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jessicarapson/Desktop/Forecasting Transit Recovery/"/>
    </mc:Choice>
  </mc:AlternateContent>
  <xr:revisionPtr revIDLastSave="0" documentId="8_{A686DC20-E7F9-0C48-937A-D7DEF2873A8E}" xr6:coauthVersionLast="46" xr6:coauthVersionMax="46" xr10:uidLastSave="{00000000-0000-0000-0000-000000000000}"/>
  <bookViews>
    <workbookView xWindow="600" yWindow="11320" windowWidth="28800" windowHeight="17540" activeTab="1" xr2:uid="{00000000-000D-0000-FFFF-FFFF00000000}"/>
  </bookViews>
  <sheets>
    <sheet name="Countries Daily" sheetId="1" r:id="rId1"/>
    <sheet name="Agencies Daily" sheetId="2" r:id="rId2"/>
    <sheet name="Metro Areas Daily" sheetId="3" r:id="rId3"/>
  </sheets>
  <definedNames>
    <definedName name="_xlnm._FilterDatabase" localSheetId="1" hidden="1">'Agencies Daily'!$A$1:$PI$169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96" i="3" l="1"/>
  <c r="A95" i="3"/>
  <c r="A94" i="3"/>
  <c r="PF93" i="3"/>
  <c r="PE93" i="3"/>
  <c r="PD93" i="3"/>
  <c r="PC93" i="3"/>
  <c r="PB93" i="3"/>
  <c r="PA93" i="3"/>
  <c r="OZ93" i="3"/>
  <c r="OY93" i="3"/>
  <c r="OX93" i="3"/>
  <c r="OW93" i="3"/>
  <c r="OV93" i="3"/>
  <c r="OU93" i="3"/>
  <c r="OT93" i="3"/>
  <c r="OS93" i="3"/>
  <c r="OR93" i="3"/>
  <c r="OQ93" i="3"/>
  <c r="OP93" i="3"/>
  <c r="OO93" i="3"/>
  <c r="ON93" i="3"/>
  <c r="OM93" i="3"/>
  <c r="OL93" i="3"/>
  <c r="OK93" i="3"/>
  <c r="OJ93" i="3"/>
  <c r="OI93" i="3"/>
  <c r="OH93" i="3"/>
  <c r="OG93" i="3"/>
  <c r="OF93" i="3"/>
  <c r="OE93" i="3"/>
  <c r="OD93" i="3"/>
  <c r="OC93" i="3"/>
  <c r="OB93" i="3"/>
  <c r="OA93" i="3"/>
  <c r="NZ93" i="3"/>
  <c r="NY93" i="3"/>
  <c r="NX93" i="3"/>
  <c r="NW93" i="3"/>
  <c r="NV93" i="3"/>
  <c r="NU93" i="3"/>
  <c r="NT93" i="3"/>
  <c r="NS93" i="3"/>
  <c r="NR93" i="3"/>
  <c r="NQ93" i="3"/>
  <c r="NP93" i="3"/>
  <c r="NO93" i="3"/>
  <c r="NN93" i="3"/>
  <c r="NM93" i="3"/>
  <c r="NL93" i="3"/>
  <c r="NK93" i="3"/>
  <c r="NJ93" i="3"/>
  <c r="NI93" i="3"/>
  <c r="NH93" i="3"/>
  <c r="NG93" i="3"/>
  <c r="NF93" i="3"/>
  <c r="NE93" i="3"/>
  <c r="ND93" i="3"/>
  <c r="NC93" i="3"/>
  <c r="NB93" i="3"/>
  <c r="NA93" i="3"/>
  <c r="MZ93" i="3"/>
  <c r="MY93" i="3"/>
  <c r="MX93" i="3"/>
  <c r="MW93" i="3"/>
  <c r="MV93" i="3"/>
  <c r="MU93" i="3"/>
  <c r="MT93" i="3"/>
  <c r="MS93" i="3"/>
  <c r="MR93" i="3"/>
  <c r="MQ93" i="3"/>
  <c r="MP93" i="3"/>
  <c r="MO93" i="3"/>
  <c r="MN93" i="3"/>
  <c r="MM93" i="3"/>
  <c r="ML93" i="3"/>
  <c r="MK93" i="3"/>
  <c r="MJ93" i="3"/>
  <c r="MI93" i="3"/>
  <c r="MH93" i="3"/>
  <c r="MG93" i="3"/>
  <c r="MF93" i="3"/>
  <c r="ME93" i="3"/>
  <c r="MD93" i="3"/>
  <c r="MC93" i="3"/>
  <c r="MB93" i="3"/>
  <c r="MA93" i="3"/>
  <c r="LZ93" i="3"/>
  <c r="LY93" i="3"/>
  <c r="LX93" i="3"/>
  <c r="LW93" i="3"/>
  <c r="LV93" i="3"/>
  <c r="LU93" i="3"/>
  <c r="LT93" i="3"/>
  <c r="LS93" i="3"/>
  <c r="LR93" i="3"/>
  <c r="LQ93" i="3"/>
  <c r="LP93" i="3"/>
  <c r="LO93" i="3"/>
  <c r="LN93" i="3"/>
  <c r="LM93" i="3"/>
  <c r="LL93" i="3"/>
  <c r="LK93" i="3"/>
  <c r="LJ93" i="3"/>
  <c r="LI93" i="3"/>
  <c r="LH93" i="3"/>
  <c r="LG93" i="3"/>
  <c r="LF93" i="3"/>
  <c r="LE93" i="3"/>
  <c r="LD93" i="3"/>
  <c r="LC93" i="3"/>
  <c r="LB93" i="3"/>
  <c r="LA93" i="3"/>
  <c r="KZ93" i="3"/>
  <c r="KY93" i="3"/>
  <c r="KX93" i="3"/>
  <c r="KW93" i="3"/>
  <c r="KV93" i="3"/>
  <c r="KU93" i="3"/>
  <c r="KT93" i="3"/>
  <c r="KS93" i="3"/>
  <c r="KR93" i="3"/>
  <c r="KQ93" i="3"/>
  <c r="KP93" i="3"/>
  <c r="KO93" i="3"/>
  <c r="KN93" i="3"/>
  <c r="KM93" i="3"/>
  <c r="KL93" i="3"/>
  <c r="KK93" i="3"/>
  <c r="KJ93" i="3"/>
  <c r="KI93" i="3"/>
  <c r="KH93" i="3"/>
  <c r="KG93" i="3"/>
  <c r="KF93" i="3"/>
  <c r="KE93" i="3"/>
  <c r="KD93" i="3"/>
  <c r="KC93" i="3"/>
  <c r="KB93" i="3"/>
  <c r="KA93" i="3"/>
  <c r="JZ93" i="3"/>
  <c r="JY93" i="3"/>
  <c r="JX93" i="3"/>
  <c r="JW93" i="3"/>
  <c r="JV93" i="3"/>
  <c r="JU93" i="3"/>
  <c r="JT93" i="3"/>
  <c r="JS93" i="3"/>
  <c r="JR93" i="3"/>
  <c r="JQ93" i="3"/>
  <c r="JP93" i="3"/>
  <c r="JO93" i="3"/>
  <c r="JN93" i="3"/>
  <c r="JM93" i="3"/>
  <c r="JL93" i="3"/>
  <c r="JK93" i="3"/>
  <c r="JJ93" i="3"/>
  <c r="JI93" i="3"/>
  <c r="JH93" i="3"/>
  <c r="JG93" i="3"/>
  <c r="JF93" i="3"/>
  <c r="JE93" i="3"/>
  <c r="JD93" i="3"/>
  <c r="JC93" i="3"/>
  <c r="JB93" i="3"/>
  <c r="JA93" i="3"/>
  <c r="IZ93" i="3"/>
  <c r="IY93" i="3"/>
  <c r="IX93" i="3"/>
  <c r="IW93" i="3"/>
  <c r="IV93" i="3"/>
  <c r="IU93" i="3"/>
  <c r="IT93" i="3"/>
  <c r="IS93" i="3"/>
  <c r="IR93" i="3"/>
  <c r="IQ93" i="3"/>
  <c r="IP93" i="3"/>
  <c r="IO93" i="3"/>
  <c r="IN93" i="3"/>
  <c r="IM93" i="3"/>
  <c r="IL93" i="3"/>
  <c r="IK93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PF92" i="3"/>
  <c r="PE92" i="3"/>
  <c r="PD92" i="3"/>
  <c r="PC92" i="3"/>
  <c r="PB92" i="3"/>
  <c r="PA92" i="3"/>
  <c r="OZ92" i="3"/>
  <c r="OY92" i="3"/>
  <c r="OX92" i="3"/>
  <c r="OW92" i="3"/>
  <c r="OV92" i="3"/>
  <c r="OU92" i="3"/>
  <c r="OT92" i="3"/>
  <c r="OS92" i="3"/>
  <c r="OR92" i="3"/>
  <c r="OQ92" i="3"/>
  <c r="OP92" i="3"/>
  <c r="OO92" i="3"/>
  <c r="ON92" i="3"/>
  <c r="OM92" i="3"/>
  <c r="OL92" i="3"/>
  <c r="OK92" i="3"/>
  <c r="OJ92" i="3"/>
  <c r="OI92" i="3"/>
  <c r="OH92" i="3"/>
  <c r="OG92" i="3"/>
  <c r="OF92" i="3"/>
  <c r="OE92" i="3"/>
  <c r="OD92" i="3"/>
  <c r="OC92" i="3"/>
  <c r="OB92" i="3"/>
  <c r="OA92" i="3"/>
  <c r="NZ92" i="3"/>
  <c r="NY92" i="3"/>
  <c r="NX92" i="3"/>
  <c r="NW92" i="3"/>
  <c r="NV92" i="3"/>
  <c r="NU92" i="3"/>
  <c r="NT92" i="3"/>
  <c r="NS92" i="3"/>
  <c r="NR92" i="3"/>
  <c r="NQ92" i="3"/>
  <c r="NP92" i="3"/>
  <c r="NO92" i="3"/>
  <c r="NN92" i="3"/>
  <c r="NM92" i="3"/>
  <c r="NL92" i="3"/>
  <c r="NK92" i="3"/>
  <c r="NJ92" i="3"/>
  <c r="NI92" i="3"/>
  <c r="NH92" i="3"/>
  <c r="NG92" i="3"/>
  <c r="NF92" i="3"/>
  <c r="NE92" i="3"/>
  <c r="ND92" i="3"/>
  <c r="NC92" i="3"/>
  <c r="NB92" i="3"/>
  <c r="NA92" i="3"/>
  <c r="MZ92" i="3"/>
  <c r="MY92" i="3"/>
  <c r="MX92" i="3"/>
  <c r="MW92" i="3"/>
  <c r="MV92" i="3"/>
  <c r="MU92" i="3"/>
  <c r="MT92" i="3"/>
  <c r="MS92" i="3"/>
  <c r="MR92" i="3"/>
  <c r="MQ92" i="3"/>
  <c r="MP92" i="3"/>
  <c r="MO92" i="3"/>
  <c r="MN92" i="3"/>
  <c r="MM92" i="3"/>
  <c r="ML92" i="3"/>
  <c r="MK92" i="3"/>
  <c r="MJ92" i="3"/>
  <c r="MI92" i="3"/>
  <c r="MH92" i="3"/>
  <c r="MG92" i="3"/>
  <c r="MF92" i="3"/>
  <c r="ME92" i="3"/>
  <c r="MD92" i="3"/>
  <c r="MC92" i="3"/>
  <c r="MB92" i="3"/>
  <c r="MA92" i="3"/>
  <c r="LZ92" i="3"/>
  <c r="LY92" i="3"/>
  <c r="LX92" i="3"/>
  <c r="LW92" i="3"/>
  <c r="LV92" i="3"/>
  <c r="LU92" i="3"/>
  <c r="LT92" i="3"/>
  <c r="LS92" i="3"/>
  <c r="LR92" i="3"/>
  <c r="LQ92" i="3"/>
  <c r="LP92" i="3"/>
  <c r="LO92" i="3"/>
  <c r="LN92" i="3"/>
  <c r="LM92" i="3"/>
  <c r="LL92" i="3"/>
  <c r="LK92" i="3"/>
  <c r="LJ92" i="3"/>
  <c r="LI92" i="3"/>
  <c r="LH92" i="3"/>
  <c r="LG92" i="3"/>
  <c r="LF92" i="3"/>
  <c r="LE92" i="3"/>
  <c r="LD92" i="3"/>
  <c r="LC92" i="3"/>
  <c r="LB92" i="3"/>
  <c r="LA92" i="3"/>
  <c r="KZ92" i="3"/>
  <c r="KY92" i="3"/>
  <c r="KX92" i="3"/>
  <c r="KW92" i="3"/>
  <c r="KV92" i="3"/>
  <c r="KU92" i="3"/>
  <c r="KT92" i="3"/>
  <c r="KS92" i="3"/>
  <c r="KR92" i="3"/>
  <c r="KQ92" i="3"/>
  <c r="KP92" i="3"/>
  <c r="KO92" i="3"/>
  <c r="KN92" i="3"/>
  <c r="KM92" i="3"/>
  <c r="KL92" i="3"/>
  <c r="KK92" i="3"/>
  <c r="KJ92" i="3"/>
  <c r="KI92" i="3"/>
  <c r="KH92" i="3"/>
  <c r="KG92" i="3"/>
  <c r="KF92" i="3"/>
  <c r="KE92" i="3"/>
  <c r="KD92" i="3"/>
  <c r="KC92" i="3"/>
  <c r="KB92" i="3"/>
  <c r="KA92" i="3"/>
  <c r="JZ92" i="3"/>
  <c r="JY92" i="3"/>
  <c r="JX92" i="3"/>
  <c r="JW92" i="3"/>
  <c r="JV92" i="3"/>
  <c r="JU92" i="3"/>
  <c r="JT92" i="3"/>
  <c r="JS92" i="3"/>
  <c r="JR92" i="3"/>
  <c r="JQ92" i="3"/>
  <c r="JP92" i="3"/>
  <c r="JO92" i="3"/>
  <c r="JN92" i="3"/>
  <c r="JM92" i="3"/>
  <c r="JL92" i="3"/>
  <c r="JK92" i="3"/>
  <c r="JJ92" i="3"/>
  <c r="JI92" i="3"/>
  <c r="JH92" i="3"/>
  <c r="JG92" i="3"/>
  <c r="JF92" i="3"/>
  <c r="JE92" i="3"/>
  <c r="JD92" i="3"/>
  <c r="JC92" i="3"/>
  <c r="JB92" i="3"/>
  <c r="JA92" i="3"/>
  <c r="IZ92" i="3"/>
  <c r="IY92" i="3"/>
  <c r="IX92" i="3"/>
  <c r="IW92" i="3"/>
  <c r="IV92" i="3"/>
  <c r="IU92" i="3"/>
  <c r="IT92" i="3"/>
  <c r="IS92" i="3"/>
  <c r="IR92" i="3"/>
  <c r="IQ92" i="3"/>
  <c r="IP92" i="3"/>
  <c r="IO92" i="3"/>
  <c r="IN92" i="3"/>
  <c r="IM92" i="3"/>
  <c r="IL92" i="3"/>
  <c r="IK92" i="3"/>
  <c r="IJ92" i="3"/>
  <c r="II92" i="3"/>
  <c r="IH92" i="3"/>
  <c r="IG92" i="3"/>
  <c r="IF92" i="3"/>
  <c r="IE92" i="3"/>
  <c r="ID92" i="3"/>
  <c r="IC92" i="3"/>
  <c r="IB92" i="3"/>
  <c r="IA92" i="3"/>
  <c r="HZ92" i="3"/>
  <c r="HY92" i="3"/>
  <c r="HX92" i="3"/>
  <c r="HW92" i="3"/>
  <c r="HV92" i="3"/>
  <c r="HU92" i="3"/>
  <c r="HT92" i="3"/>
  <c r="HS92" i="3"/>
  <c r="HR92" i="3"/>
  <c r="HQ92" i="3"/>
  <c r="HP92" i="3"/>
  <c r="HO92" i="3"/>
  <c r="HN92" i="3"/>
  <c r="HM92" i="3"/>
  <c r="HL92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PF91" i="3"/>
  <c r="PE91" i="3"/>
  <c r="PD91" i="3"/>
  <c r="PC91" i="3"/>
  <c r="PB91" i="3"/>
  <c r="PA91" i="3"/>
  <c r="OZ91" i="3"/>
  <c r="OY91" i="3"/>
  <c r="OX91" i="3"/>
  <c r="OW91" i="3"/>
  <c r="OV91" i="3"/>
  <c r="OU91" i="3"/>
  <c r="OT91" i="3"/>
  <c r="OS91" i="3"/>
  <c r="OR91" i="3"/>
  <c r="OQ91" i="3"/>
  <c r="OP91" i="3"/>
  <c r="OO91" i="3"/>
  <c r="ON91" i="3"/>
  <c r="OM91" i="3"/>
  <c r="OL91" i="3"/>
  <c r="OK91" i="3"/>
  <c r="OJ91" i="3"/>
  <c r="OI91" i="3"/>
  <c r="OH91" i="3"/>
  <c r="OG91" i="3"/>
  <c r="OF91" i="3"/>
  <c r="OE91" i="3"/>
  <c r="OD91" i="3"/>
  <c r="OC91" i="3"/>
  <c r="OB91" i="3"/>
  <c r="OA91" i="3"/>
  <c r="NZ91" i="3"/>
  <c r="NY91" i="3"/>
  <c r="NX91" i="3"/>
  <c r="NW91" i="3"/>
  <c r="NV91" i="3"/>
  <c r="NU91" i="3"/>
  <c r="NT91" i="3"/>
  <c r="NS91" i="3"/>
  <c r="NR91" i="3"/>
  <c r="NQ91" i="3"/>
  <c r="NP91" i="3"/>
  <c r="NO91" i="3"/>
  <c r="NN91" i="3"/>
  <c r="NM91" i="3"/>
  <c r="NL91" i="3"/>
  <c r="NK91" i="3"/>
  <c r="NJ91" i="3"/>
  <c r="NI91" i="3"/>
  <c r="NH91" i="3"/>
  <c r="NG91" i="3"/>
  <c r="NF91" i="3"/>
  <c r="NE91" i="3"/>
  <c r="ND91" i="3"/>
  <c r="NC91" i="3"/>
  <c r="NB91" i="3"/>
  <c r="NA91" i="3"/>
  <c r="MZ91" i="3"/>
  <c r="MY91" i="3"/>
  <c r="MX91" i="3"/>
  <c r="MW91" i="3"/>
  <c r="MV91" i="3"/>
  <c r="MU91" i="3"/>
  <c r="MT91" i="3"/>
  <c r="MS91" i="3"/>
  <c r="MR91" i="3"/>
  <c r="MQ91" i="3"/>
  <c r="MP91" i="3"/>
  <c r="MO91" i="3"/>
  <c r="MN91" i="3"/>
  <c r="MM91" i="3"/>
  <c r="ML91" i="3"/>
  <c r="MK91" i="3"/>
  <c r="MJ91" i="3"/>
  <c r="MI91" i="3"/>
  <c r="MH91" i="3"/>
  <c r="MG91" i="3"/>
  <c r="MF91" i="3"/>
  <c r="ME91" i="3"/>
  <c r="MD91" i="3"/>
  <c r="MC91" i="3"/>
  <c r="MB91" i="3"/>
  <c r="MA91" i="3"/>
  <c r="LZ91" i="3"/>
  <c r="LY91" i="3"/>
  <c r="LX91" i="3"/>
  <c r="LW91" i="3"/>
  <c r="LV91" i="3"/>
  <c r="LU91" i="3"/>
  <c r="LT91" i="3"/>
  <c r="LS91" i="3"/>
  <c r="LR91" i="3"/>
  <c r="LQ91" i="3"/>
  <c r="LP91" i="3"/>
  <c r="LO91" i="3"/>
  <c r="LN91" i="3"/>
  <c r="LM91" i="3"/>
  <c r="LL91" i="3"/>
  <c r="LK91" i="3"/>
  <c r="LJ91" i="3"/>
  <c r="LI91" i="3"/>
  <c r="LH91" i="3"/>
  <c r="LG91" i="3"/>
  <c r="LF91" i="3"/>
  <c r="LE91" i="3"/>
  <c r="LD91" i="3"/>
  <c r="LC91" i="3"/>
  <c r="LB91" i="3"/>
  <c r="LA91" i="3"/>
  <c r="KZ91" i="3"/>
  <c r="KY91" i="3"/>
  <c r="KX91" i="3"/>
  <c r="KW91" i="3"/>
  <c r="KV91" i="3"/>
  <c r="KU91" i="3"/>
  <c r="KT91" i="3"/>
  <c r="KS91" i="3"/>
  <c r="KR91" i="3"/>
  <c r="KQ91" i="3"/>
  <c r="KP91" i="3"/>
  <c r="KO91" i="3"/>
  <c r="KN91" i="3"/>
  <c r="KM91" i="3"/>
  <c r="KL91" i="3"/>
  <c r="KK91" i="3"/>
  <c r="KJ91" i="3"/>
  <c r="KI91" i="3"/>
  <c r="KH91" i="3"/>
  <c r="KG91" i="3"/>
  <c r="KF91" i="3"/>
  <c r="KE91" i="3"/>
  <c r="KD91" i="3"/>
  <c r="KC91" i="3"/>
  <c r="KB91" i="3"/>
  <c r="KA91" i="3"/>
  <c r="JZ91" i="3"/>
  <c r="JY91" i="3"/>
  <c r="JX91" i="3"/>
  <c r="JW91" i="3"/>
  <c r="JV91" i="3"/>
  <c r="JU91" i="3"/>
  <c r="JT91" i="3"/>
  <c r="JS91" i="3"/>
  <c r="JR91" i="3"/>
  <c r="JQ91" i="3"/>
  <c r="JP91" i="3"/>
  <c r="JO91" i="3"/>
  <c r="JN91" i="3"/>
  <c r="JM91" i="3"/>
  <c r="JL91" i="3"/>
  <c r="JK91" i="3"/>
  <c r="JJ91" i="3"/>
  <c r="JI91" i="3"/>
  <c r="JH91" i="3"/>
  <c r="JG91" i="3"/>
  <c r="JF91" i="3"/>
  <c r="JE91" i="3"/>
  <c r="JD91" i="3"/>
  <c r="JC91" i="3"/>
  <c r="JB91" i="3"/>
  <c r="JA91" i="3"/>
  <c r="IZ91" i="3"/>
  <c r="IY91" i="3"/>
  <c r="IX91" i="3"/>
  <c r="IW91" i="3"/>
  <c r="IV91" i="3"/>
  <c r="IU91" i="3"/>
  <c r="IT91" i="3"/>
  <c r="IS91" i="3"/>
  <c r="IR91" i="3"/>
  <c r="IQ91" i="3"/>
  <c r="IP91" i="3"/>
  <c r="IO91" i="3"/>
  <c r="IN91" i="3"/>
  <c r="IM91" i="3"/>
  <c r="IL91" i="3"/>
  <c r="IK91" i="3"/>
  <c r="IJ91" i="3"/>
  <c r="II91" i="3"/>
  <c r="IH91" i="3"/>
  <c r="IG91" i="3"/>
  <c r="IF91" i="3"/>
  <c r="IE91" i="3"/>
  <c r="ID91" i="3"/>
  <c r="IC91" i="3"/>
  <c r="IB91" i="3"/>
  <c r="IA91" i="3"/>
  <c r="HZ91" i="3"/>
  <c r="HY91" i="3"/>
  <c r="HX91" i="3"/>
  <c r="HW91" i="3"/>
  <c r="HV91" i="3"/>
  <c r="HU91" i="3"/>
  <c r="HT91" i="3"/>
  <c r="HS91" i="3"/>
  <c r="HR91" i="3"/>
  <c r="HQ91" i="3"/>
  <c r="HP91" i="3"/>
  <c r="HO91" i="3"/>
  <c r="HN91" i="3"/>
  <c r="HM91" i="3"/>
  <c r="HL91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PF90" i="3"/>
  <c r="PE90" i="3"/>
  <c r="PD90" i="3"/>
  <c r="PC90" i="3"/>
  <c r="PB90" i="3"/>
  <c r="PA90" i="3"/>
  <c r="OZ90" i="3"/>
  <c r="OY90" i="3"/>
  <c r="OX90" i="3"/>
  <c r="OW90" i="3"/>
  <c r="OV90" i="3"/>
  <c r="OU90" i="3"/>
  <c r="OT90" i="3"/>
  <c r="OS90" i="3"/>
  <c r="OR90" i="3"/>
  <c r="OQ90" i="3"/>
  <c r="OP90" i="3"/>
  <c r="OO90" i="3"/>
  <c r="ON90" i="3"/>
  <c r="OM90" i="3"/>
  <c r="OL90" i="3"/>
  <c r="OK90" i="3"/>
  <c r="OJ90" i="3"/>
  <c r="OI90" i="3"/>
  <c r="OH90" i="3"/>
  <c r="OG90" i="3"/>
  <c r="OF90" i="3"/>
  <c r="OE90" i="3"/>
  <c r="OD90" i="3"/>
  <c r="OC90" i="3"/>
  <c r="OB90" i="3"/>
  <c r="OA90" i="3"/>
  <c r="NZ90" i="3"/>
  <c r="NY90" i="3"/>
  <c r="NX90" i="3"/>
  <c r="NW90" i="3"/>
  <c r="NV90" i="3"/>
  <c r="NU90" i="3"/>
  <c r="NT90" i="3"/>
  <c r="NS90" i="3"/>
  <c r="NR90" i="3"/>
  <c r="NQ90" i="3"/>
  <c r="NP90" i="3"/>
  <c r="NO90" i="3"/>
  <c r="NN90" i="3"/>
  <c r="NM90" i="3"/>
  <c r="NL90" i="3"/>
  <c r="NK90" i="3"/>
  <c r="NJ90" i="3"/>
  <c r="NI90" i="3"/>
  <c r="NH90" i="3"/>
  <c r="NG90" i="3"/>
  <c r="NF90" i="3"/>
  <c r="NE90" i="3"/>
  <c r="ND90" i="3"/>
  <c r="NC90" i="3"/>
  <c r="NB90" i="3"/>
  <c r="NA90" i="3"/>
  <c r="MZ90" i="3"/>
  <c r="MY90" i="3"/>
  <c r="MX90" i="3"/>
  <c r="MW90" i="3"/>
  <c r="MV90" i="3"/>
  <c r="MU90" i="3"/>
  <c r="MT90" i="3"/>
  <c r="MS90" i="3"/>
  <c r="MR90" i="3"/>
  <c r="MQ90" i="3"/>
  <c r="MP90" i="3"/>
  <c r="MO90" i="3"/>
  <c r="MN90" i="3"/>
  <c r="MM90" i="3"/>
  <c r="ML90" i="3"/>
  <c r="MK90" i="3"/>
  <c r="MJ90" i="3"/>
  <c r="MI90" i="3"/>
  <c r="MH90" i="3"/>
  <c r="MG90" i="3"/>
  <c r="MF90" i="3"/>
  <c r="ME90" i="3"/>
  <c r="MD90" i="3"/>
  <c r="MC90" i="3"/>
  <c r="MB90" i="3"/>
  <c r="MA90" i="3"/>
  <c r="LZ90" i="3"/>
  <c r="LY90" i="3"/>
  <c r="LX90" i="3"/>
  <c r="LW90" i="3"/>
  <c r="LV90" i="3"/>
  <c r="LU90" i="3"/>
  <c r="LT90" i="3"/>
  <c r="LS90" i="3"/>
  <c r="LR90" i="3"/>
  <c r="LQ90" i="3"/>
  <c r="LP90" i="3"/>
  <c r="LO90" i="3"/>
  <c r="LN90" i="3"/>
  <c r="LM90" i="3"/>
  <c r="LL90" i="3"/>
  <c r="LK90" i="3"/>
  <c r="LJ90" i="3"/>
  <c r="LI90" i="3"/>
  <c r="LH90" i="3"/>
  <c r="LG90" i="3"/>
  <c r="LF90" i="3"/>
  <c r="LE90" i="3"/>
  <c r="LD90" i="3"/>
  <c r="LC90" i="3"/>
  <c r="LB90" i="3"/>
  <c r="LA90" i="3"/>
  <c r="KZ90" i="3"/>
  <c r="KY90" i="3"/>
  <c r="KX90" i="3"/>
  <c r="KW90" i="3"/>
  <c r="KV90" i="3"/>
  <c r="KU90" i="3"/>
  <c r="KT90" i="3"/>
  <c r="KS90" i="3"/>
  <c r="KR90" i="3"/>
  <c r="KQ90" i="3"/>
  <c r="KP90" i="3"/>
  <c r="KO90" i="3"/>
  <c r="KN90" i="3"/>
  <c r="KM90" i="3"/>
  <c r="KL90" i="3"/>
  <c r="KK90" i="3"/>
  <c r="KJ90" i="3"/>
  <c r="KI90" i="3"/>
  <c r="KH90" i="3"/>
  <c r="KG90" i="3"/>
  <c r="KF90" i="3"/>
  <c r="KE90" i="3"/>
  <c r="KD90" i="3"/>
  <c r="KC90" i="3"/>
  <c r="KB90" i="3"/>
  <c r="KA90" i="3"/>
  <c r="JZ90" i="3"/>
  <c r="JY90" i="3"/>
  <c r="JX90" i="3"/>
  <c r="JW90" i="3"/>
  <c r="JV90" i="3"/>
  <c r="JU90" i="3"/>
  <c r="JT90" i="3"/>
  <c r="JS90" i="3"/>
  <c r="JR90" i="3"/>
  <c r="JQ90" i="3"/>
  <c r="JP90" i="3"/>
  <c r="JO90" i="3"/>
  <c r="JN90" i="3"/>
  <c r="JM90" i="3"/>
  <c r="JL90" i="3"/>
  <c r="JK90" i="3"/>
  <c r="JJ90" i="3"/>
  <c r="JI90" i="3"/>
  <c r="JH90" i="3"/>
  <c r="JG90" i="3"/>
  <c r="JF90" i="3"/>
  <c r="JE90" i="3"/>
  <c r="JD90" i="3"/>
  <c r="JC90" i="3"/>
  <c r="JB90" i="3"/>
  <c r="JA90" i="3"/>
  <c r="IZ90" i="3"/>
  <c r="IY90" i="3"/>
  <c r="IX90" i="3"/>
  <c r="IW90" i="3"/>
  <c r="IV90" i="3"/>
  <c r="IU90" i="3"/>
  <c r="IT90" i="3"/>
  <c r="IS90" i="3"/>
  <c r="IR90" i="3"/>
  <c r="IQ90" i="3"/>
  <c r="IP90" i="3"/>
  <c r="IO90" i="3"/>
  <c r="IN90" i="3"/>
  <c r="IM90" i="3"/>
  <c r="IL90" i="3"/>
  <c r="IK90" i="3"/>
  <c r="IJ90" i="3"/>
  <c r="II90" i="3"/>
  <c r="IH90" i="3"/>
  <c r="IG90" i="3"/>
  <c r="IF90" i="3"/>
  <c r="IE90" i="3"/>
  <c r="ID90" i="3"/>
  <c r="IC90" i="3"/>
  <c r="IB90" i="3"/>
  <c r="IA90" i="3"/>
  <c r="HZ90" i="3"/>
  <c r="HY90" i="3"/>
  <c r="HX90" i="3"/>
  <c r="HW90" i="3"/>
  <c r="HV90" i="3"/>
  <c r="HU90" i="3"/>
  <c r="HT90" i="3"/>
  <c r="HS90" i="3"/>
  <c r="HR90" i="3"/>
  <c r="HQ90" i="3"/>
  <c r="HP90" i="3"/>
  <c r="HO90" i="3"/>
  <c r="HN90" i="3"/>
  <c r="HM90" i="3"/>
  <c r="HL90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PF89" i="3"/>
  <c r="PE89" i="3"/>
  <c r="PD89" i="3"/>
  <c r="PC89" i="3"/>
  <c r="PB89" i="3"/>
  <c r="PA89" i="3"/>
  <c r="OZ89" i="3"/>
  <c r="OY89" i="3"/>
  <c r="OX89" i="3"/>
  <c r="OW89" i="3"/>
  <c r="OV89" i="3"/>
  <c r="OU89" i="3"/>
  <c r="OT89" i="3"/>
  <c r="OS89" i="3"/>
  <c r="OR89" i="3"/>
  <c r="OQ89" i="3"/>
  <c r="OP89" i="3"/>
  <c r="OO89" i="3"/>
  <c r="ON89" i="3"/>
  <c r="OM89" i="3"/>
  <c r="OL89" i="3"/>
  <c r="OK89" i="3"/>
  <c r="OJ89" i="3"/>
  <c r="OI89" i="3"/>
  <c r="OH89" i="3"/>
  <c r="OG89" i="3"/>
  <c r="OF89" i="3"/>
  <c r="OE89" i="3"/>
  <c r="OD89" i="3"/>
  <c r="OC89" i="3"/>
  <c r="OB89" i="3"/>
  <c r="OA89" i="3"/>
  <c r="NZ89" i="3"/>
  <c r="NY89" i="3"/>
  <c r="NX89" i="3"/>
  <c r="NW89" i="3"/>
  <c r="NV89" i="3"/>
  <c r="NU89" i="3"/>
  <c r="NT89" i="3"/>
  <c r="NS89" i="3"/>
  <c r="NR89" i="3"/>
  <c r="NQ89" i="3"/>
  <c r="NP89" i="3"/>
  <c r="NO89" i="3"/>
  <c r="NN89" i="3"/>
  <c r="NM89" i="3"/>
  <c r="NL89" i="3"/>
  <c r="NK89" i="3"/>
  <c r="NJ89" i="3"/>
  <c r="NI89" i="3"/>
  <c r="NH89" i="3"/>
  <c r="NG89" i="3"/>
  <c r="NF89" i="3"/>
  <c r="NE89" i="3"/>
  <c r="ND89" i="3"/>
  <c r="NC89" i="3"/>
  <c r="NB89" i="3"/>
  <c r="NA89" i="3"/>
  <c r="MZ89" i="3"/>
  <c r="MY89" i="3"/>
  <c r="MX89" i="3"/>
  <c r="MW89" i="3"/>
  <c r="MV89" i="3"/>
  <c r="MU89" i="3"/>
  <c r="MT89" i="3"/>
  <c r="MS89" i="3"/>
  <c r="MR89" i="3"/>
  <c r="MQ89" i="3"/>
  <c r="MP89" i="3"/>
  <c r="MO89" i="3"/>
  <c r="MN89" i="3"/>
  <c r="MM89" i="3"/>
  <c r="ML89" i="3"/>
  <c r="MK89" i="3"/>
  <c r="MJ89" i="3"/>
  <c r="MI89" i="3"/>
  <c r="MH89" i="3"/>
  <c r="MG89" i="3"/>
  <c r="MF89" i="3"/>
  <c r="ME89" i="3"/>
  <c r="MD89" i="3"/>
  <c r="MC89" i="3"/>
  <c r="MB89" i="3"/>
  <c r="MA89" i="3"/>
  <c r="LZ89" i="3"/>
  <c r="LY89" i="3"/>
  <c r="LX89" i="3"/>
  <c r="LW89" i="3"/>
  <c r="LV89" i="3"/>
  <c r="LU89" i="3"/>
  <c r="LT89" i="3"/>
  <c r="LS89" i="3"/>
  <c r="LR89" i="3"/>
  <c r="LQ89" i="3"/>
  <c r="LP89" i="3"/>
  <c r="LO89" i="3"/>
  <c r="LN89" i="3"/>
  <c r="LM89" i="3"/>
  <c r="LL89" i="3"/>
  <c r="LK89" i="3"/>
  <c r="LJ89" i="3"/>
  <c r="LI89" i="3"/>
  <c r="LH89" i="3"/>
  <c r="LG89" i="3"/>
  <c r="LF89" i="3"/>
  <c r="LE89" i="3"/>
  <c r="LD89" i="3"/>
  <c r="LC89" i="3"/>
  <c r="LB89" i="3"/>
  <c r="LA89" i="3"/>
  <c r="KZ89" i="3"/>
  <c r="KY89" i="3"/>
  <c r="KX89" i="3"/>
  <c r="KW89" i="3"/>
  <c r="KV89" i="3"/>
  <c r="KU89" i="3"/>
  <c r="KT89" i="3"/>
  <c r="KS89" i="3"/>
  <c r="KR89" i="3"/>
  <c r="KQ89" i="3"/>
  <c r="KP89" i="3"/>
  <c r="KO89" i="3"/>
  <c r="KN89" i="3"/>
  <c r="KM89" i="3"/>
  <c r="KL89" i="3"/>
  <c r="KK89" i="3"/>
  <c r="KJ89" i="3"/>
  <c r="KI89" i="3"/>
  <c r="KH89" i="3"/>
  <c r="KG89" i="3"/>
  <c r="KF89" i="3"/>
  <c r="KE89" i="3"/>
  <c r="KD89" i="3"/>
  <c r="KC89" i="3"/>
  <c r="KB89" i="3"/>
  <c r="KA89" i="3"/>
  <c r="JZ89" i="3"/>
  <c r="JY89" i="3"/>
  <c r="JX89" i="3"/>
  <c r="JW89" i="3"/>
  <c r="JV89" i="3"/>
  <c r="JU89" i="3"/>
  <c r="JT89" i="3"/>
  <c r="JS89" i="3"/>
  <c r="JR89" i="3"/>
  <c r="JQ89" i="3"/>
  <c r="JP89" i="3"/>
  <c r="JO89" i="3"/>
  <c r="JN89" i="3"/>
  <c r="JM89" i="3"/>
  <c r="JL89" i="3"/>
  <c r="JK89" i="3"/>
  <c r="JJ89" i="3"/>
  <c r="JI89" i="3"/>
  <c r="JH89" i="3"/>
  <c r="JG89" i="3"/>
  <c r="JF89" i="3"/>
  <c r="JE89" i="3"/>
  <c r="JD89" i="3"/>
  <c r="JC89" i="3"/>
  <c r="JB89" i="3"/>
  <c r="JA89" i="3"/>
  <c r="IZ89" i="3"/>
  <c r="IY89" i="3"/>
  <c r="IX89" i="3"/>
  <c r="IW89" i="3"/>
  <c r="IV89" i="3"/>
  <c r="IU89" i="3"/>
  <c r="IT89" i="3"/>
  <c r="IS89" i="3"/>
  <c r="IR89" i="3"/>
  <c r="IQ89" i="3"/>
  <c r="IP89" i="3"/>
  <c r="IO89" i="3"/>
  <c r="IN89" i="3"/>
  <c r="IM89" i="3"/>
  <c r="IL89" i="3"/>
  <c r="IK89" i="3"/>
  <c r="IJ89" i="3"/>
  <c r="II89" i="3"/>
  <c r="IH89" i="3"/>
  <c r="IG89" i="3"/>
  <c r="IF89" i="3"/>
  <c r="IE89" i="3"/>
  <c r="ID89" i="3"/>
  <c r="IC89" i="3"/>
  <c r="IB89" i="3"/>
  <c r="IA89" i="3"/>
  <c r="HZ89" i="3"/>
  <c r="HY89" i="3"/>
  <c r="HX89" i="3"/>
  <c r="HW89" i="3"/>
  <c r="HV89" i="3"/>
  <c r="HU89" i="3"/>
  <c r="HT89" i="3"/>
  <c r="HS89" i="3"/>
  <c r="HR89" i="3"/>
  <c r="HQ89" i="3"/>
  <c r="HP89" i="3"/>
  <c r="HO89" i="3"/>
  <c r="HN89" i="3"/>
  <c r="HM89" i="3"/>
  <c r="HL89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PF88" i="3"/>
  <c r="PE88" i="3"/>
  <c r="PD88" i="3"/>
  <c r="PC88" i="3"/>
  <c r="PB88" i="3"/>
  <c r="PA88" i="3"/>
  <c r="OZ88" i="3"/>
  <c r="OY88" i="3"/>
  <c r="OX88" i="3"/>
  <c r="OW88" i="3"/>
  <c r="OV88" i="3"/>
  <c r="OU88" i="3"/>
  <c r="OT88" i="3"/>
  <c r="OS88" i="3"/>
  <c r="OR88" i="3"/>
  <c r="OQ88" i="3"/>
  <c r="OP88" i="3"/>
  <c r="OO88" i="3"/>
  <c r="ON88" i="3"/>
  <c r="OM88" i="3"/>
  <c r="OL88" i="3"/>
  <c r="OK88" i="3"/>
  <c r="OJ88" i="3"/>
  <c r="OI88" i="3"/>
  <c r="OH88" i="3"/>
  <c r="OG88" i="3"/>
  <c r="OF88" i="3"/>
  <c r="OE88" i="3"/>
  <c r="OD88" i="3"/>
  <c r="OC88" i="3"/>
  <c r="OB88" i="3"/>
  <c r="OA88" i="3"/>
  <c r="NZ88" i="3"/>
  <c r="NY88" i="3"/>
  <c r="NX88" i="3"/>
  <c r="NW88" i="3"/>
  <c r="NV88" i="3"/>
  <c r="NU88" i="3"/>
  <c r="NT88" i="3"/>
  <c r="NS88" i="3"/>
  <c r="NR88" i="3"/>
  <c r="NQ88" i="3"/>
  <c r="NP88" i="3"/>
  <c r="NO88" i="3"/>
  <c r="NN88" i="3"/>
  <c r="NM88" i="3"/>
  <c r="NL88" i="3"/>
  <c r="NK88" i="3"/>
  <c r="NJ88" i="3"/>
  <c r="NI88" i="3"/>
  <c r="NH88" i="3"/>
  <c r="NG88" i="3"/>
  <c r="NF88" i="3"/>
  <c r="NE88" i="3"/>
  <c r="ND88" i="3"/>
  <c r="NC88" i="3"/>
  <c r="NB88" i="3"/>
  <c r="NA88" i="3"/>
  <c r="MZ88" i="3"/>
  <c r="MY88" i="3"/>
  <c r="MX88" i="3"/>
  <c r="MW88" i="3"/>
  <c r="MV88" i="3"/>
  <c r="MU88" i="3"/>
  <c r="MT88" i="3"/>
  <c r="MS88" i="3"/>
  <c r="MR88" i="3"/>
  <c r="MQ88" i="3"/>
  <c r="MP88" i="3"/>
  <c r="MO88" i="3"/>
  <c r="MN88" i="3"/>
  <c r="MM88" i="3"/>
  <c r="ML88" i="3"/>
  <c r="MK88" i="3"/>
  <c r="MJ88" i="3"/>
  <c r="MI88" i="3"/>
  <c r="MH88" i="3"/>
  <c r="MG88" i="3"/>
  <c r="MF88" i="3"/>
  <c r="ME88" i="3"/>
  <c r="MD88" i="3"/>
  <c r="MC88" i="3"/>
  <c r="MB88" i="3"/>
  <c r="MA88" i="3"/>
  <c r="LZ88" i="3"/>
  <c r="LY88" i="3"/>
  <c r="LX88" i="3"/>
  <c r="LW88" i="3"/>
  <c r="LV88" i="3"/>
  <c r="LU88" i="3"/>
  <c r="LT88" i="3"/>
  <c r="LS88" i="3"/>
  <c r="LR88" i="3"/>
  <c r="LQ88" i="3"/>
  <c r="LP88" i="3"/>
  <c r="LO88" i="3"/>
  <c r="LN88" i="3"/>
  <c r="LM88" i="3"/>
  <c r="LL88" i="3"/>
  <c r="LK88" i="3"/>
  <c r="LJ88" i="3"/>
  <c r="LI88" i="3"/>
  <c r="LH88" i="3"/>
  <c r="LG88" i="3"/>
  <c r="LF88" i="3"/>
  <c r="LE88" i="3"/>
  <c r="LD88" i="3"/>
  <c r="LC88" i="3"/>
  <c r="LB88" i="3"/>
  <c r="LA88" i="3"/>
  <c r="KZ88" i="3"/>
  <c r="KY88" i="3"/>
  <c r="KX88" i="3"/>
  <c r="KW88" i="3"/>
  <c r="KV88" i="3"/>
  <c r="KU88" i="3"/>
  <c r="KT88" i="3"/>
  <c r="KS88" i="3"/>
  <c r="KR88" i="3"/>
  <c r="KQ88" i="3"/>
  <c r="KP88" i="3"/>
  <c r="KO88" i="3"/>
  <c r="KN88" i="3"/>
  <c r="KM88" i="3"/>
  <c r="KL88" i="3"/>
  <c r="KK88" i="3"/>
  <c r="KJ88" i="3"/>
  <c r="KI88" i="3"/>
  <c r="KH88" i="3"/>
  <c r="KG88" i="3"/>
  <c r="KF88" i="3"/>
  <c r="KE88" i="3"/>
  <c r="KD88" i="3"/>
  <c r="KC88" i="3"/>
  <c r="KB88" i="3"/>
  <c r="KA88" i="3"/>
  <c r="JZ88" i="3"/>
  <c r="JY88" i="3"/>
  <c r="JX88" i="3"/>
  <c r="JW88" i="3"/>
  <c r="JV88" i="3"/>
  <c r="JU88" i="3"/>
  <c r="JT88" i="3"/>
  <c r="JS88" i="3"/>
  <c r="JR88" i="3"/>
  <c r="JQ88" i="3"/>
  <c r="JP88" i="3"/>
  <c r="JO88" i="3"/>
  <c r="JN88" i="3"/>
  <c r="JM88" i="3"/>
  <c r="JL88" i="3"/>
  <c r="JK88" i="3"/>
  <c r="JJ88" i="3"/>
  <c r="JI88" i="3"/>
  <c r="JH88" i="3"/>
  <c r="JG88" i="3"/>
  <c r="JF88" i="3"/>
  <c r="JE88" i="3"/>
  <c r="JD88" i="3"/>
  <c r="JC88" i="3"/>
  <c r="JB88" i="3"/>
  <c r="JA88" i="3"/>
  <c r="IZ88" i="3"/>
  <c r="IY88" i="3"/>
  <c r="IX88" i="3"/>
  <c r="IW88" i="3"/>
  <c r="IV88" i="3"/>
  <c r="IU88" i="3"/>
  <c r="IT88" i="3"/>
  <c r="IS88" i="3"/>
  <c r="IR88" i="3"/>
  <c r="IQ88" i="3"/>
  <c r="IP88" i="3"/>
  <c r="IO88" i="3"/>
  <c r="IN88" i="3"/>
  <c r="IM88" i="3"/>
  <c r="IL88" i="3"/>
  <c r="IK88" i="3"/>
  <c r="IJ88" i="3"/>
  <c r="II88" i="3"/>
  <c r="IH88" i="3"/>
  <c r="IG88" i="3"/>
  <c r="IF88" i="3"/>
  <c r="IE88" i="3"/>
  <c r="ID88" i="3"/>
  <c r="IC88" i="3"/>
  <c r="IB88" i="3"/>
  <c r="IA88" i="3"/>
  <c r="HZ88" i="3"/>
  <c r="HY88" i="3"/>
  <c r="HX88" i="3"/>
  <c r="HW88" i="3"/>
  <c r="HV88" i="3"/>
  <c r="HU88" i="3"/>
  <c r="HT88" i="3"/>
  <c r="HS88" i="3"/>
  <c r="HR88" i="3"/>
  <c r="HQ88" i="3"/>
  <c r="HP88" i="3"/>
  <c r="HO88" i="3"/>
  <c r="HN88" i="3"/>
  <c r="HM88" i="3"/>
  <c r="HL88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PF87" i="3"/>
  <c r="PE87" i="3"/>
  <c r="PD87" i="3"/>
  <c r="PC87" i="3"/>
  <c r="PB87" i="3"/>
  <c r="PA87" i="3"/>
  <c r="OZ87" i="3"/>
  <c r="OY87" i="3"/>
  <c r="OX87" i="3"/>
  <c r="OW87" i="3"/>
  <c r="OV87" i="3"/>
  <c r="OU87" i="3"/>
  <c r="OT87" i="3"/>
  <c r="OS87" i="3"/>
  <c r="OR87" i="3"/>
  <c r="OQ87" i="3"/>
  <c r="OP87" i="3"/>
  <c r="OO87" i="3"/>
  <c r="ON87" i="3"/>
  <c r="OM87" i="3"/>
  <c r="OL87" i="3"/>
  <c r="OK87" i="3"/>
  <c r="OJ87" i="3"/>
  <c r="OI87" i="3"/>
  <c r="OH87" i="3"/>
  <c r="OG87" i="3"/>
  <c r="OF87" i="3"/>
  <c r="OE87" i="3"/>
  <c r="OD87" i="3"/>
  <c r="OC87" i="3"/>
  <c r="OB87" i="3"/>
  <c r="OA87" i="3"/>
  <c r="NZ87" i="3"/>
  <c r="NY87" i="3"/>
  <c r="NX87" i="3"/>
  <c r="NW87" i="3"/>
  <c r="NV87" i="3"/>
  <c r="NU87" i="3"/>
  <c r="NT87" i="3"/>
  <c r="NS87" i="3"/>
  <c r="NR87" i="3"/>
  <c r="NQ87" i="3"/>
  <c r="NP87" i="3"/>
  <c r="NO87" i="3"/>
  <c r="NN87" i="3"/>
  <c r="NM87" i="3"/>
  <c r="NL87" i="3"/>
  <c r="NK87" i="3"/>
  <c r="NJ87" i="3"/>
  <c r="NI87" i="3"/>
  <c r="NH87" i="3"/>
  <c r="NG87" i="3"/>
  <c r="NF87" i="3"/>
  <c r="NE87" i="3"/>
  <c r="ND87" i="3"/>
  <c r="NC87" i="3"/>
  <c r="NB87" i="3"/>
  <c r="NA87" i="3"/>
  <c r="MZ87" i="3"/>
  <c r="MY87" i="3"/>
  <c r="MX87" i="3"/>
  <c r="MW87" i="3"/>
  <c r="MV87" i="3"/>
  <c r="MU87" i="3"/>
  <c r="MT87" i="3"/>
  <c r="MS87" i="3"/>
  <c r="MR87" i="3"/>
  <c r="MQ87" i="3"/>
  <c r="MP87" i="3"/>
  <c r="MO87" i="3"/>
  <c r="MN87" i="3"/>
  <c r="MM87" i="3"/>
  <c r="ML87" i="3"/>
  <c r="MK87" i="3"/>
  <c r="MJ87" i="3"/>
  <c r="MI87" i="3"/>
  <c r="MH87" i="3"/>
  <c r="MG87" i="3"/>
  <c r="MF87" i="3"/>
  <c r="ME87" i="3"/>
  <c r="MD87" i="3"/>
  <c r="MC87" i="3"/>
  <c r="MB87" i="3"/>
  <c r="MA87" i="3"/>
  <c r="LZ87" i="3"/>
  <c r="LY87" i="3"/>
  <c r="LX87" i="3"/>
  <c r="LW87" i="3"/>
  <c r="LV87" i="3"/>
  <c r="LU87" i="3"/>
  <c r="LT87" i="3"/>
  <c r="LS87" i="3"/>
  <c r="LR87" i="3"/>
  <c r="LQ87" i="3"/>
  <c r="LP87" i="3"/>
  <c r="LO87" i="3"/>
  <c r="LN87" i="3"/>
  <c r="LM87" i="3"/>
  <c r="LL87" i="3"/>
  <c r="LK87" i="3"/>
  <c r="LJ87" i="3"/>
  <c r="LI87" i="3"/>
  <c r="LH87" i="3"/>
  <c r="LG87" i="3"/>
  <c r="LF87" i="3"/>
  <c r="LE87" i="3"/>
  <c r="LD87" i="3"/>
  <c r="LC87" i="3"/>
  <c r="LB87" i="3"/>
  <c r="LA87" i="3"/>
  <c r="KZ87" i="3"/>
  <c r="KY87" i="3"/>
  <c r="KX87" i="3"/>
  <c r="KW87" i="3"/>
  <c r="KV87" i="3"/>
  <c r="KU87" i="3"/>
  <c r="KT87" i="3"/>
  <c r="KS87" i="3"/>
  <c r="KR87" i="3"/>
  <c r="KQ87" i="3"/>
  <c r="KP87" i="3"/>
  <c r="KO87" i="3"/>
  <c r="KN87" i="3"/>
  <c r="KM87" i="3"/>
  <c r="KL87" i="3"/>
  <c r="KK87" i="3"/>
  <c r="KJ87" i="3"/>
  <c r="KI87" i="3"/>
  <c r="KH87" i="3"/>
  <c r="KG87" i="3"/>
  <c r="KF87" i="3"/>
  <c r="KE87" i="3"/>
  <c r="KD87" i="3"/>
  <c r="KC87" i="3"/>
  <c r="KB87" i="3"/>
  <c r="KA87" i="3"/>
  <c r="JZ87" i="3"/>
  <c r="JY87" i="3"/>
  <c r="JX87" i="3"/>
  <c r="JW87" i="3"/>
  <c r="JV87" i="3"/>
  <c r="JU87" i="3"/>
  <c r="JT87" i="3"/>
  <c r="JS87" i="3"/>
  <c r="JR87" i="3"/>
  <c r="JQ87" i="3"/>
  <c r="JP87" i="3"/>
  <c r="JO87" i="3"/>
  <c r="JN87" i="3"/>
  <c r="JM87" i="3"/>
  <c r="JL87" i="3"/>
  <c r="JK87" i="3"/>
  <c r="JJ87" i="3"/>
  <c r="JI87" i="3"/>
  <c r="JH87" i="3"/>
  <c r="JG87" i="3"/>
  <c r="JF87" i="3"/>
  <c r="JE87" i="3"/>
  <c r="JD87" i="3"/>
  <c r="JC87" i="3"/>
  <c r="JB87" i="3"/>
  <c r="JA87" i="3"/>
  <c r="IZ87" i="3"/>
  <c r="IY87" i="3"/>
  <c r="IX87" i="3"/>
  <c r="IW87" i="3"/>
  <c r="IV87" i="3"/>
  <c r="IU87" i="3"/>
  <c r="IT87" i="3"/>
  <c r="IS87" i="3"/>
  <c r="IR87" i="3"/>
  <c r="IQ87" i="3"/>
  <c r="IP87" i="3"/>
  <c r="IO87" i="3"/>
  <c r="IN87" i="3"/>
  <c r="IM87" i="3"/>
  <c r="IL87" i="3"/>
  <c r="IK87" i="3"/>
  <c r="IJ87" i="3"/>
  <c r="II87" i="3"/>
  <c r="IH87" i="3"/>
  <c r="IG87" i="3"/>
  <c r="IF87" i="3"/>
  <c r="IE87" i="3"/>
  <c r="ID87" i="3"/>
  <c r="IC87" i="3"/>
  <c r="IB87" i="3"/>
  <c r="IA87" i="3"/>
  <c r="HZ87" i="3"/>
  <c r="HY87" i="3"/>
  <c r="HX87" i="3"/>
  <c r="HW87" i="3"/>
  <c r="HV87" i="3"/>
  <c r="HU87" i="3"/>
  <c r="HT87" i="3"/>
  <c r="HS87" i="3"/>
  <c r="HR87" i="3"/>
  <c r="HQ87" i="3"/>
  <c r="HP87" i="3"/>
  <c r="HO87" i="3"/>
  <c r="HN87" i="3"/>
  <c r="HM87" i="3"/>
  <c r="HL87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PF86" i="3"/>
  <c r="PE86" i="3"/>
  <c r="PD86" i="3"/>
  <c r="PC86" i="3"/>
  <c r="PB86" i="3"/>
  <c r="PA86" i="3"/>
  <c r="OZ86" i="3"/>
  <c r="OY86" i="3"/>
  <c r="OX86" i="3"/>
  <c r="OW86" i="3"/>
  <c r="OV86" i="3"/>
  <c r="OU86" i="3"/>
  <c r="OT86" i="3"/>
  <c r="OS86" i="3"/>
  <c r="OR86" i="3"/>
  <c r="OQ86" i="3"/>
  <c r="OP86" i="3"/>
  <c r="OO86" i="3"/>
  <c r="ON86" i="3"/>
  <c r="OM86" i="3"/>
  <c r="OL86" i="3"/>
  <c r="OK86" i="3"/>
  <c r="OJ86" i="3"/>
  <c r="OI86" i="3"/>
  <c r="OH86" i="3"/>
  <c r="OG86" i="3"/>
  <c r="OF86" i="3"/>
  <c r="OE86" i="3"/>
  <c r="OD86" i="3"/>
  <c r="OC86" i="3"/>
  <c r="OB86" i="3"/>
  <c r="OA86" i="3"/>
  <c r="NZ86" i="3"/>
  <c r="NY86" i="3"/>
  <c r="NX86" i="3"/>
  <c r="NW86" i="3"/>
  <c r="NV86" i="3"/>
  <c r="NU86" i="3"/>
  <c r="NT86" i="3"/>
  <c r="NS86" i="3"/>
  <c r="NR86" i="3"/>
  <c r="NQ86" i="3"/>
  <c r="NP86" i="3"/>
  <c r="NO86" i="3"/>
  <c r="NN86" i="3"/>
  <c r="NM86" i="3"/>
  <c r="NL86" i="3"/>
  <c r="NK86" i="3"/>
  <c r="NJ86" i="3"/>
  <c r="NI86" i="3"/>
  <c r="NH86" i="3"/>
  <c r="NG86" i="3"/>
  <c r="NF86" i="3"/>
  <c r="NE86" i="3"/>
  <c r="ND86" i="3"/>
  <c r="NC86" i="3"/>
  <c r="NB86" i="3"/>
  <c r="NA86" i="3"/>
  <c r="MZ86" i="3"/>
  <c r="MY86" i="3"/>
  <c r="MX86" i="3"/>
  <c r="MW86" i="3"/>
  <c r="MV86" i="3"/>
  <c r="MU86" i="3"/>
  <c r="MT86" i="3"/>
  <c r="MS86" i="3"/>
  <c r="MR86" i="3"/>
  <c r="MQ86" i="3"/>
  <c r="MP86" i="3"/>
  <c r="MO86" i="3"/>
  <c r="MN86" i="3"/>
  <c r="MM86" i="3"/>
  <c r="ML86" i="3"/>
  <c r="MK86" i="3"/>
  <c r="MJ86" i="3"/>
  <c r="MI86" i="3"/>
  <c r="MH86" i="3"/>
  <c r="MG86" i="3"/>
  <c r="MF86" i="3"/>
  <c r="ME86" i="3"/>
  <c r="MD86" i="3"/>
  <c r="MC86" i="3"/>
  <c r="MB86" i="3"/>
  <c r="MA86" i="3"/>
  <c r="LZ86" i="3"/>
  <c r="LY86" i="3"/>
  <c r="LX86" i="3"/>
  <c r="LW86" i="3"/>
  <c r="LV86" i="3"/>
  <c r="LU86" i="3"/>
  <c r="LT86" i="3"/>
  <c r="LS86" i="3"/>
  <c r="LR86" i="3"/>
  <c r="LQ86" i="3"/>
  <c r="LP86" i="3"/>
  <c r="LO86" i="3"/>
  <c r="LN86" i="3"/>
  <c r="LM86" i="3"/>
  <c r="LL86" i="3"/>
  <c r="LK86" i="3"/>
  <c r="LJ86" i="3"/>
  <c r="LI86" i="3"/>
  <c r="LH86" i="3"/>
  <c r="LG86" i="3"/>
  <c r="LF86" i="3"/>
  <c r="LE86" i="3"/>
  <c r="LD86" i="3"/>
  <c r="LC86" i="3"/>
  <c r="LB86" i="3"/>
  <c r="LA86" i="3"/>
  <c r="KZ86" i="3"/>
  <c r="KY86" i="3"/>
  <c r="KX86" i="3"/>
  <c r="KW86" i="3"/>
  <c r="KV86" i="3"/>
  <c r="KU86" i="3"/>
  <c r="KT86" i="3"/>
  <c r="KS86" i="3"/>
  <c r="KR86" i="3"/>
  <c r="KQ86" i="3"/>
  <c r="KP86" i="3"/>
  <c r="KO86" i="3"/>
  <c r="KN86" i="3"/>
  <c r="KM86" i="3"/>
  <c r="KL86" i="3"/>
  <c r="KK86" i="3"/>
  <c r="KJ86" i="3"/>
  <c r="KI86" i="3"/>
  <c r="KH86" i="3"/>
  <c r="KG86" i="3"/>
  <c r="KF86" i="3"/>
  <c r="KE86" i="3"/>
  <c r="KD86" i="3"/>
  <c r="KC86" i="3"/>
  <c r="KB86" i="3"/>
  <c r="KA86" i="3"/>
  <c r="JZ86" i="3"/>
  <c r="JY86" i="3"/>
  <c r="JX86" i="3"/>
  <c r="JW86" i="3"/>
  <c r="JV86" i="3"/>
  <c r="JU86" i="3"/>
  <c r="JT86" i="3"/>
  <c r="JS86" i="3"/>
  <c r="JR86" i="3"/>
  <c r="JQ86" i="3"/>
  <c r="JP86" i="3"/>
  <c r="JO86" i="3"/>
  <c r="JN86" i="3"/>
  <c r="JM86" i="3"/>
  <c r="JL86" i="3"/>
  <c r="JK86" i="3"/>
  <c r="JJ86" i="3"/>
  <c r="JI86" i="3"/>
  <c r="JH86" i="3"/>
  <c r="JG86" i="3"/>
  <c r="JF86" i="3"/>
  <c r="JE86" i="3"/>
  <c r="JD86" i="3"/>
  <c r="JC86" i="3"/>
  <c r="JB86" i="3"/>
  <c r="JA86" i="3"/>
  <c r="IZ86" i="3"/>
  <c r="IY86" i="3"/>
  <c r="IX86" i="3"/>
  <c r="IW86" i="3"/>
  <c r="IV86" i="3"/>
  <c r="IU86" i="3"/>
  <c r="IT86" i="3"/>
  <c r="IS86" i="3"/>
  <c r="IR86" i="3"/>
  <c r="IQ86" i="3"/>
  <c r="IP86" i="3"/>
  <c r="IO86" i="3"/>
  <c r="IN86" i="3"/>
  <c r="IM86" i="3"/>
  <c r="IL86" i="3"/>
  <c r="IK86" i="3"/>
  <c r="IJ86" i="3"/>
  <c r="II86" i="3"/>
  <c r="IH86" i="3"/>
  <c r="IG86" i="3"/>
  <c r="IF86" i="3"/>
  <c r="IE86" i="3"/>
  <c r="ID86" i="3"/>
  <c r="IC86" i="3"/>
  <c r="IB86" i="3"/>
  <c r="IA86" i="3"/>
  <c r="HZ86" i="3"/>
  <c r="HY86" i="3"/>
  <c r="HX86" i="3"/>
  <c r="HW86" i="3"/>
  <c r="HV86" i="3"/>
  <c r="HU86" i="3"/>
  <c r="HT86" i="3"/>
  <c r="HS86" i="3"/>
  <c r="HR86" i="3"/>
  <c r="HQ86" i="3"/>
  <c r="HP86" i="3"/>
  <c r="HO86" i="3"/>
  <c r="HN86" i="3"/>
  <c r="HM86" i="3"/>
  <c r="HL86" i="3"/>
  <c r="HK86" i="3"/>
  <c r="HJ86" i="3"/>
  <c r="HI86" i="3"/>
  <c r="HH86" i="3"/>
  <c r="HG86" i="3"/>
  <c r="HF86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PF85" i="3"/>
  <c r="PE85" i="3"/>
  <c r="PD85" i="3"/>
  <c r="PC85" i="3"/>
  <c r="PB85" i="3"/>
  <c r="PA85" i="3"/>
  <c r="OZ85" i="3"/>
  <c r="OY85" i="3"/>
  <c r="OX85" i="3"/>
  <c r="OW85" i="3"/>
  <c r="OV85" i="3"/>
  <c r="OU85" i="3"/>
  <c r="OT85" i="3"/>
  <c r="OS85" i="3"/>
  <c r="OR85" i="3"/>
  <c r="OQ85" i="3"/>
  <c r="OP85" i="3"/>
  <c r="OO85" i="3"/>
  <c r="ON85" i="3"/>
  <c r="OM85" i="3"/>
  <c r="OL85" i="3"/>
  <c r="OK85" i="3"/>
  <c r="OJ85" i="3"/>
  <c r="OI85" i="3"/>
  <c r="OH85" i="3"/>
  <c r="OG85" i="3"/>
  <c r="OF85" i="3"/>
  <c r="OE85" i="3"/>
  <c r="OD85" i="3"/>
  <c r="OC85" i="3"/>
  <c r="OB85" i="3"/>
  <c r="OA85" i="3"/>
  <c r="NZ85" i="3"/>
  <c r="NY85" i="3"/>
  <c r="NX85" i="3"/>
  <c r="NW85" i="3"/>
  <c r="NV85" i="3"/>
  <c r="NU85" i="3"/>
  <c r="NT85" i="3"/>
  <c r="NS85" i="3"/>
  <c r="NR85" i="3"/>
  <c r="NQ85" i="3"/>
  <c r="NP85" i="3"/>
  <c r="NO85" i="3"/>
  <c r="NN85" i="3"/>
  <c r="NM85" i="3"/>
  <c r="NL85" i="3"/>
  <c r="NK85" i="3"/>
  <c r="NJ85" i="3"/>
  <c r="NI85" i="3"/>
  <c r="NH85" i="3"/>
  <c r="NG85" i="3"/>
  <c r="NF85" i="3"/>
  <c r="NE85" i="3"/>
  <c r="ND85" i="3"/>
  <c r="NC85" i="3"/>
  <c r="NB85" i="3"/>
  <c r="NA85" i="3"/>
  <c r="MZ85" i="3"/>
  <c r="MY85" i="3"/>
  <c r="MX85" i="3"/>
  <c r="MW85" i="3"/>
  <c r="MV85" i="3"/>
  <c r="MU85" i="3"/>
  <c r="MT85" i="3"/>
  <c r="MS85" i="3"/>
  <c r="MR85" i="3"/>
  <c r="MQ85" i="3"/>
  <c r="MP85" i="3"/>
  <c r="MO85" i="3"/>
  <c r="MN85" i="3"/>
  <c r="MM85" i="3"/>
  <c r="ML85" i="3"/>
  <c r="MK85" i="3"/>
  <c r="MJ85" i="3"/>
  <c r="MI85" i="3"/>
  <c r="MH85" i="3"/>
  <c r="MG85" i="3"/>
  <c r="MF85" i="3"/>
  <c r="ME85" i="3"/>
  <c r="MD85" i="3"/>
  <c r="MC85" i="3"/>
  <c r="MB85" i="3"/>
  <c r="MA85" i="3"/>
  <c r="LZ85" i="3"/>
  <c r="LY85" i="3"/>
  <c r="LX85" i="3"/>
  <c r="LW85" i="3"/>
  <c r="LV85" i="3"/>
  <c r="LU85" i="3"/>
  <c r="LT85" i="3"/>
  <c r="LS85" i="3"/>
  <c r="LR85" i="3"/>
  <c r="LQ85" i="3"/>
  <c r="LP85" i="3"/>
  <c r="LO85" i="3"/>
  <c r="LN85" i="3"/>
  <c r="LM85" i="3"/>
  <c r="LL85" i="3"/>
  <c r="LK85" i="3"/>
  <c r="LJ85" i="3"/>
  <c r="LI85" i="3"/>
  <c r="LH85" i="3"/>
  <c r="LG85" i="3"/>
  <c r="LF85" i="3"/>
  <c r="LE85" i="3"/>
  <c r="LD85" i="3"/>
  <c r="LC85" i="3"/>
  <c r="LB85" i="3"/>
  <c r="LA85" i="3"/>
  <c r="KZ85" i="3"/>
  <c r="KY85" i="3"/>
  <c r="KX85" i="3"/>
  <c r="KW85" i="3"/>
  <c r="KV85" i="3"/>
  <c r="KU85" i="3"/>
  <c r="KT85" i="3"/>
  <c r="KS85" i="3"/>
  <c r="KR85" i="3"/>
  <c r="KQ85" i="3"/>
  <c r="KP85" i="3"/>
  <c r="KO85" i="3"/>
  <c r="KN85" i="3"/>
  <c r="KM85" i="3"/>
  <c r="KL85" i="3"/>
  <c r="KK85" i="3"/>
  <c r="KJ85" i="3"/>
  <c r="KI85" i="3"/>
  <c r="KH85" i="3"/>
  <c r="KG85" i="3"/>
  <c r="KF85" i="3"/>
  <c r="KE85" i="3"/>
  <c r="KD85" i="3"/>
  <c r="KC85" i="3"/>
  <c r="KB85" i="3"/>
  <c r="KA85" i="3"/>
  <c r="JZ85" i="3"/>
  <c r="JY85" i="3"/>
  <c r="JX85" i="3"/>
  <c r="JW85" i="3"/>
  <c r="JV85" i="3"/>
  <c r="JU85" i="3"/>
  <c r="JT85" i="3"/>
  <c r="JS85" i="3"/>
  <c r="JR85" i="3"/>
  <c r="JQ85" i="3"/>
  <c r="JP85" i="3"/>
  <c r="JO85" i="3"/>
  <c r="JN85" i="3"/>
  <c r="JM85" i="3"/>
  <c r="JL85" i="3"/>
  <c r="JK85" i="3"/>
  <c r="JJ85" i="3"/>
  <c r="JI85" i="3"/>
  <c r="JH85" i="3"/>
  <c r="JG85" i="3"/>
  <c r="JF85" i="3"/>
  <c r="JE85" i="3"/>
  <c r="JD85" i="3"/>
  <c r="JC85" i="3"/>
  <c r="JB85" i="3"/>
  <c r="JA85" i="3"/>
  <c r="IZ85" i="3"/>
  <c r="IY85" i="3"/>
  <c r="IX85" i="3"/>
  <c r="IW85" i="3"/>
  <c r="IV85" i="3"/>
  <c r="IU85" i="3"/>
  <c r="IT85" i="3"/>
  <c r="IS85" i="3"/>
  <c r="IR85" i="3"/>
  <c r="IQ85" i="3"/>
  <c r="IP85" i="3"/>
  <c r="IO85" i="3"/>
  <c r="IN85" i="3"/>
  <c r="IM85" i="3"/>
  <c r="IL85" i="3"/>
  <c r="IK85" i="3"/>
  <c r="IJ85" i="3"/>
  <c r="II85" i="3"/>
  <c r="IH85" i="3"/>
  <c r="IG85" i="3"/>
  <c r="IF85" i="3"/>
  <c r="IE85" i="3"/>
  <c r="ID85" i="3"/>
  <c r="IC85" i="3"/>
  <c r="IB85" i="3"/>
  <c r="IA85" i="3"/>
  <c r="HZ85" i="3"/>
  <c r="HY85" i="3"/>
  <c r="HX85" i="3"/>
  <c r="HW85" i="3"/>
  <c r="HV85" i="3"/>
  <c r="HU85" i="3"/>
  <c r="HT85" i="3"/>
  <c r="HS85" i="3"/>
  <c r="HR85" i="3"/>
  <c r="HQ85" i="3"/>
  <c r="HP85" i="3"/>
  <c r="HO85" i="3"/>
  <c r="HN85" i="3"/>
  <c r="HM85" i="3"/>
  <c r="HL85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PF84" i="3"/>
  <c r="PE84" i="3"/>
  <c r="PD84" i="3"/>
  <c r="PC84" i="3"/>
  <c r="PB84" i="3"/>
  <c r="PA84" i="3"/>
  <c r="OZ84" i="3"/>
  <c r="OY84" i="3"/>
  <c r="OX84" i="3"/>
  <c r="OW84" i="3"/>
  <c r="OV84" i="3"/>
  <c r="OU84" i="3"/>
  <c r="OT84" i="3"/>
  <c r="OS84" i="3"/>
  <c r="OR84" i="3"/>
  <c r="OQ84" i="3"/>
  <c r="OP84" i="3"/>
  <c r="OO84" i="3"/>
  <c r="ON84" i="3"/>
  <c r="OM84" i="3"/>
  <c r="OL84" i="3"/>
  <c r="OK84" i="3"/>
  <c r="OJ84" i="3"/>
  <c r="OI84" i="3"/>
  <c r="OH84" i="3"/>
  <c r="OG84" i="3"/>
  <c r="OF84" i="3"/>
  <c r="OE84" i="3"/>
  <c r="OD84" i="3"/>
  <c r="OC84" i="3"/>
  <c r="OB84" i="3"/>
  <c r="OA84" i="3"/>
  <c r="NZ84" i="3"/>
  <c r="NY84" i="3"/>
  <c r="NX84" i="3"/>
  <c r="NW84" i="3"/>
  <c r="NV84" i="3"/>
  <c r="NU84" i="3"/>
  <c r="NT84" i="3"/>
  <c r="NS84" i="3"/>
  <c r="NR84" i="3"/>
  <c r="NQ84" i="3"/>
  <c r="NP84" i="3"/>
  <c r="NO84" i="3"/>
  <c r="NN84" i="3"/>
  <c r="NM84" i="3"/>
  <c r="NL84" i="3"/>
  <c r="NK84" i="3"/>
  <c r="NJ84" i="3"/>
  <c r="NI84" i="3"/>
  <c r="NH84" i="3"/>
  <c r="NG84" i="3"/>
  <c r="NF84" i="3"/>
  <c r="NE84" i="3"/>
  <c r="ND84" i="3"/>
  <c r="NC84" i="3"/>
  <c r="NB84" i="3"/>
  <c r="NA84" i="3"/>
  <c r="MZ84" i="3"/>
  <c r="MY84" i="3"/>
  <c r="MX84" i="3"/>
  <c r="MW84" i="3"/>
  <c r="MV84" i="3"/>
  <c r="MU84" i="3"/>
  <c r="MT84" i="3"/>
  <c r="MS84" i="3"/>
  <c r="MR84" i="3"/>
  <c r="MQ84" i="3"/>
  <c r="MP84" i="3"/>
  <c r="MO84" i="3"/>
  <c r="MN84" i="3"/>
  <c r="MM84" i="3"/>
  <c r="ML84" i="3"/>
  <c r="MK84" i="3"/>
  <c r="MJ84" i="3"/>
  <c r="MI84" i="3"/>
  <c r="MH84" i="3"/>
  <c r="MG84" i="3"/>
  <c r="MF84" i="3"/>
  <c r="ME84" i="3"/>
  <c r="MD84" i="3"/>
  <c r="MC84" i="3"/>
  <c r="MB84" i="3"/>
  <c r="MA84" i="3"/>
  <c r="LZ84" i="3"/>
  <c r="LY84" i="3"/>
  <c r="LX84" i="3"/>
  <c r="LW84" i="3"/>
  <c r="LV84" i="3"/>
  <c r="LU84" i="3"/>
  <c r="LT84" i="3"/>
  <c r="LS84" i="3"/>
  <c r="LR84" i="3"/>
  <c r="LQ84" i="3"/>
  <c r="LP84" i="3"/>
  <c r="LO84" i="3"/>
  <c r="LN84" i="3"/>
  <c r="LM84" i="3"/>
  <c r="LL84" i="3"/>
  <c r="LK84" i="3"/>
  <c r="LJ84" i="3"/>
  <c r="LI84" i="3"/>
  <c r="LH84" i="3"/>
  <c r="LG84" i="3"/>
  <c r="LF84" i="3"/>
  <c r="LE84" i="3"/>
  <c r="LD84" i="3"/>
  <c r="LC84" i="3"/>
  <c r="LB84" i="3"/>
  <c r="LA84" i="3"/>
  <c r="KZ84" i="3"/>
  <c r="KY84" i="3"/>
  <c r="KX84" i="3"/>
  <c r="KW84" i="3"/>
  <c r="KV84" i="3"/>
  <c r="KU84" i="3"/>
  <c r="KT84" i="3"/>
  <c r="KS84" i="3"/>
  <c r="KR84" i="3"/>
  <c r="KQ84" i="3"/>
  <c r="KP84" i="3"/>
  <c r="KO84" i="3"/>
  <c r="KN84" i="3"/>
  <c r="KM84" i="3"/>
  <c r="KL84" i="3"/>
  <c r="KK84" i="3"/>
  <c r="KJ84" i="3"/>
  <c r="KI84" i="3"/>
  <c r="KH84" i="3"/>
  <c r="KG84" i="3"/>
  <c r="KF84" i="3"/>
  <c r="KE84" i="3"/>
  <c r="KD84" i="3"/>
  <c r="KC84" i="3"/>
  <c r="KB84" i="3"/>
  <c r="KA84" i="3"/>
  <c r="JZ84" i="3"/>
  <c r="JY84" i="3"/>
  <c r="JX84" i="3"/>
  <c r="JW84" i="3"/>
  <c r="JV84" i="3"/>
  <c r="JU84" i="3"/>
  <c r="JT84" i="3"/>
  <c r="JS84" i="3"/>
  <c r="JR84" i="3"/>
  <c r="JQ84" i="3"/>
  <c r="JP84" i="3"/>
  <c r="JO84" i="3"/>
  <c r="JN84" i="3"/>
  <c r="JM84" i="3"/>
  <c r="JL84" i="3"/>
  <c r="JK84" i="3"/>
  <c r="JJ84" i="3"/>
  <c r="JI84" i="3"/>
  <c r="JH84" i="3"/>
  <c r="JG84" i="3"/>
  <c r="JF84" i="3"/>
  <c r="JE84" i="3"/>
  <c r="JD84" i="3"/>
  <c r="JC84" i="3"/>
  <c r="JB84" i="3"/>
  <c r="JA84" i="3"/>
  <c r="IZ84" i="3"/>
  <c r="IY84" i="3"/>
  <c r="IX84" i="3"/>
  <c r="IW84" i="3"/>
  <c r="IV84" i="3"/>
  <c r="IU84" i="3"/>
  <c r="IT84" i="3"/>
  <c r="IS84" i="3"/>
  <c r="IR84" i="3"/>
  <c r="IQ84" i="3"/>
  <c r="IP84" i="3"/>
  <c r="IO84" i="3"/>
  <c r="IN84" i="3"/>
  <c r="IM84" i="3"/>
  <c r="IL84" i="3"/>
  <c r="IK84" i="3"/>
  <c r="IJ84" i="3"/>
  <c r="II84" i="3"/>
  <c r="IH84" i="3"/>
  <c r="IG84" i="3"/>
  <c r="IF84" i="3"/>
  <c r="IE84" i="3"/>
  <c r="ID84" i="3"/>
  <c r="IC84" i="3"/>
  <c r="IB84" i="3"/>
  <c r="IA84" i="3"/>
  <c r="HZ84" i="3"/>
  <c r="HY84" i="3"/>
  <c r="HX84" i="3"/>
  <c r="HW84" i="3"/>
  <c r="HV84" i="3"/>
  <c r="HU84" i="3"/>
  <c r="HT84" i="3"/>
  <c r="HS84" i="3"/>
  <c r="HR84" i="3"/>
  <c r="HQ84" i="3"/>
  <c r="HP84" i="3"/>
  <c r="HO84" i="3"/>
  <c r="HN84" i="3"/>
  <c r="HM84" i="3"/>
  <c r="HL84" i="3"/>
  <c r="HK84" i="3"/>
  <c r="HJ84" i="3"/>
  <c r="HI84" i="3"/>
  <c r="HH84" i="3"/>
  <c r="HG84" i="3"/>
  <c r="HF84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PF83" i="3"/>
  <c r="PE83" i="3"/>
  <c r="PD83" i="3"/>
  <c r="PC83" i="3"/>
  <c r="PB83" i="3"/>
  <c r="PA83" i="3"/>
  <c r="OZ83" i="3"/>
  <c r="OY83" i="3"/>
  <c r="OX83" i="3"/>
  <c r="OW83" i="3"/>
  <c r="OV83" i="3"/>
  <c r="OU83" i="3"/>
  <c r="OT83" i="3"/>
  <c r="OS83" i="3"/>
  <c r="OR83" i="3"/>
  <c r="OQ83" i="3"/>
  <c r="OP83" i="3"/>
  <c r="OO83" i="3"/>
  <c r="ON83" i="3"/>
  <c r="OM83" i="3"/>
  <c r="OL83" i="3"/>
  <c r="OK83" i="3"/>
  <c r="OJ83" i="3"/>
  <c r="OI83" i="3"/>
  <c r="OH83" i="3"/>
  <c r="OG83" i="3"/>
  <c r="OF83" i="3"/>
  <c r="OE83" i="3"/>
  <c r="OD83" i="3"/>
  <c r="OC83" i="3"/>
  <c r="OB83" i="3"/>
  <c r="OA83" i="3"/>
  <c r="NZ83" i="3"/>
  <c r="NY83" i="3"/>
  <c r="NX83" i="3"/>
  <c r="NW83" i="3"/>
  <c r="NV83" i="3"/>
  <c r="NU83" i="3"/>
  <c r="NT83" i="3"/>
  <c r="NS83" i="3"/>
  <c r="NR83" i="3"/>
  <c r="NQ83" i="3"/>
  <c r="NP83" i="3"/>
  <c r="NO83" i="3"/>
  <c r="NN83" i="3"/>
  <c r="NM83" i="3"/>
  <c r="NL83" i="3"/>
  <c r="NK83" i="3"/>
  <c r="NJ83" i="3"/>
  <c r="NI83" i="3"/>
  <c r="NH83" i="3"/>
  <c r="NG83" i="3"/>
  <c r="NF83" i="3"/>
  <c r="NE83" i="3"/>
  <c r="ND83" i="3"/>
  <c r="NC83" i="3"/>
  <c r="NB83" i="3"/>
  <c r="NA83" i="3"/>
  <c r="MZ83" i="3"/>
  <c r="MY83" i="3"/>
  <c r="MX83" i="3"/>
  <c r="MW83" i="3"/>
  <c r="MV83" i="3"/>
  <c r="MU83" i="3"/>
  <c r="MT83" i="3"/>
  <c r="MS83" i="3"/>
  <c r="MR83" i="3"/>
  <c r="MQ83" i="3"/>
  <c r="MP83" i="3"/>
  <c r="MO83" i="3"/>
  <c r="MN83" i="3"/>
  <c r="MM83" i="3"/>
  <c r="ML83" i="3"/>
  <c r="MK83" i="3"/>
  <c r="MJ83" i="3"/>
  <c r="MI83" i="3"/>
  <c r="MH83" i="3"/>
  <c r="MG83" i="3"/>
  <c r="MF83" i="3"/>
  <c r="ME83" i="3"/>
  <c r="MD83" i="3"/>
  <c r="MC83" i="3"/>
  <c r="MB83" i="3"/>
  <c r="MA83" i="3"/>
  <c r="LZ83" i="3"/>
  <c r="LY83" i="3"/>
  <c r="LX83" i="3"/>
  <c r="LW83" i="3"/>
  <c r="LV83" i="3"/>
  <c r="LU83" i="3"/>
  <c r="LT83" i="3"/>
  <c r="LS83" i="3"/>
  <c r="LR83" i="3"/>
  <c r="LQ83" i="3"/>
  <c r="LP83" i="3"/>
  <c r="LO83" i="3"/>
  <c r="LN83" i="3"/>
  <c r="LM83" i="3"/>
  <c r="LL83" i="3"/>
  <c r="LK83" i="3"/>
  <c r="LJ83" i="3"/>
  <c r="LI83" i="3"/>
  <c r="LH83" i="3"/>
  <c r="LG83" i="3"/>
  <c r="LF83" i="3"/>
  <c r="LE83" i="3"/>
  <c r="LD83" i="3"/>
  <c r="LC83" i="3"/>
  <c r="LB83" i="3"/>
  <c r="LA83" i="3"/>
  <c r="KZ83" i="3"/>
  <c r="KY83" i="3"/>
  <c r="KX83" i="3"/>
  <c r="KW83" i="3"/>
  <c r="KV83" i="3"/>
  <c r="KU83" i="3"/>
  <c r="KT83" i="3"/>
  <c r="KS83" i="3"/>
  <c r="KR83" i="3"/>
  <c r="KQ83" i="3"/>
  <c r="KP83" i="3"/>
  <c r="KO83" i="3"/>
  <c r="KN83" i="3"/>
  <c r="KM83" i="3"/>
  <c r="KL83" i="3"/>
  <c r="KK83" i="3"/>
  <c r="KJ83" i="3"/>
  <c r="KI83" i="3"/>
  <c r="KH83" i="3"/>
  <c r="KG83" i="3"/>
  <c r="KF83" i="3"/>
  <c r="KE83" i="3"/>
  <c r="KD83" i="3"/>
  <c r="KC83" i="3"/>
  <c r="KB83" i="3"/>
  <c r="KA83" i="3"/>
  <c r="JZ83" i="3"/>
  <c r="JY83" i="3"/>
  <c r="JX83" i="3"/>
  <c r="JW83" i="3"/>
  <c r="JV83" i="3"/>
  <c r="JU83" i="3"/>
  <c r="JT83" i="3"/>
  <c r="JS83" i="3"/>
  <c r="JR83" i="3"/>
  <c r="JQ83" i="3"/>
  <c r="JP83" i="3"/>
  <c r="JO83" i="3"/>
  <c r="JN83" i="3"/>
  <c r="JM83" i="3"/>
  <c r="JL83" i="3"/>
  <c r="JK83" i="3"/>
  <c r="JJ83" i="3"/>
  <c r="JI83" i="3"/>
  <c r="JH83" i="3"/>
  <c r="JG83" i="3"/>
  <c r="JF83" i="3"/>
  <c r="JE83" i="3"/>
  <c r="JD83" i="3"/>
  <c r="JC83" i="3"/>
  <c r="JB83" i="3"/>
  <c r="JA83" i="3"/>
  <c r="IZ83" i="3"/>
  <c r="IY83" i="3"/>
  <c r="IX83" i="3"/>
  <c r="IW83" i="3"/>
  <c r="IV83" i="3"/>
  <c r="IU83" i="3"/>
  <c r="IT83" i="3"/>
  <c r="IS83" i="3"/>
  <c r="IR83" i="3"/>
  <c r="IQ83" i="3"/>
  <c r="IP83" i="3"/>
  <c r="IO83" i="3"/>
  <c r="IN83" i="3"/>
  <c r="IM83" i="3"/>
  <c r="IL83" i="3"/>
  <c r="IK83" i="3"/>
  <c r="IJ83" i="3"/>
  <c r="II83" i="3"/>
  <c r="IH83" i="3"/>
  <c r="IG83" i="3"/>
  <c r="IF83" i="3"/>
  <c r="IE83" i="3"/>
  <c r="ID83" i="3"/>
  <c r="IC83" i="3"/>
  <c r="IB83" i="3"/>
  <c r="IA83" i="3"/>
  <c r="HZ83" i="3"/>
  <c r="HY83" i="3"/>
  <c r="HX83" i="3"/>
  <c r="HW83" i="3"/>
  <c r="HV83" i="3"/>
  <c r="HU83" i="3"/>
  <c r="HT83" i="3"/>
  <c r="HS83" i="3"/>
  <c r="HR83" i="3"/>
  <c r="HQ83" i="3"/>
  <c r="HP83" i="3"/>
  <c r="HO83" i="3"/>
  <c r="HN83" i="3"/>
  <c r="HM83" i="3"/>
  <c r="HL83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PF82" i="3"/>
  <c r="PE82" i="3"/>
  <c r="PD82" i="3"/>
  <c r="PC82" i="3"/>
  <c r="PB82" i="3"/>
  <c r="PA82" i="3"/>
  <c r="OZ82" i="3"/>
  <c r="OY82" i="3"/>
  <c r="OX82" i="3"/>
  <c r="OW82" i="3"/>
  <c r="OV82" i="3"/>
  <c r="OU82" i="3"/>
  <c r="OT82" i="3"/>
  <c r="OS82" i="3"/>
  <c r="OR82" i="3"/>
  <c r="OQ82" i="3"/>
  <c r="OP82" i="3"/>
  <c r="OO82" i="3"/>
  <c r="ON82" i="3"/>
  <c r="OM82" i="3"/>
  <c r="OL82" i="3"/>
  <c r="OK82" i="3"/>
  <c r="OJ82" i="3"/>
  <c r="OI82" i="3"/>
  <c r="OH82" i="3"/>
  <c r="OG82" i="3"/>
  <c r="OF82" i="3"/>
  <c r="OE82" i="3"/>
  <c r="OD82" i="3"/>
  <c r="OC82" i="3"/>
  <c r="OB82" i="3"/>
  <c r="OA82" i="3"/>
  <c r="NZ82" i="3"/>
  <c r="NY82" i="3"/>
  <c r="NX82" i="3"/>
  <c r="NW82" i="3"/>
  <c r="NV82" i="3"/>
  <c r="NU82" i="3"/>
  <c r="NT82" i="3"/>
  <c r="NS82" i="3"/>
  <c r="NR82" i="3"/>
  <c r="NQ82" i="3"/>
  <c r="NP82" i="3"/>
  <c r="NO82" i="3"/>
  <c r="NN82" i="3"/>
  <c r="NM82" i="3"/>
  <c r="NL82" i="3"/>
  <c r="NK82" i="3"/>
  <c r="NJ82" i="3"/>
  <c r="NI82" i="3"/>
  <c r="NH82" i="3"/>
  <c r="NG82" i="3"/>
  <c r="NF82" i="3"/>
  <c r="NE82" i="3"/>
  <c r="ND82" i="3"/>
  <c r="NC82" i="3"/>
  <c r="NB82" i="3"/>
  <c r="NA82" i="3"/>
  <c r="MZ82" i="3"/>
  <c r="MY82" i="3"/>
  <c r="MX82" i="3"/>
  <c r="MW82" i="3"/>
  <c r="MV82" i="3"/>
  <c r="MU82" i="3"/>
  <c r="MT82" i="3"/>
  <c r="MS82" i="3"/>
  <c r="MR82" i="3"/>
  <c r="MQ82" i="3"/>
  <c r="MP82" i="3"/>
  <c r="MO82" i="3"/>
  <c r="MN82" i="3"/>
  <c r="MM82" i="3"/>
  <c r="ML82" i="3"/>
  <c r="MK82" i="3"/>
  <c r="MJ82" i="3"/>
  <c r="MI82" i="3"/>
  <c r="MH82" i="3"/>
  <c r="MG82" i="3"/>
  <c r="MF82" i="3"/>
  <c r="ME82" i="3"/>
  <c r="MD82" i="3"/>
  <c r="MC82" i="3"/>
  <c r="MB82" i="3"/>
  <c r="MA82" i="3"/>
  <c r="LZ82" i="3"/>
  <c r="LY82" i="3"/>
  <c r="LX82" i="3"/>
  <c r="LW82" i="3"/>
  <c r="LV82" i="3"/>
  <c r="LU82" i="3"/>
  <c r="LT82" i="3"/>
  <c r="LS82" i="3"/>
  <c r="LR82" i="3"/>
  <c r="LQ82" i="3"/>
  <c r="LP82" i="3"/>
  <c r="LO82" i="3"/>
  <c r="LN82" i="3"/>
  <c r="LM82" i="3"/>
  <c r="LL82" i="3"/>
  <c r="LK82" i="3"/>
  <c r="LJ82" i="3"/>
  <c r="LI82" i="3"/>
  <c r="LH82" i="3"/>
  <c r="LG82" i="3"/>
  <c r="LF82" i="3"/>
  <c r="LE82" i="3"/>
  <c r="LD82" i="3"/>
  <c r="LC82" i="3"/>
  <c r="LB82" i="3"/>
  <c r="LA82" i="3"/>
  <c r="KZ82" i="3"/>
  <c r="KY82" i="3"/>
  <c r="KX82" i="3"/>
  <c r="KW82" i="3"/>
  <c r="KV82" i="3"/>
  <c r="KU82" i="3"/>
  <c r="KT82" i="3"/>
  <c r="KS82" i="3"/>
  <c r="KR82" i="3"/>
  <c r="KQ82" i="3"/>
  <c r="KP82" i="3"/>
  <c r="KO82" i="3"/>
  <c r="KN82" i="3"/>
  <c r="KM82" i="3"/>
  <c r="KL82" i="3"/>
  <c r="KK82" i="3"/>
  <c r="KJ82" i="3"/>
  <c r="KI82" i="3"/>
  <c r="KH82" i="3"/>
  <c r="KG82" i="3"/>
  <c r="KF82" i="3"/>
  <c r="KE82" i="3"/>
  <c r="KD82" i="3"/>
  <c r="KC82" i="3"/>
  <c r="KB82" i="3"/>
  <c r="KA82" i="3"/>
  <c r="JZ82" i="3"/>
  <c r="JY82" i="3"/>
  <c r="JX82" i="3"/>
  <c r="JW82" i="3"/>
  <c r="JV82" i="3"/>
  <c r="JU82" i="3"/>
  <c r="JT82" i="3"/>
  <c r="JS82" i="3"/>
  <c r="JR82" i="3"/>
  <c r="JQ82" i="3"/>
  <c r="JP82" i="3"/>
  <c r="JO82" i="3"/>
  <c r="JN82" i="3"/>
  <c r="JM82" i="3"/>
  <c r="JL82" i="3"/>
  <c r="JK82" i="3"/>
  <c r="JJ82" i="3"/>
  <c r="JI82" i="3"/>
  <c r="JH82" i="3"/>
  <c r="JG82" i="3"/>
  <c r="JF82" i="3"/>
  <c r="JE82" i="3"/>
  <c r="JD82" i="3"/>
  <c r="JC82" i="3"/>
  <c r="JB82" i="3"/>
  <c r="JA82" i="3"/>
  <c r="IZ82" i="3"/>
  <c r="IY82" i="3"/>
  <c r="IX82" i="3"/>
  <c r="IW82" i="3"/>
  <c r="IV82" i="3"/>
  <c r="IU82" i="3"/>
  <c r="IT82" i="3"/>
  <c r="IS82" i="3"/>
  <c r="IR82" i="3"/>
  <c r="IQ82" i="3"/>
  <c r="IP82" i="3"/>
  <c r="IO82" i="3"/>
  <c r="IN82" i="3"/>
  <c r="IM82" i="3"/>
  <c r="IL82" i="3"/>
  <c r="IK82" i="3"/>
  <c r="IJ82" i="3"/>
  <c r="II82" i="3"/>
  <c r="IH82" i="3"/>
  <c r="IG82" i="3"/>
  <c r="IF82" i="3"/>
  <c r="IE82" i="3"/>
  <c r="ID82" i="3"/>
  <c r="IC82" i="3"/>
  <c r="IB82" i="3"/>
  <c r="IA82" i="3"/>
  <c r="HZ82" i="3"/>
  <c r="HY82" i="3"/>
  <c r="HX82" i="3"/>
  <c r="HW82" i="3"/>
  <c r="HV82" i="3"/>
  <c r="HU82" i="3"/>
  <c r="HT82" i="3"/>
  <c r="HS82" i="3"/>
  <c r="HR82" i="3"/>
  <c r="HQ82" i="3"/>
  <c r="HP82" i="3"/>
  <c r="HO82" i="3"/>
  <c r="HN82" i="3"/>
  <c r="HM82" i="3"/>
  <c r="HL82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PF81" i="3"/>
  <c r="PE81" i="3"/>
  <c r="PD81" i="3"/>
  <c r="PC81" i="3"/>
  <c r="PB81" i="3"/>
  <c r="PA81" i="3"/>
  <c r="OZ81" i="3"/>
  <c r="OY81" i="3"/>
  <c r="OX81" i="3"/>
  <c r="OW81" i="3"/>
  <c r="OV81" i="3"/>
  <c r="OU81" i="3"/>
  <c r="OT81" i="3"/>
  <c r="OS81" i="3"/>
  <c r="OR81" i="3"/>
  <c r="OQ81" i="3"/>
  <c r="OP81" i="3"/>
  <c r="OO81" i="3"/>
  <c r="ON81" i="3"/>
  <c r="OM81" i="3"/>
  <c r="OL81" i="3"/>
  <c r="OK81" i="3"/>
  <c r="OJ81" i="3"/>
  <c r="OI81" i="3"/>
  <c r="OH81" i="3"/>
  <c r="OG81" i="3"/>
  <c r="OF81" i="3"/>
  <c r="OE81" i="3"/>
  <c r="OD81" i="3"/>
  <c r="OC81" i="3"/>
  <c r="OB81" i="3"/>
  <c r="OA81" i="3"/>
  <c r="NZ81" i="3"/>
  <c r="NY81" i="3"/>
  <c r="NX81" i="3"/>
  <c r="NW81" i="3"/>
  <c r="NV81" i="3"/>
  <c r="NU81" i="3"/>
  <c r="NT81" i="3"/>
  <c r="NS81" i="3"/>
  <c r="NR81" i="3"/>
  <c r="NQ81" i="3"/>
  <c r="NP81" i="3"/>
  <c r="NO81" i="3"/>
  <c r="NN81" i="3"/>
  <c r="NM81" i="3"/>
  <c r="NL81" i="3"/>
  <c r="NK81" i="3"/>
  <c r="NJ81" i="3"/>
  <c r="NI81" i="3"/>
  <c r="NH81" i="3"/>
  <c r="NG81" i="3"/>
  <c r="NF81" i="3"/>
  <c r="NE81" i="3"/>
  <c r="ND81" i="3"/>
  <c r="NC81" i="3"/>
  <c r="NB81" i="3"/>
  <c r="NA81" i="3"/>
  <c r="MZ81" i="3"/>
  <c r="MY81" i="3"/>
  <c r="MX81" i="3"/>
  <c r="MW81" i="3"/>
  <c r="MV81" i="3"/>
  <c r="MU81" i="3"/>
  <c r="MT81" i="3"/>
  <c r="MS81" i="3"/>
  <c r="MR81" i="3"/>
  <c r="MQ81" i="3"/>
  <c r="MP81" i="3"/>
  <c r="MO81" i="3"/>
  <c r="MN81" i="3"/>
  <c r="MM81" i="3"/>
  <c r="ML81" i="3"/>
  <c r="MK81" i="3"/>
  <c r="MJ81" i="3"/>
  <c r="MI81" i="3"/>
  <c r="MH81" i="3"/>
  <c r="MG81" i="3"/>
  <c r="MF81" i="3"/>
  <c r="ME81" i="3"/>
  <c r="MD81" i="3"/>
  <c r="MC81" i="3"/>
  <c r="MB81" i="3"/>
  <c r="MA81" i="3"/>
  <c r="LZ81" i="3"/>
  <c r="LY81" i="3"/>
  <c r="LX81" i="3"/>
  <c r="LW81" i="3"/>
  <c r="LV81" i="3"/>
  <c r="LU81" i="3"/>
  <c r="LT81" i="3"/>
  <c r="LS81" i="3"/>
  <c r="LR81" i="3"/>
  <c r="LQ81" i="3"/>
  <c r="LP81" i="3"/>
  <c r="LO81" i="3"/>
  <c r="LN81" i="3"/>
  <c r="LM81" i="3"/>
  <c r="LL81" i="3"/>
  <c r="LK81" i="3"/>
  <c r="LJ81" i="3"/>
  <c r="LI81" i="3"/>
  <c r="LH81" i="3"/>
  <c r="LG81" i="3"/>
  <c r="LF81" i="3"/>
  <c r="LE81" i="3"/>
  <c r="LD81" i="3"/>
  <c r="LC81" i="3"/>
  <c r="LB81" i="3"/>
  <c r="LA81" i="3"/>
  <c r="KZ81" i="3"/>
  <c r="KY81" i="3"/>
  <c r="KX81" i="3"/>
  <c r="KW81" i="3"/>
  <c r="KV81" i="3"/>
  <c r="KU81" i="3"/>
  <c r="KT81" i="3"/>
  <c r="KS81" i="3"/>
  <c r="KR81" i="3"/>
  <c r="KQ81" i="3"/>
  <c r="KP81" i="3"/>
  <c r="KO81" i="3"/>
  <c r="KN81" i="3"/>
  <c r="KM81" i="3"/>
  <c r="KL81" i="3"/>
  <c r="KK81" i="3"/>
  <c r="KJ81" i="3"/>
  <c r="KI81" i="3"/>
  <c r="KH81" i="3"/>
  <c r="KG81" i="3"/>
  <c r="KF81" i="3"/>
  <c r="KE81" i="3"/>
  <c r="KD81" i="3"/>
  <c r="KC81" i="3"/>
  <c r="KB81" i="3"/>
  <c r="KA81" i="3"/>
  <c r="JZ81" i="3"/>
  <c r="JY81" i="3"/>
  <c r="JX81" i="3"/>
  <c r="JW81" i="3"/>
  <c r="JV81" i="3"/>
  <c r="JU81" i="3"/>
  <c r="JT81" i="3"/>
  <c r="JS81" i="3"/>
  <c r="JR81" i="3"/>
  <c r="JQ81" i="3"/>
  <c r="JP81" i="3"/>
  <c r="JO81" i="3"/>
  <c r="JN81" i="3"/>
  <c r="JM81" i="3"/>
  <c r="JL81" i="3"/>
  <c r="JK81" i="3"/>
  <c r="JJ81" i="3"/>
  <c r="JI81" i="3"/>
  <c r="JH81" i="3"/>
  <c r="JG81" i="3"/>
  <c r="JF81" i="3"/>
  <c r="JE81" i="3"/>
  <c r="JD81" i="3"/>
  <c r="JC81" i="3"/>
  <c r="JB81" i="3"/>
  <c r="JA81" i="3"/>
  <c r="IZ81" i="3"/>
  <c r="IY81" i="3"/>
  <c r="IX81" i="3"/>
  <c r="IW81" i="3"/>
  <c r="IV81" i="3"/>
  <c r="IU81" i="3"/>
  <c r="IT81" i="3"/>
  <c r="IS81" i="3"/>
  <c r="IR81" i="3"/>
  <c r="IQ81" i="3"/>
  <c r="IP81" i="3"/>
  <c r="IO81" i="3"/>
  <c r="IN81" i="3"/>
  <c r="IM81" i="3"/>
  <c r="IL81" i="3"/>
  <c r="IK81" i="3"/>
  <c r="IJ81" i="3"/>
  <c r="II81" i="3"/>
  <c r="IH81" i="3"/>
  <c r="IG81" i="3"/>
  <c r="IF81" i="3"/>
  <c r="IE81" i="3"/>
  <c r="ID81" i="3"/>
  <c r="IC81" i="3"/>
  <c r="IB81" i="3"/>
  <c r="IA81" i="3"/>
  <c r="HZ81" i="3"/>
  <c r="HY81" i="3"/>
  <c r="HX81" i="3"/>
  <c r="HW81" i="3"/>
  <c r="HV81" i="3"/>
  <c r="HU81" i="3"/>
  <c r="HT81" i="3"/>
  <c r="HS81" i="3"/>
  <c r="HR81" i="3"/>
  <c r="HQ81" i="3"/>
  <c r="HP81" i="3"/>
  <c r="HO81" i="3"/>
  <c r="HN81" i="3"/>
  <c r="HM81" i="3"/>
  <c r="HL81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PF80" i="3"/>
  <c r="PE80" i="3"/>
  <c r="PD80" i="3"/>
  <c r="PC80" i="3"/>
  <c r="PB80" i="3"/>
  <c r="PA80" i="3"/>
  <c r="OZ80" i="3"/>
  <c r="OY80" i="3"/>
  <c r="OX80" i="3"/>
  <c r="OW80" i="3"/>
  <c r="OV80" i="3"/>
  <c r="OU80" i="3"/>
  <c r="OT80" i="3"/>
  <c r="OS80" i="3"/>
  <c r="OR80" i="3"/>
  <c r="OQ80" i="3"/>
  <c r="OP80" i="3"/>
  <c r="OO80" i="3"/>
  <c r="ON80" i="3"/>
  <c r="OM80" i="3"/>
  <c r="OL80" i="3"/>
  <c r="OK80" i="3"/>
  <c r="OJ80" i="3"/>
  <c r="OI80" i="3"/>
  <c r="OH80" i="3"/>
  <c r="OG80" i="3"/>
  <c r="OF80" i="3"/>
  <c r="OE80" i="3"/>
  <c r="OD80" i="3"/>
  <c r="OC80" i="3"/>
  <c r="OB80" i="3"/>
  <c r="OA80" i="3"/>
  <c r="NZ80" i="3"/>
  <c r="NY80" i="3"/>
  <c r="NX80" i="3"/>
  <c r="NW80" i="3"/>
  <c r="NV80" i="3"/>
  <c r="NU80" i="3"/>
  <c r="NT80" i="3"/>
  <c r="NS80" i="3"/>
  <c r="NR80" i="3"/>
  <c r="NQ80" i="3"/>
  <c r="NP80" i="3"/>
  <c r="NO80" i="3"/>
  <c r="NN80" i="3"/>
  <c r="NM80" i="3"/>
  <c r="NL80" i="3"/>
  <c r="NK80" i="3"/>
  <c r="NJ80" i="3"/>
  <c r="NI80" i="3"/>
  <c r="NH80" i="3"/>
  <c r="NG80" i="3"/>
  <c r="NF80" i="3"/>
  <c r="NE80" i="3"/>
  <c r="ND80" i="3"/>
  <c r="NC80" i="3"/>
  <c r="NB80" i="3"/>
  <c r="NA80" i="3"/>
  <c r="MZ80" i="3"/>
  <c r="MY80" i="3"/>
  <c r="MX80" i="3"/>
  <c r="MW80" i="3"/>
  <c r="MV80" i="3"/>
  <c r="MU80" i="3"/>
  <c r="MT80" i="3"/>
  <c r="MS80" i="3"/>
  <c r="MR80" i="3"/>
  <c r="MQ80" i="3"/>
  <c r="MP80" i="3"/>
  <c r="MO80" i="3"/>
  <c r="MN80" i="3"/>
  <c r="MM80" i="3"/>
  <c r="ML80" i="3"/>
  <c r="MK80" i="3"/>
  <c r="MJ80" i="3"/>
  <c r="MI80" i="3"/>
  <c r="MH80" i="3"/>
  <c r="MG80" i="3"/>
  <c r="MF80" i="3"/>
  <c r="ME80" i="3"/>
  <c r="MD80" i="3"/>
  <c r="MC80" i="3"/>
  <c r="MB80" i="3"/>
  <c r="MA80" i="3"/>
  <c r="LZ80" i="3"/>
  <c r="LY80" i="3"/>
  <c r="LX80" i="3"/>
  <c r="LW80" i="3"/>
  <c r="LV80" i="3"/>
  <c r="LU80" i="3"/>
  <c r="LT80" i="3"/>
  <c r="LS80" i="3"/>
  <c r="LR80" i="3"/>
  <c r="LQ80" i="3"/>
  <c r="LP80" i="3"/>
  <c r="LO80" i="3"/>
  <c r="LN80" i="3"/>
  <c r="LM80" i="3"/>
  <c r="LL80" i="3"/>
  <c r="LK80" i="3"/>
  <c r="LJ80" i="3"/>
  <c r="LI80" i="3"/>
  <c r="LH80" i="3"/>
  <c r="LG80" i="3"/>
  <c r="LF80" i="3"/>
  <c r="LE80" i="3"/>
  <c r="LD80" i="3"/>
  <c r="LC80" i="3"/>
  <c r="LB80" i="3"/>
  <c r="LA80" i="3"/>
  <c r="KZ80" i="3"/>
  <c r="KY80" i="3"/>
  <c r="KX80" i="3"/>
  <c r="KW80" i="3"/>
  <c r="KV80" i="3"/>
  <c r="KU80" i="3"/>
  <c r="KT80" i="3"/>
  <c r="KS80" i="3"/>
  <c r="KR80" i="3"/>
  <c r="KQ80" i="3"/>
  <c r="KP80" i="3"/>
  <c r="KO80" i="3"/>
  <c r="KN80" i="3"/>
  <c r="KM80" i="3"/>
  <c r="KL80" i="3"/>
  <c r="KK80" i="3"/>
  <c r="KJ80" i="3"/>
  <c r="KI80" i="3"/>
  <c r="KH80" i="3"/>
  <c r="KG80" i="3"/>
  <c r="KF80" i="3"/>
  <c r="KE80" i="3"/>
  <c r="KD80" i="3"/>
  <c r="KC80" i="3"/>
  <c r="KB80" i="3"/>
  <c r="KA80" i="3"/>
  <c r="JZ80" i="3"/>
  <c r="JY80" i="3"/>
  <c r="JX80" i="3"/>
  <c r="JW80" i="3"/>
  <c r="JV80" i="3"/>
  <c r="JU80" i="3"/>
  <c r="JT80" i="3"/>
  <c r="JS80" i="3"/>
  <c r="JR80" i="3"/>
  <c r="JQ80" i="3"/>
  <c r="JP80" i="3"/>
  <c r="JO80" i="3"/>
  <c r="JN80" i="3"/>
  <c r="JM80" i="3"/>
  <c r="JL80" i="3"/>
  <c r="JK80" i="3"/>
  <c r="JJ80" i="3"/>
  <c r="JI80" i="3"/>
  <c r="JH80" i="3"/>
  <c r="JG80" i="3"/>
  <c r="JF80" i="3"/>
  <c r="JE80" i="3"/>
  <c r="JD80" i="3"/>
  <c r="JC80" i="3"/>
  <c r="JB80" i="3"/>
  <c r="JA80" i="3"/>
  <c r="IZ80" i="3"/>
  <c r="IY80" i="3"/>
  <c r="IX80" i="3"/>
  <c r="IW80" i="3"/>
  <c r="IV80" i="3"/>
  <c r="IU80" i="3"/>
  <c r="IT80" i="3"/>
  <c r="IS80" i="3"/>
  <c r="IR80" i="3"/>
  <c r="IQ80" i="3"/>
  <c r="IP80" i="3"/>
  <c r="IO80" i="3"/>
  <c r="IN80" i="3"/>
  <c r="IM80" i="3"/>
  <c r="IL80" i="3"/>
  <c r="IK80" i="3"/>
  <c r="IJ80" i="3"/>
  <c r="II80" i="3"/>
  <c r="IH80" i="3"/>
  <c r="IG80" i="3"/>
  <c r="IF80" i="3"/>
  <c r="IE80" i="3"/>
  <c r="ID80" i="3"/>
  <c r="IC80" i="3"/>
  <c r="IB80" i="3"/>
  <c r="IA80" i="3"/>
  <c r="HZ80" i="3"/>
  <c r="HY80" i="3"/>
  <c r="HX80" i="3"/>
  <c r="HW80" i="3"/>
  <c r="HV80" i="3"/>
  <c r="HU80" i="3"/>
  <c r="HT80" i="3"/>
  <c r="HS80" i="3"/>
  <c r="HR80" i="3"/>
  <c r="HQ80" i="3"/>
  <c r="HP80" i="3"/>
  <c r="HO80" i="3"/>
  <c r="HN80" i="3"/>
  <c r="HM80" i="3"/>
  <c r="HL80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PF79" i="3"/>
  <c r="PE79" i="3"/>
  <c r="PD79" i="3"/>
  <c r="PC79" i="3"/>
  <c r="PB79" i="3"/>
  <c r="PA79" i="3"/>
  <c r="OZ79" i="3"/>
  <c r="OY79" i="3"/>
  <c r="OX79" i="3"/>
  <c r="OW79" i="3"/>
  <c r="OV79" i="3"/>
  <c r="OU79" i="3"/>
  <c r="OT79" i="3"/>
  <c r="OS79" i="3"/>
  <c r="OR79" i="3"/>
  <c r="OQ79" i="3"/>
  <c r="OP79" i="3"/>
  <c r="OO79" i="3"/>
  <c r="ON79" i="3"/>
  <c r="OM79" i="3"/>
  <c r="OL79" i="3"/>
  <c r="OK79" i="3"/>
  <c r="OJ79" i="3"/>
  <c r="OI79" i="3"/>
  <c r="OH79" i="3"/>
  <c r="OG79" i="3"/>
  <c r="OF79" i="3"/>
  <c r="OE79" i="3"/>
  <c r="OD79" i="3"/>
  <c r="OC79" i="3"/>
  <c r="OB79" i="3"/>
  <c r="OA79" i="3"/>
  <c r="NZ79" i="3"/>
  <c r="NY79" i="3"/>
  <c r="NX79" i="3"/>
  <c r="NW79" i="3"/>
  <c r="NV79" i="3"/>
  <c r="NU79" i="3"/>
  <c r="NT79" i="3"/>
  <c r="NS79" i="3"/>
  <c r="NR79" i="3"/>
  <c r="NQ79" i="3"/>
  <c r="NP79" i="3"/>
  <c r="NO79" i="3"/>
  <c r="NN79" i="3"/>
  <c r="NM79" i="3"/>
  <c r="NL79" i="3"/>
  <c r="NK79" i="3"/>
  <c r="NJ79" i="3"/>
  <c r="NI79" i="3"/>
  <c r="NH79" i="3"/>
  <c r="NG79" i="3"/>
  <c r="NF79" i="3"/>
  <c r="NE79" i="3"/>
  <c r="ND79" i="3"/>
  <c r="NC79" i="3"/>
  <c r="NB79" i="3"/>
  <c r="NA79" i="3"/>
  <c r="MZ79" i="3"/>
  <c r="MY79" i="3"/>
  <c r="MX79" i="3"/>
  <c r="MW79" i="3"/>
  <c r="MV79" i="3"/>
  <c r="MU79" i="3"/>
  <c r="MT79" i="3"/>
  <c r="MS79" i="3"/>
  <c r="MR79" i="3"/>
  <c r="MQ79" i="3"/>
  <c r="MP79" i="3"/>
  <c r="MO79" i="3"/>
  <c r="MN79" i="3"/>
  <c r="MM79" i="3"/>
  <c r="ML79" i="3"/>
  <c r="MK79" i="3"/>
  <c r="MJ79" i="3"/>
  <c r="MI79" i="3"/>
  <c r="MH79" i="3"/>
  <c r="MG79" i="3"/>
  <c r="MF79" i="3"/>
  <c r="ME79" i="3"/>
  <c r="MD79" i="3"/>
  <c r="MC79" i="3"/>
  <c r="MB79" i="3"/>
  <c r="MA79" i="3"/>
  <c r="LZ79" i="3"/>
  <c r="LY79" i="3"/>
  <c r="LX79" i="3"/>
  <c r="LW79" i="3"/>
  <c r="LV79" i="3"/>
  <c r="LU79" i="3"/>
  <c r="LT79" i="3"/>
  <c r="LS79" i="3"/>
  <c r="LR79" i="3"/>
  <c r="LQ79" i="3"/>
  <c r="LP79" i="3"/>
  <c r="LO79" i="3"/>
  <c r="LN79" i="3"/>
  <c r="LM79" i="3"/>
  <c r="LL79" i="3"/>
  <c r="LK79" i="3"/>
  <c r="LJ79" i="3"/>
  <c r="LI79" i="3"/>
  <c r="LH79" i="3"/>
  <c r="LG79" i="3"/>
  <c r="LF79" i="3"/>
  <c r="LE79" i="3"/>
  <c r="LD79" i="3"/>
  <c r="LC79" i="3"/>
  <c r="LB79" i="3"/>
  <c r="LA79" i="3"/>
  <c r="KZ79" i="3"/>
  <c r="KY79" i="3"/>
  <c r="KX79" i="3"/>
  <c r="KW79" i="3"/>
  <c r="KV79" i="3"/>
  <c r="KU79" i="3"/>
  <c r="KT79" i="3"/>
  <c r="KS79" i="3"/>
  <c r="KR79" i="3"/>
  <c r="KQ79" i="3"/>
  <c r="KP79" i="3"/>
  <c r="KO79" i="3"/>
  <c r="KN79" i="3"/>
  <c r="KM79" i="3"/>
  <c r="KL79" i="3"/>
  <c r="KK79" i="3"/>
  <c r="KJ79" i="3"/>
  <c r="KI79" i="3"/>
  <c r="KH79" i="3"/>
  <c r="KG79" i="3"/>
  <c r="KF79" i="3"/>
  <c r="KE79" i="3"/>
  <c r="KD79" i="3"/>
  <c r="KC79" i="3"/>
  <c r="KB79" i="3"/>
  <c r="KA79" i="3"/>
  <c r="JZ79" i="3"/>
  <c r="JY79" i="3"/>
  <c r="JX79" i="3"/>
  <c r="JW79" i="3"/>
  <c r="JV79" i="3"/>
  <c r="JU79" i="3"/>
  <c r="JT79" i="3"/>
  <c r="JS79" i="3"/>
  <c r="JR79" i="3"/>
  <c r="JQ79" i="3"/>
  <c r="JP79" i="3"/>
  <c r="JO79" i="3"/>
  <c r="JN79" i="3"/>
  <c r="JM79" i="3"/>
  <c r="JL79" i="3"/>
  <c r="JK79" i="3"/>
  <c r="JJ79" i="3"/>
  <c r="JI79" i="3"/>
  <c r="JH79" i="3"/>
  <c r="JG79" i="3"/>
  <c r="JF79" i="3"/>
  <c r="JE79" i="3"/>
  <c r="JD79" i="3"/>
  <c r="JC79" i="3"/>
  <c r="JB79" i="3"/>
  <c r="JA79" i="3"/>
  <c r="IZ79" i="3"/>
  <c r="IY79" i="3"/>
  <c r="IX79" i="3"/>
  <c r="IW79" i="3"/>
  <c r="IV79" i="3"/>
  <c r="IU79" i="3"/>
  <c r="IT79" i="3"/>
  <c r="IS79" i="3"/>
  <c r="IR79" i="3"/>
  <c r="IQ79" i="3"/>
  <c r="IP79" i="3"/>
  <c r="IO79" i="3"/>
  <c r="IN79" i="3"/>
  <c r="IM79" i="3"/>
  <c r="IL79" i="3"/>
  <c r="IK79" i="3"/>
  <c r="IJ79" i="3"/>
  <c r="II79" i="3"/>
  <c r="IH79" i="3"/>
  <c r="IG79" i="3"/>
  <c r="IF79" i="3"/>
  <c r="IE79" i="3"/>
  <c r="ID79" i="3"/>
  <c r="IC79" i="3"/>
  <c r="IB79" i="3"/>
  <c r="IA79" i="3"/>
  <c r="HZ79" i="3"/>
  <c r="HY79" i="3"/>
  <c r="HX79" i="3"/>
  <c r="HW79" i="3"/>
  <c r="HV79" i="3"/>
  <c r="HU79" i="3"/>
  <c r="HT79" i="3"/>
  <c r="HS79" i="3"/>
  <c r="HR79" i="3"/>
  <c r="HQ79" i="3"/>
  <c r="HP79" i="3"/>
  <c r="HO79" i="3"/>
  <c r="HN79" i="3"/>
  <c r="HM79" i="3"/>
  <c r="HL79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PF78" i="3"/>
  <c r="PE78" i="3"/>
  <c r="PD78" i="3"/>
  <c r="PC78" i="3"/>
  <c r="PB78" i="3"/>
  <c r="PA78" i="3"/>
  <c r="OZ78" i="3"/>
  <c r="OY78" i="3"/>
  <c r="OX78" i="3"/>
  <c r="OW78" i="3"/>
  <c r="OV78" i="3"/>
  <c r="OU78" i="3"/>
  <c r="OT78" i="3"/>
  <c r="OS78" i="3"/>
  <c r="OR78" i="3"/>
  <c r="OQ78" i="3"/>
  <c r="OP78" i="3"/>
  <c r="OO78" i="3"/>
  <c r="ON78" i="3"/>
  <c r="OM78" i="3"/>
  <c r="OL78" i="3"/>
  <c r="OK78" i="3"/>
  <c r="OJ78" i="3"/>
  <c r="OI78" i="3"/>
  <c r="OH78" i="3"/>
  <c r="OG78" i="3"/>
  <c r="OF78" i="3"/>
  <c r="OE78" i="3"/>
  <c r="OD78" i="3"/>
  <c r="OC78" i="3"/>
  <c r="OB78" i="3"/>
  <c r="OA78" i="3"/>
  <c r="NZ78" i="3"/>
  <c r="NY78" i="3"/>
  <c r="NX78" i="3"/>
  <c r="NW78" i="3"/>
  <c r="NV78" i="3"/>
  <c r="NU78" i="3"/>
  <c r="NT78" i="3"/>
  <c r="NS78" i="3"/>
  <c r="NR78" i="3"/>
  <c r="NQ78" i="3"/>
  <c r="NP78" i="3"/>
  <c r="NO78" i="3"/>
  <c r="NN78" i="3"/>
  <c r="NM78" i="3"/>
  <c r="NL78" i="3"/>
  <c r="NK78" i="3"/>
  <c r="NJ78" i="3"/>
  <c r="NI78" i="3"/>
  <c r="NH78" i="3"/>
  <c r="NG78" i="3"/>
  <c r="NF78" i="3"/>
  <c r="NE78" i="3"/>
  <c r="ND78" i="3"/>
  <c r="NC78" i="3"/>
  <c r="NB78" i="3"/>
  <c r="NA78" i="3"/>
  <c r="MZ78" i="3"/>
  <c r="MY78" i="3"/>
  <c r="MX78" i="3"/>
  <c r="MW78" i="3"/>
  <c r="MV78" i="3"/>
  <c r="MU78" i="3"/>
  <c r="MT78" i="3"/>
  <c r="MS78" i="3"/>
  <c r="MR78" i="3"/>
  <c r="MQ78" i="3"/>
  <c r="MP78" i="3"/>
  <c r="MO78" i="3"/>
  <c r="MN78" i="3"/>
  <c r="MM78" i="3"/>
  <c r="ML78" i="3"/>
  <c r="MK78" i="3"/>
  <c r="MJ78" i="3"/>
  <c r="MI78" i="3"/>
  <c r="MH78" i="3"/>
  <c r="MG78" i="3"/>
  <c r="MF78" i="3"/>
  <c r="ME78" i="3"/>
  <c r="MD78" i="3"/>
  <c r="MC78" i="3"/>
  <c r="MB78" i="3"/>
  <c r="MA78" i="3"/>
  <c r="LZ78" i="3"/>
  <c r="LY78" i="3"/>
  <c r="LX78" i="3"/>
  <c r="LW78" i="3"/>
  <c r="LV78" i="3"/>
  <c r="LU78" i="3"/>
  <c r="LT78" i="3"/>
  <c r="LS78" i="3"/>
  <c r="LR78" i="3"/>
  <c r="LQ78" i="3"/>
  <c r="LP78" i="3"/>
  <c r="LO78" i="3"/>
  <c r="LN78" i="3"/>
  <c r="LM78" i="3"/>
  <c r="LL78" i="3"/>
  <c r="LK78" i="3"/>
  <c r="LJ78" i="3"/>
  <c r="LI78" i="3"/>
  <c r="LH78" i="3"/>
  <c r="LG78" i="3"/>
  <c r="LF78" i="3"/>
  <c r="LE78" i="3"/>
  <c r="LD78" i="3"/>
  <c r="LC78" i="3"/>
  <c r="LB78" i="3"/>
  <c r="LA78" i="3"/>
  <c r="KZ78" i="3"/>
  <c r="KY78" i="3"/>
  <c r="KX78" i="3"/>
  <c r="KW78" i="3"/>
  <c r="KV78" i="3"/>
  <c r="KU78" i="3"/>
  <c r="KT78" i="3"/>
  <c r="KS78" i="3"/>
  <c r="KR78" i="3"/>
  <c r="KQ78" i="3"/>
  <c r="KP78" i="3"/>
  <c r="KO78" i="3"/>
  <c r="KN78" i="3"/>
  <c r="KM78" i="3"/>
  <c r="KL78" i="3"/>
  <c r="KK78" i="3"/>
  <c r="KJ78" i="3"/>
  <c r="KI78" i="3"/>
  <c r="KH78" i="3"/>
  <c r="KG78" i="3"/>
  <c r="KF78" i="3"/>
  <c r="KE78" i="3"/>
  <c r="KD78" i="3"/>
  <c r="KC78" i="3"/>
  <c r="KB78" i="3"/>
  <c r="KA78" i="3"/>
  <c r="JZ78" i="3"/>
  <c r="JY78" i="3"/>
  <c r="JX78" i="3"/>
  <c r="JW78" i="3"/>
  <c r="JV78" i="3"/>
  <c r="JU78" i="3"/>
  <c r="JT78" i="3"/>
  <c r="JS78" i="3"/>
  <c r="JR78" i="3"/>
  <c r="JQ78" i="3"/>
  <c r="JP78" i="3"/>
  <c r="JO78" i="3"/>
  <c r="JN78" i="3"/>
  <c r="JM78" i="3"/>
  <c r="JL78" i="3"/>
  <c r="JK78" i="3"/>
  <c r="JJ78" i="3"/>
  <c r="JI78" i="3"/>
  <c r="JH78" i="3"/>
  <c r="JG78" i="3"/>
  <c r="JF78" i="3"/>
  <c r="JE78" i="3"/>
  <c r="JD78" i="3"/>
  <c r="JC78" i="3"/>
  <c r="JB78" i="3"/>
  <c r="JA78" i="3"/>
  <c r="IZ78" i="3"/>
  <c r="IY78" i="3"/>
  <c r="IX78" i="3"/>
  <c r="IW78" i="3"/>
  <c r="IV78" i="3"/>
  <c r="IU78" i="3"/>
  <c r="IT78" i="3"/>
  <c r="IS78" i="3"/>
  <c r="IR78" i="3"/>
  <c r="IQ78" i="3"/>
  <c r="IP78" i="3"/>
  <c r="IO78" i="3"/>
  <c r="IN78" i="3"/>
  <c r="IM78" i="3"/>
  <c r="IL78" i="3"/>
  <c r="IK78" i="3"/>
  <c r="IJ78" i="3"/>
  <c r="II78" i="3"/>
  <c r="IH78" i="3"/>
  <c r="IG78" i="3"/>
  <c r="IF78" i="3"/>
  <c r="IE78" i="3"/>
  <c r="ID78" i="3"/>
  <c r="IC78" i="3"/>
  <c r="IB78" i="3"/>
  <c r="IA78" i="3"/>
  <c r="HZ78" i="3"/>
  <c r="HY78" i="3"/>
  <c r="HX78" i="3"/>
  <c r="HW78" i="3"/>
  <c r="HV78" i="3"/>
  <c r="HU78" i="3"/>
  <c r="HT78" i="3"/>
  <c r="HS78" i="3"/>
  <c r="HR78" i="3"/>
  <c r="HQ78" i="3"/>
  <c r="HP78" i="3"/>
  <c r="HO78" i="3"/>
  <c r="HN78" i="3"/>
  <c r="HM78" i="3"/>
  <c r="HL78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PF77" i="3"/>
  <c r="PE77" i="3"/>
  <c r="PD77" i="3"/>
  <c r="PC77" i="3"/>
  <c r="PB77" i="3"/>
  <c r="PA77" i="3"/>
  <c r="OZ77" i="3"/>
  <c r="OY77" i="3"/>
  <c r="OX77" i="3"/>
  <c r="OW77" i="3"/>
  <c r="OV77" i="3"/>
  <c r="OU77" i="3"/>
  <c r="OT77" i="3"/>
  <c r="OS77" i="3"/>
  <c r="OR77" i="3"/>
  <c r="OQ77" i="3"/>
  <c r="OP77" i="3"/>
  <c r="OO77" i="3"/>
  <c r="ON77" i="3"/>
  <c r="OM77" i="3"/>
  <c r="OL77" i="3"/>
  <c r="OK77" i="3"/>
  <c r="OJ77" i="3"/>
  <c r="OI77" i="3"/>
  <c r="OH77" i="3"/>
  <c r="OG77" i="3"/>
  <c r="OF77" i="3"/>
  <c r="OE77" i="3"/>
  <c r="OD77" i="3"/>
  <c r="OC77" i="3"/>
  <c r="OB77" i="3"/>
  <c r="OA77" i="3"/>
  <c r="NZ77" i="3"/>
  <c r="NY77" i="3"/>
  <c r="NX77" i="3"/>
  <c r="NW77" i="3"/>
  <c r="NV77" i="3"/>
  <c r="NU77" i="3"/>
  <c r="NT77" i="3"/>
  <c r="NS77" i="3"/>
  <c r="NR77" i="3"/>
  <c r="NQ77" i="3"/>
  <c r="NP77" i="3"/>
  <c r="NO77" i="3"/>
  <c r="NN77" i="3"/>
  <c r="NM77" i="3"/>
  <c r="NL77" i="3"/>
  <c r="NK77" i="3"/>
  <c r="NJ77" i="3"/>
  <c r="NI77" i="3"/>
  <c r="NH77" i="3"/>
  <c r="NG77" i="3"/>
  <c r="NF77" i="3"/>
  <c r="NE77" i="3"/>
  <c r="ND77" i="3"/>
  <c r="NC77" i="3"/>
  <c r="NB77" i="3"/>
  <c r="NA77" i="3"/>
  <c r="MZ77" i="3"/>
  <c r="MY77" i="3"/>
  <c r="MX77" i="3"/>
  <c r="MW77" i="3"/>
  <c r="MV77" i="3"/>
  <c r="MU77" i="3"/>
  <c r="MT77" i="3"/>
  <c r="MS77" i="3"/>
  <c r="MR77" i="3"/>
  <c r="MQ77" i="3"/>
  <c r="MP77" i="3"/>
  <c r="MO77" i="3"/>
  <c r="MN77" i="3"/>
  <c r="MM77" i="3"/>
  <c r="ML77" i="3"/>
  <c r="MK77" i="3"/>
  <c r="MJ77" i="3"/>
  <c r="MI77" i="3"/>
  <c r="MH77" i="3"/>
  <c r="MG77" i="3"/>
  <c r="MF77" i="3"/>
  <c r="ME77" i="3"/>
  <c r="MD77" i="3"/>
  <c r="MC77" i="3"/>
  <c r="MB77" i="3"/>
  <c r="MA77" i="3"/>
  <c r="LZ77" i="3"/>
  <c r="LY77" i="3"/>
  <c r="LX77" i="3"/>
  <c r="LW77" i="3"/>
  <c r="LV77" i="3"/>
  <c r="LU77" i="3"/>
  <c r="LT77" i="3"/>
  <c r="LS77" i="3"/>
  <c r="LR77" i="3"/>
  <c r="LQ77" i="3"/>
  <c r="LP77" i="3"/>
  <c r="LO77" i="3"/>
  <c r="LN77" i="3"/>
  <c r="LM77" i="3"/>
  <c r="LL77" i="3"/>
  <c r="LK77" i="3"/>
  <c r="LJ77" i="3"/>
  <c r="LI77" i="3"/>
  <c r="LH77" i="3"/>
  <c r="LG77" i="3"/>
  <c r="LF77" i="3"/>
  <c r="LE77" i="3"/>
  <c r="LD77" i="3"/>
  <c r="LC77" i="3"/>
  <c r="LB77" i="3"/>
  <c r="LA77" i="3"/>
  <c r="KZ77" i="3"/>
  <c r="KY77" i="3"/>
  <c r="KX77" i="3"/>
  <c r="KW77" i="3"/>
  <c r="KV77" i="3"/>
  <c r="KU77" i="3"/>
  <c r="KT77" i="3"/>
  <c r="KS77" i="3"/>
  <c r="KR77" i="3"/>
  <c r="KQ77" i="3"/>
  <c r="KP77" i="3"/>
  <c r="KO77" i="3"/>
  <c r="KN77" i="3"/>
  <c r="KM77" i="3"/>
  <c r="KL77" i="3"/>
  <c r="KK77" i="3"/>
  <c r="KJ77" i="3"/>
  <c r="KI77" i="3"/>
  <c r="KH77" i="3"/>
  <c r="KG77" i="3"/>
  <c r="KF77" i="3"/>
  <c r="KE77" i="3"/>
  <c r="KD77" i="3"/>
  <c r="KC77" i="3"/>
  <c r="KB77" i="3"/>
  <c r="KA77" i="3"/>
  <c r="JZ77" i="3"/>
  <c r="JY77" i="3"/>
  <c r="JX77" i="3"/>
  <c r="JW77" i="3"/>
  <c r="JV77" i="3"/>
  <c r="JU77" i="3"/>
  <c r="JT77" i="3"/>
  <c r="JS77" i="3"/>
  <c r="JR77" i="3"/>
  <c r="JQ77" i="3"/>
  <c r="JP77" i="3"/>
  <c r="JO77" i="3"/>
  <c r="JN77" i="3"/>
  <c r="JM77" i="3"/>
  <c r="JL77" i="3"/>
  <c r="JK77" i="3"/>
  <c r="JJ77" i="3"/>
  <c r="JI77" i="3"/>
  <c r="JH77" i="3"/>
  <c r="JG77" i="3"/>
  <c r="JF77" i="3"/>
  <c r="JE77" i="3"/>
  <c r="JD77" i="3"/>
  <c r="JC77" i="3"/>
  <c r="JB77" i="3"/>
  <c r="JA77" i="3"/>
  <c r="IZ77" i="3"/>
  <c r="IY77" i="3"/>
  <c r="IX77" i="3"/>
  <c r="IW77" i="3"/>
  <c r="IV77" i="3"/>
  <c r="IU77" i="3"/>
  <c r="IT77" i="3"/>
  <c r="IS77" i="3"/>
  <c r="IR77" i="3"/>
  <c r="IQ77" i="3"/>
  <c r="IP77" i="3"/>
  <c r="IO77" i="3"/>
  <c r="IN77" i="3"/>
  <c r="IM77" i="3"/>
  <c r="IL77" i="3"/>
  <c r="IK77" i="3"/>
  <c r="IJ77" i="3"/>
  <c r="II77" i="3"/>
  <c r="IH77" i="3"/>
  <c r="IG77" i="3"/>
  <c r="IF77" i="3"/>
  <c r="IE77" i="3"/>
  <c r="ID77" i="3"/>
  <c r="IC77" i="3"/>
  <c r="IB77" i="3"/>
  <c r="IA77" i="3"/>
  <c r="HZ77" i="3"/>
  <c r="HY77" i="3"/>
  <c r="HX77" i="3"/>
  <c r="HW77" i="3"/>
  <c r="HV77" i="3"/>
  <c r="HU77" i="3"/>
  <c r="HT77" i="3"/>
  <c r="HS77" i="3"/>
  <c r="HR77" i="3"/>
  <c r="HQ77" i="3"/>
  <c r="HP77" i="3"/>
  <c r="HO77" i="3"/>
  <c r="HN77" i="3"/>
  <c r="HM77" i="3"/>
  <c r="HL77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PF76" i="3"/>
  <c r="PE76" i="3"/>
  <c r="PD76" i="3"/>
  <c r="PC76" i="3"/>
  <c r="PB76" i="3"/>
  <c r="PA76" i="3"/>
  <c r="OZ76" i="3"/>
  <c r="OY76" i="3"/>
  <c r="OX76" i="3"/>
  <c r="OW76" i="3"/>
  <c r="OV76" i="3"/>
  <c r="OU76" i="3"/>
  <c r="OT76" i="3"/>
  <c r="OS76" i="3"/>
  <c r="OR76" i="3"/>
  <c r="OQ76" i="3"/>
  <c r="OP76" i="3"/>
  <c r="OO76" i="3"/>
  <c r="ON76" i="3"/>
  <c r="OM76" i="3"/>
  <c r="OL76" i="3"/>
  <c r="OK76" i="3"/>
  <c r="OJ76" i="3"/>
  <c r="OI76" i="3"/>
  <c r="OH76" i="3"/>
  <c r="OG76" i="3"/>
  <c r="OF76" i="3"/>
  <c r="OE76" i="3"/>
  <c r="OD76" i="3"/>
  <c r="OC76" i="3"/>
  <c r="OB76" i="3"/>
  <c r="OA76" i="3"/>
  <c r="NZ76" i="3"/>
  <c r="NY76" i="3"/>
  <c r="NX76" i="3"/>
  <c r="NW76" i="3"/>
  <c r="NV76" i="3"/>
  <c r="NU76" i="3"/>
  <c r="NT76" i="3"/>
  <c r="NS76" i="3"/>
  <c r="NR76" i="3"/>
  <c r="NQ76" i="3"/>
  <c r="NP76" i="3"/>
  <c r="NO76" i="3"/>
  <c r="NN76" i="3"/>
  <c r="NM76" i="3"/>
  <c r="NL76" i="3"/>
  <c r="NK76" i="3"/>
  <c r="NJ76" i="3"/>
  <c r="NI76" i="3"/>
  <c r="NH76" i="3"/>
  <c r="NG76" i="3"/>
  <c r="NF76" i="3"/>
  <c r="NE76" i="3"/>
  <c r="ND76" i="3"/>
  <c r="NC76" i="3"/>
  <c r="NB76" i="3"/>
  <c r="NA76" i="3"/>
  <c r="MZ76" i="3"/>
  <c r="MY76" i="3"/>
  <c r="MX76" i="3"/>
  <c r="MW76" i="3"/>
  <c r="MV76" i="3"/>
  <c r="MU76" i="3"/>
  <c r="MT76" i="3"/>
  <c r="MS76" i="3"/>
  <c r="MR76" i="3"/>
  <c r="MQ76" i="3"/>
  <c r="MP76" i="3"/>
  <c r="MO76" i="3"/>
  <c r="MN76" i="3"/>
  <c r="MM76" i="3"/>
  <c r="ML76" i="3"/>
  <c r="MK76" i="3"/>
  <c r="MJ76" i="3"/>
  <c r="MI76" i="3"/>
  <c r="MH76" i="3"/>
  <c r="MG76" i="3"/>
  <c r="MF76" i="3"/>
  <c r="ME76" i="3"/>
  <c r="MD76" i="3"/>
  <c r="MC76" i="3"/>
  <c r="MB76" i="3"/>
  <c r="MA76" i="3"/>
  <c r="LZ76" i="3"/>
  <c r="LY76" i="3"/>
  <c r="LX76" i="3"/>
  <c r="LW76" i="3"/>
  <c r="LV76" i="3"/>
  <c r="LU76" i="3"/>
  <c r="LT76" i="3"/>
  <c r="LS76" i="3"/>
  <c r="LR76" i="3"/>
  <c r="LQ76" i="3"/>
  <c r="LP76" i="3"/>
  <c r="LO76" i="3"/>
  <c r="LN76" i="3"/>
  <c r="LM76" i="3"/>
  <c r="LL76" i="3"/>
  <c r="LK76" i="3"/>
  <c r="LJ76" i="3"/>
  <c r="LI76" i="3"/>
  <c r="LH76" i="3"/>
  <c r="LG76" i="3"/>
  <c r="LF76" i="3"/>
  <c r="LE76" i="3"/>
  <c r="LD76" i="3"/>
  <c r="LC76" i="3"/>
  <c r="LB76" i="3"/>
  <c r="LA76" i="3"/>
  <c r="KZ76" i="3"/>
  <c r="KY76" i="3"/>
  <c r="KX76" i="3"/>
  <c r="KW76" i="3"/>
  <c r="KV76" i="3"/>
  <c r="KU76" i="3"/>
  <c r="KT76" i="3"/>
  <c r="KS76" i="3"/>
  <c r="KR76" i="3"/>
  <c r="KQ76" i="3"/>
  <c r="KP76" i="3"/>
  <c r="KO76" i="3"/>
  <c r="KN76" i="3"/>
  <c r="KM76" i="3"/>
  <c r="KL76" i="3"/>
  <c r="KK76" i="3"/>
  <c r="KJ76" i="3"/>
  <c r="KI76" i="3"/>
  <c r="KH76" i="3"/>
  <c r="KG76" i="3"/>
  <c r="KF76" i="3"/>
  <c r="KE76" i="3"/>
  <c r="KD76" i="3"/>
  <c r="KC76" i="3"/>
  <c r="KB76" i="3"/>
  <c r="KA76" i="3"/>
  <c r="JZ76" i="3"/>
  <c r="JY76" i="3"/>
  <c r="JX76" i="3"/>
  <c r="JW76" i="3"/>
  <c r="JV76" i="3"/>
  <c r="JU76" i="3"/>
  <c r="JT76" i="3"/>
  <c r="JS76" i="3"/>
  <c r="JR76" i="3"/>
  <c r="JQ76" i="3"/>
  <c r="JP76" i="3"/>
  <c r="JO76" i="3"/>
  <c r="JN76" i="3"/>
  <c r="JM76" i="3"/>
  <c r="JL76" i="3"/>
  <c r="JK76" i="3"/>
  <c r="JJ76" i="3"/>
  <c r="JI76" i="3"/>
  <c r="JH76" i="3"/>
  <c r="JG76" i="3"/>
  <c r="JF76" i="3"/>
  <c r="JE76" i="3"/>
  <c r="JD76" i="3"/>
  <c r="JC76" i="3"/>
  <c r="JB76" i="3"/>
  <c r="JA76" i="3"/>
  <c r="IZ76" i="3"/>
  <c r="IY76" i="3"/>
  <c r="IX76" i="3"/>
  <c r="IW76" i="3"/>
  <c r="IV76" i="3"/>
  <c r="IU76" i="3"/>
  <c r="IT76" i="3"/>
  <c r="IS76" i="3"/>
  <c r="IR76" i="3"/>
  <c r="IQ76" i="3"/>
  <c r="IP76" i="3"/>
  <c r="IO76" i="3"/>
  <c r="IN76" i="3"/>
  <c r="IM76" i="3"/>
  <c r="IL76" i="3"/>
  <c r="IK76" i="3"/>
  <c r="IJ76" i="3"/>
  <c r="II76" i="3"/>
  <c r="IH76" i="3"/>
  <c r="IG76" i="3"/>
  <c r="IF76" i="3"/>
  <c r="IE76" i="3"/>
  <c r="ID76" i="3"/>
  <c r="IC76" i="3"/>
  <c r="IB76" i="3"/>
  <c r="IA76" i="3"/>
  <c r="HZ76" i="3"/>
  <c r="HY76" i="3"/>
  <c r="HX76" i="3"/>
  <c r="HW76" i="3"/>
  <c r="HV76" i="3"/>
  <c r="HU76" i="3"/>
  <c r="HT76" i="3"/>
  <c r="HS76" i="3"/>
  <c r="HR76" i="3"/>
  <c r="HQ76" i="3"/>
  <c r="HP76" i="3"/>
  <c r="HO76" i="3"/>
  <c r="HN76" i="3"/>
  <c r="HM76" i="3"/>
  <c r="HL76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PF75" i="3"/>
  <c r="PE75" i="3"/>
  <c r="PD75" i="3"/>
  <c r="PC75" i="3"/>
  <c r="PB75" i="3"/>
  <c r="PA75" i="3"/>
  <c r="OZ75" i="3"/>
  <c r="OY75" i="3"/>
  <c r="OX75" i="3"/>
  <c r="OW75" i="3"/>
  <c r="OV75" i="3"/>
  <c r="OU75" i="3"/>
  <c r="OT75" i="3"/>
  <c r="OS75" i="3"/>
  <c r="OR75" i="3"/>
  <c r="OQ75" i="3"/>
  <c r="OP75" i="3"/>
  <c r="OO75" i="3"/>
  <c r="ON75" i="3"/>
  <c r="OM75" i="3"/>
  <c r="OL75" i="3"/>
  <c r="OK75" i="3"/>
  <c r="OJ75" i="3"/>
  <c r="OI75" i="3"/>
  <c r="OH75" i="3"/>
  <c r="OG75" i="3"/>
  <c r="OF75" i="3"/>
  <c r="OE75" i="3"/>
  <c r="OD75" i="3"/>
  <c r="OC75" i="3"/>
  <c r="OB75" i="3"/>
  <c r="OA75" i="3"/>
  <c r="NZ75" i="3"/>
  <c r="NY75" i="3"/>
  <c r="NX75" i="3"/>
  <c r="NW75" i="3"/>
  <c r="NV75" i="3"/>
  <c r="NU75" i="3"/>
  <c r="NT75" i="3"/>
  <c r="NS75" i="3"/>
  <c r="NR75" i="3"/>
  <c r="NQ75" i="3"/>
  <c r="NP75" i="3"/>
  <c r="NO75" i="3"/>
  <c r="NN75" i="3"/>
  <c r="NM75" i="3"/>
  <c r="NL75" i="3"/>
  <c r="NK75" i="3"/>
  <c r="NJ75" i="3"/>
  <c r="NI75" i="3"/>
  <c r="NH75" i="3"/>
  <c r="NG75" i="3"/>
  <c r="NF75" i="3"/>
  <c r="NE75" i="3"/>
  <c r="ND75" i="3"/>
  <c r="NC75" i="3"/>
  <c r="NB75" i="3"/>
  <c r="NA75" i="3"/>
  <c r="MZ75" i="3"/>
  <c r="MY75" i="3"/>
  <c r="MX75" i="3"/>
  <c r="MW75" i="3"/>
  <c r="MV75" i="3"/>
  <c r="MU75" i="3"/>
  <c r="MT75" i="3"/>
  <c r="MS75" i="3"/>
  <c r="MR75" i="3"/>
  <c r="MQ75" i="3"/>
  <c r="MP75" i="3"/>
  <c r="MO75" i="3"/>
  <c r="MN75" i="3"/>
  <c r="MM75" i="3"/>
  <c r="ML75" i="3"/>
  <c r="MK75" i="3"/>
  <c r="MJ75" i="3"/>
  <c r="MI75" i="3"/>
  <c r="MH75" i="3"/>
  <c r="MG75" i="3"/>
  <c r="MF75" i="3"/>
  <c r="ME75" i="3"/>
  <c r="MD75" i="3"/>
  <c r="MC75" i="3"/>
  <c r="MB75" i="3"/>
  <c r="MA75" i="3"/>
  <c r="LZ75" i="3"/>
  <c r="LY75" i="3"/>
  <c r="LX75" i="3"/>
  <c r="LW75" i="3"/>
  <c r="LV75" i="3"/>
  <c r="LU75" i="3"/>
  <c r="LT75" i="3"/>
  <c r="LS75" i="3"/>
  <c r="LR75" i="3"/>
  <c r="LQ75" i="3"/>
  <c r="LP75" i="3"/>
  <c r="LO75" i="3"/>
  <c r="LN75" i="3"/>
  <c r="LM75" i="3"/>
  <c r="LL75" i="3"/>
  <c r="LK75" i="3"/>
  <c r="LJ75" i="3"/>
  <c r="LI75" i="3"/>
  <c r="LH75" i="3"/>
  <c r="LG75" i="3"/>
  <c r="LF75" i="3"/>
  <c r="LE75" i="3"/>
  <c r="LD75" i="3"/>
  <c r="LC75" i="3"/>
  <c r="LB75" i="3"/>
  <c r="LA75" i="3"/>
  <c r="KZ75" i="3"/>
  <c r="KY75" i="3"/>
  <c r="KX75" i="3"/>
  <c r="KW75" i="3"/>
  <c r="KV75" i="3"/>
  <c r="KU75" i="3"/>
  <c r="KT75" i="3"/>
  <c r="KS75" i="3"/>
  <c r="KR75" i="3"/>
  <c r="KQ75" i="3"/>
  <c r="KP75" i="3"/>
  <c r="KO75" i="3"/>
  <c r="KN75" i="3"/>
  <c r="KM75" i="3"/>
  <c r="KL75" i="3"/>
  <c r="KK75" i="3"/>
  <c r="KJ75" i="3"/>
  <c r="KI75" i="3"/>
  <c r="KH75" i="3"/>
  <c r="KG75" i="3"/>
  <c r="KF75" i="3"/>
  <c r="KE75" i="3"/>
  <c r="KD75" i="3"/>
  <c r="KC75" i="3"/>
  <c r="KB75" i="3"/>
  <c r="KA75" i="3"/>
  <c r="JZ75" i="3"/>
  <c r="JY75" i="3"/>
  <c r="JX75" i="3"/>
  <c r="JW75" i="3"/>
  <c r="JV75" i="3"/>
  <c r="JU75" i="3"/>
  <c r="JT75" i="3"/>
  <c r="JS75" i="3"/>
  <c r="JR75" i="3"/>
  <c r="JQ75" i="3"/>
  <c r="JP75" i="3"/>
  <c r="JO75" i="3"/>
  <c r="JN75" i="3"/>
  <c r="JM75" i="3"/>
  <c r="JL75" i="3"/>
  <c r="JK75" i="3"/>
  <c r="JJ75" i="3"/>
  <c r="JI75" i="3"/>
  <c r="JH75" i="3"/>
  <c r="JG75" i="3"/>
  <c r="JF75" i="3"/>
  <c r="JE75" i="3"/>
  <c r="JD75" i="3"/>
  <c r="JC75" i="3"/>
  <c r="JB75" i="3"/>
  <c r="JA75" i="3"/>
  <c r="IZ75" i="3"/>
  <c r="IY75" i="3"/>
  <c r="IX75" i="3"/>
  <c r="IW75" i="3"/>
  <c r="IV75" i="3"/>
  <c r="IU75" i="3"/>
  <c r="IT75" i="3"/>
  <c r="IS75" i="3"/>
  <c r="IR75" i="3"/>
  <c r="IQ75" i="3"/>
  <c r="IP75" i="3"/>
  <c r="IO75" i="3"/>
  <c r="IN75" i="3"/>
  <c r="IM75" i="3"/>
  <c r="IL75" i="3"/>
  <c r="IK75" i="3"/>
  <c r="IJ75" i="3"/>
  <c r="II75" i="3"/>
  <c r="IH75" i="3"/>
  <c r="IG75" i="3"/>
  <c r="IF75" i="3"/>
  <c r="IE75" i="3"/>
  <c r="ID75" i="3"/>
  <c r="IC75" i="3"/>
  <c r="IB75" i="3"/>
  <c r="IA75" i="3"/>
  <c r="HZ75" i="3"/>
  <c r="HY75" i="3"/>
  <c r="HX75" i="3"/>
  <c r="HW75" i="3"/>
  <c r="HV75" i="3"/>
  <c r="HU75" i="3"/>
  <c r="HT75" i="3"/>
  <c r="HS75" i="3"/>
  <c r="HR75" i="3"/>
  <c r="HQ75" i="3"/>
  <c r="HP75" i="3"/>
  <c r="HO75" i="3"/>
  <c r="HN75" i="3"/>
  <c r="HM75" i="3"/>
  <c r="HL75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PF74" i="3"/>
  <c r="PE74" i="3"/>
  <c r="PD74" i="3"/>
  <c r="PC74" i="3"/>
  <c r="PB74" i="3"/>
  <c r="PA74" i="3"/>
  <c r="OZ74" i="3"/>
  <c r="OY74" i="3"/>
  <c r="OX74" i="3"/>
  <c r="OW74" i="3"/>
  <c r="OV74" i="3"/>
  <c r="OU74" i="3"/>
  <c r="OT74" i="3"/>
  <c r="OS74" i="3"/>
  <c r="OR74" i="3"/>
  <c r="OQ74" i="3"/>
  <c r="OP74" i="3"/>
  <c r="OO74" i="3"/>
  <c r="ON74" i="3"/>
  <c r="OM74" i="3"/>
  <c r="OL74" i="3"/>
  <c r="OK74" i="3"/>
  <c r="OJ74" i="3"/>
  <c r="OI74" i="3"/>
  <c r="OH74" i="3"/>
  <c r="OG74" i="3"/>
  <c r="OF74" i="3"/>
  <c r="OE74" i="3"/>
  <c r="OD74" i="3"/>
  <c r="OC74" i="3"/>
  <c r="OB74" i="3"/>
  <c r="OA74" i="3"/>
  <c r="NZ74" i="3"/>
  <c r="NY74" i="3"/>
  <c r="NX74" i="3"/>
  <c r="NW74" i="3"/>
  <c r="NV74" i="3"/>
  <c r="NU74" i="3"/>
  <c r="NT74" i="3"/>
  <c r="NS74" i="3"/>
  <c r="NR74" i="3"/>
  <c r="NQ74" i="3"/>
  <c r="NP74" i="3"/>
  <c r="NO74" i="3"/>
  <c r="NN74" i="3"/>
  <c r="NM74" i="3"/>
  <c r="NL74" i="3"/>
  <c r="NK74" i="3"/>
  <c r="NJ74" i="3"/>
  <c r="NI74" i="3"/>
  <c r="NH74" i="3"/>
  <c r="NG74" i="3"/>
  <c r="NF74" i="3"/>
  <c r="NE74" i="3"/>
  <c r="ND74" i="3"/>
  <c r="NC74" i="3"/>
  <c r="NB74" i="3"/>
  <c r="NA74" i="3"/>
  <c r="MZ74" i="3"/>
  <c r="MY74" i="3"/>
  <c r="MX74" i="3"/>
  <c r="MW74" i="3"/>
  <c r="MV74" i="3"/>
  <c r="MU74" i="3"/>
  <c r="MT74" i="3"/>
  <c r="MS74" i="3"/>
  <c r="MR74" i="3"/>
  <c r="MQ74" i="3"/>
  <c r="MP74" i="3"/>
  <c r="MO74" i="3"/>
  <c r="MN74" i="3"/>
  <c r="MM74" i="3"/>
  <c r="ML74" i="3"/>
  <c r="MK74" i="3"/>
  <c r="MJ74" i="3"/>
  <c r="MI74" i="3"/>
  <c r="MH74" i="3"/>
  <c r="MG74" i="3"/>
  <c r="MF74" i="3"/>
  <c r="ME74" i="3"/>
  <c r="MD74" i="3"/>
  <c r="MC74" i="3"/>
  <c r="MB74" i="3"/>
  <c r="MA74" i="3"/>
  <c r="LZ74" i="3"/>
  <c r="LY74" i="3"/>
  <c r="LX74" i="3"/>
  <c r="LW74" i="3"/>
  <c r="LV74" i="3"/>
  <c r="LU74" i="3"/>
  <c r="LT74" i="3"/>
  <c r="LS74" i="3"/>
  <c r="LR74" i="3"/>
  <c r="LQ74" i="3"/>
  <c r="LP74" i="3"/>
  <c r="LO74" i="3"/>
  <c r="LN74" i="3"/>
  <c r="LM74" i="3"/>
  <c r="LL74" i="3"/>
  <c r="LK74" i="3"/>
  <c r="LJ74" i="3"/>
  <c r="LI74" i="3"/>
  <c r="LH74" i="3"/>
  <c r="LG74" i="3"/>
  <c r="LF74" i="3"/>
  <c r="LE74" i="3"/>
  <c r="LD74" i="3"/>
  <c r="LC74" i="3"/>
  <c r="LB74" i="3"/>
  <c r="LA74" i="3"/>
  <c r="KZ74" i="3"/>
  <c r="KY74" i="3"/>
  <c r="KX74" i="3"/>
  <c r="KW74" i="3"/>
  <c r="KV74" i="3"/>
  <c r="KU74" i="3"/>
  <c r="KT74" i="3"/>
  <c r="KS74" i="3"/>
  <c r="KR74" i="3"/>
  <c r="KQ74" i="3"/>
  <c r="KP74" i="3"/>
  <c r="KO74" i="3"/>
  <c r="KN74" i="3"/>
  <c r="KM74" i="3"/>
  <c r="KL74" i="3"/>
  <c r="KK74" i="3"/>
  <c r="KJ74" i="3"/>
  <c r="KI74" i="3"/>
  <c r="KH74" i="3"/>
  <c r="KG74" i="3"/>
  <c r="KF74" i="3"/>
  <c r="KE74" i="3"/>
  <c r="KD74" i="3"/>
  <c r="KC74" i="3"/>
  <c r="KB74" i="3"/>
  <c r="KA74" i="3"/>
  <c r="JZ74" i="3"/>
  <c r="JY74" i="3"/>
  <c r="JX74" i="3"/>
  <c r="JW74" i="3"/>
  <c r="JV74" i="3"/>
  <c r="JU74" i="3"/>
  <c r="JT74" i="3"/>
  <c r="JS74" i="3"/>
  <c r="JR74" i="3"/>
  <c r="JQ74" i="3"/>
  <c r="JP74" i="3"/>
  <c r="JO74" i="3"/>
  <c r="JN74" i="3"/>
  <c r="JM74" i="3"/>
  <c r="JL74" i="3"/>
  <c r="JK74" i="3"/>
  <c r="JJ74" i="3"/>
  <c r="JI74" i="3"/>
  <c r="JH74" i="3"/>
  <c r="JG74" i="3"/>
  <c r="JF74" i="3"/>
  <c r="JE74" i="3"/>
  <c r="JD74" i="3"/>
  <c r="JC74" i="3"/>
  <c r="JB74" i="3"/>
  <c r="JA74" i="3"/>
  <c r="IZ74" i="3"/>
  <c r="IY74" i="3"/>
  <c r="IX74" i="3"/>
  <c r="IW74" i="3"/>
  <c r="IV74" i="3"/>
  <c r="IU74" i="3"/>
  <c r="IT74" i="3"/>
  <c r="IS74" i="3"/>
  <c r="IR74" i="3"/>
  <c r="IQ74" i="3"/>
  <c r="IP74" i="3"/>
  <c r="IO74" i="3"/>
  <c r="IN74" i="3"/>
  <c r="IM74" i="3"/>
  <c r="IL74" i="3"/>
  <c r="IK74" i="3"/>
  <c r="IJ74" i="3"/>
  <c r="II74" i="3"/>
  <c r="IH74" i="3"/>
  <c r="IG74" i="3"/>
  <c r="IF74" i="3"/>
  <c r="IE74" i="3"/>
  <c r="ID74" i="3"/>
  <c r="IC74" i="3"/>
  <c r="IB74" i="3"/>
  <c r="IA74" i="3"/>
  <c r="HZ74" i="3"/>
  <c r="HY74" i="3"/>
  <c r="HX74" i="3"/>
  <c r="HW74" i="3"/>
  <c r="HV74" i="3"/>
  <c r="HU74" i="3"/>
  <c r="HT74" i="3"/>
  <c r="HS74" i="3"/>
  <c r="HR74" i="3"/>
  <c r="HQ74" i="3"/>
  <c r="HP74" i="3"/>
  <c r="HO74" i="3"/>
  <c r="HN74" i="3"/>
  <c r="HM74" i="3"/>
  <c r="HL74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PF73" i="3"/>
  <c r="PE73" i="3"/>
  <c r="PD73" i="3"/>
  <c r="PC73" i="3"/>
  <c r="PB73" i="3"/>
  <c r="PA73" i="3"/>
  <c r="OZ73" i="3"/>
  <c r="OY73" i="3"/>
  <c r="OX73" i="3"/>
  <c r="OW73" i="3"/>
  <c r="OV73" i="3"/>
  <c r="OU73" i="3"/>
  <c r="OT73" i="3"/>
  <c r="OS73" i="3"/>
  <c r="OR73" i="3"/>
  <c r="OQ73" i="3"/>
  <c r="OP73" i="3"/>
  <c r="OO73" i="3"/>
  <c r="ON73" i="3"/>
  <c r="OM73" i="3"/>
  <c r="OL73" i="3"/>
  <c r="OK73" i="3"/>
  <c r="OJ73" i="3"/>
  <c r="OI73" i="3"/>
  <c r="OH73" i="3"/>
  <c r="OG73" i="3"/>
  <c r="OF73" i="3"/>
  <c r="OE73" i="3"/>
  <c r="OD73" i="3"/>
  <c r="OC73" i="3"/>
  <c r="OB73" i="3"/>
  <c r="OA73" i="3"/>
  <c r="NZ73" i="3"/>
  <c r="NY73" i="3"/>
  <c r="NX73" i="3"/>
  <c r="NW73" i="3"/>
  <c r="NV73" i="3"/>
  <c r="NU73" i="3"/>
  <c r="NT73" i="3"/>
  <c r="NS73" i="3"/>
  <c r="NR73" i="3"/>
  <c r="NQ73" i="3"/>
  <c r="NP73" i="3"/>
  <c r="NO73" i="3"/>
  <c r="NN73" i="3"/>
  <c r="NM73" i="3"/>
  <c r="NL73" i="3"/>
  <c r="NK73" i="3"/>
  <c r="NJ73" i="3"/>
  <c r="NI73" i="3"/>
  <c r="NH73" i="3"/>
  <c r="NG73" i="3"/>
  <c r="NF73" i="3"/>
  <c r="NE73" i="3"/>
  <c r="ND73" i="3"/>
  <c r="NC73" i="3"/>
  <c r="NB73" i="3"/>
  <c r="NA73" i="3"/>
  <c r="MZ73" i="3"/>
  <c r="MY73" i="3"/>
  <c r="MX73" i="3"/>
  <c r="MW73" i="3"/>
  <c r="MV73" i="3"/>
  <c r="MU73" i="3"/>
  <c r="MT73" i="3"/>
  <c r="MS73" i="3"/>
  <c r="MR73" i="3"/>
  <c r="MQ73" i="3"/>
  <c r="MP73" i="3"/>
  <c r="MO73" i="3"/>
  <c r="MN73" i="3"/>
  <c r="MM73" i="3"/>
  <c r="ML73" i="3"/>
  <c r="MK73" i="3"/>
  <c r="MJ73" i="3"/>
  <c r="MI73" i="3"/>
  <c r="MH73" i="3"/>
  <c r="MG73" i="3"/>
  <c r="MF73" i="3"/>
  <c r="ME73" i="3"/>
  <c r="MD73" i="3"/>
  <c r="MC73" i="3"/>
  <c r="MB73" i="3"/>
  <c r="MA73" i="3"/>
  <c r="LZ73" i="3"/>
  <c r="LY73" i="3"/>
  <c r="LX73" i="3"/>
  <c r="LW73" i="3"/>
  <c r="LV73" i="3"/>
  <c r="LU73" i="3"/>
  <c r="LT73" i="3"/>
  <c r="LS73" i="3"/>
  <c r="LR73" i="3"/>
  <c r="LQ73" i="3"/>
  <c r="LP73" i="3"/>
  <c r="LO73" i="3"/>
  <c r="LN73" i="3"/>
  <c r="LM73" i="3"/>
  <c r="LL73" i="3"/>
  <c r="LK73" i="3"/>
  <c r="LJ73" i="3"/>
  <c r="LI73" i="3"/>
  <c r="LH73" i="3"/>
  <c r="LG73" i="3"/>
  <c r="LF73" i="3"/>
  <c r="LE73" i="3"/>
  <c r="LD73" i="3"/>
  <c r="LC73" i="3"/>
  <c r="LB73" i="3"/>
  <c r="LA73" i="3"/>
  <c r="KZ73" i="3"/>
  <c r="KY73" i="3"/>
  <c r="KX73" i="3"/>
  <c r="KW73" i="3"/>
  <c r="KV73" i="3"/>
  <c r="KU73" i="3"/>
  <c r="KT73" i="3"/>
  <c r="KS73" i="3"/>
  <c r="KR73" i="3"/>
  <c r="KQ73" i="3"/>
  <c r="KP73" i="3"/>
  <c r="KO73" i="3"/>
  <c r="KN73" i="3"/>
  <c r="KM73" i="3"/>
  <c r="KL73" i="3"/>
  <c r="KK73" i="3"/>
  <c r="KJ73" i="3"/>
  <c r="KI73" i="3"/>
  <c r="KH73" i="3"/>
  <c r="KG73" i="3"/>
  <c r="KF73" i="3"/>
  <c r="KE73" i="3"/>
  <c r="KD73" i="3"/>
  <c r="KC73" i="3"/>
  <c r="KB73" i="3"/>
  <c r="KA73" i="3"/>
  <c r="JZ73" i="3"/>
  <c r="JY73" i="3"/>
  <c r="JX73" i="3"/>
  <c r="JW73" i="3"/>
  <c r="JV73" i="3"/>
  <c r="JU73" i="3"/>
  <c r="JT73" i="3"/>
  <c r="JS73" i="3"/>
  <c r="JR73" i="3"/>
  <c r="JQ73" i="3"/>
  <c r="JP73" i="3"/>
  <c r="JO73" i="3"/>
  <c r="JN73" i="3"/>
  <c r="JM73" i="3"/>
  <c r="JL73" i="3"/>
  <c r="JK73" i="3"/>
  <c r="JJ73" i="3"/>
  <c r="JI73" i="3"/>
  <c r="JH73" i="3"/>
  <c r="JG73" i="3"/>
  <c r="JF73" i="3"/>
  <c r="JE73" i="3"/>
  <c r="JD73" i="3"/>
  <c r="JC73" i="3"/>
  <c r="JB73" i="3"/>
  <c r="JA73" i="3"/>
  <c r="IZ73" i="3"/>
  <c r="IY73" i="3"/>
  <c r="IX73" i="3"/>
  <c r="IW73" i="3"/>
  <c r="IV73" i="3"/>
  <c r="IU73" i="3"/>
  <c r="IT73" i="3"/>
  <c r="IS73" i="3"/>
  <c r="IR73" i="3"/>
  <c r="IQ73" i="3"/>
  <c r="IP73" i="3"/>
  <c r="IO73" i="3"/>
  <c r="IN73" i="3"/>
  <c r="IM73" i="3"/>
  <c r="IL73" i="3"/>
  <c r="IK73" i="3"/>
  <c r="IJ73" i="3"/>
  <c r="II73" i="3"/>
  <c r="IH73" i="3"/>
  <c r="IG73" i="3"/>
  <c r="IF73" i="3"/>
  <c r="IE73" i="3"/>
  <c r="ID73" i="3"/>
  <c r="IC73" i="3"/>
  <c r="IB73" i="3"/>
  <c r="IA73" i="3"/>
  <c r="HZ73" i="3"/>
  <c r="HY73" i="3"/>
  <c r="HX73" i="3"/>
  <c r="HW73" i="3"/>
  <c r="HV73" i="3"/>
  <c r="HU73" i="3"/>
  <c r="HT73" i="3"/>
  <c r="HS73" i="3"/>
  <c r="HR73" i="3"/>
  <c r="HQ73" i="3"/>
  <c r="HP73" i="3"/>
  <c r="HO73" i="3"/>
  <c r="HN73" i="3"/>
  <c r="HM73" i="3"/>
  <c r="HL73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PF72" i="3"/>
  <c r="PE72" i="3"/>
  <c r="PD72" i="3"/>
  <c r="PC72" i="3"/>
  <c r="PB72" i="3"/>
  <c r="PA72" i="3"/>
  <c r="OZ72" i="3"/>
  <c r="OY72" i="3"/>
  <c r="OX72" i="3"/>
  <c r="OW72" i="3"/>
  <c r="OV72" i="3"/>
  <c r="OU72" i="3"/>
  <c r="OT72" i="3"/>
  <c r="OS72" i="3"/>
  <c r="OR72" i="3"/>
  <c r="OQ72" i="3"/>
  <c r="OP72" i="3"/>
  <c r="OO72" i="3"/>
  <c r="ON72" i="3"/>
  <c r="OM72" i="3"/>
  <c r="OL72" i="3"/>
  <c r="OK72" i="3"/>
  <c r="OJ72" i="3"/>
  <c r="OI72" i="3"/>
  <c r="OH72" i="3"/>
  <c r="OG72" i="3"/>
  <c r="OF72" i="3"/>
  <c r="OE72" i="3"/>
  <c r="OD72" i="3"/>
  <c r="OC72" i="3"/>
  <c r="OB72" i="3"/>
  <c r="OA72" i="3"/>
  <c r="NZ72" i="3"/>
  <c r="NY72" i="3"/>
  <c r="NX72" i="3"/>
  <c r="NW72" i="3"/>
  <c r="NV72" i="3"/>
  <c r="NU72" i="3"/>
  <c r="NT72" i="3"/>
  <c r="NS72" i="3"/>
  <c r="NR72" i="3"/>
  <c r="NQ72" i="3"/>
  <c r="NP72" i="3"/>
  <c r="NO72" i="3"/>
  <c r="NN72" i="3"/>
  <c r="NM72" i="3"/>
  <c r="NL72" i="3"/>
  <c r="NK72" i="3"/>
  <c r="NJ72" i="3"/>
  <c r="NI72" i="3"/>
  <c r="NH72" i="3"/>
  <c r="NG72" i="3"/>
  <c r="NF72" i="3"/>
  <c r="NE72" i="3"/>
  <c r="ND72" i="3"/>
  <c r="NC72" i="3"/>
  <c r="NB72" i="3"/>
  <c r="NA72" i="3"/>
  <c r="MZ72" i="3"/>
  <c r="MY72" i="3"/>
  <c r="MX72" i="3"/>
  <c r="MW72" i="3"/>
  <c r="MV72" i="3"/>
  <c r="MU72" i="3"/>
  <c r="MT72" i="3"/>
  <c r="MS72" i="3"/>
  <c r="MR72" i="3"/>
  <c r="MQ72" i="3"/>
  <c r="MP72" i="3"/>
  <c r="MO72" i="3"/>
  <c r="MN72" i="3"/>
  <c r="MM72" i="3"/>
  <c r="ML72" i="3"/>
  <c r="MK72" i="3"/>
  <c r="MJ72" i="3"/>
  <c r="MI72" i="3"/>
  <c r="MH72" i="3"/>
  <c r="MG72" i="3"/>
  <c r="MF72" i="3"/>
  <c r="ME72" i="3"/>
  <c r="MD72" i="3"/>
  <c r="MC72" i="3"/>
  <c r="MB72" i="3"/>
  <c r="MA72" i="3"/>
  <c r="LZ72" i="3"/>
  <c r="LY72" i="3"/>
  <c r="LX72" i="3"/>
  <c r="LW72" i="3"/>
  <c r="LV72" i="3"/>
  <c r="LU72" i="3"/>
  <c r="LT72" i="3"/>
  <c r="LS72" i="3"/>
  <c r="LR72" i="3"/>
  <c r="LQ72" i="3"/>
  <c r="LP72" i="3"/>
  <c r="LO72" i="3"/>
  <c r="LN72" i="3"/>
  <c r="LM72" i="3"/>
  <c r="LL72" i="3"/>
  <c r="LK72" i="3"/>
  <c r="LJ72" i="3"/>
  <c r="LI72" i="3"/>
  <c r="LH72" i="3"/>
  <c r="LG72" i="3"/>
  <c r="LF72" i="3"/>
  <c r="LE72" i="3"/>
  <c r="LD72" i="3"/>
  <c r="LC72" i="3"/>
  <c r="LB72" i="3"/>
  <c r="LA72" i="3"/>
  <c r="KZ72" i="3"/>
  <c r="KY72" i="3"/>
  <c r="KX72" i="3"/>
  <c r="KW72" i="3"/>
  <c r="KV72" i="3"/>
  <c r="KU72" i="3"/>
  <c r="KT72" i="3"/>
  <c r="KS72" i="3"/>
  <c r="KR72" i="3"/>
  <c r="KQ72" i="3"/>
  <c r="KP72" i="3"/>
  <c r="KO72" i="3"/>
  <c r="KN72" i="3"/>
  <c r="KM72" i="3"/>
  <c r="KL72" i="3"/>
  <c r="KK72" i="3"/>
  <c r="KJ72" i="3"/>
  <c r="KI72" i="3"/>
  <c r="KH72" i="3"/>
  <c r="KG72" i="3"/>
  <c r="KF72" i="3"/>
  <c r="KE72" i="3"/>
  <c r="KD72" i="3"/>
  <c r="KC72" i="3"/>
  <c r="KB72" i="3"/>
  <c r="KA72" i="3"/>
  <c r="JZ72" i="3"/>
  <c r="JY72" i="3"/>
  <c r="JX72" i="3"/>
  <c r="JW72" i="3"/>
  <c r="JV72" i="3"/>
  <c r="JU72" i="3"/>
  <c r="JT72" i="3"/>
  <c r="JS72" i="3"/>
  <c r="JR72" i="3"/>
  <c r="JQ72" i="3"/>
  <c r="JP72" i="3"/>
  <c r="JO72" i="3"/>
  <c r="JN72" i="3"/>
  <c r="JM72" i="3"/>
  <c r="JL72" i="3"/>
  <c r="JK72" i="3"/>
  <c r="JJ72" i="3"/>
  <c r="JI72" i="3"/>
  <c r="JH72" i="3"/>
  <c r="JG72" i="3"/>
  <c r="JF72" i="3"/>
  <c r="JE72" i="3"/>
  <c r="JD72" i="3"/>
  <c r="JC72" i="3"/>
  <c r="JB72" i="3"/>
  <c r="JA72" i="3"/>
  <c r="IZ72" i="3"/>
  <c r="IY72" i="3"/>
  <c r="IX72" i="3"/>
  <c r="IW72" i="3"/>
  <c r="IV72" i="3"/>
  <c r="IU72" i="3"/>
  <c r="IT72" i="3"/>
  <c r="IS72" i="3"/>
  <c r="IR72" i="3"/>
  <c r="IQ72" i="3"/>
  <c r="IP72" i="3"/>
  <c r="IO72" i="3"/>
  <c r="IN72" i="3"/>
  <c r="IM72" i="3"/>
  <c r="IL72" i="3"/>
  <c r="IK72" i="3"/>
  <c r="IJ72" i="3"/>
  <c r="II72" i="3"/>
  <c r="IH72" i="3"/>
  <c r="IG72" i="3"/>
  <c r="IF72" i="3"/>
  <c r="IE72" i="3"/>
  <c r="ID72" i="3"/>
  <c r="IC72" i="3"/>
  <c r="IB72" i="3"/>
  <c r="IA72" i="3"/>
  <c r="HZ72" i="3"/>
  <c r="HY72" i="3"/>
  <c r="HX72" i="3"/>
  <c r="HW72" i="3"/>
  <c r="HV72" i="3"/>
  <c r="HU72" i="3"/>
  <c r="HT72" i="3"/>
  <c r="HS72" i="3"/>
  <c r="HR72" i="3"/>
  <c r="HQ72" i="3"/>
  <c r="HP72" i="3"/>
  <c r="HO72" i="3"/>
  <c r="HN72" i="3"/>
  <c r="HM72" i="3"/>
  <c r="HL72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PF71" i="3"/>
  <c r="PE71" i="3"/>
  <c r="PD71" i="3"/>
  <c r="PC71" i="3"/>
  <c r="PB71" i="3"/>
  <c r="PA71" i="3"/>
  <c r="OZ71" i="3"/>
  <c r="OY71" i="3"/>
  <c r="OX71" i="3"/>
  <c r="OW71" i="3"/>
  <c r="OV71" i="3"/>
  <c r="OU71" i="3"/>
  <c r="OT71" i="3"/>
  <c r="OS71" i="3"/>
  <c r="OR71" i="3"/>
  <c r="OQ71" i="3"/>
  <c r="OP71" i="3"/>
  <c r="OO71" i="3"/>
  <c r="ON71" i="3"/>
  <c r="OM71" i="3"/>
  <c r="OL71" i="3"/>
  <c r="OK71" i="3"/>
  <c r="OJ71" i="3"/>
  <c r="OI71" i="3"/>
  <c r="OH71" i="3"/>
  <c r="OG71" i="3"/>
  <c r="OF71" i="3"/>
  <c r="OE71" i="3"/>
  <c r="OD71" i="3"/>
  <c r="OC71" i="3"/>
  <c r="OB71" i="3"/>
  <c r="OA71" i="3"/>
  <c r="NZ71" i="3"/>
  <c r="NY71" i="3"/>
  <c r="NX71" i="3"/>
  <c r="NW71" i="3"/>
  <c r="NV71" i="3"/>
  <c r="NU71" i="3"/>
  <c r="NT71" i="3"/>
  <c r="NS71" i="3"/>
  <c r="NR71" i="3"/>
  <c r="NQ71" i="3"/>
  <c r="NP71" i="3"/>
  <c r="NO71" i="3"/>
  <c r="NN71" i="3"/>
  <c r="NM71" i="3"/>
  <c r="NL71" i="3"/>
  <c r="NK71" i="3"/>
  <c r="NJ71" i="3"/>
  <c r="NI71" i="3"/>
  <c r="NH71" i="3"/>
  <c r="NG71" i="3"/>
  <c r="NF71" i="3"/>
  <c r="NE71" i="3"/>
  <c r="ND71" i="3"/>
  <c r="NC71" i="3"/>
  <c r="NB71" i="3"/>
  <c r="NA71" i="3"/>
  <c r="MZ71" i="3"/>
  <c r="MY71" i="3"/>
  <c r="MX71" i="3"/>
  <c r="MW71" i="3"/>
  <c r="MV71" i="3"/>
  <c r="MU71" i="3"/>
  <c r="MT71" i="3"/>
  <c r="MS71" i="3"/>
  <c r="MR71" i="3"/>
  <c r="MQ71" i="3"/>
  <c r="MP71" i="3"/>
  <c r="MO71" i="3"/>
  <c r="MN71" i="3"/>
  <c r="MM71" i="3"/>
  <c r="ML71" i="3"/>
  <c r="MK71" i="3"/>
  <c r="MJ71" i="3"/>
  <c r="MI71" i="3"/>
  <c r="MH71" i="3"/>
  <c r="MG71" i="3"/>
  <c r="MF71" i="3"/>
  <c r="ME71" i="3"/>
  <c r="MD71" i="3"/>
  <c r="MC71" i="3"/>
  <c r="MB71" i="3"/>
  <c r="MA71" i="3"/>
  <c r="LZ71" i="3"/>
  <c r="LY71" i="3"/>
  <c r="LX71" i="3"/>
  <c r="LW71" i="3"/>
  <c r="LV71" i="3"/>
  <c r="LU71" i="3"/>
  <c r="LT71" i="3"/>
  <c r="LS71" i="3"/>
  <c r="LR71" i="3"/>
  <c r="LQ71" i="3"/>
  <c r="LP71" i="3"/>
  <c r="LO71" i="3"/>
  <c r="LN71" i="3"/>
  <c r="LM71" i="3"/>
  <c r="LL71" i="3"/>
  <c r="LK71" i="3"/>
  <c r="LJ71" i="3"/>
  <c r="LI71" i="3"/>
  <c r="LH71" i="3"/>
  <c r="LG71" i="3"/>
  <c r="LF71" i="3"/>
  <c r="LE71" i="3"/>
  <c r="LD71" i="3"/>
  <c r="LC71" i="3"/>
  <c r="LB71" i="3"/>
  <c r="LA71" i="3"/>
  <c r="KZ71" i="3"/>
  <c r="KY71" i="3"/>
  <c r="KX71" i="3"/>
  <c r="KW71" i="3"/>
  <c r="KV71" i="3"/>
  <c r="KU71" i="3"/>
  <c r="KT71" i="3"/>
  <c r="KS71" i="3"/>
  <c r="KR71" i="3"/>
  <c r="KQ71" i="3"/>
  <c r="KP71" i="3"/>
  <c r="KO71" i="3"/>
  <c r="KN71" i="3"/>
  <c r="KM71" i="3"/>
  <c r="KL71" i="3"/>
  <c r="KK71" i="3"/>
  <c r="KJ71" i="3"/>
  <c r="KI71" i="3"/>
  <c r="KH71" i="3"/>
  <c r="KG71" i="3"/>
  <c r="KF71" i="3"/>
  <c r="KE71" i="3"/>
  <c r="KD71" i="3"/>
  <c r="KC71" i="3"/>
  <c r="KB71" i="3"/>
  <c r="KA71" i="3"/>
  <c r="JZ71" i="3"/>
  <c r="JY71" i="3"/>
  <c r="JX71" i="3"/>
  <c r="JW71" i="3"/>
  <c r="JV71" i="3"/>
  <c r="JU71" i="3"/>
  <c r="JT71" i="3"/>
  <c r="JS71" i="3"/>
  <c r="JR71" i="3"/>
  <c r="JQ71" i="3"/>
  <c r="JP71" i="3"/>
  <c r="JO71" i="3"/>
  <c r="JN71" i="3"/>
  <c r="JM71" i="3"/>
  <c r="JL71" i="3"/>
  <c r="JK71" i="3"/>
  <c r="JJ71" i="3"/>
  <c r="JI71" i="3"/>
  <c r="JH71" i="3"/>
  <c r="JG71" i="3"/>
  <c r="JF71" i="3"/>
  <c r="JE71" i="3"/>
  <c r="JD71" i="3"/>
  <c r="JC71" i="3"/>
  <c r="JB71" i="3"/>
  <c r="JA71" i="3"/>
  <c r="IZ71" i="3"/>
  <c r="IY71" i="3"/>
  <c r="IX71" i="3"/>
  <c r="IW71" i="3"/>
  <c r="IV71" i="3"/>
  <c r="IU71" i="3"/>
  <c r="IT71" i="3"/>
  <c r="IS71" i="3"/>
  <c r="IR71" i="3"/>
  <c r="IQ71" i="3"/>
  <c r="IP71" i="3"/>
  <c r="IO71" i="3"/>
  <c r="IN71" i="3"/>
  <c r="IM71" i="3"/>
  <c r="IL71" i="3"/>
  <c r="IK71" i="3"/>
  <c r="IJ71" i="3"/>
  <c r="II71" i="3"/>
  <c r="IH71" i="3"/>
  <c r="IG71" i="3"/>
  <c r="IF71" i="3"/>
  <c r="IE71" i="3"/>
  <c r="ID71" i="3"/>
  <c r="IC71" i="3"/>
  <c r="IB71" i="3"/>
  <c r="IA71" i="3"/>
  <c r="HZ71" i="3"/>
  <c r="HY71" i="3"/>
  <c r="HX71" i="3"/>
  <c r="HW71" i="3"/>
  <c r="HV71" i="3"/>
  <c r="HU71" i="3"/>
  <c r="HT71" i="3"/>
  <c r="HS71" i="3"/>
  <c r="HR71" i="3"/>
  <c r="HQ71" i="3"/>
  <c r="HP71" i="3"/>
  <c r="HO71" i="3"/>
  <c r="HN71" i="3"/>
  <c r="HM71" i="3"/>
  <c r="HL71" i="3"/>
  <c r="HK71" i="3"/>
  <c r="HJ71" i="3"/>
  <c r="HI71" i="3"/>
  <c r="HH71" i="3"/>
  <c r="HG71" i="3"/>
  <c r="HF71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PF70" i="3"/>
  <c r="PE70" i="3"/>
  <c r="PD70" i="3"/>
  <c r="PC70" i="3"/>
  <c r="PB70" i="3"/>
  <c r="PA70" i="3"/>
  <c r="OZ70" i="3"/>
  <c r="OY70" i="3"/>
  <c r="OX70" i="3"/>
  <c r="OW70" i="3"/>
  <c r="OV70" i="3"/>
  <c r="OU70" i="3"/>
  <c r="OT70" i="3"/>
  <c r="OS70" i="3"/>
  <c r="OR70" i="3"/>
  <c r="OQ70" i="3"/>
  <c r="OP70" i="3"/>
  <c r="OO70" i="3"/>
  <c r="ON70" i="3"/>
  <c r="OM70" i="3"/>
  <c r="OL70" i="3"/>
  <c r="OK70" i="3"/>
  <c r="OJ70" i="3"/>
  <c r="OI70" i="3"/>
  <c r="OH70" i="3"/>
  <c r="OG70" i="3"/>
  <c r="OF70" i="3"/>
  <c r="OE70" i="3"/>
  <c r="OD70" i="3"/>
  <c r="OC70" i="3"/>
  <c r="OB70" i="3"/>
  <c r="OA70" i="3"/>
  <c r="NZ70" i="3"/>
  <c r="NY70" i="3"/>
  <c r="NX70" i="3"/>
  <c r="NW70" i="3"/>
  <c r="NV70" i="3"/>
  <c r="NU70" i="3"/>
  <c r="NT70" i="3"/>
  <c r="NS70" i="3"/>
  <c r="NR70" i="3"/>
  <c r="NQ70" i="3"/>
  <c r="NP70" i="3"/>
  <c r="NO70" i="3"/>
  <c r="NN70" i="3"/>
  <c r="NM70" i="3"/>
  <c r="NL70" i="3"/>
  <c r="NK70" i="3"/>
  <c r="NJ70" i="3"/>
  <c r="NI70" i="3"/>
  <c r="NH70" i="3"/>
  <c r="NG70" i="3"/>
  <c r="NF70" i="3"/>
  <c r="NE70" i="3"/>
  <c r="ND70" i="3"/>
  <c r="NC70" i="3"/>
  <c r="NB70" i="3"/>
  <c r="NA70" i="3"/>
  <c r="MZ70" i="3"/>
  <c r="MY70" i="3"/>
  <c r="MX70" i="3"/>
  <c r="MW70" i="3"/>
  <c r="MV70" i="3"/>
  <c r="MU70" i="3"/>
  <c r="MT70" i="3"/>
  <c r="MS70" i="3"/>
  <c r="MR70" i="3"/>
  <c r="MQ70" i="3"/>
  <c r="MP70" i="3"/>
  <c r="MO70" i="3"/>
  <c r="MN70" i="3"/>
  <c r="MM70" i="3"/>
  <c r="ML70" i="3"/>
  <c r="MK70" i="3"/>
  <c r="MJ70" i="3"/>
  <c r="MI70" i="3"/>
  <c r="MH70" i="3"/>
  <c r="MG70" i="3"/>
  <c r="MF70" i="3"/>
  <c r="ME70" i="3"/>
  <c r="MD70" i="3"/>
  <c r="MC70" i="3"/>
  <c r="MB70" i="3"/>
  <c r="MA70" i="3"/>
  <c r="LZ70" i="3"/>
  <c r="LY70" i="3"/>
  <c r="LX70" i="3"/>
  <c r="LW70" i="3"/>
  <c r="LV70" i="3"/>
  <c r="LU70" i="3"/>
  <c r="LT70" i="3"/>
  <c r="LS70" i="3"/>
  <c r="LR70" i="3"/>
  <c r="LQ70" i="3"/>
  <c r="LP70" i="3"/>
  <c r="LO70" i="3"/>
  <c r="LN70" i="3"/>
  <c r="LM70" i="3"/>
  <c r="LL70" i="3"/>
  <c r="LK70" i="3"/>
  <c r="LJ70" i="3"/>
  <c r="LI70" i="3"/>
  <c r="LH70" i="3"/>
  <c r="LG70" i="3"/>
  <c r="LF70" i="3"/>
  <c r="LE70" i="3"/>
  <c r="LD70" i="3"/>
  <c r="LC70" i="3"/>
  <c r="LB70" i="3"/>
  <c r="LA70" i="3"/>
  <c r="KZ70" i="3"/>
  <c r="KY70" i="3"/>
  <c r="KX70" i="3"/>
  <c r="KW70" i="3"/>
  <c r="KV70" i="3"/>
  <c r="KU70" i="3"/>
  <c r="KT70" i="3"/>
  <c r="KS70" i="3"/>
  <c r="KR70" i="3"/>
  <c r="KQ70" i="3"/>
  <c r="KP70" i="3"/>
  <c r="KO70" i="3"/>
  <c r="KN70" i="3"/>
  <c r="KM70" i="3"/>
  <c r="KL70" i="3"/>
  <c r="KK70" i="3"/>
  <c r="KJ70" i="3"/>
  <c r="KI70" i="3"/>
  <c r="KH70" i="3"/>
  <c r="KG70" i="3"/>
  <c r="KF70" i="3"/>
  <c r="KE70" i="3"/>
  <c r="KD70" i="3"/>
  <c r="KC70" i="3"/>
  <c r="KB70" i="3"/>
  <c r="KA70" i="3"/>
  <c r="JZ70" i="3"/>
  <c r="JY70" i="3"/>
  <c r="JX70" i="3"/>
  <c r="JW70" i="3"/>
  <c r="JV70" i="3"/>
  <c r="JU70" i="3"/>
  <c r="JT70" i="3"/>
  <c r="JS70" i="3"/>
  <c r="JR70" i="3"/>
  <c r="JQ70" i="3"/>
  <c r="JP70" i="3"/>
  <c r="JO70" i="3"/>
  <c r="JN70" i="3"/>
  <c r="JM70" i="3"/>
  <c r="JL70" i="3"/>
  <c r="JK70" i="3"/>
  <c r="JJ70" i="3"/>
  <c r="JI70" i="3"/>
  <c r="JH70" i="3"/>
  <c r="JG70" i="3"/>
  <c r="JF70" i="3"/>
  <c r="JE70" i="3"/>
  <c r="JD70" i="3"/>
  <c r="JC70" i="3"/>
  <c r="JB70" i="3"/>
  <c r="JA70" i="3"/>
  <c r="IZ70" i="3"/>
  <c r="IY70" i="3"/>
  <c r="IX70" i="3"/>
  <c r="IW70" i="3"/>
  <c r="IV70" i="3"/>
  <c r="IU70" i="3"/>
  <c r="IT70" i="3"/>
  <c r="IS70" i="3"/>
  <c r="IR70" i="3"/>
  <c r="IQ70" i="3"/>
  <c r="IP70" i="3"/>
  <c r="IO70" i="3"/>
  <c r="IN70" i="3"/>
  <c r="IM70" i="3"/>
  <c r="IL70" i="3"/>
  <c r="IK70" i="3"/>
  <c r="IJ70" i="3"/>
  <c r="II70" i="3"/>
  <c r="IH70" i="3"/>
  <c r="IG70" i="3"/>
  <c r="IF70" i="3"/>
  <c r="IE70" i="3"/>
  <c r="ID70" i="3"/>
  <c r="IC70" i="3"/>
  <c r="IB70" i="3"/>
  <c r="IA70" i="3"/>
  <c r="HZ70" i="3"/>
  <c r="HY70" i="3"/>
  <c r="HX70" i="3"/>
  <c r="HW70" i="3"/>
  <c r="HV70" i="3"/>
  <c r="HU70" i="3"/>
  <c r="HT70" i="3"/>
  <c r="HS70" i="3"/>
  <c r="HR70" i="3"/>
  <c r="HQ70" i="3"/>
  <c r="HP70" i="3"/>
  <c r="HO70" i="3"/>
  <c r="HN70" i="3"/>
  <c r="HM70" i="3"/>
  <c r="HL70" i="3"/>
  <c r="HK70" i="3"/>
  <c r="HJ70" i="3"/>
  <c r="HI70" i="3"/>
  <c r="HH70" i="3"/>
  <c r="HG70" i="3"/>
  <c r="HF70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PF69" i="3"/>
  <c r="PE69" i="3"/>
  <c r="PD69" i="3"/>
  <c r="PC69" i="3"/>
  <c r="PB69" i="3"/>
  <c r="PA69" i="3"/>
  <c r="OZ69" i="3"/>
  <c r="OY69" i="3"/>
  <c r="OX69" i="3"/>
  <c r="OW69" i="3"/>
  <c r="OV69" i="3"/>
  <c r="OU69" i="3"/>
  <c r="OT69" i="3"/>
  <c r="OS69" i="3"/>
  <c r="OR69" i="3"/>
  <c r="OQ69" i="3"/>
  <c r="OP69" i="3"/>
  <c r="OO69" i="3"/>
  <c r="ON69" i="3"/>
  <c r="OM69" i="3"/>
  <c r="OL69" i="3"/>
  <c r="OK69" i="3"/>
  <c r="OJ69" i="3"/>
  <c r="OI69" i="3"/>
  <c r="OH69" i="3"/>
  <c r="OG69" i="3"/>
  <c r="OF69" i="3"/>
  <c r="OE69" i="3"/>
  <c r="OD69" i="3"/>
  <c r="OC69" i="3"/>
  <c r="OB69" i="3"/>
  <c r="OA69" i="3"/>
  <c r="NZ69" i="3"/>
  <c r="NY69" i="3"/>
  <c r="NX69" i="3"/>
  <c r="NW69" i="3"/>
  <c r="NV69" i="3"/>
  <c r="NU69" i="3"/>
  <c r="NT69" i="3"/>
  <c r="NS69" i="3"/>
  <c r="NR69" i="3"/>
  <c r="NQ69" i="3"/>
  <c r="NP69" i="3"/>
  <c r="NO69" i="3"/>
  <c r="NN69" i="3"/>
  <c r="NM69" i="3"/>
  <c r="NL69" i="3"/>
  <c r="NK69" i="3"/>
  <c r="NJ69" i="3"/>
  <c r="NI69" i="3"/>
  <c r="NH69" i="3"/>
  <c r="NG69" i="3"/>
  <c r="NF69" i="3"/>
  <c r="NE69" i="3"/>
  <c r="ND69" i="3"/>
  <c r="NC69" i="3"/>
  <c r="NB69" i="3"/>
  <c r="NA69" i="3"/>
  <c r="MZ69" i="3"/>
  <c r="MY69" i="3"/>
  <c r="MX69" i="3"/>
  <c r="MW69" i="3"/>
  <c r="MV69" i="3"/>
  <c r="MU69" i="3"/>
  <c r="MT69" i="3"/>
  <c r="MS69" i="3"/>
  <c r="MR69" i="3"/>
  <c r="MQ69" i="3"/>
  <c r="MP69" i="3"/>
  <c r="MO69" i="3"/>
  <c r="MN69" i="3"/>
  <c r="MM69" i="3"/>
  <c r="ML69" i="3"/>
  <c r="MK69" i="3"/>
  <c r="MJ69" i="3"/>
  <c r="MI69" i="3"/>
  <c r="MH69" i="3"/>
  <c r="MG69" i="3"/>
  <c r="MF69" i="3"/>
  <c r="ME69" i="3"/>
  <c r="MD69" i="3"/>
  <c r="MC69" i="3"/>
  <c r="MB69" i="3"/>
  <c r="MA69" i="3"/>
  <c r="LZ69" i="3"/>
  <c r="LY69" i="3"/>
  <c r="LX69" i="3"/>
  <c r="LW69" i="3"/>
  <c r="LV69" i="3"/>
  <c r="LU69" i="3"/>
  <c r="LT69" i="3"/>
  <c r="LS69" i="3"/>
  <c r="LR69" i="3"/>
  <c r="LQ69" i="3"/>
  <c r="LP69" i="3"/>
  <c r="LO69" i="3"/>
  <c r="LN69" i="3"/>
  <c r="LM69" i="3"/>
  <c r="LL69" i="3"/>
  <c r="LK69" i="3"/>
  <c r="LJ69" i="3"/>
  <c r="LI69" i="3"/>
  <c r="LH69" i="3"/>
  <c r="LG69" i="3"/>
  <c r="LF69" i="3"/>
  <c r="LE69" i="3"/>
  <c r="LD69" i="3"/>
  <c r="LC69" i="3"/>
  <c r="LB69" i="3"/>
  <c r="LA69" i="3"/>
  <c r="KZ69" i="3"/>
  <c r="KY69" i="3"/>
  <c r="KX69" i="3"/>
  <c r="KW69" i="3"/>
  <c r="KV69" i="3"/>
  <c r="KU69" i="3"/>
  <c r="KT69" i="3"/>
  <c r="KS69" i="3"/>
  <c r="KR69" i="3"/>
  <c r="KQ69" i="3"/>
  <c r="KP69" i="3"/>
  <c r="KO69" i="3"/>
  <c r="KN69" i="3"/>
  <c r="KM69" i="3"/>
  <c r="KL69" i="3"/>
  <c r="KK69" i="3"/>
  <c r="KJ69" i="3"/>
  <c r="KI69" i="3"/>
  <c r="KH69" i="3"/>
  <c r="KG69" i="3"/>
  <c r="KF69" i="3"/>
  <c r="KE69" i="3"/>
  <c r="KD69" i="3"/>
  <c r="KC69" i="3"/>
  <c r="KB69" i="3"/>
  <c r="KA69" i="3"/>
  <c r="JZ69" i="3"/>
  <c r="JY69" i="3"/>
  <c r="JX69" i="3"/>
  <c r="JW69" i="3"/>
  <c r="JV69" i="3"/>
  <c r="JU69" i="3"/>
  <c r="JT69" i="3"/>
  <c r="JS69" i="3"/>
  <c r="JR69" i="3"/>
  <c r="JQ69" i="3"/>
  <c r="JP69" i="3"/>
  <c r="JO69" i="3"/>
  <c r="JN69" i="3"/>
  <c r="JM69" i="3"/>
  <c r="JL69" i="3"/>
  <c r="JK69" i="3"/>
  <c r="JJ69" i="3"/>
  <c r="JI69" i="3"/>
  <c r="JH69" i="3"/>
  <c r="JG69" i="3"/>
  <c r="JF69" i="3"/>
  <c r="JE69" i="3"/>
  <c r="JD69" i="3"/>
  <c r="JC69" i="3"/>
  <c r="JB69" i="3"/>
  <c r="JA69" i="3"/>
  <c r="IZ69" i="3"/>
  <c r="IY69" i="3"/>
  <c r="IX69" i="3"/>
  <c r="IW69" i="3"/>
  <c r="IV69" i="3"/>
  <c r="IU69" i="3"/>
  <c r="IT69" i="3"/>
  <c r="IS69" i="3"/>
  <c r="IR69" i="3"/>
  <c r="IQ69" i="3"/>
  <c r="IP69" i="3"/>
  <c r="IO69" i="3"/>
  <c r="IN69" i="3"/>
  <c r="IM69" i="3"/>
  <c r="IL69" i="3"/>
  <c r="IK69" i="3"/>
  <c r="IJ69" i="3"/>
  <c r="II69" i="3"/>
  <c r="IH69" i="3"/>
  <c r="IG69" i="3"/>
  <c r="IF69" i="3"/>
  <c r="IE69" i="3"/>
  <c r="ID69" i="3"/>
  <c r="IC69" i="3"/>
  <c r="IB69" i="3"/>
  <c r="IA69" i="3"/>
  <c r="HZ69" i="3"/>
  <c r="HY69" i="3"/>
  <c r="HX69" i="3"/>
  <c r="HW69" i="3"/>
  <c r="HV69" i="3"/>
  <c r="HU69" i="3"/>
  <c r="HT69" i="3"/>
  <c r="HS69" i="3"/>
  <c r="HR69" i="3"/>
  <c r="HQ69" i="3"/>
  <c r="HP69" i="3"/>
  <c r="HO69" i="3"/>
  <c r="HN69" i="3"/>
  <c r="HM69" i="3"/>
  <c r="HL69" i="3"/>
  <c r="HK69" i="3"/>
  <c r="HJ69" i="3"/>
  <c r="HI69" i="3"/>
  <c r="HH69" i="3"/>
  <c r="HG69" i="3"/>
  <c r="HF69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PF68" i="3"/>
  <c r="PE68" i="3"/>
  <c r="PD68" i="3"/>
  <c r="PC68" i="3"/>
  <c r="PB68" i="3"/>
  <c r="PA68" i="3"/>
  <c r="OZ68" i="3"/>
  <c r="OY68" i="3"/>
  <c r="OX68" i="3"/>
  <c r="OW68" i="3"/>
  <c r="OV68" i="3"/>
  <c r="OU68" i="3"/>
  <c r="OT68" i="3"/>
  <c r="OS68" i="3"/>
  <c r="OR68" i="3"/>
  <c r="OQ68" i="3"/>
  <c r="OP68" i="3"/>
  <c r="OO68" i="3"/>
  <c r="ON68" i="3"/>
  <c r="OM68" i="3"/>
  <c r="OL68" i="3"/>
  <c r="OK68" i="3"/>
  <c r="OJ68" i="3"/>
  <c r="OI68" i="3"/>
  <c r="OH68" i="3"/>
  <c r="OG68" i="3"/>
  <c r="OF68" i="3"/>
  <c r="OE68" i="3"/>
  <c r="OD68" i="3"/>
  <c r="OC68" i="3"/>
  <c r="OB68" i="3"/>
  <c r="OA68" i="3"/>
  <c r="NZ68" i="3"/>
  <c r="NY68" i="3"/>
  <c r="NX68" i="3"/>
  <c r="NW68" i="3"/>
  <c r="NV68" i="3"/>
  <c r="NU68" i="3"/>
  <c r="NT68" i="3"/>
  <c r="NS68" i="3"/>
  <c r="NR68" i="3"/>
  <c r="NQ68" i="3"/>
  <c r="NP68" i="3"/>
  <c r="NO68" i="3"/>
  <c r="NN68" i="3"/>
  <c r="NM68" i="3"/>
  <c r="NL68" i="3"/>
  <c r="NK68" i="3"/>
  <c r="NJ68" i="3"/>
  <c r="NI68" i="3"/>
  <c r="NH68" i="3"/>
  <c r="NG68" i="3"/>
  <c r="NF68" i="3"/>
  <c r="NE68" i="3"/>
  <c r="ND68" i="3"/>
  <c r="NC68" i="3"/>
  <c r="NB68" i="3"/>
  <c r="NA68" i="3"/>
  <c r="MZ68" i="3"/>
  <c r="MY68" i="3"/>
  <c r="MX68" i="3"/>
  <c r="MW68" i="3"/>
  <c r="MV68" i="3"/>
  <c r="MU68" i="3"/>
  <c r="MT68" i="3"/>
  <c r="MS68" i="3"/>
  <c r="MR68" i="3"/>
  <c r="MQ68" i="3"/>
  <c r="MP68" i="3"/>
  <c r="MO68" i="3"/>
  <c r="MN68" i="3"/>
  <c r="MM68" i="3"/>
  <c r="ML68" i="3"/>
  <c r="MK68" i="3"/>
  <c r="MJ68" i="3"/>
  <c r="MI68" i="3"/>
  <c r="MH68" i="3"/>
  <c r="MG68" i="3"/>
  <c r="MF68" i="3"/>
  <c r="ME68" i="3"/>
  <c r="MD68" i="3"/>
  <c r="MC68" i="3"/>
  <c r="MB68" i="3"/>
  <c r="MA68" i="3"/>
  <c r="LZ68" i="3"/>
  <c r="LY68" i="3"/>
  <c r="LX68" i="3"/>
  <c r="LW68" i="3"/>
  <c r="LV68" i="3"/>
  <c r="LU68" i="3"/>
  <c r="LT68" i="3"/>
  <c r="LS68" i="3"/>
  <c r="LR68" i="3"/>
  <c r="LQ68" i="3"/>
  <c r="LP68" i="3"/>
  <c r="LO68" i="3"/>
  <c r="LN68" i="3"/>
  <c r="LM68" i="3"/>
  <c r="LL68" i="3"/>
  <c r="LK68" i="3"/>
  <c r="LJ68" i="3"/>
  <c r="LI68" i="3"/>
  <c r="LH68" i="3"/>
  <c r="LG68" i="3"/>
  <c r="LF68" i="3"/>
  <c r="LE68" i="3"/>
  <c r="LD68" i="3"/>
  <c r="LC68" i="3"/>
  <c r="LB68" i="3"/>
  <c r="LA68" i="3"/>
  <c r="KZ68" i="3"/>
  <c r="KY68" i="3"/>
  <c r="KX68" i="3"/>
  <c r="KW68" i="3"/>
  <c r="KV68" i="3"/>
  <c r="KU68" i="3"/>
  <c r="KT68" i="3"/>
  <c r="KS68" i="3"/>
  <c r="KR68" i="3"/>
  <c r="KQ68" i="3"/>
  <c r="KP68" i="3"/>
  <c r="KO68" i="3"/>
  <c r="KN68" i="3"/>
  <c r="KM68" i="3"/>
  <c r="KL68" i="3"/>
  <c r="KK68" i="3"/>
  <c r="KJ68" i="3"/>
  <c r="KI68" i="3"/>
  <c r="KH68" i="3"/>
  <c r="KG68" i="3"/>
  <c r="KF68" i="3"/>
  <c r="KE68" i="3"/>
  <c r="KD68" i="3"/>
  <c r="KC68" i="3"/>
  <c r="KB68" i="3"/>
  <c r="KA68" i="3"/>
  <c r="JZ68" i="3"/>
  <c r="JY68" i="3"/>
  <c r="JX68" i="3"/>
  <c r="JW68" i="3"/>
  <c r="JV68" i="3"/>
  <c r="JU68" i="3"/>
  <c r="JT68" i="3"/>
  <c r="JS68" i="3"/>
  <c r="JR68" i="3"/>
  <c r="JQ68" i="3"/>
  <c r="JP68" i="3"/>
  <c r="JO68" i="3"/>
  <c r="JN68" i="3"/>
  <c r="JM68" i="3"/>
  <c r="JL68" i="3"/>
  <c r="JK68" i="3"/>
  <c r="JJ68" i="3"/>
  <c r="JI68" i="3"/>
  <c r="JH68" i="3"/>
  <c r="JG68" i="3"/>
  <c r="JF68" i="3"/>
  <c r="JE68" i="3"/>
  <c r="JD68" i="3"/>
  <c r="JC68" i="3"/>
  <c r="JB68" i="3"/>
  <c r="JA68" i="3"/>
  <c r="IZ68" i="3"/>
  <c r="IY68" i="3"/>
  <c r="IX68" i="3"/>
  <c r="IW68" i="3"/>
  <c r="IV68" i="3"/>
  <c r="IU68" i="3"/>
  <c r="IT68" i="3"/>
  <c r="IS68" i="3"/>
  <c r="IR68" i="3"/>
  <c r="IQ68" i="3"/>
  <c r="IP68" i="3"/>
  <c r="IO68" i="3"/>
  <c r="IN68" i="3"/>
  <c r="IM68" i="3"/>
  <c r="IL68" i="3"/>
  <c r="IK68" i="3"/>
  <c r="IJ68" i="3"/>
  <c r="II68" i="3"/>
  <c r="IH68" i="3"/>
  <c r="IG68" i="3"/>
  <c r="IF68" i="3"/>
  <c r="IE68" i="3"/>
  <c r="ID68" i="3"/>
  <c r="IC68" i="3"/>
  <c r="IB68" i="3"/>
  <c r="IA68" i="3"/>
  <c r="HZ68" i="3"/>
  <c r="HY68" i="3"/>
  <c r="HX68" i="3"/>
  <c r="HW68" i="3"/>
  <c r="HV68" i="3"/>
  <c r="HU68" i="3"/>
  <c r="HT68" i="3"/>
  <c r="HS68" i="3"/>
  <c r="HR68" i="3"/>
  <c r="HQ68" i="3"/>
  <c r="HP68" i="3"/>
  <c r="HO68" i="3"/>
  <c r="HN68" i="3"/>
  <c r="HM68" i="3"/>
  <c r="HL68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PF67" i="3"/>
  <c r="PE67" i="3"/>
  <c r="PD67" i="3"/>
  <c r="PC67" i="3"/>
  <c r="PB67" i="3"/>
  <c r="PA67" i="3"/>
  <c r="OZ67" i="3"/>
  <c r="OY67" i="3"/>
  <c r="OX67" i="3"/>
  <c r="OW67" i="3"/>
  <c r="OV67" i="3"/>
  <c r="OU67" i="3"/>
  <c r="OT67" i="3"/>
  <c r="OS67" i="3"/>
  <c r="OR67" i="3"/>
  <c r="OQ67" i="3"/>
  <c r="OP67" i="3"/>
  <c r="OO67" i="3"/>
  <c r="ON67" i="3"/>
  <c r="OM67" i="3"/>
  <c r="OL67" i="3"/>
  <c r="OK67" i="3"/>
  <c r="OJ67" i="3"/>
  <c r="OI67" i="3"/>
  <c r="OH67" i="3"/>
  <c r="OG67" i="3"/>
  <c r="OF67" i="3"/>
  <c r="OE67" i="3"/>
  <c r="OD67" i="3"/>
  <c r="OC67" i="3"/>
  <c r="OB67" i="3"/>
  <c r="OA67" i="3"/>
  <c r="NZ67" i="3"/>
  <c r="NY67" i="3"/>
  <c r="NX67" i="3"/>
  <c r="NW67" i="3"/>
  <c r="NV67" i="3"/>
  <c r="NU67" i="3"/>
  <c r="NT67" i="3"/>
  <c r="NS67" i="3"/>
  <c r="NR67" i="3"/>
  <c r="NQ67" i="3"/>
  <c r="NP67" i="3"/>
  <c r="NO67" i="3"/>
  <c r="NN67" i="3"/>
  <c r="NM67" i="3"/>
  <c r="NL67" i="3"/>
  <c r="NK67" i="3"/>
  <c r="NJ67" i="3"/>
  <c r="NI67" i="3"/>
  <c r="NH67" i="3"/>
  <c r="NG67" i="3"/>
  <c r="NF67" i="3"/>
  <c r="NE67" i="3"/>
  <c r="ND67" i="3"/>
  <c r="NC67" i="3"/>
  <c r="NB67" i="3"/>
  <c r="NA67" i="3"/>
  <c r="MZ67" i="3"/>
  <c r="MY67" i="3"/>
  <c r="MX67" i="3"/>
  <c r="MW67" i="3"/>
  <c r="MV67" i="3"/>
  <c r="MU67" i="3"/>
  <c r="MT67" i="3"/>
  <c r="MS67" i="3"/>
  <c r="MR67" i="3"/>
  <c r="MQ67" i="3"/>
  <c r="MP67" i="3"/>
  <c r="MO67" i="3"/>
  <c r="MN67" i="3"/>
  <c r="MM67" i="3"/>
  <c r="ML67" i="3"/>
  <c r="MK67" i="3"/>
  <c r="MJ67" i="3"/>
  <c r="MI67" i="3"/>
  <c r="MH67" i="3"/>
  <c r="MG67" i="3"/>
  <c r="MF67" i="3"/>
  <c r="ME67" i="3"/>
  <c r="MD67" i="3"/>
  <c r="MC67" i="3"/>
  <c r="MB67" i="3"/>
  <c r="MA67" i="3"/>
  <c r="LZ67" i="3"/>
  <c r="LY67" i="3"/>
  <c r="LX67" i="3"/>
  <c r="LW67" i="3"/>
  <c r="LV67" i="3"/>
  <c r="LU67" i="3"/>
  <c r="LT67" i="3"/>
  <c r="LS67" i="3"/>
  <c r="LR67" i="3"/>
  <c r="LQ67" i="3"/>
  <c r="LP67" i="3"/>
  <c r="LO67" i="3"/>
  <c r="LN67" i="3"/>
  <c r="LM67" i="3"/>
  <c r="LL67" i="3"/>
  <c r="LK67" i="3"/>
  <c r="LJ67" i="3"/>
  <c r="LI67" i="3"/>
  <c r="LH67" i="3"/>
  <c r="LG67" i="3"/>
  <c r="LF67" i="3"/>
  <c r="LE67" i="3"/>
  <c r="LD67" i="3"/>
  <c r="LC67" i="3"/>
  <c r="LB67" i="3"/>
  <c r="LA67" i="3"/>
  <c r="KZ67" i="3"/>
  <c r="KY67" i="3"/>
  <c r="KX67" i="3"/>
  <c r="KW67" i="3"/>
  <c r="KV67" i="3"/>
  <c r="KU67" i="3"/>
  <c r="KT67" i="3"/>
  <c r="KS67" i="3"/>
  <c r="KR67" i="3"/>
  <c r="KQ67" i="3"/>
  <c r="KP67" i="3"/>
  <c r="KO67" i="3"/>
  <c r="KN67" i="3"/>
  <c r="KM67" i="3"/>
  <c r="KL67" i="3"/>
  <c r="KK67" i="3"/>
  <c r="KJ67" i="3"/>
  <c r="KI67" i="3"/>
  <c r="KH67" i="3"/>
  <c r="KG67" i="3"/>
  <c r="KF67" i="3"/>
  <c r="KE67" i="3"/>
  <c r="KD67" i="3"/>
  <c r="KC67" i="3"/>
  <c r="KB67" i="3"/>
  <c r="KA67" i="3"/>
  <c r="JZ67" i="3"/>
  <c r="JY67" i="3"/>
  <c r="JX67" i="3"/>
  <c r="JW67" i="3"/>
  <c r="JV67" i="3"/>
  <c r="JU67" i="3"/>
  <c r="JT67" i="3"/>
  <c r="JS67" i="3"/>
  <c r="JR67" i="3"/>
  <c r="JQ67" i="3"/>
  <c r="JP67" i="3"/>
  <c r="JO67" i="3"/>
  <c r="JN67" i="3"/>
  <c r="JM67" i="3"/>
  <c r="JL67" i="3"/>
  <c r="JK67" i="3"/>
  <c r="JJ67" i="3"/>
  <c r="JI67" i="3"/>
  <c r="JH67" i="3"/>
  <c r="JG67" i="3"/>
  <c r="JF67" i="3"/>
  <c r="JE67" i="3"/>
  <c r="JD67" i="3"/>
  <c r="JC67" i="3"/>
  <c r="JB67" i="3"/>
  <c r="JA67" i="3"/>
  <c r="IZ67" i="3"/>
  <c r="IY67" i="3"/>
  <c r="IX67" i="3"/>
  <c r="IW67" i="3"/>
  <c r="IV67" i="3"/>
  <c r="IU67" i="3"/>
  <c r="IT67" i="3"/>
  <c r="IS67" i="3"/>
  <c r="IR67" i="3"/>
  <c r="IQ67" i="3"/>
  <c r="IP67" i="3"/>
  <c r="IO67" i="3"/>
  <c r="IN67" i="3"/>
  <c r="IM67" i="3"/>
  <c r="IL67" i="3"/>
  <c r="IK67" i="3"/>
  <c r="IJ67" i="3"/>
  <c r="II67" i="3"/>
  <c r="IH67" i="3"/>
  <c r="IG67" i="3"/>
  <c r="IF67" i="3"/>
  <c r="IE67" i="3"/>
  <c r="ID67" i="3"/>
  <c r="IC67" i="3"/>
  <c r="IB67" i="3"/>
  <c r="IA67" i="3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HM67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PF66" i="3"/>
  <c r="PE66" i="3"/>
  <c r="PD66" i="3"/>
  <c r="PC66" i="3"/>
  <c r="PB66" i="3"/>
  <c r="PA66" i="3"/>
  <c r="OZ66" i="3"/>
  <c r="OY66" i="3"/>
  <c r="OX66" i="3"/>
  <c r="OW66" i="3"/>
  <c r="OV66" i="3"/>
  <c r="OU66" i="3"/>
  <c r="OT66" i="3"/>
  <c r="OS66" i="3"/>
  <c r="OR66" i="3"/>
  <c r="OQ66" i="3"/>
  <c r="OP66" i="3"/>
  <c r="OO66" i="3"/>
  <c r="ON66" i="3"/>
  <c r="OM66" i="3"/>
  <c r="OL66" i="3"/>
  <c r="OK66" i="3"/>
  <c r="OJ66" i="3"/>
  <c r="OI66" i="3"/>
  <c r="OH66" i="3"/>
  <c r="OG66" i="3"/>
  <c r="OF66" i="3"/>
  <c r="OE66" i="3"/>
  <c r="OD66" i="3"/>
  <c r="OC66" i="3"/>
  <c r="OB66" i="3"/>
  <c r="OA66" i="3"/>
  <c r="NZ66" i="3"/>
  <c r="NY66" i="3"/>
  <c r="NX66" i="3"/>
  <c r="NW66" i="3"/>
  <c r="NV66" i="3"/>
  <c r="NU66" i="3"/>
  <c r="NT66" i="3"/>
  <c r="NS66" i="3"/>
  <c r="NR66" i="3"/>
  <c r="NQ66" i="3"/>
  <c r="NP66" i="3"/>
  <c r="NO66" i="3"/>
  <c r="NN66" i="3"/>
  <c r="NM66" i="3"/>
  <c r="NL66" i="3"/>
  <c r="NK66" i="3"/>
  <c r="NJ66" i="3"/>
  <c r="NI66" i="3"/>
  <c r="NH66" i="3"/>
  <c r="NG66" i="3"/>
  <c r="NF66" i="3"/>
  <c r="NE66" i="3"/>
  <c r="ND66" i="3"/>
  <c r="NC66" i="3"/>
  <c r="NB66" i="3"/>
  <c r="NA66" i="3"/>
  <c r="MZ66" i="3"/>
  <c r="MY66" i="3"/>
  <c r="MX66" i="3"/>
  <c r="MW66" i="3"/>
  <c r="MV66" i="3"/>
  <c r="MU66" i="3"/>
  <c r="MT66" i="3"/>
  <c r="MS66" i="3"/>
  <c r="MR66" i="3"/>
  <c r="MQ66" i="3"/>
  <c r="MP66" i="3"/>
  <c r="MO66" i="3"/>
  <c r="MN66" i="3"/>
  <c r="MM66" i="3"/>
  <c r="ML66" i="3"/>
  <c r="MK66" i="3"/>
  <c r="MJ66" i="3"/>
  <c r="MI66" i="3"/>
  <c r="MH66" i="3"/>
  <c r="MG66" i="3"/>
  <c r="MF66" i="3"/>
  <c r="ME66" i="3"/>
  <c r="MD66" i="3"/>
  <c r="MC66" i="3"/>
  <c r="MB66" i="3"/>
  <c r="MA66" i="3"/>
  <c r="LZ66" i="3"/>
  <c r="LY66" i="3"/>
  <c r="LX66" i="3"/>
  <c r="LW66" i="3"/>
  <c r="LV66" i="3"/>
  <c r="LU66" i="3"/>
  <c r="LT66" i="3"/>
  <c r="LS66" i="3"/>
  <c r="LR66" i="3"/>
  <c r="LQ66" i="3"/>
  <c r="LP66" i="3"/>
  <c r="LO66" i="3"/>
  <c r="LN66" i="3"/>
  <c r="LM66" i="3"/>
  <c r="LL66" i="3"/>
  <c r="LK66" i="3"/>
  <c r="LJ66" i="3"/>
  <c r="LI66" i="3"/>
  <c r="LH66" i="3"/>
  <c r="LG66" i="3"/>
  <c r="LF66" i="3"/>
  <c r="LE66" i="3"/>
  <c r="LD66" i="3"/>
  <c r="LC66" i="3"/>
  <c r="LB66" i="3"/>
  <c r="LA66" i="3"/>
  <c r="KZ66" i="3"/>
  <c r="KY66" i="3"/>
  <c r="KX66" i="3"/>
  <c r="KW66" i="3"/>
  <c r="KV66" i="3"/>
  <c r="KU66" i="3"/>
  <c r="KT66" i="3"/>
  <c r="KS66" i="3"/>
  <c r="KR66" i="3"/>
  <c r="KQ66" i="3"/>
  <c r="KP66" i="3"/>
  <c r="KO66" i="3"/>
  <c r="KN66" i="3"/>
  <c r="KM66" i="3"/>
  <c r="KL66" i="3"/>
  <c r="KK66" i="3"/>
  <c r="KJ66" i="3"/>
  <c r="KI66" i="3"/>
  <c r="KH66" i="3"/>
  <c r="KG66" i="3"/>
  <c r="KF66" i="3"/>
  <c r="KE66" i="3"/>
  <c r="KD66" i="3"/>
  <c r="KC66" i="3"/>
  <c r="KB66" i="3"/>
  <c r="KA66" i="3"/>
  <c r="JZ66" i="3"/>
  <c r="JY66" i="3"/>
  <c r="JX66" i="3"/>
  <c r="JW66" i="3"/>
  <c r="JV66" i="3"/>
  <c r="JU66" i="3"/>
  <c r="JT66" i="3"/>
  <c r="JS66" i="3"/>
  <c r="JR66" i="3"/>
  <c r="JQ66" i="3"/>
  <c r="JP66" i="3"/>
  <c r="JO66" i="3"/>
  <c r="JN66" i="3"/>
  <c r="JM66" i="3"/>
  <c r="JL66" i="3"/>
  <c r="JK66" i="3"/>
  <c r="JJ66" i="3"/>
  <c r="JI66" i="3"/>
  <c r="JH66" i="3"/>
  <c r="JG66" i="3"/>
  <c r="JF66" i="3"/>
  <c r="JE66" i="3"/>
  <c r="JD66" i="3"/>
  <c r="JC66" i="3"/>
  <c r="JB66" i="3"/>
  <c r="JA66" i="3"/>
  <c r="IZ66" i="3"/>
  <c r="IY66" i="3"/>
  <c r="IX66" i="3"/>
  <c r="IW66" i="3"/>
  <c r="IV66" i="3"/>
  <c r="IU66" i="3"/>
  <c r="IT66" i="3"/>
  <c r="IS66" i="3"/>
  <c r="IR66" i="3"/>
  <c r="IQ66" i="3"/>
  <c r="IP66" i="3"/>
  <c r="IO66" i="3"/>
  <c r="IN66" i="3"/>
  <c r="IM66" i="3"/>
  <c r="IL66" i="3"/>
  <c r="IK66" i="3"/>
  <c r="IJ66" i="3"/>
  <c r="II66" i="3"/>
  <c r="IH66" i="3"/>
  <c r="IG66" i="3"/>
  <c r="IF66" i="3"/>
  <c r="IE66" i="3"/>
  <c r="ID66" i="3"/>
  <c r="IC66" i="3"/>
  <c r="IB66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HM66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PF65" i="3"/>
  <c r="PE65" i="3"/>
  <c r="PD65" i="3"/>
  <c r="PC65" i="3"/>
  <c r="PB65" i="3"/>
  <c r="PA65" i="3"/>
  <c r="OZ65" i="3"/>
  <c r="OY65" i="3"/>
  <c r="OX65" i="3"/>
  <c r="OW65" i="3"/>
  <c r="OV65" i="3"/>
  <c r="OU65" i="3"/>
  <c r="OT65" i="3"/>
  <c r="OS65" i="3"/>
  <c r="OR65" i="3"/>
  <c r="OQ65" i="3"/>
  <c r="OP65" i="3"/>
  <c r="OO65" i="3"/>
  <c r="ON65" i="3"/>
  <c r="OM65" i="3"/>
  <c r="OL65" i="3"/>
  <c r="OK65" i="3"/>
  <c r="OJ65" i="3"/>
  <c r="OI65" i="3"/>
  <c r="OH65" i="3"/>
  <c r="OG65" i="3"/>
  <c r="OF65" i="3"/>
  <c r="OE65" i="3"/>
  <c r="OD65" i="3"/>
  <c r="OC65" i="3"/>
  <c r="OB65" i="3"/>
  <c r="OA65" i="3"/>
  <c r="NZ65" i="3"/>
  <c r="NY65" i="3"/>
  <c r="NX65" i="3"/>
  <c r="NW65" i="3"/>
  <c r="NV65" i="3"/>
  <c r="NU65" i="3"/>
  <c r="NT65" i="3"/>
  <c r="NS65" i="3"/>
  <c r="NR65" i="3"/>
  <c r="NQ65" i="3"/>
  <c r="NP65" i="3"/>
  <c r="NO65" i="3"/>
  <c r="NN65" i="3"/>
  <c r="NM65" i="3"/>
  <c r="NL65" i="3"/>
  <c r="NK65" i="3"/>
  <c r="NJ65" i="3"/>
  <c r="NI65" i="3"/>
  <c r="NH65" i="3"/>
  <c r="NG65" i="3"/>
  <c r="NF65" i="3"/>
  <c r="NE65" i="3"/>
  <c r="ND65" i="3"/>
  <c r="NC65" i="3"/>
  <c r="NB65" i="3"/>
  <c r="NA65" i="3"/>
  <c r="MZ65" i="3"/>
  <c r="MY65" i="3"/>
  <c r="MX65" i="3"/>
  <c r="MW65" i="3"/>
  <c r="MV65" i="3"/>
  <c r="MU65" i="3"/>
  <c r="MT65" i="3"/>
  <c r="MS65" i="3"/>
  <c r="MR65" i="3"/>
  <c r="MQ65" i="3"/>
  <c r="MP65" i="3"/>
  <c r="MO65" i="3"/>
  <c r="MN65" i="3"/>
  <c r="MM65" i="3"/>
  <c r="ML65" i="3"/>
  <c r="MK65" i="3"/>
  <c r="MJ65" i="3"/>
  <c r="MI65" i="3"/>
  <c r="MH65" i="3"/>
  <c r="MG65" i="3"/>
  <c r="MF65" i="3"/>
  <c r="ME65" i="3"/>
  <c r="MD65" i="3"/>
  <c r="MC65" i="3"/>
  <c r="MB65" i="3"/>
  <c r="MA65" i="3"/>
  <c r="LZ65" i="3"/>
  <c r="LY65" i="3"/>
  <c r="LX65" i="3"/>
  <c r="LW65" i="3"/>
  <c r="LV65" i="3"/>
  <c r="LU65" i="3"/>
  <c r="LT65" i="3"/>
  <c r="LS65" i="3"/>
  <c r="LR65" i="3"/>
  <c r="LQ65" i="3"/>
  <c r="LP65" i="3"/>
  <c r="LO65" i="3"/>
  <c r="LN65" i="3"/>
  <c r="LM65" i="3"/>
  <c r="LL65" i="3"/>
  <c r="LK65" i="3"/>
  <c r="LJ65" i="3"/>
  <c r="LI65" i="3"/>
  <c r="LH65" i="3"/>
  <c r="LG65" i="3"/>
  <c r="LF65" i="3"/>
  <c r="LE65" i="3"/>
  <c r="LD65" i="3"/>
  <c r="LC65" i="3"/>
  <c r="LB65" i="3"/>
  <c r="LA65" i="3"/>
  <c r="KZ65" i="3"/>
  <c r="KY65" i="3"/>
  <c r="KX65" i="3"/>
  <c r="KW65" i="3"/>
  <c r="KV65" i="3"/>
  <c r="KU65" i="3"/>
  <c r="KT65" i="3"/>
  <c r="KS65" i="3"/>
  <c r="KR65" i="3"/>
  <c r="KQ65" i="3"/>
  <c r="KP65" i="3"/>
  <c r="KO65" i="3"/>
  <c r="KN65" i="3"/>
  <c r="KM65" i="3"/>
  <c r="KL65" i="3"/>
  <c r="KK65" i="3"/>
  <c r="KJ65" i="3"/>
  <c r="KI65" i="3"/>
  <c r="KH65" i="3"/>
  <c r="KG65" i="3"/>
  <c r="KF65" i="3"/>
  <c r="KE65" i="3"/>
  <c r="KD65" i="3"/>
  <c r="KC65" i="3"/>
  <c r="KB65" i="3"/>
  <c r="KA65" i="3"/>
  <c r="JZ65" i="3"/>
  <c r="JY65" i="3"/>
  <c r="JX65" i="3"/>
  <c r="JW65" i="3"/>
  <c r="JV65" i="3"/>
  <c r="JU65" i="3"/>
  <c r="JT65" i="3"/>
  <c r="JS65" i="3"/>
  <c r="JR65" i="3"/>
  <c r="JQ65" i="3"/>
  <c r="JP65" i="3"/>
  <c r="JO65" i="3"/>
  <c r="JN65" i="3"/>
  <c r="JM65" i="3"/>
  <c r="JL65" i="3"/>
  <c r="JK65" i="3"/>
  <c r="JJ65" i="3"/>
  <c r="JI65" i="3"/>
  <c r="JH65" i="3"/>
  <c r="JG65" i="3"/>
  <c r="JF65" i="3"/>
  <c r="JE65" i="3"/>
  <c r="JD65" i="3"/>
  <c r="JC65" i="3"/>
  <c r="JB65" i="3"/>
  <c r="JA65" i="3"/>
  <c r="IZ65" i="3"/>
  <c r="IY65" i="3"/>
  <c r="IX65" i="3"/>
  <c r="IW65" i="3"/>
  <c r="IV65" i="3"/>
  <c r="IU65" i="3"/>
  <c r="IT65" i="3"/>
  <c r="IS65" i="3"/>
  <c r="IR65" i="3"/>
  <c r="IQ65" i="3"/>
  <c r="IP65" i="3"/>
  <c r="IO65" i="3"/>
  <c r="IN65" i="3"/>
  <c r="IM65" i="3"/>
  <c r="IL65" i="3"/>
  <c r="IK65" i="3"/>
  <c r="IJ65" i="3"/>
  <c r="II65" i="3"/>
  <c r="IH65" i="3"/>
  <c r="IG65" i="3"/>
  <c r="IF65" i="3"/>
  <c r="IE65" i="3"/>
  <c r="ID65" i="3"/>
  <c r="IC65" i="3"/>
  <c r="IB65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HM65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PF64" i="3"/>
  <c r="PE64" i="3"/>
  <c r="PD64" i="3"/>
  <c r="PC64" i="3"/>
  <c r="PB64" i="3"/>
  <c r="PA64" i="3"/>
  <c r="OZ64" i="3"/>
  <c r="OY64" i="3"/>
  <c r="OX64" i="3"/>
  <c r="OW64" i="3"/>
  <c r="OV64" i="3"/>
  <c r="OU64" i="3"/>
  <c r="OT64" i="3"/>
  <c r="OS64" i="3"/>
  <c r="OR64" i="3"/>
  <c r="OQ64" i="3"/>
  <c r="OP64" i="3"/>
  <c r="OO64" i="3"/>
  <c r="ON64" i="3"/>
  <c r="OM64" i="3"/>
  <c r="OL64" i="3"/>
  <c r="OK64" i="3"/>
  <c r="OJ64" i="3"/>
  <c r="OI64" i="3"/>
  <c r="OH64" i="3"/>
  <c r="OG64" i="3"/>
  <c r="OF64" i="3"/>
  <c r="OE64" i="3"/>
  <c r="OD64" i="3"/>
  <c r="OC64" i="3"/>
  <c r="OB64" i="3"/>
  <c r="OA64" i="3"/>
  <c r="NZ64" i="3"/>
  <c r="NY64" i="3"/>
  <c r="NX64" i="3"/>
  <c r="NW64" i="3"/>
  <c r="NV64" i="3"/>
  <c r="NU64" i="3"/>
  <c r="NT64" i="3"/>
  <c r="NS64" i="3"/>
  <c r="NR64" i="3"/>
  <c r="NQ64" i="3"/>
  <c r="NP64" i="3"/>
  <c r="NO64" i="3"/>
  <c r="NN64" i="3"/>
  <c r="NM64" i="3"/>
  <c r="NL64" i="3"/>
  <c r="NK64" i="3"/>
  <c r="NJ64" i="3"/>
  <c r="NI64" i="3"/>
  <c r="NH64" i="3"/>
  <c r="NG64" i="3"/>
  <c r="NF64" i="3"/>
  <c r="NE64" i="3"/>
  <c r="ND64" i="3"/>
  <c r="NC64" i="3"/>
  <c r="NB64" i="3"/>
  <c r="NA64" i="3"/>
  <c r="MZ64" i="3"/>
  <c r="MY64" i="3"/>
  <c r="MX64" i="3"/>
  <c r="MW64" i="3"/>
  <c r="MV64" i="3"/>
  <c r="MU64" i="3"/>
  <c r="MT64" i="3"/>
  <c r="MS64" i="3"/>
  <c r="MR64" i="3"/>
  <c r="MQ64" i="3"/>
  <c r="MP64" i="3"/>
  <c r="MO64" i="3"/>
  <c r="MN64" i="3"/>
  <c r="MM64" i="3"/>
  <c r="ML64" i="3"/>
  <c r="MK64" i="3"/>
  <c r="MJ64" i="3"/>
  <c r="MI64" i="3"/>
  <c r="MH64" i="3"/>
  <c r="MG64" i="3"/>
  <c r="MF64" i="3"/>
  <c r="ME64" i="3"/>
  <c r="MD64" i="3"/>
  <c r="MC64" i="3"/>
  <c r="MB64" i="3"/>
  <c r="MA64" i="3"/>
  <c r="LZ64" i="3"/>
  <c r="LY64" i="3"/>
  <c r="LX64" i="3"/>
  <c r="LW64" i="3"/>
  <c r="LV64" i="3"/>
  <c r="LU64" i="3"/>
  <c r="LT64" i="3"/>
  <c r="LS64" i="3"/>
  <c r="LR64" i="3"/>
  <c r="LQ64" i="3"/>
  <c r="LP64" i="3"/>
  <c r="LO64" i="3"/>
  <c r="LN64" i="3"/>
  <c r="LM64" i="3"/>
  <c r="LL64" i="3"/>
  <c r="LK64" i="3"/>
  <c r="LJ64" i="3"/>
  <c r="LI64" i="3"/>
  <c r="LH64" i="3"/>
  <c r="LG64" i="3"/>
  <c r="LF64" i="3"/>
  <c r="LE64" i="3"/>
  <c r="LD64" i="3"/>
  <c r="LC64" i="3"/>
  <c r="LB64" i="3"/>
  <c r="LA64" i="3"/>
  <c r="KZ64" i="3"/>
  <c r="KY64" i="3"/>
  <c r="KX64" i="3"/>
  <c r="KW64" i="3"/>
  <c r="KV64" i="3"/>
  <c r="KU64" i="3"/>
  <c r="KT64" i="3"/>
  <c r="KS64" i="3"/>
  <c r="KR64" i="3"/>
  <c r="KQ64" i="3"/>
  <c r="KP64" i="3"/>
  <c r="KO64" i="3"/>
  <c r="KN64" i="3"/>
  <c r="KM64" i="3"/>
  <c r="KL64" i="3"/>
  <c r="KK64" i="3"/>
  <c r="KJ64" i="3"/>
  <c r="KI64" i="3"/>
  <c r="KH64" i="3"/>
  <c r="KG64" i="3"/>
  <c r="KF64" i="3"/>
  <c r="KE64" i="3"/>
  <c r="KD64" i="3"/>
  <c r="KC64" i="3"/>
  <c r="KB64" i="3"/>
  <c r="KA64" i="3"/>
  <c r="JZ64" i="3"/>
  <c r="JY64" i="3"/>
  <c r="JX64" i="3"/>
  <c r="JW64" i="3"/>
  <c r="JV64" i="3"/>
  <c r="JU64" i="3"/>
  <c r="JT64" i="3"/>
  <c r="JS64" i="3"/>
  <c r="JR64" i="3"/>
  <c r="JQ64" i="3"/>
  <c r="JP64" i="3"/>
  <c r="JO64" i="3"/>
  <c r="JN64" i="3"/>
  <c r="JM64" i="3"/>
  <c r="JL64" i="3"/>
  <c r="JK64" i="3"/>
  <c r="JJ64" i="3"/>
  <c r="JI64" i="3"/>
  <c r="JH64" i="3"/>
  <c r="JG64" i="3"/>
  <c r="JF64" i="3"/>
  <c r="JE64" i="3"/>
  <c r="JD64" i="3"/>
  <c r="JC64" i="3"/>
  <c r="JB64" i="3"/>
  <c r="JA64" i="3"/>
  <c r="IZ64" i="3"/>
  <c r="IY64" i="3"/>
  <c r="IX64" i="3"/>
  <c r="IW64" i="3"/>
  <c r="IV64" i="3"/>
  <c r="IU64" i="3"/>
  <c r="IT64" i="3"/>
  <c r="IS64" i="3"/>
  <c r="IR64" i="3"/>
  <c r="IQ64" i="3"/>
  <c r="IP64" i="3"/>
  <c r="IO64" i="3"/>
  <c r="IN64" i="3"/>
  <c r="IM64" i="3"/>
  <c r="IL64" i="3"/>
  <c r="IK64" i="3"/>
  <c r="IJ64" i="3"/>
  <c r="II64" i="3"/>
  <c r="IH64" i="3"/>
  <c r="IG64" i="3"/>
  <c r="IF64" i="3"/>
  <c r="IE64" i="3"/>
  <c r="ID64" i="3"/>
  <c r="IC64" i="3"/>
  <c r="IB64" i="3"/>
  <c r="IA64" i="3"/>
  <c r="HZ64" i="3"/>
  <c r="HY64" i="3"/>
  <c r="HX64" i="3"/>
  <c r="HW64" i="3"/>
  <c r="HV64" i="3"/>
  <c r="HU64" i="3"/>
  <c r="HT64" i="3"/>
  <c r="HS64" i="3"/>
  <c r="HR64" i="3"/>
  <c r="HQ64" i="3"/>
  <c r="HP64" i="3"/>
  <c r="HO64" i="3"/>
  <c r="HN64" i="3"/>
  <c r="HM64" i="3"/>
  <c r="HL64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PF63" i="3"/>
  <c r="PE63" i="3"/>
  <c r="PD63" i="3"/>
  <c r="PC63" i="3"/>
  <c r="PB63" i="3"/>
  <c r="PA63" i="3"/>
  <c r="OZ63" i="3"/>
  <c r="OY63" i="3"/>
  <c r="OX63" i="3"/>
  <c r="OW63" i="3"/>
  <c r="OV63" i="3"/>
  <c r="OU63" i="3"/>
  <c r="OT63" i="3"/>
  <c r="OS63" i="3"/>
  <c r="OR63" i="3"/>
  <c r="OQ63" i="3"/>
  <c r="OP63" i="3"/>
  <c r="OO63" i="3"/>
  <c r="ON63" i="3"/>
  <c r="OM63" i="3"/>
  <c r="OL63" i="3"/>
  <c r="OK63" i="3"/>
  <c r="OJ63" i="3"/>
  <c r="OI63" i="3"/>
  <c r="OH63" i="3"/>
  <c r="OG63" i="3"/>
  <c r="OF63" i="3"/>
  <c r="OE63" i="3"/>
  <c r="OD63" i="3"/>
  <c r="OC63" i="3"/>
  <c r="OB63" i="3"/>
  <c r="OA63" i="3"/>
  <c r="NZ63" i="3"/>
  <c r="NY63" i="3"/>
  <c r="NX63" i="3"/>
  <c r="NW63" i="3"/>
  <c r="NV63" i="3"/>
  <c r="NU63" i="3"/>
  <c r="NT63" i="3"/>
  <c r="NS63" i="3"/>
  <c r="NR63" i="3"/>
  <c r="NQ63" i="3"/>
  <c r="NP63" i="3"/>
  <c r="NO63" i="3"/>
  <c r="NN63" i="3"/>
  <c r="NM63" i="3"/>
  <c r="NL63" i="3"/>
  <c r="NK63" i="3"/>
  <c r="NJ63" i="3"/>
  <c r="NI63" i="3"/>
  <c r="NH63" i="3"/>
  <c r="NG63" i="3"/>
  <c r="NF63" i="3"/>
  <c r="NE63" i="3"/>
  <c r="ND63" i="3"/>
  <c r="NC63" i="3"/>
  <c r="NB63" i="3"/>
  <c r="NA63" i="3"/>
  <c r="MZ63" i="3"/>
  <c r="MY63" i="3"/>
  <c r="MX63" i="3"/>
  <c r="MW63" i="3"/>
  <c r="MV63" i="3"/>
  <c r="MU63" i="3"/>
  <c r="MT63" i="3"/>
  <c r="MS63" i="3"/>
  <c r="MR63" i="3"/>
  <c r="MQ63" i="3"/>
  <c r="MP63" i="3"/>
  <c r="MO63" i="3"/>
  <c r="MN63" i="3"/>
  <c r="MM63" i="3"/>
  <c r="ML63" i="3"/>
  <c r="MK63" i="3"/>
  <c r="MJ63" i="3"/>
  <c r="MI63" i="3"/>
  <c r="MH63" i="3"/>
  <c r="MG63" i="3"/>
  <c r="MF63" i="3"/>
  <c r="ME63" i="3"/>
  <c r="MD63" i="3"/>
  <c r="MC63" i="3"/>
  <c r="MB63" i="3"/>
  <c r="MA63" i="3"/>
  <c r="LZ63" i="3"/>
  <c r="LY63" i="3"/>
  <c r="LX63" i="3"/>
  <c r="LW63" i="3"/>
  <c r="LV63" i="3"/>
  <c r="LU63" i="3"/>
  <c r="LT63" i="3"/>
  <c r="LS63" i="3"/>
  <c r="LR63" i="3"/>
  <c r="LQ63" i="3"/>
  <c r="LP63" i="3"/>
  <c r="LO63" i="3"/>
  <c r="LN63" i="3"/>
  <c r="LM63" i="3"/>
  <c r="LL63" i="3"/>
  <c r="LK63" i="3"/>
  <c r="LJ63" i="3"/>
  <c r="LI63" i="3"/>
  <c r="LH63" i="3"/>
  <c r="LG63" i="3"/>
  <c r="LF63" i="3"/>
  <c r="LE63" i="3"/>
  <c r="LD63" i="3"/>
  <c r="LC63" i="3"/>
  <c r="LB63" i="3"/>
  <c r="LA63" i="3"/>
  <c r="KZ63" i="3"/>
  <c r="KY63" i="3"/>
  <c r="KX63" i="3"/>
  <c r="KW63" i="3"/>
  <c r="KV63" i="3"/>
  <c r="KU63" i="3"/>
  <c r="KT63" i="3"/>
  <c r="KS63" i="3"/>
  <c r="KR63" i="3"/>
  <c r="KQ63" i="3"/>
  <c r="KP63" i="3"/>
  <c r="KO63" i="3"/>
  <c r="KN63" i="3"/>
  <c r="KM63" i="3"/>
  <c r="KL63" i="3"/>
  <c r="KK63" i="3"/>
  <c r="KJ63" i="3"/>
  <c r="KI63" i="3"/>
  <c r="KH63" i="3"/>
  <c r="KG63" i="3"/>
  <c r="KF63" i="3"/>
  <c r="KE63" i="3"/>
  <c r="KD63" i="3"/>
  <c r="KC63" i="3"/>
  <c r="KB63" i="3"/>
  <c r="KA63" i="3"/>
  <c r="JZ63" i="3"/>
  <c r="JY63" i="3"/>
  <c r="JX63" i="3"/>
  <c r="JW63" i="3"/>
  <c r="JV63" i="3"/>
  <c r="JU63" i="3"/>
  <c r="JT63" i="3"/>
  <c r="JS63" i="3"/>
  <c r="JR63" i="3"/>
  <c r="JQ63" i="3"/>
  <c r="JP63" i="3"/>
  <c r="JO63" i="3"/>
  <c r="JN63" i="3"/>
  <c r="JM63" i="3"/>
  <c r="JL63" i="3"/>
  <c r="JK63" i="3"/>
  <c r="JJ63" i="3"/>
  <c r="JI63" i="3"/>
  <c r="JH63" i="3"/>
  <c r="JG63" i="3"/>
  <c r="JF63" i="3"/>
  <c r="JE63" i="3"/>
  <c r="JD63" i="3"/>
  <c r="JC63" i="3"/>
  <c r="JB63" i="3"/>
  <c r="JA63" i="3"/>
  <c r="IZ63" i="3"/>
  <c r="IY63" i="3"/>
  <c r="IX63" i="3"/>
  <c r="IW63" i="3"/>
  <c r="IV63" i="3"/>
  <c r="IU63" i="3"/>
  <c r="IT63" i="3"/>
  <c r="IS63" i="3"/>
  <c r="IR63" i="3"/>
  <c r="IQ63" i="3"/>
  <c r="IP63" i="3"/>
  <c r="IO63" i="3"/>
  <c r="IN63" i="3"/>
  <c r="IM63" i="3"/>
  <c r="IL63" i="3"/>
  <c r="IK63" i="3"/>
  <c r="IJ63" i="3"/>
  <c r="II63" i="3"/>
  <c r="IH63" i="3"/>
  <c r="IG63" i="3"/>
  <c r="IF63" i="3"/>
  <c r="IE63" i="3"/>
  <c r="ID63" i="3"/>
  <c r="IC63" i="3"/>
  <c r="IB63" i="3"/>
  <c r="IA63" i="3"/>
  <c r="HZ63" i="3"/>
  <c r="HY63" i="3"/>
  <c r="HX63" i="3"/>
  <c r="HW63" i="3"/>
  <c r="HV63" i="3"/>
  <c r="HU63" i="3"/>
  <c r="HT63" i="3"/>
  <c r="HS63" i="3"/>
  <c r="HR63" i="3"/>
  <c r="HQ63" i="3"/>
  <c r="HP63" i="3"/>
  <c r="HO63" i="3"/>
  <c r="HN63" i="3"/>
  <c r="HM63" i="3"/>
  <c r="HL63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PF62" i="3"/>
  <c r="PE62" i="3"/>
  <c r="PD62" i="3"/>
  <c r="PC62" i="3"/>
  <c r="PB62" i="3"/>
  <c r="PA62" i="3"/>
  <c r="OZ62" i="3"/>
  <c r="OY62" i="3"/>
  <c r="OX62" i="3"/>
  <c r="OW62" i="3"/>
  <c r="OV62" i="3"/>
  <c r="OU62" i="3"/>
  <c r="OT62" i="3"/>
  <c r="OS62" i="3"/>
  <c r="OR62" i="3"/>
  <c r="OQ62" i="3"/>
  <c r="OP62" i="3"/>
  <c r="OO62" i="3"/>
  <c r="ON62" i="3"/>
  <c r="OM62" i="3"/>
  <c r="OL62" i="3"/>
  <c r="OK62" i="3"/>
  <c r="OJ62" i="3"/>
  <c r="OI62" i="3"/>
  <c r="OH62" i="3"/>
  <c r="OG62" i="3"/>
  <c r="OF62" i="3"/>
  <c r="OE62" i="3"/>
  <c r="OD62" i="3"/>
  <c r="OC62" i="3"/>
  <c r="OB62" i="3"/>
  <c r="OA62" i="3"/>
  <c r="NZ62" i="3"/>
  <c r="NY62" i="3"/>
  <c r="NX62" i="3"/>
  <c r="NW62" i="3"/>
  <c r="NV62" i="3"/>
  <c r="NU62" i="3"/>
  <c r="NT62" i="3"/>
  <c r="NS62" i="3"/>
  <c r="NR62" i="3"/>
  <c r="NQ62" i="3"/>
  <c r="NP62" i="3"/>
  <c r="NO62" i="3"/>
  <c r="NN62" i="3"/>
  <c r="NM62" i="3"/>
  <c r="NL62" i="3"/>
  <c r="NK62" i="3"/>
  <c r="NJ62" i="3"/>
  <c r="NI62" i="3"/>
  <c r="NH62" i="3"/>
  <c r="NG62" i="3"/>
  <c r="NF62" i="3"/>
  <c r="NE62" i="3"/>
  <c r="ND62" i="3"/>
  <c r="NC62" i="3"/>
  <c r="NB62" i="3"/>
  <c r="NA62" i="3"/>
  <c r="MZ62" i="3"/>
  <c r="MY62" i="3"/>
  <c r="MX62" i="3"/>
  <c r="MW62" i="3"/>
  <c r="MV62" i="3"/>
  <c r="MU62" i="3"/>
  <c r="MT62" i="3"/>
  <c r="MS62" i="3"/>
  <c r="MR62" i="3"/>
  <c r="MQ62" i="3"/>
  <c r="MP62" i="3"/>
  <c r="MO62" i="3"/>
  <c r="MN62" i="3"/>
  <c r="MM62" i="3"/>
  <c r="ML62" i="3"/>
  <c r="MK62" i="3"/>
  <c r="MJ62" i="3"/>
  <c r="MI62" i="3"/>
  <c r="MH62" i="3"/>
  <c r="MG62" i="3"/>
  <c r="MF62" i="3"/>
  <c r="ME62" i="3"/>
  <c r="MD62" i="3"/>
  <c r="MC62" i="3"/>
  <c r="MB62" i="3"/>
  <c r="MA62" i="3"/>
  <c r="LZ62" i="3"/>
  <c r="LY62" i="3"/>
  <c r="LX62" i="3"/>
  <c r="LW62" i="3"/>
  <c r="LV62" i="3"/>
  <c r="LU62" i="3"/>
  <c r="LT62" i="3"/>
  <c r="LS62" i="3"/>
  <c r="LR62" i="3"/>
  <c r="LQ62" i="3"/>
  <c r="LP62" i="3"/>
  <c r="LO62" i="3"/>
  <c r="LN62" i="3"/>
  <c r="LM62" i="3"/>
  <c r="LL62" i="3"/>
  <c r="LK62" i="3"/>
  <c r="LJ62" i="3"/>
  <c r="LI62" i="3"/>
  <c r="LH62" i="3"/>
  <c r="LG62" i="3"/>
  <c r="LF62" i="3"/>
  <c r="LE62" i="3"/>
  <c r="LD62" i="3"/>
  <c r="LC62" i="3"/>
  <c r="LB62" i="3"/>
  <c r="LA62" i="3"/>
  <c r="KZ62" i="3"/>
  <c r="KY62" i="3"/>
  <c r="KX62" i="3"/>
  <c r="KW62" i="3"/>
  <c r="KV62" i="3"/>
  <c r="KU62" i="3"/>
  <c r="KT62" i="3"/>
  <c r="KS62" i="3"/>
  <c r="KR62" i="3"/>
  <c r="KQ62" i="3"/>
  <c r="KP62" i="3"/>
  <c r="KO62" i="3"/>
  <c r="KN62" i="3"/>
  <c r="KM62" i="3"/>
  <c r="KL62" i="3"/>
  <c r="KK62" i="3"/>
  <c r="KJ62" i="3"/>
  <c r="KI62" i="3"/>
  <c r="KH62" i="3"/>
  <c r="KG62" i="3"/>
  <c r="KF62" i="3"/>
  <c r="KE62" i="3"/>
  <c r="KD62" i="3"/>
  <c r="KC62" i="3"/>
  <c r="KB62" i="3"/>
  <c r="KA62" i="3"/>
  <c r="JZ62" i="3"/>
  <c r="JY62" i="3"/>
  <c r="JX62" i="3"/>
  <c r="JW62" i="3"/>
  <c r="JV62" i="3"/>
  <c r="JU62" i="3"/>
  <c r="JT62" i="3"/>
  <c r="JS62" i="3"/>
  <c r="JR62" i="3"/>
  <c r="JQ62" i="3"/>
  <c r="JP62" i="3"/>
  <c r="JO62" i="3"/>
  <c r="JN62" i="3"/>
  <c r="JM62" i="3"/>
  <c r="JL62" i="3"/>
  <c r="JK62" i="3"/>
  <c r="JJ62" i="3"/>
  <c r="JI62" i="3"/>
  <c r="JH62" i="3"/>
  <c r="JG62" i="3"/>
  <c r="JF62" i="3"/>
  <c r="JE62" i="3"/>
  <c r="JD62" i="3"/>
  <c r="JC62" i="3"/>
  <c r="JB62" i="3"/>
  <c r="JA62" i="3"/>
  <c r="IZ62" i="3"/>
  <c r="IY62" i="3"/>
  <c r="IX62" i="3"/>
  <c r="IW62" i="3"/>
  <c r="IV62" i="3"/>
  <c r="IU62" i="3"/>
  <c r="IT62" i="3"/>
  <c r="IS62" i="3"/>
  <c r="IR62" i="3"/>
  <c r="IQ62" i="3"/>
  <c r="IP62" i="3"/>
  <c r="IO62" i="3"/>
  <c r="IN62" i="3"/>
  <c r="IM62" i="3"/>
  <c r="IL62" i="3"/>
  <c r="IK62" i="3"/>
  <c r="IJ62" i="3"/>
  <c r="II62" i="3"/>
  <c r="IH62" i="3"/>
  <c r="IG62" i="3"/>
  <c r="IF62" i="3"/>
  <c r="IE62" i="3"/>
  <c r="ID62" i="3"/>
  <c r="IC62" i="3"/>
  <c r="IB62" i="3"/>
  <c r="IA62" i="3"/>
  <c r="HZ62" i="3"/>
  <c r="HY62" i="3"/>
  <c r="HX62" i="3"/>
  <c r="HW62" i="3"/>
  <c r="HV62" i="3"/>
  <c r="HU62" i="3"/>
  <c r="HT62" i="3"/>
  <c r="HS62" i="3"/>
  <c r="HR62" i="3"/>
  <c r="HQ62" i="3"/>
  <c r="HP62" i="3"/>
  <c r="HO62" i="3"/>
  <c r="HN62" i="3"/>
  <c r="HM62" i="3"/>
  <c r="HL62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PF61" i="3"/>
  <c r="PE61" i="3"/>
  <c r="PD61" i="3"/>
  <c r="PC61" i="3"/>
  <c r="PB61" i="3"/>
  <c r="PA61" i="3"/>
  <c r="OZ61" i="3"/>
  <c r="OY61" i="3"/>
  <c r="OX61" i="3"/>
  <c r="OW61" i="3"/>
  <c r="OV61" i="3"/>
  <c r="OU61" i="3"/>
  <c r="OT61" i="3"/>
  <c r="OS61" i="3"/>
  <c r="OR61" i="3"/>
  <c r="OQ61" i="3"/>
  <c r="OP61" i="3"/>
  <c r="OO61" i="3"/>
  <c r="ON61" i="3"/>
  <c r="OM61" i="3"/>
  <c r="OL61" i="3"/>
  <c r="OK61" i="3"/>
  <c r="OJ61" i="3"/>
  <c r="OI61" i="3"/>
  <c r="OH61" i="3"/>
  <c r="OG61" i="3"/>
  <c r="OF61" i="3"/>
  <c r="OE61" i="3"/>
  <c r="OD61" i="3"/>
  <c r="OC61" i="3"/>
  <c r="OB61" i="3"/>
  <c r="OA61" i="3"/>
  <c r="NZ61" i="3"/>
  <c r="NY61" i="3"/>
  <c r="NX61" i="3"/>
  <c r="NW61" i="3"/>
  <c r="NV61" i="3"/>
  <c r="NU61" i="3"/>
  <c r="NT61" i="3"/>
  <c r="NS61" i="3"/>
  <c r="NR61" i="3"/>
  <c r="NQ61" i="3"/>
  <c r="NP61" i="3"/>
  <c r="NO61" i="3"/>
  <c r="NN61" i="3"/>
  <c r="NM61" i="3"/>
  <c r="NL61" i="3"/>
  <c r="NK61" i="3"/>
  <c r="NJ61" i="3"/>
  <c r="NI61" i="3"/>
  <c r="NH61" i="3"/>
  <c r="NG61" i="3"/>
  <c r="NF61" i="3"/>
  <c r="NE61" i="3"/>
  <c r="ND61" i="3"/>
  <c r="NC61" i="3"/>
  <c r="NB61" i="3"/>
  <c r="NA61" i="3"/>
  <c r="MZ61" i="3"/>
  <c r="MY61" i="3"/>
  <c r="MX61" i="3"/>
  <c r="MW61" i="3"/>
  <c r="MV61" i="3"/>
  <c r="MU61" i="3"/>
  <c r="MT61" i="3"/>
  <c r="MS61" i="3"/>
  <c r="MR61" i="3"/>
  <c r="MQ61" i="3"/>
  <c r="MP61" i="3"/>
  <c r="MO61" i="3"/>
  <c r="MN61" i="3"/>
  <c r="MM61" i="3"/>
  <c r="ML61" i="3"/>
  <c r="MK61" i="3"/>
  <c r="MJ61" i="3"/>
  <c r="MI61" i="3"/>
  <c r="MH61" i="3"/>
  <c r="MG61" i="3"/>
  <c r="MF61" i="3"/>
  <c r="ME61" i="3"/>
  <c r="MD61" i="3"/>
  <c r="MC61" i="3"/>
  <c r="MB61" i="3"/>
  <c r="MA61" i="3"/>
  <c r="LZ61" i="3"/>
  <c r="LY61" i="3"/>
  <c r="LX61" i="3"/>
  <c r="LW61" i="3"/>
  <c r="LV61" i="3"/>
  <c r="LU61" i="3"/>
  <c r="LT61" i="3"/>
  <c r="LS61" i="3"/>
  <c r="LR61" i="3"/>
  <c r="LQ61" i="3"/>
  <c r="LP61" i="3"/>
  <c r="LO61" i="3"/>
  <c r="LN61" i="3"/>
  <c r="LM61" i="3"/>
  <c r="LL61" i="3"/>
  <c r="LK61" i="3"/>
  <c r="LJ61" i="3"/>
  <c r="LI61" i="3"/>
  <c r="LH61" i="3"/>
  <c r="LG61" i="3"/>
  <c r="LF61" i="3"/>
  <c r="LE61" i="3"/>
  <c r="LD61" i="3"/>
  <c r="LC61" i="3"/>
  <c r="LB61" i="3"/>
  <c r="LA61" i="3"/>
  <c r="KZ61" i="3"/>
  <c r="KY61" i="3"/>
  <c r="KX61" i="3"/>
  <c r="KW61" i="3"/>
  <c r="KV61" i="3"/>
  <c r="KU61" i="3"/>
  <c r="KT61" i="3"/>
  <c r="KS61" i="3"/>
  <c r="KR61" i="3"/>
  <c r="KQ61" i="3"/>
  <c r="KP61" i="3"/>
  <c r="KO61" i="3"/>
  <c r="KN61" i="3"/>
  <c r="KM61" i="3"/>
  <c r="KL61" i="3"/>
  <c r="KK61" i="3"/>
  <c r="KJ61" i="3"/>
  <c r="KI61" i="3"/>
  <c r="KH61" i="3"/>
  <c r="KG61" i="3"/>
  <c r="KF61" i="3"/>
  <c r="KE61" i="3"/>
  <c r="KD61" i="3"/>
  <c r="KC61" i="3"/>
  <c r="KB61" i="3"/>
  <c r="KA61" i="3"/>
  <c r="JZ61" i="3"/>
  <c r="JY61" i="3"/>
  <c r="JX61" i="3"/>
  <c r="JW61" i="3"/>
  <c r="JV61" i="3"/>
  <c r="JU61" i="3"/>
  <c r="JT61" i="3"/>
  <c r="JS61" i="3"/>
  <c r="JR61" i="3"/>
  <c r="JQ61" i="3"/>
  <c r="JP61" i="3"/>
  <c r="JO61" i="3"/>
  <c r="JN61" i="3"/>
  <c r="JM61" i="3"/>
  <c r="JL61" i="3"/>
  <c r="JK61" i="3"/>
  <c r="JJ61" i="3"/>
  <c r="JI61" i="3"/>
  <c r="JH61" i="3"/>
  <c r="JG61" i="3"/>
  <c r="JF61" i="3"/>
  <c r="JE61" i="3"/>
  <c r="JD61" i="3"/>
  <c r="JC61" i="3"/>
  <c r="JB61" i="3"/>
  <c r="JA61" i="3"/>
  <c r="IZ61" i="3"/>
  <c r="IY61" i="3"/>
  <c r="IX61" i="3"/>
  <c r="IW61" i="3"/>
  <c r="IV61" i="3"/>
  <c r="IU61" i="3"/>
  <c r="IT61" i="3"/>
  <c r="IS61" i="3"/>
  <c r="IR61" i="3"/>
  <c r="IQ61" i="3"/>
  <c r="IP61" i="3"/>
  <c r="IO61" i="3"/>
  <c r="IN61" i="3"/>
  <c r="IM61" i="3"/>
  <c r="IL61" i="3"/>
  <c r="IK61" i="3"/>
  <c r="IJ61" i="3"/>
  <c r="II61" i="3"/>
  <c r="IH61" i="3"/>
  <c r="IG61" i="3"/>
  <c r="IF61" i="3"/>
  <c r="IE61" i="3"/>
  <c r="ID61" i="3"/>
  <c r="IC61" i="3"/>
  <c r="IB61" i="3"/>
  <c r="IA61" i="3"/>
  <c r="HZ61" i="3"/>
  <c r="HY61" i="3"/>
  <c r="HX61" i="3"/>
  <c r="HW61" i="3"/>
  <c r="HV61" i="3"/>
  <c r="HU61" i="3"/>
  <c r="HT61" i="3"/>
  <c r="HS61" i="3"/>
  <c r="HR61" i="3"/>
  <c r="HQ61" i="3"/>
  <c r="HP61" i="3"/>
  <c r="HO61" i="3"/>
  <c r="HN61" i="3"/>
  <c r="HM61" i="3"/>
  <c r="HL61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PF60" i="3"/>
  <c r="PE60" i="3"/>
  <c r="PD60" i="3"/>
  <c r="PC60" i="3"/>
  <c r="PB60" i="3"/>
  <c r="PA60" i="3"/>
  <c r="OZ60" i="3"/>
  <c r="OY60" i="3"/>
  <c r="OX60" i="3"/>
  <c r="OW60" i="3"/>
  <c r="OV60" i="3"/>
  <c r="OU60" i="3"/>
  <c r="OT60" i="3"/>
  <c r="OS60" i="3"/>
  <c r="OR60" i="3"/>
  <c r="OQ60" i="3"/>
  <c r="OP60" i="3"/>
  <c r="OO60" i="3"/>
  <c r="ON60" i="3"/>
  <c r="OM60" i="3"/>
  <c r="OL60" i="3"/>
  <c r="OK60" i="3"/>
  <c r="OJ60" i="3"/>
  <c r="OI60" i="3"/>
  <c r="OH60" i="3"/>
  <c r="OG60" i="3"/>
  <c r="OF60" i="3"/>
  <c r="OE60" i="3"/>
  <c r="OD60" i="3"/>
  <c r="OC60" i="3"/>
  <c r="OB60" i="3"/>
  <c r="OA60" i="3"/>
  <c r="NZ60" i="3"/>
  <c r="NY60" i="3"/>
  <c r="NX60" i="3"/>
  <c r="NW60" i="3"/>
  <c r="NV60" i="3"/>
  <c r="NU60" i="3"/>
  <c r="NT60" i="3"/>
  <c r="NS60" i="3"/>
  <c r="NR60" i="3"/>
  <c r="NQ60" i="3"/>
  <c r="NP60" i="3"/>
  <c r="NO60" i="3"/>
  <c r="NN60" i="3"/>
  <c r="NM60" i="3"/>
  <c r="NL60" i="3"/>
  <c r="NK60" i="3"/>
  <c r="NJ60" i="3"/>
  <c r="NI60" i="3"/>
  <c r="NH60" i="3"/>
  <c r="NG60" i="3"/>
  <c r="NF60" i="3"/>
  <c r="NE60" i="3"/>
  <c r="ND60" i="3"/>
  <c r="NC60" i="3"/>
  <c r="NB60" i="3"/>
  <c r="NA60" i="3"/>
  <c r="MZ60" i="3"/>
  <c r="MY60" i="3"/>
  <c r="MX60" i="3"/>
  <c r="MW60" i="3"/>
  <c r="MV60" i="3"/>
  <c r="MU60" i="3"/>
  <c r="MT60" i="3"/>
  <c r="MS60" i="3"/>
  <c r="MR60" i="3"/>
  <c r="MQ60" i="3"/>
  <c r="MP60" i="3"/>
  <c r="MO60" i="3"/>
  <c r="MN60" i="3"/>
  <c r="MM60" i="3"/>
  <c r="ML60" i="3"/>
  <c r="MK60" i="3"/>
  <c r="MJ60" i="3"/>
  <c r="MI60" i="3"/>
  <c r="MH60" i="3"/>
  <c r="MG60" i="3"/>
  <c r="MF60" i="3"/>
  <c r="ME60" i="3"/>
  <c r="MD60" i="3"/>
  <c r="MC60" i="3"/>
  <c r="MB60" i="3"/>
  <c r="MA60" i="3"/>
  <c r="LZ60" i="3"/>
  <c r="LY60" i="3"/>
  <c r="LX60" i="3"/>
  <c r="LW60" i="3"/>
  <c r="LV60" i="3"/>
  <c r="LU60" i="3"/>
  <c r="LT60" i="3"/>
  <c r="LS60" i="3"/>
  <c r="LR60" i="3"/>
  <c r="LQ60" i="3"/>
  <c r="LP60" i="3"/>
  <c r="LO60" i="3"/>
  <c r="LN60" i="3"/>
  <c r="LM60" i="3"/>
  <c r="LL60" i="3"/>
  <c r="LK60" i="3"/>
  <c r="LJ60" i="3"/>
  <c r="LI60" i="3"/>
  <c r="LH60" i="3"/>
  <c r="LG60" i="3"/>
  <c r="LF60" i="3"/>
  <c r="LE60" i="3"/>
  <c r="LD60" i="3"/>
  <c r="LC60" i="3"/>
  <c r="LB60" i="3"/>
  <c r="LA60" i="3"/>
  <c r="KZ60" i="3"/>
  <c r="KY60" i="3"/>
  <c r="KX60" i="3"/>
  <c r="KW60" i="3"/>
  <c r="KV60" i="3"/>
  <c r="KU60" i="3"/>
  <c r="KT60" i="3"/>
  <c r="KS60" i="3"/>
  <c r="KR60" i="3"/>
  <c r="KQ60" i="3"/>
  <c r="KP60" i="3"/>
  <c r="KO60" i="3"/>
  <c r="KN60" i="3"/>
  <c r="KM60" i="3"/>
  <c r="KL60" i="3"/>
  <c r="KK60" i="3"/>
  <c r="KJ60" i="3"/>
  <c r="KI60" i="3"/>
  <c r="KH60" i="3"/>
  <c r="KG60" i="3"/>
  <c r="KF60" i="3"/>
  <c r="KE60" i="3"/>
  <c r="KD60" i="3"/>
  <c r="KC60" i="3"/>
  <c r="KB60" i="3"/>
  <c r="KA60" i="3"/>
  <c r="JZ60" i="3"/>
  <c r="JY60" i="3"/>
  <c r="JX60" i="3"/>
  <c r="JW60" i="3"/>
  <c r="JV60" i="3"/>
  <c r="JU60" i="3"/>
  <c r="JT60" i="3"/>
  <c r="JS60" i="3"/>
  <c r="JR60" i="3"/>
  <c r="JQ60" i="3"/>
  <c r="JP60" i="3"/>
  <c r="JO60" i="3"/>
  <c r="JN60" i="3"/>
  <c r="JM60" i="3"/>
  <c r="JL60" i="3"/>
  <c r="JK60" i="3"/>
  <c r="JJ60" i="3"/>
  <c r="JI60" i="3"/>
  <c r="JH60" i="3"/>
  <c r="JG60" i="3"/>
  <c r="JF60" i="3"/>
  <c r="JE60" i="3"/>
  <c r="JD60" i="3"/>
  <c r="JC60" i="3"/>
  <c r="JB60" i="3"/>
  <c r="JA60" i="3"/>
  <c r="IZ60" i="3"/>
  <c r="IY60" i="3"/>
  <c r="IX60" i="3"/>
  <c r="IW60" i="3"/>
  <c r="IV60" i="3"/>
  <c r="IU60" i="3"/>
  <c r="IT60" i="3"/>
  <c r="IS60" i="3"/>
  <c r="IR60" i="3"/>
  <c r="IQ60" i="3"/>
  <c r="IP60" i="3"/>
  <c r="IO60" i="3"/>
  <c r="IN60" i="3"/>
  <c r="IM60" i="3"/>
  <c r="IL60" i="3"/>
  <c r="IK60" i="3"/>
  <c r="IJ60" i="3"/>
  <c r="II60" i="3"/>
  <c r="IH60" i="3"/>
  <c r="IG60" i="3"/>
  <c r="IF60" i="3"/>
  <c r="IE60" i="3"/>
  <c r="ID60" i="3"/>
  <c r="IC60" i="3"/>
  <c r="IB60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HM60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PF59" i="3"/>
  <c r="PE59" i="3"/>
  <c r="PD59" i="3"/>
  <c r="PC59" i="3"/>
  <c r="PB59" i="3"/>
  <c r="PA59" i="3"/>
  <c r="OZ59" i="3"/>
  <c r="OY59" i="3"/>
  <c r="OX59" i="3"/>
  <c r="OW59" i="3"/>
  <c r="OV59" i="3"/>
  <c r="OU59" i="3"/>
  <c r="OT59" i="3"/>
  <c r="OS59" i="3"/>
  <c r="OR59" i="3"/>
  <c r="OQ59" i="3"/>
  <c r="OP59" i="3"/>
  <c r="OO59" i="3"/>
  <c r="ON59" i="3"/>
  <c r="OM59" i="3"/>
  <c r="OL59" i="3"/>
  <c r="OK59" i="3"/>
  <c r="OJ59" i="3"/>
  <c r="OI59" i="3"/>
  <c r="OH59" i="3"/>
  <c r="OG59" i="3"/>
  <c r="OF59" i="3"/>
  <c r="OE59" i="3"/>
  <c r="OD59" i="3"/>
  <c r="OC59" i="3"/>
  <c r="OB59" i="3"/>
  <c r="OA59" i="3"/>
  <c r="NZ59" i="3"/>
  <c r="NY59" i="3"/>
  <c r="NX59" i="3"/>
  <c r="NW59" i="3"/>
  <c r="NV59" i="3"/>
  <c r="NU59" i="3"/>
  <c r="NT59" i="3"/>
  <c r="NS59" i="3"/>
  <c r="NR59" i="3"/>
  <c r="NQ59" i="3"/>
  <c r="NP59" i="3"/>
  <c r="NO59" i="3"/>
  <c r="NN59" i="3"/>
  <c r="NM59" i="3"/>
  <c r="NL59" i="3"/>
  <c r="NK59" i="3"/>
  <c r="NJ59" i="3"/>
  <c r="NI59" i="3"/>
  <c r="NH59" i="3"/>
  <c r="NG59" i="3"/>
  <c r="NF59" i="3"/>
  <c r="NE59" i="3"/>
  <c r="ND59" i="3"/>
  <c r="NC59" i="3"/>
  <c r="NB59" i="3"/>
  <c r="NA59" i="3"/>
  <c r="MZ59" i="3"/>
  <c r="MY59" i="3"/>
  <c r="MX59" i="3"/>
  <c r="MW59" i="3"/>
  <c r="MV59" i="3"/>
  <c r="MU59" i="3"/>
  <c r="MT59" i="3"/>
  <c r="MS59" i="3"/>
  <c r="MR59" i="3"/>
  <c r="MQ59" i="3"/>
  <c r="MP59" i="3"/>
  <c r="MO59" i="3"/>
  <c r="MN59" i="3"/>
  <c r="MM59" i="3"/>
  <c r="ML59" i="3"/>
  <c r="MK59" i="3"/>
  <c r="MJ59" i="3"/>
  <c r="MI59" i="3"/>
  <c r="MH59" i="3"/>
  <c r="MG59" i="3"/>
  <c r="MF59" i="3"/>
  <c r="ME59" i="3"/>
  <c r="MD59" i="3"/>
  <c r="MC59" i="3"/>
  <c r="MB59" i="3"/>
  <c r="MA59" i="3"/>
  <c r="LZ59" i="3"/>
  <c r="LY59" i="3"/>
  <c r="LX59" i="3"/>
  <c r="LW59" i="3"/>
  <c r="LV59" i="3"/>
  <c r="LU59" i="3"/>
  <c r="LT59" i="3"/>
  <c r="LS59" i="3"/>
  <c r="LR59" i="3"/>
  <c r="LQ59" i="3"/>
  <c r="LP59" i="3"/>
  <c r="LO59" i="3"/>
  <c r="LN59" i="3"/>
  <c r="LM59" i="3"/>
  <c r="LL59" i="3"/>
  <c r="LK59" i="3"/>
  <c r="LJ59" i="3"/>
  <c r="LI59" i="3"/>
  <c r="LH59" i="3"/>
  <c r="LG59" i="3"/>
  <c r="LF59" i="3"/>
  <c r="LE59" i="3"/>
  <c r="LD59" i="3"/>
  <c r="LC59" i="3"/>
  <c r="LB59" i="3"/>
  <c r="LA59" i="3"/>
  <c r="KZ59" i="3"/>
  <c r="KY59" i="3"/>
  <c r="KX59" i="3"/>
  <c r="KW59" i="3"/>
  <c r="KV59" i="3"/>
  <c r="KU59" i="3"/>
  <c r="KT59" i="3"/>
  <c r="KS59" i="3"/>
  <c r="KR59" i="3"/>
  <c r="KQ59" i="3"/>
  <c r="KP59" i="3"/>
  <c r="KO59" i="3"/>
  <c r="KN59" i="3"/>
  <c r="KM59" i="3"/>
  <c r="KL59" i="3"/>
  <c r="KK59" i="3"/>
  <c r="KJ59" i="3"/>
  <c r="KI59" i="3"/>
  <c r="KH59" i="3"/>
  <c r="KG59" i="3"/>
  <c r="KF59" i="3"/>
  <c r="KE59" i="3"/>
  <c r="KD59" i="3"/>
  <c r="KC59" i="3"/>
  <c r="KB59" i="3"/>
  <c r="KA59" i="3"/>
  <c r="JZ59" i="3"/>
  <c r="JY59" i="3"/>
  <c r="JX59" i="3"/>
  <c r="JW59" i="3"/>
  <c r="JV59" i="3"/>
  <c r="JU59" i="3"/>
  <c r="JT59" i="3"/>
  <c r="JS59" i="3"/>
  <c r="JR59" i="3"/>
  <c r="JQ59" i="3"/>
  <c r="JP59" i="3"/>
  <c r="JO59" i="3"/>
  <c r="JN59" i="3"/>
  <c r="JM59" i="3"/>
  <c r="JL59" i="3"/>
  <c r="JK59" i="3"/>
  <c r="JJ59" i="3"/>
  <c r="JI59" i="3"/>
  <c r="JH59" i="3"/>
  <c r="JG59" i="3"/>
  <c r="JF59" i="3"/>
  <c r="JE59" i="3"/>
  <c r="JD59" i="3"/>
  <c r="JC59" i="3"/>
  <c r="JB59" i="3"/>
  <c r="JA59" i="3"/>
  <c r="IZ59" i="3"/>
  <c r="IY59" i="3"/>
  <c r="IX59" i="3"/>
  <c r="IW59" i="3"/>
  <c r="IV59" i="3"/>
  <c r="IU59" i="3"/>
  <c r="IT59" i="3"/>
  <c r="IS59" i="3"/>
  <c r="IR59" i="3"/>
  <c r="IQ59" i="3"/>
  <c r="IP59" i="3"/>
  <c r="IO59" i="3"/>
  <c r="IN59" i="3"/>
  <c r="IM59" i="3"/>
  <c r="IL59" i="3"/>
  <c r="IK59" i="3"/>
  <c r="IJ59" i="3"/>
  <c r="II59" i="3"/>
  <c r="IH59" i="3"/>
  <c r="IG59" i="3"/>
  <c r="IF59" i="3"/>
  <c r="IE59" i="3"/>
  <c r="ID59" i="3"/>
  <c r="IC59" i="3"/>
  <c r="IB59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HM59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PF58" i="3"/>
  <c r="PE58" i="3"/>
  <c r="PD58" i="3"/>
  <c r="PC58" i="3"/>
  <c r="PB58" i="3"/>
  <c r="PA58" i="3"/>
  <c r="OZ58" i="3"/>
  <c r="OY58" i="3"/>
  <c r="OX58" i="3"/>
  <c r="OW58" i="3"/>
  <c r="OV58" i="3"/>
  <c r="OU58" i="3"/>
  <c r="OT58" i="3"/>
  <c r="OS58" i="3"/>
  <c r="OR58" i="3"/>
  <c r="OQ58" i="3"/>
  <c r="OP58" i="3"/>
  <c r="OO58" i="3"/>
  <c r="ON58" i="3"/>
  <c r="OM58" i="3"/>
  <c r="OL58" i="3"/>
  <c r="OK58" i="3"/>
  <c r="OJ58" i="3"/>
  <c r="OI58" i="3"/>
  <c r="OH58" i="3"/>
  <c r="OG58" i="3"/>
  <c r="OF58" i="3"/>
  <c r="OE58" i="3"/>
  <c r="OD58" i="3"/>
  <c r="OC58" i="3"/>
  <c r="OB58" i="3"/>
  <c r="OA58" i="3"/>
  <c r="NZ58" i="3"/>
  <c r="NY58" i="3"/>
  <c r="NX58" i="3"/>
  <c r="NW58" i="3"/>
  <c r="NV58" i="3"/>
  <c r="NU58" i="3"/>
  <c r="NT58" i="3"/>
  <c r="NS58" i="3"/>
  <c r="NR58" i="3"/>
  <c r="NQ58" i="3"/>
  <c r="NP58" i="3"/>
  <c r="NO58" i="3"/>
  <c r="NN58" i="3"/>
  <c r="NM58" i="3"/>
  <c r="NL58" i="3"/>
  <c r="NK58" i="3"/>
  <c r="NJ58" i="3"/>
  <c r="NI58" i="3"/>
  <c r="NH58" i="3"/>
  <c r="NG58" i="3"/>
  <c r="NF58" i="3"/>
  <c r="NE58" i="3"/>
  <c r="ND58" i="3"/>
  <c r="NC58" i="3"/>
  <c r="NB58" i="3"/>
  <c r="NA58" i="3"/>
  <c r="MZ58" i="3"/>
  <c r="MY58" i="3"/>
  <c r="MX58" i="3"/>
  <c r="MW58" i="3"/>
  <c r="MV58" i="3"/>
  <c r="MU58" i="3"/>
  <c r="MT58" i="3"/>
  <c r="MS58" i="3"/>
  <c r="MR58" i="3"/>
  <c r="MQ58" i="3"/>
  <c r="MP58" i="3"/>
  <c r="MO58" i="3"/>
  <c r="MN58" i="3"/>
  <c r="MM58" i="3"/>
  <c r="ML58" i="3"/>
  <c r="MK58" i="3"/>
  <c r="MJ58" i="3"/>
  <c r="MI58" i="3"/>
  <c r="MH58" i="3"/>
  <c r="MG58" i="3"/>
  <c r="MF58" i="3"/>
  <c r="ME58" i="3"/>
  <c r="MD58" i="3"/>
  <c r="MC58" i="3"/>
  <c r="MB58" i="3"/>
  <c r="MA58" i="3"/>
  <c r="LZ58" i="3"/>
  <c r="LY58" i="3"/>
  <c r="LX58" i="3"/>
  <c r="LW58" i="3"/>
  <c r="LV58" i="3"/>
  <c r="LU58" i="3"/>
  <c r="LT58" i="3"/>
  <c r="LS58" i="3"/>
  <c r="LR58" i="3"/>
  <c r="LQ58" i="3"/>
  <c r="LP58" i="3"/>
  <c r="LO58" i="3"/>
  <c r="LN58" i="3"/>
  <c r="LM58" i="3"/>
  <c r="LL58" i="3"/>
  <c r="LK58" i="3"/>
  <c r="LJ58" i="3"/>
  <c r="LI58" i="3"/>
  <c r="LH58" i="3"/>
  <c r="LG58" i="3"/>
  <c r="LF58" i="3"/>
  <c r="LE58" i="3"/>
  <c r="LD58" i="3"/>
  <c r="LC58" i="3"/>
  <c r="LB58" i="3"/>
  <c r="LA58" i="3"/>
  <c r="KZ58" i="3"/>
  <c r="KY58" i="3"/>
  <c r="KX58" i="3"/>
  <c r="KW58" i="3"/>
  <c r="KV58" i="3"/>
  <c r="KU58" i="3"/>
  <c r="KT58" i="3"/>
  <c r="KS58" i="3"/>
  <c r="KR58" i="3"/>
  <c r="KQ58" i="3"/>
  <c r="KP58" i="3"/>
  <c r="KO58" i="3"/>
  <c r="KN58" i="3"/>
  <c r="KM58" i="3"/>
  <c r="KL58" i="3"/>
  <c r="KK58" i="3"/>
  <c r="KJ58" i="3"/>
  <c r="KI58" i="3"/>
  <c r="KH58" i="3"/>
  <c r="KG58" i="3"/>
  <c r="KF58" i="3"/>
  <c r="KE58" i="3"/>
  <c r="KD58" i="3"/>
  <c r="KC58" i="3"/>
  <c r="KB58" i="3"/>
  <c r="KA58" i="3"/>
  <c r="JZ58" i="3"/>
  <c r="JY58" i="3"/>
  <c r="JX58" i="3"/>
  <c r="JW58" i="3"/>
  <c r="JV58" i="3"/>
  <c r="JU58" i="3"/>
  <c r="JT58" i="3"/>
  <c r="JS58" i="3"/>
  <c r="JR58" i="3"/>
  <c r="JQ58" i="3"/>
  <c r="JP58" i="3"/>
  <c r="JO58" i="3"/>
  <c r="JN58" i="3"/>
  <c r="JM58" i="3"/>
  <c r="JL58" i="3"/>
  <c r="JK58" i="3"/>
  <c r="JJ58" i="3"/>
  <c r="JI58" i="3"/>
  <c r="JH58" i="3"/>
  <c r="JG58" i="3"/>
  <c r="JF58" i="3"/>
  <c r="JE58" i="3"/>
  <c r="JD58" i="3"/>
  <c r="JC58" i="3"/>
  <c r="JB58" i="3"/>
  <c r="JA58" i="3"/>
  <c r="IZ58" i="3"/>
  <c r="IY58" i="3"/>
  <c r="IX58" i="3"/>
  <c r="IW58" i="3"/>
  <c r="IV58" i="3"/>
  <c r="IU58" i="3"/>
  <c r="IT58" i="3"/>
  <c r="IS58" i="3"/>
  <c r="IR58" i="3"/>
  <c r="IQ58" i="3"/>
  <c r="IP58" i="3"/>
  <c r="IO58" i="3"/>
  <c r="IN58" i="3"/>
  <c r="IM58" i="3"/>
  <c r="IL58" i="3"/>
  <c r="IK58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HM58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PF57" i="3"/>
  <c r="PE57" i="3"/>
  <c r="PD57" i="3"/>
  <c r="PC57" i="3"/>
  <c r="PB57" i="3"/>
  <c r="PA57" i="3"/>
  <c r="OZ57" i="3"/>
  <c r="OY57" i="3"/>
  <c r="OX57" i="3"/>
  <c r="OW57" i="3"/>
  <c r="OV57" i="3"/>
  <c r="OU57" i="3"/>
  <c r="OT57" i="3"/>
  <c r="OS57" i="3"/>
  <c r="OR57" i="3"/>
  <c r="OQ57" i="3"/>
  <c r="OP57" i="3"/>
  <c r="OO57" i="3"/>
  <c r="ON57" i="3"/>
  <c r="OM57" i="3"/>
  <c r="OL57" i="3"/>
  <c r="OK57" i="3"/>
  <c r="OJ57" i="3"/>
  <c r="OI57" i="3"/>
  <c r="OH57" i="3"/>
  <c r="OG57" i="3"/>
  <c r="OF57" i="3"/>
  <c r="OE57" i="3"/>
  <c r="OD57" i="3"/>
  <c r="OC57" i="3"/>
  <c r="OB57" i="3"/>
  <c r="OA57" i="3"/>
  <c r="NZ57" i="3"/>
  <c r="NY57" i="3"/>
  <c r="NX57" i="3"/>
  <c r="NW57" i="3"/>
  <c r="NV57" i="3"/>
  <c r="NU57" i="3"/>
  <c r="NT57" i="3"/>
  <c r="NS57" i="3"/>
  <c r="NR57" i="3"/>
  <c r="NQ57" i="3"/>
  <c r="NP57" i="3"/>
  <c r="NO57" i="3"/>
  <c r="NN57" i="3"/>
  <c r="NM57" i="3"/>
  <c r="NL57" i="3"/>
  <c r="NK57" i="3"/>
  <c r="NJ57" i="3"/>
  <c r="NI57" i="3"/>
  <c r="NH57" i="3"/>
  <c r="NG57" i="3"/>
  <c r="NF57" i="3"/>
  <c r="NE57" i="3"/>
  <c r="ND57" i="3"/>
  <c r="NC57" i="3"/>
  <c r="NB57" i="3"/>
  <c r="NA57" i="3"/>
  <c r="MZ57" i="3"/>
  <c r="MY57" i="3"/>
  <c r="MX57" i="3"/>
  <c r="MW57" i="3"/>
  <c r="MV57" i="3"/>
  <c r="MU57" i="3"/>
  <c r="MT57" i="3"/>
  <c r="MS57" i="3"/>
  <c r="MR57" i="3"/>
  <c r="MQ57" i="3"/>
  <c r="MP57" i="3"/>
  <c r="MO57" i="3"/>
  <c r="MN57" i="3"/>
  <c r="MM57" i="3"/>
  <c r="ML57" i="3"/>
  <c r="MK57" i="3"/>
  <c r="MJ57" i="3"/>
  <c r="MI57" i="3"/>
  <c r="MH57" i="3"/>
  <c r="MG57" i="3"/>
  <c r="MF57" i="3"/>
  <c r="ME57" i="3"/>
  <c r="MD57" i="3"/>
  <c r="MC57" i="3"/>
  <c r="MB57" i="3"/>
  <c r="MA57" i="3"/>
  <c r="LZ57" i="3"/>
  <c r="LY57" i="3"/>
  <c r="LX57" i="3"/>
  <c r="LW57" i="3"/>
  <c r="LV57" i="3"/>
  <c r="LU57" i="3"/>
  <c r="LT57" i="3"/>
  <c r="LS57" i="3"/>
  <c r="LR57" i="3"/>
  <c r="LQ57" i="3"/>
  <c r="LP57" i="3"/>
  <c r="LO57" i="3"/>
  <c r="LN57" i="3"/>
  <c r="LM57" i="3"/>
  <c r="LL57" i="3"/>
  <c r="LK57" i="3"/>
  <c r="LJ57" i="3"/>
  <c r="LI57" i="3"/>
  <c r="LH57" i="3"/>
  <c r="LG57" i="3"/>
  <c r="LF57" i="3"/>
  <c r="LE57" i="3"/>
  <c r="LD57" i="3"/>
  <c r="LC57" i="3"/>
  <c r="LB57" i="3"/>
  <c r="LA57" i="3"/>
  <c r="KZ57" i="3"/>
  <c r="KY57" i="3"/>
  <c r="KX57" i="3"/>
  <c r="KW57" i="3"/>
  <c r="KV57" i="3"/>
  <c r="KU57" i="3"/>
  <c r="KT57" i="3"/>
  <c r="KS57" i="3"/>
  <c r="KR57" i="3"/>
  <c r="KQ57" i="3"/>
  <c r="KP57" i="3"/>
  <c r="KO57" i="3"/>
  <c r="KN57" i="3"/>
  <c r="KM57" i="3"/>
  <c r="KL57" i="3"/>
  <c r="KK57" i="3"/>
  <c r="KJ57" i="3"/>
  <c r="KI57" i="3"/>
  <c r="KH57" i="3"/>
  <c r="KG57" i="3"/>
  <c r="KF57" i="3"/>
  <c r="KE57" i="3"/>
  <c r="KD57" i="3"/>
  <c r="KC57" i="3"/>
  <c r="KB57" i="3"/>
  <c r="KA57" i="3"/>
  <c r="JZ57" i="3"/>
  <c r="JY57" i="3"/>
  <c r="JX57" i="3"/>
  <c r="JW57" i="3"/>
  <c r="JV57" i="3"/>
  <c r="JU57" i="3"/>
  <c r="JT57" i="3"/>
  <c r="JS57" i="3"/>
  <c r="JR57" i="3"/>
  <c r="JQ57" i="3"/>
  <c r="JP57" i="3"/>
  <c r="JO57" i="3"/>
  <c r="JN57" i="3"/>
  <c r="JM57" i="3"/>
  <c r="JL57" i="3"/>
  <c r="JK57" i="3"/>
  <c r="JJ57" i="3"/>
  <c r="JI57" i="3"/>
  <c r="JH57" i="3"/>
  <c r="JG57" i="3"/>
  <c r="JF57" i="3"/>
  <c r="JE57" i="3"/>
  <c r="JD57" i="3"/>
  <c r="JC57" i="3"/>
  <c r="JB57" i="3"/>
  <c r="JA57" i="3"/>
  <c r="IZ57" i="3"/>
  <c r="IY57" i="3"/>
  <c r="IX57" i="3"/>
  <c r="IW57" i="3"/>
  <c r="IV57" i="3"/>
  <c r="IU57" i="3"/>
  <c r="IT57" i="3"/>
  <c r="IS57" i="3"/>
  <c r="IR57" i="3"/>
  <c r="IQ57" i="3"/>
  <c r="IP57" i="3"/>
  <c r="IO57" i="3"/>
  <c r="IN57" i="3"/>
  <c r="IM57" i="3"/>
  <c r="IL57" i="3"/>
  <c r="IK57" i="3"/>
  <c r="IJ57" i="3"/>
  <c r="II57" i="3"/>
  <c r="IH57" i="3"/>
  <c r="IG57" i="3"/>
  <c r="IF57" i="3"/>
  <c r="IE57" i="3"/>
  <c r="ID57" i="3"/>
  <c r="IC57" i="3"/>
  <c r="IB57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HM57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PF56" i="3"/>
  <c r="PE56" i="3"/>
  <c r="PD56" i="3"/>
  <c r="PC56" i="3"/>
  <c r="PB56" i="3"/>
  <c r="PA56" i="3"/>
  <c r="OZ56" i="3"/>
  <c r="OY56" i="3"/>
  <c r="OX56" i="3"/>
  <c r="OW56" i="3"/>
  <c r="OV56" i="3"/>
  <c r="OU56" i="3"/>
  <c r="OT56" i="3"/>
  <c r="OS56" i="3"/>
  <c r="OR56" i="3"/>
  <c r="OQ56" i="3"/>
  <c r="OP56" i="3"/>
  <c r="OO56" i="3"/>
  <c r="ON56" i="3"/>
  <c r="OM56" i="3"/>
  <c r="OL56" i="3"/>
  <c r="OK56" i="3"/>
  <c r="OJ56" i="3"/>
  <c r="OI56" i="3"/>
  <c r="OH56" i="3"/>
  <c r="OG56" i="3"/>
  <c r="OF56" i="3"/>
  <c r="OE56" i="3"/>
  <c r="OD56" i="3"/>
  <c r="OC56" i="3"/>
  <c r="OB56" i="3"/>
  <c r="OA56" i="3"/>
  <c r="NZ56" i="3"/>
  <c r="NY56" i="3"/>
  <c r="NX56" i="3"/>
  <c r="NW56" i="3"/>
  <c r="NV56" i="3"/>
  <c r="NU56" i="3"/>
  <c r="NT56" i="3"/>
  <c r="NS56" i="3"/>
  <c r="NR56" i="3"/>
  <c r="NQ56" i="3"/>
  <c r="NP56" i="3"/>
  <c r="NO56" i="3"/>
  <c r="NN56" i="3"/>
  <c r="NM56" i="3"/>
  <c r="NL56" i="3"/>
  <c r="NK56" i="3"/>
  <c r="NJ56" i="3"/>
  <c r="NI56" i="3"/>
  <c r="NH56" i="3"/>
  <c r="NG56" i="3"/>
  <c r="NF56" i="3"/>
  <c r="NE56" i="3"/>
  <c r="ND56" i="3"/>
  <c r="NC56" i="3"/>
  <c r="NB56" i="3"/>
  <c r="NA56" i="3"/>
  <c r="MZ56" i="3"/>
  <c r="MY56" i="3"/>
  <c r="MX56" i="3"/>
  <c r="MW56" i="3"/>
  <c r="MV56" i="3"/>
  <c r="MU56" i="3"/>
  <c r="MT56" i="3"/>
  <c r="MS56" i="3"/>
  <c r="MR56" i="3"/>
  <c r="MQ56" i="3"/>
  <c r="MP56" i="3"/>
  <c r="MO56" i="3"/>
  <c r="MN56" i="3"/>
  <c r="MM56" i="3"/>
  <c r="ML56" i="3"/>
  <c r="MK56" i="3"/>
  <c r="MJ56" i="3"/>
  <c r="MI56" i="3"/>
  <c r="MH56" i="3"/>
  <c r="MG56" i="3"/>
  <c r="MF56" i="3"/>
  <c r="ME56" i="3"/>
  <c r="MD56" i="3"/>
  <c r="MC56" i="3"/>
  <c r="MB56" i="3"/>
  <c r="MA56" i="3"/>
  <c r="LZ56" i="3"/>
  <c r="LY56" i="3"/>
  <c r="LX56" i="3"/>
  <c r="LW56" i="3"/>
  <c r="LV56" i="3"/>
  <c r="LU56" i="3"/>
  <c r="LT56" i="3"/>
  <c r="LS56" i="3"/>
  <c r="LR56" i="3"/>
  <c r="LQ56" i="3"/>
  <c r="LP56" i="3"/>
  <c r="LO56" i="3"/>
  <c r="LN56" i="3"/>
  <c r="LM56" i="3"/>
  <c r="LL56" i="3"/>
  <c r="LK56" i="3"/>
  <c r="LJ56" i="3"/>
  <c r="LI56" i="3"/>
  <c r="LH56" i="3"/>
  <c r="LG56" i="3"/>
  <c r="LF56" i="3"/>
  <c r="LE56" i="3"/>
  <c r="LD56" i="3"/>
  <c r="LC56" i="3"/>
  <c r="LB56" i="3"/>
  <c r="LA56" i="3"/>
  <c r="KZ56" i="3"/>
  <c r="KY56" i="3"/>
  <c r="KX56" i="3"/>
  <c r="KW56" i="3"/>
  <c r="KV56" i="3"/>
  <c r="KU56" i="3"/>
  <c r="KT56" i="3"/>
  <c r="KS56" i="3"/>
  <c r="KR56" i="3"/>
  <c r="KQ56" i="3"/>
  <c r="KP56" i="3"/>
  <c r="KO56" i="3"/>
  <c r="KN56" i="3"/>
  <c r="KM56" i="3"/>
  <c r="KL56" i="3"/>
  <c r="KK56" i="3"/>
  <c r="KJ56" i="3"/>
  <c r="KI56" i="3"/>
  <c r="KH56" i="3"/>
  <c r="KG56" i="3"/>
  <c r="KF56" i="3"/>
  <c r="KE56" i="3"/>
  <c r="KD56" i="3"/>
  <c r="KC56" i="3"/>
  <c r="KB56" i="3"/>
  <c r="KA56" i="3"/>
  <c r="JZ56" i="3"/>
  <c r="JY56" i="3"/>
  <c r="JX56" i="3"/>
  <c r="JW56" i="3"/>
  <c r="JV56" i="3"/>
  <c r="JU56" i="3"/>
  <c r="JT56" i="3"/>
  <c r="JS56" i="3"/>
  <c r="JR56" i="3"/>
  <c r="JQ56" i="3"/>
  <c r="JP56" i="3"/>
  <c r="JO56" i="3"/>
  <c r="JN56" i="3"/>
  <c r="JM56" i="3"/>
  <c r="JL56" i="3"/>
  <c r="JK56" i="3"/>
  <c r="JJ56" i="3"/>
  <c r="JI56" i="3"/>
  <c r="JH56" i="3"/>
  <c r="JG56" i="3"/>
  <c r="JF56" i="3"/>
  <c r="JE56" i="3"/>
  <c r="JD56" i="3"/>
  <c r="JC56" i="3"/>
  <c r="JB56" i="3"/>
  <c r="JA56" i="3"/>
  <c r="IZ56" i="3"/>
  <c r="IY56" i="3"/>
  <c r="IX56" i="3"/>
  <c r="IW56" i="3"/>
  <c r="IV56" i="3"/>
  <c r="IU56" i="3"/>
  <c r="IT56" i="3"/>
  <c r="IS56" i="3"/>
  <c r="IR56" i="3"/>
  <c r="IQ56" i="3"/>
  <c r="IP56" i="3"/>
  <c r="IO56" i="3"/>
  <c r="IN56" i="3"/>
  <c r="IM56" i="3"/>
  <c r="IL56" i="3"/>
  <c r="IK56" i="3"/>
  <c r="IJ56" i="3"/>
  <c r="II56" i="3"/>
  <c r="IH56" i="3"/>
  <c r="IG56" i="3"/>
  <c r="IF56" i="3"/>
  <c r="IE56" i="3"/>
  <c r="ID56" i="3"/>
  <c r="IC56" i="3"/>
  <c r="IB56" i="3"/>
  <c r="IA56" i="3"/>
  <c r="HZ56" i="3"/>
  <c r="HY56" i="3"/>
  <c r="HX56" i="3"/>
  <c r="HW56" i="3"/>
  <c r="HV56" i="3"/>
  <c r="HU56" i="3"/>
  <c r="HT56" i="3"/>
  <c r="HS56" i="3"/>
  <c r="HR56" i="3"/>
  <c r="HQ56" i="3"/>
  <c r="HP56" i="3"/>
  <c r="HO56" i="3"/>
  <c r="HN56" i="3"/>
  <c r="HM56" i="3"/>
  <c r="HL56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PF55" i="3"/>
  <c r="PE55" i="3"/>
  <c r="PD55" i="3"/>
  <c r="PC55" i="3"/>
  <c r="PB55" i="3"/>
  <c r="PA55" i="3"/>
  <c r="OZ55" i="3"/>
  <c r="OY55" i="3"/>
  <c r="OX55" i="3"/>
  <c r="OW55" i="3"/>
  <c r="OV55" i="3"/>
  <c r="OU55" i="3"/>
  <c r="OT55" i="3"/>
  <c r="OS55" i="3"/>
  <c r="OR55" i="3"/>
  <c r="OQ55" i="3"/>
  <c r="OP55" i="3"/>
  <c r="OO55" i="3"/>
  <c r="ON55" i="3"/>
  <c r="OM55" i="3"/>
  <c r="OL55" i="3"/>
  <c r="OK55" i="3"/>
  <c r="OJ55" i="3"/>
  <c r="OI55" i="3"/>
  <c r="OH55" i="3"/>
  <c r="OG55" i="3"/>
  <c r="OF55" i="3"/>
  <c r="OE55" i="3"/>
  <c r="OD55" i="3"/>
  <c r="OC55" i="3"/>
  <c r="OB55" i="3"/>
  <c r="OA55" i="3"/>
  <c r="NZ55" i="3"/>
  <c r="NY55" i="3"/>
  <c r="NX55" i="3"/>
  <c r="NW55" i="3"/>
  <c r="NV55" i="3"/>
  <c r="NU55" i="3"/>
  <c r="NT55" i="3"/>
  <c r="NS55" i="3"/>
  <c r="NR55" i="3"/>
  <c r="NQ55" i="3"/>
  <c r="NP55" i="3"/>
  <c r="NO55" i="3"/>
  <c r="NN55" i="3"/>
  <c r="NM55" i="3"/>
  <c r="NL55" i="3"/>
  <c r="NK55" i="3"/>
  <c r="NJ55" i="3"/>
  <c r="NI55" i="3"/>
  <c r="NH55" i="3"/>
  <c r="NG55" i="3"/>
  <c r="NF55" i="3"/>
  <c r="NE55" i="3"/>
  <c r="ND55" i="3"/>
  <c r="NC55" i="3"/>
  <c r="NB55" i="3"/>
  <c r="NA55" i="3"/>
  <c r="MZ55" i="3"/>
  <c r="MY55" i="3"/>
  <c r="MX55" i="3"/>
  <c r="MW55" i="3"/>
  <c r="MV55" i="3"/>
  <c r="MU55" i="3"/>
  <c r="MT55" i="3"/>
  <c r="MS55" i="3"/>
  <c r="MR55" i="3"/>
  <c r="MQ55" i="3"/>
  <c r="MP55" i="3"/>
  <c r="MO55" i="3"/>
  <c r="MN55" i="3"/>
  <c r="MM55" i="3"/>
  <c r="ML55" i="3"/>
  <c r="MK55" i="3"/>
  <c r="MJ55" i="3"/>
  <c r="MI55" i="3"/>
  <c r="MH55" i="3"/>
  <c r="MG55" i="3"/>
  <c r="MF55" i="3"/>
  <c r="ME55" i="3"/>
  <c r="MD55" i="3"/>
  <c r="MC55" i="3"/>
  <c r="MB55" i="3"/>
  <c r="MA55" i="3"/>
  <c r="LZ55" i="3"/>
  <c r="LY55" i="3"/>
  <c r="LX55" i="3"/>
  <c r="LW55" i="3"/>
  <c r="LV55" i="3"/>
  <c r="LU55" i="3"/>
  <c r="LT55" i="3"/>
  <c r="LS55" i="3"/>
  <c r="LR55" i="3"/>
  <c r="LQ55" i="3"/>
  <c r="LP55" i="3"/>
  <c r="LO55" i="3"/>
  <c r="LN55" i="3"/>
  <c r="LM55" i="3"/>
  <c r="LL55" i="3"/>
  <c r="LK55" i="3"/>
  <c r="LJ55" i="3"/>
  <c r="LI55" i="3"/>
  <c r="LH55" i="3"/>
  <c r="LG55" i="3"/>
  <c r="LF55" i="3"/>
  <c r="LE55" i="3"/>
  <c r="LD55" i="3"/>
  <c r="LC55" i="3"/>
  <c r="LB55" i="3"/>
  <c r="LA55" i="3"/>
  <c r="KZ55" i="3"/>
  <c r="KY55" i="3"/>
  <c r="KX55" i="3"/>
  <c r="KW55" i="3"/>
  <c r="KV55" i="3"/>
  <c r="KU55" i="3"/>
  <c r="KT55" i="3"/>
  <c r="KS55" i="3"/>
  <c r="KR55" i="3"/>
  <c r="KQ55" i="3"/>
  <c r="KP55" i="3"/>
  <c r="KO55" i="3"/>
  <c r="KN55" i="3"/>
  <c r="KM55" i="3"/>
  <c r="KL55" i="3"/>
  <c r="KK55" i="3"/>
  <c r="KJ55" i="3"/>
  <c r="KI55" i="3"/>
  <c r="KH55" i="3"/>
  <c r="KG55" i="3"/>
  <c r="KF55" i="3"/>
  <c r="KE55" i="3"/>
  <c r="KD55" i="3"/>
  <c r="KC55" i="3"/>
  <c r="KB55" i="3"/>
  <c r="KA55" i="3"/>
  <c r="JZ55" i="3"/>
  <c r="JY55" i="3"/>
  <c r="JX55" i="3"/>
  <c r="JW55" i="3"/>
  <c r="JV55" i="3"/>
  <c r="JU55" i="3"/>
  <c r="JT55" i="3"/>
  <c r="JS55" i="3"/>
  <c r="JR55" i="3"/>
  <c r="JQ55" i="3"/>
  <c r="JP55" i="3"/>
  <c r="JO55" i="3"/>
  <c r="JN55" i="3"/>
  <c r="JM55" i="3"/>
  <c r="JL55" i="3"/>
  <c r="JK55" i="3"/>
  <c r="JJ55" i="3"/>
  <c r="JI55" i="3"/>
  <c r="JH55" i="3"/>
  <c r="JG55" i="3"/>
  <c r="JF55" i="3"/>
  <c r="JE55" i="3"/>
  <c r="JD55" i="3"/>
  <c r="JC55" i="3"/>
  <c r="JB55" i="3"/>
  <c r="JA55" i="3"/>
  <c r="IZ55" i="3"/>
  <c r="IY55" i="3"/>
  <c r="IX55" i="3"/>
  <c r="IW55" i="3"/>
  <c r="IV55" i="3"/>
  <c r="IU55" i="3"/>
  <c r="IT55" i="3"/>
  <c r="IS55" i="3"/>
  <c r="IR55" i="3"/>
  <c r="IQ55" i="3"/>
  <c r="IP55" i="3"/>
  <c r="IO55" i="3"/>
  <c r="IN55" i="3"/>
  <c r="IM55" i="3"/>
  <c r="IL55" i="3"/>
  <c r="IK55" i="3"/>
  <c r="IJ55" i="3"/>
  <c r="II55" i="3"/>
  <c r="IH55" i="3"/>
  <c r="IG55" i="3"/>
  <c r="IF55" i="3"/>
  <c r="IE55" i="3"/>
  <c r="ID55" i="3"/>
  <c r="IC55" i="3"/>
  <c r="IB55" i="3"/>
  <c r="IA55" i="3"/>
  <c r="HZ55" i="3"/>
  <c r="HY55" i="3"/>
  <c r="HX55" i="3"/>
  <c r="HW55" i="3"/>
  <c r="HV55" i="3"/>
  <c r="HU55" i="3"/>
  <c r="HT55" i="3"/>
  <c r="HS55" i="3"/>
  <c r="HR55" i="3"/>
  <c r="HQ55" i="3"/>
  <c r="HP55" i="3"/>
  <c r="HO55" i="3"/>
  <c r="HN55" i="3"/>
  <c r="HM55" i="3"/>
  <c r="HL55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PF54" i="3"/>
  <c r="PE54" i="3"/>
  <c r="PD54" i="3"/>
  <c r="PC54" i="3"/>
  <c r="PB54" i="3"/>
  <c r="PA54" i="3"/>
  <c r="OZ54" i="3"/>
  <c r="OY54" i="3"/>
  <c r="OX54" i="3"/>
  <c r="OW54" i="3"/>
  <c r="OV54" i="3"/>
  <c r="OU54" i="3"/>
  <c r="OT54" i="3"/>
  <c r="OS54" i="3"/>
  <c r="OR54" i="3"/>
  <c r="OQ54" i="3"/>
  <c r="OP54" i="3"/>
  <c r="OO54" i="3"/>
  <c r="ON54" i="3"/>
  <c r="OM54" i="3"/>
  <c r="OL54" i="3"/>
  <c r="OK54" i="3"/>
  <c r="OJ54" i="3"/>
  <c r="OI54" i="3"/>
  <c r="OH54" i="3"/>
  <c r="OG54" i="3"/>
  <c r="OF54" i="3"/>
  <c r="OE54" i="3"/>
  <c r="OD54" i="3"/>
  <c r="OC54" i="3"/>
  <c r="OB54" i="3"/>
  <c r="OA54" i="3"/>
  <c r="NZ54" i="3"/>
  <c r="NY54" i="3"/>
  <c r="NX54" i="3"/>
  <c r="NW54" i="3"/>
  <c r="NV54" i="3"/>
  <c r="NU54" i="3"/>
  <c r="NT54" i="3"/>
  <c r="NS54" i="3"/>
  <c r="NR54" i="3"/>
  <c r="NQ54" i="3"/>
  <c r="NP54" i="3"/>
  <c r="NO54" i="3"/>
  <c r="NN54" i="3"/>
  <c r="NM54" i="3"/>
  <c r="NL54" i="3"/>
  <c r="NK54" i="3"/>
  <c r="NJ54" i="3"/>
  <c r="NI54" i="3"/>
  <c r="NH54" i="3"/>
  <c r="NG54" i="3"/>
  <c r="NF54" i="3"/>
  <c r="NE54" i="3"/>
  <c r="ND54" i="3"/>
  <c r="NC54" i="3"/>
  <c r="NB54" i="3"/>
  <c r="NA54" i="3"/>
  <c r="MZ54" i="3"/>
  <c r="MY54" i="3"/>
  <c r="MX54" i="3"/>
  <c r="MW54" i="3"/>
  <c r="MV54" i="3"/>
  <c r="MU54" i="3"/>
  <c r="MT54" i="3"/>
  <c r="MS54" i="3"/>
  <c r="MR54" i="3"/>
  <c r="MQ54" i="3"/>
  <c r="MP54" i="3"/>
  <c r="MO54" i="3"/>
  <c r="MN54" i="3"/>
  <c r="MM54" i="3"/>
  <c r="ML54" i="3"/>
  <c r="MK54" i="3"/>
  <c r="MJ54" i="3"/>
  <c r="MI54" i="3"/>
  <c r="MH54" i="3"/>
  <c r="MG54" i="3"/>
  <c r="MF54" i="3"/>
  <c r="ME54" i="3"/>
  <c r="MD54" i="3"/>
  <c r="MC54" i="3"/>
  <c r="MB54" i="3"/>
  <c r="MA54" i="3"/>
  <c r="LZ54" i="3"/>
  <c r="LY54" i="3"/>
  <c r="LX54" i="3"/>
  <c r="LW54" i="3"/>
  <c r="LV54" i="3"/>
  <c r="LU54" i="3"/>
  <c r="LT54" i="3"/>
  <c r="LS54" i="3"/>
  <c r="LR54" i="3"/>
  <c r="LQ54" i="3"/>
  <c r="LP54" i="3"/>
  <c r="LO54" i="3"/>
  <c r="LN54" i="3"/>
  <c r="LM54" i="3"/>
  <c r="LL54" i="3"/>
  <c r="LK54" i="3"/>
  <c r="LJ54" i="3"/>
  <c r="LI54" i="3"/>
  <c r="LH54" i="3"/>
  <c r="LG54" i="3"/>
  <c r="LF54" i="3"/>
  <c r="LE54" i="3"/>
  <c r="LD54" i="3"/>
  <c r="LC54" i="3"/>
  <c r="LB54" i="3"/>
  <c r="LA54" i="3"/>
  <c r="KZ54" i="3"/>
  <c r="KY54" i="3"/>
  <c r="KX54" i="3"/>
  <c r="KW54" i="3"/>
  <c r="KV54" i="3"/>
  <c r="KU54" i="3"/>
  <c r="KT54" i="3"/>
  <c r="KS54" i="3"/>
  <c r="KR54" i="3"/>
  <c r="KQ54" i="3"/>
  <c r="KP54" i="3"/>
  <c r="KO54" i="3"/>
  <c r="KN54" i="3"/>
  <c r="KM54" i="3"/>
  <c r="KL54" i="3"/>
  <c r="KK54" i="3"/>
  <c r="KJ54" i="3"/>
  <c r="KI54" i="3"/>
  <c r="KH54" i="3"/>
  <c r="KG54" i="3"/>
  <c r="KF54" i="3"/>
  <c r="KE54" i="3"/>
  <c r="KD54" i="3"/>
  <c r="KC54" i="3"/>
  <c r="KB54" i="3"/>
  <c r="KA54" i="3"/>
  <c r="JZ54" i="3"/>
  <c r="JY54" i="3"/>
  <c r="JX54" i="3"/>
  <c r="JW54" i="3"/>
  <c r="JV54" i="3"/>
  <c r="JU54" i="3"/>
  <c r="JT54" i="3"/>
  <c r="JS54" i="3"/>
  <c r="JR54" i="3"/>
  <c r="JQ54" i="3"/>
  <c r="JP54" i="3"/>
  <c r="JO54" i="3"/>
  <c r="JN54" i="3"/>
  <c r="JM54" i="3"/>
  <c r="JL54" i="3"/>
  <c r="JK54" i="3"/>
  <c r="JJ54" i="3"/>
  <c r="JI54" i="3"/>
  <c r="JH54" i="3"/>
  <c r="JG54" i="3"/>
  <c r="JF54" i="3"/>
  <c r="JE54" i="3"/>
  <c r="JD54" i="3"/>
  <c r="JC54" i="3"/>
  <c r="JB54" i="3"/>
  <c r="JA54" i="3"/>
  <c r="IZ54" i="3"/>
  <c r="IY54" i="3"/>
  <c r="IX54" i="3"/>
  <c r="IW54" i="3"/>
  <c r="IV54" i="3"/>
  <c r="IU54" i="3"/>
  <c r="IT54" i="3"/>
  <c r="IS54" i="3"/>
  <c r="IR54" i="3"/>
  <c r="IQ54" i="3"/>
  <c r="IP54" i="3"/>
  <c r="IO54" i="3"/>
  <c r="IN54" i="3"/>
  <c r="IM54" i="3"/>
  <c r="IL54" i="3"/>
  <c r="IK54" i="3"/>
  <c r="IJ54" i="3"/>
  <c r="II54" i="3"/>
  <c r="IH54" i="3"/>
  <c r="IG54" i="3"/>
  <c r="IF54" i="3"/>
  <c r="IE54" i="3"/>
  <c r="ID54" i="3"/>
  <c r="IC54" i="3"/>
  <c r="IB54" i="3"/>
  <c r="IA54" i="3"/>
  <c r="HZ54" i="3"/>
  <c r="HY54" i="3"/>
  <c r="HX54" i="3"/>
  <c r="HW54" i="3"/>
  <c r="HV54" i="3"/>
  <c r="HU54" i="3"/>
  <c r="HT54" i="3"/>
  <c r="HS54" i="3"/>
  <c r="HR54" i="3"/>
  <c r="HQ54" i="3"/>
  <c r="HP54" i="3"/>
  <c r="HO54" i="3"/>
  <c r="HN54" i="3"/>
  <c r="HM54" i="3"/>
  <c r="HL54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PF53" i="3"/>
  <c r="PE53" i="3"/>
  <c r="PD53" i="3"/>
  <c r="PC53" i="3"/>
  <c r="PB53" i="3"/>
  <c r="PA53" i="3"/>
  <c r="OZ53" i="3"/>
  <c r="OY53" i="3"/>
  <c r="OX53" i="3"/>
  <c r="OW53" i="3"/>
  <c r="OV53" i="3"/>
  <c r="OU53" i="3"/>
  <c r="OT53" i="3"/>
  <c r="OS53" i="3"/>
  <c r="OR53" i="3"/>
  <c r="OQ53" i="3"/>
  <c r="OP53" i="3"/>
  <c r="OO53" i="3"/>
  <c r="ON53" i="3"/>
  <c r="OM53" i="3"/>
  <c r="OL53" i="3"/>
  <c r="OK53" i="3"/>
  <c r="OJ53" i="3"/>
  <c r="OI53" i="3"/>
  <c r="OH53" i="3"/>
  <c r="OG53" i="3"/>
  <c r="OF53" i="3"/>
  <c r="OE53" i="3"/>
  <c r="OD53" i="3"/>
  <c r="OC53" i="3"/>
  <c r="OB53" i="3"/>
  <c r="OA53" i="3"/>
  <c r="NZ53" i="3"/>
  <c r="NY53" i="3"/>
  <c r="NX53" i="3"/>
  <c r="NW53" i="3"/>
  <c r="NV53" i="3"/>
  <c r="NU53" i="3"/>
  <c r="NT53" i="3"/>
  <c r="NS53" i="3"/>
  <c r="NR53" i="3"/>
  <c r="NQ53" i="3"/>
  <c r="NP53" i="3"/>
  <c r="NO53" i="3"/>
  <c r="NN53" i="3"/>
  <c r="NM53" i="3"/>
  <c r="NL53" i="3"/>
  <c r="NK53" i="3"/>
  <c r="NJ53" i="3"/>
  <c r="NI53" i="3"/>
  <c r="NH53" i="3"/>
  <c r="NG53" i="3"/>
  <c r="NF53" i="3"/>
  <c r="NE53" i="3"/>
  <c r="ND53" i="3"/>
  <c r="NC53" i="3"/>
  <c r="NB53" i="3"/>
  <c r="NA53" i="3"/>
  <c r="MZ53" i="3"/>
  <c r="MY53" i="3"/>
  <c r="MX53" i="3"/>
  <c r="MW53" i="3"/>
  <c r="MV53" i="3"/>
  <c r="MU53" i="3"/>
  <c r="MT53" i="3"/>
  <c r="MS53" i="3"/>
  <c r="MR53" i="3"/>
  <c r="MQ53" i="3"/>
  <c r="MP53" i="3"/>
  <c r="MO53" i="3"/>
  <c r="MN53" i="3"/>
  <c r="MM53" i="3"/>
  <c r="ML53" i="3"/>
  <c r="MK53" i="3"/>
  <c r="MJ53" i="3"/>
  <c r="MI53" i="3"/>
  <c r="MH53" i="3"/>
  <c r="MG53" i="3"/>
  <c r="MF53" i="3"/>
  <c r="ME53" i="3"/>
  <c r="MD53" i="3"/>
  <c r="MC53" i="3"/>
  <c r="MB53" i="3"/>
  <c r="MA53" i="3"/>
  <c r="LZ53" i="3"/>
  <c r="LY53" i="3"/>
  <c r="LX53" i="3"/>
  <c r="LW53" i="3"/>
  <c r="LV53" i="3"/>
  <c r="LU53" i="3"/>
  <c r="LT53" i="3"/>
  <c r="LS53" i="3"/>
  <c r="LR53" i="3"/>
  <c r="LQ53" i="3"/>
  <c r="LP53" i="3"/>
  <c r="LO53" i="3"/>
  <c r="LN53" i="3"/>
  <c r="LM53" i="3"/>
  <c r="LL53" i="3"/>
  <c r="LK53" i="3"/>
  <c r="LJ53" i="3"/>
  <c r="LI53" i="3"/>
  <c r="LH53" i="3"/>
  <c r="LG53" i="3"/>
  <c r="LF53" i="3"/>
  <c r="LE53" i="3"/>
  <c r="LD53" i="3"/>
  <c r="LC53" i="3"/>
  <c r="LB53" i="3"/>
  <c r="LA53" i="3"/>
  <c r="KZ53" i="3"/>
  <c r="KY53" i="3"/>
  <c r="KX53" i="3"/>
  <c r="KW53" i="3"/>
  <c r="KV53" i="3"/>
  <c r="KU53" i="3"/>
  <c r="KT53" i="3"/>
  <c r="KS53" i="3"/>
  <c r="KR53" i="3"/>
  <c r="KQ53" i="3"/>
  <c r="KP53" i="3"/>
  <c r="KO53" i="3"/>
  <c r="KN53" i="3"/>
  <c r="KM53" i="3"/>
  <c r="KL53" i="3"/>
  <c r="KK53" i="3"/>
  <c r="KJ53" i="3"/>
  <c r="KI53" i="3"/>
  <c r="KH53" i="3"/>
  <c r="KG53" i="3"/>
  <c r="KF53" i="3"/>
  <c r="KE53" i="3"/>
  <c r="KD53" i="3"/>
  <c r="KC53" i="3"/>
  <c r="KB53" i="3"/>
  <c r="KA53" i="3"/>
  <c r="JZ53" i="3"/>
  <c r="JY53" i="3"/>
  <c r="JX53" i="3"/>
  <c r="JW53" i="3"/>
  <c r="JV53" i="3"/>
  <c r="JU53" i="3"/>
  <c r="JT53" i="3"/>
  <c r="JS53" i="3"/>
  <c r="JR53" i="3"/>
  <c r="JQ53" i="3"/>
  <c r="JP53" i="3"/>
  <c r="JO53" i="3"/>
  <c r="JN53" i="3"/>
  <c r="JM53" i="3"/>
  <c r="JL53" i="3"/>
  <c r="JK53" i="3"/>
  <c r="JJ53" i="3"/>
  <c r="JI53" i="3"/>
  <c r="JH53" i="3"/>
  <c r="JG53" i="3"/>
  <c r="JF53" i="3"/>
  <c r="JE53" i="3"/>
  <c r="JD53" i="3"/>
  <c r="JC53" i="3"/>
  <c r="JB53" i="3"/>
  <c r="JA53" i="3"/>
  <c r="IZ53" i="3"/>
  <c r="IY53" i="3"/>
  <c r="IX53" i="3"/>
  <c r="IW53" i="3"/>
  <c r="IV53" i="3"/>
  <c r="IU53" i="3"/>
  <c r="IT53" i="3"/>
  <c r="IS53" i="3"/>
  <c r="IR53" i="3"/>
  <c r="IQ53" i="3"/>
  <c r="IP53" i="3"/>
  <c r="IO53" i="3"/>
  <c r="IN53" i="3"/>
  <c r="IM53" i="3"/>
  <c r="IL53" i="3"/>
  <c r="IK53" i="3"/>
  <c r="IJ53" i="3"/>
  <c r="II53" i="3"/>
  <c r="IH53" i="3"/>
  <c r="IG53" i="3"/>
  <c r="IF53" i="3"/>
  <c r="IE53" i="3"/>
  <c r="ID53" i="3"/>
  <c r="IC53" i="3"/>
  <c r="IB53" i="3"/>
  <c r="IA53" i="3"/>
  <c r="HZ53" i="3"/>
  <c r="HY53" i="3"/>
  <c r="HX53" i="3"/>
  <c r="HW53" i="3"/>
  <c r="HV53" i="3"/>
  <c r="HU53" i="3"/>
  <c r="HT53" i="3"/>
  <c r="HS53" i="3"/>
  <c r="HR53" i="3"/>
  <c r="HQ53" i="3"/>
  <c r="HP53" i="3"/>
  <c r="HO53" i="3"/>
  <c r="HN53" i="3"/>
  <c r="HM53" i="3"/>
  <c r="HL53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PF52" i="3"/>
  <c r="PE52" i="3"/>
  <c r="PD52" i="3"/>
  <c r="PC52" i="3"/>
  <c r="PB52" i="3"/>
  <c r="PA52" i="3"/>
  <c r="OZ52" i="3"/>
  <c r="OY52" i="3"/>
  <c r="OX52" i="3"/>
  <c r="OW52" i="3"/>
  <c r="OV52" i="3"/>
  <c r="OU52" i="3"/>
  <c r="OT52" i="3"/>
  <c r="OS52" i="3"/>
  <c r="OR52" i="3"/>
  <c r="OQ52" i="3"/>
  <c r="OP52" i="3"/>
  <c r="OO52" i="3"/>
  <c r="ON52" i="3"/>
  <c r="OM52" i="3"/>
  <c r="OL52" i="3"/>
  <c r="OK52" i="3"/>
  <c r="OJ52" i="3"/>
  <c r="OI52" i="3"/>
  <c r="OH52" i="3"/>
  <c r="OG52" i="3"/>
  <c r="OF52" i="3"/>
  <c r="OE52" i="3"/>
  <c r="OD52" i="3"/>
  <c r="OC52" i="3"/>
  <c r="OB52" i="3"/>
  <c r="OA52" i="3"/>
  <c r="NZ52" i="3"/>
  <c r="NY52" i="3"/>
  <c r="NX52" i="3"/>
  <c r="NW52" i="3"/>
  <c r="NV52" i="3"/>
  <c r="NU52" i="3"/>
  <c r="NT52" i="3"/>
  <c r="NS52" i="3"/>
  <c r="NR52" i="3"/>
  <c r="NQ52" i="3"/>
  <c r="NP52" i="3"/>
  <c r="NO52" i="3"/>
  <c r="NN52" i="3"/>
  <c r="NM52" i="3"/>
  <c r="NL52" i="3"/>
  <c r="NK52" i="3"/>
  <c r="NJ52" i="3"/>
  <c r="NI52" i="3"/>
  <c r="NH52" i="3"/>
  <c r="NG52" i="3"/>
  <c r="NF52" i="3"/>
  <c r="NE52" i="3"/>
  <c r="ND52" i="3"/>
  <c r="NC52" i="3"/>
  <c r="NB52" i="3"/>
  <c r="NA52" i="3"/>
  <c r="MZ52" i="3"/>
  <c r="MY52" i="3"/>
  <c r="MX52" i="3"/>
  <c r="MW52" i="3"/>
  <c r="MV52" i="3"/>
  <c r="MU52" i="3"/>
  <c r="MT52" i="3"/>
  <c r="MS52" i="3"/>
  <c r="MR52" i="3"/>
  <c r="MQ52" i="3"/>
  <c r="MP52" i="3"/>
  <c r="MO52" i="3"/>
  <c r="MN52" i="3"/>
  <c r="MM52" i="3"/>
  <c r="ML52" i="3"/>
  <c r="MK52" i="3"/>
  <c r="MJ52" i="3"/>
  <c r="MI52" i="3"/>
  <c r="MH52" i="3"/>
  <c r="MG52" i="3"/>
  <c r="MF52" i="3"/>
  <c r="ME52" i="3"/>
  <c r="MD52" i="3"/>
  <c r="MC52" i="3"/>
  <c r="MB52" i="3"/>
  <c r="MA52" i="3"/>
  <c r="LZ52" i="3"/>
  <c r="LY52" i="3"/>
  <c r="LX52" i="3"/>
  <c r="LW52" i="3"/>
  <c r="LV52" i="3"/>
  <c r="LU52" i="3"/>
  <c r="LT52" i="3"/>
  <c r="LS52" i="3"/>
  <c r="LR52" i="3"/>
  <c r="LQ52" i="3"/>
  <c r="LP52" i="3"/>
  <c r="LO52" i="3"/>
  <c r="LN52" i="3"/>
  <c r="LM52" i="3"/>
  <c r="LL52" i="3"/>
  <c r="LK52" i="3"/>
  <c r="LJ52" i="3"/>
  <c r="LI52" i="3"/>
  <c r="LH52" i="3"/>
  <c r="LG52" i="3"/>
  <c r="LF52" i="3"/>
  <c r="LE52" i="3"/>
  <c r="LD52" i="3"/>
  <c r="LC52" i="3"/>
  <c r="LB52" i="3"/>
  <c r="LA52" i="3"/>
  <c r="KZ52" i="3"/>
  <c r="KY52" i="3"/>
  <c r="KX52" i="3"/>
  <c r="KW52" i="3"/>
  <c r="KV52" i="3"/>
  <c r="KU52" i="3"/>
  <c r="KT52" i="3"/>
  <c r="KS52" i="3"/>
  <c r="KR52" i="3"/>
  <c r="KQ52" i="3"/>
  <c r="KP52" i="3"/>
  <c r="KO52" i="3"/>
  <c r="KN52" i="3"/>
  <c r="KM52" i="3"/>
  <c r="KL52" i="3"/>
  <c r="KK52" i="3"/>
  <c r="KJ52" i="3"/>
  <c r="KI52" i="3"/>
  <c r="KH52" i="3"/>
  <c r="KG52" i="3"/>
  <c r="KF52" i="3"/>
  <c r="KE52" i="3"/>
  <c r="KD52" i="3"/>
  <c r="KC52" i="3"/>
  <c r="KB52" i="3"/>
  <c r="KA52" i="3"/>
  <c r="JZ52" i="3"/>
  <c r="JY52" i="3"/>
  <c r="JX52" i="3"/>
  <c r="JW52" i="3"/>
  <c r="JV52" i="3"/>
  <c r="JU52" i="3"/>
  <c r="JT52" i="3"/>
  <c r="JS52" i="3"/>
  <c r="JR52" i="3"/>
  <c r="JQ52" i="3"/>
  <c r="JP52" i="3"/>
  <c r="JO52" i="3"/>
  <c r="JN52" i="3"/>
  <c r="JM52" i="3"/>
  <c r="JL52" i="3"/>
  <c r="JK52" i="3"/>
  <c r="JJ52" i="3"/>
  <c r="JI52" i="3"/>
  <c r="JH52" i="3"/>
  <c r="JG52" i="3"/>
  <c r="JF52" i="3"/>
  <c r="JE52" i="3"/>
  <c r="JD52" i="3"/>
  <c r="JC52" i="3"/>
  <c r="JB52" i="3"/>
  <c r="JA52" i="3"/>
  <c r="IZ52" i="3"/>
  <c r="IY52" i="3"/>
  <c r="IX52" i="3"/>
  <c r="IW52" i="3"/>
  <c r="IV52" i="3"/>
  <c r="IU52" i="3"/>
  <c r="IT52" i="3"/>
  <c r="IS52" i="3"/>
  <c r="IR52" i="3"/>
  <c r="IQ52" i="3"/>
  <c r="IP52" i="3"/>
  <c r="IO52" i="3"/>
  <c r="IN52" i="3"/>
  <c r="IM52" i="3"/>
  <c r="IL52" i="3"/>
  <c r="IK52" i="3"/>
  <c r="IJ52" i="3"/>
  <c r="II52" i="3"/>
  <c r="IH52" i="3"/>
  <c r="IG52" i="3"/>
  <c r="IF52" i="3"/>
  <c r="IE52" i="3"/>
  <c r="ID52" i="3"/>
  <c r="IC52" i="3"/>
  <c r="IB52" i="3"/>
  <c r="IA52" i="3"/>
  <c r="HZ52" i="3"/>
  <c r="HY52" i="3"/>
  <c r="HX52" i="3"/>
  <c r="HW52" i="3"/>
  <c r="HV52" i="3"/>
  <c r="HU52" i="3"/>
  <c r="HT52" i="3"/>
  <c r="HS52" i="3"/>
  <c r="HR52" i="3"/>
  <c r="HQ52" i="3"/>
  <c r="HP52" i="3"/>
  <c r="HO52" i="3"/>
  <c r="HN52" i="3"/>
  <c r="HM52" i="3"/>
  <c r="HL52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PF51" i="3"/>
  <c r="PE51" i="3"/>
  <c r="PD51" i="3"/>
  <c r="PC51" i="3"/>
  <c r="PB51" i="3"/>
  <c r="PA51" i="3"/>
  <c r="OZ51" i="3"/>
  <c r="OY51" i="3"/>
  <c r="OX51" i="3"/>
  <c r="OW51" i="3"/>
  <c r="OV51" i="3"/>
  <c r="OU51" i="3"/>
  <c r="OT51" i="3"/>
  <c r="OS51" i="3"/>
  <c r="OR51" i="3"/>
  <c r="OQ51" i="3"/>
  <c r="OP51" i="3"/>
  <c r="OO51" i="3"/>
  <c r="ON51" i="3"/>
  <c r="OM51" i="3"/>
  <c r="OL51" i="3"/>
  <c r="OK51" i="3"/>
  <c r="OJ51" i="3"/>
  <c r="OI51" i="3"/>
  <c r="OH51" i="3"/>
  <c r="OG51" i="3"/>
  <c r="OF51" i="3"/>
  <c r="OE51" i="3"/>
  <c r="OD51" i="3"/>
  <c r="OC51" i="3"/>
  <c r="OB51" i="3"/>
  <c r="OA51" i="3"/>
  <c r="NZ51" i="3"/>
  <c r="NY51" i="3"/>
  <c r="NX51" i="3"/>
  <c r="NW51" i="3"/>
  <c r="NV51" i="3"/>
  <c r="NU51" i="3"/>
  <c r="NT51" i="3"/>
  <c r="NS51" i="3"/>
  <c r="NR51" i="3"/>
  <c r="NQ51" i="3"/>
  <c r="NP51" i="3"/>
  <c r="NO51" i="3"/>
  <c r="NN51" i="3"/>
  <c r="NM51" i="3"/>
  <c r="NL51" i="3"/>
  <c r="NK51" i="3"/>
  <c r="NJ51" i="3"/>
  <c r="NI51" i="3"/>
  <c r="NH51" i="3"/>
  <c r="NG51" i="3"/>
  <c r="NF51" i="3"/>
  <c r="NE51" i="3"/>
  <c r="ND51" i="3"/>
  <c r="NC51" i="3"/>
  <c r="NB51" i="3"/>
  <c r="NA51" i="3"/>
  <c r="MZ51" i="3"/>
  <c r="MY51" i="3"/>
  <c r="MX51" i="3"/>
  <c r="MW51" i="3"/>
  <c r="MV51" i="3"/>
  <c r="MU51" i="3"/>
  <c r="MT51" i="3"/>
  <c r="MS51" i="3"/>
  <c r="MR51" i="3"/>
  <c r="MQ51" i="3"/>
  <c r="MP51" i="3"/>
  <c r="MO51" i="3"/>
  <c r="MN51" i="3"/>
  <c r="MM51" i="3"/>
  <c r="ML51" i="3"/>
  <c r="MK51" i="3"/>
  <c r="MJ51" i="3"/>
  <c r="MI51" i="3"/>
  <c r="MH51" i="3"/>
  <c r="MG51" i="3"/>
  <c r="MF51" i="3"/>
  <c r="ME51" i="3"/>
  <c r="MD51" i="3"/>
  <c r="MC51" i="3"/>
  <c r="MB51" i="3"/>
  <c r="MA51" i="3"/>
  <c r="LZ51" i="3"/>
  <c r="LY51" i="3"/>
  <c r="LX51" i="3"/>
  <c r="LW51" i="3"/>
  <c r="LV51" i="3"/>
  <c r="LU51" i="3"/>
  <c r="LT51" i="3"/>
  <c r="LS51" i="3"/>
  <c r="LR51" i="3"/>
  <c r="LQ51" i="3"/>
  <c r="LP51" i="3"/>
  <c r="LO51" i="3"/>
  <c r="LN51" i="3"/>
  <c r="LM51" i="3"/>
  <c r="LL51" i="3"/>
  <c r="LK51" i="3"/>
  <c r="LJ51" i="3"/>
  <c r="LI51" i="3"/>
  <c r="LH51" i="3"/>
  <c r="LG51" i="3"/>
  <c r="LF51" i="3"/>
  <c r="LE51" i="3"/>
  <c r="LD51" i="3"/>
  <c r="LC51" i="3"/>
  <c r="LB51" i="3"/>
  <c r="LA51" i="3"/>
  <c r="KZ51" i="3"/>
  <c r="KY51" i="3"/>
  <c r="KX51" i="3"/>
  <c r="KW51" i="3"/>
  <c r="KV51" i="3"/>
  <c r="KU51" i="3"/>
  <c r="KT51" i="3"/>
  <c r="KS51" i="3"/>
  <c r="KR51" i="3"/>
  <c r="KQ51" i="3"/>
  <c r="KP51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JX51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IS51" i="3"/>
  <c r="IR51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PF50" i="3"/>
  <c r="PE50" i="3"/>
  <c r="PD50" i="3"/>
  <c r="PC50" i="3"/>
  <c r="PB50" i="3"/>
  <c r="PA50" i="3"/>
  <c r="OZ50" i="3"/>
  <c r="OY50" i="3"/>
  <c r="OX50" i="3"/>
  <c r="OW50" i="3"/>
  <c r="OV50" i="3"/>
  <c r="OU50" i="3"/>
  <c r="OT50" i="3"/>
  <c r="OS50" i="3"/>
  <c r="OR50" i="3"/>
  <c r="OQ50" i="3"/>
  <c r="OP50" i="3"/>
  <c r="OO50" i="3"/>
  <c r="ON50" i="3"/>
  <c r="OM50" i="3"/>
  <c r="OL50" i="3"/>
  <c r="OK50" i="3"/>
  <c r="OJ50" i="3"/>
  <c r="OI50" i="3"/>
  <c r="OH50" i="3"/>
  <c r="OG50" i="3"/>
  <c r="OF50" i="3"/>
  <c r="OE50" i="3"/>
  <c r="OD50" i="3"/>
  <c r="OC50" i="3"/>
  <c r="OB50" i="3"/>
  <c r="OA50" i="3"/>
  <c r="NZ50" i="3"/>
  <c r="NY50" i="3"/>
  <c r="NX50" i="3"/>
  <c r="NW50" i="3"/>
  <c r="NV50" i="3"/>
  <c r="NU50" i="3"/>
  <c r="NT50" i="3"/>
  <c r="NS50" i="3"/>
  <c r="NR50" i="3"/>
  <c r="NQ50" i="3"/>
  <c r="NP50" i="3"/>
  <c r="NO50" i="3"/>
  <c r="NN50" i="3"/>
  <c r="NM50" i="3"/>
  <c r="NL50" i="3"/>
  <c r="NK50" i="3"/>
  <c r="NJ50" i="3"/>
  <c r="NI50" i="3"/>
  <c r="NH50" i="3"/>
  <c r="NG50" i="3"/>
  <c r="NF50" i="3"/>
  <c r="NE50" i="3"/>
  <c r="ND50" i="3"/>
  <c r="NC50" i="3"/>
  <c r="NB50" i="3"/>
  <c r="NA50" i="3"/>
  <c r="MZ50" i="3"/>
  <c r="MY50" i="3"/>
  <c r="MX50" i="3"/>
  <c r="MW50" i="3"/>
  <c r="MV50" i="3"/>
  <c r="MU50" i="3"/>
  <c r="MT50" i="3"/>
  <c r="MS50" i="3"/>
  <c r="MR50" i="3"/>
  <c r="MQ50" i="3"/>
  <c r="MP50" i="3"/>
  <c r="MO50" i="3"/>
  <c r="MN50" i="3"/>
  <c r="MM50" i="3"/>
  <c r="ML50" i="3"/>
  <c r="MK50" i="3"/>
  <c r="MJ50" i="3"/>
  <c r="MI50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LD50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JX50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IS50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PF49" i="3"/>
  <c r="PE49" i="3"/>
  <c r="PD49" i="3"/>
  <c r="PC49" i="3"/>
  <c r="PB49" i="3"/>
  <c r="PA49" i="3"/>
  <c r="OZ49" i="3"/>
  <c r="OY49" i="3"/>
  <c r="OX49" i="3"/>
  <c r="OW49" i="3"/>
  <c r="OV49" i="3"/>
  <c r="OU49" i="3"/>
  <c r="OT49" i="3"/>
  <c r="OS49" i="3"/>
  <c r="OR49" i="3"/>
  <c r="OQ49" i="3"/>
  <c r="OP49" i="3"/>
  <c r="OO49" i="3"/>
  <c r="ON49" i="3"/>
  <c r="OM49" i="3"/>
  <c r="OL49" i="3"/>
  <c r="OK49" i="3"/>
  <c r="OJ49" i="3"/>
  <c r="OI49" i="3"/>
  <c r="OH49" i="3"/>
  <c r="OG49" i="3"/>
  <c r="OF49" i="3"/>
  <c r="OE49" i="3"/>
  <c r="OD49" i="3"/>
  <c r="OC49" i="3"/>
  <c r="OB49" i="3"/>
  <c r="OA49" i="3"/>
  <c r="NZ49" i="3"/>
  <c r="NY49" i="3"/>
  <c r="NX49" i="3"/>
  <c r="NW49" i="3"/>
  <c r="NV49" i="3"/>
  <c r="NU49" i="3"/>
  <c r="NT49" i="3"/>
  <c r="NS49" i="3"/>
  <c r="NR49" i="3"/>
  <c r="NQ49" i="3"/>
  <c r="NP49" i="3"/>
  <c r="NO49" i="3"/>
  <c r="NN49" i="3"/>
  <c r="NM49" i="3"/>
  <c r="NL49" i="3"/>
  <c r="NK49" i="3"/>
  <c r="NJ49" i="3"/>
  <c r="NI49" i="3"/>
  <c r="NH49" i="3"/>
  <c r="NG49" i="3"/>
  <c r="NF49" i="3"/>
  <c r="NE49" i="3"/>
  <c r="ND49" i="3"/>
  <c r="NC49" i="3"/>
  <c r="NB49" i="3"/>
  <c r="NA49" i="3"/>
  <c r="MZ49" i="3"/>
  <c r="MY49" i="3"/>
  <c r="MX49" i="3"/>
  <c r="MW49" i="3"/>
  <c r="MV49" i="3"/>
  <c r="MU49" i="3"/>
  <c r="MT49" i="3"/>
  <c r="MS49" i="3"/>
  <c r="MR49" i="3"/>
  <c r="MQ49" i="3"/>
  <c r="MP49" i="3"/>
  <c r="MO49" i="3"/>
  <c r="MN49" i="3"/>
  <c r="MM49" i="3"/>
  <c r="ML49" i="3"/>
  <c r="MK49" i="3"/>
  <c r="MJ49" i="3"/>
  <c r="MI49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LD49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JX49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IS49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PF48" i="3"/>
  <c r="PE48" i="3"/>
  <c r="PD48" i="3"/>
  <c r="PC48" i="3"/>
  <c r="PB48" i="3"/>
  <c r="PA48" i="3"/>
  <c r="OZ48" i="3"/>
  <c r="OY48" i="3"/>
  <c r="OX48" i="3"/>
  <c r="OW48" i="3"/>
  <c r="OV48" i="3"/>
  <c r="OU48" i="3"/>
  <c r="OT48" i="3"/>
  <c r="OS48" i="3"/>
  <c r="OR48" i="3"/>
  <c r="OQ48" i="3"/>
  <c r="OP48" i="3"/>
  <c r="OO48" i="3"/>
  <c r="ON48" i="3"/>
  <c r="OM48" i="3"/>
  <c r="OL48" i="3"/>
  <c r="OK48" i="3"/>
  <c r="OJ48" i="3"/>
  <c r="OI48" i="3"/>
  <c r="OH48" i="3"/>
  <c r="OG48" i="3"/>
  <c r="OF48" i="3"/>
  <c r="OE48" i="3"/>
  <c r="OD48" i="3"/>
  <c r="OC48" i="3"/>
  <c r="OB48" i="3"/>
  <c r="OA48" i="3"/>
  <c r="NZ48" i="3"/>
  <c r="NY48" i="3"/>
  <c r="NX48" i="3"/>
  <c r="NW48" i="3"/>
  <c r="NV48" i="3"/>
  <c r="NU48" i="3"/>
  <c r="NT48" i="3"/>
  <c r="NS48" i="3"/>
  <c r="NR48" i="3"/>
  <c r="NQ48" i="3"/>
  <c r="NP48" i="3"/>
  <c r="NO48" i="3"/>
  <c r="NN48" i="3"/>
  <c r="NM48" i="3"/>
  <c r="NL48" i="3"/>
  <c r="NK48" i="3"/>
  <c r="NJ48" i="3"/>
  <c r="NI48" i="3"/>
  <c r="NH48" i="3"/>
  <c r="NG48" i="3"/>
  <c r="NF48" i="3"/>
  <c r="NE48" i="3"/>
  <c r="ND48" i="3"/>
  <c r="NC48" i="3"/>
  <c r="NB48" i="3"/>
  <c r="NA48" i="3"/>
  <c r="MZ48" i="3"/>
  <c r="MY48" i="3"/>
  <c r="MX48" i="3"/>
  <c r="MW48" i="3"/>
  <c r="MV48" i="3"/>
  <c r="MU48" i="3"/>
  <c r="MT48" i="3"/>
  <c r="MS48" i="3"/>
  <c r="MR48" i="3"/>
  <c r="MQ48" i="3"/>
  <c r="MP48" i="3"/>
  <c r="MO48" i="3"/>
  <c r="MN48" i="3"/>
  <c r="MM48" i="3"/>
  <c r="ML48" i="3"/>
  <c r="MK48" i="3"/>
  <c r="MJ48" i="3"/>
  <c r="MI48" i="3"/>
  <c r="MH48" i="3"/>
  <c r="MG48" i="3"/>
  <c r="MF48" i="3"/>
  <c r="ME48" i="3"/>
  <c r="MD48" i="3"/>
  <c r="MC48" i="3"/>
  <c r="MB48" i="3"/>
  <c r="MA48" i="3"/>
  <c r="LZ48" i="3"/>
  <c r="LY48" i="3"/>
  <c r="LX48" i="3"/>
  <c r="LW48" i="3"/>
  <c r="LV48" i="3"/>
  <c r="LU48" i="3"/>
  <c r="LT48" i="3"/>
  <c r="LS48" i="3"/>
  <c r="LR48" i="3"/>
  <c r="LQ48" i="3"/>
  <c r="LP48" i="3"/>
  <c r="LO48" i="3"/>
  <c r="LN48" i="3"/>
  <c r="LM48" i="3"/>
  <c r="LL48" i="3"/>
  <c r="LK48" i="3"/>
  <c r="LJ48" i="3"/>
  <c r="LI48" i="3"/>
  <c r="LH48" i="3"/>
  <c r="LG48" i="3"/>
  <c r="LF48" i="3"/>
  <c r="LE48" i="3"/>
  <c r="LD48" i="3"/>
  <c r="LC48" i="3"/>
  <c r="LB48" i="3"/>
  <c r="LA48" i="3"/>
  <c r="KZ48" i="3"/>
  <c r="KY48" i="3"/>
  <c r="KX48" i="3"/>
  <c r="KW48" i="3"/>
  <c r="KV48" i="3"/>
  <c r="KU48" i="3"/>
  <c r="KT48" i="3"/>
  <c r="KS48" i="3"/>
  <c r="KR48" i="3"/>
  <c r="KQ48" i="3"/>
  <c r="KP48" i="3"/>
  <c r="KO48" i="3"/>
  <c r="KN48" i="3"/>
  <c r="KM48" i="3"/>
  <c r="KL48" i="3"/>
  <c r="KK48" i="3"/>
  <c r="KJ48" i="3"/>
  <c r="KI48" i="3"/>
  <c r="KH48" i="3"/>
  <c r="KG48" i="3"/>
  <c r="KF48" i="3"/>
  <c r="KE48" i="3"/>
  <c r="KD48" i="3"/>
  <c r="KC48" i="3"/>
  <c r="KB48" i="3"/>
  <c r="KA48" i="3"/>
  <c r="JZ48" i="3"/>
  <c r="JY48" i="3"/>
  <c r="JX48" i="3"/>
  <c r="JW48" i="3"/>
  <c r="JV48" i="3"/>
  <c r="JU48" i="3"/>
  <c r="JT48" i="3"/>
  <c r="JS48" i="3"/>
  <c r="JR48" i="3"/>
  <c r="JQ48" i="3"/>
  <c r="JP48" i="3"/>
  <c r="JO48" i="3"/>
  <c r="JN48" i="3"/>
  <c r="JM48" i="3"/>
  <c r="JL48" i="3"/>
  <c r="JK48" i="3"/>
  <c r="JJ48" i="3"/>
  <c r="JI48" i="3"/>
  <c r="JH48" i="3"/>
  <c r="JG48" i="3"/>
  <c r="JF48" i="3"/>
  <c r="JE48" i="3"/>
  <c r="JD48" i="3"/>
  <c r="JC48" i="3"/>
  <c r="JB48" i="3"/>
  <c r="JA48" i="3"/>
  <c r="IZ48" i="3"/>
  <c r="IY48" i="3"/>
  <c r="IX48" i="3"/>
  <c r="IW48" i="3"/>
  <c r="IV48" i="3"/>
  <c r="IU48" i="3"/>
  <c r="IT48" i="3"/>
  <c r="IS48" i="3"/>
  <c r="IR48" i="3"/>
  <c r="IQ48" i="3"/>
  <c r="IP48" i="3"/>
  <c r="IO48" i="3"/>
  <c r="IN48" i="3"/>
  <c r="IM48" i="3"/>
  <c r="IL48" i="3"/>
  <c r="IK48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HM48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PF47" i="3"/>
  <c r="PE47" i="3"/>
  <c r="PD47" i="3"/>
  <c r="PC47" i="3"/>
  <c r="PB47" i="3"/>
  <c r="PA47" i="3"/>
  <c r="OZ47" i="3"/>
  <c r="OY47" i="3"/>
  <c r="OX47" i="3"/>
  <c r="OW47" i="3"/>
  <c r="OV47" i="3"/>
  <c r="OU47" i="3"/>
  <c r="OT47" i="3"/>
  <c r="OS47" i="3"/>
  <c r="OR47" i="3"/>
  <c r="OQ47" i="3"/>
  <c r="OP47" i="3"/>
  <c r="OO47" i="3"/>
  <c r="ON47" i="3"/>
  <c r="OM47" i="3"/>
  <c r="OL47" i="3"/>
  <c r="OK47" i="3"/>
  <c r="OJ47" i="3"/>
  <c r="OI47" i="3"/>
  <c r="OH47" i="3"/>
  <c r="OG47" i="3"/>
  <c r="OF47" i="3"/>
  <c r="OE47" i="3"/>
  <c r="OD47" i="3"/>
  <c r="OC47" i="3"/>
  <c r="OB47" i="3"/>
  <c r="OA47" i="3"/>
  <c r="NZ47" i="3"/>
  <c r="NY47" i="3"/>
  <c r="NX47" i="3"/>
  <c r="NW47" i="3"/>
  <c r="NV47" i="3"/>
  <c r="NU47" i="3"/>
  <c r="NT47" i="3"/>
  <c r="NS47" i="3"/>
  <c r="NR47" i="3"/>
  <c r="NQ47" i="3"/>
  <c r="NP47" i="3"/>
  <c r="NO47" i="3"/>
  <c r="NN47" i="3"/>
  <c r="NM47" i="3"/>
  <c r="NL47" i="3"/>
  <c r="NK47" i="3"/>
  <c r="NJ47" i="3"/>
  <c r="NI47" i="3"/>
  <c r="NH47" i="3"/>
  <c r="NG47" i="3"/>
  <c r="NF47" i="3"/>
  <c r="NE47" i="3"/>
  <c r="ND47" i="3"/>
  <c r="NC47" i="3"/>
  <c r="NB47" i="3"/>
  <c r="NA47" i="3"/>
  <c r="MZ47" i="3"/>
  <c r="MY47" i="3"/>
  <c r="MX47" i="3"/>
  <c r="MW47" i="3"/>
  <c r="MV47" i="3"/>
  <c r="MU47" i="3"/>
  <c r="MT47" i="3"/>
  <c r="MS47" i="3"/>
  <c r="MR47" i="3"/>
  <c r="MQ47" i="3"/>
  <c r="MP47" i="3"/>
  <c r="MO47" i="3"/>
  <c r="MN47" i="3"/>
  <c r="MM47" i="3"/>
  <c r="ML47" i="3"/>
  <c r="MK47" i="3"/>
  <c r="MJ47" i="3"/>
  <c r="MI47" i="3"/>
  <c r="MH47" i="3"/>
  <c r="MG47" i="3"/>
  <c r="MF47" i="3"/>
  <c r="ME47" i="3"/>
  <c r="MD47" i="3"/>
  <c r="MC47" i="3"/>
  <c r="MB47" i="3"/>
  <c r="MA47" i="3"/>
  <c r="LZ47" i="3"/>
  <c r="LY47" i="3"/>
  <c r="LX47" i="3"/>
  <c r="LW47" i="3"/>
  <c r="LV47" i="3"/>
  <c r="LU47" i="3"/>
  <c r="LT47" i="3"/>
  <c r="LS47" i="3"/>
  <c r="LR47" i="3"/>
  <c r="LQ47" i="3"/>
  <c r="LP47" i="3"/>
  <c r="LO47" i="3"/>
  <c r="LN47" i="3"/>
  <c r="LM47" i="3"/>
  <c r="LL47" i="3"/>
  <c r="LK47" i="3"/>
  <c r="LJ47" i="3"/>
  <c r="LI47" i="3"/>
  <c r="LH47" i="3"/>
  <c r="LG47" i="3"/>
  <c r="LF47" i="3"/>
  <c r="LE47" i="3"/>
  <c r="LD47" i="3"/>
  <c r="LC47" i="3"/>
  <c r="LB47" i="3"/>
  <c r="LA47" i="3"/>
  <c r="KZ47" i="3"/>
  <c r="KY47" i="3"/>
  <c r="KX47" i="3"/>
  <c r="KW47" i="3"/>
  <c r="KV47" i="3"/>
  <c r="KU47" i="3"/>
  <c r="KT47" i="3"/>
  <c r="KS47" i="3"/>
  <c r="KR47" i="3"/>
  <c r="KQ47" i="3"/>
  <c r="KP47" i="3"/>
  <c r="KO47" i="3"/>
  <c r="KN47" i="3"/>
  <c r="KM47" i="3"/>
  <c r="KL47" i="3"/>
  <c r="KK47" i="3"/>
  <c r="KJ47" i="3"/>
  <c r="KI47" i="3"/>
  <c r="KH47" i="3"/>
  <c r="KG47" i="3"/>
  <c r="KF47" i="3"/>
  <c r="KE47" i="3"/>
  <c r="KD47" i="3"/>
  <c r="KC47" i="3"/>
  <c r="KB47" i="3"/>
  <c r="KA47" i="3"/>
  <c r="JZ47" i="3"/>
  <c r="JY47" i="3"/>
  <c r="JX47" i="3"/>
  <c r="JW47" i="3"/>
  <c r="JV47" i="3"/>
  <c r="JU47" i="3"/>
  <c r="JT47" i="3"/>
  <c r="JS47" i="3"/>
  <c r="JR47" i="3"/>
  <c r="JQ47" i="3"/>
  <c r="JP47" i="3"/>
  <c r="JO47" i="3"/>
  <c r="JN47" i="3"/>
  <c r="JM47" i="3"/>
  <c r="JL47" i="3"/>
  <c r="JK47" i="3"/>
  <c r="JJ47" i="3"/>
  <c r="JI47" i="3"/>
  <c r="JH47" i="3"/>
  <c r="JG47" i="3"/>
  <c r="JF47" i="3"/>
  <c r="JE47" i="3"/>
  <c r="JD47" i="3"/>
  <c r="JC47" i="3"/>
  <c r="JB47" i="3"/>
  <c r="JA47" i="3"/>
  <c r="IZ47" i="3"/>
  <c r="IY47" i="3"/>
  <c r="IX47" i="3"/>
  <c r="IW47" i="3"/>
  <c r="IV47" i="3"/>
  <c r="IU47" i="3"/>
  <c r="IT47" i="3"/>
  <c r="IS47" i="3"/>
  <c r="IR47" i="3"/>
  <c r="IQ47" i="3"/>
  <c r="IP47" i="3"/>
  <c r="IO47" i="3"/>
  <c r="IN47" i="3"/>
  <c r="IM47" i="3"/>
  <c r="IL47" i="3"/>
  <c r="IK47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HM47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PF46" i="3"/>
  <c r="PE46" i="3"/>
  <c r="PD46" i="3"/>
  <c r="PC46" i="3"/>
  <c r="PB46" i="3"/>
  <c r="PA46" i="3"/>
  <c r="OZ46" i="3"/>
  <c r="OY46" i="3"/>
  <c r="OX46" i="3"/>
  <c r="OW46" i="3"/>
  <c r="OV46" i="3"/>
  <c r="OU46" i="3"/>
  <c r="OT46" i="3"/>
  <c r="OS46" i="3"/>
  <c r="OR46" i="3"/>
  <c r="OQ46" i="3"/>
  <c r="OP46" i="3"/>
  <c r="OO46" i="3"/>
  <c r="ON46" i="3"/>
  <c r="OM46" i="3"/>
  <c r="OL46" i="3"/>
  <c r="OK46" i="3"/>
  <c r="OJ46" i="3"/>
  <c r="OI46" i="3"/>
  <c r="OH46" i="3"/>
  <c r="OG46" i="3"/>
  <c r="OF46" i="3"/>
  <c r="OE46" i="3"/>
  <c r="OD46" i="3"/>
  <c r="OC46" i="3"/>
  <c r="OB46" i="3"/>
  <c r="OA46" i="3"/>
  <c r="NZ46" i="3"/>
  <c r="NY46" i="3"/>
  <c r="NX46" i="3"/>
  <c r="NW46" i="3"/>
  <c r="NV46" i="3"/>
  <c r="NU46" i="3"/>
  <c r="NT46" i="3"/>
  <c r="NS46" i="3"/>
  <c r="NR46" i="3"/>
  <c r="NQ46" i="3"/>
  <c r="NP46" i="3"/>
  <c r="NO46" i="3"/>
  <c r="NN46" i="3"/>
  <c r="NM46" i="3"/>
  <c r="NL46" i="3"/>
  <c r="NK46" i="3"/>
  <c r="NJ46" i="3"/>
  <c r="NI46" i="3"/>
  <c r="NH46" i="3"/>
  <c r="NG46" i="3"/>
  <c r="NF46" i="3"/>
  <c r="NE46" i="3"/>
  <c r="ND46" i="3"/>
  <c r="NC46" i="3"/>
  <c r="NB46" i="3"/>
  <c r="NA46" i="3"/>
  <c r="MZ46" i="3"/>
  <c r="MY46" i="3"/>
  <c r="MX46" i="3"/>
  <c r="MW46" i="3"/>
  <c r="MV46" i="3"/>
  <c r="MU46" i="3"/>
  <c r="MT46" i="3"/>
  <c r="MS46" i="3"/>
  <c r="MR46" i="3"/>
  <c r="MQ46" i="3"/>
  <c r="MP46" i="3"/>
  <c r="MO46" i="3"/>
  <c r="MN46" i="3"/>
  <c r="MM46" i="3"/>
  <c r="ML46" i="3"/>
  <c r="MK46" i="3"/>
  <c r="MJ46" i="3"/>
  <c r="MI46" i="3"/>
  <c r="MH46" i="3"/>
  <c r="MG46" i="3"/>
  <c r="MF46" i="3"/>
  <c r="ME46" i="3"/>
  <c r="MD46" i="3"/>
  <c r="MC46" i="3"/>
  <c r="MB46" i="3"/>
  <c r="MA46" i="3"/>
  <c r="LZ46" i="3"/>
  <c r="LY46" i="3"/>
  <c r="LX46" i="3"/>
  <c r="LW46" i="3"/>
  <c r="LV46" i="3"/>
  <c r="LU46" i="3"/>
  <c r="LT46" i="3"/>
  <c r="LS46" i="3"/>
  <c r="LR46" i="3"/>
  <c r="LQ46" i="3"/>
  <c r="LP46" i="3"/>
  <c r="LO46" i="3"/>
  <c r="LN46" i="3"/>
  <c r="LM46" i="3"/>
  <c r="LL46" i="3"/>
  <c r="LK46" i="3"/>
  <c r="LJ46" i="3"/>
  <c r="LI46" i="3"/>
  <c r="LH46" i="3"/>
  <c r="LG46" i="3"/>
  <c r="LF46" i="3"/>
  <c r="LE46" i="3"/>
  <c r="LD46" i="3"/>
  <c r="LC46" i="3"/>
  <c r="LB46" i="3"/>
  <c r="LA46" i="3"/>
  <c r="KZ46" i="3"/>
  <c r="KY46" i="3"/>
  <c r="KX46" i="3"/>
  <c r="KW46" i="3"/>
  <c r="KV46" i="3"/>
  <c r="KU46" i="3"/>
  <c r="KT46" i="3"/>
  <c r="KS46" i="3"/>
  <c r="KR46" i="3"/>
  <c r="KQ46" i="3"/>
  <c r="KP46" i="3"/>
  <c r="KO46" i="3"/>
  <c r="KN46" i="3"/>
  <c r="KM46" i="3"/>
  <c r="KL46" i="3"/>
  <c r="KK46" i="3"/>
  <c r="KJ46" i="3"/>
  <c r="KI46" i="3"/>
  <c r="KH46" i="3"/>
  <c r="KG46" i="3"/>
  <c r="KF46" i="3"/>
  <c r="KE46" i="3"/>
  <c r="KD46" i="3"/>
  <c r="KC46" i="3"/>
  <c r="KB46" i="3"/>
  <c r="KA46" i="3"/>
  <c r="JZ46" i="3"/>
  <c r="JY46" i="3"/>
  <c r="JX46" i="3"/>
  <c r="JW46" i="3"/>
  <c r="JV46" i="3"/>
  <c r="JU46" i="3"/>
  <c r="JT46" i="3"/>
  <c r="JS46" i="3"/>
  <c r="JR46" i="3"/>
  <c r="JQ46" i="3"/>
  <c r="JP46" i="3"/>
  <c r="JO46" i="3"/>
  <c r="JN46" i="3"/>
  <c r="JM46" i="3"/>
  <c r="JL46" i="3"/>
  <c r="JK46" i="3"/>
  <c r="JJ46" i="3"/>
  <c r="JI46" i="3"/>
  <c r="JH46" i="3"/>
  <c r="JG46" i="3"/>
  <c r="JF46" i="3"/>
  <c r="JE46" i="3"/>
  <c r="JD46" i="3"/>
  <c r="JC46" i="3"/>
  <c r="JB46" i="3"/>
  <c r="JA46" i="3"/>
  <c r="IZ46" i="3"/>
  <c r="IY46" i="3"/>
  <c r="IX46" i="3"/>
  <c r="IW46" i="3"/>
  <c r="IV46" i="3"/>
  <c r="IU46" i="3"/>
  <c r="IT46" i="3"/>
  <c r="IS46" i="3"/>
  <c r="IR46" i="3"/>
  <c r="IQ46" i="3"/>
  <c r="IP46" i="3"/>
  <c r="IO46" i="3"/>
  <c r="IN46" i="3"/>
  <c r="IM46" i="3"/>
  <c r="IL46" i="3"/>
  <c r="IK46" i="3"/>
  <c r="IJ46" i="3"/>
  <c r="II46" i="3"/>
  <c r="IH46" i="3"/>
  <c r="IG46" i="3"/>
  <c r="IF46" i="3"/>
  <c r="IE46" i="3"/>
  <c r="ID46" i="3"/>
  <c r="IC46" i="3"/>
  <c r="IB46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PF45" i="3"/>
  <c r="PE45" i="3"/>
  <c r="PD45" i="3"/>
  <c r="PC45" i="3"/>
  <c r="PB45" i="3"/>
  <c r="PA45" i="3"/>
  <c r="OZ45" i="3"/>
  <c r="OY45" i="3"/>
  <c r="OX45" i="3"/>
  <c r="OW45" i="3"/>
  <c r="OV45" i="3"/>
  <c r="OU45" i="3"/>
  <c r="OT45" i="3"/>
  <c r="OS45" i="3"/>
  <c r="OR45" i="3"/>
  <c r="OQ45" i="3"/>
  <c r="OP45" i="3"/>
  <c r="OO45" i="3"/>
  <c r="ON45" i="3"/>
  <c r="OM45" i="3"/>
  <c r="OL45" i="3"/>
  <c r="OK45" i="3"/>
  <c r="OJ45" i="3"/>
  <c r="OI45" i="3"/>
  <c r="OH45" i="3"/>
  <c r="OG45" i="3"/>
  <c r="OF45" i="3"/>
  <c r="OE45" i="3"/>
  <c r="OD45" i="3"/>
  <c r="OC45" i="3"/>
  <c r="OB45" i="3"/>
  <c r="OA45" i="3"/>
  <c r="NZ45" i="3"/>
  <c r="NY45" i="3"/>
  <c r="NX45" i="3"/>
  <c r="NW45" i="3"/>
  <c r="NV45" i="3"/>
  <c r="NU45" i="3"/>
  <c r="NT45" i="3"/>
  <c r="NS45" i="3"/>
  <c r="NR45" i="3"/>
  <c r="NQ45" i="3"/>
  <c r="NP45" i="3"/>
  <c r="NO45" i="3"/>
  <c r="NN45" i="3"/>
  <c r="NM45" i="3"/>
  <c r="NL45" i="3"/>
  <c r="NK45" i="3"/>
  <c r="NJ45" i="3"/>
  <c r="NI45" i="3"/>
  <c r="NH45" i="3"/>
  <c r="NG45" i="3"/>
  <c r="NF45" i="3"/>
  <c r="NE45" i="3"/>
  <c r="ND45" i="3"/>
  <c r="NC45" i="3"/>
  <c r="NB45" i="3"/>
  <c r="NA45" i="3"/>
  <c r="MZ45" i="3"/>
  <c r="MY45" i="3"/>
  <c r="MX45" i="3"/>
  <c r="MW45" i="3"/>
  <c r="MV45" i="3"/>
  <c r="MU45" i="3"/>
  <c r="MT45" i="3"/>
  <c r="MS45" i="3"/>
  <c r="MR45" i="3"/>
  <c r="MQ45" i="3"/>
  <c r="MP45" i="3"/>
  <c r="MO45" i="3"/>
  <c r="MN45" i="3"/>
  <c r="MM45" i="3"/>
  <c r="ML45" i="3"/>
  <c r="MK45" i="3"/>
  <c r="MJ45" i="3"/>
  <c r="MI45" i="3"/>
  <c r="MH45" i="3"/>
  <c r="MG45" i="3"/>
  <c r="MF45" i="3"/>
  <c r="ME45" i="3"/>
  <c r="MD45" i="3"/>
  <c r="MC45" i="3"/>
  <c r="MB45" i="3"/>
  <c r="MA45" i="3"/>
  <c r="LZ45" i="3"/>
  <c r="LY45" i="3"/>
  <c r="LX45" i="3"/>
  <c r="LW45" i="3"/>
  <c r="LV45" i="3"/>
  <c r="LU45" i="3"/>
  <c r="LT45" i="3"/>
  <c r="LS45" i="3"/>
  <c r="LR45" i="3"/>
  <c r="LQ45" i="3"/>
  <c r="LP45" i="3"/>
  <c r="LO45" i="3"/>
  <c r="LN45" i="3"/>
  <c r="LM45" i="3"/>
  <c r="LL45" i="3"/>
  <c r="LK45" i="3"/>
  <c r="LJ45" i="3"/>
  <c r="LI45" i="3"/>
  <c r="LH45" i="3"/>
  <c r="LG45" i="3"/>
  <c r="LF45" i="3"/>
  <c r="LE45" i="3"/>
  <c r="LD45" i="3"/>
  <c r="LC45" i="3"/>
  <c r="LB45" i="3"/>
  <c r="LA45" i="3"/>
  <c r="KZ45" i="3"/>
  <c r="KY45" i="3"/>
  <c r="KX45" i="3"/>
  <c r="KW45" i="3"/>
  <c r="KV45" i="3"/>
  <c r="KU45" i="3"/>
  <c r="KT45" i="3"/>
  <c r="KS45" i="3"/>
  <c r="KR45" i="3"/>
  <c r="KQ45" i="3"/>
  <c r="KP45" i="3"/>
  <c r="KO45" i="3"/>
  <c r="KN45" i="3"/>
  <c r="KM45" i="3"/>
  <c r="KL45" i="3"/>
  <c r="KK45" i="3"/>
  <c r="KJ45" i="3"/>
  <c r="KI45" i="3"/>
  <c r="KH45" i="3"/>
  <c r="KG45" i="3"/>
  <c r="KF45" i="3"/>
  <c r="KE45" i="3"/>
  <c r="KD45" i="3"/>
  <c r="KC45" i="3"/>
  <c r="KB45" i="3"/>
  <c r="KA45" i="3"/>
  <c r="JZ45" i="3"/>
  <c r="JY45" i="3"/>
  <c r="JX45" i="3"/>
  <c r="JW45" i="3"/>
  <c r="JV45" i="3"/>
  <c r="JU45" i="3"/>
  <c r="JT45" i="3"/>
  <c r="JS45" i="3"/>
  <c r="JR45" i="3"/>
  <c r="JQ45" i="3"/>
  <c r="JP45" i="3"/>
  <c r="JO45" i="3"/>
  <c r="JN45" i="3"/>
  <c r="JM45" i="3"/>
  <c r="JL45" i="3"/>
  <c r="JK45" i="3"/>
  <c r="JJ45" i="3"/>
  <c r="JI45" i="3"/>
  <c r="JH45" i="3"/>
  <c r="JG45" i="3"/>
  <c r="JF45" i="3"/>
  <c r="JE45" i="3"/>
  <c r="JD45" i="3"/>
  <c r="JC45" i="3"/>
  <c r="JB45" i="3"/>
  <c r="JA45" i="3"/>
  <c r="IZ45" i="3"/>
  <c r="IY45" i="3"/>
  <c r="IX45" i="3"/>
  <c r="IW45" i="3"/>
  <c r="IV45" i="3"/>
  <c r="IU45" i="3"/>
  <c r="IT45" i="3"/>
  <c r="IS45" i="3"/>
  <c r="IR45" i="3"/>
  <c r="IQ45" i="3"/>
  <c r="IP45" i="3"/>
  <c r="IO45" i="3"/>
  <c r="IN45" i="3"/>
  <c r="IM45" i="3"/>
  <c r="IL45" i="3"/>
  <c r="IK45" i="3"/>
  <c r="IJ45" i="3"/>
  <c r="II45" i="3"/>
  <c r="IH45" i="3"/>
  <c r="IG45" i="3"/>
  <c r="IF45" i="3"/>
  <c r="IE45" i="3"/>
  <c r="ID45" i="3"/>
  <c r="IC45" i="3"/>
  <c r="IB45" i="3"/>
  <c r="IA45" i="3"/>
  <c r="HZ45" i="3"/>
  <c r="HY45" i="3"/>
  <c r="HX45" i="3"/>
  <c r="HW45" i="3"/>
  <c r="HV45" i="3"/>
  <c r="HU45" i="3"/>
  <c r="HT45" i="3"/>
  <c r="HS45" i="3"/>
  <c r="HR45" i="3"/>
  <c r="HQ45" i="3"/>
  <c r="HP45" i="3"/>
  <c r="HO45" i="3"/>
  <c r="HN45" i="3"/>
  <c r="HM45" i="3"/>
  <c r="HL45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PF44" i="3"/>
  <c r="PE44" i="3"/>
  <c r="PD44" i="3"/>
  <c r="PC44" i="3"/>
  <c r="PB44" i="3"/>
  <c r="PA44" i="3"/>
  <c r="OZ44" i="3"/>
  <c r="OY44" i="3"/>
  <c r="OX44" i="3"/>
  <c r="OW44" i="3"/>
  <c r="OV44" i="3"/>
  <c r="OU44" i="3"/>
  <c r="OT44" i="3"/>
  <c r="OS44" i="3"/>
  <c r="OR44" i="3"/>
  <c r="OQ44" i="3"/>
  <c r="OP44" i="3"/>
  <c r="OO44" i="3"/>
  <c r="ON44" i="3"/>
  <c r="OM44" i="3"/>
  <c r="OL44" i="3"/>
  <c r="OK44" i="3"/>
  <c r="OJ44" i="3"/>
  <c r="OI44" i="3"/>
  <c r="OH44" i="3"/>
  <c r="OG44" i="3"/>
  <c r="OF44" i="3"/>
  <c r="OE44" i="3"/>
  <c r="OD44" i="3"/>
  <c r="OC44" i="3"/>
  <c r="OB44" i="3"/>
  <c r="OA44" i="3"/>
  <c r="NZ44" i="3"/>
  <c r="NY44" i="3"/>
  <c r="NX44" i="3"/>
  <c r="NW44" i="3"/>
  <c r="NV44" i="3"/>
  <c r="NU44" i="3"/>
  <c r="NT44" i="3"/>
  <c r="NS44" i="3"/>
  <c r="NR44" i="3"/>
  <c r="NQ44" i="3"/>
  <c r="NP44" i="3"/>
  <c r="NO44" i="3"/>
  <c r="NN44" i="3"/>
  <c r="NM44" i="3"/>
  <c r="NL44" i="3"/>
  <c r="NK44" i="3"/>
  <c r="NJ44" i="3"/>
  <c r="NI44" i="3"/>
  <c r="NH44" i="3"/>
  <c r="NG44" i="3"/>
  <c r="NF44" i="3"/>
  <c r="NE44" i="3"/>
  <c r="ND44" i="3"/>
  <c r="NC44" i="3"/>
  <c r="NB44" i="3"/>
  <c r="NA44" i="3"/>
  <c r="MZ44" i="3"/>
  <c r="MY44" i="3"/>
  <c r="MX44" i="3"/>
  <c r="MW44" i="3"/>
  <c r="MV44" i="3"/>
  <c r="MU44" i="3"/>
  <c r="MT44" i="3"/>
  <c r="MS44" i="3"/>
  <c r="MR44" i="3"/>
  <c r="MQ44" i="3"/>
  <c r="MP44" i="3"/>
  <c r="MO44" i="3"/>
  <c r="MN44" i="3"/>
  <c r="MM44" i="3"/>
  <c r="ML44" i="3"/>
  <c r="MK44" i="3"/>
  <c r="MJ44" i="3"/>
  <c r="MI44" i="3"/>
  <c r="MH44" i="3"/>
  <c r="MG44" i="3"/>
  <c r="MF44" i="3"/>
  <c r="ME44" i="3"/>
  <c r="MD44" i="3"/>
  <c r="MC44" i="3"/>
  <c r="MB44" i="3"/>
  <c r="MA44" i="3"/>
  <c r="LZ44" i="3"/>
  <c r="LY44" i="3"/>
  <c r="LX44" i="3"/>
  <c r="LW44" i="3"/>
  <c r="LV44" i="3"/>
  <c r="LU44" i="3"/>
  <c r="LT44" i="3"/>
  <c r="LS44" i="3"/>
  <c r="LR44" i="3"/>
  <c r="LQ44" i="3"/>
  <c r="LP44" i="3"/>
  <c r="LO44" i="3"/>
  <c r="LN44" i="3"/>
  <c r="LM44" i="3"/>
  <c r="LL44" i="3"/>
  <c r="LK44" i="3"/>
  <c r="LJ44" i="3"/>
  <c r="LI44" i="3"/>
  <c r="LH44" i="3"/>
  <c r="LG44" i="3"/>
  <c r="LF44" i="3"/>
  <c r="LE44" i="3"/>
  <c r="LD44" i="3"/>
  <c r="LC44" i="3"/>
  <c r="LB44" i="3"/>
  <c r="LA44" i="3"/>
  <c r="KZ44" i="3"/>
  <c r="KY44" i="3"/>
  <c r="KX44" i="3"/>
  <c r="KW44" i="3"/>
  <c r="KV44" i="3"/>
  <c r="KU44" i="3"/>
  <c r="KT44" i="3"/>
  <c r="KS44" i="3"/>
  <c r="KR44" i="3"/>
  <c r="KQ44" i="3"/>
  <c r="KP44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JX44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IS44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PF43" i="3"/>
  <c r="PE43" i="3"/>
  <c r="PD43" i="3"/>
  <c r="PC43" i="3"/>
  <c r="PB43" i="3"/>
  <c r="PA43" i="3"/>
  <c r="OZ43" i="3"/>
  <c r="OY43" i="3"/>
  <c r="OX43" i="3"/>
  <c r="OW43" i="3"/>
  <c r="OV43" i="3"/>
  <c r="OU43" i="3"/>
  <c r="OT43" i="3"/>
  <c r="OS43" i="3"/>
  <c r="OR43" i="3"/>
  <c r="OQ43" i="3"/>
  <c r="OP43" i="3"/>
  <c r="OO43" i="3"/>
  <c r="ON43" i="3"/>
  <c r="OM43" i="3"/>
  <c r="OL43" i="3"/>
  <c r="OK43" i="3"/>
  <c r="OJ43" i="3"/>
  <c r="OI43" i="3"/>
  <c r="OH43" i="3"/>
  <c r="OG43" i="3"/>
  <c r="OF43" i="3"/>
  <c r="OE43" i="3"/>
  <c r="OD43" i="3"/>
  <c r="OC43" i="3"/>
  <c r="OB43" i="3"/>
  <c r="OA43" i="3"/>
  <c r="NZ43" i="3"/>
  <c r="NY43" i="3"/>
  <c r="NX43" i="3"/>
  <c r="NW43" i="3"/>
  <c r="NV43" i="3"/>
  <c r="NU43" i="3"/>
  <c r="NT43" i="3"/>
  <c r="NS43" i="3"/>
  <c r="NR43" i="3"/>
  <c r="NQ43" i="3"/>
  <c r="NP43" i="3"/>
  <c r="NO43" i="3"/>
  <c r="NN43" i="3"/>
  <c r="NM43" i="3"/>
  <c r="NL43" i="3"/>
  <c r="NK43" i="3"/>
  <c r="NJ43" i="3"/>
  <c r="NI43" i="3"/>
  <c r="NH43" i="3"/>
  <c r="NG43" i="3"/>
  <c r="NF43" i="3"/>
  <c r="NE43" i="3"/>
  <c r="ND43" i="3"/>
  <c r="NC43" i="3"/>
  <c r="NB43" i="3"/>
  <c r="NA43" i="3"/>
  <c r="MZ43" i="3"/>
  <c r="MY43" i="3"/>
  <c r="MX43" i="3"/>
  <c r="MW43" i="3"/>
  <c r="MV43" i="3"/>
  <c r="MU43" i="3"/>
  <c r="MT43" i="3"/>
  <c r="MS43" i="3"/>
  <c r="MR43" i="3"/>
  <c r="MQ43" i="3"/>
  <c r="MP43" i="3"/>
  <c r="MO43" i="3"/>
  <c r="MN43" i="3"/>
  <c r="MM43" i="3"/>
  <c r="ML43" i="3"/>
  <c r="MK43" i="3"/>
  <c r="MJ43" i="3"/>
  <c r="MI43" i="3"/>
  <c r="MH43" i="3"/>
  <c r="MG43" i="3"/>
  <c r="MF43" i="3"/>
  <c r="ME43" i="3"/>
  <c r="MD43" i="3"/>
  <c r="MC43" i="3"/>
  <c r="MB43" i="3"/>
  <c r="MA43" i="3"/>
  <c r="LZ43" i="3"/>
  <c r="LY43" i="3"/>
  <c r="LX43" i="3"/>
  <c r="LW43" i="3"/>
  <c r="LV43" i="3"/>
  <c r="LU43" i="3"/>
  <c r="LT43" i="3"/>
  <c r="LS43" i="3"/>
  <c r="LR43" i="3"/>
  <c r="LQ43" i="3"/>
  <c r="LP43" i="3"/>
  <c r="LO43" i="3"/>
  <c r="LN43" i="3"/>
  <c r="LM43" i="3"/>
  <c r="LL43" i="3"/>
  <c r="LK43" i="3"/>
  <c r="LJ43" i="3"/>
  <c r="LI43" i="3"/>
  <c r="LH43" i="3"/>
  <c r="LG43" i="3"/>
  <c r="LF43" i="3"/>
  <c r="LE43" i="3"/>
  <c r="LD43" i="3"/>
  <c r="LC43" i="3"/>
  <c r="LB43" i="3"/>
  <c r="LA43" i="3"/>
  <c r="KZ43" i="3"/>
  <c r="KY43" i="3"/>
  <c r="KX43" i="3"/>
  <c r="KW43" i="3"/>
  <c r="KV43" i="3"/>
  <c r="KU43" i="3"/>
  <c r="KT43" i="3"/>
  <c r="KS43" i="3"/>
  <c r="KR43" i="3"/>
  <c r="KQ43" i="3"/>
  <c r="KP43" i="3"/>
  <c r="KO43" i="3"/>
  <c r="KN43" i="3"/>
  <c r="KM43" i="3"/>
  <c r="KL43" i="3"/>
  <c r="KK43" i="3"/>
  <c r="KJ43" i="3"/>
  <c r="KI43" i="3"/>
  <c r="KH43" i="3"/>
  <c r="KG43" i="3"/>
  <c r="KF43" i="3"/>
  <c r="KE43" i="3"/>
  <c r="KD43" i="3"/>
  <c r="KC43" i="3"/>
  <c r="KB43" i="3"/>
  <c r="KA43" i="3"/>
  <c r="JZ43" i="3"/>
  <c r="JY43" i="3"/>
  <c r="JX43" i="3"/>
  <c r="JW43" i="3"/>
  <c r="JV43" i="3"/>
  <c r="JU43" i="3"/>
  <c r="JT43" i="3"/>
  <c r="JS43" i="3"/>
  <c r="JR43" i="3"/>
  <c r="JQ43" i="3"/>
  <c r="JP43" i="3"/>
  <c r="JO43" i="3"/>
  <c r="JN43" i="3"/>
  <c r="JM43" i="3"/>
  <c r="JL43" i="3"/>
  <c r="JK43" i="3"/>
  <c r="JJ43" i="3"/>
  <c r="JI43" i="3"/>
  <c r="JH43" i="3"/>
  <c r="JG43" i="3"/>
  <c r="JF43" i="3"/>
  <c r="JE43" i="3"/>
  <c r="JD43" i="3"/>
  <c r="JC43" i="3"/>
  <c r="JB43" i="3"/>
  <c r="JA43" i="3"/>
  <c r="IZ43" i="3"/>
  <c r="IY43" i="3"/>
  <c r="IX43" i="3"/>
  <c r="IW43" i="3"/>
  <c r="IV43" i="3"/>
  <c r="IU43" i="3"/>
  <c r="IT43" i="3"/>
  <c r="IS43" i="3"/>
  <c r="IR43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PF42" i="3"/>
  <c r="PE42" i="3"/>
  <c r="PD42" i="3"/>
  <c r="PC42" i="3"/>
  <c r="PB42" i="3"/>
  <c r="PA42" i="3"/>
  <c r="OZ42" i="3"/>
  <c r="OY42" i="3"/>
  <c r="OX42" i="3"/>
  <c r="OW42" i="3"/>
  <c r="OV42" i="3"/>
  <c r="OU42" i="3"/>
  <c r="OT42" i="3"/>
  <c r="OS42" i="3"/>
  <c r="OR42" i="3"/>
  <c r="OQ42" i="3"/>
  <c r="OP42" i="3"/>
  <c r="OO42" i="3"/>
  <c r="ON42" i="3"/>
  <c r="OM42" i="3"/>
  <c r="OL42" i="3"/>
  <c r="OK42" i="3"/>
  <c r="OJ42" i="3"/>
  <c r="OI42" i="3"/>
  <c r="OH42" i="3"/>
  <c r="OG42" i="3"/>
  <c r="OF42" i="3"/>
  <c r="OE42" i="3"/>
  <c r="OD42" i="3"/>
  <c r="OC42" i="3"/>
  <c r="OB42" i="3"/>
  <c r="OA42" i="3"/>
  <c r="NZ42" i="3"/>
  <c r="NY42" i="3"/>
  <c r="NX42" i="3"/>
  <c r="NW42" i="3"/>
  <c r="NV42" i="3"/>
  <c r="NU42" i="3"/>
  <c r="NT42" i="3"/>
  <c r="NS42" i="3"/>
  <c r="NR42" i="3"/>
  <c r="NQ42" i="3"/>
  <c r="NP42" i="3"/>
  <c r="NO42" i="3"/>
  <c r="NN42" i="3"/>
  <c r="NM42" i="3"/>
  <c r="NL42" i="3"/>
  <c r="NK42" i="3"/>
  <c r="NJ42" i="3"/>
  <c r="NI42" i="3"/>
  <c r="NH42" i="3"/>
  <c r="NG42" i="3"/>
  <c r="NF42" i="3"/>
  <c r="NE42" i="3"/>
  <c r="ND42" i="3"/>
  <c r="NC42" i="3"/>
  <c r="NB42" i="3"/>
  <c r="NA42" i="3"/>
  <c r="MZ42" i="3"/>
  <c r="MY42" i="3"/>
  <c r="MX42" i="3"/>
  <c r="MW42" i="3"/>
  <c r="MV42" i="3"/>
  <c r="MU42" i="3"/>
  <c r="MT42" i="3"/>
  <c r="MS42" i="3"/>
  <c r="MR42" i="3"/>
  <c r="MQ42" i="3"/>
  <c r="MP42" i="3"/>
  <c r="MO42" i="3"/>
  <c r="MN42" i="3"/>
  <c r="MM42" i="3"/>
  <c r="ML42" i="3"/>
  <c r="MK42" i="3"/>
  <c r="MJ42" i="3"/>
  <c r="MI42" i="3"/>
  <c r="MH42" i="3"/>
  <c r="MG42" i="3"/>
  <c r="MF42" i="3"/>
  <c r="ME42" i="3"/>
  <c r="MD42" i="3"/>
  <c r="MC42" i="3"/>
  <c r="MB42" i="3"/>
  <c r="MA42" i="3"/>
  <c r="LZ42" i="3"/>
  <c r="LY42" i="3"/>
  <c r="LX42" i="3"/>
  <c r="LW42" i="3"/>
  <c r="LV42" i="3"/>
  <c r="LU42" i="3"/>
  <c r="LT42" i="3"/>
  <c r="LS42" i="3"/>
  <c r="LR42" i="3"/>
  <c r="LQ42" i="3"/>
  <c r="LP42" i="3"/>
  <c r="LO42" i="3"/>
  <c r="LN42" i="3"/>
  <c r="LM42" i="3"/>
  <c r="LL42" i="3"/>
  <c r="LK42" i="3"/>
  <c r="LJ42" i="3"/>
  <c r="LI42" i="3"/>
  <c r="LH42" i="3"/>
  <c r="LG42" i="3"/>
  <c r="LF42" i="3"/>
  <c r="LE42" i="3"/>
  <c r="LD42" i="3"/>
  <c r="LC42" i="3"/>
  <c r="LB42" i="3"/>
  <c r="LA42" i="3"/>
  <c r="KZ42" i="3"/>
  <c r="KY42" i="3"/>
  <c r="KX42" i="3"/>
  <c r="KW42" i="3"/>
  <c r="KV42" i="3"/>
  <c r="KU42" i="3"/>
  <c r="KT42" i="3"/>
  <c r="KS42" i="3"/>
  <c r="KR42" i="3"/>
  <c r="KQ42" i="3"/>
  <c r="KP42" i="3"/>
  <c r="KO42" i="3"/>
  <c r="KN42" i="3"/>
  <c r="KM42" i="3"/>
  <c r="KL42" i="3"/>
  <c r="KK42" i="3"/>
  <c r="KJ42" i="3"/>
  <c r="KI42" i="3"/>
  <c r="KH42" i="3"/>
  <c r="KG42" i="3"/>
  <c r="KF42" i="3"/>
  <c r="KE42" i="3"/>
  <c r="KD42" i="3"/>
  <c r="KC42" i="3"/>
  <c r="KB42" i="3"/>
  <c r="KA42" i="3"/>
  <c r="JZ42" i="3"/>
  <c r="JY42" i="3"/>
  <c r="JX42" i="3"/>
  <c r="JW42" i="3"/>
  <c r="JV42" i="3"/>
  <c r="JU42" i="3"/>
  <c r="JT42" i="3"/>
  <c r="JS42" i="3"/>
  <c r="JR42" i="3"/>
  <c r="JQ42" i="3"/>
  <c r="JP42" i="3"/>
  <c r="JO42" i="3"/>
  <c r="JN42" i="3"/>
  <c r="JM42" i="3"/>
  <c r="JL42" i="3"/>
  <c r="JK42" i="3"/>
  <c r="JJ42" i="3"/>
  <c r="JI42" i="3"/>
  <c r="JH42" i="3"/>
  <c r="JG42" i="3"/>
  <c r="JF42" i="3"/>
  <c r="JE42" i="3"/>
  <c r="JD42" i="3"/>
  <c r="JC42" i="3"/>
  <c r="JB42" i="3"/>
  <c r="JA42" i="3"/>
  <c r="IZ42" i="3"/>
  <c r="IY42" i="3"/>
  <c r="IX42" i="3"/>
  <c r="IW42" i="3"/>
  <c r="IV42" i="3"/>
  <c r="IU42" i="3"/>
  <c r="IT42" i="3"/>
  <c r="IS42" i="3"/>
  <c r="IR42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PF41" i="3"/>
  <c r="PE41" i="3"/>
  <c r="PD41" i="3"/>
  <c r="PC41" i="3"/>
  <c r="PB41" i="3"/>
  <c r="PA41" i="3"/>
  <c r="OZ41" i="3"/>
  <c r="OY41" i="3"/>
  <c r="OX41" i="3"/>
  <c r="OW41" i="3"/>
  <c r="OV41" i="3"/>
  <c r="OU41" i="3"/>
  <c r="OT41" i="3"/>
  <c r="OS41" i="3"/>
  <c r="OR41" i="3"/>
  <c r="OQ41" i="3"/>
  <c r="OP41" i="3"/>
  <c r="OO41" i="3"/>
  <c r="ON41" i="3"/>
  <c r="OM41" i="3"/>
  <c r="OL41" i="3"/>
  <c r="OK41" i="3"/>
  <c r="OJ41" i="3"/>
  <c r="OI41" i="3"/>
  <c r="OH41" i="3"/>
  <c r="OG41" i="3"/>
  <c r="OF41" i="3"/>
  <c r="OE41" i="3"/>
  <c r="OD41" i="3"/>
  <c r="OC41" i="3"/>
  <c r="OB41" i="3"/>
  <c r="OA41" i="3"/>
  <c r="NZ41" i="3"/>
  <c r="NY41" i="3"/>
  <c r="NX41" i="3"/>
  <c r="NW41" i="3"/>
  <c r="NV41" i="3"/>
  <c r="NU41" i="3"/>
  <c r="NT41" i="3"/>
  <c r="NS41" i="3"/>
  <c r="NR41" i="3"/>
  <c r="NQ41" i="3"/>
  <c r="NP41" i="3"/>
  <c r="NO41" i="3"/>
  <c r="NN41" i="3"/>
  <c r="NM41" i="3"/>
  <c r="NL41" i="3"/>
  <c r="NK41" i="3"/>
  <c r="NJ41" i="3"/>
  <c r="NI41" i="3"/>
  <c r="NH41" i="3"/>
  <c r="NG41" i="3"/>
  <c r="NF41" i="3"/>
  <c r="NE41" i="3"/>
  <c r="ND41" i="3"/>
  <c r="NC41" i="3"/>
  <c r="NB41" i="3"/>
  <c r="NA41" i="3"/>
  <c r="MZ41" i="3"/>
  <c r="MY41" i="3"/>
  <c r="MX41" i="3"/>
  <c r="MW41" i="3"/>
  <c r="MV41" i="3"/>
  <c r="MU41" i="3"/>
  <c r="MT41" i="3"/>
  <c r="MS41" i="3"/>
  <c r="MR41" i="3"/>
  <c r="MQ41" i="3"/>
  <c r="MP41" i="3"/>
  <c r="MO41" i="3"/>
  <c r="MN41" i="3"/>
  <c r="MM41" i="3"/>
  <c r="ML41" i="3"/>
  <c r="MK41" i="3"/>
  <c r="MJ41" i="3"/>
  <c r="MI41" i="3"/>
  <c r="MH41" i="3"/>
  <c r="MG41" i="3"/>
  <c r="MF41" i="3"/>
  <c r="ME41" i="3"/>
  <c r="MD41" i="3"/>
  <c r="MC41" i="3"/>
  <c r="MB41" i="3"/>
  <c r="MA41" i="3"/>
  <c r="LZ41" i="3"/>
  <c r="LY41" i="3"/>
  <c r="LX41" i="3"/>
  <c r="LW41" i="3"/>
  <c r="LV41" i="3"/>
  <c r="LU41" i="3"/>
  <c r="LT41" i="3"/>
  <c r="LS41" i="3"/>
  <c r="LR41" i="3"/>
  <c r="LQ41" i="3"/>
  <c r="LP41" i="3"/>
  <c r="LO41" i="3"/>
  <c r="LN41" i="3"/>
  <c r="LM41" i="3"/>
  <c r="LL41" i="3"/>
  <c r="LK41" i="3"/>
  <c r="LJ41" i="3"/>
  <c r="LI41" i="3"/>
  <c r="LH41" i="3"/>
  <c r="LG41" i="3"/>
  <c r="LF41" i="3"/>
  <c r="LE41" i="3"/>
  <c r="LD41" i="3"/>
  <c r="LC41" i="3"/>
  <c r="LB41" i="3"/>
  <c r="LA41" i="3"/>
  <c r="KZ41" i="3"/>
  <c r="KY41" i="3"/>
  <c r="KX41" i="3"/>
  <c r="KW41" i="3"/>
  <c r="KV41" i="3"/>
  <c r="KU41" i="3"/>
  <c r="KT41" i="3"/>
  <c r="KS41" i="3"/>
  <c r="KR41" i="3"/>
  <c r="KQ41" i="3"/>
  <c r="KP41" i="3"/>
  <c r="KO41" i="3"/>
  <c r="KN41" i="3"/>
  <c r="KM41" i="3"/>
  <c r="KL41" i="3"/>
  <c r="KK41" i="3"/>
  <c r="KJ41" i="3"/>
  <c r="KI41" i="3"/>
  <c r="KH41" i="3"/>
  <c r="KG41" i="3"/>
  <c r="KF41" i="3"/>
  <c r="KE41" i="3"/>
  <c r="KD41" i="3"/>
  <c r="KC41" i="3"/>
  <c r="KB41" i="3"/>
  <c r="KA41" i="3"/>
  <c r="JZ41" i="3"/>
  <c r="JY41" i="3"/>
  <c r="JX41" i="3"/>
  <c r="JW41" i="3"/>
  <c r="JV41" i="3"/>
  <c r="JU41" i="3"/>
  <c r="JT41" i="3"/>
  <c r="JS41" i="3"/>
  <c r="JR41" i="3"/>
  <c r="JQ41" i="3"/>
  <c r="JP41" i="3"/>
  <c r="JO41" i="3"/>
  <c r="JN41" i="3"/>
  <c r="JM41" i="3"/>
  <c r="JL41" i="3"/>
  <c r="JK41" i="3"/>
  <c r="JJ41" i="3"/>
  <c r="JI41" i="3"/>
  <c r="JH41" i="3"/>
  <c r="JG41" i="3"/>
  <c r="JF41" i="3"/>
  <c r="JE41" i="3"/>
  <c r="JD41" i="3"/>
  <c r="JC41" i="3"/>
  <c r="JB41" i="3"/>
  <c r="JA41" i="3"/>
  <c r="IZ41" i="3"/>
  <c r="IY41" i="3"/>
  <c r="IX41" i="3"/>
  <c r="IW41" i="3"/>
  <c r="IV41" i="3"/>
  <c r="IU41" i="3"/>
  <c r="IT41" i="3"/>
  <c r="IS41" i="3"/>
  <c r="IR41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PF40" i="3"/>
  <c r="PE40" i="3"/>
  <c r="PD40" i="3"/>
  <c r="PC40" i="3"/>
  <c r="PB40" i="3"/>
  <c r="PA40" i="3"/>
  <c r="OZ40" i="3"/>
  <c r="OY40" i="3"/>
  <c r="OX40" i="3"/>
  <c r="OW40" i="3"/>
  <c r="OV40" i="3"/>
  <c r="OU40" i="3"/>
  <c r="OT40" i="3"/>
  <c r="OS40" i="3"/>
  <c r="OR40" i="3"/>
  <c r="OQ40" i="3"/>
  <c r="OP40" i="3"/>
  <c r="OO40" i="3"/>
  <c r="ON40" i="3"/>
  <c r="OM40" i="3"/>
  <c r="OL40" i="3"/>
  <c r="OK40" i="3"/>
  <c r="OJ40" i="3"/>
  <c r="OI40" i="3"/>
  <c r="OH40" i="3"/>
  <c r="OG40" i="3"/>
  <c r="OF40" i="3"/>
  <c r="OE40" i="3"/>
  <c r="OD40" i="3"/>
  <c r="OC40" i="3"/>
  <c r="OB40" i="3"/>
  <c r="OA40" i="3"/>
  <c r="NZ40" i="3"/>
  <c r="NY40" i="3"/>
  <c r="NX40" i="3"/>
  <c r="NW40" i="3"/>
  <c r="NV40" i="3"/>
  <c r="NU40" i="3"/>
  <c r="NT40" i="3"/>
  <c r="NS40" i="3"/>
  <c r="NR40" i="3"/>
  <c r="NQ40" i="3"/>
  <c r="NP40" i="3"/>
  <c r="NO40" i="3"/>
  <c r="NN40" i="3"/>
  <c r="NM40" i="3"/>
  <c r="NL40" i="3"/>
  <c r="NK40" i="3"/>
  <c r="NJ40" i="3"/>
  <c r="NI40" i="3"/>
  <c r="NH40" i="3"/>
  <c r="NG40" i="3"/>
  <c r="NF40" i="3"/>
  <c r="NE40" i="3"/>
  <c r="ND40" i="3"/>
  <c r="NC40" i="3"/>
  <c r="NB40" i="3"/>
  <c r="NA40" i="3"/>
  <c r="MZ40" i="3"/>
  <c r="MY40" i="3"/>
  <c r="MX40" i="3"/>
  <c r="MW40" i="3"/>
  <c r="MV40" i="3"/>
  <c r="MU40" i="3"/>
  <c r="MT40" i="3"/>
  <c r="MS40" i="3"/>
  <c r="MR40" i="3"/>
  <c r="MQ40" i="3"/>
  <c r="MP40" i="3"/>
  <c r="MO40" i="3"/>
  <c r="MN40" i="3"/>
  <c r="MM40" i="3"/>
  <c r="ML40" i="3"/>
  <c r="MK40" i="3"/>
  <c r="MJ40" i="3"/>
  <c r="MI40" i="3"/>
  <c r="MH40" i="3"/>
  <c r="MG40" i="3"/>
  <c r="MF40" i="3"/>
  <c r="ME40" i="3"/>
  <c r="MD40" i="3"/>
  <c r="MC40" i="3"/>
  <c r="MB40" i="3"/>
  <c r="MA40" i="3"/>
  <c r="LZ40" i="3"/>
  <c r="LY40" i="3"/>
  <c r="LX40" i="3"/>
  <c r="LW40" i="3"/>
  <c r="LV40" i="3"/>
  <c r="LU40" i="3"/>
  <c r="LT40" i="3"/>
  <c r="LS40" i="3"/>
  <c r="LR40" i="3"/>
  <c r="LQ40" i="3"/>
  <c r="LP40" i="3"/>
  <c r="LO40" i="3"/>
  <c r="LN40" i="3"/>
  <c r="LM40" i="3"/>
  <c r="LL40" i="3"/>
  <c r="LK40" i="3"/>
  <c r="LJ40" i="3"/>
  <c r="LI40" i="3"/>
  <c r="LH40" i="3"/>
  <c r="LG40" i="3"/>
  <c r="LF40" i="3"/>
  <c r="LE40" i="3"/>
  <c r="LD40" i="3"/>
  <c r="LC40" i="3"/>
  <c r="LB40" i="3"/>
  <c r="LA40" i="3"/>
  <c r="KZ40" i="3"/>
  <c r="KY40" i="3"/>
  <c r="KX40" i="3"/>
  <c r="KW40" i="3"/>
  <c r="KV40" i="3"/>
  <c r="KU40" i="3"/>
  <c r="KT40" i="3"/>
  <c r="KS40" i="3"/>
  <c r="KR40" i="3"/>
  <c r="KQ40" i="3"/>
  <c r="KP40" i="3"/>
  <c r="KO40" i="3"/>
  <c r="KN40" i="3"/>
  <c r="KM40" i="3"/>
  <c r="KL40" i="3"/>
  <c r="KK40" i="3"/>
  <c r="KJ40" i="3"/>
  <c r="KI40" i="3"/>
  <c r="KH40" i="3"/>
  <c r="KG40" i="3"/>
  <c r="KF40" i="3"/>
  <c r="KE40" i="3"/>
  <c r="KD40" i="3"/>
  <c r="KC40" i="3"/>
  <c r="KB40" i="3"/>
  <c r="KA40" i="3"/>
  <c r="JZ40" i="3"/>
  <c r="JY40" i="3"/>
  <c r="JX40" i="3"/>
  <c r="JW40" i="3"/>
  <c r="JV40" i="3"/>
  <c r="JU40" i="3"/>
  <c r="JT40" i="3"/>
  <c r="JS40" i="3"/>
  <c r="JR40" i="3"/>
  <c r="JQ40" i="3"/>
  <c r="JP40" i="3"/>
  <c r="JO40" i="3"/>
  <c r="JN40" i="3"/>
  <c r="JM40" i="3"/>
  <c r="JL40" i="3"/>
  <c r="JK40" i="3"/>
  <c r="JJ40" i="3"/>
  <c r="JI40" i="3"/>
  <c r="JH40" i="3"/>
  <c r="JG40" i="3"/>
  <c r="JF40" i="3"/>
  <c r="JE40" i="3"/>
  <c r="JD40" i="3"/>
  <c r="JC40" i="3"/>
  <c r="JB40" i="3"/>
  <c r="JA40" i="3"/>
  <c r="IZ40" i="3"/>
  <c r="IY40" i="3"/>
  <c r="IX40" i="3"/>
  <c r="IW40" i="3"/>
  <c r="IV40" i="3"/>
  <c r="IU40" i="3"/>
  <c r="IT40" i="3"/>
  <c r="IS40" i="3"/>
  <c r="IR40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PF39" i="3"/>
  <c r="PE39" i="3"/>
  <c r="PD39" i="3"/>
  <c r="PC39" i="3"/>
  <c r="PB39" i="3"/>
  <c r="PA39" i="3"/>
  <c r="OZ39" i="3"/>
  <c r="OY39" i="3"/>
  <c r="OX39" i="3"/>
  <c r="OW39" i="3"/>
  <c r="OV39" i="3"/>
  <c r="OU39" i="3"/>
  <c r="OT39" i="3"/>
  <c r="OS39" i="3"/>
  <c r="OR39" i="3"/>
  <c r="OQ39" i="3"/>
  <c r="OP39" i="3"/>
  <c r="OO39" i="3"/>
  <c r="ON39" i="3"/>
  <c r="OM39" i="3"/>
  <c r="OL39" i="3"/>
  <c r="OK39" i="3"/>
  <c r="OJ39" i="3"/>
  <c r="OI39" i="3"/>
  <c r="OH39" i="3"/>
  <c r="OG39" i="3"/>
  <c r="OF39" i="3"/>
  <c r="OE39" i="3"/>
  <c r="OD39" i="3"/>
  <c r="OC39" i="3"/>
  <c r="OB39" i="3"/>
  <c r="OA39" i="3"/>
  <c r="NZ39" i="3"/>
  <c r="NY39" i="3"/>
  <c r="NX39" i="3"/>
  <c r="NW39" i="3"/>
  <c r="NV39" i="3"/>
  <c r="NU39" i="3"/>
  <c r="NT39" i="3"/>
  <c r="NS39" i="3"/>
  <c r="NR39" i="3"/>
  <c r="NQ39" i="3"/>
  <c r="NP39" i="3"/>
  <c r="NO39" i="3"/>
  <c r="NN39" i="3"/>
  <c r="NM39" i="3"/>
  <c r="NL39" i="3"/>
  <c r="NK39" i="3"/>
  <c r="NJ39" i="3"/>
  <c r="NI39" i="3"/>
  <c r="NH39" i="3"/>
  <c r="NG39" i="3"/>
  <c r="NF39" i="3"/>
  <c r="NE39" i="3"/>
  <c r="ND39" i="3"/>
  <c r="NC39" i="3"/>
  <c r="NB39" i="3"/>
  <c r="NA39" i="3"/>
  <c r="MZ39" i="3"/>
  <c r="MY39" i="3"/>
  <c r="MX39" i="3"/>
  <c r="MW39" i="3"/>
  <c r="MV39" i="3"/>
  <c r="MU39" i="3"/>
  <c r="MT39" i="3"/>
  <c r="MS39" i="3"/>
  <c r="MR39" i="3"/>
  <c r="MQ39" i="3"/>
  <c r="MP39" i="3"/>
  <c r="MO39" i="3"/>
  <c r="MN39" i="3"/>
  <c r="MM39" i="3"/>
  <c r="ML39" i="3"/>
  <c r="MK39" i="3"/>
  <c r="MJ39" i="3"/>
  <c r="MI39" i="3"/>
  <c r="MH39" i="3"/>
  <c r="MG39" i="3"/>
  <c r="MF39" i="3"/>
  <c r="ME39" i="3"/>
  <c r="MD39" i="3"/>
  <c r="MC39" i="3"/>
  <c r="MB39" i="3"/>
  <c r="MA39" i="3"/>
  <c r="LZ39" i="3"/>
  <c r="LY39" i="3"/>
  <c r="LX39" i="3"/>
  <c r="LW39" i="3"/>
  <c r="LV39" i="3"/>
  <c r="LU39" i="3"/>
  <c r="LT39" i="3"/>
  <c r="LS39" i="3"/>
  <c r="LR39" i="3"/>
  <c r="LQ39" i="3"/>
  <c r="LP39" i="3"/>
  <c r="LO39" i="3"/>
  <c r="LN39" i="3"/>
  <c r="LM39" i="3"/>
  <c r="LL39" i="3"/>
  <c r="LK39" i="3"/>
  <c r="LJ39" i="3"/>
  <c r="LI39" i="3"/>
  <c r="LH39" i="3"/>
  <c r="LG39" i="3"/>
  <c r="LF39" i="3"/>
  <c r="LE39" i="3"/>
  <c r="LD39" i="3"/>
  <c r="LC39" i="3"/>
  <c r="LB39" i="3"/>
  <c r="LA39" i="3"/>
  <c r="KZ39" i="3"/>
  <c r="KY39" i="3"/>
  <c r="KX39" i="3"/>
  <c r="KW39" i="3"/>
  <c r="KV39" i="3"/>
  <c r="KU39" i="3"/>
  <c r="KT39" i="3"/>
  <c r="KS39" i="3"/>
  <c r="KR39" i="3"/>
  <c r="KQ39" i="3"/>
  <c r="KP39" i="3"/>
  <c r="KO39" i="3"/>
  <c r="KN39" i="3"/>
  <c r="KM39" i="3"/>
  <c r="KL39" i="3"/>
  <c r="KK39" i="3"/>
  <c r="KJ39" i="3"/>
  <c r="KI39" i="3"/>
  <c r="KH39" i="3"/>
  <c r="KG39" i="3"/>
  <c r="KF39" i="3"/>
  <c r="KE39" i="3"/>
  <c r="KD39" i="3"/>
  <c r="KC39" i="3"/>
  <c r="KB39" i="3"/>
  <c r="KA39" i="3"/>
  <c r="JZ39" i="3"/>
  <c r="JY39" i="3"/>
  <c r="JX39" i="3"/>
  <c r="JW39" i="3"/>
  <c r="JV39" i="3"/>
  <c r="JU39" i="3"/>
  <c r="JT39" i="3"/>
  <c r="JS39" i="3"/>
  <c r="JR39" i="3"/>
  <c r="JQ39" i="3"/>
  <c r="JP39" i="3"/>
  <c r="JO39" i="3"/>
  <c r="JN39" i="3"/>
  <c r="JM39" i="3"/>
  <c r="JL39" i="3"/>
  <c r="JK39" i="3"/>
  <c r="JJ39" i="3"/>
  <c r="JI39" i="3"/>
  <c r="JH39" i="3"/>
  <c r="JG39" i="3"/>
  <c r="JF39" i="3"/>
  <c r="JE39" i="3"/>
  <c r="JD39" i="3"/>
  <c r="JC39" i="3"/>
  <c r="JB39" i="3"/>
  <c r="JA39" i="3"/>
  <c r="IZ39" i="3"/>
  <c r="IY39" i="3"/>
  <c r="IX39" i="3"/>
  <c r="IW39" i="3"/>
  <c r="IV39" i="3"/>
  <c r="IU39" i="3"/>
  <c r="IT39" i="3"/>
  <c r="IS39" i="3"/>
  <c r="IR39" i="3"/>
  <c r="IQ39" i="3"/>
  <c r="IP39" i="3"/>
  <c r="IO39" i="3"/>
  <c r="IN39" i="3"/>
  <c r="IM39" i="3"/>
  <c r="IL39" i="3"/>
  <c r="IK39" i="3"/>
  <c r="IJ39" i="3"/>
  <c r="II39" i="3"/>
  <c r="IH39" i="3"/>
  <c r="IG39" i="3"/>
  <c r="IF39" i="3"/>
  <c r="IE39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PF38" i="3"/>
  <c r="PE38" i="3"/>
  <c r="PD38" i="3"/>
  <c r="PC38" i="3"/>
  <c r="PB38" i="3"/>
  <c r="PA38" i="3"/>
  <c r="OZ38" i="3"/>
  <c r="OY38" i="3"/>
  <c r="OX38" i="3"/>
  <c r="OW38" i="3"/>
  <c r="OV38" i="3"/>
  <c r="OU38" i="3"/>
  <c r="OT38" i="3"/>
  <c r="OS38" i="3"/>
  <c r="OR38" i="3"/>
  <c r="OQ38" i="3"/>
  <c r="OP38" i="3"/>
  <c r="OO38" i="3"/>
  <c r="ON38" i="3"/>
  <c r="OM38" i="3"/>
  <c r="OL38" i="3"/>
  <c r="OK38" i="3"/>
  <c r="OJ38" i="3"/>
  <c r="OI38" i="3"/>
  <c r="OH38" i="3"/>
  <c r="OG38" i="3"/>
  <c r="OF38" i="3"/>
  <c r="OE38" i="3"/>
  <c r="OD38" i="3"/>
  <c r="OC38" i="3"/>
  <c r="OB38" i="3"/>
  <c r="OA38" i="3"/>
  <c r="NZ38" i="3"/>
  <c r="NY38" i="3"/>
  <c r="NX38" i="3"/>
  <c r="NW38" i="3"/>
  <c r="NV38" i="3"/>
  <c r="NU38" i="3"/>
  <c r="NT38" i="3"/>
  <c r="NS38" i="3"/>
  <c r="NR38" i="3"/>
  <c r="NQ38" i="3"/>
  <c r="NP38" i="3"/>
  <c r="NO38" i="3"/>
  <c r="NN38" i="3"/>
  <c r="NM38" i="3"/>
  <c r="NL38" i="3"/>
  <c r="NK38" i="3"/>
  <c r="NJ38" i="3"/>
  <c r="NI38" i="3"/>
  <c r="NH38" i="3"/>
  <c r="NG38" i="3"/>
  <c r="NF38" i="3"/>
  <c r="NE38" i="3"/>
  <c r="ND38" i="3"/>
  <c r="NC38" i="3"/>
  <c r="NB38" i="3"/>
  <c r="NA38" i="3"/>
  <c r="MZ38" i="3"/>
  <c r="MY38" i="3"/>
  <c r="MX38" i="3"/>
  <c r="MW38" i="3"/>
  <c r="MV38" i="3"/>
  <c r="MU38" i="3"/>
  <c r="MT38" i="3"/>
  <c r="MS38" i="3"/>
  <c r="MR38" i="3"/>
  <c r="MQ38" i="3"/>
  <c r="MP38" i="3"/>
  <c r="MO38" i="3"/>
  <c r="MN38" i="3"/>
  <c r="MM38" i="3"/>
  <c r="ML38" i="3"/>
  <c r="MK38" i="3"/>
  <c r="MJ38" i="3"/>
  <c r="MI38" i="3"/>
  <c r="MH38" i="3"/>
  <c r="MG38" i="3"/>
  <c r="MF38" i="3"/>
  <c r="ME38" i="3"/>
  <c r="MD38" i="3"/>
  <c r="MC38" i="3"/>
  <c r="MB38" i="3"/>
  <c r="MA38" i="3"/>
  <c r="LZ38" i="3"/>
  <c r="LY38" i="3"/>
  <c r="LX38" i="3"/>
  <c r="LW38" i="3"/>
  <c r="LV38" i="3"/>
  <c r="LU38" i="3"/>
  <c r="LT38" i="3"/>
  <c r="LS38" i="3"/>
  <c r="LR38" i="3"/>
  <c r="LQ38" i="3"/>
  <c r="LP38" i="3"/>
  <c r="LO38" i="3"/>
  <c r="LN38" i="3"/>
  <c r="LM38" i="3"/>
  <c r="LL38" i="3"/>
  <c r="LK38" i="3"/>
  <c r="LJ38" i="3"/>
  <c r="LI38" i="3"/>
  <c r="LH38" i="3"/>
  <c r="LG38" i="3"/>
  <c r="LF38" i="3"/>
  <c r="LE38" i="3"/>
  <c r="LD38" i="3"/>
  <c r="LC38" i="3"/>
  <c r="LB38" i="3"/>
  <c r="LA38" i="3"/>
  <c r="KZ38" i="3"/>
  <c r="KY38" i="3"/>
  <c r="KX38" i="3"/>
  <c r="KW38" i="3"/>
  <c r="KV38" i="3"/>
  <c r="KU38" i="3"/>
  <c r="KT38" i="3"/>
  <c r="KS38" i="3"/>
  <c r="KR38" i="3"/>
  <c r="KQ38" i="3"/>
  <c r="KP38" i="3"/>
  <c r="KO38" i="3"/>
  <c r="KN38" i="3"/>
  <c r="KM38" i="3"/>
  <c r="KL38" i="3"/>
  <c r="KK38" i="3"/>
  <c r="KJ38" i="3"/>
  <c r="KI38" i="3"/>
  <c r="KH38" i="3"/>
  <c r="KG38" i="3"/>
  <c r="KF38" i="3"/>
  <c r="KE38" i="3"/>
  <c r="KD38" i="3"/>
  <c r="KC38" i="3"/>
  <c r="KB38" i="3"/>
  <c r="KA38" i="3"/>
  <c r="JZ38" i="3"/>
  <c r="JY38" i="3"/>
  <c r="JX38" i="3"/>
  <c r="JW38" i="3"/>
  <c r="JV38" i="3"/>
  <c r="JU38" i="3"/>
  <c r="JT38" i="3"/>
  <c r="JS38" i="3"/>
  <c r="JR38" i="3"/>
  <c r="JQ38" i="3"/>
  <c r="JP38" i="3"/>
  <c r="JO38" i="3"/>
  <c r="JN38" i="3"/>
  <c r="JM38" i="3"/>
  <c r="JL38" i="3"/>
  <c r="JK38" i="3"/>
  <c r="JJ38" i="3"/>
  <c r="JI38" i="3"/>
  <c r="JH38" i="3"/>
  <c r="JG38" i="3"/>
  <c r="JF38" i="3"/>
  <c r="JE38" i="3"/>
  <c r="JD38" i="3"/>
  <c r="JC38" i="3"/>
  <c r="JB38" i="3"/>
  <c r="JA38" i="3"/>
  <c r="IZ38" i="3"/>
  <c r="IY38" i="3"/>
  <c r="IX38" i="3"/>
  <c r="IW38" i="3"/>
  <c r="IV38" i="3"/>
  <c r="IU38" i="3"/>
  <c r="IT38" i="3"/>
  <c r="IS38" i="3"/>
  <c r="IR38" i="3"/>
  <c r="IQ38" i="3"/>
  <c r="IP38" i="3"/>
  <c r="IO38" i="3"/>
  <c r="IN38" i="3"/>
  <c r="IM38" i="3"/>
  <c r="IL38" i="3"/>
  <c r="IK38" i="3"/>
  <c r="IJ38" i="3"/>
  <c r="II38" i="3"/>
  <c r="IH38" i="3"/>
  <c r="IG38" i="3"/>
  <c r="IF38" i="3"/>
  <c r="IE38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PF37" i="3"/>
  <c r="PE37" i="3"/>
  <c r="PD37" i="3"/>
  <c r="PC37" i="3"/>
  <c r="PB37" i="3"/>
  <c r="PA37" i="3"/>
  <c r="OZ37" i="3"/>
  <c r="OY37" i="3"/>
  <c r="OX37" i="3"/>
  <c r="OW37" i="3"/>
  <c r="OV37" i="3"/>
  <c r="OU37" i="3"/>
  <c r="OT37" i="3"/>
  <c r="OS37" i="3"/>
  <c r="OR37" i="3"/>
  <c r="OQ37" i="3"/>
  <c r="OP37" i="3"/>
  <c r="OO37" i="3"/>
  <c r="ON37" i="3"/>
  <c r="OM37" i="3"/>
  <c r="OL37" i="3"/>
  <c r="OK37" i="3"/>
  <c r="OJ37" i="3"/>
  <c r="OI37" i="3"/>
  <c r="OH37" i="3"/>
  <c r="OG37" i="3"/>
  <c r="OF37" i="3"/>
  <c r="OE37" i="3"/>
  <c r="OD37" i="3"/>
  <c r="OC37" i="3"/>
  <c r="OB37" i="3"/>
  <c r="OA37" i="3"/>
  <c r="NZ37" i="3"/>
  <c r="NY37" i="3"/>
  <c r="NX37" i="3"/>
  <c r="NW37" i="3"/>
  <c r="NV37" i="3"/>
  <c r="NU37" i="3"/>
  <c r="NT37" i="3"/>
  <c r="NS37" i="3"/>
  <c r="NR37" i="3"/>
  <c r="NQ37" i="3"/>
  <c r="NP37" i="3"/>
  <c r="NO37" i="3"/>
  <c r="NN37" i="3"/>
  <c r="NM37" i="3"/>
  <c r="NL37" i="3"/>
  <c r="NK37" i="3"/>
  <c r="NJ37" i="3"/>
  <c r="NI37" i="3"/>
  <c r="NH37" i="3"/>
  <c r="NG37" i="3"/>
  <c r="NF37" i="3"/>
  <c r="NE37" i="3"/>
  <c r="ND37" i="3"/>
  <c r="NC37" i="3"/>
  <c r="NB37" i="3"/>
  <c r="NA37" i="3"/>
  <c r="MZ37" i="3"/>
  <c r="MY37" i="3"/>
  <c r="MX37" i="3"/>
  <c r="MW37" i="3"/>
  <c r="MV37" i="3"/>
  <c r="MU37" i="3"/>
  <c r="MT37" i="3"/>
  <c r="MS37" i="3"/>
  <c r="MR37" i="3"/>
  <c r="MQ37" i="3"/>
  <c r="MP37" i="3"/>
  <c r="MO37" i="3"/>
  <c r="MN37" i="3"/>
  <c r="MM37" i="3"/>
  <c r="ML37" i="3"/>
  <c r="MK37" i="3"/>
  <c r="MJ37" i="3"/>
  <c r="MI37" i="3"/>
  <c r="MH37" i="3"/>
  <c r="MG37" i="3"/>
  <c r="MF37" i="3"/>
  <c r="ME37" i="3"/>
  <c r="MD37" i="3"/>
  <c r="MC37" i="3"/>
  <c r="MB37" i="3"/>
  <c r="MA37" i="3"/>
  <c r="LZ37" i="3"/>
  <c r="LY37" i="3"/>
  <c r="LX37" i="3"/>
  <c r="LW37" i="3"/>
  <c r="LV37" i="3"/>
  <c r="LU37" i="3"/>
  <c r="LT37" i="3"/>
  <c r="LS37" i="3"/>
  <c r="LR37" i="3"/>
  <c r="LQ37" i="3"/>
  <c r="LP37" i="3"/>
  <c r="LO37" i="3"/>
  <c r="LN37" i="3"/>
  <c r="LM37" i="3"/>
  <c r="LL37" i="3"/>
  <c r="LK37" i="3"/>
  <c r="LJ37" i="3"/>
  <c r="LI37" i="3"/>
  <c r="LH37" i="3"/>
  <c r="LG37" i="3"/>
  <c r="LF37" i="3"/>
  <c r="LE37" i="3"/>
  <c r="LD37" i="3"/>
  <c r="LC37" i="3"/>
  <c r="LB37" i="3"/>
  <c r="LA37" i="3"/>
  <c r="KZ37" i="3"/>
  <c r="KY37" i="3"/>
  <c r="KX37" i="3"/>
  <c r="KW37" i="3"/>
  <c r="KV37" i="3"/>
  <c r="KU37" i="3"/>
  <c r="KT37" i="3"/>
  <c r="KS37" i="3"/>
  <c r="KR37" i="3"/>
  <c r="KQ37" i="3"/>
  <c r="KP37" i="3"/>
  <c r="KO37" i="3"/>
  <c r="KN37" i="3"/>
  <c r="KM37" i="3"/>
  <c r="KL37" i="3"/>
  <c r="KK37" i="3"/>
  <c r="KJ37" i="3"/>
  <c r="KI37" i="3"/>
  <c r="KH37" i="3"/>
  <c r="KG37" i="3"/>
  <c r="KF37" i="3"/>
  <c r="KE37" i="3"/>
  <c r="KD37" i="3"/>
  <c r="KC37" i="3"/>
  <c r="KB37" i="3"/>
  <c r="KA37" i="3"/>
  <c r="JZ37" i="3"/>
  <c r="JY37" i="3"/>
  <c r="JX37" i="3"/>
  <c r="JW37" i="3"/>
  <c r="JV37" i="3"/>
  <c r="JU37" i="3"/>
  <c r="JT37" i="3"/>
  <c r="JS37" i="3"/>
  <c r="JR37" i="3"/>
  <c r="JQ37" i="3"/>
  <c r="JP37" i="3"/>
  <c r="JO37" i="3"/>
  <c r="JN37" i="3"/>
  <c r="JM37" i="3"/>
  <c r="JL37" i="3"/>
  <c r="JK37" i="3"/>
  <c r="JJ37" i="3"/>
  <c r="JI37" i="3"/>
  <c r="JH37" i="3"/>
  <c r="JG37" i="3"/>
  <c r="JF37" i="3"/>
  <c r="JE37" i="3"/>
  <c r="JD37" i="3"/>
  <c r="JC37" i="3"/>
  <c r="JB37" i="3"/>
  <c r="JA37" i="3"/>
  <c r="IZ37" i="3"/>
  <c r="IY37" i="3"/>
  <c r="IX37" i="3"/>
  <c r="IW37" i="3"/>
  <c r="IV37" i="3"/>
  <c r="IU37" i="3"/>
  <c r="IT37" i="3"/>
  <c r="IS37" i="3"/>
  <c r="IR37" i="3"/>
  <c r="IQ37" i="3"/>
  <c r="IP37" i="3"/>
  <c r="IO37" i="3"/>
  <c r="IN37" i="3"/>
  <c r="IM37" i="3"/>
  <c r="IL37" i="3"/>
  <c r="IK37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PF36" i="3"/>
  <c r="PE36" i="3"/>
  <c r="PD36" i="3"/>
  <c r="PC36" i="3"/>
  <c r="PB36" i="3"/>
  <c r="PA36" i="3"/>
  <c r="OZ36" i="3"/>
  <c r="OY36" i="3"/>
  <c r="OX36" i="3"/>
  <c r="OW36" i="3"/>
  <c r="OV36" i="3"/>
  <c r="OU36" i="3"/>
  <c r="OT36" i="3"/>
  <c r="OS36" i="3"/>
  <c r="OR36" i="3"/>
  <c r="OQ36" i="3"/>
  <c r="OP36" i="3"/>
  <c r="OO36" i="3"/>
  <c r="ON36" i="3"/>
  <c r="OM36" i="3"/>
  <c r="OL36" i="3"/>
  <c r="OK36" i="3"/>
  <c r="OJ36" i="3"/>
  <c r="OI36" i="3"/>
  <c r="OH36" i="3"/>
  <c r="OG36" i="3"/>
  <c r="OF36" i="3"/>
  <c r="OE36" i="3"/>
  <c r="OD36" i="3"/>
  <c r="OC36" i="3"/>
  <c r="OB36" i="3"/>
  <c r="OA36" i="3"/>
  <c r="NZ36" i="3"/>
  <c r="NY36" i="3"/>
  <c r="NX36" i="3"/>
  <c r="NW36" i="3"/>
  <c r="NV36" i="3"/>
  <c r="NU36" i="3"/>
  <c r="NT36" i="3"/>
  <c r="NS36" i="3"/>
  <c r="NR36" i="3"/>
  <c r="NQ36" i="3"/>
  <c r="NP36" i="3"/>
  <c r="NO36" i="3"/>
  <c r="NN36" i="3"/>
  <c r="NM36" i="3"/>
  <c r="NL36" i="3"/>
  <c r="NK36" i="3"/>
  <c r="NJ36" i="3"/>
  <c r="NI36" i="3"/>
  <c r="NH36" i="3"/>
  <c r="NG36" i="3"/>
  <c r="NF36" i="3"/>
  <c r="NE36" i="3"/>
  <c r="ND36" i="3"/>
  <c r="NC36" i="3"/>
  <c r="NB36" i="3"/>
  <c r="NA36" i="3"/>
  <c r="MZ36" i="3"/>
  <c r="MY36" i="3"/>
  <c r="MX36" i="3"/>
  <c r="MW36" i="3"/>
  <c r="MV36" i="3"/>
  <c r="MU36" i="3"/>
  <c r="MT36" i="3"/>
  <c r="MS36" i="3"/>
  <c r="MR36" i="3"/>
  <c r="MQ36" i="3"/>
  <c r="MP36" i="3"/>
  <c r="MO36" i="3"/>
  <c r="MN36" i="3"/>
  <c r="MM36" i="3"/>
  <c r="ML36" i="3"/>
  <c r="MK36" i="3"/>
  <c r="MJ36" i="3"/>
  <c r="MI36" i="3"/>
  <c r="MH36" i="3"/>
  <c r="MG36" i="3"/>
  <c r="MF36" i="3"/>
  <c r="ME36" i="3"/>
  <c r="MD36" i="3"/>
  <c r="MC36" i="3"/>
  <c r="MB36" i="3"/>
  <c r="MA36" i="3"/>
  <c r="LZ36" i="3"/>
  <c r="LY36" i="3"/>
  <c r="LX36" i="3"/>
  <c r="LW36" i="3"/>
  <c r="LV36" i="3"/>
  <c r="LU36" i="3"/>
  <c r="LT36" i="3"/>
  <c r="LS36" i="3"/>
  <c r="LR36" i="3"/>
  <c r="LQ36" i="3"/>
  <c r="LP36" i="3"/>
  <c r="LO36" i="3"/>
  <c r="LN36" i="3"/>
  <c r="LM36" i="3"/>
  <c r="LL36" i="3"/>
  <c r="LK36" i="3"/>
  <c r="LJ36" i="3"/>
  <c r="LI36" i="3"/>
  <c r="LH36" i="3"/>
  <c r="LG36" i="3"/>
  <c r="LF36" i="3"/>
  <c r="LE36" i="3"/>
  <c r="LD36" i="3"/>
  <c r="LC36" i="3"/>
  <c r="LB36" i="3"/>
  <c r="LA36" i="3"/>
  <c r="KZ36" i="3"/>
  <c r="KY36" i="3"/>
  <c r="KX36" i="3"/>
  <c r="KW36" i="3"/>
  <c r="KV36" i="3"/>
  <c r="KU36" i="3"/>
  <c r="KT36" i="3"/>
  <c r="KS36" i="3"/>
  <c r="KR36" i="3"/>
  <c r="KQ36" i="3"/>
  <c r="KP36" i="3"/>
  <c r="KO36" i="3"/>
  <c r="KN36" i="3"/>
  <c r="KM36" i="3"/>
  <c r="KL36" i="3"/>
  <c r="KK36" i="3"/>
  <c r="KJ36" i="3"/>
  <c r="KI36" i="3"/>
  <c r="KH36" i="3"/>
  <c r="KG36" i="3"/>
  <c r="KF36" i="3"/>
  <c r="KE36" i="3"/>
  <c r="KD36" i="3"/>
  <c r="KC36" i="3"/>
  <c r="KB36" i="3"/>
  <c r="KA36" i="3"/>
  <c r="JZ36" i="3"/>
  <c r="JY36" i="3"/>
  <c r="JX36" i="3"/>
  <c r="JW36" i="3"/>
  <c r="JV36" i="3"/>
  <c r="JU36" i="3"/>
  <c r="JT36" i="3"/>
  <c r="JS36" i="3"/>
  <c r="JR36" i="3"/>
  <c r="JQ36" i="3"/>
  <c r="JP36" i="3"/>
  <c r="JO36" i="3"/>
  <c r="JN36" i="3"/>
  <c r="JM36" i="3"/>
  <c r="JL36" i="3"/>
  <c r="JK36" i="3"/>
  <c r="JJ36" i="3"/>
  <c r="JI36" i="3"/>
  <c r="JH36" i="3"/>
  <c r="JG36" i="3"/>
  <c r="JF36" i="3"/>
  <c r="JE36" i="3"/>
  <c r="JD36" i="3"/>
  <c r="JC36" i="3"/>
  <c r="JB36" i="3"/>
  <c r="JA36" i="3"/>
  <c r="IZ36" i="3"/>
  <c r="IY36" i="3"/>
  <c r="IX36" i="3"/>
  <c r="IW36" i="3"/>
  <c r="IV36" i="3"/>
  <c r="IU36" i="3"/>
  <c r="IT36" i="3"/>
  <c r="IS36" i="3"/>
  <c r="IR36" i="3"/>
  <c r="IQ36" i="3"/>
  <c r="IP36" i="3"/>
  <c r="IO36" i="3"/>
  <c r="IN36" i="3"/>
  <c r="IM36" i="3"/>
  <c r="IL36" i="3"/>
  <c r="IK36" i="3"/>
  <c r="IJ36" i="3"/>
  <c r="II36" i="3"/>
  <c r="IH36" i="3"/>
  <c r="IG36" i="3"/>
  <c r="IF36" i="3"/>
  <c r="IE36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PF35" i="3"/>
  <c r="PE35" i="3"/>
  <c r="PD35" i="3"/>
  <c r="PC35" i="3"/>
  <c r="PB35" i="3"/>
  <c r="PA35" i="3"/>
  <c r="OZ35" i="3"/>
  <c r="OY35" i="3"/>
  <c r="OX35" i="3"/>
  <c r="OW35" i="3"/>
  <c r="OV35" i="3"/>
  <c r="OU35" i="3"/>
  <c r="OT35" i="3"/>
  <c r="OS35" i="3"/>
  <c r="OR35" i="3"/>
  <c r="OQ35" i="3"/>
  <c r="OP35" i="3"/>
  <c r="OO35" i="3"/>
  <c r="ON35" i="3"/>
  <c r="OM35" i="3"/>
  <c r="OL35" i="3"/>
  <c r="OK35" i="3"/>
  <c r="OJ35" i="3"/>
  <c r="OI35" i="3"/>
  <c r="OH35" i="3"/>
  <c r="OG35" i="3"/>
  <c r="OF35" i="3"/>
  <c r="OE35" i="3"/>
  <c r="OD35" i="3"/>
  <c r="OC35" i="3"/>
  <c r="OB35" i="3"/>
  <c r="OA35" i="3"/>
  <c r="NZ35" i="3"/>
  <c r="NY35" i="3"/>
  <c r="NX35" i="3"/>
  <c r="NW35" i="3"/>
  <c r="NV35" i="3"/>
  <c r="NU35" i="3"/>
  <c r="NT35" i="3"/>
  <c r="NS35" i="3"/>
  <c r="NR35" i="3"/>
  <c r="NQ35" i="3"/>
  <c r="NP35" i="3"/>
  <c r="NO35" i="3"/>
  <c r="NN35" i="3"/>
  <c r="NM35" i="3"/>
  <c r="NL35" i="3"/>
  <c r="NK35" i="3"/>
  <c r="NJ35" i="3"/>
  <c r="NI35" i="3"/>
  <c r="NH35" i="3"/>
  <c r="NG35" i="3"/>
  <c r="NF35" i="3"/>
  <c r="NE35" i="3"/>
  <c r="ND35" i="3"/>
  <c r="NC35" i="3"/>
  <c r="NB35" i="3"/>
  <c r="NA35" i="3"/>
  <c r="MZ35" i="3"/>
  <c r="MY35" i="3"/>
  <c r="MX35" i="3"/>
  <c r="MW35" i="3"/>
  <c r="MV35" i="3"/>
  <c r="MU35" i="3"/>
  <c r="MT35" i="3"/>
  <c r="MS35" i="3"/>
  <c r="MR35" i="3"/>
  <c r="MQ35" i="3"/>
  <c r="MP35" i="3"/>
  <c r="MO35" i="3"/>
  <c r="MN35" i="3"/>
  <c r="MM35" i="3"/>
  <c r="ML35" i="3"/>
  <c r="MK35" i="3"/>
  <c r="MJ35" i="3"/>
  <c r="MI35" i="3"/>
  <c r="MH35" i="3"/>
  <c r="MG35" i="3"/>
  <c r="MF35" i="3"/>
  <c r="ME35" i="3"/>
  <c r="MD35" i="3"/>
  <c r="MC35" i="3"/>
  <c r="MB35" i="3"/>
  <c r="MA35" i="3"/>
  <c r="LZ35" i="3"/>
  <c r="LY35" i="3"/>
  <c r="LX35" i="3"/>
  <c r="LW35" i="3"/>
  <c r="LV35" i="3"/>
  <c r="LU35" i="3"/>
  <c r="LT35" i="3"/>
  <c r="LS35" i="3"/>
  <c r="LR35" i="3"/>
  <c r="LQ35" i="3"/>
  <c r="LP35" i="3"/>
  <c r="LO35" i="3"/>
  <c r="LN35" i="3"/>
  <c r="LM35" i="3"/>
  <c r="LL35" i="3"/>
  <c r="LK35" i="3"/>
  <c r="LJ35" i="3"/>
  <c r="LI35" i="3"/>
  <c r="LH35" i="3"/>
  <c r="LG35" i="3"/>
  <c r="LF35" i="3"/>
  <c r="LE35" i="3"/>
  <c r="LD35" i="3"/>
  <c r="LC35" i="3"/>
  <c r="LB35" i="3"/>
  <c r="LA35" i="3"/>
  <c r="KZ35" i="3"/>
  <c r="KY35" i="3"/>
  <c r="KX35" i="3"/>
  <c r="KW35" i="3"/>
  <c r="KV35" i="3"/>
  <c r="KU35" i="3"/>
  <c r="KT35" i="3"/>
  <c r="KS35" i="3"/>
  <c r="KR35" i="3"/>
  <c r="KQ35" i="3"/>
  <c r="KP35" i="3"/>
  <c r="KO35" i="3"/>
  <c r="KN35" i="3"/>
  <c r="KM35" i="3"/>
  <c r="KL35" i="3"/>
  <c r="KK35" i="3"/>
  <c r="KJ35" i="3"/>
  <c r="KI35" i="3"/>
  <c r="KH35" i="3"/>
  <c r="KG35" i="3"/>
  <c r="KF35" i="3"/>
  <c r="KE35" i="3"/>
  <c r="KD35" i="3"/>
  <c r="KC35" i="3"/>
  <c r="KB35" i="3"/>
  <c r="KA35" i="3"/>
  <c r="JZ35" i="3"/>
  <c r="JY35" i="3"/>
  <c r="JX35" i="3"/>
  <c r="JW35" i="3"/>
  <c r="JV35" i="3"/>
  <c r="JU35" i="3"/>
  <c r="JT35" i="3"/>
  <c r="JS35" i="3"/>
  <c r="JR35" i="3"/>
  <c r="JQ35" i="3"/>
  <c r="JP35" i="3"/>
  <c r="JO35" i="3"/>
  <c r="JN35" i="3"/>
  <c r="JM35" i="3"/>
  <c r="JL35" i="3"/>
  <c r="JK35" i="3"/>
  <c r="JJ35" i="3"/>
  <c r="JI35" i="3"/>
  <c r="JH35" i="3"/>
  <c r="JG35" i="3"/>
  <c r="JF35" i="3"/>
  <c r="JE35" i="3"/>
  <c r="JD35" i="3"/>
  <c r="JC35" i="3"/>
  <c r="JB35" i="3"/>
  <c r="JA35" i="3"/>
  <c r="IZ35" i="3"/>
  <c r="IY35" i="3"/>
  <c r="IX35" i="3"/>
  <c r="IW35" i="3"/>
  <c r="IV35" i="3"/>
  <c r="IU35" i="3"/>
  <c r="IT35" i="3"/>
  <c r="IS35" i="3"/>
  <c r="IR35" i="3"/>
  <c r="IQ35" i="3"/>
  <c r="IP35" i="3"/>
  <c r="IO35" i="3"/>
  <c r="IN35" i="3"/>
  <c r="IM35" i="3"/>
  <c r="IL35" i="3"/>
  <c r="IK35" i="3"/>
  <c r="IJ35" i="3"/>
  <c r="II35" i="3"/>
  <c r="IH35" i="3"/>
  <c r="IG35" i="3"/>
  <c r="IF35" i="3"/>
  <c r="IE35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HM35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PF34" i="3"/>
  <c r="PE34" i="3"/>
  <c r="PD34" i="3"/>
  <c r="PC34" i="3"/>
  <c r="PB34" i="3"/>
  <c r="PA34" i="3"/>
  <c r="OZ34" i="3"/>
  <c r="OY34" i="3"/>
  <c r="OX34" i="3"/>
  <c r="OW34" i="3"/>
  <c r="OV34" i="3"/>
  <c r="OU34" i="3"/>
  <c r="OT34" i="3"/>
  <c r="OS34" i="3"/>
  <c r="OR34" i="3"/>
  <c r="OQ34" i="3"/>
  <c r="OP34" i="3"/>
  <c r="OO34" i="3"/>
  <c r="ON34" i="3"/>
  <c r="OM34" i="3"/>
  <c r="OL34" i="3"/>
  <c r="OK34" i="3"/>
  <c r="OJ34" i="3"/>
  <c r="OI34" i="3"/>
  <c r="OH34" i="3"/>
  <c r="OG34" i="3"/>
  <c r="OF34" i="3"/>
  <c r="OE34" i="3"/>
  <c r="OD34" i="3"/>
  <c r="OC34" i="3"/>
  <c r="OB34" i="3"/>
  <c r="OA34" i="3"/>
  <c r="NZ34" i="3"/>
  <c r="NY34" i="3"/>
  <c r="NX34" i="3"/>
  <c r="NW34" i="3"/>
  <c r="NV34" i="3"/>
  <c r="NU34" i="3"/>
  <c r="NT34" i="3"/>
  <c r="NS34" i="3"/>
  <c r="NR34" i="3"/>
  <c r="NQ34" i="3"/>
  <c r="NP34" i="3"/>
  <c r="NO34" i="3"/>
  <c r="NN34" i="3"/>
  <c r="NM34" i="3"/>
  <c r="NL34" i="3"/>
  <c r="NK34" i="3"/>
  <c r="NJ34" i="3"/>
  <c r="NI34" i="3"/>
  <c r="NH34" i="3"/>
  <c r="NG34" i="3"/>
  <c r="NF34" i="3"/>
  <c r="NE34" i="3"/>
  <c r="ND34" i="3"/>
  <c r="NC34" i="3"/>
  <c r="NB34" i="3"/>
  <c r="NA34" i="3"/>
  <c r="MZ34" i="3"/>
  <c r="MY34" i="3"/>
  <c r="MX34" i="3"/>
  <c r="MW34" i="3"/>
  <c r="MV34" i="3"/>
  <c r="MU34" i="3"/>
  <c r="MT34" i="3"/>
  <c r="MS34" i="3"/>
  <c r="MR34" i="3"/>
  <c r="MQ34" i="3"/>
  <c r="MP34" i="3"/>
  <c r="MO34" i="3"/>
  <c r="MN34" i="3"/>
  <c r="MM34" i="3"/>
  <c r="ML34" i="3"/>
  <c r="MK34" i="3"/>
  <c r="MJ34" i="3"/>
  <c r="MI34" i="3"/>
  <c r="MH34" i="3"/>
  <c r="MG34" i="3"/>
  <c r="MF34" i="3"/>
  <c r="ME34" i="3"/>
  <c r="MD34" i="3"/>
  <c r="MC34" i="3"/>
  <c r="MB34" i="3"/>
  <c r="MA34" i="3"/>
  <c r="LZ34" i="3"/>
  <c r="LY34" i="3"/>
  <c r="LX34" i="3"/>
  <c r="LW34" i="3"/>
  <c r="LV34" i="3"/>
  <c r="LU34" i="3"/>
  <c r="LT34" i="3"/>
  <c r="LS34" i="3"/>
  <c r="LR34" i="3"/>
  <c r="LQ34" i="3"/>
  <c r="LP34" i="3"/>
  <c r="LO34" i="3"/>
  <c r="LN34" i="3"/>
  <c r="LM34" i="3"/>
  <c r="LL34" i="3"/>
  <c r="LK34" i="3"/>
  <c r="LJ34" i="3"/>
  <c r="LI34" i="3"/>
  <c r="LH34" i="3"/>
  <c r="LG34" i="3"/>
  <c r="LF34" i="3"/>
  <c r="LE34" i="3"/>
  <c r="LD34" i="3"/>
  <c r="LC34" i="3"/>
  <c r="LB34" i="3"/>
  <c r="LA34" i="3"/>
  <c r="KZ34" i="3"/>
  <c r="KY34" i="3"/>
  <c r="KX34" i="3"/>
  <c r="KW34" i="3"/>
  <c r="KV34" i="3"/>
  <c r="KU34" i="3"/>
  <c r="KT34" i="3"/>
  <c r="KS34" i="3"/>
  <c r="KR34" i="3"/>
  <c r="KQ34" i="3"/>
  <c r="KP34" i="3"/>
  <c r="KO34" i="3"/>
  <c r="KN34" i="3"/>
  <c r="KM34" i="3"/>
  <c r="KL34" i="3"/>
  <c r="KK34" i="3"/>
  <c r="KJ34" i="3"/>
  <c r="KI34" i="3"/>
  <c r="KH34" i="3"/>
  <c r="KG34" i="3"/>
  <c r="KF34" i="3"/>
  <c r="KE34" i="3"/>
  <c r="KD34" i="3"/>
  <c r="KC34" i="3"/>
  <c r="KB34" i="3"/>
  <c r="KA34" i="3"/>
  <c r="JZ34" i="3"/>
  <c r="JY34" i="3"/>
  <c r="JX34" i="3"/>
  <c r="JW34" i="3"/>
  <c r="JV34" i="3"/>
  <c r="JU34" i="3"/>
  <c r="JT34" i="3"/>
  <c r="JS34" i="3"/>
  <c r="JR34" i="3"/>
  <c r="JQ34" i="3"/>
  <c r="JP34" i="3"/>
  <c r="JO34" i="3"/>
  <c r="JN34" i="3"/>
  <c r="JM34" i="3"/>
  <c r="JL34" i="3"/>
  <c r="JK34" i="3"/>
  <c r="JJ34" i="3"/>
  <c r="JI34" i="3"/>
  <c r="JH34" i="3"/>
  <c r="JG34" i="3"/>
  <c r="JF34" i="3"/>
  <c r="JE34" i="3"/>
  <c r="JD34" i="3"/>
  <c r="JC34" i="3"/>
  <c r="JB34" i="3"/>
  <c r="JA34" i="3"/>
  <c r="IZ34" i="3"/>
  <c r="IY34" i="3"/>
  <c r="IX34" i="3"/>
  <c r="IW34" i="3"/>
  <c r="IV34" i="3"/>
  <c r="IU34" i="3"/>
  <c r="IT34" i="3"/>
  <c r="IS34" i="3"/>
  <c r="IR34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PF33" i="3"/>
  <c r="PE33" i="3"/>
  <c r="PD33" i="3"/>
  <c r="PC33" i="3"/>
  <c r="PB33" i="3"/>
  <c r="PA33" i="3"/>
  <c r="OZ33" i="3"/>
  <c r="OY33" i="3"/>
  <c r="OX33" i="3"/>
  <c r="OW33" i="3"/>
  <c r="OV33" i="3"/>
  <c r="OU33" i="3"/>
  <c r="OT33" i="3"/>
  <c r="OS33" i="3"/>
  <c r="OR33" i="3"/>
  <c r="OQ33" i="3"/>
  <c r="OP33" i="3"/>
  <c r="OO33" i="3"/>
  <c r="ON33" i="3"/>
  <c r="OM33" i="3"/>
  <c r="OL33" i="3"/>
  <c r="OK33" i="3"/>
  <c r="OJ33" i="3"/>
  <c r="OI33" i="3"/>
  <c r="OH33" i="3"/>
  <c r="OG33" i="3"/>
  <c r="OF33" i="3"/>
  <c r="OE33" i="3"/>
  <c r="OD33" i="3"/>
  <c r="OC33" i="3"/>
  <c r="OB33" i="3"/>
  <c r="OA33" i="3"/>
  <c r="NZ33" i="3"/>
  <c r="NY33" i="3"/>
  <c r="NX33" i="3"/>
  <c r="NW33" i="3"/>
  <c r="NV33" i="3"/>
  <c r="NU33" i="3"/>
  <c r="NT33" i="3"/>
  <c r="NS33" i="3"/>
  <c r="NR33" i="3"/>
  <c r="NQ33" i="3"/>
  <c r="NP33" i="3"/>
  <c r="NO33" i="3"/>
  <c r="NN33" i="3"/>
  <c r="NM33" i="3"/>
  <c r="NL33" i="3"/>
  <c r="NK33" i="3"/>
  <c r="NJ33" i="3"/>
  <c r="NI33" i="3"/>
  <c r="NH33" i="3"/>
  <c r="NG33" i="3"/>
  <c r="NF33" i="3"/>
  <c r="NE33" i="3"/>
  <c r="ND33" i="3"/>
  <c r="NC33" i="3"/>
  <c r="NB33" i="3"/>
  <c r="NA33" i="3"/>
  <c r="MZ33" i="3"/>
  <c r="MY33" i="3"/>
  <c r="MX33" i="3"/>
  <c r="MW33" i="3"/>
  <c r="MV33" i="3"/>
  <c r="MU33" i="3"/>
  <c r="MT33" i="3"/>
  <c r="MS33" i="3"/>
  <c r="MR33" i="3"/>
  <c r="MQ33" i="3"/>
  <c r="MP33" i="3"/>
  <c r="MO33" i="3"/>
  <c r="MN33" i="3"/>
  <c r="MM33" i="3"/>
  <c r="ML33" i="3"/>
  <c r="MK33" i="3"/>
  <c r="MJ33" i="3"/>
  <c r="MI33" i="3"/>
  <c r="MH33" i="3"/>
  <c r="MG33" i="3"/>
  <c r="MF33" i="3"/>
  <c r="ME33" i="3"/>
  <c r="MD33" i="3"/>
  <c r="MC33" i="3"/>
  <c r="MB33" i="3"/>
  <c r="MA33" i="3"/>
  <c r="LZ33" i="3"/>
  <c r="LY33" i="3"/>
  <c r="LX33" i="3"/>
  <c r="LW33" i="3"/>
  <c r="LV33" i="3"/>
  <c r="LU33" i="3"/>
  <c r="LT33" i="3"/>
  <c r="LS33" i="3"/>
  <c r="LR33" i="3"/>
  <c r="LQ33" i="3"/>
  <c r="LP33" i="3"/>
  <c r="LO33" i="3"/>
  <c r="LN33" i="3"/>
  <c r="LM33" i="3"/>
  <c r="LL33" i="3"/>
  <c r="LK33" i="3"/>
  <c r="LJ33" i="3"/>
  <c r="LI33" i="3"/>
  <c r="LH33" i="3"/>
  <c r="LG33" i="3"/>
  <c r="LF33" i="3"/>
  <c r="LE33" i="3"/>
  <c r="LD33" i="3"/>
  <c r="LC33" i="3"/>
  <c r="LB33" i="3"/>
  <c r="LA33" i="3"/>
  <c r="KZ33" i="3"/>
  <c r="KY33" i="3"/>
  <c r="KX33" i="3"/>
  <c r="KW33" i="3"/>
  <c r="KV33" i="3"/>
  <c r="KU33" i="3"/>
  <c r="KT33" i="3"/>
  <c r="KS33" i="3"/>
  <c r="KR33" i="3"/>
  <c r="KQ33" i="3"/>
  <c r="KP33" i="3"/>
  <c r="KO33" i="3"/>
  <c r="KN33" i="3"/>
  <c r="KM33" i="3"/>
  <c r="KL33" i="3"/>
  <c r="KK33" i="3"/>
  <c r="KJ33" i="3"/>
  <c r="KI33" i="3"/>
  <c r="KH33" i="3"/>
  <c r="KG33" i="3"/>
  <c r="KF33" i="3"/>
  <c r="KE33" i="3"/>
  <c r="KD33" i="3"/>
  <c r="KC33" i="3"/>
  <c r="KB33" i="3"/>
  <c r="KA33" i="3"/>
  <c r="JZ33" i="3"/>
  <c r="JY33" i="3"/>
  <c r="JX33" i="3"/>
  <c r="JW33" i="3"/>
  <c r="JV33" i="3"/>
  <c r="JU33" i="3"/>
  <c r="JT33" i="3"/>
  <c r="JS33" i="3"/>
  <c r="JR33" i="3"/>
  <c r="JQ33" i="3"/>
  <c r="JP33" i="3"/>
  <c r="JO33" i="3"/>
  <c r="JN33" i="3"/>
  <c r="JM33" i="3"/>
  <c r="JL33" i="3"/>
  <c r="JK33" i="3"/>
  <c r="JJ33" i="3"/>
  <c r="JI33" i="3"/>
  <c r="JH33" i="3"/>
  <c r="JG33" i="3"/>
  <c r="JF33" i="3"/>
  <c r="JE33" i="3"/>
  <c r="JD33" i="3"/>
  <c r="JC33" i="3"/>
  <c r="JB33" i="3"/>
  <c r="JA33" i="3"/>
  <c r="IZ33" i="3"/>
  <c r="IY33" i="3"/>
  <c r="IX33" i="3"/>
  <c r="IW33" i="3"/>
  <c r="IV33" i="3"/>
  <c r="IU33" i="3"/>
  <c r="IT33" i="3"/>
  <c r="IS33" i="3"/>
  <c r="IR33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PF32" i="3"/>
  <c r="PE32" i="3"/>
  <c r="PD32" i="3"/>
  <c r="PC32" i="3"/>
  <c r="PB32" i="3"/>
  <c r="PA32" i="3"/>
  <c r="OZ32" i="3"/>
  <c r="OY32" i="3"/>
  <c r="OX32" i="3"/>
  <c r="OW32" i="3"/>
  <c r="OV32" i="3"/>
  <c r="OU32" i="3"/>
  <c r="OT32" i="3"/>
  <c r="OS32" i="3"/>
  <c r="OR32" i="3"/>
  <c r="OQ32" i="3"/>
  <c r="OP32" i="3"/>
  <c r="OO32" i="3"/>
  <c r="ON32" i="3"/>
  <c r="OM32" i="3"/>
  <c r="OL32" i="3"/>
  <c r="OK32" i="3"/>
  <c r="OJ32" i="3"/>
  <c r="OI32" i="3"/>
  <c r="OH32" i="3"/>
  <c r="OG32" i="3"/>
  <c r="OF32" i="3"/>
  <c r="OE32" i="3"/>
  <c r="OD32" i="3"/>
  <c r="OC32" i="3"/>
  <c r="OB32" i="3"/>
  <c r="OA32" i="3"/>
  <c r="NZ32" i="3"/>
  <c r="NY32" i="3"/>
  <c r="NX32" i="3"/>
  <c r="NW32" i="3"/>
  <c r="NV32" i="3"/>
  <c r="NU32" i="3"/>
  <c r="NT32" i="3"/>
  <c r="NS32" i="3"/>
  <c r="NR32" i="3"/>
  <c r="NQ32" i="3"/>
  <c r="NP32" i="3"/>
  <c r="NO32" i="3"/>
  <c r="NN32" i="3"/>
  <c r="NM32" i="3"/>
  <c r="NL32" i="3"/>
  <c r="NK32" i="3"/>
  <c r="NJ32" i="3"/>
  <c r="NI32" i="3"/>
  <c r="NH32" i="3"/>
  <c r="NG32" i="3"/>
  <c r="NF32" i="3"/>
  <c r="NE32" i="3"/>
  <c r="ND32" i="3"/>
  <c r="NC32" i="3"/>
  <c r="NB32" i="3"/>
  <c r="NA32" i="3"/>
  <c r="MZ32" i="3"/>
  <c r="MY32" i="3"/>
  <c r="MX32" i="3"/>
  <c r="MW32" i="3"/>
  <c r="MV32" i="3"/>
  <c r="MU32" i="3"/>
  <c r="MT32" i="3"/>
  <c r="MS32" i="3"/>
  <c r="MR32" i="3"/>
  <c r="MQ32" i="3"/>
  <c r="MP32" i="3"/>
  <c r="MO32" i="3"/>
  <c r="MN32" i="3"/>
  <c r="MM32" i="3"/>
  <c r="ML32" i="3"/>
  <c r="MK32" i="3"/>
  <c r="MJ32" i="3"/>
  <c r="MI32" i="3"/>
  <c r="MH32" i="3"/>
  <c r="MG32" i="3"/>
  <c r="MF32" i="3"/>
  <c r="ME32" i="3"/>
  <c r="MD32" i="3"/>
  <c r="MC32" i="3"/>
  <c r="MB32" i="3"/>
  <c r="MA32" i="3"/>
  <c r="LZ32" i="3"/>
  <c r="LY32" i="3"/>
  <c r="LX32" i="3"/>
  <c r="LW32" i="3"/>
  <c r="LV32" i="3"/>
  <c r="LU32" i="3"/>
  <c r="LT32" i="3"/>
  <c r="LS32" i="3"/>
  <c r="LR32" i="3"/>
  <c r="LQ32" i="3"/>
  <c r="LP32" i="3"/>
  <c r="LO32" i="3"/>
  <c r="LN32" i="3"/>
  <c r="LM32" i="3"/>
  <c r="LL32" i="3"/>
  <c r="LK32" i="3"/>
  <c r="LJ32" i="3"/>
  <c r="LI32" i="3"/>
  <c r="LH32" i="3"/>
  <c r="LG32" i="3"/>
  <c r="LF32" i="3"/>
  <c r="LE32" i="3"/>
  <c r="LD32" i="3"/>
  <c r="LC32" i="3"/>
  <c r="LB32" i="3"/>
  <c r="LA32" i="3"/>
  <c r="KZ32" i="3"/>
  <c r="KY32" i="3"/>
  <c r="KX32" i="3"/>
  <c r="KW32" i="3"/>
  <c r="KV32" i="3"/>
  <c r="KU32" i="3"/>
  <c r="KT32" i="3"/>
  <c r="KS32" i="3"/>
  <c r="KR32" i="3"/>
  <c r="KQ32" i="3"/>
  <c r="KP32" i="3"/>
  <c r="KO32" i="3"/>
  <c r="KN32" i="3"/>
  <c r="KM32" i="3"/>
  <c r="KL32" i="3"/>
  <c r="KK32" i="3"/>
  <c r="KJ32" i="3"/>
  <c r="KI32" i="3"/>
  <c r="KH32" i="3"/>
  <c r="KG32" i="3"/>
  <c r="KF32" i="3"/>
  <c r="KE32" i="3"/>
  <c r="KD32" i="3"/>
  <c r="KC32" i="3"/>
  <c r="KB32" i="3"/>
  <c r="KA32" i="3"/>
  <c r="JZ32" i="3"/>
  <c r="JY32" i="3"/>
  <c r="JX32" i="3"/>
  <c r="JW32" i="3"/>
  <c r="JV32" i="3"/>
  <c r="JU32" i="3"/>
  <c r="JT32" i="3"/>
  <c r="JS32" i="3"/>
  <c r="JR32" i="3"/>
  <c r="JQ32" i="3"/>
  <c r="JP32" i="3"/>
  <c r="JO32" i="3"/>
  <c r="JN32" i="3"/>
  <c r="JM32" i="3"/>
  <c r="JL32" i="3"/>
  <c r="JK32" i="3"/>
  <c r="JJ32" i="3"/>
  <c r="JI32" i="3"/>
  <c r="JH32" i="3"/>
  <c r="JG32" i="3"/>
  <c r="JF32" i="3"/>
  <c r="JE32" i="3"/>
  <c r="JD32" i="3"/>
  <c r="JC32" i="3"/>
  <c r="JB32" i="3"/>
  <c r="JA32" i="3"/>
  <c r="IZ32" i="3"/>
  <c r="IY32" i="3"/>
  <c r="IX32" i="3"/>
  <c r="IW32" i="3"/>
  <c r="IV32" i="3"/>
  <c r="IU32" i="3"/>
  <c r="IT32" i="3"/>
  <c r="IS32" i="3"/>
  <c r="IR32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PF31" i="3"/>
  <c r="PE31" i="3"/>
  <c r="PD31" i="3"/>
  <c r="PC31" i="3"/>
  <c r="PB31" i="3"/>
  <c r="PA31" i="3"/>
  <c r="OZ31" i="3"/>
  <c r="OY31" i="3"/>
  <c r="OX31" i="3"/>
  <c r="OW31" i="3"/>
  <c r="OV31" i="3"/>
  <c r="OU31" i="3"/>
  <c r="OT31" i="3"/>
  <c r="OS31" i="3"/>
  <c r="OR31" i="3"/>
  <c r="OQ31" i="3"/>
  <c r="OP31" i="3"/>
  <c r="OO31" i="3"/>
  <c r="ON31" i="3"/>
  <c r="OM31" i="3"/>
  <c r="OL31" i="3"/>
  <c r="OK31" i="3"/>
  <c r="OJ31" i="3"/>
  <c r="OI31" i="3"/>
  <c r="OH31" i="3"/>
  <c r="OG31" i="3"/>
  <c r="OF31" i="3"/>
  <c r="OE31" i="3"/>
  <c r="OD31" i="3"/>
  <c r="OC31" i="3"/>
  <c r="OB31" i="3"/>
  <c r="OA31" i="3"/>
  <c r="NZ31" i="3"/>
  <c r="NY31" i="3"/>
  <c r="NX31" i="3"/>
  <c r="NW31" i="3"/>
  <c r="NV31" i="3"/>
  <c r="NU31" i="3"/>
  <c r="NT31" i="3"/>
  <c r="NS31" i="3"/>
  <c r="NR31" i="3"/>
  <c r="NQ31" i="3"/>
  <c r="NP31" i="3"/>
  <c r="NO31" i="3"/>
  <c r="NN31" i="3"/>
  <c r="NM31" i="3"/>
  <c r="NL31" i="3"/>
  <c r="NK31" i="3"/>
  <c r="NJ31" i="3"/>
  <c r="NI31" i="3"/>
  <c r="NH31" i="3"/>
  <c r="NG31" i="3"/>
  <c r="NF31" i="3"/>
  <c r="NE31" i="3"/>
  <c r="ND31" i="3"/>
  <c r="NC31" i="3"/>
  <c r="NB31" i="3"/>
  <c r="NA31" i="3"/>
  <c r="MZ31" i="3"/>
  <c r="MY31" i="3"/>
  <c r="MX31" i="3"/>
  <c r="MW31" i="3"/>
  <c r="MV31" i="3"/>
  <c r="MU31" i="3"/>
  <c r="MT31" i="3"/>
  <c r="MS31" i="3"/>
  <c r="MR31" i="3"/>
  <c r="MQ31" i="3"/>
  <c r="MP31" i="3"/>
  <c r="MO31" i="3"/>
  <c r="MN31" i="3"/>
  <c r="MM31" i="3"/>
  <c r="ML31" i="3"/>
  <c r="MK31" i="3"/>
  <c r="MJ31" i="3"/>
  <c r="MI31" i="3"/>
  <c r="MH31" i="3"/>
  <c r="MG31" i="3"/>
  <c r="MF31" i="3"/>
  <c r="ME31" i="3"/>
  <c r="MD31" i="3"/>
  <c r="MC31" i="3"/>
  <c r="MB31" i="3"/>
  <c r="MA31" i="3"/>
  <c r="LZ31" i="3"/>
  <c r="LY31" i="3"/>
  <c r="LX31" i="3"/>
  <c r="LW31" i="3"/>
  <c r="LV31" i="3"/>
  <c r="LU31" i="3"/>
  <c r="LT31" i="3"/>
  <c r="LS31" i="3"/>
  <c r="LR31" i="3"/>
  <c r="LQ31" i="3"/>
  <c r="LP31" i="3"/>
  <c r="LO31" i="3"/>
  <c r="LN31" i="3"/>
  <c r="LM31" i="3"/>
  <c r="LL31" i="3"/>
  <c r="LK31" i="3"/>
  <c r="LJ31" i="3"/>
  <c r="LI31" i="3"/>
  <c r="LH31" i="3"/>
  <c r="LG31" i="3"/>
  <c r="LF31" i="3"/>
  <c r="LE31" i="3"/>
  <c r="LD31" i="3"/>
  <c r="LC31" i="3"/>
  <c r="LB31" i="3"/>
  <c r="LA31" i="3"/>
  <c r="KZ31" i="3"/>
  <c r="KY31" i="3"/>
  <c r="KX31" i="3"/>
  <c r="KW31" i="3"/>
  <c r="KV31" i="3"/>
  <c r="KU31" i="3"/>
  <c r="KT31" i="3"/>
  <c r="KS31" i="3"/>
  <c r="KR31" i="3"/>
  <c r="KQ31" i="3"/>
  <c r="KP31" i="3"/>
  <c r="KO31" i="3"/>
  <c r="KN31" i="3"/>
  <c r="KM31" i="3"/>
  <c r="KL31" i="3"/>
  <c r="KK31" i="3"/>
  <c r="KJ31" i="3"/>
  <c r="KI31" i="3"/>
  <c r="KH31" i="3"/>
  <c r="KG31" i="3"/>
  <c r="KF31" i="3"/>
  <c r="KE31" i="3"/>
  <c r="KD31" i="3"/>
  <c r="KC31" i="3"/>
  <c r="KB31" i="3"/>
  <c r="KA31" i="3"/>
  <c r="JZ31" i="3"/>
  <c r="JY31" i="3"/>
  <c r="JX31" i="3"/>
  <c r="JW31" i="3"/>
  <c r="JV31" i="3"/>
  <c r="JU31" i="3"/>
  <c r="JT31" i="3"/>
  <c r="JS31" i="3"/>
  <c r="JR31" i="3"/>
  <c r="JQ31" i="3"/>
  <c r="JP31" i="3"/>
  <c r="JO31" i="3"/>
  <c r="JN31" i="3"/>
  <c r="JM31" i="3"/>
  <c r="JL31" i="3"/>
  <c r="JK31" i="3"/>
  <c r="JJ31" i="3"/>
  <c r="JI31" i="3"/>
  <c r="JH31" i="3"/>
  <c r="JG31" i="3"/>
  <c r="JF31" i="3"/>
  <c r="JE31" i="3"/>
  <c r="JD31" i="3"/>
  <c r="JC31" i="3"/>
  <c r="JB31" i="3"/>
  <c r="JA31" i="3"/>
  <c r="IZ31" i="3"/>
  <c r="IY31" i="3"/>
  <c r="IX31" i="3"/>
  <c r="IW31" i="3"/>
  <c r="IV31" i="3"/>
  <c r="IU31" i="3"/>
  <c r="IT31" i="3"/>
  <c r="IS31" i="3"/>
  <c r="IR31" i="3"/>
  <c r="IQ31" i="3"/>
  <c r="IP31" i="3"/>
  <c r="IO31" i="3"/>
  <c r="IN31" i="3"/>
  <c r="IM31" i="3"/>
  <c r="IL31" i="3"/>
  <c r="IK31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PF30" i="3"/>
  <c r="PE30" i="3"/>
  <c r="PD30" i="3"/>
  <c r="PC30" i="3"/>
  <c r="PB30" i="3"/>
  <c r="PA30" i="3"/>
  <c r="OZ30" i="3"/>
  <c r="OY30" i="3"/>
  <c r="OX30" i="3"/>
  <c r="OW30" i="3"/>
  <c r="OV30" i="3"/>
  <c r="OU30" i="3"/>
  <c r="OT30" i="3"/>
  <c r="OS30" i="3"/>
  <c r="OR30" i="3"/>
  <c r="OQ30" i="3"/>
  <c r="OP30" i="3"/>
  <c r="OO30" i="3"/>
  <c r="ON30" i="3"/>
  <c r="OM30" i="3"/>
  <c r="OL30" i="3"/>
  <c r="OK30" i="3"/>
  <c r="OJ30" i="3"/>
  <c r="OI30" i="3"/>
  <c r="OH30" i="3"/>
  <c r="OG30" i="3"/>
  <c r="OF30" i="3"/>
  <c r="OE30" i="3"/>
  <c r="OD30" i="3"/>
  <c r="OC30" i="3"/>
  <c r="OB30" i="3"/>
  <c r="OA30" i="3"/>
  <c r="NZ30" i="3"/>
  <c r="NY30" i="3"/>
  <c r="NX30" i="3"/>
  <c r="NW30" i="3"/>
  <c r="NV30" i="3"/>
  <c r="NU30" i="3"/>
  <c r="NT30" i="3"/>
  <c r="NS30" i="3"/>
  <c r="NR30" i="3"/>
  <c r="NQ30" i="3"/>
  <c r="NP30" i="3"/>
  <c r="NO30" i="3"/>
  <c r="NN30" i="3"/>
  <c r="NM30" i="3"/>
  <c r="NL30" i="3"/>
  <c r="NK30" i="3"/>
  <c r="NJ30" i="3"/>
  <c r="NI30" i="3"/>
  <c r="NH30" i="3"/>
  <c r="NG30" i="3"/>
  <c r="NF30" i="3"/>
  <c r="NE30" i="3"/>
  <c r="ND30" i="3"/>
  <c r="NC30" i="3"/>
  <c r="NB30" i="3"/>
  <c r="NA30" i="3"/>
  <c r="MZ30" i="3"/>
  <c r="MY30" i="3"/>
  <c r="MX30" i="3"/>
  <c r="MW30" i="3"/>
  <c r="MV30" i="3"/>
  <c r="MU30" i="3"/>
  <c r="MT30" i="3"/>
  <c r="MS30" i="3"/>
  <c r="MR30" i="3"/>
  <c r="MQ30" i="3"/>
  <c r="MP30" i="3"/>
  <c r="MO30" i="3"/>
  <c r="MN30" i="3"/>
  <c r="MM30" i="3"/>
  <c r="ML30" i="3"/>
  <c r="MK30" i="3"/>
  <c r="MJ30" i="3"/>
  <c r="MI30" i="3"/>
  <c r="MH30" i="3"/>
  <c r="MG30" i="3"/>
  <c r="MF30" i="3"/>
  <c r="ME30" i="3"/>
  <c r="MD30" i="3"/>
  <c r="MC30" i="3"/>
  <c r="MB30" i="3"/>
  <c r="MA30" i="3"/>
  <c r="LZ30" i="3"/>
  <c r="LY30" i="3"/>
  <c r="LX30" i="3"/>
  <c r="LW30" i="3"/>
  <c r="LV30" i="3"/>
  <c r="LU30" i="3"/>
  <c r="LT30" i="3"/>
  <c r="LS30" i="3"/>
  <c r="LR30" i="3"/>
  <c r="LQ30" i="3"/>
  <c r="LP30" i="3"/>
  <c r="LO30" i="3"/>
  <c r="LN30" i="3"/>
  <c r="LM30" i="3"/>
  <c r="LL30" i="3"/>
  <c r="LK30" i="3"/>
  <c r="LJ30" i="3"/>
  <c r="LI30" i="3"/>
  <c r="LH30" i="3"/>
  <c r="LG30" i="3"/>
  <c r="LF30" i="3"/>
  <c r="LE30" i="3"/>
  <c r="LD30" i="3"/>
  <c r="LC30" i="3"/>
  <c r="LB30" i="3"/>
  <c r="LA30" i="3"/>
  <c r="KZ30" i="3"/>
  <c r="KY30" i="3"/>
  <c r="KX30" i="3"/>
  <c r="KW30" i="3"/>
  <c r="KV30" i="3"/>
  <c r="KU30" i="3"/>
  <c r="KT30" i="3"/>
  <c r="KS30" i="3"/>
  <c r="KR30" i="3"/>
  <c r="KQ30" i="3"/>
  <c r="KP30" i="3"/>
  <c r="KO30" i="3"/>
  <c r="KN30" i="3"/>
  <c r="KM30" i="3"/>
  <c r="KL30" i="3"/>
  <c r="KK30" i="3"/>
  <c r="KJ30" i="3"/>
  <c r="KI30" i="3"/>
  <c r="KH30" i="3"/>
  <c r="KG30" i="3"/>
  <c r="KF30" i="3"/>
  <c r="KE30" i="3"/>
  <c r="KD30" i="3"/>
  <c r="KC30" i="3"/>
  <c r="KB30" i="3"/>
  <c r="KA30" i="3"/>
  <c r="JZ30" i="3"/>
  <c r="JY30" i="3"/>
  <c r="JX30" i="3"/>
  <c r="JW30" i="3"/>
  <c r="JV30" i="3"/>
  <c r="JU30" i="3"/>
  <c r="JT30" i="3"/>
  <c r="JS30" i="3"/>
  <c r="JR30" i="3"/>
  <c r="JQ30" i="3"/>
  <c r="JP30" i="3"/>
  <c r="JO30" i="3"/>
  <c r="JN30" i="3"/>
  <c r="JM30" i="3"/>
  <c r="JL30" i="3"/>
  <c r="JK30" i="3"/>
  <c r="JJ30" i="3"/>
  <c r="JI30" i="3"/>
  <c r="JH30" i="3"/>
  <c r="JG30" i="3"/>
  <c r="JF30" i="3"/>
  <c r="JE30" i="3"/>
  <c r="JD30" i="3"/>
  <c r="JC30" i="3"/>
  <c r="JB30" i="3"/>
  <c r="JA30" i="3"/>
  <c r="IZ30" i="3"/>
  <c r="IY30" i="3"/>
  <c r="IX30" i="3"/>
  <c r="IW30" i="3"/>
  <c r="IV30" i="3"/>
  <c r="IU30" i="3"/>
  <c r="IT30" i="3"/>
  <c r="IS30" i="3"/>
  <c r="IR30" i="3"/>
  <c r="IQ30" i="3"/>
  <c r="IP30" i="3"/>
  <c r="IO30" i="3"/>
  <c r="IN30" i="3"/>
  <c r="IM30" i="3"/>
  <c r="IL30" i="3"/>
  <c r="IK30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PF29" i="3"/>
  <c r="PE29" i="3"/>
  <c r="PD29" i="3"/>
  <c r="PC29" i="3"/>
  <c r="PB29" i="3"/>
  <c r="PA29" i="3"/>
  <c r="OZ29" i="3"/>
  <c r="OY29" i="3"/>
  <c r="OX29" i="3"/>
  <c r="OW29" i="3"/>
  <c r="OV29" i="3"/>
  <c r="OU29" i="3"/>
  <c r="OT29" i="3"/>
  <c r="OS29" i="3"/>
  <c r="OR29" i="3"/>
  <c r="OQ29" i="3"/>
  <c r="OP29" i="3"/>
  <c r="OO29" i="3"/>
  <c r="ON29" i="3"/>
  <c r="OM29" i="3"/>
  <c r="OL29" i="3"/>
  <c r="OK29" i="3"/>
  <c r="OJ29" i="3"/>
  <c r="OI29" i="3"/>
  <c r="OH29" i="3"/>
  <c r="OG29" i="3"/>
  <c r="OF29" i="3"/>
  <c r="OE29" i="3"/>
  <c r="OD29" i="3"/>
  <c r="OC29" i="3"/>
  <c r="OB29" i="3"/>
  <c r="OA29" i="3"/>
  <c r="NZ29" i="3"/>
  <c r="NY29" i="3"/>
  <c r="NX29" i="3"/>
  <c r="NW29" i="3"/>
  <c r="NV29" i="3"/>
  <c r="NU29" i="3"/>
  <c r="NT29" i="3"/>
  <c r="NS29" i="3"/>
  <c r="NR29" i="3"/>
  <c r="NQ29" i="3"/>
  <c r="NP29" i="3"/>
  <c r="NO29" i="3"/>
  <c r="NN29" i="3"/>
  <c r="NM29" i="3"/>
  <c r="NL29" i="3"/>
  <c r="NK29" i="3"/>
  <c r="NJ29" i="3"/>
  <c r="NI29" i="3"/>
  <c r="NH29" i="3"/>
  <c r="NG29" i="3"/>
  <c r="NF29" i="3"/>
  <c r="NE29" i="3"/>
  <c r="ND29" i="3"/>
  <c r="NC29" i="3"/>
  <c r="NB29" i="3"/>
  <c r="NA29" i="3"/>
  <c r="MZ29" i="3"/>
  <c r="MY29" i="3"/>
  <c r="MX29" i="3"/>
  <c r="MW29" i="3"/>
  <c r="MV29" i="3"/>
  <c r="MU29" i="3"/>
  <c r="MT29" i="3"/>
  <c r="MS29" i="3"/>
  <c r="MR29" i="3"/>
  <c r="MQ29" i="3"/>
  <c r="MP29" i="3"/>
  <c r="MO29" i="3"/>
  <c r="MN29" i="3"/>
  <c r="MM29" i="3"/>
  <c r="ML29" i="3"/>
  <c r="MK29" i="3"/>
  <c r="MJ29" i="3"/>
  <c r="MI29" i="3"/>
  <c r="MH29" i="3"/>
  <c r="MG29" i="3"/>
  <c r="MF29" i="3"/>
  <c r="ME29" i="3"/>
  <c r="MD29" i="3"/>
  <c r="MC29" i="3"/>
  <c r="MB29" i="3"/>
  <c r="MA29" i="3"/>
  <c r="LZ29" i="3"/>
  <c r="LY29" i="3"/>
  <c r="LX29" i="3"/>
  <c r="LW29" i="3"/>
  <c r="LV29" i="3"/>
  <c r="LU29" i="3"/>
  <c r="LT29" i="3"/>
  <c r="LS29" i="3"/>
  <c r="LR29" i="3"/>
  <c r="LQ29" i="3"/>
  <c r="LP29" i="3"/>
  <c r="LO29" i="3"/>
  <c r="LN29" i="3"/>
  <c r="LM29" i="3"/>
  <c r="LL29" i="3"/>
  <c r="LK29" i="3"/>
  <c r="LJ29" i="3"/>
  <c r="LI29" i="3"/>
  <c r="LH29" i="3"/>
  <c r="LG29" i="3"/>
  <c r="LF29" i="3"/>
  <c r="LE29" i="3"/>
  <c r="LD29" i="3"/>
  <c r="LC29" i="3"/>
  <c r="LB29" i="3"/>
  <c r="LA29" i="3"/>
  <c r="KZ29" i="3"/>
  <c r="KY29" i="3"/>
  <c r="KX29" i="3"/>
  <c r="KW29" i="3"/>
  <c r="KV29" i="3"/>
  <c r="KU29" i="3"/>
  <c r="KT29" i="3"/>
  <c r="KS29" i="3"/>
  <c r="KR29" i="3"/>
  <c r="KQ29" i="3"/>
  <c r="KP29" i="3"/>
  <c r="KO29" i="3"/>
  <c r="KN29" i="3"/>
  <c r="KM29" i="3"/>
  <c r="KL29" i="3"/>
  <c r="KK29" i="3"/>
  <c r="KJ29" i="3"/>
  <c r="KI29" i="3"/>
  <c r="KH29" i="3"/>
  <c r="KG29" i="3"/>
  <c r="KF29" i="3"/>
  <c r="KE29" i="3"/>
  <c r="KD29" i="3"/>
  <c r="KC29" i="3"/>
  <c r="KB29" i="3"/>
  <c r="KA29" i="3"/>
  <c r="JZ29" i="3"/>
  <c r="JY29" i="3"/>
  <c r="JX29" i="3"/>
  <c r="JW29" i="3"/>
  <c r="JV29" i="3"/>
  <c r="JU29" i="3"/>
  <c r="JT29" i="3"/>
  <c r="JS29" i="3"/>
  <c r="JR29" i="3"/>
  <c r="JQ29" i="3"/>
  <c r="JP29" i="3"/>
  <c r="JO29" i="3"/>
  <c r="JN29" i="3"/>
  <c r="JM29" i="3"/>
  <c r="JL29" i="3"/>
  <c r="JK29" i="3"/>
  <c r="JJ29" i="3"/>
  <c r="JI29" i="3"/>
  <c r="JH29" i="3"/>
  <c r="JG29" i="3"/>
  <c r="JF29" i="3"/>
  <c r="JE29" i="3"/>
  <c r="JD29" i="3"/>
  <c r="JC29" i="3"/>
  <c r="JB29" i="3"/>
  <c r="JA29" i="3"/>
  <c r="IZ29" i="3"/>
  <c r="IY29" i="3"/>
  <c r="IX29" i="3"/>
  <c r="IW29" i="3"/>
  <c r="IV29" i="3"/>
  <c r="IU29" i="3"/>
  <c r="IT29" i="3"/>
  <c r="IS29" i="3"/>
  <c r="IR29" i="3"/>
  <c r="IQ29" i="3"/>
  <c r="IP29" i="3"/>
  <c r="IO29" i="3"/>
  <c r="IN29" i="3"/>
  <c r="IM29" i="3"/>
  <c r="IL29" i="3"/>
  <c r="IK29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PF28" i="3"/>
  <c r="PE28" i="3"/>
  <c r="PD28" i="3"/>
  <c r="PC28" i="3"/>
  <c r="PB28" i="3"/>
  <c r="PA28" i="3"/>
  <c r="OZ28" i="3"/>
  <c r="OY28" i="3"/>
  <c r="OX28" i="3"/>
  <c r="OW28" i="3"/>
  <c r="OV28" i="3"/>
  <c r="OU28" i="3"/>
  <c r="OT28" i="3"/>
  <c r="OS28" i="3"/>
  <c r="OR28" i="3"/>
  <c r="OQ28" i="3"/>
  <c r="OP28" i="3"/>
  <c r="OO28" i="3"/>
  <c r="ON28" i="3"/>
  <c r="OM28" i="3"/>
  <c r="OL28" i="3"/>
  <c r="OK28" i="3"/>
  <c r="OJ28" i="3"/>
  <c r="OI28" i="3"/>
  <c r="OH28" i="3"/>
  <c r="OG28" i="3"/>
  <c r="OF28" i="3"/>
  <c r="OE28" i="3"/>
  <c r="OD28" i="3"/>
  <c r="OC28" i="3"/>
  <c r="OB28" i="3"/>
  <c r="OA28" i="3"/>
  <c r="NZ28" i="3"/>
  <c r="NY28" i="3"/>
  <c r="NX28" i="3"/>
  <c r="NW28" i="3"/>
  <c r="NV28" i="3"/>
  <c r="NU28" i="3"/>
  <c r="NT28" i="3"/>
  <c r="NS28" i="3"/>
  <c r="NR28" i="3"/>
  <c r="NQ28" i="3"/>
  <c r="NP28" i="3"/>
  <c r="NO28" i="3"/>
  <c r="NN28" i="3"/>
  <c r="NM28" i="3"/>
  <c r="NL28" i="3"/>
  <c r="NK28" i="3"/>
  <c r="NJ28" i="3"/>
  <c r="NI28" i="3"/>
  <c r="NH28" i="3"/>
  <c r="NG28" i="3"/>
  <c r="NF28" i="3"/>
  <c r="NE28" i="3"/>
  <c r="ND28" i="3"/>
  <c r="NC28" i="3"/>
  <c r="NB28" i="3"/>
  <c r="NA28" i="3"/>
  <c r="MZ28" i="3"/>
  <c r="MY28" i="3"/>
  <c r="MX28" i="3"/>
  <c r="MW28" i="3"/>
  <c r="MV28" i="3"/>
  <c r="MU28" i="3"/>
  <c r="MT28" i="3"/>
  <c r="MS28" i="3"/>
  <c r="MR28" i="3"/>
  <c r="MQ28" i="3"/>
  <c r="MP28" i="3"/>
  <c r="MO28" i="3"/>
  <c r="MN28" i="3"/>
  <c r="MM28" i="3"/>
  <c r="ML28" i="3"/>
  <c r="MK28" i="3"/>
  <c r="MJ28" i="3"/>
  <c r="MI28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LD28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JX28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IS28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PF27" i="3"/>
  <c r="PE27" i="3"/>
  <c r="PD27" i="3"/>
  <c r="PC27" i="3"/>
  <c r="PB27" i="3"/>
  <c r="PA27" i="3"/>
  <c r="OZ27" i="3"/>
  <c r="OY27" i="3"/>
  <c r="OX27" i="3"/>
  <c r="OW27" i="3"/>
  <c r="OV27" i="3"/>
  <c r="OU27" i="3"/>
  <c r="OT27" i="3"/>
  <c r="OS27" i="3"/>
  <c r="OR27" i="3"/>
  <c r="OQ27" i="3"/>
  <c r="OP27" i="3"/>
  <c r="OO27" i="3"/>
  <c r="ON27" i="3"/>
  <c r="OM27" i="3"/>
  <c r="OL27" i="3"/>
  <c r="OK27" i="3"/>
  <c r="OJ27" i="3"/>
  <c r="OI27" i="3"/>
  <c r="OH27" i="3"/>
  <c r="OG27" i="3"/>
  <c r="OF27" i="3"/>
  <c r="OE27" i="3"/>
  <c r="OD27" i="3"/>
  <c r="OC27" i="3"/>
  <c r="OB27" i="3"/>
  <c r="OA27" i="3"/>
  <c r="NZ27" i="3"/>
  <c r="NY27" i="3"/>
  <c r="NX27" i="3"/>
  <c r="NW27" i="3"/>
  <c r="NV27" i="3"/>
  <c r="NU27" i="3"/>
  <c r="NT27" i="3"/>
  <c r="NS27" i="3"/>
  <c r="NR27" i="3"/>
  <c r="NQ27" i="3"/>
  <c r="NP27" i="3"/>
  <c r="NO27" i="3"/>
  <c r="NN27" i="3"/>
  <c r="NM27" i="3"/>
  <c r="NL27" i="3"/>
  <c r="NK27" i="3"/>
  <c r="NJ27" i="3"/>
  <c r="NI27" i="3"/>
  <c r="NH27" i="3"/>
  <c r="NG27" i="3"/>
  <c r="NF27" i="3"/>
  <c r="NE27" i="3"/>
  <c r="ND27" i="3"/>
  <c r="NC27" i="3"/>
  <c r="NB27" i="3"/>
  <c r="NA27" i="3"/>
  <c r="MZ27" i="3"/>
  <c r="MY27" i="3"/>
  <c r="MX27" i="3"/>
  <c r="MW27" i="3"/>
  <c r="MV27" i="3"/>
  <c r="MU27" i="3"/>
  <c r="MT27" i="3"/>
  <c r="MS27" i="3"/>
  <c r="MR27" i="3"/>
  <c r="MQ27" i="3"/>
  <c r="MP27" i="3"/>
  <c r="MO27" i="3"/>
  <c r="MN27" i="3"/>
  <c r="MM27" i="3"/>
  <c r="ML27" i="3"/>
  <c r="MK27" i="3"/>
  <c r="MJ27" i="3"/>
  <c r="MI27" i="3"/>
  <c r="MH27" i="3"/>
  <c r="MG27" i="3"/>
  <c r="MF27" i="3"/>
  <c r="ME27" i="3"/>
  <c r="MD27" i="3"/>
  <c r="MC27" i="3"/>
  <c r="MB27" i="3"/>
  <c r="MA27" i="3"/>
  <c r="LZ27" i="3"/>
  <c r="LY27" i="3"/>
  <c r="LX27" i="3"/>
  <c r="LW27" i="3"/>
  <c r="LV27" i="3"/>
  <c r="LU27" i="3"/>
  <c r="LT27" i="3"/>
  <c r="LS27" i="3"/>
  <c r="LR27" i="3"/>
  <c r="LQ27" i="3"/>
  <c r="LP27" i="3"/>
  <c r="LO27" i="3"/>
  <c r="LN27" i="3"/>
  <c r="LM27" i="3"/>
  <c r="LL27" i="3"/>
  <c r="LK27" i="3"/>
  <c r="LJ27" i="3"/>
  <c r="LI27" i="3"/>
  <c r="LH27" i="3"/>
  <c r="LG27" i="3"/>
  <c r="LF27" i="3"/>
  <c r="LE27" i="3"/>
  <c r="LD27" i="3"/>
  <c r="LC27" i="3"/>
  <c r="LB27" i="3"/>
  <c r="LA27" i="3"/>
  <c r="KZ27" i="3"/>
  <c r="KY27" i="3"/>
  <c r="KX27" i="3"/>
  <c r="KW27" i="3"/>
  <c r="KV27" i="3"/>
  <c r="KU27" i="3"/>
  <c r="KT27" i="3"/>
  <c r="KS27" i="3"/>
  <c r="KR27" i="3"/>
  <c r="KQ27" i="3"/>
  <c r="KP27" i="3"/>
  <c r="KO27" i="3"/>
  <c r="KN27" i="3"/>
  <c r="KM27" i="3"/>
  <c r="KL27" i="3"/>
  <c r="KK27" i="3"/>
  <c r="KJ27" i="3"/>
  <c r="KI27" i="3"/>
  <c r="KH27" i="3"/>
  <c r="KG27" i="3"/>
  <c r="KF27" i="3"/>
  <c r="KE27" i="3"/>
  <c r="KD27" i="3"/>
  <c r="KC27" i="3"/>
  <c r="KB27" i="3"/>
  <c r="KA27" i="3"/>
  <c r="JZ27" i="3"/>
  <c r="JY27" i="3"/>
  <c r="JX27" i="3"/>
  <c r="JW27" i="3"/>
  <c r="JV27" i="3"/>
  <c r="JU27" i="3"/>
  <c r="JT27" i="3"/>
  <c r="JS27" i="3"/>
  <c r="JR27" i="3"/>
  <c r="JQ27" i="3"/>
  <c r="JP27" i="3"/>
  <c r="JO27" i="3"/>
  <c r="JN27" i="3"/>
  <c r="JM27" i="3"/>
  <c r="JL27" i="3"/>
  <c r="JK27" i="3"/>
  <c r="JJ27" i="3"/>
  <c r="JI27" i="3"/>
  <c r="JH27" i="3"/>
  <c r="JG27" i="3"/>
  <c r="JF27" i="3"/>
  <c r="JE27" i="3"/>
  <c r="JD27" i="3"/>
  <c r="JC27" i="3"/>
  <c r="JB27" i="3"/>
  <c r="JA27" i="3"/>
  <c r="IZ27" i="3"/>
  <c r="IY27" i="3"/>
  <c r="IX27" i="3"/>
  <c r="IW27" i="3"/>
  <c r="IV27" i="3"/>
  <c r="IU27" i="3"/>
  <c r="IT27" i="3"/>
  <c r="IS27" i="3"/>
  <c r="IR27" i="3"/>
  <c r="IQ27" i="3"/>
  <c r="IP27" i="3"/>
  <c r="IO27" i="3"/>
  <c r="IN27" i="3"/>
  <c r="IM27" i="3"/>
  <c r="IL27" i="3"/>
  <c r="IK27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PF26" i="3"/>
  <c r="PE26" i="3"/>
  <c r="PD26" i="3"/>
  <c r="PC26" i="3"/>
  <c r="PB26" i="3"/>
  <c r="PA26" i="3"/>
  <c r="OZ26" i="3"/>
  <c r="OY26" i="3"/>
  <c r="OX26" i="3"/>
  <c r="OW26" i="3"/>
  <c r="OV26" i="3"/>
  <c r="OU26" i="3"/>
  <c r="OT26" i="3"/>
  <c r="OS26" i="3"/>
  <c r="OR26" i="3"/>
  <c r="OQ26" i="3"/>
  <c r="OP26" i="3"/>
  <c r="OO26" i="3"/>
  <c r="ON26" i="3"/>
  <c r="OM26" i="3"/>
  <c r="OL26" i="3"/>
  <c r="OK26" i="3"/>
  <c r="OJ26" i="3"/>
  <c r="OI26" i="3"/>
  <c r="OH26" i="3"/>
  <c r="OG26" i="3"/>
  <c r="OF26" i="3"/>
  <c r="OE26" i="3"/>
  <c r="OD26" i="3"/>
  <c r="OC26" i="3"/>
  <c r="OB26" i="3"/>
  <c r="OA26" i="3"/>
  <c r="NZ26" i="3"/>
  <c r="NY26" i="3"/>
  <c r="NX26" i="3"/>
  <c r="NW26" i="3"/>
  <c r="NV26" i="3"/>
  <c r="NU26" i="3"/>
  <c r="NT26" i="3"/>
  <c r="NS26" i="3"/>
  <c r="NR26" i="3"/>
  <c r="NQ26" i="3"/>
  <c r="NP26" i="3"/>
  <c r="NO26" i="3"/>
  <c r="NN26" i="3"/>
  <c r="NM26" i="3"/>
  <c r="NL26" i="3"/>
  <c r="NK26" i="3"/>
  <c r="NJ26" i="3"/>
  <c r="NI26" i="3"/>
  <c r="NH26" i="3"/>
  <c r="NG26" i="3"/>
  <c r="NF26" i="3"/>
  <c r="NE26" i="3"/>
  <c r="ND26" i="3"/>
  <c r="NC26" i="3"/>
  <c r="NB26" i="3"/>
  <c r="NA26" i="3"/>
  <c r="MZ26" i="3"/>
  <c r="MY26" i="3"/>
  <c r="MX26" i="3"/>
  <c r="MW26" i="3"/>
  <c r="MV26" i="3"/>
  <c r="MU26" i="3"/>
  <c r="MT26" i="3"/>
  <c r="MS26" i="3"/>
  <c r="MR26" i="3"/>
  <c r="MQ26" i="3"/>
  <c r="MP26" i="3"/>
  <c r="MO26" i="3"/>
  <c r="MN26" i="3"/>
  <c r="MM26" i="3"/>
  <c r="ML26" i="3"/>
  <c r="MK26" i="3"/>
  <c r="MJ26" i="3"/>
  <c r="MI26" i="3"/>
  <c r="MH26" i="3"/>
  <c r="MG26" i="3"/>
  <c r="MF26" i="3"/>
  <c r="ME26" i="3"/>
  <c r="MD26" i="3"/>
  <c r="MC26" i="3"/>
  <c r="MB26" i="3"/>
  <c r="MA26" i="3"/>
  <c r="LZ26" i="3"/>
  <c r="LY26" i="3"/>
  <c r="LX26" i="3"/>
  <c r="LW26" i="3"/>
  <c r="LV26" i="3"/>
  <c r="LU26" i="3"/>
  <c r="LT26" i="3"/>
  <c r="LS26" i="3"/>
  <c r="LR26" i="3"/>
  <c r="LQ26" i="3"/>
  <c r="LP26" i="3"/>
  <c r="LO26" i="3"/>
  <c r="LN26" i="3"/>
  <c r="LM26" i="3"/>
  <c r="LL26" i="3"/>
  <c r="LK26" i="3"/>
  <c r="LJ26" i="3"/>
  <c r="LI26" i="3"/>
  <c r="LH26" i="3"/>
  <c r="LG26" i="3"/>
  <c r="LF26" i="3"/>
  <c r="LE26" i="3"/>
  <c r="LD26" i="3"/>
  <c r="LC26" i="3"/>
  <c r="LB26" i="3"/>
  <c r="LA26" i="3"/>
  <c r="KZ26" i="3"/>
  <c r="KY26" i="3"/>
  <c r="KX26" i="3"/>
  <c r="KW26" i="3"/>
  <c r="KV26" i="3"/>
  <c r="KU26" i="3"/>
  <c r="KT26" i="3"/>
  <c r="KS26" i="3"/>
  <c r="KR26" i="3"/>
  <c r="KQ26" i="3"/>
  <c r="KP26" i="3"/>
  <c r="KO26" i="3"/>
  <c r="KN26" i="3"/>
  <c r="KM26" i="3"/>
  <c r="KL26" i="3"/>
  <c r="KK26" i="3"/>
  <c r="KJ26" i="3"/>
  <c r="KI26" i="3"/>
  <c r="KH26" i="3"/>
  <c r="KG26" i="3"/>
  <c r="KF26" i="3"/>
  <c r="KE26" i="3"/>
  <c r="KD26" i="3"/>
  <c r="KC26" i="3"/>
  <c r="KB26" i="3"/>
  <c r="KA26" i="3"/>
  <c r="JZ26" i="3"/>
  <c r="JY26" i="3"/>
  <c r="JX26" i="3"/>
  <c r="JW26" i="3"/>
  <c r="JV26" i="3"/>
  <c r="JU26" i="3"/>
  <c r="JT26" i="3"/>
  <c r="JS26" i="3"/>
  <c r="JR26" i="3"/>
  <c r="JQ26" i="3"/>
  <c r="JP26" i="3"/>
  <c r="JO26" i="3"/>
  <c r="JN26" i="3"/>
  <c r="JM26" i="3"/>
  <c r="JL26" i="3"/>
  <c r="JK26" i="3"/>
  <c r="JJ26" i="3"/>
  <c r="JI26" i="3"/>
  <c r="JH26" i="3"/>
  <c r="JG26" i="3"/>
  <c r="JF26" i="3"/>
  <c r="JE26" i="3"/>
  <c r="JD26" i="3"/>
  <c r="JC26" i="3"/>
  <c r="JB26" i="3"/>
  <c r="JA26" i="3"/>
  <c r="IZ26" i="3"/>
  <c r="IY26" i="3"/>
  <c r="IX26" i="3"/>
  <c r="IW26" i="3"/>
  <c r="IV26" i="3"/>
  <c r="IU26" i="3"/>
  <c r="IT26" i="3"/>
  <c r="IS26" i="3"/>
  <c r="IR26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PF25" i="3"/>
  <c r="PE25" i="3"/>
  <c r="PD25" i="3"/>
  <c r="PC25" i="3"/>
  <c r="PB25" i="3"/>
  <c r="PA25" i="3"/>
  <c r="OZ25" i="3"/>
  <c r="OY25" i="3"/>
  <c r="OX25" i="3"/>
  <c r="OW25" i="3"/>
  <c r="OV25" i="3"/>
  <c r="OU25" i="3"/>
  <c r="OT25" i="3"/>
  <c r="OS25" i="3"/>
  <c r="OR25" i="3"/>
  <c r="OQ25" i="3"/>
  <c r="OP25" i="3"/>
  <c r="OO25" i="3"/>
  <c r="ON25" i="3"/>
  <c r="OM25" i="3"/>
  <c r="OL25" i="3"/>
  <c r="OK25" i="3"/>
  <c r="OJ25" i="3"/>
  <c r="OI25" i="3"/>
  <c r="OH25" i="3"/>
  <c r="OG25" i="3"/>
  <c r="OF25" i="3"/>
  <c r="OE25" i="3"/>
  <c r="OD25" i="3"/>
  <c r="OC25" i="3"/>
  <c r="OB25" i="3"/>
  <c r="OA25" i="3"/>
  <c r="NZ25" i="3"/>
  <c r="NY25" i="3"/>
  <c r="NX25" i="3"/>
  <c r="NW25" i="3"/>
  <c r="NV25" i="3"/>
  <c r="NU25" i="3"/>
  <c r="NT25" i="3"/>
  <c r="NS25" i="3"/>
  <c r="NR25" i="3"/>
  <c r="NQ25" i="3"/>
  <c r="NP25" i="3"/>
  <c r="NO25" i="3"/>
  <c r="NN25" i="3"/>
  <c r="NM25" i="3"/>
  <c r="NL25" i="3"/>
  <c r="NK25" i="3"/>
  <c r="NJ25" i="3"/>
  <c r="NI25" i="3"/>
  <c r="NH25" i="3"/>
  <c r="NG25" i="3"/>
  <c r="NF25" i="3"/>
  <c r="NE25" i="3"/>
  <c r="ND25" i="3"/>
  <c r="NC25" i="3"/>
  <c r="NB25" i="3"/>
  <c r="NA25" i="3"/>
  <c r="MZ25" i="3"/>
  <c r="MY25" i="3"/>
  <c r="MX25" i="3"/>
  <c r="MW25" i="3"/>
  <c r="MV25" i="3"/>
  <c r="MU25" i="3"/>
  <c r="MT25" i="3"/>
  <c r="MS25" i="3"/>
  <c r="MR25" i="3"/>
  <c r="MQ25" i="3"/>
  <c r="MP25" i="3"/>
  <c r="MO25" i="3"/>
  <c r="MN25" i="3"/>
  <c r="MM25" i="3"/>
  <c r="ML25" i="3"/>
  <c r="MK25" i="3"/>
  <c r="MJ25" i="3"/>
  <c r="MI25" i="3"/>
  <c r="MH25" i="3"/>
  <c r="MG25" i="3"/>
  <c r="MF25" i="3"/>
  <c r="ME25" i="3"/>
  <c r="MD25" i="3"/>
  <c r="MC25" i="3"/>
  <c r="MB25" i="3"/>
  <c r="MA25" i="3"/>
  <c r="LZ25" i="3"/>
  <c r="LY25" i="3"/>
  <c r="LX25" i="3"/>
  <c r="LW25" i="3"/>
  <c r="LV25" i="3"/>
  <c r="LU25" i="3"/>
  <c r="LT25" i="3"/>
  <c r="LS25" i="3"/>
  <c r="LR25" i="3"/>
  <c r="LQ25" i="3"/>
  <c r="LP25" i="3"/>
  <c r="LO25" i="3"/>
  <c r="LN25" i="3"/>
  <c r="LM25" i="3"/>
  <c r="LL25" i="3"/>
  <c r="LK25" i="3"/>
  <c r="LJ25" i="3"/>
  <c r="LI25" i="3"/>
  <c r="LH25" i="3"/>
  <c r="LG25" i="3"/>
  <c r="LF25" i="3"/>
  <c r="LE25" i="3"/>
  <c r="LD25" i="3"/>
  <c r="LC25" i="3"/>
  <c r="LB25" i="3"/>
  <c r="LA25" i="3"/>
  <c r="KZ25" i="3"/>
  <c r="KY25" i="3"/>
  <c r="KX25" i="3"/>
  <c r="KW25" i="3"/>
  <c r="KV25" i="3"/>
  <c r="KU25" i="3"/>
  <c r="KT25" i="3"/>
  <c r="KS25" i="3"/>
  <c r="KR25" i="3"/>
  <c r="KQ25" i="3"/>
  <c r="KP25" i="3"/>
  <c r="KO25" i="3"/>
  <c r="KN25" i="3"/>
  <c r="KM25" i="3"/>
  <c r="KL25" i="3"/>
  <c r="KK25" i="3"/>
  <c r="KJ25" i="3"/>
  <c r="KI25" i="3"/>
  <c r="KH25" i="3"/>
  <c r="KG25" i="3"/>
  <c r="KF25" i="3"/>
  <c r="KE25" i="3"/>
  <c r="KD25" i="3"/>
  <c r="KC25" i="3"/>
  <c r="KB25" i="3"/>
  <c r="KA25" i="3"/>
  <c r="JZ25" i="3"/>
  <c r="JY25" i="3"/>
  <c r="JX25" i="3"/>
  <c r="JW25" i="3"/>
  <c r="JV25" i="3"/>
  <c r="JU25" i="3"/>
  <c r="JT25" i="3"/>
  <c r="JS25" i="3"/>
  <c r="JR25" i="3"/>
  <c r="JQ25" i="3"/>
  <c r="JP25" i="3"/>
  <c r="JO25" i="3"/>
  <c r="JN25" i="3"/>
  <c r="JM25" i="3"/>
  <c r="JL25" i="3"/>
  <c r="JK25" i="3"/>
  <c r="JJ25" i="3"/>
  <c r="JI25" i="3"/>
  <c r="JH25" i="3"/>
  <c r="JG25" i="3"/>
  <c r="JF25" i="3"/>
  <c r="JE25" i="3"/>
  <c r="JD25" i="3"/>
  <c r="JC25" i="3"/>
  <c r="JB25" i="3"/>
  <c r="JA25" i="3"/>
  <c r="IZ25" i="3"/>
  <c r="IY25" i="3"/>
  <c r="IX25" i="3"/>
  <c r="IW25" i="3"/>
  <c r="IV25" i="3"/>
  <c r="IU25" i="3"/>
  <c r="IT25" i="3"/>
  <c r="IS25" i="3"/>
  <c r="IR25" i="3"/>
  <c r="IQ25" i="3"/>
  <c r="IP25" i="3"/>
  <c r="IO25" i="3"/>
  <c r="IN25" i="3"/>
  <c r="IM25" i="3"/>
  <c r="IL25" i="3"/>
  <c r="IK25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PF24" i="3"/>
  <c r="PE24" i="3"/>
  <c r="PD24" i="3"/>
  <c r="PC24" i="3"/>
  <c r="PB24" i="3"/>
  <c r="PA24" i="3"/>
  <c r="OZ24" i="3"/>
  <c r="OY24" i="3"/>
  <c r="OX24" i="3"/>
  <c r="OW24" i="3"/>
  <c r="OV24" i="3"/>
  <c r="OU24" i="3"/>
  <c r="OT24" i="3"/>
  <c r="OS24" i="3"/>
  <c r="OR24" i="3"/>
  <c r="OQ24" i="3"/>
  <c r="OP24" i="3"/>
  <c r="OO24" i="3"/>
  <c r="ON24" i="3"/>
  <c r="OM24" i="3"/>
  <c r="OL24" i="3"/>
  <c r="OK24" i="3"/>
  <c r="OJ24" i="3"/>
  <c r="OI24" i="3"/>
  <c r="OH24" i="3"/>
  <c r="OG24" i="3"/>
  <c r="OF24" i="3"/>
  <c r="OE24" i="3"/>
  <c r="OD24" i="3"/>
  <c r="OC24" i="3"/>
  <c r="OB24" i="3"/>
  <c r="OA24" i="3"/>
  <c r="NZ24" i="3"/>
  <c r="NY24" i="3"/>
  <c r="NX24" i="3"/>
  <c r="NW24" i="3"/>
  <c r="NV24" i="3"/>
  <c r="NU24" i="3"/>
  <c r="NT24" i="3"/>
  <c r="NS24" i="3"/>
  <c r="NR24" i="3"/>
  <c r="NQ24" i="3"/>
  <c r="NP24" i="3"/>
  <c r="NO24" i="3"/>
  <c r="NN24" i="3"/>
  <c r="NM24" i="3"/>
  <c r="NL24" i="3"/>
  <c r="NK24" i="3"/>
  <c r="NJ24" i="3"/>
  <c r="NI24" i="3"/>
  <c r="NH24" i="3"/>
  <c r="NG24" i="3"/>
  <c r="NF24" i="3"/>
  <c r="NE24" i="3"/>
  <c r="ND24" i="3"/>
  <c r="NC24" i="3"/>
  <c r="NB24" i="3"/>
  <c r="NA24" i="3"/>
  <c r="MZ24" i="3"/>
  <c r="MY24" i="3"/>
  <c r="MX24" i="3"/>
  <c r="MW24" i="3"/>
  <c r="MV24" i="3"/>
  <c r="MU24" i="3"/>
  <c r="MT24" i="3"/>
  <c r="MS24" i="3"/>
  <c r="MR24" i="3"/>
  <c r="MQ24" i="3"/>
  <c r="MP24" i="3"/>
  <c r="MO24" i="3"/>
  <c r="MN24" i="3"/>
  <c r="MM24" i="3"/>
  <c r="ML24" i="3"/>
  <c r="MK24" i="3"/>
  <c r="MJ24" i="3"/>
  <c r="MI24" i="3"/>
  <c r="MH24" i="3"/>
  <c r="MG24" i="3"/>
  <c r="MF24" i="3"/>
  <c r="ME24" i="3"/>
  <c r="MD24" i="3"/>
  <c r="MC24" i="3"/>
  <c r="MB24" i="3"/>
  <c r="MA24" i="3"/>
  <c r="LZ24" i="3"/>
  <c r="LY24" i="3"/>
  <c r="LX24" i="3"/>
  <c r="LW24" i="3"/>
  <c r="LV24" i="3"/>
  <c r="LU24" i="3"/>
  <c r="LT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LD24" i="3"/>
  <c r="LC24" i="3"/>
  <c r="LB24" i="3"/>
  <c r="LA24" i="3"/>
  <c r="KZ24" i="3"/>
  <c r="KY24" i="3"/>
  <c r="KX24" i="3"/>
  <c r="KW24" i="3"/>
  <c r="KV24" i="3"/>
  <c r="KU24" i="3"/>
  <c r="KT24" i="3"/>
  <c r="KS24" i="3"/>
  <c r="KR24" i="3"/>
  <c r="KQ24" i="3"/>
  <c r="KP24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PF23" i="3"/>
  <c r="PE23" i="3"/>
  <c r="PD23" i="3"/>
  <c r="PC23" i="3"/>
  <c r="PB23" i="3"/>
  <c r="PA23" i="3"/>
  <c r="OZ23" i="3"/>
  <c r="OY23" i="3"/>
  <c r="OX23" i="3"/>
  <c r="OW23" i="3"/>
  <c r="OV23" i="3"/>
  <c r="OU23" i="3"/>
  <c r="OT23" i="3"/>
  <c r="OS23" i="3"/>
  <c r="OR23" i="3"/>
  <c r="OQ23" i="3"/>
  <c r="OP23" i="3"/>
  <c r="OO23" i="3"/>
  <c r="ON23" i="3"/>
  <c r="OM23" i="3"/>
  <c r="OL23" i="3"/>
  <c r="OK23" i="3"/>
  <c r="OJ23" i="3"/>
  <c r="OI23" i="3"/>
  <c r="OH23" i="3"/>
  <c r="OG23" i="3"/>
  <c r="OF23" i="3"/>
  <c r="OE23" i="3"/>
  <c r="OD23" i="3"/>
  <c r="OC23" i="3"/>
  <c r="OB23" i="3"/>
  <c r="OA23" i="3"/>
  <c r="NZ23" i="3"/>
  <c r="NY23" i="3"/>
  <c r="NX23" i="3"/>
  <c r="NW23" i="3"/>
  <c r="NV23" i="3"/>
  <c r="NU23" i="3"/>
  <c r="NT23" i="3"/>
  <c r="NS23" i="3"/>
  <c r="NR23" i="3"/>
  <c r="NQ23" i="3"/>
  <c r="NP23" i="3"/>
  <c r="NO23" i="3"/>
  <c r="NN23" i="3"/>
  <c r="NM23" i="3"/>
  <c r="NL23" i="3"/>
  <c r="NK23" i="3"/>
  <c r="NJ23" i="3"/>
  <c r="NI23" i="3"/>
  <c r="NH23" i="3"/>
  <c r="NG23" i="3"/>
  <c r="NF23" i="3"/>
  <c r="NE23" i="3"/>
  <c r="ND23" i="3"/>
  <c r="NC23" i="3"/>
  <c r="NB23" i="3"/>
  <c r="NA23" i="3"/>
  <c r="MZ23" i="3"/>
  <c r="MY23" i="3"/>
  <c r="MX23" i="3"/>
  <c r="MW23" i="3"/>
  <c r="MV23" i="3"/>
  <c r="MU23" i="3"/>
  <c r="MT23" i="3"/>
  <c r="MS23" i="3"/>
  <c r="MR23" i="3"/>
  <c r="MQ23" i="3"/>
  <c r="MP23" i="3"/>
  <c r="MO23" i="3"/>
  <c r="MN23" i="3"/>
  <c r="MM23" i="3"/>
  <c r="ML23" i="3"/>
  <c r="MK23" i="3"/>
  <c r="MJ23" i="3"/>
  <c r="MI23" i="3"/>
  <c r="MH23" i="3"/>
  <c r="MG23" i="3"/>
  <c r="MF23" i="3"/>
  <c r="ME23" i="3"/>
  <c r="MD23" i="3"/>
  <c r="MC23" i="3"/>
  <c r="MB23" i="3"/>
  <c r="MA23" i="3"/>
  <c r="LZ23" i="3"/>
  <c r="LY23" i="3"/>
  <c r="LX23" i="3"/>
  <c r="LW23" i="3"/>
  <c r="LV23" i="3"/>
  <c r="LU23" i="3"/>
  <c r="LT23" i="3"/>
  <c r="LS23" i="3"/>
  <c r="LR23" i="3"/>
  <c r="LQ23" i="3"/>
  <c r="LP23" i="3"/>
  <c r="LO23" i="3"/>
  <c r="LN23" i="3"/>
  <c r="LM23" i="3"/>
  <c r="LL23" i="3"/>
  <c r="LK23" i="3"/>
  <c r="LJ23" i="3"/>
  <c r="LI23" i="3"/>
  <c r="LH23" i="3"/>
  <c r="LG23" i="3"/>
  <c r="LF23" i="3"/>
  <c r="LE23" i="3"/>
  <c r="LD23" i="3"/>
  <c r="LC23" i="3"/>
  <c r="LB23" i="3"/>
  <c r="LA23" i="3"/>
  <c r="KZ23" i="3"/>
  <c r="KY23" i="3"/>
  <c r="KX23" i="3"/>
  <c r="KW23" i="3"/>
  <c r="KV23" i="3"/>
  <c r="KU23" i="3"/>
  <c r="KT23" i="3"/>
  <c r="KS23" i="3"/>
  <c r="KR23" i="3"/>
  <c r="KQ23" i="3"/>
  <c r="KP23" i="3"/>
  <c r="KO23" i="3"/>
  <c r="KN23" i="3"/>
  <c r="KM23" i="3"/>
  <c r="KL23" i="3"/>
  <c r="KK23" i="3"/>
  <c r="KJ23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PF22" i="3"/>
  <c r="PE22" i="3"/>
  <c r="PD22" i="3"/>
  <c r="PC22" i="3"/>
  <c r="PB22" i="3"/>
  <c r="PA22" i="3"/>
  <c r="OZ22" i="3"/>
  <c r="OY22" i="3"/>
  <c r="OX22" i="3"/>
  <c r="OW22" i="3"/>
  <c r="OV22" i="3"/>
  <c r="OU22" i="3"/>
  <c r="OT22" i="3"/>
  <c r="OS22" i="3"/>
  <c r="OR22" i="3"/>
  <c r="OQ22" i="3"/>
  <c r="OP22" i="3"/>
  <c r="OO22" i="3"/>
  <c r="ON22" i="3"/>
  <c r="OM22" i="3"/>
  <c r="OL22" i="3"/>
  <c r="OK22" i="3"/>
  <c r="OJ22" i="3"/>
  <c r="OI22" i="3"/>
  <c r="OH22" i="3"/>
  <c r="OG22" i="3"/>
  <c r="OF22" i="3"/>
  <c r="OE22" i="3"/>
  <c r="OD22" i="3"/>
  <c r="OC22" i="3"/>
  <c r="OB22" i="3"/>
  <c r="OA22" i="3"/>
  <c r="NZ22" i="3"/>
  <c r="NY22" i="3"/>
  <c r="NX22" i="3"/>
  <c r="NW22" i="3"/>
  <c r="NV22" i="3"/>
  <c r="NU22" i="3"/>
  <c r="NT22" i="3"/>
  <c r="NS22" i="3"/>
  <c r="NR22" i="3"/>
  <c r="NQ22" i="3"/>
  <c r="NP22" i="3"/>
  <c r="NO22" i="3"/>
  <c r="NN22" i="3"/>
  <c r="NM22" i="3"/>
  <c r="NL22" i="3"/>
  <c r="NK22" i="3"/>
  <c r="NJ22" i="3"/>
  <c r="NI22" i="3"/>
  <c r="NH22" i="3"/>
  <c r="NG22" i="3"/>
  <c r="NF22" i="3"/>
  <c r="NE22" i="3"/>
  <c r="ND22" i="3"/>
  <c r="NC22" i="3"/>
  <c r="NB22" i="3"/>
  <c r="NA22" i="3"/>
  <c r="MZ22" i="3"/>
  <c r="MY22" i="3"/>
  <c r="MX22" i="3"/>
  <c r="MW22" i="3"/>
  <c r="MV22" i="3"/>
  <c r="MU22" i="3"/>
  <c r="MT22" i="3"/>
  <c r="MS22" i="3"/>
  <c r="MR22" i="3"/>
  <c r="MQ22" i="3"/>
  <c r="MP22" i="3"/>
  <c r="MO22" i="3"/>
  <c r="MN22" i="3"/>
  <c r="MM22" i="3"/>
  <c r="ML22" i="3"/>
  <c r="MK22" i="3"/>
  <c r="MJ22" i="3"/>
  <c r="MI22" i="3"/>
  <c r="MH22" i="3"/>
  <c r="MG22" i="3"/>
  <c r="MF22" i="3"/>
  <c r="ME22" i="3"/>
  <c r="MD22" i="3"/>
  <c r="MC22" i="3"/>
  <c r="MB22" i="3"/>
  <c r="MA22" i="3"/>
  <c r="LZ22" i="3"/>
  <c r="LY22" i="3"/>
  <c r="LX22" i="3"/>
  <c r="LW22" i="3"/>
  <c r="LV22" i="3"/>
  <c r="LU22" i="3"/>
  <c r="LT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LA22" i="3"/>
  <c r="KZ22" i="3"/>
  <c r="KY22" i="3"/>
  <c r="KX22" i="3"/>
  <c r="KW22" i="3"/>
  <c r="KV22" i="3"/>
  <c r="KU22" i="3"/>
  <c r="KT22" i="3"/>
  <c r="KS22" i="3"/>
  <c r="KR22" i="3"/>
  <c r="KQ22" i="3"/>
  <c r="KP22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PF21" i="3"/>
  <c r="PE21" i="3"/>
  <c r="PD21" i="3"/>
  <c r="PC21" i="3"/>
  <c r="PB21" i="3"/>
  <c r="PA21" i="3"/>
  <c r="OZ21" i="3"/>
  <c r="OY21" i="3"/>
  <c r="OX21" i="3"/>
  <c r="OW21" i="3"/>
  <c r="OV21" i="3"/>
  <c r="OU21" i="3"/>
  <c r="OT21" i="3"/>
  <c r="OS21" i="3"/>
  <c r="OR21" i="3"/>
  <c r="OQ21" i="3"/>
  <c r="OP21" i="3"/>
  <c r="OO21" i="3"/>
  <c r="ON21" i="3"/>
  <c r="OM21" i="3"/>
  <c r="OL21" i="3"/>
  <c r="OK21" i="3"/>
  <c r="OJ21" i="3"/>
  <c r="OI21" i="3"/>
  <c r="OH21" i="3"/>
  <c r="OG21" i="3"/>
  <c r="OF21" i="3"/>
  <c r="OE21" i="3"/>
  <c r="OD21" i="3"/>
  <c r="OC21" i="3"/>
  <c r="OB21" i="3"/>
  <c r="OA21" i="3"/>
  <c r="NZ21" i="3"/>
  <c r="NY21" i="3"/>
  <c r="NX21" i="3"/>
  <c r="NW21" i="3"/>
  <c r="NV21" i="3"/>
  <c r="NU21" i="3"/>
  <c r="NT21" i="3"/>
  <c r="NS21" i="3"/>
  <c r="NR21" i="3"/>
  <c r="NQ21" i="3"/>
  <c r="NP21" i="3"/>
  <c r="NO21" i="3"/>
  <c r="NN21" i="3"/>
  <c r="NM21" i="3"/>
  <c r="NL21" i="3"/>
  <c r="NK21" i="3"/>
  <c r="NJ21" i="3"/>
  <c r="NI21" i="3"/>
  <c r="NH21" i="3"/>
  <c r="NG21" i="3"/>
  <c r="NF21" i="3"/>
  <c r="NE21" i="3"/>
  <c r="ND21" i="3"/>
  <c r="NC21" i="3"/>
  <c r="NB21" i="3"/>
  <c r="NA21" i="3"/>
  <c r="MZ21" i="3"/>
  <c r="MY21" i="3"/>
  <c r="MX21" i="3"/>
  <c r="MW21" i="3"/>
  <c r="MV21" i="3"/>
  <c r="MU21" i="3"/>
  <c r="MT21" i="3"/>
  <c r="MS21" i="3"/>
  <c r="MR21" i="3"/>
  <c r="MQ21" i="3"/>
  <c r="MP21" i="3"/>
  <c r="MO21" i="3"/>
  <c r="MN21" i="3"/>
  <c r="MM21" i="3"/>
  <c r="ML21" i="3"/>
  <c r="MK21" i="3"/>
  <c r="MJ21" i="3"/>
  <c r="MI21" i="3"/>
  <c r="MH21" i="3"/>
  <c r="MG21" i="3"/>
  <c r="MF21" i="3"/>
  <c r="ME21" i="3"/>
  <c r="MD21" i="3"/>
  <c r="MC21" i="3"/>
  <c r="MB21" i="3"/>
  <c r="MA21" i="3"/>
  <c r="LZ21" i="3"/>
  <c r="LY21" i="3"/>
  <c r="LX21" i="3"/>
  <c r="LW21" i="3"/>
  <c r="LV21" i="3"/>
  <c r="LU21" i="3"/>
  <c r="LT21" i="3"/>
  <c r="LS21" i="3"/>
  <c r="LR21" i="3"/>
  <c r="LQ21" i="3"/>
  <c r="LP21" i="3"/>
  <c r="LO21" i="3"/>
  <c r="LN21" i="3"/>
  <c r="LM21" i="3"/>
  <c r="LL21" i="3"/>
  <c r="LK21" i="3"/>
  <c r="LJ21" i="3"/>
  <c r="LI21" i="3"/>
  <c r="LH21" i="3"/>
  <c r="LG21" i="3"/>
  <c r="LF21" i="3"/>
  <c r="LE21" i="3"/>
  <c r="LD21" i="3"/>
  <c r="LC21" i="3"/>
  <c r="LB21" i="3"/>
  <c r="LA21" i="3"/>
  <c r="KZ21" i="3"/>
  <c r="KY21" i="3"/>
  <c r="KX21" i="3"/>
  <c r="KW21" i="3"/>
  <c r="KV21" i="3"/>
  <c r="KU21" i="3"/>
  <c r="KT21" i="3"/>
  <c r="KS21" i="3"/>
  <c r="KR21" i="3"/>
  <c r="KQ21" i="3"/>
  <c r="KP21" i="3"/>
  <c r="KO21" i="3"/>
  <c r="KN21" i="3"/>
  <c r="KM21" i="3"/>
  <c r="KL21" i="3"/>
  <c r="KK21" i="3"/>
  <c r="KJ21" i="3"/>
  <c r="KI21" i="3"/>
  <c r="KH21" i="3"/>
  <c r="KG21" i="3"/>
  <c r="KF21" i="3"/>
  <c r="KE21" i="3"/>
  <c r="KD21" i="3"/>
  <c r="KC21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PF20" i="3"/>
  <c r="PE20" i="3"/>
  <c r="PD20" i="3"/>
  <c r="PC20" i="3"/>
  <c r="PB20" i="3"/>
  <c r="PA20" i="3"/>
  <c r="OZ20" i="3"/>
  <c r="OY20" i="3"/>
  <c r="OX20" i="3"/>
  <c r="OW20" i="3"/>
  <c r="OV20" i="3"/>
  <c r="OU20" i="3"/>
  <c r="OT20" i="3"/>
  <c r="OS20" i="3"/>
  <c r="OR20" i="3"/>
  <c r="OQ20" i="3"/>
  <c r="OP20" i="3"/>
  <c r="OO20" i="3"/>
  <c r="ON20" i="3"/>
  <c r="OM20" i="3"/>
  <c r="OL20" i="3"/>
  <c r="OK20" i="3"/>
  <c r="OJ20" i="3"/>
  <c r="OI20" i="3"/>
  <c r="OH20" i="3"/>
  <c r="OG20" i="3"/>
  <c r="OF20" i="3"/>
  <c r="OE20" i="3"/>
  <c r="OD20" i="3"/>
  <c r="OC20" i="3"/>
  <c r="OB20" i="3"/>
  <c r="OA20" i="3"/>
  <c r="NZ20" i="3"/>
  <c r="NY20" i="3"/>
  <c r="NX20" i="3"/>
  <c r="NW20" i="3"/>
  <c r="NV20" i="3"/>
  <c r="NU20" i="3"/>
  <c r="NT20" i="3"/>
  <c r="NS20" i="3"/>
  <c r="NR20" i="3"/>
  <c r="NQ20" i="3"/>
  <c r="NP20" i="3"/>
  <c r="NO20" i="3"/>
  <c r="NN20" i="3"/>
  <c r="NM20" i="3"/>
  <c r="NL20" i="3"/>
  <c r="NK20" i="3"/>
  <c r="NJ20" i="3"/>
  <c r="NI20" i="3"/>
  <c r="NH20" i="3"/>
  <c r="NG20" i="3"/>
  <c r="NF20" i="3"/>
  <c r="NE20" i="3"/>
  <c r="ND20" i="3"/>
  <c r="NC20" i="3"/>
  <c r="NB20" i="3"/>
  <c r="NA20" i="3"/>
  <c r="MZ20" i="3"/>
  <c r="MY20" i="3"/>
  <c r="MX20" i="3"/>
  <c r="MW20" i="3"/>
  <c r="MV20" i="3"/>
  <c r="MU20" i="3"/>
  <c r="MT20" i="3"/>
  <c r="MS20" i="3"/>
  <c r="MR20" i="3"/>
  <c r="MQ20" i="3"/>
  <c r="MP20" i="3"/>
  <c r="MO20" i="3"/>
  <c r="MN20" i="3"/>
  <c r="MM20" i="3"/>
  <c r="ML20" i="3"/>
  <c r="MK20" i="3"/>
  <c r="MJ20" i="3"/>
  <c r="MI20" i="3"/>
  <c r="MH20" i="3"/>
  <c r="MG20" i="3"/>
  <c r="MF20" i="3"/>
  <c r="ME20" i="3"/>
  <c r="MD20" i="3"/>
  <c r="MC20" i="3"/>
  <c r="MB20" i="3"/>
  <c r="MA20" i="3"/>
  <c r="LZ20" i="3"/>
  <c r="LY20" i="3"/>
  <c r="LX20" i="3"/>
  <c r="LW20" i="3"/>
  <c r="LV20" i="3"/>
  <c r="LU20" i="3"/>
  <c r="LT20" i="3"/>
  <c r="LS20" i="3"/>
  <c r="LR20" i="3"/>
  <c r="LQ20" i="3"/>
  <c r="LP20" i="3"/>
  <c r="LO20" i="3"/>
  <c r="LN20" i="3"/>
  <c r="LM20" i="3"/>
  <c r="LL20" i="3"/>
  <c r="LK20" i="3"/>
  <c r="LJ20" i="3"/>
  <c r="LI20" i="3"/>
  <c r="LH20" i="3"/>
  <c r="LG20" i="3"/>
  <c r="LF20" i="3"/>
  <c r="LE20" i="3"/>
  <c r="LD20" i="3"/>
  <c r="LC20" i="3"/>
  <c r="LB20" i="3"/>
  <c r="LA20" i="3"/>
  <c r="KZ20" i="3"/>
  <c r="KY20" i="3"/>
  <c r="KX20" i="3"/>
  <c r="KW20" i="3"/>
  <c r="KV20" i="3"/>
  <c r="KU20" i="3"/>
  <c r="KT20" i="3"/>
  <c r="KS20" i="3"/>
  <c r="KR20" i="3"/>
  <c r="KQ20" i="3"/>
  <c r="KP20" i="3"/>
  <c r="KO20" i="3"/>
  <c r="KN20" i="3"/>
  <c r="KM20" i="3"/>
  <c r="KL20" i="3"/>
  <c r="KK20" i="3"/>
  <c r="KJ20" i="3"/>
  <c r="KI20" i="3"/>
  <c r="KH20" i="3"/>
  <c r="KG20" i="3"/>
  <c r="KF20" i="3"/>
  <c r="KE20" i="3"/>
  <c r="KD20" i="3"/>
  <c r="KC20" i="3"/>
  <c r="KB20" i="3"/>
  <c r="KA20" i="3"/>
  <c r="JZ20" i="3"/>
  <c r="JY20" i="3"/>
  <c r="JX20" i="3"/>
  <c r="JW20" i="3"/>
  <c r="JV20" i="3"/>
  <c r="JU20" i="3"/>
  <c r="JT20" i="3"/>
  <c r="JS20" i="3"/>
  <c r="JR20" i="3"/>
  <c r="JQ20" i="3"/>
  <c r="JP20" i="3"/>
  <c r="JO20" i="3"/>
  <c r="JN20" i="3"/>
  <c r="JM20" i="3"/>
  <c r="JL20" i="3"/>
  <c r="JK20" i="3"/>
  <c r="JJ20" i="3"/>
  <c r="JI20" i="3"/>
  <c r="JH20" i="3"/>
  <c r="JG20" i="3"/>
  <c r="JF20" i="3"/>
  <c r="JE20" i="3"/>
  <c r="JD20" i="3"/>
  <c r="JC20" i="3"/>
  <c r="JB20" i="3"/>
  <c r="JA20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PF19" i="3"/>
  <c r="PE19" i="3"/>
  <c r="PD19" i="3"/>
  <c r="PC19" i="3"/>
  <c r="PB19" i="3"/>
  <c r="PA19" i="3"/>
  <c r="OZ19" i="3"/>
  <c r="OY19" i="3"/>
  <c r="OX19" i="3"/>
  <c r="OW19" i="3"/>
  <c r="OV19" i="3"/>
  <c r="OU19" i="3"/>
  <c r="OT19" i="3"/>
  <c r="OS19" i="3"/>
  <c r="OR19" i="3"/>
  <c r="OQ19" i="3"/>
  <c r="OP19" i="3"/>
  <c r="OO19" i="3"/>
  <c r="ON19" i="3"/>
  <c r="OM19" i="3"/>
  <c r="OL19" i="3"/>
  <c r="OK19" i="3"/>
  <c r="OJ19" i="3"/>
  <c r="OI19" i="3"/>
  <c r="OH19" i="3"/>
  <c r="OG19" i="3"/>
  <c r="OF19" i="3"/>
  <c r="OE19" i="3"/>
  <c r="OD19" i="3"/>
  <c r="OC19" i="3"/>
  <c r="OB19" i="3"/>
  <c r="OA19" i="3"/>
  <c r="NZ19" i="3"/>
  <c r="NY19" i="3"/>
  <c r="NX19" i="3"/>
  <c r="NW19" i="3"/>
  <c r="NV19" i="3"/>
  <c r="NU19" i="3"/>
  <c r="NT19" i="3"/>
  <c r="NS19" i="3"/>
  <c r="NR19" i="3"/>
  <c r="NQ19" i="3"/>
  <c r="NP19" i="3"/>
  <c r="NO19" i="3"/>
  <c r="NN19" i="3"/>
  <c r="NM19" i="3"/>
  <c r="NL19" i="3"/>
  <c r="NK19" i="3"/>
  <c r="NJ19" i="3"/>
  <c r="NI19" i="3"/>
  <c r="NH19" i="3"/>
  <c r="NG19" i="3"/>
  <c r="NF19" i="3"/>
  <c r="NE19" i="3"/>
  <c r="ND19" i="3"/>
  <c r="NC19" i="3"/>
  <c r="NB19" i="3"/>
  <c r="NA19" i="3"/>
  <c r="MZ19" i="3"/>
  <c r="MY19" i="3"/>
  <c r="MX19" i="3"/>
  <c r="MW19" i="3"/>
  <c r="MV19" i="3"/>
  <c r="MU19" i="3"/>
  <c r="MT19" i="3"/>
  <c r="MS19" i="3"/>
  <c r="MR19" i="3"/>
  <c r="MQ19" i="3"/>
  <c r="MP19" i="3"/>
  <c r="MO19" i="3"/>
  <c r="MN19" i="3"/>
  <c r="MM19" i="3"/>
  <c r="ML19" i="3"/>
  <c r="MK19" i="3"/>
  <c r="MJ19" i="3"/>
  <c r="MI19" i="3"/>
  <c r="MH19" i="3"/>
  <c r="MG19" i="3"/>
  <c r="MF19" i="3"/>
  <c r="ME19" i="3"/>
  <c r="MD19" i="3"/>
  <c r="MC19" i="3"/>
  <c r="MB19" i="3"/>
  <c r="MA19" i="3"/>
  <c r="LZ19" i="3"/>
  <c r="LY19" i="3"/>
  <c r="LX19" i="3"/>
  <c r="LW19" i="3"/>
  <c r="LV19" i="3"/>
  <c r="LU19" i="3"/>
  <c r="LT19" i="3"/>
  <c r="LS19" i="3"/>
  <c r="LR19" i="3"/>
  <c r="LQ19" i="3"/>
  <c r="LP19" i="3"/>
  <c r="LO19" i="3"/>
  <c r="LN19" i="3"/>
  <c r="LM19" i="3"/>
  <c r="LL19" i="3"/>
  <c r="LK19" i="3"/>
  <c r="LJ19" i="3"/>
  <c r="LI19" i="3"/>
  <c r="LH19" i="3"/>
  <c r="LG19" i="3"/>
  <c r="LF19" i="3"/>
  <c r="LE19" i="3"/>
  <c r="LD19" i="3"/>
  <c r="LC19" i="3"/>
  <c r="LB19" i="3"/>
  <c r="LA19" i="3"/>
  <c r="KZ19" i="3"/>
  <c r="KY19" i="3"/>
  <c r="KX19" i="3"/>
  <c r="KW19" i="3"/>
  <c r="KV19" i="3"/>
  <c r="KU19" i="3"/>
  <c r="KT19" i="3"/>
  <c r="KS19" i="3"/>
  <c r="KR19" i="3"/>
  <c r="KQ19" i="3"/>
  <c r="KP19" i="3"/>
  <c r="KO19" i="3"/>
  <c r="KN19" i="3"/>
  <c r="KM19" i="3"/>
  <c r="KL19" i="3"/>
  <c r="KK19" i="3"/>
  <c r="KJ19" i="3"/>
  <c r="KI19" i="3"/>
  <c r="KH19" i="3"/>
  <c r="KG19" i="3"/>
  <c r="KF19" i="3"/>
  <c r="KE19" i="3"/>
  <c r="KD19" i="3"/>
  <c r="KC19" i="3"/>
  <c r="KB19" i="3"/>
  <c r="KA19" i="3"/>
  <c r="JZ19" i="3"/>
  <c r="JY19" i="3"/>
  <c r="JX19" i="3"/>
  <c r="JW19" i="3"/>
  <c r="JV19" i="3"/>
  <c r="JU19" i="3"/>
  <c r="JT19" i="3"/>
  <c r="JS19" i="3"/>
  <c r="JR19" i="3"/>
  <c r="JQ19" i="3"/>
  <c r="JP19" i="3"/>
  <c r="JO19" i="3"/>
  <c r="JN19" i="3"/>
  <c r="JM19" i="3"/>
  <c r="JL19" i="3"/>
  <c r="JK19" i="3"/>
  <c r="JJ19" i="3"/>
  <c r="JI19" i="3"/>
  <c r="JH19" i="3"/>
  <c r="JG19" i="3"/>
  <c r="JF19" i="3"/>
  <c r="JE19" i="3"/>
  <c r="JD19" i="3"/>
  <c r="JC19" i="3"/>
  <c r="JB19" i="3"/>
  <c r="JA19" i="3"/>
  <c r="IZ19" i="3"/>
  <c r="IY19" i="3"/>
  <c r="IX19" i="3"/>
  <c r="IW19" i="3"/>
  <c r="IV19" i="3"/>
  <c r="IU19" i="3"/>
  <c r="IT19" i="3"/>
  <c r="IS19" i="3"/>
  <c r="IR19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PF18" i="3"/>
  <c r="PE18" i="3"/>
  <c r="PD18" i="3"/>
  <c r="PC18" i="3"/>
  <c r="PB18" i="3"/>
  <c r="PA18" i="3"/>
  <c r="OZ18" i="3"/>
  <c r="OY18" i="3"/>
  <c r="OX18" i="3"/>
  <c r="OW18" i="3"/>
  <c r="OV18" i="3"/>
  <c r="OU18" i="3"/>
  <c r="OT18" i="3"/>
  <c r="OS18" i="3"/>
  <c r="OR18" i="3"/>
  <c r="OQ18" i="3"/>
  <c r="OP18" i="3"/>
  <c r="OO18" i="3"/>
  <c r="ON18" i="3"/>
  <c r="OM18" i="3"/>
  <c r="OL18" i="3"/>
  <c r="OK18" i="3"/>
  <c r="OJ18" i="3"/>
  <c r="OI18" i="3"/>
  <c r="OH18" i="3"/>
  <c r="OG18" i="3"/>
  <c r="OF18" i="3"/>
  <c r="OE18" i="3"/>
  <c r="OD18" i="3"/>
  <c r="OC18" i="3"/>
  <c r="OB18" i="3"/>
  <c r="OA18" i="3"/>
  <c r="NZ18" i="3"/>
  <c r="NY18" i="3"/>
  <c r="NX18" i="3"/>
  <c r="NW18" i="3"/>
  <c r="NV18" i="3"/>
  <c r="NU18" i="3"/>
  <c r="NT18" i="3"/>
  <c r="NS18" i="3"/>
  <c r="NR18" i="3"/>
  <c r="NQ18" i="3"/>
  <c r="NP18" i="3"/>
  <c r="NO18" i="3"/>
  <c r="NN18" i="3"/>
  <c r="NM18" i="3"/>
  <c r="NL18" i="3"/>
  <c r="NK18" i="3"/>
  <c r="NJ18" i="3"/>
  <c r="NI18" i="3"/>
  <c r="NH18" i="3"/>
  <c r="NG18" i="3"/>
  <c r="NF18" i="3"/>
  <c r="NE18" i="3"/>
  <c r="ND18" i="3"/>
  <c r="NC18" i="3"/>
  <c r="NB18" i="3"/>
  <c r="NA18" i="3"/>
  <c r="MZ18" i="3"/>
  <c r="MY18" i="3"/>
  <c r="MX18" i="3"/>
  <c r="MW18" i="3"/>
  <c r="MV18" i="3"/>
  <c r="MU18" i="3"/>
  <c r="MT18" i="3"/>
  <c r="MS18" i="3"/>
  <c r="MR18" i="3"/>
  <c r="MQ18" i="3"/>
  <c r="MP18" i="3"/>
  <c r="MO18" i="3"/>
  <c r="MN18" i="3"/>
  <c r="MM18" i="3"/>
  <c r="ML18" i="3"/>
  <c r="MK18" i="3"/>
  <c r="MJ18" i="3"/>
  <c r="MI18" i="3"/>
  <c r="MH18" i="3"/>
  <c r="MG18" i="3"/>
  <c r="MF18" i="3"/>
  <c r="ME18" i="3"/>
  <c r="MD18" i="3"/>
  <c r="MC18" i="3"/>
  <c r="MB18" i="3"/>
  <c r="MA18" i="3"/>
  <c r="LZ18" i="3"/>
  <c r="LY18" i="3"/>
  <c r="LX18" i="3"/>
  <c r="LW18" i="3"/>
  <c r="LV18" i="3"/>
  <c r="LU18" i="3"/>
  <c r="LT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LD18" i="3"/>
  <c r="LC18" i="3"/>
  <c r="LB18" i="3"/>
  <c r="LA18" i="3"/>
  <c r="KZ18" i="3"/>
  <c r="KY18" i="3"/>
  <c r="KX18" i="3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PF17" i="3"/>
  <c r="PE17" i="3"/>
  <c r="PD17" i="3"/>
  <c r="PC17" i="3"/>
  <c r="PB17" i="3"/>
  <c r="PA17" i="3"/>
  <c r="OZ17" i="3"/>
  <c r="OY17" i="3"/>
  <c r="OX17" i="3"/>
  <c r="OW17" i="3"/>
  <c r="OV17" i="3"/>
  <c r="OU17" i="3"/>
  <c r="OT17" i="3"/>
  <c r="OS17" i="3"/>
  <c r="OR17" i="3"/>
  <c r="OQ17" i="3"/>
  <c r="OP17" i="3"/>
  <c r="OO17" i="3"/>
  <c r="ON17" i="3"/>
  <c r="OM17" i="3"/>
  <c r="OL17" i="3"/>
  <c r="OK17" i="3"/>
  <c r="OJ17" i="3"/>
  <c r="OI17" i="3"/>
  <c r="OH17" i="3"/>
  <c r="OG17" i="3"/>
  <c r="OF17" i="3"/>
  <c r="OE17" i="3"/>
  <c r="OD17" i="3"/>
  <c r="OC17" i="3"/>
  <c r="OB17" i="3"/>
  <c r="OA17" i="3"/>
  <c r="NZ17" i="3"/>
  <c r="NY17" i="3"/>
  <c r="NX17" i="3"/>
  <c r="NW17" i="3"/>
  <c r="NV17" i="3"/>
  <c r="NU17" i="3"/>
  <c r="NT17" i="3"/>
  <c r="NS17" i="3"/>
  <c r="NR17" i="3"/>
  <c r="NQ17" i="3"/>
  <c r="NP17" i="3"/>
  <c r="NO17" i="3"/>
  <c r="NN17" i="3"/>
  <c r="NM17" i="3"/>
  <c r="NL17" i="3"/>
  <c r="NK17" i="3"/>
  <c r="NJ17" i="3"/>
  <c r="NI17" i="3"/>
  <c r="NH17" i="3"/>
  <c r="NG17" i="3"/>
  <c r="NF17" i="3"/>
  <c r="NE17" i="3"/>
  <c r="ND17" i="3"/>
  <c r="NC17" i="3"/>
  <c r="NB17" i="3"/>
  <c r="NA17" i="3"/>
  <c r="MZ17" i="3"/>
  <c r="MY17" i="3"/>
  <c r="MX17" i="3"/>
  <c r="MW17" i="3"/>
  <c r="MV17" i="3"/>
  <c r="MU17" i="3"/>
  <c r="MT17" i="3"/>
  <c r="MS17" i="3"/>
  <c r="MR17" i="3"/>
  <c r="MQ17" i="3"/>
  <c r="MP17" i="3"/>
  <c r="MO17" i="3"/>
  <c r="MN17" i="3"/>
  <c r="MM17" i="3"/>
  <c r="ML17" i="3"/>
  <c r="MK17" i="3"/>
  <c r="MJ17" i="3"/>
  <c r="MI17" i="3"/>
  <c r="MH17" i="3"/>
  <c r="MG17" i="3"/>
  <c r="MF17" i="3"/>
  <c r="ME17" i="3"/>
  <c r="MD17" i="3"/>
  <c r="MC17" i="3"/>
  <c r="MB17" i="3"/>
  <c r="MA17" i="3"/>
  <c r="LZ17" i="3"/>
  <c r="LY17" i="3"/>
  <c r="LX17" i="3"/>
  <c r="LW17" i="3"/>
  <c r="LV17" i="3"/>
  <c r="LU17" i="3"/>
  <c r="LT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LD17" i="3"/>
  <c r="LC17" i="3"/>
  <c r="LB17" i="3"/>
  <c r="LA17" i="3"/>
  <c r="KZ17" i="3"/>
  <c r="KY17" i="3"/>
  <c r="KX17" i="3"/>
  <c r="KW17" i="3"/>
  <c r="KV17" i="3"/>
  <c r="KU17" i="3"/>
  <c r="KT17" i="3"/>
  <c r="KS17" i="3"/>
  <c r="KR17" i="3"/>
  <c r="KQ17" i="3"/>
  <c r="KP17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JX17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IS17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PF16" i="3"/>
  <c r="PE16" i="3"/>
  <c r="PD16" i="3"/>
  <c r="PC16" i="3"/>
  <c r="PB16" i="3"/>
  <c r="PA16" i="3"/>
  <c r="OZ16" i="3"/>
  <c r="OY16" i="3"/>
  <c r="OX16" i="3"/>
  <c r="OW16" i="3"/>
  <c r="OV16" i="3"/>
  <c r="OU16" i="3"/>
  <c r="OT16" i="3"/>
  <c r="OS16" i="3"/>
  <c r="OR16" i="3"/>
  <c r="OQ16" i="3"/>
  <c r="OP16" i="3"/>
  <c r="OO16" i="3"/>
  <c r="ON16" i="3"/>
  <c r="OM16" i="3"/>
  <c r="OL16" i="3"/>
  <c r="OK16" i="3"/>
  <c r="OJ16" i="3"/>
  <c r="OI16" i="3"/>
  <c r="OH16" i="3"/>
  <c r="OG16" i="3"/>
  <c r="OF16" i="3"/>
  <c r="OE16" i="3"/>
  <c r="OD16" i="3"/>
  <c r="OC16" i="3"/>
  <c r="OB16" i="3"/>
  <c r="OA16" i="3"/>
  <c r="NZ16" i="3"/>
  <c r="NY16" i="3"/>
  <c r="NX16" i="3"/>
  <c r="NW16" i="3"/>
  <c r="NV16" i="3"/>
  <c r="NU16" i="3"/>
  <c r="NT16" i="3"/>
  <c r="NS16" i="3"/>
  <c r="NR16" i="3"/>
  <c r="NQ16" i="3"/>
  <c r="NP16" i="3"/>
  <c r="NO16" i="3"/>
  <c r="NN16" i="3"/>
  <c r="NM16" i="3"/>
  <c r="NL16" i="3"/>
  <c r="NK16" i="3"/>
  <c r="NJ16" i="3"/>
  <c r="NI16" i="3"/>
  <c r="NH16" i="3"/>
  <c r="NG16" i="3"/>
  <c r="NF16" i="3"/>
  <c r="NE16" i="3"/>
  <c r="ND16" i="3"/>
  <c r="NC16" i="3"/>
  <c r="NB16" i="3"/>
  <c r="NA16" i="3"/>
  <c r="MZ16" i="3"/>
  <c r="MY16" i="3"/>
  <c r="MX16" i="3"/>
  <c r="MW16" i="3"/>
  <c r="MV16" i="3"/>
  <c r="MU16" i="3"/>
  <c r="MT16" i="3"/>
  <c r="MS16" i="3"/>
  <c r="MR16" i="3"/>
  <c r="MQ16" i="3"/>
  <c r="MP16" i="3"/>
  <c r="MO16" i="3"/>
  <c r="MN16" i="3"/>
  <c r="MM16" i="3"/>
  <c r="ML16" i="3"/>
  <c r="MK16" i="3"/>
  <c r="MJ16" i="3"/>
  <c r="MI16" i="3"/>
  <c r="MH16" i="3"/>
  <c r="MG16" i="3"/>
  <c r="MF16" i="3"/>
  <c r="ME16" i="3"/>
  <c r="MD16" i="3"/>
  <c r="MC16" i="3"/>
  <c r="MB16" i="3"/>
  <c r="MA16" i="3"/>
  <c r="LZ16" i="3"/>
  <c r="LY16" i="3"/>
  <c r="LX16" i="3"/>
  <c r="LW16" i="3"/>
  <c r="LV16" i="3"/>
  <c r="LU16" i="3"/>
  <c r="LT16" i="3"/>
  <c r="LS16" i="3"/>
  <c r="LR16" i="3"/>
  <c r="LQ16" i="3"/>
  <c r="LP16" i="3"/>
  <c r="LO16" i="3"/>
  <c r="LN16" i="3"/>
  <c r="LM16" i="3"/>
  <c r="LL16" i="3"/>
  <c r="LK16" i="3"/>
  <c r="LJ16" i="3"/>
  <c r="LI16" i="3"/>
  <c r="LH16" i="3"/>
  <c r="LG16" i="3"/>
  <c r="LF16" i="3"/>
  <c r="LE16" i="3"/>
  <c r="LD16" i="3"/>
  <c r="LC16" i="3"/>
  <c r="LB16" i="3"/>
  <c r="LA16" i="3"/>
  <c r="KZ16" i="3"/>
  <c r="KY16" i="3"/>
  <c r="KX16" i="3"/>
  <c r="KW16" i="3"/>
  <c r="KV16" i="3"/>
  <c r="KU16" i="3"/>
  <c r="KT16" i="3"/>
  <c r="KS16" i="3"/>
  <c r="KR16" i="3"/>
  <c r="KQ16" i="3"/>
  <c r="KP16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JX16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PF15" i="3"/>
  <c r="PE15" i="3"/>
  <c r="PD15" i="3"/>
  <c r="PC15" i="3"/>
  <c r="PB15" i="3"/>
  <c r="PA15" i="3"/>
  <c r="OZ15" i="3"/>
  <c r="OY15" i="3"/>
  <c r="OX15" i="3"/>
  <c r="OW15" i="3"/>
  <c r="OV15" i="3"/>
  <c r="OU15" i="3"/>
  <c r="OT15" i="3"/>
  <c r="OS15" i="3"/>
  <c r="OR15" i="3"/>
  <c r="OQ15" i="3"/>
  <c r="OP15" i="3"/>
  <c r="OO15" i="3"/>
  <c r="ON15" i="3"/>
  <c r="OM15" i="3"/>
  <c r="OL15" i="3"/>
  <c r="OK15" i="3"/>
  <c r="OJ15" i="3"/>
  <c r="OI15" i="3"/>
  <c r="OH15" i="3"/>
  <c r="OG15" i="3"/>
  <c r="OF15" i="3"/>
  <c r="OE15" i="3"/>
  <c r="OD15" i="3"/>
  <c r="OC15" i="3"/>
  <c r="OB15" i="3"/>
  <c r="OA15" i="3"/>
  <c r="NZ15" i="3"/>
  <c r="NY15" i="3"/>
  <c r="NX15" i="3"/>
  <c r="NW15" i="3"/>
  <c r="NV15" i="3"/>
  <c r="NU15" i="3"/>
  <c r="NT15" i="3"/>
  <c r="NS15" i="3"/>
  <c r="NR15" i="3"/>
  <c r="NQ15" i="3"/>
  <c r="NP15" i="3"/>
  <c r="NO15" i="3"/>
  <c r="NN15" i="3"/>
  <c r="NM15" i="3"/>
  <c r="NL15" i="3"/>
  <c r="NK15" i="3"/>
  <c r="NJ15" i="3"/>
  <c r="NI15" i="3"/>
  <c r="NH15" i="3"/>
  <c r="NG15" i="3"/>
  <c r="NF15" i="3"/>
  <c r="NE15" i="3"/>
  <c r="ND15" i="3"/>
  <c r="NC15" i="3"/>
  <c r="NB15" i="3"/>
  <c r="NA15" i="3"/>
  <c r="MZ15" i="3"/>
  <c r="MY15" i="3"/>
  <c r="MX15" i="3"/>
  <c r="MW15" i="3"/>
  <c r="MV15" i="3"/>
  <c r="MU15" i="3"/>
  <c r="MT15" i="3"/>
  <c r="MS15" i="3"/>
  <c r="MR15" i="3"/>
  <c r="MQ15" i="3"/>
  <c r="MP15" i="3"/>
  <c r="MO15" i="3"/>
  <c r="MN15" i="3"/>
  <c r="MM15" i="3"/>
  <c r="ML15" i="3"/>
  <c r="MK15" i="3"/>
  <c r="MJ15" i="3"/>
  <c r="MI15" i="3"/>
  <c r="MH15" i="3"/>
  <c r="MG15" i="3"/>
  <c r="MF15" i="3"/>
  <c r="ME15" i="3"/>
  <c r="MD15" i="3"/>
  <c r="MC15" i="3"/>
  <c r="MB15" i="3"/>
  <c r="MA15" i="3"/>
  <c r="LZ15" i="3"/>
  <c r="LY15" i="3"/>
  <c r="LX15" i="3"/>
  <c r="LW15" i="3"/>
  <c r="LV15" i="3"/>
  <c r="LU15" i="3"/>
  <c r="LT15" i="3"/>
  <c r="LS15" i="3"/>
  <c r="LR15" i="3"/>
  <c r="LQ15" i="3"/>
  <c r="LP15" i="3"/>
  <c r="LO15" i="3"/>
  <c r="LN15" i="3"/>
  <c r="LM15" i="3"/>
  <c r="LL15" i="3"/>
  <c r="LK15" i="3"/>
  <c r="LJ15" i="3"/>
  <c r="LI15" i="3"/>
  <c r="LH15" i="3"/>
  <c r="LG15" i="3"/>
  <c r="LF15" i="3"/>
  <c r="LE15" i="3"/>
  <c r="LD15" i="3"/>
  <c r="LC15" i="3"/>
  <c r="LB15" i="3"/>
  <c r="LA15" i="3"/>
  <c r="KZ15" i="3"/>
  <c r="KY15" i="3"/>
  <c r="KX15" i="3"/>
  <c r="KW15" i="3"/>
  <c r="KV15" i="3"/>
  <c r="KU15" i="3"/>
  <c r="KT15" i="3"/>
  <c r="KS15" i="3"/>
  <c r="KR15" i="3"/>
  <c r="KQ15" i="3"/>
  <c r="KP15" i="3"/>
  <c r="KO15" i="3"/>
  <c r="KN15" i="3"/>
  <c r="KM15" i="3"/>
  <c r="KL15" i="3"/>
  <c r="KK15" i="3"/>
  <c r="KJ15" i="3"/>
  <c r="KI15" i="3"/>
  <c r="KH15" i="3"/>
  <c r="KG15" i="3"/>
  <c r="KF15" i="3"/>
  <c r="KE15" i="3"/>
  <c r="KD15" i="3"/>
  <c r="KC15" i="3"/>
  <c r="KB15" i="3"/>
  <c r="KA15" i="3"/>
  <c r="JZ15" i="3"/>
  <c r="JY15" i="3"/>
  <c r="JX15" i="3"/>
  <c r="JW15" i="3"/>
  <c r="JV15" i="3"/>
  <c r="JU15" i="3"/>
  <c r="JT15" i="3"/>
  <c r="JS15" i="3"/>
  <c r="JR15" i="3"/>
  <c r="JQ15" i="3"/>
  <c r="JP15" i="3"/>
  <c r="JO15" i="3"/>
  <c r="JN15" i="3"/>
  <c r="JM15" i="3"/>
  <c r="JL15" i="3"/>
  <c r="JK15" i="3"/>
  <c r="JJ15" i="3"/>
  <c r="JI15" i="3"/>
  <c r="JH15" i="3"/>
  <c r="JG15" i="3"/>
  <c r="JF15" i="3"/>
  <c r="JE15" i="3"/>
  <c r="JD15" i="3"/>
  <c r="JC15" i="3"/>
  <c r="JB15" i="3"/>
  <c r="JA15" i="3"/>
  <c r="IZ15" i="3"/>
  <c r="IY15" i="3"/>
  <c r="IX15" i="3"/>
  <c r="IW15" i="3"/>
  <c r="IV15" i="3"/>
  <c r="IU15" i="3"/>
  <c r="IT15" i="3"/>
  <c r="IS15" i="3"/>
  <c r="IR15" i="3"/>
  <c r="IQ15" i="3"/>
  <c r="IP15" i="3"/>
  <c r="IO15" i="3"/>
  <c r="IN15" i="3"/>
  <c r="IM15" i="3"/>
  <c r="IL15" i="3"/>
  <c r="IK15" i="3"/>
  <c r="IJ15" i="3"/>
  <c r="II15" i="3"/>
  <c r="IH15" i="3"/>
  <c r="IG15" i="3"/>
  <c r="IF15" i="3"/>
  <c r="IE15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HM15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PF14" i="3"/>
  <c r="PE14" i="3"/>
  <c r="PD14" i="3"/>
  <c r="PC14" i="3"/>
  <c r="PB14" i="3"/>
  <c r="PA14" i="3"/>
  <c r="OZ14" i="3"/>
  <c r="OY14" i="3"/>
  <c r="OX14" i="3"/>
  <c r="OW14" i="3"/>
  <c r="OV14" i="3"/>
  <c r="OU14" i="3"/>
  <c r="OT14" i="3"/>
  <c r="OS14" i="3"/>
  <c r="OR14" i="3"/>
  <c r="OQ14" i="3"/>
  <c r="OP14" i="3"/>
  <c r="OO14" i="3"/>
  <c r="ON14" i="3"/>
  <c r="OM14" i="3"/>
  <c r="OL14" i="3"/>
  <c r="OK14" i="3"/>
  <c r="OJ14" i="3"/>
  <c r="OI14" i="3"/>
  <c r="OH14" i="3"/>
  <c r="OG14" i="3"/>
  <c r="OF14" i="3"/>
  <c r="OE14" i="3"/>
  <c r="OD14" i="3"/>
  <c r="OC14" i="3"/>
  <c r="OB14" i="3"/>
  <c r="OA14" i="3"/>
  <c r="NZ14" i="3"/>
  <c r="NY14" i="3"/>
  <c r="NX14" i="3"/>
  <c r="NW14" i="3"/>
  <c r="NV14" i="3"/>
  <c r="NU14" i="3"/>
  <c r="NT14" i="3"/>
  <c r="NS14" i="3"/>
  <c r="NR14" i="3"/>
  <c r="NQ14" i="3"/>
  <c r="NP14" i="3"/>
  <c r="NO14" i="3"/>
  <c r="NN14" i="3"/>
  <c r="NM14" i="3"/>
  <c r="NL14" i="3"/>
  <c r="NK14" i="3"/>
  <c r="NJ14" i="3"/>
  <c r="NI14" i="3"/>
  <c r="NH14" i="3"/>
  <c r="NG14" i="3"/>
  <c r="NF14" i="3"/>
  <c r="NE14" i="3"/>
  <c r="ND14" i="3"/>
  <c r="NC14" i="3"/>
  <c r="NB14" i="3"/>
  <c r="NA14" i="3"/>
  <c r="MZ14" i="3"/>
  <c r="MY14" i="3"/>
  <c r="MX14" i="3"/>
  <c r="MW14" i="3"/>
  <c r="MV14" i="3"/>
  <c r="MU14" i="3"/>
  <c r="MT14" i="3"/>
  <c r="MS14" i="3"/>
  <c r="MR14" i="3"/>
  <c r="MQ14" i="3"/>
  <c r="MP14" i="3"/>
  <c r="MO14" i="3"/>
  <c r="MN14" i="3"/>
  <c r="MM14" i="3"/>
  <c r="ML14" i="3"/>
  <c r="MK14" i="3"/>
  <c r="MJ14" i="3"/>
  <c r="MI14" i="3"/>
  <c r="MH14" i="3"/>
  <c r="MG14" i="3"/>
  <c r="MF14" i="3"/>
  <c r="ME14" i="3"/>
  <c r="MD14" i="3"/>
  <c r="MC14" i="3"/>
  <c r="MB14" i="3"/>
  <c r="MA14" i="3"/>
  <c r="LZ14" i="3"/>
  <c r="LY14" i="3"/>
  <c r="LX14" i="3"/>
  <c r="LW14" i="3"/>
  <c r="LV14" i="3"/>
  <c r="LU14" i="3"/>
  <c r="LT14" i="3"/>
  <c r="LS14" i="3"/>
  <c r="LR14" i="3"/>
  <c r="LQ14" i="3"/>
  <c r="LP14" i="3"/>
  <c r="LO14" i="3"/>
  <c r="LN14" i="3"/>
  <c r="LM14" i="3"/>
  <c r="LL14" i="3"/>
  <c r="LK14" i="3"/>
  <c r="LJ14" i="3"/>
  <c r="LI14" i="3"/>
  <c r="LH14" i="3"/>
  <c r="LG14" i="3"/>
  <c r="LF14" i="3"/>
  <c r="LE14" i="3"/>
  <c r="LD14" i="3"/>
  <c r="LC14" i="3"/>
  <c r="LB14" i="3"/>
  <c r="LA14" i="3"/>
  <c r="KZ14" i="3"/>
  <c r="KY14" i="3"/>
  <c r="KX14" i="3"/>
  <c r="KW14" i="3"/>
  <c r="KV14" i="3"/>
  <c r="KU14" i="3"/>
  <c r="KT14" i="3"/>
  <c r="KS14" i="3"/>
  <c r="KR14" i="3"/>
  <c r="KQ14" i="3"/>
  <c r="KP14" i="3"/>
  <c r="KO14" i="3"/>
  <c r="KN14" i="3"/>
  <c r="KM14" i="3"/>
  <c r="KL14" i="3"/>
  <c r="KK14" i="3"/>
  <c r="KJ14" i="3"/>
  <c r="KI14" i="3"/>
  <c r="KH14" i="3"/>
  <c r="KG14" i="3"/>
  <c r="KF14" i="3"/>
  <c r="KE14" i="3"/>
  <c r="KD14" i="3"/>
  <c r="KC14" i="3"/>
  <c r="KB14" i="3"/>
  <c r="KA14" i="3"/>
  <c r="JZ14" i="3"/>
  <c r="JY14" i="3"/>
  <c r="JX14" i="3"/>
  <c r="JW14" i="3"/>
  <c r="JV14" i="3"/>
  <c r="JU14" i="3"/>
  <c r="JT14" i="3"/>
  <c r="JS14" i="3"/>
  <c r="JR14" i="3"/>
  <c r="JQ14" i="3"/>
  <c r="JP14" i="3"/>
  <c r="JO14" i="3"/>
  <c r="JN14" i="3"/>
  <c r="JM14" i="3"/>
  <c r="JL14" i="3"/>
  <c r="JK14" i="3"/>
  <c r="JJ14" i="3"/>
  <c r="JI14" i="3"/>
  <c r="JH14" i="3"/>
  <c r="JG14" i="3"/>
  <c r="JF14" i="3"/>
  <c r="JE14" i="3"/>
  <c r="JD14" i="3"/>
  <c r="JC14" i="3"/>
  <c r="JB14" i="3"/>
  <c r="JA14" i="3"/>
  <c r="IZ14" i="3"/>
  <c r="IY14" i="3"/>
  <c r="IX14" i="3"/>
  <c r="IW14" i="3"/>
  <c r="IV14" i="3"/>
  <c r="IU14" i="3"/>
  <c r="IT14" i="3"/>
  <c r="IS14" i="3"/>
  <c r="IR14" i="3"/>
  <c r="IQ14" i="3"/>
  <c r="IP14" i="3"/>
  <c r="IO14" i="3"/>
  <c r="IN14" i="3"/>
  <c r="IM14" i="3"/>
  <c r="IL14" i="3"/>
  <c r="IK14" i="3"/>
  <c r="IJ14" i="3"/>
  <c r="II14" i="3"/>
  <c r="IH14" i="3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PF13" i="3"/>
  <c r="PE13" i="3"/>
  <c r="PD13" i="3"/>
  <c r="PC13" i="3"/>
  <c r="PB13" i="3"/>
  <c r="PA13" i="3"/>
  <c r="OZ13" i="3"/>
  <c r="OY13" i="3"/>
  <c r="OX13" i="3"/>
  <c r="OW13" i="3"/>
  <c r="OV13" i="3"/>
  <c r="OU13" i="3"/>
  <c r="OT13" i="3"/>
  <c r="OS13" i="3"/>
  <c r="OR13" i="3"/>
  <c r="OQ13" i="3"/>
  <c r="OP13" i="3"/>
  <c r="OO13" i="3"/>
  <c r="ON13" i="3"/>
  <c r="OM13" i="3"/>
  <c r="OL13" i="3"/>
  <c r="OK13" i="3"/>
  <c r="OJ13" i="3"/>
  <c r="OI13" i="3"/>
  <c r="OH13" i="3"/>
  <c r="OG13" i="3"/>
  <c r="OF13" i="3"/>
  <c r="OE13" i="3"/>
  <c r="OD13" i="3"/>
  <c r="OC13" i="3"/>
  <c r="OB13" i="3"/>
  <c r="OA13" i="3"/>
  <c r="NZ13" i="3"/>
  <c r="NY13" i="3"/>
  <c r="NX13" i="3"/>
  <c r="NW13" i="3"/>
  <c r="NV13" i="3"/>
  <c r="NU13" i="3"/>
  <c r="NT13" i="3"/>
  <c r="NS13" i="3"/>
  <c r="NR13" i="3"/>
  <c r="NQ13" i="3"/>
  <c r="NP13" i="3"/>
  <c r="NO13" i="3"/>
  <c r="NN13" i="3"/>
  <c r="NM13" i="3"/>
  <c r="NL13" i="3"/>
  <c r="NK13" i="3"/>
  <c r="NJ13" i="3"/>
  <c r="NI13" i="3"/>
  <c r="NH13" i="3"/>
  <c r="NG13" i="3"/>
  <c r="NF13" i="3"/>
  <c r="NE13" i="3"/>
  <c r="ND13" i="3"/>
  <c r="NC13" i="3"/>
  <c r="NB13" i="3"/>
  <c r="NA13" i="3"/>
  <c r="MZ13" i="3"/>
  <c r="MY13" i="3"/>
  <c r="MX13" i="3"/>
  <c r="MW13" i="3"/>
  <c r="MV13" i="3"/>
  <c r="MU13" i="3"/>
  <c r="MT13" i="3"/>
  <c r="MS13" i="3"/>
  <c r="MR13" i="3"/>
  <c r="MQ13" i="3"/>
  <c r="MP13" i="3"/>
  <c r="MO13" i="3"/>
  <c r="MN13" i="3"/>
  <c r="MM13" i="3"/>
  <c r="ML13" i="3"/>
  <c r="MK13" i="3"/>
  <c r="MJ13" i="3"/>
  <c r="MI13" i="3"/>
  <c r="MH13" i="3"/>
  <c r="MG13" i="3"/>
  <c r="MF13" i="3"/>
  <c r="ME13" i="3"/>
  <c r="MD13" i="3"/>
  <c r="MC13" i="3"/>
  <c r="MB13" i="3"/>
  <c r="MA13" i="3"/>
  <c r="LZ13" i="3"/>
  <c r="LY13" i="3"/>
  <c r="LX13" i="3"/>
  <c r="LW13" i="3"/>
  <c r="LV13" i="3"/>
  <c r="LU13" i="3"/>
  <c r="LT13" i="3"/>
  <c r="LS13" i="3"/>
  <c r="LR13" i="3"/>
  <c r="LQ13" i="3"/>
  <c r="LP13" i="3"/>
  <c r="LO13" i="3"/>
  <c r="LN13" i="3"/>
  <c r="LM13" i="3"/>
  <c r="LL13" i="3"/>
  <c r="LK13" i="3"/>
  <c r="LJ13" i="3"/>
  <c r="LI13" i="3"/>
  <c r="LH13" i="3"/>
  <c r="LG13" i="3"/>
  <c r="LF13" i="3"/>
  <c r="LE13" i="3"/>
  <c r="LD13" i="3"/>
  <c r="LC13" i="3"/>
  <c r="LB13" i="3"/>
  <c r="LA13" i="3"/>
  <c r="KZ13" i="3"/>
  <c r="KY13" i="3"/>
  <c r="KX13" i="3"/>
  <c r="KW13" i="3"/>
  <c r="KV13" i="3"/>
  <c r="KU13" i="3"/>
  <c r="KT13" i="3"/>
  <c r="KS13" i="3"/>
  <c r="KR13" i="3"/>
  <c r="KQ13" i="3"/>
  <c r="KP13" i="3"/>
  <c r="KO13" i="3"/>
  <c r="KN13" i="3"/>
  <c r="KM13" i="3"/>
  <c r="KL13" i="3"/>
  <c r="KK13" i="3"/>
  <c r="KJ13" i="3"/>
  <c r="KI13" i="3"/>
  <c r="KH13" i="3"/>
  <c r="KG13" i="3"/>
  <c r="KF13" i="3"/>
  <c r="KE13" i="3"/>
  <c r="KD13" i="3"/>
  <c r="KC13" i="3"/>
  <c r="KB13" i="3"/>
  <c r="KA13" i="3"/>
  <c r="JZ13" i="3"/>
  <c r="JY13" i="3"/>
  <c r="JX13" i="3"/>
  <c r="JW13" i="3"/>
  <c r="JV13" i="3"/>
  <c r="JU13" i="3"/>
  <c r="JT13" i="3"/>
  <c r="JS13" i="3"/>
  <c r="JR13" i="3"/>
  <c r="JQ13" i="3"/>
  <c r="JP13" i="3"/>
  <c r="JO13" i="3"/>
  <c r="JN13" i="3"/>
  <c r="JM13" i="3"/>
  <c r="JL13" i="3"/>
  <c r="JK13" i="3"/>
  <c r="JJ13" i="3"/>
  <c r="JI13" i="3"/>
  <c r="JH13" i="3"/>
  <c r="JG13" i="3"/>
  <c r="JF13" i="3"/>
  <c r="JE13" i="3"/>
  <c r="JD13" i="3"/>
  <c r="JC13" i="3"/>
  <c r="JB13" i="3"/>
  <c r="JA13" i="3"/>
  <c r="IZ13" i="3"/>
  <c r="IY13" i="3"/>
  <c r="IX13" i="3"/>
  <c r="IW13" i="3"/>
  <c r="IV13" i="3"/>
  <c r="IU13" i="3"/>
  <c r="IT13" i="3"/>
  <c r="IS13" i="3"/>
  <c r="IR13" i="3"/>
  <c r="IQ13" i="3"/>
  <c r="IP13" i="3"/>
  <c r="IO13" i="3"/>
  <c r="IN13" i="3"/>
  <c r="IM13" i="3"/>
  <c r="IL13" i="3"/>
  <c r="IK13" i="3"/>
  <c r="IJ13" i="3"/>
  <c r="II13" i="3"/>
  <c r="IH13" i="3"/>
  <c r="IG13" i="3"/>
  <c r="IF13" i="3"/>
  <c r="IE13" i="3"/>
  <c r="ID13" i="3"/>
  <c r="IC13" i="3"/>
  <c r="IB13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PF12" i="3"/>
  <c r="PE12" i="3"/>
  <c r="PD12" i="3"/>
  <c r="PC12" i="3"/>
  <c r="PB12" i="3"/>
  <c r="PA12" i="3"/>
  <c r="OZ12" i="3"/>
  <c r="OY12" i="3"/>
  <c r="OX12" i="3"/>
  <c r="OW12" i="3"/>
  <c r="OV12" i="3"/>
  <c r="OU12" i="3"/>
  <c r="OT12" i="3"/>
  <c r="OS12" i="3"/>
  <c r="OR12" i="3"/>
  <c r="OQ12" i="3"/>
  <c r="OP12" i="3"/>
  <c r="OO12" i="3"/>
  <c r="ON12" i="3"/>
  <c r="OM12" i="3"/>
  <c r="OL12" i="3"/>
  <c r="OK12" i="3"/>
  <c r="OJ12" i="3"/>
  <c r="OI12" i="3"/>
  <c r="OH12" i="3"/>
  <c r="OG12" i="3"/>
  <c r="OF12" i="3"/>
  <c r="OE12" i="3"/>
  <c r="OD12" i="3"/>
  <c r="OC12" i="3"/>
  <c r="OB12" i="3"/>
  <c r="OA12" i="3"/>
  <c r="NZ12" i="3"/>
  <c r="NY12" i="3"/>
  <c r="NX12" i="3"/>
  <c r="NW12" i="3"/>
  <c r="NV12" i="3"/>
  <c r="NU12" i="3"/>
  <c r="NT12" i="3"/>
  <c r="NS12" i="3"/>
  <c r="NR12" i="3"/>
  <c r="NQ12" i="3"/>
  <c r="NP12" i="3"/>
  <c r="NO12" i="3"/>
  <c r="NN12" i="3"/>
  <c r="NM12" i="3"/>
  <c r="NL12" i="3"/>
  <c r="NK12" i="3"/>
  <c r="NJ12" i="3"/>
  <c r="NI12" i="3"/>
  <c r="NH12" i="3"/>
  <c r="NG12" i="3"/>
  <c r="NF12" i="3"/>
  <c r="NE12" i="3"/>
  <c r="ND12" i="3"/>
  <c r="NC12" i="3"/>
  <c r="NB12" i="3"/>
  <c r="NA12" i="3"/>
  <c r="MZ12" i="3"/>
  <c r="MY12" i="3"/>
  <c r="MX12" i="3"/>
  <c r="MW12" i="3"/>
  <c r="MV12" i="3"/>
  <c r="MU12" i="3"/>
  <c r="MT12" i="3"/>
  <c r="MS12" i="3"/>
  <c r="MR12" i="3"/>
  <c r="MQ12" i="3"/>
  <c r="MP12" i="3"/>
  <c r="MO12" i="3"/>
  <c r="MN12" i="3"/>
  <c r="MM12" i="3"/>
  <c r="ML12" i="3"/>
  <c r="MK12" i="3"/>
  <c r="MJ12" i="3"/>
  <c r="MI12" i="3"/>
  <c r="MH12" i="3"/>
  <c r="MG12" i="3"/>
  <c r="MF12" i="3"/>
  <c r="ME12" i="3"/>
  <c r="MD12" i="3"/>
  <c r="MC12" i="3"/>
  <c r="MB12" i="3"/>
  <c r="MA12" i="3"/>
  <c r="LZ12" i="3"/>
  <c r="LY12" i="3"/>
  <c r="LX12" i="3"/>
  <c r="LW12" i="3"/>
  <c r="LV12" i="3"/>
  <c r="LU12" i="3"/>
  <c r="LT12" i="3"/>
  <c r="LS12" i="3"/>
  <c r="LR12" i="3"/>
  <c r="LQ12" i="3"/>
  <c r="LP12" i="3"/>
  <c r="LO12" i="3"/>
  <c r="LN12" i="3"/>
  <c r="LM12" i="3"/>
  <c r="LL12" i="3"/>
  <c r="LK12" i="3"/>
  <c r="LJ12" i="3"/>
  <c r="LI12" i="3"/>
  <c r="LH12" i="3"/>
  <c r="LG12" i="3"/>
  <c r="LF12" i="3"/>
  <c r="LE12" i="3"/>
  <c r="LD12" i="3"/>
  <c r="LC12" i="3"/>
  <c r="LB12" i="3"/>
  <c r="LA12" i="3"/>
  <c r="KZ12" i="3"/>
  <c r="KY12" i="3"/>
  <c r="KX12" i="3"/>
  <c r="KW12" i="3"/>
  <c r="KV12" i="3"/>
  <c r="KU12" i="3"/>
  <c r="KT12" i="3"/>
  <c r="KS12" i="3"/>
  <c r="KR12" i="3"/>
  <c r="KQ12" i="3"/>
  <c r="KP12" i="3"/>
  <c r="KO12" i="3"/>
  <c r="KN12" i="3"/>
  <c r="KM12" i="3"/>
  <c r="KL12" i="3"/>
  <c r="KK12" i="3"/>
  <c r="KJ12" i="3"/>
  <c r="KI12" i="3"/>
  <c r="KH12" i="3"/>
  <c r="KG12" i="3"/>
  <c r="KF12" i="3"/>
  <c r="KE12" i="3"/>
  <c r="KD12" i="3"/>
  <c r="KC12" i="3"/>
  <c r="KB12" i="3"/>
  <c r="KA12" i="3"/>
  <c r="JZ12" i="3"/>
  <c r="JY12" i="3"/>
  <c r="JX12" i="3"/>
  <c r="JW12" i="3"/>
  <c r="JV12" i="3"/>
  <c r="JU12" i="3"/>
  <c r="JT12" i="3"/>
  <c r="JS12" i="3"/>
  <c r="JR12" i="3"/>
  <c r="JQ12" i="3"/>
  <c r="JP12" i="3"/>
  <c r="JO12" i="3"/>
  <c r="JN12" i="3"/>
  <c r="JM12" i="3"/>
  <c r="JL12" i="3"/>
  <c r="JK12" i="3"/>
  <c r="JJ12" i="3"/>
  <c r="JI12" i="3"/>
  <c r="JH12" i="3"/>
  <c r="JG12" i="3"/>
  <c r="JF12" i="3"/>
  <c r="JE12" i="3"/>
  <c r="JD12" i="3"/>
  <c r="JC12" i="3"/>
  <c r="JB12" i="3"/>
  <c r="JA12" i="3"/>
  <c r="IZ12" i="3"/>
  <c r="IY12" i="3"/>
  <c r="IX12" i="3"/>
  <c r="IW12" i="3"/>
  <c r="IV12" i="3"/>
  <c r="IU12" i="3"/>
  <c r="IT12" i="3"/>
  <c r="IS12" i="3"/>
  <c r="IR12" i="3"/>
  <c r="IQ12" i="3"/>
  <c r="IP12" i="3"/>
  <c r="IO12" i="3"/>
  <c r="IN12" i="3"/>
  <c r="IM12" i="3"/>
  <c r="IL12" i="3"/>
  <c r="IK12" i="3"/>
  <c r="IJ12" i="3"/>
  <c r="II12" i="3"/>
  <c r="IH12" i="3"/>
  <c r="IG12" i="3"/>
  <c r="IF12" i="3"/>
  <c r="IE12" i="3"/>
  <c r="ID12" i="3"/>
  <c r="IC12" i="3"/>
  <c r="IB12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PF11" i="3"/>
  <c r="PE11" i="3"/>
  <c r="PD11" i="3"/>
  <c r="PC11" i="3"/>
  <c r="PB11" i="3"/>
  <c r="PA11" i="3"/>
  <c r="OZ11" i="3"/>
  <c r="OY11" i="3"/>
  <c r="OX11" i="3"/>
  <c r="OW11" i="3"/>
  <c r="OV11" i="3"/>
  <c r="OU11" i="3"/>
  <c r="OT11" i="3"/>
  <c r="OS11" i="3"/>
  <c r="OR11" i="3"/>
  <c r="OQ11" i="3"/>
  <c r="OP11" i="3"/>
  <c r="OO11" i="3"/>
  <c r="ON11" i="3"/>
  <c r="OM11" i="3"/>
  <c r="OL11" i="3"/>
  <c r="OK11" i="3"/>
  <c r="OJ11" i="3"/>
  <c r="OI11" i="3"/>
  <c r="OH11" i="3"/>
  <c r="OG11" i="3"/>
  <c r="OF11" i="3"/>
  <c r="OE11" i="3"/>
  <c r="OD11" i="3"/>
  <c r="OC11" i="3"/>
  <c r="OB11" i="3"/>
  <c r="OA11" i="3"/>
  <c r="NZ11" i="3"/>
  <c r="NY11" i="3"/>
  <c r="NX11" i="3"/>
  <c r="NW11" i="3"/>
  <c r="NV11" i="3"/>
  <c r="NU11" i="3"/>
  <c r="NT11" i="3"/>
  <c r="NS11" i="3"/>
  <c r="NR11" i="3"/>
  <c r="NQ11" i="3"/>
  <c r="NP11" i="3"/>
  <c r="NO11" i="3"/>
  <c r="NN11" i="3"/>
  <c r="NM11" i="3"/>
  <c r="NL11" i="3"/>
  <c r="NK11" i="3"/>
  <c r="NJ11" i="3"/>
  <c r="NI11" i="3"/>
  <c r="NH11" i="3"/>
  <c r="NG11" i="3"/>
  <c r="NF11" i="3"/>
  <c r="NE11" i="3"/>
  <c r="ND11" i="3"/>
  <c r="NC11" i="3"/>
  <c r="NB11" i="3"/>
  <c r="NA11" i="3"/>
  <c r="MZ11" i="3"/>
  <c r="MY11" i="3"/>
  <c r="MX11" i="3"/>
  <c r="MW11" i="3"/>
  <c r="MV11" i="3"/>
  <c r="MU11" i="3"/>
  <c r="MT11" i="3"/>
  <c r="MS11" i="3"/>
  <c r="MR11" i="3"/>
  <c r="MQ11" i="3"/>
  <c r="MP11" i="3"/>
  <c r="MO11" i="3"/>
  <c r="MN11" i="3"/>
  <c r="MM11" i="3"/>
  <c r="ML11" i="3"/>
  <c r="MK11" i="3"/>
  <c r="MJ11" i="3"/>
  <c r="MI11" i="3"/>
  <c r="MH11" i="3"/>
  <c r="MG11" i="3"/>
  <c r="MF11" i="3"/>
  <c r="ME11" i="3"/>
  <c r="MD11" i="3"/>
  <c r="MC11" i="3"/>
  <c r="MB11" i="3"/>
  <c r="MA11" i="3"/>
  <c r="LZ11" i="3"/>
  <c r="LY11" i="3"/>
  <c r="LX11" i="3"/>
  <c r="LW11" i="3"/>
  <c r="LV11" i="3"/>
  <c r="LU11" i="3"/>
  <c r="LT11" i="3"/>
  <c r="LS11" i="3"/>
  <c r="LR11" i="3"/>
  <c r="LQ11" i="3"/>
  <c r="LP11" i="3"/>
  <c r="LO11" i="3"/>
  <c r="LN11" i="3"/>
  <c r="LM11" i="3"/>
  <c r="LL11" i="3"/>
  <c r="LK11" i="3"/>
  <c r="LJ11" i="3"/>
  <c r="LI11" i="3"/>
  <c r="LH11" i="3"/>
  <c r="LG11" i="3"/>
  <c r="LF11" i="3"/>
  <c r="LE11" i="3"/>
  <c r="LD11" i="3"/>
  <c r="LC11" i="3"/>
  <c r="LB11" i="3"/>
  <c r="LA11" i="3"/>
  <c r="KZ11" i="3"/>
  <c r="KY11" i="3"/>
  <c r="KX11" i="3"/>
  <c r="KW11" i="3"/>
  <c r="KV11" i="3"/>
  <c r="KU11" i="3"/>
  <c r="KT11" i="3"/>
  <c r="KS11" i="3"/>
  <c r="KR11" i="3"/>
  <c r="KQ11" i="3"/>
  <c r="KP11" i="3"/>
  <c r="KO11" i="3"/>
  <c r="KN11" i="3"/>
  <c r="KM11" i="3"/>
  <c r="KL11" i="3"/>
  <c r="KK11" i="3"/>
  <c r="KJ11" i="3"/>
  <c r="KI11" i="3"/>
  <c r="KH11" i="3"/>
  <c r="KG11" i="3"/>
  <c r="KF11" i="3"/>
  <c r="KE11" i="3"/>
  <c r="KD11" i="3"/>
  <c r="KC11" i="3"/>
  <c r="KB11" i="3"/>
  <c r="KA11" i="3"/>
  <c r="JZ11" i="3"/>
  <c r="JY11" i="3"/>
  <c r="JX11" i="3"/>
  <c r="JW11" i="3"/>
  <c r="JV11" i="3"/>
  <c r="JU11" i="3"/>
  <c r="JT11" i="3"/>
  <c r="JS11" i="3"/>
  <c r="JR11" i="3"/>
  <c r="JQ11" i="3"/>
  <c r="JP11" i="3"/>
  <c r="JO11" i="3"/>
  <c r="JN11" i="3"/>
  <c r="JM11" i="3"/>
  <c r="JL11" i="3"/>
  <c r="JK11" i="3"/>
  <c r="JJ11" i="3"/>
  <c r="JI11" i="3"/>
  <c r="JH11" i="3"/>
  <c r="JG11" i="3"/>
  <c r="JF11" i="3"/>
  <c r="JE11" i="3"/>
  <c r="JD11" i="3"/>
  <c r="JC11" i="3"/>
  <c r="JB11" i="3"/>
  <c r="JA11" i="3"/>
  <c r="IZ11" i="3"/>
  <c r="IY11" i="3"/>
  <c r="IX11" i="3"/>
  <c r="IW11" i="3"/>
  <c r="IV11" i="3"/>
  <c r="IU11" i="3"/>
  <c r="IT11" i="3"/>
  <c r="IS11" i="3"/>
  <c r="IR11" i="3"/>
  <c r="IQ11" i="3"/>
  <c r="IP11" i="3"/>
  <c r="IO11" i="3"/>
  <c r="IN11" i="3"/>
  <c r="IM11" i="3"/>
  <c r="IL11" i="3"/>
  <c r="IK11" i="3"/>
  <c r="IJ11" i="3"/>
  <c r="II11" i="3"/>
  <c r="IH11" i="3"/>
  <c r="IG11" i="3"/>
  <c r="IF11" i="3"/>
  <c r="IE11" i="3"/>
  <c r="ID11" i="3"/>
  <c r="IC11" i="3"/>
  <c r="IB11" i="3"/>
  <c r="IA11" i="3"/>
  <c r="HZ11" i="3"/>
  <c r="HY11" i="3"/>
  <c r="HX11" i="3"/>
  <c r="HW11" i="3"/>
  <c r="HV11" i="3"/>
  <c r="HU11" i="3"/>
  <c r="HT11" i="3"/>
  <c r="HS11" i="3"/>
  <c r="HR11" i="3"/>
  <c r="HQ11" i="3"/>
  <c r="HP11" i="3"/>
  <c r="HO11" i="3"/>
  <c r="HN11" i="3"/>
  <c r="HM11" i="3"/>
  <c r="HL11" i="3"/>
  <c r="HK11" i="3"/>
  <c r="HJ11" i="3"/>
  <c r="HI11" i="3"/>
  <c r="HH11" i="3"/>
  <c r="HG11" i="3"/>
  <c r="HF11" i="3"/>
  <c r="HE11" i="3"/>
  <c r="HD11" i="3"/>
  <c r="HC11" i="3"/>
  <c r="HB11" i="3"/>
  <c r="HA11" i="3"/>
  <c r="GZ11" i="3"/>
  <c r="GY11" i="3"/>
  <c r="GX11" i="3"/>
  <c r="GW11" i="3"/>
  <c r="GV11" i="3"/>
  <c r="GU11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PF10" i="3"/>
  <c r="PE10" i="3"/>
  <c r="PD10" i="3"/>
  <c r="PC10" i="3"/>
  <c r="PB10" i="3"/>
  <c r="PA10" i="3"/>
  <c r="OZ10" i="3"/>
  <c r="OY10" i="3"/>
  <c r="OX10" i="3"/>
  <c r="OW10" i="3"/>
  <c r="OV10" i="3"/>
  <c r="OU10" i="3"/>
  <c r="OT10" i="3"/>
  <c r="OS10" i="3"/>
  <c r="OR10" i="3"/>
  <c r="OQ10" i="3"/>
  <c r="OP10" i="3"/>
  <c r="OO10" i="3"/>
  <c r="ON10" i="3"/>
  <c r="OM10" i="3"/>
  <c r="OL10" i="3"/>
  <c r="OK10" i="3"/>
  <c r="OJ10" i="3"/>
  <c r="OI10" i="3"/>
  <c r="OH10" i="3"/>
  <c r="OG10" i="3"/>
  <c r="OF10" i="3"/>
  <c r="OE10" i="3"/>
  <c r="OD10" i="3"/>
  <c r="OC10" i="3"/>
  <c r="OB10" i="3"/>
  <c r="OA10" i="3"/>
  <c r="NZ10" i="3"/>
  <c r="NY10" i="3"/>
  <c r="NX10" i="3"/>
  <c r="NW10" i="3"/>
  <c r="NV10" i="3"/>
  <c r="NU10" i="3"/>
  <c r="NT10" i="3"/>
  <c r="NS10" i="3"/>
  <c r="NR10" i="3"/>
  <c r="NQ10" i="3"/>
  <c r="NP10" i="3"/>
  <c r="NO10" i="3"/>
  <c r="NN10" i="3"/>
  <c r="NM10" i="3"/>
  <c r="NL10" i="3"/>
  <c r="NK10" i="3"/>
  <c r="NJ10" i="3"/>
  <c r="NI10" i="3"/>
  <c r="NH10" i="3"/>
  <c r="NG10" i="3"/>
  <c r="NF10" i="3"/>
  <c r="NE10" i="3"/>
  <c r="ND10" i="3"/>
  <c r="NC10" i="3"/>
  <c r="NB10" i="3"/>
  <c r="NA10" i="3"/>
  <c r="MZ10" i="3"/>
  <c r="MY10" i="3"/>
  <c r="MX10" i="3"/>
  <c r="MW10" i="3"/>
  <c r="MV10" i="3"/>
  <c r="MU10" i="3"/>
  <c r="MT10" i="3"/>
  <c r="MS10" i="3"/>
  <c r="MR10" i="3"/>
  <c r="MQ10" i="3"/>
  <c r="MP10" i="3"/>
  <c r="MO10" i="3"/>
  <c r="MN10" i="3"/>
  <c r="MM10" i="3"/>
  <c r="ML10" i="3"/>
  <c r="MK10" i="3"/>
  <c r="MJ10" i="3"/>
  <c r="MI10" i="3"/>
  <c r="MH10" i="3"/>
  <c r="MG10" i="3"/>
  <c r="MF10" i="3"/>
  <c r="ME10" i="3"/>
  <c r="MD10" i="3"/>
  <c r="MC10" i="3"/>
  <c r="MB10" i="3"/>
  <c r="MA10" i="3"/>
  <c r="LZ10" i="3"/>
  <c r="LY10" i="3"/>
  <c r="LX10" i="3"/>
  <c r="LW10" i="3"/>
  <c r="LV10" i="3"/>
  <c r="LU10" i="3"/>
  <c r="LT10" i="3"/>
  <c r="LS10" i="3"/>
  <c r="LR10" i="3"/>
  <c r="LQ10" i="3"/>
  <c r="LP10" i="3"/>
  <c r="LO10" i="3"/>
  <c r="LN10" i="3"/>
  <c r="LM10" i="3"/>
  <c r="LL10" i="3"/>
  <c r="LK10" i="3"/>
  <c r="LJ10" i="3"/>
  <c r="LI10" i="3"/>
  <c r="LH10" i="3"/>
  <c r="LG10" i="3"/>
  <c r="LF10" i="3"/>
  <c r="LE10" i="3"/>
  <c r="LD10" i="3"/>
  <c r="LC10" i="3"/>
  <c r="LB10" i="3"/>
  <c r="LA10" i="3"/>
  <c r="KZ10" i="3"/>
  <c r="KY10" i="3"/>
  <c r="KX10" i="3"/>
  <c r="KW10" i="3"/>
  <c r="KV10" i="3"/>
  <c r="KU10" i="3"/>
  <c r="KT10" i="3"/>
  <c r="KS10" i="3"/>
  <c r="KR10" i="3"/>
  <c r="KQ10" i="3"/>
  <c r="KP10" i="3"/>
  <c r="KO10" i="3"/>
  <c r="KN10" i="3"/>
  <c r="KM10" i="3"/>
  <c r="KL10" i="3"/>
  <c r="KK10" i="3"/>
  <c r="KJ10" i="3"/>
  <c r="KI10" i="3"/>
  <c r="KH10" i="3"/>
  <c r="KG10" i="3"/>
  <c r="KF10" i="3"/>
  <c r="KE10" i="3"/>
  <c r="KD10" i="3"/>
  <c r="KC10" i="3"/>
  <c r="KB10" i="3"/>
  <c r="KA10" i="3"/>
  <c r="JZ10" i="3"/>
  <c r="JY10" i="3"/>
  <c r="JX10" i="3"/>
  <c r="JW10" i="3"/>
  <c r="JV10" i="3"/>
  <c r="JU10" i="3"/>
  <c r="JT10" i="3"/>
  <c r="JS10" i="3"/>
  <c r="JR10" i="3"/>
  <c r="JQ10" i="3"/>
  <c r="JP10" i="3"/>
  <c r="JO10" i="3"/>
  <c r="JN10" i="3"/>
  <c r="JM10" i="3"/>
  <c r="JL10" i="3"/>
  <c r="JK10" i="3"/>
  <c r="JJ10" i="3"/>
  <c r="JI10" i="3"/>
  <c r="JH10" i="3"/>
  <c r="JG10" i="3"/>
  <c r="JF10" i="3"/>
  <c r="JE10" i="3"/>
  <c r="JD10" i="3"/>
  <c r="JC10" i="3"/>
  <c r="JB10" i="3"/>
  <c r="JA10" i="3"/>
  <c r="IZ10" i="3"/>
  <c r="IY10" i="3"/>
  <c r="IX10" i="3"/>
  <c r="IW10" i="3"/>
  <c r="IV10" i="3"/>
  <c r="IU10" i="3"/>
  <c r="IT10" i="3"/>
  <c r="IS10" i="3"/>
  <c r="IR10" i="3"/>
  <c r="IQ10" i="3"/>
  <c r="IP10" i="3"/>
  <c r="IO10" i="3"/>
  <c r="IN10" i="3"/>
  <c r="IM10" i="3"/>
  <c r="IL10" i="3"/>
  <c r="IK10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PF9" i="3"/>
  <c r="PE9" i="3"/>
  <c r="PD9" i="3"/>
  <c r="PC9" i="3"/>
  <c r="PB9" i="3"/>
  <c r="PA9" i="3"/>
  <c r="OZ9" i="3"/>
  <c r="OY9" i="3"/>
  <c r="OX9" i="3"/>
  <c r="OW9" i="3"/>
  <c r="OV9" i="3"/>
  <c r="OU9" i="3"/>
  <c r="OT9" i="3"/>
  <c r="OS9" i="3"/>
  <c r="OR9" i="3"/>
  <c r="OQ9" i="3"/>
  <c r="OP9" i="3"/>
  <c r="OO9" i="3"/>
  <c r="ON9" i="3"/>
  <c r="OM9" i="3"/>
  <c r="OL9" i="3"/>
  <c r="OK9" i="3"/>
  <c r="OJ9" i="3"/>
  <c r="OI9" i="3"/>
  <c r="OH9" i="3"/>
  <c r="OG9" i="3"/>
  <c r="OF9" i="3"/>
  <c r="OE9" i="3"/>
  <c r="OD9" i="3"/>
  <c r="OC9" i="3"/>
  <c r="OB9" i="3"/>
  <c r="OA9" i="3"/>
  <c r="NZ9" i="3"/>
  <c r="NY9" i="3"/>
  <c r="NX9" i="3"/>
  <c r="NW9" i="3"/>
  <c r="NV9" i="3"/>
  <c r="NU9" i="3"/>
  <c r="NT9" i="3"/>
  <c r="NS9" i="3"/>
  <c r="NR9" i="3"/>
  <c r="NQ9" i="3"/>
  <c r="NP9" i="3"/>
  <c r="NO9" i="3"/>
  <c r="NN9" i="3"/>
  <c r="NM9" i="3"/>
  <c r="NL9" i="3"/>
  <c r="NK9" i="3"/>
  <c r="NJ9" i="3"/>
  <c r="NI9" i="3"/>
  <c r="NH9" i="3"/>
  <c r="NG9" i="3"/>
  <c r="NF9" i="3"/>
  <c r="NE9" i="3"/>
  <c r="ND9" i="3"/>
  <c r="NC9" i="3"/>
  <c r="NB9" i="3"/>
  <c r="NA9" i="3"/>
  <c r="MZ9" i="3"/>
  <c r="MY9" i="3"/>
  <c r="MX9" i="3"/>
  <c r="MW9" i="3"/>
  <c r="MV9" i="3"/>
  <c r="MU9" i="3"/>
  <c r="MT9" i="3"/>
  <c r="MS9" i="3"/>
  <c r="MR9" i="3"/>
  <c r="MQ9" i="3"/>
  <c r="MP9" i="3"/>
  <c r="MO9" i="3"/>
  <c r="MN9" i="3"/>
  <c r="MM9" i="3"/>
  <c r="ML9" i="3"/>
  <c r="MK9" i="3"/>
  <c r="MJ9" i="3"/>
  <c r="MI9" i="3"/>
  <c r="MH9" i="3"/>
  <c r="MG9" i="3"/>
  <c r="MF9" i="3"/>
  <c r="ME9" i="3"/>
  <c r="MD9" i="3"/>
  <c r="MC9" i="3"/>
  <c r="MB9" i="3"/>
  <c r="MA9" i="3"/>
  <c r="LZ9" i="3"/>
  <c r="LY9" i="3"/>
  <c r="LX9" i="3"/>
  <c r="LW9" i="3"/>
  <c r="LV9" i="3"/>
  <c r="LU9" i="3"/>
  <c r="LT9" i="3"/>
  <c r="LS9" i="3"/>
  <c r="LR9" i="3"/>
  <c r="LQ9" i="3"/>
  <c r="LP9" i="3"/>
  <c r="LO9" i="3"/>
  <c r="LN9" i="3"/>
  <c r="LM9" i="3"/>
  <c r="LL9" i="3"/>
  <c r="LK9" i="3"/>
  <c r="LJ9" i="3"/>
  <c r="LI9" i="3"/>
  <c r="LH9" i="3"/>
  <c r="LG9" i="3"/>
  <c r="LF9" i="3"/>
  <c r="LE9" i="3"/>
  <c r="LD9" i="3"/>
  <c r="LC9" i="3"/>
  <c r="LB9" i="3"/>
  <c r="LA9" i="3"/>
  <c r="KZ9" i="3"/>
  <c r="KY9" i="3"/>
  <c r="KX9" i="3"/>
  <c r="KW9" i="3"/>
  <c r="KV9" i="3"/>
  <c r="KU9" i="3"/>
  <c r="KT9" i="3"/>
  <c r="KS9" i="3"/>
  <c r="KR9" i="3"/>
  <c r="KQ9" i="3"/>
  <c r="KP9" i="3"/>
  <c r="KO9" i="3"/>
  <c r="KN9" i="3"/>
  <c r="KM9" i="3"/>
  <c r="KL9" i="3"/>
  <c r="KK9" i="3"/>
  <c r="KJ9" i="3"/>
  <c r="KI9" i="3"/>
  <c r="KH9" i="3"/>
  <c r="KG9" i="3"/>
  <c r="KF9" i="3"/>
  <c r="KE9" i="3"/>
  <c r="KD9" i="3"/>
  <c r="KC9" i="3"/>
  <c r="KB9" i="3"/>
  <c r="KA9" i="3"/>
  <c r="JZ9" i="3"/>
  <c r="JY9" i="3"/>
  <c r="JX9" i="3"/>
  <c r="JW9" i="3"/>
  <c r="JV9" i="3"/>
  <c r="JU9" i="3"/>
  <c r="JT9" i="3"/>
  <c r="JS9" i="3"/>
  <c r="JR9" i="3"/>
  <c r="JQ9" i="3"/>
  <c r="JP9" i="3"/>
  <c r="JO9" i="3"/>
  <c r="JN9" i="3"/>
  <c r="JM9" i="3"/>
  <c r="JL9" i="3"/>
  <c r="JK9" i="3"/>
  <c r="JJ9" i="3"/>
  <c r="JI9" i="3"/>
  <c r="JH9" i="3"/>
  <c r="JG9" i="3"/>
  <c r="JF9" i="3"/>
  <c r="JE9" i="3"/>
  <c r="JD9" i="3"/>
  <c r="JC9" i="3"/>
  <c r="JB9" i="3"/>
  <c r="JA9" i="3"/>
  <c r="IZ9" i="3"/>
  <c r="IY9" i="3"/>
  <c r="IX9" i="3"/>
  <c r="IW9" i="3"/>
  <c r="IV9" i="3"/>
  <c r="IU9" i="3"/>
  <c r="IT9" i="3"/>
  <c r="IS9" i="3"/>
  <c r="IR9" i="3"/>
  <c r="IQ9" i="3"/>
  <c r="IP9" i="3"/>
  <c r="IO9" i="3"/>
  <c r="IN9" i="3"/>
  <c r="IM9" i="3"/>
  <c r="IL9" i="3"/>
  <c r="IK9" i="3"/>
  <c r="IJ9" i="3"/>
  <c r="II9" i="3"/>
  <c r="IH9" i="3"/>
  <c r="IG9" i="3"/>
  <c r="IF9" i="3"/>
  <c r="IE9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HM9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PF8" i="3"/>
  <c r="PE8" i="3"/>
  <c r="PD8" i="3"/>
  <c r="PC8" i="3"/>
  <c r="PB8" i="3"/>
  <c r="PA8" i="3"/>
  <c r="OZ8" i="3"/>
  <c r="OY8" i="3"/>
  <c r="OX8" i="3"/>
  <c r="OW8" i="3"/>
  <c r="OV8" i="3"/>
  <c r="OU8" i="3"/>
  <c r="OT8" i="3"/>
  <c r="OS8" i="3"/>
  <c r="OR8" i="3"/>
  <c r="OQ8" i="3"/>
  <c r="OP8" i="3"/>
  <c r="OO8" i="3"/>
  <c r="ON8" i="3"/>
  <c r="OM8" i="3"/>
  <c r="OL8" i="3"/>
  <c r="OK8" i="3"/>
  <c r="OJ8" i="3"/>
  <c r="OI8" i="3"/>
  <c r="OH8" i="3"/>
  <c r="OG8" i="3"/>
  <c r="OF8" i="3"/>
  <c r="OE8" i="3"/>
  <c r="OD8" i="3"/>
  <c r="OC8" i="3"/>
  <c r="OB8" i="3"/>
  <c r="OA8" i="3"/>
  <c r="NZ8" i="3"/>
  <c r="NY8" i="3"/>
  <c r="NX8" i="3"/>
  <c r="NW8" i="3"/>
  <c r="NV8" i="3"/>
  <c r="NU8" i="3"/>
  <c r="NT8" i="3"/>
  <c r="NS8" i="3"/>
  <c r="NR8" i="3"/>
  <c r="NQ8" i="3"/>
  <c r="NP8" i="3"/>
  <c r="NO8" i="3"/>
  <c r="NN8" i="3"/>
  <c r="NM8" i="3"/>
  <c r="NL8" i="3"/>
  <c r="NK8" i="3"/>
  <c r="NJ8" i="3"/>
  <c r="NI8" i="3"/>
  <c r="NH8" i="3"/>
  <c r="NG8" i="3"/>
  <c r="NF8" i="3"/>
  <c r="NE8" i="3"/>
  <c r="ND8" i="3"/>
  <c r="NC8" i="3"/>
  <c r="NB8" i="3"/>
  <c r="NA8" i="3"/>
  <c r="MZ8" i="3"/>
  <c r="MY8" i="3"/>
  <c r="MX8" i="3"/>
  <c r="MW8" i="3"/>
  <c r="MV8" i="3"/>
  <c r="MU8" i="3"/>
  <c r="MT8" i="3"/>
  <c r="MS8" i="3"/>
  <c r="MR8" i="3"/>
  <c r="MQ8" i="3"/>
  <c r="MP8" i="3"/>
  <c r="MO8" i="3"/>
  <c r="MN8" i="3"/>
  <c r="MM8" i="3"/>
  <c r="ML8" i="3"/>
  <c r="MK8" i="3"/>
  <c r="MJ8" i="3"/>
  <c r="MI8" i="3"/>
  <c r="MH8" i="3"/>
  <c r="MG8" i="3"/>
  <c r="MF8" i="3"/>
  <c r="ME8" i="3"/>
  <c r="MD8" i="3"/>
  <c r="MC8" i="3"/>
  <c r="MB8" i="3"/>
  <c r="MA8" i="3"/>
  <c r="LZ8" i="3"/>
  <c r="LY8" i="3"/>
  <c r="LX8" i="3"/>
  <c r="LW8" i="3"/>
  <c r="LV8" i="3"/>
  <c r="LU8" i="3"/>
  <c r="LT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LD8" i="3"/>
  <c r="LC8" i="3"/>
  <c r="LB8" i="3"/>
  <c r="LA8" i="3"/>
  <c r="KZ8" i="3"/>
  <c r="KY8" i="3"/>
  <c r="KX8" i="3"/>
  <c r="KW8" i="3"/>
  <c r="KV8" i="3"/>
  <c r="KU8" i="3"/>
  <c r="KT8" i="3"/>
  <c r="KS8" i="3"/>
  <c r="KR8" i="3"/>
  <c r="KQ8" i="3"/>
  <c r="KP8" i="3"/>
  <c r="KO8" i="3"/>
  <c r="KN8" i="3"/>
  <c r="KM8" i="3"/>
  <c r="KL8" i="3"/>
  <c r="KK8" i="3"/>
  <c r="KJ8" i="3"/>
  <c r="KI8" i="3"/>
  <c r="KH8" i="3"/>
  <c r="KG8" i="3"/>
  <c r="KF8" i="3"/>
  <c r="KE8" i="3"/>
  <c r="KD8" i="3"/>
  <c r="KC8" i="3"/>
  <c r="KB8" i="3"/>
  <c r="KA8" i="3"/>
  <c r="JZ8" i="3"/>
  <c r="JY8" i="3"/>
  <c r="JX8" i="3"/>
  <c r="JW8" i="3"/>
  <c r="JV8" i="3"/>
  <c r="JU8" i="3"/>
  <c r="JT8" i="3"/>
  <c r="JS8" i="3"/>
  <c r="JR8" i="3"/>
  <c r="JQ8" i="3"/>
  <c r="JP8" i="3"/>
  <c r="JO8" i="3"/>
  <c r="JN8" i="3"/>
  <c r="JM8" i="3"/>
  <c r="JL8" i="3"/>
  <c r="JK8" i="3"/>
  <c r="JJ8" i="3"/>
  <c r="JI8" i="3"/>
  <c r="JH8" i="3"/>
  <c r="JG8" i="3"/>
  <c r="JF8" i="3"/>
  <c r="JE8" i="3"/>
  <c r="JD8" i="3"/>
  <c r="JC8" i="3"/>
  <c r="JB8" i="3"/>
  <c r="JA8" i="3"/>
  <c r="IZ8" i="3"/>
  <c r="IY8" i="3"/>
  <c r="IX8" i="3"/>
  <c r="IW8" i="3"/>
  <c r="IV8" i="3"/>
  <c r="IU8" i="3"/>
  <c r="IT8" i="3"/>
  <c r="IS8" i="3"/>
  <c r="IR8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PF7" i="3"/>
  <c r="PE7" i="3"/>
  <c r="PD7" i="3"/>
  <c r="PC7" i="3"/>
  <c r="PB7" i="3"/>
  <c r="PA7" i="3"/>
  <c r="OZ7" i="3"/>
  <c r="OY7" i="3"/>
  <c r="OX7" i="3"/>
  <c r="OW7" i="3"/>
  <c r="OV7" i="3"/>
  <c r="OU7" i="3"/>
  <c r="OT7" i="3"/>
  <c r="OS7" i="3"/>
  <c r="OR7" i="3"/>
  <c r="OQ7" i="3"/>
  <c r="OP7" i="3"/>
  <c r="OO7" i="3"/>
  <c r="ON7" i="3"/>
  <c r="OM7" i="3"/>
  <c r="OL7" i="3"/>
  <c r="OK7" i="3"/>
  <c r="OJ7" i="3"/>
  <c r="OI7" i="3"/>
  <c r="OH7" i="3"/>
  <c r="OG7" i="3"/>
  <c r="OF7" i="3"/>
  <c r="OE7" i="3"/>
  <c r="OD7" i="3"/>
  <c r="OC7" i="3"/>
  <c r="OB7" i="3"/>
  <c r="OA7" i="3"/>
  <c r="NZ7" i="3"/>
  <c r="NY7" i="3"/>
  <c r="NX7" i="3"/>
  <c r="NW7" i="3"/>
  <c r="NV7" i="3"/>
  <c r="NU7" i="3"/>
  <c r="NT7" i="3"/>
  <c r="NS7" i="3"/>
  <c r="NR7" i="3"/>
  <c r="NQ7" i="3"/>
  <c r="NP7" i="3"/>
  <c r="NO7" i="3"/>
  <c r="NN7" i="3"/>
  <c r="NM7" i="3"/>
  <c r="NL7" i="3"/>
  <c r="NK7" i="3"/>
  <c r="NJ7" i="3"/>
  <c r="NI7" i="3"/>
  <c r="NH7" i="3"/>
  <c r="NG7" i="3"/>
  <c r="NF7" i="3"/>
  <c r="NE7" i="3"/>
  <c r="ND7" i="3"/>
  <c r="NC7" i="3"/>
  <c r="NB7" i="3"/>
  <c r="NA7" i="3"/>
  <c r="MZ7" i="3"/>
  <c r="MY7" i="3"/>
  <c r="MX7" i="3"/>
  <c r="MW7" i="3"/>
  <c r="MV7" i="3"/>
  <c r="MU7" i="3"/>
  <c r="MT7" i="3"/>
  <c r="MS7" i="3"/>
  <c r="MR7" i="3"/>
  <c r="MQ7" i="3"/>
  <c r="MP7" i="3"/>
  <c r="MO7" i="3"/>
  <c r="MN7" i="3"/>
  <c r="MM7" i="3"/>
  <c r="ML7" i="3"/>
  <c r="MK7" i="3"/>
  <c r="MJ7" i="3"/>
  <c r="MI7" i="3"/>
  <c r="MH7" i="3"/>
  <c r="MG7" i="3"/>
  <c r="MF7" i="3"/>
  <c r="ME7" i="3"/>
  <c r="MD7" i="3"/>
  <c r="MC7" i="3"/>
  <c r="MB7" i="3"/>
  <c r="MA7" i="3"/>
  <c r="LZ7" i="3"/>
  <c r="LY7" i="3"/>
  <c r="LX7" i="3"/>
  <c r="LW7" i="3"/>
  <c r="LV7" i="3"/>
  <c r="LU7" i="3"/>
  <c r="LT7" i="3"/>
  <c r="LS7" i="3"/>
  <c r="LR7" i="3"/>
  <c r="LQ7" i="3"/>
  <c r="LP7" i="3"/>
  <c r="LO7" i="3"/>
  <c r="LN7" i="3"/>
  <c r="LM7" i="3"/>
  <c r="LL7" i="3"/>
  <c r="LK7" i="3"/>
  <c r="LJ7" i="3"/>
  <c r="LI7" i="3"/>
  <c r="LH7" i="3"/>
  <c r="LG7" i="3"/>
  <c r="LF7" i="3"/>
  <c r="LE7" i="3"/>
  <c r="LD7" i="3"/>
  <c r="LC7" i="3"/>
  <c r="LB7" i="3"/>
  <c r="LA7" i="3"/>
  <c r="KZ7" i="3"/>
  <c r="KY7" i="3"/>
  <c r="KX7" i="3"/>
  <c r="KW7" i="3"/>
  <c r="KV7" i="3"/>
  <c r="KU7" i="3"/>
  <c r="KT7" i="3"/>
  <c r="KS7" i="3"/>
  <c r="KR7" i="3"/>
  <c r="KQ7" i="3"/>
  <c r="KP7" i="3"/>
  <c r="KO7" i="3"/>
  <c r="KN7" i="3"/>
  <c r="KM7" i="3"/>
  <c r="KL7" i="3"/>
  <c r="KK7" i="3"/>
  <c r="KJ7" i="3"/>
  <c r="KI7" i="3"/>
  <c r="KH7" i="3"/>
  <c r="KG7" i="3"/>
  <c r="KF7" i="3"/>
  <c r="KE7" i="3"/>
  <c r="KD7" i="3"/>
  <c r="KC7" i="3"/>
  <c r="KB7" i="3"/>
  <c r="KA7" i="3"/>
  <c r="JZ7" i="3"/>
  <c r="JY7" i="3"/>
  <c r="JX7" i="3"/>
  <c r="JW7" i="3"/>
  <c r="JV7" i="3"/>
  <c r="JU7" i="3"/>
  <c r="JT7" i="3"/>
  <c r="JS7" i="3"/>
  <c r="JR7" i="3"/>
  <c r="JQ7" i="3"/>
  <c r="JP7" i="3"/>
  <c r="JO7" i="3"/>
  <c r="JN7" i="3"/>
  <c r="JM7" i="3"/>
  <c r="JL7" i="3"/>
  <c r="JK7" i="3"/>
  <c r="JJ7" i="3"/>
  <c r="JI7" i="3"/>
  <c r="JH7" i="3"/>
  <c r="JG7" i="3"/>
  <c r="JF7" i="3"/>
  <c r="JE7" i="3"/>
  <c r="JD7" i="3"/>
  <c r="JC7" i="3"/>
  <c r="JB7" i="3"/>
  <c r="JA7" i="3"/>
  <c r="IZ7" i="3"/>
  <c r="IY7" i="3"/>
  <c r="IX7" i="3"/>
  <c r="IW7" i="3"/>
  <c r="IV7" i="3"/>
  <c r="IU7" i="3"/>
  <c r="IT7" i="3"/>
  <c r="IS7" i="3"/>
  <c r="IR7" i="3"/>
  <c r="IQ7" i="3"/>
  <c r="IP7" i="3"/>
  <c r="IO7" i="3"/>
  <c r="IN7" i="3"/>
  <c r="IM7" i="3"/>
  <c r="IL7" i="3"/>
  <c r="IK7" i="3"/>
  <c r="IJ7" i="3"/>
  <c r="II7" i="3"/>
  <c r="IH7" i="3"/>
  <c r="IG7" i="3"/>
  <c r="IF7" i="3"/>
  <c r="IE7" i="3"/>
  <c r="ID7" i="3"/>
  <c r="IC7" i="3"/>
  <c r="IB7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HM7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PF6" i="3"/>
  <c r="PE6" i="3"/>
  <c r="PD6" i="3"/>
  <c r="PC6" i="3"/>
  <c r="PB6" i="3"/>
  <c r="PA6" i="3"/>
  <c r="OZ6" i="3"/>
  <c r="OY6" i="3"/>
  <c r="OX6" i="3"/>
  <c r="OW6" i="3"/>
  <c r="OV6" i="3"/>
  <c r="OU6" i="3"/>
  <c r="OT6" i="3"/>
  <c r="OS6" i="3"/>
  <c r="OR6" i="3"/>
  <c r="OQ6" i="3"/>
  <c r="OP6" i="3"/>
  <c r="OO6" i="3"/>
  <c r="ON6" i="3"/>
  <c r="OM6" i="3"/>
  <c r="OL6" i="3"/>
  <c r="OK6" i="3"/>
  <c r="OJ6" i="3"/>
  <c r="OI6" i="3"/>
  <c r="OH6" i="3"/>
  <c r="OG6" i="3"/>
  <c r="OF6" i="3"/>
  <c r="OE6" i="3"/>
  <c r="OD6" i="3"/>
  <c r="OC6" i="3"/>
  <c r="OB6" i="3"/>
  <c r="OA6" i="3"/>
  <c r="NZ6" i="3"/>
  <c r="NY6" i="3"/>
  <c r="NX6" i="3"/>
  <c r="NW6" i="3"/>
  <c r="NV6" i="3"/>
  <c r="NU6" i="3"/>
  <c r="NT6" i="3"/>
  <c r="NS6" i="3"/>
  <c r="NR6" i="3"/>
  <c r="NQ6" i="3"/>
  <c r="NP6" i="3"/>
  <c r="NO6" i="3"/>
  <c r="NN6" i="3"/>
  <c r="NM6" i="3"/>
  <c r="NL6" i="3"/>
  <c r="NK6" i="3"/>
  <c r="NJ6" i="3"/>
  <c r="NI6" i="3"/>
  <c r="NH6" i="3"/>
  <c r="NG6" i="3"/>
  <c r="NF6" i="3"/>
  <c r="NE6" i="3"/>
  <c r="ND6" i="3"/>
  <c r="NC6" i="3"/>
  <c r="NB6" i="3"/>
  <c r="NA6" i="3"/>
  <c r="MZ6" i="3"/>
  <c r="MY6" i="3"/>
  <c r="MX6" i="3"/>
  <c r="MW6" i="3"/>
  <c r="MV6" i="3"/>
  <c r="MU6" i="3"/>
  <c r="MT6" i="3"/>
  <c r="MS6" i="3"/>
  <c r="MR6" i="3"/>
  <c r="MQ6" i="3"/>
  <c r="MP6" i="3"/>
  <c r="MO6" i="3"/>
  <c r="MN6" i="3"/>
  <c r="MM6" i="3"/>
  <c r="ML6" i="3"/>
  <c r="MK6" i="3"/>
  <c r="MJ6" i="3"/>
  <c r="MI6" i="3"/>
  <c r="MH6" i="3"/>
  <c r="MG6" i="3"/>
  <c r="MF6" i="3"/>
  <c r="ME6" i="3"/>
  <c r="MD6" i="3"/>
  <c r="MC6" i="3"/>
  <c r="MB6" i="3"/>
  <c r="MA6" i="3"/>
  <c r="LZ6" i="3"/>
  <c r="LY6" i="3"/>
  <c r="LX6" i="3"/>
  <c r="LW6" i="3"/>
  <c r="LV6" i="3"/>
  <c r="LU6" i="3"/>
  <c r="LT6" i="3"/>
  <c r="LS6" i="3"/>
  <c r="LR6" i="3"/>
  <c r="LQ6" i="3"/>
  <c r="LP6" i="3"/>
  <c r="LO6" i="3"/>
  <c r="LN6" i="3"/>
  <c r="LM6" i="3"/>
  <c r="LL6" i="3"/>
  <c r="LK6" i="3"/>
  <c r="LJ6" i="3"/>
  <c r="LI6" i="3"/>
  <c r="LH6" i="3"/>
  <c r="LG6" i="3"/>
  <c r="LF6" i="3"/>
  <c r="LE6" i="3"/>
  <c r="LD6" i="3"/>
  <c r="LC6" i="3"/>
  <c r="LB6" i="3"/>
  <c r="LA6" i="3"/>
  <c r="KZ6" i="3"/>
  <c r="KY6" i="3"/>
  <c r="KX6" i="3"/>
  <c r="KW6" i="3"/>
  <c r="KV6" i="3"/>
  <c r="KU6" i="3"/>
  <c r="KT6" i="3"/>
  <c r="KS6" i="3"/>
  <c r="KR6" i="3"/>
  <c r="KQ6" i="3"/>
  <c r="KP6" i="3"/>
  <c r="KO6" i="3"/>
  <c r="KN6" i="3"/>
  <c r="KM6" i="3"/>
  <c r="KL6" i="3"/>
  <c r="KK6" i="3"/>
  <c r="KJ6" i="3"/>
  <c r="KI6" i="3"/>
  <c r="KH6" i="3"/>
  <c r="KG6" i="3"/>
  <c r="KF6" i="3"/>
  <c r="KE6" i="3"/>
  <c r="KD6" i="3"/>
  <c r="KC6" i="3"/>
  <c r="KB6" i="3"/>
  <c r="KA6" i="3"/>
  <c r="JZ6" i="3"/>
  <c r="JY6" i="3"/>
  <c r="JX6" i="3"/>
  <c r="JW6" i="3"/>
  <c r="JV6" i="3"/>
  <c r="JU6" i="3"/>
  <c r="JT6" i="3"/>
  <c r="JS6" i="3"/>
  <c r="JR6" i="3"/>
  <c r="JQ6" i="3"/>
  <c r="JP6" i="3"/>
  <c r="JO6" i="3"/>
  <c r="JN6" i="3"/>
  <c r="JM6" i="3"/>
  <c r="JL6" i="3"/>
  <c r="JK6" i="3"/>
  <c r="JJ6" i="3"/>
  <c r="JI6" i="3"/>
  <c r="JH6" i="3"/>
  <c r="JG6" i="3"/>
  <c r="JF6" i="3"/>
  <c r="JE6" i="3"/>
  <c r="JD6" i="3"/>
  <c r="JC6" i="3"/>
  <c r="JB6" i="3"/>
  <c r="JA6" i="3"/>
  <c r="IZ6" i="3"/>
  <c r="IY6" i="3"/>
  <c r="IX6" i="3"/>
  <c r="IW6" i="3"/>
  <c r="IV6" i="3"/>
  <c r="IU6" i="3"/>
  <c r="IT6" i="3"/>
  <c r="IS6" i="3"/>
  <c r="IR6" i="3"/>
  <c r="IQ6" i="3"/>
  <c r="IP6" i="3"/>
  <c r="IO6" i="3"/>
  <c r="IN6" i="3"/>
  <c r="IM6" i="3"/>
  <c r="IL6" i="3"/>
  <c r="IK6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PF5" i="3"/>
  <c r="PE5" i="3"/>
  <c r="PD5" i="3"/>
  <c r="PC5" i="3"/>
  <c r="PB5" i="3"/>
  <c r="PA5" i="3"/>
  <c r="OZ5" i="3"/>
  <c r="OY5" i="3"/>
  <c r="OX5" i="3"/>
  <c r="OW5" i="3"/>
  <c r="OV5" i="3"/>
  <c r="OU5" i="3"/>
  <c r="OT5" i="3"/>
  <c r="OS5" i="3"/>
  <c r="OR5" i="3"/>
  <c r="OQ5" i="3"/>
  <c r="OP5" i="3"/>
  <c r="OO5" i="3"/>
  <c r="ON5" i="3"/>
  <c r="OM5" i="3"/>
  <c r="OL5" i="3"/>
  <c r="OK5" i="3"/>
  <c r="OJ5" i="3"/>
  <c r="OI5" i="3"/>
  <c r="OH5" i="3"/>
  <c r="OG5" i="3"/>
  <c r="OF5" i="3"/>
  <c r="OE5" i="3"/>
  <c r="OD5" i="3"/>
  <c r="OC5" i="3"/>
  <c r="OB5" i="3"/>
  <c r="OA5" i="3"/>
  <c r="NZ5" i="3"/>
  <c r="NY5" i="3"/>
  <c r="NX5" i="3"/>
  <c r="NW5" i="3"/>
  <c r="NV5" i="3"/>
  <c r="NU5" i="3"/>
  <c r="NT5" i="3"/>
  <c r="NS5" i="3"/>
  <c r="NR5" i="3"/>
  <c r="NQ5" i="3"/>
  <c r="NP5" i="3"/>
  <c r="NO5" i="3"/>
  <c r="NN5" i="3"/>
  <c r="NM5" i="3"/>
  <c r="NL5" i="3"/>
  <c r="NK5" i="3"/>
  <c r="NJ5" i="3"/>
  <c r="NI5" i="3"/>
  <c r="NH5" i="3"/>
  <c r="NG5" i="3"/>
  <c r="NF5" i="3"/>
  <c r="NE5" i="3"/>
  <c r="ND5" i="3"/>
  <c r="NC5" i="3"/>
  <c r="NB5" i="3"/>
  <c r="NA5" i="3"/>
  <c r="MZ5" i="3"/>
  <c r="MY5" i="3"/>
  <c r="MX5" i="3"/>
  <c r="MW5" i="3"/>
  <c r="MV5" i="3"/>
  <c r="MU5" i="3"/>
  <c r="MT5" i="3"/>
  <c r="MS5" i="3"/>
  <c r="MR5" i="3"/>
  <c r="MQ5" i="3"/>
  <c r="MP5" i="3"/>
  <c r="MO5" i="3"/>
  <c r="MN5" i="3"/>
  <c r="MM5" i="3"/>
  <c r="ML5" i="3"/>
  <c r="MK5" i="3"/>
  <c r="MJ5" i="3"/>
  <c r="MI5" i="3"/>
  <c r="MH5" i="3"/>
  <c r="MG5" i="3"/>
  <c r="MF5" i="3"/>
  <c r="ME5" i="3"/>
  <c r="MD5" i="3"/>
  <c r="MC5" i="3"/>
  <c r="MB5" i="3"/>
  <c r="MA5" i="3"/>
  <c r="LZ5" i="3"/>
  <c r="LY5" i="3"/>
  <c r="LX5" i="3"/>
  <c r="LW5" i="3"/>
  <c r="LV5" i="3"/>
  <c r="LU5" i="3"/>
  <c r="LT5" i="3"/>
  <c r="LS5" i="3"/>
  <c r="LR5" i="3"/>
  <c r="LQ5" i="3"/>
  <c r="LP5" i="3"/>
  <c r="LO5" i="3"/>
  <c r="LN5" i="3"/>
  <c r="LM5" i="3"/>
  <c r="LL5" i="3"/>
  <c r="LK5" i="3"/>
  <c r="LJ5" i="3"/>
  <c r="LI5" i="3"/>
  <c r="LH5" i="3"/>
  <c r="LG5" i="3"/>
  <c r="LF5" i="3"/>
  <c r="LE5" i="3"/>
  <c r="LD5" i="3"/>
  <c r="LC5" i="3"/>
  <c r="LB5" i="3"/>
  <c r="LA5" i="3"/>
  <c r="KZ5" i="3"/>
  <c r="KY5" i="3"/>
  <c r="KX5" i="3"/>
  <c r="KW5" i="3"/>
  <c r="KV5" i="3"/>
  <c r="KU5" i="3"/>
  <c r="KT5" i="3"/>
  <c r="KS5" i="3"/>
  <c r="KR5" i="3"/>
  <c r="KQ5" i="3"/>
  <c r="KP5" i="3"/>
  <c r="KO5" i="3"/>
  <c r="KN5" i="3"/>
  <c r="KM5" i="3"/>
  <c r="KL5" i="3"/>
  <c r="KK5" i="3"/>
  <c r="KJ5" i="3"/>
  <c r="KI5" i="3"/>
  <c r="KH5" i="3"/>
  <c r="KG5" i="3"/>
  <c r="KF5" i="3"/>
  <c r="KE5" i="3"/>
  <c r="KD5" i="3"/>
  <c r="KC5" i="3"/>
  <c r="KB5" i="3"/>
  <c r="KA5" i="3"/>
  <c r="JZ5" i="3"/>
  <c r="JY5" i="3"/>
  <c r="JX5" i="3"/>
  <c r="JW5" i="3"/>
  <c r="JV5" i="3"/>
  <c r="JU5" i="3"/>
  <c r="JT5" i="3"/>
  <c r="JS5" i="3"/>
  <c r="JR5" i="3"/>
  <c r="JQ5" i="3"/>
  <c r="JP5" i="3"/>
  <c r="JO5" i="3"/>
  <c r="JN5" i="3"/>
  <c r="JM5" i="3"/>
  <c r="JL5" i="3"/>
  <c r="JK5" i="3"/>
  <c r="JJ5" i="3"/>
  <c r="JI5" i="3"/>
  <c r="JH5" i="3"/>
  <c r="JG5" i="3"/>
  <c r="JF5" i="3"/>
  <c r="JE5" i="3"/>
  <c r="JD5" i="3"/>
  <c r="JC5" i="3"/>
  <c r="JB5" i="3"/>
  <c r="JA5" i="3"/>
  <c r="IZ5" i="3"/>
  <c r="IY5" i="3"/>
  <c r="IX5" i="3"/>
  <c r="IW5" i="3"/>
  <c r="IV5" i="3"/>
  <c r="IU5" i="3"/>
  <c r="IT5" i="3"/>
  <c r="IS5" i="3"/>
  <c r="IR5" i="3"/>
  <c r="IQ5" i="3"/>
  <c r="IP5" i="3"/>
  <c r="IO5" i="3"/>
  <c r="IN5" i="3"/>
  <c r="IM5" i="3"/>
  <c r="IL5" i="3"/>
  <c r="IK5" i="3"/>
  <c r="IJ5" i="3"/>
  <c r="II5" i="3"/>
  <c r="IH5" i="3"/>
  <c r="IG5" i="3"/>
  <c r="IF5" i="3"/>
  <c r="IE5" i="3"/>
  <c r="ID5" i="3"/>
  <c r="IC5" i="3"/>
  <c r="IB5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PF4" i="3"/>
  <c r="PE4" i="3"/>
  <c r="PD4" i="3"/>
  <c r="PC4" i="3"/>
  <c r="PB4" i="3"/>
  <c r="PA4" i="3"/>
  <c r="OZ4" i="3"/>
  <c r="OY4" i="3"/>
  <c r="OX4" i="3"/>
  <c r="OW4" i="3"/>
  <c r="OV4" i="3"/>
  <c r="OU4" i="3"/>
  <c r="OT4" i="3"/>
  <c r="OS4" i="3"/>
  <c r="OR4" i="3"/>
  <c r="OQ4" i="3"/>
  <c r="OP4" i="3"/>
  <c r="OO4" i="3"/>
  <c r="ON4" i="3"/>
  <c r="OM4" i="3"/>
  <c r="OL4" i="3"/>
  <c r="OK4" i="3"/>
  <c r="OJ4" i="3"/>
  <c r="OI4" i="3"/>
  <c r="OH4" i="3"/>
  <c r="OG4" i="3"/>
  <c r="OF4" i="3"/>
  <c r="OE4" i="3"/>
  <c r="OD4" i="3"/>
  <c r="OC4" i="3"/>
  <c r="OB4" i="3"/>
  <c r="OA4" i="3"/>
  <c r="NZ4" i="3"/>
  <c r="NY4" i="3"/>
  <c r="NX4" i="3"/>
  <c r="NW4" i="3"/>
  <c r="NV4" i="3"/>
  <c r="NU4" i="3"/>
  <c r="NT4" i="3"/>
  <c r="NS4" i="3"/>
  <c r="NR4" i="3"/>
  <c r="NQ4" i="3"/>
  <c r="NP4" i="3"/>
  <c r="NO4" i="3"/>
  <c r="NN4" i="3"/>
  <c r="NM4" i="3"/>
  <c r="NL4" i="3"/>
  <c r="NK4" i="3"/>
  <c r="NJ4" i="3"/>
  <c r="NI4" i="3"/>
  <c r="NH4" i="3"/>
  <c r="NG4" i="3"/>
  <c r="NF4" i="3"/>
  <c r="NE4" i="3"/>
  <c r="ND4" i="3"/>
  <c r="NC4" i="3"/>
  <c r="NB4" i="3"/>
  <c r="NA4" i="3"/>
  <c r="MZ4" i="3"/>
  <c r="MY4" i="3"/>
  <c r="MX4" i="3"/>
  <c r="MW4" i="3"/>
  <c r="MV4" i="3"/>
  <c r="MU4" i="3"/>
  <c r="MT4" i="3"/>
  <c r="MS4" i="3"/>
  <c r="MR4" i="3"/>
  <c r="MQ4" i="3"/>
  <c r="MP4" i="3"/>
  <c r="MO4" i="3"/>
  <c r="MN4" i="3"/>
  <c r="MM4" i="3"/>
  <c r="ML4" i="3"/>
  <c r="MK4" i="3"/>
  <c r="MJ4" i="3"/>
  <c r="MI4" i="3"/>
  <c r="MH4" i="3"/>
  <c r="MG4" i="3"/>
  <c r="MF4" i="3"/>
  <c r="ME4" i="3"/>
  <c r="MD4" i="3"/>
  <c r="MC4" i="3"/>
  <c r="MB4" i="3"/>
  <c r="MA4" i="3"/>
  <c r="LZ4" i="3"/>
  <c r="LY4" i="3"/>
  <c r="LX4" i="3"/>
  <c r="LW4" i="3"/>
  <c r="LV4" i="3"/>
  <c r="LU4" i="3"/>
  <c r="LT4" i="3"/>
  <c r="LS4" i="3"/>
  <c r="LR4" i="3"/>
  <c r="LQ4" i="3"/>
  <c r="LP4" i="3"/>
  <c r="LO4" i="3"/>
  <c r="LN4" i="3"/>
  <c r="LM4" i="3"/>
  <c r="LL4" i="3"/>
  <c r="LK4" i="3"/>
  <c r="LJ4" i="3"/>
  <c r="LI4" i="3"/>
  <c r="LH4" i="3"/>
  <c r="LG4" i="3"/>
  <c r="LF4" i="3"/>
  <c r="LE4" i="3"/>
  <c r="LD4" i="3"/>
  <c r="LC4" i="3"/>
  <c r="LB4" i="3"/>
  <c r="LA4" i="3"/>
  <c r="KZ4" i="3"/>
  <c r="KY4" i="3"/>
  <c r="KX4" i="3"/>
  <c r="KW4" i="3"/>
  <c r="KV4" i="3"/>
  <c r="KU4" i="3"/>
  <c r="KT4" i="3"/>
  <c r="KS4" i="3"/>
  <c r="KR4" i="3"/>
  <c r="KQ4" i="3"/>
  <c r="KP4" i="3"/>
  <c r="KO4" i="3"/>
  <c r="KN4" i="3"/>
  <c r="KM4" i="3"/>
  <c r="KL4" i="3"/>
  <c r="KK4" i="3"/>
  <c r="KJ4" i="3"/>
  <c r="KI4" i="3"/>
  <c r="KH4" i="3"/>
  <c r="KG4" i="3"/>
  <c r="KF4" i="3"/>
  <c r="KE4" i="3"/>
  <c r="KD4" i="3"/>
  <c r="KC4" i="3"/>
  <c r="KB4" i="3"/>
  <c r="KA4" i="3"/>
  <c r="JZ4" i="3"/>
  <c r="JY4" i="3"/>
  <c r="JX4" i="3"/>
  <c r="JW4" i="3"/>
  <c r="JV4" i="3"/>
  <c r="JU4" i="3"/>
  <c r="JT4" i="3"/>
  <c r="JS4" i="3"/>
  <c r="JR4" i="3"/>
  <c r="JQ4" i="3"/>
  <c r="JP4" i="3"/>
  <c r="JO4" i="3"/>
  <c r="JN4" i="3"/>
  <c r="JM4" i="3"/>
  <c r="JL4" i="3"/>
  <c r="JK4" i="3"/>
  <c r="JJ4" i="3"/>
  <c r="JI4" i="3"/>
  <c r="JH4" i="3"/>
  <c r="JG4" i="3"/>
  <c r="JF4" i="3"/>
  <c r="JE4" i="3"/>
  <c r="JD4" i="3"/>
  <c r="JC4" i="3"/>
  <c r="JB4" i="3"/>
  <c r="JA4" i="3"/>
  <c r="IZ4" i="3"/>
  <c r="IY4" i="3"/>
  <c r="IX4" i="3"/>
  <c r="IW4" i="3"/>
  <c r="IV4" i="3"/>
  <c r="IU4" i="3"/>
  <c r="IT4" i="3"/>
  <c r="IS4" i="3"/>
  <c r="IR4" i="3"/>
  <c r="IQ4" i="3"/>
  <c r="IP4" i="3"/>
  <c r="IO4" i="3"/>
  <c r="IN4" i="3"/>
  <c r="IM4" i="3"/>
  <c r="IL4" i="3"/>
  <c r="IK4" i="3"/>
  <c r="IJ4" i="3"/>
  <c r="II4" i="3"/>
  <c r="IH4" i="3"/>
  <c r="IG4" i="3"/>
  <c r="IF4" i="3"/>
  <c r="IE4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PF3" i="3"/>
  <c r="PE3" i="3"/>
  <c r="PD3" i="3"/>
  <c r="PC3" i="3"/>
  <c r="PB3" i="3"/>
  <c r="PA3" i="3"/>
  <c r="OZ3" i="3"/>
  <c r="OY3" i="3"/>
  <c r="OX3" i="3"/>
  <c r="OW3" i="3"/>
  <c r="OV3" i="3"/>
  <c r="OU3" i="3"/>
  <c r="OT3" i="3"/>
  <c r="OS3" i="3"/>
  <c r="OR3" i="3"/>
  <c r="OQ3" i="3"/>
  <c r="OP3" i="3"/>
  <c r="OO3" i="3"/>
  <c r="ON3" i="3"/>
  <c r="OM3" i="3"/>
  <c r="OL3" i="3"/>
  <c r="OK3" i="3"/>
  <c r="OJ3" i="3"/>
  <c r="OI3" i="3"/>
  <c r="OH3" i="3"/>
  <c r="OG3" i="3"/>
  <c r="OF3" i="3"/>
  <c r="OE3" i="3"/>
  <c r="OD3" i="3"/>
  <c r="OC3" i="3"/>
  <c r="OB3" i="3"/>
  <c r="OA3" i="3"/>
  <c r="NZ3" i="3"/>
  <c r="NY3" i="3"/>
  <c r="NX3" i="3"/>
  <c r="NW3" i="3"/>
  <c r="NV3" i="3"/>
  <c r="NU3" i="3"/>
  <c r="NT3" i="3"/>
  <c r="NS3" i="3"/>
  <c r="NR3" i="3"/>
  <c r="NQ3" i="3"/>
  <c r="NP3" i="3"/>
  <c r="NO3" i="3"/>
  <c r="NN3" i="3"/>
  <c r="NM3" i="3"/>
  <c r="NL3" i="3"/>
  <c r="NK3" i="3"/>
  <c r="NJ3" i="3"/>
  <c r="NI3" i="3"/>
  <c r="NH3" i="3"/>
  <c r="NG3" i="3"/>
  <c r="NF3" i="3"/>
  <c r="NE3" i="3"/>
  <c r="ND3" i="3"/>
  <c r="NC3" i="3"/>
  <c r="NB3" i="3"/>
  <c r="NA3" i="3"/>
  <c r="MZ3" i="3"/>
  <c r="MY3" i="3"/>
  <c r="MX3" i="3"/>
  <c r="MW3" i="3"/>
  <c r="MV3" i="3"/>
  <c r="MU3" i="3"/>
  <c r="MT3" i="3"/>
  <c r="MS3" i="3"/>
  <c r="MR3" i="3"/>
  <c r="MQ3" i="3"/>
  <c r="MP3" i="3"/>
  <c r="MO3" i="3"/>
  <c r="MN3" i="3"/>
  <c r="MM3" i="3"/>
  <c r="ML3" i="3"/>
  <c r="MK3" i="3"/>
  <c r="MJ3" i="3"/>
  <c r="MI3" i="3"/>
  <c r="MH3" i="3"/>
  <c r="MG3" i="3"/>
  <c r="MF3" i="3"/>
  <c r="ME3" i="3"/>
  <c r="MD3" i="3"/>
  <c r="MC3" i="3"/>
  <c r="MB3" i="3"/>
  <c r="MA3" i="3"/>
  <c r="LZ3" i="3"/>
  <c r="LY3" i="3"/>
  <c r="LX3" i="3"/>
  <c r="LW3" i="3"/>
  <c r="LV3" i="3"/>
  <c r="LU3" i="3"/>
  <c r="LT3" i="3"/>
  <c r="LS3" i="3"/>
  <c r="LR3" i="3"/>
  <c r="LQ3" i="3"/>
  <c r="LP3" i="3"/>
  <c r="LO3" i="3"/>
  <c r="LN3" i="3"/>
  <c r="LM3" i="3"/>
  <c r="LL3" i="3"/>
  <c r="LK3" i="3"/>
  <c r="LJ3" i="3"/>
  <c r="LI3" i="3"/>
  <c r="LH3" i="3"/>
  <c r="LG3" i="3"/>
  <c r="LF3" i="3"/>
  <c r="LE3" i="3"/>
  <c r="LD3" i="3"/>
  <c r="LC3" i="3"/>
  <c r="LB3" i="3"/>
  <c r="LA3" i="3"/>
  <c r="KZ3" i="3"/>
  <c r="KY3" i="3"/>
  <c r="KX3" i="3"/>
  <c r="KW3" i="3"/>
  <c r="KV3" i="3"/>
  <c r="KU3" i="3"/>
  <c r="KT3" i="3"/>
  <c r="KS3" i="3"/>
  <c r="KR3" i="3"/>
  <c r="KQ3" i="3"/>
  <c r="KP3" i="3"/>
  <c r="KO3" i="3"/>
  <c r="KN3" i="3"/>
  <c r="KM3" i="3"/>
  <c r="KL3" i="3"/>
  <c r="KK3" i="3"/>
  <c r="KJ3" i="3"/>
  <c r="KI3" i="3"/>
  <c r="KH3" i="3"/>
  <c r="KG3" i="3"/>
  <c r="KF3" i="3"/>
  <c r="KE3" i="3"/>
  <c r="KD3" i="3"/>
  <c r="KC3" i="3"/>
  <c r="KB3" i="3"/>
  <c r="KA3" i="3"/>
  <c r="JZ3" i="3"/>
  <c r="JY3" i="3"/>
  <c r="JX3" i="3"/>
  <c r="JW3" i="3"/>
  <c r="JV3" i="3"/>
  <c r="JU3" i="3"/>
  <c r="JT3" i="3"/>
  <c r="JS3" i="3"/>
  <c r="JR3" i="3"/>
  <c r="JQ3" i="3"/>
  <c r="JP3" i="3"/>
  <c r="JO3" i="3"/>
  <c r="JN3" i="3"/>
  <c r="JM3" i="3"/>
  <c r="JL3" i="3"/>
  <c r="JK3" i="3"/>
  <c r="JJ3" i="3"/>
  <c r="JI3" i="3"/>
  <c r="JH3" i="3"/>
  <c r="JG3" i="3"/>
  <c r="JF3" i="3"/>
  <c r="JE3" i="3"/>
  <c r="JD3" i="3"/>
  <c r="JC3" i="3"/>
  <c r="JB3" i="3"/>
  <c r="JA3" i="3"/>
  <c r="IZ3" i="3"/>
  <c r="IY3" i="3"/>
  <c r="IX3" i="3"/>
  <c r="IW3" i="3"/>
  <c r="IV3" i="3"/>
  <c r="IU3" i="3"/>
  <c r="IT3" i="3"/>
  <c r="IS3" i="3"/>
  <c r="IR3" i="3"/>
  <c r="IQ3" i="3"/>
  <c r="IP3" i="3"/>
  <c r="IO3" i="3"/>
  <c r="IN3" i="3"/>
  <c r="IM3" i="3"/>
  <c r="IL3" i="3"/>
  <c r="IK3" i="3"/>
  <c r="IJ3" i="3"/>
  <c r="II3" i="3"/>
  <c r="IH3" i="3"/>
  <c r="IG3" i="3"/>
  <c r="IF3" i="3"/>
  <c r="IE3" i="3"/>
  <c r="ID3" i="3"/>
  <c r="IC3" i="3"/>
  <c r="IB3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PF2" i="3"/>
  <c r="PE2" i="3"/>
  <c r="PD2" i="3"/>
  <c r="PC2" i="3"/>
  <c r="PB2" i="3"/>
  <c r="PA2" i="3"/>
  <c r="OZ2" i="3"/>
  <c r="OY2" i="3"/>
  <c r="OX2" i="3"/>
  <c r="OW2" i="3"/>
  <c r="OV2" i="3"/>
  <c r="OU2" i="3"/>
  <c r="OT2" i="3"/>
  <c r="OS2" i="3"/>
  <c r="OR2" i="3"/>
  <c r="OQ2" i="3"/>
  <c r="OP2" i="3"/>
  <c r="OO2" i="3"/>
  <c r="ON2" i="3"/>
  <c r="OM2" i="3"/>
  <c r="OL2" i="3"/>
  <c r="OK2" i="3"/>
  <c r="OJ2" i="3"/>
  <c r="OI2" i="3"/>
  <c r="OH2" i="3"/>
  <c r="OG2" i="3"/>
  <c r="OF2" i="3"/>
  <c r="OE2" i="3"/>
  <c r="OD2" i="3"/>
  <c r="OC2" i="3"/>
  <c r="OB2" i="3"/>
  <c r="OA2" i="3"/>
  <c r="NZ2" i="3"/>
  <c r="NY2" i="3"/>
  <c r="NX2" i="3"/>
  <c r="NW2" i="3"/>
  <c r="NV2" i="3"/>
  <c r="NU2" i="3"/>
  <c r="NT2" i="3"/>
  <c r="NS2" i="3"/>
  <c r="NR2" i="3"/>
  <c r="NQ2" i="3"/>
  <c r="NP2" i="3"/>
  <c r="NO2" i="3"/>
  <c r="NN2" i="3"/>
  <c r="NM2" i="3"/>
  <c r="NL2" i="3"/>
  <c r="NK2" i="3"/>
  <c r="NJ2" i="3"/>
  <c r="NI2" i="3"/>
  <c r="NH2" i="3"/>
  <c r="NG2" i="3"/>
  <c r="NF2" i="3"/>
  <c r="NE2" i="3"/>
  <c r="ND2" i="3"/>
  <c r="NC2" i="3"/>
  <c r="NB2" i="3"/>
  <c r="NA2" i="3"/>
  <c r="MZ2" i="3"/>
  <c r="MY2" i="3"/>
  <c r="MX2" i="3"/>
  <c r="MW2" i="3"/>
  <c r="MV2" i="3"/>
  <c r="MU2" i="3"/>
  <c r="MT2" i="3"/>
  <c r="MS2" i="3"/>
  <c r="MR2" i="3"/>
  <c r="MQ2" i="3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PF1" i="3"/>
  <c r="PE1" i="3"/>
  <c r="PD1" i="3"/>
  <c r="PC1" i="3"/>
  <c r="PB1" i="3"/>
  <c r="PA1" i="3"/>
  <c r="OZ1" i="3"/>
  <c r="OY1" i="3"/>
  <c r="OX1" i="3"/>
  <c r="OW1" i="3"/>
  <c r="OV1" i="3"/>
  <c r="OU1" i="3"/>
  <c r="OT1" i="3"/>
  <c r="OS1" i="3"/>
  <c r="OR1" i="3"/>
  <c r="OQ1" i="3"/>
  <c r="OP1" i="3"/>
  <c r="OO1" i="3"/>
  <c r="ON1" i="3"/>
  <c r="OM1" i="3"/>
  <c r="OL1" i="3"/>
  <c r="OK1" i="3"/>
  <c r="OJ1" i="3"/>
  <c r="OI1" i="3"/>
  <c r="OH1" i="3"/>
  <c r="OG1" i="3"/>
  <c r="OF1" i="3"/>
  <c r="OE1" i="3"/>
  <c r="OD1" i="3"/>
  <c r="OC1" i="3"/>
  <c r="OB1" i="3"/>
  <c r="OA1" i="3"/>
  <c r="NZ1" i="3"/>
  <c r="NY1" i="3"/>
  <c r="NX1" i="3"/>
  <c r="NW1" i="3"/>
  <c r="NV1" i="3"/>
  <c r="NU1" i="3"/>
  <c r="NT1" i="3"/>
  <c r="NS1" i="3"/>
  <c r="NR1" i="3"/>
  <c r="NQ1" i="3"/>
  <c r="NP1" i="3"/>
  <c r="NO1" i="3"/>
  <c r="NN1" i="3"/>
  <c r="NM1" i="3"/>
  <c r="NL1" i="3"/>
  <c r="NK1" i="3"/>
  <c r="NJ1" i="3"/>
  <c r="NI1" i="3"/>
  <c r="NH1" i="3"/>
  <c r="NG1" i="3"/>
  <c r="NF1" i="3"/>
  <c r="NE1" i="3"/>
  <c r="ND1" i="3"/>
  <c r="NC1" i="3"/>
  <c r="NB1" i="3"/>
  <c r="NA1" i="3"/>
  <c r="MZ1" i="3"/>
  <c r="MY1" i="3"/>
  <c r="MX1" i="3"/>
  <c r="MW1" i="3"/>
  <c r="MV1" i="3"/>
  <c r="MU1" i="3"/>
  <c r="MT1" i="3"/>
  <c r="MS1" i="3"/>
  <c r="MR1" i="3"/>
  <c r="MQ1" i="3"/>
  <c r="MP1" i="3"/>
  <c r="MO1" i="3"/>
  <c r="MN1" i="3"/>
  <c r="MM1" i="3"/>
  <c r="ML1" i="3"/>
  <c r="MK1" i="3"/>
  <c r="MJ1" i="3"/>
  <c r="MI1" i="3"/>
  <c r="MH1" i="3"/>
  <c r="MG1" i="3"/>
  <c r="MF1" i="3"/>
  <c r="ME1" i="3"/>
  <c r="MD1" i="3"/>
  <c r="MC1" i="3"/>
  <c r="MB1" i="3"/>
  <c r="MA1" i="3"/>
  <c r="LZ1" i="3"/>
  <c r="LY1" i="3"/>
  <c r="LX1" i="3"/>
  <c r="LW1" i="3"/>
  <c r="LV1" i="3"/>
  <c r="LU1" i="3"/>
  <c r="LT1" i="3"/>
  <c r="LS1" i="3"/>
  <c r="LR1" i="3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A1" i="3"/>
  <c r="PI169" i="2"/>
  <c r="PH169" i="2"/>
  <c r="PG169" i="2"/>
  <c r="PF169" i="2"/>
  <c r="PE169" i="2"/>
  <c r="PD169" i="2"/>
  <c r="PC169" i="2"/>
  <c r="PB169" i="2"/>
  <c r="PA169" i="2"/>
  <c r="OZ169" i="2"/>
  <c r="OY169" i="2"/>
  <c r="OX169" i="2"/>
  <c r="OW169" i="2"/>
  <c r="OV169" i="2"/>
  <c r="OU169" i="2"/>
  <c r="OT169" i="2"/>
  <c r="OS169" i="2"/>
  <c r="OR169" i="2"/>
  <c r="OQ169" i="2"/>
  <c r="OP169" i="2"/>
  <c r="OO169" i="2"/>
  <c r="ON169" i="2"/>
  <c r="OM169" i="2"/>
  <c r="OL169" i="2"/>
  <c r="OK169" i="2"/>
  <c r="OJ169" i="2"/>
  <c r="OI169" i="2"/>
  <c r="OH169" i="2"/>
  <c r="OG169" i="2"/>
  <c r="OF169" i="2"/>
  <c r="OE169" i="2"/>
  <c r="OD169" i="2"/>
  <c r="OC169" i="2"/>
  <c r="OB169" i="2"/>
  <c r="OA169" i="2"/>
  <c r="NZ169" i="2"/>
  <c r="NY169" i="2"/>
  <c r="NX169" i="2"/>
  <c r="NW169" i="2"/>
  <c r="NV169" i="2"/>
  <c r="NU169" i="2"/>
  <c r="NT169" i="2"/>
  <c r="NS169" i="2"/>
  <c r="NR169" i="2"/>
  <c r="NQ169" i="2"/>
  <c r="NP169" i="2"/>
  <c r="NO169" i="2"/>
  <c r="NN169" i="2"/>
  <c r="NM169" i="2"/>
  <c r="NL169" i="2"/>
  <c r="NK169" i="2"/>
  <c r="NJ169" i="2"/>
  <c r="NI169" i="2"/>
  <c r="NH169" i="2"/>
  <c r="NG169" i="2"/>
  <c r="NF169" i="2"/>
  <c r="NE169" i="2"/>
  <c r="ND169" i="2"/>
  <c r="NC169" i="2"/>
  <c r="NB169" i="2"/>
  <c r="NA169" i="2"/>
  <c r="MZ169" i="2"/>
  <c r="MY169" i="2"/>
  <c r="MX169" i="2"/>
  <c r="MW169" i="2"/>
  <c r="MV169" i="2"/>
  <c r="MU169" i="2"/>
  <c r="MT169" i="2"/>
  <c r="MS169" i="2"/>
  <c r="MR169" i="2"/>
  <c r="MQ169" i="2"/>
  <c r="MP169" i="2"/>
  <c r="MO169" i="2"/>
  <c r="MN169" i="2"/>
  <c r="MM169" i="2"/>
  <c r="ML169" i="2"/>
  <c r="MK169" i="2"/>
  <c r="MJ169" i="2"/>
  <c r="MI169" i="2"/>
  <c r="MH169" i="2"/>
  <c r="MG169" i="2"/>
  <c r="MF169" i="2"/>
  <c r="ME169" i="2"/>
  <c r="MD169" i="2"/>
  <c r="MC169" i="2"/>
  <c r="MB169" i="2"/>
  <c r="MA169" i="2"/>
  <c r="LZ169" i="2"/>
  <c r="LY169" i="2"/>
  <c r="LX169" i="2"/>
  <c r="LW169" i="2"/>
  <c r="LV169" i="2"/>
  <c r="LU169" i="2"/>
  <c r="LT169" i="2"/>
  <c r="LS169" i="2"/>
  <c r="LR169" i="2"/>
  <c r="LQ169" i="2"/>
  <c r="LP169" i="2"/>
  <c r="LO169" i="2"/>
  <c r="LN169" i="2"/>
  <c r="LM169" i="2"/>
  <c r="LL169" i="2"/>
  <c r="LK169" i="2"/>
  <c r="LJ169" i="2"/>
  <c r="LI169" i="2"/>
  <c r="LH169" i="2"/>
  <c r="LG169" i="2"/>
  <c r="LF169" i="2"/>
  <c r="LE169" i="2"/>
  <c r="LD169" i="2"/>
  <c r="LC169" i="2"/>
  <c r="LB169" i="2"/>
  <c r="LA169" i="2"/>
  <c r="KZ169" i="2"/>
  <c r="KY169" i="2"/>
  <c r="KX169" i="2"/>
  <c r="KW169" i="2"/>
  <c r="KV169" i="2"/>
  <c r="KU169" i="2"/>
  <c r="KT169" i="2"/>
  <c r="KS169" i="2"/>
  <c r="KR169" i="2"/>
  <c r="KQ169" i="2"/>
  <c r="KP169" i="2"/>
  <c r="KO169" i="2"/>
  <c r="KN169" i="2"/>
  <c r="KM169" i="2"/>
  <c r="KL169" i="2"/>
  <c r="KK169" i="2"/>
  <c r="KJ169" i="2"/>
  <c r="KI169" i="2"/>
  <c r="KH169" i="2"/>
  <c r="KG169" i="2"/>
  <c r="KF169" i="2"/>
  <c r="KE169" i="2"/>
  <c r="KD169" i="2"/>
  <c r="KC169" i="2"/>
  <c r="KB169" i="2"/>
  <c r="KA169" i="2"/>
  <c r="JZ169" i="2"/>
  <c r="JY169" i="2"/>
  <c r="JX169" i="2"/>
  <c r="JW169" i="2"/>
  <c r="JV169" i="2"/>
  <c r="JU169" i="2"/>
  <c r="JT169" i="2"/>
  <c r="JS169" i="2"/>
  <c r="JR169" i="2"/>
  <c r="JQ169" i="2"/>
  <c r="JP169" i="2"/>
  <c r="JO169" i="2"/>
  <c r="JN169" i="2"/>
  <c r="JM169" i="2"/>
  <c r="JL169" i="2"/>
  <c r="JK169" i="2"/>
  <c r="JJ169" i="2"/>
  <c r="JI169" i="2"/>
  <c r="JH169" i="2"/>
  <c r="JG169" i="2"/>
  <c r="JF169" i="2"/>
  <c r="JE169" i="2"/>
  <c r="JD169" i="2"/>
  <c r="JC169" i="2"/>
  <c r="JB169" i="2"/>
  <c r="JA169" i="2"/>
  <c r="IZ169" i="2"/>
  <c r="IY169" i="2"/>
  <c r="IX169" i="2"/>
  <c r="IW169" i="2"/>
  <c r="IV169" i="2"/>
  <c r="IU169" i="2"/>
  <c r="IT169" i="2"/>
  <c r="IS169" i="2"/>
  <c r="IR169" i="2"/>
  <c r="IQ169" i="2"/>
  <c r="IP169" i="2"/>
  <c r="IO169" i="2"/>
  <c r="IN169" i="2"/>
  <c r="IM169" i="2"/>
  <c r="IL169" i="2"/>
  <c r="IK169" i="2"/>
  <c r="IJ169" i="2"/>
  <c r="II169" i="2"/>
  <c r="IH169" i="2"/>
  <c r="IG169" i="2"/>
  <c r="IF169" i="2"/>
  <c r="IE169" i="2"/>
  <c r="ID169" i="2"/>
  <c r="IC169" i="2"/>
  <c r="IB169" i="2"/>
  <c r="IA169" i="2"/>
  <c r="HZ169" i="2"/>
  <c r="HY169" i="2"/>
  <c r="HX169" i="2"/>
  <c r="HW169" i="2"/>
  <c r="HV169" i="2"/>
  <c r="HU169" i="2"/>
  <c r="HT169" i="2"/>
  <c r="HS169" i="2"/>
  <c r="HR169" i="2"/>
  <c r="HQ169" i="2"/>
  <c r="HP169" i="2"/>
  <c r="HO169" i="2"/>
  <c r="HN169" i="2"/>
  <c r="HM169" i="2"/>
  <c r="HL169" i="2"/>
  <c r="HK169" i="2"/>
  <c r="HJ169" i="2"/>
  <c r="HI169" i="2"/>
  <c r="HH169" i="2"/>
  <c r="HG169" i="2"/>
  <c r="HF169" i="2"/>
  <c r="HE169" i="2"/>
  <c r="HD169" i="2"/>
  <c r="HC169" i="2"/>
  <c r="HB169" i="2"/>
  <c r="HA169" i="2"/>
  <c r="GZ169" i="2"/>
  <c r="GY169" i="2"/>
  <c r="GX169" i="2"/>
  <c r="GW169" i="2"/>
  <c r="GV169" i="2"/>
  <c r="GU169" i="2"/>
  <c r="GT169" i="2"/>
  <c r="GS169" i="2"/>
  <c r="GR169" i="2"/>
  <c r="GQ169" i="2"/>
  <c r="GP169" i="2"/>
  <c r="GO169" i="2"/>
  <c r="GN169" i="2"/>
  <c r="GM169" i="2"/>
  <c r="GL169" i="2"/>
  <c r="GK169" i="2"/>
  <c r="GJ169" i="2"/>
  <c r="GI169" i="2"/>
  <c r="GH169" i="2"/>
  <c r="GG169" i="2"/>
  <c r="GF169" i="2"/>
  <c r="GE169" i="2"/>
  <c r="GD169" i="2"/>
  <c r="GC169" i="2"/>
  <c r="GB169" i="2"/>
  <c r="GA169" i="2"/>
  <c r="FZ169" i="2"/>
  <c r="FY169" i="2"/>
  <c r="FX169" i="2"/>
  <c r="FW169" i="2"/>
  <c r="FV169" i="2"/>
  <c r="FU169" i="2"/>
  <c r="FT169" i="2"/>
  <c r="FS169" i="2"/>
  <c r="FR169" i="2"/>
  <c r="FQ169" i="2"/>
  <c r="FP169" i="2"/>
  <c r="FO169" i="2"/>
  <c r="FN169" i="2"/>
  <c r="FM169" i="2"/>
  <c r="FL169" i="2"/>
  <c r="FK169" i="2"/>
  <c r="FJ169" i="2"/>
  <c r="FI169" i="2"/>
  <c r="FH169" i="2"/>
  <c r="FG169" i="2"/>
  <c r="FF169" i="2"/>
  <c r="FE169" i="2"/>
  <c r="FD169" i="2"/>
  <c r="FC169" i="2"/>
  <c r="FB169" i="2"/>
  <c r="FA169" i="2"/>
  <c r="EZ169" i="2"/>
  <c r="EY169" i="2"/>
  <c r="EX169" i="2"/>
  <c r="EW169" i="2"/>
  <c r="EV169" i="2"/>
  <c r="EU169" i="2"/>
  <c r="ET169" i="2"/>
  <c r="ES169" i="2"/>
  <c r="ER169" i="2"/>
  <c r="EQ169" i="2"/>
  <c r="EP169" i="2"/>
  <c r="EO169" i="2"/>
  <c r="EN169" i="2"/>
  <c r="EM169" i="2"/>
  <c r="EL169" i="2"/>
  <c r="EK169" i="2"/>
  <c r="EJ169" i="2"/>
  <c r="EI169" i="2"/>
  <c r="EH169" i="2"/>
  <c r="EG169" i="2"/>
  <c r="EF169" i="2"/>
  <c r="EE169" i="2"/>
  <c r="ED169" i="2"/>
  <c r="EC169" i="2"/>
  <c r="EB169" i="2"/>
  <c r="EA169" i="2"/>
  <c r="DZ169" i="2"/>
  <c r="DY169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A169" i="2"/>
  <c r="PI168" i="2"/>
  <c r="PH168" i="2"/>
  <c r="PG168" i="2"/>
  <c r="PF168" i="2"/>
  <c r="PE168" i="2"/>
  <c r="PD168" i="2"/>
  <c r="PC168" i="2"/>
  <c r="PB168" i="2"/>
  <c r="PA168" i="2"/>
  <c r="OZ168" i="2"/>
  <c r="OY168" i="2"/>
  <c r="OX168" i="2"/>
  <c r="OW168" i="2"/>
  <c r="OV168" i="2"/>
  <c r="OU168" i="2"/>
  <c r="OT168" i="2"/>
  <c r="OS168" i="2"/>
  <c r="OR168" i="2"/>
  <c r="OQ168" i="2"/>
  <c r="OP168" i="2"/>
  <c r="OO168" i="2"/>
  <c r="ON168" i="2"/>
  <c r="OM168" i="2"/>
  <c r="OL168" i="2"/>
  <c r="OK168" i="2"/>
  <c r="OJ168" i="2"/>
  <c r="OI168" i="2"/>
  <c r="OH168" i="2"/>
  <c r="OG168" i="2"/>
  <c r="OF168" i="2"/>
  <c r="OE168" i="2"/>
  <c r="OD168" i="2"/>
  <c r="OC168" i="2"/>
  <c r="OB168" i="2"/>
  <c r="OA168" i="2"/>
  <c r="NZ168" i="2"/>
  <c r="NY168" i="2"/>
  <c r="NX168" i="2"/>
  <c r="NW168" i="2"/>
  <c r="NV168" i="2"/>
  <c r="NU168" i="2"/>
  <c r="NT168" i="2"/>
  <c r="NS168" i="2"/>
  <c r="NR168" i="2"/>
  <c r="NQ168" i="2"/>
  <c r="NP168" i="2"/>
  <c r="NO168" i="2"/>
  <c r="NN168" i="2"/>
  <c r="NM168" i="2"/>
  <c r="NL168" i="2"/>
  <c r="NK168" i="2"/>
  <c r="NJ168" i="2"/>
  <c r="NI168" i="2"/>
  <c r="NH168" i="2"/>
  <c r="NG168" i="2"/>
  <c r="NF168" i="2"/>
  <c r="NE168" i="2"/>
  <c r="ND168" i="2"/>
  <c r="NC168" i="2"/>
  <c r="NB168" i="2"/>
  <c r="NA168" i="2"/>
  <c r="MZ168" i="2"/>
  <c r="MY168" i="2"/>
  <c r="MX168" i="2"/>
  <c r="MW168" i="2"/>
  <c r="MV168" i="2"/>
  <c r="MU168" i="2"/>
  <c r="MT168" i="2"/>
  <c r="MS168" i="2"/>
  <c r="MR168" i="2"/>
  <c r="MQ168" i="2"/>
  <c r="MP168" i="2"/>
  <c r="MO168" i="2"/>
  <c r="MN168" i="2"/>
  <c r="MM168" i="2"/>
  <c r="ML168" i="2"/>
  <c r="MK168" i="2"/>
  <c r="MJ168" i="2"/>
  <c r="MI168" i="2"/>
  <c r="MH168" i="2"/>
  <c r="MG168" i="2"/>
  <c r="MF168" i="2"/>
  <c r="ME168" i="2"/>
  <c r="MD168" i="2"/>
  <c r="MC168" i="2"/>
  <c r="MB168" i="2"/>
  <c r="MA168" i="2"/>
  <c r="LZ168" i="2"/>
  <c r="LY168" i="2"/>
  <c r="LX168" i="2"/>
  <c r="LW168" i="2"/>
  <c r="LV168" i="2"/>
  <c r="LU168" i="2"/>
  <c r="LT168" i="2"/>
  <c r="LS168" i="2"/>
  <c r="LR168" i="2"/>
  <c r="LQ168" i="2"/>
  <c r="LP168" i="2"/>
  <c r="LO168" i="2"/>
  <c r="LN168" i="2"/>
  <c r="LM168" i="2"/>
  <c r="LL168" i="2"/>
  <c r="LK168" i="2"/>
  <c r="LJ168" i="2"/>
  <c r="LI168" i="2"/>
  <c r="LH168" i="2"/>
  <c r="LG168" i="2"/>
  <c r="LF168" i="2"/>
  <c r="LE168" i="2"/>
  <c r="LD168" i="2"/>
  <c r="LC168" i="2"/>
  <c r="LB168" i="2"/>
  <c r="LA168" i="2"/>
  <c r="KZ168" i="2"/>
  <c r="KY168" i="2"/>
  <c r="KX168" i="2"/>
  <c r="KW168" i="2"/>
  <c r="KV168" i="2"/>
  <c r="KU168" i="2"/>
  <c r="KT168" i="2"/>
  <c r="KS168" i="2"/>
  <c r="KR168" i="2"/>
  <c r="KQ168" i="2"/>
  <c r="KP168" i="2"/>
  <c r="KO168" i="2"/>
  <c r="KN168" i="2"/>
  <c r="KM168" i="2"/>
  <c r="KL168" i="2"/>
  <c r="KK168" i="2"/>
  <c r="KJ168" i="2"/>
  <c r="KI168" i="2"/>
  <c r="KH168" i="2"/>
  <c r="KG168" i="2"/>
  <c r="KF168" i="2"/>
  <c r="KE168" i="2"/>
  <c r="KD168" i="2"/>
  <c r="KC168" i="2"/>
  <c r="KB168" i="2"/>
  <c r="KA168" i="2"/>
  <c r="JZ168" i="2"/>
  <c r="JY168" i="2"/>
  <c r="JX168" i="2"/>
  <c r="JW168" i="2"/>
  <c r="JV168" i="2"/>
  <c r="JU168" i="2"/>
  <c r="JT168" i="2"/>
  <c r="JS168" i="2"/>
  <c r="JR168" i="2"/>
  <c r="JQ168" i="2"/>
  <c r="JP168" i="2"/>
  <c r="JO168" i="2"/>
  <c r="JN168" i="2"/>
  <c r="JM168" i="2"/>
  <c r="JL168" i="2"/>
  <c r="JK168" i="2"/>
  <c r="JJ168" i="2"/>
  <c r="JI168" i="2"/>
  <c r="JH168" i="2"/>
  <c r="JG168" i="2"/>
  <c r="JF168" i="2"/>
  <c r="JE168" i="2"/>
  <c r="JD168" i="2"/>
  <c r="JC168" i="2"/>
  <c r="JB168" i="2"/>
  <c r="JA168" i="2"/>
  <c r="IZ168" i="2"/>
  <c r="IY168" i="2"/>
  <c r="IX168" i="2"/>
  <c r="IW168" i="2"/>
  <c r="IV168" i="2"/>
  <c r="IU168" i="2"/>
  <c r="IT168" i="2"/>
  <c r="IS168" i="2"/>
  <c r="IR168" i="2"/>
  <c r="IQ168" i="2"/>
  <c r="IP168" i="2"/>
  <c r="IO168" i="2"/>
  <c r="IN168" i="2"/>
  <c r="IM168" i="2"/>
  <c r="IL168" i="2"/>
  <c r="IK168" i="2"/>
  <c r="IJ168" i="2"/>
  <c r="II168" i="2"/>
  <c r="IH168" i="2"/>
  <c r="IG168" i="2"/>
  <c r="IF168" i="2"/>
  <c r="IE168" i="2"/>
  <c r="ID168" i="2"/>
  <c r="IC168" i="2"/>
  <c r="IB168" i="2"/>
  <c r="IA168" i="2"/>
  <c r="HZ168" i="2"/>
  <c r="HY168" i="2"/>
  <c r="HX168" i="2"/>
  <c r="HW168" i="2"/>
  <c r="HV168" i="2"/>
  <c r="HU168" i="2"/>
  <c r="HT168" i="2"/>
  <c r="HS168" i="2"/>
  <c r="HR168" i="2"/>
  <c r="HQ168" i="2"/>
  <c r="HP168" i="2"/>
  <c r="HO168" i="2"/>
  <c r="HN168" i="2"/>
  <c r="HM168" i="2"/>
  <c r="HL168" i="2"/>
  <c r="HK168" i="2"/>
  <c r="HJ168" i="2"/>
  <c r="HI168" i="2"/>
  <c r="HH168" i="2"/>
  <c r="HG168" i="2"/>
  <c r="HF168" i="2"/>
  <c r="HE168" i="2"/>
  <c r="HD168" i="2"/>
  <c r="HC168" i="2"/>
  <c r="HB168" i="2"/>
  <c r="HA168" i="2"/>
  <c r="GZ168" i="2"/>
  <c r="GY168" i="2"/>
  <c r="GX168" i="2"/>
  <c r="GW168" i="2"/>
  <c r="GV168" i="2"/>
  <c r="GU168" i="2"/>
  <c r="GT168" i="2"/>
  <c r="GS168" i="2"/>
  <c r="GR168" i="2"/>
  <c r="GQ168" i="2"/>
  <c r="GP168" i="2"/>
  <c r="GO168" i="2"/>
  <c r="GN168" i="2"/>
  <c r="GM168" i="2"/>
  <c r="GL168" i="2"/>
  <c r="GK168" i="2"/>
  <c r="GJ168" i="2"/>
  <c r="GI168" i="2"/>
  <c r="GH168" i="2"/>
  <c r="GG168" i="2"/>
  <c r="GF168" i="2"/>
  <c r="GE168" i="2"/>
  <c r="GD168" i="2"/>
  <c r="GC168" i="2"/>
  <c r="GB168" i="2"/>
  <c r="GA168" i="2"/>
  <c r="FZ168" i="2"/>
  <c r="FY168" i="2"/>
  <c r="FX168" i="2"/>
  <c r="FW168" i="2"/>
  <c r="FV168" i="2"/>
  <c r="FU168" i="2"/>
  <c r="FT168" i="2"/>
  <c r="FS168" i="2"/>
  <c r="FR168" i="2"/>
  <c r="FQ168" i="2"/>
  <c r="FP168" i="2"/>
  <c r="FO168" i="2"/>
  <c r="FN168" i="2"/>
  <c r="FM168" i="2"/>
  <c r="FL168" i="2"/>
  <c r="FK168" i="2"/>
  <c r="FJ168" i="2"/>
  <c r="FI168" i="2"/>
  <c r="FH168" i="2"/>
  <c r="FG168" i="2"/>
  <c r="FF168" i="2"/>
  <c r="FE168" i="2"/>
  <c r="FD168" i="2"/>
  <c r="FC168" i="2"/>
  <c r="FB168" i="2"/>
  <c r="FA168" i="2"/>
  <c r="EZ168" i="2"/>
  <c r="EY168" i="2"/>
  <c r="EX168" i="2"/>
  <c r="EW168" i="2"/>
  <c r="EV168" i="2"/>
  <c r="EU168" i="2"/>
  <c r="ET168" i="2"/>
  <c r="ES168" i="2"/>
  <c r="ER168" i="2"/>
  <c r="EQ168" i="2"/>
  <c r="EP168" i="2"/>
  <c r="EO168" i="2"/>
  <c r="EN168" i="2"/>
  <c r="EM168" i="2"/>
  <c r="EL168" i="2"/>
  <c r="EK168" i="2"/>
  <c r="EJ168" i="2"/>
  <c r="EI168" i="2"/>
  <c r="EH168" i="2"/>
  <c r="EG168" i="2"/>
  <c r="EF168" i="2"/>
  <c r="EE168" i="2"/>
  <c r="ED168" i="2"/>
  <c r="EC168" i="2"/>
  <c r="EB168" i="2"/>
  <c r="EA168" i="2"/>
  <c r="DZ168" i="2"/>
  <c r="DY168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PI167" i="2"/>
  <c r="PH167" i="2"/>
  <c r="PG167" i="2"/>
  <c r="PF167" i="2"/>
  <c r="PE167" i="2"/>
  <c r="PD167" i="2"/>
  <c r="PC167" i="2"/>
  <c r="PB167" i="2"/>
  <c r="PA167" i="2"/>
  <c r="OZ167" i="2"/>
  <c r="OY167" i="2"/>
  <c r="OX167" i="2"/>
  <c r="OW167" i="2"/>
  <c r="OV167" i="2"/>
  <c r="OU167" i="2"/>
  <c r="OT167" i="2"/>
  <c r="OS167" i="2"/>
  <c r="OR167" i="2"/>
  <c r="OQ167" i="2"/>
  <c r="OP167" i="2"/>
  <c r="OO167" i="2"/>
  <c r="ON167" i="2"/>
  <c r="OM167" i="2"/>
  <c r="OL167" i="2"/>
  <c r="OK167" i="2"/>
  <c r="OJ167" i="2"/>
  <c r="OI167" i="2"/>
  <c r="OH167" i="2"/>
  <c r="OG167" i="2"/>
  <c r="OF167" i="2"/>
  <c r="OE167" i="2"/>
  <c r="OD167" i="2"/>
  <c r="OC167" i="2"/>
  <c r="OB167" i="2"/>
  <c r="OA167" i="2"/>
  <c r="NZ167" i="2"/>
  <c r="NY167" i="2"/>
  <c r="NX167" i="2"/>
  <c r="NW167" i="2"/>
  <c r="NV167" i="2"/>
  <c r="NU167" i="2"/>
  <c r="NT167" i="2"/>
  <c r="NS167" i="2"/>
  <c r="NR167" i="2"/>
  <c r="NQ167" i="2"/>
  <c r="NP167" i="2"/>
  <c r="NO167" i="2"/>
  <c r="NN167" i="2"/>
  <c r="NM167" i="2"/>
  <c r="NL167" i="2"/>
  <c r="NK167" i="2"/>
  <c r="NJ167" i="2"/>
  <c r="NI167" i="2"/>
  <c r="NH167" i="2"/>
  <c r="NG167" i="2"/>
  <c r="NF167" i="2"/>
  <c r="NE167" i="2"/>
  <c r="ND167" i="2"/>
  <c r="NC167" i="2"/>
  <c r="NB167" i="2"/>
  <c r="NA167" i="2"/>
  <c r="MZ167" i="2"/>
  <c r="MY167" i="2"/>
  <c r="MX167" i="2"/>
  <c r="MW167" i="2"/>
  <c r="MV167" i="2"/>
  <c r="MU167" i="2"/>
  <c r="MT167" i="2"/>
  <c r="MS167" i="2"/>
  <c r="MR167" i="2"/>
  <c r="MQ167" i="2"/>
  <c r="MP167" i="2"/>
  <c r="MO167" i="2"/>
  <c r="MN167" i="2"/>
  <c r="MM167" i="2"/>
  <c r="ML167" i="2"/>
  <c r="MK167" i="2"/>
  <c r="MJ167" i="2"/>
  <c r="MI167" i="2"/>
  <c r="MH167" i="2"/>
  <c r="MG167" i="2"/>
  <c r="MF167" i="2"/>
  <c r="ME167" i="2"/>
  <c r="MD167" i="2"/>
  <c r="MC167" i="2"/>
  <c r="MB167" i="2"/>
  <c r="MA167" i="2"/>
  <c r="LZ167" i="2"/>
  <c r="LY167" i="2"/>
  <c r="LX167" i="2"/>
  <c r="LW167" i="2"/>
  <c r="LV167" i="2"/>
  <c r="LU167" i="2"/>
  <c r="LT167" i="2"/>
  <c r="LS167" i="2"/>
  <c r="LR167" i="2"/>
  <c r="LQ167" i="2"/>
  <c r="LP167" i="2"/>
  <c r="LO167" i="2"/>
  <c r="LN167" i="2"/>
  <c r="LM167" i="2"/>
  <c r="LL167" i="2"/>
  <c r="LK167" i="2"/>
  <c r="LJ167" i="2"/>
  <c r="LI167" i="2"/>
  <c r="LH167" i="2"/>
  <c r="LG167" i="2"/>
  <c r="LF167" i="2"/>
  <c r="LE167" i="2"/>
  <c r="LD167" i="2"/>
  <c r="LC167" i="2"/>
  <c r="LB167" i="2"/>
  <c r="LA167" i="2"/>
  <c r="KZ167" i="2"/>
  <c r="KY167" i="2"/>
  <c r="KX167" i="2"/>
  <c r="KW167" i="2"/>
  <c r="KV167" i="2"/>
  <c r="KU167" i="2"/>
  <c r="KT167" i="2"/>
  <c r="KS167" i="2"/>
  <c r="KR167" i="2"/>
  <c r="KQ167" i="2"/>
  <c r="KP167" i="2"/>
  <c r="KO167" i="2"/>
  <c r="KN167" i="2"/>
  <c r="KM167" i="2"/>
  <c r="KL167" i="2"/>
  <c r="KK167" i="2"/>
  <c r="KJ167" i="2"/>
  <c r="KI167" i="2"/>
  <c r="KH167" i="2"/>
  <c r="KG167" i="2"/>
  <c r="KF167" i="2"/>
  <c r="KE167" i="2"/>
  <c r="KD167" i="2"/>
  <c r="KC167" i="2"/>
  <c r="KB167" i="2"/>
  <c r="KA167" i="2"/>
  <c r="JZ167" i="2"/>
  <c r="JY167" i="2"/>
  <c r="JX167" i="2"/>
  <c r="JW167" i="2"/>
  <c r="JV167" i="2"/>
  <c r="JU167" i="2"/>
  <c r="JT167" i="2"/>
  <c r="JS167" i="2"/>
  <c r="JR167" i="2"/>
  <c r="JQ167" i="2"/>
  <c r="JP167" i="2"/>
  <c r="JO167" i="2"/>
  <c r="JN167" i="2"/>
  <c r="JM167" i="2"/>
  <c r="JL167" i="2"/>
  <c r="JK167" i="2"/>
  <c r="JJ167" i="2"/>
  <c r="JI167" i="2"/>
  <c r="JH167" i="2"/>
  <c r="JG167" i="2"/>
  <c r="JF167" i="2"/>
  <c r="JE167" i="2"/>
  <c r="JD167" i="2"/>
  <c r="JC167" i="2"/>
  <c r="JB167" i="2"/>
  <c r="JA167" i="2"/>
  <c r="IZ167" i="2"/>
  <c r="IY167" i="2"/>
  <c r="IX167" i="2"/>
  <c r="IW167" i="2"/>
  <c r="IV167" i="2"/>
  <c r="IU167" i="2"/>
  <c r="IT167" i="2"/>
  <c r="IS167" i="2"/>
  <c r="IR167" i="2"/>
  <c r="IQ167" i="2"/>
  <c r="IP167" i="2"/>
  <c r="IO167" i="2"/>
  <c r="IN167" i="2"/>
  <c r="IM167" i="2"/>
  <c r="IL167" i="2"/>
  <c r="IK167" i="2"/>
  <c r="IJ167" i="2"/>
  <c r="II167" i="2"/>
  <c r="IH167" i="2"/>
  <c r="IG167" i="2"/>
  <c r="IF167" i="2"/>
  <c r="IE167" i="2"/>
  <c r="ID167" i="2"/>
  <c r="IC167" i="2"/>
  <c r="IB167" i="2"/>
  <c r="IA167" i="2"/>
  <c r="HZ167" i="2"/>
  <c r="HY167" i="2"/>
  <c r="HX167" i="2"/>
  <c r="HW167" i="2"/>
  <c r="HV167" i="2"/>
  <c r="HU167" i="2"/>
  <c r="HT167" i="2"/>
  <c r="HS167" i="2"/>
  <c r="HR167" i="2"/>
  <c r="HQ167" i="2"/>
  <c r="HP167" i="2"/>
  <c r="HO167" i="2"/>
  <c r="HN167" i="2"/>
  <c r="HM167" i="2"/>
  <c r="HL167" i="2"/>
  <c r="HK167" i="2"/>
  <c r="HJ167" i="2"/>
  <c r="HI167" i="2"/>
  <c r="HH167" i="2"/>
  <c r="HG167" i="2"/>
  <c r="HF167" i="2"/>
  <c r="HE167" i="2"/>
  <c r="HD167" i="2"/>
  <c r="HC167" i="2"/>
  <c r="HB167" i="2"/>
  <c r="HA167" i="2"/>
  <c r="GZ167" i="2"/>
  <c r="GY167" i="2"/>
  <c r="GX167" i="2"/>
  <c r="GW167" i="2"/>
  <c r="GV167" i="2"/>
  <c r="GU167" i="2"/>
  <c r="GT167" i="2"/>
  <c r="GS167" i="2"/>
  <c r="GR167" i="2"/>
  <c r="GQ167" i="2"/>
  <c r="GP167" i="2"/>
  <c r="GO167" i="2"/>
  <c r="GN167" i="2"/>
  <c r="GM167" i="2"/>
  <c r="GL167" i="2"/>
  <c r="GK167" i="2"/>
  <c r="GJ167" i="2"/>
  <c r="GI167" i="2"/>
  <c r="GH167" i="2"/>
  <c r="GG167" i="2"/>
  <c r="GF167" i="2"/>
  <c r="GE167" i="2"/>
  <c r="GD167" i="2"/>
  <c r="GC167" i="2"/>
  <c r="GB167" i="2"/>
  <c r="GA167" i="2"/>
  <c r="FZ167" i="2"/>
  <c r="FY167" i="2"/>
  <c r="FX167" i="2"/>
  <c r="FW167" i="2"/>
  <c r="FV167" i="2"/>
  <c r="FU167" i="2"/>
  <c r="FT167" i="2"/>
  <c r="FS167" i="2"/>
  <c r="FR167" i="2"/>
  <c r="FQ167" i="2"/>
  <c r="FP167" i="2"/>
  <c r="FO167" i="2"/>
  <c r="FN167" i="2"/>
  <c r="FM167" i="2"/>
  <c r="FL167" i="2"/>
  <c r="FK167" i="2"/>
  <c r="FJ167" i="2"/>
  <c r="FI167" i="2"/>
  <c r="FH167" i="2"/>
  <c r="FG167" i="2"/>
  <c r="FF167" i="2"/>
  <c r="FE167" i="2"/>
  <c r="FD167" i="2"/>
  <c r="FC167" i="2"/>
  <c r="FB167" i="2"/>
  <c r="FA167" i="2"/>
  <c r="EZ167" i="2"/>
  <c r="EY167" i="2"/>
  <c r="EX167" i="2"/>
  <c r="EW167" i="2"/>
  <c r="EV167" i="2"/>
  <c r="EU167" i="2"/>
  <c r="ET167" i="2"/>
  <c r="ES167" i="2"/>
  <c r="ER167" i="2"/>
  <c r="EQ167" i="2"/>
  <c r="EP167" i="2"/>
  <c r="EO167" i="2"/>
  <c r="EN167" i="2"/>
  <c r="EM167" i="2"/>
  <c r="EL167" i="2"/>
  <c r="EK167" i="2"/>
  <c r="EJ167" i="2"/>
  <c r="EI167" i="2"/>
  <c r="EH167" i="2"/>
  <c r="EG167" i="2"/>
  <c r="EF167" i="2"/>
  <c r="EE167" i="2"/>
  <c r="ED167" i="2"/>
  <c r="EC167" i="2"/>
  <c r="EB167" i="2"/>
  <c r="EA167" i="2"/>
  <c r="DZ167" i="2"/>
  <c r="DY167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A167" i="2"/>
  <c r="PI166" i="2"/>
  <c r="PH166" i="2"/>
  <c r="PG166" i="2"/>
  <c r="PF166" i="2"/>
  <c r="PE166" i="2"/>
  <c r="PD166" i="2"/>
  <c r="PC166" i="2"/>
  <c r="PB166" i="2"/>
  <c r="PA166" i="2"/>
  <c r="OZ166" i="2"/>
  <c r="OY166" i="2"/>
  <c r="OX166" i="2"/>
  <c r="OW166" i="2"/>
  <c r="OV166" i="2"/>
  <c r="OU166" i="2"/>
  <c r="OT166" i="2"/>
  <c r="OS166" i="2"/>
  <c r="OR166" i="2"/>
  <c r="OQ166" i="2"/>
  <c r="OP166" i="2"/>
  <c r="OO166" i="2"/>
  <c r="ON166" i="2"/>
  <c r="OM166" i="2"/>
  <c r="OL166" i="2"/>
  <c r="OK166" i="2"/>
  <c r="OJ166" i="2"/>
  <c r="OI166" i="2"/>
  <c r="OH166" i="2"/>
  <c r="OG166" i="2"/>
  <c r="OF166" i="2"/>
  <c r="OE166" i="2"/>
  <c r="OD166" i="2"/>
  <c r="OC166" i="2"/>
  <c r="OB166" i="2"/>
  <c r="OA166" i="2"/>
  <c r="NZ166" i="2"/>
  <c r="NY166" i="2"/>
  <c r="NX166" i="2"/>
  <c r="NW166" i="2"/>
  <c r="NV166" i="2"/>
  <c r="NU166" i="2"/>
  <c r="NT166" i="2"/>
  <c r="NS166" i="2"/>
  <c r="NR166" i="2"/>
  <c r="NQ166" i="2"/>
  <c r="NP166" i="2"/>
  <c r="NO166" i="2"/>
  <c r="NN166" i="2"/>
  <c r="NM166" i="2"/>
  <c r="NL166" i="2"/>
  <c r="NK166" i="2"/>
  <c r="NJ166" i="2"/>
  <c r="NI166" i="2"/>
  <c r="NH166" i="2"/>
  <c r="NG166" i="2"/>
  <c r="NF166" i="2"/>
  <c r="NE166" i="2"/>
  <c r="ND166" i="2"/>
  <c r="NC166" i="2"/>
  <c r="NB166" i="2"/>
  <c r="NA166" i="2"/>
  <c r="MZ166" i="2"/>
  <c r="MY166" i="2"/>
  <c r="MX166" i="2"/>
  <c r="MW166" i="2"/>
  <c r="MV166" i="2"/>
  <c r="MU166" i="2"/>
  <c r="MT166" i="2"/>
  <c r="MS166" i="2"/>
  <c r="MR166" i="2"/>
  <c r="MQ166" i="2"/>
  <c r="MP166" i="2"/>
  <c r="MO166" i="2"/>
  <c r="MN166" i="2"/>
  <c r="MM166" i="2"/>
  <c r="ML166" i="2"/>
  <c r="MK166" i="2"/>
  <c r="MJ166" i="2"/>
  <c r="MI166" i="2"/>
  <c r="MH166" i="2"/>
  <c r="MG166" i="2"/>
  <c r="MF166" i="2"/>
  <c r="ME166" i="2"/>
  <c r="MD166" i="2"/>
  <c r="MC166" i="2"/>
  <c r="MB166" i="2"/>
  <c r="MA166" i="2"/>
  <c r="LZ166" i="2"/>
  <c r="LY166" i="2"/>
  <c r="LX166" i="2"/>
  <c r="LW166" i="2"/>
  <c r="LV166" i="2"/>
  <c r="LU166" i="2"/>
  <c r="LT166" i="2"/>
  <c r="LS166" i="2"/>
  <c r="LR166" i="2"/>
  <c r="LQ166" i="2"/>
  <c r="LP166" i="2"/>
  <c r="LO166" i="2"/>
  <c r="LN166" i="2"/>
  <c r="LM166" i="2"/>
  <c r="LL166" i="2"/>
  <c r="LK166" i="2"/>
  <c r="LJ166" i="2"/>
  <c r="LI166" i="2"/>
  <c r="LH166" i="2"/>
  <c r="LG166" i="2"/>
  <c r="LF166" i="2"/>
  <c r="LE166" i="2"/>
  <c r="LD166" i="2"/>
  <c r="LC166" i="2"/>
  <c r="LB166" i="2"/>
  <c r="LA166" i="2"/>
  <c r="KZ166" i="2"/>
  <c r="KY166" i="2"/>
  <c r="KX166" i="2"/>
  <c r="KW166" i="2"/>
  <c r="KV166" i="2"/>
  <c r="KU166" i="2"/>
  <c r="KT166" i="2"/>
  <c r="KS166" i="2"/>
  <c r="KR166" i="2"/>
  <c r="KQ166" i="2"/>
  <c r="KP166" i="2"/>
  <c r="KO166" i="2"/>
  <c r="KN166" i="2"/>
  <c r="KM166" i="2"/>
  <c r="KL166" i="2"/>
  <c r="KK166" i="2"/>
  <c r="KJ166" i="2"/>
  <c r="KI166" i="2"/>
  <c r="KH166" i="2"/>
  <c r="KG166" i="2"/>
  <c r="KF166" i="2"/>
  <c r="KE166" i="2"/>
  <c r="KD166" i="2"/>
  <c r="KC166" i="2"/>
  <c r="KB166" i="2"/>
  <c r="KA166" i="2"/>
  <c r="JZ166" i="2"/>
  <c r="JY166" i="2"/>
  <c r="JX166" i="2"/>
  <c r="JW166" i="2"/>
  <c r="JV166" i="2"/>
  <c r="JU166" i="2"/>
  <c r="JT166" i="2"/>
  <c r="JS166" i="2"/>
  <c r="JR166" i="2"/>
  <c r="JQ166" i="2"/>
  <c r="JP166" i="2"/>
  <c r="JO166" i="2"/>
  <c r="JN166" i="2"/>
  <c r="JM166" i="2"/>
  <c r="JL166" i="2"/>
  <c r="JK166" i="2"/>
  <c r="JJ166" i="2"/>
  <c r="JI166" i="2"/>
  <c r="JH166" i="2"/>
  <c r="JG166" i="2"/>
  <c r="JF166" i="2"/>
  <c r="JE166" i="2"/>
  <c r="JD166" i="2"/>
  <c r="JC166" i="2"/>
  <c r="JB166" i="2"/>
  <c r="JA166" i="2"/>
  <c r="IZ166" i="2"/>
  <c r="IY166" i="2"/>
  <c r="IX166" i="2"/>
  <c r="IW166" i="2"/>
  <c r="IV166" i="2"/>
  <c r="IU166" i="2"/>
  <c r="IT166" i="2"/>
  <c r="IS166" i="2"/>
  <c r="IR166" i="2"/>
  <c r="IQ166" i="2"/>
  <c r="IP166" i="2"/>
  <c r="IO166" i="2"/>
  <c r="IN166" i="2"/>
  <c r="IM166" i="2"/>
  <c r="IL166" i="2"/>
  <c r="IK166" i="2"/>
  <c r="IJ166" i="2"/>
  <c r="II166" i="2"/>
  <c r="IH166" i="2"/>
  <c r="IG166" i="2"/>
  <c r="IF166" i="2"/>
  <c r="IE166" i="2"/>
  <c r="ID166" i="2"/>
  <c r="IC166" i="2"/>
  <c r="IB166" i="2"/>
  <c r="IA166" i="2"/>
  <c r="HZ166" i="2"/>
  <c r="HY166" i="2"/>
  <c r="HX166" i="2"/>
  <c r="HW166" i="2"/>
  <c r="HV166" i="2"/>
  <c r="HU166" i="2"/>
  <c r="HT166" i="2"/>
  <c r="HS166" i="2"/>
  <c r="HR166" i="2"/>
  <c r="HQ166" i="2"/>
  <c r="HP166" i="2"/>
  <c r="HO166" i="2"/>
  <c r="HN166" i="2"/>
  <c r="HM166" i="2"/>
  <c r="HL166" i="2"/>
  <c r="HK166" i="2"/>
  <c r="HJ166" i="2"/>
  <c r="HI166" i="2"/>
  <c r="HH166" i="2"/>
  <c r="HG166" i="2"/>
  <c r="HF166" i="2"/>
  <c r="HE166" i="2"/>
  <c r="HD166" i="2"/>
  <c r="HC166" i="2"/>
  <c r="HB166" i="2"/>
  <c r="HA166" i="2"/>
  <c r="GZ166" i="2"/>
  <c r="GY166" i="2"/>
  <c r="GX166" i="2"/>
  <c r="GW166" i="2"/>
  <c r="GV166" i="2"/>
  <c r="GU166" i="2"/>
  <c r="GT166" i="2"/>
  <c r="GS166" i="2"/>
  <c r="GR166" i="2"/>
  <c r="GQ166" i="2"/>
  <c r="GP166" i="2"/>
  <c r="GO166" i="2"/>
  <c r="GN166" i="2"/>
  <c r="GM166" i="2"/>
  <c r="GL166" i="2"/>
  <c r="GK166" i="2"/>
  <c r="GJ166" i="2"/>
  <c r="GI166" i="2"/>
  <c r="GH166" i="2"/>
  <c r="GG166" i="2"/>
  <c r="GF166" i="2"/>
  <c r="GE166" i="2"/>
  <c r="GD166" i="2"/>
  <c r="GC166" i="2"/>
  <c r="GB166" i="2"/>
  <c r="GA166" i="2"/>
  <c r="FZ166" i="2"/>
  <c r="FY166" i="2"/>
  <c r="FX166" i="2"/>
  <c r="FW166" i="2"/>
  <c r="FV166" i="2"/>
  <c r="FU166" i="2"/>
  <c r="FT166" i="2"/>
  <c r="FS166" i="2"/>
  <c r="FR166" i="2"/>
  <c r="FQ166" i="2"/>
  <c r="FP166" i="2"/>
  <c r="FO166" i="2"/>
  <c r="FN166" i="2"/>
  <c r="FM166" i="2"/>
  <c r="FL166" i="2"/>
  <c r="FK166" i="2"/>
  <c r="FJ166" i="2"/>
  <c r="FI166" i="2"/>
  <c r="FH166" i="2"/>
  <c r="FG166" i="2"/>
  <c r="FF166" i="2"/>
  <c r="FE166" i="2"/>
  <c r="FD166" i="2"/>
  <c r="FC166" i="2"/>
  <c r="FB166" i="2"/>
  <c r="FA166" i="2"/>
  <c r="EZ166" i="2"/>
  <c r="EY166" i="2"/>
  <c r="EX166" i="2"/>
  <c r="EW166" i="2"/>
  <c r="EV166" i="2"/>
  <c r="EU166" i="2"/>
  <c r="ET166" i="2"/>
  <c r="ES166" i="2"/>
  <c r="ER166" i="2"/>
  <c r="EQ166" i="2"/>
  <c r="EP166" i="2"/>
  <c r="EO166" i="2"/>
  <c r="EN166" i="2"/>
  <c r="EM166" i="2"/>
  <c r="EL166" i="2"/>
  <c r="EK166" i="2"/>
  <c r="EJ166" i="2"/>
  <c r="EI166" i="2"/>
  <c r="EH166" i="2"/>
  <c r="EG166" i="2"/>
  <c r="EF166" i="2"/>
  <c r="EE166" i="2"/>
  <c r="ED166" i="2"/>
  <c r="EC166" i="2"/>
  <c r="EB166" i="2"/>
  <c r="EA166" i="2"/>
  <c r="DZ166" i="2"/>
  <c r="DY166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166" i="2"/>
  <c r="PI165" i="2"/>
  <c r="PH165" i="2"/>
  <c r="PG165" i="2"/>
  <c r="PF165" i="2"/>
  <c r="PE165" i="2"/>
  <c r="PD165" i="2"/>
  <c r="PC165" i="2"/>
  <c r="PB165" i="2"/>
  <c r="PA165" i="2"/>
  <c r="OZ165" i="2"/>
  <c r="OY165" i="2"/>
  <c r="OX165" i="2"/>
  <c r="OW165" i="2"/>
  <c r="OV165" i="2"/>
  <c r="OU165" i="2"/>
  <c r="OT165" i="2"/>
  <c r="OS165" i="2"/>
  <c r="OR165" i="2"/>
  <c r="OQ165" i="2"/>
  <c r="OP165" i="2"/>
  <c r="OO165" i="2"/>
  <c r="ON165" i="2"/>
  <c r="OM165" i="2"/>
  <c r="OL165" i="2"/>
  <c r="OK165" i="2"/>
  <c r="OJ165" i="2"/>
  <c r="OI165" i="2"/>
  <c r="OH165" i="2"/>
  <c r="OG165" i="2"/>
  <c r="OF165" i="2"/>
  <c r="OE165" i="2"/>
  <c r="OD165" i="2"/>
  <c r="OC165" i="2"/>
  <c r="OB165" i="2"/>
  <c r="OA165" i="2"/>
  <c r="NZ165" i="2"/>
  <c r="NY165" i="2"/>
  <c r="NX165" i="2"/>
  <c r="NW165" i="2"/>
  <c r="NV165" i="2"/>
  <c r="NU165" i="2"/>
  <c r="NT165" i="2"/>
  <c r="NS165" i="2"/>
  <c r="NR165" i="2"/>
  <c r="NQ165" i="2"/>
  <c r="NP165" i="2"/>
  <c r="NO165" i="2"/>
  <c r="NN165" i="2"/>
  <c r="NM165" i="2"/>
  <c r="NL165" i="2"/>
  <c r="NK165" i="2"/>
  <c r="NJ165" i="2"/>
  <c r="NI165" i="2"/>
  <c r="NH165" i="2"/>
  <c r="NG165" i="2"/>
  <c r="NF165" i="2"/>
  <c r="NE165" i="2"/>
  <c r="ND165" i="2"/>
  <c r="NC165" i="2"/>
  <c r="NB165" i="2"/>
  <c r="NA165" i="2"/>
  <c r="MZ165" i="2"/>
  <c r="MY165" i="2"/>
  <c r="MX165" i="2"/>
  <c r="MW165" i="2"/>
  <c r="MV165" i="2"/>
  <c r="MU165" i="2"/>
  <c r="MT165" i="2"/>
  <c r="MS165" i="2"/>
  <c r="MR165" i="2"/>
  <c r="MQ165" i="2"/>
  <c r="MP165" i="2"/>
  <c r="MO165" i="2"/>
  <c r="MN165" i="2"/>
  <c r="MM165" i="2"/>
  <c r="ML165" i="2"/>
  <c r="MK165" i="2"/>
  <c r="MJ165" i="2"/>
  <c r="MI165" i="2"/>
  <c r="MH165" i="2"/>
  <c r="MG165" i="2"/>
  <c r="MF165" i="2"/>
  <c r="ME165" i="2"/>
  <c r="MD165" i="2"/>
  <c r="MC165" i="2"/>
  <c r="MB165" i="2"/>
  <c r="MA165" i="2"/>
  <c r="LZ165" i="2"/>
  <c r="LY165" i="2"/>
  <c r="LX165" i="2"/>
  <c r="LW165" i="2"/>
  <c r="LV165" i="2"/>
  <c r="LU165" i="2"/>
  <c r="LT165" i="2"/>
  <c r="LS165" i="2"/>
  <c r="LR165" i="2"/>
  <c r="LQ165" i="2"/>
  <c r="LP165" i="2"/>
  <c r="LO165" i="2"/>
  <c r="LN165" i="2"/>
  <c r="LM165" i="2"/>
  <c r="LL165" i="2"/>
  <c r="LK165" i="2"/>
  <c r="LJ165" i="2"/>
  <c r="LI165" i="2"/>
  <c r="LH165" i="2"/>
  <c r="LG165" i="2"/>
  <c r="LF165" i="2"/>
  <c r="LE165" i="2"/>
  <c r="LD165" i="2"/>
  <c r="LC165" i="2"/>
  <c r="LB165" i="2"/>
  <c r="LA165" i="2"/>
  <c r="KZ165" i="2"/>
  <c r="KY165" i="2"/>
  <c r="KX165" i="2"/>
  <c r="KW165" i="2"/>
  <c r="KV165" i="2"/>
  <c r="KU165" i="2"/>
  <c r="KT165" i="2"/>
  <c r="KS165" i="2"/>
  <c r="KR165" i="2"/>
  <c r="KQ165" i="2"/>
  <c r="KP165" i="2"/>
  <c r="KO165" i="2"/>
  <c r="KN165" i="2"/>
  <c r="KM165" i="2"/>
  <c r="KL165" i="2"/>
  <c r="KK165" i="2"/>
  <c r="KJ165" i="2"/>
  <c r="KI165" i="2"/>
  <c r="KH165" i="2"/>
  <c r="KG165" i="2"/>
  <c r="KF165" i="2"/>
  <c r="KE165" i="2"/>
  <c r="KD165" i="2"/>
  <c r="KC165" i="2"/>
  <c r="KB165" i="2"/>
  <c r="KA165" i="2"/>
  <c r="JZ165" i="2"/>
  <c r="JY165" i="2"/>
  <c r="JX165" i="2"/>
  <c r="JW165" i="2"/>
  <c r="JV165" i="2"/>
  <c r="JU165" i="2"/>
  <c r="JT165" i="2"/>
  <c r="JS165" i="2"/>
  <c r="JR165" i="2"/>
  <c r="JQ165" i="2"/>
  <c r="JP165" i="2"/>
  <c r="JO165" i="2"/>
  <c r="JN165" i="2"/>
  <c r="JM165" i="2"/>
  <c r="JL165" i="2"/>
  <c r="JK165" i="2"/>
  <c r="JJ165" i="2"/>
  <c r="JI165" i="2"/>
  <c r="JH165" i="2"/>
  <c r="JG165" i="2"/>
  <c r="JF165" i="2"/>
  <c r="JE165" i="2"/>
  <c r="JD165" i="2"/>
  <c r="JC165" i="2"/>
  <c r="JB165" i="2"/>
  <c r="JA165" i="2"/>
  <c r="IZ165" i="2"/>
  <c r="IY165" i="2"/>
  <c r="IX165" i="2"/>
  <c r="IW165" i="2"/>
  <c r="IV165" i="2"/>
  <c r="IU165" i="2"/>
  <c r="IT165" i="2"/>
  <c r="IS165" i="2"/>
  <c r="IR165" i="2"/>
  <c r="IQ165" i="2"/>
  <c r="IP165" i="2"/>
  <c r="IO165" i="2"/>
  <c r="IN165" i="2"/>
  <c r="IM165" i="2"/>
  <c r="IL165" i="2"/>
  <c r="IK165" i="2"/>
  <c r="IJ165" i="2"/>
  <c r="II165" i="2"/>
  <c r="IH165" i="2"/>
  <c r="IG165" i="2"/>
  <c r="IF165" i="2"/>
  <c r="IE165" i="2"/>
  <c r="ID165" i="2"/>
  <c r="IC165" i="2"/>
  <c r="IB165" i="2"/>
  <c r="IA165" i="2"/>
  <c r="HZ165" i="2"/>
  <c r="HY165" i="2"/>
  <c r="HX165" i="2"/>
  <c r="HW165" i="2"/>
  <c r="HV165" i="2"/>
  <c r="HU165" i="2"/>
  <c r="HT165" i="2"/>
  <c r="HS165" i="2"/>
  <c r="HR165" i="2"/>
  <c r="HQ165" i="2"/>
  <c r="HP165" i="2"/>
  <c r="HO165" i="2"/>
  <c r="HN165" i="2"/>
  <c r="HM165" i="2"/>
  <c r="HL165" i="2"/>
  <c r="HK165" i="2"/>
  <c r="HJ165" i="2"/>
  <c r="HI165" i="2"/>
  <c r="HH165" i="2"/>
  <c r="HG165" i="2"/>
  <c r="HF165" i="2"/>
  <c r="HE165" i="2"/>
  <c r="HD165" i="2"/>
  <c r="HC165" i="2"/>
  <c r="HB165" i="2"/>
  <c r="HA165" i="2"/>
  <c r="GZ165" i="2"/>
  <c r="GY165" i="2"/>
  <c r="GX165" i="2"/>
  <c r="GW165" i="2"/>
  <c r="GV165" i="2"/>
  <c r="GU165" i="2"/>
  <c r="GT165" i="2"/>
  <c r="GS165" i="2"/>
  <c r="GR165" i="2"/>
  <c r="GQ165" i="2"/>
  <c r="GP165" i="2"/>
  <c r="GO165" i="2"/>
  <c r="GN165" i="2"/>
  <c r="GM165" i="2"/>
  <c r="GL165" i="2"/>
  <c r="GK165" i="2"/>
  <c r="GJ165" i="2"/>
  <c r="GI165" i="2"/>
  <c r="GH165" i="2"/>
  <c r="GG165" i="2"/>
  <c r="GF165" i="2"/>
  <c r="GE165" i="2"/>
  <c r="GD165" i="2"/>
  <c r="GC165" i="2"/>
  <c r="GB165" i="2"/>
  <c r="GA165" i="2"/>
  <c r="FZ165" i="2"/>
  <c r="FY165" i="2"/>
  <c r="FX165" i="2"/>
  <c r="FW165" i="2"/>
  <c r="FV165" i="2"/>
  <c r="FU165" i="2"/>
  <c r="FT165" i="2"/>
  <c r="FS165" i="2"/>
  <c r="FR165" i="2"/>
  <c r="FQ165" i="2"/>
  <c r="FP165" i="2"/>
  <c r="FO165" i="2"/>
  <c r="FN165" i="2"/>
  <c r="FM165" i="2"/>
  <c r="FL165" i="2"/>
  <c r="FK165" i="2"/>
  <c r="FJ165" i="2"/>
  <c r="FI165" i="2"/>
  <c r="FH165" i="2"/>
  <c r="FG165" i="2"/>
  <c r="FF165" i="2"/>
  <c r="FE165" i="2"/>
  <c r="FD165" i="2"/>
  <c r="FC165" i="2"/>
  <c r="FB165" i="2"/>
  <c r="FA165" i="2"/>
  <c r="EZ165" i="2"/>
  <c r="EY165" i="2"/>
  <c r="EX165" i="2"/>
  <c r="EW165" i="2"/>
  <c r="EV165" i="2"/>
  <c r="EU165" i="2"/>
  <c r="ET165" i="2"/>
  <c r="ES165" i="2"/>
  <c r="ER165" i="2"/>
  <c r="EQ165" i="2"/>
  <c r="EP165" i="2"/>
  <c r="EO165" i="2"/>
  <c r="EN165" i="2"/>
  <c r="EM165" i="2"/>
  <c r="EL165" i="2"/>
  <c r="EK165" i="2"/>
  <c r="EJ165" i="2"/>
  <c r="EI165" i="2"/>
  <c r="EH165" i="2"/>
  <c r="EG165" i="2"/>
  <c r="EF165" i="2"/>
  <c r="EE165" i="2"/>
  <c r="ED165" i="2"/>
  <c r="EC165" i="2"/>
  <c r="EB165" i="2"/>
  <c r="EA165" i="2"/>
  <c r="DZ165" i="2"/>
  <c r="DY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A165" i="2"/>
  <c r="PI164" i="2"/>
  <c r="PH164" i="2"/>
  <c r="PG164" i="2"/>
  <c r="PF164" i="2"/>
  <c r="PE164" i="2"/>
  <c r="PD164" i="2"/>
  <c r="PC164" i="2"/>
  <c r="PB164" i="2"/>
  <c r="PA164" i="2"/>
  <c r="OZ164" i="2"/>
  <c r="OY164" i="2"/>
  <c r="OX164" i="2"/>
  <c r="OW164" i="2"/>
  <c r="OV164" i="2"/>
  <c r="OU164" i="2"/>
  <c r="OT164" i="2"/>
  <c r="OS164" i="2"/>
  <c r="OR164" i="2"/>
  <c r="OQ164" i="2"/>
  <c r="OP164" i="2"/>
  <c r="OO164" i="2"/>
  <c r="ON164" i="2"/>
  <c r="OM164" i="2"/>
  <c r="OL164" i="2"/>
  <c r="OK164" i="2"/>
  <c r="OJ164" i="2"/>
  <c r="OI164" i="2"/>
  <c r="OH164" i="2"/>
  <c r="OG164" i="2"/>
  <c r="OF164" i="2"/>
  <c r="OE164" i="2"/>
  <c r="OD164" i="2"/>
  <c r="OC164" i="2"/>
  <c r="OB164" i="2"/>
  <c r="OA164" i="2"/>
  <c r="NZ164" i="2"/>
  <c r="NY164" i="2"/>
  <c r="NX164" i="2"/>
  <c r="NW164" i="2"/>
  <c r="NV164" i="2"/>
  <c r="NU164" i="2"/>
  <c r="NT164" i="2"/>
  <c r="NS164" i="2"/>
  <c r="NR164" i="2"/>
  <c r="NQ164" i="2"/>
  <c r="NP164" i="2"/>
  <c r="NO164" i="2"/>
  <c r="NN164" i="2"/>
  <c r="NM164" i="2"/>
  <c r="NL164" i="2"/>
  <c r="NK164" i="2"/>
  <c r="NJ164" i="2"/>
  <c r="NI164" i="2"/>
  <c r="NH164" i="2"/>
  <c r="NG164" i="2"/>
  <c r="NF164" i="2"/>
  <c r="NE164" i="2"/>
  <c r="ND164" i="2"/>
  <c r="NC164" i="2"/>
  <c r="NB164" i="2"/>
  <c r="NA164" i="2"/>
  <c r="MZ164" i="2"/>
  <c r="MY164" i="2"/>
  <c r="MX164" i="2"/>
  <c r="MW164" i="2"/>
  <c r="MV164" i="2"/>
  <c r="MU164" i="2"/>
  <c r="MT164" i="2"/>
  <c r="MS164" i="2"/>
  <c r="MR164" i="2"/>
  <c r="MQ164" i="2"/>
  <c r="MP164" i="2"/>
  <c r="MO164" i="2"/>
  <c r="MN164" i="2"/>
  <c r="MM164" i="2"/>
  <c r="ML164" i="2"/>
  <c r="MK164" i="2"/>
  <c r="MJ164" i="2"/>
  <c r="MI164" i="2"/>
  <c r="MH164" i="2"/>
  <c r="MG164" i="2"/>
  <c r="MF164" i="2"/>
  <c r="ME164" i="2"/>
  <c r="MD164" i="2"/>
  <c r="MC164" i="2"/>
  <c r="MB164" i="2"/>
  <c r="MA164" i="2"/>
  <c r="LZ164" i="2"/>
  <c r="LY164" i="2"/>
  <c r="LX164" i="2"/>
  <c r="LW164" i="2"/>
  <c r="LV164" i="2"/>
  <c r="LU164" i="2"/>
  <c r="LT164" i="2"/>
  <c r="LS164" i="2"/>
  <c r="LR164" i="2"/>
  <c r="LQ164" i="2"/>
  <c r="LP164" i="2"/>
  <c r="LO164" i="2"/>
  <c r="LN164" i="2"/>
  <c r="LM164" i="2"/>
  <c r="LL164" i="2"/>
  <c r="LK164" i="2"/>
  <c r="LJ164" i="2"/>
  <c r="LI164" i="2"/>
  <c r="LH164" i="2"/>
  <c r="LG164" i="2"/>
  <c r="LF164" i="2"/>
  <c r="LE164" i="2"/>
  <c r="LD164" i="2"/>
  <c r="LC164" i="2"/>
  <c r="LB164" i="2"/>
  <c r="LA164" i="2"/>
  <c r="KZ164" i="2"/>
  <c r="KY164" i="2"/>
  <c r="KX164" i="2"/>
  <c r="KW164" i="2"/>
  <c r="KV164" i="2"/>
  <c r="KU164" i="2"/>
  <c r="KT164" i="2"/>
  <c r="KS164" i="2"/>
  <c r="KR164" i="2"/>
  <c r="KQ164" i="2"/>
  <c r="KP164" i="2"/>
  <c r="KO164" i="2"/>
  <c r="KN164" i="2"/>
  <c r="KM164" i="2"/>
  <c r="KL164" i="2"/>
  <c r="KK164" i="2"/>
  <c r="KJ164" i="2"/>
  <c r="KI164" i="2"/>
  <c r="KH164" i="2"/>
  <c r="KG164" i="2"/>
  <c r="KF164" i="2"/>
  <c r="KE164" i="2"/>
  <c r="KD164" i="2"/>
  <c r="KC164" i="2"/>
  <c r="KB164" i="2"/>
  <c r="KA164" i="2"/>
  <c r="JZ164" i="2"/>
  <c r="JY164" i="2"/>
  <c r="JX164" i="2"/>
  <c r="JW164" i="2"/>
  <c r="JV164" i="2"/>
  <c r="JU164" i="2"/>
  <c r="JT164" i="2"/>
  <c r="JS164" i="2"/>
  <c r="JR164" i="2"/>
  <c r="JQ164" i="2"/>
  <c r="JP164" i="2"/>
  <c r="JO164" i="2"/>
  <c r="JN164" i="2"/>
  <c r="JM164" i="2"/>
  <c r="JL164" i="2"/>
  <c r="JK164" i="2"/>
  <c r="JJ164" i="2"/>
  <c r="JI164" i="2"/>
  <c r="JH164" i="2"/>
  <c r="JG164" i="2"/>
  <c r="JF164" i="2"/>
  <c r="JE164" i="2"/>
  <c r="JD164" i="2"/>
  <c r="JC164" i="2"/>
  <c r="JB164" i="2"/>
  <c r="JA164" i="2"/>
  <c r="IZ164" i="2"/>
  <c r="IY164" i="2"/>
  <c r="IX164" i="2"/>
  <c r="IW164" i="2"/>
  <c r="IV164" i="2"/>
  <c r="IU164" i="2"/>
  <c r="IT164" i="2"/>
  <c r="IS164" i="2"/>
  <c r="IR164" i="2"/>
  <c r="IQ164" i="2"/>
  <c r="IP164" i="2"/>
  <c r="IO164" i="2"/>
  <c r="IN164" i="2"/>
  <c r="IM164" i="2"/>
  <c r="IL164" i="2"/>
  <c r="IK164" i="2"/>
  <c r="IJ164" i="2"/>
  <c r="II164" i="2"/>
  <c r="IH164" i="2"/>
  <c r="IG164" i="2"/>
  <c r="IF164" i="2"/>
  <c r="IE164" i="2"/>
  <c r="ID164" i="2"/>
  <c r="IC164" i="2"/>
  <c r="IB164" i="2"/>
  <c r="IA164" i="2"/>
  <c r="HZ164" i="2"/>
  <c r="HY164" i="2"/>
  <c r="HX164" i="2"/>
  <c r="HW164" i="2"/>
  <c r="HV164" i="2"/>
  <c r="HU164" i="2"/>
  <c r="HT164" i="2"/>
  <c r="HS164" i="2"/>
  <c r="HR164" i="2"/>
  <c r="HQ164" i="2"/>
  <c r="HP164" i="2"/>
  <c r="HO164" i="2"/>
  <c r="HN164" i="2"/>
  <c r="HM164" i="2"/>
  <c r="HL164" i="2"/>
  <c r="HK164" i="2"/>
  <c r="HJ164" i="2"/>
  <c r="HI164" i="2"/>
  <c r="HH164" i="2"/>
  <c r="HG164" i="2"/>
  <c r="HF164" i="2"/>
  <c r="HE164" i="2"/>
  <c r="HD164" i="2"/>
  <c r="HC164" i="2"/>
  <c r="HB164" i="2"/>
  <c r="HA164" i="2"/>
  <c r="GZ164" i="2"/>
  <c r="GY164" i="2"/>
  <c r="GX164" i="2"/>
  <c r="GW164" i="2"/>
  <c r="GV164" i="2"/>
  <c r="GU164" i="2"/>
  <c r="GT164" i="2"/>
  <c r="GS164" i="2"/>
  <c r="GR164" i="2"/>
  <c r="GQ164" i="2"/>
  <c r="GP164" i="2"/>
  <c r="GO164" i="2"/>
  <c r="GN164" i="2"/>
  <c r="GM164" i="2"/>
  <c r="GL164" i="2"/>
  <c r="GK164" i="2"/>
  <c r="GJ164" i="2"/>
  <c r="GI164" i="2"/>
  <c r="GH164" i="2"/>
  <c r="GG164" i="2"/>
  <c r="GF164" i="2"/>
  <c r="GE164" i="2"/>
  <c r="GD164" i="2"/>
  <c r="GC164" i="2"/>
  <c r="GB164" i="2"/>
  <c r="GA164" i="2"/>
  <c r="FZ164" i="2"/>
  <c r="FY164" i="2"/>
  <c r="FX164" i="2"/>
  <c r="FW164" i="2"/>
  <c r="FV164" i="2"/>
  <c r="FU164" i="2"/>
  <c r="FT164" i="2"/>
  <c r="FS164" i="2"/>
  <c r="FR164" i="2"/>
  <c r="FQ164" i="2"/>
  <c r="FP164" i="2"/>
  <c r="FO164" i="2"/>
  <c r="FN164" i="2"/>
  <c r="FM164" i="2"/>
  <c r="FL164" i="2"/>
  <c r="FK164" i="2"/>
  <c r="FJ164" i="2"/>
  <c r="FI164" i="2"/>
  <c r="FH164" i="2"/>
  <c r="FG164" i="2"/>
  <c r="FF164" i="2"/>
  <c r="FE164" i="2"/>
  <c r="FD164" i="2"/>
  <c r="FC164" i="2"/>
  <c r="FB164" i="2"/>
  <c r="FA164" i="2"/>
  <c r="EZ164" i="2"/>
  <c r="EY164" i="2"/>
  <c r="EX164" i="2"/>
  <c r="EW164" i="2"/>
  <c r="EV164" i="2"/>
  <c r="EU164" i="2"/>
  <c r="ET164" i="2"/>
  <c r="ES164" i="2"/>
  <c r="ER164" i="2"/>
  <c r="EQ164" i="2"/>
  <c r="EP164" i="2"/>
  <c r="EO164" i="2"/>
  <c r="EN164" i="2"/>
  <c r="EM164" i="2"/>
  <c r="EL164" i="2"/>
  <c r="EK164" i="2"/>
  <c r="EJ164" i="2"/>
  <c r="EI164" i="2"/>
  <c r="EH164" i="2"/>
  <c r="EG164" i="2"/>
  <c r="EF164" i="2"/>
  <c r="EE164" i="2"/>
  <c r="ED164" i="2"/>
  <c r="EC164" i="2"/>
  <c r="EB164" i="2"/>
  <c r="EA164" i="2"/>
  <c r="DZ164" i="2"/>
  <c r="DY164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A164" i="2"/>
  <c r="PI163" i="2"/>
  <c r="PH163" i="2"/>
  <c r="PG163" i="2"/>
  <c r="PF163" i="2"/>
  <c r="PE163" i="2"/>
  <c r="PD163" i="2"/>
  <c r="PC163" i="2"/>
  <c r="PB163" i="2"/>
  <c r="PA163" i="2"/>
  <c r="OZ163" i="2"/>
  <c r="OY163" i="2"/>
  <c r="OX163" i="2"/>
  <c r="OW163" i="2"/>
  <c r="OV163" i="2"/>
  <c r="OU163" i="2"/>
  <c r="OT163" i="2"/>
  <c r="OS163" i="2"/>
  <c r="OR163" i="2"/>
  <c r="OQ163" i="2"/>
  <c r="OP163" i="2"/>
  <c r="OO163" i="2"/>
  <c r="ON163" i="2"/>
  <c r="OM163" i="2"/>
  <c r="OL163" i="2"/>
  <c r="OK163" i="2"/>
  <c r="OJ163" i="2"/>
  <c r="OI163" i="2"/>
  <c r="OH163" i="2"/>
  <c r="OG163" i="2"/>
  <c r="OF163" i="2"/>
  <c r="OE163" i="2"/>
  <c r="OD163" i="2"/>
  <c r="OC163" i="2"/>
  <c r="OB163" i="2"/>
  <c r="OA163" i="2"/>
  <c r="NZ163" i="2"/>
  <c r="NY163" i="2"/>
  <c r="NX163" i="2"/>
  <c r="NW163" i="2"/>
  <c r="NV163" i="2"/>
  <c r="NU163" i="2"/>
  <c r="NT163" i="2"/>
  <c r="NS163" i="2"/>
  <c r="NR163" i="2"/>
  <c r="NQ163" i="2"/>
  <c r="NP163" i="2"/>
  <c r="NO163" i="2"/>
  <c r="NN163" i="2"/>
  <c r="NM163" i="2"/>
  <c r="NL163" i="2"/>
  <c r="NK163" i="2"/>
  <c r="NJ163" i="2"/>
  <c r="NI163" i="2"/>
  <c r="NH163" i="2"/>
  <c r="NG163" i="2"/>
  <c r="NF163" i="2"/>
  <c r="NE163" i="2"/>
  <c r="ND163" i="2"/>
  <c r="NC163" i="2"/>
  <c r="NB163" i="2"/>
  <c r="NA163" i="2"/>
  <c r="MZ163" i="2"/>
  <c r="MY163" i="2"/>
  <c r="MX163" i="2"/>
  <c r="MW163" i="2"/>
  <c r="MV163" i="2"/>
  <c r="MU163" i="2"/>
  <c r="MT163" i="2"/>
  <c r="MS163" i="2"/>
  <c r="MR163" i="2"/>
  <c r="MQ163" i="2"/>
  <c r="MP163" i="2"/>
  <c r="MO163" i="2"/>
  <c r="MN163" i="2"/>
  <c r="MM163" i="2"/>
  <c r="ML163" i="2"/>
  <c r="MK163" i="2"/>
  <c r="MJ163" i="2"/>
  <c r="MI163" i="2"/>
  <c r="MH163" i="2"/>
  <c r="MG163" i="2"/>
  <c r="MF163" i="2"/>
  <c r="ME163" i="2"/>
  <c r="MD163" i="2"/>
  <c r="MC163" i="2"/>
  <c r="MB163" i="2"/>
  <c r="MA163" i="2"/>
  <c r="LZ163" i="2"/>
  <c r="LY163" i="2"/>
  <c r="LX163" i="2"/>
  <c r="LW163" i="2"/>
  <c r="LV163" i="2"/>
  <c r="LU163" i="2"/>
  <c r="LT163" i="2"/>
  <c r="LS163" i="2"/>
  <c r="LR163" i="2"/>
  <c r="LQ163" i="2"/>
  <c r="LP163" i="2"/>
  <c r="LO163" i="2"/>
  <c r="LN163" i="2"/>
  <c r="LM163" i="2"/>
  <c r="LL163" i="2"/>
  <c r="LK163" i="2"/>
  <c r="LJ163" i="2"/>
  <c r="LI163" i="2"/>
  <c r="LH163" i="2"/>
  <c r="LG163" i="2"/>
  <c r="LF163" i="2"/>
  <c r="LE163" i="2"/>
  <c r="LD163" i="2"/>
  <c r="LC163" i="2"/>
  <c r="LB163" i="2"/>
  <c r="LA163" i="2"/>
  <c r="KZ163" i="2"/>
  <c r="KY163" i="2"/>
  <c r="KX163" i="2"/>
  <c r="KW163" i="2"/>
  <c r="KV163" i="2"/>
  <c r="KU163" i="2"/>
  <c r="KT163" i="2"/>
  <c r="KS163" i="2"/>
  <c r="KR163" i="2"/>
  <c r="KQ163" i="2"/>
  <c r="KP163" i="2"/>
  <c r="KO163" i="2"/>
  <c r="KN163" i="2"/>
  <c r="KM163" i="2"/>
  <c r="KL163" i="2"/>
  <c r="KK163" i="2"/>
  <c r="KJ163" i="2"/>
  <c r="KI163" i="2"/>
  <c r="KH163" i="2"/>
  <c r="KG163" i="2"/>
  <c r="KF163" i="2"/>
  <c r="KE163" i="2"/>
  <c r="KD163" i="2"/>
  <c r="KC163" i="2"/>
  <c r="KB163" i="2"/>
  <c r="KA163" i="2"/>
  <c r="JZ163" i="2"/>
  <c r="JY163" i="2"/>
  <c r="JX163" i="2"/>
  <c r="JW163" i="2"/>
  <c r="JV163" i="2"/>
  <c r="JU163" i="2"/>
  <c r="JT163" i="2"/>
  <c r="JS163" i="2"/>
  <c r="JR163" i="2"/>
  <c r="JQ163" i="2"/>
  <c r="JP163" i="2"/>
  <c r="JO163" i="2"/>
  <c r="JN163" i="2"/>
  <c r="JM163" i="2"/>
  <c r="JL163" i="2"/>
  <c r="JK163" i="2"/>
  <c r="JJ163" i="2"/>
  <c r="JI163" i="2"/>
  <c r="JH163" i="2"/>
  <c r="JG163" i="2"/>
  <c r="JF163" i="2"/>
  <c r="JE163" i="2"/>
  <c r="JD163" i="2"/>
  <c r="JC163" i="2"/>
  <c r="JB163" i="2"/>
  <c r="JA163" i="2"/>
  <c r="IZ163" i="2"/>
  <c r="IY163" i="2"/>
  <c r="IX163" i="2"/>
  <c r="IW163" i="2"/>
  <c r="IV163" i="2"/>
  <c r="IU163" i="2"/>
  <c r="IT163" i="2"/>
  <c r="IS163" i="2"/>
  <c r="IR163" i="2"/>
  <c r="IQ163" i="2"/>
  <c r="IP163" i="2"/>
  <c r="IO163" i="2"/>
  <c r="IN163" i="2"/>
  <c r="IM163" i="2"/>
  <c r="IL163" i="2"/>
  <c r="IK163" i="2"/>
  <c r="IJ163" i="2"/>
  <c r="II163" i="2"/>
  <c r="IH163" i="2"/>
  <c r="IG163" i="2"/>
  <c r="IF163" i="2"/>
  <c r="IE163" i="2"/>
  <c r="ID163" i="2"/>
  <c r="IC163" i="2"/>
  <c r="IB163" i="2"/>
  <c r="IA163" i="2"/>
  <c r="HZ163" i="2"/>
  <c r="HY163" i="2"/>
  <c r="HX163" i="2"/>
  <c r="HW163" i="2"/>
  <c r="HV163" i="2"/>
  <c r="HU163" i="2"/>
  <c r="HT163" i="2"/>
  <c r="HS163" i="2"/>
  <c r="HR163" i="2"/>
  <c r="HQ163" i="2"/>
  <c r="HP163" i="2"/>
  <c r="HO163" i="2"/>
  <c r="HN163" i="2"/>
  <c r="HM163" i="2"/>
  <c r="HL163" i="2"/>
  <c r="HK163" i="2"/>
  <c r="HJ163" i="2"/>
  <c r="HI163" i="2"/>
  <c r="HH163" i="2"/>
  <c r="HG163" i="2"/>
  <c r="HF163" i="2"/>
  <c r="HE163" i="2"/>
  <c r="HD163" i="2"/>
  <c r="HC163" i="2"/>
  <c r="HB163" i="2"/>
  <c r="HA163" i="2"/>
  <c r="GZ163" i="2"/>
  <c r="GY163" i="2"/>
  <c r="GX163" i="2"/>
  <c r="GW163" i="2"/>
  <c r="GV163" i="2"/>
  <c r="GU163" i="2"/>
  <c r="GT163" i="2"/>
  <c r="GS163" i="2"/>
  <c r="GR163" i="2"/>
  <c r="GQ163" i="2"/>
  <c r="GP163" i="2"/>
  <c r="GO163" i="2"/>
  <c r="GN163" i="2"/>
  <c r="GM163" i="2"/>
  <c r="GL163" i="2"/>
  <c r="GK163" i="2"/>
  <c r="GJ163" i="2"/>
  <c r="GI163" i="2"/>
  <c r="GH163" i="2"/>
  <c r="GG163" i="2"/>
  <c r="GF163" i="2"/>
  <c r="GE163" i="2"/>
  <c r="GD163" i="2"/>
  <c r="GC163" i="2"/>
  <c r="GB163" i="2"/>
  <c r="GA163" i="2"/>
  <c r="FZ163" i="2"/>
  <c r="FY163" i="2"/>
  <c r="FX163" i="2"/>
  <c r="FW163" i="2"/>
  <c r="FV163" i="2"/>
  <c r="FU163" i="2"/>
  <c r="FT163" i="2"/>
  <c r="FS163" i="2"/>
  <c r="FR163" i="2"/>
  <c r="FQ163" i="2"/>
  <c r="FP163" i="2"/>
  <c r="FO163" i="2"/>
  <c r="FN163" i="2"/>
  <c r="FM163" i="2"/>
  <c r="FL163" i="2"/>
  <c r="FK163" i="2"/>
  <c r="FJ163" i="2"/>
  <c r="FI163" i="2"/>
  <c r="FH163" i="2"/>
  <c r="FG163" i="2"/>
  <c r="FF163" i="2"/>
  <c r="FE163" i="2"/>
  <c r="FD163" i="2"/>
  <c r="FC163" i="2"/>
  <c r="FB163" i="2"/>
  <c r="FA163" i="2"/>
  <c r="EZ163" i="2"/>
  <c r="EY163" i="2"/>
  <c r="EX163" i="2"/>
  <c r="EW163" i="2"/>
  <c r="EV163" i="2"/>
  <c r="EU163" i="2"/>
  <c r="ET163" i="2"/>
  <c r="ES163" i="2"/>
  <c r="ER163" i="2"/>
  <c r="EQ163" i="2"/>
  <c r="EP163" i="2"/>
  <c r="EO163" i="2"/>
  <c r="EN163" i="2"/>
  <c r="EM163" i="2"/>
  <c r="EL163" i="2"/>
  <c r="EK163" i="2"/>
  <c r="EJ163" i="2"/>
  <c r="EI163" i="2"/>
  <c r="EH163" i="2"/>
  <c r="EG163" i="2"/>
  <c r="EF163" i="2"/>
  <c r="EE163" i="2"/>
  <c r="ED163" i="2"/>
  <c r="EC163" i="2"/>
  <c r="EB163" i="2"/>
  <c r="EA163" i="2"/>
  <c r="DZ163" i="2"/>
  <c r="DY163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163" i="2"/>
  <c r="PI162" i="2"/>
  <c r="PH162" i="2"/>
  <c r="PG162" i="2"/>
  <c r="PF162" i="2"/>
  <c r="PE162" i="2"/>
  <c r="PD162" i="2"/>
  <c r="PC162" i="2"/>
  <c r="PB162" i="2"/>
  <c r="PA162" i="2"/>
  <c r="OZ162" i="2"/>
  <c r="OY162" i="2"/>
  <c r="OX162" i="2"/>
  <c r="OW162" i="2"/>
  <c r="OV162" i="2"/>
  <c r="OU162" i="2"/>
  <c r="OT162" i="2"/>
  <c r="OS162" i="2"/>
  <c r="OR162" i="2"/>
  <c r="OQ162" i="2"/>
  <c r="OP162" i="2"/>
  <c r="OO162" i="2"/>
  <c r="ON162" i="2"/>
  <c r="OM162" i="2"/>
  <c r="OL162" i="2"/>
  <c r="OK162" i="2"/>
  <c r="OJ162" i="2"/>
  <c r="OI162" i="2"/>
  <c r="OH162" i="2"/>
  <c r="OG162" i="2"/>
  <c r="OF162" i="2"/>
  <c r="OE162" i="2"/>
  <c r="OD162" i="2"/>
  <c r="OC162" i="2"/>
  <c r="OB162" i="2"/>
  <c r="OA162" i="2"/>
  <c r="NZ162" i="2"/>
  <c r="NY162" i="2"/>
  <c r="NX162" i="2"/>
  <c r="NW162" i="2"/>
  <c r="NV162" i="2"/>
  <c r="NU162" i="2"/>
  <c r="NT162" i="2"/>
  <c r="NS162" i="2"/>
  <c r="NR162" i="2"/>
  <c r="NQ162" i="2"/>
  <c r="NP162" i="2"/>
  <c r="NO162" i="2"/>
  <c r="NN162" i="2"/>
  <c r="NM162" i="2"/>
  <c r="NL162" i="2"/>
  <c r="NK162" i="2"/>
  <c r="NJ162" i="2"/>
  <c r="NI162" i="2"/>
  <c r="NH162" i="2"/>
  <c r="NG162" i="2"/>
  <c r="NF162" i="2"/>
  <c r="NE162" i="2"/>
  <c r="ND162" i="2"/>
  <c r="NC162" i="2"/>
  <c r="NB162" i="2"/>
  <c r="NA162" i="2"/>
  <c r="MZ162" i="2"/>
  <c r="MY162" i="2"/>
  <c r="MX162" i="2"/>
  <c r="MW162" i="2"/>
  <c r="MV162" i="2"/>
  <c r="MU162" i="2"/>
  <c r="MT162" i="2"/>
  <c r="MS162" i="2"/>
  <c r="MR162" i="2"/>
  <c r="MQ162" i="2"/>
  <c r="MP162" i="2"/>
  <c r="MO162" i="2"/>
  <c r="MN162" i="2"/>
  <c r="MM162" i="2"/>
  <c r="ML162" i="2"/>
  <c r="MK162" i="2"/>
  <c r="MJ162" i="2"/>
  <c r="MI162" i="2"/>
  <c r="MH162" i="2"/>
  <c r="MG162" i="2"/>
  <c r="MF162" i="2"/>
  <c r="ME162" i="2"/>
  <c r="MD162" i="2"/>
  <c r="MC162" i="2"/>
  <c r="MB162" i="2"/>
  <c r="MA162" i="2"/>
  <c r="LZ162" i="2"/>
  <c r="LY162" i="2"/>
  <c r="LX162" i="2"/>
  <c r="LW162" i="2"/>
  <c r="LV162" i="2"/>
  <c r="LU162" i="2"/>
  <c r="LT162" i="2"/>
  <c r="LS162" i="2"/>
  <c r="LR162" i="2"/>
  <c r="LQ162" i="2"/>
  <c r="LP162" i="2"/>
  <c r="LO162" i="2"/>
  <c r="LN162" i="2"/>
  <c r="LM162" i="2"/>
  <c r="LL162" i="2"/>
  <c r="LK162" i="2"/>
  <c r="LJ162" i="2"/>
  <c r="LI162" i="2"/>
  <c r="LH162" i="2"/>
  <c r="LG162" i="2"/>
  <c r="LF162" i="2"/>
  <c r="LE162" i="2"/>
  <c r="LD162" i="2"/>
  <c r="LC162" i="2"/>
  <c r="LB162" i="2"/>
  <c r="LA162" i="2"/>
  <c r="KZ162" i="2"/>
  <c r="KY162" i="2"/>
  <c r="KX162" i="2"/>
  <c r="KW162" i="2"/>
  <c r="KV162" i="2"/>
  <c r="KU162" i="2"/>
  <c r="KT162" i="2"/>
  <c r="KS162" i="2"/>
  <c r="KR162" i="2"/>
  <c r="KQ162" i="2"/>
  <c r="KP162" i="2"/>
  <c r="KO162" i="2"/>
  <c r="KN162" i="2"/>
  <c r="KM162" i="2"/>
  <c r="KL162" i="2"/>
  <c r="KK162" i="2"/>
  <c r="KJ162" i="2"/>
  <c r="KI162" i="2"/>
  <c r="KH162" i="2"/>
  <c r="KG162" i="2"/>
  <c r="KF162" i="2"/>
  <c r="KE162" i="2"/>
  <c r="KD162" i="2"/>
  <c r="KC162" i="2"/>
  <c r="KB162" i="2"/>
  <c r="KA162" i="2"/>
  <c r="JZ162" i="2"/>
  <c r="JY162" i="2"/>
  <c r="JX162" i="2"/>
  <c r="JW162" i="2"/>
  <c r="JV162" i="2"/>
  <c r="JU162" i="2"/>
  <c r="JT162" i="2"/>
  <c r="JS162" i="2"/>
  <c r="JR162" i="2"/>
  <c r="JQ162" i="2"/>
  <c r="JP162" i="2"/>
  <c r="JO162" i="2"/>
  <c r="JN162" i="2"/>
  <c r="JM162" i="2"/>
  <c r="JL162" i="2"/>
  <c r="JK162" i="2"/>
  <c r="JJ162" i="2"/>
  <c r="JI162" i="2"/>
  <c r="JH162" i="2"/>
  <c r="JG162" i="2"/>
  <c r="JF162" i="2"/>
  <c r="JE162" i="2"/>
  <c r="JD162" i="2"/>
  <c r="JC162" i="2"/>
  <c r="JB162" i="2"/>
  <c r="JA162" i="2"/>
  <c r="IZ162" i="2"/>
  <c r="IY162" i="2"/>
  <c r="IX162" i="2"/>
  <c r="IW162" i="2"/>
  <c r="IV162" i="2"/>
  <c r="IU162" i="2"/>
  <c r="IT162" i="2"/>
  <c r="IS162" i="2"/>
  <c r="IR162" i="2"/>
  <c r="IQ162" i="2"/>
  <c r="IP162" i="2"/>
  <c r="IO162" i="2"/>
  <c r="IN162" i="2"/>
  <c r="IM162" i="2"/>
  <c r="IL162" i="2"/>
  <c r="IK162" i="2"/>
  <c r="IJ162" i="2"/>
  <c r="II162" i="2"/>
  <c r="IH162" i="2"/>
  <c r="IG162" i="2"/>
  <c r="IF162" i="2"/>
  <c r="IE162" i="2"/>
  <c r="ID162" i="2"/>
  <c r="IC162" i="2"/>
  <c r="IB162" i="2"/>
  <c r="IA162" i="2"/>
  <c r="HZ162" i="2"/>
  <c r="HY162" i="2"/>
  <c r="HX162" i="2"/>
  <c r="HW162" i="2"/>
  <c r="HV162" i="2"/>
  <c r="HU162" i="2"/>
  <c r="HT162" i="2"/>
  <c r="HS162" i="2"/>
  <c r="HR162" i="2"/>
  <c r="HQ162" i="2"/>
  <c r="HP162" i="2"/>
  <c r="HO162" i="2"/>
  <c r="HN162" i="2"/>
  <c r="HM162" i="2"/>
  <c r="HL162" i="2"/>
  <c r="HK162" i="2"/>
  <c r="HJ162" i="2"/>
  <c r="HI162" i="2"/>
  <c r="HH162" i="2"/>
  <c r="HG162" i="2"/>
  <c r="HF162" i="2"/>
  <c r="HE162" i="2"/>
  <c r="HD162" i="2"/>
  <c r="HC162" i="2"/>
  <c r="HB162" i="2"/>
  <c r="HA162" i="2"/>
  <c r="GZ162" i="2"/>
  <c r="GY162" i="2"/>
  <c r="GX162" i="2"/>
  <c r="GW162" i="2"/>
  <c r="GV162" i="2"/>
  <c r="GU162" i="2"/>
  <c r="GT162" i="2"/>
  <c r="GS162" i="2"/>
  <c r="GR162" i="2"/>
  <c r="GQ162" i="2"/>
  <c r="GP162" i="2"/>
  <c r="GO162" i="2"/>
  <c r="GN162" i="2"/>
  <c r="GM162" i="2"/>
  <c r="GL162" i="2"/>
  <c r="GK162" i="2"/>
  <c r="GJ162" i="2"/>
  <c r="GI162" i="2"/>
  <c r="GH162" i="2"/>
  <c r="GG162" i="2"/>
  <c r="GF162" i="2"/>
  <c r="GE162" i="2"/>
  <c r="GD162" i="2"/>
  <c r="GC162" i="2"/>
  <c r="GB162" i="2"/>
  <c r="GA162" i="2"/>
  <c r="FZ162" i="2"/>
  <c r="FY162" i="2"/>
  <c r="FX162" i="2"/>
  <c r="FW162" i="2"/>
  <c r="FV162" i="2"/>
  <c r="FU162" i="2"/>
  <c r="FT162" i="2"/>
  <c r="FS162" i="2"/>
  <c r="FR162" i="2"/>
  <c r="FQ162" i="2"/>
  <c r="FP162" i="2"/>
  <c r="FO162" i="2"/>
  <c r="FN162" i="2"/>
  <c r="FM162" i="2"/>
  <c r="FL162" i="2"/>
  <c r="FK162" i="2"/>
  <c r="FJ162" i="2"/>
  <c r="FI162" i="2"/>
  <c r="FH162" i="2"/>
  <c r="FG162" i="2"/>
  <c r="FF162" i="2"/>
  <c r="FE162" i="2"/>
  <c r="FD162" i="2"/>
  <c r="FC162" i="2"/>
  <c r="FB162" i="2"/>
  <c r="FA162" i="2"/>
  <c r="EZ162" i="2"/>
  <c r="EY162" i="2"/>
  <c r="EX162" i="2"/>
  <c r="EW162" i="2"/>
  <c r="EV162" i="2"/>
  <c r="EU162" i="2"/>
  <c r="ET162" i="2"/>
  <c r="ES162" i="2"/>
  <c r="ER162" i="2"/>
  <c r="EQ162" i="2"/>
  <c r="EP162" i="2"/>
  <c r="EO162" i="2"/>
  <c r="EN162" i="2"/>
  <c r="EM162" i="2"/>
  <c r="EL162" i="2"/>
  <c r="EK162" i="2"/>
  <c r="EJ162" i="2"/>
  <c r="EI162" i="2"/>
  <c r="EH162" i="2"/>
  <c r="EG162" i="2"/>
  <c r="EF162" i="2"/>
  <c r="EE162" i="2"/>
  <c r="ED162" i="2"/>
  <c r="EC162" i="2"/>
  <c r="EB162" i="2"/>
  <c r="EA162" i="2"/>
  <c r="DZ162" i="2"/>
  <c r="DY162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A162" i="2"/>
  <c r="PI161" i="2"/>
  <c r="PH161" i="2"/>
  <c r="PG161" i="2"/>
  <c r="PF161" i="2"/>
  <c r="PE161" i="2"/>
  <c r="PD161" i="2"/>
  <c r="PC161" i="2"/>
  <c r="PB161" i="2"/>
  <c r="PA161" i="2"/>
  <c r="OZ161" i="2"/>
  <c r="OY161" i="2"/>
  <c r="OX161" i="2"/>
  <c r="OW161" i="2"/>
  <c r="OV161" i="2"/>
  <c r="OU161" i="2"/>
  <c r="OT161" i="2"/>
  <c r="OS161" i="2"/>
  <c r="OR161" i="2"/>
  <c r="OQ161" i="2"/>
  <c r="OP161" i="2"/>
  <c r="OO161" i="2"/>
  <c r="ON161" i="2"/>
  <c r="OM161" i="2"/>
  <c r="OL161" i="2"/>
  <c r="OK161" i="2"/>
  <c r="OJ161" i="2"/>
  <c r="OI161" i="2"/>
  <c r="OH161" i="2"/>
  <c r="OG161" i="2"/>
  <c r="OF161" i="2"/>
  <c r="OE161" i="2"/>
  <c r="OD161" i="2"/>
  <c r="OC161" i="2"/>
  <c r="OB161" i="2"/>
  <c r="OA161" i="2"/>
  <c r="NZ161" i="2"/>
  <c r="NY161" i="2"/>
  <c r="NX161" i="2"/>
  <c r="NW161" i="2"/>
  <c r="NV161" i="2"/>
  <c r="NU161" i="2"/>
  <c r="NT161" i="2"/>
  <c r="NS161" i="2"/>
  <c r="NR161" i="2"/>
  <c r="NQ161" i="2"/>
  <c r="NP161" i="2"/>
  <c r="NO161" i="2"/>
  <c r="NN161" i="2"/>
  <c r="NM161" i="2"/>
  <c r="NL161" i="2"/>
  <c r="NK161" i="2"/>
  <c r="NJ161" i="2"/>
  <c r="NI161" i="2"/>
  <c r="NH161" i="2"/>
  <c r="NG161" i="2"/>
  <c r="NF161" i="2"/>
  <c r="NE161" i="2"/>
  <c r="ND161" i="2"/>
  <c r="NC161" i="2"/>
  <c r="NB161" i="2"/>
  <c r="NA161" i="2"/>
  <c r="MZ161" i="2"/>
  <c r="MY161" i="2"/>
  <c r="MX161" i="2"/>
  <c r="MW161" i="2"/>
  <c r="MV161" i="2"/>
  <c r="MU161" i="2"/>
  <c r="MT161" i="2"/>
  <c r="MS161" i="2"/>
  <c r="MR161" i="2"/>
  <c r="MQ161" i="2"/>
  <c r="MP161" i="2"/>
  <c r="MO161" i="2"/>
  <c r="MN161" i="2"/>
  <c r="MM161" i="2"/>
  <c r="ML161" i="2"/>
  <c r="MK161" i="2"/>
  <c r="MJ161" i="2"/>
  <c r="MI161" i="2"/>
  <c r="MH161" i="2"/>
  <c r="MG161" i="2"/>
  <c r="MF161" i="2"/>
  <c r="ME161" i="2"/>
  <c r="MD161" i="2"/>
  <c r="MC161" i="2"/>
  <c r="MB161" i="2"/>
  <c r="MA161" i="2"/>
  <c r="LZ161" i="2"/>
  <c r="LY161" i="2"/>
  <c r="LX161" i="2"/>
  <c r="LW161" i="2"/>
  <c r="LV161" i="2"/>
  <c r="LU161" i="2"/>
  <c r="LT161" i="2"/>
  <c r="LS161" i="2"/>
  <c r="LR161" i="2"/>
  <c r="LQ161" i="2"/>
  <c r="LP161" i="2"/>
  <c r="LO161" i="2"/>
  <c r="LN161" i="2"/>
  <c r="LM161" i="2"/>
  <c r="LL161" i="2"/>
  <c r="LK161" i="2"/>
  <c r="LJ161" i="2"/>
  <c r="LI161" i="2"/>
  <c r="LH161" i="2"/>
  <c r="LG161" i="2"/>
  <c r="LF161" i="2"/>
  <c r="LE161" i="2"/>
  <c r="LD161" i="2"/>
  <c r="LC161" i="2"/>
  <c r="LB161" i="2"/>
  <c r="LA161" i="2"/>
  <c r="KZ161" i="2"/>
  <c r="KY161" i="2"/>
  <c r="KX161" i="2"/>
  <c r="KW161" i="2"/>
  <c r="KV161" i="2"/>
  <c r="KU161" i="2"/>
  <c r="KT161" i="2"/>
  <c r="KS161" i="2"/>
  <c r="KR161" i="2"/>
  <c r="KQ161" i="2"/>
  <c r="KP161" i="2"/>
  <c r="KO161" i="2"/>
  <c r="KN161" i="2"/>
  <c r="KM161" i="2"/>
  <c r="KL161" i="2"/>
  <c r="KK161" i="2"/>
  <c r="KJ161" i="2"/>
  <c r="KI161" i="2"/>
  <c r="KH161" i="2"/>
  <c r="KG161" i="2"/>
  <c r="KF161" i="2"/>
  <c r="KE161" i="2"/>
  <c r="KD161" i="2"/>
  <c r="KC161" i="2"/>
  <c r="KB161" i="2"/>
  <c r="KA161" i="2"/>
  <c r="JZ161" i="2"/>
  <c r="JY161" i="2"/>
  <c r="JX161" i="2"/>
  <c r="JW161" i="2"/>
  <c r="JV161" i="2"/>
  <c r="JU161" i="2"/>
  <c r="JT161" i="2"/>
  <c r="JS161" i="2"/>
  <c r="JR161" i="2"/>
  <c r="JQ161" i="2"/>
  <c r="JP161" i="2"/>
  <c r="JO161" i="2"/>
  <c r="JN161" i="2"/>
  <c r="JM161" i="2"/>
  <c r="JL161" i="2"/>
  <c r="JK161" i="2"/>
  <c r="JJ161" i="2"/>
  <c r="JI161" i="2"/>
  <c r="JH161" i="2"/>
  <c r="JG161" i="2"/>
  <c r="JF161" i="2"/>
  <c r="JE161" i="2"/>
  <c r="JD161" i="2"/>
  <c r="JC161" i="2"/>
  <c r="JB161" i="2"/>
  <c r="JA161" i="2"/>
  <c r="IZ161" i="2"/>
  <c r="IY161" i="2"/>
  <c r="IX161" i="2"/>
  <c r="IW161" i="2"/>
  <c r="IV161" i="2"/>
  <c r="IU161" i="2"/>
  <c r="IT161" i="2"/>
  <c r="IS161" i="2"/>
  <c r="IR161" i="2"/>
  <c r="IQ161" i="2"/>
  <c r="IP161" i="2"/>
  <c r="IO161" i="2"/>
  <c r="IN161" i="2"/>
  <c r="IM161" i="2"/>
  <c r="IL161" i="2"/>
  <c r="IK161" i="2"/>
  <c r="IJ161" i="2"/>
  <c r="II161" i="2"/>
  <c r="IH161" i="2"/>
  <c r="IG161" i="2"/>
  <c r="IF161" i="2"/>
  <c r="IE161" i="2"/>
  <c r="ID161" i="2"/>
  <c r="IC161" i="2"/>
  <c r="IB161" i="2"/>
  <c r="IA161" i="2"/>
  <c r="HZ161" i="2"/>
  <c r="HY161" i="2"/>
  <c r="HX161" i="2"/>
  <c r="HW161" i="2"/>
  <c r="HV161" i="2"/>
  <c r="HU161" i="2"/>
  <c r="HT161" i="2"/>
  <c r="HS161" i="2"/>
  <c r="HR161" i="2"/>
  <c r="HQ161" i="2"/>
  <c r="HP161" i="2"/>
  <c r="HO161" i="2"/>
  <c r="HN161" i="2"/>
  <c r="HM161" i="2"/>
  <c r="HL161" i="2"/>
  <c r="HK161" i="2"/>
  <c r="HJ161" i="2"/>
  <c r="HI161" i="2"/>
  <c r="HH161" i="2"/>
  <c r="HG161" i="2"/>
  <c r="HF161" i="2"/>
  <c r="HE161" i="2"/>
  <c r="HD161" i="2"/>
  <c r="HC161" i="2"/>
  <c r="HB161" i="2"/>
  <c r="HA161" i="2"/>
  <c r="GZ161" i="2"/>
  <c r="GY161" i="2"/>
  <c r="GX161" i="2"/>
  <c r="GW161" i="2"/>
  <c r="GV161" i="2"/>
  <c r="GU161" i="2"/>
  <c r="GT161" i="2"/>
  <c r="GS161" i="2"/>
  <c r="GR161" i="2"/>
  <c r="GQ161" i="2"/>
  <c r="GP161" i="2"/>
  <c r="GO161" i="2"/>
  <c r="GN161" i="2"/>
  <c r="GM161" i="2"/>
  <c r="GL161" i="2"/>
  <c r="GK161" i="2"/>
  <c r="GJ161" i="2"/>
  <c r="GI161" i="2"/>
  <c r="GH161" i="2"/>
  <c r="GG161" i="2"/>
  <c r="GF161" i="2"/>
  <c r="GE161" i="2"/>
  <c r="GD161" i="2"/>
  <c r="GC161" i="2"/>
  <c r="GB161" i="2"/>
  <c r="GA161" i="2"/>
  <c r="FZ161" i="2"/>
  <c r="FY161" i="2"/>
  <c r="FX161" i="2"/>
  <c r="FW161" i="2"/>
  <c r="FV161" i="2"/>
  <c r="FU161" i="2"/>
  <c r="FT161" i="2"/>
  <c r="FS161" i="2"/>
  <c r="FR161" i="2"/>
  <c r="FQ161" i="2"/>
  <c r="FP161" i="2"/>
  <c r="FO161" i="2"/>
  <c r="FN161" i="2"/>
  <c r="FM161" i="2"/>
  <c r="FL161" i="2"/>
  <c r="FK161" i="2"/>
  <c r="FJ161" i="2"/>
  <c r="FI161" i="2"/>
  <c r="FH161" i="2"/>
  <c r="FG161" i="2"/>
  <c r="FF161" i="2"/>
  <c r="FE161" i="2"/>
  <c r="FD161" i="2"/>
  <c r="FC161" i="2"/>
  <c r="FB161" i="2"/>
  <c r="FA161" i="2"/>
  <c r="EZ161" i="2"/>
  <c r="EY161" i="2"/>
  <c r="EX161" i="2"/>
  <c r="EW161" i="2"/>
  <c r="EV161" i="2"/>
  <c r="EU161" i="2"/>
  <c r="ET161" i="2"/>
  <c r="ES161" i="2"/>
  <c r="ER161" i="2"/>
  <c r="EQ161" i="2"/>
  <c r="EP161" i="2"/>
  <c r="EO161" i="2"/>
  <c r="EN161" i="2"/>
  <c r="EM161" i="2"/>
  <c r="EL161" i="2"/>
  <c r="EK161" i="2"/>
  <c r="EJ161" i="2"/>
  <c r="EI161" i="2"/>
  <c r="EH161" i="2"/>
  <c r="EG161" i="2"/>
  <c r="EF161" i="2"/>
  <c r="EE161" i="2"/>
  <c r="ED161" i="2"/>
  <c r="EC161" i="2"/>
  <c r="EB161" i="2"/>
  <c r="EA161" i="2"/>
  <c r="DZ161" i="2"/>
  <c r="DY161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A161" i="2"/>
  <c r="PI160" i="2"/>
  <c r="PH160" i="2"/>
  <c r="PG160" i="2"/>
  <c r="PF160" i="2"/>
  <c r="PE160" i="2"/>
  <c r="PD160" i="2"/>
  <c r="PC160" i="2"/>
  <c r="PB160" i="2"/>
  <c r="PA160" i="2"/>
  <c r="OZ160" i="2"/>
  <c r="OY160" i="2"/>
  <c r="OX160" i="2"/>
  <c r="OW160" i="2"/>
  <c r="OV160" i="2"/>
  <c r="OU160" i="2"/>
  <c r="OT160" i="2"/>
  <c r="OS160" i="2"/>
  <c r="OR160" i="2"/>
  <c r="OQ160" i="2"/>
  <c r="OP160" i="2"/>
  <c r="OO160" i="2"/>
  <c r="ON160" i="2"/>
  <c r="OM160" i="2"/>
  <c r="OL160" i="2"/>
  <c r="OK160" i="2"/>
  <c r="OJ160" i="2"/>
  <c r="OI160" i="2"/>
  <c r="OH160" i="2"/>
  <c r="OG160" i="2"/>
  <c r="OF160" i="2"/>
  <c r="OE160" i="2"/>
  <c r="OD160" i="2"/>
  <c r="OC160" i="2"/>
  <c r="OB160" i="2"/>
  <c r="OA160" i="2"/>
  <c r="NZ160" i="2"/>
  <c r="NY160" i="2"/>
  <c r="NX160" i="2"/>
  <c r="NW160" i="2"/>
  <c r="NV160" i="2"/>
  <c r="NU160" i="2"/>
  <c r="NT160" i="2"/>
  <c r="NS160" i="2"/>
  <c r="NR160" i="2"/>
  <c r="NQ160" i="2"/>
  <c r="NP160" i="2"/>
  <c r="NO160" i="2"/>
  <c r="NN160" i="2"/>
  <c r="NM160" i="2"/>
  <c r="NL160" i="2"/>
  <c r="NK160" i="2"/>
  <c r="NJ160" i="2"/>
  <c r="NI160" i="2"/>
  <c r="NH160" i="2"/>
  <c r="NG160" i="2"/>
  <c r="NF160" i="2"/>
  <c r="NE160" i="2"/>
  <c r="ND160" i="2"/>
  <c r="NC160" i="2"/>
  <c r="NB160" i="2"/>
  <c r="NA160" i="2"/>
  <c r="MZ160" i="2"/>
  <c r="MY160" i="2"/>
  <c r="MX160" i="2"/>
  <c r="MW160" i="2"/>
  <c r="MV160" i="2"/>
  <c r="MU160" i="2"/>
  <c r="MT160" i="2"/>
  <c r="MS160" i="2"/>
  <c r="MR160" i="2"/>
  <c r="MQ160" i="2"/>
  <c r="MP160" i="2"/>
  <c r="MO160" i="2"/>
  <c r="MN160" i="2"/>
  <c r="MM160" i="2"/>
  <c r="ML160" i="2"/>
  <c r="MK160" i="2"/>
  <c r="MJ160" i="2"/>
  <c r="MI160" i="2"/>
  <c r="MH160" i="2"/>
  <c r="MG160" i="2"/>
  <c r="MF160" i="2"/>
  <c r="ME160" i="2"/>
  <c r="MD160" i="2"/>
  <c r="MC160" i="2"/>
  <c r="MB160" i="2"/>
  <c r="MA160" i="2"/>
  <c r="LZ160" i="2"/>
  <c r="LY160" i="2"/>
  <c r="LX160" i="2"/>
  <c r="LW160" i="2"/>
  <c r="LV160" i="2"/>
  <c r="LU160" i="2"/>
  <c r="LT160" i="2"/>
  <c r="LS160" i="2"/>
  <c r="LR160" i="2"/>
  <c r="LQ160" i="2"/>
  <c r="LP160" i="2"/>
  <c r="LO160" i="2"/>
  <c r="LN160" i="2"/>
  <c r="LM160" i="2"/>
  <c r="LL160" i="2"/>
  <c r="LK160" i="2"/>
  <c r="LJ160" i="2"/>
  <c r="LI160" i="2"/>
  <c r="LH160" i="2"/>
  <c r="LG160" i="2"/>
  <c r="LF160" i="2"/>
  <c r="LE160" i="2"/>
  <c r="LD160" i="2"/>
  <c r="LC160" i="2"/>
  <c r="LB160" i="2"/>
  <c r="LA160" i="2"/>
  <c r="KZ160" i="2"/>
  <c r="KY160" i="2"/>
  <c r="KX160" i="2"/>
  <c r="KW160" i="2"/>
  <c r="KV160" i="2"/>
  <c r="KU160" i="2"/>
  <c r="KT160" i="2"/>
  <c r="KS160" i="2"/>
  <c r="KR160" i="2"/>
  <c r="KQ160" i="2"/>
  <c r="KP160" i="2"/>
  <c r="KO160" i="2"/>
  <c r="KN160" i="2"/>
  <c r="KM160" i="2"/>
  <c r="KL160" i="2"/>
  <c r="KK160" i="2"/>
  <c r="KJ160" i="2"/>
  <c r="KI160" i="2"/>
  <c r="KH160" i="2"/>
  <c r="KG160" i="2"/>
  <c r="KF160" i="2"/>
  <c r="KE160" i="2"/>
  <c r="KD160" i="2"/>
  <c r="KC160" i="2"/>
  <c r="KB160" i="2"/>
  <c r="KA160" i="2"/>
  <c r="JZ160" i="2"/>
  <c r="JY160" i="2"/>
  <c r="JX160" i="2"/>
  <c r="JW160" i="2"/>
  <c r="JV160" i="2"/>
  <c r="JU160" i="2"/>
  <c r="JT160" i="2"/>
  <c r="JS160" i="2"/>
  <c r="JR160" i="2"/>
  <c r="JQ160" i="2"/>
  <c r="JP160" i="2"/>
  <c r="JO160" i="2"/>
  <c r="JN160" i="2"/>
  <c r="JM160" i="2"/>
  <c r="JL160" i="2"/>
  <c r="JK160" i="2"/>
  <c r="JJ160" i="2"/>
  <c r="JI160" i="2"/>
  <c r="JH160" i="2"/>
  <c r="JG160" i="2"/>
  <c r="JF160" i="2"/>
  <c r="JE160" i="2"/>
  <c r="JD160" i="2"/>
  <c r="JC160" i="2"/>
  <c r="JB160" i="2"/>
  <c r="JA160" i="2"/>
  <c r="IZ160" i="2"/>
  <c r="IY160" i="2"/>
  <c r="IX160" i="2"/>
  <c r="IW160" i="2"/>
  <c r="IV160" i="2"/>
  <c r="IU160" i="2"/>
  <c r="IT160" i="2"/>
  <c r="IS160" i="2"/>
  <c r="IR160" i="2"/>
  <c r="IQ160" i="2"/>
  <c r="IP160" i="2"/>
  <c r="IO160" i="2"/>
  <c r="IN160" i="2"/>
  <c r="IM160" i="2"/>
  <c r="IL160" i="2"/>
  <c r="IK160" i="2"/>
  <c r="IJ160" i="2"/>
  <c r="II160" i="2"/>
  <c r="IH160" i="2"/>
  <c r="IG160" i="2"/>
  <c r="IF160" i="2"/>
  <c r="IE160" i="2"/>
  <c r="ID160" i="2"/>
  <c r="IC160" i="2"/>
  <c r="IB160" i="2"/>
  <c r="IA160" i="2"/>
  <c r="HZ160" i="2"/>
  <c r="HY160" i="2"/>
  <c r="HX160" i="2"/>
  <c r="HW160" i="2"/>
  <c r="HV160" i="2"/>
  <c r="HU160" i="2"/>
  <c r="HT160" i="2"/>
  <c r="HS160" i="2"/>
  <c r="HR160" i="2"/>
  <c r="HQ160" i="2"/>
  <c r="HP160" i="2"/>
  <c r="HO160" i="2"/>
  <c r="HN160" i="2"/>
  <c r="HM160" i="2"/>
  <c r="HL160" i="2"/>
  <c r="HK160" i="2"/>
  <c r="HJ160" i="2"/>
  <c r="HI160" i="2"/>
  <c r="HH160" i="2"/>
  <c r="HG160" i="2"/>
  <c r="HF160" i="2"/>
  <c r="HE160" i="2"/>
  <c r="HD160" i="2"/>
  <c r="HC160" i="2"/>
  <c r="HB160" i="2"/>
  <c r="HA160" i="2"/>
  <c r="GZ160" i="2"/>
  <c r="GY160" i="2"/>
  <c r="GX160" i="2"/>
  <c r="GW160" i="2"/>
  <c r="GV160" i="2"/>
  <c r="GU160" i="2"/>
  <c r="GT160" i="2"/>
  <c r="GS160" i="2"/>
  <c r="GR160" i="2"/>
  <c r="GQ160" i="2"/>
  <c r="GP160" i="2"/>
  <c r="GO160" i="2"/>
  <c r="GN160" i="2"/>
  <c r="GM160" i="2"/>
  <c r="GL160" i="2"/>
  <c r="GK160" i="2"/>
  <c r="GJ160" i="2"/>
  <c r="GI160" i="2"/>
  <c r="GH160" i="2"/>
  <c r="GG160" i="2"/>
  <c r="GF160" i="2"/>
  <c r="GE160" i="2"/>
  <c r="GD160" i="2"/>
  <c r="GC160" i="2"/>
  <c r="GB160" i="2"/>
  <c r="GA160" i="2"/>
  <c r="FZ160" i="2"/>
  <c r="FY160" i="2"/>
  <c r="FX160" i="2"/>
  <c r="FW160" i="2"/>
  <c r="FV160" i="2"/>
  <c r="FU160" i="2"/>
  <c r="FT160" i="2"/>
  <c r="FS160" i="2"/>
  <c r="FR160" i="2"/>
  <c r="FQ160" i="2"/>
  <c r="FP160" i="2"/>
  <c r="FO160" i="2"/>
  <c r="FN160" i="2"/>
  <c r="FM160" i="2"/>
  <c r="FL160" i="2"/>
  <c r="FK160" i="2"/>
  <c r="FJ160" i="2"/>
  <c r="FI160" i="2"/>
  <c r="FH160" i="2"/>
  <c r="FG160" i="2"/>
  <c r="FF160" i="2"/>
  <c r="FE160" i="2"/>
  <c r="FD160" i="2"/>
  <c r="FC160" i="2"/>
  <c r="FB160" i="2"/>
  <c r="FA160" i="2"/>
  <c r="EZ160" i="2"/>
  <c r="EY160" i="2"/>
  <c r="EX160" i="2"/>
  <c r="EW160" i="2"/>
  <c r="EV160" i="2"/>
  <c r="EU160" i="2"/>
  <c r="ET160" i="2"/>
  <c r="ES160" i="2"/>
  <c r="ER160" i="2"/>
  <c r="EQ160" i="2"/>
  <c r="EP160" i="2"/>
  <c r="EO160" i="2"/>
  <c r="EN160" i="2"/>
  <c r="EM160" i="2"/>
  <c r="EL160" i="2"/>
  <c r="EK160" i="2"/>
  <c r="EJ160" i="2"/>
  <c r="EI160" i="2"/>
  <c r="EH160" i="2"/>
  <c r="EG160" i="2"/>
  <c r="EF160" i="2"/>
  <c r="EE160" i="2"/>
  <c r="ED160" i="2"/>
  <c r="EC160" i="2"/>
  <c r="EB160" i="2"/>
  <c r="EA160" i="2"/>
  <c r="DZ160" i="2"/>
  <c r="DY160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PI159" i="2"/>
  <c r="PH159" i="2"/>
  <c r="PG159" i="2"/>
  <c r="PF159" i="2"/>
  <c r="PE159" i="2"/>
  <c r="PD159" i="2"/>
  <c r="PC159" i="2"/>
  <c r="PB159" i="2"/>
  <c r="PA159" i="2"/>
  <c r="OZ159" i="2"/>
  <c r="OY159" i="2"/>
  <c r="OX159" i="2"/>
  <c r="OW159" i="2"/>
  <c r="OV159" i="2"/>
  <c r="OU159" i="2"/>
  <c r="OT159" i="2"/>
  <c r="OS159" i="2"/>
  <c r="OR159" i="2"/>
  <c r="OQ159" i="2"/>
  <c r="OP159" i="2"/>
  <c r="OO159" i="2"/>
  <c r="ON159" i="2"/>
  <c r="OM159" i="2"/>
  <c r="OL159" i="2"/>
  <c r="OK159" i="2"/>
  <c r="OJ159" i="2"/>
  <c r="OI159" i="2"/>
  <c r="OH159" i="2"/>
  <c r="OG159" i="2"/>
  <c r="OF159" i="2"/>
  <c r="OE159" i="2"/>
  <c r="OD159" i="2"/>
  <c r="OC159" i="2"/>
  <c r="OB159" i="2"/>
  <c r="OA159" i="2"/>
  <c r="NZ159" i="2"/>
  <c r="NY159" i="2"/>
  <c r="NX159" i="2"/>
  <c r="NW159" i="2"/>
  <c r="NV159" i="2"/>
  <c r="NU159" i="2"/>
  <c r="NT159" i="2"/>
  <c r="NS159" i="2"/>
  <c r="NR159" i="2"/>
  <c r="NQ159" i="2"/>
  <c r="NP159" i="2"/>
  <c r="NO159" i="2"/>
  <c r="NN159" i="2"/>
  <c r="NM159" i="2"/>
  <c r="NL159" i="2"/>
  <c r="NK159" i="2"/>
  <c r="NJ159" i="2"/>
  <c r="NI159" i="2"/>
  <c r="NH159" i="2"/>
  <c r="NG159" i="2"/>
  <c r="NF159" i="2"/>
  <c r="NE159" i="2"/>
  <c r="ND159" i="2"/>
  <c r="NC159" i="2"/>
  <c r="NB159" i="2"/>
  <c r="NA159" i="2"/>
  <c r="MZ159" i="2"/>
  <c r="MY159" i="2"/>
  <c r="MX159" i="2"/>
  <c r="MW159" i="2"/>
  <c r="MV159" i="2"/>
  <c r="MU159" i="2"/>
  <c r="MT159" i="2"/>
  <c r="MS159" i="2"/>
  <c r="MR159" i="2"/>
  <c r="MQ159" i="2"/>
  <c r="MP159" i="2"/>
  <c r="MO159" i="2"/>
  <c r="MN159" i="2"/>
  <c r="MM159" i="2"/>
  <c r="ML159" i="2"/>
  <c r="MK159" i="2"/>
  <c r="MJ159" i="2"/>
  <c r="MI159" i="2"/>
  <c r="MH159" i="2"/>
  <c r="MG159" i="2"/>
  <c r="MF159" i="2"/>
  <c r="ME159" i="2"/>
  <c r="MD159" i="2"/>
  <c r="MC159" i="2"/>
  <c r="MB159" i="2"/>
  <c r="MA159" i="2"/>
  <c r="LZ159" i="2"/>
  <c r="LY159" i="2"/>
  <c r="LX159" i="2"/>
  <c r="LW159" i="2"/>
  <c r="LV159" i="2"/>
  <c r="LU159" i="2"/>
  <c r="LT159" i="2"/>
  <c r="LS159" i="2"/>
  <c r="LR159" i="2"/>
  <c r="LQ159" i="2"/>
  <c r="LP159" i="2"/>
  <c r="LO159" i="2"/>
  <c r="LN159" i="2"/>
  <c r="LM159" i="2"/>
  <c r="LL159" i="2"/>
  <c r="LK159" i="2"/>
  <c r="LJ159" i="2"/>
  <c r="LI159" i="2"/>
  <c r="LH159" i="2"/>
  <c r="LG159" i="2"/>
  <c r="LF159" i="2"/>
  <c r="LE159" i="2"/>
  <c r="LD159" i="2"/>
  <c r="LC159" i="2"/>
  <c r="LB159" i="2"/>
  <c r="LA159" i="2"/>
  <c r="KZ159" i="2"/>
  <c r="KY159" i="2"/>
  <c r="KX159" i="2"/>
  <c r="KW159" i="2"/>
  <c r="KV159" i="2"/>
  <c r="KU159" i="2"/>
  <c r="KT159" i="2"/>
  <c r="KS159" i="2"/>
  <c r="KR159" i="2"/>
  <c r="KQ159" i="2"/>
  <c r="KP159" i="2"/>
  <c r="KO159" i="2"/>
  <c r="KN159" i="2"/>
  <c r="KM159" i="2"/>
  <c r="KL159" i="2"/>
  <c r="KK159" i="2"/>
  <c r="KJ159" i="2"/>
  <c r="KI159" i="2"/>
  <c r="KH159" i="2"/>
  <c r="KG159" i="2"/>
  <c r="KF159" i="2"/>
  <c r="KE159" i="2"/>
  <c r="KD159" i="2"/>
  <c r="KC159" i="2"/>
  <c r="KB159" i="2"/>
  <c r="KA159" i="2"/>
  <c r="JZ159" i="2"/>
  <c r="JY159" i="2"/>
  <c r="JX159" i="2"/>
  <c r="JW159" i="2"/>
  <c r="JV159" i="2"/>
  <c r="JU159" i="2"/>
  <c r="JT159" i="2"/>
  <c r="JS159" i="2"/>
  <c r="JR159" i="2"/>
  <c r="JQ159" i="2"/>
  <c r="JP159" i="2"/>
  <c r="JO159" i="2"/>
  <c r="JN159" i="2"/>
  <c r="JM159" i="2"/>
  <c r="JL159" i="2"/>
  <c r="JK159" i="2"/>
  <c r="JJ159" i="2"/>
  <c r="JI159" i="2"/>
  <c r="JH159" i="2"/>
  <c r="JG159" i="2"/>
  <c r="JF159" i="2"/>
  <c r="JE159" i="2"/>
  <c r="JD159" i="2"/>
  <c r="JC159" i="2"/>
  <c r="JB159" i="2"/>
  <c r="JA159" i="2"/>
  <c r="IZ159" i="2"/>
  <c r="IY159" i="2"/>
  <c r="IX159" i="2"/>
  <c r="IW159" i="2"/>
  <c r="IV159" i="2"/>
  <c r="IU159" i="2"/>
  <c r="IT159" i="2"/>
  <c r="IS159" i="2"/>
  <c r="IR159" i="2"/>
  <c r="IQ159" i="2"/>
  <c r="IP159" i="2"/>
  <c r="IO159" i="2"/>
  <c r="IN159" i="2"/>
  <c r="IM159" i="2"/>
  <c r="IL159" i="2"/>
  <c r="IK159" i="2"/>
  <c r="IJ159" i="2"/>
  <c r="II159" i="2"/>
  <c r="IH159" i="2"/>
  <c r="IG159" i="2"/>
  <c r="IF159" i="2"/>
  <c r="IE159" i="2"/>
  <c r="ID159" i="2"/>
  <c r="IC159" i="2"/>
  <c r="IB159" i="2"/>
  <c r="IA159" i="2"/>
  <c r="HZ159" i="2"/>
  <c r="HY159" i="2"/>
  <c r="HX159" i="2"/>
  <c r="HW159" i="2"/>
  <c r="HV159" i="2"/>
  <c r="HU159" i="2"/>
  <c r="HT159" i="2"/>
  <c r="HS159" i="2"/>
  <c r="HR159" i="2"/>
  <c r="HQ159" i="2"/>
  <c r="HP159" i="2"/>
  <c r="HO159" i="2"/>
  <c r="HN159" i="2"/>
  <c r="HM159" i="2"/>
  <c r="HL159" i="2"/>
  <c r="HK159" i="2"/>
  <c r="HJ159" i="2"/>
  <c r="HI159" i="2"/>
  <c r="HH159" i="2"/>
  <c r="HG159" i="2"/>
  <c r="HF159" i="2"/>
  <c r="HE159" i="2"/>
  <c r="HD159" i="2"/>
  <c r="HC159" i="2"/>
  <c r="HB159" i="2"/>
  <c r="HA159" i="2"/>
  <c r="GZ159" i="2"/>
  <c r="GY159" i="2"/>
  <c r="GX159" i="2"/>
  <c r="GW159" i="2"/>
  <c r="GV159" i="2"/>
  <c r="GU159" i="2"/>
  <c r="GT159" i="2"/>
  <c r="GS159" i="2"/>
  <c r="GR159" i="2"/>
  <c r="GQ159" i="2"/>
  <c r="GP159" i="2"/>
  <c r="GO159" i="2"/>
  <c r="GN159" i="2"/>
  <c r="GM159" i="2"/>
  <c r="GL159" i="2"/>
  <c r="GK159" i="2"/>
  <c r="GJ159" i="2"/>
  <c r="GI159" i="2"/>
  <c r="GH159" i="2"/>
  <c r="GG159" i="2"/>
  <c r="GF159" i="2"/>
  <c r="GE159" i="2"/>
  <c r="GD159" i="2"/>
  <c r="GC159" i="2"/>
  <c r="GB159" i="2"/>
  <c r="GA159" i="2"/>
  <c r="FZ159" i="2"/>
  <c r="FY159" i="2"/>
  <c r="FX159" i="2"/>
  <c r="FW159" i="2"/>
  <c r="FV159" i="2"/>
  <c r="FU159" i="2"/>
  <c r="FT159" i="2"/>
  <c r="FS159" i="2"/>
  <c r="FR159" i="2"/>
  <c r="FQ159" i="2"/>
  <c r="FP159" i="2"/>
  <c r="FO159" i="2"/>
  <c r="FN159" i="2"/>
  <c r="FM159" i="2"/>
  <c r="FL159" i="2"/>
  <c r="FK159" i="2"/>
  <c r="FJ159" i="2"/>
  <c r="FI159" i="2"/>
  <c r="FH159" i="2"/>
  <c r="FG159" i="2"/>
  <c r="FF159" i="2"/>
  <c r="FE159" i="2"/>
  <c r="FD159" i="2"/>
  <c r="FC159" i="2"/>
  <c r="FB159" i="2"/>
  <c r="FA159" i="2"/>
  <c r="EZ159" i="2"/>
  <c r="EY159" i="2"/>
  <c r="EX159" i="2"/>
  <c r="EW159" i="2"/>
  <c r="EV159" i="2"/>
  <c r="EU159" i="2"/>
  <c r="ET159" i="2"/>
  <c r="ES159" i="2"/>
  <c r="ER159" i="2"/>
  <c r="EQ159" i="2"/>
  <c r="EP159" i="2"/>
  <c r="EO159" i="2"/>
  <c r="EN159" i="2"/>
  <c r="EM159" i="2"/>
  <c r="EL159" i="2"/>
  <c r="EK159" i="2"/>
  <c r="EJ159" i="2"/>
  <c r="EI159" i="2"/>
  <c r="EH159" i="2"/>
  <c r="EG159" i="2"/>
  <c r="EF159" i="2"/>
  <c r="EE159" i="2"/>
  <c r="ED159" i="2"/>
  <c r="EC159" i="2"/>
  <c r="EB159" i="2"/>
  <c r="EA159" i="2"/>
  <c r="DZ159" i="2"/>
  <c r="DY159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A159" i="2"/>
  <c r="PI158" i="2"/>
  <c r="PH158" i="2"/>
  <c r="PG158" i="2"/>
  <c r="PF158" i="2"/>
  <c r="PE158" i="2"/>
  <c r="PD158" i="2"/>
  <c r="PC158" i="2"/>
  <c r="PB158" i="2"/>
  <c r="PA158" i="2"/>
  <c r="OZ158" i="2"/>
  <c r="OY158" i="2"/>
  <c r="OX158" i="2"/>
  <c r="OW158" i="2"/>
  <c r="OV158" i="2"/>
  <c r="OU158" i="2"/>
  <c r="OT158" i="2"/>
  <c r="OS158" i="2"/>
  <c r="OR158" i="2"/>
  <c r="OQ158" i="2"/>
  <c r="OP158" i="2"/>
  <c r="OO158" i="2"/>
  <c r="ON158" i="2"/>
  <c r="OM158" i="2"/>
  <c r="OL158" i="2"/>
  <c r="OK158" i="2"/>
  <c r="OJ158" i="2"/>
  <c r="OI158" i="2"/>
  <c r="OH158" i="2"/>
  <c r="OG158" i="2"/>
  <c r="OF158" i="2"/>
  <c r="OE158" i="2"/>
  <c r="OD158" i="2"/>
  <c r="OC158" i="2"/>
  <c r="OB158" i="2"/>
  <c r="OA158" i="2"/>
  <c r="NZ158" i="2"/>
  <c r="NY158" i="2"/>
  <c r="NX158" i="2"/>
  <c r="NW158" i="2"/>
  <c r="NV158" i="2"/>
  <c r="NU158" i="2"/>
  <c r="NT158" i="2"/>
  <c r="NS158" i="2"/>
  <c r="NR158" i="2"/>
  <c r="NQ158" i="2"/>
  <c r="NP158" i="2"/>
  <c r="NO158" i="2"/>
  <c r="NN158" i="2"/>
  <c r="NM158" i="2"/>
  <c r="NL158" i="2"/>
  <c r="NK158" i="2"/>
  <c r="NJ158" i="2"/>
  <c r="NI158" i="2"/>
  <c r="NH158" i="2"/>
  <c r="NG158" i="2"/>
  <c r="NF158" i="2"/>
  <c r="NE158" i="2"/>
  <c r="ND158" i="2"/>
  <c r="NC158" i="2"/>
  <c r="NB158" i="2"/>
  <c r="NA158" i="2"/>
  <c r="MZ158" i="2"/>
  <c r="MY158" i="2"/>
  <c r="MX158" i="2"/>
  <c r="MW158" i="2"/>
  <c r="MV158" i="2"/>
  <c r="MU158" i="2"/>
  <c r="MT158" i="2"/>
  <c r="MS158" i="2"/>
  <c r="MR158" i="2"/>
  <c r="MQ158" i="2"/>
  <c r="MP158" i="2"/>
  <c r="MO158" i="2"/>
  <c r="MN158" i="2"/>
  <c r="MM158" i="2"/>
  <c r="ML158" i="2"/>
  <c r="MK158" i="2"/>
  <c r="MJ158" i="2"/>
  <c r="MI158" i="2"/>
  <c r="MH158" i="2"/>
  <c r="MG158" i="2"/>
  <c r="MF158" i="2"/>
  <c r="ME158" i="2"/>
  <c r="MD158" i="2"/>
  <c r="MC158" i="2"/>
  <c r="MB158" i="2"/>
  <c r="MA158" i="2"/>
  <c r="LZ158" i="2"/>
  <c r="LY158" i="2"/>
  <c r="LX158" i="2"/>
  <c r="LW158" i="2"/>
  <c r="LV158" i="2"/>
  <c r="LU158" i="2"/>
  <c r="LT158" i="2"/>
  <c r="LS158" i="2"/>
  <c r="LR158" i="2"/>
  <c r="LQ158" i="2"/>
  <c r="LP158" i="2"/>
  <c r="LO158" i="2"/>
  <c r="LN158" i="2"/>
  <c r="LM158" i="2"/>
  <c r="LL158" i="2"/>
  <c r="LK158" i="2"/>
  <c r="LJ158" i="2"/>
  <c r="LI158" i="2"/>
  <c r="LH158" i="2"/>
  <c r="LG158" i="2"/>
  <c r="LF158" i="2"/>
  <c r="LE158" i="2"/>
  <c r="LD158" i="2"/>
  <c r="LC158" i="2"/>
  <c r="LB158" i="2"/>
  <c r="LA158" i="2"/>
  <c r="KZ158" i="2"/>
  <c r="KY158" i="2"/>
  <c r="KX158" i="2"/>
  <c r="KW158" i="2"/>
  <c r="KV158" i="2"/>
  <c r="KU158" i="2"/>
  <c r="KT158" i="2"/>
  <c r="KS158" i="2"/>
  <c r="KR158" i="2"/>
  <c r="KQ158" i="2"/>
  <c r="KP158" i="2"/>
  <c r="KO158" i="2"/>
  <c r="KN158" i="2"/>
  <c r="KM158" i="2"/>
  <c r="KL158" i="2"/>
  <c r="KK158" i="2"/>
  <c r="KJ158" i="2"/>
  <c r="KI158" i="2"/>
  <c r="KH158" i="2"/>
  <c r="KG158" i="2"/>
  <c r="KF158" i="2"/>
  <c r="KE158" i="2"/>
  <c r="KD158" i="2"/>
  <c r="KC158" i="2"/>
  <c r="KB158" i="2"/>
  <c r="KA158" i="2"/>
  <c r="JZ158" i="2"/>
  <c r="JY158" i="2"/>
  <c r="JX158" i="2"/>
  <c r="JW158" i="2"/>
  <c r="JV158" i="2"/>
  <c r="JU158" i="2"/>
  <c r="JT158" i="2"/>
  <c r="JS158" i="2"/>
  <c r="JR158" i="2"/>
  <c r="JQ158" i="2"/>
  <c r="JP158" i="2"/>
  <c r="JO158" i="2"/>
  <c r="JN158" i="2"/>
  <c r="JM158" i="2"/>
  <c r="JL158" i="2"/>
  <c r="JK158" i="2"/>
  <c r="JJ158" i="2"/>
  <c r="JI158" i="2"/>
  <c r="JH158" i="2"/>
  <c r="JG158" i="2"/>
  <c r="JF158" i="2"/>
  <c r="JE158" i="2"/>
  <c r="JD158" i="2"/>
  <c r="JC158" i="2"/>
  <c r="JB158" i="2"/>
  <c r="JA158" i="2"/>
  <c r="IZ158" i="2"/>
  <c r="IY158" i="2"/>
  <c r="IX158" i="2"/>
  <c r="IW158" i="2"/>
  <c r="IV158" i="2"/>
  <c r="IU158" i="2"/>
  <c r="IT158" i="2"/>
  <c r="IS158" i="2"/>
  <c r="IR158" i="2"/>
  <c r="IQ158" i="2"/>
  <c r="IP158" i="2"/>
  <c r="IO158" i="2"/>
  <c r="IN158" i="2"/>
  <c r="IM158" i="2"/>
  <c r="IL158" i="2"/>
  <c r="IK158" i="2"/>
  <c r="IJ158" i="2"/>
  <c r="II158" i="2"/>
  <c r="IH158" i="2"/>
  <c r="IG158" i="2"/>
  <c r="IF158" i="2"/>
  <c r="IE158" i="2"/>
  <c r="ID158" i="2"/>
  <c r="IC158" i="2"/>
  <c r="IB158" i="2"/>
  <c r="IA158" i="2"/>
  <c r="HZ158" i="2"/>
  <c r="HY158" i="2"/>
  <c r="HX158" i="2"/>
  <c r="HW158" i="2"/>
  <c r="HV158" i="2"/>
  <c r="HU158" i="2"/>
  <c r="HT158" i="2"/>
  <c r="HS158" i="2"/>
  <c r="HR158" i="2"/>
  <c r="HQ158" i="2"/>
  <c r="HP158" i="2"/>
  <c r="HO158" i="2"/>
  <c r="HN158" i="2"/>
  <c r="HM158" i="2"/>
  <c r="HL158" i="2"/>
  <c r="HK158" i="2"/>
  <c r="HJ158" i="2"/>
  <c r="HI158" i="2"/>
  <c r="HH158" i="2"/>
  <c r="HG158" i="2"/>
  <c r="HF158" i="2"/>
  <c r="HE158" i="2"/>
  <c r="HD158" i="2"/>
  <c r="HC158" i="2"/>
  <c r="HB158" i="2"/>
  <c r="HA158" i="2"/>
  <c r="GZ158" i="2"/>
  <c r="GY158" i="2"/>
  <c r="GX158" i="2"/>
  <c r="GW158" i="2"/>
  <c r="GV158" i="2"/>
  <c r="GU158" i="2"/>
  <c r="GT158" i="2"/>
  <c r="GS158" i="2"/>
  <c r="GR158" i="2"/>
  <c r="GQ158" i="2"/>
  <c r="GP158" i="2"/>
  <c r="GO158" i="2"/>
  <c r="GN158" i="2"/>
  <c r="GM158" i="2"/>
  <c r="GL158" i="2"/>
  <c r="GK158" i="2"/>
  <c r="GJ158" i="2"/>
  <c r="GI158" i="2"/>
  <c r="GH158" i="2"/>
  <c r="GG158" i="2"/>
  <c r="GF158" i="2"/>
  <c r="GE158" i="2"/>
  <c r="GD158" i="2"/>
  <c r="GC158" i="2"/>
  <c r="GB158" i="2"/>
  <c r="GA158" i="2"/>
  <c r="FZ158" i="2"/>
  <c r="FY158" i="2"/>
  <c r="FX158" i="2"/>
  <c r="FW158" i="2"/>
  <c r="FV158" i="2"/>
  <c r="FU158" i="2"/>
  <c r="FT158" i="2"/>
  <c r="FS158" i="2"/>
  <c r="FR158" i="2"/>
  <c r="FQ158" i="2"/>
  <c r="FP158" i="2"/>
  <c r="FO158" i="2"/>
  <c r="FN158" i="2"/>
  <c r="FM158" i="2"/>
  <c r="FL158" i="2"/>
  <c r="FK158" i="2"/>
  <c r="FJ158" i="2"/>
  <c r="FI158" i="2"/>
  <c r="FH158" i="2"/>
  <c r="FG158" i="2"/>
  <c r="FF158" i="2"/>
  <c r="FE158" i="2"/>
  <c r="FD158" i="2"/>
  <c r="FC158" i="2"/>
  <c r="FB158" i="2"/>
  <c r="FA158" i="2"/>
  <c r="EZ158" i="2"/>
  <c r="EY158" i="2"/>
  <c r="EX158" i="2"/>
  <c r="EW158" i="2"/>
  <c r="EV158" i="2"/>
  <c r="EU158" i="2"/>
  <c r="ET158" i="2"/>
  <c r="ES158" i="2"/>
  <c r="ER158" i="2"/>
  <c r="EQ158" i="2"/>
  <c r="EP158" i="2"/>
  <c r="EO158" i="2"/>
  <c r="EN158" i="2"/>
  <c r="EM158" i="2"/>
  <c r="EL158" i="2"/>
  <c r="EK158" i="2"/>
  <c r="EJ158" i="2"/>
  <c r="EI158" i="2"/>
  <c r="EH158" i="2"/>
  <c r="EG158" i="2"/>
  <c r="EF158" i="2"/>
  <c r="EE158" i="2"/>
  <c r="ED158" i="2"/>
  <c r="EC158" i="2"/>
  <c r="EB158" i="2"/>
  <c r="EA158" i="2"/>
  <c r="DZ158" i="2"/>
  <c r="DY158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A158" i="2"/>
  <c r="PI157" i="2"/>
  <c r="PH157" i="2"/>
  <c r="PG157" i="2"/>
  <c r="PF157" i="2"/>
  <c r="PE157" i="2"/>
  <c r="PD157" i="2"/>
  <c r="PC157" i="2"/>
  <c r="PB157" i="2"/>
  <c r="PA157" i="2"/>
  <c r="OZ157" i="2"/>
  <c r="OY157" i="2"/>
  <c r="OX157" i="2"/>
  <c r="OW157" i="2"/>
  <c r="OV157" i="2"/>
  <c r="OU157" i="2"/>
  <c r="OT157" i="2"/>
  <c r="OS157" i="2"/>
  <c r="OR157" i="2"/>
  <c r="OQ157" i="2"/>
  <c r="OP157" i="2"/>
  <c r="OO157" i="2"/>
  <c r="ON157" i="2"/>
  <c r="OM157" i="2"/>
  <c r="OL157" i="2"/>
  <c r="OK157" i="2"/>
  <c r="OJ157" i="2"/>
  <c r="OI157" i="2"/>
  <c r="OH157" i="2"/>
  <c r="OG157" i="2"/>
  <c r="OF157" i="2"/>
  <c r="OE157" i="2"/>
  <c r="OD157" i="2"/>
  <c r="OC157" i="2"/>
  <c r="OB157" i="2"/>
  <c r="OA157" i="2"/>
  <c r="NZ157" i="2"/>
  <c r="NY157" i="2"/>
  <c r="NX157" i="2"/>
  <c r="NW157" i="2"/>
  <c r="NV157" i="2"/>
  <c r="NU157" i="2"/>
  <c r="NT157" i="2"/>
  <c r="NS157" i="2"/>
  <c r="NR157" i="2"/>
  <c r="NQ157" i="2"/>
  <c r="NP157" i="2"/>
  <c r="NO157" i="2"/>
  <c r="NN157" i="2"/>
  <c r="NM157" i="2"/>
  <c r="NL157" i="2"/>
  <c r="NK157" i="2"/>
  <c r="NJ157" i="2"/>
  <c r="NI157" i="2"/>
  <c r="NH157" i="2"/>
  <c r="NG157" i="2"/>
  <c r="NF157" i="2"/>
  <c r="NE157" i="2"/>
  <c r="ND157" i="2"/>
  <c r="NC157" i="2"/>
  <c r="NB157" i="2"/>
  <c r="NA157" i="2"/>
  <c r="MZ157" i="2"/>
  <c r="MY157" i="2"/>
  <c r="MX157" i="2"/>
  <c r="MW157" i="2"/>
  <c r="MV157" i="2"/>
  <c r="MU157" i="2"/>
  <c r="MT157" i="2"/>
  <c r="MS157" i="2"/>
  <c r="MR157" i="2"/>
  <c r="MQ157" i="2"/>
  <c r="MP157" i="2"/>
  <c r="MO157" i="2"/>
  <c r="MN157" i="2"/>
  <c r="MM157" i="2"/>
  <c r="ML157" i="2"/>
  <c r="MK157" i="2"/>
  <c r="MJ157" i="2"/>
  <c r="MI157" i="2"/>
  <c r="MH157" i="2"/>
  <c r="MG157" i="2"/>
  <c r="MF157" i="2"/>
  <c r="ME157" i="2"/>
  <c r="MD157" i="2"/>
  <c r="MC157" i="2"/>
  <c r="MB157" i="2"/>
  <c r="MA157" i="2"/>
  <c r="LZ157" i="2"/>
  <c r="LY157" i="2"/>
  <c r="LX157" i="2"/>
  <c r="LW157" i="2"/>
  <c r="LV157" i="2"/>
  <c r="LU157" i="2"/>
  <c r="LT157" i="2"/>
  <c r="LS157" i="2"/>
  <c r="LR157" i="2"/>
  <c r="LQ157" i="2"/>
  <c r="LP157" i="2"/>
  <c r="LO157" i="2"/>
  <c r="LN157" i="2"/>
  <c r="LM157" i="2"/>
  <c r="LL157" i="2"/>
  <c r="LK157" i="2"/>
  <c r="LJ157" i="2"/>
  <c r="LI157" i="2"/>
  <c r="LH157" i="2"/>
  <c r="LG157" i="2"/>
  <c r="LF157" i="2"/>
  <c r="LE157" i="2"/>
  <c r="LD157" i="2"/>
  <c r="LC157" i="2"/>
  <c r="LB157" i="2"/>
  <c r="LA157" i="2"/>
  <c r="KZ157" i="2"/>
  <c r="KY157" i="2"/>
  <c r="KX157" i="2"/>
  <c r="KW157" i="2"/>
  <c r="KV157" i="2"/>
  <c r="KU157" i="2"/>
  <c r="KT157" i="2"/>
  <c r="KS157" i="2"/>
  <c r="KR157" i="2"/>
  <c r="KQ157" i="2"/>
  <c r="KP157" i="2"/>
  <c r="KO157" i="2"/>
  <c r="KN157" i="2"/>
  <c r="KM157" i="2"/>
  <c r="KL157" i="2"/>
  <c r="KK157" i="2"/>
  <c r="KJ157" i="2"/>
  <c r="KI157" i="2"/>
  <c r="KH157" i="2"/>
  <c r="KG157" i="2"/>
  <c r="KF157" i="2"/>
  <c r="KE157" i="2"/>
  <c r="KD157" i="2"/>
  <c r="KC157" i="2"/>
  <c r="KB157" i="2"/>
  <c r="KA157" i="2"/>
  <c r="JZ157" i="2"/>
  <c r="JY157" i="2"/>
  <c r="JX157" i="2"/>
  <c r="JW157" i="2"/>
  <c r="JV157" i="2"/>
  <c r="JU157" i="2"/>
  <c r="JT157" i="2"/>
  <c r="JS157" i="2"/>
  <c r="JR157" i="2"/>
  <c r="JQ157" i="2"/>
  <c r="JP157" i="2"/>
  <c r="JO157" i="2"/>
  <c r="JN157" i="2"/>
  <c r="JM157" i="2"/>
  <c r="JL157" i="2"/>
  <c r="JK157" i="2"/>
  <c r="JJ157" i="2"/>
  <c r="JI157" i="2"/>
  <c r="JH157" i="2"/>
  <c r="JG157" i="2"/>
  <c r="JF157" i="2"/>
  <c r="JE157" i="2"/>
  <c r="JD157" i="2"/>
  <c r="JC157" i="2"/>
  <c r="JB157" i="2"/>
  <c r="JA157" i="2"/>
  <c r="IZ157" i="2"/>
  <c r="IY157" i="2"/>
  <c r="IX157" i="2"/>
  <c r="IW157" i="2"/>
  <c r="IV157" i="2"/>
  <c r="IU157" i="2"/>
  <c r="IT157" i="2"/>
  <c r="IS157" i="2"/>
  <c r="IR157" i="2"/>
  <c r="IQ157" i="2"/>
  <c r="IP157" i="2"/>
  <c r="IO157" i="2"/>
  <c r="IN157" i="2"/>
  <c r="IM157" i="2"/>
  <c r="IL157" i="2"/>
  <c r="IK157" i="2"/>
  <c r="IJ157" i="2"/>
  <c r="II157" i="2"/>
  <c r="IH157" i="2"/>
  <c r="IG157" i="2"/>
  <c r="IF157" i="2"/>
  <c r="IE157" i="2"/>
  <c r="ID157" i="2"/>
  <c r="IC157" i="2"/>
  <c r="IB157" i="2"/>
  <c r="IA157" i="2"/>
  <c r="HZ157" i="2"/>
  <c r="HY157" i="2"/>
  <c r="HX157" i="2"/>
  <c r="HW157" i="2"/>
  <c r="HV157" i="2"/>
  <c r="HU157" i="2"/>
  <c r="HT157" i="2"/>
  <c r="HS157" i="2"/>
  <c r="HR157" i="2"/>
  <c r="HQ157" i="2"/>
  <c r="HP157" i="2"/>
  <c r="HO157" i="2"/>
  <c r="HN157" i="2"/>
  <c r="HM157" i="2"/>
  <c r="HL157" i="2"/>
  <c r="HK157" i="2"/>
  <c r="HJ157" i="2"/>
  <c r="HI157" i="2"/>
  <c r="HH157" i="2"/>
  <c r="HG157" i="2"/>
  <c r="HF157" i="2"/>
  <c r="HE157" i="2"/>
  <c r="HD157" i="2"/>
  <c r="HC157" i="2"/>
  <c r="HB157" i="2"/>
  <c r="HA157" i="2"/>
  <c r="GZ157" i="2"/>
  <c r="GY157" i="2"/>
  <c r="GX157" i="2"/>
  <c r="GW157" i="2"/>
  <c r="GV157" i="2"/>
  <c r="GU157" i="2"/>
  <c r="GT157" i="2"/>
  <c r="GS157" i="2"/>
  <c r="GR157" i="2"/>
  <c r="GQ157" i="2"/>
  <c r="GP157" i="2"/>
  <c r="GO157" i="2"/>
  <c r="GN157" i="2"/>
  <c r="GM157" i="2"/>
  <c r="GL157" i="2"/>
  <c r="GK157" i="2"/>
  <c r="GJ157" i="2"/>
  <c r="GI157" i="2"/>
  <c r="GH157" i="2"/>
  <c r="GG157" i="2"/>
  <c r="GF157" i="2"/>
  <c r="GE157" i="2"/>
  <c r="GD157" i="2"/>
  <c r="GC157" i="2"/>
  <c r="GB157" i="2"/>
  <c r="GA157" i="2"/>
  <c r="FZ157" i="2"/>
  <c r="FY157" i="2"/>
  <c r="FX157" i="2"/>
  <c r="FW157" i="2"/>
  <c r="FV157" i="2"/>
  <c r="FU157" i="2"/>
  <c r="FT157" i="2"/>
  <c r="FS157" i="2"/>
  <c r="FR157" i="2"/>
  <c r="FQ157" i="2"/>
  <c r="FP157" i="2"/>
  <c r="FO157" i="2"/>
  <c r="FN157" i="2"/>
  <c r="FM157" i="2"/>
  <c r="FL157" i="2"/>
  <c r="FK157" i="2"/>
  <c r="FJ157" i="2"/>
  <c r="FI157" i="2"/>
  <c r="FH157" i="2"/>
  <c r="FG157" i="2"/>
  <c r="FF157" i="2"/>
  <c r="FE157" i="2"/>
  <c r="FD157" i="2"/>
  <c r="FC157" i="2"/>
  <c r="FB157" i="2"/>
  <c r="FA157" i="2"/>
  <c r="EZ157" i="2"/>
  <c r="EY157" i="2"/>
  <c r="EX157" i="2"/>
  <c r="EW157" i="2"/>
  <c r="EV157" i="2"/>
  <c r="EU157" i="2"/>
  <c r="ET157" i="2"/>
  <c r="ES157" i="2"/>
  <c r="ER157" i="2"/>
  <c r="EQ157" i="2"/>
  <c r="EP157" i="2"/>
  <c r="EO157" i="2"/>
  <c r="EN157" i="2"/>
  <c r="EM157" i="2"/>
  <c r="EL157" i="2"/>
  <c r="EK157" i="2"/>
  <c r="EJ157" i="2"/>
  <c r="EI157" i="2"/>
  <c r="EH157" i="2"/>
  <c r="EG157" i="2"/>
  <c r="EF157" i="2"/>
  <c r="EE157" i="2"/>
  <c r="ED157" i="2"/>
  <c r="EC157" i="2"/>
  <c r="EB157" i="2"/>
  <c r="EA157" i="2"/>
  <c r="DZ157" i="2"/>
  <c r="DY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A157" i="2"/>
  <c r="PI156" i="2"/>
  <c r="PH156" i="2"/>
  <c r="PG156" i="2"/>
  <c r="PF156" i="2"/>
  <c r="PE156" i="2"/>
  <c r="PD156" i="2"/>
  <c r="PC156" i="2"/>
  <c r="PB156" i="2"/>
  <c r="PA156" i="2"/>
  <c r="OZ156" i="2"/>
  <c r="OY156" i="2"/>
  <c r="OX156" i="2"/>
  <c r="OW156" i="2"/>
  <c r="OV156" i="2"/>
  <c r="OU156" i="2"/>
  <c r="OT156" i="2"/>
  <c r="OS156" i="2"/>
  <c r="OR156" i="2"/>
  <c r="OQ156" i="2"/>
  <c r="OP156" i="2"/>
  <c r="OO156" i="2"/>
  <c r="ON156" i="2"/>
  <c r="OM156" i="2"/>
  <c r="OL156" i="2"/>
  <c r="OK156" i="2"/>
  <c r="OJ156" i="2"/>
  <c r="OI156" i="2"/>
  <c r="OH156" i="2"/>
  <c r="OG156" i="2"/>
  <c r="OF156" i="2"/>
  <c r="OE156" i="2"/>
  <c r="OD156" i="2"/>
  <c r="OC156" i="2"/>
  <c r="OB156" i="2"/>
  <c r="OA156" i="2"/>
  <c r="NZ156" i="2"/>
  <c r="NY156" i="2"/>
  <c r="NX156" i="2"/>
  <c r="NW156" i="2"/>
  <c r="NV156" i="2"/>
  <c r="NU156" i="2"/>
  <c r="NT156" i="2"/>
  <c r="NS156" i="2"/>
  <c r="NR156" i="2"/>
  <c r="NQ156" i="2"/>
  <c r="NP156" i="2"/>
  <c r="NO156" i="2"/>
  <c r="NN156" i="2"/>
  <c r="NM156" i="2"/>
  <c r="NL156" i="2"/>
  <c r="NK156" i="2"/>
  <c r="NJ156" i="2"/>
  <c r="NI156" i="2"/>
  <c r="NH156" i="2"/>
  <c r="NG156" i="2"/>
  <c r="NF156" i="2"/>
  <c r="NE156" i="2"/>
  <c r="ND156" i="2"/>
  <c r="NC156" i="2"/>
  <c r="NB156" i="2"/>
  <c r="NA156" i="2"/>
  <c r="MZ156" i="2"/>
  <c r="MY156" i="2"/>
  <c r="MX156" i="2"/>
  <c r="MW156" i="2"/>
  <c r="MV156" i="2"/>
  <c r="MU156" i="2"/>
  <c r="MT156" i="2"/>
  <c r="MS156" i="2"/>
  <c r="MR156" i="2"/>
  <c r="MQ156" i="2"/>
  <c r="MP156" i="2"/>
  <c r="MO156" i="2"/>
  <c r="MN156" i="2"/>
  <c r="MM156" i="2"/>
  <c r="ML156" i="2"/>
  <c r="MK156" i="2"/>
  <c r="MJ156" i="2"/>
  <c r="MI156" i="2"/>
  <c r="MH156" i="2"/>
  <c r="MG156" i="2"/>
  <c r="MF156" i="2"/>
  <c r="ME156" i="2"/>
  <c r="MD156" i="2"/>
  <c r="MC156" i="2"/>
  <c r="MB156" i="2"/>
  <c r="MA156" i="2"/>
  <c r="LZ156" i="2"/>
  <c r="LY156" i="2"/>
  <c r="LX156" i="2"/>
  <c r="LW156" i="2"/>
  <c r="LV156" i="2"/>
  <c r="LU156" i="2"/>
  <c r="LT156" i="2"/>
  <c r="LS156" i="2"/>
  <c r="LR156" i="2"/>
  <c r="LQ156" i="2"/>
  <c r="LP156" i="2"/>
  <c r="LO156" i="2"/>
  <c r="LN156" i="2"/>
  <c r="LM156" i="2"/>
  <c r="LL156" i="2"/>
  <c r="LK156" i="2"/>
  <c r="LJ156" i="2"/>
  <c r="LI156" i="2"/>
  <c r="LH156" i="2"/>
  <c r="LG156" i="2"/>
  <c r="LF156" i="2"/>
  <c r="LE156" i="2"/>
  <c r="LD156" i="2"/>
  <c r="LC156" i="2"/>
  <c r="LB156" i="2"/>
  <c r="LA156" i="2"/>
  <c r="KZ156" i="2"/>
  <c r="KY156" i="2"/>
  <c r="KX156" i="2"/>
  <c r="KW156" i="2"/>
  <c r="KV156" i="2"/>
  <c r="KU156" i="2"/>
  <c r="KT156" i="2"/>
  <c r="KS156" i="2"/>
  <c r="KR156" i="2"/>
  <c r="KQ156" i="2"/>
  <c r="KP156" i="2"/>
  <c r="KO156" i="2"/>
  <c r="KN156" i="2"/>
  <c r="KM156" i="2"/>
  <c r="KL156" i="2"/>
  <c r="KK156" i="2"/>
  <c r="KJ156" i="2"/>
  <c r="KI156" i="2"/>
  <c r="KH156" i="2"/>
  <c r="KG156" i="2"/>
  <c r="KF156" i="2"/>
  <c r="KE156" i="2"/>
  <c r="KD156" i="2"/>
  <c r="KC156" i="2"/>
  <c r="KB156" i="2"/>
  <c r="KA156" i="2"/>
  <c r="JZ156" i="2"/>
  <c r="JY156" i="2"/>
  <c r="JX156" i="2"/>
  <c r="JW156" i="2"/>
  <c r="JV156" i="2"/>
  <c r="JU156" i="2"/>
  <c r="JT156" i="2"/>
  <c r="JS156" i="2"/>
  <c r="JR156" i="2"/>
  <c r="JQ156" i="2"/>
  <c r="JP156" i="2"/>
  <c r="JO156" i="2"/>
  <c r="JN156" i="2"/>
  <c r="JM156" i="2"/>
  <c r="JL156" i="2"/>
  <c r="JK156" i="2"/>
  <c r="JJ156" i="2"/>
  <c r="JI156" i="2"/>
  <c r="JH156" i="2"/>
  <c r="JG156" i="2"/>
  <c r="JF156" i="2"/>
  <c r="JE156" i="2"/>
  <c r="JD156" i="2"/>
  <c r="JC156" i="2"/>
  <c r="JB156" i="2"/>
  <c r="JA156" i="2"/>
  <c r="IZ156" i="2"/>
  <c r="IY156" i="2"/>
  <c r="IX156" i="2"/>
  <c r="IW156" i="2"/>
  <c r="IV156" i="2"/>
  <c r="IU156" i="2"/>
  <c r="IT156" i="2"/>
  <c r="IS156" i="2"/>
  <c r="IR156" i="2"/>
  <c r="IQ156" i="2"/>
  <c r="IP156" i="2"/>
  <c r="IO156" i="2"/>
  <c r="IN156" i="2"/>
  <c r="IM156" i="2"/>
  <c r="IL156" i="2"/>
  <c r="IK156" i="2"/>
  <c r="IJ156" i="2"/>
  <c r="II156" i="2"/>
  <c r="IH156" i="2"/>
  <c r="IG156" i="2"/>
  <c r="IF156" i="2"/>
  <c r="IE156" i="2"/>
  <c r="ID156" i="2"/>
  <c r="IC156" i="2"/>
  <c r="IB156" i="2"/>
  <c r="IA156" i="2"/>
  <c r="HZ156" i="2"/>
  <c r="HY156" i="2"/>
  <c r="HX156" i="2"/>
  <c r="HW156" i="2"/>
  <c r="HV156" i="2"/>
  <c r="HU156" i="2"/>
  <c r="HT156" i="2"/>
  <c r="HS156" i="2"/>
  <c r="HR156" i="2"/>
  <c r="HQ156" i="2"/>
  <c r="HP156" i="2"/>
  <c r="HO156" i="2"/>
  <c r="HN156" i="2"/>
  <c r="HM156" i="2"/>
  <c r="HL156" i="2"/>
  <c r="HK156" i="2"/>
  <c r="HJ156" i="2"/>
  <c r="HI156" i="2"/>
  <c r="HH156" i="2"/>
  <c r="HG156" i="2"/>
  <c r="HF156" i="2"/>
  <c r="HE156" i="2"/>
  <c r="HD156" i="2"/>
  <c r="HC156" i="2"/>
  <c r="HB156" i="2"/>
  <c r="HA156" i="2"/>
  <c r="GZ156" i="2"/>
  <c r="GY156" i="2"/>
  <c r="GX156" i="2"/>
  <c r="GW156" i="2"/>
  <c r="GV156" i="2"/>
  <c r="GU156" i="2"/>
  <c r="GT156" i="2"/>
  <c r="GS156" i="2"/>
  <c r="GR156" i="2"/>
  <c r="GQ156" i="2"/>
  <c r="GP156" i="2"/>
  <c r="GO156" i="2"/>
  <c r="GN156" i="2"/>
  <c r="GM156" i="2"/>
  <c r="GL156" i="2"/>
  <c r="GK156" i="2"/>
  <c r="GJ156" i="2"/>
  <c r="GI156" i="2"/>
  <c r="GH156" i="2"/>
  <c r="GG156" i="2"/>
  <c r="GF156" i="2"/>
  <c r="GE156" i="2"/>
  <c r="GD156" i="2"/>
  <c r="GC156" i="2"/>
  <c r="GB156" i="2"/>
  <c r="GA156" i="2"/>
  <c r="FZ156" i="2"/>
  <c r="FY156" i="2"/>
  <c r="FX156" i="2"/>
  <c r="FW156" i="2"/>
  <c r="FV156" i="2"/>
  <c r="FU156" i="2"/>
  <c r="FT156" i="2"/>
  <c r="FS156" i="2"/>
  <c r="FR156" i="2"/>
  <c r="FQ156" i="2"/>
  <c r="FP156" i="2"/>
  <c r="FO156" i="2"/>
  <c r="FN156" i="2"/>
  <c r="FM156" i="2"/>
  <c r="FL156" i="2"/>
  <c r="FK156" i="2"/>
  <c r="FJ156" i="2"/>
  <c r="FI156" i="2"/>
  <c r="FH156" i="2"/>
  <c r="FG156" i="2"/>
  <c r="FF156" i="2"/>
  <c r="FE156" i="2"/>
  <c r="FD156" i="2"/>
  <c r="FC156" i="2"/>
  <c r="FB156" i="2"/>
  <c r="FA156" i="2"/>
  <c r="EZ156" i="2"/>
  <c r="EY156" i="2"/>
  <c r="EX156" i="2"/>
  <c r="EW156" i="2"/>
  <c r="EV156" i="2"/>
  <c r="EU156" i="2"/>
  <c r="ET156" i="2"/>
  <c r="ES156" i="2"/>
  <c r="ER156" i="2"/>
  <c r="EQ156" i="2"/>
  <c r="EP156" i="2"/>
  <c r="EO156" i="2"/>
  <c r="EN156" i="2"/>
  <c r="EM156" i="2"/>
  <c r="EL156" i="2"/>
  <c r="EK156" i="2"/>
  <c r="EJ156" i="2"/>
  <c r="EI156" i="2"/>
  <c r="EH156" i="2"/>
  <c r="EG156" i="2"/>
  <c r="EF156" i="2"/>
  <c r="EE156" i="2"/>
  <c r="ED156" i="2"/>
  <c r="EC156" i="2"/>
  <c r="EB156" i="2"/>
  <c r="EA156" i="2"/>
  <c r="DZ156" i="2"/>
  <c r="DY156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156" i="2"/>
  <c r="PI155" i="2"/>
  <c r="PH155" i="2"/>
  <c r="PG155" i="2"/>
  <c r="PF155" i="2"/>
  <c r="PE155" i="2"/>
  <c r="PD155" i="2"/>
  <c r="PC155" i="2"/>
  <c r="PB155" i="2"/>
  <c r="PA155" i="2"/>
  <c r="OZ155" i="2"/>
  <c r="OY155" i="2"/>
  <c r="OX155" i="2"/>
  <c r="OW155" i="2"/>
  <c r="OV155" i="2"/>
  <c r="OU155" i="2"/>
  <c r="OT155" i="2"/>
  <c r="OS155" i="2"/>
  <c r="OR155" i="2"/>
  <c r="OQ155" i="2"/>
  <c r="OP155" i="2"/>
  <c r="OO155" i="2"/>
  <c r="ON155" i="2"/>
  <c r="OM155" i="2"/>
  <c r="OL155" i="2"/>
  <c r="OK155" i="2"/>
  <c r="OJ155" i="2"/>
  <c r="OI155" i="2"/>
  <c r="OH155" i="2"/>
  <c r="OG155" i="2"/>
  <c r="OF155" i="2"/>
  <c r="OE155" i="2"/>
  <c r="OD155" i="2"/>
  <c r="OC155" i="2"/>
  <c r="OB155" i="2"/>
  <c r="OA155" i="2"/>
  <c r="NZ155" i="2"/>
  <c r="NY155" i="2"/>
  <c r="NX155" i="2"/>
  <c r="NW155" i="2"/>
  <c r="NV155" i="2"/>
  <c r="NU155" i="2"/>
  <c r="NT155" i="2"/>
  <c r="NS155" i="2"/>
  <c r="NR155" i="2"/>
  <c r="NQ155" i="2"/>
  <c r="NP155" i="2"/>
  <c r="NO155" i="2"/>
  <c r="NN155" i="2"/>
  <c r="NM155" i="2"/>
  <c r="NL155" i="2"/>
  <c r="NK155" i="2"/>
  <c r="NJ155" i="2"/>
  <c r="NI155" i="2"/>
  <c r="NH155" i="2"/>
  <c r="NG155" i="2"/>
  <c r="NF155" i="2"/>
  <c r="NE155" i="2"/>
  <c r="ND155" i="2"/>
  <c r="NC155" i="2"/>
  <c r="NB155" i="2"/>
  <c r="NA155" i="2"/>
  <c r="MZ155" i="2"/>
  <c r="MY155" i="2"/>
  <c r="MX155" i="2"/>
  <c r="MW155" i="2"/>
  <c r="MV155" i="2"/>
  <c r="MU155" i="2"/>
  <c r="MT155" i="2"/>
  <c r="MS155" i="2"/>
  <c r="MR155" i="2"/>
  <c r="MQ155" i="2"/>
  <c r="MP155" i="2"/>
  <c r="MO155" i="2"/>
  <c r="MN155" i="2"/>
  <c r="MM155" i="2"/>
  <c r="ML155" i="2"/>
  <c r="MK155" i="2"/>
  <c r="MJ155" i="2"/>
  <c r="MI155" i="2"/>
  <c r="MH155" i="2"/>
  <c r="MG155" i="2"/>
  <c r="MF155" i="2"/>
  <c r="ME155" i="2"/>
  <c r="MD155" i="2"/>
  <c r="MC155" i="2"/>
  <c r="MB155" i="2"/>
  <c r="MA155" i="2"/>
  <c r="LZ155" i="2"/>
  <c r="LY155" i="2"/>
  <c r="LX155" i="2"/>
  <c r="LW155" i="2"/>
  <c r="LV155" i="2"/>
  <c r="LU155" i="2"/>
  <c r="LT155" i="2"/>
  <c r="LS155" i="2"/>
  <c r="LR155" i="2"/>
  <c r="LQ155" i="2"/>
  <c r="LP155" i="2"/>
  <c r="LO155" i="2"/>
  <c r="LN155" i="2"/>
  <c r="LM155" i="2"/>
  <c r="LL155" i="2"/>
  <c r="LK155" i="2"/>
  <c r="LJ155" i="2"/>
  <c r="LI155" i="2"/>
  <c r="LH155" i="2"/>
  <c r="LG155" i="2"/>
  <c r="LF155" i="2"/>
  <c r="LE155" i="2"/>
  <c r="LD155" i="2"/>
  <c r="LC155" i="2"/>
  <c r="LB155" i="2"/>
  <c r="LA155" i="2"/>
  <c r="KZ155" i="2"/>
  <c r="KY155" i="2"/>
  <c r="KX155" i="2"/>
  <c r="KW155" i="2"/>
  <c r="KV155" i="2"/>
  <c r="KU155" i="2"/>
  <c r="KT155" i="2"/>
  <c r="KS155" i="2"/>
  <c r="KR155" i="2"/>
  <c r="KQ155" i="2"/>
  <c r="KP155" i="2"/>
  <c r="KO155" i="2"/>
  <c r="KN155" i="2"/>
  <c r="KM155" i="2"/>
  <c r="KL155" i="2"/>
  <c r="KK155" i="2"/>
  <c r="KJ155" i="2"/>
  <c r="KI155" i="2"/>
  <c r="KH155" i="2"/>
  <c r="KG155" i="2"/>
  <c r="KF155" i="2"/>
  <c r="KE155" i="2"/>
  <c r="KD155" i="2"/>
  <c r="KC155" i="2"/>
  <c r="KB155" i="2"/>
  <c r="KA155" i="2"/>
  <c r="JZ155" i="2"/>
  <c r="JY155" i="2"/>
  <c r="JX155" i="2"/>
  <c r="JW155" i="2"/>
  <c r="JV155" i="2"/>
  <c r="JU155" i="2"/>
  <c r="JT155" i="2"/>
  <c r="JS155" i="2"/>
  <c r="JR155" i="2"/>
  <c r="JQ155" i="2"/>
  <c r="JP155" i="2"/>
  <c r="JO155" i="2"/>
  <c r="JN155" i="2"/>
  <c r="JM155" i="2"/>
  <c r="JL155" i="2"/>
  <c r="JK155" i="2"/>
  <c r="JJ155" i="2"/>
  <c r="JI155" i="2"/>
  <c r="JH155" i="2"/>
  <c r="JG155" i="2"/>
  <c r="JF155" i="2"/>
  <c r="JE155" i="2"/>
  <c r="JD155" i="2"/>
  <c r="JC155" i="2"/>
  <c r="JB155" i="2"/>
  <c r="JA155" i="2"/>
  <c r="IZ155" i="2"/>
  <c r="IY155" i="2"/>
  <c r="IX155" i="2"/>
  <c r="IW155" i="2"/>
  <c r="IV155" i="2"/>
  <c r="IU155" i="2"/>
  <c r="IT155" i="2"/>
  <c r="IS155" i="2"/>
  <c r="IR155" i="2"/>
  <c r="IQ155" i="2"/>
  <c r="IP155" i="2"/>
  <c r="IO155" i="2"/>
  <c r="IN155" i="2"/>
  <c r="IM155" i="2"/>
  <c r="IL155" i="2"/>
  <c r="IK155" i="2"/>
  <c r="IJ155" i="2"/>
  <c r="II155" i="2"/>
  <c r="IH155" i="2"/>
  <c r="IG155" i="2"/>
  <c r="IF155" i="2"/>
  <c r="IE155" i="2"/>
  <c r="ID155" i="2"/>
  <c r="IC155" i="2"/>
  <c r="IB155" i="2"/>
  <c r="IA155" i="2"/>
  <c r="HZ155" i="2"/>
  <c r="HY155" i="2"/>
  <c r="HX155" i="2"/>
  <c r="HW155" i="2"/>
  <c r="HV155" i="2"/>
  <c r="HU155" i="2"/>
  <c r="HT155" i="2"/>
  <c r="HS155" i="2"/>
  <c r="HR155" i="2"/>
  <c r="HQ155" i="2"/>
  <c r="HP155" i="2"/>
  <c r="HO155" i="2"/>
  <c r="HN155" i="2"/>
  <c r="HM155" i="2"/>
  <c r="HL155" i="2"/>
  <c r="HK155" i="2"/>
  <c r="HJ155" i="2"/>
  <c r="HI155" i="2"/>
  <c r="HH155" i="2"/>
  <c r="HG155" i="2"/>
  <c r="HF155" i="2"/>
  <c r="HE155" i="2"/>
  <c r="HD155" i="2"/>
  <c r="HC155" i="2"/>
  <c r="HB155" i="2"/>
  <c r="HA155" i="2"/>
  <c r="GZ155" i="2"/>
  <c r="GY155" i="2"/>
  <c r="GX155" i="2"/>
  <c r="GW155" i="2"/>
  <c r="GV155" i="2"/>
  <c r="GU155" i="2"/>
  <c r="GT155" i="2"/>
  <c r="GS155" i="2"/>
  <c r="GR155" i="2"/>
  <c r="GQ155" i="2"/>
  <c r="GP155" i="2"/>
  <c r="GO155" i="2"/>
  <c r="GN155" i="2"/>
  <c r="GM155" i="2"/>
  <c r="GL155" i="2"/>
  <c r="GK155" i="2"/>
  <c r="GJ155" i="2"/>
  <c r="GI155" i="2"/>
  <c r="GH155" i="2"/>
  <c r="GG155" i="2"/>
  <c r="GF155" i="2"/>
  <c r="GE155" i="2"/>
  <c r="GD155" i="2"/>
  <c r="GC155" i="2"/>
  <c r="GB155" i="2"/>
  <c r="GA155" i="2"/>
  <c r="FZ155" i="2"/>
  <c r="FY155" i="2"/>
  <c r="FX155" i="2"/>
  <c r="FW155" i="2"/>
  <c r="FV155" i="2"/>
  <c r="FU155" i="2"/>
  <c r="FT155" i="2"/>
  <c r="FS155" i="2"/>
  <c r="FR155" i="2"/>
  <c r="FQ155" i="2"/>
  <c r="FP155" i="2"/>
  <c r="FO155" i="2"/>
  <c r="FN155" i="2"/>
  <c r="FM155" i="2"/>
  <c r="FL155" i="2"/>
  <c r="FK155" i="2"/>
  <c r="FJ155" i="2"/>
  <c r="FI155" i="2"/>
  <c r="FH155" i="2"/>
  <c r="FG155" i="2"/>
  <c r="FF155" i="2"/>
  <c r="FE155" i="2"/>
  <c r="FD155" i="2"/>
  <c r="FC155" i="2"/>
  <c r="FB155" i="2"/>
  <c r="FA155" i="2"/>
  <c r="EZ155" i="2"/>
  <c r="EY155" i="2"/>
  <c r="EX155" i="2"/>
  <c r="EW155" i="2"/>
  <c r="EV155" i="2"/>
  <c r="EU155" i="2"/>
  <c r="ET155" i="2"/>
  <c r="ES155" i="2"/>
  <c r="ER155" i="2"/>
  <c r="EQ155" i="2"/>
  <c r="EP155" i="2"/>
  <c r="EO155" i="2"/>
  <c r="EN155" i="2"/>
  <c r="EM155" i="2"/>
  <c r="EL155" i="2"/>
  <c r="EK155" i="2"/>
  <c r="EJ155" i="2"/>
  <c r="EI155" i="2"/>
  <c r="EH155" i="2"/>
  <c r="EG155" i="2"/>
  <c r="EF155" i="2"/>
  <c r="EE155" i="2"/>
  <c r="ED155" i="2"/>
  <c r="EC155" i="2"/>
  <c r="EB155" i="2"/>
  <c r="EA155" i="2"/>
  <c r="DZ155" i="2"/>
  <c r="DY155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A155" i="2"/>
  <c r="PI154" i="2"/>
  <c r="PH154" i="2"/>
  <c r="PG154" i="2"/>
  <c r="PF154" i="2"/>
  <c r="PE154" i="2"/>
  <c r="PD154" i="2"/>
  <c r="PC154" i="2"/>
  <c r="PB154" i="2"/>
  <c r="PA154" i="2"/>
  <c r="OZ154" i="2"/>
  <c r="OY154" i="2"/>
  <c r="OX154" i="2"/>
  <c r="OW154" i="2"/>
  <c r="OV154" i="2"/>
  <c r="OU154" i="2"/>
  <c r="OT154" i="2"/>
  <c r="OS154" i="2"/>
  <c r="OR154" i="2"/>
  <c r="OQ154" i="2"/>
  <c r="OP154" i="2"/>
  <c r="OO154" i="2"/>
  <c r="ON154" i="2"/>
  <c r="OM154" i="2"/>
  <c r="OL154" i="2"/>
  <c r="OK154" i="2"/>
  <c r="OJ154" i="2"/>
  <c r="OI154" i="2"/>
  <c r="OH154" i="2"/>
  <c r="OG154" i="2"/>
  <c r="OF154" i="2"/>
  <c r="OE154" i="2"/>
  <c r="OD154" i="2"/>
  <c r="OC154" i="2"/>
  <c r="OB154" i="2"/>
  <c r="OA154" i="2"/>
  <c r="NZ154" i="2"/>
  <c r="NY154" i="2"/>
  <c r="NX154" i="2"/>
  <c r="NW154" i="2"/>
  <c r="NV154" i="2"/>
  <c r="NU154" i="2"/>
  <c r="NT154" i="2"/>
  <c r="NS154" i="2"/>
  <c r="NR154" i="2"/>
  <c r="NQ154" i="2"/>
  <c r="NP154" i="2"/>
  <c r="NO154" i="2"/>
  <c r="NN154" i="2"/>
  <c r="NM154" i="2"/>
  <c r="NL154" i="2"/>
  <c r="NK154" i="2"/>
  <c r="NJ154" i="2"/>
  <c r="NI154" i="2"/>
  <c r="NH154" i="2"/>
  <c r="NG154" i="2"/>
  <c r="NF154" i="2"/>
  <c r="NE154" i="2"/>
  <c r="ND154" i="2"/>
  <c r="NC154" i="2"/>
  <c r="NB154" i="2"/>
  <c r="NA154" i="2"/>
  <c r="MZ154" i="2"/>
  <c r="MY154" i="2"/>
  <c r="MX154" i="2"/>
  <c r="MW154" i="2"/>
  <c r="MV154" i="2"/>
  <c r="MU154" i="2"/>
  <c r="MT154" i="2"/>
  <c r="MS154" i="2"/>
  <c r="MR154" i="2"/>
  <c r="MQ154" i="2"/>
  <c r="MP154" i="2"/>
  <c r="MO154" i="2"/>
  <c r="MN154" i="2"/>
  <c r="MM154" i="2"/>
  <c r="ML154" i="2"/>
  <c r="MK154" i="2"/>
  <c r="MJ154" i="2"/>
  <c r="MI154" i="2"/>
  <c r="MH154" i="2"/>
  <c r="MG154" i="2"/>
  <c r="MF154" i="2"/>
  <c r="ME154" i="2"/>
  <c r="MD154" i="2"/>
  <c r="MC154" i="2"/>
  <c r="MB154" i="2"/>
  <c r="MA154" i="2"/>
  <c r="LZ154" i="2"/>
  <c r="LY154" i="2"/>
  <c r="LX154" i="2"/>
  <c r="LW154" i="2"/>
  <c r="LV154" i="2"/>
  <c r="LU154" i="2"/>
  <c r="LT154" i="2"/>
  <c r="LS154" i="2"/>
  <c r="LR154" i="2"/>
  <c r="LQ154" i="2"/>
  <c r="LP154" i="2"/>
  <c r="LO154" i="2"/>
  <c r="LN154" i="2"/>
  <c r="LM154" i="2"/>
  <c r="LL154" i="2"/>
  <c r="LK154" i="2"/>
  <c r="LJ154" i="2"/>
  <c r="LI154" i="2"/>
  <c r="LH154" i="2"/>
  <c r="LG154" i="2"/>
  <c r="LF154" i="2"/>
  <c r="LE154" i="2"/>
  <c r="LD154" i="2"/>
  <c r="LC154" i="2"/>
  <c r="LB154" i="2"/>
  <c r="LA154" i="2"/>
  <c r="KZ154" i="2"/>
  <c r="KY154" i="2"/>
  <c r="KX154" i="2"/>
  <c r="KW154" i="2"/>
  <c r="KV154" i="2"/>
  <c r="KU154" i="2"/>
  <c r="KT154" i="2"/>
  <c r="KS154" i="2"/>
  <c r="KR154" i="2"/>
  <c r="KQ154" i="2"/>
  <c r="KP154" i="2"/>
  <c r="KO154" i="2"/>
  <c r="KN154" i="2"/>
  <c r="KM154" i="2"/>
  <c r="KL154" i="2"/>
  <c r="KK154" i="2"/>
  <c r="KJ154" i="2"/>
  <c r="KI154" i="2"/>
  <c r="KH154" i="2"/>
  <c r="KG154" i="2"/>
  <c r="KF154" i="2"/>
  <c r="KE154" i="2"/>
  <c r="KD154" i="2"/>
  <c r="KC154" i="2"/>
  <c r="KB154" i="2"/>
  <c r="KA154" i="2"/>
  <c r="JZ154" i="2"/>
  <c r="JY154" i="2"/>
  <c r="JX154" i="2"/>
  <c r="JW154" i="2"/>
  <c r="JV154" i="2"/>
  <c r="JU154" i="2"/>
  <c r="JT154" i="2"/>
  <c r="JS154" i="2"/>
  <c r="JR154" i="2"/>
  <c r="JQ154" i="2"/>
  <c r="JP154" i="2"/>
  <c r="JO154" i="2"/>
  <c r="JN154" i="2"/>
  <c r="JM154" i="2"/>
  <c r="JL154" i="2"/>
  <c r="JK154" i="2"/>
  <c r="JJ154" i="2"/>
  <c r="JI154" i="2"/>
  <c r="JH154" i="2"/>
  <c r="JG154" i="2"/>
  <c r="JF154" i="2"/>
  <c r="JE154" i="2"/>
  <c r="JD154" i="2"/>
  <c r="JC154" i="2"/>
  <c r="JB154" i="2"/>
  <c r="JA154" i="2"/>
  <c r="IZ154" i="2"/>
  <c r="IY154" i="2"/>
  <c r="IX154" i="2"/>
  <c r="IW154" i="2"/>
  <c r="IV154" i="2"/>
  <c r="IU154" i="2"/>
  <c r="IT154" i="2"/>
  <c r="IS154" i="2"/>
  <c r="IR154" i="2"/>
  <c r="IQ154" i="2"/>
  <c r="IP154" i="2"/>
  <c r="IO154" i="2"/>
  <c r="IN154" i="2"/>
  <c r="IM154" i="2"/>
  <c r="IL154" i="2"/>
  <c r="IK154" i="2"/>
  <c r="IJ154" i="2"/>
  <c r="II154" i="2"/>
  <c r="IH154" i="2"/>
  <c r="IG154" i="2"/>
  <c r="IF154" i="2"/>
  <c r="IE154" i="2"/>
  <c r="ID154" i="2"/>
  <c r="IC154" i="2"/>
  <c r="IB154" i="2"/>
  <c r="IA154" i="2"/>
  <c r="HZ154" i="2"/>
  <c r="HY154" i="2"/>
  <c r="HX154" i="2"/>
  <c r="HW154" i="2"/>
  <c r="HV154" i="2"/>
  <c r="HU154" i="2"/>
  <c r="HT154" i="2"/>
  <c r="HS154" i="2"/>
  <c r="HR154" i="2"/>
  <c r="HQ154" i="2"/>
  <c r="HP154" i="2"/>
  <c r="HO154" i="2"/>
  <c r="HN154" i="2"/>
  <c r="HM154" i="2"/>
  <c r="HL154" i="2"/>
  <c r="HK154" i="2"/>
  <c r="HJ154" i="2"/>
  <c r="HI154" i="2"/>
  <c r="HH154" i="2"/>
  <c r="HG154" i="2"/>
  <c r="HF154" i="2"/>
  <c r="HE154" i="2"/>
  <c r="HD154" i="2"/>
  <c r="HC154" i="2"/>
  <c r="HB154" i="2"/>
  <c r="HA154" i="2"/>
  <c r="GZ154" i="2"/>
  <c r="GY154" i="2"/>
  <c r="GX154" i="2"/>
  <c r="GW154" i="2"/>
  <c r="GV154" i="2"/>
  <c r="GU154" i="2"/>
  <c r="GT154" i="2"/>
  <c r="GS154" i="2"/>
  <c r="GR154" i="2"/>
  <c r="GQ154" i="2"/>
  <c r="GP154" i="2"/>
  <c r="GO154" i="2"/>
  <c r="GN154" i="2"/>
  <c r="GM154" i="2"/>
  <c r="GL154" i="2"/>
  <c r="GK154" i="2"/>
  <c r="GJ154" i="2"/>
  <c r="GI154" i="2"/>
  <c r="GH154" i="2"/>
  <c r="GG154" i="2"/>
  <c r="GF154" i="2"/>
  <c r="GE154" i="2"/>
  <c r="GD154" i="2"/>
  <c r="GC154" i="2"/>
  <c r="GB154" i="2"/>
  <c r="GA154" i="2"/>
  <c r="FZ154" i="2"/>
  <c r="FY154" i="2"/>
  <c r="FX154" i="2"/>
  <c r="FW154" i="2"/>
  <c r="FV154" i="2"/>
  <c r="FU154" i="2"/>
  <c r="FT154" i="2"/>
  <c r="FS154" i="2"/>
  <c r="FR154" i="2"/>
  <c r="FQ154" i="2"/>
  <c r="FP154" i="2"/>
  <c r="FO154" i="2"/>
  <c r="FN154" i="2"/>
  <c r="FM154" i="2"/>
  <c r="FL154" i="2"/>
  <c r="FK154" i="2"/>
  <c r="FJ154" i="2"/>
  <c r="FI154" i="2"/>
  <c r="FH154" i="2"/>
  <c r="FG154" i="2"/>
  <c r="FF154" i="2"/>
  <c r="FE154" i="2"/>
  <c r="FD154" i="2"/>
  <c r="FC154" i="2"/>
  <c r="FB154" i="2"/>
  <c r="FA154" i="2"/>
  <c r="EZ154" i="2"/>
  <c r="EY154" i="2"/>
  <c r="EX154" i="2"/>
  <c r="EW154" i="2"/>
  <c r="EV154" i="2"/>
  <c r="EU154" i="2"/>
  <c r="ET154" i="2"/>
  <c r="ES154" i="2"/>
  <c r="ER154" i="2"/>
  <c r="EQ154" i="2"/>
  <c r="EP154" i="2"/>
  <c r="EO154" i="2"/>
  <c r="EN154" i="2"/>
  <c r="EM154" i="2"/>
  <c r="EL154" i="2"/>
  <c r="EK154" i="2"/>
  <c r="EJ154" i="2"/>
  <c r="EI154" i="2"/>
  <c r="EH154" i="2"/>
  <c r="EG154" i="2"/>
  <c r="EF154" i="2"/>
  <c r="EE154" i="2"/>
  <c r="ED154" i="2"/>
  <c r="EC154" i="2"/>
  <c r="EB154" i="2"/>
  <c r="EA154" i="2"/>
  <c r="DZ154" i="2"/>
  <c r="DY154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154" i="2"/>
  <c r="PI153" i="2"/>
  <c r="PH153" i="2"/>
  <c r="PG153" i="2"/>
  <c r="PF153" i="2"/>
  <c r="PE153" i="2"/>
  <c r="PD153" i="2"/>
  <c r="PC153" i="2"/>
  <c r="PB153" i="2"/>
  <c r="PA153" i="2"/>
  <c r="OZ153" i="2"/>
  <c r="OY153" i="2"/>
  <c r="OX153" i="2"/>
  <c r="OW153" i="2"/>
  <c r="OV153" i="2"/>
  <c r="OU153" i="2"/>
  <c r="OT153" i="2"/>
  <c r="OS153" i="2"/>
  <c r="OR153" i="2"/>
  <c r="OQ153" i="2"/>
  <c r="OP153" i="2"/>
  <c r="OO153" i="2"/>
  <c r="ON153" i="2"/>
  <c r="OM153" i="2"/>
  <c r="OL153" i="2"/>
  <c r="OK153" i="2"/>
  <c r="OJ153" i="2"/>
  <c r="OI153" i="2"/>
  <c r="OH153" i="2"/>
  <c r="OG153" i="2"/>
  <c r="OF153" i="2"/>
  <c r="OE153" i="2"/>
  <c r="OD153" i="2"/>
  <c r="OC153" i="2"/>
  <c r="OB153" i="2"/>
  <c r="OA153" i="2"/>
  <c r="NZ153" i="2"/>
  <c r="NY153" i="2"/>
  <c r="NX153" i="2"/>
  <c r="NW153" i="2"/>
  <c r="NV153" i="2"/>
  <c r="NU153" i="2"/>
  <c r="NT153" i="2"/>
  <c r="NS153" i="2"/>
  <c r="NR153" i="2"/>
  <c r="NQ153" i="2"/>
  <c r="NP153" i="2"/>
  <c r="NO153" i="2"/>
  <c r="NN153" i="2"/>
  <c r="NM153" i="2"/>
  <c r="NL153" i="2"/>
  <c r="NK153" i="2"/>
  <c r="NJ153" i="2"/>
  <c r="NI153" i="2"/>
  <c r="NH153" i="2"/>
  <c r="NG153" i="2"/>
  <c r="NF153" i="2"/>
  <c r="NE153" i="2"/>
  <c r="ND153" i="2"/>
  <c r="NC153" i="2"/>
  <c r="NB153" i="2"/>
  <c r="NA153" i="2"/>
  <c r="MZ153" i="2"/>
  <c r="MY153" i="2"/>
  <c r="MX153" i="2"/>
  <c r="MW153" i="2"/>
  <c r="MV153" i="2"/>
  <c r="MU153" i="2"/>
  <c r="MT153" i="2"/>
  <c r="MS153" i="2"/>
  <c r="MR153" i="2"/>
  <c r="MQ153" i="2"/>
  <c r="MP153" i="2"/>
  <c r="MO153" i="2"/>
  <c r="MN153" i="2"/>
  <c r="MM153" i="2"/>
  <c r="ML153" i="2"/>
  <c r="MK153" i="2"/>
  <c r="MJ153" i="2"/>
  <c r="MI153" i="2"/>
  <c r="MH153" i="2"/>
  <c r="MG153" i="2"/>
  <c r="MF153" i="2"/>
  <c r="ME153" i="2"/>
  <c r="MD153" i="2"/>
  <c r="MC153" i="2"/>
  <c r="MB153" i="2"/>
  <c r="MA153" i="2"/>
  <c r="LZ153" i="2"/>
  <c r="LY153" i="2"/>
  <c r="LX153" i="2"/>
  <c r="LW153" i="2"/>
  <c r="LV153" i="2"/>
  <c r="LU153" i="2"/>
  <c r="LT153" i="2"/>
  <c r="LS153" i="2"/>
  <c r="LR153" i="2"/>
  <c r="LQ153" i="2"/>
  <c r="LP153" i="2"/>
  <c r="LO153" i="2"/>
  <c r="LN153" i="2"/>
  <c r="LM153" i="2"/>
  <c r="LL153" i="2"/>
  <c r="LK153" i="2"/>
  <c r="LJ153" i="2"/>
  <c r="LI153" i="2"/>
  <c r="LH153" i="2"/>
  <c r="LG153" i="2"/>
  <c r="LF153" i="2"/>
  <c r="LE153" i="2"/>
  <c r="LD153" i="2"/>
  <c r="LC153" i="2"/>
  <c r="LB153" i="2"/>
  <c r="LA153" i="2"/>
  <c r="KZ153" i="2"/>
  <c r="KY153" i="2"/>
  <c r="KX153" i="2"/>
  <c r="KW153" i="2"/>
  <c r="KV153" i="2"/>
  <c r="KU153" i="2"/>
  <c r="KT153" i="2"/>
  <c r="KS153" i="2"/>
  <c r="KR153" i="2"/>
  <c r="KQ153" i="2"/>
  <c r="KP153" i="2"/>
  <c r="KO153" i="2"/>
  <c r="KN153" i="2"/>
  <c r="KM153" i="2"/>
  <c r="KL153" i="2"/>
  <c r="KK153" i="2"/>
  <c r="KJ153" i="2"/>
  <c r="KI153" i="2"/>
  <c r="KH153" i="2"/>
  <c r="KG153" i="2"/>
  <c r="KF153" i="2"/>
  <c r="KE153" i="2"/>
  <c r="KD153" i="2"/>
  <c r="KC153" i="2"/>
  <c r="KB153" i="2"/>
  <c r="KA153" i="2"/>
  <c r="JZ153" i="2"/>
  <c r="JY153" i="2"/>
  <c r="JX153" i="2"/>
  <c r="JW153" i="2"/>
  <c r="JV153" i="2"/>
  <c r="JU153" i="2"/>
  <c r="JT153" i="2"/>
  <c r="JS153" i="2"/>
  <c r="JR153" i="2"/>
  <c r="JQ153" i="2"/>
  <c r="JP153" i="2"/>
  <c r="JO153" i="2"/>
  <c r="JN153" i="2"/>
  <c r="JM153" i="2"/>
  <c r="JL153" i="2"/>
  <c r="JK153" i="2"/>
  <c r="JJ153" i="2"/>
  <c r="JI153" i="2"/>
  <c r="JH153" i="2"/>
  <c r="JG153" i="2"/>
  <c r="JF153" i="2"/>
  <c r="JE153" i="2"/>
  <c r="JD153" i="2"/>
  <c r="JC153" i="2"/>
  <c r="JB153" i="2"/>
  <c r="JA153" i="2"/>
  <c r="IZ153" i="2"/>
  <c r="IY153" i="2"/>
  <c r="IX153" i="2"/>
  <c r="IW153" i="2"/>
  <c r="IV153" i="2"/>
  <c r="IU153" i="2"/>
  <c r="IT153" i="2"/>
  <c r="IS153" i="2"/>
  <c r="IR153" i="2"/>
  <c r="IQ153" i="2"/>
  <c r="IP153" i="2"/>
  <c r="IO153" i="2"/>
  <c r="IN153" i="2"/>
  <c r="IM153" i="2"/>
  <c r="IL153" i="2"/>
  <c r="IK153" i="2"/>
  <c r="IJ153" i="2"/>
  <c r="II153" i="2"/>
  <c r="IH153" i="2"/>
  <c r="IG153" i="2"/>
  <c r="IF153" i="2"/>
  <c r="IE153" i="2"/>
  <c r="ID153" i="2"/>
  <c r="IC153" i="2"/>
  <c r="IB153" i="2"/>
  <c r="IA153" i="2"/>
  <c r="HZ153" i="2"/>
  <c r="HY153" i="2"/>
  <c r="HX153" i="2"/>
  <c r="HW153" i="2"/>
  <c r="HV153" i="2"/>
  <c r="HU153" i="2"/>
  <c r="HT153" i="2"/>
  <c r="HS153" i="2"/>
  <c r="HR153" i="2"/>
  <c r="HQ153" i="2"/>
  <c r="HP153" i="2"/>
  <c r="HO153" i="2"/>
  <c r="HN153" i="2"/>
  <c r="HM153" i="2"/>
  <c r="HL153" i="2"/>
  <c r="HK153" i="2"/>
  <c r="HJ153" i="2"/>
  <c r="HI153" i="2"/>
  <c r="HH153" i="2"/>
  <c r="HG153" i="2"/>
  <c r="HF153" i="2"/>
  <c r="HE153" i="2"/>
  <c r="HD153" i="2"/>
  <c r="HC153" i="2"/>
  <c r="HB153" i="2"/>
  <c r="HA153" i="2"/>
  <c r="GZ153" i="2"/>
  <c r="GY153" i="2"/>
  <c r="GX153" i="2"/>
  <c r="GW153" i="2"/>
  <c r="GV153" i="2"/>
  <c r="GU153" i="2"/>
  <c r="GT153" i="2"/>
  <c r="GS153" i="2"/>
  <c r="GR153" i="2"/>
  <c r="GQ153" i="2"/>
  <c r="GP153" i="2"/>
  <c r="GO153" i="2"/>
  <c r="GN153" i="2"/>
  <c r="GM153" i="2"/>
  <c r="GL153" i="2"/>
  <c r="GK153" i="2"/>
  <c r="GJ153" i="2"/>
  <c r="GI153" i="2"/>
  <c r="GH153" i="2"/>
  <c r="GG153" i="2"/>
  <c r="GF153" i="2"/>
  <c r="GE153" i="2"/>
  <c r="GD153" i="2"/>
  <c r="GC153" i="2"/>
  <c r="GB153" i="2"/>
  <c r="GA153" i="2"/>
  <c r="FZ153" i="2"/>
  <c r="FY153" i="2"/>
  <c r="FX153" i="2"/>
  <c r="FW153" i="2"/>
  <c r="FV153" i="2"/>
  <c r="FU153" i="2"/>
  <c r="FT153" i="2"/>
  <c r="FS153" i="2"/>
  <c r="FR153" i="2"/>
  <c r="FQ153" i="2"/>
  <c r="FP153" i="2"/>
  <c r="FO153" i="2"/>
  <c r="FN153" i="2"/>
  <c r="FM153" i="2"/>
  <c r="FL153" i="2"/>
  <c r="FK153" i="2"/>
  <c r="FJ153" i="2"/>
  <c r="FI153" i="2"/>
  <c r="FH153" i="2"/>
  <c r="FG153" i="2"/>
  <c r="FF153" i="2"/>
  <c r="FE153" i="2"/>
  <c r="FD153" i="2"/>
  <c r="FC153" i="2"/>
  <c r="FB153" i="2"/>
  <c r="FA153" i="2"/>
  <c r="EZ153" i="2"/>
  <c r="EY153" i="2"/>
  <c r="EX153" i="2"/>
  <c r="EW153" i="2"/>
  <c r="EV153" i="2"/>
  <c r="EU153" i="2"/>
  <c r="ET153" i="2"/>
  <c r="ES153" i="2"/>
  <c r="ER153" i="2"/>
  <c r="EQ153" i="2"/>
  <c r="EP153" i="2"/>
  <c r="EO153" i="2"/>
  <c r="EN153" i="2"/>
  <c r="EM153" i="2"/>
  <c r="EL153" i="2"/>
  <c r="EK153" i="2"/>
  <c r="EJ153" i="2"/>
  <c r="EI153" i="2"/>
  <c r="EH153" i="2"/>
  <c r="EG153" i="2"/>
  <c r="EF153" i="2"/>
  <c r="EE153" i="2"/>
  <c r="ED153" i="2"/>
  <c r="EC153" i="2"/>
  <c r="EB153" i="2"/>
  <c r="EA153" i="2"/>
  <c r="DZ153" i="2"/>
  <c r="DY153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G153" i="2"/>
  <c r="CF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153" i="2"/>
  <c r="PI152" i="2"/>
  <c r="PH152" i="2"/>
  <c r="PG152" i="2"/>
  <c r="PF152" i="2"/>
  <c r="PE152" i="2"/>
  <c r="PD152" i="2"/>
  <c r="PC152" i="2"/>
  <c r="PB152" i="2"/>
  <c r="PA152" i="2"/>
  <c r="OZ152" i="2"/>
  <c r="OY152" i="2"/>
  <c r="OX152" i="2"/>
  <c r="OW152" i="2"/>
  <c r="OV152" i="2"/>
  <c r="OU152" i="2"/>
  <c r="OT152" i="2"/>
  <c r="OS152" i="2"/>
  <c r="OR152" i="2"/>
  <c r="OQ152" i="2"/>
  <c r="OP152" i="2"/>
  <c r="OO152" i="2"/>
  <c r="ON152" i="2"/>
  <c r="OM152" i="2"/>
  <c r="OL152" i="2"/>
  <c r="OK152" i="2"/>
  <c r="OJ152" i="2"/>
  <c r="OI152" i="2"/>
  <c r="OH152" i="2"/>
  <c r="OG152" i="2"/>
  <c r="OF152" i="2"/>
  <c r="OE152" i="2"/>
  <c r="OD152" i="2"/>
  <c r="OC152" i="2"/>
  <c r="OB152" i="2"/>
  <c r="OA152" i="2"/>
  <c r="NZ152" i="2"/>
  <c r="NY152" i="2"/>
  <c r="NX152" i="2"/>
  <c r="NW152" i="2"/>
  <c r="NV152" i="2"/>
  <c r="NU152" i="2"/>
  <c r="NT152" i="2"/>
  <c r="NS152" i="2"/>
  <c r="NR152" i="2"/>
  <c r="NQ152" i="2"/>
  <c r="NP152" i="2"/>
  <c r="NO152" i="2"/>
  <c r="NN152" i="2"/>
  <c r="NM152" i="2"/>
  <c r="NL152" i="2"/>
  <c r="NK152" i="2"/>
  <c r="NJ152" i="2"/>
  <c r="NI152" i="2"/>
  <c r="NH152" i="2"/>
  <c r="NG152" i="2"/>
  <c r="NF152" i="2"/>
  <c r="NE152" i="2"/>
  <c r="ND152" i="2"/>
  <c r="NC152" i="2"/>
  <c r="NB152" i="2"/>
  <c r="NA152" i="2"/>
  <c r="MZ152" i="2"/>
  <c r="MY152" i="2"/>
  <c r="MX152" i="2"/>
  <c r="MW152" i="2"/>
  <c r="MV152" i="2"/>
  <c r="MU152" i="2"/>
  <c r="MT152" i="2"/>
  <c r="MS152" i="2"/>
  <c r="MR152" i="2"/>
  <c r="MQ152" i="2"/>
  <c r="MP152" i="2"/>
  <c r="MO152" i="2"/>
  <c r="MN152" i="2"/>
  <c r="MM152" i="2"/>
  <c r="ML152" i="2"/>
  <c r="MK152" i="2"/>
  <c r="MJ152" i="2"/>
  <c r="MI152" i="2"/>
  <c r="MH152" i="2"/>
  <c r="MG152" i="2"/>
  <c r="MF152" i="2"/>
  <c r="ME152" i="2"/>
  <c r="MD152" i="2"/>
  <c r="MC152" i="2"/>
  <c r="MB152" i="2"/>
  <c r="MA152" i="2"/>
  <c r="LZ152" i="2"/>
  <c r="LY152" i="2"/>
  <c r="LX152" i="2"/>
  <c r="LW152" i="2"/>
  <c r="LV152" i="2"/>
  <c r="LU152" i="2"/>
  <c r="LT152" i="2"/>
  <c r="LS152" i="2"/>
  <c r="LR152" i="2"/>
  <c r="LQ152" i="2"/>
  <c r="LP152" i="2"/>
  <c r="LO152" i="2"/>
  <c r="LN152" i="2"/>
  <c r="LM152" i="2"/>
  <c r="LL152" i="2"/>
  <c r="LK152" i="2"/>
  <c r="LJ152" i="2"/>
  <c r="LI152" i="2"/>
  <c r="LH152" i="2"/>
  <c r="LG152" i="2"/>
  <c r="LF152" i="2"/>
  <c r="LE152" i="2"/>
  <c r="LD152" i="2"/>
  <c r="LC152" i="2"/>
  <c r="LB152" i="2"/>
  <c r="LA152" i="2"/>
  <c r="KZ152" i="2"/>
  <c r="KY152" i="2"/>
  <c r="KX152" i="2"/>
  <c r="KW152" i="2"/>
  <c r="KV152" i="2"/>
  <c r="KU152" i="2"/>
  <c r="KT152" i="2"/>
  <c r="KS152" i="2"/>
  <c r="KR152" i="2"/>
  <c r="KQ152" i="2"/>
  <c r="KP152" i="2"/>
  <c r="KO152" i="2"/>
  <c r="KN152" i="2"/>
  <c r="KM152" i="2"/>
  <c r="KL152" i="2"/>
  <c r="KK152" i="2"/>
  <c r="KJ152" i="2"/>
  <c r="KI152" i="2"/>
  <c r="KH152" i="2"/>
  <c r="KG152" i="2"/>
  <c r="KF152" i="2"/>
  <c r="KE152" i="2"/>
  <c r="KD152" i="2"/>
  <c r="KC152" i="2"/>
  <c r="KB152" i="2"/>
  <c r="KA152" i="2"/>
  <c r="JZ152" i="2"/>
  <c r="JY152" i="2"/>
  <c r="JX152" i="2"/>
  <c r="JW152" i="2"/>
  <c r="JV152" i="2"/>
  <c r="JU152" i="2"/>
  <c r="JT152" i="2"/>
  <c r="JS152" i="2"/>
  <c r="JR152" i="2"/>
  <c r="JQ152" i="2"/>
  <c r="JP152" i="2"/>
  <c r="JO152" i="2"/>
  <c r="JN152" i="2"/>
  <c r="JM152" i="2"/>
  <c r="JL152" i="2"/>
  <c r="JK152" i="2"/>
  <c r="JJ152" i="2"/>
  <c r="JI152" i="2"/>
  <c r="JH152" i="2"/>
  <c r="JG152" i="2"/>
  <c r="JF152" i="2"/>
  <c r="JE152" i="2"/>
  <c r="JD152" i="2"/>
  <c r="JC152" i="2"/>
  <c r="JB152" i="2"/>
  <c r="JA152" i="2"/>
  <c r="IZ152" i="2"/>
  <c r="IY152" i="2"/>
  <c r="IX152" i="2"/>
  <c r="IW152" i="2"/>
  <c r="IV152" i="2"/>
  <c r="IU152" i="2"/>
  <c r="IT152" i="2"/>
  <c r="IS152" i="2"/>
  <c r="IR152" i="2"/>
  <c r="IQ152" i="2"/>
  <c r="IP152" i="2"/>
  <c r="IO152" i="2"/>
  <c r="IN152" i="2"/>
  <c r="IM152" i="2"/>
  <c r="IL152" i="2"/>
  <c r="IK152" i="2"/>
  <c r="IJ152" i="2"/>
  <c r="II152" i="2"/>
  <c r="IH152" i="2"/>
  <c r="IG152" i="2"/>
  <c r="IF152" i="2"/>
  <c r="IE152" i="2"/>
  <c r="ID152" i="2"/>
  <c r="IC152" i="2"/>
  <c r="IB152" i="2"/>
  <c r="IA152" i="2"/>
  <c r="HZ152" i="2"/>
  <c r="HY152" i="2"/>
  <c r="HX152" i="2"/>
  <c r="HW152" i="2"/>
  <c r="HV152" i="2"/>
  <c r="HU152" i="2"/>
  <c r="HT152" i="2"/>
  <c r="HS152" i="2"/>
  <c r="HR152" i="2"/>
  <c r="HQ152" i="2"/>
  <c r="HP152" i="2"/>
  <c r="HO152" i="2"/>
  <c r="HN152" i="2"/>
  <c r="HM152" i="2"/>
  <c r="HL152" i="2"/>
  <c r="HK152" i="2"/>
  <c r="HJ152" i="2"/>
  <c r="HI152" i="2"/>
  <c r="HH152" i="2"/>
  <c r="HG152" i="2"/>
  <c r="HF152" i="2"/>
  <c r="HE152" i="2"/>
  <c r="HD152" i="2"/>
  <c r="HC152" i="2"/>
  <c r="HB152" i="2"/>
  <c r="HA152" i="2"/>
  <c r="GZ152" i="2"/>
  <c r="GY152" i="2"/>
  <c r="GX152" i="2"/>
  <c r="GW152" i="2"/>
  <c r="GV152" i="2"/>
  <c r="GU152" i="2"/>
  <c r="GT152" i="2"/>
  <c r="GS152" i="2"/>
  <c r="GR152" i="2"/>
  <c r="GQ152" i="2"/>
  <c r="GP152" i="2"/>
  <c r="GO152" i="2"/>
  <c r="GN152" i="2"/>
  <c r="GM152" i="2"/>
  <c r="GL152" i="2"/>
  <c r="GK152" i="2"/>
  <c r="GJ152" i="2"/>
  <c r="GI152" i="2"/>
  <c r="GH152" i="2"/>
  <c r="GG152" i="2"/>
  <c r="GF152" i="2"/>
  <c r="GE152" i="2"/>
  <c r="GD152" i="2"/>
  <c r="GC152" i="2"/>
  <c r="GB152" i="2"/>
  <c r="GA152" i="2"/>
  <c r="FZ152" i="2"/>
  <c r="FY152" i="2"/>
  <c r="FX152" i="2"/>
  <c r="FW152" i="2"/>
  <c r="FV152" i="2"/>
  <c r="FU152" i="2"/>
  <c r="FT152" i="2"/>
  <c r="FS152" i="2"/>
  <c r="FR152" i="2"/>
  <c r="FQ152" i="2"/>
  <c r="FP152" i="2"/>
  <c r="FO152" i="2"/>
  <c r="FN152" i="2"/>
  <c r="FM152" i="2"/>
  <c r="FL152" i="2"/>
  <c r="FK152" i="2"/>
  <c r="FJ152" i="2"/>
  <c r="FI152" i="2"/>
  <c r="FH152" i="2"/>
  <c r="FG152" i="2"/>
  <c r="FF152" i="2"/>
  <c r="FE152" i="2"/>
  <c r="FD152" i="2"/>
  <c r="FC152" i="2"/>
  <c r="FB152" i="2"/>
  <c r="FA152" i="2"/>
  <c r="EZ152" i="2"/>
  <c r="EY152" i="2"/>
  <c r="EX152" i="2"/>
  <c r="EW152" i="2"/>
  <c r="EV152" i="2"/>
  <c r="EU152" i="2"/>
  <c r="ET152" i="2"/>
  <c r="ES152" i="2"/>
  <c r="ER152" i="2"/>
  <c r="EQ152" i="2"/>
  <c r="EP152" i="2"/>
  <c r="EO152" i="2"/>
  <c r="EN152" i="2"/>
  <c r="EM152" i="2"/>
  <c r="EL152" i="2"/>
  <c r="EK152" i="2"/>
  <c r="EJ152" i="2"/>
  <c r="EI152" i="2"/>
  <c r="EH152" i="2"/>
  <c r="EG152" i="2"/>
  <c r="EF152" i="2"/>
  <c r="EE152" i="2"/>
  <c r="ED152" i="2"/>
  <c r="EC152" i="2"/>
  <c r="EB152" i="2"/>
  <c r="EA152" i="2"/>
  <c r="DZ152" i="2"/>
  <c r="DY152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DG152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A152" i="2"/>
  <c r="PI151" i="2"/>
  <c r="PH151" i="2"/>
  <c r="PG151" i="2"/>
  <c r="PF151" i="2"/>
  <c r="PE151" i="2"/>
  <c r="PD151" i="2"/>
  <c r="PC151" i="2"/>
  <c r="PB151" i="2"/>
  <c r="PA151" i="2"/>
  <c r="OZ151" i="2"/>
  <c r="OY151" i="2"/>
  <c r="OX151" i="2"/>
  <c r="OW151" i="2"/>
  <c r="OV151" i="2"/>
  <c r="OU151" i="2"/>
  <c r="OT151" i="2"/>
  <c r="OS151" i="2"/>
  <c r="OR151" i="2"/>
  <c r="OQ151" i="2"/>
  <c r="OP151" i="2"/>
  <c r="OO151" i="2"/>
  <c r="ON151" i="2"/>
  <c r="OM151" i="2"/>
  <c r="OL151" i="2"/>
  <c r="OK151" i="2"/>
  <c r="OJ151" i="2"/>
  <c r="OI151" i="2"/>
  <c r="OH151" i="2"/>
  <c r="OG151" i="2"/>
  <c r="OF151" i="2"/>
  <c r="OE151" i="2"/>
  <c r="OD151" i="2"/>
  <c r="OC151" i="2"/>
  <c r="OB151" i="2"/>
  <c r="OA151" i="2"/>
  <c r="NZ151" i="2"/>
  <c r="NY151" i="2"/>
  <c r="NX151" i="2"/>
  <c r="NW151" i="2"/>
  <c r="NV151" i="2"/>
  <c r="NU151" i="2"/>
  <c r="NT151" i="2"/>
  <c r="NS151" i="2"/>
  <c r="NR151" i="2"/>
  <c r="NQ151" i="2"/>
  <c r="NP151" i="2"/>
  <c r="NO151" i="2"/>
  <c r="NN151" i="2"/>
  <c r="NM151" i="2"/>
  <c r="NL151" i="2"/>
  <c r="NK151" i="2"/>
  <c r="NJ151" i="2"/>
  <c r="NI151" i="2"/>
  <c r="NH151" i="2"/>
  <c r="NG151" i="2"/>
  <c r="NF151" i="2"/>
  <c r="NE151" i="2"/>
  <c r="ND151" i="2"/>
  <c r="NC151" i="2"/>
  <c r="NB151" i="2"/>
  <c r="NA151" i="2"/>
  <c r="MZ151" i="2"/>
  <c r="MY151" i="2"/>
  <c r="MX151" i="2"/>
  <c r="MW151" i="2"/>
  <c r="MV151" i="2"/>
  <c r="MU151" i="2"/>
  <c r="MT151" i="2"/>
  <c r="MS151" i="2"/>
  <c r="MR151" i="2"/>
  <c r="MQ151" i="2"/>
  <c r="MP151" i="2"/>
  <c r="MO151" i="2"/>
  <c r="MN151" i="2"/>
  <c r="MM151" i="2"/>
  <c r="ML151" i="2"/>
  <c r="MK151" i="2"/>
  <c r="MJ151" i="2"/>
  <c r="MI151" i="2"/>
  <c r="MH151" i="2"/>
  <c r="MG151" i="2"/>
  <c r="MF151" i="2"/>
  <c r="ME151" i="2"/>
  <c r="MD151" i="2"/>
  <c r="MC151" i="2"/>
  <c r="MB151" i="2"/>
  <c r="MA151" i="2"/>
  <c r="LZ151" i="2"/>
  <c r="LY151" i="2"/>
  <c r="LX151" i="2"/>
  <c r="LW151" i="2"/>
  <c r="LV151" i="2"/>
  <c r="LU151" i="2"/>
  <c r="LT151" i="2"/>
  <c r="LS151" i="2"/>
  <c r="LR151" i="2"/>
  <c r="LQ151" i="2"/>
  <c r="LP151" i="2"/>
  <c r="LO151" i="2"/>
  <c r="LN151" i="2"/>
  <c r="LM151" i="2"/>
  <c r="LL151" i="2"/>
  <c r="LK151" i="2"/>
  <c r="LJ151" i="2"/>
  <c r="LI151" i="2"/>
  <c r="LH151" i="2"/>
  <c r="LG151" i="2"/>
  <c r="LF151" i="2"/>
  <c r="LE151" i="2"/>
  <c r="LD151" i="2"/>
  <c r="LC151" i="2"/>
  <c r="LB151" i="2"/>
  <c r="LA151" i="2"/>
  <c r="KZ151" i="2"/>
  <c r="KY151" i="2"/>
  <c r="KX151" i="2"/>
  <c r="KW151" i="2"/>
  <c r="KV151" i="2"/>
  <c r="KU151" i="2"/>
  <c r="KT151" i="2"/>
  <c r="KS151" i="2"/>
  <c r="KR151" i="2"/>
  <c r="KQ151" i="2"/>
  <c r="KP151" i="2"/>
  <c r="KO151" i="2"/>
  <c r="KN151" i="2"/>
  <c r="KM151" i="2"/>
  <c r="KL151" i="2"/>
  <c r="KK151" i="2"/>
  <c r="KJ151" i="2"/>
  <c r="KI151" i="2"/>
  <c r="KH151" i="2"/>
  <c r="KG151" i="2"/>
  <c r="KF151" i="2"/>
  <c r="KE151" i="2"/>
  <c r="KD151" i="2"/>
  <c r="KC151" i="2"/>
  <c r="KB151" i="2"/>
  <c r="KA151" i="2"/>
  <c r="JZ151" i="2"/>
  <c r="JY151" i="2"/>
  <c r="JX151" i="2"/>
  <c r="JW151" i="2"/>
  <c r="JV151" i="2"/>
  <c r="JU151" i="2"/>
  <c r="JT151" i="2"/>
  <c r="JS151" i="2"/>
  <c r="JR151" i="2"/>
  <c r="JQ151" i="2"/>
  <c r="JP151" i="2"/>
  <c r="JO151" i="2"/>
  <c r="JN151" i="2"/>
  <c r="JM151" i="2"/>
  <c r="JL151" i="2"/>
  <c r="JK151" i="2"/>
  <c r="JJ151" i="2"/>
  <c r="JI151" i="2"/>
  <c r="JH151" i="2"/>
  <c r="JG151" i="2"/>
  <c r="JF151" i="2"/>
  <c r="JE151" i="2"/>
  <c r="JD151" i="2"/>
  <c r="JC151" i="2"/>
  <c r="JB151" i="2"/>
  <c r="JA151" i="2"/>
  <c r="IZ151" i="2"/>
  <c r="IY151" i="2"/>
  <c r="IX151" i="2"/>
  <c r="IW151" i="2"/>
  <c r="IV151" i="2"/>
  <c r="IU151" i="2"/>
  <c r="IT151" i="2"/>
  <c r="IS151" i="2"/>
  <c r="IR151" i="2"/>
  <c r="IQ151" i="2"/>
  <c r="IP151" i="2"/>
  <c r="IO151" i="2"/>
  <c r="IN151" i="2"/>
  <c r="IM151" i="2"/>
  <c r="IL151" i="2"/>
  <c r="IK151" i="2"/>
  <c r="IJ151" i="2"/>
  <c r="II151" i="2"/>
  <c r="IH151" i="2"/>
  <c r="IG151" i="2"/>
  <c r="IF151" i="2"/>
  <c r="IE151" i="2"/>
  <c r="ID151" i="2"/>
  <c r="IC151" i="2"/>
  <c r="IB151" i="2"/>
  <c r="IA151" i="2"/>
  <c r="HZ151" i="2"/>
  <c r="HY151" i="2"/>
  <c r="HX151" i="2"/>
  <c r="HW151" i="2"/>
  <c r="HV151" i="2"/>
  <c r="HU151" i="2"/>
  <c r="HT151" i="2"/>
  <c r="HS151" i="2"/>
  <c r="HR151" i="2"/>
  <c r="HQ151" i="2"/>
  <c r="HP151" i="2"/>
  <c r="HO151" i="2"/>
  <c r="HN151" i="2"/>
  <c r="HM151" i="2"/>
  <c r="HL151" i="2"/>
  <c r="HK151" i="2"/>
  <c r="HJ151" i="2"/>
  <c r="HI151" i="2"/>
  <c r="HH151" i="2"/>
  <c r="HG151" i="2"/>
  <c r="HF151" i="2"/>
  <c r="HE151" i="2"/>
  <c r="HD151" i="2"/>
  <c r="HC151" i="2"/>
  <c r="HB151" i="2"/>
  <c r="HA151" i="2"/>
  <c r="GZ151" i="2"/>
  <c r="GY151" i="2"/>
  <c r="GX151" i="2"/>
  <c r="GW151" i="2"/>
  <c r="GV151" i="2"/>
  <c r="GU151" i="2"/>
  <c r="GT151" i="2"/>
  <c r="GS151" i="2"/>
  <c r="GR151" i="2"/>
  <c r="GQ151" i="2"/>
  <c r="GP151" i="2"/>
  <c r="GO151" i="2"/>
  <c r="GN151" i="2"/>
  <c r="GM151" i="2"/>
  <c r="GL151" i="2"/>
  <c r="GK151" i="2"/>
  <c r="GJ151" i="2"/>
  <c r="GI151" i="2"/>
  <c r="GH151" i="2"/>
  <c r="GG151" i="2"/>
  <c r="GF151" i="2"/>
  <c r="GE151" i="2"/>
  <c r="GD151" i="2"/>
  <c r="GC151" i="2"/>
  <c r="GB151" i="2"/>
  <c r="GA151" i="2"/>
  <c r="FZ151" i="2"/>
  <c r="FY151" i="2"/>
  <c r="FX151" i="2"/>
  <c r="FW151" i="2"/>
  <c r="FV151" i="2"/>
  <c r="FU151" i="2"/>
  <c r="FT151" i="2"/>
  <c r="FS151" i="2"/>
  <c r="FR151" i="2"/>
  <c r="FQ151" i="2"/>
  <c r="FP151" i="2"/>
  <c r="FO151" i="2"/>
  <c r="FN151" i="2"/>
  <c r="FM151" i="2"/>
  <c r="FL151" i="2"/>
  <c r="FK151" i="2"/>
  <c r="FJ151" i="2"/>
  <c r="FI151" i="2"/>
  <c r="FH151" i="2"/>
  <c r="FG151" i="2"/>
  <c r="FF151" i="2"/>
  <c r="FE151" i="2"/>
  <c r="FD151" i="2"/>
  <c r="FC151" i="2"/>
  <c r="FB151" i="2"/>
  <c r="FA151" i="2"/>
  <c r="EZ151" i="2"/>
  <c r="EY151" i="2"/>
  <c r="EX151" i="2"/>
  <c r="EW151" i="2"/>
  <c r="EV151" i="2"/>
  <c r="EU151" i="2"/>
  <c r="ET151" i="2"/>
  <c r="ES151" i="2"/>
  <c r="ER151" i="2"/>
  <c r="EQ151" i="2"/>
  <c r="EP151" i="2"/>
  <c r="EO151" i="2"/>
  <c r="EN151" i="2"/>
  <c r="EM151" i="2"/>
  <c r="EL151" i="2"/>
  <c r="EK151" i="2"/>
  <c r="EJ151" i="2"/>
  <c r="EI151" i="2"/>
  <c r="EH151" i="2"/>
  <c r="EG151" i="2"/>
  <c r="EF151" i="2"/>
  <c r="EE151" i="2"/>
  <c r="ED151" i="2"/>
  <c r="EC151" i="2"/>
  <c r="EB151" i="2"/>
  <c r="EA151" i="2"/>
  <c r="DZ151" i="2"/>
  <c r="DY151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151" i="2"/>
  <c r="PI150" i="2"/>
  <c r="PH150" i="2"/>
  <c r="PG150" i="2"/>
  <c r="PF150" i="2"/>
  <c r="PE150" i="2"/>
  <c r="PD150" i="2"/>
  <c r="PC150" i="2"/>
  <c r="PB150" i="2"/>
  <c r="PA150" i="2"/>
  <c r="OZ150" i="2"/>
  <c r="OY150" i="2"/>
  <c r="OX150" i="2"/>
  <c r="OW150" i="2"/>
  <c r="OV150" i="2"/>
  <c r="OU150" i="2"/>
  <c r="OT150" i="2"/>
  <c r="OS150" i="2"/>
  <c r="OR150" i="2"/>
  <c r="OQ150" i="2"/>
  <c r="OP150" i="2"/>
  <c r="OO150" i="2"/>
  <c r="ON150" i="2"/>
  <c r="OM150" i="2"/>
  <c r="OL150" i="2"/>
  <c r="OK150" i="2"/>
  <c r="OJ150" i="2"/>
  <c r="OI150" i="2"/>
  <c r="OH150" i="2"/>
  <c r="OG150" i="2"/>
  <c r="OF150" i="2"/>
  <c r="OE150" i="2"/>
  <c r="OD150" i="2"/>
  <c r="OC150" i="2"/>
  <c r="OB150" i="2"/>
  <c r="OA150" i="2"/>
  <c r="NZ150" i="2"/>
  <c r="NY150" i="2"/>
  <c r="NX150" i="2"/>
  <c r="NW150" i="2"/>
  <c r="NV150" i="2"/>
  <c r="NU150" i="2"/>
  <c r="NT150" i="2"/>
  <c r="NS150" i="2"/>
  <c r="NR150" i="2"/>
  <c r="NQ150" i="2"/>
  <c r="NP150" i="2"/>
  <c r="NO150" i="2"/>
  <c r="NN150" i="2"/>
  <c r="NM150" i="2"/>
  <c r="NL150" i="2"/>
  <c r="NK150" i="2"/>
  <c r="NJ150" i="2"/>
  <c r="NI150" i="2"/>
  <c r="NH150" i="2"/>
  <c r="NG150" i="2"/>
  <c r="NF150" i="2"/>
  <c r="NE150" i="2"/>
  <c r="ND150" i="2"/>
  <c r="NC150" i="2"/>
  <c r="NB150" i="2"/>
  <c r="NA150" i="2"/>
  <c r="MZ150" i="2"/>
  <c r="MY150" i="2"/>
  <c r="MX150" i="2"/>
  <c r="MW150" i="2"/>
  <c r="MV150" i="2"/>
  <c r="MU150" i="2"/>
  <c r="MT150" i="2"/>
  <c r="MS150" i="2"/>
  <c r="MR150" i="2"/>
  <c r="MQ150" i="2"/>
  <c r="MP150" i="2"/>
  <c r="MO150" i="2"/>
  <c r="MN150" i="2"/>
  <c r="MM150" i="2"/>
  <c r="ML150" i="2"/>
  <c r="MK150" i="2"/>
  <c r="MJ150" i="2"/>
  <c r="MI150" i="2"/>
  <c r="MH150" i="2"/>
  <c r="MG150" i="2"/>
  <c r="MF150" i="2"/>
  <c r="ME150" i="2"/>
  <c r="MD150" i="2"/>
  <c r="MC150" i="2"/>
  <c r="MB150" i="2"/>
  <c r="MA150" i="2"/>
  <c r="LZ150" i="2"/>
  <c r="LY150" i="2"/>
  <c r="LX150" i="2"/>
  <c r="LW150" i="2"/>
  <c r="LV150" i="2"/>
  <c r="LU150" i="2"/>
  <c r="LT150" i="2"/>
  <c r="LS150" i="2"/>
  <c r="LR150" i="2"/>
  <c r="LQ150" i="2"/>
  <c r="LP150" i="2"/>
  <c r="LO150" i="2"/>
  <c r="LN150" i="2"/>
  <c r="LM150" i="2"/>
  <c r="LL150" i="2"/>
  <c r="LK150" i="2"/>
  <c r="LJ150" i="2"/>
  <c r="LI150" i="2"/>
  <c r="LH150" i="2"/>
  <c r="LG150" i="2"/>
  <c r="LF150" i="2"/>
  <c r="LE150" i="2"/>
  <c r="LD150" i="2"/>
  <c r="LC150" i="2"/>
  <c r="LB150" i="2"/>
  <c r="LA150" i="2"/>
  <c r="KZ150" i="2"/>
  <c r="KY150" i="2"/>
  <c r="KX150" i="2"/>
  <c r="KW150" i="2"/>
  <c r="KV150" i="2"/>
  <c r="KU150" i="2"/>
  <c r="KT150" i="2"/>
  <c r="KS150" i="2"/>
  <c r="KR150" i="2"/>
  <c r="KQ150" i="2"/>
  <c r="KP150" i="2"/>
  <c r="KO150" i="2"/>
  <c r="KN150" i="2"/>
  <c r="KM150" i="2"/>
  <c r="KL150" i="2"/>
  <c r="KK150" i="2"/>
  <c r="KJ150" i="2"/>
  <c r="KI150" i="2"/>
  <c r="KH150" i="2"/>
  <c r="KG150" i="2"/>
  <c r="KF150" i="2"/>
  <c r="KE150" i="2"/>
  <c r="KD150" i="2"/>
  <c r="KC150" i="2"/>
  <c r="KB150" i="2"/>
  <c r="KA150" i="2"/>
  <c r="JZ150" i="2"/>
  <c r="JY150" i="2"/>
  <c r="JX150" i="2"/>
  <c r="JW150" i="2"/>
  <c r="JV150" i="2"/>
  <c r="JU150" i="2"/>
  <c r="JT150" i="2"/>
  <c r="JS150" i="2"/>
  <c r="JR150" i="2"/>
  <c r="JQ150" i="2"/>
  <c r="JP150" i="2"/>
  <c r="JO150" i="2"/>
  <c r="JN150" i="2"/>
  <c r="JM150" i="2"/>
  <c r="JL150" i="2"/>
  <c r="JK150" i="2"/>
  <c r="JJ150" i="2"/>
  <c r="JI150" i="2"/>
  <c r="JH150" i="2"/>
  <c r="JG150" i="2"/>
  <c r="JF150" i="2"/>
  <c r="JE150" i="2"/>
  <c r="JD150" i="2"/>
  <c r="JC150" i="2"/>
  <c r="JB150" i="2"/>
  <c r="JA150" i="2"/>
  <c r="IZ150" i="2"/>
  <c r="IY150" i="2"/>
  <c r="IX150" i="2"/>
  <c r="IW150" i="2"/>
  <c r="IV150" i="2"/>
  <c r="IU150" i="2"/>
  <c r="IT150" i="2"/>
  <c r="IS150" i="2"/>
  <c r="IR150" i="2"/>
  <c r="IQ150" i="2"/>
  <c r="IP150" i="2"/>
  <c r="IO150" i="2"/>
  <c r="IN150" i="2"/>
  <c r="IM150" i="2"/>
  <c r="IL150" i="2"/>
  <c r="IK150" i="2"/>
  <c r="IJ150" i="2"/>
  <c r="II150" i="2"/>
  <c r="IH150" i="2"/>
  <c r="IG150" i="2"/>
  <c r="IF150" i="2"/>
  <c r="IE150" i="2"/>
  <c r="ID150" i="2"/>
  <c r="IC150" i="2"/>
  <c r="IB150" i="2"/>
  <c r="IA150" i="2"/>
  <c r="HZ150" i="2"/>
  <c r="HY150" i="2"/>
  <c r="HX150" i="2"/>
  <c r="HW150" i="2"/>
  <c r="HV150" i="2"/>
  <c r="HU150" i="2"/>
  <c r="HT150" i="2"/>
  <c r="HS150" i="2"/>
  <c r="HR150" i="2"/>
  <c r="HQ150" i="2"/>
  <c r="HP150" i="2"/>
  <c r="HO150" i="2"/>
  <c r="HN150" i="2"/>
  <c r="HM150" i="2"/>
  <c r="HL150" i="2"/>
  <c r="HK150" i="2"/>
  <c r="HJ150" i="2"/>
  <c r="HI150" i="2"/>
  <c r="HH150" i="2"/>
  <c r="HG150" i="2"/>
  <c r="HF150" i="2"/>
  <c r="HE150" i="2"/>
  <c r="HD150" i="2"/>
  <c r="HC150" i="2"/>
  <c r="HB150" i="2"/>
  <c r="HA150" i="2"/>
  <c r="GZ150" i="2"/>
  <c r="GY150" i="2"/>
  <c r="GX150" i="2"/>
  <c r="GW150" i="2"/>
  <c r="GV150" i="2"/>
  <c r="GU150" i="2"/>
  <c r="GT150" i="2"/>
  <c r="GS150" i="2"/>
  <c r="GR150" i="2"/>
  <c r="GQ150" i="2"/>
  <c r="GP150" i="2"/>
  <c r="GO150" i="2"/>
  <c r="GN150" i="2"/>
  <c r="GM150" i="2"/>
  <c r="GL150" i="2"/>
  <c r="GK150" i="2"/>
  <c r="GJ150" i="2"/>
  <c r="GI150" i="2"/>
  <c r="GH150" i="2"/>
  <c r="GG150" i="2"/>
  <c r="GF150" i="2"/>
  <c r="GE150" i="2"/>
  <c r="GD150" i="2"/>
  <c r="GC150" i="2"/>
  <c r="GB150" i="2"/>
  <c r="GA150" i="2"/>
  <c r="FZ150" i="2"/>
  <c r="FY150" i="2"/>
  <c r="FX150" i="2"/>
  <c r="FW150" i="2"/>
  <c r="FV150" i="2"/>
  <c r="FU150" i="2"/>
  <c r="FT150" i="2"/>
  <c r="FS150" i="2"/>
  <c r="FR150" i="2"/>
  <c r="FQ150" i="2"/>
  <c r="FP150" i="2"/>
  <c r="FO150" i="2"/>
  <c r="FN150" i="2"/>
  <c r="FM150" i="2"/>
  <c r="FL150" i="2"/>
  <c r="FK150" i="2"/>
  <c r="FJ150" i="2"/>
  <c r="FI150" i="2"/>
  <c r="FH150" i="2"/>
  <c r="FG150" i="2"/>
  <c r="FF150" i="2"/>
  <c r="FE150" i="2"/>
  <c r="FD150" i="2"/>
  <c r="FC150" i="2"/>
  <c r="FB150" i="2"/>
  <c r="FA150" i="2"/>
  <c r="EZ150" i="2"/>
  <c r="EY150" i="2"/>
  <c r="EX150" i="2"/>
  <c r="EW150" i="2"/>
  <c r="EV150" i="2"/>
  <c r="EU150" i="2"/>
  <c r="ET150" i="2"/>
  <c r="ES150" i="2"/>
  <c r="ER150" i="2"/>
  <c r="EQ150" i="2"/>
  <c r="EP150" i="2"/>
  <c r="EO150" i="2"/>
  <c r="EN150" i="2"/>
  <c r="EM150" i="2"/>
  <c r="EL150" i="2"/>
  <c r="EK150" i="2"/>
  <c r="EJ150" i="2"/>
  <c r="EI150" i="2"/>
  <c r="EH150" i="2"/>
  <c r="EG150" i="2"/>
  <c r="EF150" i="2"/>
  <c r="EE150" i="2"/>
  <c r="ED150" i="2"/>
  <c r="EC150" i="2"/>
  <c r="EB150" i="2"/>
  <c r="EA150" i="2"/>
  <c r="DZ150" i="2"/>
  <c r="DY150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150" i="2"/>
  <c r="PI149" i="2"/>
  <c r="PH149" i="2"/>
  <c r="PG149" i="2"/>
  <c r="PF149" i="2"/>
  <c r="PE149" i="2"/>
  <c r="PD149" i="2"/>
  <c r="PC149" i="2"/>
  <c r="PB149" i="2"/>
  <c r="PA149" i="2"/>
  <c r="OZ149" i="2"/>
  <c r="OY149" i="2"/>
  <c r="OX149" i="2"/>
  <c r="OW149" i="2"/>
  <c r="OV149" i="2"/>
  <c r="OU149" i="2"/>
  <c r="OT149" i="2"/>
  <c r="OS149" i="2"/>
  <c r="OR149" i="2"/>
  <c r="OQ149" i="2"/>
  <c r="OP149" i="2"/>
  <c r="OO149" i="2"/>
  <c r="ON149" i="2"/>
  <c r="OM149" i="2"/>
  <c r="OL149" i="2"/>
  <c r="OK149" i="2"/>
  <c r="OJ149" i="2"/>
  <c r="OI149" i="2"/>
  <c r="OH149" i="2"/>
  <c r="OG149" i="2"/>
  <c r="OF149" i="2"/>
  <c r="OE149" i="2"/>
  <c r="OD149" i="2"/>
  <c r="OC149" i="2"/>
  <c r="OB149" i="2"/>
  <c r="OA149" i="2"/>
  <c r="NZ149" i="2"/>
  <c r="NY149" i="2"/>
  <c r="NX149" i="2"/>
  <c r="NW149" i="2"/>
  <c r="NV149" i="2"/>
  <c r="NU149" i="2"/>
  <c r="NT149" i="2"/>
  <c r="NS149" i="2"/>
  <c r="NR149" i="2"/>
  <c r="NQ149" i="2"/>
  <c r="NP149" i="2"/>
  <c r="NO149" i="2"/>
  <c r="NN149" i="2"/>
  <c r="NM149" i="2"/>
  <c r="NL149" i="2"/>
  <c r="NK149" i="2"/>
  <c r="NJ149" i="2"/>
  <c r="NI149" i="2"/>
  <c r="NH149" i="2"/>
  <c r="NG149" i="2"/>
  <c r="NF149" i="2"/>
  <c r="NE149" i="2"/>
  <c r="ND149" i="2"/>
  <c r="NC149" i="2"/>
  <c r="NB149" i="2"/>
  <c r="NA149" i="2"/>
  <c r="MZ149" i="2"/>
  <c r="MY149" i="2"/>
  <c r="MX149" i="2"/>
  <c r="MW149" i="2"/>
  <c r="MV149" i="2"/>
  <c r="MU149" i="2"/>
  <c r="MT149" i="2"/>
  <c r="MS149" i="2"/>
  <c r="MR149" i="2"/>
  <c r="MQ149" i="2"/>
  <c r="MP149" i="2"/>
  <c r="MO149" i="2"/>
  <c r="MN149" i="2"/>
  <c r="MM149" i="2"/>
  <c r="ML149" i="2"/>
  <c r="MK149" i="2"/>
  <c r="MJ149" i="2"/>
  <c r="MI149" i="2"/>
  <c r="MH149" i="2"/>
  <c r="MG149" i="2"/>
  <c r="MF149" i="2"/>
  <c r="ME149" i="2"/>
  <c r="MD149" i="2"/>
  <c r="MC149" i="2"/>
  <c r="MB149" i="2"/>
  <c r="MA149" i="2"/>
  <c r="LZ149" i="2"/>
  <c r="LY149" i="2"/>
  <c r="LX149" i="2"/>
  <c r="LW149" i="2"/>
  <c r="LV149" i="2"/>
  <c r="LU149" i="2"/>
  <c r="LT149" i="2"/>
  <c r="LS149" i="2"/>
  <c r="LR149" i="2"/>
  <c r="LQ149" i="2"/>
  <c r="LP149" i="2"/>
  <c r="LO149" i="2"/>
  <c r="LN149" i="2"/>
  <c r="LM149" i="2"/>
  <c r="LL149" i="2"/>
  <c r="LK149" i="2"/>
  <c r="LJ149" i="2"/>
  <c r="LI149" i="2"/>
  <c r="LH149" i="2"/>
  <c r="LG149" i="2"/>
  <c r="LF149" i="2"/>
  <c r="LE149" i="2"/>
  <c r="LD149" i="2"/>
  <c r="LC149" i="2"/>
  <c r="LB149" i="2"/>
  <c r="LA149" i="2"/>
  <c r="KZ149" i="2"/>
  <c r="KY149" i="2"/>
  <c r="KX149" i="2"/>
  <c r="KW149" i="2"/>
  <c r="KV149" i="2"/>
  <c r="KU149" i="2"/>
  <c r="KT149" i="2"/>
  <c r="KS149" i="2"/>
  <c r="KR149" i="2"/>
  <c r="KQ149" i="2"/>
  <c r="KP149" i="2"/>
  <c r="KO149" i="2"/>
  <c r="KN149" i="2"/>
  <c r="KM149" i="2"/>
  <c r="KL149" i="2"/>
  <c r="KK149" i="2"/>
  <c r="KJ149" i="2"/>
  <c r="KI149" i="2"/>
  <c r="KH149" i="2"/>
  <c r="KG149" i="2"/>
  <c r="KF149" i="2"/>
  <c r="KE149" i="2"/>
  <c r="KD149" i="2"/>
  <c r="KC149" i="2"/>
  <c r="KB149" i="2"/>
  <c r="KA149" i="2"/>
  <c r="JZ149" i="2"/>
  <c r="JY149" i="2"/>
  <c r="JX149" i="2"/>
  <c r="JW149" i="2"/>
  <c r="JV149" i="2"/>
  <c r="JU149" i="2"/>
  <c r="JT149" i="2"/>
  <c r="JS149" i="2"/>
  <c r="JR149" i="2"/>
  <c r="JQ149" i="2"/>
  <c r="JP149" i="2"/>
  <c r="JO149" i="2"/>
  <c r="JN149" i="2"/>
  <c r="JM149" i="2"/>
  <c r="JL149" i="2"/>
  <c r="JK149" i="2"/>
  <c r="JJ149" i="2"/>
  <c r="JI149" i="2"/>
  <c r="JH149" i="2"/>
  <c r="JG149" i="2"/>
  <c r="JF149" i="2"/>
  <c r="JE149" i="2"/>
  <c r="JD149" i="2"/>
  <c r="JC149" i="2"/>
  <c r="JB149" i="2"/>
  <c r="JA149" i="2"/>
  <c r="IZ149" i="2"/>
  <c r="IY149" i="2"/>
  <c r="IX149" i="2"/>
  <c r="IW149" i="2"/>
  <c r="IV149" i="2"/>
  <c r="IU149" i="2"/>
  <c r="IT149" i="2"/>
  <c r="IS149" i="2"/>
  <c r="IR149" i="2"/>
  <c r="IQ149" i="2"/>
  <c r="IP149" i="2"/>
  <c r="IO149" i="2"/>
  <c r="IN149" i="2"/>
  <c r="IM149" i="2"/>
  <c r="IL149" i="2"/>
  <c r="IK149" i="2"/>
  <c r="IJ149" i="2"/>
  <c r="II149" i="2"/>
  <c r="IH149" i="2"/>
  <c r="IG149" i="2"/>
  <c r="IF149" i="2"/>
  <c r="IE149" i="2"/>
  <c r="ID149" i="2"/>
  <c r="IC149" i="2"/>
  <c r="IB149" i="2"/>
  <c r="IA149" i="2"/>
  <c r="HZ149" i="2"/>
  <c r="HY149" i="2"/>
  <c r="HX149" i="2"/>
  <c r="HW149" i="2"/>
  <c r="HV149" i="2"/>
  <c r="HU149" i="2"/>
  <c r="HT149" i="2"/>
  <c r="HS149" i="2"/>
  <c r="HR149" i="2"/>
  <c r="HQ149" i="2"/>
  <c r="HP149" i="2"/>
  <c r="HO149" i="2"/>
  <c r="HN149" i="2"/>
  <c r="HM149" i="2"/>
  <c r="HL149" i="2"/>
  <c r="HK149" i="2"/>
  <c r="HJ149" i="2"/>
  <c r="HI149" i="2"/>
  <c r="HH149" i="2"/>
  <c r="HG149" i="2"/>
  <c r="HF149" i="2"/>
  <c r="HE149" i="2"/>
  <c r="HD149" i="2"/>
  <c r="HC149" i="2"/>
  <c r="HB149" i="2"/>
  <c r="HA149" i="2"/>
  <c r="GZ149" i="2"/>
  <c r="GY149" i="2"/>
  <c r="GX149" i="2"/>
  <c r="GW149" i="2"/>
  <c r="GV149" i="2"/>
  <c r="GU149" i="2"/>
  <c r="GT149" i="2"/>
  <c r="GS149" i="2"/>
  <c r="GR149" i="2"/>
  <c r="GQ149" i="2"/>
  <c r="GP149" i="2"/>
  <c r="GO149" i="2"/>
  <c r="GN149" i="2"/>
  <c r="GM149" i="2"/>
  <c r="GL149" i="2"/>
  <c r="GK149" i="2"/>
  <c r="GJ149" i="2"/>
  <c r="GI149" i="2"/>
  <c r="GH149" i="2"/>
  <c r="GG149" i="2"/>
  <c r="GF149" i="2"/>
  <c r="GE149" i="2"/>
  <c r="GD149" i="2"/>
  <c r="GC149" i="2"/>
  <c r="GB149" i="2"/>
  <c r="GA149" i="2"/>
  <c r="FZ149" i="2"/>
  <c r="FY149" i="2"/>
  <c r="FX149" i="2"/>
  <c r="FW149" i="2"/>
  <c r="FV149" i="2"/>
  <c r="FU149" i="2"/>
  <c r="FT149" i="2"/>
  <c r="FS149" i="2"/>
  <c r="FR149" i="2"/>
  <c r="FQ149" i="2"/>
  <c r="FP149" i="2"/>
  <c r="FO149" i="2"/>
  <c r="FN149" i="2"/>
  <c r="FM149" i="2"/>
  <c r="FL149" i="2"/>
  <c r="FK149" i="2"/>
  <c r="FJ149" i="2"/>
  <c r="FI149" i="2"/>
  <c r="FH149" i="2"/>
  <c r="FG149" i="2"/>
  <c r="FF149" i="2"/>
  <c r="FE149" i="2"/>
  <c r="FD149" i="2"/>
  <c r="FC149" i="2"/>
  <c r="FB149" i="2"/>
  <c r="FA149" i="2"/>
  <c r="EZ149" i="2"/>
  <c r="EY149" i="2"/>
  <c r="EX149" i="2"/>
  <c r="EW149" i="2"/>
  <c r="EV149" i="2"/>
  <c r="EU149" i="2"/>
  <c r="ET149" i="2"/>
  <c r="ES149" i="2"/>
  <c r="ER149" i="2"/>
  <c r="EQ149" i="2"/>
  <c r="EP149" i="2"/>
  <c r="EO149" i="2"/>
  <c r="EN149" i="2"/>
  <c r="EM149" i="2"/>
  <c r="EL149" i="2"/>
  <c r="EK149" i="2"/>
  <c r="EJ149" i="2"/>
  <c r="EI149" i="2"/>
  <c r="EH149" i="2"/>
  <c r="EG149" i="2"/>
  <c r="EF149" i="2"/>
  <c r="EE149" i="2"/>
  <c r="ED149" i="2"/>
  <c r="EC149" i="2"/>
  <c r="EB149" i="2"/>
  <c r="EA149" i="2"/>
  <c r="DZ149" i="2"/>
  <c r="DY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A149" i="2"/>
  <c r="PI148" i="2"/>
  <c r="PH148" i="2"/>
  <c r="PG148" i="2"/>
  <c r="PF148" i="2"/>
  <c r="PE148" i="2"/>
  <c r="PD148" i="2"/>
  <c r="PC148" i="2"/>
  <c r="PB148" i="2"/>
  <c r="PA148" i="2"/>
  <c r="OZ148" i="2"/>
  <c r="OY148" i="2"/>
  <c r="OX148" i="2"/>
  <c r="OW148" i="2"/>
  <c r="OV148" i="2"/>
  <c r="OU148" i="2"/>
  <c r="OT148" i="2"/>
  <c r="OS148" i="2"/>
  <c r="OR148" i="2"/>
  <c r="OQ148" i="2"/>
  <c r="OP148" i="2"/>
  <c r="OO148" i="2"/>
  <c r="ON148" i="2"/>
  <c r="OM148" i="2"/>
  <c r="OL148" i="2"/>
  <c r="OK148" i="2"/>
  <c r="OJ148" i="2"/>
  <c r="OI148" i="2"/>
  <c r="OH148" i="2"/>
  <c r="OG148" i="2"/>
  <c r="OF148" i="2"/>
  <c r="OE148" i="2"/>
  <c r="OD148" i="2"/>
  <c r="OC148" i="2"/>
  <c r="OB148" i="2"/>
  <c r="OA148" i="2"/>
  <c r="NZ148" i="2"/>
  <c r="NY148" i="2"/>
  <c r="NX148" i="2"/>
  <c r="NW148" i="2"/>
  <c r="NV148" i="2"/>
  <c r="NU148" i="2"/>
  <c r="NT148" i="2"/>
  <c r="NS148" i="2"/>
  <c r="NR148" i="2"/>
  <c r="NQ148" i="2"/>
  <c r="NP148" i="2"/>
  <c r="NO148" i="2"/>
  <c r="NN148" i="2"/>
  <c r="NM148" i="2"/>
  <c r="NL148" i="2"/>
  <c r="NK148" i="2"/>
  <c r="NJ148" i="2"/>
  <c r="NI148" i="2"/>
  <c r="NH148" i="2"/>
  <c r="NG148" i="2"/>
  <c r="NF148" i="2"/>
  <c r="NE148" i="2"/>
  <c r="ND148" i="2"/>
  <c r="NC148" i="2"/>
  <c r="NB148" i="2"/>
  <c r="NA148" i="2"/>
  <c r="MZ148" i="2"/>
  <c r="MY148" i="2"/>
  <c r="MX148" i="2"/>
  <c r="MW148" i="2"/>
  <c r="MV148" i="2"/>
  <c r="MU148" i="2"/>
  <c r="MT148" i="2"/>
  <c r="MS148" i="2"/>
  <c r="MR148" i="2"/>
  <c r="MQ148" i="2"/>
  <c r="MP148" i="2"/>
  <c r="MO148" i="2"/>
  <c r="MN148" i="2"/>
  <c r="MM148" i="2"/>
  <c r="ML148" i="2"/>
  <c r="MK148" i="2"/>
  <c r="MJ148" i="2"/>
  <c r="MI148" i="2"/>
  <c r="MH148" i="2"/>
  <c r="MG148" i="2"/>
  <c r="MF148" i="2"/>
  <c r="ME148" i="2"/>
  <c r="MD148" i="2"/>
  <c r="MC148" i="2"/>
  <c r="MB148" i="2"/>
  <c r="MA148" i="2"/>
  <c r="LZ148" i="2"/>
  <c r="LY148" i="2"/>
  <c r="LX148" i="2"/>
  <c r="LW148" i="2"/>
  <c r="LV148" i="2"/>
  <c r="LU148" i="2"/>
  <c r="LT148" i="2"/>
  <c r="LS148" i="2"/>
  <c r="LR148" i="2"/>
  <c r="LQ148" i="2"/>
  <c r="LP148" i="2"/>
  <c r="LO148" i="2"/>
  <c r="LN148" i="2"/>
  <c r="LM148" i="2"/>
  <c r="LL148" i="2"/>
  <c r="LK148" i="2"/>
  <c r="LJ148" i="2"/>
  <c r="LI148" i="2"/>
  <c r="LH148" i="2"/>
  <c r="LG148" i="2"/>
  <c r="LF148" i="2"/>
  <c r="LE148" i="2"/>
  <c r="LD148" i="2"/>
  <c r="LC148" i="2"/>
  <c r="LB148" i="2"/>
  <c r="LA148" i="2"/>
  <c r="KZ148" i="2"/>
  <c r="KY148" i="2"/>
  <c r="KX148" i="2"/>
  <c r="KW148" i="2"/>
  <c r="KV148" i="2"/>
  <c r="KU148" i="2"/>
  <c r="KT148" i="2"/>
  <c r="KS148" i="2"/>
  <c r="KR148" i="2"/>
  <c r="KQ148" i="2"/>
  <c r="KP148" i="2"/>
  <c r="KO148" i="2"/>
  <c r="KN148" i="2"/>
  <c r="KM148" i="2"/>
  <c r="KL148" i="2"/>
  <c r="KK148" i="2"/>
  <c r="KJ148" i="2"/>
  <c r="KI148" i="2"/>
  <c r="KH148" i="2"/>
  <c r="KG148" i="2"/>
  <c r="KF148" i="2"/>
  <c r="KE148" i="2"/>
  <c r="KD148" i="2"/>
  <c r="KC148" i="2"/>
  <c r="KB148" i="2"/>
  <c r="KA148" i="2"/>
  <c r="JZ148" i="2"/>
  <c r="JY148" i="2"/>
  <c r="JX148" i="2"/>
  <c r="JW148" i="2"/>
  <c r="JV148" i="2"/>
  <c r="JU148" i="2"/>
  <c r="JT148" i="2"/>
  <c r="JS148" i="2"/>
  <c r="JR148" i="2"/>
  <c r="JQ148" i="2"/>
  <c r="JP148" i="2"/>
  <c r="JO148" i="2"/>
  <c r="JN148" i="2"/>
  <c r="JM148" i="2"/>
  <c r="JL148" i="2"/>
  <c r="JK148" i="2"/>
  <c r="JJ148" i="2"/>
  <c r="JI148" i="2"/>
  <c r="JH148" i="2"/>
  <c r="JG148" i="2"/>
  <c r="JF148" i="2"/>
  <c r="JE148" i="2"/>
  <c r="JD148" i="2"/>
  <c r="JC148" i="2"/>
  <c r="JB148" i="2"/>
  <c r="JA148" i="2"/>
  <c r="IZ148" i="2"/>
  <c r="IY148" i="2"/>
  <c r="IX148" i="2"/>
  <c r="IW148" i="2"/>
  <c r="IV148" i="2"/>
  <c r="IU148" i="2"/>
  <c r="IT148" i="2"/>
  <c r="IS148" i="2"/>
  <c r="IR148" i="2"/>
  <c r="IQ148" i="2"/>
  <c r="IP148" i="2"/>
  <c r="IO148" i="2"/>
  <c r="IN148" i="2"/>
  <c r="IM148" i="2"/>
  <c r="IL148" i="2"/>
  <c r="IK148" i="2"/>
  <c r="IJ148" i="2"/>
  <c r="II148" i="2"/>
  <c r="IH148" i="2"/>
  <c r="IG148" i="2"/>
  <c r="IF148" i="2"/>
  <c r="IE148" i="2"/>
  <c r="ID148" i="2"/>
  <c r="IC148" i="2"/>
  <c r="IB148" i="2"/>
  <c r="IA148" i="2"/>
  <c r="HZ148" i="2"/>
  <c r="HY148" i="2"/>
  <c r="HX148" i="2"/>
  <c r="HW148" i="2"/>
  <c r="HV148" i="2"/>
  <c r="HU148" i="2"/>
  <c r="HT148" i="2"/>
  <c r="HS148" i="2"/>
  <c r="HR148" i="2"/>
  <c r="HQ148" i="2"/>
  <c r="HP148" i="2"/>
  <c r="HO148" i="2"/>
  <c r="HN148" i="2"/>
  <c r="HM148" i="2"/>
  <c r="HL148" i="2"/>
  <c r="HK148" i="2"/>
  <c r="HJ148" i="2"/>
  <c r="HI148" i="2"/>
  <c r="HH148" i="2"/>
  <c r="HG148" i="2"/>
  <c r="HF148" i="2"/>
  <c r="HE148" i="2"/>
  <c r="HD148" i="2"/>
  <c r="HC148" i="2"/>
  <c r="HB148" i="2"/>
  <c r="HA148" i="2"/>
  <c r="GZ148" i="2"/>
  <c r="GY148" i="2"/>
  <c r="GX148" i="2"/>
  <c r="GW148" i="2"/>
  <c r="GV148" i="2"/>
  <c r="GU148" i="2"/>
  <c r="GT148" i="2"/>
  <c r="GS148" i="2"/>
  <c r="GR148" i="2"/>
  <c r="GQ148" i="2"/>
  <c r="GP148" i="2"/>
  <c r="GO148" i="2"/>
  <c r="GN148" i="2"/>
  <c r="GM148" i="2"/>
  <c r="GL148" i="2"/>
  <c r="GK148" i="2"/>
  <c r="GJ148" i="2"/>
  <c r="GI148" i="2"/>
  <c r="GH148" i="2"/>
  <c r="GG148" i="2"/>
  <c r="GF148" i="2"/>
  <c r="GE148" i="2"/>
  <c r="GD148" i="2"/>
  <c r="GC148" i="2"/>
  <c r="GB148" i="2"/>
  <c r="GA148" i="2"/>
  <c r="FZ148" i="2"/>
  <c r="FY148" i="2"/>
  <c r="FX148" i="2"/>
  <c r="FW148" i="2"/>
  <c r="FV148" i="2"/>
  <c r="FU148" i="2"/>
  <c r="FT148" i="2"/>
  <c r="FS148" i="2"/>
  <c r="FR148" i="2"/>
  <c r="FQ148" i="2"/>
  <c r="FP148" i="2"/>
  <c r="FO148" i="2"/>
  <c r="FN148" i="2"/>
  <c r="FM148" i="2"/>
  <c r="FL148" i="2"/>
  <c r="FK148" i="2"/>
  <c r="FJ148" i="2"/>
  <c r="FI148" i="2"/>
  <c r="FH148" i="2"/>
  <c r="FG148" i="2"/>
  <c r="FF148" i="2"/>
  <c r="FE148" i="2"/>
  <c r="FD148" i="2"/>
  <c r="FC148" i="2"/>
  <c r="FB148" i="2"/>
  <c r="FA148" i="2"/>
  <c r="EZ148" i="2"/>
  <c r="EY148" i="2"/>
  <c r="EX148" i="2"/>
  <c r="EW148" i="2"/>
  <c r="EV148" i="2"/>
  <c r="EU148" i="2"/>
  <c r="ET148" i="2"/>
  <c r="ES148" i="2"/>
  <c r="ER148" i="2"/>
  <c r="EQ148" i="2"/>
  <c r="EP148" i="2"/>
  <c r="EO148" i="2"/>
  <c r="EN148" i="2"/>
  <c r="EM148" i="2"/>
  <c r="EL148" i="2"/>
  <c r="EK148" i="2"/>
  <c r="EJ148" i="2"/>
  <c r="EI148" i="2"/>
  <c r="EH148" i="2"/>
  <c r="EG148" i="2"/>
  <c r="EF148" i="2"/>
  <c r="EE148" i="2"/>
  <c r="ED148" i="2"/>
  <c r="EC148" i="2"/>
  <c r="EB148" i="2"/>
  <c r="EA148" i="2"/>
  <c r="DZ148" i="2"/>
  <c r="DY148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DG148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CS148" i="2"/>
  <c r="CR148" i="2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A148" i="2"/>
  <c r="PI147" i="2"/>
  <c r="PH147" i="2"/>
  <c r="PG147" i="2"/>
  <c r="PF147" i="2"/>
  <c r="PE147" i="2"/>
  <c r="PD147" i="2"/>
  <c r="PC147" i="2"/>
  <c r="PB147" i="2"/>
  <c r="PA147" i="2"/>
  <c r="OZ147" i="2"/>
  <c r="OY147" i="2"/>
  <c r="OX147" i="2"/>
  <c r="OW147" i="2"/>
  <c r="OV147" i="2"/>
  <c r="OU147" i="2"/>
  <c r="OT147" i="2"/>
  <c r="OS147" i="2"/>
  <c r="OR147" i="2"/>
  <c r="OQ147" i="2"/>
  <c r="OP147" i="2"/>
  <c r="OO147" i="2"/>
  <c r="ON147" i="2"/>
  <c r="OM147" i="2"/>
  <c r="OL147" i="2"/>
  <c r="OK147" i="2"/>
  <c r="OJ147" i="2"/>
  <c r="OI147" i="2"/>
  <c r="OH147" i="2"/>
  <c r="OG147" i="2"/>
  <c r="OF147" i="2"/>
  <c r="OE147" i="2"/>
  <c r="OD147" i="2"/>
  <c r="OC147" i="2"/>
  <c r="OB147" i="2"/>
  <c r="OA147" i="2"/>
  <c r="NZ147" i="2"/>
  <c r="NY147" i="2"/>
  <c r="NX147" i="2"/>
  <c r="NW147" i="2"/>
  <c r="NV147" i="2"/>
  <c r="NU147" i="2"/>
  <c r="NT147" i="2"/>
  <c r="NS147" i="2"/>
  <c r="NR147" i="2"/>
  <c r="NQ147" i="2"/>
  <c r="NP147" i="2"/>
  <c r="NO147" i="2"/>
  <c r="NN147" i="2"/>
  <c r="NM147" i="2"/>
  <c r="NL147" i="2"/>
  <c r="NK147" i="2"/>
  <c r="NJ147" i="2"/>
  <c r="NI147" i="2"/>
  <c r="NH147" i="2"/>
  <c r="NG147" i="2"/>
  <c r="NF147" i="2"/>
  <c r="NE147" i="2"/>
  <c r="ND147" i="2"/>
  <c r="NC147" i="2"/>
  <c r="NB147" i="2"/>
  <c r="NA147" i="2"/>
  <c r="MZ147" i="2"/>
  <c r="MY147" i="2"/>
  <c r="MX147" i="2"/>
  <c r="MW147" i="2"/>
  <c r="MV147" i="2"/>
  <c r="MU147" i="2"/>
  <c r="MT147" i="2"/>
  <c r="MS147" i="2"/>
  <c r="MR147" i="2"/>
  <c r="MQ147" i="2"/>
  <c r="MP147" i="2"/>
  <c r="MO147" i="2"/>
  <c r="MN147" i="2"/>
  <c r="MM147" i="2"/>
  <c r="ML147" i="2"/>
  <c r="MK147" i="2"/>
  <c r="MJ147" i="2"/>
  <c r="MI147" i="2"/>
  <c r="MH147" i="2"/>
  <c r="MG147" i="2"/>
  <c r="MF147" i="2"/>
  <c r="ME147" i="2"/>
  <c r="MD147" i="2"/>
  <c r="MC147" i="2"/>
  <c r="MB147" i="2"/>
  <c r="MA147" i="2"/>
  <c r="LZ147" i="2"/>
  <c r="LY147" i="2"/>
  <c r="LX147" i="2"/>
  <c r="LW147" i="2"/>
  <c r="LV147" i="2"/>
  <c r="LU147" i="2"/>
  <c r="LT147" i="2"/>
  <c r="LS147" i="2"/>
  <c r="LR147" i="2"/>
  <c r="LQ147" i="2"/>
  <c r="LP147" i="2"/>
  <c r="LO147" i="2"/>
  <c r="LN147" i="2"/>
  <c r="LM147" i="2"/>
  <c r="LL147" i="2"/>
  <c r="LK147" i="2"/>
  <c r="LJ147" i="2"/>
  <c r="LI147" i="2"/>
  <c r="LH147" i="2"/>
  <c r="LG147" i="2"/>
  <c r="LF147" i="2"/>
  <c r="LE147" i="2"/>
  <c r="LD147" i="2"/>
  <c r="LC147" i="2"/>
  <c r="LB147" i="2"/>
  <c r="LA147" i="2"/>
  <c r="KZ147" i="2"/>
  <c r="KY147" i="2"/>
  <c r="KX147" i="2"/>
  <c r="KW147" i="2"/>
  <c r="KV147" i="2"/>
  <c r="KU147" i="2"/>
  <c r="KT147" i="2"/>
  <c r="KS147" i="2"/>
  <c r="KR147" i="2"/>
  <c r="KQ147" i="2"/>
  <c r="KP147" i="2"/>
  <c r="KO147" i="2"/>
  <c r="KN147" i="2"/>
  <c r="KM147" i="2"/>
  <c r="KL147" i="2"/>
  <c r="KK147" i="2"/>
  <c r="KJ147" i="2"/>
  <c r="KI147" i="2"/>
  <c r="KH147" i="2"/>
  <c r="KG147" i="2"/>
  <c r="KF147" i="2"/>
  <c r="KE147" i="2"/>
  <c r="KD147" i="2"/>
  <c r="KC147" i="2"/>
  <c r="KB147" i="2"/>
  <c r="KA147" i="2"/>
  <c r="JZ147" i="2"/>
  <c r="JY147" i="2"/>
  <c r="JX147" i="2"/>
  <c r="JW147" i="2"/>
  <c r="JV147" i="2"/>
  <c r="JU147" i="2"/>
  <c r="JT147" i="2"/>
  <c r="JS147" i="2"/>
  <c r="JR147" i="2"/>
  <c r="JQ147" i="2"/>
  <c r="JP147" i="2"/>
  <c r="JO147" i="2"/>
  <c r="JN147" i="2"/>
  <c r="JM147" i="2"/>
  <c r="JL147" i="2"/>
  <c r="JK147" i="2"/>
  <c r="JJ147" i="2"/>
  <c r="JI147" i="2"/>
  <c r="JH147" i="2"/>
  <c r="JG147" i="2"/>
  <c r="JF147" i="2"/>
  <c r="JE147" i="2"/>
  <c r="JD147" i="2"/>
  <c r="JC147" i="2"/>
  <c r="JB147" i="2"/>
  <c r="JA147" i="2"/>
  <c r="IZ147" i="2"/>
  <c r="IY147" i="2"/>
  <c r="IX147" i="2"/>
  <c r="IW147" i="2"/>
  <c r="IV147" i="2"/>
  <c r="IU147" i="2"/>
  <c r="IT147" i="2"/>
  <c r="IS147" i="2"/>
  <c r="IR147" i="2"/>
  <c r="IQ147" i="2"/>
  <c r="IP147" i="2"/>
  <c r="IO147" i="2"/>
  <c r="IN147" i="2"/>
  <c r="IM147" i="2"/>
  <c r="IL147" i="2"/>
  <c r="IK147" i="2"/>
  <c r="IJ147" i="2"/>
  <c r="II147" i="2"/>
  <c r="IH147" i="2"/>
  <c r="IG147" i="2"/>
  <c r="IF147" i="2"/>
  <c r="IE147" i="2"/>
  <c r="ID147" i="2"/>
  <c r="IC147" i="2"/>
  <c r="IB147" i="2"/>
  <c r="IA147" i="2"/>
  <c r="HZ147" i="2"/>
  <c r="HY147" i="2"/>
  <c r="HX147" i="2"/>
  <c r="HW147" i="2"/>
  <c r="HV147" i="2"/>
  <c r="HU147" i="2"/>
  <c r="HT147" i="2"/>
  <c r="HS147" i="2"/>
  <c r="HR147" i="2"/>
  <c r="HQ147" i="2"/>
  <c r="HP147" i="2"/>
  <c r="HO147" i="2"/>
  <c r="HN147" i="2"/>
  <c r="HM147" i="2"/>
  <c r="HL147" i="2"/>
  <c r="HK147" i="2"/>
  <c r="HJ147" i="2"/>
  <c r="HI147" i="2"/>
  <c r="HH147" i="2"/>
  <c r="HG147" i="2"/>
  <c r="HF147" i="2"/>
  <c r="HE147" i="2"/>
  <c r="HD147" i="2"/>
  <c r="HC147" i="2"/>
  <c r="HB147" i="2"/>
  <c r="HA147" i="2"/>
  <c r="GZ147" i="2"/>
  <c r="GY147" i="2"/>
  <c r="GX147" i="2"/>
  <c r="GW147" i="2"/>
  <c r="GV147" i="2"/>
  <c r="GU147" i="2"/>
  <c r="GT147" i="2"/>
  <c r="GS147" i="2"/>
  <c r="GR147" i="2"/>
  <c r="GQ147" i="2"/>
  <c r="GP147" i="2"/>
  <c r="GO147" i="2"/>
  <c r="GN147" i="2"/>
  <c r="GM147" i="2"/>
  <c r="GL147" i="2"/>
  <c r="GK147" i="2"/>
  <c r="GJ147" i="2"/>
  <c r="GI147" i="2"/>
  <c r="GH147" i="2"/>
  <c r="GG147" i="2"/>
  <c r="GF147" i="2"/>
  <c r="GE147" i="2"/>
  <c r="GD147" i="2"/>
  <c r="GC147" i="2"/>
  <c r="GB147" i="2"/>
  <c r="GA147" i="2"/>
  <c r="FZ147" i="2"/>
  <c r="FY147" i="2"/>
  <c r="FX147" i="2"/>
  <c r="FW147" i="2"/>
  <c r="FV147" i="2"/>
  <c r="FU147" i="2"/>
  <c r="FT147" i="2"/>
  <c r="FS147" i="2"/>
  <c r="FR147" i="2"/>
  <c r="FQ147" i="2"/>
  <c r="FP147" i="2"/>
  <c r="FO147" i="2"/>
  <c r="FN147" i="2"/>
  <c r="FM147" i="2"/>
  <c r="FL147" i="2"/>
  <c r="FK147" i="2"/>
  <c r="FJ147" i="2"/>
  <c r="FI147" i="2"/>
  <c r="FH147" i="2"/>
  <c r="FG147" i="2"/>
  <c r="FF147" i="2"/>
  <c r="FE147" i="2"/>
  <c r="FD147" i="2"/>
  <c r="FC147" i="2"/>
  <c r="FB147" i="2"/>
  <c r="FA147" i="2"/>
  <c r="EZ147" i="2"/>
  <c r="EY147" i="2"/>
  <c r="EX147" i="2"/>
  <c r="EW147" i="2"/>
  <c r="EV147" i="2"/>
  <c r="EU147" i="2"/>
  <c r="ET147" i="2"/>
  <c r="ES147" i="2"/>
  <c r="ER147" i="2"/>
  <c r="EQ147" i="2"/>
  <c r="EP147" i="2"/>
  <c r="EO147" i="2"/>
  <c r="EN147" i="2"/>
  <c r="EM147" i="2"/>
  <c r="EL147" i="2"/>
  <c r="EK147" i="2"/>
  <c r="EJ147" i="2"/>
  <c r="EI147" i="2"/>
  <c r="EH147" i="2"/>
  <c r="EG147" i="2"/>
  <c r="EF147" i="2"/>
  <c r="EE147" i="2"/>
  <c r="ED147" i="2"/>
  <c r="EC147" i="2"/>
  <c r="EB147" i="2"/>
  <c r="EA147" i="2"/>
  <c r="DZ147" i="2"/>
  <c r="DY147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DG147" i="2"/>
  <c r="DF147" i="2"/>
  <c r="DE147" i="2"/>
  <c r="DD147" i="2"/>
  <c r="DC147" i="2"/>
  <c r="DB147" i="2"/>
  <c r="DA147" i="2"/>
  <c r="CZ147" i="2"/>
  <c r="CY147" i="2"/>
  <c r="CX147" i="2"/>
  <c r="CW147" i="2"/>
  <c r="CV147" i="2"/>
  <c r="CU147" i="2"/>
  <c r="CT147" i="2"/>
  <c r="CS147" i="2"/>
  <c r="CR147" i="2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147" i="2"/>
  <c r="PI146" i="2"/>
  <c r="PH146" i="2"/>
  <c r="PG146" i="2"/>
  <c r="PF146" i="2"/>
  <c r="PE146" i="2"/>
  <c r="PD146" i="2"/>
  <c r="PC146" i="2"/>
  <c r="PB146" i="2"/>
  <c r="PA146" i="2"/>
  <c r="OZ146" i="2"/>
  <c r="OY146" i="2"/>
  <c r="OX146" i="2"/>
  <c r="OW146" i="2"/>
  <c r="OV146" i="2"/>
  <c r="OU146" i="2"/>
  <c r="OT146" i="2"/>
  <c r="OS146" i="2"/>
  <c r="OR146" i="2"/>
  <c r="OQ146" i="2"/>
  <c r="OP146" i="2"/>
  <c r="OO146" i="2"/>
  <c r="ON146" i="2"/>
  <c r="OM146" i="2"/>
  <c r="OL146" i="2"/>
  <c r="OK146" i="2"/>
  <c r="OJ146" i="2"/>
  <c r="OI146" i="2"/>
  <c r="OH146" i="2"/>
  <c r="OG146" i="2"/>
  <c r="OF146" i="2"/>
  <c r="OE146" i="2"/>
  <c r="OD146" i="2"/>
  <c r="OC146" i="2"/>
  <c r="OB146" i="2"/>
  <c r="OA146" i="2"/>
  <c r="NZ146" i="2"/>
  <c r="NY146" i="2"/>
  <c r="NX146" i="2"/>
  <c r="NW146" i="2"/>
  <c r="NV146" i="2"/>
  <c r="NU146" i="2"/>
  <c r="NT146" i="2"/>
  <c r="NS146" i="2"/>
  <c r="NR146" i="2"/>
  <c r="NQ146" i="2"/>
  <c r="NP146" i="2"/>
  <c r="NO146" i="2"/>
  <c r="NN146" i="2"/>
  <c r="NM146" i="2"/>
  <c r="NL146" i="2"/>
  <c r="NK146" i="2"/>
  <c r="NJ146" i="2"/>
  <c r="NI146" i="2"/>
  <c r="NH146" i="2"/>
  <c r="NG146" i="2"/>
  <c r="NF146" i="2"/>
  <c r="NE146" i="2"/>
  <c r="ND146" i="2"/>
  <c r="NC146" i="2"/>
  <c r="NB146" i="2"/>
  <c r="NA146" i="2"/>
  <c r="MZ146" i="2"/>
  <c r="MY146" i="2"/>
  <c r="MX146" i="2"/>
  <c r="MW146" i="2"/>
  <c r="MV146" i="2"/>
  <c r="MU146" i="2"/>
  <c r="MT146" i="2"/>
  <c r="MS146" i="2"/>
  <c r="MR146" i="2"/>
  <c r="MQ146" i="2"/>
  <c r="MP146" i="2"/>
  <c r="MO146" i="2"/>
  <c r="MN146" i="2"/>
  <c r="MM146" i="2"/>
  <c r="ML146" i="2"/>
  <c r="MK146" i="2"/>
  <c r="MJ146" i="2"/>
  <c r="MI146" i="2"/>
  <c r="MH146" i="2"/>
  <c r="MG146" i="2"/>
  <c r="MF146" i="2"/>
  <c r="ME146" i="2"/>
  <c r="MD146" i="2"/>
  <c r="MC146" i="2"/>
  <c r="MB146" i="2"/>
  <c r="MA146" i="2"/>
  <c r="LZ146" i="2"/>
  <c r="LY146" i="2"/>
  <c r="LX146" i="2"/>
  <c r="LW146" i="2"/>
  <c r="LV146" i="2"/>
  <c r="LU146" i="2"/>
  <c r="LT146" i="2"/>
  <c r="LS146" i="2"/>
  <c r="LR146" i="2"/>
  <c r="LQ146" i="2"/>
  <c r="LP146" i="2"/>
  <c r="LO146" i="2"/>
  <c r="LN146" i="2"/>
  <c r="LM146" i="2"/>
  <c r="LL146" i="2"/>
  <c r="LK146" i="2"/>
  <c r="LJ146" i="2"/>
  <c r="LI146" i="2"/>
  <c r="LH146" i="2"/>
  <c r="LG146" i="2"/>
  <c r="LF146" i="2"/>
  <c r="LE146" i="2"/>
  <c r="LD146" i="2"/>
  <c r="LC146" i="2"/>
  <c r="LB146" i="2"/>
  <c r="LA146" i="2"/>
  <c r="KZ146" i="2"/>
  <c r="KY146" i="2"/>
  <c r="KX146" i="2"/>
  <c r="KW146" i="2"/>
  <c r="KV146" i="2"/>
  <c r="KU146" i="2"/>
  <c r="KT146" i="2"/>
  <c r="KS146" i="2"/>
  <c r="KR146" i="2"/>
  <c r="KQ146" i="2"/>
  <c r="KP146" i="2"/>
  <c r="KO146" i="2"/>
  <c r="KN146" i="2"/>
  <c r="KM146" i="2"/>
  <c r="KL146" i="2"/>
  <c r="KK146" i="2"/>
  <c r="KJ146" i="2"/>
  <c r="KI146" i="2"/>
  <c r="KH146" i="2"/>
  <c r="KG146" i="2"/>
  <c r="KF146" i="2"/>
  <c r="KE146" i="2"/>
  <c r="KD146" i="2"/>
  <c r="KC146" i="2"/>
  <c r="KB146" i="2"/>
  <c r="KA146" i="2"/>
  <c r="JZ146" i="2"/>
  <c r="JY146" i="2"/>
  <c r="JX146" i="2"/>
  <c r="JW146" i="2"/>
  <c r="JV146" i="2"/>
  <c r="JU146" i="2"/>
  <c r="JT146" i="2"/>
  <c r="JS146" i="2"/>
  <c r="JR146" i="2"/>
  <c r="JQ146" i="2"/>
  <c r="JP146" i="2"/>
  <c r="JO146" i="2"/>
  <c r="JN146" i="2"/>
  <c r="JM146" i="2"/>
  <c r="JL146" i="2"/>
  <c r="JK146" i="2"/>
  <c r="JJ146" i="2"/>
  <c r="JI146" i="2"/>
  <c r="JH146" i="2"/>
  <c r="JG146" i="2"/>
  <c r="JF146" i="2"/>
  <c r="JE146" i="2"/>
  <c r="JD146" i="2"/>
  <c r="JC146" i="2"/>
  <c r="JB146" i="2"/>
  <c r="JA146" i="2"/>
  <c r="IZ146" i="2"/>
  <c r="IY146" i="2"/>
  <c r="IX146" i="2"/>
  <c r="IW146" i="2"/>
  <c r="IV146" i="2"/>
  <c r="IU146" i="2"/>
  <c r="IT146" i="2"/>
  <c r="IS146" i="2"/>
  <c r="IR146" i="2"/>
  <c r="IQ146" i="2"/>
  <c r="IP146" i="2"/>
  <c r="IO146" i="2"/>
  <c r="IN146" i="2"/>
  <c r="IM146" i="2"/>
  <c r="IL146" i="2"/>
  <c r="IK146" i="2"/>
  <c r="IJ146" i="2"/>
  <c r="II146" i="2"/>
  <c r="IH146" i="2"/>
  <c r="IG146" i="2"/>
  <c r="IF146" i="2"/>
  <c r="IE146" i="2"/>
  <c r="ID146" i="2"/>
  <c r="IC146" i="2"/>
  <c r="IB146" i="2"/>
  <c r="IA146" i="2"/>
  <c r="HZ146" i="2"/>
  <c r="HY146" i="2"/>
  <c r="HX146" i="2"/>
  <c r="HW146" i="2"/>
  <c r="HV146" i="2"/>
  <c r="HU146" i="2"/>
  <c r="HT146" i="2"/>
  <c r="HS146" i="2"/>
  <c r="HR146" i="2"/>
  <c r="HQ146" i="2"/>
  <c r="HP146" i="2"/>
  <c r="HO146" i="2"/>
  <c r="HN146" i="2"/>
  <c r="HM146" i="2"/>
  <c r="HL146" i="2"/>
  <c r="HK146" i="2"/>
  <c r="HJ146" i="2"/>
  <c r="HI146" i="2"/>
  <c r="HH146" i="2"/>
  <c r="HG146" i="2"/>
  <c r="HF146" i="2"/>
  <c r="HE146" i="2"/>
  <c r="HD146" i="2"/>
  <c r="HC146" i="2"/>
  <c r="HB146" i="2"/>
  <c r="HA146" i="2"/>
  <c r="GZ146" i="2"/>
  <c r="GY146" i="2"/>
  <c r="GX146" i="2"/>
  <c r="GW146" i="2"/>
  <c r="GV146" i="2"/>
  <c r="GU146" i="2"/>
  <c r="GT146" i="2"/>
  <c r="GS146" i="2"/>
  <c r="GR146" i="2"/>
  <c r="GQ146" i="2"/>
  <c r="GP146" i="2"/>
  <c r="GO146" i="2"/>
  <c r="GN146" i="2"/>
  <c r="GM146" i="2"/>
  <c r="GL146" i="2"/>
  <c r="GK146" i="2"/>
  <c r="GJ146" i="2"/>
  <c r="GI146" i="2"/>
  <c r="GH146" i="2"/>
  <c r="GG146" i="2"/>
  <c r="GF146" i="2"/>
  <c r="GE146" i="2"/>
  <c r="GD146" i="2"/>
  <c r="GC146" i="2"/>
  <c r="GB146" i="2"/>
  <c r="GA146" i="2"/>
  <c r="FZ146" i="2"/>
  <c r="FY146" i="2"/>
  <c r="FX146" i="2"/>
  <c r="FW146" i="2"/>
  <c r="FV146" i="2"/>
  <c r="FU146" i="2"/>
  <c r="FT146" i="2"/>
  <c r="FS146" i="2"/>
  <c r="FR146" i="2"/>
  <c r="FQ146" i="2"/>
  <c r="FP146" i="2"/>
  <c r="FO146" i="2"/>
  <c r="FN146" i="2"/>
  <c r="FM146" i="2"/>
  <c r="FL146" i="2"/>
  <c r="FK146" i="2"/>
  <c r="FJ146" i="2"/>
  <c r="FI146" i="2"/>
  <c r="FH146" i="2"/>
  <c r="FG146" i="2"/>
  <c r="FF146" i="2"/>
  <c r="FE146" i="2"/>
  <c r="FD146" i="2"/>
  <c r="FC146" i="2"/>
  <c r="FB146" i="2"/>
  <c r="FA146" i="2"/>
  <c r="EZ146" i="2"/>
  <c r="EY146" i="2"/>
  <c r="EX146" i="2"/>
  <c r="EW146" i="2"/>
  <c r="EV146" i="2"/>
  <c r="EU146" i="2"/>
  <c r="ET146" i="2"/>
  <c r="ES146" i="2"/>
  <c r="ER146" i="2"/>
  <c r="EQ146" i="2"/>
  <c r="EP146" i="2"/>
  <c r="EO146" i="2"/>
  <c r="EN146" i="2"/>
  <c r="EM146" i="2"/>
  <c r="EL146" i="2"/>
  <c r="EK146" i="2"/>
  <c r="EJ146" i="2"/>
  <c r="EI146" i="2"/>
  <c r="EH146" i="2"/>
  <c r="EG146" i="2"/>
  <c r="EF146" i="2"/>
  <c r="EE146" i="2"/>
  <c r="ED146" i="2"/>
  <c r="EC146" i="2"/>
  <c r="EB146" i="2"/>
  <c r="EA146" i="2"/>
  <c r="DZ146" i="2"/>
  <c r="DY146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DG146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A146" i="2"/>
  <c r="PI145" i="2"/>
  <c r="PH145" i="2"/>
  <c r="PG145" i="2"/>
  <c r="PF145" i="2"/>
  <c r="PE145" i="2"/>
  <c r="PD145" i="2"/>
  <c r="PC145" i="2"/>
  <c r="PB145" i="2"/>
  <c r="PA145" i="2"/>
  <c r="OZ145" i="2"/>
  <c r="OY145" i="2"/>
  <c r="OX145" i="2"/>
  <c r="OW145" i="2"/>
  <c r="OV145" i="2"/>
  <c r="OU145" i="2"/>
  <c r="OT145" i="2"/>
  <c r="OS145" i="2"/>
  <c r="OR145" i="2"/>
  <c r="OQ145" i="2"/>
  <c r="OP145" i="2"/>
  <c r="OO145" i="2"/>
  <c r="ON145" i="2"/>
  <c r="OM145" i="2"/>
  <c r="OL145" i="2"/>
  <c r="OK145" i="2"/>
  <c r="OJ145" i="2"/>
  <c r="OI145" i="2"/>
  <c r="OH145" i="2"/>
  <c r="OG145" i="2"/>
  <c r="OF145" i="2"/>
  <c r="OE145" i="2"/>
  <c r="OD145" i="2"/>
  <c r="OC145" i="2"/>
  <c r="OB145" i="2"/>
  <c r="OA145" i="2"/>
  <c r="NZ145" i="2"/>
  <c r="NY145" i="2"/>
  <c r="NX145" i="2"/>
  <c r="NW145" i="2"/>
  <c r="NV145" i="2"/>
  <c r="NU145" i="2"/>
  <c r="NT145" i="2"/>
  <c r="NS145" i="2"/>
  <c r="NR145" i="2"/>
  <c r="NQ145" i="2"/>
  <c r="NP145" i="2"/>
  <c r="NO145" i="2"/>
  <c r="NN145" i="2"/>
  <c r="NM145" i="2"/>
  <c r="NL145" i="2"/>
  <c r="NK145" i="2"/>
  <c r="NJ145" i="2"/>
  <c r="NI145" i="2"/>
  <c r="NH145" i="2"/>
  <c r="NG145" i="2"/>
  <c r="NF145" i="2"/>
  <c r="NE145" i="2"/>
  <c r="ND145" i="2"/>
  <c r="NC145" i="2"/>
  <c r="NB145" i="2"/>
  <c r="NA145" i="2"/>
  <c r="MZ145" i="2"/>
  <c r="MY145" i="2"/>
  <c r="MX145" i="2"/>
  <c r="MW145" i="2"/>
  <c r="MV145" i="2"/>
  <c r="MU145" i="2"/>
  <c r="MT145" i="2"/>
  <c r="MS145" i="2"/>
  <c r="MR145" i="2"/>
  <c r="MQ145" i="2"/>
  <c r="MP145" i="2"/>
  <c r="MO145" i="2"/>
  <c r="MN145" i="2"/>
  <c r="MM145" i="2"/>
  <c r="ML145" i="2"/>
  <c r="MK145" i="2"/>
  <c r="MJ145" i="2"/>
  <c r="MI145" i="2"/>
  <c r="MH145" i="2"/>
  <c r="MG145" i="2"/>
  <c r="MF145" i="2"/>
  <c r="ME145" i="2"/>
  <c r="MD145" i="2"/>
  <c r="MC145" i="2"/>
  <c r="MB145" i="2"/>
  <c r="MA145" i="2"/>
  <c r="LZ145" i="2"/>
  <c r="LY145" i="2"/>
  <c r="LX145" i="2"/>
  <c r="LW145" i="2"/>
  <c r="LV145" i="2"/>
  <c r="LU145" i="2"/>
  <c r="LT145" i="2"/>
  <c r="LS145" i="2"/>
  <c r="LR145" i="2"/>
  <c r="LQ145" i="2"/>
  <c r="LP145" i="2"/>
  <c r="LO145" i="2"/>
  <c r="LN145" i="2"/>
  <c r="LM145" i="2"/>
  <c r="LL145" i="2"/>
  <c r="LK145" i="2"/>
  <c r="LJ145" i="2"/>
  <c r="LI145" i="2"/>
  <c r="LH145" i="2"/>
  <c r="LG145" i="2"/>
  <c r="LF145" i="2"/>
  <c r="LE145" i="2"/>
  <c r="LD145" i="2"/>
  <c r="LC145" i="2"/>
  <c r="LB145" i="2"/>
  <c r="LA145" i="2"/>
  <c r="KZ145" i="2"/>
  <c r="KY145" i="2"/>
  <c r="KX145" i="2"/>
  <c r="KW145" i="2"/>
  <c r="KV145" i="2"/>
  <c r="KU145" i="2"/>
  <c r="KT145" i="2"/>
  <c r="KS145" i="2"/>
  <c r="KR145" i="2"/>
  <c r="KQ145" i="2"/>
  <c r="KP145" i="2"/>
  <c r="KO145" i="2"/>
  <c r="KN145" i="2"/>
  <c r="KM145" i="2"/>
  <c r="KL145" i="2"/>
  <c r="KK145" i="2"/>
  <c r="KJ145" i="2"/>
  <c r="KI145" i="2"/>
  <c r="KH145" i="2"/>
  <c r="KG145" i="2"/>
  <c r="KF145" i="2"/>
  <c r="KE145" i="2"/>
  <c r="KD145" i="2"/>
  <c r="KC145" i="2"/>
  <c r="KB145" i="2"/>
  <c r="KA145" i="2"/>
  <c r="JZ145" i="2"/>
  <c r="JY145" i="2"/>
  <c r="JX145" i="2"/>
  <c r="JW145" i="2"/>
  <c r="JV145" i="2"/>
  <c r="JU145" i="2"/>
  <c r="JT145" i="2"/>
  <c r="JS145" i="2"/>
  <c r="JR145" i="2"/>
  <c r="JQ145" i="2"/>
  <c r="JP145" i="2"/>
  <c r="JO145" i="2"/>
  <c r="JN145" i="2"/>
  <c r="JM145" i="2"/>
  <c r="JL145" i="2"/>
  <c r="JK145" i="2"/>
  <c r="JJ145" i="2"/>
  <c r="JI145" i="2"/>
  <c r="JH145" i="2"/>
  <c r="JG145" i="2"/>
  <c r="JF145" i="2"/>
  <c r="JE145" i="2"/>
  <c r="JD145" i="2"/>
  <c r="JC145" i="2"/>
  <c r="JB145" i="2"/>
  <c r="JA145" i="2"/>
  <c r="IZ145" i="2"/>
  <c r="IY145" i="2"/>
  <c r="IX145" i="2"/>
  <c r="IW145" i="2"/>
  <c r="IV145" i="2"/>
  <c r="IU145" i="2"/>
  <c r="IT145" i="2"/>
  <c r="IS145" i="2"/>
  <c r="IR145" i="2"/>
  <c r="IQ145" i="2"/>
  <c r="IP145" i="2"/>
  <c r="IO145" i="2"/>
  <c r="IN145" i="2"/>
  <c r="IM145" i="2"/>
  <c r="IL145" i="2"/>
  <c r="IK145" i="2"/>
  <c r="IJ145" i="2"/>
  <c r="II145" i="2"/>
  <c r="IH145" i="2"/>
  <c r="IG145" i="2"/>
  <c r="IF145" i="2"/>
  <c r="IE145" i="2"/>
  <c r="ID145" i="2"/>
  <c r="IC145" i="2"/>
  <c r="IB145" i="2"/>
  <c r="IA145" i="2"/>
  <c r="HZ145" i="2"/>
  <c r="HY145" i="2"/>
  <c r="HX145" i="2"/>
  <c r="HW145" i="2"/>
  <c r="HV145" i="2"/>
  <c r="HU145" i="2"/>
  <c r="HT145" i="2"/>
  <c r="HS145" i="2"/>
  <c r="HR145" i="2"/>
  <c r="HQ145" i="2"/>
  <c r="HP145" i="2"/>
  <c r="HO145" i="2"/>
  <c r="HN145" i="2"/>
  <c r="HM145" i="2"/>
  <c r="HL145" i="2"/>
  <c r="HK145" i="2"/>
  <c r="HJ145" i="2"/>
  <c r="HI145" i="2"/>
  <c r="HH145" i="2"/>
  <c r="HG145" i="2"/>
  <c r="HF145" i="2"/>
  <c r="HE145" i="2"/>
  <c r="HD145" i="2"/>
  <c r="HC145" i="2"/>
  <c r="HB145" i="2"/>
  <c r="HA145" i="2"/>
  <c r="GZ145" i="2"/>
  <c r="GY145" i="2"/>
  <c r="GX145" i="2"/>
  <c r="GW145" i="2"/>
  <c r="GV145" i="2"/>
  <c r="GU145" i="2"/>
  <c r="GT145" i="2"/>
  <c r="GS145" i="2"/>
  <c r="GR145" i="2"/>
  <c r="GQ145" i="2"/>
  <c r="GP145" i="2"/>
  <c r="GO145" i="2"/>
  <c r="GN145" i="2"/>
  <c r="GM145" i="2"/>
  <c r="GL145" i="2"/>
  <c r="GK145" i="2"/>
  <c r="GJ145" i="2"/>
  <c r="GI145" i="2"/>
  <c r="GH145" i="2"/>
  <c r="GG145" i="2"/>
  <c r="GF145" i="2"/>
  <c r="GE145" i="2"/>
  <c r="GD145" i="2"/>
  <c r="GC145" i="2"/>
  <c r="GB145" i="2"/>
  <c r="GA145" i="2"/>
  <c r="FZ145" i="2"/>
  <c r="FY145" i="2"/>
  <c r="FX145" i="2"/>
  <c r="FW145" i="2"/>
  <c r="FV145" i="2"/>
  <c r="FU145" i="2"/>
  <c r="FT145" i="2"/>
  <c r="FS145" i="2"/>
  <c r="FR145" i="2"/>
  <c r="FQ145" i="2"/>
  <c r="FP145" i="2"/>
  <c r="FO145" i="2"/>
  <c r="FN145" i="2"/>
  <c r="FM145" i="2"/>
  <c r="FL145" i="2"/>
  <c r="FK145" i="2"/>
  <c r="FJ145" i="2"/>
  <c r="FI145" i="2"/>
  <c r="FH145" i="2"/>
  <c r="FG145" i="2"/>
  <c r="FF145" i="2"/>
  <c r="FE145" i="2"/>
  <c r="FD145" i="2"/>
  <c r="FC145" i="2"/>
  <c r="FB145" i="2"/>
  <c r="FA145" i="2"/>
  <c r="EZ145" i="2"/>
  <c r="EY145" i="2"/>
  <c r="EX145" i="2"/>
  <c r="EW145" i="2"/>
  <c r="EV145" i="2"/>
  <c r="EU145" i="2"/>
  <c r="ET145" i="2"/>
  <c r="ES145" i="2"/>
  <c r="ER145" i="2"/>
  <c r="EQ145" i="2"/>
  <c r="EP145" i="2"/>
  <c r="EO145" i="2"/>
  <c r="EN145" i="2"/>
  <c r="EM145" i="2"/>
  <c r="EL145" i="2"/>
  <c r="EK145" i="2"/>
  <c r="EJ145" i="2"/>
  <c r="EI145" i="2"/>
  <c r="EH145" i="2"/>
  <c r="EG145" i="2"/>
  <c r="EF145" i="2"/>
  <c r="EE145" i="2"/>
  <c r="ED145" i="2"/>
  <c r="EC145" i="2"/>
  <c r="EB145" i="2"/>
  <c r="EA145" i="2"/>
  <c r="DZ145" i="2"/>
  <c r="DY145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A145" i="2"/>
  <c r="PI144" i="2"/>
  <c r="PH144" i="2"/>
  <c r="PG144" i="2"/>
  <c r="PF144" i="2"/>
  <c r="PE144" i="2"/>
  <c r="PD144" i="2"/>
  <c r="PC144" i="2"/>
  <c r="PB144" i="2"/>
  <c r="PA144" i="2"/>
  <c r="OZ144" i="2"/>
  <c r="OY144" i="2"/>
  <c r="OX144" i="2"/>
  <c r="OW144" i="2"/>
  <c r="OV144" i="2"/>
  <c r="OU144" i="2"/>
  <c r="OT144" i="2"/>
  <c r="OS144" i="2"/>
  <c r="OR144" i="2"/>
  <c r="OQ144" i="2"/>
  <c r="OP144" i="2"/>
  <c r="OO144" i="2"/>
  <c r="ON144" i="2"/>
  <c r="OM144" i="2"/>
  <c r="OL144" i="2"/>
  <c r="OK144" i="2"/>
  <c r="OJ144" i="2"/>
  <c r="OI144" i="2"/>
  <c r="OH144" i="2"/>
  <c r="OG144" i="2"/>
  <c r="OF144" i="2"/>
  <c r="OE144" i="2"/>
  <c r="OD144" i="2"/>
  <c r="OC144" i="2"/>
  <c r="OB144" i="2"/>
  <c r="OA144" i="2"/>
  <c r="NZ144" i="2"/>
  <c r="NY144" i="2"/>
  <c r="NX144" i="2"/>
  <c r="NW144" i="2"/>
  <c r="NV144" i="2"/>
  <c r="NU144" i="2"/>
  <c r="NT144" i="2"/>
  <c r="NS144" i="2"/>
  <c r="NR144" i="2"/>
  <c r="NQ144" i="2"/>
  <c r="NP144" i="2"/>
  <c r="NO144" i="2"/>
  <c r="NN144" i="2"/>
  <c r="NM144" i="2"/>
  <c r="NL144" i="2"/>
  <c r="NK144" i="2"/>
  <c r="NJ144" i="2"/>
  <c r="NI144" i="2"/>
  <c r="NH144" i="2"/>
  <c r="NG144" i="2"/>
  <c r="NF144" i="2"/>
  <c r="NE144" i="2"/>
  <c r="ND144" i="2"/>
  <c r="NC144" i="2"/>
  <c r="NB144" i="2"/>
  <c r="NA144" i="2"/>
  <c r="MZ144" i="2"/>
  <c r="MY144" i="2"/>
  <c r="MX144" i="2"/>
  <c r="MW144" i="2"/>
  <c r="MV144" i="2"/>
  <c r="MU144" i="2"/>
  <c r="MT144" i="2"/>
  <c r="MS144" i="2"/>
  <c r="MR144" i="2"/>
  <c r="MQ144" i="2"/>
  <c r="MP144" i="2"/>
  <c r="MO144" i="2"/>
  <c r="MN144" i="2"/>
  <c r="MM144" i="2"/>
  <c r="ML144" i="2"/>
  <c r="MK144" i="2"/>
  <c r="MJ144" i="2"/>
  <c r="MI144" i="2"/>
  <c r="MH144" i="2"/>
  <c r="MG144" i="2"/>
  <c r="MF144" i="2"/>
  <c r="ME144" i="2"/>
  <c r="MD144" i="2"/>
  <c r="MC144" i="2"/>
  <c r="MB144" i="2"/>
  <c r="MA144" i="2"/>
  <c r="LZ144" i="2"/>
  <c r="LY144" i="2"/>
  <c r="LX144" i="2"/>
  <c r="LW144" i="2"/>
  <c r="LV144" i="2"/>
  <c r="LU144" i="2"/>
  <c r="LT144" i="2"/>
  <c r="LS144" i="2"/>
  <c r="LR144" i="2"/>
  <c r="LQ144" i="2"/>
  <c r="LP144" i="2"/>
  <c r="LO144" i="2"/>
  <c r="LN144" i="2"/>
  <c r="LM144" i="2"/>
  <c r="LL144" i="2"/>
  <c r="LK144" i="2"/>
  <c r="LJ144" i="2"/>
  <c r="LI144" i="2"/>
  <c r="LH144" i="2"/>
  <c r="LG144" i="2"/>
  <c r="LF144" i="2"/>
  <c r="LE144" i="2"/>
  <c r="LD144" i="2"/>
  <c r="LC144" i="2"/>
  <c r="LB144" i="2"/>
  <c r="LA144" i="2"/>
  <c r="KZ144" i="2"/>
  <c r="KY144" i="2"/>
  <c r="KX144" i="2"/>
  <c r="KW144" i="2"/>
  <c r="KV144" i="2"/>
  <c r="KU144" i="2"/>
  <c r="KT144" i="2"/>
  <c r="KS144" i="2"/>
  <c r="KR144" i="2"/>
  <c r="KQ144" i="2"/>
  <c r="KP144" i="2"/>
  <c r="KO144" i="2"/>
  <c r="KN144" i="2"/>
  <c r="KM144" i="2"/>
  <c r="KL144" i="2"/>
  <c r="KK144" i="2"/>
  <c r="KJ144" i="2"/>
  <c r="KI144" i="2"/>
  <c r="KH144" i="2"/>
  <c r="KG144" i="2"/>
  <c r="KF144" i="2"/>
  <c r="KE144" i="2"/>
  <c r="KD144" i="2"/>
  <c r="KC144" i="2"/>
  <c r="KB144" i="2"/>
  <c r="KA144" i="2"/>
  <c r="JZ144" i="2"/>
  <c r="JY144" i="2"/>
  <c r="JX144" i="2"/>
  <c r="JW144" i="2"/>
  <c r="JV144" i="2"/>
  <c r="JU144" i="2"/>
  <c r="JT144" i="2"/>
  <c r="JS144" i="2"/>
  <c r="JR144" i="2"/>
  <c r="JQ144" i="2"/>
  <c r="JP144" i="2"/>
  <c r="JO144" i="2"/>
  <c r="JN144" i="2"/>
  <c r="JM144" i="2"/>
  <c r="JL144" i="2"/>
  <c r="JK144" i="2"/>
  <c r="JJ144" i="2"/>
  <c r="JI144" i="2"/>
  <c r="JH144" i="2"/>
  <c r="JG144" i="2"/>
  <c r="JF144" i="2"/>
  <c r="JE144" i="2"/>
  <c r="JD144" i="2"/>
  <c r="JC144" i="2"/>
  <c r="JB144" i="2"/>
  <c r="JA144" i="2"/>
  <c r="IZ144" i="2"/>
  <c r="IY144" i="2"/>
  <c r="IX144" i="2"/>
  <c r="IW144" i="2"/>
  <c r="IV144" i="2"/>
  <c r="IU144" i="2"/>
  <c r="IT144" i="2"/>
  <c r="IS144" i="2"/>
  <c r="IR144" i="2"/>
  <c r="IQ144" i="2"/>
  <c r="IP144" i="2"/>
  <c r="IO144" i="2"/>
  <c r="IN144" i="2"/>
  <c r="IM144" i="2"/>
  <c r="IL144" i="2"/>
  <c r="IK144" i="2"/>
  <c r="IJ144" i="2"/>
  <c r="II144" i="2"/>
  <c r="IH144" i="2"/>
  <c r="IG144" i="2"/>
  <c r="IF144" i="2"/>
  <c r="IE144" i="2"/>
  <c r="ID144" i="2"/>
  <c r="IC144" i="2"/>
  <c r="IB144" i="2"/>
  <c r="IA144" i="2"/>
  <c r="HZ144" i="2"/>
  <c r="HY144" i="2"/>
  <c r="HX144" i="2"/>
  <c r="HW144" i="2"/>
  <c r="HV144" i="2"/>
  <c r="HU144" i="2"/>
  <c r="HT144" i="2"/>
  <c r="HS144" i="2"/>
  <c r="HR144" i="2"/>
  <c r="HQ144" i="2"/>
  <c r="HP144" i="2"/>
  <c r="HO144" i="2"/>
  <c r="HN144" i="2"/>
  <c r="HM144" i="2"/>
  <c r="HL144" i="2"/>
  <c r="HK144" i="2"/>
  <c r="HJ144" i="2"/>
  <c r="HI144" i="2"/>
  <c r="HH144" i="2"/>
  <c r="HG144" i="2"/>
  <c r="HF144" i="2"/>
  <c r="HE144" i="2"/>
  <c r="HD144" i="2"/>
  <c r="HC144" i="2"/>
  <c r="HB144" i="2"/>
  <c r="HA144" i="2"/>
  <c r="GZ144" i="2"/>
  <c r="GY144" i="2"/>
  <c r="GX144" i="2"/>
  <c r="GW144" i="2"/>
  <c r="GV144" i="2"/>
  <c r="GU144" i="2"/>
  <c r="GT144" i="2"/>
  <c r="GS144" i="2"/>
  <c r="GR144" i="2"/>
  <c r="GQ144" i="2"/>
  <c r="GP144" i="2"/>
  <c r="GO144" i="2"/>
  <c r="GN144" i="2"/>
  <c r="GM144" i="2"/>
  <c r="GL144" i="2"/>
  <c r="GK144" i="2"/>
  <c r="GJ144" i="2"/>
  <c r="GI144" i="2"/>
  <c r="GH144" i="2"/>
  <c r="GG144" i="2"/>
  <c r="GF144" i="2"/>
  <c r="GE144" i="2"/>
  <c r="GD144" i="2"/>
  <c r="GC144" i="2"/>
  <c r="GB144" i="2"/>
  <c r="GA144" i="2"/>
  <c r="FZ144" i="2"/>
  <c r="FY144" i="2"/>
  <c r="FX144" i="2"/>
  <c r="FW144" i="2"/>
  <c r="FV144" i="2"/>
  <c r="FU144" i="2"/>
  <c r="FT144" i="2"/>
  <c r="FS144" i="2"/>
  <c r="FR144" i="2"/>
  <c r="FQ144" i="2"/>
  <c r="FP144" i="2"/>
  <c r="FO144" i="2"/>
  <c r="FN144" i="2"/>
  <c r="FM144" i="2"/>
  <c r="FL144" i="2"/>
  <c r="FK144" i="2"/>
  <c r="FJ144" i="2"/>
  <c r="FI144" i="2"/>
  <c r="FH144" i="2"/>
  <c r="FG144" i="2"/>
  <c r="FF144" i="2"/>
  <c r="FE144" i="2"/>
  <c r="FD144" i="2"/>
  <c r="FC144" i="2"/>
  <c r="FB144" i="2"/>
  <c r="FA144" i="2"/>
  <c r="EZ144" i="2"/>
  <c r="EY144" i="2"/>
  <c r="EX144" i="2"/>
  <c r="EW144" i="2"/>
  <c r="EV144" i="2"/>
  <c r="EU144" i="2"/>
  <c r="ET144" i="2"/>
  <c r="ES144" i="2"/>
  <c r="ER144" i="2"/>
  <c r="EQ144" i="2"/>
  <c r="EP144" i="2"/>
  <c r="EO144" i="2"/>
  <c r="EN144" i="2"/>
  <c r="EM144" i="2"/>
  <c r="EL144" i="2"/>
  <c r="EK144" i="2"/>
  <c r="EJ144" i="2"/>
  <c r="EI144" i="2"/>
  <c r="EH144" i="2"/>
  <c r="EG144" i="2"/>
  <c r="EF144" i="2"/>
  <c r="EE144" i="2"/>
  <c r="ED144" i="2"/>
  <c r="EC144" i="2"/>
  <c r="EB144" i="2"/>
  <c r="EA144" i="2"/>
  <c r="DZ144" i="2"/>
  <c r="DY144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144" i="2"/>
  <c r="PI143" i="2"/>
  <c r="PH143" i="2"/>
  <c r="PG143" i="2"/>
  <c r="PF143" i="2"/>
  <c r="PE143" i="2"/>
  <c r="PD143" i="2"/>
  <c r="PC143" i="2"/>
  <c r="PB143" i="2"/>
  <c r="PA143" i="2"/>
  <c r="OZ143" i="2"/>
  <c r="OY143" i="2"/>
  <c r="OX143" i="2"/>
  <c r="OW143" i="2"/>
  <c r="OV143" i="2"/>
  <c r="OU143" i="2"/>
  <c r="OT143" i="2"/>
  <c r="OS143" i="2"/>
  <c r="OR143" i="2"/>
  <c r="OQ143" i="2"/>
  <c r="OP143" i="2"/>
  <c r="OO143" i="2"/>
  <c r="ON143" i="2"/>
  <c r="OM143" i="2"/>
  <c r="OL143" i="2"/>
  <c r="OK143" i="2"/>
  <c r="OJ143" i="2"/>
  <c r="OI143" i="2"/>
  <c r="OH143" i="2"/>
  <c r="OG143" i="2"/>
  <c r="OF143" i="2"/>
  <c r="OE143" i="2"/>
  <c r="OD143" i="2"/>
  <c r="OC143" i="2"/>
  <c r="OB143" i="2"/>
  <c r="OA143" i="2"/>
  <c r="NZ143" i="2"/>
  <c r="NY143" i="2"/>
  <c r="NX143" i="2"/>
  <c r="NW143" i="2"/>
  <c r="NV143" i="2"/>
  <c r="NU143" i="2"/>
  <c r="NT143" i="2"/>
  <c r="NS143" i="2"/>
  <c r="NR143" i="2"/>
  <c r="NQ143" i="2"/>
  <c r="NP143" i="2"/>
  <c r="NO143" i="2"/>
  <c r="NN143" i="2"/>
  <c r="NM143" i="2"/>
  <c r="NL143" i="2"/>
  <c r="NK143" i="2"/>
  <c r="NJ143" i="2"/>
  <c r="NI143" i="2"/>
  <c r="NH143" i="2"/>
  <c r="NG143" i="2"/>
  <c r="NF143" i="2"/>
  <c r="NE143" i="2"/>
  <c r="ND143" i="2"/>
  <c r="NC143" i="2"/>
  <c r="NB143" i="2"/>
  <c r="NA143" i="2"/>
  <c r="MZ143" i="2"/>
  <c r="MY143" i="2"/>
  <c r="MX143" i="2"/>
  <c r="MW143" i="2"/>
  <c r="MV143" i="2"/>
  <c r="MU143" i="2"/>
  <c r="MT143" i="2"/>
  <c r="MS143" i="2"/>
  <c r="MR143" i="2"/>
  <c r="MQ143" i="2"/>
  <c r="MP143" i="2"/>
  <c r="MO143" i="2"/>
  <c r="MN143" i="2"/>
  <c r="MM143" i="2"/>
  <c r="ML143" i="2"/>
  <c r="MK143" i="2"/>
  <c r="MJ143" i="2"/>
  <c r="MI143" i="2"/>
  <c r="MH143" i="2"/>
  <c r="MG143" i="2"/>
  <c r="MF143" i="2"/>
  <c r="ME143" i="2"/>
  <c r="MD143" i="2"/>
  <c r="MC143" i="2"/>
  <c r="MB143" i="2"/>
  <c r="MA143" i="2"/>
  <c r="LZ143" i="2"/>
  <c r="LY143" i="2"/>
  <c r="LX143" i="2"/>
  <c r="LW143" i="2"/>
  <c r="LV143" i="2"/>
  <c r="LU143" i="2"/>
  <c r="LT143" i="2"/>
  <c r="LS143" i="2"/>
  <c r="LR143" i="2"/>
  <c r="LQ143" i="2"/>
  <c r="LP143" i="2"/>
  <c r="LO143" i="2"/>
  <c r="LN143" i="2"/>
  <c r="LM143" i="2"/>
  <c r="LL143" i="2"/>
  <c r="LK143" i="2"/>
  <c r="LJ143" i="2"/>
  <c r="LI143" i="2"/>
  <c r="LH143" i="2"/>
  <c r="LG143" i="2"/>
  <c r="LF143" i="2"/>
  <c r="LE143" i="2"/>
  <c r="LD143" i="2"/>
  <c r="LC143" i="2"/>
  <c r="LB143" i="2"/>
  <c r="LA143" i="2"/>
  <c r="KZ143" i="2"/>
  <c r="KY143" i="2"/>
  <c r="KX143" i="2"/>
  <c r="KW143" i="2"/>
  <c r="KV143" i="2"/>
  <c r="KU143" i="2"/>
  <c r="KT143" i="2"/>
  <c r="KS143" i="2"/>
  <c r="KR143" i="2"/>
  <c r="KQ143" i="2"/>
  <c r="KP143" i="2"/>
  <c r="KO143" i="2"/>
  <c r="KN143" i="2"/>
  <c r="KM143" i="2"/>
  <c r="KL143" i="2"/>
  <c r="KK143" i="2"/>
  <c r="KJ143" i="2"/>
  <c r="KI143" i="2"/>
  <c r="KH143" i="2"/>
  <c r="KG143" i="2"/>
  <c r="KF143" i="2"/>
  <c r="KE143" i="2"/>
  <c r="KD143" i="2"/>
  <c r="KC143" i="2"/>
  <c r="KB143" i="2"/>
  <c r="KA143" i="2"/>
  <c r="JZ143" i="2"/>
  <c r="JY143" i="2"/>
  <c r="JX143" i="2"/>
  <c r="JW143" i="2"/>
  <c r="JV143" i="2"/>
  <c r="JU143" i="2"/>
  <c r="JT143" i="2"/>
  <c r="JS143" i="2"/>
  <c r="JR143" i="2"/>
  <c r="JQ143" i="2"/>
  <c r="JP143" i="2"/>
  <c r="JO143" i="2"/>
  <c r="JN143" i="2"/>
  <c r="JM143" i="2"/>
  <c r="JL143" i="2"/>
  <c r="JK143" i="2"/>
  <c r="JJ143" i="2"/>
  <c r="JI143" i="2"/>
  <c r="JH143" i="2"/>
  <c r="JG143" i="2"/>
  <c r="JF143" i="2"/>
  <c r="JE143" i="2"/>
  <c r="JD143" i="2"/>
  <c r="JC143" i="2"/>
  <c r="JB143" i="2"/>
  <c r="JA143" i="2"/>
  <c r="IZ143" i="2"/>
  <c r="IY143" i="2"/>
  <c r="IX143" i="2"/>
  <c r="IW143" i="2"/>
  <c r="IV143" i="2"/>
  <c r="IU143" i="2"/>
  <c r="IT143" i="2"/>
  <c r="IS143" i="2"/>
  <c r="IR143" i="2"/>
  <c r="IQ143" i="2"/>
  <c r="IP143" i="2"/>
  <c r="IO143" i="2"/>
  <c r="IN143" i="2"/>
  <c r="IM143" i="2"/>
  <c r="IL143" i="2"/>
  <c r="IK143" i="2"/>
  <c r="IJ143" i="2"/>
  <c r="II143" i="2"/>
  <c r="IH143" i="2"/>
  <c r="IG143" i="2"/>
  <c r="IF143" i="2"/>
  <c r="IE143" i="2"/>
  <c r="ID143" i="2"/>
  <c r="IC143" i="2"/>
  <c r="IB143" i="2"/>
  <c r="IA143" i="2"/>
  <c r="HZ143" i="2"/>
  <c r="HY143" i="2"/>
  <c r="HX143" i="2"/>
  <c r="HW143" i="2"/>
  <c r="HV143" i="2"/>
  <c r="HU143" i="2"/>
  <c r="HT143" i="2"/>
  <c r="HS143" i="2"/>
  <c r="HR143" i="2"/>
  <c r="HQ143" i="2"/>
  <c r="HP143" i="2"/>
  <c r="HO143" i="2"/>
  <c r="HN143" i="2"/>
  <c r="HM143" i="2"/>
  <c r="HL143" i="2"/>
  <c r="HK143" i="2"/>
  <c r="HJ143" i="2"/>
  <c r="HI143" i="2"/>
  <c r="HH143" i="2"/>
  <c r="HG143" i="2"/>
  <c r="HF143" i="2"/>
  <c r="HE143" i="2"/>
  <c r="HD143" i="2"/>
  <c r="HC143" i="2"/>
  <c r="HB143" i="2"/>
  <c r="HA143" i="2"/>
  <c r="GZ143" i="2"/>
  <c r="GY143" i="2"/>
  <c r="GX143" i="2"/>
  <c r="GW143" i="2"/>
  <c r="GV143" i="2"/>
  <c r="GU143" i="2"/>
  <c r="GT143" i="2"/>
  <c r="GS143" i="2"/>
  <c r="GR143" i="2"/>
  <c r="GQ143" i="2"/>
  <c r="GP143" i="2"/>
  <c r="GO143" i="2"/>
  <c r="GN143" i="2"/>
  <c r="GM143" i="2"/>
  <c r="GL143" i="2"/>
  <c r="GK143" i="2"/>
  <c r="GJ143" i="2"/>
  <c r="GI143" i="2"/>
  <c r="GH143" i="2"/>
  <c r="GG143" i="2"/>
  <c r="GF143" i="2"/>
  <c r="GE143" i="2"/>
  <c r="GD143" i="2"/>
  <c r="GC143" i="2"/>
  <c r="GB143" i="2"/>
  <c r="GA143" i="2"/>
  <c r="FZ143" i="2"/>
  <c r="FY143" i="2"/>
  <c r="FX143" i="2"/>
  <c r="FW143" i="2"/>
  <c r="FV143" i="2"/>
  <c r="FU143" i="2"/>
  <c r="FT143" i="2"/>
  <c r="FS143" i="2"/>
  <c r="FR143" i="2"/>
  <c r="FQ143" i="2"/>
  <c r="FP143" i="2"/>
  <c r="FO143" i="2"/>
  <c r="FN143" i="2"/>
  <c r="FM143" i="2"/>
  <c r="FL143" i="2"/>
  <c r="FK143" i="2"/>
  <c r="FJ143" i="2"/>
  <c r="FI143" i="2"/>
  <c r="FH143" i="2"/>
  <c r="FG143" i="2"/>
  <c r="FF143" i="2"/>
  <c r="FE143" i="2"/>
  <c r="FD143" i="2"/>
  <c r="FC143" i="2"/>
  <c r="FB143" i="2"/>
  <c r="FA143" i="2"/>
  <c r="EZ143" i="2"/>
  <c r="EY143" i="2"/>
  <c r="EX143" i="2"/>
  <c r="EW143" i="2"/>
  <c r="EV143" i="2"/>
  <c r="EU143" i="2"/>
  <c r="ET143" i="2"/>
  <c r="ES143" i="2"/>
  <c r="ER143" i="2"/>
  <c r="EQ143" i="2"/>
  <c r="EP143" i="2"/>
  <c r="EO143" i="2"/>
  <c r="EN143" i="2"/>
  <c r="EM143" i="2"/>
  <c r="EL143" i="2"/>
  <c r="EK143" i="2"/>
  <c r="EJ143" i="2"/>
  <c r="EI143" i="2"/>
  <c r="EH143" i="2"/>
  <c r="EG143" i="2"/>
  <c r="EF143" i="2"/>
  <c r="EE143" i="2"/>
  <c r="ED143" i="2"/>
  <c r="EC143" i="2"/>
  <c r="EB143" i="2"/>
  <c r="EA143" i="2"/>
  <c r="DZ143" i="2"/>
  <c r="DY143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143" i="2"/>
  <c r="PI142" i="2"/>
  <c r="PH142" i="2"/>
  <c r="PG142" i="2"/>
  <c r="PF142" i="2"/>
  <c r="PE142" i="2"/>
  <c r="PD142" i="2"/>
  <c r="PC142" i="2"/>
  <c r="PB142" i="2"/>
  <c r="PA142" i="2"/>
  <c r="OZ142" i="2"/>
  <c r="OY142" i="2"/>
  <c r="OX142" i="2"/>
  <c r="OW142" i="2"/>
  <c r="OV142" i="2"/>
  <c r="OU142" i="2"/>
  <c r="OT142" i="2"/>
  <c r="OS142" i="2"/>
  <c r="OR142" i="2"/>
  <c r="OQ142" i="2"/>
  <c r="OP142" i="2"/>
  <c r="OO142" i="2"/>
  <c r="ON142" i="2"/>
  <c r="OM142" i="2"/>
  <c r="OL142" i="2"/>
  <c r="OK142" i="2"/>
  <c r="OJ142" i="2"/>
  <c r="OI142" i="2"/>
  <c r="OH142" i="2"/>
  <c r="OG142" i="2"/>
  <c r="OF142" i="2"/>
  <c r="OE142" i="2"/>
  <c r="OD142" i="2"/>
  <c r="OC142" i="2"/>
  <c r="OB142" i="2"/>
  <c r="OA142" i="2"/>
  <c r="NZ142" i="2"/>
  <c r="NY142" i="2"/>
  <c r="NX142" i="2"/>
  <c r="NW142" i="2"/>
  <c r="NV142" i="2"/>
  <c r="NU142" i="2"/>
  <c r="NT142" i="2"/>
  <c r="NS142" i="2"/>
  <c r="NR142" i="2"/>
  <c r="NQ142" i="2"/>
  <c r="NP142" i="2"/>
  <c r="NO142" i="2"/>
  <c r="NN142" i="2"/>
  <c r="NM142" i="2"/>
  <c r="NL142" i="2"/>
  <c r="NK142" i="2"/>
  <c r="NJ142" i="2"/>
  <c r="NI142" i="2"/>
  <c r="NH142" i="2"/>
  <c r="NG142" i="2"/>
  <c r="NF142" i="2"/>
  <c r="NE142" i="2"/>
  <c r="ND142" i="2"/>
  <c r="NC142" i="2"/>
  <c r="NB142" i="2"/>
  <c r="NA142" i="2"/>
  <c r="MZ142" i="2"/>
  <c r="MY142" i="2"/>
  <c r="MX142" i="2"/>
  <c r="MW142" i="2"/>
  <c r="MV142" i="2"/>
  <c r="MU142" i="2"/>
  <c r="MT142" i="2"/>
  <c r="MS142" i="2"/>
  <c r="MR142" i="2"/>
  <c r="MQ142" i="2"/>
  <c r="MP142" i="2"/>
  <c r="MO142" i="2"/>
  <c r="MN142" i="2"/>
  <c r="MM142" i="2"/>
  <c r="ML142" i="2"/>
  <c r="MK142" i="2"/>
  <c r="MJ142" i="2"/>
  <c r="MI142" i="2"/>
  <c r="MH142" i="2"/>
  <c r="MG142" i="2"/>
  <c r="MF142" i="2"/>
  <c r="ME142" i="2"/>
  <c r="MD142" i="2"/>
  <c r="MC142" i="2"/>
  <c r="MB142" i="2"/>
  <c r="MA142" i="2"/>
  <c r="LZ142" i="2"/>
  <c r="LY142" i="2"/>
  <c r="LX142" i="2"/>
  <c r="LW142" i="2"/>
  <c r="LV142" i="2"/>
  <c r="LU142" i="2"/>
  <c r="LT142" i="2"/>
  <c r="LS142" i="2"/>
  <c r="LR142" i="2"/>
  <c r="LQ142" i="2"/>
  <c r="LP142" i="2"/>
  <c r="LO142" i="2"/>
  <c r="LN142" i="2"/>
  <c r="LM142" i="2"/>
  <c r="LL142" i="2"/>
  <c r="LK142" i="2"/>
  <c r="LJ142" i="2"/>
  <c r="LI142" i="2"/>
  <c r="LH142" i="2"/>
  <c r="LG142" i="2"/>
  <c r="LF142" i="2"/>
  <c r="LE142" i="2"/>
  <c r="LD142" i="2"/>
  <c r="LC142" i="2"/>
  <c r="LB142" i="2"/>
  <c r="LA142" i="2"/>
  <c r="KZ142" i="2"/>
  <c r="KY142" i="2"/>
  <c r="KX142" i="2"/>
  <c r="KW142" i="2"/>
  <c r="KV142" i="2"/>
  <c r="KU142" i="2"/>
  <c r="KT142" i="2"/>
  <c r="KS142" i="2"/>
  <c r="KR142" i="2"/>
  <c r="KQ142" i="2"/>
  <c r="KP142" i="2"/>
  <c r="KO142" i="2"/>
  <c r="KN142" i="2"/>
  <c r="KM142" i="2"/>
  <c r="KL142" i="2"/>
  <c r="KK142" i="2"/>
  <c r="KJ142" i="2"/>
  <c r="KI142" i="2"/>
  <c r="KH142" i="2"/>
  <c r="KG142" i="2"/>
  <c r="KF142" i="2"/>
  <c r="KE142" i="2"/>
  <c r="KD142" i="2"/>
  <c r="KC142" i="2"/>
  <c r="KB142" i="2"/>
  <c r="KA142" i="2"/>
  <c r="JZ142" i="2"/>
  <c r="JY142" i="2"/>
  <c r="JX142" i="2"/>
  <c r="JW142" i="2"/>
  <c r="JV142" i="2"/>
  <c r="JU142" i="2"/>
  <c r="JT142" i="2"/>
  <c r="JS142" i="2"/>
  <c r="JR142" i="2"/>
  <c r="JQ142" i="2"/>
  <c r="JP142" i="2"/>
  <c r="JO142" i="2"/>
  <c r="JN142" i="2"/>
  <c r="JM142" i="2"/>
  <c r="JL142" i="2"/>
  <c r="JK142" i="2"/>
  <c r="JJ142" i="2"/>
  <c r="JI142" i="2"/>
  <c r="JH142" i="2"/>
  <c r="JG142" i="2"/>
  <c r="JF142" i="2"/>
  <c r="JE142" i="2"/>
  <c r="JD142" i="2"/>
  <c r="JC142" i="2"/>
  <c r="JB142" i="2"/>
  <c r="JA142" i="2"/>
  <c r="IZ142" i="2"/>
  <c r="IY142" i="2"/>
  <c r="IX142" i="2"/>
  <c r="IW142" i="2"/>
  <c r="IV142" i="2"/>
  <c r="IU142" i="2"/>
  <c r="IT142" i="2"/>
  <c r="IS142" i="2"/>
  <c r="IR142" i="2"/>
  <c r="IQ142" i="2"/>
  <c r="IP142" i="2"/>
  <c r="IO142" i="2"/>
  <c r="IN142" i="2"/>
  <c r="IM142" i="2"/>
  <c r="IL142" i="2"/>
  <c r="IK142" i="2"/>
  <c r="IJ142" i="2"/>
  <c r="II142" i="2"/>
  <c r="IH142" i="2"/>
  <c r="IG142" i="2"/>
  <c r="IF142" i="2"/>
  <c r="IE142" i="2"/>
  <c r="ID142" i="2"/>
  <c r="IC142" i="2"/>
  <c r="IB142" i="2"/>
  <c r="IA142" i="2"/>
  <c r="HZ142" i="2"/>
  <c r="HY142" i="2"/>
  <c r="HX142" i="2"/>
  <c r="HW142" i="2"/>
  <c r="HV142" i="2"/>
  <c r="HU142" i="2"/>
  <c r="HT142" i="2"/>
  <c r="HS142" i="2"/>
  <c r="HR142" i="2"/>
  <c r="HQ142" i="2"/>
  <c r="HP142" i="2"/>
  <c r="HO142" i="2"/>
  <c r="HN142" i="2"/>
  <c r="HM142" i="2"/>
  <c r="HL142" i="2"/>
  <c r="HK142" i="2"/>
  <c r="HJ142" i="2"/>
  <c r="HI142" i="2"/>
  <c r="HH142" i="2"/>
  <c r="HG142" i="2"/>
  <c r="HF142" i="2"/>
  <c r="HE142" i="2"/>
  <c r="HD142" i="2"/>
  <c r="HC142" i="2"/>
  <c r="HB142" i="2"/>
  <c r="HA142" i="2"/>
  <c r="GZ142" i="2"/>
  <c r="GY142" i="2"/>
  <c r="GX142" i="2"/>
  <c r="GW142" i="2"/>
  <c r="GV142" i="2"/>
  <c r="GU142" i="2"/>
  <c r="GT142" i="2"/>
  <c r="GS142" i="2"/>
  <c r="GR142" i="2"/>
  <c r="GQ142" i="2"/>
  <c r="GP142" i="2"/>
  <c r="GO142" i="2"/>
  <c r="GN142" i="2"/>
  <c r="GM142" i="2"/>
  <c r="GL142" i="2"/>
  <c r="GK142" i="2"/>
  <c r="GJ142" i="2"/>
  <c r="GI142" i="2"/>
  <c r="GH142" i="2"/>
  <c r="GG142" i="2"/>
  <c r="GF142" i="2"/>
  <c r="GE142" i="2"/>
  <c r="GD142" i="2"/>
  <c r="GC142" i="2"/>
  <c r="GB142" i="2"/>
  <c r="GA142" i="2"/>
  <c r="FZ142" i="2"/>
  <c r="FY142" i="2"/>
  <c r="FX142" i="2"/>
  <c r="FW142" i="2"/>
  <c r="FV142" i="2"/>
  <c r="FU142" i="2"/>
  <c r="FT142" i="2"/>
  <c r="FS142" i="2"/>
  <c r="FR142" i="2"/>
  <c r="FQ142" i="2"/>
  <c r="FP142" i="2"/>
  <c r="FO142" i="2"/>
  <c r="FN142" i="2"/>
  <c r="FM142" i="2"/>
  <c r="FL142" i="2"/>
  <c r="FK142" i="2"/>
  <c r="FJ142" i="2"/>
  <c r="FI142" i="2"/>
  <c r="FH142" i="2"/>
  <c r="FG142" i="2"/>
  <c r="FF142" i="2"/>
  <c r="FE142" i="2"/>
  <c r="FD142" i="2"/>
  <c r="FC142" i="2"/>
  <c r="FB142" i="2"/>
  <c r="FA142" i="2"/>
  <c r="EZ142" i="2"/>
  <c r="EY142" i="2"/>
  <c r="EX142" i="2"/>
  <c r="EW142" i="2"/>
  <c r="EV142" i="2"/>
  <c r="EU142" i="2"/>
  <c r="ET142" i="2"/>
  <c r="ES142" i="2"/>
  <c r="ER142" i="2"/>
  <c r="EQ142" i="2"/>
  <c r="EP142" i="2"/>
  <c r="EO142" i="2"/>
  <c r="EN142" i="2"/>
  <c r="EM142" i="2"/>
  <c r="EL142" i="2"/>
  <c r="EK142" i="2"/>
  <c r="EJ142" i="2"/>
  <c r="EI142" i="2"/>
  <c r="EH142" i="2"/>
  <c r="EG142" i="2"/>
  <c r="EF142" i="2"/>
  <c r="EE142" i="2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PI141" i="2"/>
  <c r="PH141" i="2"/>
  <c r="PG141" i="2"/>
  <c r="PF141" i="2"/>
  <c r="PE141" i="2"/>
  <c r="PD141" i="2"/>
  <c r="PC141" i="2"/>
  <c r="PB141" i="2"/>
  <c r="PA141" i="2"/>
  <c r="OZ141" i="2"/>
  <c r="OY141" i="2"/>
  <c r="OX141" i="2"/>
  <c r="OW141" i="2"/>
  <c r="OV141" i="2"/>
  <c r="OU141" i="2"/>
  <c r="OT141" i="2"/>
  <c r="OS141" i="2"/>
  <c r="OR141" i="2"/>
  <c r="OQ141" i="2"/>
  <c r="OP141" i="2"/>
  <c r="OO141" i="2"/>
  <c r="ON141" i="2"/>
  <c r="OM141" i="2"/>
  <c r="OL141" i="2"/>
  <c r="OK141" i="2"/>
  <c r="OJ141" i="2"/>
  <c r="OI141" i="2"/>
  <c r="OH141" i="2"/>
  <c r="OG141" i="2"/>
  <c r="OF141" i="2"/>
  <c r="OE141" i="2"/>
  <c r="OD141" i="2"/>
  <c r="OC141" i="2"/>
  <c r="OB141" i="2"/>
  <c r="OA141" i="2"/>
  <c r="NZ141" i="2"/>
  <c r="NY141" i="2"/>
  <c r="NX141" i="2"/>
  <c r="NW141" i="2"/>
  <c r="NV141" i="2"/>
  <c r="NU141" i="2"/>
  <c r="NT141" i="2"/>
  <c r="NS141" i="2"/>
  <c r="NR141" i="2"/>
  <c r="NQ141" i="2"/>
  <c r="NP141" i="2"/>
  <c r="NO141" i="2"/>
  <c r="NN141" i="2"/>
  <c r="NM141" i="2"/>
  <c r="NL141" i="2"/>
  <c r="NK141" i="2"/>
  <c r="NJ141" i="2"/>
  <c r="NI141" i="2"/>
  <c r="NH141" i="2"/>
  <c r="NG141" i="2"/>
  <c r="NF141" i="2"/>
  <c r="NE141" i="2"/>
  <c r="ND141" i="2"/>
  <c r="NC141" i="2"/>
  <c r="NB141" i="2"/>
  <c r="NA141" i="2"/>
  <c r="MZ141" i="2"/>
  <c r="MY141" i="2"/>
  <c r="MX141" i="2"/>
  <c r="MW141" i="2"/>
  <c r="MV141" i="2"/>
  <c r="MU141" i="2"/>
  <c r="MT141" i="2"/>
  <c r="MS141" i="2"/>
  <c r="MR141" i="2"/>
  <c r="MQ141" i="2"/>
  <c r="MP141" i="2"/>
  <c r="MO141" i="2"/>
  <c r="MN141" i="2"/>
  <c r="MM141" i="2"/>
  <c r="ML141" i="2"/>
  <c r="MK141" i="2"/>
  <c r="MJ141" i="2"/>
  <c r="MI141" i="2"/>
  <c r="MH141" i="2"/>
  <c r="MG141" i="2"/>
  <c r="MF141" i="2"/>
  <c r="ME141" i="2"/>
  <c r="MD141" i="2"/>
  <c r="MC141" i="2"/>
  <c r="MB141" i="2"/>
  <c r="MA141" i="2"/>
  <c r="LZ141" i="2"/>
  <c r="LY141" i="2"/>
  <c r="LX141" i="2"/>
  <c r="LW141" i="2"/>
  <c r="LV141" i="2"/>
  <c r="LU141" i="2"/>
  <c r="LT141" i="2"/>
  <c r="LS141" i="2"/>
  <c r="LR141" i="2"/>
  <c r="LQ141" i="2"/>
  <c r="LP141" i="2"/>
  <c r="LO141" i="2"/>
  <c r="LN141" i="2"/>
  <c r="LM141" i="2"/>
  <c r="LL141" i="2"/>
  <c r="LK141" i="2"/>
  <c r="LJ141" i="2"/>
  <c r="LI141" i="2"/>
  <c r="LH141" i="2"/>
  <c r="LG141" i="2"/>
  <c r="LF141" i="2"/>
  <c r="LE141" i="2"/>
  <c r="LD141" i="2"/>
  <c r="LC141" i="2"/>
  <c r="LB141" i="2"/>
  <c r="LA141" i="2"/>
  <c r="KZ141" i="2"/>
  <c r="KY141" i="2"/>
  <c r="KX141" i="2"/>
  <c r="KW141" i="2"/>
  <c r="KV141" i="2"/>
  <c r="KU141" i="2"/>
  <c r="KT141" i="2"/>
  <c r="KS141" i="2"/>
  <c r="KR141" i="2"/>
  <c r="KQ141" i="2"/>
  <c r="KP141" i="2"/>
  <c r="KO141" i="2"/>
  <c r="KN141" i="2"/>
  <c r="KM141" i="2"/>
  <c r="KL141" i="2"/>
  <c r="KK141" i="2"/>
  <c r="KJ141" i="2"/>
  <c r="KI141" i="2"/>
  <c r="KH141" i="2"/>
  <c r="KG141" i="2"/>
  <c r="KF141" i="2"/>
  <c r="KE141" i="2"/>
  <c r="KD141" i="2"/>
  <c r="KC141" i="2"/>
  <c r="KB141" i="2"/>
  <c r="KA141" i="2"/>
  <c r="JZ141" i="2"/>
  <c r="JY141" i="2"/>
  <c r="JX141" i="2"/>
  <c r="JW141" i="2"/>
  <c r="JV141" i="2"/>
  <c r="JU141" i="2"/>
  <c r="JT141" i="2"/>
  <c r="JS141" i="2"/>
  <c r="JR141" i="2"/>
  <c r="JQ141" i="2"/>
  <c r="JP141" i="2"/>
  <c r="JO141" i="2"/>
  <c r="JN141" i="2"/>
  <c r="JM141" i="2"/>
  <c r="JL141" i="2"/>
  <c r="JK141" i="2"/>
  <c r="JJ141" i="2"/>
  <c r="JI141" i="2"/>
  <c r="JH141" i="2"/>
  <c r="JG141" i="2"/>
  <c r="JF141" i="2"/>
  <c r="JE141" i="2"/>
  <c r="JD141" i="2"/>
  <c r="JC141" i="2"/>
  <c r="JB141" i="2"/>
  <c r="JA141" i="2"/>
  <c r="IZ141" i="2"/>
  <c r="IY141" i="2"/>
  <c r="IX141" i="2"/>
  <c r="IW141" i="2"/>
  <c r="IV141" i="2"/>
  <c r="IU141" i="2"/>
  <c r="IT141" i="2"/>
  <c r="IS141" i="2"/>
  <c r="IR141" i="2"/>
  <c r="IQ141" i="2"/>
  <c r="IP141" i="2"/>
  <c r="IO141" i="2"/>
  <c r="IN141" i="2"/>
  <c r="IM141" i="2"/>
  <c r="IL141" i="2"/>
  <c r="IK141" i="2"/>
  <c r="IJ141" i="2"/>
  <c r="II141" i="2"/>
  <c r="IH141" i="2"/>
  <c r="IG141" i="2"/>
  <c r="IF141" i="2"/>
  <c r="IE141" i="2"/>
  <c r="ID141" i="2"/>
  <c r="IC141" i="2"/>
  <c r="IB141" i="2"/>
  <c r="IA141" i="2"/>
  <c r="HZ141" i="2"/>
  <c r="HY141" i="2"/>
  <c r="HX141" i="2"/>
  <c r="HW141" i="2"/>
  <c r="HV141" i="2"/>
  <c r="HU141" i="2"/>
  <c r="HT141" i="2"/>
  <c r="HS141" i="2"/>
  <c r="HR141" i="2"/>
  <c r="HQ141" i="2"/>
  <c r="HP141" i="2"/>
  <c r="HO141" i="2"/>
  <c r="HN141" i="2"/>
  <c r="HM141" i="2"/>
  <c r="HL141" i="2"/>
  <c r="HK141" i="2"/>
  <c r="HJ141" i="2"/>
  <c r="HI141" i="2"/>
  <c r="HH141" i="2"/>
  <c r="HG141" i="2"/>
  <c r="HF141" i="2"/>
  <c r="HE141" i="2"/>
  <c r="HD141" i="2"/>
  <c r="HC141" i="2"/>
  <c r="HB141" i="2"/>
  <c r="HA141" i="2"/>
  <c r="GZ141" i="2"/>
  <c r="GY141" i="2"/>
  <c r="GX141" i="2"/>
  <c r="GW141" i="2"/>
  <c r="GV141" i="2"/>
  <c r="GU141" i="2"/>
  <c r="GT141" i="2"/>
  <c r="GS141" i="2"/>
  <c r="GR141" i="2"/>
  <c r="GQ141" i="2"/>
  <c r="GP141" i="2"/>
  <c r="GO141" i="2"/>
  <c r="GN141" i="2"/>
  <c r="GM141" i="2"/>
  <c r="GL141" i="2"/>
  <c r="GK141" i="2"/>
  <c r="GJ141" i="2"/>
  <c r="GI141" i="2"/>
  <c r="GH141" i="2"/>
  <c r="GG141" i="2"/>
  <c r="GF141" i="2"/>
  <c r="GE141" i="2"/>
  <c r="GD141" i="2"/>
  <c r="GC141" i="2"/>
  <c r="GB141" i="2"/>
  <c r="GA141" i="2"/>
  <c r="FZ141" i="2"/>
  <c r="FY141" i="2"/>
  <c r="FX141" i="2"/>
  <c r="FW141" i="2"/>
  <c r="FV141" i="2"/>
  <c r="FU141" i="2"/>
  <c r="FT141" i="2"/>
  <c r="FS141" i="2"/>
  <c r="FR141" i="2"/>
  <c r="FQ141" i="2"/>
  <c r="FP141" i="2"/>
  <c r="FO141" i="2"/>
  <c r="FN141" i="2"/>
  <c r="FM141" i="2"/>
  <c r="FL141" i="2"/>
  <c r="FK141" i="2"/>
  <c r="FJ141" i="2"/>
  <c r="FI141" i="2"/>
  <c r="FH141" i="2"/>
  <c r="FG141" i="2"/>
  <c r="FF141" i="2"/>
  <c r="FE141" i="2"/>
  <c r="FD141" i="2"/>
  <c r="FC141" i="2"/>
  <c r="FB141" i="2"/>
  <c r="FA141" i="2"/>
  <c r="EZ141" i="2"/>
  <c r="EY141" i="2"/>
  <c r="EX141" i="2"/>
  <c r="EW141" i="2"/>
  <c r="EV141" i="2"/>
  <c r="EU141" i="2"/>
  <c r="ET141" i="2"/>
  <c r="ES141" i="2"/>
  <c r="ER141" i="2"/>
  <c r="EQ141" i="2"/>
  <c r="EP141" i="2"/>
  <c r="EO141" i="2"/>
  <c r="EN141" i="2"/>
  <c r="EM141" i="2"/>
  <c r="EL141" i="2"/>
  <c r="EK141" i="2"/>
  <c r="EJ141" i="2"/>
  <c r="EI141" i="2"/>
  <c r="EH141" i="2"/>
  <c r="EG141" i="2"/>
  <c r="EF141" i="2"/>
  <c r="EE141" i="2"/>
  <c r="ED141" i="2"/>
  <c r="EC141" i="2"/>
  <c r="EB141" i="2"/>
  <c r="EA141" i="2"/>
  <c r="DZ141" i="2"/>
  <c r="DY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DG141" i="2"/>
  <c r="DF141" i="2"/>
  <c r="DE141" i="2"/>
  <c r="DD141" i="2"/>
  <c r="DC141" i="2"/>
  <c r="DB141" i="2"/>
  <c r="DA141" i="2"/>
  <c r="CZ141" i="2"/>
  <c r="CY141" i="2"/>
  <c r="CX141" i="2"/>
  <c r="CW141" i="2"/>
  <c r="CV141" i="2"/>
  <c r="CU141" i="2"/>
  <c r="CT141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A141" i="2"/>
  <c r="PI140" i="2"/>
  <c r="PH140" i="2"/>
  <c r="PG140" i="2"/>
  <c r="PF140" i="2"/>
  <c r="PE140" i="2"/>
  <c r="PD140" i="2"/>
  <c r="PC140" i="2"/>
  <c r="PB140" i="2"/>
  <c r="PA140" i="2"/>
  <c r="OZ140" i="2"/>
  <c r="OY140" i="2"/>
  <c r="OX140" i="2"/>
  <c r="OW140" i="2"/>
  <c r="OV140" i="2"/>
  <c r="OU140" i="2"/>
  <c r="OT140" i="2"/>
  <c r="OS140" i="2"/>
  <c r="OR140" i="2"/>
  <c r="OQ140" i="2"/>
  <c r="OP140" i="2"/>
  <c r="OO140" i="2"/>
  <c r="ON140" i="2"/>
  <c r="OM140" i="2"/>
  <c r="OL140" i="2"/>
  <c r="OK140" i="2"/>
  <c r="OJ140" i="2"/>
  <c r="OI140" i="2"/>
  <c r="OH140" i="2"/>
  <c r="OG140" i="2"/>
  <c r="OF140" i="2"/>
  <c r="OE140" i="2"/>
  <c r="OD140" i="2"/>
  <c r="OC140" i="2"/>
  <c r="OB140" i="2"/>
  <c r="OA140" i="2"/>
  <c r="NZ140" i="2"/>
  <c r="NY140" i="2"/>
  <c r="NX140" i="2"/>
  <c r="NW140" i="2"/>
  <c r="NV140" i="2"/>
  <c r="NU140" i="2"/>
  <c r="NT140" i="2"/>
  <c r="NS140" i="2"/>
  <c r="NR140" i="2"/>
  <c r="NQ140" i="2"/>
  <c r="NP140" i="2"/>
  <c r="NO140" i="2"/>
  <c r="NN140" i="2"/>
  <c r="NM140" i="2"/>
  <c r="NL140" i="2"/>
  <c r="NK140" i="2"/>
  <c r="NJ140" i="2"/>
  <c r="NI140" i="2"/>
  <c r="NH140" i="2"/>
  <c r="NG140" i="2"/>
  <c r="NF140" i="2"/>
  <c r="NE140" i="2"/>
  <c r="ND140" i="2"/>
  <c r="NC140" i="2"/>
  <c r="NB140" i="2"/>
  <c r="NA140" i="2"/>
  <c r="MZ140" i="2"/>
  <c r="MY140" i="2"/>
  <c r="MX140" i="2"/>
  <c r="MW140" i="2"/>
  <c r="MV140" i="2"/>
  <c r="MU140" i="2"/>
  <c r="MT140" i="2"/>
  <c r="MS140" i="2"/>
  <c r="MR140" i="2"/>
  <c r="MQ140" i="2"/>
  <c r="MP140" i="2"/>
  <c r="MO140" i="2"/>
  <c r="MN140" i="2"/>
  <c r="MM140" i="2"/>
  <c r="ML140" i="2"/>
  <c r="MK140" i="2"/>
  <c r="MJ140" i="2"/>
  <c r="MI140" i="2"/>
  <c r="MH140" i="2"/>
  <c r="MG140" i="2"/>
  <c r="MF140" i="2"/>
  <c r="ME140" i="2"/>
  <c r="MD140" i="2"/>
  <c r="MC140" i="2"/>
  <c r="MB140" i="2"/>
  <c r="MA140" i="2"/>
  <c r="LZ140" i="2"/>
  <c r="LY140" i="2"/>
  <c r="LX140" i="2"/>
  <c r="LW140" i="2"/>
  <c r="LV140" i="2"/>
  <c r="LU140" i="2"/>
  <c r="LT140" i="2"/>
  <c r="LS140" i="2"/>
  <c r="LR140" i="2"/>
  <c r="LQ140" i="2"/>
  <c r="LP140" i="2"/>
  <c r="LO140" i="2"/>
  <c r="LN140" i="2"/>
  <c r="LM140" i="2"/>
  <c r="LL140" i="2"/>
  <c r="LK140" i="2"/>
  <c r="LJ140" i="2"/>
  <c r="LI140" i="2"/>
  <c r="LH140" i="2"/>
  <c r="LG140" i="2"/>
  <c r="LF140" i="2"/>
  <c r="LE140" i="2"/>
  <c r="LD140" i="2"/>
  <c r="LC140" i="2"/>
  <c r="LB140" i="2"/>
  <c r="LA140" i="2"/>
  <c r="KZ140" i="2"/>
  <c r="KY140" i="2"/>
  <c r="KX140" i="2"/>
  <c r="KW140" i="2"/>
  <c r="KV140" i="2"/>
  <c r="KU140" i="2"/>
  <c r="KT140" i="2"/>
  <c r="KS140" i="2"/>
  <c r="KR140" i="2"/>
  <c r="KQ140" i="2"/>
  <c r="KP140" i="2"/>
  <c r="KO140" i="2"/>
  <c r="KN140" i="2"/>
  <c r="KM140" i="2"/>
  <c r="KL140" i="2"/>
  <c r="KK140" i="2"/>
  <c r="KJ140" i="2"/>
  <c r="KI140" i="2"/>
  <c r="KH140" i="2"/>
  <c r="KG140" i="2"/>
  <c r="KF140" i="2"/>
  <c r="KE140" i="2"/>
  <c r="KD140" i="2"/>
  <c r="KC140" i="2"/>
  <c r="KB140" i="2"/>
  <c r="KA140" i="2"/>
  <c r="JZ140" i="2"/>
  <c r="JY140" i="2"/>
  <c r="JX140" i="2"/>
  <c r="JW140" i="2"/>
  <c r="JV140" i="2"/>
  <c r="JU140" i="2"/>
  <c r="JT140" i="2"/>
  <c r="JS140" i="2"/>
  <c r="JR140" i="2"/>
  <c r="JQ140" i="2"/>
  <c r="JP140" i="2"/>
  <c r="JO140" i="2"/>
  <c r="JN140" i="2"/>
  <c r="JM140" i="2"/>
  <c r="JL140" i="2"/>
  <c r="JK140" i="2"/>
  <c r="JJ140" i="2"/>
  <c r="JI140" i="2"/>
  <c r="JH140" i="2"/>
  <c r="JG140" i="2"/>
  <c r="JF140" i="2"/>
  <c r="JE140" i="2"/>
  <c r="JD140" i="2"/>
  <c r="JC140" i="2"/>
  <c r="JB140" i="2"/>
  <c r="JA140" i="2"/>
  <c r="IZ140" i="2"/>
  <c r="IY140" i="2"/>
  <c r="IX140" i="2"/>
  <c r="IW140" i="2"/>
  <c r="IV140" i="2"/>
  <c r="IU140" i="2"/>
  <c r="IT140" i="2"/>
  <c r="IS140" i="2"/>
  <c r="IR140" i="2"/>
  <c r="IQ140" i="2"/>
  <c r="IP140" i="2"/>
  <c r="IO140" i="2"/>
  <c r="IN140" i="2"/>
  <c r="IM140" i="2"/>
  <c r="IL140" i="2"/>
  <c r="IK140" i="2"/>
  <c r="IJ140" i="2"/>
  <c r="II140" i="2"/>
  <c r="IH140" i="2"/>
  <c r="IG140" i="2"/>
  <c r="IF140" i="2"/>
  <c r="IE140" i="2"/>
  <c r="ID140" i="2"/>
  <c r="IC140" i="2"/>
  <c r="IB140" i="2"/>
  <c r="IA140" i="2"/>
  <c r="HZ140" i="2"/>
  <c r="HY140" i="2"/>
  <c r="HX140" i="2"/>
  <c r="HW140" i="2"/>
  <c r="HV140" i="2"/>
  <c r="HU140" i="2"/>
  <c r="HT140" i="2"/>
  <c r="HS140" i="2"/>
  <c r="HR140" i="2"/>
  <c r="HQ140" i="2"/>
  <c r="HP140" i="2"/>
  <c r="HO140" i="2"/>
  <c r="HN140" i="2"/>
  <c r="HM140" i="2"/>
  <c r="HL140" i="2"/>
  <c r="HK140" i="2"/>
  <c r="HJ140" i="2"/>
  <c r="HI140" i="2"/>
  <c r="HH140" i="2"/>
  <c r="HG140" i="2"/>
  <c r="HF140" i="2"/>
  <c r="HE140" i="2"/>
  <c r="HD140" i="2"/>
  <c r="HC140" i="2"/>
  <c r="HB140" i="2"/>
  <c r="HA140" i="2"/>
  <c r="GZ140" i="2"/>
  <c r="GY140" i="2"/>
  <c r="GX140" i="2"/>
  <c r="GW140" i="2"/>
  <c r="GV140" i="2"/>
  <c r="GU140" i="2"/>
  <c r="GT140" i="2"/>
  <c r="GS140" i="2"/>
  <c r="GR140" i="2"/>
  <c r="GQ140" i="2"/>
  <c r="GP140" i="2"/>
  <c r="GO140" i="2"/>
  <c r="GN140" i="2"/>
  <c r="GM140" i="2"/>
  <c r="GL140" i="2"/>
  <c r="GK140" i="2"/>
  <c r="GJ140" i="2"/>
  <c r="GI140" i="2"/>
  <c r="GH140" i="2"/>
  <c r="GG140" i="2"/>
  <c r="GF140" i="2"/>
  <c r="GE140" i="2"/>
  <c r="GD140" i="2"/>
  <c r="GC140" i="2"/>
  <c r="GB140" i="2"/>
  <c r="GA140" i="2"/>
  <c r="FZ140" i="2"/>
  <c r="FY140" i="2"/>
  <c r="FX140" i="2"/>
  <c r="FW140" i="2"/>
  <c r="FV140" i="2"/>
  <c r="FU140" i="2"/>
  <c r="FT140" i="2"/>
  <c r="FS140" i="2"/>
  <c r="FR140" i="2"/>
  <c r="FQ140" i="2"/>
  <c r="FP140" i="2"/>
  <c r="FO140" i="2"/>
  <c r="FN140" i="2"/>
  <c r="FM140" i="2"/>
  <c r="FL140" i="2"/>
  <c r="FK140" i="2"/>
  <c r="FJ140" i="2"/>
  <c r="FI140" i="2"/>
  <c r="FH140" i="2"/>
  <c r="FG140" i="2"/>
  <c r="FF140" i="2"/>
  <c r="FE140" i="2"/>
  <c r="FD140" i="2"/>
  <c r="FC140" i="2"/>
  <c r="FB140" i="2"/>
  <c r="FA140" i="2"/>
  <c r="EZ140" i="2"/>
  <c r="EY140" i="2"/>
  <c r="EX140" i="2"/>
  <c r="EW140" i="2"/>
  <c r="EV140" i="2"/>
  <c r="EU140" i="2"/>
  <c r="ET140" i="2"/>
  <c r="ES140" i="2"/>
  <c r="ER140" i="2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EE140" i="2"/>
  <c r="ED140" i="2"/>
  <c r="EC140" i="2"/>
  <c r="EB140" i="2"/>
  <c r="EA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CW140" i="2"/>
  <c r="CV140" i="2"/>
  <c r="CU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A140" i="2"/>
  <c r="PI139" i="2"/>
  <c r="PH139" i="2"/>
  <c r="PG139" i="2"/>
  <c r="PF139" i="2"/>
  <c r="PE139" i="2"/>
  <c r="PD139" i="2"/>
  <c r="PC139" i="2"/>
  <c r="PB139" i="2"/>
  <c r="PA139" i="2"/>
  <c r="OZ139" i="2"/>
  <c r="OY139" i="2"/>
  <c r="OX139" i="2"/>
  <c r="OW139" i="2"/>
  <c r="OV139" i="2"/>
  <c r="OU139" i="2"/>
  <c r="OT139" i="2"/>
  <c r="OS139" i="2"/>
  <c r="OR139" i="2"/>
  <c r="OQ139" i="2"/>
  <c r="OP139" i="2"/>
  <c r="OO139" i="2"/>
  <c r="ON139" i="2"/>
  <c r="OM139" i="2"/>
  <c r="OL139" i="2"/>
  <c r="OK139" i="2"/>
  <c r="OJ139" i="2"/>
  <c r="OI139" i="2"/>
  <c r="OH139" i="2"/>
  <c r="OG139" i="2"/>
  <c r="OF139" i="2"/>
  <c r="OE139" i="2"/>
  <c r="OD139" i="2"/>
  <c r="OC139" i="2"/>
  <c r="OB139" i="2"/>
  <c r="OA139" i="2"/>
  <c r="NZ139" i="2"/>
  <c r="NY139" i="2"/>
  <c r="NX139" i="2"/>
  <c r="NW139" i="2"/>
  <c r="NV139" i="2"/>
  <c r="NU139" i="2"/>
  <c r="NT139" i="2"/>
  <c r="NS139" i="2"/>
  <c r="NR139" i="2"/>
  <c r="NQ139" i="2"/>
  <c r="NP139" i="2"/>
  <c r="NO139" i="2"/>
  <c r="NN139" i="2"/>
  <c r="NM139" i="2"/>
  <c r="NL139" i="2"/>
  <c r="NK139" i="2"/>
  <c r="NJ139" i="2"/>
  <c r="NI139" i="2"/>
  <c r="NH139" i="2"/>
  <c r="NG139" i="2"/>
  <c r="NF139" i="2"/>
  <c r="NE139" i="2"/>
  <c r="ND139" i="2"/>
  <c r="NC139" i="2"/>
  <c r="NB139" i="2"/>
  <c r="NA139" i="2"/>
  <c r="MZ139" i="2"/>
  <c r="MY139" i="2"/>
  <c r="MX139" i="2"/>
  <c r="MW139" i="2"/>
  <c r="MV139" i="2"/>
  <c r="MU139" i="2"/>
  <c r="MT139" i="2"/>
  <c r="MS139" i="2"/>
  <c r="MR139" i="2"/>
  <c r="MQ139" i="2"/>
  <c r="MP139" i="2"/>
  <c r="MO139" i="2"/>
  <c r="MN139" i="2"/>
  <c r="MM139" i="2"/>
  <c r="ML139" i="2"/>
  <c r="MK139" i="2"/>
  <c r="MJ139" i="2"/>
  <c r="MI139" i="2"/>
  <c r="MH139" i="2"/>
  <c r="MG139" i="2"/>
  <c r="MF139" i="2"/>
  <c r="ME139" i="2"/>
  <c r="MD139" i="2"/>
  <c r="MC139" i="2"/>
  <c r="MB139" i="2"/>
  <c r="MA139" i="2"/>
  <c r="LZ139" i="2"/>
  <c r="LY139" i="2"/>
  <c r="LX139" i="2"/>
  <c r="LW139" i="2"/>
  <c r="LV139" i="2"/>
  <c r="LU139" i="2"/>
  <c r="LT139" i="2"/>
  <c r="LS139" i="2"/>
  <c r="LR139" i="2"/>
  <c r="LQ139" i="2"/>
  <c r="LP139" i="2"/>
  <c r="LO139" i="2"/>
  <c r="LN139" i="2"/>
  <c r="LM139" i="2"/>
  <c r="LL139" i="2"/>
  <c r="LK139" i="2"/>
  <c r="LJ139" i="2"/>
  <c r="LI139" i="2"/>
  <c r="LH139" i="2"/>
  <c r="LG139" i="2"/>
  <c r="LF139" i="2"/>
  <c r="LE139" i="2"/>
  <c r="LD139" i="2"/>
  <c r="LC139" i="2"/>
  <c r="LB139" i="2"/>
  <c r="LA139" i="2"/>
  <c r="KZ139" i="2"/>
  <c r="KY139" i="2"/>
  <c r="KX139" i="2"/>
  <c r="KW139" i="2"/>
  <c r="KV139" i="2"/>
  <c r="KU139" i="2"/>
  <c r="KT139" i="2"/>
  <c r="KS139" i="2"/>
  <c r="KR139" i="2"/>
  <c r="KQ139" i="2"/>
  <c r="KP139" i="2"/>
  <c r="KO139" i="2"/>
  <c r="KN139" i="2"/>
  <c r="KM139" i="2"/>
  <c r="KL139" i="2"/>
  <c r="KK139" i="2"/>
  <c r="KJ139" i="2"/>
  <c r="KI139" i="2"/>
  <c r="KH139" i="2"/>
  <c r="KG139" i="2"/>
  <c r="KF139" i="2"/>
  <c r="KE139" i="2"/>
  <c r="KD139" i="2"/>
  <c r="KC139" i="2"/>
  <c r="KB139" i="2"/>
  <c r="KA139" i="2"/>
  <c r="JZ139" i="2"/>
  <c r="JY139" i="2"/>
  <c r="JX139" i="2"/>
  <c r="JW139" i="2"/>
  <c r="JV139" i="2"/>
  <c r="JU139" i="2"/>
  <c r="JT139" i="2"/>
  <c r="JS139" i="2"/>
  <c r="JR139" i="2"/>
  <c r="JQ139" i="2"/>
  <c r="JP139" i="2"/>
  <c r="JO139" i="2"/>
  <c r="JN139" i="2"/>
  <c r="JM139" i="2"/>
  <c r="JL139" i="2"/>
  <c r="JK139" i="2"/>
  <c r="JJ139" i="2"/>
  <c r="JI139" i="2"/>
  <c r="JH139" i="2"/>
  <c r="JG139" i="2"/>
  <c r="JF139" i="2"/>
  <c r="JE139" i="2"/>
  <c r="JD139" i="2"/>
  <c r="JC139" i="2"/>
  <c r="JB139" i="2"/>
  <c r="JA139" i="2"/>
  <c r="IZ139" i="2"/>
  <c r="IY139" i="2"/>
  <c r="IX139" i="2"/>
  <c r="IW139" i="2"/>
  <c r="IV139" i="2"/>
  <c r="IU139" i="2"/>
  <c r="IT139" i="2"/>
  <c r="IS139" i="2"/>
  <c r="IR139" i="2"/>
  <c r="IQ139" i="2"/>
  <c r="IP139" i="2"/>
  <c r="IO139" i="2"/>
  <c r="IN139" i="2"/>
  <c r="IM139" i="2"/>
  <c r="IL139" i="2"/>
  <c r="IK139" i="2"/>
  <c r="IJ139" i="2"/>
  <c r="II139" i="2"/>
  <c r="IH139" i="2"/>
  <c r="IG139" i="2"/>
  <c r="IF139" i="2"/>
  <c r="IE139" i="2"/>
  <c r="ID139" i="2"/>
  <c r="IC139" i="2"/>
  <c r="IB139" i="2"/>
  <c r="IA139" i="2"/>
  <c r="HZ139" i="2"/>
  <c r="HY139" i="2"/>
  <c r="HX139" i="2"/>
  <c r="HW139" i="2"/>
  <c r="HV139" i="2"/>
  <c r="HU139" i="2"/>
  <c r="HT139" i="2"/>
  <c r="HS139" i="2"/>
  <c r="HR139" i="2"/>
  <c r="HQ139" i="2"/>
  <c r="HP139" i="2"/>
  <c r="HO139" i="2"/>
  <c r="HN139" i="2"/>
  <c r="HM139" i="2"/>
  <c r="HL139" i="2"/>
  <c r="HK139" i="2"/>
  <c r="HJ139" i="2"/>
  <c r="HI139" i="2"/>
  <c r="HH139" i="2"/>
  <c r="HG139" i="2"/>
  <c r="HF139" i="2"/>
  <c r="HE139" i="2"/>
  <c r="HD139" i="2"/>
  <c r="HC139" i="2"/>
  <c r="HB139" i="2"/>
  <c r="HA139" i="2"/>
  <c r="GZ139" i="2"/>
  <c r="GY139" i="2"/>
  <c r="GX139" i="2"/>
  <c r="GW139" i="2"/>
  <c r="GV139" i="2"/>
  <c r="GU139" i="2"/>
  <c r="GT139" i="2"/>
  <c r="GS139" i="2"/>
  <c r="GR139" i="2"/>
  <c r="GQ139" i="2"/>
  <c r="GP139" i="2"/>
  <c r="GO139" i="2"/>
  <c r="GN139" i="2"/>
  <c r="GM139" i="2"/>
  <c r="GL139" i="2"/>
  <c r="GK139" i="2"/>
  <c r="GJ139" i="2"/>
  <c r="GI139" i="2"/>
  <c r="GH139" i="2"/>
  <c r="GG139" i="2"/>
  <c r="GF139" i="2"/>
  <c r="GE139" i="2"/>
  <c r="GD139" i="2"/>
  <c r="GC139" i="2"/>
  <c r="GB139" i="2"/>
  <c r="GA139" i="2"/>
  <c r="FZ139" i="2"/>
  <c r="FY139" i="2"/>
  <c r="FX139" i="2"/>
  <c r="FW139" i="2"/>
  <c r="FV139" i="2"/>
  <c r="FU139" i="2"/>
  <c r="FT139" i="2"/>
  <c r="FS139" i="2"/>
  <c r="FR139" i="2"/>
  <c r="FQ139" i="2"/>
  <c r="FP139" i="2"/>
  <c r="FO139" i="2"/>
  <c r="FN139" i="2"/>
  <c r="FM139" i="2"/>
  <c r="FL139" i="2"/>
  <c r="FK139" i="2"/>
  <c r="FJ139" i="2"/>
  <c r="FI139" i="2"/>
  <c r="FH139" i="2"/>
  <c r="FG139" i="2"/>
  <c r="FF139" i="2"/>
  <c r="FE139" i="2"/>
  <c r="FD139" i="2"/>
  <c r="FC139" i="2"/>
  <c r="FB139" i="2"/>
  <c r="FA139" i="2"/>
  <c r="EZ139" i="2"/>
  <c r="EY139" i="2"/>
  <c r="EX139" i="2"/>
  <c r="EW139" i="2"/>
  <c r="EV139" i="2"/>
  <c r="EU139" i="2"/>
  <c r="ET139" i="2"/>
  <c r="ES139" i="2"/>
  <c r="ER139" i="2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EE139" i="2"/>
  <c r="ED139" i="2"/>
  <c r="EC139" i="2"/>
  <c r="EB139" i="2"/>
  <c r="EA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A139" i="2"/>
  <c r="PI138" i="2"/>
  <c r="PH138" i="2"/>
  <c r="PG138" i="2"/>
  <c r="PF138" i="2"/>
  <c r="PE138" i="2"/>
  <c r="PD138" i="2"/>
  <c r="PC138" i="2"/>
  <c r="PB138" i="2"/>
  <c r="PA138" i="2"/>
  <c r="OZ138" i="2"/>
  <c r="OY138" i="2"/>
  <c r="OX138" i="2"/>
  <c r="OW138" i="2"/>
  <c r="OV138" i="2"/>
  <c r="OU138" i="2"/>
  <c r="OT138" i="2"/>
  <c r="OS138" i="2"/>
  <c r="OR138" i="2"/>
  <c r="OQ138" i="2"/>
  <c r="OP138" i="2"/>
  <c r="OO138" i="2"/>
  <c r="ON138" i="2"/>
  <c r="OM138" i="2"/>
  <c r="OL138" i="2"/>
  <c r="OK138" i="2"/>
  <c r="OJ138" i="2"/>
  <c r="OI138" i="2"/>
  <c r="OH138" i="2"/>
  <c r="OG138" i="2"/>
  <c r="OF138" i="2"/>
  <c r="OE138" i="2"/>
  <c r="OD138" i="2"/>
  <c r="OC138" i="2"/>
  <c r="OB138" i="2"/>
  <c r="OA138" i="2"/>
  <c r="NZ138" i="2"/>
  <c r="NY138" i="2"/>
  <c r="NX138" i="2"/>
  <c r="NW138" i="2"/>
  <c r="NV138" i="2"/>
  <c r="NU138" i="2"/>
  <c r="NT138" i="2"/>
  <c r="NS138" i="2"/>
  <c r="NR138" i="2"/>
  <c r="NQ138" i="2"/>
  <c r="NP138" i="2"/>
  <c r="NO138" i="2"/>
  <c r="NN138" i="2"/>
  <c r="NM138" i="2"/>
  <c r="NL138" i="2"/>
  <c r="NK138" i="2"/>
  <c r="NJ138" i="2"/>
  <c r="NI138" i="2"/>
  <c r="NH138" i="2"/>
  <c r="NG138" i="2"/>
  <c r="NF138" i="2"/>
  <c r="NE138" i="2"/>
  <c r="ND138" i="2"/>
  <c r="NC138" i="2"/>
  <c r="NB138" i="2"/>
  <c r="NA138" i="2"/>
  <c r="MZ138" i="2"/>
  <c r="MY138" i="2"/>
  <c r="MX138" i="2"/>
  <c r="MW138" i="2"/>
  <c r="MV138" i="2"/>
  <c r="MU138" i="2"/>
  <c r="MT138" i="2"/>
  <c r="MS138" i="2"/>
  <c r="MR138" i="2"/>
  <c r="MQ138" i="2"/>
  <c r="MP138" i="2"/>
  <c r="MO138" i="2"/>
  <c r="MN138" i="2"/>
  <c r="MM138" i="2"/>
  <c r="ML138" i="2"/>
  <c r="MK138" i="2"/>
  <c r="MJ138" i="2"/>
  <c r="MI138" i="2"/>
  <c r="MH138" i="2"/>
  <c r="MG138" i="2"/>
  <c r="MF138" i="2"/>
  <c r="ME138" i="2"/>
  <c r="MD138" i="2"/>
  <c r="MC138" i="2"/>
  <c r="MB138" i="2"/>
  <c r="MA138" i="2"/>
  <c r="LZ138" i="2"/>
  <c r="LY138" i="2"/>
  <c r="LX138" i="2"/>
  <c r="LW138" i="2"/>
  <c r="LV138" i="2"/>
  <c r="LU138" i="2"/>
  <c r="LT138" i="2"/>
  <c r="LS138" i="2"/>
  <c r="LR138" i="2"/>
  <c r="LQ138" i="2"/>
  <c r="LP138" i="2"/>
  <c r="LO138" i="2"/>
  <c r="LN138" i="2"/>
  <c r="LM138" i="2"/>
  <c r="LL138" i="2"/>
  <c r="LK138" i="2"/>
  <c r="LJ138" i="2"/>
  <c r="LI138" i="2"/>
  <c r="LH138" i="2"/>
  <c r="LG138" i="2"/>
  <c r="LF138" i="2"/>
  <c r="LE138" i="2"/>
  <c r="LD138" i="2"/>
  <c r="LC138" i="2"/>
  <c r="LB138" i="2"/>
  <c r="LA138" i="2"/>
  <c r="KZ138" i="2"/>
  <c r="KY138" i="2"/>
  <c r="KX138" i="2"/>
  <c r="KW138" i="2"/>
  <c r="KV138" i="2"/>
  <c r="KU138" i="2"/>
  <c r="KT138" i="2"/>
  <c r="KS138" i="2"/>
  <c r="KR138" i="2"/>
  <c r="KQ138" i="2"/>
  <c r="KP138" i="2"/>
  <c r="KO138" i="2"/>
  <c r="KN138" i="2"/>
  <c r="KM138" i="2"/>
  <c r="KL138" i="2"/>
  <c r="KK138" i="2"/>
  <c r="KJ138" i="2"/>
  <c r="KI138" i="2"/>
  <c r="KH138" i="2"/>
  <c r="KG138" i="2"/>
  <c r="KF138" i="2"/>
  <c r="KE138" i="2"/>
  <c r="KD138" i="2"/>
  <c r="KC138" i="2"/>
  <c r="KB138" i="2"/>
  <c r="KA138" i="2"/>
  <c r="JZ138" i="2"/>
  <c r="JY138" i="2"/>
  <c r="JX138" i="2"/>
  <c r="JW138" i="2"/>
  <c r="JV138" i="2"/>
  <c r="JU138" i="2"/>
  <c r="JT138" i="2"/>
  <c r="JS138" i="2"/>
  <c r="JR138" i="2"/>
  <c r="JQ138" i="2"/>
  <c r="JP138" i="2"/>
  <c r="JO138" i="2"/>
  <c r="JN138" i="2"/>
  <c r="JM138" i="2"/>
  <c r="JL138" i="2"/>
  <c r="JK138" i="2"/>
  <c r="JJ138" i="2"/>
  <c r="JI138" i="2"/>
  <c r="JH138" i="2"/>
  <c r="JG138" i="2"/>
  <c r="JF138" i="2"/>
  <c r="JE138" i="2"/>
  <c r="JD138" i="2"/>
  <c r="JC138" i="2"/>
  <c r="JB138" i="2"/>
  <c r="JA138" i="2"/>
  <c r="IZ138" i="2"/>
  <c r="IY138" i="2"/>
  <c r="IX138" i="2"/>
  <c r="IW138" i="2"/>
  <c r="IV138" i="2"/>
  <c r="IU138" i="2"/>
  <c r="IT138" i="2"/>
  <c r="IS138" i="2"/>
  <c r="IR138" i="2"/>
  <c r="IQ138" i="2"/>
  <c r="IP138" i="2"/>
  <c r="IO138" i="2"/>
  <c r="IN138" i="2"/>
  <c r="IM138" i="2"/>
  <c r="IL138" i="2"/>
  <c r="IK138" i="2"/>
  <c r="IJ138" i="2"/>
  <c r="II138" i="2"/>
  <c r="IH138" i="2"/>
  <c r="IG138" i="2"/>
  <c r="IF138" i="2"/>
  <c r="IE138" i="2"/>
  <c r="ID138" i="2"/>
  <c r="IC138" i="2"/>
  <c r="IB138" i="2"/>
  <c r="IA138" i="2"/>
  <c r="HZ138" i="2"/>
  <c r="HY138" i="2"/>
  <c r="HX138" i="2"/>
  <c r="HW138" i="2"/>
  <c r="HV138" i="2"/>
  <c r="HU138" i="2"/>
  <c r="HT138" i="2"/>
  <c r="HS138" i="2"/>
  <c r="HR138" i="2"/>
  <c r="HQ138" i="2"/>
  <c r="HP138" i="2"/>
  <c r="HO138" i="2"/>
  <c r="HN138" i="2"/>
  <c r="HM138" i="2"/>
  <c r="HL138" i="2"/>
  <c r="HK138" i="2"/>
  <c r="HJ138" i="2"/>
  <c r="HI138" i="2"/>
  <c r="HH138" i="2"/>
  <c r="HG138" i="2"/>
  <c r="HF138" i="2"/>
  <c r="HE138" i="2"/>
  <c r="HD138" i="2"/>
  <c r="HC138" i="2"/>
  <c r="HB138" i="2"/>
  <c r="HA138" i="2"/>
  <c r="GZ138" i="2"/>
  <c r="GY138" i="2"/>
  <c r="GX138" i="2"/>
  <c r="GW138" i="2"/>
  <c r="GV138" i="2"/>
  <c r="GU138" i="2"/>
  <c r="GT138" i="2"/>
  <c r="GS138" i="2"/>
  <c r="GR138" i="2"/>
  <c r="GQ138" i="2"/>
  <c r="GP138" i="2"/>
  <c r="GO138" i="2"/>
  <c r="GN138" i="2"/>
  <c r="GM138" i="2"/>
  <c r="GL138" i="2"/>
  <c r="GK138" i="2"/>
  <c r="GJ138" i="2"/>
  <c r="GI138" i="2"/>
  <c r="GH138" i="2"/>
  <c r="GG138" i="2"/>
  <c r="GF138" i="2"/>
  <c r="GE138" i="2"/>
  <c r="GD138" i="2"/>
  <c r="GC138" i="2"/>
  <c r="GB138" i="2"/>
  <c r="GA138" i="2"/>
  <c r="FZ138" i="2"/>
  <c r="FY138" i="2"/>
  <c r="FX138" i="2"/>
  <c r="FW138" i="2"/>
  <c r="FV138" i="2"/>
  <c r="FU138" i="2"/>
  <c r="FT138" i="2"/>
  <c r="FS138" i="2"/>
  <c r="FR138" i="2"/>
  <c r="FQ138" i="2"/>
  <c r="FP138" i="2"/>
  <c r="FO138" i="2"/>
  <c r="FN138" i="2"/>
  <c r="FM138" i="2"/>
  <c r="FL138" i="2"/>
  <c r="FK138" i="2"/>
  <c r="FJ138" i="2"/>
  <c r="FI138" i="2"/>
  <c r="FH138" i="2"/>
  <c r="FG138" i="2"/>
  <c r="FF138" i="2"/>
  <c r="FE138" i="2"/>
  <c r="FD138" i="2"/>
  <c r="FC138" i="2"/>
  <c r="FB138" i="2"/>
  <c r="FA138" i="2"/>
  <c r="EZ138" i="2"/>
  <c r="EY138" i="2"/>
  <c r="EX138" i="2"/>
  <c r="EW138" i="2"/>
  <c r="EV138" i="2"/>
  <c r="EU138" i="2"/>
  <c r="ET138" i="2"/>
  <c r="ES138" i="2"/>
  <c r="ER138" i="2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EE138" i="2"/>
  <c r="ED138" i="2"/>
  <c r="EC138" i="2"/>
  <c r="EB138" i="2"/>
  <c r="EA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CW138" i="2"/>
  <c r="CV138" i="2"/>
  <c r="CU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138" i="2"/>
  <c r="PI137" i="2"/>
  <c r="PH137" i="2"/>
  <c r="PG137" i="2"/>
  <c r="PF137" i="2"/>
  <c r="PE137" i="2"/>
  <c r="PD137" i="2"/>
  <c r="PC137" i="2"/>
  <c r="PB137" i="2"/>
  <c r="PA137" i="2"/>
  <c r="OZ137" i="2"/>
  <c r="OY137" i="2"/>
  <c r="OX137" i="2"/>
  <c r="OW137" i="2"/>
  <c r="OV137" i="2"/>
  <c r="OU137" i="2"/>
  <c r="OT137" i="2"/>
  <c r="OS137" i="2"/>
  <c r="OR137" i="2"/>
  <c r="OQ137" i="2"/>
  <c r="OP137" i="2"/>
  <c r="OO137" i="2"/>
  <c r="ON137" i="2"/>
  <c r="OM137" i="2"/>
  <c r="OL137" i="2"/>
  <c r="OK137" i="2"/>
  <c r="OJ137" i="2"/>
  <c r="OI137" i="2"/>
  <c r="OH137" i="2"/>
  <c r="OG137" i="2"/>
  <c r="OF137" i="2"/>
  <c r="OE137" i="2"/>
  <c r="OD137" i="2"/>
  <c r="OC137" i="2"/>
  <c r="OB137" i="2"/>
  <c r="OA137" i="2"/>
  <c r="NZ137" i="2"/>
  <c r="NY137" i="2"/>
  <c r="NX137" i="2"/>
  <c r="NW137" i="2"/>
  <c r="NV137" i="2"/>
  <c r="NU137" i="2"/>
  <c r="NT137" i="2"/>
  <c r="NS137" i="2"/>
  <c r="NR137" i="2"/>
  <c r="NQ137" i="2"/>
  <c r="NP137" i="2"/>
  <c r="NO137" i="2"/>
  <c r="NN137" i="2"/>
  <c r="NM137" i="2"/>
  <c r="NL137" i="2"/>
  <c r="NK137" i="2"/>
  <c r="NJ137" i="2"/>
  <c r="NI137" i="2"/>
  <c r="NH137" i="2"/>
  <c r="NG137" i="2"/>
  <c r="NF137" i="2"/>
  <c r="NE137" i="2"/>
  <c r="ND137" i="2"/>
  <c r="NC137" i="2"/>
  <c r="NB137" i="2"/>
  <c r="NA137" i="2"/>
  <c r="MZ137" i="2"/>
  <c r="MY137" i="2"/>
  <c r="MX137" i="2"/>
  <c r="MW137" i="2"/>
  <c r="MV137" i="2"/>
  <c r="MU137" i="2"/>
  <c r="MT137" i="2"/>
  <c r="MS137" i="2"/>
  <c r="MR137" i="2"/>
  <c r="MQ137" i="2"/>
  <c r="MP137" i="2"/>
  <c r="MO137" i="2"/>
  <c r="MN137" i="2"/>
  <c r="MM137" i="2"/>
  <c r="ML137" i="2"/>
  <c r="MK137" i="2"/>
  <c r="MJ137" i="2"/>
  <c r="MI137" i="2"/>
  <c r="MH137" i="2"/>
  <c r="MG137" i="2"/>
  <c r="MF137" i="2"/>
  <c r="ME137" i="2"/>
  <c r="MD137" i="2"/>
  <c r="MC137" i="2"/>
  <c r="MB137" i="2"/>
  <c r="MA137" i="2"/>
  <c r="LZ137" i="2"/>
  <c r="LY137" i="2"/>
  <c r="LX137" i="2"/>
  <c r="LW137" i="2"/>
  <c r="LV137" i="2"/>
  <c r="LU137" i="2"/>
  <c r="LT137" i="2"/>
  <c r="LS137" i="2"/>
  <c r="LR137" i="2"/>
  <c r="LQ137" i="2"/>
  <c r="LP137" i="2"/>
  <c r="LO137" i="2"/>
  <c r="LN137" i="2"/>
  <c r="LM137" i="2"/>
  <c r="LL137" i="2"/>
  <c r="LK137" i="2"/>
  <c r="LJ137" i="2"/>
  <c r="LI137" i="2"/>
  <c r="LH137" i="2"/>
  <c r="LG137" i="2"/>
  <c r="LF137" i="2"/>
  <c r="LE137" i="2"/>
  <c r="LD137" i="2"/>
  <c r="LC137" i="2"/>
  <c r="LB137" i="2"/>
  <c r="LA137" i="2"/>
  <c r="KZ137" i="2"/>
  <c r="KY137" i="2"/>
  <c r="KX137" i="2"/>
  <c r="KW137" i="2"/>
  <c r="KV137" i="2"/>
  <c r="KU137" i="2"/>
  <c r="KT137" i="2"/>
  <c r="KS137" i="2"/>
  <c r="KR137" i="2"/>
  <c r="KQ137" i="2"/>
  <c r="KP137" i="2"/>
  <c r="KO137" i="2"/>
  <c r="KN137" i="2"/>
  <c r="KM137" i="2"/>
  <c r="KL137" i="2"/>
  <c r="KK137" i="2"/>
  <c r="KJ137" i="2"/>
  <c r="KI137" i="2"/>
  <c r="KH137" i="2"/>
  <c r="KG137" i="2"/>
  <c r="KF137" i="2"/>
  <c r="KE137" i="2"/>
  <c r="KD137" i="2"/>
  <c r="KC137" i="2"/>
  <c r="KB137" i="2"/>
  <c r="KA137" i="2"/>
  <c r="JZ137" i="2"/>
  <c r="JY137" i="2"/>
  <c r="JX137" i="2"/>
  <c r="JW137" i="2"/>
  <c r="JV137" i="2"/>
  <c r="JU137" i="2"/>
  <c r="JT137" i="2"/>
  <c r="JS137" i="2"/>
  <c r="JR137" i="2"/>
  <c r="JQ137" i="2"/>
  <c r="JP137" i="2"/>
  <c r="JO137" i="2"/>
  <c r="JN137" i="2"/>
  <c r="JM137" i="2"/>
  <c r="JL137" i="2"/>
  <c r="JK137" i="2"/>
  <c r="JJ137" i="2"/>
  <c r="JI137" i="2"/>
  <c r="JH137" i="2"/>
  <c r="JG137" i="2"/>
  <c r="JF137" i="2"/>
  <c r="JE137" i="2"/>
  <c r="JD137" i="2"/>
  <c r="JC137" i="2"/>
  <c r="JB137" i="2"/>
  <c r="JA137" i="2"/>
  <c r="IZ137" i="2"/>
  <c r="IY137" i="2"/>
  <c r="IX137" i="2"/>
  <c r="IW137" i="2"/>
  <c r="IV137" i="2"/>
  <c r="IU137" i="2"/>
  <c r="IT137" i="2"/>
  <c r="IS137" i="2"/>
  <c r="IR137" i="2"/>
  <c r="IQ137" i="2"/>
  <c r="IP137" i="2"/>
  <c r="IO137" i="2"/>
  <c r="IN137" i="2"/>
  <c r="IM137" i="2"/>
  <c r="IL137" i="2"/>
  <c r="IK137" i="2"/>
  <c r="IJ137" i="2"/>
  <c r="II137" i="2"/>
  <c r="IH137" i="2"/>
  <c r="IG137" i="2"/>
  <c r="IF137" i="2"/>
  <c r="IE137" i="2"/>
  <c r="ID137" i="2"/>
  <c r="IC137" i="2"/>
  <c r="IB137" i="2"/>
  <c r="IA137" i="2"/>
  <c r="HZ137" i="2"/>
  <c r="HY137" i="2"/>
  <c r="HX137" i="2"/>
  <c r="HW137" i="2"/>
  <c r="HV137" i="2"/>
  <c r="HU137" i="2"/>
  <c r="HT137" i="2"/>
  <c r="HS137" i="2"/>
  <c r="HR137" i="2"/>
  <c r="HQ137" i="2"/>
  <c r="HP137" i="2"/>
  <c r="HO137" i="2"/>
  <c r="HN137" i="2"/>
  <c r="HM137" i="2"/>
  <c r="HL137" i="2"/>
  <c r="HK137" i="2"/>
  <c r="HJ137" i="2"/>
  <c r="HI137" i="2"/>
  <c r="HH137" i="2"/>
  <c r="HG137" i="2"/>
  <c r="HF137" i="2"/>
  <c r="HE137" i="2"/>
  <c r="HD137" i="2"/>
  <c r="HC137" i="2"/>
  <c r="HB137" i="2"/>
  <c r="HA137" i="2"/>
  <c r="GZ137" i="2"/>
  <c r="GY137" i="2"/>
  <c r="GX137" i="2"/>
  <c r="GW137" i="2"/>
  <c r="GV137" i="2"/>
  <c r="GU137" i="2"/>
  <c r="GT137" i="2"/>
  <c r="GS137" i="2"/>
  <c r="GR137" i="2"/>
  <c r="GQ137" i="2"/>
  <c r="GP137" i="2"/>
  <c r="GO137" i="2"/>
  <c r="GN137" i="2"/>
  <c r="GM137" i="2"/>
  <c r="GL137" i="2"/>
  <c r="GK137" i="2"/>
  <c r="GJ137" i="2"/>
  <c r="GI137" i="2"/>
  <c r="GH137" i="2"/>
  <c r="GG137" i="2"/>
  <c r="GF137" i="2"/>
  <c r="GE137" i="2"/>
  <c r="GD137" i="2"/>
  <c r="GC137" i="2"/>
  <c r="GB137" i="2"/>
  <c r="GA137" i="2"/>
  <c r="FZ137" i="2"/>
  <c r="FY137" i="2"/>
  <c r="FX137" i="2"/>
  <c r="FW137" i="2"/>
  <c r="FV137" i="2"/>
  <c r="FU137" i="2"/>
  <c r="FT137" i="2"/>
  <c r="FS137" i="2"/>
  <c r="FR137" i="2"/>
  <c r="FQ137" i="2"/>
  <c r="FP137" i="2"/>
  <c r="FO137" i="2"/>
  <c r="FN137" i="2"/>
  <c r="FM137" i="2"/>
  <c r="FL137" i="2"/>
  <c r="FK137" i="2"/>
  <c r="FJ137" i="2"/>
  <c r="FI137" i="2"/>
  <c r="FH137" i="2"/>
  <c r="FG137" i="2"/>
  <c r="FF137" i="2"/>
  <c r="FE137" i="2"/>
  <c r="FD137" i="2"/>
  <c r="FC137" i="2"/>
  <c r="FB137" i="2"/>
  <c r="FA137" i="2"/>
  <c r="EZ137" i="2"/>
  <c r="EY137" i="2"/>
  <c r="EX137" i="2"/>
  <c r="EW137" i="2"/>
  <c r="EV137" i="2"/>
  <c r="EU137" i="2"/>
  <c r="ET137" i="2"/>
  <c r="ES137" i="2"/>
  <c r="ER137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EE137" i="2"/>
  <c r="ED137" i="2"/>
  <c r="EC137" i="2"/>
  <c r="EB137" i="2"/>
  <c r="EA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CW137" i="2"/>
  <c r="CV137" i="2"/>
  <c r="CU137" i="2"/>
  <c r="CT137" i="2"/>
  <c r="CS137" i="2"/>
  <c r="CR137" i="2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A137" i="2"/>
  <c r="PI136" i="2"/>
  <c r="PH136" i="2"/>
  <c r="PG136" i="2"/>
  <c r="PF136" i="2"/>
  <c r="PE136" i="2"/>
  <c r="PD136" i="2"/>
  <c r="PC136" i="2"/>
  <c r="PB136" i="2"/>
  <c r="PA136" i="2"/>
  <c r="OZ136" i="2"/>
  <c r="OY136" i="2"/>
  <c r="OX136" i="2"/>
  <c r="OW136" i="2"/>
  <c r="OV136" i="2"/>
  <c r="OU136" i="2"/>
  <c r="OT136" i="2"/>
  <c r="OS136" i="2"/>
  <c r="OR136" i="2"/>
  <c r="OQ136" i="2"/>
  <c r="OP136" i="2"/>
  <c r="OO136" i="2"/>
  <c r="ON136" i="2"/>
  <c r="OM136" i="2"/>
  <c r="OL136" i="2"/>
  <c r="OK136" i="2"/>
  <c r="OJ136" i="2"/>
  <c r="OI136" i="2"/>
  <c r="OH136" i="2"/>
  <c r="OG136" i="2"/>
  <c r="OF136" i="2"/>
  <c r="OE136" i="2"/>
  <c r="OD136" i="2"/>
  <c r="OC136" i="2"/>
  <c r="OB136" i="2"/>
  <c r="OA136" i="2"/>
  <c r="NZ136" i="2"/>
  <c r="NY136" i="2"/>
  <c r="NX136" i="2"/>
  <c r="NW136" i="2"/>
  <c r="NV136" i="2"/>
  <c r="NU136" i="2"/>
  <c r="NT136" i="2"/>
  <c r="NS136" i="2"/>
  <c r="NR136" i="2"/>
  <c r="NQ136" i="2"/>
  <c r="NP136" i="2"/>
  <c r="NO136" i="2"/>
  <c r="NN136" i="2"/>
  <c r="NM136" i="2"/>
  <c r="NL136" i="2"/>
  <c r="NK136" i="2"/>
  <c r="NJ136" i="2"/>
  <c r="NI136" i="2"/>
  <c r="NH136" i="2"/>
  <c r="NG136" i="2"/>
  <c r="NF136" i="2"/>
  <c r="NE136" i="2"/>
  <c r="ND136" i="2"/>
  <c r="NC136" i="2"/>
  <c r="NB136" i="2"/>
  <c r="NA136" i="2"/>
  <c r="MZ136" i="2"/>
  <c r="MY136" i="2"/>
  <c r="MX136" i="2"/>
  <c r="MW136" i="2"/>
  <c r="MV136" i="2"/>
  <c r="MU136" i="2"/>
  <c r="MT136" i="2"/>
  <c r="MS136" i="2"/>
  <c r="MR136" i="2"/>
  <c r="MQ136" i="2"/>
  <c r="MP136" i="2"/>
  <c r="MO136" i="2"/>
  <c r="MN136" i="2"/>
  <c r="MM136" i="2"/>
  <c r="ML136" i="2"/>
  <c r="MK136" i="2"/>
  <c r="MJ136" i="2"/>
  <c r="MI136" i="2"/>
  <c r="MH136" i="2"/>
  <c r="MG136" i="2"/>
  <c r="MF136" i="2"/>
  <c r="ME136" i="2"/>
  <c r="MD136" i="2"/>
  <c r="MC136" i="2"/>
  <c r="MB136" i="2"/>
  <c r="MA136" i="2"/>
  <c r="LZ136" i="2"/>
  <c r="LY136" i="2"/>
  <c r="LX136" i="2"/>
  <c r="LW136" i="2"/>
  <c r="LV136" i="2"/>
  <c r="LU136" i="2"/>
  <c r="LT136" i="2"/>
  <c r="LS136" i="2"/>
  <c r="LR136" i="2"/>
  <c r="LQ136" i="2"/>
  <c r="LP136" i="2"/>
  <c r="LO136" i="2"/>
  <c r="LN136" i="2"/>
  <c r="LM136" i="2"/>
  <c r="LL136" i="2"/>
  <c r="LK136" i="2"/>
  <c r="LJ136" i="2"/>
  <c r="LI136" i="2"/>
  <c r="LH136" i="2"/>
  <c r="LG136" i="2"/>
  <c r="LF136" i="2"/>
  <c r="LE136" i="2"/>
  <c r="LD136" i="2"/>
  <c r="LC136" i="2"/>
  <c r="LB136" i="2"/>
  <c r="LA136" i="2"/>
  <c r="KZ136" i="2"/>
  <c r="KY136" i="2"/>
  <c r="KX136" i="2"/>
  <c r="KW136" i="2"/>
  <c r="KV136" i="2"/>
  <c r="KU136" i="2"/>
  <c r="KT136" i="2"/>
  <c r="KS136" i="2"/>
  <c r="KR136" i="2"/>
  <c r="KQ136" i="2"/>
  <c r="KP136" i="2"/>
  <c r="KO136" i="2"/>
  <c r="KN136" i="2"/>
  <c r="KM136" i="2"/>
  <c r="KL136" i="2"/>
  <c r="KK136" i="2"/>
  <c r="KJ136" i="2"/>
  <c r="KI136" i="2"/>
  <c r="KH136" i="2"/>
  <c r="KG136" i="2"/>
  <c r="KF136" i="2"/>
  <c r="KE136" i="2"/>
  <c r="KD136" i="2"/>
  <c r="KC136" i="2"/>
  <c r="KB136" i="2"/>
  <c r="KA136" i="2"/>
  <c r="JZ136" i="2"/>
  <c r="JY136" i="2"/>
  <c r="JX136" i="2"/>
  <c r="JW136" i="2"/>
  <c r="JV136" i="2"/>
  <c r="JU136" i="2"/>
  <c r="JT136" i="2"/>
  <c r="JS136" i="2"/>
  <c r="JR136" i="2"/>
  <c r="JQ136" i="2"/>
  <c r="JP136" i="2"/>
  <c r="JO136" i="2"/>
  <c r="JN136" i="2"/>
  <c r="JM136" i="2"/>
  <c r="JL136" i="2"/>
  <c r="JK136" i="2"/>
  <c r="JJ136" i="2"/>
  <c r="JI136" i="2"/>
  <c r="JH136" i="2"/>
  <c r="JG136" i="2"/>
  <c r="JF136" i="2"/>
  <c r="JE136" i="2"/>
  <c r="JD136" i="2"/>
  <c r="JC136" i="2"/>
  <c r="JB136" i="2"/>
  <c r="JA136" i="2"/>
  <c r="IZ136" i="2"/>
  <c r="IY136" i="2"/>
  <c r="IX136" i="2"/>
  <c r="IW136" i="2"/>
  <c r="IV136" i="2"/>
  <c r="IU136" i="2"/>
  <c r="IT136" i="2"/>
  <c r="IS136" i="2"/>
  <c r="IR136" i="2"/>
  <c r="IQ136" i="2"/>
  <c r="IP136" i="2"/>
  <c r="IO136" i="2"/>
  <c r="IN136" i="2"/>
  <c r="IM136" i="2"/>
  <c r="IL136" i="2"/>
  <c r="IK136" i="2"/>
  <c r="IJ136" i="2"/>
  <c r="II136" i="2"/>
  <c r="IH136" i="2"/>
  <c r="IG136" i="2"/>
  <c r="IF136" i="2"/>
  <c r="IE136" i="2"/>
  <c r="ID136" i="2"/>
  <c r="IC136" i="2"/>
  <c r="IB136" i="2"/>
  <c r="IA136" i="2"/>
  <c r="HZ136" i="2"/>
  <c r="HY136" i="2"/>
  <c r="HX136" i="2"/>
  <c r="HW136" i="2"/>
  <c r="HV136" i="2"/>
  <c r="HU136" i="2"/>
  <c r="HT136" i="2"/>
  <c r="HS136" i="2"/>
  <c r="HR136" i="2"/>
  <c r="HQ136" i="2"/>
  <c r="HP136" i="2"/>
  <c r="HO136" i="2"/>
  <c r="HN136" i="2"/>
  <c r="HM136" i="2"/>
  <c r="HL136" i="2"/>
  <c r="HK136" i="2"/>
  <c r="HJ136" i="2"/>
  <c r="HI136" i="2"/>
  <c r="HH136" i="2"/>
  <c r="HG136" i="2"/>
  <c r="HF136" i="2"/>
  <c r="HE136" i="2"/>
  <c r="HD136" i="2"/>
  <c r="HC136" i="2"/>
  <c r="HB136" i="2"/>
  <c r="HA136" i="2"/>
  <c r="GZ136" i="2"/>
  <c r="GY136" i="2"/>
  <c r="GX136" i="2"/>
  <c r="GW136" i="2"/>
  <c r="GV136" i="2"/>
  <c r="GU136" i="2"/>
  <c r="GT136" i="2"/>
  <c r="GS136" i="2"/>
  <c r="GR136" i="2"/>
  <c r="GQ136" i="2"/>
  <c r="GP136" i="2"/>
  <c r="GO136" i="2"/>
  <c r="GN136" i="2"/>
  <c r="GM136" i="2"/>
  <c r="GL136" i="2"/>
  <c r="GK136" i="2"/>
  <c r="GJ136" i="2"/>
  <c r="GI136" i="2"/>
  <c r="GH136" i="2"/>
  <c r="GG136" i="2"/>
  <c r="GF136" i="2"/>
  <c r="GE136" i="2"/>
  <c r="GD136" i="2"/>
  <c r="GC136" i="2"/>
  <c r="GB136" i="2"/>
  <c r="GA136" i="2"/>
  <c r="FZ136" i="2"/>
  <c r="FY136" i="2"/>
  <c r="FX136" i="2"/>
  <c r="FW136" i="2"/>
  <c r="FV136" i="2"/>
  <c r="FU136" i="2"/>
  <c r="FT136" i="2"/>
  <c r="FS136" i="2"/>
  <c r="FR136" i="2"/>
  <c r="FQ136" i="2"/>
  <c r="FP136" i="2"/>
  <c r="FO136" i="2"/>
  <c r="FN136" i="2"/>
  <c r="FM136" i="2"/>
  <c r="FL136" i="2"/>
  <c r="FK136" i="2"/>
  <c r="FJ136" i="2"/>
  <c r="FI136" i="2"/>
  <c r="FH136" i="2"/>
  <c r="FG136" i="2"/>
  <c r="FF136" i="2"/>
  <c r="FE136" i="2"/>
  <c r="FD136" i="2"/>
  <c r="FC136" i="2"/>
  <c r="FB136" i="2"/>
  <c r="FA136" i="2"/>
  <c r="EZ136" i="2"/>
  <c r="EY136" i="2"/>
  <c r="EX136" i="2"/>
  <c r="EW136" i="2"/>
  <c r="EV136" i="2"/>
  <c r="EU136" i="2"/>
  <c r="ET136" i="2"/>
  <c r="ES136" i="2"/>
  <c r="ER136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EE136" i="2"/>
  <c r="ED136" i="2"/>
  <c r="EC136" i="2"/>
  <c r="EB136" i="2"/>
  <c r="EA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CW136" i="2"/>
  <c r="CV136" i="2"/>
  <c r="CU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A136" i="2"/>
  <c r="PI135" i="2"/>
  <c r="PH135" i="2"/>
  <c r="PG135" i="2"/>
  <c r="PF135" i="2"/>
  <c r="PE135" i="2"/>
  <c r="PD135" i="2"/>
  <c r="PC135" i="2"/>
  <c r="PB135" i="2"/>
  <c r="PA135" i="2"/>
  <c r="OZ135" i="2"/>
  <c r="OY135" i="2"/>
  <c r="OX135" i="2"/>
  <c r="OW135" i="2"/>
  <c r="OV135" i="2"/>
  <c r="OU135" i="2"/>
  <c r="OT135" i="2"/>
  <c r="OS135" i="2"/>
  <c r="OR135" i="2"/>
  <c r="OQ135" i="2"/>
  <c r="OP135" i="2"/>
  <c r="OO135" i="2"/>
  <c r="ON135" i="2"/>
  <c r="OM135" i="2"/>
  <c r="OL135" i="2"/>
  <c r="OK135" i="2"/>
  <c r="OJ135" i="2"/>
  <c r="OI135" i="2"/>
  <c r="OH135" i="2"/>
  <c r="OG135" i="2"/>
  <c r="OF135" i="2"/>
  <c r="OE135" i="2"/>
  <c r="OD135" i="2"/>
  <c r="OC135" i="2"/>
  <c r="OB135" i="2"/>
  <c r="OA135" i="2"/>
  <c r="NZ135" i="2"/>
  <c r="NY135" i="2"/>
  <c r="NX135" i="2"/>
  <c r="NW135" i="2"/>
  <c r="NV135" i="2"/>
  <c r="NU135" i="2"/>
  <c r="NT135" i="2"/>
  <c r="NS135" i="2"/>
  <c r="NR135" i="2"/>
  <c r="NQ135" i="2"/>
  <c r="NP135" i="2"/>
  <c r="NO135" i="2"/>
  <c r="NN135" i="2"/>
  <c r="NM135" i="2"/>
  <c r="NL135" i="2"/>
  <c r="NK135" i="2"/>
  <c r="NJ135" i="2"/>
  <c r="NI135" i="2"/>
  <c r="NH135" i="2"/>
  <c r="NG135" i="2"/>
  <c r="NF135" i="2"/>
  <c r="NE135" i="2"/>
  <c r="ND135" i="2"/>
  <c r="NC135" i="2"/>
  <c r="NB135" i="2"/>
  <c r="NA135" i="2"/>
  <c r="MZ135" i="2"/>
  <c r="MY135" i="2"/>
  <c r="MX135" i="2"/>
  <c r="MW135" i="2"/>
  <c r="MV135" i="2"/>
  <c r="MU135" i="2"/>
  <c r="MT135" i="2"/>
  <c r="MS135" i="2"/>
  <c r="MR135" i="2"/>
  <c r="MQ135" i="2"/>
  <c r="MP135" i="2"/>
  <c r="MO135" i="2"/>
  <c r="MN135" i="2"/>
  <c r="MM135" i="2"/>
  <c r="ML135" i="2"/>
  <c r="MK135" i="2"/>
  <c r="MJ135" i="2"/>
  <c r="MI135" i="2"/>
  <c r="MH135" i="2"/>
  <c r="MG135" i="2"/>
  <c r="MF135" i="2"/>
  <c r="ME135" i="2"/>
  <c r="MD135" i="2"/>
  <c r="MC135" i="2"/>
  <c r="MB135" i="2"/>
  <c r="MA135" i="2"/>
  <c r="LZ135" i="2"/>
  <c r="LY135" i="2"/>
  <c r="LX135" i="2"/>
  <c r="LW135" i="2"/>
  <c r="LV135" i="2"/>
  <c r="LU135" i="2"/>
  <c r="LT135" i="2"/>
  <c r="LS135" i="2"/>
  <c r="LR135" i="2"/>
  <c r="LQ135" i="2"/>
  <c r="LP135" i="2"/>
  <c r="LO135" i="2"/>
  <c r="LN135" i="2"/>
  <c r="LM135" i="2"/>
  <c r="LL135" i="2"/>
  <c r="LK135" i="2"/>
  <c r="LJ135" i="2"/>
  <c r="LI135" i="2"/>
  <c r="LH135" i="2"/>
  <c r="LG135" i="2"/>
  <c r="LF135" i="2"/>
  <c r="LE135" i="2"/>
  <c r="LD135" i="2"/>
  <c r="LC135" i="2"/>
  <c r="LB135" i="2"/>
  <c r="LA135" i="2"/>
  <c r="KZ135" i="2"/>
  <c r="KY135" i="2"/>
  <c r="KX135" i="2"/>
  <c r="KW135" i="2"/>
  <c r="KV135" i="2"/>
  <c r="KU135" i="2"/>
  <c r="KT135" i="2"/>
  <c r="KS135" i="2"/>
  <c r="KR135" i="2"/>
  <c r="KQ135" i="2"/>
  <c r="KP135" i="2"/>
  <c r="KO135" i="2"/>
  <c r="KN135" i="2"/>
  <c r="KM135" i="2"/>
  <c r="KL135" i="2"/>
  <c r="KK135" i="2"/>
  <c r="KJ135" i="2"/>
  <c r="KI135" i="2"/>
  <c r="KH135" i="2"/>
  <c r="KG135" i="2"/>
  <c r="KF135" i="2"/>
  <c r="KE135" i="2"/>
  <c r="KD135" i="2"/>
  <c r="KC135" i="2"/>
  <c r="KB135" i="2"/>
  <c r="KA135" i="2"/>
  <c r="JZ135" i="2"/>
  <c r="JY135" i="2"/>
  <c r="JX135" i="2"/>
  <c r="JW135" i="2"/>
  <c r="JV135" i="2"/>
  <c r="JU135" i="2"/>
  <c r="JT135" i="2"/>
  <c r="JS135" i="2"/>
  <c r="JR135" i="2"/>
  <c r="JQ135" i="2"/>
  <c r="JP135" i="2"/>
  <c r="JO135" i="2"/>
  <c r="JN135" i="2"/>
  <c r="JM135" i="2"/>
  <c r="JL135" i="2"/>
  <c r="JK135" i="2"/>
  <c r="JJ135" i="2"/>
  <c r="JI135" i="2"/>
  <c r="JH135" i="2"/>
  <c r="JG135" i="2"/>
  <c r="JF135" i="2"/>
  <c r="JE135" i="2"/>
  <c r="JD135" i="2"/>
  <c r="JC135" i="2"/>
  <c r="JB135" i="2"/>
  <c r="JA135" i="2"/>
  <c r="IZ135" i="2"/>
  <c r="IY135" i="2"/>
  <c r="IX135" i="2"/>
  <c r="IW135" i="2"/>
  <c r="IV135" i="2"/>
  <c r="IU135" i="2"/>
  <c r="IT135" i="2"/>
  <c r="IS135" i="2"/>
  <c r="IR135" i="2"/>
  <c r="IQ135" i="2"/>
  <c r="IP135" i="2"/>
  <c r="IO135" i="2"/>
  <c r="IN135" i="2"/>
  <c r="IM135" i="2"/>
  <c r="IL135" i="2"/>
  <c r="IK135" i="2"/>
  <c r="IJ135" i="2"/>
  <c r="II135" i="2"/>
  <c r="IH135" i="2"/>
  <c r="IG135" i="2"/>
  <c r="IF135" i="2"/>
  <c r="IE135" i="2"/>
  <c r="ID135" i="2"/>
  <c r="IC135" i="2"/>
  <c r="IB135" i="2"/>
  <c r="IA135" i="2"/>
  <c r="HZ135" i="2"/>
  <c r="HY135" i="2"/>
  <c r="HX135" i="2"/>
  <c r="HW135" i="2"/>
  <c r="HV135" i="2"/>
  <c r="HU135" i="2"/>
  <c r="HT135" i="2"/>
  <c r="HS135" i="2"/>
  <c r="HR135" i="2"/>
  <c r="HQ135" i="2"/>
  <c r="HP135" i="2"/>
  <c r="HO135" i="2"/>
  <c r="HN135" i="2"/>
  <c r="HM135" i="2"/>
  <c r="HL135" i="2"/>
  <c r="HK135" i="2"/>
  <c r="HJ135" i="2"/>
  <c r="HI135" i="2"/>
  <c r="HH135" i="2"/>
  <c r="HG135" i="2"/>
  <c r="HF135" i="2"/>
  <c r="HE135" i="2"/>
  <c r="HD135" i="2"/>
  <c r="HC135" i="2"/>
  <c r="HB135" i="2"/>
  <c r="HA135" i="2"/>
  <c r="GZ135" i="2"/>
  <c r="GY135" i="2"/>
  <c r="GX135" i="2"/>
  <c r="GW135" i="2"/>
  <c r="GV135" i="2"/>
  <c r="GU135" i="2"/>
  <c r="GT135" i="2"/>
  <c r="GS135" i="2"/>
  <c r="GR135" i="2"/>
  <c r="GQ135" i="2"/>
  <c r="GP135" i="2"/>
  <c r="GO135" i="2"/>
  <c r="GN135" i="2"/>
  <c r="GM135" i="2"/>
  <c r="GL135" i="2"/>
  <c r="GK135" i="2"/>
  <c r="GJ135" i="2"/>
  <c r="GI135" i="2"/>
  <c r="GH135" i="2"/>
  <c r="GG135" i="2"/>
  <c r="GF135" i="2"/>
  <c r="GE135" i="2"/>
  <c r="GD135" i="2"/>
  <c r="GC135" i="2"/>
  <c r="GB135" i="2"/>
  <c r="GA135" i="2"/>
  <c r="FZ135" i="2"/>
  <c r="FY135" i="2"/>
  <c r="FX135" i="2"/>
  <c r="FW135" i="2"/>
  <c r="FV135" i="2"/>
  <c r="FU135" i="2"/>
  <c r="FT135" i="2"/>
  <c r="FS135" i="2"/>
  <c r="FR135" i="2"/>
  <c r="FQ135" i="2"/>
  <c r="FP135" i="2"/>
  <c r="FO135" i="2"/>
  <c r="FN135" i="2"/>
  <c r="FM135" i="2"/>
  <c r="FL135" i="2"/>
  <c r="FK135" i="2"/>
  <c r="FJ135" i="2"/>
  <c r="FI135" i="2"/>
  <c r="FH135" i="2"/>
  <c r="FG135" i="2"/>
  <c r="FF135" i="2"/>
  <c r="FE135" i="2"/>
  <c r="FD135" i="2"/>
  <c r="FC135" i="2"/>
  <c r="FB135" i="2"/>
  <c r="FA135" i="2"/>
  <c r="EZ135" i="2"/>
  <c r="EY135" i="2"/>
  <c r="EX135" i="2"/>
  <c r="EW135" i="2"/>
  <c r="EV135" i="2"/>
  <c r="EU135" i="2"/>
  <c r="ET135" i="2"/>
  <c r="ES135" i="2"/>
  <c r="ER135" i="2"/>
  <c r="EQ135" i="2"/>
  <c r="EP135" i="2"/>
  <c r="EO135" i="2"/>
  <c r="EN135" i="2"/>
  <c r="EM135" i="2"/>
  <c r="EL135" i="2"/>
  <c r="EK135" i="2"/>
  <c r="EJ135" i="2"/>
  <c r="EI135" i="2"/>
  <c r="EH135" i="2"/>
  <c r="EG135" i="2"/>
  <c r="EF135" i="2"/>
  <c r="EE135" i="2"/>
  <c r="ED135" i="2"/>
  <c r="EC135" i="2"/>
  <c r="EB135" i="2"/>
  <c r="EA135" i="2"/>
  <c r="DZ135" i="2"/>
  <c r="DY135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A135" i="2"/>
  <c r="PI134" i="2"/>
  <c r="PH134" i="2"/>
  <c r="PG134" i="2"/>
  <c r="PF134" i="2"/>
  <c r="PE134" i="2"/>
  <c r="PD134" i="2"/>
  <c r="PC134" i="2"/>
  <c r="PB134" i="2"/>
  <c r="PA134" i="2"/>
  <c r="OZ134" i="2"/>
  <c r="OY134" i="2"/>
  <c r="OX134" i="2"/>
  <c r="OW134" i="2"/>
  <c r="OV134" i="2"/>
  <c r="OU134" i="2"/>
  <c r="OT134" i="2"/>
  <c r="OS134" i="2"/>
  <c r="OR134" i="2"/>
  <c r="OQ134" i="2"/>
  <c r="OP134" i="2"/>
  <c r="OO134" i="2"/>
  <c r="ON134" i="2"/>
  <c r="OM134" i="2"/>
  <c r="OL134" i="2"/>
  <c r="OK134" i="2"/>
  <c r="OJ134" i="2"/>
  <c r="OI134" i="2"/>
  <c r="OH134" i="2"/>
  <c r="OG134" i="2"/>
  <c r="OF134" i="2"/>
  <c r="OE134" i="2"/>
  <c r="OD134" i="2"/>
  <c r="OC134" i="2"/>
  <c r="OB134" i="2"/>
  <c r="OA134" i="2"/>
  <c r="NZ134" i="2"/>
  <c r="NY134" i="2"/>
  <c r="NX134" i="2"/>
  <c r="NW134" i="2"/>
  <c r="NV134" i="2"/>
  <c r="NU134" i="2"/>
  <c r="NT134" i="2"/>
  <c r="NS134" i="2"/>
  <c r="NR134" i="2"/>
  <c r="NQ134" i="2"/>
  <c r="NP134" i="2"/>
  <c r="NO134" i="2"/>
  <c r="NN134" i="2"/>
  <c r="NM134" i="2"/>
  <c r="NL134" i="2"/>
  <c r="NK134" i="2"/>
  <c r="NJ134" i="2"/>
  <c r="NI134" i="2"/>
  <c r="NH134" i="2"/>
  <c r="NG134" i="2"/>
  <c r="NF134" i="2"/>
  <c r="NE134" i="2"/>
  <c r="ND134" i="2"/>
  <c r="NC134" i="2"/>
  <c r="NB134" i="2"/>
  <c r="NA134" i="2"/>
  <c r="MZ134" i="2"/>
  <c r="MY134" i="2"/>
  <c r="MX134" i="2"/>
  <c r="MW134" i="2"/>
  <c r="MV134" i="2"/>
  <c r="MU134" i="2"/>
  <c r="MT134" i="2"/>
  <c r="MS134" i="2"/>
  <c r="MR134" i="2"/>
  <c r="MQ134" i="2"/>
  <c r="MP134" i="2"/>
  <c r="MO134" i="2"/>
  <c r="MN134" i="2"/>
  <c r="MM134" i="2"/>
  <c r="ML134" i="2"/>
  <c r="MK134" i="2"/>
  <c r="MJ134" i="2"/>
  <c r="MI134" i="2"/>
  <c r="MH134" i="2"/>
  <c r="MG134" i="2"/>
  <c r="MF134" i="2"/>
  <c r="ME134" i="2"/>
  <c r="MD134" i="2"/>
  <c r="MC134" i="2"/>
  <c r="MB134" i="2"/>
  <c r="MA134" i="2"/>
  <c r="LZ134" i="2"/>
  <c r="LY134" i="2"/>
  <c r="LX134" i="2"/>
  <c r="LW134" i="2"/>
  <c r="LV134" i="2"/>
  <c r="LU134" i="2"/>
  <c r="LT134" i="2"/>
  <c r="LS134" i="2"/>
  <c r="LR134" i="2"/>
  <c r="LQ134" i="2"/>
  <c r="LP134" i="2"/>
  <c r="LO134" i="2"/>
  <c r="LN134" i="2"/>
  <c r="LM134" i="2"/>
  <c r="LL134" i="2"/>
  <c r="LK134" i="2"/>
  <c r="LJ134" i="2"/>
  <c r="LI134" i="2"/>
  <c r="LH134" i="2"/>
  <c r="LG134" i="2"/>
  <c r="LF134" i="2"/>
  <c r="LE134" i="2"/>
  <c r="LD134" i="2"/>
  <c r="LC134" i="2"/>
  <c r="LB134" i="2"/>
  <c r="LA134" i="2"/>
  <c r="KZ134" i="2"/>
  <c r="KY134" i="2"/>
  <c r="KX134" i="2"/>
  <c r="KW134" i="2"/>
  <c r="KV134" i="2"/>
  <c r="KU134" i="2"/>
  <c r="KT134" i="2"/>
  <c r="KS134" i="2"/>
  <c r="KR134" i="2"/>
  <c r="KQ134" i="2"/>
  <c r="KP134" i="2"/>
  <c r="KO134" i="2"/>
  <c r="KN134" i="2"/>
  <c r="KM134" i="2"/>
  <c r="KL134" i="2"/>
  <c r="KK134" i="2"/>
  <c r="KJ134" i="2"/>
  <c r="KI134" i="2"/>
  <c r="KH134" i="2"/>
  <c r="KG134" i="2"/>
  <c r="KF134" i="2"/>
  <c r="KE134" i="2"/>
  <c r="KD134" i="2"/>
  <c r="KC134" i="2"/>
  <c r="KB134" i="2"/>
  <c r="KA134" i="2"/>
  <c r="JZ134" i="2"/>
  <c r="JY134" i="2"/>
  <c r="JX134" i="2"/>
  <c r="JW134" i="2"/>
  <c r="JV134" i="2"/>
  <c r="JU134" i="2"/>
  <c r="JT134" i="2"/>
  <c r="JS134" i="2"/>
  <c r="JR134" i="2"/>
  <c r="JQ134" i="2"/>
  <c r="JP134" i="2"/>
  <c r="JO134" i="2"/>
  <c r="JN134" i="2"/>
  <c r="JM134" i="2"/>
  <c r="JL134" i="2"/>
  <c r="JK134" i="2"/>
  <c r="JJ134" i="2"/>
  <c r="JI134" i="2"/>
  <c r="JH134" i="2"/>
  <c r="JG134" i="2"/>
  <c r="JF134" i="2"/>
  <c r="JE134" i="2"/>
  <c r="JD134" i="2"/>
  <c r="JC134" i="2"/>
  <c r="JB134" i="2"/>
  <c r="JA134" i="2"/>
  <c r="IZ134" i="2"/>
  <c r="IY134" i="2"/>
  <c r="IX134" i="2"/>
  <c r="IW134" i="2"/>
  <c r="IV134" i="2"/>
  <c r="IU134" i="2"/>
  <c r="IT134" i="2"/>
  <c r="IS134" i="2"/>
  <c r="IR134" i="2"/>
  <c r="IQ134" i="2"/>
  <c r="IP134" i="2"/>
  <c r="IO134" i="2"/>
  <c r="IN134" i="2"/>
  <c r="IM134" i="2"/>
  <c r="IL134" i="2"/>
  <c r="IK134" i="2"/>
  <c r="IJ134" i="2"/>
  <c r="II134" i="2"/>
  <c r="IH134" i="2"/>
  <c r="IG134" i="2"/>
  <c r="IF134" i="2"/>
  <c r="IE134" i="2"/>
  <c r="ID134" i="2"/>
  <c r="IC134" i="2"/>
  <c r="IB134" i="2"/>
  <c r="IA134" i="2"/>
  <c r="HZ134" i="2"/>
  <c r="HY134" i="2"/>
  <c r="HX134" i="2"/>
  <c r="HW134" i="2"/>
  <c r="HV134" i="2"/>
  <c r="HU134" i="2"/>
  <c r="HT134" i="2"/>
  <c r="HS134" i="2"/>
  <c r="HR134" i="2"/>
  <c r="HQ134" i="2"/>
  <c r="HP134" i="2"/>
  <c r="HO134" i="2"/>
  <c r="HN134" i="2"/>
  <c r="HM134" i="2"/>
  <c r="HL134" i="2"/>
  <c r="HK134" i="2"/>
  <c r="HJ134" i="2"/>
  <c r="HI134" i="2"/>
  <c r="HH134" i="2"/>
  <c r="HG134" i="2"/>
  <c r="HF134" i="2"/>
  <c r="HE134" i="2"/>
  <c r="HD134" i="2"/>
  <c r="HC134" i="2"/>
  <c r="HB134" i="2"/>
  <c r="HA134" i="2"/>
  <c r="GZ134" i="2"/>
  <c r="GY134" i="2"/>
  <c r="GX134" i="2"/>
  <c r="GW134" i="2"/>
  <c r="GV134" i="2"/>
  <c r="GU134" i="2"/>
  <c r="GT134" i="2"/>
  <c r="GS134" i="2"/>
  <c r="GR134" i="2"/>
  <c r="GQ134" i="2"/>
  <c r="GP134" i="2"/>
  <c r="GO134" i="2"/>
  <c r="GN134" i="2"/>
  <c r="GM134" i="2"/>
  <c r="GL134" i="2"/>
  <c r="GK134" i="2"/>
  <c r="GJ134" i="2"/>
  <c r="GI134" i="2"/>
  <c r="GH134" i="2"/>
  <c r="GG134" i="2"/>
  <c r="GF134" i="2"/>
  <c r="GE134" i="2"/>
  <c r="GD134" i="2"/>
  <c r="GC134" i="2"/>
  <c r="GB134" i="2"/>
  <c r="GA134" i="2"/>
  <c r="FZ134" i="2"/>
  <c r="FY134" i="2"/>
  <c r="FX134" i="2"/>
  <c r="FW134" i="2"/>
  <c r="FV134" i="2"/>
  <c r="FU134" i="2"/>
  <c r="FT134" i="2"/>
  <c r="FS134" i="2"/>
  <c r="FR134" i="2"/>
  <c r="FQ134" i="2"/>
  <c r="FP134" i="2"/>
  <c r="FO134" i="2"/>
  <c r="FN134" i="2"/>
  <c r="FM134" i="2"/>
  <c r="FL134" i="2"/>
  <c r="FK134" i="2"/>
  <c r="FJ134" i="2"/>
  <c r="FI134" i="2"/>
  <c r="FH134" i="2"/>
  <c r="FG134" i="2"/>
  <c r="FF134" i="2"/>
  <c r="FE134" i="2"/>
  <c r="FD134" i="2"/>
  <c r="FC134" i="2"/>
  <c r="FB134" i="2"/>
  <c r="FA134" i="2"/>
  <c r="EZ134" i="2"/>
  <c r="EY134" i="2"/>
  <c r="EX134" i="2"/>
  <c r="EW134" i="2"/>
  <c r="EV134" i="2"/>
  <c r="EU134" i="2"/>
  <c r="ET134" i="2"/>
  <c r="ES134" i="2"/>
  <c r="ER134" i="2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EE134" i="2"/>
  <c r="ED134" i="2"/>
  <c r="EC134" i="2"/>
  <c r="EB134" i="2"/>
  <c r="EA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134" i="2"/>
  <c r="PI133" i="2"/>
  <c r="PH133" i="2"/>
  <c r="PG133" i="2"/>
  <c r="PF133" i="2"/>
  <c r="PE133" i="2"/>
  <c r="PD133" i="2"/>
  <c r="PC133" i="2"/>
  <c r="PB133" i="2"/>
  <c r="PA133" i="2"/>
  <c r="OZ133" i="2"/>
  <c r="OY133" i="2"/>
  <c r="OX133" i="2"/>
  <c r="OW133" i="2"/>
  <c r="OV133" i="2"/>
  <c r="OU133" i="2"/>
  <c r="OT133" i="2"/>
  <c r="OS133" i="2"/>
  <c r="OR133" i="2"/>
  <c r="OQ133" i="2"/>
  <c r="OP133" i="2"/>
  <c r="OO133" i="2"/>
  <c r="ON133" i="2"/>
  <c r="OM133" i="2"/>
  <c r="OL133" i="2"/>
  <c r="OK133" i="2"/>
  <c r="OJ133" i="2"/>
  <c r="OI133" i="2"/>
  <c r="OH133" i="2"/>
  <c r="OG133" i="2"/>
  <c r="OF133" i="2"/>
  <c r="OE133" i="2"/>
  <c r="OD133" i="2"/>
  <c r="OC133" i="2"/>
  <c r="OB133" i="2"/>
  <c r="OA133" i="2"/>
  <c r="NZ133" i="2"/>
  <c r="NY133" i="2"/>
  <c r="NX133" i="2"/>
  <c r="NW133" i="2"/>
  <c r="NV133" i="2"/>
  <c r="NU133" i="2"/>
  <c r="NT133" i="2"/>
  <c r="NS133" i="2"/>
  <c r="NR133" i="2"/>
  <c r="NQ133" i="2"/>
  <c r="NP133" i="2"/>
  <c r="NO133" i="2"/>
  <c r="NN133" i="2"/>
  <c r="NM133" i="2"/>
  <c r="NL133" i="2"/>
  <c r="NK133" i="2"/>
  <c r="NJ133" i="2"/>
  <c r="NI133" i="2"/>
  <c r="NH133" i="2"/>
  <c r="NG133" i="2"/>
  <c r="NF133" i="2"/>
  <c r="NE133" i="2"/>
  <c r="ND133" i="2"/>
  <c r="NC133" i="2"/>
  <c r="NB133" i="2"/>
  <c r="NA133" i="2"/>
  <c r="MZ133" i="2"/>
  <c r="MY133" i="2"/>
  <c r="MX133" i="2"/>
  <c r="MW133" i="2"/>
  <c r="MV133" i="2"/>
  <c r="MU133" i="2"/>
  <c r="MT133" i="2"/>
  <c r="MS133" i="2"/>
  <c r="MR133" i="2"/>
  <c r="MQ133" i="2"/>
  <c r="MP133" i="2"/>
  <c r="MO133" i="2"/>
  <c r="MN133" i="2"/>
  <c r="MM133" i="2"/>
  <c r="ML133" i="2"/>
  <c r="MK133" i="2"/>
  <c r="MJ133" i="2"/>
  <c r="MI133" i="2"/>
  <c r="MH133" i="2"/>
  <c r="MG133" i="2"/>
  <c r="MF133" i="2"/>
  <c r="ME133" i="2"/>
  <c r="MD133" i="2"/>
  <c r="MC133" i="2"/>
  <c r="MB133" i="2"/>
  <c r="MA133" i="2"/>
  <c r="LZ133" i="2"/>
  <c r="LY133" i="2"/>
  <c r="LX133" i="2"/>
  <c r="LW133" i="2"/>
  <c r="LV133" i="2"/>
  <c r="LU133" i="2"/>
  <c r="LT133" i="2"/>
  <c r="LS133" i="2"/>
  <c r="LR133" i="2"/>
  <c r="LQ133" i="2"/>
  <c r="LP133" i="2"/>
  <c r="LO133" i="2"/>
  <c r="LN133" i="2"/>
  <c r="LM133" i="2"/>
  <c r="LL133" i="2"/>
  <c r="LK133" i="2"/>
  <c r="LJ133" i="2"/>
  <c r="LI133" i="2"/>
  <c r="LH133" i="2"/>
  <c r="LG133" i="2"/>
  <c r="LF133" i="2"/>
  <c r="LE133" i="2"/>
  <c r="LD133" i="2"/>
  <c r="LC133" i="2"/>
  <c r="LB133" i="2"/>
  <c r="LA133" i="2"/>
  <c r="KZ133" i="2"/>
  <c r="KY133" i="2"/>
  <c r="KX133" i="2"/>
  <c r="KW133" i="2"/>
  <c r="KV133" i="2"/>
  <c r="KU133" i="2"/>
  <c r="KT133" i="2"/>
  <c r="KS133" i="2"/>
  <c r="KR133" i="2"/>
  <c r="KQ133" i="2"/>
  <c r="KP133" i="2"/>
  <c r="KO133" i="2"/>
  <c r="KN133" i="2"/>
  <c r="KM133" i="2"/>
  <c r="KL133" i="2"/>
  <c r="KK133" i="2"/>
  <c r="KJ133" i="2"/>
  <c r="KI133" i="2"/>
  <c r="KH133" i="2"/>
  <c r="KG133" i="2"/>
  <c r="KF133" i="2"/>
  <c r="KE133" i="2"/>
  <c r="KD133" i="2"/>
  <c r="KC133" i="2"/>
  <c r="KB133" i="2"/>
  <c r="KA133" i="2"/>
  <c r="JZ133" i="2"/>
  <c r="JY133" i="2"/>
  <c r="JX133" i="2"/>
  <c r="JW133" i="2"/>
  <c r="JV133" i="2"/>
  <c r="JU133" i="2"/>
  <c r="JT133" i="2"/>
  <c r="JS133" i="2"/>
  <c r="JR133" i="2"/>
  <c r="JQ133" i="2"/>
  <c r="JP133" i="2"/>
  <c r="JO133" i="2"/>
  <c r="JN133" i="2"/>
  <c r="JM133" i="2"/>
  <c r="JL133" i="2"/>
  <c r="JK133" i="2"/>
  <c r="JJ133" i="2"/>
  <c r="JI133" i="2"/>
  <c r="JH133" i="2"/>
  <c r="JG133" i="2"/>
  <c r="JF133" i="2"/>
  <c r="JE133" i="2"/>
  <c r="JD133" i="2"/>
  <c r="JC133" i="2"/>
  <c r="JB133" i="2"/>
  <c r="JA133" i="2"/>
  <c r="IZ133" i="2"/>
  <c r="IY133" i="2"/>
  <c r="IX133" i="2"/>
  <c r="IW133" i="2"/>
  <c r="IV133" i="2"/>
  <c r="IU133" i="2"/>
  <c r="IT133" i="2"/>
  <c r="IS133" i="2"/>
  <c r="IR133" i="2"/>
  <c r="IQ133" i="2"/>
  <c r="IP133" i="2"/>
  <c r="IO133" i="2"/>
  <c r="IN133" i="2"/>
  <c r="IM133" i="2"/>
  <c r="IL133" i="2"/>
  <c r="IK133" i="2"/>
  <c r="IJ133" i="2"/>
  <c r="II133" i="2"/>
  <c r="IH133" i="2"/>
  <c r="IG133" i="2"/>
  <c r="IF133" i="2"/>
  <c r="IE133" i="2"/>
  <c r="ID133" i="2"/>
  <c r="IC133" i="2"/>
  <c r="IB133" i="2"/>
  <c r="IA133" i="2"/>
  <c r="HZ133" i="2"/>
  <c r="HY133" i="2"/>
  <c r="HX133" i="2"/>
  <c r="HW133" i="2"/>
  <c r="HV133" i="2"/>
  <c r="HU133" i="2"/>
  <c r="HT133" i="2"/>
  <c r="HS133" i="2"/>
  <c r="HR133" i="2"/>
  <c r="HQ133" i="2"/>
  <c r="HP133" i="2"/>
  <c r="HO133" i="2"/>
  <c r="HN133" i="2"/>
  <c r="HM133" i="2"/>
  <c r="HL133" i="2"/>
  <c r="HK133" i="2"/>
  <c r="HJ133" i="2"/>
  <c r="HI133" i="2"/>
  <c r="HH133" i="2"/>
  <c r="HG133" i="2"/>
  <c r="HF133" i="2"/>
  <c r="HE133" i="2"/>
  <c r="HD133" i="2"/>
  <c r="HC133" i="2"/>
  <c r="HB133" i="2"/>
  <c r="HA133" i="2"/>
  <c r="GZ133" i="2"/>
  <c r="GY133" i="2"/>
  <c r="GX133" i="2"/>
  <c r="GW133" i="2"/>
  <c r="GV133" i="2"/>
  <c r="GU133" i="2"/>
  <c r="GT133" i="2"/>
  <c r="GS133" i="2"/>
  <c r="GR133" i="2"/>
  <c r="GQ133" i="2"/>
  <c r="GP133" i="2"/>
  <c r="GO133" i="2"/>
  <c r="GN133" i="2"/>
  <c r="GM133" i="2"/>
  <c r="GL133" i="2"/>
  <c r="GK133" i="2"/>
  <c r="GJ133" i="2"/>
  <c r="GI133" i="2"/>
  <c r="GH133" i="2"/>
  <c r="GG133" i="2"/>
  <c r="GF133" i="2"/>
  <c r="GE133" i="2"/>
  <c r="GD133" i="2"/>
  <c r="GC133" i="2"/>
  <c r="GB133" i="2"/>
  <c r="GA133" i="2"/>
  <c r="FZ133" i="2"/>
  <c r="FY133" i="2"/>
  <c r="FX133" i="2"/>
  <c r="FW133" i="2"/>
  <c r="FV133" i="2"/>
  <c r="FU133" i="2"/>
  <c r="FT133" i="2"/>
  <c r="FS133" i="2"/>
  <c r="FR133" i="2"/>
  <c r="FQ133" i="2"/>
  <c r="FP133" i="2"/>
  <c r="FO133" i="2"/>
  <c r="FN133" i="2"/>
  <c r="FM133" i="2"/>
  <c r="FL133" i="2"/>
  <c r="FK133" i="2"/>
  <c r="FJ133" i="2"/>
  <c r="FI133" i="2"/>
  <c r="FH133" i="2"/>
  <c r="FG133" i="2"/>
  <c r="FF133" i="2"/>
  <c r="FE133" i="2"/>
  <c r="FD133" i="2"/>
  <c r="FC133" i="2"/>
  <c r="FB133" i="2"/>
  <c r="FA133" i="2"/>
  <c r="EZ133" i="2"/>
  <c r="EY133" i="2"/>
  <c r="EX133" i="2"/>
  <c r="EW133" i="2"/>
  <c r="EV133" i="2"/>
  <c r="EU133" i="2"/>
  <c r="ET133" i="2"/>
  <c r="ES133" i="2"/>
  <c r="ER133" i="2"/>
  <c r="EQ133" i="2"/>
  <c r="EP133" i="2"/>
  <c r="EO133" i="2"/>
  <c r="EN133" i="2"/>
  <c r="EM133" i="2"/>
  <c r="EL133" i="2"/>
  <c r="EK133" i="2"/>
  <c r="EJ133" i="2"/>
  <c r="EI133" i="2"/>
  <c r="EH133" i="2"/>
  <c r="EG133" i="2"/>
  <c r="EF133" i="2"/>
  <c r="EE133" i="2"/>
  <c r="ED133" i="2"/>
  <c r="EC133" i="2"/>
  <c r="EB133" i="2"/>
  <c r="EA133" i="2"/>
  <c r="DZ133" i="2"/>
  <c r="DY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DG133" i="2"/>
  <c r="DF133" i="2"/>
  <c r="DE133" i="2"/>
  <c r="DD133" i="2"/>
  <c r="DC133" i="2"/>
  <c r="DB133" i="2"/>
  <c r="DA133" i="2"/>
  <c r="CZ133" i="2"/>
  <c r="CY133" i="2"/>
  <c r="CX133" i="2"/>
  <c r="CW133" i="2"/>
  <c r="CV133" i="2"/>
  <c r="CU133" i="2"/>
  <c r="CT133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A133" i="2"/>
  <c r="PI132" i="2"/>
  <c r="PH132" i="2"/>
  <c r="PG132" i="2"/>
  <c r="PF132" i="2"/>
  <c r="PE132" i="2"/>
  <c r="PD132" i="2"/>
  <c r="PC132" i="2"/>
  <c r="PB132" i="2"/>
  <c r="PA132" i="2"/>
  <c r="OZ132" i="2"/>
  <c r="OY132" i="2"/>
  <c r="OX132" i="2"/>
  <c r="OW132" i="2"/>
  <c r="OV132" i="2"/>
  <c r="OU132" i="2"/>
  <c r="OT132" i="2"/>
  <c r="OS132" i="2"/>
  <c r="OR132" i="2"/>
  <c r="OQ132" i="2"/>
  <c r="OP132" i="2"/>
  <c r="OO132" i="2"/>
  <c r="ON132" i="2"/>
  <c r="OM132" i="2"/>
  <c r="OL132" i="2"/>
  <c r="OK132" i="2"/>
  <c r="OJ132" i="2"/>
  <c r="OI132" i="2"/>
  <c r="OH132" i="2"/>
  <c r="OG132" i="2"/>
  <c r="OF132" i="2"/>
  <c r="OE132" i="2"/>
  <c r="OD132" i="2"/>
  <c r="OC132" i="2"/>
  <c r="OB132" i="2"/>
  <c r="OA132" i="2"/>
  <c r="NZ132" i="2"/>
  <c r="NY132" i="2"/>
  <c r="NX132" i="2"/>
  <c r="NW132" i="2"/>
  <c r="NV132" i="2"/>
  <c r="NU132" i="2"/>
  <c r="NT132" i="2"/>
  <c r="NS132" i="2"/>
  <c r="NR132" i="2"/>
  <c r="NQ132" i="2"/>
  <c r="NP132" i="2"/>
  <c r="NO132" i="2"/>
  <c r="NN132" i="2"/>
  <c r="NM132" i="2"/>
  <c r="NL132" i="2"/>
  <c r="NK132" i="2"/>
  <c r="NJ132" i="2"/>
  <c r="NI132" i="2"/>
  <c r="NH132" i="2"/>
  <c r="NG132" i="2"/>
  <c r="NF132" i="2"/>
  <c r="NE132" i="2"/>
  <c r="ND132" i="2"/>
  <c r="NC132" i="2"/>
  <c r="NB132" i="2"/>
  <c r="NA132" i="2"/>
  <c r="MZ132" i="2"/>
  <c r="MY132" i="2"/>
  <c r="MX132" i="2"/>
  <c r="MW132" i="2"/>
  <c r="MV132" i="2"/>
  <c r="MU132" i="2"/>
  <c r="MT132" i="2"/>
  <c r="MS132" i="2"/>
  <c r="MR132" i="2"/>
  <c r="MQ132" i="2"/>
  <c r="MP132" i="2"/>
  <c r="MO132" i="2"/>
  <c r="MN132" i="2"/>
  <c r="MM132" i="2"/>
  <c r="ML132" i="2"/>
  <c r="MK132" i="2"/>
  <c r="MJ132" i="2"/>
  <c r="MI132" i="2"/>
  <c r="MH132" i="2"/>
  <c r="MG132" i="2"/>
  <c r="MF132" i="2"/>
  <c r="ME132" i="2"/>
  <c r="MD132" i="2"/>
  <c r="MC132" i="2"/>
  <c r="MB132" i="2"/>
  <c r="MA132" i="2"/>
  <c r="LZ132" i="2"/>
  <c r="LY132" i="2"/>
  <c r="LX132" i="2"/>
  <c r="LW132" i="2"/>
  <c r="LV132" i="2"/>
  <c r="LU132" i="2"/>
  <c r="LT132" i="2"/>
  <c r="LS132" i="2"/>
  <c r="LR132" i="2"/>
  <c r="LQ132" i="2"/>
  <c r="LP132" i="2"/>
  <c r="LO132" i="2"/>
  <c r="LN132" i="2"/>
  <c r="LM132" i="2"/>
  <c r="LL132" i="2"/>
  <c r="LK132" i="2"/>
  <c r="LJ132" i="2"/>
  <c r="LI132" i="2"/>
  <c r="LH132" i="2"/>
  <c r="LG132" i="2"/>
  <c r="LF132" i="2"/>
  <c r="LE132" i="2"/>
  <c r="LD132" i="2"/>
  <c r="LC132" i="2"/>
  <c r="LB132" i="2"/>
  <c r="LA132" i="2"/>
  <c r="KZ132" i="2"/>
  <c r="KY132" i="2"/>
  <c r="KX132" i="2"/>
  <c r="KW132" i="2"/>
  <c r="KV132" i="2"/>
  <c r="KU132" i="2"/>
  <c r="KT132" i="2"/>
  <c r="KS132" i="2"/>
  <c r="KR132" i="2"/>
  <c r="KQ132" i="2"/>
  <c r="KP132" i="2"/>
  <c r="KO132" i="2"/>
  <c r="KN132" i="2"/>
  <c r="KM132" i="2"/>
  <c r="KL132" i="2"/>
  <c r="KK132" i="2"/>
  <c r="KJ132" i="2"/>
  <c r="KI132" i="2"/>
  <c r="KH132" i="2"/>
  <c r="KG132" i="2"/>
  <c r="KF132" i="2"/>
  <c r="KE132" i="2"/>
  <c r="KD132" i="2"/>
  <c r="KC132" i="2"/>
  <c r="KB132" i="2"/>
  <c r="KA132" i="2"/>
  <c r="JZ132" i="2"/>
  <c r="JY132" i="2"/>
  <c r="JX132" i="2"/>
  <c r="JW132" i="2"/>
  <c r="JV132" i="2"/>
  <c r="JU132" i="2"/>
  <c r="JT132" i="2"/>
  <c r="JS132" i="2"/>
  <c r="JR132" i="2"/>
  <c r="JQ132" i="2"/>
  <c r="JP132" i="2"/>
  <c r="JO132" i="2"/>
  <c r="JN132" i="2"/>
  <c r="JM132" i="2"/>
  <c r="JL132" i="2"/>
  <c r="JK132" i="2"/>
  <c r="JJ132" i="2"/>
  <c r="JI132" i="2"/>
  <c r="JH132" i="2"/>
  <c r="JG132" i="2"/>
  <c r="JF132" i="2"/>
  <c r="JE132" i="2"/>
  <c r="JD132" i="2"/>
  <c r="JC132" i="2"/>
  <c r="JB132" i="2"/>
  <c r="JA132" i="2"/>
  <c r="IZ132" i="2"/>
  <c r="IY132" i="2"/>
  <c r="IX132" i="2"/>
  <c r="IW132" i="2"/>
  <c r="IV132" i="2"/>
  <c r="IU132" i="2"/>
  <c r="IT132" i="2"/>
  <c r="IS132" i="2"/>
  <c r="IR132" i="2"/>
  <c r="IQ132" i="2"/>
  <c r="IP132" i="2"/>
  <c r="IO132" i="2"/>
  <c r="IN132" i="2"/>
  <c r="IM132" i="2"/>
  <c r="IL132" i="2"/>
  <c r="IK132" i="2"/>
  <c r="IJ132" i="2"/>
  <c r="II132" i="2"/>
  <c r="IH132" i="2"/>
  <c r="IG132" i="2"/>
  <c r="IF132" i="2"/>
  <c r="IE132" i="2"/>
  <c r="ID132" i="2"/>
  <c r="IC132" i="2"/>
  <c r="IB132" i="2"/>
  <c r="IA132" i="2"/>
  <c r="HZ132" i="2"/>
  <c r="HY132" i="2"/>
  <c r="HX132" i="2"/>
  <c r="HW132" i="2"/>
  <c r="HV132" i="2"/>
  <c r="HU132" i="2"/>
  <c r="HT132" i="2"/>
  <c r="HS132" i="2"/>
  <c r="HR132" i="2"/>
  <c r="HQ132" i="2"/>
  <c r="HP132" i="2"/>
  <c r="HO132" i="2"/>
  <c r="HN132" i="2"/>
  <c r="HM132" i="2"/>
  <c r="HL132" i="2"/>
  <c r="HK132" i="2"/>
  <c r="HJ132" i="2"/>
  <c r="HI132" i="2"/>
  <c r="HH132" i="2"/>
  <c r="HG132" i="2"/>
  <c r="HF132" i="2"/>
  <c r="HE132" i="2"/>
  <c r="HD132" i="2"/>
  <c r="HC132" i="2"/>
  <c r="HB132" i="2"/>
  <c r="HA132" i="2"/>
  <c r="GZ132" i="2"/>
  <c r="GY132" i="2"/>
  <c r="GX132" i="2"/>
  <c r="GW132" i="2"/>
  <c r="GV132" i="2"/>
  <c r="GU132" i="2"/>
  <c r="GT132" i="2"/>
  <c r="GS132" i="2"/>
  <c r="GR132" i="2"/>
  <c r="GQ132" i="2"/>
  <c r="GP132" i="2"/>
  <c r="GO132" i="2"/>
  <c r="GN132" i="2"/>
  <c r="GM132" i="2"/>
  <c r="GL132" i="2"/>
  <c r="GK132" i="2"/>
  <c r="GJ132" i="2"/>
  <c r="GI132" i="2"/>
  <c r="GH132" i="2"/>
  <c r="GG132" i="2"/>
  <c r="GF132" i="2"/>
  <c r="GE132" i="2"/>
  <c r="GD132" i="2"/>
  <c r="GC132" i="2"/>
  <c r="GB132" i="2"/>
  <c r="GA132" i="2"/>
  <c r="FZ132" i="2"/>
  <c r="FY132" i="2"/>
  <c r="FX132" i="2"/>
  <c r="FW132" i="2"/>
  <c r="FV132" i="2"/>
  <c r="FU132" i="2"/>
  <c r="FT132" i="2"/>
  <c r="FS132" i="2"/>
  <c r="FR132" i="2"/>
  <c r="FQ132" i="2"/>
  <c r="FP132" i="2"/>
  <c r="FO132" i="2"/>
  <c r="FN132" i="2"/>
  <c r="FM132" i="2"/>
  <c r="FL132" i="2"/>
  <c r="FK132" i="2"/>
  <c r="FJ132" i="2"/>
  <c r="FI132" i="2"/>
  <c r="FH132" i="2"/>
  <c r="FG132" i="2"/>
  <c r="FF132" i="2"/>
  <c r="FE132" i="2"/>
  <c r="FD132" i="2"/>
  <c r="FC132" i="2"/>
  <c r="FB132" i="2"/>
  <c r="FA132" i="2"/>
  <c r="EZ132" i="2"/>
  <c r="EY132" i="2"/>
  <c r="EX132" i="2"/>
  <c r="EW132" i="2"/>
  <c r="EV132" i="2"/>
  <c r="EU132" i="2"/>
  <c r="ET132" i="2"/>
  <c r="ES132" i="2"/>
  <c r="ER132" i="2"/>
  <c r="EQ132" i="2"/>
  <c r="EP132" i="2"/>
  <c r="EO132" i="2"/>
  <c r="EN132" i="2"/>
  <c r="EM132" i="2"/>
  <c r="EL132" i="2"/>
  <c r="EK132" i="2"/>
  <c r="EJ132" i="2"/>
  <c r="EI132" i="2"/>
  <c r="EH132" i="2"/>
  <c r="EG132" i="2"/>
  <c r="EF132" i="2"/>
  <c r="EE132" i="2"/>
  <c r="ED132" i="2"/>
  <c r="EC132" i="2"/>
  <c r="EB132" i="2"/>
  <c r="EA132" i="2"/>
  <c r="DZ132" i="2"/>
  <c r="DY132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DG132" i="2"/>
  <c r="DF132" i="2"/>
  <c r="DE132" i="2"/>
  <c r="DD132" i="2"/>
  <c r="DC132" i="2"/>
  <c r="DB132" i="2"/>
  <c r="DA132" i="2"/>
  <c r="CZ132" i="2"/>
  <c r="CY132" i="2"/>
  <c r="CX132" i="2"/>
  <c r="CW132" i="2"/>
  <c r="CV132" i="2"/>
  <c r="CU132" i="2"/>
  <c r="CT132" i="2"/>
  <c r="CS132" i="2"/>
  <c r="CR132" i="2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132" i="2"/>
  <c r="PI131" i="2"/>
  <c r="PH131" i="2"/>
  <c r="PG131" i="2"/>
  <c r="PF131" i="2"/>
  <c r="PE131" i="2"/>
  <c r="PD131" i="2"/>
  <c r="PC131" i="2"/>
  <c r="PB131" i="2"/>
  <c r="PA131" i="2"/>
  <c r="OZ131" i="2"/>
  <c r="OY131" i="2"/>
  <c r="OX131" i="2"/>
  <c r="OW131" i="2"/>
  <c r="OV131" i="2"/>
  <c r="OU131" i="2"/>
  <c r="OT131" i="2"/>
  <c r="OS131" i="2"/>
  <c r="OR131" i="2"/>
  <c r="OQ131" i="2"/>
  <c r="OP131" i="2"/>
  <c r="OO131" i="2"/>
  <c r="ON131" i="2"/>
  <c r="OM131" i="2"/>
  <c r="OL131" i="2"/>
  <c r="OK131" i="2"/>
  <c r="OJ131" i="2"/>
  <c r="OI131" i="2"/>
  <c r="OH131" i="2"/>
  <c r="OG131" i="2"/>
  <c r="OF131" i="2"/>
  <c r="OE131" i="2"/>
  <c r="OD131" i="2"/>
  <c r="OC131" i="2"/>
  <c r="OB131" i="2"/>
  <c r="OA131" i="2"/>
  <c r="NZ131" i="2"/>
  <c r="NY131" i="2"/>
  <c r="NX131" i="2"/>
  <c r="NW131" i="2"/>
  <c r="NV131" i="2"/>
  <c r="NU131" i="2"/>
  <c r="NT131" i="2"/>
  <c r="NS131" i="2"/>
  <c r="NR131" i="2"/>
  <c r="NQ131" i="2"/>
  <c r="NP131" i="2"/>
  <c r="NO131" i="2"/>
  <c r="NN131" i="2"/>
  <c r="NM131" i="2"/>
  <c r="NL131" i="2"/>
  <c r="NK131" i="2"/>
  <c r="NJ131" i="2"/>
  <c r="NI131" i="2"/>
  <c r="NH131" i="2"/>
  <c r="NG131" i="2"/>
  <c r="NF131" i="2"/>
  <c r="NE131" i="2"/>
  <c r="ND131" i="2"/>
  <c r="NC131" i="2"/>
  <c r="NB131" i="2"/>
  <c r="NA131" i="2"/>
  <c r="MZ131" i="2"/>
  <c r="MY131" i="2"/>
  <c r="MX131" i="2"/>
  <c r="MW131" i="2"/>
  <c r="MV131" i="2"/>
  <c r="MU131" i="2"/>
  <c r="MT131" i="2"/>
  <c r="MS131" i="2"/>
  <c r="MR131" i="2"/>
  <c r="MQ131" i="2"/>
  <c r="MP131" i="2"/>
  <c r="MO131" i="2"/>
  <c r="MN131" i="2"/>
  <c r="MM131" i="2"/>
  <c r="ML131" i="2"/>
  <c r="MK131" i="2"/>
  <c r="MJ131" i="2"/>
  <c r="MI131" i="2"/>
  <c r="MH131" i="2"/>
  <c r="MG131" i="2"/>
  <c r="MF131" i="2"/>
  <c r="ME131" i="2"/>
  <c r="MD131" i="2"/>
  <c r="MC131" i="2"/>
  <c r="MB131" i="2"/>
  <c r="MA131" i="2"/>
  <c r="LZ131" i="2"/>
  <c r="LY131" i="2"/>
  <c r="LX131" i="2"/>
  <c r="LW131" i="2"/>
  <c r="LV131" i="2"/>
  <c r="LU131" i="2"/>
  <c r="LT131" i="2"/>
  <c r="LS131" i="2"/>
  <c r="LR131" i="2"/>
  <c r="LQ131" i="2"/>
  <c r="LP131" i="2"/>
  <c r="LO131" i="2"/>
  <c r="LN131" i="2"/>
  <c r="LM131" i="2"/>
  <c r="LL131" i="2"/>
  <c r="LK131" i="2"/>
  <c r="LJ131" i="2"/>
  <c r="LI131" i="2"/>
  <c r="LH131" i="2"/>
  <c r="LG131" i="2"/>
  <c r="LF131" i="2"/>
  <c r="LE131" i="2"/>
  <c r="LD131" i="2"/>
  <c r="LC131" i="2"/>
  <c r="LB131" i="2"/>
  <c r="LA131" i="2"/>
  <c r="KZ131" i="2"/>
  <c r="KY131" i="2"/>
  <c r="KX131" i="2"/>
  <c r="KW131" i="2"/>
  <c r="KV131" i="2"/>
  <c r="KU131" i="2"/>
  <c r="KT131" i="2"/>
  <c r="KS131" i="2"/>
  <c r="KR131" i="2"/>
  <c r="KQ131" i="2"/>
  <c r="KP131" i="2"/>
  <c r="KO131" i="2"/>
  <c r="KN131" i="2"/>
  <c r="KM131" i="2"/>
  <c r="KL131" i="2"/>
  <c r="KK131" i="2"/>
  <c r="KJ131" i="2"/>
  <c r="KI131" i="2"/>
  <c r="KH131" i="2"/>
  <c r="KG131" i="2"/>
  <c r="KF131" i="2"/>
  <c r="KE131" i="2"/>
  <c r="KD131" i="2"/>
  <c r="KC131" i="2"/>
  <c r="KB131" i="2"/>
  <c r="KA131" i="2"/>
  <c r="JZ131" i="2"/>
  <c r="JY131" i="2"/>
  <c r="JX131" i="2"/>
  <c r="JW131" i="2"/>
  <c r="JV131" i="2"/>
  <c r="JU131" i="2"/>
  <c r="JT131" i="2"/>
  <c r="JS131" i="2"/>
  <c r="JR131" i="2"/>
  <c r="JQ131" i="2"/>
  <c r="JP131" i="2"/>
  <c r="JO131" i="2"/>
  <c r="JN131" i="2"/>
  <c r="JM131" i="2"/>
  <c r="JL131" i="2"/>
  <c r="JK131" i="2"/>
  <c r="JJ131" i="2"/>
  <c r="JI131" i="2"/>
  <c r="JH131" i="2"/>
  <c r="JG131" i="2"/>
  <c r="JF131" i="2"/>
  <c r="JE131" i="2"/>
  <c r="JD131" i="2"/>
  <c r="JC131" i="2"/>
  <c r="JB131" i="2"/>
  <c r="JA131" i="2"/>
  <c r="IZ131" i="2"/>
  <c r="IY131" i="2"/>
  <c r="IX131" i="2"/>
  <c r="IW131" i="2"/>
  <c r="IV131" i="2"/>
  <c r="IU131" i="2"/>
  <c r="IT131" i="2"/>
  <c r="IS131" i="2"/>
  <c r="IR131" i="2"/>
  <c r="IQ131" i="2"/>
  <c r="IP131" i="2"/>
  <c r="IO131" i="2"/>
  <c r="IN131" i="2"/>
  <c r="IM131" i="2"/>
  <c r="IL131" i="2"/>
  <c r="IK131" i="2"/>
  <c r="IJ131" i="2"/>
  <c r="II131" i="2"/>
  <c r="IH131" i="2"/>
  <c r="IG131" i="2"/>
  <c r="IF131" i="2"/>
  <c r="IE131" i="2"/>
  <c r="ID131" i="2"/>
  <c r="IC131" i="2"/>
  <c r="IB131" i="2"/>
  <c r="IA131" i="2"/>
  <c r="HZ131" i="2"/>
  <c r="HY131" i="2"/>
  <c r="HX131" i="2"/>
  <c r="HW131" i="2"/>
  <c r="HV131" i="2"/>
  <c r="HU131" i="2"/>
  <c r="HT131" i="2"/>
  <c r="HS131" i="2"/>
  <c r="HR131" i="2"/>
  <c r="HQ131" i="2"/>
  <c r="HP131" i="2"/>
  <c r="HO131" i="2"/>
  <c r="HN131" i="2"/>
  <c r="HM131" i="2"/>
  <c r="HL131" i="2"/>
  <c r="HK131" i="2"/>
  <c r="HJ131" i="2"/>
  <c r="HI131" i="2"/>
  <c r="HH131" i="2"/>
  <c r="HG131" i="2"/>
  <c r="HF131" i="2"/>
  <c r="HE131" i="2"/>
  <c r="HD131" i="2"/>
  <c r="HC131" i="2"/>
  <c r="HB131" i="2"/>
  <c r="HA131" i="2"/>
  <c r="GZ131" i="2"/>
  <c r="GY131" i="2"/>
  <c r="GX131" i="2"/>
  <c r="GW131" i="2"/>
  <c r="GV131" i="2"/>
  <c r="GU131" i="2"/>
  <c r="GT131" i="2"/>
  <c r="GS131" i="2"/>
  <c r="GR131" i="2"/>
  <c r="GQ131" i="2"/>
  <c r="GP131" i="2"/>
  <c r="GO131" i="2"/>
  <c r="GN131" i="2"/>
  <c r="GM131" i="2"/>
  <c r="GL131" i="2"/>
  <c r="GK131" i="2"/>
  <c r="GJ131" i="2"/>
  <c r="GI131" i="2"/>
  <c r="GH131" i="2"/>
  <c r="GG131" i="2"/>
  <c r="GF131" i="2"/>
  <c r="GE131" i="2"/>
  <c r="GD131" i="2"/>
  <c r="GC131" i="2"/>
  <c r="GB131" i="2"/>
  <c r="GA131" i="2"/>
  <c r="FZ131" i="2"/>
  <c r="FY131" i="2"/>
  <c r="FX131" i="2"/>
  <c r="FW131" i="2"/>
  <c r="FV131" i="2"/>
  <c r="FU131" i="2"/>
  <c r="FT131" i="2"/>
  <c r="FS131" i="2"/>
  <c r="FR131" i="2"/>
  <c r="FQ131" i="2"/>
  <c r="FP131" i="2"/>
  <c r="FO131" i="2"/>
  <c r="FN131" i="2"/>
  <c r="FM131" i="2"/>
  <c r="FL131" i="2"/>
  <c r="FK131" i="2"/>
  <c r="FJ131" i="2"/>
  <c r="FI131" i="2"/>
  <c r="FH131" i="2"/>
  <c r="FG131" i="2"/>
  <c r="FF131" i="2"/>
  <c r="FE131" i="2"/>
  <c r="FD131" i="2"/>
  <c r="FC131" i="2"/>
  <c r="FB131" i="2"/>
  <c r="FA131" i="2"/>
  <c r="EZ131" i="2"/>
  <c r="EY131" i="2"/>
  <c r="EX131" i="2"/>
  <c r="EW131" i="2"/>
  <c r="EV131" i="2"/>
  <c r="EU131" i="2"/>
  <c r="ET131" i="2"/>
  <c r="ES131" i="2"/>
  <c r="ER131" i="2"/>
  <c r="EQ131" i="2"/>
  <c r="EP131" i="2"/>
  <c r="EO131" i="2"/>
  <c r="EN131" i="2"/>
  <c r="EM131" i="2"/>
  <c r="EL131" i="2"/>
  <c r="EK131" i="2"/>
  <c r="EJ131" i="2"/>
  <c r="EI131" i="2"/>
  <c r="EH131" i="2"/>
  <c r="EG131" i="2"/>
  <c r="EF131" i="2"/>
  <c r="EE131" i="2"/>
  <c r="ED131" i="2"/>
  <c r="EC131" i="2"/>
  <c r="EB131" i="2"/>
  <c r="EA131" i="2"/>
  <c r="DZ131" i="2"/>
  <c r="DY131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DG131" i="2"/>
  <c r="DF131" i="2"/>
  <c r="DE131" i="2"/>
  <c r="DD131" i="2"/>
  <c r="DC131" i="2"/>
  <c r="DB131" i="2"/>
  <c r="DA131" i="2"/>
  <c r="CZ131" i="2"/>
  <c r="CY131" i="2"/>
  <c r="CX131" i="2"/>
  <c r="CW131" i="2"/>
  <c r="CV131" i="2"/>
  <c r="CU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131" i="2"/>
  <c r="PI130" i="2"/>
  <c r="PH130" i="2"/>
  <c r="PG130" i="2"/>
  <c r="PF130" i="2"/>
  <c r="PE130" i="2"/>
  <c r="PD130" i="2"/>
  <c r="PC130" i="2"/>
  <c r="PB130" i="2"/>
  <c r="PA130" i="2"/>
  <c r="OZ130" i="2"/>
  <c r="OY130" i="2"/>
  <c r="OX130" i="2"/>
  <c r="OW130" i="2"/>
  <c r="OV130" i="2"/>
  <c r="OU130" i="2"/>
  <c r="OT130" i="2"/>
  <c r="OS130" i="2"/>
  <c r="OR130" i="2"/>
  <c r="OQ130" i="2"/>
  <c r="OP130" i="2"/>
  <c r="OO130" i="2"/>
  <c r="ON130" i="2"/>
  <c r="OM130" i="2"/>
  <c r="OL130" i="2"/>
  <c r="OK130" i="2"/>
  <c r="OJ130" i="2"/>
  <c r="OI130" i="2"/>
  <c r="OH130" i="2"/>
  <c r="OG130" i="2"/>
  <c r="OF130" i="2"/>
  <c r="OE130" i="2"/>
  <c r="OD130" i="2"/>
  <c r="OC130" i="2"/>
  <c r="OB130" i="2"/>
  <c r="OA130" i="2"/>
  <c r="NZ130" i="2"/>
  <c r="NY130" i="2"/>
  <c r="NX130" i="2"/>
  <c r="NW130" i="2"/>
  <c r="NV130" i="2"/>
  <c r="NU130" i="2"/>
  <c r="NT130" i="2"/>
  <c r="NS130" i="2"/>
  <c r="NR130" i="2"/>
  <c r="NQ130" i="2"/>
  <c r="NP130" i="2"/>
  <c r="NO130" i="2"/>
  <c r="NN130" i="2"/>
  <c r="NM130" i="2"/>
  <c r="NL130" i="2"/>
  <c r="NK130" i="2"/>
  <c r="NJ130" i="2"/>
  <c r="NI130" i="2"/>
  <c r="NH130" i="2"/>
  <c r="NG130" i="2"/>
  <c r="NF130" i="2"/>
  <c r="NE130" i="2"/>
  <c r="ND130" i="2"/>
  <c r="NC130" i="2"/>
  <c r="NB130" i="2"/>
  <c r="NA130" i="2"/>
  <c r="MZ130" i="2"/>
  <c r="MY130" i="2"/>
  <c r="MX130" i="2"/>
  <c r="MW130" i="2"/>
  <c r="MV130" i="2"/>
  <c r="MU130" i="2"/>
  <c r="MT130" i="2"/>
  <c r="MS130" i="2"/>
  <c r="MR130" i="2"/>
  <c r="MQ130" i="2"/>
  <c r="MP130" i="2"/>
  <c r="MO130" i="2"/>
  <c r="MN130" i="2"/>
  <c r="MM130" i="2"/>
  <c r="ML130" i="2"/>
  <c r="MK130" i="2"/>
  <c r="MJ130" i="2"/>
  <c r="MI130" i="2"/>
  <c r="MH130" i="2"/>
  <c r="MG130" i="2"/>
  <c r="MF130" i="2"/>
  <c r="ME130" i="2"/>
  <c r="MD130" i="2"/>
  <c r="MC130" i="2"/>
  <c r="MB130" i="2"/>
  <c r="MA130" i="2"/>
  <c r="LZ130" i="2"/>
  <c r="LY130" i="2"/>
  <c r="LX130" i="2"/>
  <c r="LW130" i="2"/>
  <c r="LV130" i="2"/>
  <c r="LU130" i="2"/>
  <c r="LT130" i="2"/>
  <c r="LS130" i="2"/>
  <c r="LR130" i="2"/>
  <c r="LQ130" i="2"/>
  <c r="LP130" i="2"/>
  <c r="LO130" i="2"/>
  <c r="LN130" i="2"/>
  <c r="LM130" i="2"/>
  <c r="LL130" i="2"/>
  <c r="LK130" i="2"/>
  <c r="LJ130" i="2"/>
  <c r="LI130" i="2"/>
  <c r="LH130" i="2"/>
  <c r="LG130" i="2"/>
  <c r="LF130" i="2"/>
  <c r="LE130" i="2"/>
  <c r="LD130" i="2"/>
  <c r="LC130" i="2"/>
  <c r="LB130" i="2"/>
  <c r="LA130" i="2"/>
  <c r="KZ130" i="2"/>
  <c r="KY130" i="2"/>
  <c r="KX130" i="2"/>
  <c r="KW130" i="2"/>
  <c r="KV130" i="2"/>
  <c r="KU130" i="2"/>
  <c r="KT130" i="2"/>
  <c r="KS130" i="2"/>
  <c r="KR130" i="2"/>
  <c r="KQ130" i="2"/>
  <c r="KP130" i="2"/>
  <c r="KO130" i="2"/>
  <c r="KN130" i="2"/>
  <c r="KM130" i="2"/>
  <c r="KL130" i="2"/>
  <c r="KK130" i="2"/>
  <c r="KJ130" i="2"/>
  <c r="KI130" i="2"/>
  <c r="KH130" i="2"/>
  <c r="KG130" i="2"/>
  <c r="KF130" i="2"/>
  <c r="KE130" i="2"/>
  <c r="KD130" i="2"/>
  <c r="KC130" i="2"/>
  <c r="KB130" i="2"/>
  <c r="KA130" i="2"/>
  <c r="JZ130" i="2"/>
  <c r="JY130" i="2"/>
  <c r="JX130" i="2"/>
  <c r="JW130" i="2"/>
  <c r="JV130" i="2"/>
  <c r="JU130" i="2"/>
  <c r="JT130" i="2"/>
  <c r="JS130" i="2"/>
  <c r="JR130" i="2"/>
  <c r="JQ130" i="2"/>
  <c r="JP130" i="2"/>
  <c r="JO130" i="2"/>
  <c r="JN130" i="2"/>
  <c r="JM130" i="2"/>
  <c r="JL130" i="2"/>
  <c r="JK130" i="2"/>
  <c r="JJ130" i="2"/>
  <c r="JI130" i="2"/>
  <c r="JH130" i="2"/>
  <c r="JG130" i="2"/>
  <c r="JF130" i="2"/>
  <c r="JE130" i="2"/>
  <c r="JD130" i="2"/>
  <c r="JC130" i="2"/>
  <c r="JB130" i="2"/>
  <c r="JA130" i="2"/>
  <c r="IZ130" i="2"/>
  <c r="IY130" i="2"/>
  <c r="IX130" i="2"/>
  <c r="IW130" i="2"/>
  <c r="IV130" i="2"/>
  <c r="IU130" i="2"/>
  <c r="IT130" i="2"/>
  <c r="IS130" i="2"/>
  <c r="IR130" i="2"/>
  <c r="IQ130" i="2"/>
  <c r="IP130" i="2"/>
  <c r="IO130" i="2"/>
  <c r="IN130" i="2"/>
  <c r="IM130" i="2"/>
  <c r="IL130" i="2"/>
  <c r="IK130" i="2"/>
  <c r="IJ130" i="2"/>
  <c r="II130" i="2"/>
  <c r="IH130" i="2"/>
  <c r="IG130" i="2"/>
  <c r="IF130" i="2"/>
  <c r="IE130" i="2"/>
  <c r="ID130" i="2"/>
  <c r="IC130" i="2"/>
  <c r="IB130" i="2"/>
  <c r="IA130" i="2"/>
  <c r="HZ130" i="2"/>
  <c r="HY130" i="2"/>
  <c r="HX130" i="2"/>
  <c r="HW130" i="2"/>
  <c r="HV130" i="2"/>
  <c r="HU130" i="2"/>
  <c r="HT130" i="2"/>
  <c r="HS130" i="2"/>
  <c r="HR130" i="2"/>
  <c r="HQ130" i="2"/>
  <c r="HP130" i="2"/>
  <c r="HO130" i="2"/>
  <c r="HN130" i="2"/>
  <c r="HM130" i="2"/>
  <c r="HL130" i="2"/>
  <c r="HK130" i="2"/>
  <c r="HJ130" i="2"/>
  <c r="HI130" i="2"/>
  <c r="HH130" i="2"/>
  <c r="HG130" i="2"/>
  <c r="HF130" i="2"/>
  <c r="HE130" i="2"/>
  <c r="HD130" i="2"/>
  <c r="HC130" i="2"/>
  <c r="HB130" i="2"/>
  <c r="HA130" i="2"/>
  <c r="GZ130" i="2"/>
  <c r="GY130" i="2"/>
  <c r="GX130" i="2"/>
  <c r="GW130" i="2"/>
  <c r="GV130" i="2"/>
  <c r="GU130" i="2"/>
  <c r="GT130" i="2"/>
  <c r="GS130" i="2"/>
  <c r="GR130" i="2"/>
  <c r="GQ130" i="2"/>
  <c r="GP130" i="2"/>
  <c r="GO130" i="2"/>
  <c r="GN130" i="2"/>
  <c r="GM130" i="2"/>
  <c r="GL130" i="2"/>
  <c r="GK130" i="2"/>
  <c r="GJ130" i="2"/>
  <c r="GI130" i="2"/>
  <c r="GH130" i="2"/>
  <c r="GG130" i="2"/>
  <c r="GF130" i="2"/>
  <c r="GE130" i="2"/>
  <c r="GD130" i="2"/>
  <c r="GC130" i="2"/>
  <c r="GB130" i="2"/>
  <c r="GA130" i="2"/>
  <c r="FZ130" i="2"/>
  <c r="FY130" i="2"/>
  <c r="FX130" i="2"/>
  <c r="FW130" i="2"/>
  <c r="FV130" i="2"/>
  <c r="FU130" i="2"/>
  <c r="FT130" i="2"/>
  <c r="FS130" i="2"/>
  <c r="FR130" i="2"/>
  <c r="FQ130" i="2"/>
  <c r="FP130" i="2"/>
  <c r="FO130" i="2"/>
  <c r="FN130" i="2"/>
  <c r="FM130" i="2"/>
  <c r="FL130" i="2"/>
  <c r="FK130" i="2"/>
  <c r="FJ130" i="2"/>
  <c r="FI130" i="2"/>
  <c r="FH130" i="2"/>
  <c r="FG130" i="2"/>
  <c r="FF130" i="2"/>
  <c r="FE130" i="2"/>
  <c r="FD130" i="2"/>
  <c r="FC130" i="2"/>
  <c r="FB130" i="2"/>
  <c r="FA130" i="2"/>
  <c r="EZ130" i="2"/>
  <c r="EY130" i="2"/>
  <c r="EX130" i="2"/>
  <c r="EW130" i="2"/>
  <c r="EV130" i="2"/>
  <c r="EU130" i="2"/>
  <c r="ET130" i="2"/>
  <c r="ES130" i="2"/>
  <c r="ER130" i="2"/>
  <c r="EQ130" i="2"/>
  <c r="EP130" i="2"/>
  <c r="EO130" i="2"/>
  <c r="EN130" i="2"/>
  <c r="EM130" i="2"/>
  <c r="EL130" i="2"/>
  <c r="EK130" i="2"/>
  <c r="EJ130" i="2"/>
  <c r="EI130" i="2"/>
  <c r="EH130" i="2"/>
  <c r="EG130" i="2"/>
  <c r="EF130" i="2"/>
  <c r="EE130" i="2"/>
  <c r="ED130" i="2"/>
  <c r="EC130" i="2"/>
  <c r="EB130" i="2"/>
  <c r="EA130" i="2"/>
  <c r="DZ130" i="2"/>
  <c r="DY130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DG130" i="2"/>
  <c r="DF130" i="2"/>
  <c r="DE130" i="2"/>
  <c r="DD130" i="2"/>
  <c r="DC130" i="2"/>
  <c r="DB130" i="2"/>
  <c r="DA130" i="2"/>
  <c r="CZ130" i="2"/>
  <c r="CY130" i="2"/>
  <c r="CX130" i="2"/>
  <c r="CW130" i="2"/>
  <c r="CV130" i="2"/>
  <c r="CU130" i="2"/>
  <c r="CT130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PI129" i="2"/>
  <c r="PH129" i="2"/>
  <c r="PG129" i="2"/>
  <c r="PF129" i="2"/>
  <c r="PE129" i="2"/>
  <c r="PD129" i="2"/>
  <c r="PC129" i="2"/>
  <c r="PB129" i="2"/>
  <c r="PA129" i="2"/>
  <c r="OZ129" i="2"/>
  <c r="OY129" i="2"/>
  <c r="OX129" i="2"/>
  <c r="OW129" i="2"/>
  <c r="OV129" i="2"/>
  <c r="OU129" i="2"/>
  <c r="OT129" i="2"/>
  <c r="OS129" i="2"/>
  <c r="OR129" i="2"/>
  <c r="OQ129" i="2"/>
  <c r="OP129" i="2"/>
  <c r="OO129" i="2"/>
  <c r="ON129" i="2"/>
  <c r="OM129" i="2"/>
  <c r="OL129" i="2"/>
  <c r="OK129" i="2"/>
  <c r="OJ129" i="2"/>
  <c r="OI129" i="2"/>
  <c r="OH129" i="2"/>
  <c r="OG129" i="2"/>
  <c r="OF129" i="2"/>
  <c r="OE129" i="2"/>
  <c r="OD129" i="2"/>
  <c r="OC129" i="2"/>
  <c r="OB129" i="2"/>
  <c r="OA129" i="2"/>
  <c r="NZ129" i="2"/>
  <c r="NY129" i="2"/>
  <c r="NX129" i="2"/>
  <c r="NW129" i="2"/>
  <c r="NV129" i="2"/>
  <c r="NU129" i="2"/>
  <c r="NT129" i="2"/>
  <c r="NS129" i="2"/>
  <c r="NR129" i="2"/>
  <c r="NQ129" i="2"/>
  <c r="NP129" i="2"/>
  <c r="NO129" i="2"/>
  <c r="NN129" i="2"/>
  <c r="NM129" i="2"/>
  <c r="NL129" i="2"/>
  <c r="NK129" i="2"/>
  <c r="NJ129" i="2"/>
  <c r="NI129" i="2"/>
  <c r="NH129" i="2"/>
  <c r="NG129" i="2"/>
  <c r="NF129" i="2"/>
  <c r="NE129" i="2"/>
  <c r="ND129" i="2"/>
  <c r="NC129" i="2"/>
  <c r="NB129" i="2"/>
  <c r="NA129" i="2"/>
  <c r="MZ129" i="2"/>
  <c r="MY129" i="2"/>
  <c r="MX129" i="2"/>
  <c r="MW129" i="2"/>
  <c r="MV129" i="2"/>
  <c r="MU129" i="2"/>
  <c r="MT129" i="2"/>
  <c r="MS129" i="2"/>
  <c r="MR129" i="2"/>
  <c r="MQ129" i="2"/>
  <c r="MP129" i="2"/>
  <c r="MO129" i="2"/>
  <c r="MN129" i="2"/>
  <c r="MM129" i="2"/>
  <c r="ML129" i="2"/>
  <c r="MK129" i="2"/>
  <c r="MJ129" i="2"/>
  <c r="MI129" i="2"/>
  <c r="MH129" i="2"/>
  <c r="MG129" i="2"/>
  <c r="MF129" i="2"/>
  <c r="ME129" i="2"/>
  <c r="MD129" i="2"/>
  <c r="MC129" i="2"/>
  <c r="MB129" i="2"/>
  <c r="MA129" i="2"/>
  <c r="LZ129" i="2"/>
  <c r="LY129" i="2"/>
  <c r="LX129" i="2"/>
  <c r="LW129" i="2"/>
  <c r="LV129" i="2"/>
  <c r="LU129" i="2"/>
  <c r="LT129" i="2"/>
  <c r="LS129" i="2"/>
  <c r="LR129" i="2"/>
  <c r="LQ129" i="2"/>
  <c r="LP129" i="2"/>
  <c r="LO129" i="2"/>
  <c r="LN129" i="2"/>
  <c r="LM129" i="2"/>
  <c r="LL129" i="2"/>
  <c r="LK129" i="2"/>
  <c r="LJ129" i="2"/>
  <c r="LI129" i="2"/>
  <c r="LH129" i="2"/>
  <c r="LG129" i="2"/>
  <c r="LF129" i="2"/>
  <c r="LE129" i="2"/>
  <c r="LD129" i="2"/>
  <c r="LC129" i="2"/>
  <c r="LB129" i="2"/>
  <c r="LA129" i="2"/>
  <c r="KZ129" i="2"/>
  <c r="KY129" i="2"/>
  <c r="KX129" i="2"/>
  <c r="KW129" i="2"/>
  <c r="KV129" i="2"/>
  <c r="KU129" i="2"/>
  <c r="KT129" i="2"/>
  <c r="KS129" i="2"/>
  <c r="KR129" i="2"/>
  <c r="KQ129" i="2"/>
  <c r="KP129" i="2"/>
  <c r="KO129" i="2"/>
  <c r="KN129" i="2"/>
  <c r="KM129" i="2"/>
  <c r="KL129" i="2"/>
  <c r="KK129" i="2"/>
  <c r="KJ129" i="2"/>
  <c r="KI129" i="2"/>
  <c r="KH129" i="2"/>
  <c r="KG129" i="2"/>
  <c r="KF129" i="2"/>
  <c r="KE129" i="2"/>
  <c r="KD129" i="2"/>
  <c r="KC129" i="2"/>
  <c r="KB129" i="2"/>
  <c r="KA129" i="2"/>
  <c r="JZ129" i="2"/>
  <c r="JY129" i="2"/>
  <c r="JX129" i="2"/>
  <c r="JW129" i="2"/>
  <c r="JV129" i="2"/>
  <c r="JU129" i="2"/>
  <c r="JT129" i="2"/>
  <c r="JS129" i="2"/>
  <c r="JR129" i="2"/>
  <c r="JQ129" i="2"/>
  <c r="JP129" i="2"/>
  <c r="JO129" i="2"/>
  <c r="JN129" i="2"/>
  <c r="JM129" i="2"/>
  <c r="JL129" i="2"/>
  <c r="JK129" i="2"/>
  <c r="JJ129" i="2"/>
  <c r="JI129" i="2"/>
  <c r="JH129" i="2"/>
  <c r="JG129" i="2"/>
  <c r="JF129" i="2"/>
  <c r="JE129" i="2"/>
  <c r="JD129" i="2"/>
  <c r="JC129" i="2"/>
  <c r="JB129" i="2"/>
  <c r="JA129" i="2"/>
  <c r="IZ129" i="2"/>
  <c r="IY129" i="2"/>
  <c r="IX129" i="2"/>
  <c r="IW129" i="2"/>
  <c r="IV129" i="2"/>
  <c r="IU129" i="2"/>
  <c r="IT129" i="2"/>
  <c r="IS129" i="2"/>
  <c r="IR129" i="2"/>
  <c r="IQ129" i="2"/>
  <c r="IP129" i="2"/>
  <c r="IO129" i="2"/>
  <c r="IN129" i="2"/>
  <c r="IM129" i="2"/>
  <c r="IL129" i="2"/>
  <c r="IK129" i="2"/>
  <c r="IJ129" i="2"/>
  <c r="II129" i="2"/>
  <c r="IH129" i="2"/>
  <c r="IG129" i="2"/>
  <c r="IF129" i="2"/>
  <c r="IE129" i="2"/>
  <c r="ID129" i="2"/>
  <c r="IC129" i="2"/>
  <c r="IB129" i="2"/>
  <c r="IA129" i="2"/>
  <c r="HZ129" i="2"/>
  <c r="HY129" i="2"/>
  <c r="HX129" i="2"/>
  <c r="HW129" i="2"/>
  <c r="HV129" i="2"/>
  <c r="HU129" i="2"/>
  <c r="HT129" i="2"/>
  <c r="HS129" i="2"/>
  <c r="HR129" i="2"/>
  <c r="HQ129" i="2"/>
  <c r="HP129" i="2"/>
  <c r="HO129" i="2"/>
  <c r="HN129" i="2"/>
  <c r="HM129" i="2"/>
  <c r="HL129" i="2"/>
  <c r="HK129" i="2"/>
  <c r="HJ129" i="2"/>
  <c r="HI129" i="2"/>
  <c r="HH129" i="2"/>
  <c r="HG129" i="2"/>
  <c r="HF129" i="2"/>
  <c r="HE129" i="2"/>
  <c r="HD129" i="2"/>
  <c r="HC129" i="2"/>
  <c r="HB129" i="2"/>
  <c r="HA129" i="2"/>
  <c r="GZ129" i="2"/>
  <c r="GY129" i="2"/>
  <c r="GX129" i="2"/>
  <c r="GW129" i="2"/>
  <c r="GV129" i="2"/>
  <c r="GU129" i="2"/>
  <c r="GT129" i="2"/>
  <c r="GS129" i="2"/>
  <c r="GR129" i="2"/>
  <c r="GQ129" i="2"/>
  <c r="GP129" i="2"/>
  <c r="GO129" i="2"/>
  <c r="GN129" i="2"/>
  <c r="GM129" i="2"/>
  <c r="GL129" i="2"/>
  <c r="GK129" i="2"/>
  <c r="GJ129" i="2"/>
  <c r="GI129" i="2"/>
  <c r="GH129" i="2"/>
  <c r="GG129" i="2"/>
  <c r="GF129" i="2"/>
  <c r="GE129" i="2"/>
  <c r="GD129" i="2"/>
  <c r="GC129" i="2"/>
  <c r="GB129" i="2"/>
  <c r="GA129" i="2"/>
  <c r="FZ129" i="2"/>
  <c r="FY129" i="2"/>
  <c r="FX129" i="2"/>
  <c r="FW129" i="2"/>
  <c r="FV129" i="2"/>
  <c r="FU129" i="2"/>
  <c r="FT129" i="2"/>
  <c r="FS129" i="2"/>
  <c r="FR129" i="2"/>
  <c r="FQ129" i="2"/>
  <c r="FP129" i="2"/>
  <c r="FO129" i="2"/>
  <c r="FN129" i="2"/>
  <c r="FM129" i="2"/>
  <c r="FL129" i="2"/>
  <c r="FK129" i="2"/>
  <c r="FJ129" i="2"/>
  <c r="FI129" i="2"/>
  <c r="FH129" i="2"/>
  <c r="FG129" i="2"/>
  <c r="FF129" i="2"/>
  <c r="FE129" i="2"/>
  <c r="FD129" i="2"/>
  <c r="FC129" i="2"/>
  <c r="FB129" i="2"/>
  <c r="FA129" i="2"/>
  <c r="EZ129" i="2"/>
  <c r="EY129" i="2"/>
  <c r="EX129" i="2"/>
  <c r="EW129" i="2"/>
  <c r="EV129" i="2"/>
  <c r="EU129" i="2"/>
  <c r="ET129" i="2"/>
  <c r="ES129" i="2"/>
  <c r="ER129" i="2"/>
  <c r="EQ129" i="2"/>
  <c r="EP129" i="2"/>
  <c r="EO129" i="2"/>
  <c r="EN129" i="2"/>
  <c r="EM129" i="2"/>
  <c r="EL129" i="2"/>
  <c r="EK129" i="2"/>
  <c r="EJ129" i="2"/>
  <c r="EI129" i="2"/>
  <c r="EH129" i="2"/>
  <c r="EG129" i="2"/>
  <c r="EF129" i="2"/>
  <c r="EE129" i="2"/>
  <c r="ED129" i="2"/>
  <c r="EC129" i="2"/>
  <c r="EB129" i="2"/>
  <c r="EA129" i="2"/>
  <c r="DZ129" i="2"/>
  <c r="DY129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DG129" i="2"/>
  <c r="DF129" i="2"/>
  <c r="DE129" i="2"/>
  <c r="DD129" i="2"/>
  <c r="DC129" i="2"/>
  <c r="DB129" i="2"/>
  <c r="DA129" i="2"/>
  <c r="CZ129" i="2"/>
  <c r="CY129" i="2"/>
  <c r="CX129" i="2"/>
  <c r="CW129" i="2"/>
  <c r="CV129" i="2"/>
  <c r="CU129" i="2"/>
  <c r="CT129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129" i="2"/>
  <c r="PI128" i="2"/>
  <c r="PH128" i="2"/>
  <c r="PG128" i="2"/>
  <c r="PF128" i="2"/>
  <c r="PE128" i="2"/>
  <c r="PD128" i="2"/>
  <c r="PC128" i="2"/>
  <c r="PB128" i="2"/>
  <c r="PA128" i="2"/>
  <c r="OZ128" i="2"/>
  <c r="OY128" i="2"/>
  <c r="OX128" i="2"/>
  <c r="OW128" i="2"/>
  <c r="OV128" i="2"/>
  <c r="OU128" i="2"/>
  <c r="OT128" i="2"/>
  <c r="OS128" i="2"/>
  <c r="OR128" i="2"/>
  <c r="OQ128" i="2"/>
  <c r="OP128" i="2"/>
  <c r="OO128" i="2"/>
  <c r="ON128" i="2"/>
  <c r="OM128" i="2"/>
  <c r="OL128" i="2"/>
  <c r="OK128" i="2"/>
  <c r="OJ128" i="2"/>
  <c r="OI128" i="2"/>
  <c r="OH128" i="2"/>
  <c r="OG128" i="2"/>
  <c r="OF128" i="2"/>
  <c r="OE128" i="2"/>
  <c r="OD128" i="2"/>
  <c r="OC128" i="2"/>
  <c r="OB128" i="2"/>
  <c r="OA128" i="2"/>
  <c r="NZ128" i="2"/>
  <c r="NY128" i="2"/>
  <c r="NX128" i="2"/>
  <c r="NW128" i="2"/>
  <c r="NV128" i="2"/>
  <c r="NU128" i="2"/>
  <c r="NT128" i="2"/>
  <c r="NS128" i="2"/>
  <c r="NR128" i="2"/>
  <c r="NQ128" i="2"/>
  <c r="NP128" i="2"/>
  <c r="NO128" i="2"/>
  <c r="NN128" i="2"/>
  <c r="NM128" i="2"/>
  <c r="NL128" i="2"/>
  <c r="NK128" i="2"/>
  <c r="NJ128" i="2"/>
  <c r="NI128" i="2"/>
  <c r="NH128" i="2"/>
  <c r="NG128" i="2"/>
  <c r="NF128" i="2"/>
  <c r="NE128" i="2"/>
  <c r="ND128" i="2"/>
  <c r="NC128" i="2"/>
  <c r="NB128" i="2"/>
  <c r="NA128" i="2"/>
  <c r="MZ128" i="2"/>
  <c r="MY128" i="2"/>
  <c r="MX128" i="2"/>
  <c r="MW128" i="2"/>
  <c r="MV128" i="2"/>
  <c r="MU128" i="2"/>
  <c r="MT128" i="2"/>
  <c r="MS128" i="2"/>
  <c r="MR128" i="2"/>
  <c r="MQ128" i="2"/>
  <c r="MP128" i="2"/>
  <c r="MO128" i="2"/>
  <c r="MN128" i="2"/>
  <c r="MM128" i="2"/>
  <c r="ML128" i="2"/>
  <c r="MK128" i="2"/>
  <c r="MJ128" i="2"/>
  <c r="MI128" i="2"/>
  <c r="MH128" i="2"/>
  <c r="MG128" i="2"/>
  <c r="MF128" i="2"/>
  <c r="ME128" i="2"/>
  <c r="MD128" i="2"/>
  <c r="MC128" i="2"/>
  <c r="MB128" i="2"/>
  <c r="MA128" i="2"/>
  <c r="LZ128" i="2"/>
  <c r="LY128" i="2"/>
  <c r="LX128" i="2"/>
  <c r="LW128" i="2"/>
  <c r="LV128" i="2"/>
  <c r="LU128" i="2"/>
  <c r="LT128" i="2"/>
  <c r="LS128" i="2"/>
  <c r="LR128" i="2"/>
  <c r="LQ128" i="2"/>
  <c r="LP128" i="2"/>
  <c r="LO128" i="2"/>
  <c r="LN128" i="2"/>
  <c r="LM128" i="2"/>
  <c r="LL128" i="2"/>
  <c r="LK128" i="2"/>
  <c r="LJ128" i="2"/>
  <c r="LI128" i="2"/>
  <c r="LH128" i="2"/>
  <c r="LG128" i="2"/>
  <c r="LF128" i="2"/>
  <c r="LE128" i="2"/>
  <c r="LD128" i="2"/>
  <c r="LC128" i="2"/>
  <c r="LB128" i="2"/>
  <c r="LA128" i="2"/>
  <c r="KZ128" i="2"/>
  <c r="KY128" i="2"/>
  <c r="KX128" i="2"/>
  <c r="KW128" i="2"/>
  <c r="KV128" i="2"/>
  <c r="KU128" i="2"/>
  <c r="KT128" i="2"/>
  <c r="KS128" i="2"/>
  <c r="KR128" i="2"/>
  <c r="KQ128" i="2"/>
  <c r="KP128" i="2"/>
  <c r="KO128" i="2"/>
  <c r="KN128" i="2"/>
  <c r="KM128" i="2"/>
  <c r="KL128" i="2"/>
  <c r="KK128" i="2"/>
  <c r="KJ128" i="2"/>
  <c r="KI128" i="2"/>
  <c r="KH128" i="2"/>
  <c r="KG128" i="2"/>
  <c r="KF128" i="2"/>
  <c r="KE128" i="2"/>
  <c r="KD128" i="2"/>
  <c r="KC128" i="2"/>
  <c r="KB128" i="2"/>
  <c r="KA128" i="2"/>
  <c r="JZ128" i="2"/>
  <c r="JY128" i="2"/>
  <c r="JX128" i="2"/>
  <c r="JW128" i="2"/>
  <c r="JV128" i="2"/>
  <c r="JU128" i="2"/>
  <c r="JT128" i="2"/>
  <c r="JS128" i="2"/>
  <c r="JR128" i="2"/>
  <c r="JQ128" i="2"/>
  <c r="JP128" i="2"/>
  <c r="JO128" i="2"/>
  <c r="JN128" i="2"/>
  <c r="JM128" i="2"/>
  <c r="JL128" i="2"/>
  <c r="JK128" i="2"/>
  <c r="JJ128" i="2"/>
  <c r="JI128" i="2"/>
  <c r="JH128" i="2"/>
  <c r="JG128" i="2"/>
  <c r="JF128" i="2"/>
  <c r="JE128" i="2"/>
  <c r="JD128" i="2"/>
  <c r="JC128" i="2"/>
  <c r="JB128" i="2"/>
  <c r="JA128" i="2"/>
  <c r="IZ128" i="2"/>
  <c r="IY128" i="2"/>
  <c r="IX128" i="2"/>
  <c r="IW128" i="2"/>
  <c r="IV128" i="2"/>
  <c r="IU128" i="2"/>
  <c r="IT128" i="2"/>
  <c r="IS128" i="2"/>
  <c r="IR128" i="2"/>
  <c r="IQ128" i="2"/>
  <c r="IP128" i="2"/>
  <c r="IO128" i="2"/>
  <c r="IN128" i="2"/>
  <c r="IM128" i="2"/>
  <c r="IL128" i="2"/>
  <c r="IK128" i="2"/>
  <c r="IJ128" i="2"/>
  <c r="II128" i="2"/>
  <c r="IH128" i="2"/>
  <c r="IG128" i="2"/>
  <c r="IF128" i="2"/>
  <c r="IE128" i="2"/>
  <c r="ID128" i="2"/>
  <c r="IC128" i="2"/>
  <c r="IB128" i="2"/>
  <c r="IA128" i="2"/>
  <c r="HZ128" i="2"/>
  <c r="HY128" i="2"/>
  <c r="HX128" i="2"/>
  <c r="HW128" i="2"/>
  <c r="HV128" i="2"/>
  <c r="HU128" i="2"/>
  <c r="HT128" i="2"/>
  <c r="HS128" i="2"/>
  <c r="HR128" i="2"/>
  <c r="HQ128" i="2"/>
  <c r="HP128" i="2"/>
  <c r="HO128" i="2"/>
  <c r="HN128" i="2"/>
  <c r="HM128" i="2"/>
  <c r="HL128" i="2"/>
  <c r="HK128" i="2"/>
  <c r="HJ128" i="2"/>
  <c r="HI128" i="2"/>
  <c r="HH128" i="2"/>
  <c r="HG128" i="2"/>
  <c r="HF128" i="2"/>
  <c r="HE128" i="2"/>
  <c r="HD128" i="2"/>
  <c r="HC128" i="2"/>
  <c r="HB128" i="2"/>
  <c r="HA128" i="2"/>
  <c r="GZ128" i="2"/>
  <c r="GY128" i="2"/>
  <c r="GX128" i="2"/>
  <c r="GW128" i="2"/>
  <c r="GV128" i="2"/>
  <c r="GU128" i="2"/>
  <c r="GT128" i="2"/>
  <c r="GS128" i="2"/>
  <c r="GR128" i="2"/>
  <c r="GQ128" i="2"/>
  <c r="GP128" i="2"/>
  <c r="GO128" i="2"/>
  <c r="GN128" i="2"/>
  <c r="GM128" i="2"/>
  <c r="GL128" i="2"/>
  <c r="GK128" i="2"/>
  <c r="GJ128" i="2"/>
  <c r="GI128" i="2"/>
  <c r="GH128" i="2"/>
  <c r="GG128" i="2"/>
  <c r="GF128" i="2"/>
  <c r="GE128" i="2"/>
  <c r="GD128" i="2"/>
  <c r="GC128" i="2"/>
  <c r="GB128" i="2"/>
  <c r="GA128" i="2"/>
  <c r="FZ128" i="2"/>
  <c r="FY128" i="2"/>
  <c r="FX128" i="2"/>
  <c r="FW128" i="2"/>
  <c r="FV128" i="2"/>
  <c r="FU128" i="2"/>
  <c r="FT128" i="2"/>
  <c r="FS128" i="2"/>
  <c r="FR128" i="2"/>
  <c r="FQ128" i="2"/>
  <c r="FP128" i="2"/>
  <c r="FO128" i="2"/>
  <c r="FN128" i="2"/>
  <c r="FM128" i="2"/>
  <c r="FL128" i="2"/>
  <c r="FK128" i="2"/>
  <c r="FJ128" i="2"/>
  <c r="FI128" i="2"/>
  <c r="FH128" i="2"/>
  <c r="FG128" i="2"/>
  <c r="FF128" i="2"/>
  <c r="FE128" i="2"/>
  <c r="FD128" i="2"/>
  <c r="FC128" i="2"/>
  <c r="FB128" i="2"/>
  <c r="FA128" i="2"/>
  <c r="EZ128" i="2"/>
  <c r="EY128" i="2"/>
  <c r="EX128" i="2"/>
  <c r="EW128" i="2"/>
  <c r="EV128" i="2"/>
  <c r="EU128" i="2"/>
  <c r="ET128" i="2"/>
  <c r="ES128" i="2"/>
  <c r="ER128" i="2"/>
  <c r="EQ128" i="2"/>
  <c r="EP128" i="2"/>
  <c r="EO128" i="2"/>
  <c r="EN128" i="2"/>
  <c r="EM128" i="2"/>
  <c r="EL128" i="2"/>
  <c r="EK128" i="2"/>
  <c r="EJ128" i="2"/>
  <c r="EI128" i="2"/>
  <c r="EH128" i="2"/>
  <c r="EG128" i="2"/>
  <c r="EF128" i="2"/>
  <c r="EE128" i="2"/>
  <c r="ED128" i="2"/>
  <c r="EC128" i="2"/>
  <c r="EB128" i="2"/>
  <c r="EA128" i="2"/>
  <c r="DZ128" i="2"/>
  <c r="DY128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DG128" i="2"/>
  <c r="DF128" i="2"/>
  <c r="DE128" i="2"/>
  <c r="DD128" i="2"/>
  <c r="DC128" i="2"/>
  <c r="DB128" i="2"/>
  <c r="DA128" i="2"/>
  <c r="CZ128" i="2"/>
  <c r="CY128" i="2"/>
  <c r="CX128" i="2"/>
  <c r="CW128" i="2"/>
  <c r="CV128" i="2"/>
  <c r="CU128" i="2"/>
  <c r="CT128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A128" i="2"/>
  <c r="PI127" i="2"/>
  <c r="PH127" i="2"/>
  <c r="PG127" i="2"/>
  <c r="PF127" i="2"/>
  <c r="PE127" i="2"/>
  <c r="PD127" i="2"/>
  <c r="PC127" i="2"/>
  <c r="PB127" i="2"/>
  <c r="PA127" i="2"/>
  <c r="OZ127" i="2"/>
  <c r="OY127" i="2"/>
  <c r="OX127" i="2"/>
  <c r="OW127" i="2"/>
  <c r="OV127" i="2"/>
  <c r="OU127" i="2"/>
  <c r="OT127" i="2"/>
  <c r="OS127" i="2"/>
  <c r="OR127" i="2"/>
  <c r="OQ127" i="2"/>
  <c r="OP127" i="2"/>
  <c r="OO127" i="2"/>
  <c r="ON127" i="2"/>
  <c r="OM127" i="2"/>
  <c r="OL127" i="2"/>
  <c r="OK127" i="2"/>
  <c r="OJ127" i="2"/>
  <c r="OI127" i="2"/>
  <c r="OH127" i="2"/>
  <c r="OG127" i="2"/>
  <c r="OF127" i="2"/>
  <c r="OE127" i="2"/>
  <c r="OD127" i="2"/>
  <c r="OC127" i="2"/>
  <c r="OB127" i="2"/>
  <c r="OA127" i="2"/>
  <c r="NZ127" i="2"/>
  <c r="NY127" i="2"/>
  <c r="NX127" i="2"/>
  <c r="NW127" i="2"/>
  <c r="NV127" i="2"/>
  <c r="NU127" i="2"/>
  <c r="NT127" i="2"/>
  <c r="NS127" i="2"/>
  <c r="NR127" i="2"/>
  <c r="NQ127" i="2"/>
  <c r="NP127" i="2"/>
  <c r="NO127" i="2"/>
  <c r="NN127" i="2"/>
  <c r="NM127" i="2"/>
  <c r="NL127" i="2"/>
  <c r="NK127" i="2"/>
  <c r="NJ127" i="2"/>
  <c r="NI127" i="2"/>
  <c r="NH127" i="2"/>
  <c r="NG127" i="2"/>
  <c r="NF127" i="2"/>
  <c r="NE127" i="2"/>
  <c r="ND127" i="2"/>
  <c r="NC127" i="2"/>
  <c r="NB127" i="2"/>
  <c r="NA127" i="2"/>
  <c r="MZ127" i="2"/>
  <c r="MY127" i="2"/>
  <c r="MX127" i="2"/>
  <c r="MW127" i="2"/>
  <c r="MV127" i="2"/>
  <c r="MU127" i="2"/>
  <c r="MT127" i="2"/>
  <c r="MS127" i="2"/>
  <c r="MR127" i="2"/>
  <c r="MQ127" i="2"/>
  <c r="MP127" i="2"/>
  <c r="MO127" i="2"/>
  <c r="MN127" i="2"/>
  <c r="MM127" i="2"/>
  <c r="ML127" i="2"/>
  <c r="MK127" i="2"/>
  <c r="MJ127" i="2"/>
  <c r="MI127" i="2"/>
  <c r="MH127" i="2"/>
  <c r="MG127" i="2"/>
  <c r="MF127" i="2"/>
  <c r="ME127" i="2"/>
  <c r="MD127" i="2"/>
  <c r="MC127" i="2"/>
  <c r="MB127" i="2"/>
  <c r="MA127" i="2"/>
  <c r="LZ127" i="2"/>
  <c r="LY127" i="2"/>
  <c r="LX127" i="2"/>
  <c r="LW127" i="2"/>
  <c r="LV127" i="2"/>
  <c r="LU127" i="2"/>
  <c r="LT127" i="2"/>
  <c r="LS127" i="2"/>
  <c r="LR127" i="2"/>
  <c r="LQ127" i="2"/>
  <c r="LP127" i="2"/>
  <c r="LO127" i="2"/>
  <c r="LN127" i="2"/>
  <c r="LM127" i="2"/>
  <c r="LL127" i="2"/>
  <c r="LK127" i="2"/>
  <c r="LJ127" i="2"/>
  <c r="LI127" i="2"/>
  <c r="LH127" i="2"/>
  <c r="LG127" i="2"/>
  <c r="LF127" i="2"/>
  <c r="LE127" i="2"/>
  <c r="LD127" i="2"/>
  <c r="LC127" i="2"/>
  <c r="LB127" i="2"/>
  <c r="LA127" i="2"/>
  <c r="KZ127" i="2"/>
  <c r="KY127" i="2"/>
  <c r="KX127" i="2"/>
  <c r="KW127" i="2"/>
  <c r="KV127" i="2"/>
  <c r="KU127" i="2"/>
  <c r="KT127" i="2"/>
  <c r="KS127" i="2"/>
  <c r="KR127" i="2"/>
  <c r="KQ127" i="2"/>
  <c r="KP127" i="2"/>
  <c r="KO127" i="2"/>
  <c r="KN127" i="2"/>
  <c r="KM127" i="2"/>
  <c r="KL127" i="2"/>
  <c r="KK127" i="2"/>
  <c r="KJ127" i="2"/>
  <c r="KI127" i="2"/>
  <c r="KH127" i="2"/>
  <c r="KG127" i="2"/>
  <c r="KF127" i="2"/>
  <c r="KE127" i="2"/>
  <c r="KD127" i="2"/>
  <c r="KC127" i="2"/>
  <c r="KB127" i="2"/>
  <c r="KA127" i="2"/>
  <c r="JZ127" i="2"/>
  <c r="JY127" i="2"/>
  <c r="JX127" i="2"/>
  <c r="JW127" i="2"/>
  <c r="JV127" i="2"/>
  <c r="JU127" i="2"/>
  <c r="JT127" i="2"/>
  <c r="JS127" i="2"/>
  <c r="JR127" i="2"/>
  <c r="JQ127" i="2"/>
  <c r="JP127" i="2"/>
  <c r="JO127" i="2"/>
  <c r="JN127" i="2"/>
  <c r="JM127" i="2"/>
  <c r="JL127" i="2"/>
  <c r="JK127" i="2"/>
  <c r="JJ127" i="2"/>
  <c r="JI127" i="2"/>
  <c r="JH127" i="2"/>
  <c r="JG127" i="2"/>
  <c r="JF127" i="2"/>
  <c r="JE127" i="2"/>
  <c r="JD127" i="2"/>
  <c r="JC127" i="2"/>
  <c r="JB127" i="2"/>
  <c r="JA127" i="2"/>
  <c r="IZ127" i="2"/>
  <c r="IY127" i="2"/>
  <c r="IX127" i="2"/>
  <c r="IW127" i="2"/>
  <c r="IV127" i="2"/>
  <c r="IU127" i="2"/>
  <c r="IT127" i="2"/>
  <c r="IS127" i="2"/>
  <c r="IR127" i="2"/>
  <c r="IQ127" i="2"/>
  <c r="IP127" i="2"/>
  <c r="IO127" i="2"/>
  <c r="IN127" i="2"/>
  <c r="IM127" i="2"/>
  <c r="IL127" i="2"/>
  <c r="IK127" i="2"/>
  <c r="IJ127" i="2"/>
  <c r="II127" i="2"/>
  <c r="IH127" i="2"/>
  <c r="IG127" i="2"/>
  <c r="IF127" i="2"/>
  <c r="IE127" i="2"/>
  <c r="ID127" i="2"/>
  <c r="IC127" i="2"/>
  <c r="IB127" i="2"/>
  <c r="IA127" i="2"/>
  <c r="HZ127" i="2"/>
  <c r="HY127" i="2"/>
  <c r="HX127" i="2"/>
  <c r="HW127" i="2"/>
  <c r="HV127" i="2"/>
  <c r="HU127" i="2"/>
  <c r="HT127" i="2"/>
  <c r="HS127" i="2"/>
  <c r="HR127" i="2"/>
  <c r="HQ127" i="2"/>
  <c r="HP127" i="2"/>
  <c r="HO127" i="2"/>
  <c r="HN127" i="2"/>
  <c r="HM127" i="2"/>
  <c r="HL127" i="2"/>
  <c r="HK127" i="2"/>
  <c r="HJ127" i="2"/>
  <c r="HI127" i="2"/>
  <c r="HH127" i="2"/>
  <c r="HG127" i="2"/>
  <c r="HF127" i="2"/>
  <c r="HE127" i="2"/>
  <c r="HD127" i="2"/>
  <c r="HC127" i="2"/>
  <c r="HB127" i="2"/>
  <c r="HA127" i="2"/>
  <c r="GZ127" i="2"/>
  <c r="GY127" i="2"/>
  <c r="GX127" i="2"/>
  <c r="GW127" i="2"/>
  <c r="GV127" i="2"/>
  <c r="GU127" i="2"/>
  <c r="GT127" i="2"/>
  <c r="GS127" i="2"/>
  <c r="GR127" i="2"/>
  <c r="GQ127" i="2"/>
  <c r="GP127" i="2"/>
  <c r="GO127" i="2"/>
  <c r="GN127" i="2"/>
  <c r="GM127" i="2"/>
  <c r="GL127" i="2"/>
  <c r="GK127" i="2"/>
  <c r="GJ127" i="2"/>
  <c r="GI127" i="2"/>
  <c r="GH127" i="2"/>
  <c r="GG127" i="2"/>
  <c r="GF127" i="2"/>
  <c r="GE127" i="2"/>
  <c r="GD127" i="2"/>
  <c r="GC127" i="2"/>
  <c r="GB127" i="2"/>
  <c r="GA127" i="2"/>
  <c r="FZ127" i="2"/>
  <c r="FY127" i="2"/>
  <c r="FX127" i="2"/>
  <c r="FW127" i="2"/>
  <c r="FV127" i="2"/>
  <c r="FU127" i="2"/>
  <c r="FT127" i="2"/>
  <c r="FS127" i="2"/>
  <c r="FR127" i="2"/>
  <c r="FQ127" i="2"/>
  <c r="FP127" i="2"/>
  <c r="FO127" i="2"/>
  <c r="FN127" i="2"/>
  <c r="FM127" i="2"/>
  <c r="FL127" i="2"/>
  <c r="FK127" i="2"/>
  <c r="FJ127" i="2"/>
  <c r="FI127" i="2"/>
  <c r="FH127" i="2"/>
  <c r="FG127" i="2"/>
  <c r="FF127" i="2"/>
  <c r="FE127" i="2"/>
  <c r="FD127" i="2"/>
  <c r="FC127" i="2"/>
  <c r="FB127" i="2"/>
  <c r="FA127" i="2"/>
  <c r="EZ127" i="2"/>
  <c r="EY127" i="2"/>
  <c r="EX127" i="2"/>
  <c r="EW127" i="2"/>
  <c r="EV127" i="2"/>
  <c r="EU127" i="2"/>
  <c r="ET127" i="2"/>
  <c r="ES127" i="2"/>
  <c r="ER127" i="2"/>
  <c r="EQ127" i="2"/>
  <c r="EP127" i="2"/>
  <c r="EO127" i="2"/>
  <c r="EN127" i="2"/>
  <c r="EM127" i="2"/>
  <c r="EL127" i="2"/>
  <c r="EK127" i="2"/>
  <c r="EJ127" i="2"/>
  <c r="EI127" i="2"/>
  <c r="EH127" i="2"/>
  <c r="EG127" i="2"/>
  <c r="EF127" i="2"/>
  <c r="EE127" i="2"/>
  <c r="ED127" i="2"/>
  <c r="EC127" i="2"/>
  <c r="EB127" i="2"/>
  <c r="EA127" i="2"/>
  <c r="DZ127" i="2"/>
  <c r="DY127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A127" i="2"/>
  <c r="PI126" i="2"/>
  <c r="PH126" i="2"/>
  <c r="PG126" i="2"/>
  <c r="PF126" i="2"/>
  <c r="PE126" i="2"/>
  <c r="PD126" i="2"/>
  <c r="PC126" i="2"/>
  <c r="PB126" i="2"/>
  <c r="PA126" i="2"/>
  <c r="OZ126" i="2"/>
  <c r="OY126" i="2"/>
  <c r="OX126" i="2"/>
  <c r="OW126" i="2"/>
  <c r="OV126" i="2"/>
  <c r="OU126" i="2"/>
  <c r="OT126" i="2"/>
  <c r="OS126" i="2"/>
  <c r="OR126" i="2"/>
  <c r="OQ126" i="2"/>
  <c r="OP126" i="2"/>
  <c r="OO126" i="2"/>
  <c r="ON126" i="2"/>
  <c r="OM126" i="2"/>
  <c r="OL126" i="2"/>
  <c r="OK126" i="2"/>
  <c r="OJ126" i="2"/>
  <c r="OI126" i="2"/>
  <c r="OH126" i="2"/>
  <c r="OG126" i="2"/>
  <c r="OF126" i="2"/>
  <c r="OE126" i="2"/>
  <c r="OD126" i="2"/>
  <c r="OC126" i="2"/>
  <c r="OB126" i="2"/>
  <c r="OA126" i="2"/>
  <c r="NZ126" i="2"/>
  <c r="NY126" i="2"/>
  <c r="NX126" i="2"/>
  <c r="NW126" i="2"/>
  <c r="NV126" i="2"/>
  <c r="NU126" i="2"/>
  <c r="NT126" i="2"/>
  <c r="NS126" i="2"/>
  <c r="NR126" i="2"/>
  <c r="NQ126" i="2"/>
  <c r="NP126" i="2"/>
  <c r="NO126" i="2"/>
  <c r="NN126" i="2"/>
  <c r="NM126" i="2"/>
  <c r="NL126" i="2"/>
  <c r="NK126" i="2"/>
  <c r="NJ126" i="2"/>
  <c r="NI126" i="2"/>
  <c r="NH126" i="2"/>
  <c r="NG126" i="2"/>
  <c r="NF126" i="2"/>
  <c r="NE126" i="2"/>
  <c r="ND126" i="2"/>
  <c r="NC126" i="2"/>
  <c r="NB126" i="2"/>
  <c r="NA126" i="2"/>
  <c r="MZ126" i="2"/>
  <c r="MY126" i="2"/>
  <c r="MX126" i="2"/>
  <c r="MW126" i="2"/>
  <c r="MV126" i="2"/>
  <c r="MU126" i="2"/>
  <c r="MT126" i="2"/>
  <c r="MS126" i="2"/>
  <c r="MR126" i="2"/>
  <c r="MQ126" i="2"/>
  <c r="MP126" i="2"/>
  <c r="MO126" i="2"/>
  <c r="MN126" i="2"/>
  <c r="MM126" i="2"/>
  <c r="ML126" i="2"/>
  <c r="MK126" i="2"/>
  <c r="MJ126" i="2"/>
  <c r="MI126" i="2"/>
  <c r="MH126" i="2"/>
  <c r="MG126" i="2"/>
  <c r="MF126" i="2"/>
  <c r="ME126" i="2"/>
  <c r="MD126" i="2"/>
  <c r="MC126" i="2"/>
  <c r="MB126" i="2"/>
  <c r="MA126" i="2"/>
  <c r="LZ126" i="2"/>
  <c r="LY126" i="2"/>
  <c r="LX126" i="2"/>
  <c r="LW126" i="2"/>
  <c r="LV126" i="2"/>
  <c r="LU126" i="2"/>
  <c r="LT126" i="2"/>
  <c r="LS126" i="2"/>
  <c r="LR126" i="2"/>
  <c r="LQ126" i="2"/>
  <c r="LP126" i="2"/>
  <c r="LO126" i="2"/>
  <c r="LN126" i="2"/>
  <c r="LM126" i="2"/>
  <c r="LL126" i="2"/>
  <c r="LK126" i="2"/>
  <c r="LJ126" i="2"/>
  <c r="LI126" i="2"/>
  <c r="LH126" i="2"/>
  <c r="LG126" i="2"/>
  <c r="LF126" i="2"/>
  <c r="LE126" i="2"/>
  <c r="LD126" i="2"/>
  <c r="LC126" i="2"/>
  <c r="LB126" i="2"/>
  <c r="LA126" i="2"/>
  <c r="KZ126" i="2"/>
  <c r="KY126" i="2"/>
  <c r="KX126" i="2"/>
  <c r="KW126" i="2"/>
  <c r="KV126" i="2"/>
  <c r="KU126" i="2"/>
  <c r="KT126" i="2"/>
  <c r="KS126" i="2"/>
  <c r="KR126" i="2"/>
  <c r="KQ126" i="2"/>
  <c r="KP126" i="2"/>
  <c r="KO126" i="2"/>
  <c r="KN126" i="2"/>
  <c r="KM126" i="2"/>
  <c r="KL126" i="2"/>
  <c r="KK126" i="2"/>
  <c r="KJ126" i="2"/>
  <c r="KI126" i="2"/>
  <c r="KH126" i="2"/>
  <c r="KG126" i="2"/>
  <c r="KF126" i="2"/>
  <c r="KE126" i="2"/>
  <c r="KD126" i="2"/>
  <c r="KC126" i="2"/>
  <c r="KB126" i="2"/>
  <c r="KA126" i="2"/>
  <c r="JZ126" i="2"/>
  <c r="JY126" i="2"/>
  <c r="JX126" i="2"/>
  <c r="JW126" i="2"/>
  <c r="JV126" i="2"/>
  <c r="JU126" i="2"/>
  <c r="JT126" i="2"/>
  <c r="JS126" i="2"/>
  <c r="JR126" i="2"/>
  <c r="JQ126" i="2"/>
  <c r="JP126" i="2"/>
  <c r="JO126" i="2"/>
  <c r="JN126" i="2"/>
  <c r="JM126" i="2"/>
  <c r="JL126" i="2"/>
  <c r="JK126" i="2"/>
  <c r="JJ126" i="2"/>
  <c r="JI126" i="2"/>
  <c r="JH126" i="2"/>
  <c r="JG126" i="2"/>
  <c r="JF126" i="2"/>
  <c r="JE126" i="2"/>
  <c r="JD126" i="2"/>
  <c r="JC126" i="2"/>
  <c r="JB126" i="2"/>
  <c r="JA126" i="2"/>
  <c r="IZ126" i="2"/>
  <c r="IY126" i="2"/>
  <c r="IX126" i="2"/>
  <c r="IW126" i="2"/>
  <c r="IV126" i="2"/>
  <c r="IU126" i="2"/>
  <c r="IT126" i="2"/>
  <c r="IS126" i="2"/>
  <c r="IR126" i="2"/>
  <c r="IQ126" i="2"/>
  <c r="IP126" i="2"/>
  <c r="IO126" i="2"/>
  <c r="IN126" i="2"/>
  <c r="IM126" i="2"/>
  <c r="IL126" i="2"/>
  <c r="IK126" i="2"/>
  <c r="IJ126" i="2"/>
  <c r="II126" i="2"/>
  <c r="IH126" i="2"/>
  <c r="IG126" i="2"/>
  <c r="IF126" i="2"/>
  <c r="IE126" i="2"/>
  <c r="ID126" i="2"/>
  <c r="IC126" i="2"/>
  <c r="IB126" i="2"/>
  <c r="IA126" i="2"/>
  <c r="HZ126" i="2"/>
  <c r="HY126" i="2"/>
  <c r="HX126" i="2"/>
  <c r="HW126" i="2"/>
  <c r="HV126" i="2"/>
  <c r="HU126" i="2"/>
  <c r="HT126" i="2"/>
  <c r="HS126" i="2"/>
  <c r="HR126" i="2"/>
  <c r="HQ126" i="2"/>
  <c r="HP126" i="2"/>
  <c r="HO126" i="2"/>
  <c r="HN126" i="2"/>
  <c r="HM126" i="2"/>
  <c r="HL126" i="2"/>
  <c r="HK126" i="2"/>
  <c r="HJ126" i="2"/>
  <c r="HI126" i="2"/>
  <c r="HH126" i="2"/>
  <c r="HG126" i="2"/>
  <c r="HF126" i="2"/>
  <c r="HE126" i="2"/>
  <c r="HD126" i="2"/>
  <c r="HC126" i="2"/>
  <c r="HB126" i="2"/>
  <c r="HA126" i="2"/>
  <c r="GZ126" i="2"/>
  <c r="GY126" i="2"/>
  <c r="GX126" i="2"/>
  <c r="GW126" i="2"/>
  <c r="GV126" i="2"/>
  <c r="GU126" i="2"/>
  <c r="GT126" i="2"/>
  <c r="GS126" i="2"/>
  <c r="GR126" i="2"/>
  <c r="GQ126" i="2"/>
  <c r="GP126" i="2"/>
  <c r="GO126" i="2"/>
  <c r="GN126" i="2"/>
  <c r="GM126" i="2"/>
  <c r="GL126" i="2"/>
  <c r="GK126" i="2"/>
  <c r="GJ126" i="2"/>
  <c r="GI126" i="2"/>
  <c r="GH126" i="2"/>
  <c r="GG126" i="2"/>
  <c r="GF126" i="2"/>
  <c r="GE126" i="2"/>
  <c r="GD126" i="2"/>
  <c r="GC126" i="2"/>
  <c r="GB126" i="2"/>
  <c r="GA126" i="2"/>
  <c r="FZ126" i="2"/>
  <c r="FY126" i="2"/>
  <c r="FX126" i="2"/>
  <c r="FW126" i="2"/>
  <c r="FV126" i="2"/>
  <c r="FU126" i="2"/>
  <c r="FT126" i="2"/>
  <c r="FS126" i="2"/>
  <c r="FR126" i="2"/>
  <c r="FQ126" i="2"/>
  <c r="FP126" i="2"/>
  <c r="FO126" i="2"/>
  <c r="FN126" i="2"/>
  <c r="FM126" i="2"/>
  <c r="FL126" i="2"/>
  <c r="FK126" i="2"/>
  <c r="FJ126" i="2"/>
  <c r="FI126" i="2"/>
  <c r="FH126" i="2"/>
  <c r="FG126" i="2"/>
  <c r="FF126" i="2"/>
  <c r="FE126" i="2"/>
  <c r="FD126" i="2"/>
  <c r="FC126" i="2"/>
  <c r="FB126" i="2"/>
  <c r="FA126" i="2"/>
  <c r="EZ126" i="2"/>
  <c r="EY126" i="2"/>
  <c r="EX126" i="2"/>
  <c r="EW126" i="2"/>
  <c r="EV126" i="2"/>
  <c r="EU126" i="2"/>
  <c r="ET126" i="2"/>
  <c r="ES126" i="2"/>
  <c r="ER126" i="2"/>
  <c r="EQ126" i="2"/>
  <c r="EP126" i="2"/>
  <c r="EO126" i="2"/>
  <c r="EN126" i="2"/>
  <c r="EM126" i="2"/>
  <c r="EL126" i="2"/>
  <c r="EK126" i="2"/>
  <c r="EJ126" i="2"/>
  <c r="EI126" i="2"/>
  <c r="EH126" i="2"/>
  <c r="EG126" i="2"/>
  <c r="EF126" i="2"/>
  <c r="EE126" i="2"/>
  <c r="ED126" i="2"/>
  <c r="EC126" i="2"/>
  <c r="EB126" i="2"/>
  <c r="EA126" i="2"/>
  <c r="DZ126" i="2"/>
  <c r="DY126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A126" i="2"/>
  <c r="PI125" i="2"/>
  <c r="PH125" i="2"/>
  <c r="PG125" i="2"/>
  <c r="PF125" i="2"/>
  <c r="PE125" i="2"/>
  <c r="PD125" i="2"/>
  <c r="PC125" i="2"/>
  <c r="PB125" i="2"/>
  <c r="PA125" i="2"/>
  <c r="OZ125" i="2"/>
  <c r="OY125" i="2"/>
  <c r="OX125" i="2"/>
  <c r="OW125" i="2"/>
  <c r="OV125" i="2"/>
  <c r="OU125" i="2"/>
  <c r="OT125" i="2"/>
  <c r="OS125" i="2"/>
  <c r="OR125" i="2"/>
  <c r="OQ125" i="2"/>
  <c r="OP125" i="2"/>
  <c r="OO125" i="2"/>
  <c r="ON125" i="2"/>
  <c r="OM125" i="2"/>
  <c r="OL125" i="2"/>
  <c r="OK125" i="2"/>
  <c r="OJ125" i="2"/>
  <c r="OI125" i="2"/>
  <c r="OH125" i="2"/>
  <c r="OG125" i="2"/>
  <c r="OF125" i="2"/>
  <c r="OE125" i="2"/>
  <c r="OD125" i="2"/>
  <c r="OC125" i="2"/>
  <c r="OB125" i="2"/>
  <c r="OA125" i="2"/>
  <c r="NZ125" i="2"/>
  <c r="NY125" i="2"/>
  <c r="NX125" i="2"/>
  <c r="NW125" i="2"/>
  <c r="NV125" i="2"/>
  <c r="NU125" i="2"/>
  <c r="NT125" i="2"/>
  <c r="NS125" i="2"/>
  <c r="NR125" i="2"/>
  <c r="NQ125" i="2"/>
  <c r="NP125" i="2"/>
  <c r="NO125" i="2"/>
  <c r="NN125" i="2"/>
  <c r="NM125" i="2"/>
  <c r="NL125" i="2"/>
  <c r="NK125" i="2"/>
  <c r="NJ125" i="2"/>
  <c r="NI125" i="2"/>
  <c r="NH125" i="2"/>
  <c r="NG125" i="2"/>
  <c r="NF125" i="2"/>
  <c r="NE125" i="2"/>
  <c r="ND125" i="2"/>
  <c r="NC125" i="2"/>
  <c r="NB125" i="2"/>
  <c r="NA125" i="2"/>
  <c r="MZ125" i="2"/>
  <c r="MY125" i="2"/>
  <c r="MX125" i="2"/>
  <c r="MW125" i="2"/>
  <c r="MV125" i="2"/>
  <c r="MU125" i="2"/>
  <c r="MT125" i="2"/>
  <c r="MS125" i="2"/>
  <c r="MR125" i="2"/>
  <c r="MQ125" i="2"/>
  <c r="MP125" i="2"/>
  <c r="MO125" i="2"/>
  <c r="MN125" i="2"/>
  <c r="MM125" i="2"/>
  <c r="ML125" i="2"/>
  <c r="MK125" i="2"/>
  <c r="MJ125" i="2"/>
  <c r="MI125" i="2"/>
  <c r="MH125" i="2"/>
  <c r="MG125" i="2"/>
  <c r="MF125" i="2"/>
  <c r="ME125" i="2"/>
  <c r="MD125" i="2"/>
  <c r="MC125" i="2"/>
  <c r="MB125" i="2"/>
  <c r="MA125" i="2"/>
  <c r="LZ125" i="2"/>
  <c r="LY125" i="2"/>
  <c r="LX125" i="2"/>
  <c r="LW125" i="2"/>
  <c r="LV125" i="2"/>
  <c r="LU125" i="2"/>
  <c r="LT125" i="2"/>
  <c r="LS125" i="2"/>
  <c r="LR125" i="2"/>
  <c r="LQ125" i="2"/>
  <c r="LP125" i="2"/>
  <c r="LO125" i="2"/>
  <c r="LN125" i="2"/>
  <c r="LM125" i="2"/>
  <c r="LL125" i="2"/>
  <c r="LK125" i="2"/>
  <c r="LJ125" i="2"/>
  <c r="LI125" i="2"/>
  <c r="LH125" i="2"/>
  <c r="LG125" i="2"/>
  <c r="LF125" i="2"/>
  <c r="LE125" i="2"/>
  <c r="LD125" i="2"/>
  <c r="LC125" i="2"/>
  <c r="LB125" i="2"/>
  <c r="LA125" i="2"/>
  <c r="KZ125" i="2"/>
  <c r="KY125" i="2"/>
  <c r="KX125" i="2"/>
  <c r="KW125" i="2"/>
  <c r="KV125" i="2"/>
  <c r="KU125" i="2"/>
  <c r="KT125" i="2"/>
  <c r="KS125" i="2"/>
  <c r="KR125" i="2"/>
  <c r="KQ125" i="2"/>
  <c r="KP125" i="2"/>
  <c r="KO125" i="2"/>
  <c r="KN125" i="2"/>
  <c r="KM125" i="2"/>
  <c r="KL125" i="2"/>
  <c r="KK125" i="2"/>
  <c r="KJ125" i="2"/>
  <c r="KI125" i="2"/>
  <c r="KH125" i="2"/>
  <c r="KG125" i="2"/>
  <c r="KF125" i="2"/>
  <c r="KE125" i="2"/>
  <c r="KD125" i="2"/>
  <c r="KC125" i="2"/>
  <c r="KB125" i="2"/>
  <c r="KA125" i="2"/>
  <c r="JZ125" i="2"/>
  <c r="JY125" i="2"/>
  <c r="JX125" i="2"/>
  <c r="JW125" i="2"/>
  <c r="JV125" i="2"/>
  <c r="JU125" i="2"/>
  <c r="JT125" i="2"/>
  <c r="JS125" i="2"/>
  <c r="JR125" i="2"/>
  <c r="JQ125" i="2"/>
  <c r="JP125" i="2"/>
  <c r="JO125" i="2"/>
  <c r="JN125" i="2"/>
  <c r="JM125" i="2"/>
  <c r="JL125" i="2"/>
  <c r="JK125" i="2"/>
  <c r="JJ125" i="2"/>
  <c r="JI125" i="2"/>
  <c r="JH125" i="2"/>
  <c r="JG125" i="2"/>
  <c r="JF125" i="2"/>
  <c r="JE125" i="2"/>
  <c r="JD125" i="2"/>
  <c r="JC125" i="2"/>
  <c r="JB125" i="2"/>
  <c r="JA125" i="2"/>
  <c r="IZ125" i="2"/>
  <c r="IY125" i="2"/>
  <c r="IX125" i="2"/>
  <c r="IW125" i="2"/>
  <c r="IV125" i="2"/>
  <c r="IU125" i="2"/>
  <c r="IT125" i="2"/>
  <c r="IS125" i="2"/>
  <c r="IR125" i="2"/>
  <c r="IQ125" i="2"/>
  <c r="IP125" i="2"/>
  <c r="IO125" i="2"/>
  <c r="IN125" i="2"/>
  <c r="IM125" i="2"/>
  <c r="IL125" i="2"/>
  <c r="IK125" i="2"/>
  <c r="IJ125" i="2"/>
  <c r="II125" i="2"/>
  <c r="IH125" i="2"/>
  <c r="IG125" i="2"/>
  <c r="IF125" i="2"/>
  <c r="IE125" i="2"/>
  <c r="ID125" i="2"/>
  <c r="IC125" i="2"/>
  <c r="IB125" i="2"/>
  <c r="IA125" i="2"/>
  <c r="HZ125" i="2"/>
  <c r="HY125" i="2"/>
  <c r="HX125" i="2"/>
  <c r="HW125" i="2"/>
  <c r="HV125" i="2"/>
  <c r="HU125" i="2"/>
  <c r="HT125" i="2"/>
  <c r="HS125" i="2"/>
  <c r="HR125" i="2"/>
  <c r="HQ125" i="2"/>
  <c r="HP125" i="2"/>
  <c r="HO125" i="2"/>
  <c r="HN125" i="2"/>
  <c r="HM125" i="2"/>
  <c r="HL125" i="2"/>
  <c r="HK125" i="2"/>
  <c r="HJ125" i="2"/>
  <c r="HI125" i="2"/>
  <c r="HH125" i="2"/>
  <c r="HG125" i="2"/>
  <c r="HF125" i="2"/>
  <c r="HE125" i="2"/>
  <c r="HD125" i="2"/>
  <c r="HC125" i="2"/>
  <c r="HB125" i="2"/>
  <c r="HA125" i="2"/>
  <c r="GZ125" i="2"/>
  <c r="GY125" i="2"/>
  <c r="GX125" i="2"/>
  <c r="GW125" i="2"/>
  <c r="GV125" i="2"/>
  <c r="GU125" i="2"/>
  <c r="GT125" i="2"/>
  <c r="GS125" i="2"/>
  <c r="GR125" i="2"/>
  <c r="GQ125" i="2"/>
  <c r="GP125" i="2"/>
  <c r="GO125" i="2"/>
  <c r="GN125" i="2"/>
  <c r="GM125" i="2"/>
  <c r="GL125" i="2"/>
  <c r="GK125" i="2"/>
  <c r="GJ125" i="2"/>
  <c r="GI125" i="2"/>
  <c r="GH125" i="2"/>
  <c r="GG125" i="2"/>
  <c r="GF125" i="2"/>
  <c r="GE125" i="2"/>
  <c r="GD125" i="2"/>
  <c r="GC125" i="2"/>
  <c r="GB125" i="2"/>
  <c r="GA125" i="2"/>
  <c r="FZ125" i="2"/>
  <c r="FY125" i="2"/>
  <c r="FX125" i="2"/>
  <c r="FW125" i="2"/>
  <c r="FV125" i="2"/>
  <c r="FU125" i="2"/>
  <c r="FT125" i="2"/>
  <c r="FS125" i="2"/>
  <c r="FR125" i="2"/>
  <c r="FQ125" i="2"/>
  <c r="FP125" i="2"/>
  <c r="FO125" i="2"/>
  <c r="FN125" i="2"/>
  <c r="FM125" i="2"/>
  <c r="FL125" i="2"/>
  <c r="FK125" i="2"/>
  <c r="FJ125" i="2"/>
  <c r="FI125" i="2"/>
  <c r="FH125" i="2"/>
  <c r="FG125" i="2"/>
  <c r="FF125" i="2"/>
  <c r="FE125" i="2"/>
  <c r="FD125" i="2"/>
  <c r="FC125" i="2"/>
  <c r="FB125" i="2"/>
  <c r="FA125" i="2"/>
  <c r="EZ125" i="2"/>
  <c r="EY125" i="2"/>
  <c r="EX125" i="2"/>
  <c r="EW125" i="2"/>
  <c r="EV125" i="2"/>
  <c r="EU125" i="2"/>
  <c r="ET125" i="2"/>
  <c r="ES125" i="2"/>
  <c r="ER125" i="2"/>
  <c r="EQ125" i="2"/>
  <c r="EP125" i="2"/>
  <c r="EO125" i="2"/>
  <c r="EN125" i="2"/>
  <c r="EM125" i="2"/>
  <c r="EL125" i="2"/>
  <c r="EK125" i="2"/>
  <c r="EJ125" i="2"/>
  <c r="EI125" i="2"/>
  <c r="EH125" i="2"/>
  <c r="EG125" i="2"/>
  <c r="EF125" i="2"/>
  <c r="EE125" i="2"/>
  <c r="ED125" i="2"/>
  <c r="EC125" i="2"/>
  <c r="EB125" i="2"/>
  <c r="EA125" i="2"/>
  <c r="DZ125" i="2"/>
  <c r="DY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DG125" i="2"/>
  <c r="DF125" i="2"/>
  <c r="DE125" i="2"/>
  <c r="DD125" i="2"/>
  <c r="DC125" i="2"/>
  <c r="DB125" i="2"/>
  <c r="DA125" i="2"/>
  <c r="CZ125" i="2"/>
  <c r="CY125" i="2"/>
  <c r="CX125" i="2"/>
  <c r="CW125" i="2"/>
  <c r="CV125" i="2"/>
  <c r="CU125" i="2"/>
  <c r="CT125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125" i="2"/>
  <c r="PI124" i="2"/>
  <c r="PH124" i="2"/>
  <c r="PG124" i="2"/>
  <c r="PF124" i="2"/>
  <c r="PE124" i="2"/>
  <c r="PD124" i="2"/>
  <c r="PC124" i="2"/>
  <c r="PB124" i="2"/>
  <c r="PA124" i="2"/>
  <c r="OZ124" i="2"/>
  <c r="OY124" i="2"/>
  <c r="OX124" i="2"/>
  <c r="OW124" i="2"/>
  <c r="OV124" i="2"/>
  <c r="OU124" i="2"/>
  <c r="OT124" i="2"/>
  <c r="OS124" i="2"/>
  <c r="OR124" i="2"/>
  <c r="OQ124" i="2"/>
  <c r="OP124" i="2"/>
  <c r="OO124" i="2"/>
  <c r="ON124" i="2"/>
  <c r="OM124" i="2"/>
  <c r="OL124" i="2"/>
  <c r="OK124" i="2"/>
  <c r="OJ124" i="2"/>
  <c r="OI124" i="2"/>
  <c r="OH124" i="2"/>
  <c r="OG124" i="2"/>
  <c r="OF124" i="2"/>
  <c r="OE124" i="2"/>
  <c r="OD124" i="2"/>
  <c r="OC124" i="2"/>
  <c r="OB124" i="2"/>
  <c r="OA124" i="2"/>
  <c r="NZ124" i="2"/>
  <c r="NY124" i="2"/>
  <c r="NX124" i="2"/>
  <c r="NW124" i="2"/>
  <c r="NV124" i="2"/>
  <c r="NU124" i="2"/>
  <c r="NT124" i="2"/>
  <c r="NS124" i="2"/>
  <c r="NR124" i="2"/>
  <c r="NQ124" i="2"/>
  <c r="NP124" i="2"/>
  <c r="NO124" i="2"/>
  <c r="NN124" i="2"/>
  <c r="NM124" i="2"/>
  <c r="NL124" i="2"/>
  <c r="NK124" i="2"/>
  <c r="NJ124" i="2"/>
  <c r="NI124" i="2"/>
  <c r="NH124" i="2"/>
  <c r="NG124" i="2"/>
  <c r="NF124" i="2"/>
  <c r="NE124" i="2"/>
  <c r="ND124" i="2"/>
  <c r="NC124" i="2"/>
  <c r="NB124" i="2"/>
  <c r="NA124" i="2"/>
  <c r="MZ124" i="2"/>
  <c r="MY124" i="2"/>
  <c r="MX124" i="2"/>
  <c r="MW124" i="2"/>
  <c r="MV124" i="2"/>
  <c r="MU124" i="2"/>
  <c r="MT124" i="2"/>
  <c r="MS124" i="2"/>
  <c r="MR124" i="2"/>
  <c r="MQ124" i="2"/>
  <c r="MP124" i="2"/>
  <c r="MO124" i="2"/>
  <c r="MN124" i="2"/>
  <c r="MM124" i="2"/>
  <c r="ML124" i="2"/>
  <c r="MK124" i="2"/>
  <c r="MJ124" i="2"/>
  <c r="MI124" i="2"/>
  <c r="MH124" i="2"/>
  <c r="MG124" i="2"/>
  <c r="MF124" i="2"/>
  <c r="ME124" i="2"/>
  <c r="MD124" i="2"/>
  <c r="MC124" i="2"/>
  <c r="MB124" i="2"/>
  <c r="MA124" i="2"/>
  <c r="LZ124" i="2"/>
  <c r="LY124" i="2"/>
  <c r="LX124" i="2"/>
  <c r="LW124" i="2"/>
  <c r="LV124" i="2"/>
  <c r="LU124" i="2"/>
  <c r="LT124" i="2"/>
  <c r="LS124" i="2"/>
  <c r="LR124" i="2"/>
  <c r="LQ124" i="2"/>
  <c r="LP124" i="2"/>
  <c r="LO124" i="2"/>
  <c r="LN124" i="2"/>
  <c r="LM124" i="2"/>
  <c r="LL124" i="2"/>
  <c r="LK124" i="2"/>
  <c r="LJ124" i="2"/>
  <c r="LI124" i="2"/>
  <c r="LH124" i="2"/>
  <c r="LG124" i="2"/>
  <c r="LF124" i="2"/>
  <c r="LE124" i="2"/>
  <c r="LD124" i="2"/>
  <c r="LC124" i="2"/>
  <c r="LB124" i="2"/>
  <c r="LA124" i="2"/>
  <c r="KZ124" i="2"/>
  <c r="KY124" i="2"/>
  <c r="KX124" i="2"/>
  <c r="KW124" i="2"/>
  <c r="KV124" i="2"/>
  <c r="KU124" i="2"/>
  <c r="KT124" i="2"/>
  <c r="KS124" i="2"/>
  <c r="KR124" i="2"/>
  <c r="KQ124" i="2"/>
  <c r="KP124" i="2"/>
  <c r="KO124" i="2"/>
  <c r="KN124" i="2"/>
  <c r="KM124" i="2"/>
  <c r="KL124" i="2"/>
  <c r="KK124" i="2"/>
  <c r="KJ124" i="2"/>
  <c r="KI124" i="2"/>
  <c r="KH124" i="2"/>
  <c r="KG124" i="2"/>
  <c r="KF124" i="2"/>
  <c r="KE124" i="2"/>
  <c r="KD124" i="2"/>
  <c r="KC124" i="2"/>
  <c r="KB124" i="2"/>
  <c r="KA124" i="2"/>
  <c r="JZ124" i="2"/>
  <c r="JY124" i="2"/>
  <c r="JX124" i="2"/>
  <c r="JW124" i="2"/>
  <c r="JV124" i="2"/>
  <c r="JU124" i="2"/>
  <c r="JT124" i="2"/>
  <c r="JS124" i="2"/>
  <c r="JR124" i="2"/>
  <c r="JQ124" i="2"/>
  <c r="JP124" i="2"/>
  <c r="JO124" i="2"/>
  <c r="JN124" i="2"/>
  <c r="JM124" i="2"/>
  <c r="JL124" i="2"/>
  <c r="JK124" i="2"/>
  <c r="JJ124" i="2"/>
  <c r="JI124" i="2"/>
  <c r="JH124" i="2"/>
  <c r="JG124" i="2"/>
  <c r="JF124" i="2"/>
  <c r="JE124" i="2"/>
  <c r="JD124" i="2"/>
  <c r="JC124" i="2"/>
  <c r="JB124" i="2"/>
  <c r="JA124" i="2"/>
  <c r="IZ124" i="2"/>
  <c r="IY124" i="2"/>
  <c r="IX124" i="2"/>
  <c r="IW124" i="2"/>
  <c r="IV124" i="2"/>
  <c r="IU124" i="2"/>
  <c r="IT124" i="2"/>
  <c r="IS124" i="2"/>
  <c r="IR124" i="2"/>
  <c r="IQ124" i="2"/>
  <c r="IP124" i="2"/>
  <c r="IO124" i="2"/>
  <c r="IN124" i="2"/>
  <c r="IM124" i="2"/>
  <c r="IL124" i="2"/>
  <c r="IK124" i="2"/>
  <c r="IJ124" i="2"/>
  <c r="II124" i="2"/>
  <c r="IH124" i="2"/>
  <c r="IG124" i="2"/>
  <c r="IF124" i="2"/>
  <c r="IE124" i="2"/>
  <c r="ID124" i="2"/>
  <c r="IC124" i="2"/>
  <c r="IB124" i="2"/>
  <c r="IA124" i="2"/>
  <c r="HZ124" i="2"/>
  <c r="HY124" i="2"/>
  <c r="HX124" i="2"/>
  <c r="HW124" i="2"/>
  <c r="HV124" i="2"/>
  <c r="HU124" i="2"/>
  <c r="HT124" i="2"/>
  <c r="HS124" i="2"/>
  <c r="HR124" i="2"/>
  <c r="HQ124" i="2"/>
  <c r="HP124" i="2"/>
  <c r="HO124" i="2"/>
  <c r="HN124" i="2"/>
  <c r="HM124" i="2"/>
  <c r="HL124" i="2"/>
  <c r="HK124" i="2"/>
  <c r="HJ124" i="2"/>
  <c r="HI124" i="2"/>
  <c r="HH124" i="2"/>
  <c r="HG124" i="2"/>
  <c r="HF124" i="2"/>
  <c r="HE124" i="2"/>
  <c r="HD124" i="2"/>
  <c r="HC124" i="2"/>
  <c r="HB124" i="2"/>
  <c r="HA124" i="2"/>
  <c r="GZ124" i="2"/>
  <c r="GY124" i="2"/>
  <c r="GX124" i="2"/>
  <c r="GW124" i="2"/>
  <c r="GV124" i="2"/>
  <c r="GU124" i="2"/>
  <c r="GT124" i="2"/>
  <c r="GS124" i="2"/>
  <c r="GR124" i="2"/>
  <c r="GQ124" i="2"/>
  <c r="GP124" i="2"/>
  <c r="GO124" i="2"/>
  <c r="GN124" i="2"/>
  <c r="GM124" i="2"/>
  <c r="GL124" i="2"/>
  <c r="GK124" i="2"/>
  <c r="GJ124" i="2"/>
  <c r="GI124" i="2"/>
  <c r="GH124" i="2"/>
  <c r="GG124" i="2"/>
  <c r="GF124" i="2"/>
  <c r="GE124" i="2"/>
  <c r="GD124" i="2"/>
  <c r="GC124" i="2"/>
  <c r="GB124" i="2"/>
  <c r="GA124" i="2"/>
  <c r="FZ124" i="2"/>
  <c r="FY124" i="2"/>
  <c r="FX124" i="2"/>
  <c r="FW124" i="2"/>
  <c r="FV124" i="2"/>
  <c r="FU124" i="2"/>
  <c r="FT124" i="2"/>
  <c r="FS124" i="2"/>
  <c r="FR124" i="2"/>
  <c r="FQ124" i="2"/>
  <c r="FP124" i="2"/>
  <c r="FO124" i="2"/>
  <c r="FN124" i="2"/>
  <c r="FM124" i="2"/>
  <c r="FL124" i="2"/>
  <c r="FK124" i="2"/>
  <c r="FJ124" i="2"/>
  <c r="FI124" i="2"/>
  <c r="FH124" i="2"/>
  <c r="FG124" i="2"/>
  <c r="FF124" i="2"/>
  <c r="FE124" i="2"/>
  <c r="FD124" i="2"/>
  <c r="FC124" i="2"/>
  <c r="FB124" i="2"/>
  <c r="FA124" i="2"/>
  <c r="EZ124" i="2"/>
  <c r="EY124" i="2"/>
  <c r="EX124" i="2"/>
  <c r="EW124" i="2"/>
  <c r="EV124" i="2"/>
  <c r="EU124" i="2"/>
  <c r="ET124" i="2"/>
  <c r="ES124" i="2"/>
  <c r="ER124" i="2"/>
  <c r="EQ124" i="2"/>
  <c r="EP124" i="2"/>
  <c r="EO124" i="2"/>
  <c r="EN124" i="2"/>
  <c r="EM124" i="2"/>
  <c r="EL124" i="2"/>
  <c r="EK124" i="2"/>
  <c r="EJ124" i="2"/>
  <c r="EI124" i="2"/>
  <c r="EH124" i="2"/>
  <c r="EG124" i="2"/>
  <c r="EF124" i="2"/>
  <c r="EE124" i="2"/>
  <c r="ED124" i="2"/>
  <c r="EC124" i="2"/>
  <c r="EB124" i="2"/>
  <c r="EA124" i="2"/>
  <c r="DZ124" i="2"/>
  <c r="DY124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DE124" i="2"/>
  <c r="DD124" i="2"/>
  <c r="DC124" i="2"/>
  <c r="DB124" i="2"/>
  <c r="DA124" i="2"/>
  <c r="CZ124" i="2"/>
  <c r="CY124" i="2"/>
  <c r="CX124" i="2"/>
  <c r="CW124" i="2"/>
  <c r="CV124" i="2"/>
  <c r="CU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124" i="2"/>
  <c r="PI123" i="2"/>
  <c r="PH123" i="2"/>
  <c r="PG123" i="2"/>
  <c r="PF123" i="2"/>
  <c r="PE123" i="2"/>
  <c r="PD123" i="2"/>
  <c r="PC123" i="2"/>
  <c r="PB123" i="2"/>
  <c r="PA123" i="2"/>
  <c r="OZ123" i="2"/>
  <c r="OY123" i="2"/>
  <c r="OX123" i="2"/>
  <c r="OW123" i="2"/>
  <c r="OV123" i="2"/>
  <c r="OU123" i="2"/>
  <c r="OT123" i="2"/>
  <c r="OS123" i="2"/>
  <c r="OR123" i="2"/>
  <c r="OQ123" i="2"/>
  <c r="OP123" i="2"/>
  <c r="OO123" i="2"/>
  <c r="ON123" i="2"/>
  <c r="OM123" i="2"/>
  <c r="OL123" i="2"/>
  <c r="OK123" i="2"/>
  <c r="OJ123" i="2"/>
  <c r="OI123" i="2"/>
  <c r="OH123" i="2"/>
  <c r="OG123" i="2"/>
  <c r="OF123" i="2"/>
  <c r="OE123" i="2"/>
  <c r="OD123" i="2"/>
  <c r="OC123" i="2"/>
  <c r="OB123" i="2"/>
  <c r="OA123" i="2"/>
  <c r="NZ123" i="2"/>
  <c r="NY123" i="2"/>
  <c r="NX123" i="2"/>
  <c r="NW123" i="2"/>
  <c r="NV123" i="2"/>
  <c r="NU123" i="2"/>
  <c r="NT123" i="2"/>
  <c r="NS123" i="2"/>
  <c r="NR123" i="2"/>
  <c r="NQ123" i="2"/>
  <c r="NP123" i="2"/>
  <c r="NO123" i="2"/>
  <c r="NN123" i="2"/>
  <c r="NM123" i="2"/>
  <c r="NL123" i="2"/>
  <c r="NK123" i="2"/>
  <c r="NJ123" i="2"/>
  <c r="NI123" i="2"/>
  <c r="NH123" i="2"/>
  <c r="NG123" i="2"/>
  <c r="NF123" i="2"/>
  <c r="NE123" i="2"/>
  <c r="ND123" i="2"/>
  <c r="NC123" i="2"/>
  <c r="NB123" i="2"/>
  <c r="NA123" i="2"/>
  <c r="MZ123" i="2"/>
  <c r="MY123" i="2"/>
  <c r="MX123" i="2"/>
  <c r="MW123" i="2"/>
  <c r="MV123" i="2"/>
  <c r="MU123" i="2"/>
  <c r="MT123" i="2"/>
  <c r="MS123" i="2"/>
  <c r="MR123" i="2"/>
  <c r="MQ123" i="2"/>
  <c r="MP123" i="2"/>
  <c r="MO123" i="2"/>
  <c r="MN123" i="2"/>
  <c r="MM123" i="2"/>
  <c r="ML123" i="2"/>
  <c r="MK123" i="2"/>
  <c r="MJ123" i="2"/>
  <c r="MI123" i="2"/>
  <c r="MH123" i="2"/>
  <c r="MG123" i="2"/>
  <c r="MF123" i="2"/>
  <c r="ME123" i="2"/>
  <c r="MD123" i="2"/>
  <c r="MC123" i="2"/>
  <c r="MB123" i="2"/>
  <c r="MA123" i="2"/>
  <c r="LZ123" i="2"/>
  <c r="LY123" i="2"/>
  <c r="LX123" i="2"/>
  <c r="LW123" i="2"/>
  <c r="LV123" i="2"/>
  <c r="LU123" i="2"/>
  <c r="LT123" i="2"/>
  <c r="LS123" i="2"/>
  <c r="LR123" i="2"/>
  <c r="LQ123" i="2"/>
  <c r="LP123" i="2"/>
  <c r="LO123" i="2"/>
  <c r="LN123" i="2"/>
  <c r="LM123" i="2"/>
  <c r="LL123" i="2"/>
  <c r="LK123" i="2"/>
  <c r="LJ123" i="2"/>
  <c r="LI123" i="2"/>
  <c r="LH123" i="2"/>
  <c r="LG123" i="2"/>
  <c r="LF123" i="2"/>
  <c r="LE123" i="2"/>
  <c r="LD123" i="2"/>
  <c r="LC123" i="2"/>
  <c r="LB123" i="2"/>
  <c r="LA123" i="2"/>
  <c r="KZ123" i="2"/>
  <c r="KY123" i="2"/>
  <c r="KX123" i="2"/>
  <c r="KW123" i="2"/>
  <c r="KV123" i="2"/>
  <c r="KU123" i="2"/>
  <c r="KT123" i="2"/>
  <c r="KS123" i="2"/>
  <c r="KR123" i="2"/>
  <c r="KQ123" i="2"/>
  <c r="KP123" i="2"/>
  <c r="KO123" i="2"/>
  <c r="KN123" i="2"/>
  <c r="KM123" i="2"/>
  <c r="KL123" i="2"/>
  <c r="KK123" i="2"/>
  <c r="KJ123" i="2"/>
  <c r="KI123" i="2"/>
  <c r="KH123" i="2"/>
  <c r="KG123" i="2"/>
  <c r="KF123" i="2"/>
  <c r="KE123" i="2"/>
  <c r="KD123" i="2"/>
  <c r="KC123" i="2"/>
  <c r="KB123" i="2"/>
  <c r="KA123" i="2"/>
  <c r="JZ123" i="2"/>
  <c r="JY123" i="2"/>
  <c r="JX123" i="2"/>
  <c r="JW123" i="2"/>
  <c r="JV123" i="2"/>
  <c r="JU123" i="2"/>
  <c r="JT123" i="2"/>
  <c r="JS123" i="2"/>
  <c r="JR123" i="2"/>
  <c r="JQ123" i="2"/>
  <c r="JP123" i="2"/>
  <c r="JO123" i="2"/>
  <c r="JN123" i="2"/>
  <c r="JM123" i="2"/>
  <c r="JL123" i="2"/>
  <c r="JK123" i="2"/>
  <c r="JJ123" i="2"/>
  <c r="JI123" i="2"/>
  <c r="JH123" i="2"/>
  <c r="JG123" i="2"/>
  <c r="JF123" i="2"/>
  <c r="JE123" i="2"/>
  <c r="JD123" i="2"/>
  <c r="JC123" i="2"/>
  <c r="JB123" i="2"/>
  <c r="JA123" i="2"/>
  <c r="IZ123" i="2"/>
  <c r="IY123" i="2"/>
  <c r="IX123" i="2"/>
  <c r="IW123" i="2"/>
  <c r="IV123" i="2"/>
  <c r="IU123" i="2"/>
  <c r="IT123" i="2"/>
  <c r="IS123" i="2"/>
  <c r="IR123" i="2"/>
  <c r="IQ123" i="2"/>
  <c r="IP123" i="2"/>
  <c r="IO123" i="2"/>
  <c r="IN123" i="2"/>
  <c r="IM123" i="2"/>
  <c r="IL123" i="2"/>
  <c r="IK123" i="2"/>
  <c r="IJ123" i="2"/>
  <c r="II123" i="2"/>
  <c r="IH123" i="2"/>
  <c r="IG123" i="2"/>
  <c r="IF123" i="2"/>
  <c r="IE123" i="2"/>
  <c r="ID123" i="2"/>
  <c r="IC123" i="2"/>
  <c r="IB123" i="2"/>
  <c r="IA123" i="2"/>
  <c r="HZ123" i="2"/>
  <c r="HY123" i="2"/>
  <c r="HX123" i="2"/>
  <c r="HW123" i="2"/>
  <c r="HV123" i="2"/>
  <c r="HU123" i="2"/>
  <c r="HT123" i="2"/>
  <c r="HS123" i="2"/>
  <c r="HR123" i="2"/>
  <c r="HQ123" i="2"/>
  <c r="HP123" i="2"/>
  <c r="HO123" i="2"/>
  <c r="HN123" i="2"/>
  <c r="HM123" i="2"/>
  <c r="HL123" i="2"/>
  <c r="HK123" i="2"/>
  <c r="HJ123" i="2"/>
  <c r="HI123" i="2"/>
  <c r="HH123" i="2"/>
  <c r="HG123" i="2"/>
  <c r="HF123" i="2"/>
  <c r="HE123" i="2"/>
  <c r="HD123" i="2"/>
  <c r="HC123" i="2"/>
  <c r="HB123" i="2"/>
  <c r="HA123" i="2"/>
  <c r="GZ123" i="2"/>
  <c r="GY123" i="2"/>
  <c r="GX123" i="2"/>
  <c r="GW123" i="2"/>
  <c r="GV123" i="2"/>
  <c r="GU123" i="2"/>
  <c r="GT123" i="2"/>
  <c r="GS123" i="2"/>
  <c r="GR123" i="2"/>
  <c r="GQ123" i="2"/>
  <c r="GP123" i="2"/>
  <c r="GO123" i="2"/>
  <c r="GN123" i="2"/>
  <c r="GM123" i="2"/>
  <c r="GL123" i="2"/>
  <c r="GK123" i="2"/>
  <c r="GJ123" i="2"/>
  <c r="GI123" i="2"/>
  <c r="GH123" i="2"/>
  <c r="GG123" i="2"/>
  <c r="GF123" i="2"/>
  <c r="GE123" i="2"/>
  <c r="GD123" i="2"/>
  <c r="GC123" i="2"/>
  <c r="GB123" i="2"/>
  <c r="GA123" i="2"/>
  <c r="FZ123" i="2"/>
  <c r="FY123" i="2"/>
  <c r="FX123" i="2"/>
  <c r="FW123" i="2"/>
  <c r="FV123" i="2"/>
  <c r="FU123" i="2"/>
  <c r="FT123" i="2"/>
  <c r="FS123" i="2"/>
  <c r="FR123" i="2"/>
  <c r="FQ123" i="2"/>
  <c r="FP123" i="2"/>
  <c r="FO123" i="2"/>
  <c r="FN123" i="2"/>
  <c r="FM123" i="2"/>
  <c r="FL123" i="2"/>
  <c r="FK123" i="2"/>
  <c r="FJ123" i="2"/>
  <c r="FI123" i="2"/>
  <c r="FH123" i="2"/>
  <c r="FG123" i="2"/>
  <c r="FF123" i="2"/>
  <c r="FE123" i="2"/>
  <c r="FD123" i="2"/>
  <c r="FC123" i="2"/>
  <c r="FB123" i="2"/>
  <c r="FA123" i="2"/>
  <c r="EZ123" i="2"/>
  <c r="EY123" i="2"/>
  <c r="EX123" i="2"/>
  <c r="EW123" i="2"/>
  <c r="EV123" i="2"/>
  <c r="EU123" i="2"/>
  <c r="ET123" i="2"/>
  <c r="ES123" i="2"/>
  <c r="ER123" i="2"/>
  <c r="EQ123" i="2"/>
  <c r="EP123" i="2"/>
  <c r="EO123" i="2"/>
  <c r="EN123" i="2"/>
  <c r="EM123" i="2"/>
  <c r="EL123" i="2"/>
  <c r="EK123" i="2"/>
  <c r="EJ123" i="2"/>
  <c r="EI123" i="2"/>
  <c r="EH123" i="2"/>
  <c r="EG123" i="2"/>
  <c r="EF123" i="2"/>
  <c r="EE123" i="2"/>
  <c r="ED123" i="2"/>
  <c r="EC123" i="2"/>
  <c r="EB123" i="2"/>
  <c r="EA123" i="2"/>
  <c r="DZ123" i="2"/>
  <c r="DY123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DG123" i="2"/>
  <c r="DF123" i="2"/>
  <c r="DE123" i="2"/>
  <c r="DD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123" i="2"/>
  <c r="PI122" i="2"/>
  <c r="PH122" i="2"/>
  <c r="PG122" i="2"/>
  <c r="PF122" i="2"/>
  <c r="PE122" i="2"/>
  <c r="PD122" i="2"/>
  <c r="PC122" i="2"/>
  <c r="PB122" i="2"/>
  <c r="PA122" i="2"/>
  <c r="OZ122" i="2"/>
  <c r="OY122" i="2"/>
  <c r="OX122" i="2"/>
  <c r="OW122" i="2"/>
  <c r="OV122" i="2"/>
  <c r="OU122" i="2"/>
  <c r="OT122" i="2"/>
  <c r="OS122" i="2"/>
  <c r="OR122" i="2"/>
  <c r="OQ122" i="2"/>
  <c r="OP122" i="2"/>
  <c r="OO122" i="2"/>
  <c r="ON122" i="2"/>
  <c r="OM122" i="2"/>
  <c r="OL122" i="2"/>
  <c r="OK122" i="2"/>
  <c r="OJ122" i="2"/>
  <c r="OI122" i="2"/>
  <c r="OH122" i="2"/>
  <c r="OG122" i="2"/>
  <c r="OF122" i="2"/>
  <c r="OE122" i="2"/>
  <c r="OD122" i="2"/>
  <c r="OC122" i="2"/>
  <c r="OB122" i="2"/>
  <c r="OA122" i="2"/>
  <c r="NZ122" i="2"/>
  <c r="NY122" i="2"/>
  <c r="NX122" i="2"/>
  <c r="NW122" i="2"/>
  <c r="NV122" i="2"/>
  <c r="NU122" i="2"/>
  <c r="NT122" i="2"/>
  <c r="NS122" i="2"/>
  <c r="NR122" i="2"/>
  <c r="NQ122" i="2"/>
  <c r="NP122" i="2"/>
  <c r="NO122" i="2"/>
  <c r="NN122" i="2"/>
  <c r="NM122" i="2"/>
  <c r="NL122" i="2"/>
  <c r="NK122" i="2"/>
  <c r="NJ122" i="2"/>
  <c r="NI122" i="2"/>
  <c r="NH122" i="2"/>
  <c r="NG122" i="2"/>
  <c r="NF122" i="2"/>
  <c r="NE122" i="2"/>
  <c r="ND122" i="2"/>
  <c r="NC122" i="2"/>
  <c r="NB122" i="2"/>
  <c r="NA122" i="2"/>
  <c r="MZ122" i="2"/>
  <c r="MY122" i="2"/>
  <c r="MX122" i="2"/>
  <c r="MW122" i="2"/>
  <c r="MV122" i="2"/>
  <c r="MU122" i="2"/>
  <c r="MT122" i="2"/>
  <c r="MS122" i="2"/>
  <c r="MR122" i="2"/>
  <c r="MQ122" i="2"/>
  <c r="MP122" i="2"/>
  <c r="MO122" i="2"/>
  <c r="MN122" i="2"/>
  <c r="MM122" i="2"/>
  <c r="ML122" i="2"/>
  <c r="MK122" i="2"/>
  <c r="MJ122" i="2"/>
  <c r="MI122" i="2"/>
  <c r="MH122" i="2"/>
  <c r="MG122" i="2"/>
  <c r="MF122" i="2"/>
  <c r="ME122" i="2"/>
  <c r="MD122" i="2"/>
  <c r="MC122" i="2"/>
  <c r="MB122" i="2"/>
  <c r="MA122" i="2"/>
  <c r="LZ122" i="2"/>
  <c r="LY122" i="2"/>
  <c r="LX122" i="2"/>
  <c r="LW122" i="2"/>
  <c r="LV122" i="2"/>
  <c r="LU122" i="2"/>
  <c r="LT122" i="2"/>
  <c r="LS122" i="2"/>
  <c r="LR122" i="2"/>
  <c r="LQ122" i="2"/>
  <c r="LP122" i="2"/>
  <c r="LO122" i="2"/>
  <c r="LN122" i="2"/>
  <c r="LM122" i="2"/>
  <c r="LL122" i="2"/>
  <c r="LK122" i="2"/>
  <c r="LJ122" i="2"/>
  <c r="LI122" i="2"/>
  <c r="LH122" i="2"/>
  <c r="LG122" i="2"/>
  <c r="LF122" i="2"/>
  <c r="LE122" i="2"/>
  <c r="LD122" i="2"/>
  <c r="LC122" i="2"/>
  <c r="LB122" i="2"/>
  <c r="LA122" i="2"/>
  <c r="KZ122" i="2"/>
  <c r="KY122" i="2"/>
  <c r="KX122" i="2"/>
  <c r="KW122" i="2"/>
  <c r="KV122" i="2"/>
  <c r="KU122" i="2"/>
  <c r="KT122" i="2"/>
  <c r="KS122" i="2"/>
  <c r="KR122" i="2"/>
  <c r="KQ122" i="2"/>
  <c r="KP122" i="2"/>
  <c r="KO122" i="2"/>
  <c r="KN122" i="2"/>
  <c r="KM122" i="2"/>
  <c r="KL122" i="2"/>
  <c r="KK122" i="2"/>
  <c r="KJ122" i="2"/>
  <c r="KI122" i="2"/>
  <c r="KH122" i="2"/>
  <c r="KG122" i="2"/>
  <c r="KF122" i="2"/>
  <c r="KE122" i="2"/>
  <c r="KD122" i="2"/>
  <c r="KC122" i="2"/>
  <c r="KB122" i="2"/>
  <c r="KA122" i="2"/>
  <c r="JZ122" i="2"/>
  <c r="JY122" i="2"/>
  <c r="JX122" i="2"/>
  <c r="JW122" i="2"/>
  <c r="JV122" i="2"/>
  <c r="JU122" i="2"/>
  <c r="JT122" i="2"/>
  <c r="JS122" i="2"/>
  <c r="JR122" i="2"/>
  <c r="JQ122" i="2"/>
  <c r="JP122" i="2"/>
  <c r="JO122" i="2"/>
  <c r="JN122" i="2"/>
  <c r="JM122" i="2"/>
  <c r="JL122" i="2"/>
  <c r="JK122" i="2"/>
  <c r="JJ122" i="2"/>
  <c r="JI122" i="2"/>
  <c r="JH122" i="2"/>
  <c r="JG122" i="2"/>
  <c r="JF122" i="2"/>
  <c r="JE122" i="2"/>
  <c r="JD122" i="2"/>
  <c r="JC122" i="2"/>
  <c r="JB122" i="2"/>
  <c r="JA122" i="2"/>
  <c r="IZ122" i="2"/>
  <c r="IY122" i="2"/>
  <c r="IX122" i="2"/>
  <c r="IW122" i="2"/>
  <c r="IV122" i="2"/>
  <c r="IU122" i="2"/>
  <c r="IT122" i="2"/>
  <c r="IS122" i="2"/>
  <c r="IR122" i="2"/>
  <c r="IQ122" i="2"/>
  <c r="IP122" i="2"/>
  <c r="IO122" i="2"/>
  <c r="IN122" i="2"/>
  <c r="IM122" i="2"/>
  <c r="IL122" i="2"/>
  <c r="IK122" i="2"/>
  <c r="IJ122" i="2"/>
  <c r="II122" i="2"/>
  <c r="IH122" i="2"/>
  <c r="IG122" i="2"/>
  <c r="IF122" i="2"/>
  <c r="IE122" i="2"/>
  <c r="ID122" i="2"/>
  <c r="IC122" i="2"/>
  <c r="IB122" i="2"/>
  <c r="IA122" i="2"/>
  <c r="HZ122" i="2"/>
  <c r="HY122" i="2"/>
  <c r="HX122" i="2"/>
  <c r="HW122" i="2"/>
  <c r="HV122" i="2"/>
  <c r="HU122" i="2"/>
  <c r="HT122" i="2"/>
  <c r="HS122" i="2"/>
  <c r="HR122" i="2"/>
  <c r="HQ122" i="2"/>
  <c r="HP122" i="2"/>
  <c r="HO122" i="2"/>
  <c r="HN122" i="2"/>
  <c r="HM122" i="2"/>
  <c r="HL122" i="2"/>
  <c r="HK122" i="2"/>
  <c r="HJ122" i="2"/>
  <c r="HI122" i="2"/>
  <c r="HH122" i="2"/>
  <c r="HG122" i="2"/>
  <c r="HF122" i="2"/>
  <c r="HE122" i="2"/>
  <c r="HD122" i="2"/>
  <c r="HC122" i="2"/>
  <c r="HB122" i="2"/>
  <c r="HA122" i="2"/>
  <c r="GZ122" i="2"/>
  <c r="GY122" i="2"/>
  <c r="GX122" i="2"/>
  <c r="GW122" i="2"/>
  <c r="GV122" i="2"/>
  <c r="GU122" i="2"/>
  <c r="GT122" i="2"/>
  <c r="GS122" i="2"/>
  <c r="GR122" i="2"/>
  <c r="GQ122" i="2"/>
  <c r="GP122" i="2"/>
  <c r="GO122" i="2"/>
  <c r="GN122" i="2"/>
  <c r="GM122" i="2"/>
  <c r="GL122" i="2"/>
  <c r="GK122" i="2"/>
  <c r="GJ122" i="2"/>
  <c r="GI122" i="2"/>
  <c r="GH122" i="2"/>
  <c r="GG122" i="2"/>
  <c r="GF122" i="2"/>
  <c r="GE122" i="2"/>
  <c r="GD122" i="2"/>
  <c r="GC122" i="2"/>
  <c r="GB122" i="2"/>
  <c r="GA122" i="2"/>
  <c r="FZ122" i="2"/>
  <c r="FY122" i="2"/>
  <c r="FX122" i="2"/>
  <c r="FW122" i="2"/>
  <c r="FV122" i="2"/>
  <c r="FU122" i="2"/>
  <c r="FT122" i="2"/>
  <c r="FS122" i="2"/>
  <c r="FR122" i="2"/>
  <c r="FQ122" i="2"/>
  <c r="FP122" i="2"/>
  <c r="FO122" i="2"/>
  <c r="FN122" i="2"/>
  <c r="FM122" i="2"/>
  <c r="FL122" i="2"/>
  <c r="FK122" i="2"/>
  <c r="FJ122" i="2"/>
  <c r="FI122" i="2"/>
  <c r="FH122" i="2"/>
  <c r="FG122" i="2"/>
  <c r="FF122" i="2"/>
  <c r="FE122" i="2"/>
  <c r="FD122" i="2"/>
  <c r="FC122" i="2"/>
  <c r="FB122" i="2"/>
  <c r="FA122" i="2"/>
  <c r="EZ122" i="2"/>
  <c r="EY122" i="2"/>
  <c r="EX122" i="2"/>
  <c r="EW122" i="2"/>
  <c r="EV122" i="2"/>
  <c r="EU122" i="2"/>
  <c r="ET122" i="2"/>
  <c r="ES122" i="2"/>
  <c r="ER122" i="2"/>
  <c r="EQ122" i="2"/>
  <c r="EP122" i="2"/>
  <c r="EO122" i="2"/>
  <c r="EN122" i="2"/>
  <c r="EM122" i="2"/>
  <c r="EL122" i="2"/>
  <c r="EK122" i="2"/>
  <c r="EJ122" i="2"/>
  <c r="EI122" i="2"/>
  <c r="EH122" i="2"/>
  <c r="EG122" i="2"/>
  <c r="EF122" i="2"/>
  <c r="EE122" i="2"/>
  <c r="ED122" i="2"/>
  <c r="EC122" i="2"/>
  <c r="EB122" i="2"/>
  <c r="EA122" i="2"/>
  <c r="DZ122" i="2"/>
  <c r="DY122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DG122" i="2"/>
  <c r="DF122" i="2"/>
  <c r="DE122" i="2"/>
  <c r="DD122" i="2"/>
  <c r="DC122" i="2"/>
  <c r="DB122" i="2"/>
  <c r="DA122" i="2"/>
  <c r="CZ122" i="2"/>
  <c r="CY122" i="2"/>
  <c r="CX122" i="2"/>
  <c r="CW122" i="2"/>
  <c r="CV122" i="2"/>
  <c r="CU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122" i="2"/>
  <c r="PI121" i="2"/>
  <c r="PH121" i="2"/>
  <c r="PG121" i="2"/>
  <c r="PF121" i="2"/>
  <c r="PE121" i="2"/>
  <c r="PD121" i="2"/>
  <c r="PC121" i="2"/>
  <c r="PB121" i="2"/>
  <c r="PA121" i="2"/>
  <c r="OZ121" i="2"/>
  <c r="OY121" i="2"/>
  <c r="OX121" i="2"/>
  <c r="OW121" i="2"/>
  <c r="OV121" i="2"/>
  <c r="OU121" i="2"/>
  <c r="OT121" i="2"/>
  <c r="OS121" i="2"/>
  <c r="OR121" i="2"/>
  <c r="OQ121" i="2"/>
  <c r="OP121" i="2"/>
  <c r="OO121" i="2"/>
  <c r="ON121" i="2"/>
  <c r="OM121" i="2"/>
  <c r="OL121" i="2"/>
  <c r="OK121" i="2"/>
  <c r="OJ121" i="2"/>
  <c r="OI121" i="2"/>
  <c r="OH121" i="2"/>
  <c r="OG121" i="2"/>
  <c r="OF121" i="2"/>
  <c r="OE121" i="2"/>
  <c r="OD121" i="2"/>
  <c r="OC121" i="2"/>
  <c r="OB121" i="2"/>
  <c r="OA121" i="2"/>
  <c r="NZ121" i="2"/>
  <c r="NY121" i="2"/>
  <c r="NX121" i="2"/>
  <c r="NW121" i="2"/>
  <c r="NV121" i="2"/>
  <c r="NU121" i="2"/>
  <c r="NT121" i="2"/>
  <c r="NS121" i="2"/>
  <c r="NR121" i="2"/>
  <c r="NQ121" i="2"/>
  <c r="NP121" i="2"/>
  <c r="NO121" i="2"/>
  <c r="NN121" i="2"/>
  <c r="NM121" i="2"/>
  <c r="NL121" i="2"/>
  <c r="NK121" i="2"/>
  <c r="NJ121" i="2"/>
  <c r="NI121" i="2"/>
  <c r="NH121" i="2"/>
  <c r="NG121" i="2"/>
  <c r="NF121" i="2"/>
  <c r="NE121" i="2"/>
  <c r="ND121" i="2"/>
  <c r="NC121" i="2"/>
  <c r="NB121" i="2"/>
  <c r="NA121" i="2"/>
  <c r="MZ121" i="2"/>
  <c r="MY121" i="2"/>
  <c r="MX121" i="2"/>
  <c r="MW121" i="2"/>
  <c r="MV121" i="2"/>
  <c r="MU121" i="2"/>
  <c r="MT121" i="2"/>
  <c r="MS121" i="2"/>
  <c r="MR121" i="2"/>
  <c r="MQ121" i="2"/>
  <c r="MP121" i="2"/>
  <c r="MO121" i="2"/>
  <c r="MN121" i="2"/>
  <c r="MM121" i="2"/>
  <c r="ML121" i="2"/>
  <c r="MK121" i="2"/>
  <c r="MJ121" i="2"/>
  <c r="MI121" i="2"/>
  <c r="MH121" i="2"/>
  <c r="MG121" i="2"/>
  <c r="MF121" i="2"/>
  <c r="ME121" i="2"/>
  <c r="MD121" i="2"/>
  <c r="MC121" i="2"/>
  <c r="MB121" i="2"/>
  <c r="MA121" i="2"/>
  <c r="LZ121" i="2"/>
  <c r="LY121" i="2"/>
  <c r="LX121" i="2"/>
  <c r="LW121" i="2"/>
  <c r="LV121" i="2"/>
  <c r="LU121" i="2"/>
  <c r="LT121" i="2"/>
  <c r="LS121" i="2"/>
  <c r="LR121" i="2"/>
  <c r="LQ121" i="2"/>
  <c r="LP121" i="2"/>
  <c r="LO121" i="2"/>
  <c r="LN121" i="2"/>
  <c r="LM121" i="2"/>
  <c r="LL121" i="2"/>
  <c r="LK121" i="2"/>
  <c r="LJ121" i="2"/>
  <c r="LI121" i="2"/>
  <c r="LH121" i="2"/>
  <c r="LG121" i="2"/>
  <c r="LF121" i="2"/>
  <c r="LE121" i="2"/>
  <c r="LD121" i="2"/>
  <c r="LC121" i="2"/>
  <c r="LB121" i="2"/>
  <c r="LA121" i="2"/>
  <c r="KZ121" i="2"/>
  <c r="KY121" i="2"/>
  <c r="KX121" i="2"/>
  <c r="KW121" i="2"/>
  <c r="KV121" i="2"/>
  <c r="KU121" i="2"/>
  <c r="KT121" i="2"/>
  <c r="KS121" i="2"/>
  <c r="KR121" i="2"/>
  <c r="KQ121" i="2"/>
  <c r="KP121" i="2"/>
  <c r="KO121" i="2"/>
  <c r="KN121" i="2"/>
  <c r="KM121" i="2"/>
  <c r="KL121" i="2"/>
  <c r="KK121" i="2"/>
  <c r="KJ121" i="2"/>
  <c r="KI121" i="2"/>
  <c r="KH121" i="2"/>
  <c r="KG121" i="2"/>
  <c r="KF121" i="2"/>
  <c r="KE121" i="2"/>
  <c r="KD121" i="2"/>
  <c r="KC121" i="2"/>
  <c r="KB121" i="2"/>
  <c r="KA121" i="2"/>
  <c r="JZ121" i="2"/>
  <c r="JY121" i="2"/>
  <c r="JX121" i="2"/>
  <c r="JW121" i="2"/>
  <c r="JV121" i="2"/>
  <c r="JU121" i="2"/>
  <c r="JT121" i="2"/>
  <c r="JS121" i="2"/>
  <c r="JR121" i="2"/>
  <c r="JQ121" i="2"/>
  <c r="JP121" i="2"/>
  <c r="JO121" i="2"/>
  <c r="JN121" i="2"/>
  <c r="JM121" i="2"/>
  <c r="JL121" i="2"/>
  <c r="JK121" i="2"/>
  <c r="JJ121" i="2"/>
  <c r="JI121" i="2"/>
  <c r="JH121" i="2"/>
  <c r="JG121" i="2"/>
  <c r="JF121" i="2"/>
  <c r="JE121" i="2"/>
  <c r="JD121" i="2"/>
  <c r="JC121" i="2"/>
  <c r="JB121" i="2"/>
  <c r="JA121" i="2"/>
  <c r="IZ121" i="2"/>
  <c r="IY121" i="2"/>
  <c r="IX121" i="2"/>
  <c r="IW121" i="2"/>
  <c r="IV121" i="2"/>
  <c r="IU121" i="2"/>
  <c r="IT121" i="2"/>
  <c r="IS121" i="2"/>
  <c r="IR121" i="2"/>
  <c r="IQ121" i="2"/>
  <c r="IP121" i="2"/>
  <c r="IO121" i="2"/>
  <c r="IN121" i="2"/>
  <c r="IM121" i="2"/>
  <c r="IL121" i="2"/>
  <c r="IK121" i="2"/>
  <c r="IJ121" i="2"/>
  <c r="II121" i="2"/>
  <c r="IH121" i="2"/>
  <c r="IG121" i="2"/>
  <c r="IF121" i="2"/>
  <c r="IE121" i="2"/>
  <c r="ID121" i="2"/>
  <c r="IC121" i="2"/>
  <c r="IB121" i="2"/>
  <c r="IA121" i="2"/>
  <c r="HZ121" i="2"/>
  <c r="HY121" i="2"/>
  <c r="HX121" i="2"/>
  <c r="HW121" i="2"/>
  <c r="HV121" i="2"/>
  <c r="HU121" i="2"/>
  <c r="HT121" i="2"/>
  <c r="HS121" i="2"/>
  <c r="HR121" i="2"/>
  <c r="HQ121" i="2"/>
  <c r="HP121" i="2"/>
  <c r="HO121" i="2"/>
  <c r="HN121" i="2"/>
  <c r="HM121" i="2"/>
  <c r="HL121" i="2"/>
  <c r="HK121" i="2"/>
  <c r="HJ121" i="2"/>
  <c r="HI121" i="2"/>
  <c r="HH121" i="2"/>
  <c r="HG121" i="2"/>
  <c r="HF121" i="2"/>
  <c r="HE121" i="2"/>
  <c r="HD121" i="2"/>
  <c r="HC121" i="2"/>
  <c r="HB121" i="2"/>
  <c r="HA121" i="2"/>
  <c r="GZ121" i="2"/>
  <c r="GY121" i="2"/>
  <c r="GX121" i="2"/>
  <c r="GW121" i="2"/>
  <c r="GV121" i="2"/>
  <c r="GU121" i="2"/>
  <c r="GT121" i="2"/>
  <c r="GS121" i="2"/>
  <c r="GR121" i="2"/>
  <c r="GQ121" i="2"/>
  <c r="GP121" i="2"/>
  <c r="GO121" i="2"/>
  <c r="GN121" i="2"/>
  <c r="GM121" i="2"/>
  <c r="GL121" i="2"/>
  <c r="GK121" i="2"/>
  <c r="GJ121" i="2"/>
  <c r="GI121" i="2"/>
  <c r="GH121" i="2"/>
  <c r="GG121" i="2"/>
  <c r="GF121" i="2"/>
  <c r="GE121" i="2"/>
  <c r="GD121" i="2"/>
  <c r="GC121" i="2"/>
  <c r="GB121" i="2"/>
  <c r="GA121" i="2"/>
  <c r="FZ121" i="2"/>
  <c r="FY121" i="2"/>
  <c r="FX121" i="2"/>
  <c r="FW121" i="2"/>
  <c r="FV121" i="2"/>
  <c r="FU121" i="2"/>
  <c r="FT121" i="2"/>
  <c r="FS121" i="2"/>
  <c r="FR121" i="2"/>
  <c r="FQ121" i="2"/>
  <c r="FP121" i="2"/>
  <c r="FO121" i="2"/>
  <c r="FN121" i="2"/>
  <c r="FM121" i="2"/>
  <c r="FL121" i="2"/>
  <c r="FK121" i="2"/>
  <c r="FJ121" i="2"/>
  <c r="FI121" i="2"/>
  <c r="FH121" i="2"/>
  <c r="FG121" i="2"/>
  <c r="FF121" i="2"/>
  <c r="FE121" i="2"/>
  <c r="FD121" i="2"/>
  <c r="FC121" i="2"/>
  <c r="FB121" i="2"/>
  <c r="FA121" i="2"/>
  <c r="EZ121" i="2"/>
  <c r="EY121" i="2"/>
  <c r="EX121" i="2"/>
  <c r="EW121" i="2"/>
  <c r="EV121" i="2"/>
  <c r="EU121" i="2"/>
  <c r="ET121" i="2"/>
  <c r="ES121" i="2"/>
  <c r="ER121" i="2"/>
  <c r="EQ121" i="2"/>
  <c r="EP121" i="2"/>
  <c r="EO121" i="2"/>
  <c r="EN121" i="2"/>
  <c r="EM121" i="2"/>
  <c r="EL121" i="2"/>
  <c r="EK121" i="2"/>
  <c r="EJ121" i="2"/>
  <c r="EI121" i="2"/>
  <c r="EH121" i="2"/>
  <c r="EG121" i="2"/>
  <c r="EF121" i="2"/>
  <c r="EE121" i="2"/>
  <c r="ED121" i="2"/>
  <c r="EC121" i="2"/>
  <c r="EB121" i="2"/>
  <c r="EA121" i="2"/>
  <c r="DZ121" i="2"/>
  <c r="DY121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DA121" i="2"/>
  <c r="CZ121" i="2"/>
  <c r="CY121" i="2"/>
  <c r="CX121" i="2"/>
  <c r="CW121" i="2"/>
  <c r="CV121" i="2"/>
  <c r="CU121" i="2"/>
  <c r="CT121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121" i="2"/>
  <c r="PI120" i="2"/>
  <c r="PH120" i="2"/>
  <c r="PG120" i="2"/>
  <c r="PF120" i="2"/>
  <c r="PE120" i="2"/>
  <c r="PD120" i="2"/>
  <c r="PC120" i="2"/>
  <c r="PB120" i="2"/>
  <c r="PA120" i="2"/>
  <c r="OZ120" i="2"/>
  <c r="OY120" i="2"/>
  <c r="OX120" i="2"/>
  <c r="OW120" i="2"/>
  <c r="OV120" i="2"/>
  <c r="OU120" i="2"/>
  <c r="OT120" i="2"/>
  <c r="OS120" i="2"/>
  <c r="OR120" i="2"/>
  <c r="OQ120" i="2"/>
  <c r="OP120" i="2"/>
  <c r="OO120" i="2"/>
  <c r="ON120" i="2"/>
  <c r="OM120" i="2"/>
  <c r="OL120" i="2"/>
  <c r="OK120" i="2"/>
  <c r="OJ120" i="2"/>
  <c r="OI120" i="2"/>
  <c r="OH120" i="2"/>
  <c r="OG120" i="2"/>
  <c r="OF120" i="2"/>
  <c r="OE120" i="2"/>
  <c r="OD120" i="2"/>
  <c r="OC120" i="2"/>
  <c r="OB120" i="2"/>
  <c r="OA120" i="2"/>
  <c r="NZ120" i="2"/>
  <c r="NY120" i="2"/>
  <c r="NX120" i="2"/>
  <c r="NW120" i="2"/>
  <c r="NV120" i="2"/>
  <c r="NU120" i="2"/>
  <c r="NT120" i="2"/>
  <c r="NS120" i="2"/>
  <c r="NR120" i="2"/>
  <c r="NQ120" i="2"/>
  <c r="NP120" i="2"/>
  <c r="NO120" i="2"/>
  <c r="NN120" i="2"/>
  <c r="NM120" i="2"/>
  <c r="NL120" i="2"/>
  <c r="NK120" i="2"/>
  <c r="NJ120" i="2"/>
  <c r="NI120" i="2"/>
  <c r="NH120" i="2"/>
  <c r="NG120" i="2"/>
  <c r="NF120" i="2"/>
  <c r="NE120" i="2"/>
  <c r="ND120" i="2"/>
  <c r="NC120" i="2"/>
  <c r="NB120" i="2"/>
  <c r="NA120" i="2"/>
  <c r="MZ120" i="2"/>
  <c r="MY120" i="2"/>
  <c r="MX120" i="2"/>
  <c r="MW120" i="2"/>
  <c r="MV120" i="2"/>
  <c r="MU120" i="2"/>
  <c r="MT120" i="2"/>
  <c r="MS120" i="2"/>
  <c r="MR120" i="2"/>
  <c r="MQ120" i="2"/>
  <c r="MP120" i="2"/>
  <c r="MO120" i="2"/>
  <c r="MN120" i="2"/>
  <c r="MM120" i="2"/>
  <c r="ML120" i="2"/>
  <c r="MK120" i="2"/>
  <c r="MJ120" i="2"/>
  <c r="MI120" i="2"/>
  <c r="MH120" i="2"/>
  <c r="MG120" i="2"/>
  <c r="MF120" i="2"/>
  <c r="ME120" i="2"/>
  <c r="MD120" i="2"/>
  <c r="MC120" i="2"/>
  <c r="MB120" i="2"/>
  <c r="MA120" i="2"/>
  <c r="LZ120" i="2"/>
  <c r="LY120" i="2"/>
  <c r="LX120" i="2"/>
  <c r="LW120" i="2"/>
  <c r="LV120" i="2"/>
  <c r="LU120" i="2"/>
  <c r="LT120" i="2"/>
  <c r="LS120" i="2"/>
  <c r="LR120" i="2"/>
  <c r="LQ120" i="2"/>
  <c r="LP120" i="2"/>
  <c r="LO120" i="2"/>
  <c r="LN120" i="2"/>
  <c r="LM120" i="2"/>
  <c r="LL120" i="2"/>
  <c r="LK120" i="2"/>
  <c r="LJ120" i="2"/>
  <c r="LI120" i="2"/>
  <c r="LH120" i="2"/>
  <c r="LG120" i="2"/>
  <c r="LF120" i="2"/>
  <c r="LE120" i="2"/>
  <c r="LD120" i="2"/>
  <c r="LC120" i="2"/>
  <c r="LB120" i="2"/>
  <c r="LA120" i="2"/>
  <c r="KZ120" i="2"/>
  <c r="KY120" i="2"/>
  <c r="KX120" i="2"/>
  <c r="KW120" i="2"/>
  <c r="KV120" i="2"/>
  <c r="KU120" i="2"/>
  <c r="KT120" i="2"/>
  <c r="KS120" i="2"/>
  <c r="KR120" i="2"/>
  <c r="KQ120" i="2"/>
  <c r="KP120" i="2"/>
  <c r="KO120" i="2"/>
  <c r="KN120" i="2"/>
  <c r="KM120" i="2"/>
  <c r="KL120" i="2"/>
  <c r="KK120" i="2"/>
  <c r="KJ120" i="2"/>
  <c r="KI120" i="2"/>
  <c r="KH120" i="2"/>
  <c r="KG120" i="2"/>
  <c r="KF120" i="2"/>
  <c r="KE120" i="2"/>
  <c r="KD120" i="2"/>
  <c r="KC120" i="2"/>
  <c r="KB120" i="2"/>
  <c r="KA120" i="2"/>
  <c r="JZ120" i="2"/>
  <c r="JY120" i="2"/>
  <c r="JX120" i="2"/>
  <c r="JW120" i="2"/>
  <c r="JV120" i="2"/>
  <c r="JU120" i="2"/>
  <c r="JT120" i="2"/>
  <c r="JS120" i="2"/>
  <c r="JR120" i="2"/>
  <c r="JQ120" i="2"/>
  <c r="JP120" i="2"/>
  <c r="JO120" i="2"/>
  <c r="JN120" i="2"/>
  <c r="JM120" i="2"/>
  <c r="JL120" i="2"/>
  <c r="JK120" i="2"/>
  <c r="JJ120" i="2"/>
  <c r="JI120" i="2"/>
  <c r="JH120" i="2"/>
  <c r="JG120" i="2"/>
  <c r="JF120" i="2"/>
  <c r="JE120" i="2"/>
  <c r="JD120" i="2"/>
  <c r="JC120" i="2"/>
  <c r="JB120" i="2"/>
  <c r="JA120" i="2"/>
  <c r="IZ120" i="2"/>
  <c r="IY120" i="2"/>
  <c r="IX120" i="2"/>
  <c r="IW120" i="2"/>
  <c r="IV120" i="2"/>
  <c r="IU120" i="2"/>
  <c r="IT120" i="2"/>
  <c r="IS120" i="2"/>
  <c r="IR120" i="2"/>
  <c r="IQ120" i="2"/>
  <c r="IP120" i="2"/>
  <c r="IO120" i="2"/>
  <c r="IN120" i="2"/>
  <c r="IM120" i="2"/>
  <c r="IL120" i="2"/>
  <c r="IK120" i="2"/>
  <c r="IJ120" i="2"/>
  <c r="II120" i="2"/>
  <c r="IH120" i="2"/>
  <c r="IG120" i="2"/>
  <c r="IF120" i="2"/>
  <c r="IE120" i="2"/>
  <c r="ID120" i="2"/>
  <c r="IC120" i="2"/>
  <c r="IB120" i="2"/>
  <c r="IA120" i="2"/>
  <c r="HZ120" i="2"/>
  <c r="HY120" i="2"/>
  <c r="HX120" i="2"/>
  <c r="HW120" i="2"/>
  <c r="HV120" i="2"/>
  <c r="HU120" i="2"/>
  <c r="HT120" i="2"/>
  <c r="HS120" i="2"/>
  <c r="HR120" i="2"/>
  <c r="HQ120" i="2"/>
  <c r="HP120" i="2"/>
  <c r="HO120" i="2"/>
  <c r="HN120" i="2"/>
  <c r="HM120" i="2"/>
  <c r="HL120" i="2"/>
  <c r="HK120" i="2"/>
  <c r="HJ120" i="2"/>
  <c r="HI120" i="2"/>
  <c r="HH120" i="2"/>
  <c r="HG120" i="2"/>
  <c r="HF120" i="2"/>
  <c r="HE120" i="2"/>
  <c r="HD120" i="2"/>
  <c r="HC120" i="2"/>
  <c r="HB120" i="2"/>
  <c r="HA120" i="2"/>
  <c r="GZ120" i="2"/>
  <c r="GY120" i="2"/>
  <c r="GX120" i="2"/>
  <c r="GW120" i="2"/>
  <c r="GV120" i="2"/>
  <c r="GU120" i="2"/>
  <c r="GT120" i="2"/>
  <c r="GS120" i="2"/>
  <c r="GR120" i="2"/>
  <c r="GQ120" i="2"/>
  <c r="GP120" i="2"/>
  <c r="GO120" i="2"/>
  <c r="GN120" i="2"/>
  <c r="GM120" i="2"/>
  <c r="GL120" i="2"/>
  <c r="GK120" i="2"/>
  <c r="GJ120" i="2"/>
  <c r="GI120" i="2"/>
  <c r="GH120" i="2"/>
  <c r="GG120" i="2"/>
  <c r="GF120" i="2"/>
  <c r="GE120" i="2"/>
  <c r="GD120" i="2"/>
  <c r="GC120" i="2"/>
  <c r="GB120" i="2"/>
  <c r="GA120" i="2"/>
  <c r="FZ120" i="2"/>
  <c r="FY120" i="2"/>
  <c r="FX120" i="2"/>
  <c r="FW120" i="2"/>
  <c r="FV120" i="2"/>
  <c r="FU120" i="2"/>
  <c r="FT120" i="2"/>
  <c r="FS120" i="2"/>
  <c r="FR120" i="2"/>
  <c r="FQ120" i="2"/>
  <c r="FP120" i="2"/>
  <c r="FO120" i="2"/>
  <c r="FN120" i="2"/>
  <c r="FM120" i="2"/>
  <c r="FL120" i="2"/>
  <c r="FK120" i="2"/>
  <c r="FJ120" i="2"/>
  <c r="FI120" i="2"/>
  <c r="FH120" i="2"/>
  <c r="FG120" i="2"/>
  <c r="FF120" i="2"/>
  <c r="FE120" i="2"/>
  <c r="FD120" i="2"/>
  <c r="FC120" i="2"/>
  <c r="FB120" i="2"/>
  <c r="FA120" i="2"/>
  <c r="EZ120" i="2"/>
  <c r="EY120" i="2"/>
  <c r="EX120" i="2"/>
  <c r="EW120" i="2"/>
  <c r="EV120" i="2"/>
  <c r="EU120" i="2"/>
  <c r="ET120" i="2"/>
  <c r="ES120" i="2"/>
  <c r="ER120" i="2"/>
  <c r="EQ120" i="2"/>
  <c r="EP120" i="2"/>
  <c r="EO120" i="2"/>
  <c r="EN120" i="2"/>
  <c r="EM120" i="2"/>
  <c r="EL120" i="2"/>
  <c r="EK120" i="2"/>
  <c r="EJ120" i="2"/>
  <c r="EI120" i="2"/>
  <c r="EH120" i="2"/>
  <c r="EG120" i="2"/>
  <c r="EF120" i="2"/>
  <c r="EE120" i="2"/>
  <c r="ED120" i="2"/>
  <c r="EC120" i="2"/>
  <c r="EB120" i="2"/>
  <c r="EA120" i="2"/>
  <c r="DZ120" i="2"/>
  <c r="DY120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CX120" i="2"/>
  <c r="CW120" i="2"/>
  <c r="CV120" i="2"/>
  <c r="CU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120" i="2"/>
  <c r="PI119" i="2"/>
  <c r="PH119" i="2"/>
  <c r="PG119" i="2"/>
  <c r="PF119" i="2"/>
  <c r="PE119" i="2"/>
  <c r="PD119" i="2"/>
  <c r="PC119" i="2"/>
  <c r="PB119" i="2"/>
  <c r="PA119" i="2"/>
  <c r="OZ119" i="2"/>
  <c r="OY119" i="2"/>
  <c r="OX119" i="2"/>
  <c r="OW119" i="2"/>
  <c r="OV119" i="2"/>
  <c r="OU119" i="2"/>
  <c r="OT119" i="2"/>
  <c r="OS119" i="2"/>
  <c r="OR119" i="2"/>
  <c r="OQ119" i="2"/>
  <c r="OP119" i="2"/>
  <c r="OO119" i="2"/>
  <c r="ON119" i="2"/>
  <c r="OM119" i="2"/>
  <c r="OL119" i="2"/>
  <c r="OK119" i="2"/>
  <c r="OJ119" i="2"/>
  <c r="OI119" i="2"/>
  <c r="OH119" i="2"/>
  <c r="OG119" i="2"/>
  <c r="OF119" i="2"/>
  <c r="OE119" i="2"/>
  <c r="OD119" i="2"/>
  <c r="OC119" i="2"/>
  <c r="OB119" i="2"/>
  <c r="OA119" i="2"/>
  <c r="NZ119" i="2"/>
  <c r="NY119" i="2"/>
  <c r="NX119" i="2"/>
  <c r="NW119" i="2"/>
  <c r="NV119" i="2"/>
  <c r="NU119" i="2"/>
  <c r="NT119" i="2"/>
  <c r="NS119" i="2"/>
  <c r="NR119" i="2"/>
  <c r="NQ119" i="2"/>
  <c r="NP119" i="2"/>
  <c r="NO119" i="2"/>
  <c r="NN119" i="2"/>
  <c r="NM119" i="2"/>
  <c r="NL119" i="2"/>
  <c r="NK119" i="2"/>
  <c r="NJ119" i="2"/>
  <c r="NI119" i="2"/>
  <c r="NH119" i="2"/>
  <c r="NG119" i="2"/>
  <c r="NF119" i="2"/>
  <c r="NE119" i="2"/>
  <c r="ND119" i="2"/>
  <c r="NC119" i="2"/>
  <c r="NB119" i="2"/>
  <c r="NA119" i="2"/>
  <c r="MZ119" i="2"/>
  <c r="MY119" i="2"/>
  <c r="MX119" i="2"/>
  <c r="MW119" i="2"/>
  <c r="MV119" i="2"/>
  <c r="MU119" i="2"/>
  <c r="MT119" i="2"/>
  <c r="MS119" i="2"/>
  <c r="MR119" i="2"/>
  <c r="MQ119" i="2"/>
  <c r="MP119" i="2"/>
  <c r="MO119" i="2"/>
  <c r="MN119" i="2"/>
  <c r="MM119" i="2"/>
  <c r="ML119" i="2"/>
  <c r="MK119" i="2"/>
  <c r="MJ119" i="2"/>
  <c r="MI119" i="2"/>
  <c r="MH119" i="2"/>
  <c r="MG119" i="2"/>
  <c r="MF119" i="2"/>
  <c r="ME119" i="2"/>
  <c r="MD119" i="2"/>
  <c r="MC119" i="2"/>
  <c r="MB119" i="2"/>
  <c r="MA119" i="2"/>
  <c r="LZ119" i="2"/>
  <c r="LY119" i="2"/>
  <c r="LX119" i="2"/>
  <c r="LW119" i="2"/>
  <c r="LV119" i="2"/>
  <c r="LU119" i="2"/>
  <c r="LT119" i="2"/>
  <c r="LS119" i="2"/>
  <c r="LR119" i="2"/>
  <c r="LQ119" i="2"/>
  <c r="LP119" i="2"/>
  <c r="LO119" i="2"/>
  <c r="LN119" i="2"/>
  <c r="LM119" i="2"/>
  <c r="LL119" i="2"/>
  <c r="LK119" i="2"/>
  <c r="LJ119" i="2"/>
  <c r="LI119" i="2"/>
  <c r="LH119" i="2"/>
  <c r="LG119" i="2"/>
  <c r="LF119" i="2"/>
  <c r="LE119" i="2"/>
  <c r="LD119" i="2"/>
  <c r="LC119" i="2"/>
  <c r="LB119" i="2"/>
  <c r="LA119" i="2"/>
  <c r="KZ119" i="2"/>
  <c r="KY119" i="2"/>
  <c r="KX119" i="2"/>
  <c r="KW119" i="2"/>
  <c r="KV119" i="2"/>
  <c r="KU119" i="2"/>
  <c r="KT119" i="2"/>
  <c r="KS119" i="2"/>
  <c r="KR119" i="2"/>
  <c r="KQ119" i="2"/>
  <c r="KP119" i="2"/>
  <c r="KO119" i="2"/>
  <c r="KN119" i="2"/>
  <c r="KM119" i="2"/>
  <c r="KL119" i="2"/>
  <c r="KK119" i="2"/>
  <c r="KJ119" i="2"/>
  <c r="KI119" i="2"/>
  <c r="KH119" i="2"/>
  <c r="KG119" i="2"/>
  <c r="KF119" i="2"/>
  <c r="KE119" i="2"/>
  <c r="KD119" i="2"/>
  <c r="KC119" i="2"/>
  <c r="KB119" i="2"/>
  <c r="KA119" i="2"/>
  <c r="JZ119" i="2"/>
  <c r="JY119" i="2"/>
  <c r="JX119" i="2"/>
  <c r="JW119" i="2"/>
  <c r="JV119" i="2"/>
  <c r="JU119" i="2"/>
  <c r="JT119" i="2"/>
  <c r="JS119" i="2"/>
  <c r="JR119" i="2"/>
  <c r="JQ119" i="2"/>
  <c r="JP119" i="2"/>
  <c r="JO119" i="2"/>
  <c r="JN119" i="2"/>
  <c r="JM119" i="2"/>
  <c r="JL119" i="2"/>
  <c r="JK119" i="2"/>
  <c r="JJ119" i="2"/>
  <c r="JI119" i="2"/>
  <c r="JH119" i="2"/>
  <c r="JG119" i="2"/>
  <c r="JF119" i="2"/>
  <c r="JE119" i="2"/>
  <c r="JD119" i="2"/>
  <c r="JC119" i="2"/>
  <c r="JB119" i="2"/>
  <c r="JA119" i="2"/>
  <c r="IZ119" i="2"/>
  <c r="IY119" i="2"/>
  <c r="IX119" i="2"/>
  <c r="IW119" i="2"/>
  <c r="IV119" i="2"/>
  <c r="IU119" i="2"/>
  <c r="IT119" i="2"/>
  <c r="IS119" i="2"/>
  <c r="IR119" i="2"/>
  <c r="IQ119" i="2"/>
  <c r="IP119" i="2"/>
  <c r="IO119" i="2"/>
  <c r="IN119" i="2"/>
  <c r="IM119" i="2"/>
  <c r="IL119" i="2"/>
  <c r="IK119" i="2"/>
  <c r="IJ119" i="2"/>
  <c r="II119" i="2"/>
  <c r="IH119" i="2"/>
  <c r="IG119" i="2"/>
  <c r="IF119" i="2"/>
  <c r="IE119" i="2"/>
  <c r="ID119" i="2"/>
  <c r="IC119" i="2"/>
  <c r="IB119" i="2"/>
  <c r="IA119" i="2"/>
  <c r="HZ119" i="2"/>
  <c r="HY119" i="2"/>
  <c r="HX119" i="2"/>
  <c r="HW119" i="2"/>
  <c r="HV119" i="2"/>
  <c r="HU119" i="2"/>
  <c r="HT119" i="2"/>
  <c r="HS119" i="2"/>
  <c r="HR119" i="2"/>
  <c r="HQ119" i="2"/>
  <c r="HP119" i="2"/>
  <c r="HO119" i="2"/>
  <c r="HN119" i="2"/>
  <c r="HM119" i="2"/>
  <c r="HL119" i="2"/>
  <c r="HK119" i="2"/>
  <c r="HJ119" i="2"/>
  <c r="HI119" i="2"/>
  <c r="HH119" i="2"/>
  <c r="HG119" i="2"/>
  <c r="HF119" i="2"/>
  <c r="HE119" i="2"/>
  <c r="HD119" i="2"/>
  <c r="HC119" i="2"/>
  <c r="HB119" i="2"/>
  <c r="HA119" i="2"/>
  <c r="GZ119" i="2"/>
  <c r="GY119" i="2"/>
  <c r="GX119" i="2"/>
  <c r="GW119" i="2"/>
  <c r="GV119" i="2"/>
  <c r="GU119" i="2"/>
  <c r="GT119" i="2"/>
  <c r="GS119" i="2"/>
  <c r="GR119" i="2"/>
  <c r="GQ119" i="2"/>
  <c r="GP119" i="2"/>
  <c r="GO119" i="2"/>
  <c r="GN119" i="2"/>
  <c r="GM119" i="2"/>
  <c r="GL119" i="2"/>
  <c r="GK119" i="2"/>
  <c r="GJ119" i="2"/>
  <c r="GI119" i="2"/>
  <c r="GH119" i="2"/>
  <c r="GG119" i="2"/>
  <c r="GF119" i="2"/>
  <c r="GE119" i="2"/>
  <c r="GD119" i="2"/>
  <c r="GC119" i="2"/>
  <c r="GB119" i="2"/>
  <c r="GA119" i="2"/>
  <c r="FZ119" i="2"/>
  <c r="FY119" i="2"/>
  <c r="FX119" i="2"/>
  <c r="FW119" i="2"/>
  <c r="FV119" i="2"/>
  <c r="FU119" i="2"/>
  <c r="FT119" i="2"/>
  <c r="FS119" i="2"/>
  <c r="FR119" i="2"/>
  <c r="FQ119" i="2"/>
  <c r="FP119" i="2"/>
  <c r="FO119" i="2"/>
  <c r="FN119" i="2"/>
  <c r="FM119" i="2"/>
  <c r="FL119" i="2"/>
  <c r="FK119" i="2"/>
  <c r="FJ119" i="2"/>
  <c r="FI119" i="2"/>
  <c r="FH119" i="2"/>
  <c r="FG119" i="2"/>
  <c r="FF119" i="2"/>
  <c r="FE119" i="2"/>
  <c r="FD119" i="2"/>
  <c r="FC119" i="2"/>
  <c r="FB119" i="2"/>
  <c r="FA119" i="2"/>
  <c r="EZ119" i="2"/>
  <c r="EY119" i="2"/>
  <c r="EX119" i="2"/>
  <c r="EW119" i="2"/>
  <c r="EV119" i="2"/>
  <c r="EU119" i="2"/>
  <c r="ET119" i="2"/>
  <c r="ES119" i="2"/>
  <c r="ER119" i="2"/>
  <c r="EQ119" i="2"/>
  <c r="EP119" i="2"/>
  <c r="EO119" i="2"/>
  <c r="EN119" i="2"/>
  <c r="EM119" i="2"/>
  <c r="EL119" i="2"/>
  <c r="EK119" i="2"/>
  <c r="EJ119" i="2"/>
  <c r="EI119" i="2"/>
  <c r="EH119" i="2"/>
  <c r="EG119" i="2"/>
  <c r="EF119" i="2"/>
  <c r="EE119" i="2"/>
  <c r="ED119" i="2"/>
  <c r="EC119" i="2"/>
  <c r="EB119" i="2"/>
  <c r="EA119" i="2"/>
  <c r="DZ119" i="2"/>
  <c r="DY119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119" i="2"/>
  <c r="PI118" i="2"/>
  <c r="PH118" i="2"/>
  <c r="PG118" i="2"/>
  <c r="PF118" i="2"/>
  <c r="PE118" i="2"/>
  <c r="PD118" i="2"/>
  <c r="PC118" i="2"/>
  <c r="PB118" i="2"/>
  <c r="PA118" i="2"/>
  <c r="OZ118" i="2"/>
  <c r="OY118" i="2"/>
  <c r="OX118" i="2"/>
  <c r="OW118" i="2"/>
  <c r="OV118" i="2"/>
  <c r="OU118" i="2"/>
  <c r="OT118" i="2"/>
  <c r="OS118" i="2"/>
  <c r="OR118" i="2"/>
  <c r="OQ118" i="2"/>
  <c r="OP118" i="2"/>
  <c r="OO118" i="2"/>
  <c r="ON118" i="2"/>
  <c r="OM118" i="2"/>
  <c r="OL118" i="2"/>
  <c r="OK118" i="2"/>
  <c r="OJ118" i="2"/>
  <c r="OI118" i="2"/>
  <c r="OH118" i="2"/>
  <c r="OG118" i="2"/>
  <c r="OF118" i="2"/>
  <c r="OE118" i="2"/>
  <c r="OD118" i="2"/>
  <c r="OC118" i="2"/>
  <c r="OB118" i="2"/>
  <c r="OA118" i="2"/>
  <c r="NZ118" i="2"/>
  <c r="NY118" i="2"/>
  <c r="NX118" i="2"/>
  <c r="NW118" i="2"/>
  <c r="NV118" i="2"/>
  <c r="NU118" i="2"/>
  <c r="NT118" i="2"/>
  <c r="NS118" i="2"/>
  <c r="NR118" i="2"/>
  <c r="NQ118" i="2"/>
  <c r="NP118" i="2"/>
  <c r="NO118" i="2"/>
  <c r="NN118" i="2"/>
  <c r="NM118" i="2"/>
  <c r="NL118" i="2"/>
  <c r="NK118" i="2"/>
  <c r="NJ118" i="2"/>
  <c r="NI118" i="2"/>
  <c r="NH118" i="2"/>
  <c r="NG118" i="2"/>
  <c r="NF118" i="2"/>
  <c r="NE118" i="2"/>
  <c r="ND118" i="2"/>
  <c r="NC118" i="2"/>
  <c r="NB118" i="2"/>
  <c r="NA118" i="2"/>
  <c r="MZ118" i="2"/>
  <c r="MY118" i="2"/>
  <c r="MX118" i="2"/>
  <c r="MW118" i="2"/>
  <c r="MV118" i="2"/>
  <c r="MU118" i="2"/>
  <c r="MT118" i="2"/>
  <c r="MS118" i="2"/>
  <c r="MR118" i="2"/>
  <c r="MQ118" i="2"/>
  <c r="MP118" i="2"/>
  <c r="MO118" i="2"/>
  <c r="MN118" i="2"/>
  <c r="MM118" i="2"/>
  <c r="ML118" i="2"/>
  <c r="MK118" i="2"/>
  <c r="MJ118" i="2"/>
  <c r="MI118" i="2"/>
  <c r="MH118" i="2"/>
  <c r="MG118" i="2"/>
  <c r="MF118" i="2"/>
  <c r="ME118" i="2"/>
  <c r="MD118" i="2"/>
  <c r="MC118" i="2"/>
  <c r="MB118" i="2"/>
  <c r="MA118" i="2"/>
  <c r="LZ118" i="2"/>
  <c r="LY118" i="2"/>
  <c r="LX118" i="2"/>
  <c r="LW118" i="2"/>
  <c r="LV118" i="2"/>
  <c r="LU118" i="2"/>
  <c r="LT118" i="2"/>
  <c r="LS118" i="2"/>
  <c r="LR118" i="2"/>
  <c r="LQ118" i="2"/>
  <c r="LP118" i="2"/>
  <c r="LO118" i="2"/>
  <c r="LN118" i="2"/>
  <c r="LM118" i="2"/>
  <c r="LL118" i="2"/>
  <c r="LK118" i="2"/>
  <c r="LJ118" i="2"/>
  <c r="LI118" i="2"/>
  <c r="LH118" i="2"/>
  <c r="LG118" i="2"/>
  <c r="LF118" i="2"/>
  <c r="LE118" i="2"/>
  <c r="LD118" i="2"/>
  <c r="LC118" i="2"/>
  <c r="LB118" i="2"/>
  <c r="LA118" i="2"/>
  <c r="KZ118" i="2"/>
  <c r="KY118" i="2"/>
  <c r="KX118" i="2"/>
  <c r="KW118" i="2"/>
  <c r="KV118" i="2"/>
  <c r="KU118" i="2"/>
  <c r="KT118" i="2"/>
  <c r="KS118" i="2"/>
  <c r="KR118" i="2"/>
  <c r="KQ118" i="2"/>
  <c r="KP118" i="2"/>
  <c r="KO118" i="2"/>
  <c r="KN118" i="2"/>
  <c r="KM118" i="2"/>
  <c r="KL118" i="2"/>
  <c r="KK118" i="2"/>
  <c r="KJ118" i="2"/>
  <c r="KI118" i="2"/>
  <c r="KH118" i="2"/>
  <c r="KG118" i="2"/>
  <c r="KF118" i="2"/>
  <c r="KE118" i="2"/>
  <c r="KD118" i="2"/>
  <c r="KC118" i="2"/>
  <c r="KB118" i="2"/>
  <c r="KA118" i="2"/>
  <c r="JZ118" i="2"/>
  <c r="JY118" i="2"/>
  <c r="JX118" i="2"/>
  <c r="JW118" i="2"/>
  <c r="JV118" i="2"/>
  <c r="JU118" i="2"/>
  <c r="JT118" i="2"/>
  <c r="JS118" i="2"/>
  <c r="JR118" i="2"/>
  <c r="JQ118" i="2"/>
  <c r="JP118" i="2"/>
  <c r="JO118" i="2"/>
  <c r="JN118" i="2"/>
  <c r="JM118" i="2"/>
  <c r="JL118" i="2"/>
  <c r="JK118" i="2"/>
  <c r="JJ118" i="2"/>
  <c r="JI118" i="2"/>
  <c r="JH118" i="2"/>
  <c r="JG118" i="2"/>
  <c r="JF118" i="2"/>
  <c r="JE118" i="2"/>
  <c r="JD118" i="2"/>
  <c r="JC118" i="2"/>
  <c r="JB118" i="2"/>
  <c r="JA118" i="2"/>
  <c r="IZ118" i="2"/>
  <c r="IY118" i="2"/>
  <c r="IX118" i="2"/>
  <c r="IW118" i="2"/>
  <c r="IV118" i="2"/>
  <c r="IU118" i="2"/>
  <c r="IT118" i="2"/>
  <c r="IS118" i="2"/>
  <c r="IR118" i="2"/>
  <c r="IQ118" i="2"/>
  <c r="IP118" i="2"/>
  <c r="IO118" i="2"/>
  <c r="IN118" i="2"/>
  <c r="IM118" i="2"/>
  <c r="IL118" i="2"/>
  <c r="IK118" i="2"/>
  <c r="IJ118" i="2"/>
  <c r="II118" i="2"/>
  <c r="IH118" i="2"/>
  <c r="IG118" i="2"/>
  <c r="IF118" i="2"/>
  <c r="IE118" i="2"/>
  <c r="ID118" i="2"/>
  <c r="IC118" i="2"/>
  <c r="IB118" i="2"/>
  <c r="IA118" i="2"/>
  <c r="HZ118" i="2"/>
  <c r="HY118" i="2"/>
  <c r="HX118" i="2"/>
  <c r="HW118" i="2"/>
  <c r="HV118" i="2"/>
  <c r="HU118" i="2"/>
  <c r="HT118" i="2"/>
  <c r="HS118" i="2"/>
  <c r="HR118" i="2"/>
  <c r="HQ118" i="2"/>
  <c r="HP118" i="2"/>
  <c r="HO118" i="2"/>
  <c r="HN118" i="2"/>
  <c r="HM118" i="2"/>
  <c r="HL118" i="2"/>
  <c r="HK118" i="2"/>
  <c r="HJ118" i="2"/>
  <c r="HI118" i="2"/>
  <c r="HH118" i="2"/>
  <c r="HG118" i="2"/>
  <c r="HF118" i="2"/>
  <c r="HE118" i="2"/>
  <c r="HD118" i="2"/>
  <c r="HC118" i="2"/>
  <c r="HB118" i="2"/>
  <c r="HA118" i="2"/>
  <c r="GZ118" i="2"/>
  <c r="GY118" i="2"/>
  <c r="GX118" i="2"/>
  <c r="GW118" i="2"/>
  <c r="GV118" i="2"/>
  <c r="GU118" i="2"/>
  <c r="GT118" i="2"/>
  <c r="GS118" i="2"/>
  <c r="GR118" i="2"/>
  <c r="GQ118" i="2"/>
  <c r="GP118" i="2"/>
  <c r="GO118" i="2"/>
  <c r="GN118" i="2"/>
  <c r="GM118" i="2"/>
  <c r="GL118" i="2"/>
  <c r="GK118" i="2"/>
  <c r="GJ118" i="2"/>
  <c r="GI118" i="2"/>
  <c r="GH118" i="2"/>
  <c r="GG118" i="2"/>
  <c r="GF118" i="2"/>
  <c r="GE118" i="2"/>
  <c r="GD118" i="2"/>
  <c r="GC118" i="2"/>
  <c r="GB118" i="2"/>
  <c r="GA118" i="2"/>
  <c r="FZ118" i="2"/>
  <c r="FY118" i="2"/>
  <c r="FX118" i="2"/>
  <c r="FW118" i="2"/>
  <c r="FV118" i="2"/>
  <c r="FU118" i="2"/>
  <c r="FT118" i="2"/>
  <c r="FS118" i="2"/>
  <c r="FR118" i="2"/>
  <c r="FQ118" i="2"/>
  <c r="FP118" i="2"/>
  <c r="FO118" i="2"/>
  <c r="FN118" i="2"/>
  <c r="FM118" i="2"/>
  <c r="FL118" i="2"/>
  <c r="FK118" i="2"/>
  <c r="FJ118" i="2"/>
  <c r="FI118" i="2"/>
  <c r="FH118" i="2"/>
  <c r="FG118" i="2"/>
  <c r="FF118" i="2"/>
  <c r="FE118" i="2"/>
  <c r="FD118" i="2"/>
  <c r="FC118" i="2"/>
  <c r="FB118" i="2"/>
  <c r="FA118" i="2"/>
  <c r="EZ118" i="2"/>
  <c r="EY118" i="2"/>
  <c r="EX118" i="2"/>
  <c r="EW118" i="2"/>
  <c r="EV118" i="2"/>
  <c r="EU118" i="2"/>
  <c r="ET118" i="2"/>
  <c r="ES118" i="2"/>
  <c r="ER118" i="2"/>
  <c r="EQ118" i="2"/>
  <c r="EP118" i="2"/>
  <c r="EO118" i="2"/>
  <c r="EN118" i="2"/>
  <c r="EM118" i="2"/>
  <c r="EL118" i="2"/>
  <c r="EK118" i="2"/>
  <c r="EJ118" i="2"/>
  <c r="EI118" i="2"/>
  <c r="EH118" i="2"/>
  <c r="EG118" i="2"/>
  <c r="EF118" i="2"/>
  <c r="EE118" i="2"/>
  <c r="ED118" i="2"/>
  <c r="EC118" i="2"/>
  <c r="EB118" i="2"/>
  <c r="EA118" i="2"/>
  <c r="DZ118" i="2"/>
  <c r="DY118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PI117" i="2"/>
  <c r="PH117" i="2"/>
  <c r="PG117" i="2"/>
  <c r="PF117" i="2"/>
  <c r="PE117" i="2"/>
  <c r="PD117" i="2"/>
  <c r="PC117" i="2"/>
  <c r="PB117" i="2"/>
  <c r="PA117" i="2"/>
  <c r="OZ117" i="2"/>
  <c r="OY117" i="2"/>
  <c r="OX117" i="2"/>
  <c r="OW117" i="2"/>
  <c r="OV117" i="2"/>
  <c r="OU117" i="2"/>
  <c r="OT117" i="2"/>
  <c r="OS117" i="2"/>
  <c r="OR117" i="2"/>
  <c r="OQ117" i="2"/>
  <c r="OP117" i="2"/>
  <c r="OO117" i="2"/>
  <c r="ON117" i="2"/>
  <c r="OM117" i="2"/>
  <c r="OL117" i="2"/>
  <c r="OK117" i="2"/>
  <c r="OJ117" i="2"/>
  <c r="OI117" i="2"/>
  <c r="OH117" i="2"/>
  <c r="OG117" i="2"/>
  <c r="OF117" i="2"/>
  <c r="OE117" i="2"/>
  <c r="OD117" i="2"/>
  <c r="OC117" i="2"/>
  <c r="OB117" i="2"/>
  <c r="OA117" i="2"/>
  <c r="NZ117" i="2"/>
  <c r="NY117" i="2"/>
  <c r="NX117" i="2"/>
  <c r="NW117" i="2"/>
  <c r="NV117" i="2"/>
  <c r="NU117" i="2"/>
  <c r="NT117" i="2"/>
  <c r="NS117" i="2"/>
  <c r="NR117" i="2"/>
  <c r="NQ117" i="2"/>
  <c r="NP117" i="2"/>
  <c r="NO117" i="2"/>
  <c r="NN117" i="2"/>
  <c r="NM117" i="2"/>
  <c r="NL117" i="2"/>
  <c r="NK117" i="2"/>
  <c r="NJ117" i="2"/>
  <c r="NI117" i="2"/>
  <c r="NH117" i="2"/>
  <c r="NG117" i="2"/>
  <c r="NF117" i="2"/>
  <c r="NE117" i="2"/>
  <c r="ND117" i="2"/>
  <c r="NC117" i="2"/>
  <c r="NB117" i="2"/>
  <c r="NA117" i="2"/>
  <c r="MZ117" i="2"/>
  <c r="MY117" i="2"/>
  <c r="MX117" i="2"/>
  <c r="MW117" i="2"/>
  <c r="MV117" i="2"/>
  <c r="MU117" i="2"/>
  <c r="MT117" i="2"/>
  <c r="MS117" i="2"/>
  <c r="MR117" i="2"/>
  <c r="MQ117" i="2"/>
  <c r="MP117" i="2"/>
  <c r="MO117" i="2"/>
  <c r="MN117" i="2"/>
  <c r="MM117" i="2"/>
  <c r="ML117" i="2"/>
  <c r="MK117" i="2"/>
  <c r="MJ117" i="2"/>
  <c r="MI117" i="2"/>
  <c r="MH117" i="2"/>
  <c r="MG117" i="2"/>
  <c r="MF117" i="2"/>
  <c r="ME117" i="2"/>
  <c r="MD117" i="2"/>
  <c r="MC117" i="2"/>
  <c r="MB117" i="2"/>
  <c r="MA117" i="2"/>
  <c r="LZ117" i="2"/>
  <c r="LY117" i="2"/>
  <c r="LX117" i="2"/>
  <c r="LW117" i="2"/>
  <c r="LV117" i="2"/>
  <c r="LU117" i="2"/>
  <c r="LT117" i="2"/>
  <c r="LS117" i="2"/>
  <c r="LR117" i="2"/>
  <c r="LQ117" i="2"/>
  <c r="LP117" i="2"/>
  <c r="LO117" i="2"/>
  <c r="LN117" i="2"/>
  <c r="LM117" i="2"/>
  <c r="LL117" i="2"/>
  <c r="LK117" i="2"/>
  <c r="LJ117" i="2"/>
  <c r="LI117" i="2"/>
  <c r="LH117" i="2"/>
  <c r="LG117" i="2"/>
  <c r="LF117" i="2"/>
  <c r="LE117" i="2"/>
  <c r="LD117" i="2"/>
  <c r="LC117" i="2"/>
  <c r="LB117" i="2"/>
  <c r="LA117" i="2"/>
  <c r="KZ117" i="2"/>
  <c r="KY117" i="2"/>
  <c r="KX117" i="2"/>
  <c r="KW117" i="2"/>
  <c r="KV117" i="2"/>
  <c r="KU117" i="2"/>
  <c r="KT117" i="2"/>
  <c r="KS117" i="2"/>
  <c r="KR117" i="2"/>
  <c r="KQ117" i="2"/>
  <c r="KP117" i="2"/>
  <c r="KO117" i="2"/>
  <c r="KN117" i="2"/>
  <c r="KM117" i="2"/>
  <c r="KL117" i="2"/>
  <c r="KK117" i="2"/>
  <c r="KJ117" i="2"/>
  <c r="KI117" i="2"/>
  <c r="KH117" i="2"/>
  <c r="KG117" i="2"/>
  <c r="KF117" i="2"/>
  <c r="KE117" i="2"/>
  <c r="KD117" i="2"/>
  <c r="KC117" i="2"/>
  <c r="KB117" i="2"/>
  <c r="KA117" i="2"/>
  <c r="JZ117" i="2"/>
  <c r="JY117" i="2"/>
  <c r="JX117" i="2"/>
  <c r="JW117" i="2"/>
  <c r="JV117" i="2"/>
  <c r="JU117" i="2"/>
  <c r="JT117" i="2"/>
  <c r="JS117" i="2"/>
  <c r="JR117" i="2"/>
  <c r="JQ117" i="2"/>
  <c r="JP117" i="2"/>
  <c r="JO117" i="2"/>
  <c r="JN117" i="2"/>
  <c r="JM117" i="2"/>
  <c r="JL117" i="2"/>
  <c r="JK117" i="2"/>
  <c r="JJ117" i="2"/>
  <c r="JI117" i="2"/>
  <c r="JH117" i="2"/>
  <c r="JG117" i="2"/>
  <c r="JF117" i="2"/>
  <c r="JE117" i="2"/>
  <c r="JD117" i="2"/>
  <c r="JC117" i="2"/>
  <c r="JB117" i="2"/>
  <c r="JA117" i="2"/>
  <c r="IZ117" i="2"/>
  <c r="IY117" i="2"/>
  <c r="IX117" i="2"/>
  <c r="IW117" i="2"/>
  <c r="IV117" i="2"/>
  <c r="IU117" i="2"/>
  <c r="IT117" i="2"/>
  <c r="IS117" i="2"/>
  <c r="IR117" i="2"/>
  <c r="IQ117" i="2"/>
  <c r="IP117" i="2"/>
  <c r="IO117" i="2"/>
  <c r="IN117" i="2"/>
  <c r="IM117" i="2"/>
  <c r="IL117" i="2"/>
  <c r="IK117" i="2"/>
  <c r="IJ117" i="2"/>
  <c r="II117" i="2"/>
  <c r="IH117" i="2"/>
  <c r="IG117" i="2"/>
  <c r="IF117" i="2"/>
  <c r="IE117" i="2"/>
  <c r="ID117" i="2"/>
  <c r="IC117" i="2"/>
  <c r="IB117" i="2"/>
  <c r="IA117" i="2"/>
  <c r="HZ117" i="2"/>
  <c r="HY117" i="2"/>
  <c r="HX117" i="2"/>
  <c r="HW117" i="2"/>
  <c r="HV117" i="2"/>
  <c r="HU117" i="2"/>
  <c r="HT117" i="2"/>
  <c r="HS117" i="2"/>
  <c r="HR117" i="2"/>
  <c r="HQ117" i="2"/>
  <c r="HP117" i="2"/>
  <c r="HO117" i="2"/>
  <c r="HN117" i="2"/>
  <c r="HM117" i="2"/>
  <c r="HL117" i="2"/>
  <c r="HK117" i="2"/>
  <c r="HJ117" i="2"/>
  <c r="HI117" i="2"/>
  <c r="HH117" i="2"/>
  <c r="HG117" i="2"/>
  <c r="HF117" i="2"/>
  <c r="HE117" i="2"/>
  <c r="HD117" i="2"/>
  <c r="HC117" i="2"/>
  <c r="HB117" i="2"/>
  <c r="HA117" i="2"/>
  <c r="GZ117" i="2"/>
  <c r="GY117" i="2"/>
  <c r="GX117" i="2"/>
  <c r="GW117" i="2"/>
  <c r="GV117" i="2"/>
  <c r="GU117" i="2"/>
  <c r="GT117" i="2"/>
  <c r="GS117" i="2"/>
  <c r="GR117" i="2"/>
  <c r="GQ117" i="2"/>
  <c r="GP117" i="2"/>
  <c r="GO117" i="2"/>
  <c r="GN117" i="2"/>
  <c r="GM117" i="2"/>
  <c r="GL117" i="2"/>
  <c r="GK117" i="2"/>
  <c r="GJ117" i="2"/>
  <c r="GI117" i="2"/>
  <c r="GH117" i="2"/>
  <c r="GG117" i="2"/>
  <c r="GF117" i="2"/>
  <c r="GE117" i="2"/>
  <c r="GD117" i="2"/>
  <c r="GC117" i="2"/>
  <c r="GB117" i="2"/>
  <c r="GA117" i="2"/>
  <c r="FZ117" i="2"/>
  <c r="FY117" i="2"/>
  <c r="FX117" i="2"/>
  <c r="FW117" i="2"/>
  <c r="FV117" i="2"/>
  <c r="FU117" i="2"/>
  <c r="FT117" i="2"/>
  <c r="FS117" i="2"/>
  <c r="FR117" i="2"/>
  <c r="FQ117" i="2"/>
  <c r="FP117" i="2"/>
  <c r="FO117" i="2"/>
  <c r="FN117" i="2"/>
  <c r="FM117" i="2"/>
  <c r="FL117" i="2"/>
  <c r="FK117" i="2"/>
  <c r="FJ117" i="2"/>
  <c r="FI117" i="2"/>
  <c r="FH117" i="2"/>
  <c r="FG117" i="2"/>
  <c r="FF117" i="2"/>
  <c r="FE117" i="2"/>
  <c r="FD117" i="2"/>
  <c r="FC117" i="2"/>
  <c r="FB117" i="2"/>
  <c r="FA117" i="2"/>
  <c r="EZ117" i="2"/>
  <c r="EY117" i="2"/>
  <c r="EX117" i="2"/>
  <c r="EW117" i="2"/>
  <c r="EV117" i="2"/>
  <c r="EU117" i="2"/>
  <c r="ET117" i="2"/>
  <c r="ES117" i="2"/>
  <c r="ER117" i="2"/>
  <c r="EQ117" i="2"/>
  <c r="EP117" i="2"/>
  <c r="EO117" i="2"/>
  <c r="EN117" i="2"/>
  <c r="EM117" i="2"/>
  <c r="EL117" i="2"/>
  <c r="EK117" i="2"/>
  <c r="EJ117" i="2"/>
  <c r="EI117" i="2"/>
  <c r="EH117" i="2"/>
  <c r="EG117" i="2"/>
  <c r="EF117" i="2"/>
  <c r="EE117" i="2"/>
  <c r="ED117" i="2"/>
  <c r="EC117" i="2"/>
  <c r="EB117" i="2"/>
  <c r="EA117" i="2"/>
  <c r="DZ117" i="2"/>
  <c r="DY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DG117" i="2"/>
  <c r="DF117" i="2"/>
  <c r="DE117" i="2"/>
  <c r="DD117" i="2"/>
  <c r="DC117" i="2"/>
  <c r="DB117" i="2"/>
  <c r="DA117" i="2"/>
  <c r="CZ117" i="2"/>
  <c r="CY117" i="2"/>
  <c r="CX117" i="2"/>
  <c r="CW117" i="2"/>
  <c r="CV117" i="2"/>
  <c r="CU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117" i="2"/>
  <c r="PI116" i="2"/>
  <c r="PH116" i="2"/>
  <c r="PG116" i="2"/>
  <c r="PF116" i="2"/>
  <c r="PE116" i="2"/>
  <c r="PD116" i="2"/>
  <c r="PC116" i="2"/>
  <c r="PB116" i="2"/>
  <c r="PA116" i="2"/>
  <c r="OZ116" i="2"/>
  <c r="OY116" i="2"/>
  <c r="OX116" i="2"/>
  <c r="OW116" i="2"/>
  <c r="OV116" i="2"/>
  <c r="OU116" i="2"/>
  <c r="OT116" i="2"/>
  <c r="OS116" i="2"/>
  <c r="OR116" i="2"/>
  <c r="OQ116" i="2"/>
  <c r="OP116" i="2"/>
  <c r="OO116" i="2"/>
  <c r="ON116" i="2"/>
  <c r="OM116" i="2"/>
  <c r="OL116" i="2"/>
  <c r="OK116" i="2"/>
  <c r="OJ116" i="2"/>
  <c r="OI116" i="2"/>
  <c r="OH116" i="2"/>
  <c r="OG116" i="2"/>
  <c r="OF116" i="2"/>
  <c r="OE116" i="2"/>
  <c r="OD116" i="2"/>
  <c r="OC116" i="2"/>
  <c r="OB116" i="2"/>
  <c r="OA116" i="2"/>
  <c r="NZ116" i="2"/>
  <c r="NY116" i="2"/>
  <c r="NX116" i="2"/>
  <c r="NW116" i="2"/>
  <c r="NV116" i="2"/>
  <c r="NU116" i="2"/>
  <c r="NT116" i="2"/>
  <c r="NS116" i="2"/>
  <c r="NR116" i="2"/>
  <c r="NQ116" i="2"/>
  <c r="NP116" i="2"/>
  <c r="NO116" i="2"/>
  <c r="NN116" i="2"/>
  <c r="NM116" i="2"/>
  <c r="NL116" i="2"/>
  <c r="NK116" i="2"/>
  <c r="NJ116" i="2"/>
  <c r="NI116" i="2"/>
  <c r="NH116" i="2"/>
  <c r="NG116" i="2"/>
  <c r="NF116" i="2"/>
  <c r="NE116" i="2"/>
  <c r="ND116" i="2"/>
  <c r="NC116" i="2"/>
  <c r="NB116" i="2"/>
  <c r="NA116" i="2"/>
  <c r="MZ116" i="2"/>
  <c r="MY116" i="2"/>
  <c r="MX116" i="2"/>
  <c r="MW116" i="2"/>
  <c r="MV116" i="2"/>
  <c r="MU116" i="2"/>
  <c r="MT116" i="2"/>
  <c r="MS116" i="2"/>
  <c r="MR116" i="2"/>
  <c r="MQ116" i="2"/>
  <c r="MP116" i="2"/>
  <c r="MO116" i="2"/>
  <c r="MN116" i="2"/>
  <c r="MM116" i="2"/>
  <c r="ML116" i="2"/>
  <c r="MK116" i="2"/>
  <c r="MJ116" i="2"/>
  <c r="MI116" i="2"/>
  <c r="MH116" i="2"/>
  <c r="MG116" i="2"/>
  <c r="MF116" i="2"/>
  <c r="ME116" i="2"/>
  <c r="MD116" i="2"/>
  <c r="MC116" i="2"/>
  <c r="MB116" i="2"/>
  <c r="MA116" i="2"/>
  <c r="LZ116" i="2"/>
  <c r="LY116" i="2"/>
  <c r="LX116" i="2"/>
  <c r="LW116" i="2"/>
  <c r="LV116" i="2"/>
  <c r="LU116" i="2"/>
  <c r="LT116" i="2"/>
  <c r="LS116" i="2"/>
  <c r="LR116" i="2"/>
  <c r="LQ116" i="2"/>
  <c r="LP116" i="2"/>
  <c r="LO116" i="2"/>
  <c r="LN116" i="2"/>
  <c r="LM116" i="2"/>
  <c r="LL116" i="2"/>
  <c r="LK116" i="2"/>
  <c r="LJ116" i="2"/>
  <c r="LI116" i="2"/>
  <c r="LH116" i="2"/>
  <c r="LG116" i="2"/>
  <c r="LF116" i="2"/>
  <c r="LE116" i="2"/>
  <c r="LD116" i="2"/>
  <c r="LC116" i="2"/>
  <c r="LB116" i="2"/>
  <c r="LA116" i="2"/>
  <c r="KZ116" i="2"/>
  <c r="KY116" i="2"/>
  <c r="KX116" i="2"/>
  <c r="KW116" i="2"/>
  <c r="KV116" i="2"/>
  <c r="KU116" i="2"/>
  <c r="KT116" i="2"/>
  <c r="KS116" i="2"/>
  <c r="KR116" i="2"/>
  <c r="KQ116" i="2"/>
  <c r="KP116" i="2"/>
  <c r="KO116" i="2"/>
  <c r="KN116" i="2"/>
  <c r="KM116" i="2"/>
  <c r="KL116" i="2"/>
  <c r="KK116" i="2"/>
  <c r="KJ116" i="2"/>
  <c r="KI116" i="2"/>
  <c r="KH116" i="2"/>
  <c r="KG116" i="2"/>
  <c r="KF116" i="2"/>
  <c r="KE116" i="2"/>
  <c r="KD116" i="2"/>
  <c r="KC116" i="2"/>
  <c r="KB116" i="2"/>
  <c r="KA116" i="2"/>
  <c r="JZ116" i="2"/>
  <c r="JY116" i="2"/>
  <c r="JX116" i="2"/>
  <c r="JW116" i="2"/>
  <c r="JV116" i="2"/>
  <c r="JU116" i="2"/>
  <c r="JT116" i="2"/>
  <c r="JS116" i="2"/>
  <c r="JR116" i="2"/>
  <c r="JQ116" i="2"/>
  <c r="JP116" i="2"/>
  <c r="JO116" i="2"/>
  <c r="JN116" i="2"/>
  <c r="JM116" i="2"/>
  <c r="JL116" i="2"/>
  <c r="JK116" i="2"/>
  <c r="JJ116" i="2"/>
  <c r="JI116" i="2"/>
  <c r="JH116" i="2"/>
  <c r="JG116" i="2"/>
  <c r="JF116" i="2"/>
  <c r="JE116" i="2"/>
  <c r="JD116" i="2"/>
  <c r="JC116" i="2"/>
  <c r="JB116" i="2"/>
  <c r="JA116" i="2"/>
  <c r="IZ116" i="2"/>
  <c r="IY116" i="2"/>
  <c r="IX116" i="2"/>
  <c r="IW116" i="2"/>
  <c r="IV116" i="2"/>
  <c r="IU116" i="2"/>
  <c r="IT116" i="2"/>
  <c r="IS116" i="2"/>
  <c r="IR116" i="2"/>
  <c r="IQ116" i="2"/>
  <c r="IP116" i="2"/>
  <c r="IO116" i="2"/>
  <c r="IN116" i="2"/>
  <c r="IM116" i="2"/>
  <c r="IL116" i="2"/>
  <c r="IK116" i="2"/>
  <c r="IJ116" i="2"/>
  <c r="II116" i="2"/>
  <c r="IH116" i="2"/>
  <c r="IG116" i="2"/>
  <c r="IF116" i="2"/>
  <c r="IE116" i="2"/>
  <c r="ID116" i="2"/>
  <c r="IC116" i="2"/>
  <c r="IB116" i="2"/>
  <c r="IA116" i="2"/>
  <c r="HZ116" i="2"/>
  <c r="HY116" i="2"/>
  <c r="HX116" i="2"/>
  <c r="HW116" i="2"/>
  <c r="HV116" i="2"/>
  <c r="HU116" i="2"/>
  <c r="HT116" i="2"/>
  <c r="HS116" i="2"/>
  <c r="HR116" i="2"/>
  <c r="HQ116" i="2"/>
  <c r="HP116" i="2"/>
  <c r="HO116" i="2"/>
  <c r="HN116" i="2"/>
  <c r="HM116" i="2"/>
  <c r="HL116" i="2"/>
  <c r="HK116" i="2"/>
  <c r="HJ116" i="2"/>
  <c r="HI116" i="2"/>
  <c r="HH116" i="2"/>
  <c r="HG116" i="2"/>
  <c r="HF116" i="2"/>
  <c r="HE116" i="2"/>
  <c r="HD116" i="2"/>
  <c r="HC116" i="2"/>
  <c r="HB116" i="2"/>
  <c r="HA116" i="2"/>
  <c r="GZ116" i="2"/>
  <c r="GY116" i="2"/>
  <c r="GX116" i="2"/>
  <c r="GW116" i="2"/>
  <c r="GV116" i="2"/>
  <c r="GU116" i="2"/>
  <c r="GT116" i="2"/>
  <c r="GS116" i="2"/>
  <c r="GR116" i="2"/>
  <c r="GQ116" i="2"/>
  <c r="GP116" i="2"/>
  <c r="GO116" i="2"/>
  <c r="GN116" i="2"/>
  <c r="GM116" i="2"/>
  <c r="GL116" i="2"/>
  <c r="GK116" i="2"/>
  <c r="GJ116" i="2"/>
  <c r="GI116" i="2"/>
  <c r="GH116" i="2"/>
  <c r="GG116" i="2"/>
  <c r="GF116" i="2"/>
  <c r="GE116" i="2"/>
  <c r="GD116" i="2"/>
  <c r="GC116" i="2"/>
  <c r="GB116" i="2"/>
  <c r="GA116" i="2"/>
  <c r="FZ116" i="2"/>
  <c r="FY116" i="2"/>
  <c r="FX116" i="2"/>
  <c r="FW116" i="2"/>
  <c r="FV116" i="2"/>
  <c r="FU116" i="2"/>
  <c r="FT116" i="2"/>
  <c r="FS116" i="2"/>
  <c r="FR116" i="2"/>
  <c r="FQ116" i="2"/>
  <c r="FP116" i="2"/>
  <c r="FO116" i="2"/>
  <c r="FN116" i="2"/>
  <c r="FM116" i="2"/>
  <c r="FL116" i="2"/>
  <c r="FK116" i="2"/>
  <c r="FJ116" i="2"/>
  <c r="FI116" i="2"/>
  <c r="FH116" i="2"/>
  <c r="FG116" i="2"/>
  <c r="FF116" i="2"/>
  <c r="FE116" i="2"/>
  <c r="FD116" i="2"/>
  <c r="FC116" i="2"/>
  <c r="FB116" i="2"/>
  <c r="FA116" i="2"/>
  <c r="EZ116" i="2"/>
  <c r="EY116" i="2"/>
  <c r="EX116" i="2"/>
  <c r="EW116" i="2"/>
  <c r="EV116" i="2"/>
  <c r="EU116" i="2"/>
  <c r="ET116" i="2"/>
  <c r="ES116" i="2"/>
  <c r="ER116" i="2"/>
  <c r="EQ116" i="2"/>
  <c r="EP116" i="2"/>
  <c r="EO116" i="2"/>
  <c r="EN116" i="2"/>
  <c r="EM116" i="2"/>
  <c r="EL116" i="2"/>
  <c r="EK116" i="2"/>
  <c r="EJ116" i="2"/>
  <c r="EI116" i="2"/>
  <c r="EH116" i="2"/>
  <c r="EG116" i="2"/>
  <c r="EF116" i="2"/>
  <c r="EE116" i="2"/>
  <c r="ED116" i="2"/>
  <c r="EC116" i="2"/>
  <c r="EB116" i="2"/>
  <c r="EA116" i="2"/>
  <c r="DZ116" i="2"/>
  <c r="DY116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A116" i="2"/>
  <c r="PI115" i="2"/>
  <c r="PH115" i="2"/>
  <c r="PG115" i="2"/>
  <c r="PF115" i="2"/>
  <c r="PE115" i="2"/>
  <c r="PD115" i="2"/>
  <c r="PC115" i="2"/>
  <c r="PB115" i="2"/>
  <c r="PA115" i="2"/>
  <c r="OZ115" i="2"/>
  <c r="OY115" i="2"/>
  <c r="OX115" i="2"/>
  <c r="OW115" i="2"/>
  <c r="OV115" i="2"/>
  <c r="OU115" i="2"/>
  <c r="OT115" i="2"/>
  <c r="OS115" i="2"/>
  <c r="OR115" i="2"/>
  <c r="OQ115" i="2"/>
  <c r="OP115" i="2"/>
  <c r="OO115" i="2"/>
  <c r="ON115" i="2"/>
  <c r="OM115" i="2"/>
  <c r="OL115" i="2"/>
  <c r="OK115" i="2"/>
  <c r="OJ115" i="2"/>
  <c r="OI115" i="2"/>
  <c r="OH115" i="2"/>
  <c r="OG115" i="2"/>
  <c r="OF115" i="2"/>
  <c r="OE115" i="2"/>
  <c r="OD115" i="2"/>
  <c r="OC115" i="2"/>
  <c r="OB115" i="2"/>
  <c r="OA115" i="2"/>
  <c r="NZ115" i="2"/>
  <c r="NY115" i="2"/>
  <c r="NX115" i="2"/>
  <c r="NW115" i="2"/>
  <c r="NV115" i="2"/>
  <c r="NU115" i="2"/>
  <c r="NT115" i="2"/>
  <c r="NS115" i="2"/>
  <c r="NR115" i="2"/>
  <c r="NQ115" i="2"/>
  <c r="NP115" i="2"/>
  <c r="NO115" i="2"/>
  <c r="NN115" i="2"/>
  <c r="NM115" i="2"/>
  <c r="NL115" i="2"/>
  <c r="NK115" i="2"/>
  <c r="NJ115" i="2"/>
  <c r="NI115" i="2"/>
  <c r="NH115" i="2"/>
  <c r="NG115" i="2"/>
  <c r="NF115" i="2"/>
  <c r="NE115" i="2"/>
  <c r="ND115" i="2"/>
  <c r="NC115" i="2"/>
  <c r="NB115" i="2"/>
  <c r="NA115" i="2"/>
  <c r="MZ115" i="2"/>
  <c r="MY115" i="2"/>
  <c r="MX115" i="2"/>
  <c r="MW115" i="2"/>
  <c r="MV115" i="2"/>
  <c r="MU115" i="2"/>
  <c r="MT115" i="2"/>
  <c r="MS115" i="2"/>
  <c r="MR115" i="2"/>
  <c r="MQ115" i="2"/>
  <c r="MP115" i="2"/>
  <c r="MO115" i="2"/>
  <c r="MN115" i="2"/>
  <c r="MM115" i="2"/>
  <c r="ML115" i="2"/>
  <c r="MK115" i="2"/>
  <c r="MJ115" i="2"/>
  <c r="MI115" i="2"/>
  <c r="MH115" i="2"/>
  <c r="MG115" i="2"/>
  <c r="MF115" i="2"/>
  <c r="ME115" i="2"/>
  <c r="MD115" i="2"/>
  <c r="MC115" i="2"/>
  <c r="MB115" i="2"/>
  <c r="MA115" i="2"/>
  <c r="LZ115" i="2"/>
  <c r="LY115" i="2"/>
  <c r="LX115" i="2"/>
  <c r="LW115" i="2"/>
  <c r="LV115" i="2"/>
  <c r="LU115" i="2"/>
  <c r="LT115" i="2"/>
  <c r="LS115" i="2"/>
  <c r="LR115" i="2"/>
  <c r="LQ115" i="2"/>
  <c r="LP115" i="2"/>
  <c r="LO115" i="2"/>
  <c r="LN115" i="2"/>
  <c r="LM115" i="2"/>
  <c r="LL115" i="2"/>
  <c r="LK115" i="2"/>
  <c r="LJ115" i="2"/>
  <c r="LI115" i="2"/>
  <c r="LH115" i="2"/>
  <c r="LG115" i="2"/>
  <c r="LF115" i="2"/>
  <c r="LE115" i="2"/>
  <c r="LD115" i="2"/>
  <c r="LC115" i="2"/>
  <c r="LB115" i="2"/>
  <c r="LA115" i="2"/>
  <c r="KZ115" i="2"/>
  <c r="KY115" i="2"/>
  <c r="KX115" i="2"/>
  <c r="KW115" i="2"/>
  <c r="KV115" i="2"/>
  <c r="KU115" i="2"/>
  <c r="KT115" i="2"/>
  <c r="KS115" i="2"/>
  <c r="KR115" i="2"/>
  <c r="KQ115" i="2"/>
  <c r="KP115" i="2"/>
  <c r="KO115" i="2"/>
  <c r="KN115" i="2"/>
  <c r="KM115" i="2"/>
  <c r="KL115" i="2"/>
  <c r="KK115" i="2"/>
  <c r="KJ115" i="2"/>
  <c r="KI115" i="2"/>
  <c r="KH115" i="2"/>
  <c r="KG115" i="2"/>
  <c r="KF115" i="2"/>
  <c r="KE115" i="2"/>
  <c r="KD115" i="2"/>
  <c r="KC115" i="2"/>
  <c r="KB115" i="2"/>
  <c r="KA115" i="2"/>
  <c r="JZ115" i="2"/>
  <c r="JY115" i="2"/>
  <c r="JX115" i="2"/>
  <c r="JW115" i="2"/>
  <c r="JV115" i="2"/>
  <c r="JU115" i="2"/>
  <c r="JT115" i="2"/>
  <c r="JS115" i="2"/>
  <c r="JR115" i="2"/>
  <c r="JQ115" i="2"/>
  <c r="JP115" i="2"/>
  <c r="JO115" i="2"/>
  <c r="JN115" i="2"/>
  <c r="JM115" i="2"/>
  <c r="JL115" i="2"/>
  <c r="JK115" i="2"/>
  <c r="JJ115" i="2"/>
  <c r="JI115" i="2"/>
  <c r="JH115" i="2"/>
  <c r="JG115" i="2"/>
  <c r="JF115" i="2"/>
  <c r="JE115" i="2"/>
  <c r="JD115" i="2"/>
  <c r="JC115" i="2"/>
  <c r="JB115" i="2"/>
  <c r="JA115" i="2"/>
  <c r="IZ115" i="2"/>
  <c r="IY115" i="2"/>
  <c r="IX115" i="2"/>
  <c r="IW115" i="2"/>
  <c r="IV115" i="2"/>
  <c r="IU115" i="2"/>
  <c r="IT115" i="2"/>
  <c r="IS115" i="2"/>
  <c r="IR115" i="2"/>
  <c r="IQ115" i="2"/>
  <c r="IP115" i="2"/>
  <c r="IO115" i="2"/>
  <c r="IN115" i="2"/>
  <c r="IM115" i="2"/>
  <c r="IL115" i="2"/>
  <c r="IK115" i="2"/>
  <c r="IJ115" i="2"/>
  <c r="II115" i="2"/>
  <c r="IH115" i="2"/>
  <c r="IG115" i="2"/>
  <c r="IF115" i="2"/>
  <c r="IE115" i="2"/>
  <c r="ID115" i="2"/>
  <c r="IC115" i="2"/>
  <c r="IB115" i="2"/>
  <c r="IA115" i="2"/>
  <c r="HZ115" i="2"/>
  <c r="HY115" i="2"/>
  <c r="HX115" i="2"/>
  <c r="HW115" i="2"/>
  <c r="HV115" i="2"/>
  <c r="HU115" i="2"/>
  <c r="HT115" i="2"/>
  <c r="HS115" i="2"/>
  <c r="HR115" i="2"/>
  <c r="HQ115" i="2"/>
  <c r="HP115" i="2"/>
  <c r="HO115" i="2"/>
  <c r="HN115" i="2"/>
  <c r="HM115" i="2"/>
  <c r="HL115" i="2"/>
  <c r="HK115" i="2"/>
  <c r="HJ115" i="2"/>
  <c r="HI115" i="2"/>
  <c r="HH115" i="2"/>
  <c r="HG115" i="2"/>
  <c r="HF115" i="2"/>
  <c r="HE115" i="2"/>
  <c r="HD115" i="2"/>
  <c r="HC115" i="2"/>
  <c r="HB115" i="2"/>
  <c r="HA115" i="2"/>
  <c r="GZ115" i="2"/>
  <c r="GY115" i="2"/>
  <c r="GX115" i="2"/>
  <c r="GW115" i="2"/>
  <c r="GV115" i="2"/>
  <c r="GU115" i="2"/>
  <c r="GT115" i="2"/>
  <c r="GS115" i="2"/>
  <c r="GR115" i="2"/>
  <c r="GQ115" i="2"/>
  <c r="GP115" i="2"/>
  <c r="GO115" i="2"/>
  <c r="GN115" i="2"/>
  <c r="GM115" i="2"/>
  <c r="GL115" i="2"/>
  <c r="GK115" i="2"/>
  <c r="GJ115" i="2"/>
  <c r="GI115" i="2"/>
  <c r="GH115" i="2"/>
  <c r="GG115" i="2"/>
  <c r="GF115" i="2"/>
  <c r="GE115" i="2"/>
  <c r="GD115" i="2"/>
  <c r="GC115" i="2"/>
  <c r="GB115" i="2"/>
  <c r="GA115" i="2"/>
  <c r="FZ115" i="2"/>
  <c r="FY115" i="2"/>
  <c r="FX115" i="2"/>
  <c r="FW115" i="2"/>
  <c r="FV115" i="2"/>
  <c r="FU115" i="2"/>
  <c r="FT115" i="2"/>
  <c r="FS115" i="2"/>
  <c r="FR115" i="2"/>
  <c r="FQ115" i="2"/>
  <c r="FP115" i="2"/>
  <c r="FO115" i="2"/>
  <c r="FN115" i="2"/>
  <c r="FM115" i="2"/>
  <c r="FL115" i="2"/>
  <c r="FK115" i="2"/>
  <c r="FJ115" i="2"/>
  <c r="FI115" i="2"/>
  <c r="FH115" i="2"/>
  <c r="FG115" i="2"/>
  <c r="FF115" i="2"/>
  <c r="FE115" i="2"/>
  <c r="FD115" i="2"/>
  <c r="FC115" i="2"/>
  <c r="FB115" i="2"/>
  <c r="FA115" i="2"/>
  <c r="EZ115" i="2"/>
  <c r="EY115" i="2"/>
  <c r="EX115" i="2"/>
  <c r="EW115" i="2"/>
  <c r="EV115" i="2"/>
  <c r="EU115" i="2"/>
  <c r="ET115" i="2"/>
  <c r="ES115" i="2"/>
  <c r="ER115" i="2"/>
  <c r="EQ115" i="2"/>
  <c r="EP115" i="2"/>
  <c r="EO115" i="2"/>
  <c r="EN115" i="2"/>
  <c r="EM115" i="2"/>
  <c r="EL115" i="2"/>
  <c r="EK115" i="2"/>
  <c r="EJ115" i="2"/>
  <c r="EI115" i="2"/>
  <c r="EH115" i="2"/>
  <c r="EG115" i="2"/>
  <c r="EF115" i="2"/>
  <c r="EE115" i="2"/>
  <c r="ED115" i="2"/>
  <c r="EC115" i="2"/>
  <c r="EB115" i="2"/>
  <c r="EA115" i="2"/>
  <c r="DZ115" i="2"/>
  <c r="DY115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DG115" i="2"/>
  <c r="DF115" i="2"/>
  <c r="DE115" i="2"/>
  <c r="DD115" i="2"/>
  <c r="DC115" i="2"/>
  <c r="DB115" i="2"/>
  <c r="DA115" i="2"/>
  <c r="CZ115" i="2"/>
  <c r="CY115" i="2"/>
  <c r="CX115" i="2"/>
  <c r="CW115" i="2"/>
  <c r="CV115" i="2"/>
  <c r="CU115" i="2"/>
  <c r="CT115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115" i="2"/>
  <c r="PI114" i="2"/>
  <c r="PH114" i="2"/>
  <c r="PG114" i="2"/>
  <c r="PF114" i="2"/>
  <c r="PE114" i="2"/>
  <c r="PD114" i="2"/>
  <c r="PC114" i="2"/>
  <c r="PB114" i="2"/>
  <c r="PA114" i="2"/>
  <c r="OZ114" i="2"/>
  <c r="OY114" i="2"/>
  <c r="OX114" i="2"/>
  <c r="OW114" i="2"/>
  <c r="OV114" i="2"/>
  <c r="OU114" i="2"/>
  <c r="OT114" i="2"/>
  <c r="OS114" i="2"/>
  <c r="OR114" i="2"/>
  <c r="OQ114" i="2"/>
  <c r="OP114" i="2"/>
  <c r="OO114" i="2"/>
  <c r="ON114" i="2"/>
  <c r="OM114" i="2"/>
  <c r="OL114" i="2"/>
  <c r="OK114" i="2"/>
  <c r="OJ114" i="2"/>
  <c r="OI114" i="2"/>
  <c r="OH114" i="2"/>
  <c r="OG114" i="2"/>
  <c r="OF114" i="2"/>
  <c r="OE114" i="2"/>
  <c r="OD114" i="2"/>
  <c r="OC114" i="2"/>
  <c r="OB114" i="2"/>
  <c r="OA114" i="2"/>
  <c r="NZ114" i="2"/>
  <c r="NY114" i="2"/>
  <c r="NX114" i="2"/>
  <c r="NW114" i="2"/>
  <c r="NV114" i="2"/>
  <c r="NU114" i="2"/>
  <c r="NT114" i="2"/>
  <c r="NS114" i="2"/>
  <c r="NR114" i="2"/>
  <c r="NQ114" i="2"/>
  <c r="NP114" i="2"/>
  <c r="NO114" i="2"/>
  <c r="NN114" i="2"/>
  <c r="NM114" i="2"/>
  <c r="NL114" i="2"/>
  <c r="NK114" i="2"/>
  <c r="NJ114" i="2"/>
  <c r="NI114" i="2"/>
  <c r="NH114" i="2"/>
  <c r="NG114" i="2"/>
  <c r="NF114" i="2"/>
  <c r="NE114" i="2"/>
  <c r="ND114" i="2"/>
  <c r="NC114" i="2"/>
  <c r="NB114" i="2"/>
  <c r="NA114" i="2"/>
  <c r="MZ114" i="2"/>
  <c r="MY114" i="2"/>
  <c r="MX114" i="2"/>
  <c r="MW114" i="2"/>
  <c r="MV114" i="2"/>
  <c r="MU114" i="2"/>
  <c r="MT114" i="2"/>
  <c r="MS114" i="2"/>
  <c r="MR114" i="2"/>
  <c r="MQ114" i="2"/>
  <c r="MP114" i="2"/>
  <c r="MO114" i="2"/>
  <c r="MN114" i="2"/>
  <c r="MM114" i="2"/>
  <c r="ML114" i="2"/>
  <c r="MK114" i="2"/>
  <c r="MJ114" i="2"/>
  <c r="MI114" i="2"/>
  <c r="MH114" i="2"/>
  <c r="MG114" i="2"/>
  <c r="MF114" i="2"/>
  <c r="ME114" i="2"/>
  <c r="MD114" i="2"/>
  <c r="MC114" i="2"/>
  <c r="MB114" i="2"/>
  <c r="MA114" i="2"/>
  <c r="LZ114" i="2"/>
  <c r="LY114" i="2"/>
  <c r="LX114" i="2"/>
  <c r="LW114" i="2"/>
  <c r="LV114" i="2"/>
  <c r="LU114" i="2"/>
  <c r="LT114" i="2"/>
  <c r="LS114" i="2"/>
  <c r="LR114" i="2"/>
  <c r="LQ114" i="2"/>
  <c r="LP114" i="2"/>
  <c r="LO114" i="2"/>
  <c r="LN114" i="2"/>
  <c r="LM114" i="2"/>
  <c r="LL114" i="2"/>
  <c r="LK114" i="2"/>
  <c r="LJ114" i="2"/>
  <c r="LI114" i="2"/>
  <c r="LH114" i="2"/>
  <c r="LG114" i="2"/>
  <c r="LF114" i="2"/>
  <c r="LE114" i="2"/>
  <c r="LD114" i="2"/>
  <c r="LC114" i="2"/>
  <c r="LB114" i="2"/>
  <c r="LA114" i="2"/>
  <c r="KZ114" i="2"/>
  <c r="KY114" i="2"/>
  <c r="KX114" i="2"/>
  <c r="KW114" i="2"/>
  <c r="KV114" i="2"/>
  <c r="KU114" i="2"/>
  <c r="KT114" i="2"/>
  <c r="KS114" i="2"/>
  <c r="KR114" i="2"/>
  <c r="KQ114" i="2"/>
  <c r="KP114" i="2"/>
  <c r="KO114" i="2"/>
  <c r="KN114" i="2"/>
  <c r="KM114" i="2"/>
  <c r="KL114" i="2"/>
  <c r="KK114" i="2"/>
  <c r="KJ114" i="2"/>
  <c r="KI114" i="2"/>
  <c r="KH114" i="2"/>
  <c r="KG114" i="2"/>
  <c r="KF114" i="2"/>
  <c r="KE114" i="2"/>
  <c r="KD114" i="2"/>
  <c r="KC114" i="2"/>
  <c r="KB114" i="2"/>
  <c r="KA114" i="2"/>
  <c r="JZ114" i="2"/>
  <c r="JY114" i="2"/>
  <c r="JX114" i="2"/>
  <c r="JW114" i="2"/>
  <c r="JV114" i="2"/>
  <c r="JU114" i="2"/>
  <c r="JT114" i="2"/>
  <c r="JS114" i="2"/>
  <c r="JR114" i="2"/>
  <c r="JQ114" i="2"/>
  <c r="JP114" i="2"/>
  <c r="JO114" i="2"/>
  <c r="JN114" i="2"/>
  <c r="JM114" i="2"/>
  <c r="JL114" i="2"/>
  <c r="JK114" i="2"/>
  <c r="JJ114" i="2"/>
  <c r="JI114" i="2"/>
  <c r="JH114" i="2"/>
  <c r="JG114" i="2"/>
  <c r="JF114" i="2"/>
  <c r="JE114" i="2"/>
  <c r="JD114" i="2"/>
  <c r="JC114" i="2"/>
  <c r="JB114" i="2"/>
  <c r="JA114" i="2"/>
  <c r="IZ114" i="2"/>
  <c r="IY114" i="2"/>
  <c r="IX114" i="2"/>
  <c r="IW114" i="2"/>
  <c r="IV114" i="2"/>
  <c r="IU114" i="2"/>
  <c r="IT114" i="2"/>
  <c r="IS114" i="2"/>
  <c r="IR114" i="2"/>
  <c r="IQ114" i="2"/>
  <c r="IP114" i="2"/>
  <c r="IO114" i="2"/>
  <c r="IN114" i="2"/>
  <c r="IM114" i="2"/>
  <c r="IL114" i="2"/>
  <c r="IK114" i="2"/>
  <c r="IJ114" i="2"/>
  <c r="II114" i="2"/>
  <c r="IH114" i="2"/>
  <c r="IG114" i="2"/>
  <c r="IF114" i="2"/>
  <c r="IE114" i="2"/>
  <c r="ID114" i="2"/>
  <c r="IC114" i="2"/>
  <c r="IB114" i="2"/>
  <c r="IA114" i="2"/>
  <c r="HZ114" i="2"/>
  <c r="HY114" i="2"/>
  <c r="HX114" i="2"/>
  <c r="HW114" i="2"/>
  <c r="HV114" i="2"/>
  <c r="HU114" i="2"/>
  <c r="HT114" i="2"/>
  <c r="HS114" i="2"/>
  <c r="HR114" i="2"/>
  <c r="HQ114" i="2"/>
  <c r="HP114" i="2"/>
  <c r="HO114" i="2"/>
  <c r="HN114" i="2"/>
  <c r="HM114" i="2"/>
  <c r="HL114" i="2"/>
  <c r="HK114" i="2"/>
  <c r="HJ114" i="2"/>
  <c r="HI114" i="2"/>
  <c r="HH114" i="2"/>
  <c r="HG114" i="2"/>
  <c r="HF114" i="2"/>
  <c r="HE114" i="2"/>
  <c r="HD114" i="2"/>
  <c r="HC114" i="2"/>
  <c r="HB114" i="2"/>
  <c r="HA114" i="2"/>
  <c r="GZ114" i="2"/>
  <c r="GY114" i="2"/>
  <c r="GX114" i="2"/>
  <c r="GW114" i="2"/>
  <c r="GV114" i="2"/>
  <c r="GU114" i="2"/>
  <c r="GT114" i="2"/>
  <c r="GS114" i="2"/>
  <c r="GR114" i="2"/>
  <c r="GQ114" i="2"/>
  <c r="GP114" i="2"/>
  <c r="GO114" i="2"/>
  <c r="GN114" i="2"/>
  <c r="GM114" i="2"/>
  <c r="GL114" i="2"/>
  <c r="GK114" i="2"/>
  <c r="GJ114" i="2"/>
  <c r="GI114" i="2"/>
  <c r="GH114" i="2"/>
  <c r="GG114" i="2"/>
  <c r="GF114" i="2"/>
  <c r="GE114" i="2"/>
  <c r="GD114" i="2"/>
  <c r="GC114" i="2"/>
  <c r="GB114" i="2"/>
  <c r="GA114" i="2"/>
  <c r="FZ114" i="2"/>
  <c r="FY114" i="2"/>
  <c r="FX114" i="2"/>
  <c r="FW114" i="2"/>
  <c r="FV114" i="2"/>
  <c r="FU114" i="2"/>
  <c r="FT114" i="2"/>
  <c r="FS114" i="2"/>
  <c r="FR114" i="2"/>
  <c r="FQ114" i="2"/>
  <c r="FP114" i="2"/>
  <c r="FO114" i="2"/>
  <c r="FN114" i="2"/>
  <c r="FM114" i="2"/>
  <c r="FL114" i="2"/>
  <c r="FK114" i="2"/>
  <c r="FJ114" i="2"/>
  <c r="FI114" i="2"/>
  <c r="FH114" i="2"/>
  <c r="FG114" i="2"/>
  <c r="FF114" i="2"/>
  <c r="FE114" i="2"/>
  <c r="FD114" i="2"/>
  <c r="FC114" i="2"/>
  <c r="FB114" i="2"/>
  <c r="FA114" i="2"/>
  <c r="EZ114" i="2"/>
  <c r="EY114" i="2"/>
  <c r="EX114" i="2"/>
  <c r="EW114" i="2"/>
  <c r="EV114" i="2"/>
  <c r="EU114" i="2"/>
  <c r="ET114" i="2"/>
  <c r="ES114" i="2"/>
  <c r="ER114" i="2"/>
  <c r="EQ114" i="2"/>
  <c r="EP114" i="2"/>
  <c r="EO114" i="2"/>
  <c r="EN114" i="2"/>
  <c r="EM114" i="2"/>
  <c r="EL114" i="2"/>
  <c r="EK114" i="2"/>
  <c r="EJ114" i="2"/>
  <c r="EI114" i="2"/>
  <c r="EH114" i="2"/>
  <c r="EG114" i="2"/>
  <c r="EF114" i="2"/>
  <c r="EE114" i="2"/>
  <c r="ED114" i="2"/>
  <c r="EC114" i="2"/>
  <c r="EB114" i="2"/>
  <c r="EA114" i="2"/>
  <c r="DZ114" i="2"/>
  <c r="DY114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DG114" i="2"/>
  <c r="DF114" i="2"/>
  <c r="DE114" i="2"/>
  <c r="DD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114" i="2"/>
  <c r="PI113" i="2"/>
  <c r="PH113" i="2"/>
  <c r="PG113" i="2"/>
  <c r="PF113" i="2"/>
  <c r="PE113" i="2"/>
  <c r="PD113" i="2"/>
  <c r="PC113" i="2"/>
  <c r="PB113" i="2"/>
  <c r="PA113" i="2"/>
  <c r="OZ113" i="2"/>
  <c r="OY113" i="2"/>
  <c r="OX113" i="2"/>
  <c r="OW113" i="2"/>
  <c r="OV113" i="2"/>
  <c r="OU113" i="2"/>
  <c r="OT113" i="2"/>
  <c r="OS113" i="2"/>
  <c r="OR113" i="2"/>
  <c r="OQ113" i="2"/>
  <c r="OP113" i="2"/>
  <c r="OO113" i="2"/>
  <c r="ON113" i="2"/>
  <c r="OM113" i="2"/>
  <c r="OL113" i="2"/>
  <c r="OK113" i="2"/>
  <c r="OJ113" i="2"/>
  <c r="OI113" i="2"/>
  <c r="OH113" i="2"/>
  <c r="OG113" i="2"/>
  <c r="OF113" i="2"/>
  <c r="OE113" i="2"/>
  <c r="OD113" i="2"/>
  <c r="OC113" i="2"/>
  <c r="OB113" i="2"/>
  <c r="OA113" i="2"/>
  <c r="NZ113" i="2"/>
  <c r="NY113" i="2"/>
  <c r="NX113" i="2"/>
  <c r="NW113" i="2"/>
  <c r="NV113" i="2"/>
  <c r="NU113" i="2"/>
  <c r="NT113" i="2"/>
  <c r="NS113" i="2"/>
  <c r="NR113" i="2"/>
  <c r="NQ113" i="2"/>
  <c r="NP113" i="2"/>
  <c r="NO113" i="2"/>
  <c r="NN113" i="2"/>
  <c r="NM113" i="2"/>
  <c r="NL113" i="2"/>
  <c r="NK113" i="2"/>
  <c r="NJ113" i="2"/>
  <c r="NI113" i="2"/>
  <c r="NH113" i="2"/>
  <c r="NG113" i="2"/>
  <c r="NF113" i="2"/>
  <c r="NE113" i="2"/>
  <c r="ND113" i="2"/>
  <c r="NC113" i="2"/>
  <c r="NB113" i="2"/>
  <c r="NA113" i="2"/>
  <c r="MZ113" i="2"/>
  <c r="MY113" i="2"/>
  <c r="MX113" i="2"/>
  <c r="MW113" i="2"/>
  <c r="MV113" i="2"/>
  <c r="MU113" i="2"/>
  <c r="MT113" i="2"/>
  <c r="MS113" i="2"/>
  <c r="MR113" i="2"/>
  <c r="MQ113" i="2"/>
  <c r="MP113" i="2"/>
  <c r="MO113" i="2"/>
  <c r="MN113" i="2"/>
  <c r="MM113" i="2"/>
  <c r="ML113" i="2"/>
  <c r="MK113" i="2"/>
  <c r="MJ113" i="2"/>
  <c r="MI113" i="2"/>
  <c r="MH113" i="2"/>
  <c r="MG113" i="2"/>
  <c r="MF113" i="2"/>
  <c r="ME113" i="2"/>
  <c r="MD113" i="2"/>
  <c r="MC113" i="2"/>
  <c r="MB113" i="2"/>
  <c r="MA113" i="2"/>
  <c r="LZ113" i="2"/>
  <c r="LY113" i="2"/>
  <c r="LX113" i="2"/>
  <c r="LW113" i="2"/>
  <c r="LV113" i="2"/>
  <c r="LU113" i="2"/>
  <c r="LT113" i="2"/>
  <c r="LS113" i="2"/>
  <c r="LR113" i="2"/>
  <c r="LQ113" i="2"/>
  <c r="LP113" i="2"/>
  <c r="LO113" i="2"/>
  <c r="LN113" i="2"/>
  <c r="LM113" i="2"/>
  <c r="LL113" i="2"/>
  <c r="LK113" i="2"/>
  <c r="LJ113" i="2"/>
  <c r="LI113" i="2"/>
  <c r="LH113" i="2"/>
  <c r="LG113" i="2"/>
  <c r="LF113" i="2"/>
  <c r="LE113" i="2"/>
  <c r="LD113" i="2"/>
  <c r="LC113" i="2"/>
  <c r="LB113" i="2"/>
  <c r="LA113" i="2"/>
  <c r="KZ113" i="2"/>
  <c r="KY113" i="2"/>
  <c r="KX113" i="2"/>
  <c r="KW113" i="2"/>
  <c r="KV113" i="2"/>
  <c r="KU113" i="2"/>
  <c r="KT113" i="2"/>
  <c r="KS113" i="2"/>
  <c r="KR113" i="2"/>
  <c r="KQ113" i="2"/>
  <c r="KP113" i="2"/>
  <c r="KO113" i="2"/>
  <c r="KN113" i="2"/>
  <c r="KM113" i="2"/>
  <c r="KL113" i="2"/>
  <c r="KK113" i="2"/>
  <c r="KJ113" i="2"/>
  <c r="KI113" i="2"/>
  <c r="KH113" i="2"/>
  <c r="KG113" i="2"/>
  <c r="KF113" i="2"/>
  <c r="KE113" i="2"/>
  <c r="KD113" i="2"/>
  <c r="KC113" i="2"/>
  <c r="KB113" i="2"/>
  <c r="KA113" i="2"/>
  <c r="JZ113" i="2"/>
  <c r="JY113" i="2"/>
  <c r="JX113" i="2"/>
  <c r="JW113" i="2"/>
  <c r="JV113" i="2"/>
  <c r="JU113" i="2"/>
  <c r="JT113" i="2"/>
  <c r="JS113" i="2"/>
  <c r="JR113" i="2"/>
  <c r="JQ113" i="2"/>
  <c r="JP113" i="2"/>
  <c r="JO113" i="2"/>
  <c r="JN113" i="2"/>
  <c r="JM113" i="2"/>
  <c r="JL113" i="2"/>
  <c r="JK113" i="2"/>
  <c r="JJ113" i="2"/>
  <c r="JI113" i="2"/>
  <c r="JH113" i="2"/>
  <c r="JG113" i="2"/>
  <c r="JF113" i="2"/>
  <c r="JE113" i="2"/>
  <c r="JD113" i="2"/>
  <c r="JC113" i="2"/>
  <c r="JB113" i="2"/>
  <c r="JA113" i="2"/>
  <c r="IZ113" i="2"/>
  <c r="IY113" i="2"/>
  <c r="IX113" i="2"/>
  <c r="IW113" i="2"/>
  <c r="IV113" i="2"/>
  <c r="IU113" i="2"/>
  <c r="IT113" i="2"/>
  <c r="IS113" i="2"/>
  <c r="IR113" i="2"/>
  <c r="IQ113" i="2"/>
  <c r="IP113" i="2"/>
  <c r="IO113" i="2"/>
  <c r="IN113" i="2"/>
  <c r="IM113" i="2"/>
  <c r="IL113" i="2"/>
  <c r="IK113" i="2"/>
  <c r="IJ113" i="2"/>
  <c r="II113" i="2"/>
  <c r="IH113" i="2"/>
  <c r="IG113" i="2"/>
  <c r="IF113" i="2"/>
  <c r="IE113" i="2"/>
  <c r="ID113" i="2"/>
  <c r="IC113" i="2"/>
  <c r="IB113" i="2"/>
  <c r="IA113" i="2"/>
  <c r="HZ113" i="2"/>
  <c r="HY113" i="2"/>
  <c r="HX113" i="2"/>
  <c r="HW113" i="2"/>
  <c r="HV113" i="2"/>
  <c r="HU113" i="2"/>
  <c r="HT113" i="2"/>
  <c r="HS113" i="2"/>
  <c r="HR113" i="2"/>
  <c r="HQ113" i="2"/>
  <c r="HP113" i="2"/>
  <c r="HO113" i="2"/>
  <c r="HN113" i="2"/>
  <c r="HM113" i="2"/>
  <c r="HL113" i="2"/>
  <c r="HK113" i="2"/>
  <c r="HJ113" i="2"/>
  <c r="HI113" i="2"/>
  <c r="HH113" i="2"/>
  <c r="HG113" i="2"/>
  <c r="HF113" i="2"/>
  <c r="HE113" i="2"/>
  <c r="HD113" i="2"/>
  <c r="HC113" i="2"/>
  <c r="HB113" i="2"/>
  <c r="HA113" i="2"/>
  <c r="GZ113" i="2"/>
  <c r="GY113" i="2"/>
  <c r="GX113" i="2"/>
  <c r="GW113" i="2"/>
  <c r="GV113" i="2"/>
  <c r="GU113" i="2"/>
  <c r="GT113" i="2"/>
  <c r="GS113" i="2"/>
  <c r="GR113" i="2"/>
  <c r="GQ113" i="2"/>
  <c r="GP113" i="2"/>
  <c r="GO113" i="2"/>
  <c r="GN113" i="2"/>
  <c r="GM113" i="2"/>
  <c r="GL113" i="2"/>
  <c r="GK113" i="2"/>
  <c r="GJ113" i="2"/>
  <c r="GI113" i="2"/>
  <c r="GH113" i="2"/>
  <c r="GG113" i="2"/>
  <c r="GF113" i="2"/>
  <c r="GE113" i="2"/>
  <c r="GD113" i="2"/>
  <c r="GC113" i="2"/>
  <c r="GB113" i="2"/>
  <c r="GA113" i="2"/>
  <c r="FZ113" i="2"/>
  <c r="FY113" i="2"/>
  <c r="FX113" i="2"/>
  <c r="FW113" i="2"/>
  <c r="FV113" i="2"/>
  <c r="FU113" i="2"/>
  <c r="FT113" i="2"/>
  <c r="FS113" i="2"/>
  <c r="FR113" i="2"/>
  <c r="FQ113" i="2"/>
  <c r="FP113" i="2"/>
  <c r="FO113" i="2"/>
  <c r="FN113" i="2"/>
  <c r="FM113" i="2"/>
  <c r="FL113" i="2"/>
  <c r="FK113" i="2"/>
  <c r="FJ113" i="2"/>
  <c r="FI113" i="2"/>
  <c r="FH113" i="2"/>
  <c r="FG113" i="2"/>
  <c r="FF113" i="2"/>
  <c r="FE113" i="2"/>
  <c r="FD113" i="2"/>
  <c r="FC113" i="2"/>
  <c r="FB113" i="2"/>
  <c r="FA113" i="2"/>
  <c r="EZ113" i="2"/>
  <c r="EY113" i="2"/>
  <c r="EX113" i="2"/>
  <c r="EW113" i="2"/>
  <c r="EV113" i="2"/>
  <c r="EU113" i="2"/>
  <c r="ET113" i="2"/>
  <c r="ES113" i="2"/>
  <c r="ER113" i="2"/>
  <c r="EQ113" i="2"/>
  <c r="EP113" i="2"/>
  <c r="EO113" i="2"/>
  <c r="EN113" i="2"/>
  <c r="EM113" i="2"/>
  <c r="EL113" i="2"/>
  <c r="EK113" i="2"/>
  <c r="EJ113" i="2"/>
  <c r="EI113" i="2"/>
  <c r="EH113" i="2"/>
  <c r="EG113" i="2"/>
  <c r="EF113" i="2"/>
  <c r="EE113" i="2"/>
  <c r="ED113" i="2"/>
  <c r="EC113" i="2"/>
  <c r="EB113" i="2"/>
  <c r="EA113" i="2"/>
  <c r="DZ113" i="2"/>
  <c r="DY113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DG113" i="2"/>
  <c r="DF113" i="2"/>
  <c r="DE113" i="2"/>
  <c r="DD113" i="2"/>
  <c r="DC113" i="2"/>
  <c r="DB113" i="2"/>
  <c r="DA113" i="2"/>
  <c r="CZ113" i="2"/>
  <c r="CY113" i="2"/>
  <c r="CX113" i="2"/>
  <c r="CW113" i="2"/>
  <c r="CV113" i="2"/>
  <c r="CU113" i="2"/>
  <c r="CT113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113" i="2"/>
  <c r="PI112" i="2"/>
  <c r="PH112" i="2"/>
  <c r="PG112" i="2"/>
  <c r="PF112" i="2"/>
  <c r="PE112" i="2"/>
  <c r="PD112" i="2"/>
  <c r="PC112" i="2"/>
  <c r="PB112" i="2"/>
  <c r="PA112" i="2"/>
  <c r="OZ112" i="2"/>
  <c r="OY112" i="2"/>
  <c r="OX112" i="2"/>
  <c r="OW112" i="2"/>
  <c r="OV112" i="2"/>
  <c r="OU112" i="2"/>
  <c r="OT112" i="2"/>
  <c r="OS112" i="2"/>
  <c r="OR112" i="2"/>
  <c r="OQ112" i="2"/>
  <c r="OP112" i="2"/>
  <c r="OO112" i="2"/>
  <c r="ON112" i="2"/>
  <c r="OM112" i="2"/>
  <c r="OL112" i="2"/>
  <c r="OK112" i="2"/>
  <c r="OJ112" i="2"/>
  <c r="OI112" i="2"/>
  <c r="OH112" i="2"/>
  <c r="OG112" i="2"/>
  <c r="OF112" i="2"/>
  <c r="OE112" i="2"/>
  <c r="OD112" i="2"/>
  <c r="OC112" i="2"/>
  <c r="OB112" i="2"/>
  <c r="OA112" i="2"/>
  <c r="NZ112" i="2"/>
  <c r="NY112" i="2"/>
  <c r="NX112" i="2"/>
  <c r="NW112" i="2"/>
  <c r="NV112" i="2"/>
  <c r="NU112" i="2"/>
  <c r="NT112" i="2"/>
  <c r="NS112" i="2"/>
  <c r="NR112" i="2"/>
  <c r="NQ112" i="2"/>
  <c r="NP112" i="2"/>
  <c r="NO112" i="2"/>
  <c r="NN112" i="2"/>
  <c r="NM112" i="2"/>
  <c r="NL112" i="2"/>
  <c r="NK112" i="2"/>
  <c r="NJ112" i="2"/>
  <c r="NI112" i="2"/>
  <c r="NH112" i="2"/>
  <c r="NG112" i="2"/>
  <c r="NF112" i="2"/>
  <c r="NE112" i="2"/>
  <c r="ND112" i="2"/>
  <c r="NC112" i="2"/>
  <c r="NB112" i="2"/>
  <c r="NA112" i="2"/>
  <c r="MZ112" i="2"/>
  <c r="MY112" i="2"/>
  <c r="MX112" i="2"/>
  <c r="MW112" i="2"/>
  <c r="MV112" i="2"/>
  <c r="MU112" i="2"/>
  <c r="MT112" i="2"/>
  <c r="MS112" i="2"/>
  <c r="MR112" i="2"/>
  <c r="MQ112" i="2"/>
  <c r="MP112" i="2"/>
  <c r="MO112" i="2"/>
  <c r="MN112" i="2"/>
  <c r="MM112" i="2"/>
  <c r="ML112" i="2"/>
  <c r="MK112" i="2"/>
  <c r="MJ112" i="2"/>
  <c r="MI112" i="2"/>
  <c r="MH112" i="2"/>
  <c r="MG112" i="2"/>
  <c r="MF112" i="2"/>
  <c r="ME112" i="2"/>
  <c r="MD112" i="2"/>
  <c r="MC112" i="2"/>
  <c r="MB112" i="2"/>
  <c r="MA112" i="2"/>
  <c r="LZ112" i="2"/>
  <c r="LY112" i="2"/>
  <c r="LX112" i="2"/>
  <c r="LW112" i="2"/>
  <c r="LV112" i="2"/>
  <c r="LU112" i="2"/>
  <c r="LT112" i="2"/>
  <c r="LS112" i="2"/>
  <c r="LR112" i="2"/>
  <c r="LQ112" i="2"/>
  <c r="LP112" i="2"/>
  <c r="LO112" i="2"/>
  <c r="LN112" i="2"/>
  <c r="LM112" i="2"/>
  <c r="LL112" i="2"/>
  <c r="LK112" i="2"/>
  <c r="LJ112" i="2"/>
  <c r="LI112" i="2"/>
  <c r="LH112" i="2"/>
  <c r="LG112" i="2"/>
  <c r="LF112" i="2"/>
  <c r="LE112" i="2"/>
  <c r="LD112" i="2"/>
  <c r="LC112" i="2"/>
  <c r="LB112" i="2"/>
  <c r="LA112" i="2"/>
  <c r="KZ112" i="2"/>
  <c r="KY112" i="2"/>
  <c r="KX112" i="2"/>
  <c r="KW112" i="2"/>
  <c r="KV112" i="2"/>
  <c r="KU112" i="2"/>
  <c r="KT112" i="2"/>
  <c r="KS112" i="2"/>
  <c r="KR112" i="2"/>
  <c r="KQ112" i="2"/>
  <c r="KP112" i="2"/>
  <c r="KO112" i="2"/>
  <c r="KN112" i="2"/>
  <c r="KM112" i="2"/>
  <c r="KL112" i="2"/>
  <c r="KK112" i="2"/>
  <c r="KJ112" i="2"/>
  <c r="KI112" i="2"/>
  <c r="KH112" i="2"/>
  <c r="KG112" i="2"/>
  <c r="KF112" i="2"/>
  <c r="KE112" i="2"/>
  <c r="KD112" i="2"/>
  <c r="KC112" i="2"/>
  <c r="KB112" i="2"/>
  <c r="KA112" i="2"/>
  <c r="JZ112" i="2"/>
  <c r="JY112" i="2"/>
  <c r="JX112" i="2"/>
  <c r="JW112" i="2"/>
  <c r="JV112" i="2"/>
  <c r="JU112" i="2"/>
  <c r="JT112" i="2"/>
  <c r="JS112" i="2"/>
  <c r="JR112" i="2"/>
  <c r="JQ112" i="2"/>
  <c r="JP112" i="2"/>
  <c r="JO112" i="2"/>
  <c r="JN112" i="2"/>
  <c r="JM112" i="2"/>
  <c r="JL112" i="2"/>
  <c r="JK112" i="2"/>
  <c r="JJ112" i="2"/>
  <c r="JI112" i="2"/>
  <c r="JH112" i="2"/>
  <c r="JG112" i="2"/>
  <c r="JF112" i="2"/>
  <c r="JE112" i="2"/>
  <c r="JD112" i="2"/>
  <c r="JC112" i="2"/>
  <c r="JB112" i="2"/>
  <c r="JA112" i="2"/>
  <c r="IZ112" i="2"/>
  <c r="IY112" i="2"/>
  <c r="IX112" i="2"/>
  <c r="IW112" i="2"/>
  <c r="IV112" i="2"/>
  <c r="IU112" i="2"/>
  <c r="IT112" i="2"/>
  <c r="IS112" i="2"/>
  <c r="IR112" i="2"/>
  <c r="IQ112" i="2"/>
  <c r="IP112" i="2"/>
  <c r="IO112" i="2"/>
  <c r="IN112" i="2"/>
  <c r="IM112" i="2"/>
  <c r="IL112" i="2"/>
  <c r="IK112" i="2"/>
  <c r="IJ112" i="2"/>
  <c r="II112" i="2"/>
  <c r="IH112" i="2"/>
  <c r="IG112" i="2"/>
  <c r="IF112" i="2"/>
  <c r="IE112" i="2"/>
  <c r="ID112" i="2"/>
  <c r="IC112" i="2"/>
  <c r="IB112" i="2"/>
  <c r="IA112" i="2"/>
  <c r="HZ112" i="2"/>
  <c r="HY112" i="2"/>
  <c r="HX112" i="2"/>
  <c r="HW112" i="2"/>
  <c r="HV112" i="2"/>
  <c r="HU112" i="2"/>
  <c r="HT112" i="2"/>
  <c r="HS112" i="2"/>
  <c r="HR112" i="2"/>
  <c r="HQ112" i="2"/>
  <c r="HP112" i="2"/>
  <c r="HO112" i="2"/>
  <c r="HN112" i="2"/>
  <c r="HM112" i="2"/>
  <c r="HL112" i="2"/>
  <c r="HK112" i="2"/>
  <c r="HJ112" i="2"/>
  <c r="HI112" i="2"/>
  <c r="HH112" i="2"/>
  <c r="HG112" i="2"/>
  <c r="HF112" i="2"/>
  <c r="HE112" i="2"/>
  <c r="HD112" i="2"/>
  <c r="HC112" i="2"/>
  <c r="HB112" i="2"/>
  <c r="HA112" i="2"/>
  <c r="GZ112" i="2"/>
  <c r="GY112" i="2"/>
  <c r="GX112" i="2"/>
  <c r="GW112" i="2"/>
  <c r="GV112" i="2"/>
  <c r="GU112" i="2"/>
  <c r="GT112" i="2"/>
  <c r="GS112" i="2"/>
  <c r="GR112" i="2"/>
  <c r="GQ112" i="2"/>
  <c r="GP112" i="2"/>
  <c r="GO112" i="2"/>
  <c r="GN112" i="2"/>
  <c r="GM112" i="2"/>
  <c r="GL112" i="2"/>
  <c r="GK112" i="2"/>
  <c r="GJ112" i="2"/>
  <c r="GI112" i="2"/>
  <c r="GH112" i="2"/>
  <c r="GG112" i="2"/>
  <c r="GF112" i="2"/>
  <c r="GE112" i="2"/>
  <c r="GD112" i="2"/>
  <c r="GC112" i="2"/>
  <c r="GB112" i="2"/>
  <c r="GA112" i="2"/>
  <c r="FZ112" i="2"/>
  <c r="FY112" i="2"/>
  <c r="FX112" i="2"/>
  <c r="FW112" i="2"/>
  <c r="FV112" i="2"/>
  <c r="FU112" i="2"/>
  <c r="FT112" i="2"/>
  <c r="FS112" i="2"/>
  <c r="FR112" i="2"/>
  <c r="FQ112" i="2"/>
  <c r="FP112" i="2"/>
  <c r="FO112" i="2"/>
  <c r="FN112" i="2"/>
  <c r="FM112" i="2"/>
  <c r="FL112" i="2"/>
  <c r="FK112" i="2"/>
  <c r="FJ112" i="2"/>
  <c r="FI112" i="2"/>
  <c r="FH112" i="2"/>
  <c r="FG112" i="2"/>
  <c r="FF112" i="2"/>
  <c r="FE112" i="2"/>
  <c r="FD112" i="2"/>
  <c r="FC112" i="2"/>
  <c r="FB112" i="2"/>
  <c r="FA112" i="2"/>
  <c r="EZ112" i="2"/>
  <c r="EY112" i="2"/>
  <c r="EX112" i="2"/>
  <c r="EW112" i="2"/>
  <c r="EV112" i="2"/>
  <c r="EU112" i="2"/>
  <c r="ET112" i="2"/>
  <c r="ES112" i="2"/>
  <c r="ER112" i="2"/>
  <c r="EQ112" i="2"/>
  <c r="EP112" i="2"/>
  <c r="EO112" i="2"/>
  <c r="EN112" i="2"/>
  <c r="EM112" i="2"/>
  <c r="EL112" i="2"/>
  <c r="EK112" i="2"/>
  <c r="EJ112" i="2"/>
  <c r="EI112" i="2"/>
  <c r="EH112" i="2"/>
  <c r="EG112" i="2"/>
  <c r="EF112" i="2"/>
  <c r="EE112" i="2"/>
  <c r="ED112" i="2"/>
  <c r="EC112" i="2"/>
  <c r="EB112" i="2"/>
  <c r="EA112" i="2"/>
  <c r="DZ112" i="2"/>
  <c r="DY112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DG112" i="2"/>
  <c r="DF112" i="2"/>
  <c r="DE112" i="2"/>
  <c r="DD112" i="2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PI111" i="2"/>
  <c r="PH111" i="2"/>
  <c r="PG111" i="2"/>
  <c r="PF111" i="2"/>
  <c r="PE111" i="2"/>
  <c r="PD111" i="2"/>
  <c r="PC111" i="2"/>
  <c r="PB111" i="2"/>
  <c r="PA111" i="2"/>
  <c r="OZ111" i="2"/>
  <c r="OY111" i="2"/>
  <c r="OX111" i="2"/>
  <c r="OW111" i="2"/>
  <c r="OV111" i="2"/>
  <c r="OU111" i="2"/>
  <c r="OT111" i="2"/>
  <c r="OS111" i="2"/>
  <c r="OR111" i="2"/>
  <c r="OQ111" i="2"/>
  <c r="OP111" i="2"/>
  <c r="OO111" i="2"/>
  <c r="ON111" i="2"/>
  <c r="OM111" i="2"/>
  <c r="OL111" i="2"/>
  <c r="OK111" i="2"/>
  <c r="OJ111" i="2"/>
  <c r="OI111" i="2"/>
  <c r="OH111" i="2"/>
  <c r="OG111" i="2"/>
  <c r="OF111" i="2"/>
  <c r="OE111" i="2"/>
  <c r="OD111" i="2"/>
  <c r="OC111" i="2"/>
  <c r="OB111" i="2"/>
  <c r="OA111" i="2"/>
  <c r="NZ111" i="2"/>
  <c r="NY111" i="2"/>
  <c r="NX111" i="2"/>
  <c r="NW111" i="2"/>
  <c r="NV111" i="2"/>
  <c r="NU111" i="2"/>
  <c r="NT111" i="2"/>
  <c r="NS111" i="2"/>
  <c r="NR111" i="2"/>
  <c r="NQ111" i="2"/>
  <c r="NP111" i="2"/>
  <c r="NO111" i="2"/>
  <c r="NN111" i="2"/>
  <c r="NM111" i="2"/>
  <c r="NL111" i="2"/>
  <c r="NK111" i="2"/>
  <c r="NJ111" i="2"/>
  <c r="NI111" i="2"/>
  <c r="NH111" i="2"/>
  <c r="NG111" i="2"/>
  <c r="NF111" i="2"/>
  <c r="NE111" i="2"/>
  <c r="ND111" i="2"/>
  <c r="NC111" i="2"/>
  <c r="NB111" i="2"/>
  <c r="NA111" i="2"/>
  <c r="MZ111" i="2"/>
  <c r="MY111" i="2"/>
  <c r="MX111" i="2"/>
  <c r="MW111" i="2"/>
  <c r="MV111" i="2"/>
  <c r="MU111" i="2"/>
  <c r="MT111" i="2"/>
  <c r="MS111" i="2"/>
  <c r="MR111" i="2"/>
  <c r="MQ111" i="2"/>
  <c r="MP111" i="2"/>
  <c r="MO111" i="2"/>
  <c r="MN111" i="2"/>
  <c r="MM111" i="2"/>
  <c r="ML111" i="2"/>
  <c r="MK111" i="2"/>
  <c r="MJ111" i="2"/>
  <c r="MI111" i="2"/>
  <c r="MH111" i="2"/>
  <c r="MG111" i="2"/>
  <c r="MF111" i="2"/>
  <c r="ME111" i="2"/>
  <c r="MD111" i="2"/>
  <c r="MC111" i="2"/>
  <c r="MB111" i="2"/>
  <c r="MA111" i="2"/>
  <c r="LZ111" i="2"/>
  <c r="LY111" i="2"/>
  <c r="LX111" i="2"/>
  <c r="LW111" i="2"/>
  <c r="LV111" i="2"/>
  <c r="LU111" i="2"/>
  <c r="LT111" i="2"/>
  <c r="LS111" i="2"/>
  <c r="LR111" i="2"/>
  <c r="LQ111" i="2"/>
  <c r="LP111" i="2"/>
  <c r="LO111" i="2"/>
  <c r="LN111" i="2"/>
  <c r="LM111" i="2"/>
  <c r="LL111" i="2"/>
  <c r="LK111" i="2"/>
  <c r="LJ111" i="2"/>
  <c r="LI111" i="2"/>
  <c r="LH111" i="2"/>
  <c r="LG111" i="2"/>
  <c r="LF111" i="2"/>
  <c r="LE111" i="2"/>
  <c r="LD111" i="2"/>
  <c r="LC111" i="2"/>
  <c r="LB111" i="2"/>
  <c r="LA111" i="2"/>
  <c r="KZ111" i="2"/>
  <c r="KY111" i="2"/>
  <c r="KX111" i="2"/>
  <c r="KW111" i="2"/>
  <c r="KV111" i="2"/>
  <c r="KU111" i="2"/>
  <c r="KT111" i="2"/>
  <c r="KS111" i="2"/>
  <c r="KR111" i="2"/>
  <c r="KQ111" i="2"/>
  <c r="KP111" i="2"/>
  <c r="KO111" i="2"/>
  <c r="KN111" i="2"/>
  <c r="KM111" i="2"/>
  <c r="KL111" i="2"/>
  <c r="KK111" i="2"/>
  <c r="KJ111" i="2"/>
  <c r="KI111" i="2"/>
  <c r="KH111" i="2"/>
  <c r="KG111" i="2"/>
  <c r="KF111" i="2"/>
  <c r="KE111" i="2"/>
  <c r="KD111" i="2"/>
  <c r="KC111" i="2"/>
  <c r="KB111" i="2"/>
  <c r="KA111" i="2"/>
  <c r="JZ111" i="2"/>
  <c r="JY111" i="2"/>
  <c r="JX111" i="2"/>
  <c r="JW111" i="2"/>
  <c r="JV111" i="2"/>
  <c r="JU111" i="2"/>
  <c r="JT111" i="2"/>
  <c r="JS111" i="2"/>
  <c r="JR111" i="2"/>
  <c r="JQ111" i="2"/>
  <c r="JP111" i="2"/>
  <c r="JO111" i="2"/>
  <c r="JN111" i="2"/>
  <c r="JM111" i="2"/>
  <c r="JL111" i="2"/>
  <c r="JK111" i="2"/>
  <c r="JJ111" i="2"/>
  <c r="JI111" i="2"/>
  <c r="JH111" i="2"/>
  <c r="JG111" i="2"/>
  <c r="JF111" i="2"/>
  <c r="JE111" i="2"/>
  <c r="JD111" i="2"/>
  <c r="JC111" i="2"/>
  <c r="JB111" i="2"/>
  <c r="JA111" i="2"/>
  <c r="IZ111" i="2"/>
  <c r="IY111" i="2"/>
  <c r="IX111" i="2"/>
  <c r="IW111" i="2"/>
  <c r="IV111" i="2"/>
  <c r="IU111" i="2"/>
  <c r="IT111" i="2"/>
  <c r="IS111" i="2"/>
  <c r="IR111" i="2"/>
  <c r="IQ111" i="2"/>
  <c r="IP111" i="2"/>
  <c r="IO111" i="2"/>
  <c r="IN111" i="2"/>
  <c r="IM111" i="2"/>
  <c r="IL111" i="2"/>
  <c r="IK111" i="2"/>
  <c r="IJ111" i="2"/>
  <c r="II111" i="2"/>
  <c r="IH111" i="2"/>
  <c r="IG111" i="2"/>
  <c r="IF111" i="2"/>
  <c r="IE111" i="2"/>
  <c r="ID111" i="2"/>
  <c r="IC111" i="2"/>
  <c r="IB111" i="2"/>
  <c r="IA111" i="2"/>
  <c r="HZ111" i="2"/>
  <c r="HY111" i="2"/>
  <c r="HX111" i="2"/>
  <c r="HW111" i="2"/>
  <c r="HV111" i="2"/>
  <c r="HU111" i="2"/>
  <c r="HT111" i="2"/>
  <c r="HS111" i="2"/>
  <c r="HR111" i="2"/>
  <c r="HQ111" i="2"/>
  <c r="HP111" i="2"/>
  <c r="HO111" i="2"/>
  <c r="HN111" i="2"/>
  <c r="HM111" i="2"/>
  <c r="HL111" i="2"/>
  <c r="HK111" i="2"/>
  <c r="HJ111" i="2"/>
  <c r="HI111" i="2"/>
  <c r="HH111" i="2"/>
  <c r="HG111" i="2"/>
  <c r="HF111" i="2"/>
  <c r="HE111" i="2"/>
  <c r="HD111" i="2"/>
  <c r="HC111" i="2"/>
  <c r="HB111" i="2"/>
  <c r="HA111" i="2"/>
  <c r="GZ111" i="2"/>
  <c r="GY111" i="2"/>
  <c r="GX111" i="2"/>
  <c r="GW111" i="2"/>
  <c r="GV111" i="2"/>
  <c r="GU111" i="2"/>
  <c r="GT111" i="2"/>
  <c r="GS111" i="2"/>
  <c r="GR111" i="2"/>
  <c r="GQ111" i="2"/>
  <c r="GP111" i="2"/>
  <c r="GO111" i="2"/>
  <c r="GN111" i="2"/>
  <c r="GM111" i="2"/>
  <c r="GL111" i="2"/>
  <c r="GK111" i="2"/>
  <c r="GJ111" i="2"/>
  <c r="GI111" i="2"/>
  <c r="GH111" i="2"/>
  <c r="GG111" i="2"/>
  <c r="GF111" i="2"/>
  <c r="GE111" i="2"/>
  <c r="GD111" i="2"/>
  <c r="GC111" i="2"/>
  <c r="GB111" i="2"/>
  <c r="GA111" i="2"/>
  <c r="FZ111" i="2"/>
  <c r="FY111" i="2"/>
  <c r="FX111" i="2"/>
  <c r="FW111" i="2"/>
  <c r="FV111" i="2"/>
  <c r="FU111" i="2"/>
  <c r="FT111" i="2"/>
  <c r="FS111" i="2"/>
  <c r="FR111" i="2"/>
  <c r="FQ111" i="2"/>
  <c r="FP111" i="2"/>
  <c r="FO111" i="2"/>
  <c r="FN111" i="2"/>
  <c r="FM111" i="2"/>
  <c r="FL111" i="2"/>
  <c r="FK111" i="2"/>
  <c r="FJ111" i="2"/>
  <c r="FI111" i="2"/>
  <c r="FH111" i="2"/>
  <c r="FG111" i="2"/>
  <c r="FF111" i="2"/>
  <c r="FE111" i="2"/>
  <c r="FD111" i="2"/>
  <c r="FC111" i="2"/>
  <c r="FB111" i="2"/>
  <c r="FA111" i="2"/>
  <c r="EZ111" i="2"/>
  <c r="EY111" i="2"/>
  <c r="EX111" i="2"/>
  <c r="EW111" i="2"/>
  <c r="EV111" i="2"/>
  <c r="EU111" i="2"/>
  <c r="ET111" i="2"/>
  <c r="ES111" i="2"/>
  <c r="ER111" i="2"/>
  <c r="EQ111" i="2"/>
  <c r="EP111" i="2"/>
  <c r="EO111" i="2"/>
  <c r="EN111" i="2"/>
  <c r="EM111" i="2"/>
  <c r="EL111" i="2"/>
  <c r="EK111" i="2"/>
  <c r="EJ111" i="2"/>
  <c r="EI111" i="2"/>
  <c r="EH111" i="2"/>
  <c r="EG111" i="2"/>
  <c r="EF111" i="2"/>
  <c r="EE111" i="2"/>
  <c r="ED111" i="2"/>
  <c r="EC111" i="2"/>
  <c r="EB111" i="2"/>
  <c r="EA111" i="2"/>
  <c r="DZ111" i="2"/>
  <c r="DY111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PI110" i="2"/>
  <c r="PH110" i="2"/>
  <c r="PG110" i="2"/>
  <c r="PF110" i="2"/>
  <c r="PE110" i="2"/>
  <c r="PD110" i="2"/>
  <c r="PC110" i="2"/>
  <c r="PB110" i="2"/>
  <c r="PA110" i="2"/>
  <c r="OZ110" i="2"/>
  <c r="OY110" i="2"/>
  <c r="OX110" i="2"/>
  <c r="OW110" i="2"/>
  <c r="OV110" i="2"/>
  <c r="OU110" i="2"/>
  <c r="OT110" i="2"/>
  <c r="OS110" i="2"/>
  <c r="OR110" i="2"/>
  <c r="OQ110" i="2"/>
  <c r="OP110" i="2"/>
  <c r="OO110" i="2"/>
  <c r="ON110" i="2"/>
  <c r="OM110" i="2"/>
  <c r="OL110" i="2"/>
  <c r="OK110" i="2"/>
  <c r="OJ110" i="2"/>
  <c r="OI110" i="2"/>
  <c r="OH110" i="2"/>
  <c r="OG110" i="2"/>
  <c r="OF110" i="2"/>
  <c r="OE110" i="2"/>
  <c r="OD110" i="2"/>
  <c r="OC110" i="2"/>
  <c r="OB110" i="2"/>
  <c r="OA110" i="2"/>
  <c r="NZ110" i="2"/>
  <c r="NY110" i="2"/>
  <c r="NX110" i="2"/>
  <c r="NW110" i="2"/>
  <c r="NV110" i="2"/>
  <c r="NU110" i="2"/>
  <c r="NT110" i="2"/>
  <c r="NS110" i="2"/>
  <c r="NR110" i="2"/>
  <c r="NQ110" i="2"/>
  <c r="NP110" i="2"/>
  <c r="NO110" i="2"/>
  <c r="NN110" i="2"/>
  <c r="NM110" i="2"/>
  <c r="NL110" i="2"/>
  <c r="NK110" i="2"/>
  <c r="NJ110" i="2"/>
  <c r="NI110" i="2"/>
  <c r="NH110" i="2"/>
  <c r="NG110" i="2"/>
  <c r="NF110" i="2"/>
  <c r="NE110" i="2"/>
  <c r="ND110" i="2"/>
  <c r="NC110" i="2"/>
  <c r="NB110" i="2"/>
  <c r="NA110" i="2"/>
  <c r="MZ110" i="2"/>
  <c r="MY110" i="2"/>
  <c r="MX110" i="2"/>
  <c r="MW110" i="2"/>
  <c r="MV110" i="2"/>
  <c r="MU110" i="2"/>
  <c r="MT110" i="2"/>
  <c r="MS110" i="2"/>
  <c r="MR110" i="2"/>
  <c r="MQ110" i="2"/>
  <c r="MP110" i="2"/>
  <c r="MO110" i="2"/>
  <c r="MN110" i="2"/>
  <c r="MM110" i="2"/>
  <c r="ML110" i="2"/>
  <c r="MK110" i="2"/>
  <c r="MJ110" i="2"/>
  <c r="MI110" i="2"/>
  <c r="MH110" i="2"/>
  <c r="MG110" i="2"/>
  <c r="MF110" i="2"/>
  <c r="ME110" i="2"/>
  <c r="MD110" i="2"/>
  <c r="MC110" i="2"/>
  <c r="MB110" i="2"/>
  <c r="MA110" i="2"/>
  <c r="LZ110" i="2"/>
  <c r="LY110" i="2"/>
  <c r="LX110" i="2"/>
  <c r="LW110" i="2"/>
  <c r="LV110" i="2"/>
  <c r="LU110" i="2"/>
  <c r="LT110" i="2"/>
  <c r="LS110" i="2"/>
  <c r="LR110" i="2"/>
  <c r="LQ110" i="2"/>
  <c r="LP110" i="2"/>
  <c r="LO110" i="2"/>
  <c r="LN110" i="2"/>
  <c r="LM110" i="2"/>
  <c r="LL110" i="2"/>
  <c r="LK110" i="2"/>
  <c r="LJ110" i="2"/>
  <c r="LI110" i="2"/>
  <c r="LH110" i="2"/>
  <c r="LG110" i="2"/>
  <c r="LF110" i="2"/>
  <c r="LE110" i="2"/>
  <c r="LD110" i="2"/>
  <c r="LC110" i="2"/>
  <c r="LB110" i="2"/>
  <c r="LA110" i="2"/>
  <c r="KZ110" i="2"/>
  <c r="KY110" i="2"/>
  <c r="KX110" i="2"/>
  <c r="KW110" i="2"/>
  <c r="KV110" i="2"/>
  <c r="KU110" i="2"/>
  <c r="KT110" i="2"/>
  <c r="KS110" i="2"/>
  <c r="KR110" i="2"/>
  <c r="KQ110" i="2"/>
  <c r="KP110" i="2"/>
  <c r="KO110" i="2"/>
  <c r="KN110" i="2"/>
  <c r="KM110" i="2"/>
  <c r="KL110" i="2"/>
  <c r="KK110" i="2"/>
  <c r="KJ110" i="2"/>
  <c r="KI110" i="2"/>
  <c r="KH110" i="2"/>
  <c r="KG110" i="2"/>
  <c r="KF110" i="2"/>
  <c r="KE110" i="2"/>
  <c r="KD110" i="2"/>
  <c r="KC110" i="2"/>
  <c r="KB110" i="2"/>
  <c r="KA110" i="2"/>
  <c r="JZ110" i="2"/>
  <c r="JY110" i="2"/>
  <c r="JX110" i="2"/>
  <c r="JW110" i="2"/>
  <c r="JV110" i="2"/>
  <c r="JU110" i="2"/>
  <c r="JT110" i="2"/>
  <c r="JS110" i="2"/>
  <c r="JR110" i="2"/>
  <c r="JQ110" i="2"/>
  <c r="JP110" i="2"/>
  <c r="JO110" i="2"/>
  <c r="JN110" i="2"/>
  <c r="JM110" i="2"/>
  <c r="JL110" i="2"/>
  <c r="JK110" i="2"/>
  <c r="JJ110" i="2"/>
  <c r="JI110" i="2"/>
  <c r="JH110" i="2"/>
  <c r="JG110" i="2"/>
  <c r="JF110" i="2"/>
  <c r="JE110" i="2"/>
  <c r="JD110" i="2"/>
  <c r="JC110" i="2"/>
  <c r="JB110" i="2"/>
  <c r="JA110" i="2"/>
  <c r="IZ110" i="2"/>
  <c r="IY110" i="2"/>
  <c r="IX110" i="2"/>
  <c r="IW110" i="2"/>
  <c r="IV110" i="2"/>
  <c r="IU110" i="2"/>
  <c r="IT110" i="2"/>
  <c r="IS110" i="2"/>
  <c r="IR110" i="2"/>
  <c r="IQ110" i="2"/>
  <c r="IP110" i="2"/>
  <c r="IO110" i="2"/>
  <c r="IN110" i="2"/>
  <c r="IM110" i="2"/>
  <c r="IL110" i="2"/>
  <c r="IK110" i="2"/>
  <c r="IJ110" i="2"/>
  <c r="II110" i="2"/>
  <c r="IH110" i="2"/>
  <c r="IG110" i="2"/>
  <c r="IF110" i="2"/>
  <c r="IE110" i="2"/>
  <c r="ID110" i="2"/>
  <c r="IC110" i="2"/>
  <c r="IB110" i="2"/>
  <c r="IA110" i="2"/>
  <c r="HZ110" i="2"/>
  <c r="HY110" i="2"/>
  <c r="HX110" i="2"/>
  <c r="HW110" i="2"/>
  <c r="HV110" i="2"/>
  <c r="HU110" i="2"/>
  <c r="HT110" i="2"/>
  <c r="HS110" i="2"/>
  <c r="HR110" i="2"/>
  <c r="HQ110" i="2"/>
  <c r="HP110" i="2"/>
  <c r="HO110" i="2"/>
  <c r="HN110" i="2"/>
  <c r="HM110" i="2"/>
  <c r="HL110" i="2"/>
  <c r="HK110" i="2"/>
  <c r="HJ110" i="2"/>
  <c r="HI110" i="2"/>
  <c r="HH110" i="2"/>
  <c r="HG110" i="2"/>
  <c r="HF110" i="2"/>
  <c r="HE110" i="2"/>
  <c r="HD110" i="2"/>
  <c r="HC110" i="2"/>
  <c r="HB110" i="2"/>
  <c r="HA110" i="2"/>
  <c r="GZ110" i="2"/>
  <c r="GY110" i="2"/>
  <c r="GX110" i="2"/>
  <c r="GW110" i="2"/>
  <c r="GV110" i="2"/>
  <c r="GU110" i="2"/>
  <c r="GT110" i="2"/>
  <c r="GS110" i="2"/>
  <c r="GR110" i="2"/>
  <c r="GQ110" i="2"/>
  <c r="GP110" i="2"/>
  <c r="GO110" i="2"/>
  <c r="GN110" i="2"/>
  <c r="GM110" i="2"/>
  <c r="GL110" i="2"/>
  <c r="GK110" i="2"/>
  <c r="GJ110" i="2"/>
  <c r="GI110" i="2"/>
  <c r="GH110" i="2"/>
  <c r="GG110" i="2"/>
  <c r="GF110" i="2"/>
  <c r="GE110" i="2"/>
  <c r="GD110" i="2"/>
  <c r="GC110" i="2"/>
  <c r="GB110" i="2"/>
  <c r="GA110" i="2"/>
  <c r="FZ110" i="2"/>
  <c r="FY110" i="2"/>
  <c r="FX110" i="2"/>
  <c r="FW110" i="2"/>
  <c r="FV110" i="2"/>
  <c r="FU110" i="2"/>
  <c r="FT110" i="2"/>
  <c r="FS110" i="2"/>
  <c r="FR110" i="2"/>
  <c r="FQ110" i="2"/>
  <c r="FP110" i="2"/>
  <c r="FO110" i="2"/>
  <c r="FN110" i="2"/>
  <c r="FM110" i="2"/>
  <c r="FL110" i="2"/>
  <c r="FK110" i="2"/>
  <c r="FJ110" i="2"/>
  <c r="FI110" i="2"/>
  <c r="FH110" i="2"/>
  <c r="FG110" i="2"/>
  <c r="FF110" i="2"/>
  <c r="FE110" i="2"/>
  <c r="FD110" i="2"/>
  <c r="FC110" i="2"/>
  <c r="FB110" i="2"/>
  <c r="FA110" i="2"/>
  <c r="EZ110" i="2"/>
  <c r="EY110" i="2"/>
  <c r="EX110" i="2"/>
  <c r="EW110" i="2"/>
  <c r="EV110" i="2"/>
  <c r="EU110" i="2"/>
  <c r="ET110" i="2"/>
  <c r="ES110" i="2"/>
  <c r="ER110" i="2"/>
  <c r="EQ110" i="2"/>
  <c r="EP110" i="2"/>
  <c r="EO110" i="2"/>
  <c r="EN110" i="2"/>
  <c r="EM110" i="2"/>
  <c r="EL110" i="2"/>
  <c r="EK110" i="2"/>
  <c r="EJ110" i="2"/>
  <c r="EI110" i="2"/>
  <c r="EH110" i="2"/>
  <c r="EG110" i="2"/>
  <c r="EF110" i="2"/>
  <c r="EE110" i="2"/>
  <c r="ED110" i="2"/>
  <c r="EC110" i="2"/>
  <c r="EB110" i="2"/>
  <c r="EA110" i="2"/>
  <c r="DZ110" i="2"/>
  <c r="DY110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PI109" i="2"/>
  <c r="PH109" i="2"/>
  <c r="PG109" i="2"/>
  <c r="PF109" i="2"/>
  <c r="PE109" i="2"/>
  <c r="PD109" i="2"/>
  <c r="PC109" i="2"/>
  <c r="PB109" i="2"/>
  <c r="PA109" i="2"/>
  <c r="OZ109" i="2"/>
  <c r="OY109" i="2"/>
  <c r="OX109" i="2"/>
  <c r="OW109" i="2"/>
  <c r="OV109" i="2"/>
  <c r="OU109" i="2"/>
  <c r="OT109" i="2"/>
  <c r="OS109" i="2"/>
  <c r="OR109" i="2"/>
  <c r="OQ109" i="2"/>
  <c r="OP109" i="2"/>
  <c r="OO109" i="2"/>
  <c r="ON109" i="2"/>
  <c r="OM109" i="2"/>
  <c r="OL109" i="2"/>
  <c r="OK109" i="2"/>
  <c r="OJ109" i="2"/>
  <c r="OI109" i="2"/>
  <c r="OH109" i="2"/>
  <c r="OG109" i="2"/>
  <c r="OF109" i="2"/>
  <c r="OE109" i="2"/>
  <c r="OD109" i="2"/>
  <c r="OC109" i="2"/>
  <c r="OB109" i="2"/>
  <c r="OA109" i="2"/>
  <c r="NZ109" i="2"/>
  <c r="NY109" i="2"/>
  <c r="NX109" i="2"/>
  <c r="NW109" i="2"/>
  <c r="NV109" i="2"/>
  <c r="NU109" i="2"/>
  <c r="NT109" i="2"/>
  <c r="NS109" i="2"/>
  <c r="NR109" i="2"/>
  <c r="NQ109" i="2"/>
  <c r="NP109" i="2"/>
  <c r="NO109" i="2"/>
  <c r="NN109" i="2"/>
  <c r="NM109" i="2"/>
  <c r="NL109" i="2"/>
  <c r="NK109" i="2"/>
  <c r="NJ109" i="2"/>
  <c r="NI109" i="2"/>
  <c r="NH109" i="2"/>
  <c r="NG109" i="2"/>
  <c r="NF109" i="2"/>
  <c r="NE109" i="2"/>
  <c r="ND109" i="2"/>
  <c r="NC109" i="2"/>
  <c r="NB109" i="2"/>
  <c r="NA109" i="2"/>
  <c r="MZ109" i="2"/>
  <c r="MY109" i="2"/>
  <c r="MX109" i="2"/>
  <c r="MW109" i="2"/>
  <c r="MV109" i="2"/>
  <c r="MU109" i="2"/>
  <c r="MT109" i="2"/>
  <c r="MS109" i="2"/>
  <c r="MR109" i="2"/>
  <c r="MQ109" i="2"/>
  <c r="MP109" i="2"/>
  <c r="MO109" i="2"/>
  <c r="MN109" i="2"/>
  <c r="MM109" i="2"/>
  <c r="ML109" i="2"/>
  <c r="MK109" i="2"/>
  <c r="MJ109" i="2"/>
  <c r="MI109" i="2"/>
  <c r="MH109" i="2"/>
  <c r="MG109" i="2"/>
  <c r="MF109" i="2"/>
  <c r="ME109" i="2"/>
  <c r="MD109" i="2"/>
  <c r="MC109" i="2"/>
  <c r="MB109" i="2"/>
  <c r="MA109" i="2"/>
  <c r="LZ109" i="2"/>
  <c r="LY109" i="2"/>
  <c r="LX109" i="2"/>
  <c r="LW109" i="2"/>
  <c r="LV109" i="2"/>
  <c r="LU109" i="2"/>
  <c r="LT109" i="2"/>
  <c r="LS109" i="2"/>
  <c r="LR109" i="2"/>
  <c r="LQ109" i="2"/>
  <c r="LP109" i="2"/>
  <c r="LO109" i="2"/>
  <c r="LN109" i="2"/>
  <c r="LM109" i="2"/>
  <c r="LL109" i="2"/>
  <c r="LK109" i="2"/>
  <c r="LJ109" i="2"/>
  <c r="LI109" i="2"/>
  <c r="LH109" i="2"/>
  <c r="LG109" i="2"/>
  <c r="LF109" i="2"/>
  <c r="LE109" i="2"/>
  <c r="LD109" i="2"/>
  <c r="LC109" i="2"/>
  <c r="LB109" i="2"/>
  <c r="LA109" i="2"/>
  <c r="KZ109" i="2"/>
  <c r="KY109" i="2"/>
  <c r="KX109" i="2"/>
  <c r="KW109" i="2"/>
  <c r="KV109" i="2"/>
  <c r="KU109" i="2"/>
  <c r="KT109" i="2"/>
  <c r="KS109" i="2"/>
  <c r="KR109" i="2"/>
  <c r="KQ109" i="2"/>
  <c r="KP109" i="2"/>
  <c r="KO109" i="2"/>
  <c r="KN109" i="2"/>
  <c r="KM109" i="2"/>
  <c r="KL109" i="2"/>
  <c r="KK109" i="2"/>
  <c r="KJ109" i="2"/>
  <c r="KI109" i="2"/>
  <c r="KH109" i="2"/>
  <c r="KG109" i="2"/>
  <c r="KF109" i="2"/>
  <c r="KE109" i="2"/>
  <c r="KD109" i="2"/>
  <c r="KC109" i="2"/>
  <c r="KB109" i="2"/>
  <c r="KA109" i="2"/>
  <c r="JZ109" i="2"/>
  <c r="JY109" i="2"/>
  <c r="JX109" i="2"/>
  <c r="JW109" i="2"/>
  <c r="JV109" i="2"/>
  <c r="JU109" i="2"/>
  <c r="JT109" i="2"/>
  <c r="JS109" i="2"/>
  <c r="JR109" i="2"/>
  <c r="JQ109" i="2"/>
  <c r="JP109" i="2"/>
  <c r="JO109" i="2"/>
  <c r="JN109" i="2"/>
  <c r="JM109" i="2"/>
  <c r="JL109" i="2"/>
  <c r="JK109" i="2"/>
  <c r="JJ109" i="2"/>
  <c r="JI109" i="2"/>
  <c r="JH109" i="2"/>
  <c r="JG109" i="2"/>
  <c r="JF109" i="2"/>
  <c r="JE109" i="2"/>
  <c r="JD109" i="2"/>
  <c r="JC109" i="2"/>
  <c r="JB109" i="2"/>
  <c r="JA109" i="2"/>
  <c r="IZ109" i="2"/>
  <c r="IY109" i="2"/>
  <c r="IX109" i="2"/>
  <c r="IW109" i="2"/>
  <c r="IV109" i="2"/>
  <c r="IU109" i="2"/>
  <c r="IT109" i="2"/>
  <c r="IS109" i="2"/>
  <c r="IR109" i="2"/>
  <c r="IQ109" i="2"/>
  <c r="IP109" i="2"/>
  <c r="IO109" i="2"/>
  <c r="IN109" i="2"/>
  <c r="IM109" i="2"/>
  <c r="IL109" i="2"/>
  <c r="IK109" i="2"/>
  <c r="IJ109" i="2"/>
  <c r="II109" i="2"/>
  <c r="IH109" i="2"/>
  <c r="IG109" i="2"/>
  <c r="IF109" i="2"/>
  <c r="IE109" i="2"/>
  <c r="ID109" i="2"/>
  <c r="IC109" i="2"/>
  <c r="IB109" i="2"/>
  <c r="IA109" i="2"/>
  <c r="HZ109" i="2"/>
  <c r="HY109" i="2"/>
  <c r="HX109" i="2"/>
  <c r="HW109" i="2"/>
  <c r="HV109" i="2"/>
  <c r="HU109" i="2"/>
  <c r="HT109" i="2"/>
  <c r="HS109" i="2"/>
  <c r="HR109" i="2"/>
  <c r="HQ109" i="2"/>
  <c r="HP109" i="2"/>
  <c r="HO109" i="2"/>
  <c r="HN109" i="2"/>
  <c r="HM109" i="2"/>
  <c r="HL109" i="2"/>
  <c r="HK109" i="2"/>
  <c r="HJ109" i="2"/>
  <c r="HI109" i="2"/>
  <c r="HH109" i="2"/>
  <c r="HG109" i="2"/>
  <c r="HF109" i="2"/>
  <c r="HE109" i="2"/>
  <c r="HD109" i="2"/>
  <c r="HC109" i="2"/>
  <c r="HB109" i="2"/>
  <c r="HA109" i="2"/>
  <c r="GZ109" i="2"/>
  <c r="GY109" i="2"/>
  <c r="GX109" i="2"/>
  <c r="GW109" i="2"/>
  <c r="GV109" i="2"/>
  <c r="GU109" i="2"/>
  <c r="GT109" i="2"/>
  <c r="GS109" i="2"/>
  <c r="GR109" i="2"/>
  <c r="GQ109" i="2"/>
  <c r="GP109" i="2"/>
  <c r="GO109" i="2"/>
  <c r="GN109" i="2"/>
  <c r="GM109" i="2"/>
  <c r="GL109" i="2"/>
  <c r="GK109" i="2"/>
  <c r="GJ109" i="2"/>
  <c r="GI109" i="2"/>
  <c r="GH109" i="2"/>
  <c r="GG109" i="2"/>
  <c r="GF109" i="2"/>
  <c r="GE109" i="2"/>
  <c r="GD109" i="2"/>
  <c r="GC109" i="2"/>
  <c r="GB109" i="2"/>
  <c r="GA109" i="2"/>
  <c r="FZ109" i="2"/>
  <c r="FY109" i="2"/>
  <c r="FX109" i="2"/>
  <c r="FW109" i="2"/>
  <c r="FV109" i="2"/>
  <c r="FU109" i="2"/>
  <c r="FT109" i="2"/>
  <c r="FS109" i="2"/>
  <c r="FR109" i="2"/>
  <c r="FQ109" i="2"/>
  <c r="FP109" i="2"/>
  <c r="FO109" i="2"/>
  <c r="FN109" i="2"/>
  <c r="FM109" i="2"/>
  <c r="FL109" i="2"/>
  <c r="FK109" i="2"/>
  <c r="FJ109" i="2"/>
  <c r="FI109" i="2"/>
  <c r="FH109" i="2"/>
  <c r="FG109" i="2"/>
  <c r="FF109" i="2"/>
  <c r="FE109" i="2"/>
  <c r="FD109" i="2"/>
  <c r="FC109" i="2"/>
  <c r="FB109" i="2"/>
  <c r="FA109" i="2"/>
  <c r="EZ109" i="2"/>
  <c r="EY109" i="2"/>
  <c r="EX109" i="2"/>
  <c r="EW109" i="2"/>
  <c r="EV109" i="2"/>
  <c r="EU109" i="2"/>
  <c r="ET109" i="2"/>
  <c r="ES109" i="2"/>
  <c r="ER109" i="2"/>
  <c r="EQ109" i="2"/>
  <c r="EP109" i="2"/>
  <c r="EO109" i="2"/>
  <c r="EN109" i="2"/>
  <c r="EM109" i="2"/>
  <c r="EL109" i="2"/>
  <c r="EK109" i="2"/>
  <c r="EJ109" i="2"/>
  <c r="EI109" i="2"/>
  <c r="EH109" i="2"/>
  <c r="EG109" i="2"/>
  <c r="EF109" i="2"/>
  <c r="EE109" i="2"/>
  <c r="ED109" i="2"/>
  <c r="EC109" i="2"/>
  <c r="EB109" i="2"/>
  <c r="EA109" i="2"/>
  <c r="DZ109" i="2"/>
  <c r="DY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DG109" i="2"/>
  <c r="DF109" i="2"/>
  <c r="DE109" i="2"/>
  <c r="DD109" i="2"/>
  <c r="DC109" i="2"/>
  <c r="DB109" i="2"/>
  <c r="DA109" i="2"/>
  <c r="CZ109" i="2"/>
  <c r="CY109" i="2"/>
  <c r="CX109" i="2"/>
  <c r="CW109" i="2"/>
  <c r="CV109" i="2"/>
  <c r="CU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PI108" i="2"/>
  <c r="PH108" i="2"/>
  <c r="PG108" i="2"/>
  <c r="PF108" i="2"/>
  <c r="PE108" i="2"/>
  <c r="PD108" i="2"/>
  <c r="PC108" i="2"/>
  <c r="PB108" i="2"/>
  <c r="PA108" i="2"/>
  <c r="OZ108" i="2"/>
  <c r="OY108" i="2"/>
  <c r="OX108" i="2"/>
  <c r="OW108" i="2"/>
  <c r="OV108" i="2"/>
  <c r="OU108" i="2"/>
  <c r="OT108" i="2"/>
  <c r="OS108" i="2"/>
  <c r="OR108" i="2"/>
  <c r="OQ108" i="2"/>
  <c r="OP108" i="2"/>
  <c r="OO108" i="2"/>
  <c r="ON108" i="2"/>
  <c r="OM108" i="2"/>
  <c r="OL108" i="2"/>
  <c r="OK108" i="2"/>
  <c r="OJ108" i="2"/>
  <c r="OI108" i="2"/>
  <c r="OH108" i="2"/>
  <c r="OG108" i="2"/>
  <c r="OF108" i="2"/>
  <c r="OE108" i="2"/>
  <c r="OD108" i="2"/>
  <c r="OC108" i="2"/>
  <c r="OB108" i="2"/>
  <c r="OA108" i="2"/>
  <c r="NZ108" i="2"/>
  <c r="NY108" i="2"/>
  <c r="NX108" i="2"/>
  <c r="NW108" i="2"/>
  <c r="NV108" i="2"/>
  <c r="NU108" i="2"/>
  <c r="NT108" i="2"/>
  <c r="NS108" i="2"/>
  <c r="NR108" i="2"/>
  <c r="NQ108" i="2"/>
  <c r="NP108" i="2"/>
  <c r="NO108" i="2"/>
  <c r="NN108" i="2"/>
  <c r="NM108" i="2"/>
  <c r="NL108" i="2"/>
  <c r="NK108" i="2"/>
  <c r="NJ108" i="2"/>
  <c r="NI108" i="2"/>
  <c r="NH108" i="2"/>
  <c r="NG108" i="2"/>
  <c r="NF108" i="2"/>
  <c r="NE108" i="2"/>
  <c r="ND108" i="2"/>
  <c r="NC108" i="2"/>
  <c r="NB108" i="2"/>
  <c r="NA108" i="2"/>
  <c r="MZ108" i="2"/>
  <c r="MY108" i="2"/>
  <c r="MX108" i="2"/>
  <c r="MW108" i="2"/>
  <c r="MV108" i="2"/>
  <c r="MU108" i="2"/>
  <c r="MT108" i="2"/>
  <c r="MS108" i="2"/>
  <c r="MR108" i="2"/>
  <c r="MQ108" i="2"/>
  <c r="MP108" i="2"/>
  <c r="MO108" i="2"/>
  <c r="MN108" i="2"/>
  <c r="MM108" i="2"/>
  <c r="ML108" i="2"/>
  <c r="MK108" i="2"/>
  <c r="MJ108" i="2"/>
  <c r="MI108" i="2"/>
  <c r="MH108" i="2"/>
  <c r="MG108" i="2"/>
  <c r="MF108" i="2"/>
  <c r="ME108" i="2"/>
  <c r="MD108" i="2"/>
  <c r="MC108" i="2"/>
  <c r="MB108" i="2"/>
  <c r="MA108" i="2"/>
  <c r="LZ108" i="2"/>
  <c r="LY108" i="2"/>
  <c r="LX108" i="2"/>
  <c r="LW108" i="2"/>
  <c r="LV108" i="2"/>
  <c r="LU108" i="2"/>
  <c r="LT108" i="2"/>
  <c r="LS108" i="2"/>
  <c r="LR108" i="2"/>
  <c r="LQ108" i="2"/>
  <c r="LP108" i="2"/>
  <c r="LO108" i="2"/>
  <c r="LN108" i="2"/>
  <c r="LM108" i="2"/>
  <c r="LL108" i="2"/>
  <c r="LK108" i="2"/>
  <c r="LJ108" i="2"/>
  <c r="LI108" i="2"/>
  <c r="LH108" i="2"/>
  <c r="LG108" i="2"/>
  <c r="LF108" i="2"/>
  <c r="LE108" i="2"/>
  <c r="LD108" i="2"/>
  <c r="LC108" i="2"/>
  <c r="LB108" i="2"/>
  <c r="LA108" i="2"/>
  <c r="KZ108" i="2"/>
  <c r="KY108" i="2"/>
  <c r="KX108" i="2"/>
  <c r="KW108" i="2"/>
  <c r="KV108" i="2"/>
  <c r="KU108" i="2"/>
  <c r="KT108" i="2"/>
  <c r="KS108" i="2"/>
  <c r="KR108" i="2"/>
  <c r="KQ108" i="2"/>
  <c r="KP108" i="2"/>
  <c r="KO108" i="2"/>
  <c r="KN108" i="2"/>
  <c r="KM108" i="2"/>
  <c r="KL108" i="2"/>
  <c r="KK108" i="2"/>
  <c r="KJ108" i="2"/>
  <c r="KI108" i="2"/>
  <c r="KH108" i="2"/>
  <c r="KG108" i="2"/>
  <c r="KF108" i="2"/>
  <c r="KE108" i="2"/>
  <c r="KD108" i="2"/>
  <c r="KC108" i="2"/>
  <c r="KB108" i="2"/>
  <c r="KA108" i="2"/>
  <c r="JZ108" i="2"/>
  <c r="JY108" i="2"/>
  <c r="JX108" i="2"/>
  <c r="JW108" i="2"/>
  <c r="JV108" i="2"/>
  <c r="JU108" i="2"/>
  <c r="JT108" i="2"/>
  <c r="JS108" i="2"/>
  <c r="JR108" i="2"/>
  <c r="JQ108" i="2"/>
  <c r="JP108" i="2"/>
  <c r="JO108" i="2"/>
  <c r="JN108" i="2"/>
  <c r="JM108" i="2"/>
  <c r="JL108" i="2"/>
  <c r="JK108" i="2"/>
  <c r="JJ108" i="2"/>
  <c r="JI108" i="2"/>
  <c r="JH108" i="2"/>
  <c r="JG108" i="2"/>
  <c r="JF108" i="2"/>
  <c r="JE108" i="2"/>
  <c r="JD108" i="2"/>
  <c r="JC108" i="2"/>
  <c r="JB108" i="2"/>
  <c r="JA108" i="2"/>
  <c r="IZ108" i="2"/>
  <c r="IY108" i="2"/>
  <c r="IX108" i="2"/>
  <c r="IW108" i="2"/>
  <c r="IV108" i="2"/>
  <c r="IU108" i="2"/>
  <c r="IT108" i="2"/>
  <c r="IS108" i="2"/>
  <c r="IR108" i="2"/>
  <c r="IQ108" i="2"/>
  <c r="IP108" i="2"/>
  <c r="IO108" i="2"/>
  <c r="IN108" i="2"/>
  <c r="IM108" i="2"/>
  <c r="IL108" i="2"/>
  <c r="IK108" i="2"/>
  <c r="IJ108" i="2"/>
  <c r="II108" i="2"/>
  <c r="IH108" i="2"/>
  <c r="IG108" i="2"/>
  <c r="IF108" i="2"/>
  <c r="IE108" i="2"/>
  <c r="ID108" i="2"/>
  <c r="IC108" i="2"/>
  <c r="IB108" i="2"/>
  <c r="IA108" i="2"/>
  <c r="HZ108" i="2"/>
  <c r="HY108" i="2"/>
  <c r="HX108" i="2"/>
  <c r="HW108" i="2"/>
  <c r="HV108" i="2"/>
  <c r="HU108" i="2"/>
  <c r="HT108" i="2"/>
  <c r="HS108" i="2"/>
  <c r="HR108" i="2"/>
  <c r="HQ108" i="2"/>
  <c r="HP108" i="2"/>
  <c r="HO108" i="2"/>
  <c r="HN108" i="2"/>
  <c r="HM108" i="2"/>
  <c r="HL108" i="2"/>
  <c r="HK108" i="2"/>
  <c r="HJ108" i="2"/>
  <c r="HI108" i="2"/>
  <c r="HH108" i="2"/>
  <c r="HG108" i="2"/>
  <c r="HF108" i="2"/>
  <c r="HE108" i="2"/>
  <c r="HD108" i="2"/>
  <c r="HC108" i="2"/>
  <c r="HB108" i="2"/>
  <c r="HA108" i="2"/>
  <c r="GZ108" i="2"/>
  <c r="GY108" i="2"/>
  <c r="GX108" i="2"/>
  <c r="GW108" i="2"/>
  <c r="GV108" i="2"/>
  <c r="GU108" i="2"/>
  <c r="GT108" i="2"/>
  <c r="GS108" i="2"/>
  <c r="GR108" i="2"/>
  <c r="GQ108" i="2"/>
  <c r="GP108" i="2"/>
  <c r="GO108" i="2"/>
  <c r="GN108" i="2"/>
  <c r="GM108" i="2"/>
  <c r="GL108" i="2"/>
  <c r="GK108" i="2"/>
  <c r="GJ108" i="2"/>
  <c r="GI108" i="2"/>
  <c r="GH108" i="2"/>
  <c r="GG108" i="2"/>
  <c r="GF108" i="2"/>
  <c r="GE108" i="2"/>
  <c r="GD108" i="2"/>
  <c r="GC108" i="2"/>
  <c r="GB108" i="2"/>
  <c r="GA108" i="2"/>
  <c r="FZ108" i="2"/>
  <c r="FY108" i="2"/>
  <c r="FX108" i="2"/>
  <c r="FW108" i="2"/>
  <c r="FV108" i="2"/>
  <c r="FU108" i="2"/>
  <c r="FT108" i="2"/>
  <c r="FS108" i="2"/>
  <c r="FR108" i="2"/>
  <c r="FQ108" i="2"/>
  <c r="FP108" i="2"/>
  <c r="FO108" i="2"/>
  <c r="FN108" i="2"/>
  <c r="FM108" i="2"/>
  <c r="FL108" i="2"/>
  <c r="FK108" i="2"/>
  <c r="FJ108" i="2"/>
  <c r="FI108" i="2"/>
  <c r="FH108" i="2"/>
  <c r="FG108" i="2"/>
  <c r="FF108" i="2"/>
  <c r="FE108" i="2"/>
  <c r="FD108" i="2"/>
  <c r="FC108" i="2"/>
  <c r="FB108" i="2"/>
  <c r="FA108" i="2"/>
  <c r="EZ108" i="2"/>
  <c r="EY108" i="2"/>
  <c r="EX108" i="2"/>
  <c r="EW108" i="2"/>
  <c r="EV108" i="2"/>
  <c r="EU108" i="2"/>
  <c r="ET108" i="2"/>
  <c r="ES108" i="2"/>
  <c r="ER108" i="2"/>
  <c r="EQ108" i="2"/>
  <c r="EP108" i="2"/>
  <c r="EO108" i="2"/>
  <c r="EN108" i="2"/>
  <c r="EM108" i="2"/>
  <c r="EL108" i="2"/>
  <c r="EK108" i="2"/>
  <c r="EJ108" i="2"/>
  <c r="EI108" i="2"/>
  <c r="EH108" i="2"/>
  <c r="EG108" i="2"/>
  <c r="EF108" i="2"/>
  <c r="EE108" i="2"/>
  <c r="ED108" i="2"/>
  <c r="EC108" i="2"/>
  <c r="EB108" i="2"/>
  <c r="EA108" i="2"/>
  <c r="DZ108" i="2"/>
  <c r="DY108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DG108" i="2"/>
  <c r="DF108" i="2"/>
  <c r="DE108" i="2"/>
  <c r="DD108" i="2"/>
  <c r="DC108" i="2"/>
  <c r="DB108" i="2"/>
  <c r="DA108" i="2"/>
  <c r="CZ108" i="2"/>
  <c r="CY108" i="2"/>
  <c r="CX108" i="2"/>
  <c r="CW108" i="2"/>
  <c r="CV108" i="2"/>
  <c r="CU108" i="2"/>
  <c r="CT108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PI107" i="2"/>
  <c r="PH107" i="2"/>
  <c r="PG107" i="2"/>
  <c r="PF107" i="2"/>
  <c r="PE107" i="2"/>
  <c r="PD107" i="2"/>
  <c r="PC107" i="2"/>
  <c r="PB107" i="2"/>
  <c r="PA107" i="2"/>
  <c r="OZ107" i="2"/>
  <c r="OY107" i="2"/>
  <c r="OX107" i="2"/>
  <c r="OW107" i="2"/>
  <c r="OV107" i="2"/>
  <c r="OU107" i="2"/>
  <c r="OT107" i="2"/>
  <c r="OS107" i="2"/>
  <c r="OR107" i="2"/>
  <c r="OQ107" i="2"/>
  <c r="OP107" i="2"/>
  <c r="OO107" i="2"/>
  <c r="ON107" i="2"/>
  <c r="OM107" i="2"/>
  <c r="OL107" i="2"/>
  <c r="OK107" i="2"/>
  <c r="OJ107" i="2"/>
  <c r="OI107" i="2"/>
  <c r="OH107" i="2"/>
  <c r="OG107" i="2"/>
  <c r="OF107" i="2"/>
  <c r="OE107" i="2"/>
  <c r="OD107" i="2"/>
  <c r="OC107" i="2"/>
  <c r="OB107" i="2"/>
  <c r="OA107" i="2"/>
  <c r="NZ107" i="2"/>
  <c r="NY107" i="2"/>
  <c r="NX107" i="2"/>
  <c r="NW107" i="2"/>
  <c r="NV107" i="2"/>
  <c r="NU107" i="2"/>
  <c r="NT107" i="2"/>
  <c r="NS107" i="2"/>
  <c r="NR107" i="2"/>
  <c r="NQ107" i="2"/>
  <c r="NP107" i="2"/>
  <c r="NO107" i="2"/>
  <c r="NN107" i="2"/>
  <c r="NM107" i="2"/>
  <c r="NL107" i="2"/>
  <c r="NK107" i="2"/>
  <c r="NJ107" i="2"/>
  <c r="NI107" i="2"/>
  <c r="NH107" i="2"/>
  <c r="NG107" i="2"/>
  <c r="NF107" i="2"/>
  <c r="NE107" i="2"/>
  <c r="ND107" i="2"/>
  <c r="NC107" i="2"/>
  <c r="NB107" i="2"/>
  <c r="NA107" i="2"/>
  <c r="MZ107" i="2"/>
  <c r="MY107" i="2"/>
  <c r="MX107" i="2"/>
  <c r="MW107" i="2"/>
  <c r="MV107" i="2"/>
  <c r="MU107" i="2"/>
  <c r="MT107" i="2"/>
  <c r="MS107" i="2"/>
  <c r="MR107" i="2"/>
  <c r="MQ107" i="2"/>
  <c r="MP107" i="2"/>
  <c r="MO107" i="2"/>
  <c r="MN107" i="2"/>
  <c r="MM107" i="2"/>
  <c r="ML107" i="2"/>
  <c r="MK107" i="2"/>
  <c r="MJ107" i="2"/>
  <c r="MI107" i="2"/>
  <c r="MH107" i="2"/>
  <c r="MG107" i="2"/>
  <c r="MF107" i="2"/>
  <c r="ME107" i="2"/>
  <c r="MD107" i="2"/>
  <c r="MC107" i="2"/>
  <c r="MB107" i="2"/>
  <c r="MA107" i="2"/>
  <c r="LZ107" i="2"/>
  <c r="LY107" i="2"/>
  <c r="LX107" i="2"/>
  <c r="LW107" i="2"/>
  <c r="LV107" i="2"/>
  <c r="LU107" i="2"/>
  <c r="LT107" i="2"/>
  <c r="LS107" i="2"/>
  <c r="LR107" i="2"/>
  <c r="LQ107" i="2"/>
  <c r="LP107" i="2"/>
  <c r="LO107" i="2"/>
  <c r="LN107" i="2"/>
  <c r="LM107" i="2"/>
  <c r="LL107" i="2"/>
  <c r="LK107" i="2"/>
  <c r="LJ107" i="2"/>
  <c r="LI107" i="2"/>
  <c r="LH107" i="2"/>
  <c r="LG107" i="2"/>
  <c r="LF107" i="2"/>
  <c r="LE107" i="2"/>
  <c r="LD107" i="2"/>
  <c r="LC107" i="2"/>
  <c r="LB107" i="2"/>
  <c r="LA107" i="2"/>
  <c r="KZ107" i="2"/>
  <c r="KY107" i="2"/>
  <c r="KX107" i="2"/>
  <c r="KW107" i="2"/>
  <c r="KV107" i="2"/>
  <c r="KU107" i="2"/>
  <c r="KT107" i="2"/>
  <c r="KS107" i="2"/>
  <c r="KR107" i="2"/>
  <c r="KQ107" i="2"/>
  <c r="KP107" i="2"/>
  <c r="KO107" i="2"/>
  <c r="KN107" i="2"/>
  <c r="KM107" i="2"/>
  <c r="KL107" i="2"/>
  <c r="KK107" i="2"/>
  <c r="KJ107" i="2"/>
  <c r="KI107" i="2"/>
  <c r="KH107" i="2"/>
  <c r="KG107" i="2"/>
  <c r="KF107" i="2"/>
  <c r="KE107" i="2"/>
  <c r="KD107" i="2"/>
  <c r="KC107" i="2"/>
  <c r="KB107" i="2"/>
  <c r="KA107" i="2"/>
  <c r="JZ107" i="2"/>
  <c r="JY107" i="2"/>
  <c r="JX107" i="2"/>
  <c r="JW107" i="2"/>
  <c r="JV107" i="2"/>
  <c r="JU107" i="2"/>
  <c r="JT107" i="2"/>
  <c r="JS107" i="2"/>
  <c r="JR107" i="2"/>
  <c r="JQ107" i="2"/>
  <c r="JP107" i="2"/>
  <c r="JO107" i="2"/>
  <c r="JN107" i="2"/>
  <c r="JM107" i="2"/>
  <c r="JL107" i="2"/>
  <c r="JK107" i="2"/>
  <c r="JJ107" i="2"/>
  <c r="JI107" i="2"/>
  <c r="JH107" i="2"/>
  <c r="JG107" i="2"/>
  <c r="JF107" i="2"/>
  <c r="JE107" i="2"/>
  <c r="JD107" i="2"/>
  <c r="JC107" i="2"/>
  <c r="JB107" i="2"/>
  <c r="JA107" i="2"/>
  <c r="IZ107" i="2"/>
  <c r="IY107" i="2"/>
  <c r="IX107" i="2"/>
  <c r="IW107" i="2"/>
  <c r="IV107" i="2"/>
  <c r="IU107" i="2"/>
  <c r="IT107" i="2"/>
  <c r="IS107" i="2"/>
  <c r="IR107" i="2"/>
  <c r="IQ107" i="2"/>
  <c r="IP107" i="2"/>
  <c r="IO107" i="2"/>
  <c r="IN107" i="2"/>
  <c r="IM107" i="2"/>
  <c r="IL107" i="2"/>
  <c r="IK107" i="2"/>
  <c r="IJ107" i="2"/>
  <c r="II107" i="2"/>
  <c r="IH107" i="2"/>
  <c r="IG107" i="2"/>
  <c r="IF107" i="2"/>
  <c r="IE107" i="2"/>
  <c r="ID107" i="2"/>
  <c r="IC107" i="2"/>
  <c r="IB107" i="2"/>
  <c r="IA107" i="2"/>
  <c r="HZ107" i="2"/>
  <c r="HY107" i="2"/>
  <c r="HX107" i="2"/>
  <c r="HW107" i="2"/>
  <c r="HV107" i="2"/>
  <c r="HU107" i="2"/>
  <c r="HT107" i="2"/>
  <c r="HS107" i="2"/>
  <c r="HR107" i="2"/>
  <c r="HQ107" i="2"/>
  <c r="HP107" i="2"/>
  <c r="HO107" i="2"/>
  <c r="HN107" i="2"/>
  <c r="HM107" i="2"/>
  <c r="HL107" i="2"/>
  <c r="HK107" i="2"/>
  <c r="HJ107" i="2"/>
  <c r="HI107" i="2"/>
  <c r="HH107" i="2"/>
  <c r="HG107" i="2"/>
  <c r="HF107" i="2"/>
  <c r="HE107" i="2"/>
  <c r="HD107" i="2"/>
  <c r="HC107" i="2"/>
  <c r="HB107" i="2"/>
  <c r="HA107" i="2"/>
  <c r="GZ107" i="2"/>
  <c r="GY107" i="2"/>
  <c r="GX107" i="2"/>
  <c r="GW107" i="2"/>
  <c r="GV107" i="2"/>
  <c r="GU107" i="2"/>
  <c r="GT107" i="2"/>
  <c r="GS107" i="2"/>
  <c r="GR107" i="2"/>
  <c r="GQ107" i="2"/>
  <c r="GP107" i="2"/>
  <c r="GO107" i="2"/>
  <c r="GN107" i="2"/>
  <c r="GM107" i="2"/>
  <c r="GL107" i="2"/>
  <c r="GK107" i="2"/>
  <c r="GJ107" i="2"/>
  <c r="GI107" i="2"/>
  <c r="GH107" i="2"/>
  <c r="GG107" i="2"/>
  <c r="GF107" i="2"/>
  <c r="GE107" i="2"/>
  <c r="GD107" i="2"/>
  <c r="GC107" i="2"/>
  <c r="GB107" i="2"/>
  <c r="GA107" i="2"/>
  <c r="FZ107" i="2"/>
  <c r="FY107" i="2"/>
  <c r="FX107" i="2"/>
  <c r="FW107" i="2"/>
  <c r="FV107" i="2"/>
  <c r="FU107" i="2"/>
  <c r="FT107" i="2"/>
  <c r="FS107" i="2"/>
  <c r="FR107" i="2"/>
  <c r="FQ107" i="2"/>
  <c r="FP107" i="2"/>
  <c r="FO107" i="2"/>
  <c r="FN107" i="2"/>
  <c r="FM107" i="2"/>
  <c r="FL107" i="2"/>
  <c r="FK107" i="2"/>
  <c r="FJ107" i="2"/>
  <c r="FI107" i="2"/>
  <c r="FH107" i="2"/>
  <c r="FG107" i="2"/>
  <c r="FF107" i="2"/>
  <c r="FE107" i="2"/>
  <c r="FD107" i="2"/>
  <c r="FC107" i="2"/>
  <c r="FB107" i="2"/>
  <c r="FA107" i="2"/>
  <c r="EZ107" i="2"/>
  <c r="EY107" i="2"/>
  <c r="EX107" i="2"/>
  <c r="EW107" i="2"/>
  <c r="EV107" i="2"/>
  <c r="EU107" i="2"/>
  <c r="ET107" i="2"/>
  <c r="ES107" i="2"/>
  <c r="ER107" i="2"/>
  <c r="EQ107" i="2"/>
  <c r="EP107" i="2"/>
  <c r="EO107" i="2"/>
  <c r="EN107" i="2"/>
  <c r="EM107" i="2"/>
  <c r="EL107" i="2"/>
  <c r="EK107" i="2"/>
  <c r="EJ107" i="2"/>
  <c r="EI107" i="2"/>
  <c r="EH107" i="2"/>
  <c r="EG107" i="2"/>
  <c r="EF107" i="2"/>
  <c r="EE107" i="2"/>
  <c r="ED107" i="2"/>
  <c r="EC107" i="2"/>
  <c r="EB107" i="2"/>
  <c r="EA107" i="2"/>
  <c r="DZ107" i="2"/>
  <c r="DY107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DG107" i="2"/>
  <c r="DF107" i="2"/>
  <c r="DE107" i="2"/>
  <c r="DD107" i="2"/>
  <c r="DC107" i="2"/>
  <c r="DB107" i="2"/>
  <c r="DA107" i="2"/>
  <c r="CZ107" i="2"/>
  <c r="CY107" i="2"/>
  <c r="CX107" i="2"/>
  <c r="CW107" i="2"/>
  <c r="CV107" i="2"/>
  <c r="CU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PI106" i="2"/>
  <c r="PH106" i="2"/>
  <c r="PG106" i="2"/>
  <c r="PF106" i="2"/>
  <c r="PE106" i="2"/>
  <c r="PD106" i="2"/>
  <c r="PC106" i="2"/>
  <c r="PB106" i="2"/>
  <c r="PA106" i="2"/>
  <c r="OZ106" i="2"/>
  <c r="OY106" i="2"/>
  <c r="OX106" i="2"/>
  <c r="OW106" i="2"/>
  <c r="OV106" i="2"/>
  <c r="OU106" i="2"/>
  <c r="OT106" i="2"/>
  <c r="OS106" i="2"/>
  <c r="OR106" i="2"/>
  <c r="OQ106" i="2"/>
  <c r="OP106" i="2"/>
  <c r="OO106" i="2"/>
  <c r="ON106" i="2"/>
  <c r="OM106" i="2"/>
  <c r="OL106" i="2"/>
  <c r="OK106" i="2"/>
  <c r="OJ106" i="2"/>
  <c r="OI106" i="2"/>
  <c r="OH106" i="2"/>
  <c r="OG106" i="2"/>
  <c r="OF106" i="2"/>
  <c r="OE106" i="2"/>
  <c r="OD106" i="2"/>
  <c r="OC106" i="2"/>
  <c r="OB106" i="2"/>
  <c r="OA106" i="2"/>
  <c r="NZ106" i="2"/>
  <c r="NY106" i="2"/>
  <c r="NX106" i="2"/>
  <c r="NW106" i="2"/>
  <c r="NV106" i="2"/>
  <c r="NU106" i="2"/>
  <c r="NT106" i="2"/>
  <c r="NS106" i="2"/>
  <c r="NR106" i="2"/>
  <c r="NQ106" i="2"/>
  <c r="NP106" i="2"/>
  <c r="NO106" i="2"/>
  <c r="NN106" i="2"/>
  <c r="NM106" i="2"/>
  <c r="NL106" i="2"/>
  <c r="NK106" i="2"/>
  <c r="NJ106" i="2"/>
  <c r="NI106" i="2"/>
  <c r="NH106" i="2"/>
  <c r="NG106" i="2"/>
  <c r="NF106" i="2"/>
  <c r="NE106" i="2"/>
  <c r="ND106" i="2"/>
  <c r="NC106" i="2"/>
  <c r="NB106" i="2"/>
  <c r="NA106" i="2"/>
  <c r="MZ106" i="2"/>
  <c r="MY106" i="2"/>
  <c r="MX106" i="2"/>
  <c r="MW106" i="2"/>
  <c r="MV106" i="2"/>
  <c r="MU106" i="2"/>
  <c r="MT106" i="2"/>
  <c r="MS106" i="2"/>
  <c r="MR106" i="2"/>
  <c r="MQ106" i="2"/>
  <c r="MP106" i="2"/>
  <c r="MO106" i="2"/>
  <c r="MN106" i="2"/>
  <c r="MM106" i="2"/>
  <c r="ML106" i="2"/>
  <c r="MK106" i="2"/>
  <c r="MJ106" i="2"/>
  <c r="MI106" i="2"/>
  <c r="MH106" i="2"/>
  <c r="MG106" i="2"/>
  <c r="MF106" i="2"/>
  <c r="ME106" i="2"/>
  <c r="MD106" i="2"/>
  <c r="MC106" i="2"/>
  <c r="MB106" i="2"/>
  <c r="MA106" i="2"/>
  <c r="LZ106" i="2"/>
  <c r="LY106" i="2"/>
  <c r="LX106" i="2"/>
  <c r="LW106" i="2"/>
  <c r="LV106" i="2"/>
  <c r="LU106" i="2"/>
  <c r="LT106" i="2"/>
  <c r="LS106" i="2"/>
  <c r="LR106" i="2"/>
  <c r="LQ106" i="2"/>
  <c r="LP106" i="2"/>
  <c r="LO106" i="2"/>
  <c r="LN106" i="2"/>
  <c r="LM106" i="2"/>
  <c r="LL106" i="2"/>
  <c r="LK106" i="2"/>
  <c r="LJ106" i="2"/>
  <c r="LI106" i="2"/>
  <c r="LH106" i="2"/>
  <c r="LG106" i="2"/>
  <c r="LF106" i="2"/>
  <c r="LE106" i="2"/>
  <c r="LD106" i="2"/>
  <c r="LC106" i="2"/>
  <c r="LB106" i="2"/>
  <c r="LA106" i="2"/>
  <c r="KZ106" i="2"/>
  <c r="KY106" i="2"/>
  <c r="KX106" i="2"/>
  <c r="KW106" i="2"/>
  <c r="KV106" i="2"/>
  <c r="KU106" i="2"/>
  <c r="KT106" i="2"/>
  <c r="KS106" i="2"/>
  <c r="KR106" i="2"/>
  <c r="KQ106" i="2"/>
  <c r="KP106" i="2"/>
  <c r="KO106" i="2"/>
  <c r="KN106" i="2"/>
  <c r="KM106" i="2"/>
  <c r="KL106" i="2"/>
  <c r="KK106" i="2"/>
  <c r="KJ106" i="2"/>
  <c r="KI106" i="2"/>
  <c r="KH106" i="2"/>
  <c r="KG106" i="2"/>
  <c r="KF106" i="2"/>
  <c r="KE106" i="2"/>
  <c r="KD106" i="2"/>
  <c r="KC106" i="2"/>
  <c r="KB106" i="2"/>
  <c r="KA106" i="2"/>
  <c r="JZ106" i="2"/>
  <c r="JY106" i="2"/>
  <c r="JX106" i="2"/>
  <c r="JW106" i="2"/>
  <c r="JV106" i="2"/>
  <c r="JU106" i="2"/>
  <c r="JT106" i="2"/>
  <c r="JS106" i="2"/>
  <c r="JR106" i="2"/>
  <c r="JQ106" i="2"/>
  <c r="JP106" i="2"/>
  <c r="JO106" i="2"/>
  <c r="JN106" i="2"/>
  <c r="JM106" i="2"/>
  <c r="JL106" i="2"/>
  <c r="JK106" i="2"/>
  <c r="JJ106" i="2"/>
  <c r="JI106" i="2"/>
  <c r="JH106" i="2"/>
  <c r="JG106" i="2"/>
  <c r="JF106" i="2"/>
  <c r="JE106" i="2"/>
  <c r="JD106" i="2"/>
  <c r="JC106" i="2"/>
  <c r="JB106" i="2"/>
  <c r="JA106" i="2"/>
  <c r="IZ106" i="2"/>
  <c r="IY106" i="2"/>
  <c r="IX106" i="2"/>
  <c r="IW106" i="2"/>
  <c r="IV106" i="2"/>
  <c r="IU106" i="2"/>
  <c r="IT106" i="2"/>
  <c r="IS106" i="2"/>
  <c r="IR106" i="2"/>
  <c r="IQ106" i="2"/>
  <c r="IP106" i="2"/>
  <c r="IO106" i="2"/>
  <c r="IN106" i="2"/>
  <c r="IM106" i="2"/>
  <c r="IL106" i="2"/>
  <c r="IK106" i="2"/>
  <c r="IJ106" i="2"/>
  <c r="II106" i="2"/>
  <c r="IH106" i="2"/>
  <c r="IG106" i="2"/>
  <c r="IF106" i="2"/>
  <c r="IE106" i="2"/>
  <c r="ID106" i="2"/>
  <c r="IC106" i="2"/>
  <c r="IB106" i="2"/>
  <c r="IA106" i="2"/>
  <c r="HZ106" i="2"/>
  <c r="HY106" i="2"/>
  <c r="HX106" i="2"/>
  <c r="HW106" i="2"/>
  <c r="HV106" i="2"/>
  <c r="HU106" i="2"/>
  <c r="HT106" i="2"/>
  <c r="HS106" i="2"/>
  <c r="HR106" i="2"/>
  <c r="HQ106" i="2"/>
  <c r="HP106" i="2"/>
  <c r="HO106" i="2"/>
  <c r="HN106" i="2"/>
  <c r="HM106" i="2"/>
  <c r="HL106" i="2"/>
  <c r="HK106" i="2"/>
  <c r="HJ106" i="2"/>
  <c r="HI106" i="2"/>
  <c r="HH106" i="2"/>
  <c r="HG106" i="2"/>
  <c r="HF106" i="2"/>
  <c r="HE106" i="2"/>
  <c r="HD106" i="2"/>
  <c r="HC106" i="2"/>
  <c r="HB106" i="2"/>
  <c r="HA106" i="2"/>
  <c r="GZ106" i="2"/>
  <c r="GY106" i="2"/>
  <c r="GX106" i="2"/>
  <c r="GW106" i="2"/>
  <c r="GV106" i="2"/>
  <c r="GU106" i="2"/>
  <c r="GT106" i="2"/>
  <c r="GS106" i="2"/>
  <c r="GR106" i="2"/>
  <c r="GQ106" i="2"/>
  <c r="GP106" i="2"/>
  <c r="GO106" i="2"/>
  <c r="GN106" i="2"/>
  <c r="GM106" i="2"/>
  <c r="GL106" i="2"/>
  <c r="GK106" i="2"/>
  <c r="GJ106" i="2"/>
  <c r="GI106" i="2"/>
  <c r="GH106" i="2"/>
  <c r="GG106" i="2"/>
  <c r="GF106" i="2"/>
  <c r="GE106" i="2"/>
  <c r="GD106" i="2"/>
  <c r="GC106" i="2"/>
  <c r="GB106" i="2"/>
  <c r="GA106" i="2"/>
  <c r="FZ106" i="2"/>
  <c r="FY106" i="2"/>
  <c r="FX106" i="2"/>
  <c r="FW106" i="2"/>
  <c r="FV106" i="2"/>
  <c r="FU106" i="2"/>
  <c r="FT106" i="2"/>
  <c r="FS106" i="2"/>
  <c r="FR106" i="2"/>
  <c r="FQ106" i="2"/>
  <c r="FP106" i="2"/>
  <c r="FO106" i="2"/>
  <c r="FN106" i="2"/>
  <c r="FM106" i="2"/>
  <c r="FL106" i="2"/>
  <c r="FK106" i="2"/>
  <c r="FJ106" i="2"/>
  <c r="FI106" i="2"/>
  <c r="FH106" i="2"/>
  <c r="FG106" i="2"/>
  <c r="FF106" i="2"/>
  <c r="FE106" i="2"/>
  <c r="FD106" i="2"/>
  <c r="FC106" i="2"/>
  <c r="FB106" i="2"/>
  <c r="FA106" i="2"/>
  <c r="EZ106" i="2"/>
  <c r="EY106" i="2"/>
  <c r="EX106" i="2"/>
  <c r="EW106" i="2"/>
  <c r="EV106" i="2"/>
  <c r="EU106" i="2"/>
  <c r="ET106" i="2"/>
  <c r="ES106" i="2"/>
  <c r="ER106" i="2"/>
  <c r="EQ106" i="2"/>
  <c r="EP106" i="2"/>
  <c r="EO106" i="2"/>
  <c r="EN106" i="2"/>
  <c r="EM106" i="2"/>
  <c r="EL106" i="2"/>
  <c r="EK106" i="2"/>
  <c r="EJ106" i="2"/>
  <c r="EI106" i="2"/>
  <c r="EH106" i="2"/>
  <c r="EG106" i="2"/>
  <c r="EF106" i="2"/>
  <c r="EE106" i="2"/>
  <c r="ED106" i="2"/>
  <c r="EC106" i="2"/>
  <c r="EB106" i="2"/>
  <c r="EA106" i="2"/>
  <c r="DZ106" i="2"/>
  <c r="DY106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DG106" i="2"/>
  <c r="DF106" i="2"/>
  <c r="DE106" i="2"/>
  <c r="DD106" i="2"/>
  <c r="DC106" i="2"/>
  <c r="DB106" i="2"/>
  <c r="DA106" i="2"/>
  <c r="CZ106" i="2"/>
  <c r="CY106" i="2"/>
  <c r="CX106" i="2"/>
  <c r="CW106" i="2"/>
  <c r="CV106" i="2"/>
  <c r="CU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PI105" i="2"/>
  <c r="PH105" i="2"/>
  <c r="PG105" i="2"/>
  <c r="PF105" i="2"/>
  <c r="PE105" i="2"/>
  <c r="PD105" i="2"/>
  <c r="PC105" i="2"/>
  <c r="PB105" i="2"/>
  <c r="PA105" i="2"/>
  <c r="OZ105" i="2"/>
  <c r="OY105" i="2"/>
  <c r="OX105" i="2"/>
  <c r="OW105" i="2"/>
  <c r="OV105" i="2"/>
  <c r="OU105" i="2"/>
  <c r="OT105" i="2"/>
  <c r="OS105" i="2"/>
  <c r="OR105" i="2"/>
  <c r="OQ105" i="2"/>
  <c r="OP105" i="2"/>
  <c r="OO105" i="2"/>
  <c r="ON105" i="2"/>
  <c r="OM105" i="2"/>
  <c r="OL105" i="2"/>
  <c r="OK105" i="2"/>
  <c r="OJ105" i="2"/>
  <c r="OI105" i="2"/>
  <c r="OH105" i="2"/>
  <c r="OG105" i="2"/>
  <c r="OF105" i="2"/>
  <c r="OE105" i="2"/>
  <c r="OD105" i="2"/>
  <c r="OC105" i="2"/>
  <c r="OB105" i="2"/>
  <c r="OA105" i="2"/>
  <c r="NZ105" i="2"/>
  <c r="NY105" i="2"/>
  <c r="NX105" i="2"/>
  <c r="NW105" i="2"/>
  <c r="NV105" i="2"/>
  <c r="NU105" i="2"/>
  <c r="NT105" i="2"/>
  <c r="NS105" i="2"/>
  <c r="NR105" i="2"/>
  <c r="NQ105" i="2"/>
  <c r="NP105" i="2"/>
  <c r="NO105" i="2"/>
  <c r="NN105" i="2"/>
  <c r="NM105" i="2"/>
  <c r="NL105" i="2"/>
  <c r="NK105" i="2"/>
  <c r="NJ105" i="2"/>
  <c r="NI105" i="2"/>
  <c r="NH105" i="2"/>
  <c r="NG105" i="2"/>
  <c r="NF105" i="2"/>
  <c r="NE105" i="2"/>
  <c r="ND105" i="2"/>
  <c r="NC105" i="2"/>
  <c r="NB105" i="2"/>
  <c r="NA105" i="2"/>
  <c r="MZ105" i="2"/>
  <c r="MY105" i="2"/>
  <c r="MX105" i="2"/>
  <c r="MW105" i="2"/>
  <c r="MV105" i="2"/>
  <c r="MU105" i="2"/>
  <c r="MT105" i="2"/>
  <c r="MS105" i="2"/>
  <c r="MR105" i="2"/>
  <c r="MQ105" i="2"/>
  <c r="MP105" i="2"/>
  <c r="MO105" i="2"/>
  <c r="MN105" i="2"/>
  <c r="MM105" i="2"/>
  <c r="ML105" i="2"/>
  <c r="MK105" i="2"/>
  <c r="MJ105" i="2"/>
  <c r="MI105" i="2"/>
  <c r="MH105" i="2"/>
  <c r="MG105" i="2"/>
  <c r="MF105" i="2"/>
  <c r="ME105" i="2"/>
  <c r="MD105" i="2"/>
  <c r="MC105" i="2"/>
  <c r="MB105" i="2"/>
  <c r="MA105" i="2"/>
  <c r="LZ105" i="2"/>
  <c r="LY105" i="2"/>
  <c r="LX105" i="2"/>
  <c r="LW105" i="2"/>
  <c r="LV105" i="2"/>
  <c r="LU105" i="2"/>
  <c r="LT105" i="2"/>
  <c r="LS105" i="2"/>
  <c r="LR105" i="2"/>
  <c r="LQ105" i="2"/>
  <c r="LP105" i="2"/>
  <c r="LO105" i="2"/>
  <c r="LN105" i="2"/>
  <c r="LM105" i="2"/>
  <c r="LL105" i="2"/>
  <c r="LK105" i="2"/>
  <c r="LJ105" i="2"/>
  <c r="LI105" i="2"/>
  <c r="LH105" i="2"/>
  <c r="LG105" i="2"/>
  <c r="LF105" i="2"/>
  <c r="LE105" i="2"/>
  <c r="LD105" i="2"/>
  <c r="LC105" i="2"/>
  <c r="LB105" i="2"/>
  <c r="LA105" i="2"/>
  <c r="KZ105" i="2"/>
  <c r="KY105" i="2"/>
  <c r="KX105" i="2"/>
  <c r="KW105" i="2"/>
  <c r="KV105" i="2"/>
  <c r="KU105" i="2"/>
  <c r="KT105" i="2"/>
  <c r="KS105" i="2"/>
  <c r="KR105" i="2"/>
  <c r="KQ105" i="2"/>
  <c r="KP105" i="2"/>
  <c r="KO105" i="2"/>
  <c r="KN105" i="2"/>
  <c r="KM105" i="2"/>
  <c r="KL105" i="2"/>
  <c r="KK105" i="2"/>
  <c r="KJ105" i="2"/>
  <c r="KI105" i="2"/>
  <c r="KH105" i="2"/>
  <c r="KG105" i="2"/>
  <c r="KF105" i="2"/>
  <c r="KE105" i="2"/>
  <c r="KD105" i="2"/>
  <c r="KC105" i="2"/>
  <c r="KB105" i="2"/>
  <c r="KA105" i="2"/>
  <c r="JZ105" i="2"/>
  <c r="JY105" i="2"/>
  <c r="JX105" i="2"/>
  <c r="JW105" i="2"/>
  <c r="JV105" i="2"/>
  <c r="JU105" i="2"/>
  <c r="JT105" i="2"/>
  <c r="JS105" i="2"/>
  <c r="JR105" i="2"/>
  <c r="JQ105" i="2"/>
  <c r="JP105" i="2"/>
  <c r="JO105" i="2"/>
  <c r="JN105" i="2"/>
  <c r="JM105" i="2"/>
  <c r="JL105" i="2"/>
  <c r="JK105" i="2"/>
  <c r="JJ105" i="2"/>
  <c r="JI105" i="2"/>
  <c r="JH105" i="2"/>
  <c r="JG105" i="2"/>
  <c r="JF105" i="2"/>
  <c r="JE105" i="2"/>
  <c r="JD105" i="2"/>
  <c r="JC105" i="2"/>
  <c r="JB105" i="2"/>
  <c r="JA105" i="2"/>
  <c r="IZ105" i="2"/>
  <c r="IY105" i="2"/>
  <c r="IX105" i="2"/>
  <c r="IW105" i="2"/>
  <c r="IV105" i="2"/>
  <c r="IU105" i="2"/>
  <c r="IT105" i="2"/>
  <c r="IS105" i="2"/>
  <c r="IR105" i="2"/>
  <c r="IQ105" i="2"/>
  <c r="IP105" i="2"/>
  <c r="IO105" i="2"/>
  <c r="IN105" i="2"/>
  <c r="IM105" i="2"/>
  <c r="IL105" i="2"/>
  <c r="IK105" i="2"/>
  <c r="IJ105" i="2"/>
  <c r="II105" i="2"/>
  <c r="IH105" i="2"/>
  <c r="IG105" i="2"/>
  <c r="IF105" i="2"/>
  <c r="IE105" i="2"/>
  <c r="ID105" i="2"/>
  <c r="IC105" i="2"/>
  <c r="IB105" i="2"/>
  <c r="IA105" i="2"/>
  <c r="HZ105" i="2"/>
  <c r="HY105" i="2"/>
  <c r="HX105" i="2"/>
  <c r="HW105" i="2"/>
  <c r="HV105" i="2"/>
  <c r="HU105" i="2"/>
  <c r="HT105" i="2"/>
  <c r="HS105" i="2"/>
  <c r="HR105" i="2"/>
  <c r="HQ105" i="2"/>
  <c r="HP105" i="2"/>
  <c r="HO105" i="2"/>
  <c r="HN105" i="2"/>
  <c r="HM105" i="2"/>
  <c r="HL105" i="2"/>
  <c r="HK105" i="2"/>
  <c r="HJ105" i="2"/>
  <c r="HI105" i="2"/>
  <c r="HH105" i="2"/>
  <c r="HG105" i="2"/>
  <c r="HF105" i="2"/>
  <c r="HE105" i="2"/>
  <c r="HD105" i="2"/>
  <c r="HC105" i="2"/>
  <c r="HB105" i="2"/>
  <c r="HA105" i="2"/>
  <c r="GZ105" i="2"/>
  <c r="GY105" i="2"/>
  <c r="GX105" i="2"/>
  <c r="GW105" i="2"/>
  <c r="GV105" i="2"/>
  <c r="GU105" i="2"/>
  <c r="GT105" i="2"/>
  <c r="GS105" i="2"/>
  <c r="GR105" i="2"/>
  <c r="GQ105" i="2"/>
  <c r="GP105" i="2"/>
  <c r="GO105" i="2"/>
  <c r="GN105" i="2"/>
  <c r="GM105" i="2"/>
  <c r="GL105" i="2"/>
  <c r="GK105" i="2"/>
  <c r="GJ105" i="2"/>
  <c r="GI105" i="2"/>
  <c r="GH105" i="2"/>
  <c r="GG105" i="2"/>
  <c r="GF105" i="2"/>
  <c r="GE105" i="2"/>
  <c r="GD105" i="2"/>
  <c r="GC105" i="2"/>
  <c r="GB105" i="2"/>
  <c r="GA105" i="2"/>
  <c r="FZ105" i="2"/>
  <c r="FY105" i="2"/>
  <c r="FX105" i="2"/>
  <c r="FW105" i="2"/>
  <c r="FV105" i="2"/>
  <c r="FU105" i="2"/>
  <c r="FT105" i="2"/>
  <c r="FS105" i="2"/>
  <c r="FR105" i="2"/>
  <c r="FQ105" i="2"/>
  <c r="FP105" i="2"/>
  <c r="FO105" i="2"/>
  <c r="FN105" i="2"/>
  <c r="FM105" i="2"/>
  <c r="FL105" i="2"/>
  <c r="FK105" i="2"/>
  <c r="FJ105" i="2"/>
  <c r="FI105" i="2"/>
  <c r="FH105" i="2"/>
  <c r="FG105" i="2"/>
  <c r="FF105" i="2"/>
  <c r="FE105" i="2"/>
  <c r="FD105" i="2"/>
  <c r="FC105" i="2"/>
  <c r="FB105" i="2"/>
  <c r="FA105" i="2"/>
  <c r="EZ105" i="2"/>
  <c r="EY105" i="2"/>
  <c r="EX105" i="2"/>
  <c r="EW105" i="2"/>
  <c r="EV105" i="2"/>
  <c r="EU105" i="2"/>
  <c r="ET105" i="2"/>
  <c r="ES105" i="2"/>
  <c r="ER105" i="2"/>
  <c r="EQ105" i="2"/>
  <c r="EP105" i="2"/>
  <c r="EO105" i="2"/>
  <c r="EN105" i="2"/>
  <c r="EM105" i="2"/>
  <c r="EL105" i="2"/>
  <c r="EK105" i="2"/>
  <c r="EJ105" i="2"/>
  <c r="EI105" i="2"/>
  <c r="EH105" i="2"/>
  <c r="EG105" i="2"/>
  <c r="EF105" i="2"/>
  <c r="EE105" i="2"/>
  <c r="ED105" i="2"/>
  <c r="EC105" i="2"/>
  <c r="EB105" i="2"/>
  <c r="EA105" i="2"/>
  <c r="DZ105" i="2"/>
  <c r="DY105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DG105" i="2"/>
  <c r="DF105" i="2"/>
  <c r="DE105" i="2"/>
  <c r="DD105" i="2"/>
  <c r="DC105" i="2"/>
  <c r="DB105" i="2"/>
  <c r="DA105" i="2"/>
  <c r="CZ105" i="2"/>
  <c r="CY105" i="2"/>
  <c r="CX105" i="2"/>
  <c r="CW105" i="2"/>
  <c r="CV105" i="2"/>
  <c r="CU105" i="2"/>
  <c r="CT105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PI104" i="2"/>
  <c r="PH104" i="2"/>
  <c r="PG104" i="2"/>
  <c r="PF104" i="2"/>
  <c r="PE104" i="2"/>
  <c r="PD104" i="2"/>
  <c r="PC104" i="2"/>
  <c r="PB104" i="2"/>
  <c r="PA104" i="2"/>
  <c r="OZ104" i="2"/>
  <c r="OY104" i="2"/>
  <c r="OX104" i="2"/>
  <c r="OW104" i="2"/>
  <c r="OV104" i="2"/>
  <c r="OU104" i="2"/>
  <c r="OT104" i="2"/>
  <c r="OS104" i="2"/>
  <c r="OR104" i="2"/>
  <c r="OQ104" i="2"/>
  <c r="OP104" i="2"/>
  <c r="OO104" i="2"/>
  <c r="ON104" i="2"/>
  <c r="OM104" i="2"/>
  <c r="OL104" i="2"/>
  <c r="OK104" i="2"/>
  <c r="OJ104" i="2"/>
  <c r="OI104" i="2"/>
  <c r="OH104" i="2"/>
  <c r="OG104" i="2"/>
  <c r="OF104" i="2"/>
  <c r="OE104" i="2"/>
  <c r="OD104" i="2"/>
  <c r="OC104" i="2"/>
  <c r="OB104" i="2"/>
  <c r="OA104" i="2"/>
  <c r="NZ104" i="2"/>
  <c r="NY104" i="2"/>
  <c r="NX104" i="2"/>
  <c r="NW104" i="2"/>
  <c r="NV104" i="2"/>
  <c r="NU104" i="2"/>
  <c r="NT104" i="2"/>
  <c r="NS104" i="2"/>
  <c r="NR104" i="2"/>
  <c r="NQ104" i="2"/>
  <c r="NP104" i="2"/>
  <c r="NO104" i="2"/>
  <c r="NN104" i="2"/>
  <c r="NM104" i="2"/>
  <c r="NL104" i="2"/>
  <c r="NK104" i="2"/>
  <c r="NJ104" i="2"/>
  <c r="NI104" i="2"/>
  <c r="NH104" i="2"/>
  <c r="NG104" i="2"/>
  <c r="NF104" i="2"/>
  <c r="NE104" i="2"/>
  <c r="ND104" i="2"/>
  <c r="NC104" i="2"/>
  <c r="NB104" i="2"/>
  <c r="NA104" i="2"/>
  <c r="MZ104" i="2"/>
  <c r="MY104" i="2"/>
  <c r="MX104" i="2"/>
  <c r="MW104" i="2"/>
  <c r="MV104" i="2"/>
  <c r="MU104" i="2"/>
  <c r="MT104" i="2"/>
  <c r="MS104" i="2"/>
  <c r="MR104" i="2"/>
  <c r="MQ104" i="2"/>
  <c r="MP104" i="2"/>
  <c r="MO104" i="2"/>
  <c r="MN104" i="2"/>
  <c r="MM104" i="2"/>
  <c r="ML104" i="2"/>
  <c r="MK104" i="2"/>
  <c r="MJ104" i="2"/>
  <c r="MI104" i="2"/>
  <c r="MH104" i="2"/>
  <c r="MG104" i="2"/>
  <c r="MF104" i="2"/>
  <c r="ME104" i="2"/>
  <c r="MD104" i="2"/>
  <c r="MC104" i="2"/>
  <c r="MB104" i="2"/>
  <c r="MA104" i="2"/>
  <c r="LZ104" i="2"/>
  <c r="LY104" i="2"/>
  <c r="LX104" i="2"/>
  <c r="LW104" i="2"/>
  <c r="LV104" i="2"/>
  <c r="LU104" i="2"/>
  <c r="LT104" i="2"/>
  <c r="LS104" i="2"/>
  <c r="LR104" i="2"/>
  <c r="LQ104" i="2"/>
  <c r="LP104" i="2"/>
  <c r="LO104" i="2"/>
  <c r="LN104" i="2"/>
  <c r="LM104" i="2"/>
  <c r="LL104" i="2"/>
  <c r="LK104" i="2"/>
  <c r="LJ104" i="2"/>
  <c r="LI104" i="2"/>
  <c r="LH104" i="2"/>
  <c r="LG104" i="2"/>
  <c r="LF104" i="2"/>
  <c r="LE104" i="2"/>
  <c r="LD104" i="2"/>
  <c r="LC104" i="2"/>
  <c r="LB104" i="2"/>
  <c r="LA104" i="2"/>
  <c r="KZ104" i="2"/>
  <c r="KY104" i="2"/>
  <c r="KX104" i="2"/>
  <c r="KW104" i="2"/>
  <c r="KV104" i="2"/>
  <c r="KU104" i="2"/>
  <c r="KT104" i="2"/>
  <c r="KS104" i="2"/>
  <c r="KR104" i="2"/>
  <c r="KQ104" i="2"/>
  <c r="KP104" i="2"/>
  <c r="KO104" i="2"/>
  <c r="KN104" i="2"/>
  <c r="KM104" i="2"/>
  <c r="KL104" i="2"/>
  <c r="KK104" i="2"/>
  <c r="KJ104" i="2"/>
  <c r="KI104" i="2"/>
  <c r="KH104" i="2"/>
  <c r="KG104" i="2"/>
  <c r="KF104" i="2"/>
  <c r="KE104" i="2"/>
  <c r="KD104" i="2"/>
  <c r="KC104" i="2"/>
  <c r="KB104" i="2"/>
  <c r="KA104" i="2"/>
  <c r="JZ104" i="2"/>
  <c r="JY104" i="2"/>
  <c r="JX104" i="2"/>
  <c r="JW104" i="2"/>
  <c r="JV104" i="2"/>
  <c r="JU104" i="2"/>
  <c r="JT104" i="2"/>
  <c r="JS104" i="2"/>
  <c r="JR104" i="2"/>
  <c r="JQ104" i="2"/>
  <c r="JP104" i="2"/>
  <c r="JO104" i="2"/>
  <c r="JN104" i="2"/>
  <c r="JM104" i="2"/>
  <c r="JL104" i="2"/>
  <c r="JK104" i="2"/>
  <c r="JJ104" i="2"/>
  <c r="JI104" i="2"/>
  <c r="JH104" i="2"/>
  <c r="JG104" i="2"/>
  <c r="JF104" i="2"/>
  <c r="JE104" i="2"/>
  <c r="JD104" i="2"/>
  <c r="JC104" i="2"/>
  <c r="JB104" i="2"/>
  <c r="JA104" i="2"/>
  <c r="IZ104" i="2"/>
  <c r="IY104" i="2"/>
  <c r="IX104" i="2"/>
  <c r="IW104" i="2"/>
  <c r="IV104" i="2"/>
  <c r="IU104" i="2"/>
  <c r="IT104" i="2"/>
  <c r="IS104" i="2"/>
  <c r="IR104" i="2"/>
  <c r="IQ104" i="2"/>
  <c r="IP104" i="2"/>
  <c r="IO104" i="2"/>
  <c r="IN104" i="2"/>
  <c r="IM104" i="2"/>
  <c r="IL104" i="2"/>
  <c r="IK104" i="2"/>
  <c r="IJ104" i="2"/>
  <c r="II104" i="2"/>
  <c r="IH104" i="2"/>
  <c r="IG104" i="2"/>
  <c r="IF104" i="2"/>
  <c r="IE104" i="2"/>
  <c r="ID104" i="2"/>
  <c r="IC104" i="2"/>
  <c r="IB104" i="2"/>
  <c r="IA104" i="2"/>
  <c r="HZ104" i="2"/>
  <c r="HY104" i="2"/>
  <c r="HX104" i="2"/>
  <c r="HW104" i="2"/>
  <c r="HV104" i="2"/>
  <c r="HU104" i="2"/>
  <c r="HT104" i="2"/>
  <c r="HS104" i="2"/>
  <c r="HR104" i="2"/>
  <c r="HQ104" i="2"/>
  <c r="HP104" i="2"/>
  <c r="HO104" i="2"/>
  <c r="HN104" i="2"/>
  <c r="HM104" i="2"/>
  <c r="HL104" i="2"/>
  <c r="HK104" i="2"/>
  <c r="HJ104" i="2"/>
  <c r="HI104" i="2"/>
  <c r="HH104" i="2"/>
  <c r="HG104" i="2"/>
  <c r="HF104" i="2"/>
  <c r="HE104" i="2"/>
  <c r="HD104" i="2"/>
  <c r="HC104" i="2"/>
  <c r="HB104" i="2"/>
  <c r="HA104" i="2"/>
  <c r="GZ104" i="2"/>
  <c r="GY104" i="2"/>
  <c r="GX104" i="2"/>
  <c r="GW104" i="2"/>
  <c r="GV104" i="2"/>
  <c r="GU104" i="2"/>
  <c r="GT104" i="2"/>
  <c r="GS104" i="2"/>
  <c r="GR104" i="2"/>
  <c r="GQ104" i="2"/>
  <c r="GP104" i="2"/>
  <c r="GO104" i="2"/>
  <c r="GN104" i="2"/>
  <c r="GM104" i="2"/>
  <c r="GL104" i="2"/>
  <c r="GK104" i="2"/>
  <c r="GJ104" i="2"/>
  <c r="GI104" i="2"/>
  <c r="GH104" i="2"/>
  <c r="GG104" i="2"/>
  <c r="GF104" i="2"/>
  <c r="GE104" i="2"/>
  <c r="GD104" i="2"/>
  <c r="GC104" i="2"/>
  <c r="GB104" i="2"/>
  <c r="GA104" i="2"/>
  <c r="FZ104" i="2"/>
  <c r="FY104" i="2"/>
  <c r="FX104" i="2"/>
  <c r="FW104" i="2"/>
  <c r="FV104" i="2"/>
  <c r="FU104" i="2"/>
  <c r="FT104" i="2"/>
  <c r="FS104" i="2"/>
  <c r="FR104" i="2"/>
  <c r="FQ104" i="2"/>
  <c r="FP104" i="2"/>
  <c r="FO104" i="2"/>
  <c r="FN104" i="2"/>
  <c r="FM104" i="2"/>
  <c r="FL104" i="2"/>
  <c r="FK104" i="2"/>
  <c r="FJ104" i="2"/>
  <c r="FI104" i="2"/>
  <c r="FH104" i="2"/>
  <c r="FG104" i="2"/>
  <c r="FF104" i="2"/>
  <c r="FE104" i="2"/>
  <c r="FD104" i="2"/>
  <c r="FC104" i="2"/>
  <c r="FB104" i="2"/>
  <c r="FA104" i="2"/>
  <c r="EZ104" i="2"/>
  <c r="EY104" i="2"/>
  <c r="EX104" i="2"/>
  <c r="EW104" i="2"/>
  <c r="EV104" i="2"/>
  <c r="EU104" i="2"/>
  <c r="ET104" i="2"/>
  <c r="ES104" i="2"/>
  <c r="ER104" i="2"/>
  <c r="EQ104" i="2"/>
  <c r="EP104" i="2"/>
  <c r="EO104" i="2"/>
  <c r="EN104" i="2"/>
  <c r="EM104" i="2"/>
  <c r="EL104" i="2"/>
  <c r="EK104" i="2"/>
  <c r="EJ104" i="2"/>
  <c r="EI104" i="2"/>
  <c r="EH104" i="2"/>
  <c r="EG104" i="2"/>
  <c r="EF104" i="2"/>
  <c r="EE104" i="2"/>
  <c r="ED104" i="2"/>
  <c r="EC104" i="2"/>
  <c r="EB104" i="2"/>
  <c r="EA104" i="2"/>
  <c r="DZ104" i="2"/>
  <c r="DY104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DG104" i="2"/>
  <c r="DF104" i="2"/>
  <c r="DE104" i="2"/>
  <c r="DD104" i="2"/>
  <c r="DC104" i="2"/>
  <c r="DB104" i="2"/>
  <c r="DA104" i="2"/>
  <c r="CZ104" i="2"/>
  <c r="CY104" i="2"/>
  <c r="CX104" i="2"/>
  <c r="CW104" i="2"/>
  <c r="CV104" i="2"/>
  <c r="CU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PI103" i="2"/>
  <c r="PH103" i="2"/>
  <c r="PG103" i="2"/>
  <c r="PF103" i="2"/>
  <c r="PE103" i="2"/>
  <c r="PD103" i="2"/>
  <c r="PC103" i="2"/>
  <c r="PB103" i="2"/>
  <c r="PA103" i="2"/>
  <c r="OZ103" i="2"/>
  <c r="OY103" i="2"/>
  <c r="OX103" i="2"/>
  <c r="OW103" i="2"/>
  <c r="OV103" i="2"/>
  <c r="OU103" i="2"/>
  <c r="OT103" i="2"/>
  <c r="OS103" i="2"/>
  <c r="OR103" i="2"/>
  <c r="OQ103" i="2"/>
  <c r="OP103" i="2"/>
  <c r="OO103" i="2"/>
  <c r="ON103" i="2"/>
  <c r="OM103" i="2"/>
  <c r="OL103" i="2"/>
  <c r="OK103" i="2"/>
  <c r="OJ103" i="2"/>
  <c r="OI103" i="2"/>
  <c r="OH103" i="2"/>
  <c r="OG103" i="2"/>
  <c r="OF103" i="2"/>
  <c r="OE103" i="2"/>
  <c r="OD103" i="2"/>
  <c r="OC103" i="2"/>
  <c r="OB103" i="2"/>
  <c r="OA103" i="2"/>
  <c r="NZ103" i="2"/>
  <c r="NY103" i="2"/>
  <c r="NX103" i="2"/>
  <c r="NW103" i="2"/>
  <c r="NV103" i="2"/>
  <c r="NU103" i="2"/>
  <c r="NT103" i="2"/>
  <c r="NS103" i="2"/>
  <c r="NR103" i="2"/>
  <c r="NQ103" i="2"/>
  <c r="NP103" i="2"/>
  <c r="NO103" i="2"/>
  <c r="NN103" i="2"/>
  <c r="NM103" i="2"/>
  <c r="NL103" i="2"/>
  <c r="NK103" i="2"/>
  <c r="NJ103" i="2"/>
  <c r="NI103" i="2"/>
  <c r="NH103" i="2"/>
  <c r="NG103" i="2"/>
  <c r="NF103" i="2"/>
  <c r="NE103" i="2"/>
  <c r="ND103" i="2"/>
  <c r="NC103" i="2"/>
  <c r="NB103" i="2"/>
  <c r="NA103" i="2"/>
  <c r="MZ103" i="2"/>
  <c r="MY103" i="2"/>
  <c r="MX103" i="2"/>
  <c r="MW103" i="2"/>
  <c r="MV103" i="2"/>
  <c r="MU103" i="2"/>
  <c r="MT103" i="2"/>
  <c r="MS103" i="2"/>
  <c r="MR103" i="2"/>
  <c r="MQ103" i="2"/>
  <c r="MP103" i="2"/>
  <c r="MO103" i="2"/>
  <c r="MN103" i="2"/>
  <c r="MM103" i="2"/>
  <c r="ML103" i="2"/>
  <c r="MK103" i="2"/>
  <c r="MJ103" i="2"/>
  <c r="MI103" i="2"/>
  <c r="MH103" i="2"/>
  <c r="MG103" i="2"/>
  <c r="MF103" i="2"/>
  <c r="ME103" i="2"/>
  <c r="MD103" i="2"/>
  <c r="MC103" i="2"/>
  <c r="MB103" i="2"/>
  <c r="MA103" i="2"/>
  <c r="LZ103" i="2"/>
  <c r="LY103" i="2"/>
  <c r="LX103" i="2"/>
  <c r="LW103" i="2"/>
  <c r="LV103" i="2"/>
  <c r="LU103" i="2"/>
  <c r="LT103" i="2"/>
  <c r="LS103" i="2"/>
  <c r="LR103" i="2"/>
  <c r="LQ103" i="2"/>
  <c r="LP103" i="2"/>
  <c r="LO103" i="2"/>
  <c r="LN103" i="2"/>
  <c r="LM103" i="2"/>
  <c r="LL103" i="2"/>
  <c r="LK103" i="2"/>
  <c r="LJ103" i="2"/>
  <c r="LI103" i="2"/>
  <c r="LH103" i="2"/>
  <c r="LG103" i="2"/>
  <c r="LF103" i="2"/>
  <c r="LE103" i="2"/>
  <c r="LD103" i="2"/>
  <c r="LC103" i="2"/>
  <c r="LB103" i="2"/>
  <c r="LA103" i="2"/>
  <c r="KZ103" i="2"/>
  <c r="KY103" i="2"/>
  <c r="KX103" i="2"/>
  <c r="KW103" i="2"/>
  <c r="KV103" i="2"/>
  <c r="KU103" i="2"/>
  <c r="KT103" i="2"/>
  <c r="KS103" i="2"/>
  <c r="KR103" i="2"/>
  <c r="KQ103" i="2"/>
  <c r="KP103" i="2"/>
  <c r="KO103" i="2"/>
  <c r="KN103" i="2"/>
  <c r="KM103" i="2"/>
  <c r="KL103" i="2"/>
  <c r="KK103" i="2"/>
  <c r="KJ103" i="2"/>
  <c r="KI103" i="2"/>
  <c r="KH103" i="2"/>
  <c r="KG103" i="2"/>
  <c r="KF103" i="2"/>
  <c r="KE103" i="2"/>
  <c r="KD103" i="2"/>
  <c r="KC103" i="2"/>
  <c r="KB103" i="2"/>
  <c r="KA103" i="2"/>
  <c r="JZ103" i="2"/>
  <c r="JY103" i="2"/>
  <c r="JX103" i="2"/>
  <c r="JW103" i="2"/>
  <c r="JV103" i="2"/>
  <c r="JU103" i="2"/>
  <c r="JT103" i="2"/>
  <c r="JS103" i="2"/>
  <c r="JR103" i="2"/>
  <c r="JQ103" i="2"/>
  <c r="JP103" i="2"/>
  <c r="JO103" i="2"/>
  <c r="JN103" i="2"/>
  <c r="JM103" i="2"/>
  <c r="JL103" i="2"/>
  <c r="JK103" i="2"/>
  <c r="JJ103" i="2"/>
  <c r="JI103" i="2"/>
  <c r="JH103" i="2"/>
  <c r="JG103" i="2"/>
  <c r="JF103" i="2"/>
  <c r="JE103" i="2"/>
  <c r="JD103" i="2"/>
  <c r="JC103" i="2"/>
  <c r="JB103" i="2"/>
  <c r="JA103" i="2"/>
  <c r="IZ103" i="2"/>
  <c r="IY103" i="2"/>
  <c r="IX103" i="2"/>
  <c r="IW103" i="2"/>
  <c r="IV103" i="2"/>
  <c r="IU103" i="2"/>
  <c r="IT103" i="2"/>
  <c r="IS103" i="2"/>
  <c r="IR103" i="2"/>
  <c r="IQ103" i="2"/>
  <c r="IP103" i="2"/>
  <c r="IO103" i="2"/>
  <c r="IN103" i="2"/>
  <c r="IM103" i="2"/>
  <c r="IL103" i="2"/>
  <c r="IK103" i="2"/>
  <c r="IJ103" i="2"/>
  <c r="II103" i="2"/>
  <c r="IH103" i="2"/>
  <c r="IG103" i="2"/>
  <c r="IF103" i="2"/>
  <c r="IE103" i="2"/>
  <c r="ID103" i="2"/>
  <c r="IC103" i="2"/>
  <c r="IB103" i="2"/>
  <c r="IA103" i="2"/>
  <c r="HZ103" i="2"/>
  <c r="HY103" i="2"/>
  <c r="HX103" i="2"/>
  <c r="HW103" i="2"/>
  <c r="HV103" i="2"/>
  <c r="HU103" i="2"/>
  <c r="HT103" i="2"/>
  <c r="HS103" i="2"/>
  <c r="HR103" i="2"/>
  <c r="HQ103" i="2"/>
  <c r="HP103" i="2"/>
  <c r="HO103" i="2"/>
  <c r="HN103" i="2"/>
  <c r="HM103" i="2"/>
  <c r="HL103" i="2"/>
  <c r="HK103" i="2"/>
  <c r="HJ103" i="2"/>
  <c r="HI103" i="2"/>
  <c r="HH103" i="2"/>
  <c r="HG103" i="2"/>
  <c r="HF103" i="2"/>
  <c r="HE103" i="2"/>
  <c r="HD103" i="2"/>
  <c r="HC103" i="2"/>
  <c r="HB103" i="2"/>
  <c r="HA103" i="2"/>
  <c r="GZ103" i="2"/>
  <c r="GY103" i="2"/>
  <c r="GX103" i="2"/>
  <c r="GW103" i="2"/>
  <c r="GV103" i="2"/>
  <c r="GU103" i="2"/>
  <c r="GT103" i="2"/>
  <c r="GS103" i="2"/>
  <c r="GR103" i="2"/>
  <c r="GQ103" i="2"/>
  <c r="GP103" i="2"/>
  <c r="GO103" i="2"/>
  <c r="GN103" i="2"/>
  <c r="GM103" i="2"/>
  <c r="GL103" i="2"/>
  <c r="GK103" i="2"/>
  <c r="GJ103" i="2"/>
  <c r="GI103" i="2"/>
  <c r="GH103" i="2"/>
  <c r="GG103" i="2"/>
  <c r="GF103" i="2"/>
  <c r="GE103" i="2"/>
  <c r="GD103" i="2"/>
  <c r="GC103" i="2"/>
  <c r="GB103" i="2"/>
  <c r="GA103" i="2"/>
  <c r="FZ103" i="2"/>
  <c r="FY103" i="2"/>
  <c r="FX103" i="2"/>
  <c r="FW103" i="2"/>
  <c r="FV103" i="2"/>
  <c r="FU103" i="2"/>
  <c r="FT103" i="2"/>
  <c r="FS103" i="2"/>
  <c r="FR103" i="2"/>
  <c r="FQ103" i="2"/>
  <c r="FP103" i="2"/>
  <c r="FO103" i="2"/>
  <c r="FN103" i="2"/>
  <c r="FM103" i="2"/>
  <c r="FL103" i="2"/>
  <c r="FK103" i="2"/>
  <c r="FJ103" i="2"/>
  <c r="FI103" i="2"/>
  <c r="FH103" i="2"/>
  <c r="FG103" i="2"/>
  <c r="FF103" i="2"/>
  <c r="FE103" i="2"/>
  <c r="FD103" i="2"/>
  <c r="FC103" i="2"/>
  <c r="FB103" i="2"/>
  <c r="FA103" i="2"/>
  <c r="EZ103" i="2"/>
  <c r="EY103" i="2"/>
  <c r="EX103" i="2"/>
  <c r="EW103" i="2"/>
  <c r="EV103" i="2"/>
  <c r="EU103" i="2"/>
  <c r="ET103" i="2"/>
  <c r="ES103" i="2"/>
  <c r="ER103" i="2"/>
  <c r="EQ103" i="2"/>
  <c r="EP103" i="2"/>
  <c r="EO103" i="2"/>
  <c r="EN103" i="2"/>
  <c r="EM103" i="2"/>
  <c r="EL103" i="2"/>
  <c r="EK103" i="2"/>
  <c r="EJ103" i="2"/>
  <c r="EI103" i="2"/>
  <c r="EH103" i="2"/>
  <c r="EG103" i="2"/>
  <c r="EF103" i="2"/>
  <c r="EE103" i="2"/>
  <c r="ED103" i="2"/>
  <c r="EC103" i="2"/>
  <c r="EB103" i="2"/>
  <c r="EA103" i="2"/>
  <c r="DZ103" i="2"/>
  <c r="DY103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PI102" i="2"/>
  <c r="PH102" i="2"/>
  <c r="PG102" i="2"/>
  <c r="PF102" i="2"/>
  <c r="PE102" i="2"/>
  <c r="PD102" i="2"/>
  <c r="PC102" i="2"/>
  <c r="PB102" i="2"/>
  <c r="PA102" i="2"/>
  <c r="OZ102" i="2"/>
  <c r="OY102" i="2"/>
  <c r="OX102" i="2"/>
  <c r="OW102" i="2"/>
  <c r="OV102" i="2"/>
  <c r="OU102" i="2"/>
  <c r="OT102" i="2"/>
  <c r="OS102" i="2"/>
  <c r="OR102" i="2"/>
  <c r="OQ102" i="2"/>
  <c r="OP102" i="2"/>
  <c r="OO102" i="2"/>
  <c r="ON102" i="2"/>
  <c r="OM102" i="2"/>
  <c r="OL102" i="2"/>
  <c r="OK102" i="2"/>
  <c r="OJ102" i="2"/>
  <c r="OI102" i="2"/>
  <c r="OH102" i="2"/>
  <c r="OG102" i="2"/>
  <c r="OF102" i="2"/>
  <c r="OE102" i="2"/>
  <c r="OD102" i="2"/>
  <c r="OC102" i="2"/>
  <c r="OB102" i="2"/>
  <c r="OA102" i="2"/>
  <c r="NZ102" i="2"/>
  <c r="NY102" i="2"/>
  <c r="NX102" i="2"/>
  <c r="NW102" i="2"/>
  <c r="NV102" i="2"/>
  <c r="NU102" i="2"/>
  <c r="NT102" i="2"/>
  <c r="NS102" i="2"/>
  <c r="NR102" i="2"/>
  <c r="NQ102" i="2"/>
  <c r="NP102" i="2"/>
  <c r="NO102" i="2"/>
  <c r="NN102" i="2"/>
  <c r="NM102" i="2"/>
  <c r="NL102" i="2"/>
  <c r="NK102" i="2"/>
  <c r="NJ102" i="2"/>
  <c r="NI102" i="2"/>
  <c r="NH102" i="2"/>
  <c r="NG102" i="2"/>
  <c r="NF102" i="2"/>
  <c r="NE102" i="2"/>
  <c r="ND102" i="2"/>
  <c r="NC102" i="2"/>
  <c r="NB102" i="2"/>
  <c r="NA102" i="2"/>
  <c r="MZ102" i="2"/>
  <c r="MY102" i="2"/>
  <c r="MX102" i="2"/>
  <c r="MW102" i="2"/>
  <c r="MV102" i="2"/>
  <c r="MU102" i="2"/>
  <c r="MT102" i="2"/>
  <c r="MS102" i="2"/>
  <c r="MR102" i="2"/>
  <c r="MQ102" i="2"/>
  <c r="MP102" i="2"/>
  <c r="MO102" i="2"/>
  <c r="MN102" i="2"/>
  <c r="MM102" i="2"/>
  <c r="ML102" i="2"/>
  <c r="MK102" i="2"/>
  <c r="MJ102" i="2"/>
  <c r="MI102" i="2"/>
  <c r="MH102" i="2"/>
  <c r="MG102" i="2"/>
  <c r="MF102" i="2"/>
  <c r="ME102" i="2"/>
  <c r="MD102" i="2"/>
  <c r="MC102" i="2"/>
  <c r="MB102" i="2"/>
  <c r="MA102" i="2"/>
  <c r="LZ102" i="2"/>
  <c r="LY102" i="2"/>
  <c r="LX102" i="2"/>
  <c r="LW102" i="2"/>
  <c r="LV102" i="2"/>
  <c r="LU102" i="2"/>
  <c r="LT102" i="2"/>
  <c r="LS102" i="2"/>
  <c r="LR102" i="2"/>
  <c r="LQ102" i="2"/>
  <c r="LP102" i="2"/>
  <c r="LO102" i="2"/>
  <c r="LN102" i="2"/>
  <c r="LM102" i="2"/>
  <c r="LL102" i="2"/>
  <c r="LK102" i="2"/>
  <c r="LJ102" i="2"/>
  <c r="LI102" i="2"/>
  <c r="LH102" i="2"/>
  <c r="LG102" i="2"/>
  <c r="LF102" i="2"/>
  <c r="LE102" i="2"/>
  <c r="LD102" i="2"/>
  <c r="LC102" i="2"/>
  <c r="LB102" i="2"/>
  <c r="LA102" i="2"/>
  <c r="KZ102" i="2"/>
  <c r="KY102" i="2"/>
  <c r="KX102" i="2"/>
  <c r="KW102" i="2"/>
  <c r="KV102" i="2"/>
  <c r="KU102" i="2"/>
  <c r="KT102" i="2"/>
  <c r="KS102" i="2"/>
  <c r="KR102" i="2"/>
  <c r="KQ102" i="2"/>
  <c r="KP102" i="2"/>
  <c r="KO102" i="2"/>
  <c r="KN102" i="2"/>
  <c r="KM102" i="2"/>
  <c r="KL102" i="2"/>
  <c r="KK102" i="2"/>
  <c r="KJ102" i="2"/>
  <c r="KI102" i="2"/>
  <c r="KH102" i="2"/>
  <c r="KG102" i="2"/>
  <c r="KF102" i="2"/>
  <c r="KE102" i="2"/>
  <c r="KD102" i="2"/>
  <c r="KC102" i="2"/>
  <c r="KB102" i="2"/>
  <c r="KA102" i="2"/>
  <c r="JZ102" i="2"/>
  <c r="JY102" i="2"/>
  <c r="JX102" i="2"/>
  <c r="JW102" i="2"/>
  <c r="JV102" i="2"/>
  <c r="JU102" i="2"/>
  <c r="JT102" i="2"/>
  <c r="JS102" i="2"/>
  <c r="JR102" i="2"/>
  <c r="JQ102" i="2"/>
  <c r="JP102" i="2"/>
  <c r="JO102" i="2"/>
  <c r="JN102" i="2"/>
  <c r="JM102" i="2"/>
  <c r="JL102" i="2"/>
  <c r="JK102" i="2"/>
  <c r="JJ102" i="2"/>
  <c r="JI102" i="2"/>
  <c r="JH102" i="2"/>
  <c r="JG102" i="2"/>
  <c r="JF102" i="2"/>
  <c r="JE102" i="2"/>
  <c r="JD102" i="2"/>
  <c r="JC102" i="2"/>
  <c r="JB102" i="2"/>
  <c r="JA102" i="2"/>
  <c r="IZ102" i="2"/>
  <c r="IY102" i="2"/>
  <c r="IX102" i="2"/>
  <c r="IW102" i="2"/>
  <c r="IV102" i="2"/>
  <c r="IU102" i="2"/>
  <c r="IT102" i="2"/>
  <c r="IS102" i="2"/>
  <c r="IR102" i="2"/>
  <c r="IQ102" i="2"/>
  <c r="IP102" i="2"/>
  <c r="IO102" i="2"/>
  <c r="IN102" i="2"/>
  <c r="IM102" i="2"/>
  <c r="IL102" i="2"/>
  <c r="IK102" i="2"/>
  <c r="IJ102" i="2"/>
  <c r="II102" i="2"/>
  <c r="IH102" i="2"/>
  <c r="IG102" i="2"/>
  <c r="IF102" i="2"/>
  <c r="IE102" i="2"/>
  <c r="ID102" i="2"/>
  <c r="IC102" i="2"/>
  <c r="IB102" i="2"/>
  <c r="IA102" i="2"/>
  <c r="HZ102" i="2"/>
  <c r="HY102" i="2"/>
  <c r="HX102" i="2"/>
  <c r="HW102" i="2"/>
  <c r="HV102" i="2"/>
  <c r="HU102" i="2"/>
  <c r="HT102" i="2"/>
  <c r="HS102" i="2"/>
  <c r="HR102" i="2"/>
  <c r="HQ102" i="2"/>
  <c r="HP102" i="2"/>
  <c r="HO102" i="2"/>
  <c r="HN102" i="2"/>
  <c r="HM102" i="2"/>
  <c r="HL102" i="2"/>
  <c r="HK102" i="2"/>
  <c r="HJ102" i="2"/>
  <c r="HI102" i="2"/>
  <c r="HH102" i="2"/>
  <c r="HG102" i="2"/>
  <c r="HF102" i="2"/>
  <c r="HE102" i="2"/>
  <c r="HD102" i="2"/>
  <c r="HC102" i="2"/>
  <c r="HB102" i="2"/>
  <c r="HA102" i="2"/>
  <c r="GZ102" i="2"/>
  <c r="GY102" i="2"/>
  <c r="GX102" i="2"/>
  <c r="GW102" i="2"/>
  <c r="GV102" i="2"/>
  <c r="GU102" i="2"/>
  <c r="GT102" i="2"/>
  <c r="GS102" i="2"/>
  <c r="GR102" i="2"/>
  <c r="GQ102" i="2"/>
  <c r="GP102" i="2"/>
  <c r="GO102" i="2"/>
  <c r="GN102" i="2"/>
  <c r="GM102" i="2"/>
  <c r="GL102" i="2"/>
  <c r="GK102" i="2"/>
  <c r="GJ102" i="2"/>
  <c r="GI102" i="2"/>
  <c r="GH102" i="2"/>
  <c r="GG102" i="2"/>
  <c r="GF102" i="2"/>
  <c r="GE102" i="2"/>
  <c r="GD102" i="2"/>
  <c r="GC102" i="2"/>
  <c r="GB102" i="2"/>
  <c r="GA102" i="2"/>
  <c r="FZ102" i="2"/>
  <c r="FY102" i="2"/>
  <c r="FX102" i="2"/>
  <c r="FW102" i="2"/>
  <c r="FV102" i="2"/>
  <c r="FU102" i="2"/>
  <c r="FT102" i="2"/>
  <c r="FS102" i="2"/>
  <c r="FR102" i="2"/>
  <c r="FQ102" i="2"/>
  <c r="FP102" i="2"/>
  <c r="FO102" i="2"/>
  <c r="FN102" i="2"/>
  <c r="FM102" i="2"/>
  <c r="FL102" i="2"/>
  <c r="FK102" i="2"/>
  <c r="FJ102" i="2"/>
  <c r="FI102" i="2"/>
  <c r="FH102" i="2"/>
  <c r="FG102" i="2"/>
  <c r="FF102" i="2"/>
  <c r="FE102" i="2"/>
  <c r="FD102" i="2"/>
  <c r="FC102" i="2"/>
  <c r="FB102" i="2"/>
  <c r="FA102" i="2"/>
  <c r="EZ102" i="2"/>
  <c r="EY102" i="2"/>
  <c r="EX102" i="2"/>
  <c r="EW102" i="2"/>
  <c r="EV102" i="2"/>
  <c r="EU102" i="2"/>
  <c r="ET102" i="2"/>
  <c r="ES102" i="2"/>
  <c r="ER102" i="2"/>
  <c r="EQ102" i="2"/>
  <c r="EP102" i="2"/>
  <c r="EO102" i="2"/>
  <c r="EN102" i="2"/>
  <c r="EM102" i="2"/>
  <c r="EL102" i="2"/>
  <c r="EK102" i="2"/>
  <c r="EJ102" i="2"/>
  <c r="EI102" i="2"/>
  <c r="EH102" i="2"/>
  <c r="EG102" i="2"/>
  <c r="EF102" i="2"/>
  <c r="EE102" i="2"/>
  <c r="ED102" i="2"/>
  <c r="EC102" i="2"/>
  <c r="EB102" i="2"/>
  <c r="EA102" i="2"/>
  <c r="DZ102" i="2"/>
  <c r="DY102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PI101" i="2"/>
  <c r="PH101" i="2"/>
  <c r="PG101" i="2"/>
  <c r="PF101" i="2"/>
  <c r="PE101" i="2"/>
  <c r="PD101" i="2"/>
  <c r="PC101" i="2"/>
  <c r="PB101" i="2"/>
  <c r="PA101" i="2"/>
  <c r="OZ101" i="2"/>
  <c r="OY101" i="2"/>
  <c r="OX101" i="2"/>
  <c r="OW101" i="2"/>
  <c r="OV101" i="2"/>
  <c r="OU101" i="2"/>
  <c r="OT101" i="2"/>
  <c r="OS101" i="2"/>
  <c r="OR101" i="2"/>
  <c r="OQ101" i="2"/>
  <c r="OP101" i="2"/>
  <c r="OO101" i="2"/>
  <c r="ON101" i="2"/>
  <c r="OM101" i="2"/>
  <c r="OL101" i="2"/>
  <c r="OK101" i="2"/>
  <c r="OJ101" i="2"/>
  <c r="OI101" i="2"/>
  <c r="OH101" i="2"/>
  <c r="OG101" i="2"/>
  <c r="OF101" i="2"/>
  <c r="OE101" i="2"/>
  <c r="OD101" i="2"/>
  <c r="OC101" i="2"/>
  <c r="OB101" i="2"/>
  <c r="OA101" i="2"/>
  <c r="NZ101" i="2"/>
  <c r="NY101" i="2"/>
  <c r="NX101" i="2"/>
  <c r="NW101" i="2"/>
  <c r="NV101" i="2"/>
  <c r="NU101" i="2"/>
  <c r="NT101" i="2"/>
  <c r="NS101" i="2"/>
  <c r="NR101" i="2"/>
  <c r="NQ101" i="2"/>
  <c r="NP101" i="2"/>
  <c r="NO101" i="2"/>
  <c r="NN101" i="2"/>
  <c r="NM101" i="2"/>
  <c r="NL101" i="2"/>
  <c r="NK101" i="2"/>
  <c r="NJ101" i="2"/>
  <c r="NI101" i="2"/>
  <c r="NH101" i="2"/>
  <c r="NG101" i="2"/>
  <c r="NF101" i="2"/>
  <c r="NE101" i="2"/>
  <c r="ND101" i="2"/>
  <c r="NC101" i="2"/>
  <c r="NB101" i="2"/>
  <c r="NA101" i="2"/>
  <c r="MZ101" i="2"/>
  <c r="MY101" i="2"/>
  <c r="MX101" i="2"/>
  <c r="MW101" i="2"/>
  <c r="MV101" i="2"/>
  <c r="MU101" i="2"/>
  <c r="MT101" i="2"/>
  <c r="MS101" i="2"/>
  <c r="MR101" i="2"/>
  <c r="MQ101" i="2"/>
  <c r="MP101" i="2"/>
  <c r="MO101" i="2"/>
  <c r="MN101" i="2"/>
  <c r="MM101" i="2"/>
  <c r="ML101" i="2"/>
  <c r="MK101" i="2"/>
  <c r="MJ101" i="2"/>
  <c r="MI101" i="2"/>
  <c r="MH101" i="2"/>
  <c r="MG101" i="2"/>
  <c r="MF101" i="2"/>
  <c r="ME101" i="2"/>
  <c r="MD101" i="2"/>
  <c r="MC101" i="2"/>
  <c r="MB101" i="2"/>
  <c r="MA101" i="2"/>
  <c r="LZ101" i="2"/>
  <c r="LY101" i="2"/>
  <c r="LX101" i="2"/>
  <c r="LW101" i="2"/>
  <c r="LV101" i="2"/>
  <c r="LU101" i="2"/>
  <c r="LT101" i="2"/>
  <c r="LS101" i="2"/>
  <c r="LR101" i="2"/>
  <c r="LQ101" i="2"/>
  <c r="LP101" i="2"/>
  <c r="LO101" i="2"/>
  <c r="LN101" i="2"/>
  <c r="LM101" i="2"/>
  <c r="LL101" i="2"/>
  <c r="LK101" i="2"/>
  <c r="LJ101" i="2"/>
  <c r="LI101" i="2"/>
  <c r="LH101" i="2"/>
  <c r="LG101" i="2"/>
  <c r="LF101" i="2"/>
  <c r="LE101" i="2"/>
  <c r="LD101" i="2"/>
  <c r="LC101" i="2"/>
  <c r="LB101" i="2"/>
  <c r="LA101" i="2"/>
  <c r="KZ101" i="2"/>
  <c r="KY101" i="2"/>
  <c r="KX101" i="2"/>
  <c r="KW101" i="2"/>
  <c r="KV101" i="2"/>
  <c r="KU101" i="2"/>
  <c r="KT101" i="2"/>
  <c r="KS101" i="2"/>
  <c r="KR101" i="2"/>
  <c r="KQ101" i="2"/>
  <c r="KP101" i="2"/>
  <c r="KO101" i="2"/>
  <c r="KN101" i="2"/>
  <c r="KM101" i="2"/>
  <c r="KL101" i="2"/>
  <c r="KK101" i="2"/>
  <c r="KJ101" i="2"/>
  <c r="KI101" i="2"/>
  <c r="KH101" i="2"/>
  <c r="KG101" i="2"/>
  <c r="KF101" i="2"/>
  <c r="KE101" i="2"/>
  <c r="KD101" i="2"/>
  <c r="KC101" i="2"/>
  <c r="KB101" i="2"/>
  <c r="KA101" i="2"/>
  <c r="JZ101" i="2"/>
  <c r="JY101" i="2"/>
  <c r="JX101" i="2"/>
  <c r="JW101" i="2"/>
  <c r="JV101" i="2"/>
  <c r="JU101" i="2"/>
  <c r="JT101" i="2"/>
  <c r="JS101" i="2"/>
  <c r="JR101" i="2"/>
  <c r="JQ101" i="2"/>
  <c r="JP101" i="2"/>
  <c r="JO101" i="2"/>
  <c r="JN101" i="2"/>
  <c r="JM101" i="2"/>
  <c r="JL101" i="2"/>
  <c r="JK101" i="2"/>
  <c r="JJ101" i="2"/>
  <c r="JI101" i="2"/>
  <c r="JH101" i="2"/>
  <c r="JG101" i="2"/>
  <c r="JF101" i="2"/>
  <c r="JE101" i="2"/>
  <c r="JD101" i="2"/>
  <c r="JC101" i="2"/>
  <c r="JB101" i="2"/>
  <c r="JA101" i="2"/>
  <c r="IZ101" i="2"/>
  <c r="IY101" i="2"/>
  <c r="IX101" i="2"/>
  <c r="IW101" i="2"/>
  <c r="IV101" i="2"/>
  <c r="IU101" i="2"/>
  <c r="IT101" i="2"/>
  <c r="IS101" i="2"/>
  <c r="IR101" i="2"/>
  <c r="IQ101" i="2"/>
  <c r="IP101" i="2"/>
  <c r="IO101" i="2"/>
  <c r="IN101" i="2"/>
  <c r="IM101" i="2"/>
  <c r="IL101" i="2"/>
  <c r="IK101" i="2"/>
  <c r="IJ101" i="2"/>
  <c r="II101" i="2"/>
  <c r="IH101" i="2"/>
  <c r="IG101" i="2"/>
  <c r="IF101" i="2"/>
  <c r="IE101" i="2"/>
  <c r="ID101" i="2"/>
  <c r="IC101" i="2"/>
  <c r="IB101" i="2"/>
  <c r="IA101" i="2"/>
  <c r="HZ101" i="2"/>
  <c r="HY101" i="2"/>
  <c r="HX101" i="2"/>
  <c r="HW101" i="2"/>
  <c r="HV101" i="2"/>
  <c r="HU101" i="2"/>
  <c r="HT101" i="2"/>
  <c r="HS101" i="2"/>
  <c r="HR101" i="2"/>
  <c r="HQ101" i="2"/>
  <c r="HP101" i="2"/>
  <c r="HO101" i="2"/>
  <c r="HN101" i="2"/>
  <c r="HM101" i="2"/>
  <c r="HL101" i="2"/>
  <c r="HK101" i="2"/>
  <c r="HJ101" i="2"/>
  <c r="HI101" i="2"/>
  <c r="HH101" i="2"/>
  <c r="HG101" i="2"/>
  <c r="HF101" i="2"/>
  <c r="HE101" i="2"/>
  <c r="HD101" i="2"/>
  <c r="HC101" i="2"/>
  <c r="HB101" i="2"/>
  <c r="HA101" i="2"/>
  <c r="GZ101" i="2"/>
  <c r="GY101" i="2"/>
  <c r="GX101" i="2"/>
  <c r="GW101" i="2"/>
  <c r="GV101" i="2"/>
  <c r="GU101" i="2"/>
  <c r="GT101" i="2"/>
  <c r="GS101" i="2"/>
  <c r="GR101" i="2"/>
  <c r="GQ101" i="2"/>
  <c r="GP101" i="2"/>
  <c r="GO101" i="2"/>
  <c r="GN101" i="2"/>
  <c r="GM101" i="2"/>
  <c r="GL101" i="2"/>
  <c r="GK101" i="2"/>
  <c r="GJ101" i="2"/>
  <c r="GI101" i="2"/>
  <c r="GH101" i="2"/>
  <c r="GG101" i="2"/>
  <c r="GF101" i="2"/>
  <c r="GE101" i="2"/>
  <c r="GD101" i="2"/>
  <c r="GC101" i="2"/>
  <c r="GB101" i="2"/>
  <c r="GA101" i="2"/>
  <c r="FZ101" i="2"/>
  <c r="FY101" i="2"/>
  <c r="FX101" i="2"/>
  <c r="FW101" i="2"/>
  <c r="FV101" i="2"/>
  <c r="FU101" i="2"/>
  <c r="FT101" i="2"/>
  <c r="FS101" i="2"/>
  <c r="FR101" i="2"/>
  <c r="FQ101" i="2"/>
  <c r="FP101" i="2"/>
  <c r="FO101" i="2"/>
  <c r="FN101" i="2"/>
  <c r="FM101" i="2"/>
  <c r="FL101" i="2"/>
  <c r="FK101" i="2"/>
  <c r="FJ101" i="2"/>
  <c r="FI101" i="2"/>
  <c r="FH101" i="2"/>
  <c r="FG101" i="2"/>
  <c r="FF101" i="2"/>
  <c r="FE101" i="2"/>
  <c r="FD101" i="2"/>
  <c r="FC101" i="2"/>
  <c r="FB101" i="2"/>
  <c r="FA101" i="2"/>
  <c r="EZ101" i="2"/>
  <c r="EY101" i="2"/>
  <c r="EX101" i="2"/>
  <c r="EW101" i="2"/>
  <c r="EV101" i="2"/>
  <c r="EU101" i="2"/>
  <c r="ET101" i="2"/>
  <c r="ES101" i="2"/>
  <c r="ER101" i="2"/>
  <c r="EQ101" i="2"/>
  <c r="EP101" i="2"/>
  <c r="EO101" i="2"/>
  <c r="EN101" i="2"/>
  <c r="EM101" i="2"/>
  <c r="EL101" i="2"/>
  <c r="EK101" i="2"/>
  <c r="EJ101" i="2"/>
  <c r="EI101" i="2"/>
  <c r="EH101" i="2"/>
  <c r="EG101" i="2"/>
  <c r="EF101" i="2"/>
  <c r="EE101" i="2"/>
  <c r="ED101" i="2"/>
  <c r="EC101" i="2"/>
  <c r="EB101" i="2"/>
  <c r="EA101" i="2"/>
  <c r="DZ101" i="2"/>
  <c r="DY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E101" i="2"/>
  <c r="DD101" i="2"/>
  <c r="DC101" i="2"/>
  <c r="DB101" i="2"/>
  <c r="DA101" i="2"/>
  <c r="CZ101" i="2"/>
  <c r="CY101" i="2"/>
  <c r="CX101" i="2"/>
  <c r="CW101" i="2"/>
  <c r="CV101" i="2"/>
  <c r="CU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PI100" i="2"/>
  <c r="PH100" i="2"/>
  <c r="PG100" i="2"/>
  <c r="PF100" i="2"/>
  <c r="PE100" i="2"/>
  <c r="PD100" i="2"/>
  <c r="PC100" i="2"/>
  <c r="PB100" i="2"/>
  <c r="PA100" i="2"/>
  <c r="OZ100" i="2"/>
  <c r="OY100" i="2"/>
  <c r="OX100" i="2"/>
  <c r="OW100" i="2"/>
  <c r="OV100" i="2"/>
  <c r="OU100" i="2"/>
  <c r="OT100" i="2"/>
  <c r="OS100" i="2"/>
  <c r="OR100" i="2"/>
  <c r="OQ100" i="2"/>
  <c r="OP100" i="2"/>
  <c r="OO100" i="2"/>
  <c r="ON100" i="2"/>
  <c r="OM100" i="2"/>
  <c r="OL100" i="2"/>
  <c r="OK100" i="2"/>
  <c r="OJ100" i="2"/>
  <c r="OI100" i="2"/>
  <c r="OH100" i="2"/>
  <c r="OG100" i="2"/>
  <c r="OF100" i="2"/>
  <c r="OE100" i="2"/>
  <c r="OD100" i="2"/>
  <c r="OC100" i="2"/>
  <c r="OB100" i="2"/>
  <c r="OA100" i="2"/>
  <c r="NZ100" i="2"/>
  <c r="NY100" i="2"/>
  <c r="NX100" i="2"/>
  <c r="NW100" i="2"/>
  <c r="NV100" i="2"/>
  <c r="NU100" i="2"/>
  <c r="NT100" i="2"/>
  <c r="NS100" i="2"/>
  <c r="NR100" i="2"/>
  <c r="NQ100" i="2"/>
  <c r="NP100" i="2"/>
  <c r="NO100" i="2"/>
  <c r="NN100" i="2"/>
  <c r="NM100" i="2"/>
  <c r="NL100" i="2"/>
  <c r="NK100" i="2"/>
  <c r="NJ100" i="2"/>
  <c r="NI100" i="2"/>
  <c r="NH100" i="2"/>
  <c r="NG100" i="2"/>
  <c r="NF100" i="2"/>
  <c r="NE100" i="2"/>
  <c r="ND100" i="2"/>
  <c r="NC100" i="2"/>
  <c r="NB100" i="2"/>
  <c r="NA100" i="2"/>
  <c r="MZ100" i="2"/>
  <c r="MY100" i="2"/>
  <c r="MX100" i="2"/>
  <c r="MW100" i="2"/>
  <c r="MV100" i="2"/>
  <c r="MU100" i="2"/>
  <c r="MT100" i="2"/>
  <c r="MS100" i="2"/>
  <c r="MR100" i="2"/>
  <c r="MQ100" i="2"/>
  <c r="MP100" i="2"/>
  <c r="MO100" i="2"/>
  <c r="MN100" i="2"/>
  <c r="MM100" i="2"/>
  <c r="ML100" i="2"/>
  <c r="MK100" i="2"/>
  <c r="MJ100" i="2"/>
  <c r="MI100" i="2"/>
  <c r="MH100" i="2"/>
  <c r="MG100" i="2"/>
  <c r="MF100" i="2"/>
  <c r="ME100" i="2"/>
  <c r="MD100" i="2"/>
  <c r="MC100" i="2"/>
  <c r="MB100" i="2"/>
  <c r="MA100" i="2"/>
  <c r="LZ100" i="2"/>
  <c r="LY100" i="2"/>
  <c r="LX100" i="2"/>
  <c r="LW100" i="2"/>
  <c r="LV100" i="2"/>
  <c r="LU100" i="2"/>
  <c r="LT100" i="2"/>
  <c r="LS100" i="2"/>
  <c r="LR100" i="2"/>
  <c r="LQ100" i="2"/>
  <c r="LP100" i="2"/>
  <c r="LO100" i="2"/>
  <c r="LN100" i="2"/>
  <c r="LM100" i="2"/>
  <c r="LL100" i="2"/>
  <c r="LK100" i="2"/>
  <c r="LJ100" i="2"/>
  <c r="LI100" i="2"/>
  <c r="LH100" i="2"/>
  <c r="LG100" i="2"/>
  <c r="LF100" i="2"/>
  <c r="LE100" i="2"/>
  <c r="LD100" i="2"/>
  <c r="LC100" i="2"/>
  <c r="LB100" i="2"/>
  <c r="LA100" i="2"/>
  <c r="KZ100" i="2"/>
  <c r="KY100" i="2"/>
  <c r="KX100" i="2"/>
  <c r="KW100" i="2"/>
  <c r="KV100" i="2"/>
  <c r="KU100" i="2"/>
  <c r="KT100" i="2"/>
  <c r="KS100" i="2"/>
  <c r="KR100" i="2"/>
  <c r="KQ100" i="2"/>
  <c r="KP100" i="2"/>
  <c r="KO100" i="2"/>
  <c r="KN100" i="2"/>
  <c r="KM100" i="2"/>
  <c r="KL100" i="2"/>
  <c r="KK100" i="2"/>
  <c r="KJ100" i="2"/>
  <c r="KI100" i="2"/>
  <c r="KH100" i="2"/>
  <c r="KG100" i="2"/>
  <c r="KF100" i="2"/>
  <c r="KE100" i="2"/>
  <c r="KD100" i="2"/>
  <c r="KC100" i="2"/>
  <c r="KB100" i="2"/>
  <c r="KA100" i="2"/>
  <c r="JZ100" i="2"/>
  <c r="JY100" i="2"/>
  <c r="JX100" i="2"/>
  <c r="JW100" i="2"/>
  <c r="JV100" i="2"/>
  <c r="JU100" i="2"/>
  <c r="JT100" i="2"/>
  <c r="JS100" i="2"/>
  <c r="JR100" i="2"/>
  <c r="JQ100" i="2"/>
  <c r="JP100" i="2"/>
  <c r="JO100" i="2"/>
  <c r="JN100" i="2"/>
  <c r="JM100" i="2"/>
  <c r="JL100" i="2"/>
  <c r="JK100" i="2"/>
  <c r="JJ100" i="2"/>
  <c r="JI100" i="2"/>
  <c r="JH100" i="2"/>
  <c r="JG100" i="2"/>
  <c r="JF100" i="2"/>
  <c r="JE100" i="2"/>
  <c r="JD100" i="2"/>
  <c r="JC100" i="2"/>
  <c r="JB100" i="2"/>
  <c r="JA100" i="2"/>
  <c r="IZ100" i="2"/>
  <c r="IY100" i="2"/>
  <c r="IX100" i="2"/>
  <c r="IW100" i="2"/>
  <c r="IV100" i="2"/>
  <c r="IU100" i="2"/>
  <c r="IT100" i="2"/>
  <c r="IS100" i="2"/>
  <c r="IR100" i="2"/>
  <c r="IQ100" i="2"/>
  <c r="IP100" i="2"/>
  <c r="IO100" i="2"/>
  <c r="IN100" i="2"/>
  <c r="IM100" i="2"/>
  <c r="IL100" i="2"/>
  <c r="IK100" i="2"/>
  <c r="IJ100" i="2"/>
  <c r="II100" i="2"/>
  <c r="IH100" i="2"/>
  <c r="IG100" i="2"/>
  <c r="IF100" i="2"/>
  <c r="IE100" i="2"/>
  <c r="ID100" i="2"/>
  <c r="IC100" i="2"/>
  <c r="IB100" i="2"/>
  <c r="IA100" i="2"/>
  <c r="HZ100" i="2"/>
  <c r="HY100" i="2"/>
  <c r="HX100" i="2"/>
  <c r="HW100" i="2"/>
  <c r="HV100" i="2"/>
  <c r="HU100" i="2"/>
  <c r="HT100" i="2"/>
  <c r="HS100" i="2"/>
  <c r="HR100" i="2"/>
  <c r="HQ100" i="2"/>
  <c r="HP100" i="2"/>
  <c r="HO100" i="2"/>
  <c r="HN100" i="2"/>
  <c r="HM100" i="2"/>
  <c r="HL100" i="2"/>
  <c r="HK100" i="2"/>
  <c r="HJ100" i="2"/>
  <c r="HI100" i="2"/>
  <c r="HH100" i="2"/>
  <c r="HG100" i="2"/>
  <c r="HF100" i="2"/>
  <c r="HE100" i="2"/>
  <c r="HD100" i="2"/>
  <c r="HC100" i="2"/>
  <c r="HB100" i="2"/>
  <c r="HA100" i="2"/>
  <c r="GZ100" i="2"/>
  <c r="GY100" i="2"/>
  <c r="GX100" i="2"/>
  <c r="GW100" i="2"/>
  <c r="GV100" i="2"/>
  <c r="GU100" i="2"/>
  <c r="GT100" i="2"/>
  <c r="GS100" i="2"/>
  <c r="GR100" i="2"/>
  <c r="GQ100" i="2"/>
  <c r="GP100" i="2"/>
  <c r="GO100" i="2"/>
  <c r="GN100" i="2"/>
  <c r="GM100" i="2"/>
  <c r="GL100" i="2"/>
  <c r="GK100" i="2"/>
  <c r="GJ100" i="2"/>
  <c r="GI100" i="2"/>
  <c r="GH100" i="2"/>
  <c r="GG100" i="2"/>
  <c r="GF100" i="2"/>
  <c r="GE100" i="2"/>
  <c r="GD100" i="2"/>
  <c r="GC100" i="2"/>
  <c r="GB100" i="2"/>
  <c r="GA100" i="2"/>
  <c r="FZ100" i="2"/>
  <c r="FY100" i="2"/>
  <c r="FX100" i="2"/>
  <c r="FW100" i="2"/>
  <c r="FV100" i="2"/>
  <c r="FU100" i="2"/>
  <c r="FT100" i="2"/>
  <c r="FS100" i="2"/>
  <c r="FR100" i="2"/>
  <c r="FQ100" i="2"/>
  <c r="FP100" i="2"/>
  <c r="FO100" i="2"/>
  <c r="FN100" i="2"/>
  <c r="FM100" i="2"/>
  <c r="FL100" i="2"/>
  <c r="FK100" i="2"/>
  <c r="FJ100" i="2"/>
  <c r="FI100" i="2"/>
  <c r="FH100" i="2"/>
  <c r="FG100" i="2"/>
  <c r="FF100" i="2"/>
  <c r="FE100" i="2"/>
  <c r="FD100" i="2"/>
  <c r="FC100" i="2"/>
  <c r="FB100" i="2"/>
  <c r="FA100" i="2"/>
  <c r="EZ100" i="2"/>
  <c r="EY100" i="2"/>
  <c r="EX100" i="2"/>
  <c r="EW100" i="2"/>
  <c r="EV100" i="2"/>
  <c r="EU100" i="2"/>
  <c r="ET100" i="2"/>
  <c r="ES100" i="2"/>
  <c r="ER100" i="2"/>
  <c r="EQ100" i="2"/>
  <c r="EP100" i="2"/>
  <c r="EO100" i="2"/>
  <c r="EN100" i="2"/>
  <c r="EM100" i="2"/>
  <c r="EL100" i="2"/>
  <c r="EK100" i="2"/>
  <c r="EJ100" i="2"/>
  <c r="EI100" i="2"/>
  <c r="EH100" i="2"/>
  <c r="EG100" i="2"/>
  <c r="EF100" i="2"/>
  <c r="EE100" i="2"/>
  <c r="ED100" i="2"/>
  <c r="EC100" i="2"/>
  <c r="EB100" i="2"/>
  <c r="EA100" i="2"/>
  <c r="DZ100" i="2"/>
  <c r="DY100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DG100" i="2"/>
  <c r="DF100" i="2"/>
  <c r="DE100" i="2"/>
  <c r="DD100" i="2"/>
  <c r="DC100" i="2"/>
  <c r="DB100" i="2"/>
  <c r="DA100" i="2"/>
  <c r="CZ100" i="2"/>
  <c r="CY100" i="2"/>
  <c r="CX100" i="2"/>
  <c r="CW100" i="2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PI99" i="2"/>
  <c r="PH99" i="2"/>
  <c r="PG99" i="2"/>
  <c r="PF99" i="2"/>
  <c r="PE99" i="2"/>
  <c r="PD99" i="2"/>
  <c r="PC99" i="2"/>
  <c r="PB99" i="2"/>
  <c r="PA99" i="2"/>
  <c r="OZ99" i="2"/>
  <c r="OY99" i="2"/>
  <c r="OX99" i="2"/>
  <c r="OW99" i="2"/>
  <c r="OV99" i="2"/>
  <c r="OU99" i="2"/>
  <c r="OT99" i="2"/>
  <c r="OS99" i="2"/>
  <c r="OR99" i="2"/>
  <c r="OQ99" i="2"/>
  <c r="OP99" i="2"/>
  <c r="OO99" i="2"/>
  <c r="ON99" i="2"/>
  <c r="OM99" i="2"/>
  <c r="OL99" i="2"/>
  <c r="OK99" i="2"/>
  <c r="OJ99" i="2"/>
  <c r="OI99" i="2"/>
  <c r="OH99" i="2"/>
  <c r="OG99" i="2"/>
  <c r="OF99" i="2"/>
  <c r="OE99" i="2"/>
  <c r="OD99" i="2"/>
  <c r="OC99" i="2"/>
  <c r="OB99" i="2"/>
  <c r="OA99" i="2"/>
  <c r="NZ99" i="2"/>
  <c r="NY99" i="2"/>
  <c r="NX99" i="2"/>
  <c r="NW99" i="2"/>
  <c r="NV99" i="2"/>
  <c r="NU99" i="2"/>
  <c r="NT99" i="2"/>
  <c r="NS99" i="2"/>
  <c r="NR99" i="2"/>
  <c r="NQ99" i="2"/>
  <c r="NP99" i="2"/>
  <c r="NO99" i="2"/>
  <c r="NN99" i="2"/>
  <c r="NM99" i="2"/>
  <c r="NL99" i="2"/>
  <c r="NK99" i="2"/>
  <c r="NJ99" i="2"/>
  <c r="NI99" i="2"/>
  <c r="NH99" i="2"/>
  <c r="NG99" i="2"/>
  <c r="NF99" i="2"/>
  <c r="NE99" i="2"/>
  <c r="ND99" i="2"/>
  <c r="NC99" i="2"/>
  <c r="NB99" i="2"/>
  <c r="NA99" i="2"/>
  <c r="MZ99" i="2"/>
  <c r="MY99" i="2"/>
  <c r="MX99" i="2"/>
  <c r="MW99" i="2"/>
  <c r="MV99" i="2"/>
  <c r="MU99" i="2"/>
  <c r="MT99" i="2"/>
  <c r="MS99" i="2"/>
  <c r="MR99" i="2"/>
  <c r="MQ99" i="2"/>
  <c r="MP99" i="2"/>
  <c r="MO99" i="2"/>
  <c r="MN99" i="2"/>
  <c r="MM99" i="2"/>
  <c r="ML99" i="2"/>
  <c r="MK99" i="2"/>
  <c r="MJ99" i="2"/>
  <c r="MI99" i="2"/>
  <c r="MH99" i="2"/>
  <c r="MG99" i="2"/>
  <c r="MF99" i="2"/>
  <c r="ME99" i="2"/>
  <c r="MD99" i="2"/>
  <c r="MC99" i="2"/>
  <c r="MB99" i="2"/>
  <c r="MA99" i="2"/>
  <c r="LZ99" i="2"/>
  <c r="LY99" i="2"/>
  <c r="LX99" i="2"/>
  <c r="LW99" i="2"/>
  <c r="LV99" i="2"/>
  <c r="LU99" i="2"/>
  <c r="LT99" i="2"/>
  <c r="LS99" i="2"/>
  <c r="LR99" i="2"/>
  <c r="LQ99" i="2"/>
  <c r="LP99" i="2"/>
  <c r="LO99" i="2"/>
  <c r="LN99" i="2"/>
  <c r="LM99" i="2"/>
  <c r="LL99" i="2"/>
  <c r="LK99" i="2"/>
  <c r="LJ99" i="2"/>
  <c r="LI99" i="2"/>
  <c r="LH99" i="2"/>
  <c r="LG99" i="2"/>
  <c r="LF99" i="2"/>
  <c r="LE99" i="2"/>
  <c r="LD99" i="2"/>
  <c r="LC99" i="2"/>
  <c r="LB99" i="2"/>
  <c r="LA99" i="2"/>
  <c r="KZ99" i="2"/>
  <c r="KY99" i="2"/>
  <c r="KX99" i="2"/>
  <c r="KW99" i="2"/>
  <c r="KV99" i="2"/>
  <c r="KU99" i="2"/>
  <c r="KT99" i="2"/>
  <c r="KS99" i="2"/>
  <c r="KR99" i="2"/>
  <c r="KQ99" i="2"/>
  <c r="KP99" i="2"/>
  <c r="KO99" i="2"/>
  <c r="KN99" i="2"/>
  <c r="KM99" i="2"/>
  <c r="KL99" i="2"/>
  <c r="KK99" i="2"/>
  <c r="KJ99" i="2"/>
  <c r="KI99" i="2"/>
  <c r="KH99" i="2"/>
  <c r="KG99" i="2"/>
  <c r="KF99" i="2"/>
  <c r="KE99" i="2"/>
  <c r="KD99" i="2"/>
  <c r="KC99" i="2"/>
  <c r="KB99" i="2"/>
  <c r="KA99" i="2"/>
  <c r="JZ99" i="2"/>
  <c r="JY99" i="2"/>
  <c r="JX99" i="2"/>
  <c r="JW99" i="2"/>
  <c r="JV99" i="2"/>
  <c r="JU99" i="2"/>
  <c r="JT99" i="2"/>
  <c r="JS99" i="2"/>
  <c r="JR99" i="2"/>
  <c r="JQ99" i="2"/>
  <c r="JP99" i="2"/>
  <c r="JO99" i="2"/>
  <c r="JN99" i="2"/>
  <c r="JM99" i="2"/>
  <c r="JL99" i="2"/>
  <c r="JK99" i="2"/>
  <c r="JJ99" i="2"/>
  <c r="JI99" i="2"/>
  <c r="JH99" i="2"/>
  <c r="JG99" i="2"/>
  <c r="JF99" i="2"/>
  <c r="JE99" i="2"/>
  <c r="JD99" i="2"/>
  <c r="JC99" i="2"/>
  <c r="JB99" i="2"/>
  <c r="JA99" i="2"/>
  <c r="IZ99" i="2"/>
  <c r="IY99" i="2"/>
  <c r="IX99" i="2"/>
  <c r="IW99" i="2"/>
  <c r="IV99" i="2"/>
  <c r="IU99" i="2"/>
  <c r="IT99" i="2"/>
  <c r="IS99" i="2"/>
  <c r="IR99" i="2"/>
  <c r="IQ99" i="2"/>
  <c r="IP99" i="2"/>
  <c r="IO99" i="2"/>
  <c r="IN99" i="2"/>
  <c r="IM99" i="2"/>
  <c r="IL99" i="2"/>
  <c r="IK99" i="2"/>
  <c r="IJ99" i="2"/>
  <c r="II99" i="2"/>
  <c r="IH99" i="2"/>
  <c r="IG99" i="2"/>
  <c r="IF99" i="2"/>
  <c r="IE99" i="2"/>
  <c r="ID99" i="2"/>
  <c r="IC99" i="2"/>
  <c r="IB99" i="2"/>
  <c r="IA99" i="2"/>
  <c r="HZ99" i="2"/>
  <c r="HY99" i="2"/>
  <c r="HX99" i="2"/>
  <c r="HW99" i="2"/>
  <c r="HV99" i="2"/>
  <c r="HU99" i="2"/>
  <c r="HT99" i="2"/>
  <c r="HS99" i="2"/>
  <c r="HR99" i="2"/>
  <c r="HQ99" i="2"/>
  <c r="HP99" i="2"/>
  <c r="HO99" i="2"/>
  <c r="HN99" i="2"/>
  <c r="HM99" i="2"/>
  <c r="HL99" i="2"/>
  <c r="HK99" i="2"/>
  <c r="HJ99" i="2"/>
  <c r="HI99" i="2"/>
  <c r="HH99" i="2"/>
  <c r="HG99" i="2"/>
  <c r="HF99" i="2"/>
  <c r="HE99" i="2"/>
  <c r="HD99" i="2"/>
  <c r="HC99" i="2"/>
  <c r="HB99" i="2"/>
  <c r="HA99" i="2"/>
  <c r="GZ99" i="2"/>
  <c r="GY99" i="2"/>
  <c r="GX99" i="2"/>
  <c r="GW99" i="2"/>
  <c r="GV99" i="2"/>
  <c r="GU99" i="2"/>
  <c r="GT99" i="2"/>
  <c r="GS99" i="2"/>
  <c r="GR99" i="2"/>
  <c r="GQ99" i="2"/>
  <c r="GP99" i="2"/>
  <c r="GO99" i="2"/>
  <c r="GN99" i="2"/>
  <c r="GM99" i="2"/>
  <c r="GL99" i="2"/>
  <c r="GK99" i="2"/>
  <c r="GJ99" i="2"/>
  <c r="GI99" i="2"/>
  <c r="GH99" i="2"/>
  <c r="GG99" i="2"/>
  <c r="GF99" i="2"/>
  <c r="GE99" i="2"/>
  <c r="GD99" i="2"/>
  <c r="GC99" i="2"/>
  <c r="GB99" i="2"/>
  <c r="GA99" i="2"/>
  <c r="FZ99" i="2"/>
  <c r="FY99" i="2"/>
  <c r="FX99" i="2"/>
  <c r="FW99" i="2"/>
  <c r="FV99" i="2"/>
  <c r="FU99" i="2"/>
  <c r="FT99" i="2"/>
  <c r="FS99" i="2"/>
  <c r="FR99" i="2"/>
  <c r="FQ99" i="2"/>
  <c r="FP99" i="2"/>
  <c r="FO99" i="2"/>
  <c r="FN99" i="2"/>
  <c r="FM99" i="2"/>
  <c r="FL99" i="2"/>
  <c r="FK99" i="2"/>
  <c r="FJ99" i="2"/>
  <c r="FI99" i="2"/>
  <c r="FH99" i="2"/>
  <c r="FG99" i="2"/>
  <c r="FF99" i="2"/>
  <c r="FE99" i="2"/>
  <c r="FD99" i="2"/>
  <c r="FC99" i="2"/>
  <c r="FB99" i="2"/>
  <c r="FA99" i="2"/>
  <c r="EZ99" i="2"/>
  <c r="EY99" i="2"/>
  <c r="EX99" i="2"/>
  <c r="EW99" i="2"/>
  <c r="EV99" i="2"/>
  <c r="EU99" i="2"/>
  <c r="ET99" i="2"/>
  <c r="ES99" i="2"/>
  <c r="ER99" i="2"/>
  <c r="EQ99" i="2"/>
  <c r="EP99" i="2"/>
  <c r="EO99" i="2"/>
  <c r="EN99" i="2"/>
  <c r="EM99" i="2"/>
  <c r="EL99" i="2"/>
  <c r="EK99" i="2"/>
  <c r="EJ99" i="2"/>
  <c r="EI99" i="2"/>
  <c r="EH99" i="2"/>
  <c r="EG99" i="2"/>
  <c r="EF99" i="2"/>
  <c r="EE99" i="2"/>
  <c r="ED99" i="2"/>
  <c r="EC99" i="2"/>
  <c r="EB99" i="2"/>
  <c r="EA99" i="2"/>
  <c r="DZ99" i="2"/>
  <c r="DY99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DG99" i="2"/>
  <c r="DF99" i="2"/>
  <c r="DE99" i="2"/>
  <c r="DD99" i="2"/>
  <c r="DC99" i="2"/>
  <c r="DB99" i="2"/>
  <c r="DA99" i="2"/>
  <c r="CZ99" i="2"/>
  <c r="CY99" i="2"/>
  <c r="CX99" i="2"/>
  <c r="CW99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PI98" i="2"/>
  <c r="PH98" i="2"/>
  <c r="PG98" i="2"/>
  <c r="PF98" i="2"/>
  <c r="PE98" i="2"/>
  <c r="PD98" i="2"/>
  <c r="PC98" i="2"/>
  <c r="PB98" i="2"/>
  <c r="PA98" i="2"/>
  <c r="OZ98" i="2"/>
  <c r="OY98" i="2"/>
  <c r="OX98" i="2"/>
  <c r="OW98" i="2"/>
  <c r="OV98" i="2"/>
  <c r="OU98" i="2"/>
  <c r="OT98" i="2"/>
  <c r="OS98" i="2"/>
  <c r="OR98" i="2"/>
  <c r="OQ98" i="2"/>
  <c r="OP98" i="2"/>
  <c r="OO98" i="2"/>
  <c r="ON98" i="2"/>
  <c r="OM98" i="2"/>
  <c r="OL98" i="2"/>
  <c r="OK98" i="2"/>
  <c r="OJ98" i="2"/>
  <c r="OI98" i="2"/>
  <c r="OH98" i="2"/>
  <c r="OG98" i="2"/>
  <c r="OF98" i="2"/>
  <c r="OE98" i="2"/>
  <c r="OD98" i="2"/>
  <c r="OC98" i="2"/>
  <c r="OB98" i="2"/>
  <c r="OA98" i="2"/>
  <c r="NZ98" i="2"/>
  <c r="NY98" i="2"/>
  <c r="NX98" i="2"/>
  <c r="NW98" i="2"/>
  <c r="NV98" i="2"/>
  <c r="NU98" i="2"/>
  <c r="NT98" i="2"/>
  <c r="NS98" i="2"/>
  <c r="NR98" i="2"/>
  <c r="NQ98" i="2"/>
  <c r="NP98" i="2"/>
  <c r="NO98" i="2"/>
  <c r="NN98" i="2"/>
  <c r="NM98" i="2"/>
  <c r="NL98" i="2"/>
  <c r="NK98" i="2"/>
  <c r="NJ98" i="2"/>
  <c r="NI98" i="2"/>
  <c r="NH98" i="2"/>
  <c r="NG98" i="2"/>
  <c r="NF98" i="2"/>
  <c r="NE98" i="2"/>
  <c r="ND98" i="2"/>
  <c r="NC98" i="2"/>
  <c r="NB98" i="2"/>
  <c r="NA98" i="2"/>
  <c r="MZ98" i="2"/>
  <c r="MY98" i="2"/>
  <c r="MX98" i="2"/>
  <c r="MW98" i="2"/>
  <c r="MV98" i="2"/>
  <c r="MU98" i="2"/>
  <c r="MT98" i="2"/>
  <c r="MS98" i="2"/>
  <c r="MR98" i="2"/>
  <c r="MQ98" i="2"/>
  <c r="MP98" i="2"/>
  <c r="MO98" i="2"/>
  <c r="MN98" i="2"/>
  <c r="MM98" i="2"/>
  <c r="ML98" i="2"/>
  <c r="MK98" i="2"/>
  <c r="MJ98" i="2"/>
  <c r="MI98" i="2"/>
  <c r="MH98" i="2"/>
  <c r="MG98" i="2"/>
  <c r="MF98" i="2"/>
  <c r="ME98" i="2"/>
  <c r="MD98" i="2"/>
  <c r="MC98" i="2"/>
  <c r="MB98" i="2"/>
  <c r="MA98" i="2"/>
  <c r="LZ98" i="2"/>
  <c r="LY98" i="2"/>
  <c r="LX98" i="2"/>
  <c r="LW98" i="2"/>
  <c r="LV98" i="2"/>
  <c r="LU98" i="2"/>
  <c r="LT98" i="2"/>
  <c r="LS98" i="2"/>
  <c r="LR98" i="2"/>
  <c r="LQ98" i="2"/>
  <c r="LP98" i="2"/>
  <c r="LO98" i="2"/>
  <c r="LN98" i="2"/>
  <c r="LM98" i="2"/>
  <c r="LL98" i="2"/>
  <c r="LK98" i="2"/>
  <c r="LJ98" i="2"/>
  <c r="LI98" i="2"/>
  <c r="LH98" i="2"/>
  <c r="LG98" i="2"/>
  <c r="LF98" i="2"/>
  <c r="LE98" i="2"/>
  <c r="LD98" i="2"/>
  <c r="LC98" i="2"/>
  <c r="LB98" i="2"/>
  <c r="LA98" i="2"/>
  <c r="KZ98" i="2"/>
  <c r="KY98" i="2"/>
  <c r="KX98" i="2"/>
  <c r="KW98" i="2"/>
  <c r="KV98" i="2"/>
  <c r="KU98" i="2"/>
  <c r="KT98" i="2"/>
  <c r="KS98" i="2"/>
  <c r="KR98" i="2"/>
  <c r="KQ98" i="2"/>
  <c r="KP98" i="2"/>
  <c r="KO98" i="2"/>
  <c r="KN98" i="2"/>
  <c r="KM98" i="2"/>
  <c r="KL98" i="2"/>
  <c r="KK98" i="2"/>
  <c r="KJ98" i="2"/>
  <c r="KI98" i="2"/>
  <c r="KH98" i="2"/>
  <c r="KG98" i="2"/>
  <c r="KF98" i="2"/>
  <c r="KE98" i="2"/>
  <c r="KD98" i="2"/>
  <c r="KC98" i="2"/>
  <c r="KB98" i="2"/>
  <c r="KA98" i="2"/>
  <c r="JZ98" i="2"/>
  <c r="JY98" i="2"/>
  <c r="JX98" i="2"/>
  <c r="JW98" i="2"/>
  <c r="JV98" i="2"/>
  <c r="JU98" i="2"/>
  <c r="JT98" i="2"/>
  <c r="JS98" i="2"/>
  <c r="JR98" i="2"/>
  <c r="JQ98" i="2"/>
  <c r="JP98" i="2"/>
  <c r="JO98" i="2"/>
  <c r="JN98" i="2"/>
  <c r="JM98" i="2"/>
  <c r="JL98" i="2"/>
  <c r="JK98" i="2"/>
  <c r="JJ98" i="2"/>
  <c r="JI98" i="2"/>
  <c r="JH98" i="2"/>
  <c r="JG98" i="2"/>
  <c r="JF98" i="2"/>
  <c r="JE98" i="2"/>
  <c r="JD98" i="2"/>
  <c r="JC98" i="2"/>
  <c r="JB98" i="2"/>
  <c r="JA98" i="2"/>
  <c r="IZ98" i="2"/>
  <c r="IY98" i="2"/>
  <c r="IX98" i="2"/>
  <c r="IW98" i="2"/>
  <c r="IV98" i="2"/>
  <c r="IU98" i="2"/>
  <c r="IT98" i="2"/>
  <c r="IS98" i="2"/>
  <c r="IR98" i="2"/>
  <c r="IQ98" i="2"/>
  <c r="IP98" i="2"/>
  <c r="IO98" i="2"/>
  <c r="IN98" i="2"/>
  <c r="IM98" i="2"/>
  <c r="IL98" i="2"/>
  <c r="IK98" i="2"/>
  <c r="IJ98" i="2"/>
  <c r="II98" i="2"/>
  <c r="IH98" i="2"/>
  <c r="IG98" i="2"/>
  <c r="IF98" i="2"/>
  <c r="IE98" i="2"/>
  <c r="ID98" i="2"/>
  <c r="IC98" i="2"/>
  <c r="IB98" i="2"/>
  <c r="IA98" i="2"/>
  <c r="HZ98" i="2"/>
  <c r="HY98" i="2"/>
  <c r="HX98" i="2"/>
  <c r="HW98" i="2"/>
  <c r="HV98" i="2"/>
  <c r="HU98" i="2"/>
  <c r="HT98" i="2"/>
  <c r="HS98" i="2"/>
  <c r="HR98" i="2"/>
  <c r="HQ98" i="2"/>
  <c r="HP98" i="2"/>
  <c r="HO98" i="2"/>
  <c r="HN98" i="2"/>
  <c r="HM98" i="2"/>
  <c r="HL98" i="2"/>
  <c r="HK98" i="2"/>
  <c r="HJ98" i="2"/>
  <c r="HI98" i="2"/>
  <c r="HH98" i="2"/>
  <c r="HG98" i="2"/>
  <c r="HF98" i="2"/>
  <c r="HE98" i="2"/>
  <c r="HD98" i="2"/>
  <c r="HC98" i="2"/>
  <c r="HB98" i="2"/>
  <c r="HA98" i="2"/>
  <c r="GZ98" i="2"/>
  <c r="GY98" i="2"/>
  <c r="GX98" i="2"/>
  <c r="GW98" i="2"/>
  <c r="GV98" i="2"/>
  <c r="GU98" i="2"/>
  <c r="GT98" i="2"/>
  <c r="GS98" i="2"/>
  <c r="GR98" i="2"/>
  <c r="GQ98" i="2"/>
  <c r="GP98" i="2"/>
  <c r="GO98" i="2"/>
  <c r="GN98" i="2"/>
  <c r="GM98" i="2"/>
  <c r="GL98" i="2"/>
  <c r="GK98" i="2"/>
  <c r="GJ98" i="2"/>
  <c r="GI98" i="2"/>
  <c r="GH98" i="2"/>
  <c r="GG98" i="2"/>
  <c r="GF98" i="2"/>
  <c r="GE98" i="2"/>
  <c r="GD98" i="2"/>
  <c r="GC98" i="2"/>
  <c r="GB98" i="2"/>
  <c r="GA98" i="2"/>
  <c r="FZ98" i="2"/>
  <c r="FY98" i="2"/>
  <c r="FX98" i="2"/>
  <c r="FW98" i="2"/>
  <c r="FV98" i="2"/>
  <c r="FU98" i="2"/>
  <c r="FT98" i="2"/>
  <c r="FS98" i="2"/>
  <c r="FR98" i="2"/>
  <c r="FQ98" i="2"/>
  <c r="FP98" i="2"/>
  <c r="FO98" i="2"/>
  <c r="FN98" i="2"/>
  <c r="FM98" i="2"/>
  <c r="FL98" i="2"/>
  <c r="FK98" i="2"/>
  <c r="FJ98" i="2"/>
  <c r="FI98" i="2"/>
  <c r="FH98" i="2"/>
  <c r="FG98" i="2"/>
  <c r="FF98" i="2"/>
  <c r="FE98" i="2"/>
  <c r="FD98" i="2"/>
  <c r="FC98" i="2"/>
  <c r="FB98" i="2"/>
  <c r="FA98" i="2"/>
  <c r="EZ98" i="2"/>
  <c r="EY98" i="2"/>
  <c r="EX98" i="2"/>
  <c r="EW98" i="2"/>
  <c r="EV98" i="2"/>
  <c r="EU98" i="2"/>
  <c r="ET98" i="2"/>
  <c r="ES98" i="2"/>
  <c r="ER98" i="2"/>
  <c r="EQ98" i="2"/>
  <c r="EP98" i="2"/>
  <c r="EO98" i="2"/>
  <c r="EN98" i="2"/>
  <c r="EM98" i="2"/>
  <c r="EL98" i="2"/>
  <c r="EK98" i="2"/>
  <c r="EJ98" i="2"/>
  <c r="EI98" i="2"/>
  <c r="EH98" i="2"/>
  <c r="EG98" i="2"/>
  <c r="EF98" i="2"/>
  <c r="EE98" i="2"/>
  <c r="ED98" i="2"/>
  <c r="EC98" i="2"/>
  <c r="EB98" i="2"/>
  <c r="EA98" i="2"/>
  <c r="DZ98" i="2"/>
  <c r="DY98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PI97" i="2"/>
  <c r="PH97" i="2"/>
  <c r="PG97" i="2"/>
  <c r="PF97" i="2"/>
  <c r="PE97" i="2"/>
  <c r="PD97" i="2"/>
  <c r="PC97" i="2"/>
  <c r="PB97" i="2"/>
  <c r="PA97" i="2"/>
  <c r="OZ97" i="2"/>
  <c r="OY97" i="2"/>
  <c r="OX97" i="2"/>
  <c r="OW97" i="2"/>
  <c r="OV97" i="2"/>
  <c r="OU97" i="2"/>
  <c r="OT97" i="2"/>
  <c r="OS97" i="2"/>
  <c r="OR97" i="2"/>
  <c r="OQ97" i="2"/>
  <c r="OP97" i="2"/>
  <c r="OO97" i="2"/>
  <c r="ON97" i="2"/>
  <c r="OM97" i="2"/>
  <c r="OL97" i="2"/>
  <c r="OK97" i="2"/>
  <c r="OJ97" i="2"/>
  <c r="OI97" i="2"/>
  <c r="OH97" i="2"/>
  <c r="OG97" i="2"/>
  <c r="OF97" i="2"/>
  <c r="OE97" i="2"/>
  <c r="OD97" i="2"/>
  <c r="OC97" i="2"/>
  <c r="OB97" i="2"/>
  <c r="OA97" i="2"/>
  <c r="NZ97" i="2"/>
  <c r="NY97" i="2"/>
  <c r="NX97" i="2"/>
  <c r="NW97" i="2"/>
  <c r="NV97" i="2"/>
  <c r="NU97" i="2"/>
  <c r="NT97" i="2"/>
  <c r="NS97" i="2"/>
  <c r="NR97" i="2"/>
  <c r="NQ97" i="2"/>
  <c r="NP97" i="2"/>
  <c r="NO97" i="2"/>
  <c r="NN97" i="2"/>
  <c r="NM97" i="2"/>
  <c r="NL97" i="2"/>
  <c r="NK97" i="2"/>
  <c r="NJ97" i="2"/>
  <c r="NI97" i="2"/>
  <c r="NH97" i="2"/>
  <c r="NG97" i="2"/>
  <c r="NF97" i="2"/>
  <c r="NE97" i="2"/>
  <c r="ND97" i="2"/>
  <c r="NC97" i="2"/>
  <c r="NB97" i="2"/>
  <c r="NA97" i="2"/>
  <c r="MZ97" i="2"/>
  <c r="MY97" i="2"/>
  <c r="MX97" i="2"/>
  <c r="MW97" i="2"/>
  <c r="MV97" i="2"/>
  <c r="MU97" i="2"/>
  <c r="MT97" i="2"/>
  <c r="MS97" i="2"/>
  <c r="MR97" i="2"/>
  <c r="MQ97" i="2"/>
  <c r="MP97" i="2"/>
  <c r="MO97" i="2"/>
  <c r="MN97" i="2"/>
  <c r="MM97" i="2"/>
  <c r="ML97" i="2"/>
  <c r="MK97" i="2"/>
  <c r="MJ97" i="2"/>
  <c r="MI97" i="2"/>
  <c r="MH97" i="2"/>
  <c r="MG97" i="2"/>
  <c r="MF97" i="2"/>
  <c r="ME97" i="2"/>
  <c r="MD97" i="2"/>
  <c r="MC97" i="2"/>
  <c r="MB97" i="2"/>
  <c r="MA97" i="2"/>
  <c r="LZ97" i="2"/>
  <c r="LY97" i="2"/>
  <c r="LX97" i="2"/>
  <c r="LW97" i="2"/>
  <c r="LV97" i="2"/>
  <c r="LU97" i="2"/>
  <c r="LT97" i="2"/>
  <c r="LS97" i="2"/>
  <c r="LR97" i="2"/>
  <c r="LQ97" i="2"/>
  <c r="LP97" i="2"/>
  <c r="LO97" i="2"/>
  <c r="LN97" i="2"/>
  <c r="LM97" i="2"/>
  <c r="LL97" i="2"/>
  <c r="LK97" i="2"/>
  <c r="LJ97" i="2"/>
  <c r="LI97" i="2"/>
  <c r="LH97" i="2"/>
  <c r="LG97" i="2"/>
  <c r="LF97" i="2"/>
  <c r="LE97" i="2"/>
  <c r="LD97" i="2"/>
  <c r="LC97" i="2"/>
  <c r="LB97" i="2"/>
  <c r="LA97" i="2"/>
  <c r="KZ97" i="2"/>
  <c r="KY97" i="2"/>
  <c r="KX97" i="2"/>
  <c r="KW97" i="2"/>
  <c r="KV97" i="2"/>
  <c r="KU97" i="2"/>
  <c r="KT97" i="2"/>
  <c r="KS97" i="2"/>
  <c r="KR97" i="2"/>
  <c r="KQ97" i="2"/>
  <c r="KP97" i="2"/>
  <c r="KO97" i="2"/>
  <c r="KN97" i="2"/>
  <c r="KM97" i="2"/>
  <c r="KL97" i="2"/>
  <c r="KK97" i="2"/>
  <c r="KJ97" i="2"/>
  <c r="KI97" i="2"/>
  <c r="KH97" i="2"/>
  <c r="KG97" i="2"/>
  <c r="KF97" i="2"/>
  <c r="KE97" i="2"/>
  <c r="KD97" i="2"/>
  <c r="KC97" i="2"/>
  <c r="KB97" i="2"/>
  <c r="KA97" i="2"/>
  <c r="JZ97" i="2"/>
  <c r="JY97" i="2"/>
  <c r="JX97" i="2"/>
  <c r="JW97" i="2"/>
  <c r="JV97" i="2"/>
  <c r="JU97" i="2"/>
  <c r="JT97" i="2"/>
  <c r="JS97" i="2"/>
  <c r="JR97" i="2"/>
  <c r="JQ97" i="2"/>
  <c r="JP97" i="2"/>
  <c r="JO97" i="2"/>
  <c r="JN97" i="2"/>
  <c r="JM97" i="2"/>
  <c r="JL97" i="2"/>
  <c r="JK97" i="2"/>
  <c r="JJ97" i="2"/>
  <c r="JI97" i="2"/>
  <c r="JH97" i="2"/>
  <c r="JG97" i="2"/>
  <c r="JF97" i="2"/>
  <c r="JE97" i="2"/>
  <c r="JD97" i="2"/>
  <c r="JC97" i="2"/>
  <c r="JB97" i="2"/>
  <c r="JA97" i="2"/>
  <c r="IZ97" i="2"/>
  <c r="IY97" i="2"/>
  <c r="IX97" i="2"/>
  <c r="IW97" i="2"/>
  <c r="IV97" i="2"/>
  <c r="IU97" i="2"/>
  <c r="IT97" i="2"/>
  <c r="IS97" i="2"/>
  <c r="IR97" i="2"/>
  <c r="IQ97" i="2"/>
  <c r="IP97" i="2"/>
  <c r="IO97" i="2"/>
  <c r="IN97" i="2"/>
  <c r="IM97" i="2"/>
  <c r="IL97" i="2"/>
  <c r="IK97" i="2"/>
  <c r="IJ97" i="2"/>
  <c r="II97" i="2"/>
  <c r="IH97" i="2"/>
  <c r="IG97" i="2"/>
  <c r="IF97" i="2"/>
  <c r="IE97" i="2"/>
  <c r="ID97" i="2"/>
  <c r="IC97" i="2"/>
  <c r="IB97" i="2"/>
  <c r="IA97" i="2"/>
  <c r="HZ97" i="2"/>
  <c r="HY97" i="2"/>
  <c r="HX97" i="2"/>
  <c r="HW97" i="2"/>
  <c r="HV97" i="2"/>
  <c r="HU97" i="2"/>
  <c r="HT97" i="2"/>
  <c r="HS97" i="2"/>
  <c r="HR97" i="2"/>
  <c r="HQ97" i="2"/>
  <c r="HP97" i="2"/>
  <c r="HO97" i="2"/>
  <c r="HN97" i="2"/>
  <c r="HM97" i="2"/>
  <c r="HL97" i="2"/>
  <c r="HK97" i="2"/>
  <c r="HJ97" i="2"/>
  <c r="HI97" i="2"/>
  <c r="HH97" i="2"/>
  <c r="HG97" i="2"/>
  <c r="HF97" i="2"/>
  <c r="HE97" i="2"/>
  <c r="HD97" i="2"/>
  <c r="HC97" i="2"/>
  <c r="HB97" i="2"/>
  <c r="HA97" i="2"/>
  <c r="GZ97" i="2"/>
  <c r="GY97" i="2"/>
  <c r="GX97" i="2"/>
  <c r="GW97" i="2"/>
  <c r="GV97" i="2"/>
  <c r="GU97" i="2"/>
  <c r="GT97" i="2"/>
  <c r="GS97" i="2"/>
  <c r="GR97" i="2"/>
  <c r="GQ97" i="2"/>
  <c r="GP97" i="2"/>
  <c r="GO97" i="2"/>
  <c r="GN97" i="2"/>
  <c r="GM97" i="2"/>
  <c r="GL97" i="2"/>
  <c r="GK97" i="2"/>
  <c r="GJ97" i="2"/>
  <c r="GI97" i="2"/>
  <c r="GH97" i="2"/>
  <c r="GG97" i="2"/>
  <c r="GF97" i="2"/>
  <c r="GE97" i="2"/>
  <c r="GD97" i="2"/>
  <c r="GC97" i="2"/>
  <c r="GB97" i="2"/>
  <c r="GA97" i="2"/>
  <c r="FZ97" i="2"/>
  <c r="FY97" i="2"/>
  <c r="FX97" i="2"/>
  <c r="FW97" i="2"/>
  <c r="FV97" i="2"/>
  <c r="FU97" i="2"/>
  <c r="FT97" i="2"/>
  <c r="FS97" i="2"/>
  <c r="FR97" i="2"/>
  <c r="FQ97" i="2"/>
  <c r="FP97" i="2"/>
  <c r="FO97" i="2"/>
  <c r="FN97" i="2"/>
  <c r="FM97" i="2"/>
  <c r="FL97" i="2"/>
  <c r="FK97" i="2"/>
  <c r="FJ97" i="2"/>
  <c r="FI97" i="2"/>
  <c r="FH97" i="2"/>
  <c r="FG97" i="2"/>
  <c r="FF97" i="2"/>
  <c r="FE97" i="2"/>
  <c r="FD97" i="2"/>
  <c r="FC97" i="2"/>
  <c r="FB97" i="2"/>
  <c r="FA97" i="2"/>
  <c r="EZ97" i="2"/>
  <c r="EY97" i="2"/>
  <c r="EX97" i="2"/>
  <c r="EW97" i="2"/>
  <c r="EV97" i="2"/>
  <c r="EU97" i="2"/>
  <c r="ET97" i="2"/>
  <c r="ES97" i="2"/>
  <c r="ER97" i="2"/>
  <c r="EQ97" i="2"/>
  <c r="EP97" i="2"/>
  <c r="EO97" i="2"/>
  <c r="EN97" i="2"/>
  <c r="EM97" i="2"/>
  <c r="EL97" i="2"/>
  <c r="EK97" i="2"/>
  <c r="EJ97" i="2"/>
  <c r="EI97" i="2"/>
  <c r="EH97" i="2"/>
  <c r="EG97" i="2"/>
  <c r="EF97" i="2"/>
  <c r="EE97" i="2"/>
  <c r="ED97" i="2"/>
  <c r="EC97" i="2"/>
  <c r="EB97" i="2"/>
  <c r="EA97" i="2"/>
  <c r="DZ97" i="2"/>
  <c r="DY97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DG97" i="2"/>
  <c r="DF97" i="2"/>
  <c r="DE97" i="2"/>
  <c r="DD97" i="2"/>
  <c r="DC97" i="2"/>
  <c r="DB97" i="2"/>
  <c r="DA97" i="2"/>
  <c r="CZ97" i="2"/>
  <c r="CY97" i="2"/>
  <c r="CX97" i="2"/>
  <c r="CW97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PI96" i="2"/>
  <c r="PH96" i="2"/>
  <c r="PG96" i="2"/>
  <c r="PF96" i="2"/>
  <c r="PE96" i="2"/>
  <c r="PD96" i="2"/>
  <c r="PC96" i="2"/>
  <c r="PB96" i="2"/>
  <c r="PA96" i="2"/>
  <c r="OZ96" i="2"/>
  <c r="OY96" i="2"/>
  <c r="OX96" i="2"/>
  <c r="OW96" i="2"/>
  <c r="OV96" i="2"/>
  <c r="OU96" i="2"/>
  <c r="OT96" i="2"/>
  <c r="OS96" i="2"/>
  <c r="OR96" i="2"/>
  <c r="OQ96" i="2"/>
  <c r="OP96" i="2"/>
  <c r="OO96" i="2"/>
  <c r="ON96" i="2"/>
  <c r="OM96" i="2"/>
  <c r="OL96" i="2"/>
  <c r="OK96" i="2"/>
  <c r="OJ96" i="2"/>
  <c r="OI96" i="2"/>
  <c r="OH96" i="2"/>
  <c r="OG96" i="2"/>
  <c r="OF96" i="2"/>
  <c r="OE96" i="2"/>
  <c r="OD96" i="2"/>
  <c r="OC96" i="2"/>
  <c r="OB96" i="2"/>
  <c r="OA96" i="2"/>
  <c r="NZ96" i="2"/>
  <c r="NY96" i="2"/>
  <c r="NX96" i="2"/>
  <c r="NW96" i="2"/>
  <c r="NV96" i="2"/>
  <c r="NU96" i="2"/>
  <c r="NT96" i="2"/>
  <c r="NS96" i="2"/>
  <c r="NR96" i="2"/>
  <c r="NQ96" i="2"/>
  <c r="NP96" i="2"/>
  <c r="NO96" i="2"/>
  <c r="NN96" i="2"/>
  <c r="NM96" i="2"/>
  <c r="NL96" i="2"/>
  <c r="NK96" i="2"/>
  <c r="NJ96" i="2"/>
  <c r="NI96" i="2"/>
  <c r="NH96" i="2"/>
  <c r="NG96" i="2"/>
  <c r="NF96" i="2"/>
  <c r="NE96" i="2"/>
  <c r="ND96" i="2"/>
  <c r="NC96" i="2"/>
  <c r="NB96" i="2"/>
  <c r="NA96" i="2"/>
  <c r="MZ96" i="2"/>
  <c r="MY96" i="2"/>
  <c r="MX96" i="2"/>
  <c r="MW96" i="2"/>
  <c r="MV96" i="2"/>
  <c r="MU96" i="2"/>
  <c r="MT96" i="2"/>
  <c r="MS96" i="2"/>
  <c r="MR96" i="2"/>
  <c r="MQ96" i="2"/>
  <c r="MP96" i="2"/>
  <c r="MO96" i="2"/>
  <c r="MN96" i="2"/>
  <c r="MM96" i="2"/>
  <c r="ML96" i="2"/>
  <c r="MK96" i="2"/>
  <c r="MJ96" i="2"/>
  <c r="MI96" i="2"/>
  <c r="MH96" i="2"/>
  <c r="MG96" i="2"/>
  <c r="MF96" i="2"/>
  <c r="ME96" i="2"/>
  <c r="MD96" i="2"/>
  <c r="MC96" i="2"/>
  <c r="MB96" i="2"/>
  <c r="MA96" i="2"/>
  <c r="LZ96" i="2"/>
  <c r="LY96" i="2"/>
  <c r="LX96" i="2"/>
  <c r="LW96" i="2"/>
  <c r="LV96" i="2"/>
  <c r="LU96" i="2"/>
  <c r="LT96" i="2"/>
  <c r="LS96" i="2"/>
  <c r="LR96" i="2"/>
  <c r="LQ96" i="2"/>
  <c r="LP96" i="2"/>
  <c r="LO96" i="2"/>
  <c r="LN96" i="2"/>
  <c r="LM96" i="2"/>
  <c r="LL96" i="2"/>
  <c r="LK96" i="2"/>
  <c r="LJ96" i="2"/>
  <c r="LI96" i="2"/>
  <c r="LH96" i="2"/>
  <c r="LG96" i="2"/>
  <c r="LF96" i="2"/>
  <c r="LE96" i="2"/>
  <c r="LD96" i="2"/>
  <c r="LC96" i="2"/>
  <c r="LB96" i="2"/>
  <c r="LA96" i="2"/>
  <c r="KZ96" i="2"/>
  <c r="KY96" i="2"/>
  <c r="KX96" i="2"/>
  <c r="KW96" i="2"/>
  <c r="KV96" i="2"/>
  <c r="KU96" i="2"/>
  <c r="KT96" i="2"/>
  <c r="KS96" i="2"/>
  <c r="KR96" i="2"/>
  <c r="KQ96" i="2"/>
  <c r="KP96" i="2"/>
  <c r="KO96" i="2"/>
  <c r="KN96" i="2"/>
  <c r="KM96" i="2"/>
  <c r="KL96" i="2"/>
  <c r="KK96" i="2"/>
  <c r="KJ96" i="2"/>
  <c r="KI96" i="2"/>
  <c r="KH96" i="2"/>
  <c r="KG96" i="2"/>
  <c r="KF96" i="2"/>
  <c r="KE96" i="2"/>
  <c r="KD96" i="2"/>
  <c r="KC96" i="2"/>
  <c r="KB96" i="2"/>
  <c r="KA96" i="2"/>
  <c r="JZ96" i="2"/>
  <c r="JY96" i="2"/>
  <c r="JX96" i="2"/>
  <c r="JW96" i="2"/>
  <c r="JV96" i="2"/>
  <c r="JU96" i="2"/>
  <c r="JT96" i="2"/>
  <c r="JS96" i="2"/>
  <c r="JR96" i="2"/>
  <c r="JQ96" i="2"/>
  <c r="JP96" i="2"/>
  <c r="JO96" i="2"/>
  <c r="JN96" i="2"/>
  <c r="JM96" i="2"/>
  <c r="JL96" i="2"/>
  <c r="JK96" i="2"/>
  <c r="JJ96" i="2"/>
  <c r="JI96" i="2"/>
  <c r="JH96" i="2"/>
  <c r="JG96" i="2"/>
  <c r="JF96" i="2"/>
  <c r="JE96" i="2"/>
  <c r="JD96" i="2"/>
  <c r="JC96" i="2"/>
  <c r="JB96" i="2"/>
  <c r="JA96" i="2"/>
  <c r="IZ96" i="2"/>
  <c r="IY96" i="2"/>
  <c r="IX96" i="2"/>
  <c r="IW96" i="2"/>
  <c r="IV96" i="2"/>
  <c r="IU96" i="2"/>
  <c r="IT96" i="2"/>
  <c r="IS96" i="2"/>
  <c r="IR96" i="2"/>
  <c r="IQ96" i="2"/>
  <c r="IP96" i="2"/>
  <c r="IO96" i="2"/>
  <c r="IN96" i="2"/>
  <c r="IM96" i="2"/>
  <c r="IL96" i="2"/>
  <c r="IK96" i="2"/>
  <c r="IJ96" i="2"/>
  <c r="II96" i="2"/>
  <c r="IH96" i="2"/>
  <c r="IG96" i="2"/>
  <c r="IF96" i="2"/>
  <c r="IE96" i="2"/>
  <c r="ID96" i="2"/>
  <c r="IC96" i="2"/>
  <c r="IB96" i="2"/>
  <c r="IA96" i="2"/>
  <c r="HZ96" i="2"/>
  <c r="HY96" i="2"/>
  <c r="HX96" i="2"/>
  <c r="HW96" i="2"/>
  <c r="HV96" i="2"/>
  <c r="HU96" i="2"/>
  <c r="HT96" i="2"/>
  <c r="HS96" i="2"/>
  <c r="HR96" i="2"/>
  <c r="HQ96" i="2"/>
  <c r="HP96" i="2"/>
  <c r="HO96" i="2"/>
  <c r="HN96" i="2"/>
  <c r="HM96" i="2"/>
  <c r="HL96" i="2"/>
  <c r="HK96" i="2"/>
  <c r="HJ96" i="2"/>
  <c r="HI96" i="2"/>
  <c r="HH96" i="2"/>
  <c r="HG96" i="2"/>
  <c r="HF96" i="2"/>
  <c r="HE96" i="2"/>
  <c r="HD96" i="2"/>
  <c r="HC96" i="2"/>
  <c r="HB96" i="2"/>
  <c r="HA96" i="2"/>
  <c r="GZ96" i="2"/>
  <c r="GY96" i="2"/>
  <c r="GX96" i="2"/>
  <c r="GW96" i="2"/>
  <c r="GV96" i="2"/>
  <c r="GU96" i="2"/>
  <c r="GT96" i="2"/>
  <c r="GS96" i="2"/>
  <c r="GR96" i="2"/>
  <c r="GQ96" i="2"/>
  <c r="GP96" i="2"/>
  <c r="GO96" i="2"/>
  <c r="GN96" i="2"/>
  <c r="GM96" i="2"/>
  <c r="GL96" i="2"/>
  <c r="GK96" i="2"/>
  <c r="GJ96" i="2"/>
  <c r="GI96" i="2"/>
  <c r="GH96" i="2"/>
  <c r="GG96" i="2"/>
  <c r="GF96" i="2"/>
  <c r="GE96" i="2"/>
  <c r="GD96" i="2"/>
  <c r="GC96" i="2"/>
  <c r="GB96" i="2"/>
  <c r="GA96" i="2"/>
  <c r="FZ96" i="2"/>
  <c r="FY96" i="2"/>
  <c r="FX96" i="2"/>
  <c r="FW96" i="2"/>
  <c r="FV96" i="2"/>
  <c r="FU96" i="2"/>
  <c r="FT96" i="2"/>
  <c r="FS96" i="2"/>
  <c r="FR96" i="2"/>
  <c r="FQ96" i="2"/>
  <c r="FP96" i="2"/>
  <c r="FO96" i="2"/>
  <c r="FN96" i="2"/>
  <c r="FM96" i="2"/>
  <c r="FL96" i="2"/>
  <c r="FK96" i="2"/>
  <c r="FJ96" i="2"/>
  <c r="FI96" i="2"/>
  <c r="FH96" i="2"/>
  <c r="FG96" i="2"/>
  <c r="FF96" i="2"/>
  <c r="FE96" i="2"/>
  <c r="FD96" i="2"/>
  <c r="FC96" i="2"/>
  <c r="FB96" i="2"/>
  <c r="FA96" i="2"/>
  <c r="EZ96" i="2"/>
  <c r="EY96" i="2"/>
  <c r="EX96" i="2"/>
  <c r="EW96" i="2"/>
  <c r="EV96" i="2"/>
  <c r="EU96" i="2"/>
  <c r="ET96" i="2"/>
  <c r="ES96" i="2"/>
  <c r="ER96" i="2"/>
  <c r="EQ96" i="2"/>
  <c r="EP96" i="2"/>
  <c r="EO96" i="2"/>
  <c r="EN96" i="2"/>
  <c r="EM96" i="2"/>
  <c r="EL96" i="2"/>
  <c r="EK96" i="2"/>
  <c r="EJ96" i="2"/>
  <c r="EI96" i="2"/>
  <c r="EH96" i="2"/>
  <c r="EG96" i="2"/>
  <c r="EF96" i="2"/>
  <c r="EE96" i="2"/>
  <c r="ED96" i="2"/>
  <c r="EC96" i="2"/>
  <c r="EB96" i="2"/>
  <c r="EA96" i="2"/>
  <c r="DZ96" i="2"/>
  <c r="DY96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DG96" i="2"/>
  <c r="DF96" i="2"/>
  <c r="DE96" i="2"/>
  <c r="DD96" i="2"/>
  <c r="DC96" i="2"/>
  <c r="DB96" i="2"/>
  <c r="DA96" i="2"/>
  <c r="CZ96" i="2"/>
  <c r="CY96" i="2"/>
  <c r="CX96" i="2"/>
  <c r="CW96" i="2"/>
  <c r="CV96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PI95" i="2"/>
  <c r="PH95" i="2"/>
  <c r="PG95" i="2"/>
  <c r="PF95" i="2"/>
  <c r="PE95" i="2"/>
  <c r="PD95" i="2"/>
  <c r="PC95" i="2"/>
  <c r="PB95" i="2"/>
  <c r="PA95" i="2"/>
  <c r="OZ95" i="2"/>
  <c r="OY95" i="2"/>
  <c r="OX95" i="2"/>
  <c r="OW95" i="2"/>
  <c r="OV95" i="2"/>
  <c r="OU95" i="2"/>
  <c r="OT95" i="2"/>
  <c r="OS95" i="2"/>
  <c r="OR95" i="2"/>
  <c r="OQ95" i="2"/>
  <c r="OP95" i="2"/>
  <c r="OO95" i="2"/>
  <c r="ON95" i="2"/>
  <c r="OM95" i="2"/>
  <c r="OL95" i="2"/>
  <c r="OK95" i="2"/>
  <c r="OJ95" i="2"/>
  <c r="OI95" i="2"/>
  <c r="OH95" i="2"/>
  <c r="OG95" i="2"/>
  <c r="OF95" i="2"/>
  <c r="OE95" i="2"/>
  <c r="OD95" i="2"/>
  <c r="OC95" i="2"/>
  <c r="OB95" i="2"/>
  <c r="OA95" i="2"/>
  <c r="NZ95" i="2"/>
  <c r="NY95" i="2"/>
  <c r="NX95" i="2"/>
  <c r="NW95" i="2"/>
  <c r="NV95" i="2"/>
  <c r="NU95" i="2"/>
  <c r="NT95" i="2"/>
  <c r="NS95" i="2"/>
  <c r="NR95" i="2"/>
  <c r="NQ95" i="2"/>
  <c r="NP95" i="2"/>
  <c r="NO95" i="2"/>
  <c r="NN95" i="2"/>
  <c r="NM95" i="2"/>
  <c r="NL95" i="2"/>
  <c r="NK95" i="2"/>
  <c r="NJ95" i="2"/>
  <c r="NI95" i="2"/>
  <c r="NH95" i="2"/>
  <c r="NG95" i="2"/>
  <c r="NF95" i="2"/>
  <c r="NE95" i="2"/>
  <c r="ND95" i="2"/>
  <c r="NC95" i="2"/>
  <c r="NB95" i="2"/>
  <c r="NA95" i="2"/>
  <c r="MZ95" i="2"/>
  <c r="MY95" i="2"/>
  <c r="MX95" i="2"/>
  <c r="MW95" i="2"/>
  <c r="MV95" i="2"/>
  <c r="MU95" i="2"/>
  <c r="MT95" i="2"/>
  <c r="MS95" i="2"/>
  <c r="MR95" i="2"/>
  <c r="MQ95" i="2"/>
  <c r="MP95" i="2"/>
  <c r="MO95" i="2"/>
  <c r="MN95" i="2"/>
  <c r="MM95" i="2"/>
  <c r="ML95" i="2"/>
  <c r="MK95" i="2"/>
  <c r="MJ95" i="2"/>
  <c r="MI95" i="2"/>
  <c r="MH95" i="2"/>
  <c r="MG95" i="2"/>
  <c r="MF95" i="2"/>
  <c r="ME95" i="2"/>
  <c r="MD95" i="2"/>
  <c r="MC95" i="2"/>
  <c r="MB95" i="2"/>
  <c r="MA95" i="2"/>
  <c r="LZ95" i="2"/>
  <c r="LY95" i="2"/>
  <c r="LX95" i="2"/>
  <c r="LW95" i="2"/>
  <c r="LV95" i="2"/>
  <c r="LU95" i="2"/>
  <c r="LT95" i="2"/>
  <c r="LS95" i="2"/>
  <c r="LR95" i="2"/>
  <c r="LQ95" i="2"/>
  <c r="LP95" i="2"/>
  <c r="LO95" i="2"/>
  <c r="LN95" i="2"/>
  <c r="LM95" i="2"/>
  <c r="LL95" i="2"/>
  <c r="LK95" i="2"/>
  <c r="LJ95" i="2"/>
  <c r="LI95" i="2"/>
  <c r="LH95" i="2"/>
  <c r="LG95" i="2"/>
  <c r="LF95" i="2"/>
  <c r="LE95" i="2"/>
  <c r="LD95" i="2"/>
  <c r="LC95" i="2"/>
  <c r="LB95" i="2"/>
  <c r="LA95" i="2"/>
  <c r="KZ95" i="2"/>
  <c r="KY95" i="2"/>
  <c r="KX95" i="2"/>
  <c r="KW95" i="2"/>
  <c r="KV95" i="2"/>
  <c r="KU95" i="2"/>
  <c r="KT95" i="2"/>
  <c r="KS95" i="2"/>
  <c r="KR95" i="2"/>
  <c r="KQ95" i="2"/>
  <c r="KP95" i="2"/>
  <c r="KO95" i="2"/>
  <c r="KN95" i="2"/>
  <c r="KM95" i="2"/>
  <c r="KL95" i="2"/>
  <c r="KK95" i="2"/>
  <c r="KJ95" i="2"/>
  <c r="KI95" i="2"/>
  <c r="KH95" i="2"/>
  <c r="KG95" i="2"/>
  <c r="KF95" i="2"/>
  <c r="KE95" i="2"/>
  <c r="KD95" i="2"/>
  <c r="KC95" i="2"/>
  <c r="KB95" i="2"/>
  <c r="KA95" i="2"/>
  <c r="JZ95" i="2"/>
  <c r="JY95" i="2"/>
  <c r="JX95" i="2"/>
  <c r="JW95" i="2"/>
  <c r="JV95" i="2"/>
  <c r="JU95" i="2"/>
  <c r="JT95" i="2"/>
  <c r="JS95" i="2"/>
  <c r="JR95" i="2"/>
  <c r="JQ95" i="2"/>
  <c r="JP95" i="2"/>
  <c r="JO95" i="2"/>
  <c r="JN95" i="2"/>
  <c r="JM95" i="2"/>
  <c r="JL95" i="2"/>
  <c r="JK95" i="2"/>
  <c r="JJ95" i="2"/>
  <c r="JI95" i="2"/>
  <c r="JH95" i="2"/>
  <c r="JG95" i="2"/>
  <c r="JF95" i="2"/>
  <c r="JE95" i="2"/>
  <c r="JD95" i="2"/>
  <c r="JC95" i="2"/>
  <c r="JB95" i="2"/>
  <c r="JA95" i="2"/>
  <c r="IZ95" i="2"/>
  <c r="IY95" i="2"/>
  <c r="IX95" i="2"/>
  <c r="IW95" i="2"/>
  <c r="IV95" i="2"/>
  <c r="IU95" i="2"/>
  <c r="IT95" i="2"/>
  <c r="IS95" i="2"/>
  <c r="IR95" i="2"/>
  <c r="IQ95" i="2"/>
  <c r="IP95" i="2"/>
  <c r="IO95" i="2"/>
  <c r="IN95" i="2"/>
  <c r="IM95" i="2"/>
  <c r="IL95" i="2"/>
  <c r="IK95" i="2"/>
  <c r="IJ95" i="2"/>
  <c r="II95" i="2"/>
  <c r="IH95" i="2"/>
  <c r="IG95" i="2"/>
  <c r="IF95" i="2"/>
  <c r="IE95" i="2"/>
  <c r="ID95" i="2"/>
  <c r="IC95" i="2"/>
  <c r="IB95" i="2"/>
  <c r="IA95" i="2"/>
  <c r="HZ95" i="2"/>
  <c r="HY95" i="2"/>
  <c r="HX95" i="2"/>
  <c r="HW95" i="2"/>
  <c r="HV95" i="2"/>
  <c r="HU95" i="2"/>
  <c r="HT95" i="2"/>
  <c r="HS95" i="2"/>
  <c r="HR95" i="2"/>
  <c r="HQ95" i="2"/>
  <c r="HP95" i="2"/>
  <c r="HO95" i="2"/>
  <c r="HN95" i="2"/>
  <c r="HM95" i="2"/>
  <c r="HL95" i="2"/>
  <c r="HK95" i="2"/>
  <c r="HJ95" i="2"/>
  <c r="HI95" i="2"/>
  <c r="HH95" i="2"/>
  <c r="HG95" i="2"/>
  <c r="HF95" i="2"/>
  <c r="HE95" i="2"/>
  <c r="HD95" i="2"/>
  <c r="HC95" i="2"/>
  <c r="HB95" i="2"/>
  <c r="HA95" i="2"/>
  <c r="GZ95" i="2"/>
  <c r="GY95" i="2"/>
  <c r="GX95" i="2"/>
  <c r="GW95" i="2"/>
  <c r="GV95" i="2"/>
  <c r="GU95" i="2"/>
  <c r="GT95" i="2"/>
  <c r="GS95" i="2"/>
  <c r="GR95" i="2"/>
  <c r="GQ95" i="2"/>
  <c r="GP95" i="2"/>
  <c r="GO95" i="2"/>
  <c r="GN95" i="2"/>
  <c r="GM95" i="2"/>
  <c r="GL95" i="2"/>
  <c r="GK95" i="2"/>
  <c r="GJ95" i="2"/>
  <c r="GI95" i="2"/>
  <c r="GH95" i="2"/>
  <c r="GG95" i="2"/>
  <c r="GF95" i="2"/>
  <c r="GE95" i="2"/>
  <c r="GD95" i="2"/>
  <c r="GC95" i="2"/>
  <c r="GB95" i="2"/>
  <c r="GA95" i="2"/>
  <c r="FZ95" i="2"/>
  <c r="FY95" i="2"/>
  <c r="FX95" i="2"/>
  <c r="FW95" i="2"/>
  <c r="FV95" i="2"/>
  <c r="FU95" i="2"/>
  <c r="FT95" i="2"/>
  <c r="FS95" i="2"/>
  <c r="FR95" i="2"/>
  <c r="FQ95" i="2"/>
  <c r="FP95" i="2"/>
  <c r="FO95" i="2"/>
  <c r="FN95" i="2"/>
  <c r="FM95" i="2"/>
  <c r="FL95" i="2"/>
  <c r="FK95" i="2"/>
  <c r="FJ95" i="2"/>
  <c r="FI95" i="2"/>
  <c r="FH95" i="2"/>
  <c r="FG95" i="2"/>
  <c r="FF95" i="2"/>
  <c r="FE95" i="2"/>
  <c r="FD95" i="2"/>
  <c r="FC95" i="2"/>
  <c r="FB95" i="2"/>
  <c r="FA95" i="2"/>
  <c r="EZ95" i="2"/>
  <c r="EY95" i="2"/>
  <c r="EX95" i="2"/>
  <c r="EW95" i="2"/>
  <c r="EV95" i="2"/>
  <c r="EU95" i="2"/>
  <c r="ET95" i="2"/>
  <c r="ES95" i="2"/>
  <c r="ER95" i="2"/>
  <c r="EQ95" i="2"/>
  <c r="EP95" i="2"/>
  <c r="EO95" i="2"/>
  <c r="EN95" i="2"/>
  <c r="EM95" i="2"/>
  <c r="EL95" i="2"/>
  <c r="EK95" i="2"/>
  <c r="EJ95" i="2"/>
  <c r="EI95" i="2"/>
  <c r="EH95" i="2"/>
  <c r="EG95" i="2"/>
  <c r="EF95" i="2"/>
  <c r="EE95" i="2"/>
  <c r="ED95" i="2"/>
  <c r="EC95" i="2"/>
  <c r="EB95" i="2"/>
  <c r="EA95" i="2"/>
  <c r="DZ95" i="2"/>
  <c r="DY95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PI94" i="2"/>
  <c r="PH94" i="2"/>
  <c r="PG94" i="2"/>
  <c r="PF94" i="2"/>
  <c r="PE94" i="2"/>
  <c r="PD94" i="2"/>
  <c r="PC94" i="2"/>
  <c r="PB94" i="2"/>
  <c r="PA94" i="2"/>
  <c r="OZ94" i="2"/>
  <c r="OY94" i="2"/>
  <c r="OX94" i="2"/>
  <c r="OW94" i="2"/>
  <c r="OV94" i="2"/>
  <c r="OU94" i="2"/>
  <c r="OT94" i="2"/>
  <c r="OS94" i="2"/>
  <c r="OR94" i="2"/>
  <c r="OQ94" i="2"/>
  <c r="OP94" i="2"/>
  <c r="OO94" i="2"/>
  <c r="ON94" i="2"/>
  <c r="OM94" i="2"/>
  <c r="OL94" i="2"/>
  <c r="OK94" i="2"/>
  <c r="OJ94" i="2"/>
  <c r="OI94" i="2"/>
  <c r="OH94" i="2"/>
  <c r="OG94" i="2"/>
  <c r="OF94" i="2"/>
  <c r="OE94" i="2"/>
  <c r="OD94" i="2"/>
  <c r="OC94" i="2"/>
  <c r="OB94" i="2"/>
  <c r="OA94" i="2"/>
  <c r="NZ94" i="2"/>
  <c r="NY94" i="2"/>
  <c r="NX94" i="2"/>
  <c r="NW94" i="2"/>
  <c r="NV94" i="2"/>
  <c r="NU94" i="2"/>
  <c r="NT94" i="2"/>
  <c r="NS94" i="2"/>
  <c r="NR94" i="2"/>
  <c r="NQ94" i="2"/>
  <c r="NP94" i="2"/>
  <c r="NO94" i="2"/>
  <c r="NN94" i="2"/>
  <c r="NM94" i="2"/>
  <c r="NL94" i="2"/>
  <c r="NK94" i="2"/>
  <c r="NJ94" i="2"/>
  <c r="NI94" i="2"/>
  <c r="NH94" i="2"/>
  <c r="NG94" i="2"/>
  <c r="NF94" i="2"/>
  <c r="NE94" i="2"/>
  <c r="ND94" i="2"/>
  <c r="NC94" i="2"/>
  <c r="NB94" i="2"/>
  <c r="NA94" i="2"/>
  <c r="MZ94" i="2"/>
  <c r="MY94" i="2"/>
  <c r="MX94" i="2"/>
  <c r="MW94" i="2"/>
  <c r="MV94" i="2"/>
  <c r="MU94" i="2"/>
  <c r="MT94" i="2"/>
  <c r="MS94" i="2"/>
  <c r="MR94" i="2"/>
  <c r="MQ94" i="2"/>
  <c r="MP94" i="2"/>
  <c r="MO94" i="2"/>
  <c r="MN94" i="2"/>
  <c r="MM94" i="2"/>
  <c r="ML94" i="2"/>
  <c r="MK94" i="2"/>
  <c r="MJ94" i="2"/>
  <c r="MI94" i="2"/>
  <c r="MH94" i="2"/>
  <c r="MG94" i="2"/>
  <c r="MF94" i="2"/>
  <c r="ME94" i="2"/>
  <c r="MD94" i="2"/>
  <c r="MC94" i="2"/>
  <c r="MB94" i="2"/>
  <c r="MA94" i="2"/>
  <c r="LZ94" i="2"/>
  <c r="LY94" i="2"/>
  <c r="LX94" i="2"/>
  <c r="LW94" i="2"/>
  <c r="LV94" i="2"/>
  <c r="LU94" i="2"/>
  <c r="LT94" i="2"/>
  <c r="LS94" i="2"/>
  <c r="LR94" i="2"/>
  <c r="LQ94" i="2"/>
  <c r="LP94" i="2"/>
  <c r="LO94" i="2"/>
  <c r="LN94" i="2"/>
  <c r="LM94" i="2"/>
  <c r="LL94" i="2"/>
  <c r="LK94" i="2"/>
  <c r="LJ94" i="2"/>
  <c r="LI94" i="2"/>
  <c r="LH94" i="2"/>
  <c r="LG94" i="2"/>
  <c r="LF94" i="2"/>
  <c r="LE94" i="2"/>
  <c r="LD94" i="2"/>
  <c r="LC94" i="2"/>
  <c r="LB94" i="2"/>
  <c r="LA94" i="2"/>
  <c r="KZ94" i="2"/>
  <c r="KY94" i="2"/>
  <c r="KX94" i="2"/>
  <c r="KW94" i="2"/>
  <c r="KV94" i="2"/>
  <c r="KU94" i="2"/>
  <c r="KT94" i="2"/>
  <c r="KS94" i="2"/>
  <c r="KR94" i="2"/>
  <c r="KQ94" i="2"/>
  <c r="KP94" i="2"/>
  <c r="KO94" i="2"/>
  <c r="KN94" i="2"/>
  <c r="KM94" i="2"/>
  <c r="KL94" i="2"/>
  <c r="KK94" i="2"/>
  <c r="KJ94" i="2"/>
  <c r="KI94" i="2"/>
  <c r="KH94" i="2"/>
  <c r="KG94" i="2"/>
  <c r="KF94" i="2"/>
  <c r="KE94" i="2"/>
  <c r="KD94" i="2"/>
  <c r="KC94" i="2"/>
  <c r="KB94" i="2"/>
  <c r="KA94" i="2"/>
  <c r="JZ94" i="2"/>
  <c r="JY94" i="2"/>
  <c r="JX94" i="2"/>
  <c r="JW94" i="2"/>
  <c r="JV94" i="2"/>
  <c r="JU94" i="2"/>
  <c r="JT94" i="2"/>
  <c r="JS94" i="2"/>
  <c r="JR94" i="2"/>
  <c r="JQ94" i="2"/>
  <c r="JP94" i="2"/>
  <c r="JO94" i="2"/>
  <c r="JN94" i="2"/>
  <c r="JM94" i="2"/>
  <c r="JL94" i="2"/>
  <c r="JK94" i="2"/>
  <c r="JJ94" i="2"/>
  <c r="JI94" i="2"/>
  <c r="JH94" i="2"/>
  <c r="JG94" i="2"/>
  <c r="JF94" i="2"/>
  <c r="JE94" i="2"/>
  <c r="JD94" i="2"/>
  <c r="JC94" i="2"/>
  <c r="JB94" i="2"/>
  <c r="JA94" i="2"/>
  <c r="IZ94" i="2"/>
  <c r="IY94" i="2"/>
  <c r="IX94" i="2"/>
  <c r="IW94" i="2"/>
  <c r="IV94" i="2"/>
  <c r="IU94" i="2"/>
  <c r="IT94" i="2"/>
  <c r="IS94" i="2"/>
  <c r="IR94" i="2"/>
  <c r="IQ94" i="2"/>
  <c r="IP94" i="2"/>
  <c r="IO94" i="2"/>
  <c r="IN94" i="2"/>
  <c r="IM94" i="2"/>
  <c r="IL94" i="2"/>
  <c r="IK94" i="2"/>
  <c r="IJ94" i="2"/>
  <c r="II94" i="2"/>
  <c r="IH94" i="2"/>
  <c r="IG94" i="2"/>
  <c r="IF94" i="2"/>
  <c r="IE94" i="2"/>
  <c r="ID94" i="2"/>
  <c r="IC94" i="2"/>
  <c r="IB94" i="2"/>
  <c r="IA94" i="2"/>
  <c r="HZ94" i="2"/>
  <c r="HY94" i="2"/>
  <c r="HX94" i="2"/>
  <c r="HW94" i="2"/>
  <c r="HV94" i="2"/>
  <c r="HU94" i="2"/>
  <c r="HT94" i="2"/>
  <c r="HS94" i="2"/>
  <c r="HR94" i="2"/>
  <c r="HQ94" i="2"/>
  <c r="HP94" i="2"/>
  <c r="HO94" i="2"/>
  <c r="HN94" i="2"/>
  <c r="HM94" i="2"/>
  <c r="HL94" i="2"/>
  <c r="HK94" i="2"/>
  <c r="HJ94" i="2"/>
  <c r="HI94" i="2"/>
  <c r="HH94" i="2"/>
  <c r="HG94" i="2"/>
  <c r="HF94" i="2"/>
  <c r="HE94" i="2"/>
  <c r="HD94" i="2"/>
  <c r="HC94" i="2"/>
  <c r="HB94" i="2"/>
  <c r="HA94" i="2"/>
  <c r="GZ94" i="2"/>
  <c r="GY94" i="2"/>
  <c r="GX94" i="2"/>
  <c r="GW94" i="2"/>
  <c r="GV94" i="2"/>
  <c r="GU94" i="2"/>
  <c r="GT94" i="2"/>
  <c r="GS94" i="2"/>
  <c r="GR94" i="2"/>
  <c r="GQ94" i="2"/>
  <c r="GP94" i="2"/>
  <c r="GO94" i="2"/>
  <c r="GN94" i="2"/>
  <c r="GM94" i="2"/>
  <c r="GL94" i="2"/>
  <c r="GK94" i="2"/>
  <c r="GJ94" i="2"/>
  <c r="GI94" i="2"/>
  <c r="GH94" i="2"/>
  <c r="GG94" i="2"/>
  <c r="GF94" i="2"/>
  <c r="GE94" i="2"/>
  <c r="GD94" i="2"/>
  <c r="GC94" i="2"/>
  <c r="GB94" i="2"/>
  <c r="GA94" i="2"/>
  <c r="FZ94" i="2"/>
  <c r="FY94" i="2"/>
  <c r="FX94" i="2"/>
  <c r="FW94" i="2"/>
  <c r="FV94" i="2"/>
  <c r="FU94" i="2"/>
  <c r="FT94" i="2"/>
  <c r="FS94" i="2"/>
  <c r="FR94" i="2"/>
  <c r="FQ94" i="2"/>
  <c r="FP94" i="2"/>
  <c r="FO94" i="2"/>
  <c r="FN94" i="2"/>
  <c r="FM94" i="2"/>
  <c r="FL94" i="2"/>
  <c r="FK94" i="2"/>
  <c r="FJ94" i="2"/>
  <c r="FI94" i="2"/>
  <c r="FH94" i="2"/>
  <c r="FG94" i="2"/>
  <c r="FF94" i="2"/>
  <c r="FE94" i="2"/>
  <c r="FD94" i="2"/>
  <c r="FC94" i="2"/>
  <c r="FB94" i="2"/>
  <c r="FA94" i="2"/>
  <c r="EZ94" i="2"/>
  <c r="EY94" i="2"/>
  <c r="EX94" i="2"/>
  <c r="EW94" i="2"/>
  <c r="EV94" i="2"/>
  <c r="EU94" i="2"/>
  <c r="ET94" i="2"/>
  <c r="ES94" i="2"/>
  <c r="ER94" i="2"/>
  <c r="EQ94" i="2"/>
  <c r="EP94" i="2"/>
  <c r="EO94" i="2"/>
  <c r="EN94" i="2"/>
  <c r="EM94" i="2"/>
  <c r="EL94" i="2"/>
  <c r="EK94" i="2"/>
  <c r="EJ94" i="2"/>
  <c r="EI94" i="2"/>
  <c r="EH94" i="2"/>
  <c r="EG94" i="2"/>
  <c r="EF94" i="2"/>
  <c r="EE94" i="2"/>
  <c r="ED94" i="2"/>
  <c r="EC94" i="2"/>
  <c r="EB94" i="2"/>
  <c r="EA94" i="2"/>
  <c r="DZ94" i="2"/>
  <c r="DY94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PI93" i="2"/>
  <c r="PH93" i="2"/>
  <c r="PG93" i="2"/>
  <c r="PF93" i="2"/>
  <c r="PE93" i="2"/>
  <c r="PD93" i="2"/>
  <c r="PC93" i="2"/>
  <c r="PB93" i="2"/>
  <c r="PA93" i="2"/>
  <c r="OZ93" i="2"/>
  <c r="OY93" i="2"/>
  <c r="OX93" i="2"/>
  <c r="OW93" i="2"/>
  <c r="OV93" i="2"/>
  <c r="OU93" i="2"/>
  <c r="OT93" i="2"/>
  <c r="OS93" i="2"/>
  <c r="OR93" i="2"/>
  <c r="OQ93" i="2"/>
  <c r="OP93" i="2"/>
  <c r="OO93" i="2"/>
  <c r="ON93" i="2"/>
  <c r="OM93" i="2"/>
  <c r="OL93" i="2"/>
  <c r="OK93" i="2"/>
  <c r="OJ93" i="2"/>
  <c r="OI93" i="2"/>
  <c r="OH93" i="2"/>
  <c r="OG93" i="2"/>
  <c r="OF93" i="2"/>
  <c r="OE93" i="2"/>
  <c r="OD93" i="2"/>
  <c r="OC93" i="2"/>
  <c r="OB93" i="2"/>
  <c r="OA93" i="2"/>
  <c r="NZ93" i="2"/>
  <c r="NY93" i="2"/>
  <c r="NX93" i="2"/>
  <c r="NW93" i="2"/>
  <c r="NV93" i="2"/>
  <c r="NU93" i="2"/>
  <c r="NT93" i="2"/>
  <c r="NS93" i="2"/>
  <c r="NR93" i="2"/>
  <c r="NQ93" i="2"/>
  <c r="NP93" i="2"/>
  <c r="NO93" i="2"/>
  <c r="NN93" i="2"/>
  <c r="NM93" i="2"/>
  <c r="NL93" i="2"/>
  <c r="NK93" i="2"/>
  <c r="NJ93" i="2"/>
  <c r="NI93" i="2"/>
  <c r="NH93" i="2"/>
  <c r="NG93" i="2"/>
  <c r="NF93" i="2"/>
  <c r="NE93" i="2"/>
  <c r="ND93" i="2"/>
  <c r="NC93" i="2"/>
  <c r="NB93" i="2"/>
  <c r="NA93" i="2"/>
  <c r="MZ93" i="2"/>
  <c r="MY93" i="2"/>
  <c r="MX93" i="2"/>
  <c r="MW93" i="2"/>
  <c r="MV93" i="2"/>
  <c r="MU93" i="2"/>
  <c r="MT93" i="2"/>
  <c r="MS93" i="2"/>
  <c r="MR93" i="2"/>
  <c r="MQ93" i="2"/>
  <c r="MP93" i="2"/>
  <c r="MO93" i="2"/>
  <c r="MN93" i="2"/>
  <c r="MM93" i="2"/>
  <c r="ML93" i="2"/>
  <c r="MK93" i="2"/>
  <c r="MJ93" i="2"/>
  <c r="MI93" i="2"/>
  <c r="MH93" i="2"/>
  <c r="MG93" i="2"/>
  <c r="MF93" i="2"/>
  <c r="ME93" i="2"/>
  <c r="MD93" i="2"/>
  <c r="MC93" i="2"/>
  <c r="MB93" i="2"/>
  <c r="MA93" i="2"/>
  <c r="LZ93" i="2"/>
  <c r="LY93" i="2"/>
  <c r="LX93" i="2"/>
  <c r="LW93" i="2"/>
  <c r="LV93" i="2"/>
  <c r="LU93" i="2"/>
  <c r="LT93" i="2"/>
  <c r="LS93" i="2"/>
  <c r="LR93" i="2"/>
  <c r="LQ93" i="2"/>
  <c r="LP93" i="2"/>
  <c r="LO93" i="2"/>
  <c r="LN93" i="2"/>
  <c r="LM93" i="2"/>
  <c r="LL93" i="2"/>
  <c r="LK93" i="2"/>
  <c r="LJ93" i="2"/>
  <c r="LI93" i="2"/>
  <c r="LH93" i="2"/>
  <c r="LG93" i="2"/>
  <c r="LF93" i="2"/>
  <c r="LE93" i="2"/>
  <c r="LD93" i="2"/>
  <c r="LC93" i="2"/>
  <c r="LB93" i="2"/>
  <c r="LA93" i="2"/>
  <c r="KZ93" i="2"/>
  <c r="KY93" i="2"/>
  <c r="KX93" i="2"/>
  <c r="KW93" i="2"/>
  <c r="KV93" i="2"/>
  <c r="KU93" i="2"/>
  <c r="KT93" i="2"/>
  <c r="KS93" i="2"/>
  <c r="KR93" i="2"/>
  <c r="KQ93" i="2"/>
  <c r="KP93" i="2"/>
  <c r="KO93" i="2"/>
  <c r="KN93" i="2"/>
  <c r="KM93" i="2"/>
  <c r="KL93" i="2"/>
  <c r="KK93" i="2"/>
  <c r="KJ93" i="2"/>
  <c r="KI93" i="2"/>
  <c r="KH93" i="2"/>
  <c r="KG93" i="2"/>
  <c r="KF93" i="2"/>
  <c r="KE93" i="2"/>
  <c r="KD93" i="2"/>
  <c r="KC93" i="2"/>
  <c r="KB93" i="2"/>
  <c r="KA93" i="2"/>
  <c r="JZ93" i="2"/>
  <c r="JY93" i="2"/>
  <c r="JX93" i="2"/>
  <c r="JW93" i="2"/>
  <c r="JV93" i="2"/>
  <c r="JU93" i="2"/>
  <c r="JT93" i="2"/>
  <c r="JS93" i="2"/>
  <c r="JR93" i="2"/>
  <c r="JQ93" i="2"/>
  <c r="JP93" i="2"/>
  <c r="JO93" i="2"/>
  <c r="JN93" i="2"/>
  <c r="JM93" i="2"/>
  <c r="JL93" i="2"/>
  <c r="JK93" i="2"/>
  <c r="JJ93" i="2"/>
  <c r="JI93" i="2"/>
  <c r="JH93" i="2"/>
  <c r="JG93" i="2"/>
  <c r="JF93" i="2"/>
  <c r="JE93" i="2"/>
  <c r="JD93" i="2"/>
  <c r="JC93" i="2"/>
  <c r="JB93" i="2"/>
  <c r="JA93" i="2"/>
  <c r="IZ93" i="2"/>
  <c r="IY93" i="2"/>
  <c r="IX93" i="2"/>
  <c r="IW93" i="2"/>
  <c r="IV93" i="2"/>
  <c r="IU93" i="2"/>
  <c r="IT93" i="2"/>
  <c r="IS93" i="2"/>
  <c r="IR93" i="2"/>
  <c r="IQ93" i="2"/>
  <c r="IP93" i="2"/>
  <c r="IO93" i="2"/>
  <c r="IN93" i="2"/>
  <c r="IM93" i="2"/>
  <c r="IL93" i="2"/>
  <c r="IK93" i="2"/>
  <c r="IJ93" i="2"/>
  <c r="II93" i="2"/>
  <c r="IH93" i="2"/>
  <c r="IG93" i="2"/>
  <c r="IF93" i="2"/>
  <c r="IE93" i="2"/>
  <c r="ID93" i="2"/>
  <c r="IC93" i="2"/>
  <c r="IB93" i="2"/>
  <c r="IA93" i="2"/>
  <c r="HZ93" i="2"/>
  <c r="HY93" i="2"/>
  <c r="HX93" i="2"/>
  <c r="HW93" i="2"/>
  <c r="HV93" i="2"/>
  <c r="HU93" i="2"/>
  <c r="HT93" i="2"/>
  <c r="HS93" i="2"/>
  <c r="HR93" i="2"/>
  <c r="HQ93" i="2"/>
  <c r="HP93" i="2"/>
  <c r="HO93" i="2"/>
  <c r="HN93" i="2"/>
  <c r="HM93" i="2"/>
  <c r="HL93" i="2"/>
  <c r="HK93" i="2"/>
  <c r="HJ93" i="2"/>
  <c r="HI93" i="2"/>
  <c r="HH93" i="2"/>
  <c r="HG93" i="2"/>
  <c r="HF93" i="2"/>
  <c r="HE93" i="2"/>
  <c r="HD93" i="2"/>
  <c r="HC93" i="2"/>
  <c r="HB93" i="2"/>
  <c r="HA93" i="2"/>
  <c r="GZ93" i="2"/>
  <c r="GY93" i="2"/>
  <c r="GX93" i="2"/>
  <c r="GW93" i="2"/>
  <c r="GV93" i="2"/>
  <c r="GU93" i="2"/>
  <c r="GT93" i="2"/>
  <c r="GS93" i="2"/>
  <c r="GR93" i="2"/>
  <c r="GQ93" i="2"/>
  <c r="GP93" i="2"/>
  <c r="GO93" i="2"/>
  <c r="GN93" i="2"/>
  <c r="GM93" i="2"/>
  <c r="GL93" i="2"/>
  <c r="GK93" i="2"/>
  <c r="GJ93" i="2"/>
  <c r="GI93" i="2"/>
  <c r="GH93" i="2"/>
  <c r="GG93" i="2"/>
  <c r="GF93" i="2"/>
  <c r="GE93" i="2"/>
  <c r="GD93" i="2"/>
  <c r="GC93" i="2"/>
  <c r="GB93" i="2"/>
  <c r="GA93" i="2"/>
  <c r="FZ93" i="2"/>
  <c r="FY93" i="2"/>
  <c r="FX93" i="2"/>
  <c r="FW93" i="2"/>
  <c r="FV93" i="2"/>
  <c r="FU93" i="2"/>
  <c r="FT93" i="2"/>
  <c r="FS93" i="2"/>
  <c r="FR93" i="2"/>
  <c r="FQ93" i="2"/>
  <c r="FP93" i="2"/>
  <c r="FO93" i="2"/>
  <c r="FN93" i="2"/>
  <c r="FM93" i="2"/>
  <c r="FL93" i="2"/>
  <c r="FK93" i="2"/>
  <c r="FJ93" i="2"/>
  <c r="FI93" i="2"/>
  <c r="FH93" i="2"/>
  <c r="FG93" i="2"/>
  <c r="FF93" i="2"/>
  <c r="FE93" i="2"/>
  <c r="FD93" i="2"/>
  <c r="FC93" i="2"/>
  <c r="FB93" i="2"/>
  <c r="FA93" i="2"/>
  <c r="EZ93" i="2"/>
  <c r="EY93" i="2"/>
  <c r="EX93" i="2"/>
  <c r="EW93" i="2"/>
  <c r="EV93" i="2"/>
  <c r="EU93" i="2"/>
  <c r="ET93" i="2"/>
  <c r="ES93" i="2"/>
  <c r="ER93" i="2"/>
  <c r="EQ93" i="2"/>
  <c r="EP93" i="2"/>
  <c r="EO93" i="2"/>
  <c r="EN93" i="2"/>
  <c r="EM93" i="2"/>
  <c r="EL93" i="2"/>
  <c r="EK93" i="2"/>
  <c r="EJ93" i="2"/>
  <c r="EI93" i="2"/>
  <c r="EH93" i="2"/>
  <c r="EG93" i="2"/>
  <c r="EF93" i="2"/>
  <c r="EE93" i="2"/>
  <c r="ED93" i="2"/>
  <c r="EC93" i="2"/>
  <c r="EB93" i="2"/>
  <c r="EA93" i="2"/>
  <c r="DZ93" i="2"/>
  <c r="DY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DG93" i="2"/>
  <c r="DF93" i="2"/>
  <c r="DE93" i="2"/>
  <c r="DD93" i="2"/>
  <c r="DC93" i="2"/>
  <c r="DB93" i="2"/>
  <c r="DA93" i="2"/>
  <c r="CZ93" i="2"/>
  <c r="CY93" i="2"/>
  <c r="CX93" i="2"/>
  <c r="CW93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PI92" i="2"/>
  <c r="PH92" i="2"/>
  <c r="PG92" i="2"/>
  <c r="PF92" i="2"/>
  <c r="PE92" i="2"/>
  <c r="PD92" i="2"/>
  <c r="PC92" i="2"/>
  <c r="PB92" i="2"/>
  <c r="PA92" i="2"/>
  <c r="OZ92" i="2"/>
  <c r="OY92" i="2"/>
  <c r="OX92" i="2"/>
  <c r="OW92" i="2"/>
  <c r="OV92" i="2"/>
  <c r="OU92" i="2"/>
  <c r="OT92" i="2"/>
  <c r="OS92" i="2"/>
  <c r="OR92" i="2"/>
  <c r="OQ92" i="2"/>
  <c r="OP92" i="2"/>
  <c r="OO92" i="2"/>
  <c r="ON92" i="2"/>
  <c r="OM92" i="2"/>
  <c r="OL92" i="2"/>
  <c r="OK92" i="2"/>
  <c r="OJ92" i="2"/>
  <c r="OI92" i="2"/>
  <c r="OH92" i="2"/>
  <c r="OG92" i="2"/>
  <c r="OF92" i="2"/>
  <c r="OE92" i="2"/>
  <c r="OD92" i="2"/>
  <c r="OC92" i="2"/>
  <c r="OB92" i="2"/>
  <c r="OA92" i="2"/>
  <c r="NZ92" i="2"/>
  <c r="NY92" i="2"/>
  <c r="NX92" i="2"/>
  <c r="NW92" i="2"/>
  <c r="NV92" i="2"/>
  <c r="NU92" i="2"/>
  <c r="NT92" i="2"/>
  <c r="NS92" i="2"/>
  <c r="NR92" i="2"/>
  <c r="NQ92" i="2"/>
  <c r="NP92" i="2"/>
  <c r="NO92" i="2"/>
  <c r="NN92" i="2"/>
  <c r="NM92" i="2"/>
  <c r="NL92" i="2"/>
  <c r="NK92" i="2"/>
  <c r="NJ92" i="2"/>
  <c r="NI92" i="2"/>
  <c r="NH92" i="2"/>
  <c r="NG92" i="2"/>
  <c r="NF92" i="2"/>
  <c r="NE92" i="2"/>
  <c r="ND92" i="2"/>
  <c r="NC92" i="2"/>
  <c r="NB92" i="2"/>
  <c r="NA92" i="2"/>
  <c r="MZ92" i="2"/>
  <c r="MY92" i="2"/>
  <c r="MX92" i="2"/>
  <c r="MW92" i="2"/>
  <c r="MV92" i="2"/>
  <c r="MU92" i="2"/>
  <c r="MT92" i="2"/>
  <c r="MS92" i="2"/>
  <c r="MR92" i="2"/>
  <c r="MQ92" i="2"/>
  <c r="MP92" i="2"/>
  <c r="MO92" i="2"/>
  <c r="MN92" i="2"/>
  <c r="MM92" i="2"/>
  <c r="ML92" i="2"/>
  <c r="MK92" i="2"/>
  <c r="MJ92" i="2"/>
  <c r="MI92" i="2"/>
  <c r="MH92" i="2"/>
  <c r="MG92" i="2"/>
  <c r="MF92" i="2"/>
  <c r="ME92" i="2"/>
  <c r="MD92" i="2"/>
  <c r="MC92" i="2"/>
  <c r="MB92" i="2"/>
  <c r="MA92" i="2"/>
  <c r="LZ92" i="2"/>
  <c r="LY92" i="2"/>
  <c r="LX92" i="2"/>
  <c r="LW92" i="2"/>
  <c r="LV92" i="2"/>
  <c r="LU92" i="2"/>
  <c r="LT92" i="2"/>
  <c r="LS92" i="2"/>
  <c r="LR92" i="2"/>
  <c r="LQ92" i="2"/>
  <c r="LP92" i="2"/>
  <c r="LO92" i="2"/>
  <c r="LN92" i="2"/>
  <c r="LM92" i="2"/>
  <c r="LL92" i="2"/>
  <c r="LK92" i="2"/>
  <c r="LJ92" i="2"/>
  <c r="LI92" i="2"/>
  <c r="LH92" i="2"/>
  <c r="LG92" i="2"/>
  <c r="LF92" i="2"/>
  <c r="LE92" i="2"/>
  <c r="LD92" i="2"/>
  <c r="LC92" i="2"/>
  <c r="LB92" i="2"/>
  <c r="LA92" i="2"/>
  <c r="KZ92" i="2"/>
  <c r="KY92" i="2"/>
  <c r="KX92" i="2"/>
  <c r="KW92" i="2"/>
  <c r="KV92" i="2"/>
  <c r="KU92" i="2"/>
  <c r="KT92" i="2"/>
  <c r="KS92" i="2"/>
  <c r="KR92" i="2"/>
  <c r="KQ92" i="2"/>
  <c r="KP92" i="2"/>
  <c r="KO92" i="2"/>
  <c r="KN92" i="2"/>
  <c r="KM92" i="2"/>
  <c r="KL92" i="2"/>
  <c r="KK92" i="2"/>
  <c r="KJ92" i="2"/>
  <c r="KI92" i="2"/>
  <c r="KH92" i="2"/>
  <c r="KG92" i="2"/>
  <c r="KF92" i="2"/>
  <c r="KE92" i="2"/>
  <c r="KD92" i="2"/>
  <c r="KC92" i="2"/>
  <c r="KB92" i="2"/>
  <c r="KA92" i="2"/>
  <c r="JZ92" i="2"/>
  <c r="JY92" i="2"/>
  <c r="JX92" i="2"/>
  <c r="JW92" i="2"/>
  <c r="JV92" i="2"/>
  <c r="JU92" i="2"/>
  <c r="JT92" i="2"/>
  <c r="JS92" i="2"/>
  <c r="JR92" i="2"/>
  <c r="JQ92" i="2"/>
  <c r="JP92" i="2"/>
  <c r="JO92" i="2"/>
  <c r="JN92" i="2"/>
  <c r="JM92" i="2"/>
  <c r="JL92" i="2"/>
  <c r="JK92" i="2"/>
  <c r="JJ92" i="2"/>
  <c r="JI92" i="2"/>
  <c r="JH92" i="2"/>
  <c r="JG92" i="2"/>
  <c r="JF92" i="2"/>
  <c r="JE92" i="2"/>
  <c r="JD92" i="2"/>
  <c r="JC92" i="2"/>
  <c r="JB92" i="2"/>
  <c r="JA92" i="2"/>
  <c r="IZ92" i="2"/>
  <c r="IY92" i="2"/>
  <c r="IX92" i="2"/>
  <c r="IW92" i="2"/>
  <c r="IV92" i="2"/>
  <c r="IU92" i="2"/>
  <c r="IT92" i="2"/>
  <c r="IS92" i="2"/>
  <c r="IR92" i="2"/>
  <c r="IQ92" i="2"/>
  <c r="IP92" i="2"/>
  <c r="IO92" i="2"/>
  <c r="IN92" i="2"/>
  <c r="IM92" i="2"/>
  <c r="IL92" i="2"/>
  <c r="IK92" i="2"/>
  <c r="IJ92" i="2"/>
  <c r="II92" i="2"/>
  <c r="IH92" i="2"/>
  <c r="IG92" i="2"/>
  <c r="IF92" i="2"/>
  <c r="IE92" i="2"/>
  <c r="ID92" i="2"/>
  <c r="IC92" i="2"/>
  <c r="IB92" i="2"/>
  <c r="IA92" i="2"/>
  <c r="HZ92" i="2"/>
  <c r="HY92" i="2"/>
  <c r="HX92" i="2"/>
  <c r="HW92" i="2"/>
  <c r="HV92" i="2"/>
  <c r="HU92" i="2"/>
  <c r="HT92" i="2"/>
  <c r="HS92" i="2"/>
  <c r="HR92" i="2"/>
  <c r="HQ92" i="2"/>
  <c r="HP92" i="2"/>
  <c r="HO92" i="2"/>
  <c r="HN92" i="2"/>
  <c r="HM92" i="2"/>
  <c r="HL92" i="2"/>
  <c r="HK92" i="2"/>
  <c r="HJ92" i="2"/>
  <c r="HI92" i="2"/>
  <c r="HH92" i="2"/>
  <c r="HG92" i="2"/>
  <c r="HF92" i="2"/>
  <c r="HE92" i="2"/>
  <c r="HD92" i="2"/>
  <c r="HC92" i="2"/>
  <c r="HB92" i="2"/>
  <c r="HA92" i="2"/>
  <c r="GZ92" i="2"/>
  <c r="GY92" i="2"/>
  <c r="GX92" i="2"/>
  <c r="GW92" i="2"/>
  <c r="GV92" i="2"/>
  <c r="GU92" i="2"/>
  <c r="GT92" i="2"/>
  <c r="GS92" i="2"/>
  <c r="GR92" i="2"/>
  <c r="GQ92" i="2"/>
  <c r="GP92" i="2"/>
  <c r="GO92" i="2"/>
  <c r="GN92" i="2"/>
  <c r="GM92" i="2"/>
  <c r="GL92" i="2"/>
  <c r="GK92" i="2"/>
  <c r="GJ92" i="2"/>
  <c r="GI92" i="2"/>
  <c r="GH92" i="2"/>
  <c r="GG92" i="2"/>
  <c r="GF92" i="2"/>
  <c r="GE92" i="2"/>
  <c r="GD92" i="2"/>
  <c r="GC92" i="2"/>
  <c r="GB92" i="2"/>
  <c r="GA92" i="2"/>
  <c r="FZ92" i="2"/>
  <c r="FY92" i="2"/>
  <c r="FX92" i="2"/>
  <c r="FW92" i="2"/>
  <c r="FV92" i="2"/>
  <c r="FU92" i="2"/>
  <c r="FT92" i="2"/>
  <c r="FS92" i="2"/>
  <c r="FR92" i="2"/>
  <c r="FQ92" i="2"/>
  <c r="FP92" i="2"/>
  <c r="FO92" i="2"/>
  <c r="FN92" i="2"/>
  <c r="FM92" i="2"/>
  <c r="FL92" i="2"/>
  <c r="FK92" i="2"/>
  <c r="FJ92" i="2"/>
  <c r="FI92" i="2"/>
  <c r="FH92" i="2"/>
  <c r="FG92" i="2"/>
  <c r="FF92" i="2"/>
  <c r="FE92" i="2"/>
  <c r="FD92" i="2"/>
  <c r="FC92" i="2"/>
  <c r="FB92" i="2"/>
  <c r="FA92" i="2"/>
  <c r="EZ92" i="2"/>
  <c r="EY92" i="2"/>
  <c r="EX92" i="2"/>
  <c r="EW92" i="2"/>
  <c r="EV92" i="2"/>
  <c r="EU92" i="2"/>
  <c r="ET92" i="2"/>
  <c r="ES92" i="2"/>
  <c r="ER92" i="2"/>
  <c r="EQ92" i="2"/>
  <c r="EP92" i="2"/>
  <c r="EO92" i="2"/>
  <c r="EN92" i="2"/>
  <c r="EM92" i="2"/>
  <c r="EL92" i="2"/>
  <c r="EK92" i="2"/>
  <c r="EJ92" i="2"/>
  <c r="EI92" i="2"/>
  <c r="EH92" i="2"/>
  <c r="EG92" i="2"/>
  <c r="EF92" i="2"/>
  <c r="EE92" i="2"/>
  <c r="ED92" i="2"/>
  <c r="EC92" i="2"/>
  <c r="EB92" i="2"/>
  <c r="EA92" i="2"/>
  <c r="DZ92" i="2"/>
  <c r="DY92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PI91" i="2"/>
  <c r="PH91" i="2"/>
  <c r="PG91" i="2"/>
  <c r="PF91" i="2"/>
  <c r="PE91" i="2"/>
  <c r="PD91" i="2"/>
  <c r="PC91" i="2"/>
  <c r="PB91" i="2"/>
  <c r="PA91" i="2"/>
  <c r="OZ91" i="2"/>
  <c r="OY91" i="2"/>
  <c r="OX91" i="2"/>
  <c r="OW91" i="2"/>
  <c r="OV91" i="2"/>
  <c r="OU91" i="2"/>
  <c r="OT91" i="2"/>
  <c r="OS91" i="2"/>
  <c r="OR91" i="2"/>
  <c r="OQ91" i="2"/>
  <c r="OP91" i="2"/>
  <c r="OO91" i="2"/>
  <c r="ON91" i="2"/>
  <c r="OM91" i="2"/>
  <c r="OL91" i="2"/>
  <c r="OK91" i="2"/>
  <c r="OJ91" i="2"/>
  <c r="OI91" i="2"/>
  <c r="OH91" i="2"/>
  <c r="OG91" i="2"/>
  <c r="OF91" i="2"/>
  <c r="OE91" i="2"/>
  <c r="OD91" i="2"/>
  <c r="OC91" i="2"/>
  <c r="OB91" i="2"/>
  <c r="OA91" i="2"/>
  <c r="NZ91" i="2"/>
  <c r="NY91" i="2"/>
  <c r="NX91" i="2"/>
  <c r="NW91" i="2"/>
  <c r="NV91" i="2"/>
  <c r="NU91" i="2"/>
  <c r="NT91" i="2"/>
  <c r="NS91" i="2"/>
  <c r="NR91" i="2"/>
  <c r="NQ91" i="2"/>
  <c r="NP91" i="2"/>
  <c r="NO91" i="2"/>
  <c r="NN91" i="2"/>
  <c r="NM91" i="2"/>
  <c r="NL91" i="2"/>
  <c r="NK91" i="2"/>
  <c r="NJ91" i="2"/>
  <c r="NI91" i="2"/>
  <c r="NH91" i="2"/>
  <c r="NG91" i="2"/>
  <c r="NF91" i="2"/>
  <c r="NE91" i="2"/>
  <c r="ND91" i="2"/>
  <c r="NC91" i="2"/>
  <c r="NB91" i="2"/>
  <c r="NA91" i="2"/>
  <c r="MZ91" i="2"/>
  <c r="MY91" i="2"/>
  <c r="MX91" i="2"/>
  <c r="MW91" i="2"/>
  <c r="MV91" i="2"/>
  <c r="MU91" i="2"/>
  <c r="MT91" i="2"/>
  <c r="MS91" i="2"/>
  <c r="MR91" i="2"/>
  <c r="MQ91" i="2"/>
  <c r="MP91" i="2"/>
  <c r="MO91" i="2"/>
  <c r="MN91" i="2"/>
  <c r="MM91" i="2"/>
  <c r="ML91" i="2"/>
  <c r="MK91" i="2"/>
  <c r="MJ91" i="2"/>
  <c r="MI91" i="2"/>
  <c r="MH91" i="2"/>
  <c r="MG91" i="2"/>
  <c r="MF91" i="2"/>
  <c r="ME91" i="2"/>
  <c r="MD91" i="2"/>
  <c r="MC91" i="2"/>
  <c r="MB91" i="2"/>
  <c r="MA91" i="2"/>
  <c r="LZ91" i="2"/>
  <c r="LY91" i="2"/>
  <c r="LX91" i="2"/>
  <c r="LW91" i="2"/>
  <c r="LV91" i="2"/>
  <c r="LU91" i="2"/>
  <c r="LT91" i="2"/>
  <c r="LS91" i="2"/>
  <c r="LR91" i="2"/>
  <c r="LQ91" i="2"/>
  <c r="LP91" i="2"/>
  <c r="LO91" i="2"/>
  <c r="LN91" i="2"/>
  <c r="LM91" i="2"/>
  <c r="LL91" i="2"/>
  <c r="LK91" i="2"/>
  <c r="LJ91" i="2"/>
  <c r="LI91" i="2"/>
  <c r="LH91" i="2"/>
  <c r="LG91" i="2"/>
  <c r="LF91" i="2"/>
  <c r="LE91" i="2"/>
  <c r="LD91" i="2"/>
  <c r="LC91" i="2"/>
  <c r="LB91" i="2"/>
  <c r="LA91" i="2"/>
  <c r="KZ91" i="2"/>
  <c r="KY91" i="2"/>
  <c r="KX91" i="2"/>
  <c r="KW91" i="2"/>
  <c r="KV91" i="2"/>
  <c r="KU91" i="2"/>
  <c r="KT91" i="2"/>
  <c r="KS91" i="2"/>
  <c r="KR91" i="2"/>
  <c r="KQ91" i="2"/>
  <c r="KP91" i="2"/>
  <c r="KO91" i="2"/>
  <c r="KN91" i="2"/>
  <c r="KM91" i="2"/>
  <c r="KL91" i="2"/>
  <c r="KK91" i="2"/>
  <c r="KJ91" i="2"/>
  <c r="KI91" i="2"/>
  <c r="KH91" i="2"/>
  <c r="KG91" i="2"/>
  <c r="KF91" i="2"/>
  <c r="KE91" i="2"/>
  <c r="KD91" i="2"/>
  <c r="KC91" i="2"/>
  <c r="KB91" i="2"/>
  <c r="KA91" i="2"/>
  <c r="JZ91" i="2"/>
  <c r="JY91" i="2"/>
  <c r="JX91" i="2"/>
  <c r="JW91" i="2"/>
  <c r="JV91" i="2"/>
  <c r="JU91" i="2"/>
  <c r="JT91" i="2"/>
  <c r="JS91" i="2"/>
  <c r="JR91" i="2"/>
  <c r="JQ91" i="2"/>
  <c r="JP91" i="2"/>
  <c r="JO91" i="2"/>
  <c r="JN91" i="2"/>
  <c r="JM91" i="2"/>
  <c r="JL91" i="2"/>
  <c r="JK91" i="2"/>
  <c r="JJ91" i="2"/>
  <c r="JI91" i="2"/>
  <c r="JH91" i="2"/>
  <c r="JG91" i="2"/>
  <c r="JF91" i="2"/>
  <c r="JE91" i="2"/>
  <c r="JD91" i="2"/>
  <c r="JC91" i="2"/>
  <c r="JB91" i="2"/>
  <c r="JA91" i="2"/>
  <c r="IZ91" i="2"/>
  <c r="IY91" i="2"/>
  <c r="IX91" i="2"/>
  <c r="IW91" i="2"/>
  <c r="IV91" i="2"/>
  <c r="IU91" i="2"/>
  <c r="IT91" i="2"/>
  <c r="IS91" i="2"/>
  <c r="IR91" i="2"/>
  <c r="IQ91" i="2"/>
  <c r="IP91" i="2"/>
  <c r="IO91" i="2"/>
  <c r="IN91" i="2"/>
  <c r="IM91" i="2"/>
  <c r="IL91" i="2"/>
  <c r="IK91" i="2"/>
  <c r="IJ91" i="2"/>
  <c r="II91" i="2"/>
  <c r="IH91" i="2"/>
  <c r="IG91" i="2"/>
  <c r="IF91" i="2"/>
  <c r="IE91" i="2"/>
  <c r="ID91" i="2"/>
  <c r="IC91" i="2"/>
  <c r="IB91" i="2"/>
  <c r="IA91" i="2"/>
  <c r="HZ91" i="2"/>
  <c r="HY91" i="2"/>
  <c r="HX91" i="2"/>
  <c r="HW91" i="2"/>
  <c r="HV91" i="2"/>
  <c r="HU91" i="2"/>
  <c r="HT91" i="2"/>
  <c r="HS91" i="2"/>
  <c r="HR91" i="2"/>
  <c r="HQ91" i="2"/>
  <c r="HP91" i="2"/>
  <c r="HO91" i="2"/>
  <c r="HN91" i="2"/>
  <c r="HM91" i="2"/>
  <c r="HL91" i="2"/>
  <c r="HK91" i="2"/>
  <c r="HJ91" i="2"/>
  <c r="HI91" i="2"/>
  <c r="HH91" i="2"/>
  <c r="HG91" i="2"/>
  <c r="HF91" i="2"/>
  <c r="HE91" i="2"/>
  <c r="HD91" i="2"/>
  <c r="HC91" i="2"/>
  <c r="HB91" i="2"/>
  <c r="HA91" i="2"/>
  <c r="GZ91" i="2"/>
  <c r="GY91" i="2"/>
  <c r="GX91" i="2"/>
  <c r="GW91" i="2"/>
  <c r="GV91" i="2"/>
  <c r="GU91" i="2"/>
  <c r="GT91" i="2"/>
  <c r="GS91" i="2"/>
  <c r="GR91" i="2"/>
  <c r="GQ91" i="2"/>
  <c r="GP91" i="2"/>
  <c r="GO91" i="2"/>
  <c r="GN91" i="2"/>
  <c r="GM91" i="2"/>
  <c r="GL91" i="2"/>
  <c r="GK91" i="2"/>
  <c r="GJ91" i="2"/>
  <c r="GI91" i="2"/>
  <c r="GH91" i="2"/>
  <c r="GG91" i="2"/>
  <c r="GF91" i="2"/>
  <c r="GE91" i="2"/>
  <c r="GD91" i="2"/>
  <c r="GC91" i="2"/>
  <c r="GB91" i="2"/>
  <c r="GA91" i="2"/>
  <c r="FZ91" i="2"/>
  <c r="FY91" i="2"/>
  <c r="FX91" i="2"/>
  <c r="FW91" i="2"/>
  <c r="FV91" i="2"/>
  <c r="FU91" i="2"/>
  <c r="FT91" i="2"/>
  <c r="FS91" i="2"/>
  <c r="FR91" i="2"/>
  <c r="FQ91" i="2"/>
  <c r="FP91" i="2"/>
  <c r="FO91" i="2"/>
  <c r="FN91" i="2"/>
  <c r="FM91" i="2"/>
  <c r="FL91" i="2"/>
  <c r="FK91" i="2"/>
  <c r="FJ91" i="2"/>
  <c r="FI91" i="2"/>
  <c r="FH91" i="2"/>
  <c r="FG91" i="2"/>
  <c r="FF91" i="2"/>
  <c r="FE91" i="2"/>
  <c r="FD91" i="2"/>
  <c r="FC91" i="2"/>
  <c r="FB91" i="2"/>
  <c r="FA91" i="2"/>
  <c r="EZ91" i="2"/>
  <c r="EY91" i="2"/>
  <c r="EX91" i="2"/>
  <c r="EW91" i="2"/>
  <c r="EV91" i="2"/>
  <c r="EU91" i="2"/>
  <c r="ET91" i="2"/>
  <c r="ES91" i="2"/>
  <c r="ER91" i="2"/>
  <c r="EQ91" i="2"/>
  <c r="EP91" i="2"/>
  <c r="EO91" i="2"/>
  <c r="EN91" i="2"/>
  <c r="EM91" i="2"/>
  <c r="EL91" i="2"/>
  <c r="EK91" i="2"/>
  <c r="EJ91" i="2"/>
  <c r="EI91" i="2"/>
  <c r="EH91" i="2"/>
  <c r="EG91" i="2"/>
  <c r="EF91" i="2"/>
  <c r="EE91" i="2"/>
  <c r="ED91" i="2"/>
  <c r="EC91" i="2"/>
  <c r="EB91" i="2"/>
  <c r="EA91" i="2"/>
  <c r="DZ91" i="2"/>
  <c r="DY91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PI90" i="2"/>
  <c r="PH90" i="2"/>
  <c r="PG90" i="2"/>
  <c r="PF90" i="2"/>
  <c r="PE90" i="2"/>
  <c r="PD90" i="2"/>
  <c r="PC90" i="2"/>
  <c r="PB90" i="2"/>
  <c r="PA90" i="2"/>
  <c r="OZ90" i="2"/>
  <c r="OY90" i="2"/>
  <c r="OX90" i="2"/>
  <c r="OW90" i="2"/>
  <c r="OV90" i="2"/>
  <c r="OU90" i="2"/>
  <c r="OT90" i="2"/>
  <c r="OS90" i="2"/>
  <c r="OR90" i="2"/>
  <c r="OQ90" i="2"/>
  <c r="OP90" i="2"/>
  <c r="OO90" i="2"/>
  <c r="ON90" i="2"/>
  <c r="OM90" i="2"/>
  <c r="OL90" i="2"/>
  <c r="OK90" i="2"/>
  <c r="OJ90" i="2"/>
  <c r="OI90" i="2"/>
  <c r="OH90" i="2"/>
  <c r="OG90" i="2"/>
  <c r="OF90" i="2"/>
  <c r="OE90" i="2"/>
  <c r="OD90" i="2"/>
  <c r="OC90" i="2"/>
  <c r="OB90" i="2"/>
  <c r="OA90" i="2"/>
  <c r="NZ90" i="2"/>
  <c r="NY90" i="2"/>
  <c r="NX90" i="2"/>
  <c r="NW90" i="2"/>
  <c r="NV90" i="2"/>
  <c r="NU90" i="2"/>
  <c r="NT90" i="2"/>
  <c r="NS90" i="2"/>
  <c r="NR90" i="2"/>
  <c r="NQ90" i="2"/>
  <c r="NP90" i="2"/>
  <c r="NO90" i="2"/>
  <c r="NN90" i="2"/>
  <c r="NM90" i="2"/>
  <c r="NL90" i="2"/>
  <c r="NK90" i="2"/>
  <c r="NJ90" i="2"/>
  <c r="NI90" i="2"/>
  <c r="NH90" i="2"/>
  <c r="NG90" i="2"/>
  <c r="NF90" i="2"/>
  <c r="NE90" i="2"/>
  <c r="ND90" i="2"/>
  <c r="NC90" i="2"/>
  <c r="NB90" i="2"/>
  <c r="NA90" i="2"/>
  <c r="MZ90" i="2"/>
  <c r="MY90" i="2"/>
  <c r="MX90" i="2"/>
  <c r="MW90" i="2"/>
  <c r="MV90" i="2"/>
  <c r="MU90" i="2"/>
  <c r="MT90" i="2"/>
  <c r="MS90" i="2"/>
  <c r="MR90" i="2"/>
  <c r="MQ90" i="2"/>
  <c r="MP90" i="2"/>
  <c r="MO90" i="2"/>
  <c r="MN90" i="2"/>
  <c r="MM90" i="2"/>
  <c r="ML90" i="2"/>
  <c r="MK90" i="2"/>
  <c r="MJ90" i="2"/>
  <c r="MI90" i="2"/>
  <c r="MH90" i="2"/>
  <c r="MG90" i="2"/>
  <c r="MF90" i="2"/>
  <c r="ME90" i="2"/>
  <c r="MD90" i="2"/>
  <c r="MC90" i="2"/>
  <c r="MB90" i="2"/>
  <c r="MA90" i="2"/>
  <c r="LZ90" i="2"/>
  <c r="LY90" i="2"/>
  <c r="LX90" i="2"/>
  <c r="LW90" i="2"/>
  <c r="LV90" i="2"/>
  <c r="LU90" i="2"/>
  <c r="LT90" i="2"/>
  <c r="LS90" i="2"/>
  <c r="LR90" i="2"/>
  <c r="LQ90" i="2"/>
  <c r="LP90" i="2"/>
  <c r="LO90" i="2"/>
  <c r="LN90" i="2"/>
  <c r="LM90" i="2"/>
  <c r="LL90" i="2"/>
  <c r="LK90" i="2"/>
  <c r="LJ90" i="2"/>
  <c r="LI90" i="2"/>
  <c r="LH90" i="2"/>
  <c r="LG90" i="2"/>
  <c r="LF90" i="2"/>
  <c r="LE90" i="2"/>
  <c r="LD90" i="2"/>
  <c r="LC90" i="2"/>
  <c r="LB90" i="2"/>
  <c r="LA90" i="2"/>
  <c r="KZ90" i="2"/>
  <c r="KY90" i="2"/>
  <c r="KX90" i="2"/>
  <c r="KW90" i="2"/>
  <c r="KV90" i="2"/>
  <c r="KU90" i="2"/>
  <c r="KT90" i="2"/>
  <c r="KS90" i="2"/>
  <c r="KR90" i="2"/>
  <c r="KQ90" i="2"/>
  <c r="KP90" i="2"/>
  <c r="KO90" i="2"/>
  <c r="KN90" i="2"/>
  <c r="KM90" i="2"/>
  <c r="KL90" i="2"/>
  <c r="KK90" i="2"/>
  <c r="KJ90" i="2"/>
  <c r="KI90" i="2"/>
  <c r="KH90" i="2"/>
  <c r="KG90" i="2"/>
  <c r="KF90" i="2"/>
  <c r="KE90" i="2"/>
  <c r="KD90" i="2"/>
  <c r="KC90" i="2"/>
  <c r="KB90" i="2"/>
  <c r="KA90" i="2"/>
  <c r="JZ90" i="2"/>
  <c r="JY90" i="2"/>
  <c r="JX90" i="2"/>
  <c r="JW90" i="2"/>
  <c r="JV90" i="2"/>
  <c r="JU90" i="2"/>
  <c r="JT90" i="2"/>
  <c r="JS90" i="2"/>
  <c r="JR90" i="2"/>
  <c r="JQ90" i="2"/>
  <c r="JP90" i="2"/>
  <c r="JO90" i="2"/>
  <c r="JN90" i="2"/>
  <c r="JM90" i="2"/>
  <c r="JL90" i="2"/>
  <c r="JK90" i="2"/>
  <c r="JJ90" i="2"/>
  <c r="JI90" i="2"/>
  <c r="JH90" i="2"/>
  <c r="JG90" i="2"/>
  <c r="JF90" i="2"/>
  <c r="JE90" i="2"/>
  <c r="JD90" i="2"/>
  <c r="JC90" i="2"/>
  <c r="JB90" i="2"/>
  <c r="JA90" i="2"/>
  <c r="IZ90" i="2"/>
  <c r="IY90" i="2"/>
  <c r="IX90" i="2"/>
  <c r="IW90" i="2"/>
  <c r="IV90" i="2"/>
  <c r="IU90" i="2"/>
  <c r="IT90" i="2"/>
  <c r="IS90" i="2"/>
  <c r="IR90" i="2"/>
  <c r="IQ90" i="2"/>
  <c r="IP90" i="2"/>
  <c r="IO90" i="2"/>
  <c r="IN90" i="2"/>
  <c r="IM90" i="2"/>
  <c r="IL90" i="2"/>
  <c r="IK90" i="2"/>
  <c r="IJ90" i="2"/>
  <c r="II90" i="2"/>
  <c r="IH90" i="2"/>
  <c r="IG90" i="2"/>
  <c r="IF90" i="2"/>
  <c r="IE90" i="2"/>
  <c r="ID90" i="2"/>
  <c r="IC90" i="2"/>
  <c r="IB90" i="2"/>
  <c r="IA90" i="2"/>
  <c r="HZ90" i="2"/>
  <c r="HY90" i="2"/>
  <c r="HX90" i="2"/>
  <c r="HW90" i="2"/>
  <c r="HV90" i="2"/>
  <c r="HU90" i="2"/>
  <c r="HT90" i="2"/>
  <c r="HS90" i="2"/>
  <c r="HR90" i="2"/>
  <c r="HQ90" i="2"/>
  <c r="HP90" i="2"/>
  <c r="HO90" i="2"/>
  <c r="HN90" i="2"/>
  <c r="HM90" i="2"/>
  <c r="HL90" i="2"/>
  <c r="HK90" i="2"/>
  <c r="HJ90" i="2"/>
  <c r="HI90" i="2"/>
  <c r="HH90" i="2"/>
  <c r="HG90" i="2"/>
  <c r="HF90" i="2"/>
  <c r="HE90" i="2"/>
  <c r="HD90" i="2"/>
  <c r="HC90" i="2"/>
  <c r="HB90" i="2"/>
  <c r="HA90" i="2"/>
  <c r="GZ90" i="2"/>
  <c r="GY90" i="2"/>
  <c r="GX90" i="2"/>
  <c r="GW90" i="2"/>
  <c r="GV90" i="2"/>
  <c r="GU90" i="2"/>
  <c r="GT90" i="2"/>
  <c r="GS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Q90" i="2"/>
  <c r="FP90" i="2"/>
  <c r="FO90" i="2"/>
  <c r="FN90" i="2"/>
  <c r="FM90" i="2"/>
  <c r="FL90" i="2"/>
  <c r="FK90" i="2"/>
  <c r="FJ90" i="2"/>
  <c r="FI90" i="2"/>
  <c r="FH90" i="2"/>
  <c r="FG90" i="2"/>
  <c r="FF90" i="2"/>
  <c r="FE90" i="2"/>
  <c r="FD90" i="2"/>
  <c r="FC90" i="2"/>
  <c r="FB90" i="2"/>
  <c r="FA90" i="2"/>
  <c r="EZ90" i="2"/>
  <c r="EY90" i="2"/>
  <c r="EX90" i="2"/>
  <c r="EW90" i="2"/>
  <c r="EV90" i="2"/>
  <c r="EU90" i="2"/>
  <c r="ET90" i="2"/>
  <c r="ES90" i="2"/>
  <c r="ER90" i="2"/>
  <c r="EQ90" i="2"/>
  <c r="EP90" i="2"/>
  <c r="EO90" i="2"/>
  <c r="EN90" i="2"/>
  <c r="EM90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Z90" i="2"/>
  <c r="DY90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PI89" i="2"/>
  <c r="PH89" i="2"/>
  <c r="PG89" i="2"/>
  <c r="PF89" i="2"/>
  <c r="PE89" i="2"/>
  <c r="PD89" i="2"/>
  <c r="PC89" i="2"/>
  <c r="PB89" i="2"/>
  <c r="PA89" i="2"/>
  <c r="OZ89" i="2"/>
  <c r="OY89" i="2"/>
  <c r="OX89" i="2"/>
  <c r="OW89" i="2"/>
  <c r="OV89" i="2"/>
  <c r="OU89" i="2"/>
  <c r="OT89" i="2"/>
  <c r="OS89" i="2"/>
  <c r="OR89" i="2"/>
  <c r="OQ89" i="2"/>
  <c r="OP89" i="2"/>
  <c r="OO89" i="2"/>
  <c r="ON89" i="2"/>
  <c r="OM89" i="2"/>
  <c r="OL89" i="2"/>
  <c r="OK89" i="2"/>
  <c r="OJ89" i="2"/>
  <c r="OI89" i="2"/>
  <c r="OH89" i="2"/>
  <c r="OG89" i="2"/>
  <c r="OF89" i="2"/>
  <c r="OE89" i="2"/>
  <c r="OD89" i="2"/>
  <c r="OC89" i="2"/>
  <c r="OB89" i="2"/>
  <c r="OA89" i="2"/>
  <c r="NZ89" i="2"/>
  <c r="NY89" i="2"/>
  <c r="NX89" i="2"/>
  <c r="NW89" i="2"/>
  <c r="NV89" i="2"/>
  <c r="NU89" i="2"/>
  <c r="NT89" i="2"/>
  <c r="NS89" i="2"/>
  <c r="NR89" i="2"/>
  <c r="NQ89" i="2"/>
  <c r="NP89" i="2"/>
  <c r="NO89" i="2"/>
  <c r="NN89" i="2"/>
  <c r="NM89" i="2"/>
  <c r="NL89" i="2"/>
  <c r="NK89" i="2"/>
  <c r="NJ89" i="2"/>
  <c r="NI89" i="2"/>
  <c r="NH89" i="2"/>
  <c r="NG89" i="2"/>
  <c r="NF89" i="2"/>
  <c r="NE89" i="2"/>
  <c r="ND89" i="2"/>
  <c r="NC89" i="2"/>
  <c r="NB89" i="2"/>
  <c r="NA89" i="2"/>
  <c r="MZ89" i="2"/>
  <c r="MY89" i="2"/>
  <c r="MX89" i="2"/>
  <c r="MW89" i="2"/>
  <c r="MV89" i="2"/>
  <c r="MU89" i="2"/>
  <c r="MT89" i="2"/>
  <c r="MS89" i="2"/>
  <c r="MR89" i="2"/>
  <c r="MQ89" i="2"/>
  <c r="MP89" i="2"/>
  <c r="MO89" i="2"/>
  <c r="MN89" i="2"/>
  <c r="MM89" i="2"/>
  <c r="ML89" i="2"/>
  <c r="MK89" i="2"/>
  <c r="MJ89" i="2"/>
  <c r="MI89" i="2"/>
  <c r="MH89" i="2"/>
  <c r="MG89" i="2"/>
  <c r="MF89" i="2"/>
  <c r="ME89" i="2"/>
  <c r="MD89" i="2"/>
  <c r="MC89" i="2"/>
  <c r="MB89" i="2"/>
  <c r="MA89" i="2"/>
  <c r="LZ89" i="2"/>
  <c r="LY89" i="2"/>
  <c r="LX89" i="2"/>
  <c r="LW89" i="2"/>
  <c r="LV89" i="2"/>
  <c r="LU89" i="2"/>
  <c r="LT89" i="2"/>
  <c r="LS89" i="2"/>
  <c r="LR89" i="2"/>
  <c r="LQ89" i="2"/>
  <c r="LP89" i="2"/>
  <c r="LO89" i="2"/>
  <c r="LN89" i="2"/>
  <c r="LM89" i="2"/>
  <c r="LL89" i="2"/>
  <c r="LK89" i="2"/>
  <c r="LJ89" i="2"/>
  <c r="LI89" i="2"/>
  <c r="LH89" i="2"/>
  <c r="LG89" i="2"/>
  <c r="LF89" i="2"/>
  <c r="LE89" i="2"/>
  <c r="LD89" i="2"/>
  <c r="LC89" i="2"/>
  <c r="LB89" i="2"/>
  <c r="LA89" i="2"/>
  <c r="KZ89" i="2"/>
  <c r="KY89" i="2"/>
  <c r="KX89" i="2"/>
  <c r="KW89" i="2"/>
  <c r="KV89" i="2"/>
  <c r="KU89" i="2"/>
  <c r="KT89" i="2"/>
  <c r="KS89" i="2"/>
  <c r="KR89" i="2"/>
  <c r="KQ89" i="2"/>
  <c r="KP89" i="2"/>
  <c r="KO89" i="2"/>
  <c r="KN89" i="2"/>
  <c r="KM89" i="2"/>
  <c r="KL89" i="2"/>
  <c r="KK89" i="2"/>
  <c r="KJ89" i="2"/>
  <c r="KI89" i="2"/>
  <c r="KH89" i="2"/>
  <c r="KG89" i="2"/>
  <c r="KF89" i="2"/>
  <c r="KE89" i="2"/>
  <c r="KD89" i="2"/>
  <c r="KC89" i="2"/>
  <c r="KB89" i="2"/>
  <c r="KA89" i="2"/>
  <c r="JZ89" i="2"/>
  <c r="JY89" i="2"/>
  <c r="JX89" i="2"/>
  <c r="JW89" i="2"/>
  <c r="JV89" i="2"/>
  <c r="JU89" i="2"/>
  <c r="JT89" i="2"/>
  <c r="JS89" i="2"/>
  <c r="JR89" i="2"/>
  <c r="JQ89" i="2"/>
  <c r="JP89" i="2"/>
  <c r="JO89" i="2"/>
  <c r="JN89" i="2"/>
  <c r="JM89" i="2"/>
  <c r="JL89" i="2"/>
  <c r="JK89" i="2"/>
  <c r="JJ89" i="2"/>
  <c r="JI89" i="2"/>
  <c r="JH89" i="2"/>
  <c r="JG89" i="2"/>
  <c r="JF89" i="2"/>
  <c r="JE89" i="2"/>
  <c r="JD89" i="2"/>
  <c r="JC89" i="2"/>
  <c r="JB89" i="2"/>
  <c r="JA89" i="2"/>
  <c r="IZ89" i="2"/>
  <c r="IY89" i="2"/>
  <c r="IX89" i="2"/>
  <c r="IW89" i="2"/>
  <c r="IV89" i="2"/>
  <c r="IU89" i="2"/>
  <c r="IT89" i="2"/>
  <c r="IS89" i="2"/>
  <c r="IR89" i="2"/>
  <c r="IQ89" i="2"/>
  <c r="IP89" i="2"/>
  <c r="IO89" i="2"/>
  <c r="IN89" i="2"/>
  <c r="IM89" i="2"/>
  <c r="IL89" i="2"/>
  <c r="IK89" i="2"/>
  <c r="IJ89" i="2"/>
  <c r="II89" i="2"/>
  <c r="IH89" i="2"/>
  <c r="IG89" i="2"/>
  <c r="IF89" i="2"/>
  <c r="IE89" i="2"/>
  <c r="ID89" i="2"/>
  <c r="IC89" i="2"/>
  <c r="IB89" i="2"/>
  <c r="IA89" i="2"/>
  <c r="HZ89" i="2"/>
  <c r="HY89" i="2"/>
  <c r="HX89" i="2"/>
  <c r="HW89" i="2"/>
  <c r="HV89" i="2"/>
  <c r="HU89" i="2"/>
  <c r="HT89" i="2"/>
  <c r="HS89" i="2"/>
  <c r="HR89" i="2"/>
  <c r="HQ89" i="2"/>
  <c r="HP89" i="2"/>
  <c r="HO89" i="2"/>
  <c r="HN89" i="2"/>
  <c r="HM89" i="2"/>
  <c r="HL89" i="2"/>
  <c r="HK89" i="2"/>
  <c r="HJ89" i="2"/>
  <c r="HI89" i="2"/>
  <c r="HH89" i="2"/>
  <c r="HG89" i="2"/>
  <c r="HF89" i="2"/>
  <c r="HE89" i="2"/>
  <c r="HD89" i="2"/>
  <c r="HC89" i="2"/>
  <c r="HB89" i="2"/>
  <c r="HA89" i="2"/>
  <c r="GZ89" i="2"/>
  <c r="GY89" i="2"/>
  <c r="GX89" i="2"/>
  <c r="GW89" i="2"/>
  <c r="GV89" i="2"/>
  <c r="GU89" i="2"/>
  <c r="GT89" i="2"/>
  <c r="GS89" i="2"/>
  <c r="GR89" i="2"/>
  <c r="GQ89" i="2"/>
  <c r="GP89" i="2"/>
  <c r="GO89" i="2"/>
  <c r="GN89" i="2"/>
  <c r="GM89" i="2"/>
  <c r="GL89" i="2"/>
  <c r="GK89" i="2"/>
  <c r="GJ89" i="2"/>
  <c r="GI89" i="2"/>
  <c r="GH89" i="2"/>
  <c r="GG89" i="2"/>
  <c r="GF89" i="2"/>
  <c r="GE89" i="2"/>
  <c r="GD89" i="2"/>
  <c r="GC89" i="2"/>
  <c r="GB89" i="2"/>
  <c r="GA89" i="2"/>
  <c r="FZ89" i="2"/>
  <c r="FY89" i="2"/>
  <c r="FX89" i="2"/>
  <c r="FW89" i="2"/>
  <c r="FV89" i="2"/>
  <c r="FU89" i="2"/>
  <c r="FT89" i="2"/>
  <c r="FS89" i="2"/>
  <c r="FR89" i="2"/>
  <c r="FQ89" i="2"/>
  <c r="FP89" i="2"/>
  <c r="FO89" i="2"/>
  <c r="FN89" i="2"/>
  <c r="FM89" i="2"/>
  <c r="FL89" i="2"/>
  <c r="FK89" i="2"/>
  <c r="FJ89" i="2"/>
  <c r="FI89" i="2"/>
  <c r="FH89" i="2"/>
  <c r="FG89" i="2"/>
  <c r="FF89" i="2"/>
  <c r="FE89" i="2"/>
  <c r="FD89" i="2"/>
  <c r="FC89" i="2"/>
  <c r="FB89" i="2"/>
  <c r="FA89" i="2"/>
  <c r="EZ89" i="2"/>
  <c r="EY89" i="2"/>
  <c r="EX89" i="2"/>
  <c r="EW89" i="2"/>
  <c r="EV89" i="2"/>
  <c r="EU89" i="2"/>
  <c r="ET89" i="2"/>
  <c r="ES89" i="2"/>
  <c r="ER89" i="2"/>
  <c r="EQ89" i="2"/>
  <c r="EP89" i="2"/>
  <c r="EO89" i="2"/>
  <c r="EN89" i="2"/>
  <c r="EM89" i="2"/>
  <c r="EL89" i="2"/>
  <c r="EK89" i="2"/>
  <c r="EJ89" i="2"/>
  <c r="EI89" i="2"/>
  <c r="EH89" i="2"/>
  <c r="EG89" i="2"/>
  <c r="EF89" i="2"/>
  <c r="EE89" i="2"/>
  <c r="ED89" i="2"/>
  <c r="EC89" i="2"/>
  <c r="EB89" i="2"/>
  <c r="EA89" i="2"/>
  <c r="DZ89" i="2"/>
  <c r="DY89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PI88" i="2"/>
  <c r="PH88" i="2"/>
  <c r="PG88" i="2"/>
  <c r="PF88" i="2"/>
  <c r="PE88" i="2"/>
  <c r="PD88" i="2"/>
  <c r="PC88" i="2"/>
  <c r="PB88" i="2"/>
  <c r="PA88" i="2"/>
  <c r="OZ88" i="2"/>
  <c r="OY88" i="2"/>
  <c r="OX88" i="2"/>
  <c r="OW88" i="2"/>
  <c r="OV88" i="2"/>
  <c r="OU88" i="2"/>
  <c r="OT88" i="2"/>
  <c r="OS88" i="2"/>
  <c r="OR88" i="2"/>
  <c r="OQ88" i="2"/>
  <c r="OP88" i="2"/>
  <c r="OO88" i="2"/>
  <c r="ON88" i="2"/>
  <c r="OM88" i="2"/>
  <c r="OL88" i="2"/>
  <c r="OK88" i="2"/>
  <c r="OJ88" i="2"/>
  <c r="OI88" i="2"/>
  <c r="OH88" i="2"/>
  <c r="OG88" i="2"/>
  <c r="OF88" i="2"/>
  <c r="OE88" i="2"/>
  <c r="OD88" i="2"/>
  <c r="OC88" i="2"/>
  <c r="OB88" i="2"/>
  <c r="OA88" i="2"/>
  <c r="NZ88" i="2"/>
  <c r="NY88" i="2"/>
  <c r="NX88" i="2"/>
  <c r="NW88" i="2"/>
  <c r="NV88" i="2"/>
  <c r="NU88" i="2"/>
  <c r="NT88" i="2"/>
  <c r="NS88" i="2"/>
  <c r="NR88" i="2"/>
  <c r="NQ88" i="2"/>
  <c r="NP88" i="2"/>
  <c r="NO88" i="2"/>
  <c r="NN88" i="2"/>
  <c r="NM88" i="2"/>
  <c r="NL88" i="2"/>
  <c r="NK88" i="2"/>
  <c r="NJ88" i="2"/>
  <c r="NI88" i="2"/>
  <c r="NH88" i="2"/>
  <c r="NG88" i="2"/>
  <c r="NF88" i="2"/>
  <c r="NE88" i="2"/>
  <c r="ND88" i="2"/>
  <c r="NC88" i="2"/>
  <c r="NB88" i="2"/>
  <c r="NA88" i="2"/>
  <c r="MZ88" i="2"/>
  <c r="MY88" i="2"/>
  <c r="MX88" i="2"/>
  <c r="MW88" i="2"/>
  <c r="MV88" i="2"/>
  <c r="MU88" i="2"/>
  <c r="MT88" i="2"/>
  <c r="MS88" i="2"/>
  <c r="MR88" i="2"/>
  <c r="MQ88" i="2"/>
  <c r="MP88" i="2"/>
  <c r="MO88" i="2"/>
  <c r="MN88" i="2"/>
  <c r="MM88" i="2"/>
  <c r="ML88" i="2"/>
  <c r="MK88" i="2"/>
  <c r="MJ88" i="2"/>
  <c r="MI88" i="2"/>
  <c r="MH88" i="2"/>
  <c r="MG88" i="2"/>
  <c r="MF88" i="2"/>
  <c r="ME88" i="2"/>
  <c r="MD88" i="2"/>
  <c r="MC88" i="2"/>
  <c r="MB88" i="2"/>
  <c r="MA88" i="2"/>
  <c r="LZ88" i="2"/>
  <c r="LY88" i="2"/>
  <c r="LX88" i="2"/>
  <c r="LW88" i="2"/>
  <c r="LV88" i="2"/>
  <c r="LU88" i="2"/>
  <c r="LT88" i="2"/>
  <c r="LS88" i="2"/>
  <c r="LR88" i="2"/>
  <c r="LQ88" i="2"/>
  <c r="LP88" i="2"/>
  <c r="LO88" i="2"/>
  <c r="LN88" i="2"/>
  <c r="LM88" i="2"/>
  <c r="LL88" i="2"/>
  <c r="LK88" i="2"/>
  <c r="LJ88" i="2"/>
  <c r="LI88" i="2"/>
  <c r="LH88" i="2"/>
  <c r="LG88" i="2"/>
  <c r="LF88" i="2"/>
  <c r="LE88" i="2"/>
  <c r="LD88" i="2"/>
  <c r="LC88" i="2"/>
  <c r="LB88" i="2"/>
  <c r="LA88" i="2"/>
  <c r="KZ88" i="2"/>
  <c r="KY88" i="2"/>
  <c r="KX88" i="2"/>
  <c r="KW88" i="2"/>
  <c r="KV88" i="2"/>
  <c r="KU88" i="2"/>
  <c r="KT88" i="2"/>
  <c r="KS88" i="2"/>
  <c r="KR88" i="2"/>
  <c r="KQ88" i="2"/>
  <c r="KP88" i="2"/>
  <c r="KO88" i="2"/>
  <c r="KN88" i="2"/>
  <c r="KM88" i="2"/>
  <c r="KL88" i="2"/>
  <c r="KK88" i="2"/>
  <c r="KJ88" i="2"/>
  <c r="KI88" i="2"/>
  <c r="KH88" i="2"/>
  <c r="KG88" i="2"/>
  <c r="KF88" i="2"/>
  <c r="KE88" i="2"/>
  <c r="KD88" i="2"/>
  <c r="KC88" i="2"/>
  <c r="KB88" i="2"/>
  <c r="KA88" i="2"/>
  <c r="JZ88" i="2"/>
  <c r="JY88" i="2"/>
  <c r="JX88" i="2"/>
  <c r="JW88" i="2"/>
  <c r="JV88" i="2"/>
  <c r="JU88" i="2"/>
  <c r="JT88" i="2"/>
  <c r="JS88" i="2"/>
  <c r="JR88" i="2"/>
  <c r="JQ88" i="2"/>
  <c r="JP88" i="2"/>
  <c r="JO88" i="2"/>
  <c r="JN88" i="2"/>
  <c r="JM88" i="2"/>
  <c r="JL88" i="2"/>
  <c r="JK88" i="2"/>
  <c r="JJ88" i="2"/>
  <c r="JI88" i="2"/>
  <c r="JH88" i="2"/>
  <c r="JG88" i="2"/>
  <c r="JF88" i="2"/>
  <c r="JE88" i="2"/>
  <c r="JD88" i="2"/>
  <c r="JC88" i="2"/>
  <c r="JB88" i="2"/>
  <c r="JA88" i="2"/>
  <c r="IZ88" i="2"/>
  <c r="IY88" i="2"/>
  <c r="IX88" i="2"/>
  <c r="IW88" i="2"/>
  <c r="IV88" i="2"/>
  <c r="IU88" i="2"/>
  <c r="IT88" i="2"/>
  <c r="IS88" i="2"/>
  <c r="IR88" i="2"/>
  <c r="IQ88" i="2"/>
  <c r="IP88" i="2"/>
  <c r="IO88" i="2"/>
  <c r="IN88" i="2"/>
  <c r="IM88" i="2"/>
  <c r="IL88" i="2"/>
  <c r="IK88" i="2"/>
  <c r="IJ88" i="2"/>
  <c r="II88" i="2"/>
  <c r="IH88" i="2"/>
  <c r="IG88" i="2"/>
  <c r="IF88" i="2"/>
  <c r="IE88" i="2"/>
  <c r="ID88" i="2"/>
  <c r="IC88" i="2"/>
  <c r="IB88" i="2"/>
  <c r="IA88" i="2"/>
  <c r="HZ88" i="2"/>
  <c r="HY88" i="2"/>
  <c r="HX88" i="2"/>
  <c r="HW88" i="2"/>
  <c r="HV88" i="2"/>
  <c r="HU88" i="2"/>
  <c r="HT88" i="2"/>
  <c r="HS88" i="2"/>
  <c r="HR88" i="2"/>
  <c r="HQ88" i="2"/>
  <c r="HP88" i="2"/>
  <c r="HO88" i="2"/>
  <c r="HN88" i="2"/>
  <c r="HM88" i="2"/>
  <c r="HL88" i="2"/>
  <c r="HK88" i="2"/>
  <c r="HJ88" i="2"/>
  <c r="HI88" i="2"/>
  <c r="HH88" i="2"/>
  <c r="HG88" i="2"/>
  <c r="HF88" i="2"/>
  <c r="HE88" i="2"/>
  <c r="HD88" i="2"/>
  <c r="HC88" i="2"/>
  <c r="HB88" i="2"/>
  <c r="HA88" i="2"/>
  <c r="GZ88" i="2"/>
  <c r="GY88" i="2"/>
  <c r="GX88" i="2"/>
  <c r="GW88" i="2"/>
  <c r="GV88" i="2"/>
  <c r="GU88" i="2"/>
  <c r="GT88" i="2"/>
  <c r="GS88" i="2"/>
  <c r="GR88" i="2"/>
  <c r="GQ88" i="2"/>
  <c r="GP88" i="2"/>
  <c r="GO88" i="2"/>
  <c r="GN88" i="2"/>
  <c r="GM88" i="2"/>
  <c r="GL88" i="2"/>
  <c r="GK88" i="2"/>
  <c r="GJ88" i="2"/>
  <c r="GI88" i="2"/>
  <c r="GH88" i="2"/>
  <c r="GG88" i="2"/>
  <c r="GF88" i="2"/>
  <c r="GE88" i="2"/>
  <c r="GD88" i="2"/>
  <c r="GC88" i="2"/>
  <c r="GB88" i="2"/>
  <c r="GA88" i="2"/>
  <c r="FZ88" i="2"/>
  <c r="FY88" i="2"/>
  <c r="FX88" i="2"/>
  <c r="FW88" i="2"/>
  <c r="FV88" i="2"/>
  <c r="FU88" i="2"/>
  <c r="FT88" i="2"/>
  <c r="FS88" i="2"/>
  <c r="FR88" i="2"/>
  <c r="FQ88" i="2"/>
  <c r="FP88" i="2"/>
  <c r="FO88" i="2"/>
  <c r="FN88" i="2"/>
  <c r="FM88" i="2"/>
  <c r="FL88" i="2"/>
  <c r="FK88" i="2"/>
  <c r="FJ88" i="2"/>
  <c r="FI88" i="2"/>
  <c r="FH88" i="2"/>
  <c r="FG88" i="2"/>
  <c r="FF88" i="2"/>
  <c r="FE88" i="2"/>
  <c r="FD88" i="2"/>
  <c r="FC88" i="2"/>
  <c r="FB88" i="2"/>
  <c r="FA88" i="2"/>
  <c r="EZ88" i="2"/>
  <c r="EY88" i="2"/>
  <c r="EX88" i="2"/>
  <c r="EW88" i="2"/>
  <c r="EV88" i="2"/>
  <c r="EU88" i="2"/>
  <c r="ET88" i="2"/>
  <c r="ES88" i="2"/>
  <c r="ER88" i="2"/>
  <c r="EQ88" i="2"/>
  <c r="EP88" i="2"/>
  <c r="EO88" i="2"/>
  <c r="EN88" i="2"/>
  <c r="EM88" i="2"/>
  <c r="EL88" i="2"/>
  <c r="EK88" i="2"/>
  <c r="EJ88" i="2"/>
  <c r="EI88" i="2"/>
  <c r="EH88" i="2"/>
  <c r="EG88" i="2"/>
  <c r="EF88" i="2"/>
  <c r="EE88" i="2"/>
  <c r="ED88" i="2"/>
  <c r="EC88" i="2"/>
  <c r="EB88" i="2"/>
  <c r="EA88" i="2"/>
  <c r="DZ88" i="2"/>
  <c r="DY88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PI87" i="2"/>
  <c r="PH87" i="2"/>
  <c r="PG87" i="2"/>
  <c r="PF87" i="2"/>
  <c r="PE87" i="2"/>
  <c r="PD87" i="2"/>
  <c r="PC87" i="2"/>
  <c r="PB87" i="2"/>
  <c r="PA87" i="2"/>
  <c r="OZ87" i="2"/>
  <c r="OY87" i="2"/>
  <c r="OX87" i="2"/>
  <c r="OW87" i="2"/>
  <c r="OV87" i="2"/>
  <c r="OU87" i="2"/>
  <c r="OT87" i="2"/>
  <c r="OS87" i="2"/>
  <c r="OR87" i="2"/>
  <c r="OQ87" i="2"/>
  <c r="OP87" i="2"/>
  <c r="OO87" i="2"/>
  <c r="ON87" i="2"/>
  <c r="OM87" i="2"/>
  <c r="OL87" i="2"/>
  <c r="OK87" i="2"/>
  <c r="OJ87" i="2"/>
  <c r="OI87" i="2"/>
  <c r="OH87" i="2"/>
  <c r="OG87" i="2"/>
  <c r="OF87" i="2"/>
  <c r="OE87" i="2"/>
  <c r="OD87" i="2"/>
  <c r="OC87" i="2"/>
  <c r="OB87" i="2"/>
  <c r="OA87" i="2"/>
  <c r="NZ87" i="2"/>
  <c r="NY87" i="2"/>
  <c r="NX87" i="2"/>
  <c r="NW87" i="2"/>
  <c r="NV87" i="2"/>
  <c r="NU87" i="2"/>
  <c r="NT87" i="2"/>
  <c r="NS87" i="2"/>
  <c r="NR87" i="2"/>
  <c r="NQ87" i="2"/>
  <c r="NP87" i="2"/>
  <c r="NO87" i="2"/>
  <c r="NN87" i="2"/>
  <c r="NM87" i="2"/>
  <c r="NL87" i="2"/>
  <c r="NK87" i="2"/>
  <c r="NJ87" i="2"/>
  <c r="NI87" i="2"/>
  <c r="NH87" i="2"/>
  <c r="NG87" i="2"/>
  <c r="NF87" i="2"/>
  <c r="NE87" i="2"/>
  <c r="ND87" i="2"/>
  <c r="NC87" i="2"/>
  <c r="NB87" i="2"/>
  <c r="NA87" i="2"/>
  <c r="MZ87" i="2"/>
  <c r="MY87" i="2"/>
  <c r="MX87" i="2"/>
  <c r="MW87" i="2"/>
  <c r="MV87" i="2"/>
  <c r="MU87" i="2"/>
  <c r="MT87" i="2"/>
  <c r="MS87" i="2"/>
  <c r="MR87" i="2"/>
  <c r="MQ87" i="2"/>
  <c r="MP87" i="2"/>
  <c r="MO87" i="2"/>
  <c r="MN87" i="2"/>
  <c r="MM87" i="2"/>
  <c r="ML87" i="2"/>
  <c r="MK87" i="2"/>
  <c r="MJ87" i="2"/>
  <c r="MI87" i="2"/>
  <c r="MH87" i="2"/>
  <c r="MG87" i="2"/>
  <c r="MF87" i="2"/>
  <c r="ME87" i="2"/>
  <c r="MD87" i="2"/>
  <c r="MC87" i="2"/>
  <c r="MB87" i="2"/>
  <c r="MA87" i="2"/>
  <c r="LZ87" i="2"/>
  <c r="LY87" i="2"/>
  <c r="LX87" i="2"/>
  <c r="LW87" i="2"/>
  <c r="LV87" i="2"/>
  <c r="LU87" i="2"/>
  <c r="LT87" i="2"/>
  <c r="LS87" i="2"/>
  <c r="LR87" i="2"/>
  <c r="LQ87" i="2"/>
  <c r="LP87" i="2"/>
  <c r="LO87" i="2"/>
  <c r="LN87" i="2"/>
  <c r="LM87" i="2"/>
  <c r="LL87" i="2"/>
  <c r="LK87" i="2"/>
  <c r="LJ87" i="2"/>
  <c r="LI87" i="2"/>
  <c r="LH87" i="2"/>
  <c r="LG87" i="2"/>
  <c r="LF87" i="2"/>
  <c r="LE87" i="2"/>
  <c r="LD87" i="2"/>
  <c r="LC87" i="2"/>
  <c r="LB87" i="2"/>
  <c r="LA87" i="2"/>
  <c r="KZ87" i="2"/>
  <c r="KY87" i="2"/>
  <c r="KX87" i="2"/>
  <c r="KW87" i="2"/>
  <c r="KV87" i="2"/>
  <c r="KU87" i="2"/>
  <c r="KT87" i="2"/>
  <c r="KS87" i="2"/>
  <c r="KR87" i="2"/>
  <c r="KQ87" i="2"/>
  <c r="KP87" i="2"/>
  <c r="KO87" i="2"/>
  <c r="KN87" i="2"/>
  <c r="KM87" i="2"/>
  <c r="KL87" i="2"/>
  <c r="KK87" i="2"/>
  <c r="KJ87" i="2"/>
  <c r="KI87" i="2"/>
  <c r="KH87" i="2"/>
  <c r="KG87" i="2"/>
  <c r="KF87" i="2"/>
  <c r="KE87" i="2"/>
  <c r="KD87" i="2"/>
  <c r="KC87" i="2"/>
  <c r="KB87" i="2"/>
  <c r="KA87" i="2"/>
  <c r="JZ87" i="2"/>
  <c r="JY87" i="2"/>
  <c r="JX87" i="2"/>
  <c r="JW87" i="2"/>
  <c r="JV87" i="2"/>
  <c r="JU87" i="2"/>
  <c r="JT87" i="2"/>
  <c r="JS87" i="2"/>
  <c r="JR87" i="2"/>
  <c r="JQ87" i="2"/>
  <c r="JP87" i="2"/>
  <c r="JO87" i="2"/>
  <c r="JN87" i="2"/>
  <c r="JM87" i="2"/>
  <c r="JL87" i="2"/>
  <c r="JK87" i="2"/>
  <c r="JJ87" i="2"/>
  <c r="JI87" i="2"/>
  <c r="JH87" i="2"/>
  <c r="JG87" i="2"/>
  <c r="JF87" i="2"/>
  <c r="JE87" i="2"/>
  <c r="JD87" i="2"/>
  <c r="JC87" i="2"/>
  <c r="JB87" i="2"/>
  <c r="JA87" i="2"/>
  <c r="IZ87" i="2"/>
  <c r="IY87" i="2"/>
  <c r="IX87" i="2"/>
  <c r="IW87" i="2"/>
  <c r="IV87" i="2"/>
  <c r="IU87" i="2"/>
  <c r="IT87" i="2"/>
  <c r="IS87" i="2"/>
  <c r="IR87" i="2"/>
  <c r="IQ87" i="2"/>
  <c r="IP87" i="2"/>
  <c r="IO87" i="2"/>
  <c r="IN87" i="2"/>
  <c r="IM87" i="2"/>
  <c r="IL87" i="2"/>
  <c r="IK87" i="2"/>
  <c r="IJ87" i="2"/>
  <c r="II87" i="2"/>
  <c r="IH87" i="2"/>
  <c r="IG87" i="2"/>
  <c r="IF87" i="2"/>
  <c r="IE87" i="2"/>
  <c r="ID87" i="2"/>
  <c r="IC87" i="2"/>
  <c r="IB87" i="2"/>
  <c r="IA87" i="2"/>
  <c r="HZ87" i="2"/>
  <c r="HY87" i="2"/>
  <c r="HX87" i="2"/>
  <c r="HW87" i="2"/>
  <c r="HV87" i="2"/>
  <c r="HU87" i="2"/>
  <c r="HT87" i="2"/>
  <c r="HS87" i="2"/>
  <c r="HR87" i="2"/>
  <c r="HQ87" i="2"/>
  <c r="HP87" i="2"/>
  <c r="HO87" i="2"/>
  <c r="HN87" i="2"/>
  <c r="HM87" i="2"/>
  <c r="HL87" i="2"/>
  <c r="HK87" i="2"/>
  <c r="HJ87" i="2"/>
  <c r="HI87" i="2"/>
  <c r="HH87" i="2"/>
  <c r="HG87" i="2"/>
  <c r="HF87" i="2"/>
  <c r="HE87" i="2"/>
  <c r="HD87" i="2"/>
  <c r="HC87" i="2"/>
  <c r="HB87" i="2"/>
  <c r="HA87" i="2"/>
  <c r="GZ87" i="2"/>
  <c r="GY87" i="2"/>
  <c r="GX87" i="2"/>
  <c r="GW87" i="2"/>
  <c r="GV87" i="2"/>
  <c r="GU87" i="2"/>
  <c r="GT87" i="2"/>
  <c r="GS87" i="2"/>
  <c r="GR87" i="2"/>
  <c r="GQ87" i="2"/>
  <c r="GP87" i="2"/>
  <c r="GO87" i="2"/>
  <c r="GN87" i="2"/>
  <c r="GM87" i="2"/>
  <c r="GL87" i="2"/>
  <c r="GK87" i="2"/>
  <c r="GJ87" i="2"/>
  <c r="GI87" i="2"/>
  <c r="GH87" i="2"/>
  <c r="GG87" i="2"/>
  <c r="GF87" i="2"/>
  <c r="GE87" i="2"/>
  <c r="GD87" i="2"/>
  <c r="GC87" i="2"/>
  <c r="GB87" i="2"/>
  <c r="GA87" i="2"/>
  <c r="FZ87" i="2"/>
  <c r="FY87" i="2"/>
  <c r="FX87" i="2"/>
  <c r="FW87" i="2"/>
  <c r="FV87" i="2"/>
  <c r="FU87" i="2"/>
  <c r="FT87" i="2"/>
  <c r="FS87" i="2"/>
  <c r="FR87" i="2"/>
  <c r="FQ87" i="2"/>
  <c r="FP87" i="2"/>
  <c r="FO87" i="2"/>
  <c r="FN87" i="2"/>
  <c r="FM87" i="2"/>
  <c r="FL87" i="2"/>
  <c r="FK87" i="2"/>
  <c r="FJ87" i="2"/>
  <c r="FI87" i="2"/>
  <c r="FH87" i="2"/>
  <c r="FG87" i="2"/>
  <c r="FF87" i="2"/>
  <c r="FE87" i="2"/>
  <c r="FD87" i="2"/>
  <c r="FC87" i="2"/>
  <c r="FB87" i="2"/>
  <c r="FA87" i="2"/>
  <c r="EZ87" i="2"/>
  <c r="EY87" i="2"/>
  <c r="EX87" i="2"/>
  <c r="EW87" i="2"/>
  <c r="EV87" i="2"/>
  <c r="EU87" i="2"/>
  <c r="ET87" i="2"/>
  <c r="ES87" i="2"/>
  <c r="ER87" i="2"/>
  <c r="EQ87" i="2"/>
  <c r="EP87" i="2"/>
  <c r="EO87" i="2"/>
  <c r="EN87" i="2"/>
  <c r="EM87" i="2"/>
  <c r="EL87" i="2"/>
  <c r="EK87" i="2"/>
  <c r="EJ87" i="2"/>
  <c r="EI87" i="2"/>
  <c r="EH87" i="2"/>
  <c r="EG87" i="2"/>
  <c r="EF87" i="2"/>
  <c r="EE87" i="2"/>
  <c r="ED87" i="2"/>
  <c r="EC87" i="2"/>
  <c r="EB87" i="2"/>
  <c r="EA87" i="2"/>
  <c r="DZ87" i="2"/>
  <c r="DY87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PI86" i="2"/>
  <c r="PH86" i="2"/>
  <c r="PG86" i="2"/>
  <c r="PF86" i="2"/>
  <c r="PE86" i="2"/>
  <c r="PD86" i="2"/>
  <c r="PC86" i="2"/>
  <c r="PB86" i="2"/>
  <c r="PA86" i="2"/>
  <c r="OZ86" i="2"/>
  <c r="OY86" i="2"/>
  <c r="OX86" i="2"/>
  <c r="OW86" i="2"/>
  <c r="OV86" i="2"/>
  <c r="OU86" i="2"/>
  <c r="OT86" i="2"/>
  <c r="OS86" i="2"/>
  <c r="OR86" i="2"/>
  <c r="OQ86" i="2"/>
  <c r="OP86" i="2"/>
  <c r="OO86" i="2"/>
  <c r="ON86" i="2"/>
  <c r="OM86" i="2"/>
  <c r="OL86" i="2"/>
  <c r="OK86" i="2"/>
  <c r="OJ86" i="2"/>
  <c r="OI86" i="2"/>
  <c r="OH86" i="2"/>
  <c r="OG86" i="2"/>
  <c r="OF86" i="2"/>
  <c r="OE86" i="2"/>
  <c r="OD86" i="2"/>
  <c r="OC86" i="2"/>
  <c r="OB86" i="2"/>
  <c r="OA86" i="2"/>
  <c r="NZ86" i="2"/>
  <c r="NY86" i="2"/>
  <c r="NX86" i="2"/>
  <c r="NW86" i="2"/>
  <c r="NV86" i="2"/>
  <c r="NU86" i="2"/>
  <c r="NT86" i="2"/>
  <c r="NS86" i="2"/>
  <c r="NR86" i="2"/>
  <c r="NQ86" i="2"/>
  <c r="NP86" i="2"/>
  <c r="NO86" i="2"/>
  <c r="NN86" i="2"/>
  <c r="NM86" i="2"/>
  <c r="NL86" i="2"/>
  <c r="NK86" i="2"/>
  <c r="NJ86" i="2"/>
  <c r="NI86" i="2"/>
  <c r="NH86" i="2"/>
  <c r="NG86" i="2"/>
  <c r="NF86" i="2"/>
  <c r="NE86" i="2"/>
  <c r="ND86" i="2"/>
  <c r="NC86" i="2"/>
  <c r="NB86" i="2"/>
  <c r="NA86" i="2"/>
  <c r="MZ86" i="2"/>
  <c r="MY86" i="2"/>
  <c r="MX86" i="2"/>
  <c r="MW86" i="2"/>
  <c r="MV86" i="2"/>
  <c r="MU86" i="2"/>
  <c r="MT86" i="2"/>
  <c r="MS86" i="2"/>
  <c r="MR86" i="2"/>
  <c r="MQ86" i="2"/>
  <c r="MP86" i="2"/>
  <c r="MO86" i="2"/>
  <c r="MN86" i="2"/>
  <c r="MM86" i="2"/>
  <c r="ML86" i="2"/>
  <c r="MK86" i="2"/>
  <c r="MJ86" i="2"/>
  <c r="MI86" i="2"/>
  <c r="MH86" i="2"/>
  <c r="MG86" i="2"/>
  <c r="MF86" i="2"/>
  <c r="ME86" i="2"/>
  <c r="MD86" i="2"/>
  <c r="MC86" i="2"/>
  <c r="MB86" i="2"/>
  <c r="MA86" i="2"/>
  <c r="LZ86" i="2"/>
  <c r="LY86" i="2"/>
  <c r="LX86" i="2"/>
  <c r="LW86" i="2"/>
  <c r="LV86" i="2"/>
  <c r="LU86" i="2"/>
  <c r="LT86" i="2"/>
  <c r="LS86" i="2"/>
  <c r="LR86" i="2"/>
  <c r="LQ86" i="2"/>
  <c r="LP86" i="2"/>
  <c r="LO86" i="2"/>
  <c r="LN86" i="2"/>
  <c r="LM86" i="2"/>
  <c r="LL86" i="2"/>
  <c r="LK86" i="2"/>
  <c r="LJ86" i="2"/>
  <c r="LI86" i="2"/>
  <c r="LH86" i="2"/>
  <c r="LG86" i="2"/>
  <c r="LF86" i="2"/>
  <c r="LE86" i="2"/>
  <c r="LD86" i="2"/>
  <c r="LC86" i="2"/>
  <c r="LB86" i="2"/>
  <c r="LA86" i="2"/>
  <c r="KZ86" i="2"/>
  <c r="KY86" i="2"/>
  <c r="KX86" i="2"/>
  <c r="KW86" i="2"/>
  <c r="KV86" i="2"/>
  <c r="KU86" i="2"/>
  <c r="KT86" i="2"/>
  <c r="KS86" i="2"/>
  <c r="KR86" i="2"/>
  <c r="KQ86" i="2"/>
  <c r="KP86" i="2"/>
  <c r="KO86" i="2"/>
  <c r="KN86" i="2"/>
  <c r="KM86" i="2"/>
  <c r="KL86" i="2"/>
  <c r="KK86" i="2"/>
  <c r="KJ86" i="2"/>
  <c r="KI86" i="2"/>
  <c r="KH86" i="2"/>
  <c r="KG86" i="2"/>
  <c r="KF86" i="2"/>
  <c r="KE86" i="2"/>
  <c r="KD86" i="2"/>
  <c r="KC86" i="2"/>
  <c r="KB86" i="2"/>
  <c r="KA86" i="2"/>
  <c r="JZ86" i="2"/>
  <c r="JY86" i="2"/>
  <c r="JX86" i="2"/>
  <c r="JW86" i="2"/>
  <c r="JV86" i="2"/>
  <c r="JU86" i="2"/>
  <c r="JT86" i="2"/>
  <c r="JS86" i="2"/>
  <c r="JR86" i="2"/>
  <c r="JQ86" i="2"/>
  <c r="JP86" i="2"/>
  <c r="JO86" i="2"/>
  <c r="JN86" i="2"/>
  <c r="JM86" i="2"/>
  <c r="JL86" i="2"/>
  <c r="JK86" i="2"/>
  <c r="JJ86" i="2"/>
  <c r="JI86" i="2"/>
  <c r="JH86" i="2"/>
  <c r="JG86" i="2"/>
  <c r="JF86" i="2"/>
  <c r="JE86" i="2"/>
  <c r="JD86" i="2"/>
  <c r="JC86" i="2"/>
  <c r="JB86" i="2"/>
  <c r="JA86" i="2"/>
  <c r="IZ86" i="2"/>
  <c r="IY86" i="2"/>
  <c r="IX86" i="2"/>
  <c r="IW86" i="2"/>
  <c r="IV86" i="2"/>
  <c r="IU86" i="2"/>
  <c r="IT86" i="2"/>
  <c r="IS86" i="2"/>
  <c r="IR86" i="2"/>
  <c r="IQ86" i="2"/>
  <c r="IP86" i="2"/>
  <c r="IO86" i="2"/>
  <c r="IN86" i="2"/>
  <c r="IM86" i="2"/>
  <c r="IL86" i="2"/>
  <c r="IK86" i="2"/>
  <c r="IJ86" i="2"/>
  <c r="II86" i="2"/>
  <c r="IH86" i="2"/>
  <c r="IG86" i="2"/>
  <c r="IF86" i="2"/>
  <c r="IE86" i="2"/>
  <c r="ID86" i="2"/>
  <c r="IC86" i="2"/>
  <c r="IB86" i="2"/>
  <c r="IA86" i="2"/>
  <c r="HZ86" i="2"/>
  <c r="HY86" i="2"/>
  <c r="HX86" i="2"/>
  <c r="HW86" i="2"/>
  <c r="HV86" i="2"/>
  <c r="HU86" i="2"/>
  <c r="HT86" i="2"/>
  <c r="HS86" i="2"/>
  <c r="HR86" i="2"/>
  <c r="HQ86" i="2"/>
  <c r="HP86" i="2"/>
  <c r="HO86" i="2"/>
  <c r="HN86" i="2"/>
  <c r="HM86" i="2"/>
  <c r="HL86" i="2"/>
  <c r="HK86" i="2"/>
  <c r="HJ86" i="2"/>
  <c r="HI86" i="2"/>
  <c r="HH86" i="2"/>
  <c r="HG86" i="2"/>
  <c r="HF86" i="2"/>
  <c r="HE86" i="2"/>
  <c r="HD86" i="2"/>
  <c r="HC86" i="2"/>
  <c r="HB86" i="2"/>
  <c r="HA86" i="2"/>
  <c r="GZ86" i="2"/>
  <c r="GY86" i="2"/>
  <c r="GX86" i="2"/>
  <c r="GW86" i="2"/>
  <c r="GV86" i="2"/>
  <c r="GU86" i="2"/>
  <c r="GT86" i="2"/>
  <c r="GS86" i="2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Q86" i="2"/>
  <c r="FP86" i="2"/>
  <c r="FO86" i="2"/>
  <c r="FN86" i="2"/>
  <c r="FM86" i="2"/>
  <c r="FL86" i="2"/>
  <c r="FK86" i="2"/>
  <c r="FJ86" i="2"/>
  <c r="FI86" i="2"/>
  <c r="FH86" i="2"/>
  <c r="FG86" i="2"/>
  <c r="FF86" i="2"/>
  <c r="FE86" i="2"/>
  <c r="FD86" i="2"/>
  <c r="FC86" i="2"/>
  <c r="FB86" i="2"/>
  <c r="FA86" i="2"/>
  <c r="EZ86" i="2"/>
  <c r="EY86" i="2"/>
  <c r="EX86" i="2"/>
  <c r="EW86" i="2"/>
  <c r="EV86" i="2"/>
  <c r="EU86" i="2"/>
  <c r="ET86" i="2"/>
  <c r="ES86" i="2"/>
  <c r="ER86" i="2"/>
  <c r="EQ86" i="2"/>
  <c r="EP86" i="2"/>
  <c r="EO86" i="2"/>
  <c r="EN86" i="2"/>
  <c r="EM86" i="2"/>
  <c r="EL86" i="2"/>
  <c r="EK86" i="2"/>
  <c r="EJ86" i="2"/>
  <c r="EI86" i="2"/>
  <c r="EH86" i="2"/>
  <c r="EG86" i="2"/>
  <c r="EF86" i="2"/>
  <c r="EE86" i="2"/>
  <c r="ED86" i="2"/>
  <c r="EC86" i="2"/>
  <c r="EB86" i="2"/>
  <c r="EA86" i="2"/>
  <c r="DZ86" i="2"/>
  <c r="DY86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PI85" i="2"/>
  <c r="PH85" i="2"/>
  <c r="PG85" i="2"/>
  <c r="PF85" i="2"/>
  <c r="PE85" i="2"/>
  <c r="PD85" i="2"/>
  <c r="PC85" i="2"/>
  <c r="PB85" i="2"/>
  <c r="PA85" i="2"/>
  <c r="OZ85" i="2"/>
  <c r="OY85" i="2"/>
  <c r="OX85" i="2"/>
  <c r="OW85" i="2"/>
  <c r="OV85" i="2"/>
  <c r="OU85" i="2"/>
  <c r="OT85" i="2"/>
  <c r="OS85" i="2"/>
  <c r="OR85" i="2"/>
  <c r="OQ85" i="2"/>
  <c r="OP85" i="2"/>
  <c r="OO85" i="2"/>
  <c r="ON85" i="2"/>
  <c r="OM85" i="2"/>
  <c r="OL85" i="2"/>
  <c r="OK85" i="2"/>
  <c r="OJ85" i="2"/>
  <c r="OI85" i="2"/>
  <c r="OH85" i="2"/>
  <c r="OG85" i="2"/>
  <c r="OF85" i="2"/>
  <c r="OE85" i="2"/>
  <c r="OD85" i="2"/>
  <c r="OC85" i="2"/>
  <c r="OB85" i="2"/>
  <c r="OA85" i="2"/>
  <c r="NZ85" i="2"/>
  <c r="NY85" i="2"/>
  <c r="NX85" i="2"/>
  <c r="NW85" i="2"/>
  <c r="NV85" i="2"/>
  <c r="NU85" i="2"/>
  <c r="NT85" i="2"/>
  <c r="NS85" i="2"/>
  <c r="NR85" i="2"/>
  <c r="NQ85" i="2"/>
  <c r="NP85" i="2"/>
  <c r="NO85" i="2"/>
  <c r="NN85" i="2"/>
  <c r="NM85" i="2"/>
  <c r="NL85" i="2"/>
  <c r="NK85" i="2"/>
  <c r="NJ85" i="2"/>
  <c r="NI85" i="2"/>
  <c r="NH85" i="2"/>
  <c r="NG85" i="2"/>
  <c r="NF85" i="2"/>
  <c r="NE85" i="2"/>
  <c r="ND85" i="2"/>
  <c r="NC85" i="2"/>
  <c r="NB85" i="2"/>
  <c r="NA85" i="2"/>
  <c r="MZ85" i="2"/>
  <c r="MY85" i="2"/>
  <c r="MX85" i="2"/>
  <c r="MW85" i="2"/>
  <c r="MV85" i="2"/>
  <c r="MU85" i="2"/>
  <c r="MT85" i="2"/>
  <c r="MS85" i="2"/>
  <c r="MR85" i="2"/>
  <c r="MQ85" i="2"/>
  <c r="MP85" i="2"/>
  <c r="MO85" i="2"/>
  <c r="MN85" i="2"/>
  <c r="MM85" i="2"/>
  <c r="ML85" i="2"/>
  <c r="MK85" i="2"/>
  <c r="MJ85" i="2"/>
  <c r="MI85" i="2"/>
  <c r="MH85" i="2"/>
  <c r="MG85" i="2"/>
  <c r="MF85" i="2"/>
  <c r="ME85" i="2"/>
  <c r="MD85" i="2"/>
  <c r="MC85" i="2"/>
  <c r="MB85" i="2"/>
  <c r="MA85" i="2"/>
  <c r="LZ85" i="2"/>
  <c r="LY85" i="2"/>
  <c r="LX85" i="2"/>
  <c r="LW85" i="2"/>
  <c r="LV85" i="2"/>
  <c r="LU85" i="2"/>
  <c r="LT85" i="2"/>
  <c r="LS85" i="2"/>
  <c r="LR85" i="2"/>
  <c r="LQ85" i="2"/>
  <c r="LP85" i="2"/>
  <c r="LO85" i="2"/>
  <c r="LN85" i="2"/>
  <c r="LM85" i="2"/>
  <c r="LL85" i="2"/>
  <c r="LK85" i="2"/>
  <c r="LJ85" i="2"/>
  <c r="LI85" i="2"/>
  <c r="LH85" i="2"/>
  <c r="LG85" i="2"/>
  <c r="LF85" i="2"/>
  <c r="LE85" i="2"/>
  <c r="LD85" i="2"/>
  <c r="LC85" i="2"/>
  <c r="LB85" i="2"/>
  <c r="LA85" i="2"/>
  <c r="KZ85" i="2"/>
  <c r="KY85" i="2"/>
  <c r="KX85" i="2"/>
  <c r="KW85" i="2"/>
  <c r="KV85" i="2"/>
  <c r="KU85" i="2"/>
  <c r="KT85" i="2"/>
  <c r="KS85" i="2"/>
  <c r="KR85" i="2"/>
  <c r="KQ85" i="2"/>
  <c r="KP85" i="2"/>
  <c r="KO85" i="2"/>
  <c r="KN85" i="2"/>
  <c r="KM85" i="2"/>
  <c r="KL85" i="2"/>
  <c r="KK85" i="2"/>
  <c r="KJ85" i="2"/>
  <c r="KI85" i="2"/>
  <c r="KH85" i="2"/>
  <c r="KG85" i="2"/>
  <c r="KF85" i="2"/>
  <c r="KE85" i="2"/>
  <c r="KD85" i="2"/>
  <c r="KC85" i="2"/>
  <c r="KB85" i="2"/>
  <c r="KA85" i="2"/>
  <c r="JZ85" i="2"/>
  <c r="JY85" i="2"/>
  <c r="JX85" i="2"/>
  <c r="JW85" i="2"/>
  <c r="JV85" i="2"/>
  <c r="JU85" i="2"/>
  <c r="JT85" i="2"/>
  <c r="JS85" i="2"/>
  <c r="JR85" i="2"/>
  <c r="JQ85" i="2"/>
  <c r="JP85" i="2"/>
  <c r="JO85" i="2"/>
  <c r="JN85" i="2"/>
  <c r="JM85" i="2"/>
  <c r="JL85" i="2"/>
  <c r="JK85" i="2"/>
  <c r="JJ85" i="2"/>
  <c r="JI85" i="2"/>
  <c r="JH85" i="2"/>
  <c r="JG85" i="2"/>
  <c r="JF85" i="2"/>
  <c r="JE85" i="2"/>
  <c r="JD85" i="2"/>
  <c r="JC85" i="2"/>
  <c r="JB85" i="2"/>
  <c r="JA85" i="2"/>
  <c r="IZ85" i="2"/>
  <c r="IY85" i="2"/>
  <c r="IX85" i="2"/>
  <c r="IW85" i="2"/>
  <c r="IV85" i="2"/>
  <c r="IU85" i="2"/>
  <c r="IT85" i="2"/>
  <c r="IS85" i="2"/>
  <c r="IR85" i="2"/>
  <c r="IQ85" i="2"/>
  <c r="IP85" i="2"/>
  <c r="IO85" i="2"/>
  <c r="IN85" i="2"/>
  <c r="IM85" i="2"/>
  <c r="IL85" i="2"/>
  <c r="IK85" i="2"/>
  <c r="IJ85" i="2"/>
  <c r="II85" i="2"/>
  <c r="IH85" i="2"/>
  <c r="IG85" i="2"/>
  <c r="IF85" i="2"/>
  <c r="IE85" i="2"/>
  <c r="ID85" i="2"/>
  <c r="IC85" i="2"/>
  <c r="IB85" i="2"/>
  <c r="IA85" i="2"/>
  <c r="HZ85" i="2"/>
  <c r="HY85" i="2"/>
  <c r="HX85" i="2"/>
  <c r="HW85" i="2"/>
  <c r="HV85" i="2"/>
  <c r="HU85" i="2"/>
  <c r="HT85" i="2"/>
  <c r="HS85" i="2"/>
  <c r="HR85" i="2"/>
  <c r="HQ85" i="2"/>
  <c r="HP85" i="2"/>
  <c r="HO85" i="2"/>
  <c r="HN85" i="2"/>
  <c r="HM85" i="2"/>
  <c r="HL85" i="2"/>
  <c r="HK85" i="2"/>
  <c r="HJ85" i="2"/>
  <c r="HI85" i="2"/>
  <c r="HH85" i="2"/>
  <c r="HG85" i="2"/>
  <c r="HF85" i="2"/>
  <c r="HE85" i="2"/>
  <c r="HD85" i="2"/>
  <c r="HC85" i="2"/>
  <c r="HB85" i="2"/>
  <c r="HA85" i="2"/>
  <c r="GZ85" i="2"/>
  <c r="GY85" i="2"/>
  <c r="GX85" i="2"/>
  <c r="GW85" i="2"/>
  <c r="GV85" i="2"/>
  <c r="GU85" i="2"/>
  <c r="GT85" i="2"/>
  <c r="GS85" i="2"/>
  <c r="GR85" i="2"/>
  <c r="GQ85" i="2"/>
  <c r="GP85" i="2"/>
  <c r="GO85" i="2"/>
  <c r="GN85" i="2"/>
  <c r="GM85" i="2"/>
  <c r="GL85" i="2"/>
  <c r="GK85" i="2"/>
  <c r="GJ85" i="2"/>
  <c r="GI85" i="2"/>
  <c r="GH85" i="2"/>
  <c r="GG85" i="2"/>
  <c r="GF85" i="2"/>
  <c r="GE85" i="2"/>
  <c r="GD85" i="2"/>
  <c r="GC85" i="2"/>
  <c r="GB85" i="2"/>
  <c r="GA85" i="2"/>
  <c r="FZ85" i="2"/>
  <c r="FY85" i="2"/>
  <c r="FX85" i="2"/>
  <c r="FW85" i="2"/>
  <c r="FV85" i="2"/>
  <c r="FU85" i="2"/>
  <c r="FT85" i="2"/>
  <c r="FS85" i="2"/>
  <c r="FR85" i="2"/>
  <c r="FQ85" i="2"/>
  <c r="FP85" i="2"/>
  <c r="FO85" i="2"/>
  <c r="FN85" i="2"/>
  <c r="FM85" i="2"/>
  <c r="FL85" i="2"/>
  <c r="FK85" i="2"/>
  <c r="FJ85" i="2"/>
  <c r="FI85" i="2"/>
  <c r="FH85" i="2"/>
  <c r="FG85" i="2"/>
  <c r="FF85" i="2"/>
  <c r="FE85" i="2"/>
  <c r="FD85" i="2"/>
  <c r="FC85" i="2"/>
  <c r="FB85" i="2"/>
  <c r="FA85" i="2"/>
  <c r="EZ85" i="2"/>
  <c r="EY85" i="2"/>
  <c r="EX85" i="2"/>
  <c r="EW85" i="2"/>
  <c r="EV85" i="2"/>
  <c r="EU85" i="2"/>
  <c r="ET85" i="2"/>
  <c r="ES85" i="2"/>
  <c r="ER85" i="2"/>
  <c r="EQ85" i="2"/>
  <c r="EP85" i="2"/>
  <c r="EO85" i="2"/>
  <c r="EN85" i="2"/>
  <c r="EM85" i="2"/>
  <c r="EL85" i="2"/>
  <c r="EK85" i="2"/>
  <c r="EJ85" i="2"/>
  <c r="EI85" i="2"/>
  <c r="EH85" i="2"/>
  <c r="EG85" i="2"/>
  <c r="EF85" i="2"/>
  <c r="EE85" i="2"/>
  <c r="ED85" i="2"/>
  <c r="EC85" i="2"/>
  <c r="EB85" i="2"/>
  <c r="EA85" i="2"/>
  <c r="DZ85" i="2"/>
  <c r="DY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PI84" i="2"/>
  <c r="PH84" i="2"/>
  <c r="PG84" i="2"/>
  <c r="PF84" i="2"/>
  <c r="PE84" i="2"/>
  <c r="PD84" i="2"/>
  <c r="PC84" i="2"/>
  <c r="PB84" i="2"/>
  <c r="PA84" i="2"/>
  <c r="OZ84" i="2"/>
  <c r="OY84" i="2"/>
  <c r="OX84" i="2"/>
  <c r="OW84" i="2"/>
  <c r="OV84" i="2"/>
  <c r="OU84" i="2"/>
  <c r="OT84" i="2"/>
  <c r="OS84" i="2"/>
  <c r="OR84" i="2"/>
  <c r="OQ84" i="2"/>
  <c r="OP84" i="2"/>
  <c r="OO84" i="2"/>
  <c r="ON84" i="2"/>
  <c r="OM84" i="2"/>
  <c r="OL84" i="2"/>
  <c r="OK84" i="2"/>
  <c r="OJ84" i="2"/>
  <c r="OI84" i="2"/>
  <c r="OH84" i="2"/>
  <c r="OG84" i="2"/>
  <c r="OF84" i="2"/>
  <c r="OE84" i="2"/>
  <c r="OD84" i="2"/>
  <c r="OC84" i="2"/>
  <c r="OB84" i="2"/>
  <c r="OA84" i="2"/>
  <c r="NZ84" i="2"/>
  <c r="NY84" i="2"/>
  <c r="NX84" i="2"/>
  <c r="NW84" i="2"/>
  <c r="NV84" i="2"/>
  <c r="NU84" i="2"/>
  <c r="NT84" i="2"/>
  <c r="NS84" i="2"/>
  <c r="NR84" i="2"/>
  <c r="NQ84" i="2"/>
  <c r="NP84" i="2"/>
  <c r="NO84" i="2"/>
  <c r="NN84" i="2"/>
  <c r="NM84" i="2"/>
  <c r="NL84" i="2"/>
  <c r="NK84" i="2"/>
  <c r="NJ84" i="2"/>
  <c r="NI84" i="2"/>
  <c r="NH84" i="2"/>
  <c r="NG84" i="2"/>
  <c r="NF84" i="2"/>
  <c r="NE84" i="2"/>
  <c r="ND84" i="2"/>
  <c r="NC84" i="2"/>
  <c r="NB84" i="2"/>
  <c r="NA84" i="2"/>
  <c r="MZ84" i="2"/>
  <c r="MY84" i="2"/>
  <c r="MX84" i="2"/>
  <c r="MW84" i="2"/>
  <c r="MV84" i="2"/>
  <c r="MU84" i="2"/>
  <c r="MT84" i="2"/>
  <c r="MS84" i="2"/>
  <c r="MR84" i="2"/>
  <c r="MQ84" i="2"/>
  <c r="MP84" i="2"/>
  <c r="MO84" i="2"/>
  <c r="MN84" i="2"/>
  <c r="MM84" i="2"/>
  <c r="ML84" i="2"/>
  <c r="MK84" i="2"/>
  <c r="MJ84" i="2"/>
  <c r="MI84" i="2"/>
  <c r="MH84" i="2"/>
  <c r="MG84" i="2"/>
  <c r="MF84" i="2"/>
  <c r="ME84" i="2"/>
  <c r="MD84" i="2"/>
  <c r="MC84" i="2"/>
  <c r="MB84" i="2"/>
  <c r="MA84" i="2"/>
  <c r="LZ84" i="2"/>
  <c r="LY84" i="2"/>
  <c r="LX84" i="2"/>
  <c r="LW84" i="2"/>
  <c r="LV84" i="2"/>
  <c r="LU84" i="2"/>
  <c r="LT84" i="2"/>
  <c r="LS84" i="2"/>
  <c r="LR84" i="2"/>
  <c r="LQ84" i="2"/>
  <c r="LP84" i="2"/>
  <c r="LO84" i="2"/>
  <c r="LN84" i="2"/>
  <c r="LM84" i="2"/>
  <c r="LL84" i="2"/>
  <c r="LK84" i="2"/>
  <c r="LJ84" i="2"/>
  <c r="LI84" i="2"/>
  <c r="LH84" i="2"/>
  <c r="LG84" i="2"/>
  <c r="LF84" i="2"/>
  <c r="LE84" i="2"/>
  <c r="LD84" i="2"/>
  <c r="LC84" i="2"/>
  <c r="LB84" i="2"/>
  <c r="LA84" i="2"/>
  <c r="KZ84" i="2"/>
  <c r="KY84" i="2"/>
  <c r="KX84" i="2"/>
  <c r="KW84" i="2"/>
  <c r="KV84" i="2"/>
  <c r="KU84" i="2"/>
  <c r="KT84" i="2"/>
  <c r="KS84" i="2"/>
  <c r="KR84" i="2"/>
  <c r="KQ84" i="2"/>
  <c r="KP84" i="2"/>
  <c r="KO84" i="2"/>
  <c r="KN84" i="2"/>
  <c r="KM84" i="2"/>
  <c r="KL84" i="2"/>
  <c r="KK84" i="2"/>
  <c r="KJ84" i="2"/>
  <c r="KI84" i="2"/>
  <c r="KH84" i="2"/>
  <c r="KG84" i="2"/>
  <c r="KF84" i="2"/>
  <c r="KE84" i="2"/>
  <c r="KD84" i="2"/>
  <c r="KC84" i="2"/>
  <c r="KB84" i="2"/>
  <c r="KA84" i="2"/>
  <c r="JZ84" i="2"/>
  <c r="JY84" i="2"/>
  <c r="JX84" i="2"/>
  <c r="JW84" i="2"/>
  <c r="JV84" i="2"/>
  <c r="JU84" i="2"/>
  <c r="JT84" i="2"/>
  <c r="JS84" i="2"/>
  <c r="JR84" i="2"/>
  <c r="JQ84" i="2"/>
  <c r="JP84" i="2"/>
  <c r="JO84" i="2"/>
  <c r="JN84" i="2"/>
  <c r="JM84" i="2"/>
  <c r="JL84" i="2"/>
  <c r="JK84" i="2"/>
  <c r="JJ84" i="2"/>
  <c r="JI84" i="2"/>
  <c r="JH84" i="2"/>
  <c r="JG84" i="2"/>
  <c r="JF84" i="2"/>
  <c r="JE84" i="2"/>
  <c r="JD84" i="2"/>
  <c r="JC84" i="2"/>
  <c r="JB84" i="2"/>
  <c r="JA84" i="2"/>
  <c r="IZ84" i="2"/>
  <c r="IY84" i="2"/>
  <c r="IX84" i="2"/>
  <c r="IW84" i="2"/>
  <c r="IV84" i="2"/>
  <c r="IU84" i="2"/>
  <c r="IT84" i="2"/>
  <c r="IS84" i="2"/>
  <c r="IR84" i="2"/>
  <c r="IQ84" i="2"/>
  <c r="IP84" i="2"/>
  <c r="IO84" i="2"/>
  <c r="IN84" i="2"/>
  <c r="IM84" i="2"/>
  <c r="IL84" i="2"/>
  <c r="IK84" i="2"/>
  <c r="IJ84" i="2"/>
  <c r="II84" i="2"/>
  <c r="IH84" i="2"/>
  <c r="IG84" i="2"/>
  <c r="IF84" i="2"/>
  <c r="IE84" i="2"/>
  <c r="ID84" i="2"/>
  <c r="IC84" i="2"/>
  <c r="IB84" i="2"/>
  <c r="IA84" i="2"/>
  <c r="HZ84" i="2"/>
  <c r="HY84" i="2"/>
  <c r="HX84" i="2"/>
  <c r="HW84" i="2"/>
  <c r="HV84" i="2"/>
  <c r="HU84" i="2"/>
  <c r="HT84" i="2"/>
  <c r="HS84" i="2"/>
  <c r="HR84" i="2"/>
  <c r="HQ84" i="2"/>
  <c r="HP84" i="2"/>
  <c r="HO84" i="2"/>
  <c r="HN84" i="2"/>
  <c r="HM84" i="2"/>
  <c r="HL84" i="2"/>
  <c r="HK84" i="2"/>
  <c r="HJ84" i="2"/>
  <c r="HI84" i="2"/>
  <c r="HH84" i="2"/>
  <c r="HG84" i="2"/>
  <c r="HF84" i="2"/>
  <c r="HE84" i="2"/>
  <c r="HD84" i="2"/>
  <c r="HC84" i="2"/>
  <c r="HB84" i="2"/>
  <c r="HA84" i="2"/>
  <c r="GZ84" i="2"/>
  <c r="GY84" i="2"/>
  <c r="GX84" i="2"/>
  <c r="GW84" i="2"/>
  <c r="GV84" i="2"/>
  <c r="GU84" i="2"/>
  <c r="GT84" i="2"/>
  <c r="GS84" i="2"/>
  <c r="GR84" i="2"/>
  <c r="GQ84" i="2"/>
  <c r="GP84" i="2"/>
  <c r="GO84" i="2"/>
  <c r="GN84" i="2"/>
  <c r="GM84" i="2"/>
  <c r="GL84" i="2"/>
  <c r="GK84" i="2"/>
  <c r="GJ84" i="2"/>
  <c r="GI84" i="2"/>
  <c r="GH84" i="2"/>
  <c r="GG84" i="2"/>
  <c r="GF84" i="2"/>
  <c r="GE84" i="2"/>
  <c r="GD84" i="2"/>
  <c r="GC84" i="2"/>
  <c r="GB84" i="2"/>
  <c r="GA84" i="2"/>
  <c r="FZ84" i="2"/>
  <c r="FY84" i="2"/>
  <c r="FX84" i="2"/>
  <c r="FW84" i="2"/>
  <c r="FV84" i="2"/>
  <c r="FU84" i="2"/>
  <c r="FT84" i="2"/>
  <c r="FS84" i="2"/>
  <c r="FR84" i="2"/>
  <c r="FQ84" i="2"/>
  <c r="FP84" i="2"/>
  <c r="FO84" i="2"/>
  <c r="FN84" i="2"/>
  <c r="FM84" i="2"/>
  <c r="FL84" i="2"/>
  <c r="FK84" i="2"/>
  <c r="FJ84" i="2"/>
  <c r="FI84" i="2"/>
  <c r="FH84" i="2"/>
  <c r="FG84" i="2"/>
  <c r="FF84" i="2"/>
  <c r="FE84" i="2"/>
  <c r="FD84" i="2"/>
  <c r="FC84" i="2"/>
  <c r="FB84" i="2"/>
  <c r="FA84" i="2"/>
  <c r="EZ84" i="2"/>
  <c r="EY84" i="2"/>
  <c r="EX84" i="2"/>
  <c r="EW84" i="2"/>
  <c r="EV84" i="2"/>
  <c r="EU84" i="2"/>
  <c r="ET84" i="2"/>
  <c r="ES84" i="2"/>
  <c r="ER84" i="2"/>
  <c r="EQ84" i="2"/>
  <c r="EP84" i="2"/>
  <c r="EO84" i="2"/>
  <c r="EN84" i="2"/>
  <c r="EM84" i="2"/>
  <c r="EL84" i="2"/>
  <c r="EK84" i="2"/>
  <c r="EJ84" i="2"/>
  <c r="EI84" i="2"/>
  <c r="EH84" i="2"/>
  <c r="EG84" i="2"/>
  <c r="EF84" i="2"/>
  <c r="EE84" i="2"/>
  <c r="ED84" i="2"/>
  <c r="EC84" i="2"/>
  <c r="EB84" i="2"/>
  <c r="EA84" i="2"/>
  <c r="DZ84" i="2"/>
  <c r="DY84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PI83" i="2"/>
  <c r="PH83" i="2"/>
  <c r="PG83" i="2"/>
  <c r="PF83" i="2"/>
  <c r="PE83" i="2"/>
  <c r="PD83" i="2"/>
  <c r="PC83" i="2"/>
  <c r="PB83" i="2"/>
  <c r="PA83" i="2"/>
  <c r="OZ83" i="2"/>
  <c r="OY83" i="2"/>
  <c r="OX83" i="2"/>
  <c r="OW83" i="2"/>
  <c r="OV83" i="2"/>
  <c r="OU83" i="2"/>
  <c r="OT83" i="2"/>
  <c r="OS83" i="2"/>
  <c r="OR83" i="2"/>
  <c r="OQ83" i="2"/>
  <c r="OP83" i="2"/>
  <c r="OO83" i="2"/>
  <c r="ON83" i="2"/>
  <c r="OM83" i="2"/>
  <c r="OL83" i="2"/>
  <c r="OK83" i="2"/>
  <c r="OJ83" i="2"/>
  <c r="OI83" i="2"/>
  <c r="OH83" i="2"/>
  <c r="OG83" i="2"/>
  <c r="OF83" i="2"/>
  <c r="OE83" i="2"/>
  <c r="OD83" i="2"/>
  <c r="OC83" i="2"/>
  <c r="OB83" i="2"/>
  <c r="OA83" i="2"/>
  <c r="NZ83" i="2"/>
  <c r="NY83" i="2"/>
  <c r="NX83" i="2"/>
  <c r="NW83" i="2"/>
  <c r="NV83" i="2"/>
  <c r="NU83" i="2"/>
  <c r="NT83" i="2"/>
  <c r="NS83" i="2"/>
  <c r="NR83" i="2"/>
  <c r="NQ83" i="2"/>
  <c r="NP83" i="2"/>
  <c r="NO83" i="2"/>
  <c r="NN83" i="2"/>
  <c r="NM83" i="2"/>
  <c r="NL83" i="2"/>
  <c r="NK83" i="2"/>
  <c r="NJ83" i="2"/>
  <c r="NI83" i="2"/>
  <c r="NH83" i="2"/>
  <c r="NG83" i="2"/>
  <c r="NF83" i="2"/>
  <c r="NE83" i="2"/>
  <c r="ND83" i="2"/>
  <c r="NC83" i="2"/>
  <c r="NB83" i="2"/>
  <c r="NA83" i="2"/>
  <c r="MZ83" i="2"/>
  <c r="MY83" i="2"/>
  <c r="MX83" i="2"/>
  <c r="MW83" i="2"/>
  <c r="MV83" i="2"/>
  <c r="MU83" i="2"/>
  <c r="MT83" i="2"/>
  <c r="MS83" i="2"/>
  <c r="MR83" i="2"/>
  <c r="MQ83" i="2"/>
  <c r="MP83" i="2"/>
  <c r="MO83" i="2"/>
  <c r="MN83" i="2"/>
  <c r="MM83" i="2"/>
  <c r="ML83" i="2"/>
  <c r="MK83" i="2"/>
  <c r="MJ83" i="2"/>
  <c r="MI83" i="2"/>
  <c r="MH83" i="2"/>
  <c r="MG83" i="2"/>
  <c r="MF83" i="2"/>
  <c r="ME83" i="2"/>
  <c r="MD83" i="2"/>
  <c r="MC83" i="2"/>
  <c r="MB83" i="2"/>
  <c r="MA83" i="2"/>
  <c r="LZ83" i="2"/>
  <c r="LY83" i="2"/>
  <c r="LX83" i="2"/>
  <c r="LW83" i="2"/>
  <c r="LV83" i="2"/>
  <c r="LU83" i="2"/>
  <c r="LT83" i="2"/>
  <c r="LS83" i="2"/>
  <c r="LR83" i="2"/>
  <c r="LQ83" i="2"/>
  <c r="LP83" i="2"/>
  <c r="LO83" i="2"/>
  <c r="LN83" i="2"/>
  <c r="LM83" i="2"/>
  <c r="LL83" i="2"/>
  <c r="LK83" i="2"/>
  <c r="LJ83" i="2"/>
  <c r="LI83" i="2"/>
  <c r="LH83" i="2"/>
  <c r="LG83" i="2"/>
  <c r="LF83" i="2"/>
  <c r="LE83" i="2"/>
  <c r="LD83" i="2"/>
  <c r="LC83" i="2"/>
  <c r="LB83" i="2"/>
  <c r="LA83" i="2"/>
  <c r="KZ83" i="2"/>
  <c r="KY83" i="2"/>
  <c r="KX83" i="2"/>
  <c r="KW83" i="2"/>
  <c r="KV83" i="2"/>
  <c r="KU83" i="2"/>
  <c r="KT83" i="2"/>
  <c r="KS83" i="2"/>
  <c r="KR83" i="2"/>
  <c r="KQ83" i="2"/>
  <c r="KP83" i="2"/>
  <c r="KO83" i="2"/>
  <c r="KN83" i="2"/>
  <c r="KM83" i="2"/>
  <c r="KL83" i="2"/>
  <c r="KK83" i="2"/>
  <c r="KJ83" i="2"/>
  <c r="KI83" i="2"/>
  <c r="KH83" i="2"/>
  <c r="KG83" i="2"/>
  <c r="KF83" i="2"/>
  <c r="KE83" i="2"/>
  <c r="KD83" i="2"/>
  <c r="KC83" i="2"/>
  <c r="KB83" i="2"/>
  <c r="KA83" i="2"/>
  <c r="JZ83" i="2"/>
  <c r="JY83" i="2"/>
  <c r="JX83" i="2"/>
  <c r="JW83" i="2"/>
  <c r="JV83" i="2"/>
  <c r="JU83" i="2"/>
  <c r="JT83" i="2"/>
  <c r="JS83" i="2"/>
  <c r="JR83" i="2"/>
  <c r="JQ83" i="2"/>
  <c r="JP83" i="2"/>
  <c r="JO83" i="2"/>
  <c r="JN83" i="2"/>
  <c r="JM83" i="2"/>
  <c r="JL83" i="2"/>
  <c r="JK83" i="2"/>
  <c r="JJ83" i="2"/>
  <c r="JI83" i="2"/>
  <c r="JH83" i="2"/>
  <c r="JG83" i="2"/>
  <c r="JF83" i="2"/>
  <c r="JE83" i="2"/>
  <c r="JD83" i="2"/>
  <c r="JC83" i="2"/>
  <c r="JB83" i="2"/>
  <c r="JA83" i="2"/>
  <c r="IZ83" i="2"/>
  <c r="IY83" i="2"/>
  <c r="IX83" i="2"/>
  <c r="IW83" i="2"/>
  <c r="IV83" i="2"/>
  <c r="IU83" i="2"/>
  <c r="IT83" i="2"/>
  <c r="IS83" i="2"/>
  <c r="IR83" i="2"/>
  <c r="IQ83" i="2"/>
  <c r="IP83" i="2"/>
  <c r="IO83" i="2"/>
  <c r="IN83" i="2"/>
  <c r="IM83" i="2"/>
  <c r="IL83" i="2"/>
  <c r="IK83" i="2"/>
  <c r="IJ83" i="2"/>
  <c r="II83" i="2"/>
  <c r="IH83" i="2"/>
  <c r="IG83" i="2"/>
  <c r="IF83" i="2"/>
  <c r="IE83" i="2"/>
  <c r="ID83" i="2"/>
  <c r="IC83" i="2"/>
  <c r="IB83" i="2"/>
  <c r="IA83" i="2"/>
  <c r="HZ83" i="2"/>
  <c r="HY83" i="2"/>
  <c r="HX83" i="2"/>
  <c r="HW83" i="2"/>
  <c r="HV83" i="2"/>
  <c r="HU83" i="2"/>
  <c r="HT83" i="2"/>
  <c r="HS83" i="2"/>
  <c r="HR83" i="2"/>
  <c r="HQ83" i="2"/>
  <c r="HP83" i="2"/>
  <c r="HO83" i="2"/>
  <c r="HN83" i="2"/>
  <c r="HM83" i="2"/>
  <c r="HL83" i="2"/>
  <c r="HK83" i="2"/>
  <c r="HJ83" i="2"/>
  <c r="HI83" i="2"/>
  <c r="HH83" i="2"/>
  <c r="HG83" i="2"/>
  <c r="HF83" i="2"/>
  <c r="HE83" i="2"/>
  <c r="HD83" i="2"/>
  <c r="HC83" i="2"/>
  <c r="HB83" i="2"/>
  <c r="HA83" i="2"/>
  <c r="GZ83" i="2"/>
  <c r="GY83" i="2"/>
  <c r="GX83" i="2"/>
  <c r="GW83" i="2"/>
  <c r="GV83" i="2"/>
  <c r="GU83" i="2"/>
  <c r="GT83" i="2"/>
  <c r="GS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Q83" i="2"/>
  <c r="FP83" i="2"/>
  <c r="FO83" i="2"/>
  <c r="FN83" i="2"/>
  <c r="FM83" i="2"/>
  <c r="FL83" i="2"/>
  <c r="FK83" i="2"/>
  <c r="FJ83" i="2"/>
  <c r="FI83" i="2"/>
  <c r="FH83" i="2"/>
  <c r="FG83" i="2"/>
  <c r="FF83" i="2"/>
  <c r="FE83" i="2"/>
  <c r="FD83" i="2"/>
  <c r="FC83" i="2"/>
  <c r="FB83" i="2"/>
  <c r="FA83" i="2"/>
  <c r="EZ83" i="2"/>
  <c r="EY83" i="2"/>
  <c r="EX83" i="2"/>
  <c r="EW83" i="2"/>
  <c r="EV83" i="2"/>
  <c r="EU83" i="2"/>
  <c r="ET83" i="2"/>
  <c r="ES83" i="2"/>
  <c r="ER83" i="2"/>
  <c r="EQ83" i="2"/>
  <c r="EP83" i="2"/>
  <c r="EO83" i="2"/>
  <c r="EN83" i="2"/>
  <c r="EM83" i="2"/>
  <c r="EL83" i="2"/>
  <c r="EK83" i="2"/>
  <c r="EJ83" i="2"/>
  <c r="EI83" i="2"/>
  <c r="EH83" i="2"/>
  <c r="EG83" i="2"/>
  <c r="EF83" i="2"/>
  <c r="EE83" i="2"/>
  <c r="ED83" i="2"/>
  <c r="EC83" i="2"/>
  <c r="EB83" i="2"/>
  <c r="EA83" i="2"/>
  <c r="DZ83" i="2"/>
  <c r="DY83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PI82" i="2"/>
  <c r="PH82" i="2"/>
  <c r="PG82" i="2"/>
  <c r="PF82" i="2"/>
  <c r="PE82" i="2"/>
  <c r="PD82" i="2"/>
  <c r="PC82" i="2"/>
  <c r="PB82" i="2"/>
  <c r="PA82" i="2"/>
  <c r="OZ82" i="2"/>
  <c r="OY82" i="2"/>
  <c r="OX82" i="2"/>
  <c r="OW82" i="2"/>
  <c r="OV82" i="2"/>
  <c r="OU82" i="2"/>
  <c r="OT82" i="2"/>
  <c r="OS82" i="2"/>
  <c r="OR82" i="2"/>
  <c r="OQ82" i="2"/>
  <c r="OP82" i="2"/>
  <c r="OO82" i="2"/>
  <c r="ON82" i="2"/>
  <c r="OM82" i="2"/>
  <c r="OL82" i="2"/>
  <c r="OK82" i="2"/>
  <c r="OJ82" i="2"/>
  <c r="OI82" i="2"/>
  <c r="OH82" i="2"/>
  <c r="OG82" i="2"/>
  <c r="OF82" i="2"/>
  <c r="OE82" i="2"/>
  <c r="OD82" i="2"/>
  <c r="OC82" i="2"/>
  <c r="OB82" i="2"/>
  <c r="OA82" i="2"/>
  <c r="NZ82" i="2"/>
  <c r="NY82" i="2"/>
  <c r="NX82" i="2"/>
  <c r="NW82" i="2"/>
  <c r="NV82" i="2"/>
  <c r="NU82" i="2"/>
  <c r="NT82" i="2"/>
  <c r="NS82" i="2"/>
  <c r="NR82" i="2"/>
  <c r="NQ82" i="2"/>
  <c r="NP82" i="2"/>
  <c r="NO82" i="2"/>
  <c r="NN82" i="2"/>
  <c r="NM82" i="2"/>
  <c r="NL82" i="2"/>
  <c r="NK82" i="2"/>
  <c r="NJ82" i="2"/>
  <c r="NI82" i="2"/>
  <c r="NH82" i="2"/>
  <c r="NG82" i="2"/>
  <c r="NF82" i="2"/>
  <c r="NE82" i="2"/>
  <c r="ND82" i="2"/>
  <c r="NC82" i="2"/>
  <c r="NB82" i="2"/>
  <c r="NA82" i="2"/>
  <c r="MZ82" i="2"/>
  <c r="MY82" i="2"/>
  <c r="MX82" i="2"/>
  <c r="MW82" i="2"/>
  <c r="MV82" i="2"/>
  <c r="MU82" i="2"/>
  <c r="MT82" i="2"/>
  <c r="MS82" i="2"/>
  <c r="MR82" i="2"/>
  <c r="MQ82" i="2"/>
  <c r="MP82" i="2"/>
  <c r="MO82" i="2"/>
  <c r="MN82" i="2"/>
  <c r="MM82" i="2"/>
  <c r="ML82" i="2"/>
  <c r="MK82" i="2"/>
  <c r="MJ82" i="2"/>
  <c r="MI82" i="2"/>
  <c r="MH82" i="2"/>
  <c r="MG82" i="2"/>
  <c r="MF82" i="2"/>
  <c r="ME82" i="2"/>
  <c r="MD82" i="2"/>
  <c r="MC82" i="2"/>
  <c r="MB82" i="2"/>
  <c r="MA82" i="2"/>
  <c r="LZ82" i="2"/>
  <c r="LY82" i="2"/>
  <c r="LX82" i="2"/>
  <c r="LW82" i="2"/>
  <c r="LV82" i="2"/>
  <c r="LU82" i="2"/>
  <c r="LT82" i="2"/>
  <c r="LS82" i="2"/>
  <c r="LR82" i="2"/>
  <c r="LQ82" i="2"/>
  <c r="LP82" i="2"/>
  <c r="LO82" i="2"/>
  <c r="LN82" i="2"/>
  <c r="LM82" i="2"/>
  <c r="LL82" i="2"/>
  <c r="LK82" i="2"/>
  <c r="LJ82" i="2"/>
  <c r="LI82" i="2"/>
  <c r="LH82" i="2"/>
  <c r="LG82" i="2"/>
  <c r="LF82" i="2"/>
  <c r="LE82" i="2"/>
  <c r="LD82" i="2"/>
  <c r="LC82" i="2"/>
  <c r="LB82" i="2"/>
  <c r="LA82" i="2"/>
  <c r="KZ82" i="2"/>
  <c r="KY82" i="2"/>
  <c r="KX82" i="2"/>
  <c r="KW82" i="2"/>
  <c r="KV82" i="2"/>
  <c r="KU82" i="2"/>
  <c r="KT82" i="2"/>
  <c r="KS82" i="2"/>
  <c r="KR82" i="2"/>
  <c r="KQ82" i="2"/>
  <c r="KP82" i="2"/>
  <c r="KO82" i="2"/>
  <c r="KN82" i="2"/>
  <c r="KM82" i="2"/>
  <c r="KL82" i="2"/>
  <c r="KK82" i="2"/>
  <c r="KJ82" i="2"/>
  <c r="KI82" i="2"/>
  <c r="KH82" i="2"/>
  <c r="KG82" i="2"/>
  <c r="KF82" i="2"/>
  <c r="KE82" i="2"/>
  <c r="KD82" i="2"/>
  <c r="KC82" i="2"/>
  <c r="KB82" i="2"/>
  <c r="KA82" i="2"/>
  <c r="JZ82" i="2"/>
  <c r="JY82" i="2"/>
  <c r="JX82" i="2"/>
  <c r="JW82" i="2"/>
  <c r="JV82" i="2"/>
  <c r="JU82" i="2"/>
  <c r="JT82" i="2"/>
  <c r="JS82" i="2"/>
  <c r="JR82" i="2"/>
  <c r="JQ82" i="2"/>
  <c r="JP82" i="2"/>
  <c r="JO82" i="2"/>
  <c r="JN82" i="2"/>
  <c r="JM82" i="2"/>
  <c r="JL82" i="2"/>
  <c r="JK82" i="2"/>
  <c r="JJ82" i="2"/>
  <c r="JI82" i="2"/>
  <c r="JH82" i="2"/>
  <c r="JG82" i="2"/>
  <c r="JF82" i="2"/>
  <c r="JE82" i="2"/>
  <c r="JD82" i="2"/>
  <c r="JC82" i="2"/>
  <c r="JB82" i="2"/>
  <c r="JA82" i="2"/>
  <c r="IZ82" i="2"/>
  <c r="IY82" i="2"/>
  <c r="IX82" i="2"/>
  <c r="IW82" i="2"/>
  <c r="IV82" i="2"/>
  <c r="IU82" i="2"/>
  <c r="IT82" i="2"/>
  <c r="IS82" i="2"/>
  <c r="IR82" i="2"/>
  <c r="IQ82" i="2"/>
  <c r="IP82" i="2"/>
  <c r="IO82" i="2"/>
  <c r="IN82" i="2"/>
  <c r="IM82" i="2"/>
  <c r="IL82" i="2"/>
  <c r="IK82" i="2"/>
  <c r="IJ82" i="2"/>
  <c r="II82" i="2"/>
  <c r="IH82" i="2"/>
  <c r="IG82" i="2"/>
  <c r="IF82" i="2"/>
  <c r="IE82" i="2"/>
  <c r="ID82" i="2"/>
  <c r="IC82" i="2"/>
  <c r="IB82" i="2"/>
  <c r="IA82" i="2"/>
  <c r="HZ82" i="2"/>
  <c r="HY82" i="2"/>
  <c r="HX82" i="2"/>
  <c r="HW82" i="2"/>
  <c r="HV82" i="2"/>
  <c r="HU82" i="2"/>
  <c r="HT82" i="2"/>
  <c r="HS82" i="2"/>
  <c r="HR82" i="2"/>
  <c r="HQ82" i="2"/>
  <c r="HP82" i="2"/>
  <c r="HO82" i="2"/>
  <c r="HN82" i="2"/>
  <c r="HM82" i="2"/>
  <c r="HL82" i="2"/>
  <c r="HK82" i="2"/>
  <c r="HJ82" i="2"/>
  <c r="HI82" i="2"/>
  <c r="HH82" i="2"/>
  <c r="HG82" i="2"/>
  <c r="HF82" i="2"/>
  <c r="HE82" i="2"/>
  <c r="HD82" i="2"/>
  <c r="HC82" i="2"/>
  <c r="HB82" i="2"/>
  <c r="HA82" i="2"/>
  <c r="GZ82" i="2"/>
  <c r="GY82" i="2"/>
  <c r="GX82" i="2"/>
  <c r="GW82" i="2"/>
  <c r="GV82" i="2"/>
  <c r="GU82" i="2"/>
  <c r="GT82" i="2"/>
  <c r="GS82" i="2"/>
  <c r="GR82" i="2"/>
  <c r="GQ82" i="2"/>
  <c r="GP82" i="2"/>
  <c r="GO82" i="2"/>
  <c r="GN82" i="2"/>
  <c r="GM82" i="2"/>
  <c r="GL82" i="2"/>
  <c r="GK82" i="2"/>
  <c r="GJ82" i="2"/>
  <c r="GI82" i="2"/>
  <c r="GH82" i="2"/>
  <c r="GG82" i="2"/>
  <c r="GF82" i="2"/>
  <c r="GE82" i="2"/>
  <c r="GD82" i="2"/>
  <c r="GC82" i="2"/>
  <c r="GB82" i="2"/>
  <c r="GA82" i="2"/>
  <c r="FZ82" i="2"/>
  <c r="FY82" i="2"/>
  <c r="FX82" i="2"/>
  <c r="FW82" i="2"/>
  <c r="FV82" i="2"/>
  <c r="FU82" i="2"/>
  <c r="FT82" i="2"/>
  <c r="FS82" i="2"/>
  <c r="FR82" i="2"/>
  <c r="FQ82" i="2"/>
  <c r="FP82" i="2"/>
  <c r="FO82" i="2"/>
  <c r="FN82" i="2"/>
  <c r="FM82" i="2"/>
  <c r="FL82" i="2"/>
  <c r="FK82" i="2"/>
  <c r="FJ82" i="2"/>
  <c r="FI82" i="2"/>
  <c r="FH82" i="2"/>
  <c r="FG82" i="2"/>
  <c r="FF82" i="2"/>
  <c r="FE82" i="2"/>
  <c r="FD82" i="2"/>
  <c r="FC82" i="2"/>
  <c r="FB82" i="2"/>
  <c r="FA82" i="2"/>
  <c r="EZ82" i="2"/>
  <c r="EY82" i="2"/>
  <c r="EX82" i="2"/>
  <c r="EW82" i="2"/>
  <c r="EV82" i="2"/>
  <c r="EU82" i="2"/>
  <c r="ET82" i="2"/>
  <c r="ES82" i="2"/>
  <c r="ER82" i="2"/>
  <c r="EQ82" i="2"/>
  <c r="EP82" i="2"/>
  <c r="EO82" i="2"/>
  <c r="EN82" i="2"/>
  <c r="EM82" i="2"/>
  <c r="EL82" i="2"/>
  <c r="EK82" i="2"/>
  <c r="EJ82" i="2"/>
  <c r="EI82" i="2"/>
  <c r="EH82" i="2"/>
  <c r="EG82" i="2"/>
  <c r="EF82" i="2"/>
  <c r="EE82" i="2"/>
  <c r="ED82" i="2"/>
  <c r="EC82" i="2"/>
  <c r="EB82" i="2"/>
  <c r="EA82" i="2"/>
  <c r="DZ82" i="2"/>
  <c r="DY82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PI81" i="2"/>
  <c r="PH81" i="2"/>
  <c r="PG81" i="2"/>
  <c r="PF81" i="2"/>
  <c r="PE81" i="2"/>
  <c r="PD81" i="2"/>
  <c r="PC81" i="2"/>
  <c r="PB81" i="2"/>
  <c r="PA81" i="2"/>
  <c r="OZ81" i="2"/>
  <c r="OY81" i="2"/>
  <c r="OX81" i="2"/>
  <c r="OW81" i="2"/>
  <c r="OV81" i="2"/>
  <c r="OU81" i="2"/>
  <c r="OT81" i="2"/>
  <c r="OS81" i="2"/>
  <c r="OR81" i="2"/>
  <c r="OQ81" i="2"/>
  <c r="OP81" i="2"/>
  <c r="OO81" i="2"/>
  <c r="ON81" i="2"/>
  <c r="OM81" i="2"/>
  <c r="OL81" i="2"/>
  <c r="OK81" i="2"/>
  <c r="OJ81" i="2"/>
  <c r="OI81" i="2"/>
  <c r="OH81" i="2"/>
  <c r="OG81" i="2"/>
  <c r="OF81" i="2"/>
  <c r="OE81" i="2"/>
  <c r="OD81" i="2"/>
  <c r="OC81" i="2"/>
  <c r="OB81" i="2"/>
  <c r="OA81" i="2"/>
  <c r="NZ81" i="2"/>
  <c r="NY81" i="2"/>
  <c r="NX81" i="2"/>
  <c r="NW81" i="2"/>
  <c r="NV81" i="2"/>
  <c r="NU81" i="2"/>
  <c r="NT81" i="2"/>
  <c r="NS81" i="2"/>
  <c r="NR81" i="2"/>
  <c r="NQ81" i="2"/>
  <c r="NP81" i="2"/>
  <c r="NO81" i="2"/>
  <c r="NN81" i="2"/>
  <c r="NM81" i="2"/>
  <c r="NL81" i="2"/>
  <c r="NK81" i="2"/>
  <c r="NJ81" i="2"/>
  <c r="NI81" i="2"/>
  <c r="NH81" i="2"/>
  <c r="NG81" i="2"/>
  <c r="NF81" i="2"/>
  <c r="NE81" i="2"/>
  <c r="ND81" i="2"/>
  <c r="NC81" i="2"/>
  <c r="NB81" i="2"/>
  <c r="NA81" i="2"/>
  <c r="MZ81" i="2"/>
  <c r="MY81" i="2"/>
  <c r="MX81" i="2"/>
  <c r="MW81" i="2"/>
  <c r="MV81" i="2"/>
  <c r="MU81" i="2"/>
  <c r="MT81" i="2"/>
  <c r="MS81" i="2"/>
  <c r="MR81" i="2"/>
  <c r="MQ81" i="2"/>
  <c r="MP81" i="2"/>
  <c r="MO81" i="2"/>
  <c r="MN81" i="2"/>
  <c r="MM81" i="2"/>
  <c r="ML81" i="2"/>
  <c r="MK81" i="2"/>
  <c r="MJ81" i="2"/>
  <c r="MI81" i="2"/>
  <c r="MH81" i="2"/>
  <c r="MG81" i="2"/>
  <c r="MF81" i="2"/>
  <c r="ME81" i="2"/>
  <c r="MD81" i="2"/>
  <c r="MC81" i="2"/>
  <c r="MB81" i="2"/>
  <c r="MA81" i="2"/>
  <c r="LZ81" i="2"/>
  <c r="LY81" i="2"/>
  <c r="LX81" i="2"/>
  <c r="LW81" i="2"/>
  <c r="LV81" i="2"/>
  <c r="LU81" i="2"/>
  <c r="LT81" i="2"/>
  <c r="LS81" i="2"/>
  <c r="LR81" i="2"/>
  <c r="LQ81" i="2"/>
  <c r="LP81" i="2"/>
  <c r="LO81" i="2"/>
  <c r="LN81" i="2"/>
  <c r="LM81" i="2"/>
  <c r="LL81" i="2"/>
  <c r="LK81" i="2"/>
  <c r="LJ81" i="2"/>
  <c r="LI81" i="2"/>
  <c r="LH81" i="2"/>
  <c r="LG81" i="2"/>
  <c r="LF81" i="2"/>
  <c r="LE81" i="2"/>
  <c r="LD81" i="2"/>
  <c r="LC81" i="2"/>
  <c r="LB81" i="2"/>
  <c r="LA81" i="2"/>
  <c r="KZ81" i="2"/>
  <c r="KY81" i="2"/>
  <c r="KX81" i="2"/>
  <c r="KW81" i="2"/>
  <c r="KV81" i="2"/>
  <c r="KU81" i="2"/>
  <c r="KT81" i="2"/>
  <c r="KS81" i="2"/>
  <c r="KR81" i="2"/>
  <c r="KQ81" i="2"/>
  <c r="KP81" i="2"/>
  <c r="KO81" i="2"/>
  <c r="KN81" i="2"/>
  <c r="KM81" i="2"/>
  <c r="KL81" i="2"/>
  <c r="KK81" i="2"/>
  <c r="KJ81" i="2"/>
  <c r="KI81" i="2"/>
  <c r="KH81" i="2"/>
  <c r="KG81" i="2"/>
  <c r="KF81" i="2"/>
  <c r="KE81" i="2"/>
  <c r="KD81" i="2"/>
  <c r="KC81" i="2"/>
  <c r="KB81" i="2"/>
  <c r="KA81" i="2"/>
  <c r="JZ81" i="2"/>
  <c r="JY81" i="2"/>
  <c r="JX81" i="2"/>
  <c r="JW81" i="2"/>
  <c r="JV81" i="2"/>
  <c r="JU81" i="2"/>
  <c r="JT81" i="2"/>
  <c r="JS81" i="2"/>
  <c r="JR81" i="2"/>
  <c r="JQ81" i="2"/>
  <c r="JP81" i="2"/>
  <c r="JO81" i="2"/>
  <c r="JN81" i="2"/>
  <c r="JM81" i="2"/>
  <c r="JL81" i="2"/>
  <c r="JK81" i="2"/>
  <c r="JJ81" i="2"/>
  <c r="JI81" i="2"/>
  <c r="JH81" i="2"/>
  <c r="JG81" i="2"/>
  <c r="JF81" i="2"/>
  <c r="JE81" i="2"/>
  <c r="JD81" i="2"/>
  <c r="JC81" i="2"/>
  <c r="JB81" i="2"/>
  <c r="JA81" i="2"/>
  <c r="IZ81" i="2"/>
  <c r="IY81" i="2"/>
  <c r="IX81" i="2"/>
  <c r="IW81" i="2"/>
  <c r="IV81" i="2"/>
  <c r="IU81" i="2"/>
  <c r="IT81" i="2"/>
  <c r="IS81" i="2"/>
  <c r="IR81" i="2"/>
  <c r="IQ81" i="2"/>
  <c r="IP81" i="2"/>
  <c r="IO81" i="2"/>
  <c r="IN81" i="2"/>
  <c r="IM81" i="2"/>
  <c r="IL81" i="2"/>
  <c r="IK81" i="2"/>
  <c r="IJ81" i="2"/>
  <c r="II81" i="2"/>
  <c r="IH81" i="2"/>
  <c r="IG81" i="2"/>
  <c r="IF81" i="2"/>
  <c r="IE81" i="2"/>
  <c r="ID81" i="2"/>
  <c r="IC81" i="2"/>
  <c r="IB81" i="2"/>
  <c r="IA81" i="2"/>
  <c r="HZ81" i="2"/>
  <c r="HY81" i="2"/>
  <c r="HX81" i="2"/>
  <c r="HW81" i="2"/>
  <c r="HV81" i="2"/>
  <c r="HU81" i="2"/>
  <c r="HT81" i="2"/>
  <c r="HS81" i="2"/>
  <c r="HR81" i="2"/>
  <c r="HQ81" i="2"/>
  <c r="HP81" i="2"/>
  <c r="HO81" i="2"/>
  <c r="HN81" i="2"/>
  <c r="HM81" i="2"/>
  <c r="HL81" i="2"/>
  <c r="HK81" i="2"/>
  <c r="HJ81" i="2"/>
  <c r="HI81" i="2"/>
  <c r="HH81" i="2"/>
  <c r="HG81" i="2"/>
  <c r="HF81" i="2"/>
  <c r="HE81" i="2"/>
  <c r="HD81" i="2"/>
  <c r="HC81" i="2"/>
  <c r="HB81" i="2"/>
  <c r="HA81" i="2"/>
  <c r="GZ81" i="2"/>
  <c r="GY81" i="2"/>
  <c r="GX81" i="2"/>
  <c r="GW81" i="2"/>
  <c r="GV81" i="2"/>
  <c r="GU81" i="2"/>
  <c r="GT81" i="2"/>
  <c r="GS81" i="2"/>
  <c r="GR81" i="2"/>
  <c r="GQ81" i="2"/>
  <c r="GP81" i="2"/>
  <c r="GO81" i="2"/>
  <c r="GN81" i="2"/>
  <c r="GM81" i="2"/>
  <c r="GL81" i="2"/>
  <c r="GK81" i="2"/>
  <c r="GJ81" i="2"/>
  <c r="GI81" i="2"/>
  <c r="GH81" i="2"/>
  <c r="GG81" i="2"/>
  <c r="GF81" i="2"/>
  <c r="GE81" i="2"/>
  <c r="GD81" i="2"/>
  <c r="GC81" i="2"/>
  <c r="GB81" i="2"/>
  <c r="GA81" i="2"/>
  <c r="FZ81" i="2"/>
  <c r="FY81" i="2"/>
  <c r="FX81" i="2"/>
  <c r="FW81" i="2"/>
  <c r="FV81" i="2"/>
  <c r="FU81" i="2"/>
  <c r="FT81" i="2"/>
  <c r="FS81" i="2"/>
  <c r="FR81" i="2"/>
  <c r="FQ81" i="2"/>
  <c r="FP81" i="2"/>
  <c r="FO81" i="2"/>
  <c r="FN81" i="2"/>
  <c r="FM81" i="2"/>
  <c r="FL81" i="2"/>
  <c r="FK81" i="2"/>
  <c r="FJ81" i="2"/>
  <c r="FI81" i="2"/>
  <c r="FH81" i="2"/>
  <c r="FG81" i="2"/>
  <c r="FF81" i="2"/>
  <c r="FE81" i="2"/>
  <c r="FD81" i="2"/>
  <c r="FC81" i="2"/>
  <c r="FB81" i="2"/>
  <c r="FA81" i="2"/>
  <c r="EZ81" i="2"/>
  <c r="EY81" i="2"/>
  <c r="EX81" i="2"/>
  <c r="EW81" i="2"/>
  <c r="EV81" i="2"/>
  <c r="EU81" i="2"/>
  <c r="ET81" i="2"/>
  <c r="ES81" i="2"/>
  <c r="ER81" i="2"/>
  <c r="EQ81" i="2"/>
  <c r="EP81" i="2"/>
  <c r="EO81" i="2"/>
  <c r="EN81" i="2"/>
  <c r="EM81" i="2"/>
  <c r="EL81" i="2"/>
  <c r="EK81" i="2"/>
  <c r="EJ81" i="2"/>
  <c r="EI81" i="2"/>
  <c r="EH81" i="2"/>
  <c r="EG81" i="2"/>
  <c r="EF81" i="2"/>
  <c r="EE81" i="2"/>
  <c r="ED81" i="2"/>
  <c r="EC81" i="2"/>
  <c r="EB81" i="2"/>
  <c r="EA81" i="2"/>
  <c r="DZ81" i="2"/>
  <c r="DY81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PI80" i="2"/>
  <c r="PH80" i="2"/>
  <c r="PG80" i="2"/>
  <c r="PF80" i="2"/>
  <c r="PE80" i="2"/>
  <c r="PD80" i="2"/>
  <c r="PC80" i="2"/>
  <c r="PB80" i="2"/>
  <c r="PA80" i="2"/>
  <c r="OZ80" i="2"/>
  <c r="OY80" i="2"/>
  <c r="OX80" i="2"/>
  <c r="OW80" i="2"/>
  <c r="OV80" i="2"/>
  <c r="OU80" i="2"/>
  <c r="OT80" i="2"/>
  <c r="OS80" i="2"/>
  <c r="OR80" i="2"/>
  <c r="OQ80" i="2"/>
  <c r="OP80" i="2"/>
  <c r="OO80" i="2"/>
  <c r="ON80" i="2"/>
  <c r="OM80" i="2"/>
  <c r="OL80" i="2"/>
  <c r="OK80" i="2"/>
  <c r="OJ80" i="2"/>
  <c r="OI80" i="2"/>
  <c r="OH80" i="2"/>
  <c r="OG80" i="2"/>
  <c r="OF80" i="2"/>
  <c r="OE80" i="2"/>
  <c r="OD80" i="2"/>
  <c r="OC80" i="2"/>
  <c r="OB80" i="2"/>
  <c r="OA80" i="2"/>
  <c r="NZ80" i="2"/>
  <c r="NY80" i="2"/>
  <c r="NX80" i="2"/>
  <c r="NW80" i="2"/>
  <c r="NV80" i="2"/>
  <c r="NU80" i="2"/>
  <c r="NT80" i="2"/>
  <c r="NS80" i="2"/>
  <c r="NR80" i="2"/>
  <c r="NQ80" i="2"/>
  <c r="NP80" i="2"/>
  <c r="NO80" i="2"/>
  <c r="NN80" i="2"/>
  <c r="NM80" i="2"/>
  <c r="NL80" i="2"/>
  <c r="NK80" i="2"/>
  <c r="NJ80" i="2"/>
  <c r="NI80" i="2"/>
  <c r="NH80" i="2"/>
  <c r="NG80" i="2"/>
  <c r="NF80" i="2"/>
  <c r="NE80" i="2"/>
  <c r="ND80" i="2"/>
  <c r="NC80" i="2"/>
  <c r="NB80" i="2"/>
  <c r="NA80" i="2"/>
  <c r="MZ80" i="2"/>
  <c r="MY80" i="2"/>
  <c r="MX80" i="2"/>
  <c r="MW80" i="2"/>
  <c r="MV80" i="2"/>
  <c r="MU80" i="2"/>
  <c r="MT80" i="2"/>
  <c r="MS80" i="2"/>
  <c r="MR80" i="2"/>
  <c r="MQ80" i="2"/>
  <c r="MP80" i="2"/>
  <c r="MO80" i="2"/>
  <c r="MN80" i="2"/>
  <c r="MM80" i="2"/>
  <c r="ML80" i="2"/>
  <c r="MK80" i="2"/>
  <c r="MJ80" i="2"/>
  <c r="MI80" i="2"/>
  <c r="MH80" i="2"/>
  <c r="MG80" i="2"/>
  <c r="MF80" i="2"/>
  <c r="ME80" i="2"/>
  <c r="MD80" i="2"/>
  <c r="MC80" i="2"/>
  <c r="MB80" i="2"/>
  <c r="MA80" i="2"/>
  <c r="LZ80" i="2"/>
  <c r="LY80" i="2"/>
  <c r="LX80" i="2"/>
  <c r="LW80" i="2"/>
  <c r="LV80" i="2"/>
  <c r="LU80" i="2"/>
  <c r="LT80" i="2"/>
  <c r="LS80" i="2"/>
  <c r="LR80" i="2"/>
  <c r="LQ80" i="2"/>
  <c r="LP80" i="2"/>
  <c r="LO80" i="2"/>
  <c r="LN80" i="2"/>
  <c r="LM80" i="2"/>
  <c r="LL80" i="2"/>
  <c r="LK80" i="2"/>
  <c r="LJ80" i="2"/>
  <c r="LI80" i="2"/>
  <c r="LH80" i="2"/>
  <c r="LG80" i="2"/>
  <c r="LF80" i="2"/>
  <c r="LE80" i="2"/>
  <c r="LD80" i="2"/>
  <c r="LC80" i="2"/>
  <c r="LB80" i="2"/>
  <c r="LA80" i="2"/>
  <c r="KZ80" i="2"/>
  <c r="KY80" i="2"/>
  <c r="KX80" i="2"/>
  <c r="KW80" i="2"/>
  <c r="KV80" i="2"/>
  <c r="KU80" i="2"/>
  <c r="KT80" i="2"/>
  <c r="KS80" i="2"/>
  <c r="KR80" i="2"/>
  <c r="KQ80" i="2"/>
  <c r="KP80" i="2"/>
  <c r="KO80" i="2"/>
  <c r="KN80" i="2"/>
  <c r="KM80" i="2"/>
  <c r="KL80" i="2"/>
  <c r="KK80" i="2"/>
  <c r="KJ80" i="2"/>
  <c r="KI80" i="2"/>
  <c r="KH80" i="2"/>
  <c r="KG80" i="2"/>
  <c r="KF80" i="2"/>
  <c r="KE80" i="2"/>
  <c r="KD80" i="2"/>
  <c r="KC80" i="2"/>
  <c r="KB80" i="2"/>
  <c r="KA80" i="2"/>
  <c r="JZ80" i="2"/>
  <c r="JY80" i="2"/>
  <c r="JX80" i="2"/>
  <c r="JW80" i="2"/>
  <c r="JV80" i="2"/>
  <c r="JU80" i="2"/>
  <c r="JT80" i="2"/>
  <c r="JS80" i="2"/>
  <c r="JR80" i="2"/>
  <c r="JQ80" i="2"/>
  <c r="JP80" i="2"/>
  <c r="JO80" i="2"/>
  <c r="JN80" i="2"/>
  <c r="JM80" i="2"/>
  <c r="JL80" i="2"/>
  <c r="JK80" i="2"/>
  <c r="JJ80" i="2"/>
  <c r="JI80" i="2"/>
  <c r="JH80" i="2"/>
  <c r="JG80" i="2"/>
  <c r="JF80" i="2"/>
  <c r="JE80" i="2"/>
  <c r="JD80" i="2"/>
  <c r="JC80" i="2"/>
  <c r="JB80" i="2"/>
  <c r="JA80" i="2"/>
  <c r="IZ80" i="2"/>
  <c r="IY80" i="2"/>
  <c r="IX80" i="2"/>
  <c r="IW80" i="2"/>
  <c r="IV80" i="2"/>
  <c r="IU80" i="2"/>
  <c r="IT80" i="2"/>
  <c r="IS80" i="2"/>
  <c r="IR80" i="2"/>
  <c r="IQ80" i="2"/>
  <c r="IP80" i="2"/>
  <c r="IO80" i="2"/>
  <c r="IN80" i="2"/>
  <c r="IM80" i="2"/>
  <c r="IL80" i="2"/>
  <c r="IK80" i="2"/>
  <c r="IJ80" i="2"/>
  <c r="II80" i="2"/>
  <c r="IH80" i="2"/>
  <c r="IG80" i="2"/>
  <c r="IF80" i="2"/>
  <c r="IE80" i="2"/>
  <c r="ID80" i="2"/>
  <c r="IC80" i="2"/>
  <c r="IB80" i="2"/>
  <c r="IA80" i="2"/>
  <c r="HZ80" i="2"/>
  <c r="HY80" i="2"/>
  <c r="HX80" i="2"/>
  <c r="HW80" i="2"/>
  <c r="HV80" i="2"/>
  <c r="HU80" i="2"/>
  <c r="HT80" i="2"/>
  <c r="HS80" i="2"/>
  <c r="HR80" i="2"/>
  <c r="HQ80" i="2"/>
  <c r="HP80" i="2"/>
  <c r="HO80" i="2"/>
  <c r="HN80" i="2"/>
  <c r="HM80" i="2"/>
  <c r="HL80" i="2"/>
  <c r="HK80" i="2"/>
  <c r="HJ80" i="2"/>
  <c r="HI80" i="2"/>
  <c r="HH80" i="2"/>
  <c r="HG80" i="2"/>
  <c r="HF80" i="2"/>
  <c r="HE80" i="2"/>
  <c r="HD80" i="2"/>
  <c r="HC80" i="2"/>
  <c r="HB80" i="2"/>
  <c r="HA80" i="2"/>
  <c r="GZ80" i="2"/>
  <c r="GY80" i="2"/>
  <c r="GX80" i="2"/>
  <c r="GW80" i="2"/>
  <c r="GV80" i="2"/>
  <c r="GU80" i="2"/>
  <c r="GT80" i="2"/>
  <c r="GS80" i="2"/>
  <c r="GR80" i="2"/>
  <c r="GQ80" i="2"/>
  <c r="GP80" i="2"/>
  <c r="GO80" i="2"/>
  <c r="GN80" i="2"/>
  <c r="GM80" i="2"/>
  <c r="GL80" i="2"/>
  <c r="GK80" i="2"/>
  <c r="GJ80" i="2"/>
  <c r="GI80" i="2"/>
  <c r="GH80" i="2"/>
  <c r="GG80" i="2"/>
  <c r="GF80" i="2"/>
  <c r="GE80" i="2"/>
  <c r="GD80" i="2"/>
  <c r="GC80" i="2"/>
  <c r="GB80" i="2"/>
  <c r="GA80" i="2"/>
  <c r="FZ80" i="2"/>
  <c r="FY80" i="2"/>
  <c r="FX80" i="2"/>
  <c r="FW80" i="2"/>
  <c r="FV80" i="2"/>
  <c r="FU80" i="2"/>
  <c r="FT80" i="2"/>
  <c r="FS80" i="2"/>
  <c r="FR80" i="2"/>
  <c r="FQ80" i="2"/>
  <c r="FP80" i="2"/>
  <c r="FO80" i="2"/>
  <c r="FN80" i="2"/>
  <c r="FM80" i="2"/>
  <c r="FL80" i="2"/>
  <c r="FK80" i="2"/>
  <c r="FJ80" i="2"/>
  <c r="FI80" i="2"/>
  <c r="FH80" i="2"/>
  <c r="FG80" i="2"/>
  <c r="FF80" i="2"/>
  <c r="FE80" i="2"/>
  <c r="FD80" i="2"/>
  <c r="FC80" i="2"/>
  <c r="FB80" i="2"/>
  <c r="FA80" i="2"/>
  <c r="EZ80" i="2"/>
  <c r="EY80" i="2"/>
  <c r="EX80" i="2"/>
  <c r="EW80" i="2"/>
  <c r="EV80" i="2"/>
  <c r="EU80" i="2"/>
  <c r="ET80" i="2"/>
  <c r="ES80" i="2"/>
  <c r="ER80" i="2"/>
  <c r="EQ80" i="2"/>
  <c r="EP80" i="2"/>
  <c r="EO80" i="2"/>
  <c r="EN80" i="2"/>
  <c r="EM80" i="2"/>
  <c r="EL80" i="2"/>
  <c r="EK80" i="2"/>
  <c r="EJ80" i="2"/>
  <c r="EI80" i="2"/>
  <c r="EH80" i="2"/>
  <c r="EG80" i="2"/>
  <c r="EF80" i="2"/>
  <c r="EE80" i="2"/>
  <c r="ED80" i="2"/>
  <c r="EC80" i="2"/>
  <c r="EB80" i="2"/>
  <c r="EA80" i="2"/>
  <c r="DZ80" i="2"/>
  <c r="DY80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PI79" i="2"/>
  <c r="PH79" i="2"/>
  <c r="PG79" i="2"/>
  <c r="PF79" i="2"/>
  <c r="PE79" i="2"/>
  <c r="PD79" i="2"/>
  <c r="PC79" i="2"/>
  <c r="PB79" i="2"/>
  <c r="PA79" i="2"/>
  <c r="OZ79" i="2"/>
  <c r="OY79" i="2"/>
  <c r="OX79" i="2"/>
  <c r="OW79" i="2"/>
  <c r="OV79" i="2"/>
  <c r="OU79" i="2"/>
  <c r="OT79" i="2"/>
  <c r="OS79" i="2"/>
  <c r="OR79" i="2"/>
  <c r="OQ79" i="2"/>
  <c r="OP79" i="2"/>
  <c r="OO79" i="2"/>
  <c r="ON79" i="2"/>
  <c r="OM79" i="2"/>
  <c r="OL79" i="2"/>
  <c r="OK79" i="2"/>
  <c r="OJ79" i="2"/>
  <c r="OI79" i="2"/>
  <c r="OH79" i="2"/>
  <c r="OG79" i="2"/>
  <c r="OF79" i="2"/>
  <c r="OE79" i="2"/>
  <c r="OD79" i="2"/>
  <c r="OC79" i="2"/>
  <c r="OB79" i="2"/>
  <c r="OA79" i="2"/>
  <c r="NZ79" i="2"/>
  <c r="NY79" i="2"/>
  <c r="NX79" i="2"/>
  <c r="NW79" i="2"/>
  <c r="NV79" i="2"/>
  <c r="NU79" i="2"/>
  <c r="NT79" i="2"/>
  <c r="NS79" i="2"/>
  <c r="NR79" i="2"/>
  <c r="NQ79" i="2"/>
  <c r="NP79" i="2"/>
  <c r="NO79" i="2"/>
  <c r="NN79" i="2"/>
  <c r="NM79" i="2"/>
  <c r="NL79" i="2"/>
  <c r="NK79" i="2"/>
  <c r="NJ79" i="2"/>
  <c r="NI79" i="2"/>
  <c r="NH79" i="2"/>
  <c r="NG79" i="2"/>
  <c r="NF79" i="2"/>
  <c r="NE79" i="2"/>
  <c r="ND79" i="2"/>
  <c r="NC79" i="2"/>
  <c r="NB79" i="2"/>
  <c r="NA79" i="2"/>
  <c r="MZ79" i="2"/>
  <c r="MY79" i="2"/>
  <c r="MX79" i="2"/>
  <c r="MW79" i="2"/>
  <c r="MV79" i="2"/>
  <c r="MU79" i="2"/>
  <c r="MT79" i="2"/>
  <c r="MS79" i="2"/>
  <c r="MR79" i="2"/>
  <c r="MQ79" i="2"/>
  <c r="MP79" i="2"/>
  <c r="MO79" i="2"/>
  <c r="MN79" i="2"/>
  <c r="MM79" i="2"/>
  <c r="ML79" i="2"/>
  <c r="MK79" i="2"/>
  <c r="MJ79" i="2"/>
  <c r="MI79" i="2"/>
  <c r="MH79" i="2"/>
  <c r="MG79" i="2"/>
  <c r="MF79" i="2"/>
  <c r="ME79" i="2"/>
  <c r="MD79" i="2"/>
  <c r="MC79" i="2"/>
  <c r="MB79" i="2"/>
  <c r="MA79" i="2"/>
  <c r="LZ79" i="2"/>
  <c r="LY79" i="2"/>
  <c r="LX79" i="2"/>
  <c r="LW79" i="2"/>
  <c r="LV79" i="2"/>
  <c r="LU79" i="2"/>
  <c r="LT79" i="2"/>
  <c r="LS79" i="2"/>
  <c r="LR79" i="2"/>
  <c r="LQ79" i="2"/>
  <c r="LP79" i="2"/>
  <c r="LO79" i="2"/>
  <c r="LN79" i="2"/>
  <c r="LM79" i="2"/>
  <c r="LL79" i="2"/>
  <c r="LK79" i="2"/>
  <c r="LJ79" i="2"/>
  <c r="LI79" i="2"/>
  <c r="LH79" i="2"/>
  <c r="LG79" i="2"/>
  <c r="LF79" i="2"/>
  <c r="LE79" i="2"/>
  <c r="LD79" i="2"/>
  <c r="LC79" i="2"/>
  <c r="LB79" i="2"/>
  <c r="LA79" i="2"/>
  <c r="KZ79" i="2"/>
  <c r="KY79" i="2"/>
  <c r="KX79" i="2"/>
  <c r="KW79" i="2"/>
  <c r="KV79" i="2"/>
  <c r="KU79" i="2"/>
  <c r="KT79" i="2"/>
  <c r="KS79" i="2"/>
  <c r="KR79" i="2"/>
  <c r="KQ79" i="2"/>
  <c r="KP79" i="2"/>
  <c r="KO79" i="2"/>
  <c r="KN79" i="2"/>
  <c r="KM79" i="2"/>
  <c r="KL79" i="2"/>
  <c r="KK79" i="2"/>
  <c r="KJ79" i="2"/>
  <c r="KI79" i="2"/>
  <c r="KH79" i="2"/>
  <c r="KG79" i="2"/>
  <c r="KF79" i="2"/>
  <c r="KE79" i="2"/>
  <c r="KD79" i="2"/>
  <c r="KC79" i="2"/>
  <c r="KB79" i="2"/>
  <c r="KA79" i="2"/>
  <c r="JZ79" i="2"/>
  <c r="JY79" i="2"/>
  <c r="JX79" i="2"/>
  <c r="JW79" i="2"/>
  <c r="JV79" i="2"/>
  <c r="JU79" i="2"/>
  <c r="JT79" i="2"/>
  <c r="JS79" i="2"/>
  <c r="JR79" i="2"/>
  <c r="JQ79" i="2"/>
  <c r="JP79" i="2"/>
  <c r="JO79" i="2"/>
  <c r="JN79" i="2"/>
  <c r="JM79" i="2"/>
  <c r="JL79" i="2"/>
  <c r="JK79" i="2"/>
  <c r="JJ79" i="2"/>
  <c r="JI79" i="2"/>
  <c r="JH79" i="2"/>
  <c r="JG79" i="2"/>
  <c r="JF79" i="2"/>
  <c r="JE79" i="2"/>
  <c r="JD79" i="2"/>
  <c r="JC79" i="2"/>
  <c r="JB79" i="2"/>
  <c r="JA79" i="2"/>
  <c r="IZ79" i="2"/>
  <c r="IY79" i="2"/>
  <c r="IX79" i="2"/>
  <c r="IW79" i="2"/>
  <c r="IV79" i="2"/>
  <c r="IU79" i="2"/>
  <c r="IT79" i="2"/>
  <c r="IS79" i="2"/>
  <c r="IR79" i="2"/>
  <c r="IQ79" i="2"/>
  <c r="IP79" i="2"/>
  <c r="IO79" i="2"/>
  <c r="IN79" i="2"/>
  <c r="IM79" i="2"/>
  <c r="IL79" i="2"/>
  <c r="IK79" i="2"/>
  <c r="IJ79" i="2"/>
  <c r="II79" i="2"/>
  <c r="IH79" i="2"/>
  <c r="IG79" i="2"/>
  <c r="IF79" i="2"/>
  <c r="IE79" i="2"/>
  <c r="ID79" i="2"/>
  <c r="IC79" i="2"/>
  <c r="IB79" i="2"/>
  <c r="IA79" i="2"/>
  <c r="HZ79" i="2"/>
  <c r="HY79" i="2"/>
  <c r="HX79" i="2"/>
  <c r="HW79" i="2"/>
  <c r="HV79" i="2"/>
  <c r="HU79" i="2"/>
  <c r="HT79" i="2"/>
  <c r="HS79" i="2"/>
  <c r="HR79" i="2"/>
  <c r="HQ79" i="2"/>
  <c r="HP79" i="2"/>
  <c r="HO79" i="2"/>
  <c r="HN79" i="2"/>
  <c r="HM79" i="2"/>
  <c r="HL79" i="2"/>
  <c r="HK79" i="2"/>
  <c r="HJ79" i="2"/>
  <c r="HI79" i="2"/>
  <c r="HH79" i="2"/>
  <c r="HG79" i="2"/>
  <c r="HF79" i="2"/>
  <c r="HE79" i="2"/>
  <c r="HD79" i="2"/>
  <c r="HC79" i="2"/>
  <c r="HB79" i="2"/>
  <c r="HA79" i="2"/>
  <c r="GZ79" i="2"/>
  <c r="GY79" i="2"/>
  <c r="GX79" i="2"/>
  <c r="GW79" i="2"/>
  <c r="GV79" i="2"/>
  <c r="GU79" i="2"/>
  <c r="GT79" i="2"/>
  <c r="GS79" i="2"/>
  <c r="GR79" i="2"/>
  <c r="GQ79" i="2"/>
  <c r="GP79" i="2"/>
  <c r="GO79" i="2"/>
  <c r="GN79" i="2"/>
  <c r="GM79" i="2"/>
  <c r="GL79" i="2"/>
  <c r="GK79" i="2"/>
  <c r="GJ79" i="2"/>
  <c r="GI79" i="2"/>
  <c r="GH79" i="2"/>
  <c r="GG79" i="2"/>
  <c r="GF79" i="2"/>
  <c r="GE79" i="2"/>
  <c r="GD79" i="2"/>
  <c r="GC79" i="2"/>
  <c r="GB79" i="2"/>
  <c r="GA79" i="2"/>
  <c r="FZ79" i="2"/>
  <c r="FY79" i="2"/>
  <c r="FX79" i="2"/>
  <c r="FW79" i="2"/>
  <c r="FV79" i="2"/>
  <c r="FU79" i="2"/>
  <c r="FT79" i="2"/>
  <c r="FS79" i="2"/>
  <c r="FR79" i="2"/>
  <c r="FQ79" i="2"/>
  <c r="FP79" i="2"/>
  <c r="FO79" i="2"/>
  <c r="FN79" i="2"/>
  <c r="FM79" i="2"/>
  <c r="FL79" i="2"/>
  <c r="FK79" i="2"/>
  <c r="FJ79" i="2"/>
  <c r="FI79" i="2"/>
  <c r="FH79" i="2"/>
  <c r="FG79" i="2"/>
  <c r="FF79" i="2"/>
  <c r="FE79" i="2"/>
  <c r="FD79" i="2"/>
  <c r="FC79" i="2"/>
  <c r="FB79" i="2"/>
  <c r="FA79" i="2"/>
  <c r="EZ79" i="2"/>
  <c r="EY79" i="2"/>
  <c r="EX79" i="2"/>
  <c r="EW79" i="2"/>
  <c r="EV79" i="2"/>
  <c r="EU79" i="2"/>
  <c r="ET79" i="2"/>
  <c r="ES79" i="2"/>
  <c r="ER79" i="2"/>
  <c r="EQ79" i="2"/>
  <c r="EP79" i="2"/>
  <c r="EO79" i="2"/>
  <c r="EN79" i="2"/>
  <c r="EM79" i="2"/>
  <c r="EL79" i="2"/>
  <c r="EK79" i="2"/>
  <c r="EJ79" i="2"/>
  <c r="EI79" i="2"/>
  <c r="EH79" i="2"/>
  <c r="EG79" i="2"/>
  <c r="EF79" i="2"/>
  <c r="EE79" i="2"/>
  <c r="ED79" i="2"/>
  <c r="EC79" i="2"/>
  <c r="EB79" i="2"/>
  <c r="EA79" i="2"/>
  <c r="DZ79" i="2"/>
  <c r="DY79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PI78" i="2"/>
  <c r="PH78" i="2"/>
  <c r="PG78" i="2"/>
  <c r="PF78" i="2"/>
  <c r="PE78" i="2"/>
  <c r="PD78" i="2"/>
  <c r="PC78" i="2"/>
  <c r="PB78" i="2"/>
  <c r="PA78" i="2"/>
  <c r="OZ78" i="2"/>
  <c r="OY78" i="2"/>
  <c r="OX78" i="2"/>
  <c r="OW78" i="2"/>
  <c r="OV78" i="2"/>
  <c r="OU78" i="2"/>
  <c r="OT78" i="2"/>
  <c r="OS78" i="2"/>
  <c r="OR78" i="2"/>
  <c r="OQ78" i="2"/>
  <c r="OP78" i="2"/>
  <c r="OO78" i="2"/>
  <c r="ON78" i="2"/>
  <c r="OM78" i="2"/>
  <c r="OL78" i="2"/>
  <c r="OK78" i="2"/>
  <c r="OJ78" i="2"/>
  <c r="OI78" i="2"/>
  <c r="OH78" i="2"/>
  <c r="OG78" i="2"/>
  <c r="OF78" i="2"/>
  <c r="OE78" i="2"/>
  <c r="OD78" i="2"/>
  <c r="OC78" i="2"/>
  <c r="OB78" i="2"/>
  <c r="OA78" i="2"/>
  <c r="NZ78" i="2"/>
  <c r="NY78" i="2"/>
  <c r="NX78" i="2"/>
  <c r="NW78" i="2"/>
  <c r="NV78" i="2"/>
  <c r="NU78" i="2"/>
  <c r="NT78" i="2"/>
  <c r="NS78" i="2"/>
  <c r="NR78" i="2"/>
  <c r="NQ78" i="2"/>
  <c r="NP78" i="2"/>
  <c r="NO78" i="2"/>
  <c r="NN78" i="2"/>
  <c r="NM78" i="2"/>
  <c r="NL78" i="2"/>
  <c r="NK78" i="2"/>
  <c r="NJ78" i="2"/>
  <c r="NI78" i="2"/>
  <c r="NH78" i="2"/>
  <c r="NG78" i="2"/>
  <c r="NF78" i="2"/>
  <c r="NE78" i="2"/>
  <c r="ND78" i="2"/>
  <c r="NC78" i="2"/>
  <c r="NB78" i="2"/>
  <c r="NA78" i="2"/>
  <c r="MZ78" i="2"/>
  <c r="MY78" i="2"/>
  <c r="MX78" i="2"/>
  <c r="MW78" i="2"/>
  <c r="MV78" i="2"/>
  <c r="MU78" i="2"/>
  <c r="MT78" i="2"/>
  <c r="MS78" i="2"/>
  <c r="MR78" i="2"/>
  <c r="MQ78" i="2"/>
  <c r="MP78" i="2"/>
  <c r="MO78" i="2"/>
  <c r="MN78" i="2"/>
  <c r="MM78" i="2"/>
  <c r="ML78" i="2"/>
  <c r="MK78" i="2"/>
  <c r="MJ78" i="2"/>
  <c r="MI78" i="2"/>
  <c r="MH78" i="2"/>
  <c r="MG78" i="2"/>
  <c r="MF78" i="2"/>
  <c r="ME78" i="2"/>
  <c r="MD78" i="2"/>
  <c r="MC78" i="2"/>
  <c r="MB78" i="2"/>
  <c r="MA78" i="2"/>
  <c r="LZ78" i="2"/>
  <c r="LY78" i="2"/>
  <c r="LX78" i="2"/>
  <c r="LW78" i="2"/>
  <c r="LV78" i="2"/>
  <c r="LU78" i="2"/>
  <c r="LT78" i="2"/>
  <c r="LS78" i="2"/>
  <c r="LR78" i="2"/>
  <c r="LQ78" i="2"/>
  <c r="LP78" i="2"/>
  <c r="LO78" i="2"/>
  <c r="LN78" i="2"/>
  <c r="LM78" i="2"/>
  <c r="LL78" i="2"/>
  <c r="LK78" i="2"/>
  <c r="LJ78" i="2"/>
  <c r="LI78" i="2"/>
  <c r="LH78" i="2"/>
  <c r="LG78" i="2"/>
  <c r="LF78" i="2"/>
  <c r="LE78" i="2"/>
  <c r="LD78" i="2"/>
  <c r="LC78" i="2"/>
  <c r="LB78" i="2"/>
  <c r="LA78" i="2"/>
  <c r="KZ78" i="2"/>
  <c r="KY78" i="2"/>
  <c r="KX78" i="2"/>
  <c r="KW78" i="2"/>
  <c r="KV78" i="2"/>
  <c r="KU78" i="2"/>
  <c r="KT78" i="2"/>
  <c r="KS78" i="2"/>
  <c r="KR78" i="2"/>
  <c r="KQ78" i="2"/>
  <c r="KP78" i="2"/>
  <c r="KO78" i="2"/>
  <c r="KN78" i="2"/>
  <c r="KM78" i="2"/>
  <c r="KL78" i="2"/>
  <c r="KK78" i="2"/>
  <c r="KJ78" i="2"/>
  <c r="KI78" i="2"/>
  <c r="KH78" i="2"/>
  <c r="KG78" i="2"/>
  <c r="KF78" i="2"/>
  <c r="KE78" i="2"/>
  <c r="KD78" i="2"/>
  <c r="KC78" i="2"/>
  <c r="KB78" i="2"/>
  <c r="KA78" i="2"/>
  <c r="JZ78" i="2"/>
  <c r="JY78" i="2"/>
  <c r="JX78" i="2"/>
  <c r="JW78" i="2"/>
  <c r="JV78" i="2"/>
  <c r="JU78" i="2"/>
  <c r="JT78" i="2"/>
  <c r="JS78" i="2"/>
  <c r="JR78" i="2"/>
  <c r="JQ78" i="2"/>
  <c r="JP78" i="2"/>
  <c r="JO78" i="2"/>
  <c r="JN78" i="2"/>
  <c r="JM78" i="2"/>
  <c r="JL78" i="2"/>
  <c r="JK78" i="2"/>
  <c r="JJ78" i="2"/>
  <c r="JI78" i="2"/>
  <c r="JH78" i="2"/>
  <c r="JG78" i="2"/>
  <c r="JF78" i="2"/>
  <c r="JE78" i="2"/>
  <c r="JD78" i="2"/>
  <c r="JC78" i="2"/>
  <c r="JB78" i="2"/>
  <c r="JA78" i="2"/>
  <c r="IZ78" i="2"/>
  <c r="IY78" i="2"/>
  <c r="IX78" i="2"/>
  <c r="IW78" i="2"/>
  <c r="IV78" i="2"/>
  <c r="IU78" i="2"/>
  <c r="IT78" i="2"/>
  <c r="IS78" i="2"/>
  <c r="IR78" i="2"/>
  <c r="IQ78" i="2"/>
  <c r="IP78" i="2"/>
  <c r="IO78" i="2"/>
  <c r="IN78" i="2"/>
  <c r="IM78" i="2"/>
  <c r="IL78" i="2"/>
  <c r="IK78" i="2"/>
  <c r="IJ78" i="2"/>
  <c r="II78" i="2"/>
  <c r="IH78" i="2"/>
  <c r="IG78" i="2"/>
  <c r="IF78" i="2"/>
  <c r="IE78" i="2"/>
  <c r="ID78" i="2"/>
  <c r="IC78" i="2"/>
  <c r="IB78" i="2"/>
  <c r="IA78" i="2"/>
  <c r="HZ78" i="2"/>
  <c r="HY78" i="2"/>
  <c r="HX78" i="2"/>
  <c r="HW78" i="2"/>
  <c r="HV78" i="2"/>
  <c r="HU78" i="2"/>
  <c r="HT78" i="2"/>
  <c r="HS78" i="2"/>
  <c r="HR78" i="2"/>
  <c r="HQ78" i="2"/>
  <c r="HP78" i="2"/>
  <c r="HO78" i="2"/>
  <c r="HN78" i="2"/>
  <c r="HM78" i="2"/>
  <c r="HL78" i="2"/>
  <c r="HK78" i="2"/>
  <c r="HJ78" i="2"/>
  <c r="HI78" i="2"/>
  <c r="HH78" i="2"/>
  <c r="HG78" i="2"/>
  <c r="HF78" i="2"/>
  <c r="HE78" i="2"/>
  <c r="HD78" i="2"/>
  <c r="HC78" i="2"/>
  <c r="HB78" i="2"/>
  <c r="HA78" i="2"/>
  <c r="GZ78" i="2"/>
  <c r="GY78" i="2"/>
  <c r="GX78" i="2"/>
  <c r="GW78" i="2"/>
  <c r="GV78" i="2"/>
  <c r="GU78" i="2"/>
  <c r="GT78" i="2"/>
  <c r="GS78" i="2"/>
  <c r="GR78" i="2"/>
  <c r="GQ78" i="2"/>
  <c r="GP78" i="2"/>
  <c r="GO78" i="2"/>
  <c r="GN78" i="2"/>
  <c r="GM78" i="2"/>
  <c r="GL78" i="2"/>
  <c r="GK78" i="2"/>
  <c r="GJ78" i="2"/>
  <c r="GI78" i="2"/>
  <c r="GH78" i="2"/>
  <c r="GG78" i="2"/>
  <c r="GF78" i="2"/>
  <c r="GE78" i="2"/>
  <c r="GD78" i="2"/>
  <c r="GC78" i="2"/>
  <c r="GB78" i="2"/>
  <c r="GA78" i="2"/>
  <c r="FZ78" i="2"/>
  <c r="FY78" i="2"/>
  <c r="FX78" i="2"/>
  <c r="FW78" i="2"/>
  <c r="FV78" i="2"/>
  <c r="FU78" i="2"/>
  <c r="FT78" i="2"/>
  <c r="FS78" i="2"/>
  <c r="FR78" i="2"/>
  <c r="FQ78" i="2"/>
  <c r="FP78" i="2"/>
  <c r="FO78" i="2"/>
  <c r="FN78" i="2"/>
  <c r="FM78" i="2"/>
  <c r="FL78" i="2"/>
  <c r="FK78" i="2"/>
  <c r="FJ78" i="2"/>
  <c r="FI78" i="2"/>
  <c r="FH78" i="2"/>
  <c r="FG78" i="2"/>
  <c r="FF78" i="2"/>
  <c r="FE78" i="2"/>
  <c r="FD78" i="2"/>
  <c r="FC78" i="2"/>
  <c r="FB78" i="2"/>
  <c r="FA78" i="2"/>
  <c r="EZ78" i="2"/>
  <c r="EY78" i="2"/>
  <c r="EX78" i="2"/>
  <c r="EW78" i="2"/>
  <c r="EV78" i="2"/>
  <c r="EU78" i="2"/>
  <c r="ET78" i="2"/>
  <c r="ES78" i="2"/>
  <c r="ER78" i="2"/>
  <c r="EQ78" i="2"/>
  <c r="EP78" i="2"/>
  <c r="EO78" i="2"/>
  <c r="EN78" i="2"/>
  <c r="EM78" i="2"/>
  <c r="EL78" i="2"/>
  <c r="EK78" i="2"/>
  <c r="EJ78" i="2"/>
  <c r="EI78" i="2"/>
  <c r="EH78" i="2"/>
  <c r="EG78" i="2"/>
  <c r="EF78" i="2"/>
  <c r="EE78" i="2"/>
  <c r="ED78" i="2"/>
  <c r="EC78" i="2"/>
  <c r="EB78" i="2"/>
  <c r="EA78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PI77" i="2"/>
  <c r="PH77" i="2"/>
  <c r="PG77" i="2"/>
  <c r="PF77" i="2"/>
  <c r="PE77" i="2"/>
  <c r="PD77" i="2"/>
  <c r="PC77" i="2"/>
  <c r="PB77" i="2"/>
  <c r="PA77" i="2"/>
  <c r="OZ77" i="2"/>
  <c r="OY77" i="2"/>
  <c r="OX77" i="2"/>
  <c r="OW77" i="2"/>
  <c r="OV77" i="2"/>
  <c r="OU77" i="2"/>
  <c r="OT77" i="2"/>
  <c r="OS77" i="2"/>
  <c r="OR77" i="2"/>
  <c r="OQ77" i="2"/>
  <c r="OP77" i="2"/>
  <c r="OO77" i="2"/>
  <c r="ON77" i="2"/>
  <c r="OM77" i="2"/>
  <c r="OL77" i="2"/>
  <c r="OK77" i="2"/>
  <c r="OJ77" i="2"/>
  <c r="OI77" i="2"/>
  <c r="OH77" i="2"/>
  <c r="OG77" i="2"/>
  <c r="OF77" i="2"/>
  <c r="OE77" i="2"/>
  <c r="OD77" i="2"/>
  <c r="OC77" i="2"/>
  <c r="OB77" i="2"/>
  <c r="OA77" i="2"/>
  <c r="NZ77" i="2"/>
  <c r="NY77" i="2"/>
  <c r="NX77" i="2"/>
  <c r="NW77" i="2"/>
  <c r="NV77" i="2"/>
  <c r="NU77" i="2"/>
  <c r="NT77" i="2"/>
  <c r="NS77" i="2"/>
  <c r="NR77" i="2"/>
  <c r="NQ77" i="2"/>
  <c r="NP77" i="2"/>
  <c r="NO77" i="2"/>
  <c r="NN77" i="2"/>
  <c r="NM77" i="2"/>
  <c r="NL77" i="2"/>
  <c r="NK77" i="2"/>
  <c r="NJ77" i="2"/>
  <c r="NI77" i="2"/>
  <c r="NH77" i="2"/>
  <c r="NG77" i="2"/>
  <c r="NF77" i="2"/>
  <c r="NE77" i="2"/>
  <c r="ND77" i="2"/>
  <c r="NC77" i="2"/>
  <c r="NB77" i="2"/>
  <c r="NA77" i="2"/>
  <c r="MZ77" i="2"/>
  <c r="MY77" i="2"/>
  <c r="MX77" i="2"/>
  <c r="MW77" i="2"/>
  <c r="MV77" i="2"/>
  <c r="MU77" i="2"/>
  <c r="MT77" i="2"/>
  <c r="MS77" i="2"/>
  <c r="MR77" i="2"/>
  <c r="MQ77" i="2"/>
  <c r="MP77" i="2"/>
  <c r="MO77" i="2"/>
  <c r="MN77" i="2"/>
  <c r="MM77" i="2"/>
  <c r="ML77" i="2"/>
  <c r="MK77" i="2"/>
  <c r="MJ77" i="2"/>
  <c r="MI77" i="2"/>
  <c r="MH77" i="2"/>
  <c r="MG77" i="2"/>
  <c r="MF77" i="2"/>
  <c r="ME77" i="2"/>
  <c r="MD77" i="2"/>
  <c r="MC77" i="2"/>
  <c r="MB77" i="2"/>
  <c r="MA77" i="2"/>
  <c r="LZ77" i="2"/>
  <c r="LY77" i="2"/>
  <c r="LX77" i="2"/>
  <c r="LW77" i="2"/>
  <c r="LV77" i="2"/>
  <c r="LU77" i="2"/>
  <c r="LT77" i="2"/>
  <c r="LS77" i="2"/>
  <c r="LR77" i="2"/>
  <c r="LQ77" i="2"/>
  <c r="LP77" i="2"/>
  <c r="LO77" i="2"/>
  <c r="LN77" i="2"/>
  <c r="LM77" i="2"/>
  <c r="LL77" i="2"/>
  <c r="LK77" i="2"/>
  <c r="LJ77" i="2"/>
  <c r="LI77" i="2"/>
  <c r="LH77" i="2"/>
  <c r="LG77" i="2"/>
  <c r="LF77" i="2"/>
  <c r="LE77" i="2"/>
  <c r="LD77" i="2"/>
  <c r="LC77" i="2"/>
  <c r="LB77" i="2"/>
  <c r="LA77" i="2"/>
  <c r="KZ77" i="2"/>
  <c r="KY77" i="2"/>
  <c r="KX77" i="2"/>
  <c r="KW77" i="2"/>
  <c r="KV77" i="2"/>
  <c r="KU77" i="2"/>
  <c r="KT77" i="2"/>
  <c r="KS77" i="2"/>
  <c r="KR77" i="2"/>
  <c r="KQ77" i="2"/>
  <c r="KP77" i="2"/>
  <c r="KO77" i="2"/>
  <c r="KN77" i="2"/>
  <c r="KM77" i="2"/>
  <c r="KL77" i="2"/>
  <c r="KK77" i="2"/>
  <c r="KJ77" i="2"/>
  <c r="KI77" i="2"/>
  <c r="KH77" i="2"/>
  <c r="KG77" i="2"/>
  <c r="KF77" i="2"/>
  <c r="KE77" i="2"/>
  <c r="KD77" i="2"/>
  <c r="KC77" i="2"/>
  <c r="KB77" i="2"/>
  <c r="KA77" i="2"/>
  <c r="JZ77" i="2"/>
  <c r="JY77" i="2"/>
  <c r="JX77" i="2"/>
  <c r="JW77" i="2"/>
  <c r="JV77" i="2"/>
  <c r="JU77" i="2"/>
  <c r="JT77" i="2"/>
  <c r="JS77" i="2"/>
  <c r="JR77" i="2"/>
  <c r="JQ77" i="2"/>
  <c r="JP77" i="2"/>
  <c r="JO77" i="2"/>
  <c r="JN77" i="2"/>
  <c r="JM77" i="2"/>
  <c r="JL77" i="2"/>
  <c r="JK77" i="2"/>
  <c r="JJ77" i="2"/>
  <c r="JI77" i="2"/>
  <c r="JH77" i="2"/>
  <c r="JG77" i="2"/>
  <c r="JF77" i="2"/>
  <c r="JE77" i="2"/>
  <c r="JD77" i="2"/>
  <c r="JC77" i="2"/>
  <c r="JB77" i="2"/>
  <c r="JA77" i="2"/>
  <c r="IZ77" i="2"/>
  <c r="IY77" i="2"/>
  <c r="IX77" i="2"/>
  <c r="IW77" i="2"/>
  <c r="IV77" i="2"/>
  <c r="IU77" i="2"/>
  <c r="IT77" i="2"/>
  <c r="IS77" i="2"/>
  <c r="IR77" i="2"/>
  <c r="IQ77" i="2"/>
  <c r="IP77" i="2"/>
  <c r="IO77" i="2"/>
  <c r="IN77" i="2"/>
  <c r="IM77" i="2"/>
  <c r="IL77" i="2"/>
  <c r="IK77" i="2"/>
  <c r="IJ77" i="2"/>
  <c r="II77" i="2"/>
  <c r="IH77" i="2"/>
  <c r="IG77" i="2"/>
  <c r="IF77" i="2"/>
  <c r="IE77" i="2"/>
  <c r="ID77" i="2"/>
  <c r="IC77" i="2"/>
  <c r="IB77" i="2"/>
  <c r="IA77" i="2"/>
  <c r="HZ77" i="2"/>
  <c r="HY77" i="2"/>
  <c r="HX77" i="2"/>
  <c r="HW77" i="2"/>
  <c r="HV77" i="2"/>
  <c r="HU77" i="2"/>
  <c r="HT77" i="2"/>
  <c r="HS77" i="2"/>
  <c r="HR77" i="2"/>
  <c r="HQ77" i="2"/>
  <c r="HP77" i="2"/>
  <c r="HO77" i="2"/>
  <c r="HN77" i="2"/>
  <c r="HM77" i="2"/>
  <c r="HL77" i="2"/>
  <c r="HK77" i="2"/>
  <c r="HJ77" i="2"/>
  <c r="HI77" i="2"/>
  <c r="HH77" i="2"/>
  <c r="HG77" i="2"/>
  <c r="HF77" i="2"/>
  <c r="HE77" i="2"/>
  <c r="HD77" i="2"/>
  <c r="HC77" i="2"/>
  <c r="HB77" i="2"/>
  <c r="HA77" i="2"/>
  <c r="GZ77" i="2"/>
  <c r="GY77" i="2"/>
  <c r="GX77" i="2"/>
  <c r="GW77" i="2"/>
  <c r="GV77" i="2"/>
  <c r="GU77" i="2"/>
  <c r="GT77" i="2"/>
  <c r="GS77" i="2"/>
  <c r="GR77" i="2"/>
  <c r="GQ77" i="2"/>
  <c r="GP77" i="2"/>
  <c r="GO77" i="2"/>
  <c r="GN77" i="2"/>
  <c r="GM77" i="2"/>
  <c r="GL77" i="2"/>
  <c r="GK77" i="2"/>
  <c r="GJ77" i="2"/>
  <c r="GI77" i="2"/>
  <c r="GH77" i="2"/>
  <c r="GG77" i="2"/>
  <c r="GF77" i="2"/>
  <c r="GE77" i="2"/>
  <c r="GD77" i="2"/>
  <c r="GC77" i="2"/>
  <c r="GB77" i="2"/>
  <c r="GA77" i="2"/>
  <c r="FZ77" i="2"/>
  <c r="FY77" i="2"/>
  <c r="FX77" i="2"/>
  <c r="FW77" i="2"/>
  <c r="FV77" i="2"/>
  <c r="FU77" i="2"/>
  <c r="FT77" i="2"/>
  <c r="FS77" i="2"/>
  <c r="FR77" i="2"/>
  <c r="FQ77" i="2"/>
  <c r="FP77" i="2"/>
  <c r="FO77" i="2"/>
  <c r="FN77" i="2"/>
  <c r="FM77" i="2"/>
  <c r="FL77" i="2"/>
  <c r="FK77" i="2"/>
  <c r="FJ77" i="2"/>
  <c r="FI77" i="2"/>
  <c r="FH77" i="2"/>
  <c r="FG77" i="2"/>
  <c r="FF77" i="2"/>
  <c r="FE77" i="2"/>
  <c r="FD77" i="2"/>
  <c r="FC77" i="2"/>
  <c r="FB77" i="2"/>
  <c r="FA77" i="2"/>
  <c r="EZ77" i="2"/>
  <c r="EY77" i="2"/>
  <c r="EX77" i="2"/>
  <c r="EW77" i="2"/>
  <c r="EV77" i="2"/>
  <c r="EU77" i="2"/>
  <c r="ET77" i="2"/>
  <c r="ES77" i="2"/>
  <c r="ER77" i="2"/>
  <c r="EQ77" i="2"/>
  <c r="EP77" i="2"/>
  <c r="EO77" i="2"/>
  <c r="EN77" i="2"/>
  <c r="EM77" i="2"/>
  <c r="EL77" i="2"/>
  <c r="EK77" i="2"/>
  <c r="EJ77" i="2"/>
  <c r="EI77" i="2"/>
  <c r="EH77" i="2"/>
  <c r="EG77" i="2"/>
  <c r="EF77" i="2"/>
  <c r="EE77" i="2"/>
  <c r="ED77" i="2"/>
  <c r="EC77" i="2"/>
  <c r="EB77" i="2"/>
  <c r="EA77" i="2"/>
  <c r="DZ77" i="2"/>
  <c r="DY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PI76" i="2"/>
  <c r="PH76" i="2"/>
  <c r="PG76" i="2"/>
  <c r="PF76" i="2"/>
  <c r="PE76" i="2"/>
  <c r="PD76" i="2"/>
  <c r="PC76" i="2"/>
  <c r="PB76" i="2"/>
  <c r="PA76" i="2"/>
  <c r="OZ76" i="2"/>
  <c r="OY76" i="2"/>
  <c r="OX76" i="2"/>
  <c r="OW76" i="2"/>
  <c r="OV76" i="2"/>
  <c r="OU76" i="2"/>
  <c r="OT76" i="2"/>
  <c r="OS76" i="2"/>
  <c r="OR76" i="2"/>
  <c r="OQ76" i="2"/>
  <c r="OP76" i="2"/>
  <c r="OO76" i="2"/>
  <c r="ON76" i="2"/>
  <c r="OM76" i="2"/>
  <c r="OL76" i="2"/>
  <c r="OK76" i="2"/>
  <c r="OJ76" i="2"/>
  <c r="OI76" i="2"/>
  <c r="OH76" i="2"/>
  <c r="OG76" i="2"/>
  <c r="OF76" i="2"/>
  <c r="OE76" i="2"/>
  <c r="OD76" i="2"/>
  <c r="OC76" i="2"/>
  <c r="OB76" i="2"/>
  <c r="OA76" i="2"/>
  <c r="NZ76" i="2"/>
  <c r="NY76" i="2"/>
  <c r="NX76" i="2"/>
  <c r="NW76" i="2"/>
  <c r="NV76" i="2"/>
  <c r="NU76" i="2"/>
  <c r="NT76" i="2"/>
  <c r="NS76" i="2"/>
  <c r="NR76" i="2"/>
  <c r="NQ76" i="2"/>
  <c r="NP76" i="2"/>
  <c r="NO76" i="2"/>
  <c r="NN76" i="2"/>
  <c r="NM76" i="2"/>
  <c r="NL76" i="2"/>
  <c r="NK76" i="2"/>
  <c r="NJ76" i="2"/>
  <c r="NI76" i="2"/>
  <c r="NH76" i="2"/>
  <c r="NG76" i="2"/>
  <c r="NF76" i="2"/>
  <c r="NE76" i="2"/>
  <c r="ND76" i="2"/>
  <c r="NC76" i="2"/>
  <c r="NB76" i="2"/>
  <c r="NA76" i="2"/>
  <c r="MZ76" i="2"/>
  <c r="MY76" i="2"/>
  <c r="MX76" i="2"/>
  <c r="MW76" i="2"/>
  <c r="MV76" i="2"/>
  <c r="MU76" i="2"/>
  <c r="MT76" i="2"/>
  <c r="MS76" i="2"/>
  <c r="MR76" i="2"/>
  <c r="MQ76" i="2"/>
  <c r="MP76" i="2"/>
  <c r="MO76" i="2"/>
  <c r="MN76" i="2"/>
  <c r="MM76" i="2"/>
  <c r="ML76" i="2"/>
  <c r="MK76" i="2"/>
  <c r="MJ76" i="2"/>
  <c r="MI76" i="2"/>
  <c r="MH76" i="2"/>
  <c r="MG76" i="2"/>
  <c r="MF76" i="2"/>
  <c r="ME76" i="2"/>
  <c r="MD76" i="2"/>
  <c r="MC76" i="2"/>
  <c r="MB76" i="2"/>
  <c r="MA76" i="2"/>
  <c r="LZ76" i="2"/>
  <c r="LY76" i="2"/>
  <c r="LX76" i="2"/>
  <c r="LW76" i="2"/>
  <c r="LV76" i="2"/>
  <c r="LU76" i="2"/>
  <c r="LT76" i="2"/>
  <c r="LS76" i="2"/>
  <c r="LR76" i="2"/>
  <c r="LQ76" i="2"/>
  <c r="LP76" i="2"/>
  <c r="LO76" i="2"/>
  <c r="LN76" i="2"/>
  <c r="LM76" i="2"/>
  <c r="LL76" i="2"/>
  <c r="LK76" i="2"/>
  <c r="LJ76" i="2"/>
  <c r="LI76" i="2"/>
  <c r="LH76" i="2"/>
  <c r="LG76" i="2"/>
  <c r="LF76" i="2"/>
  <c r="LE76" i="2"/>
  <c r="LD76" i="2"/>
  <c r="LC76" i="2"/>
  <c r="LB76" i="2"/>
  <c r="LA76" i="2"/>
  <c r="KZ76" i="2"/>
  <c r="KY76" i="2"/>
  <c r="KX76" i="2"/>
  <c r="KW76" i="2"/>
  <c r="KV76" i="2"/>
  <c r="KU76" i="2"/>
  <c r="KT76" i="2"/>
  <c r="KS76" i="2"/>
  <c r="KR76" i="2"/>
  <c r="KQ76" i="2"/>
  <c r="KP76" i="2"/>
  <c r="KO76" i="2"/>
  <c r="KN76" i="2"/>
  <c r="KM76" i="2"/>
  <c r="KL76" i="2"/>
  <c r="KK76" i="2"/>
  <c r="KJ76" i="2"/>
  <c r="KI76" i="2"/>
  <c r="KH76" i="2"/>
  <c r="KG76" i="2"/>
  <c r="KF76" i="2"/>
  <c r="KE76" i="2"/>
  <c r="KD76" i="2"/>
  <c r="KC76" i="2"/>
  <c r="KB76" i="2"/>
  <c r="KA76" i="2"/>
  <c r="JZ76" i="2"/>
  <c r="JY76" i="2"/>
  <c r="JX76" i="2"/>
  <c r="JW76" i="2"/>
  <c r="JV76" i="2"/>
  <c r="JU76" i="2"/>
  <c r="JT76" i="2"/>
  <c r="JS76" i="2"/>
  <c r="JR76" i="2"/>
  <c r="JQ76" i="2"/>
  <c r="JP76" i="2"/>
  <c r="JO76" i="2"/>
  <c r="JN76" i="2"/>
  <c r="JM76" i="2"/>
  <c r="JL76" i="2"/>
  <c r="JK76" i="2"/>
  <c r="JJ76" i="2"/>
  <c r="JI76" i="2"/>
  <c r="JH76" i="2"/>
  <c r="JG76" i="2"/>
  <c r="JF76" i="2"/>
  <c r="JE76" i="2"/>
  <c r="JD76" i="2"/>
  <c r="JC76" i="2"/>
  <c r="JB76" i="2"/>
  <c r="JA76" i="2"/>
  <c r="IZ76" i="2"/>
  <c r="IY76" i="2"/>
  <c r="IX76" i="2"/>
  <c r="IW76" i="2"/>
  <c r="IV76" i="2"/>
  <c r="IU76" i="2"/>
  <c r="IT76" i="2"/>
  <c r="IS76" i="2"/>
  <c r="IR76" i="2"/>
  <c r="IQ76" i="2"/>
  <c r="IP76" i="2"/>
  <c r="IO76" i="2"/>
  <c r="IN76" i="2"/>
  <c r="IM76" i="2"/>
  <c r="IL76" i="2"/>
  <c r="IK76" i="2"/>
  <c r="IJ76" i="2"/>
  <c r="II76" i="2"/>
  <c r="IH76" i="2"/>
  <c r="IG76" i="2"/>
  <c r="IF76" i="2"/>
  <c r="IE76" i="2"/>
  <c r="ID76" i="2"/>
  <c r="IC76" i="2"/>
  <c r="IB76" i="2"/>
  <c r="IA76" i="2"/>
  <c r="HZ76" i="2"/>
  <c r="HY76" i="2"/>
  <c r="HX76" i="2"/>
  <c r="HW76" i="2"/>
  <c r="HV76" i="2"/>
  <c r="HU76" i="2"/>
  <c r="HT76" i="2"/>
  <c r="HS76" i="2"/>
  <c r="HR76" i="2"/>
  <c r="HQ76" i="2"/>
  <c r="HP76" i="2"/>
  <c r="HO76" i="2"/>
  <c r="HN76" i="2"/>
  <c r="HM76" i="2"/>
  <c r="HL76" i="2"/>
  <c r="HK76" i="2"/>
  <c r="HJ76" i="2"/>
  <c r="HI76" i="2"/>
  <c r="HH76" i="2"/>
  <c r="HG76" i="2"/>
  <c r="HF76" i="2"/>
  <c r="HE76" i="2"/>
  <c r="HD76" i="2"/>
  <c r="HC76" i="2"/>
  <c r="HB76" i="2"/>
  <c r="HA76" i="2"/>
  <c r="GZ76" i="2"/>
  <c r="GY76" i="2"/>
  <c r="GX76" i="2"/>
  <c r="GW76" i="2"/>
  <c r="GV76" i="2"/>
  <c r="GU76" i="2"/>
  <c r="GT76" i="2"/>
  <c r="GS76" i="2"/>
  <c r="GR76" i="2"/>
  <c r="GQ76" i="2"/>
  <c r="GP76" i="2"/>
  <c r="GO76" i="2"/>
  <c r="GN76" i="2"/>
  <c r="GM76" i="2"/>
  <c r="GL76" i="2"/>
  <c r="GK76" i="2"/>
  <c r="GJ76" i="2"/>
  <c r="GI76" i="2"/>
  <c r="GH76" i="2"/>
  <c r="GG76" i="2"/>
  <c r="GF76" i="2"/>
  <c r="GE76" i="2"/>
  <c r="GD76" i="2"/>
  <c r="GC76" i="2"/>
  <c r="GB76" i="2"/>
  <c r="GA76" i="2"/>
  <c r="FZ76" i="2"/>
  <c r="FY76" i="2"/>
  <c r="FX76" i="2"/>
  <c r="FW76" i="2"/>
  <c r="FV76" i="2"/>
  <c r="FU76" i="2"/>
  <c r="FT76" i="2"/>
  <c r="FS76" i="2"/>
  <c r="FR76" i="2"/>
  <c r="FQ76" i="2"/>
  <c r="FP76" i="2"/>
  <c r="FO76" i="2"/>
  <c r="FN76" i="2"/>
  <c r="FM76" i="2"/>
  <c r="FL76" i="2"/>
  <c r="FK76" i="2"/>
  <c r="FJ76" i="2"/>
  <c r="FI76" i="2"/>
  <c r="FH76" i="2"/>
  <c r="FG76" i="2"/>
  <c r="FF76" i="2"/>
  <c r="FE76" i="2"/>
  <c r="FD76" i="2"/>
  <c r="FC76" i="2"/>
  <c r="FB76" i="2"/>
  <c r="FA76" i="2"/>
  <c r="EZ76" i="2"/>
  <c r="EY76" i="2"/>
  <c r="EX76" i="2"/>
  <c r="EW76" i="2"/>
  <c r="EV76" i="2"/>
  <c r="EU76" i="2"/>
  <c r="ET76" i="2"/>
  <c r="ES76" i="2"/>
  <c r="ER76" i="2"/>
  <c r="EQ76" i="2"/>
  <c r="EP76" i="2"/>
  <c r="EO76" i="2"/>
  <c r="EN76" i="2"/>
  <c r="EM76" i="2"/>
  <c r="EL76" i="2"/>
  <c r="EK76" i="2"/>
  <c r="EJ76" i="2"/>
  <c r="EI76" i="2"/>
  <c r="EH76" i="2"/>
  <c r="EG76" i="2"/>
  <c r="EF76" i="2"/>
  <c r="EE76" i="2"/>
  <c r="ED76" i="2"/>
  <c r="EC76" i="2"/>
  <c r="EB76" i="2"/>
  <c r="EA76" i="2"/>
  <c r="DZ76" i="2"/>
  <c r="DY76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PI75" i="2"/>
  <c r="PH75" i="2"/>
  <c r="PG75" i="2"/>
  <c r="PF75" i="2"/>
  <c r="PE75" i="2"/>
  <c r="PD75" i="2"/>
  <c r="PC75" i="2"/>
  <c r="PB75" i="2"/>
  <c r="PA75" i="2"/>
  <c r="OZ75" i="2"/>
  <c r="OY75" i="2"/>
  <c r="OX75" i="2"/>
  <c r="OW75" i="2"/>
  <c r="OV75" i="2"/>
  <c r="OU75" i="2"/>
  <c r="OT75" i="2"/>
  <c r="OS75" i="2"/>
  <c r="OR75" i="2"/>
  <c r="OQ75" i="2"/>
  <c r="OP75" i="2"/>
  <c r="OO75" i="2"/>
  <c r="ON75" i="2"/>
  <c r="OM75" i="2"/>
  <c r="OL75" i="2"/>
  <c r="OK75" i="2"/>
  <c r="OJ75" i="2"/>
  <c r="OI75" i="2"/>
  <c r="OH75" i="2"/>
  <c r="OG75" i="2"/>
  <c r="OF75" i="2"/>
  <c r="OE75" i="2"/>
  <c r="OD75" i="2"/>
  <c r="OC75" i="2"/>
  <c r="OB75" i="2"/>
  <c r="OA75" i="2"/>
  <c r="NZ75" i="2"/>
  <c r="NY75" i="2"/>
  <c r="NX75" i="2"/>
  <c r="NW75" i="2"/>
  <c r="NV75" i="2"/>
  <c r="NU75" i="2"/>
  <c r="NT75" i="2"/>
  <c r="NS75" i="2"/>
  <c r="NR75" i="2"/>
  <c r="NQ75" i="2"/>
  <c r="NP75" i="2"/>
  <c r="NO75" i="2"/>
  <c r="NN75" i="2"/>
  <c r="NM75" i="2"/>
  <c r="NL75" i="2"/>
  <c r="NK75" i="2"/>
  <c r="NJ75" i="2"/>
  <c r="NI75" i="2"/>
  <c r="NH75" i="2"/>
  <c r="NG75" i="2"/>
  <c r="NF75" i="2"/>
  <c r="NE75" i="2"/>
  <c r="ND75" i="2"/>
  <c r="NC75" i="2"/>
  <c r="NB75" i="2"/>
  <c r="NA75" i="2"/>
  <c r="MZ75" i="2"/>
  <c r="MY75" i="2"/>
  <c r="MX75" i="2"/>
  <c r="MW75" i="2"/>
  <c r="MV75" i="2"/>
  <c r="MU75" i="2"/>
  <c r="MT75" i="2"/>
  <c r="MS75" i="2"/>
  <c r="MR75" i="2"/>
  <c r="MQ75" i="2"/>
  <c r="MP75" i="2"/>
  <c r="MO75" i="2"/>
  <c r="MN75" i="2"/>
  <c r="MM75" i="2"/>
  <c r="ML75" i="2"/>
  <c r="MK75" i="2"/>
  <c r="MJ75" i="2"/>
  <c r="MI75" i="2"/>
  <c r="MH75" i="2"/>
  <c r="MG75" i="2"/>
  <c r="MF75" i="2"/>
  <c r="ME75" i="2"/>
  <c r="MD75" i="2"/>
  <c r="MC75" i="2"/>
  <c r="MB75" i="2"/>
  <c r="MA75" i="2"/>
  <c r="LZ75" i="2"/>
  <c r="LY75" i="2"/>
  <c r="LX75" i="2"/>
  <c r="LW75" i="2"/>
  <c r="LV75" i="2"/>
  <c r="LU75" i="2"/>
  <c r="LT75" i="2"/>
  <c r="LS75" i="2"/>
  <c r="LR75" i="2"/>
  <c r="LQ75" i="2"/>
  <c r="LP75" i="2"/>
  <c r="LO75" i="2"/>
  <c r="LN75" i="2"/>
  <c r="LM75" i="2"/>
  <c r="LL75" i="2"/>
  <c r="LK75" i="2"/>
  <c r="LJ75" i="2"/>
  <c r="LI75" i="2"/>
  <c r="LH75" i="2"/>
  <c r="LG75" i="2"/>
  <c r="LF75" i="2"/>
  <c r="LE75" i="2"/>
  <c r="LD75" i="2"/>
  <c r="LC75" i="2"/>
  <c r="LB75" i="2"/>
  <c r="LA75" i="2"/>
  <c r="KZ75" i="2"/>
  <c r="KY75" i="2"/>
  <c r="KX75" i="2"/>
  <c r="KW75" i="2"/>
  <c r="KV75" i="2"/>
  <c r="KU75" i="2"/>
  <c r="KT75" i="2"/>
  <c r="KS75" i="2"/>
  <c r="KR75" i="2"/>
  <c r="KQ75" i="2"/>
  <c r="KP75" i="2"/>
  <c r="KO75" i="2"/>
  <c r="KN75" i="2"/>
  <c r="KM75" i="2"/>
  <c r="KL75" i="2"/>
  <c r="KK75" i="2"/>
  <c r="KJ75" i="2"/>
  <c r="KI75" i="2"/>
  <c r="KH75" i="2"/>
  <c r="KG75" i="2"/>
  <c r="KF75" i="2"/>
  <c r="KE75" i="2"/>
  <c r="KD75" i="2"/>
  <c r="KC75" i="2"/>
  <c r="KB75" i="2"/>
  <c r="KA75" i="2"/>
  <c r="JZ75" i="2"/>
  <c r="JY75" i="2"/>
  <c r="JX75" i="2"/>
  <c r="JW75" i="2"/>
  <c r="JV75" i="2"/>
  <c r="JU75" i="2"/>
  <c r="JT75" i="2"/>
  <c r="JS75" i="2"/>
  <c r="JR75" i="2"/>
  <c r="JQ75" i="2"/>
  <c r="JP75" i="2"/>
  <c r="JO75" i="2"/>
  <c r="JN75" i="2"/>
  <c r="JM75" i="2"/>
  <c r="JL75" i="2"/>
  <c r="JK75" i="2"/>
  <c r="JJ75" i="2"/>
  <c r="JI75" i="2"/>
  <c r="JH75" i="2"/>
  <c r="JG75" i="2"/>
  <c r="JF75" i="2"/>
  <c r="JE75" i="2"/>
  <c r="JD75" i="2"/>
  <c r="JC75" i="2"/>
  <c r="JB75" i="2"/>
  <c r="JA75" i="2"/>
  <c r="IZ75" i="2"/>
  <c r="IY75" i="2"/>
  <c r="IX75" i="2"/>
  <c r="IW75" i="2"/>
  <c r="IV75" i="2"/>
  <c r="IU75" i="2"/>
  <c r="IT75" i="2"/>
  <c r="IS75" i="2"/>
  <c r="IR75" i="2"/>
  <c r="IQ75" i="2"/>
  <c r="IP75" i="2"/>
  <c r="IO75" i="2"/>
  <c r="IN75" i="2"/>
  <c r="IM75" i="2"/>
  <c r="IL75" i="2"/>
  <c r="IK75" i="2"/>
  <c r="IJ75" i="2"/>
  <c r="II75" i="2"/>
  <c r="IH75" i="2"/>
  <c r="IG75" i="2"/>
  <c r="IF75" i="2"/>
  <c r="IE75" i="2"/>
  <c r="ID75" i="2"/>
  <c r="IC75" i="2"/>
  <c r="IB75" i="2"/>
  <c r="IA75" i="2"/>
  <c r="HZ75" i="2"/>
  <c r="HY75" i="2"/>
  <c r="HX75" i="2"/>
  <c r="HW75" i="2"/>
  <c r="HV75" i="2"/>
  <c r="HU75" i="2"/>
  <c r="HT75" i="2"/>
  <c r="HS75" i="2"/>
  <c r="HR75" i="2"/>
  <c r="HQ75" i="2"/>
  <c r="HP75" i="2"/>
  <c r="HO75" i="2"/>
  <c r="HN75" i="2"/>
  <c r="HM75" i="2"/>
  <c r="HL75" i="2"/>
  <c r="HK75" i="2"/>
  <c r="HJ75" i="2"/>
  <c r="HI75" i="2"/>
  <c r="HH75" i="2"/>
  <c r="HG75" i="2"/>
  <c r="HF75" i="2"/>
  <c r="HE75" i="2"/>
  <c r="HD75" i="2"/>
  <c r="HC75" i="2"/>
  <c r="HB75" i="2"/>
  <c r="HA75" i="2"/>
  <c r="GZ75" i="2"/>
  <c r="GY75" i="2"/>
  <c r="GX75" i="2"/>
  <c r="GW75" i="2"/>
  <c r="GV75" i="2"/>
  <c r="GU75" i="2"/>
  <c r="GT75" i="2"/>
  <c r="GS75" i="2"/>
  <c r="GR75" i="2"/>
  <c r="GQ75" i="2"/>
  <c r="GP75" i="2"/>
  <c r="GO75" i="2"/>
  <c r="GN75" i="2"/>
  <c r="GM75" i="2"/>
  <c r="GL75" i="2"/>
  <c r="GK75" i="2"/>
  <c r="GJ75" i="2"/>
  <c r="GI75" i="2"/>
  <c r="GH75" i="2"/>
  <c r="GG75" i="2"/>
  <c r="GF75" i="2"/>
  <c r="GE75" i="2"/>
  <c r="GD75" i="2"/>
  <c r="GC75" i="2"/>
  <c r="GB75" i="2"/>
  <c r="GA75" i="2"/>
  <c r="FZ75" i="2"/>
  <c r="FY75" i="2"/>
  <c r="FX75" i="2"/>
  <c r="FW75" i="2"/>
  <c r="FV75" i="2"/>
  <c r="FU75" i="2"/>
  <c r="FT75" i="2"/>
  <c r="FS75" i="2"/>
  <c r="FR75" i="2"/>
  <c r="FQ75" i="2"/>
  <c r="FP75" i="2"/>
  <c r="FO75" i="2"/>
  <c r="FN75" i="2"/>
  <c r="FM75" i="2"/>
  <c r="FL75" i="2"/>
  <c r="FK75" i="2"/>
  <c r="FJ75" i="2"/>
  <c r="FI75" i="2"/>
  <c r="FH75" i="2"/>
  <c r="FG75" i="2"/>
  <c r="FF75" i="2"/>
  <c r="FE75" i="2"/>
  <c r="FD75" i="2"/>
  <c r="FC75" i="2"/>
  <c r="FB75" i="2"/>
  <c r="FA75" i="2"/>
  <c r="EZ75" i="2"/>
  <c r="EY75" i="2"/>
  <c r="EX75" i="2"/>
  <c r="EW75" i="2"/>
  <c r="EV75" i="2"/>
  <c r="EU75" i="2"/>
  <c r="ET75" i="2"/>
  <c r="ES75" i="2"/>
  <c r="ER75" i="2"/>
  <c r="EQ75" i="2"/>
  <c r="EP75" i="2"/>
  <c r="EO75" i="2"/>
  <c r="EN75" i="2"/>
  <c r="EM75" i="2"/>
  <c r="EL75" i="2"/>
  <c r="EK75" i="2"/>
  <c r="EJ75" i="2"/>
  <c r="EI75" i="2"/>
  <c r="EH75" i="2"/>
  <c r="EG75" i="2"/>
  <c r="EF75" i="2"/>
  <c r="EE75" i="2"/>
  <c r="ED75" i="2"/>
  <c r="EC75" i="2"/>
  <c r="EB75" i="2"/>
  <c r="EA75" i="2"/>
  <c r="DZ75" i="2"/>
  <c r="DY75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PI74" i="2"/>
  <c r="PH74" i="2"/>
  <c r="PG74" i="2"/>
  <c r="PF74" i="2"/>
  <c r="PE74" i="2"/>
  <c r="PD74" i="2"/>
  <c r="PC74" i="2"/>
  <c r="PB74" i="2"/>
  <c r="PA74" i="2"/>
  <c r="OZ74" i="2"/>
  <c r="OY74" i="2"/>
  <c r="OX74" i="2"/>
  <c r="OW74" i="2"/>
  <c r="OV74" i="2"/>
  <c r="OU74" i="2"/>
  <c r="OT74" i="2"/>
  <c r="OS74" i="2"/>
  <c r="OR74" i="2"/>
  <c r="OQ74" i="2"/>
  <c r="OP74" i="2"/>
  <c r="OO74" i="2"/>
  <c r="ON74" i="2"/>
  <c r="OM74" i="2"/>
  <c r="OL74" i="2"/>
  <c r="OK74" i="2"/>
  <c r="OJ74" i="2"/>
  <c r="OI74" i="2"/>
  <c r="OH74" i="2"/>
  <c r="OG74" i="2"/>
  <c r="OF74" i="2"/>
  <c r="OE74" i="2"/>
  <c r="OD74" i="2"/>
  <c r="OC74" i="2"/>
  <c r="OB74" i="2"/>
  <c r="OA74" i="2"/>
  <c r="NZ74" i="2"/>
  <c r="NY74" i="2"/>
  <c r="NX74" i="2"/>
  <c r="NW74" i="2"/>
  <c r="NV74" i="2"/>
  <c r="NU74" i="2"/>
  <c r="NT74" i="2"/>
  <c r="NS74" i="2"/>
  <c r="NR74" i="2"/>
  <c r="NQ74" i="2"/>
  <c r="NP74" i="2"/>
  <c r="NO74" i="2"/>
  <c r="NN74" i="2"/>
  <c r="NM74" i="2"/>
  <c r="NL74" i="2"/>
  <c r="NK74" i="2"/>
  <c r="NJ74" i="2"/>
  <c r="NI74" i="2"/>
  <c r="NH74" i="2"/>
  <c r="NG74" i="2"/>
  <c r="NF74" i="2"/>
  <c r="NE74" i="2"/>
  <c r="ND74" i="2"/>
  <c r="NC74" i="2"/>
  <c r="NB74" i="2"/>
  <c r="NA74" i="2"/>
  <c r="MZ74" i="2"/>
  <c r="MY74" i="2"/>
  <c r="MX74" i="2"/>
  <c r="MW74" i="2"/>
  <c r="MV74" i="2"/>
  <c r="MU74" i="2"/>
  <c r="MT74" i="2"/>
  <c r="MS74" i="2"/>
  <c r="MR74" i="2"/>
  <c r="MQ74" i="2"/>
  <c r="MP74" i="2"/>
  <c r="MO74" i="2"/>
  <c r="MN74" i="2"/>
  <c r="MM74" i="2"/>
  <c r="ML74" i="2"/>
  <c r="MK74" i="2"/>
  <c r="MJ74" i="2"/>
  <c r="MI74" i="2"/>
  <c r="MH74" i="2"/>
  <c r="MG74" i="2"/>
  <c r="MF74" i="2"/>
  <c r="ME74" i="2"/>
  <c r="MD74" i="2"/>
  <c r="MC74" i="2"/>
  <c r="MB74" i="2"/>
  <c r="MA74" i="2"/>
  <c r="LZ74" i="2"/>
  <c r="LY74" i="2"/>
  <c r="LX74" i="2"/>
  <c r="LW74" i="2"/>
  <c r="LV74" i="2"/>
  <c r="LU74" i="2"/>
  <c r="LT74" i="2"/>
  <c r="LS74" i="2"/>
  <c r="LR74" i="2"/>
  <c r="LQ74" i="2"/>
  <c r="LP74" i="2"/>
  <c r="LO74" i="2"/>
  <c r="LN74" i="2"/>
  <c r="LM74" i="2"/>
  <c r="LL74" i="2"/>
  <c r="LK74" i="2"/>
  <c r="LJ74" i="2"/>
  <c r="LI74" i="2"/>
  <c r="LH74" i="2"/>
  <c r="LG74" i="2"/>
  <c r="LF74" i="2"/>
  <c r="LE74" i="2"/>
  <c r="LD74" i="2"/>
  <c r="LC74" i="2"/>
  <c r="LB74" i="2"/>
  <c r="LA74" i="2"/>
  <c r="KZ74" i="2"/>
  <c r="KY74" i="2"/>
  <c r="KX74" i="2"/>
  <c r="KW74" i="2"/>
  <c r="KV74" i="2"/>
  <c r="KU74" i="2"/>
  <c r="KT74" i="2"/>
  <c r="KS74" i="2"/>
  <c r="KR74" i="2"/>
  <c r="KQ74" i="2"/>
  <c r="KP74" i="2"/>
  <c r="KO74" i="2"/>
  <c r="KN74" i="2"/>
  <c r="KM74" i="2"/>
  <c r="KL74" i="2"/>
  <c r="KK74" i="2"/>
  <c r="KJ74" i="2"/>
  <c r="KI74" i="2"/>
  <c r="KH74" i="2"/>
  <c r="KG74" i="2"/>
  <c r="KF74" i="2"/>
  <c r="KE74" i="2"/>
  <c r="KD74" i="2"/>
  <c r="KC74" i="2"/>
  <c r="KB74" i="2"/>
  <c r="KA74" i="2"/>
  <c r="JZ74" i="2"/>
  <c r="JY74" i="2"/>
  <c r="JX74" i="2"/>
  <c r="JW74" i="2"/>
  <c r="JV74" i="2"/>
  <c r="JU74" i="2"/>
  <c r="JT74" i="2"/>
  <c r="JS74" i="2"/>
  <c r="JR74" i="2"/>
  <c r="JQ74" i="2"/>
  <c r="JP74" i="2"/>
  <c r="JO74" i="2"/>
  <c r="JN74" i="2"/>
  <c r="JM74" i="2"/>
  <c r="JL74" i="2"/>
  <c r="JK74" i="2"/>
  <c r="JJ74" i="2"/>
  <c r="JI74" i="2"/>
  <c r="JH74" i="2"/>
  <c r="JG74" i="2"/>
  <c r="JF74" i="2"/>
  <c r="JE74" i="2"/>
  <c r="JD74" i="2"/>
  <c r="JC74" i="2"/>
  <c r="JB74" i="2"/>
  <c r="JA74" i="2"/>
  <c r="IZ74" i="2"/>
  <c r="IY74" i="2"/>
  <c r="IX74" i="2"/>
  <c r="IW74" i="2"/>
  <c r="IV74" i="2"/>
  <c r="IU74" i="2"/>
  <c r="IT74" i="2"/>
  <c r="IS74" i="2"/>
  <c r="IR74" i="2"/>
  <c r="IQ74" i="2"/>
  <c r="IP74" i="2"/>
  <c r="IO74" i="2"/>
  <c r="IN74" i="2"/>
  <c r="IM74" i="2"/>
  <c r="IL74" i="2"/>
  <c r="IK74" i="2"/>
  <c r="IJ74" i="2"/>
  <c r="II74" i="2"/>
  <c r="IH74" i="2"/>
  <c r="IG74" i="2"/>
  <c r="IF74" i="2"/>
  <c r="IE74" i="2"/>
  <c r="ID74" i="2"/>
  <c r="IC74" i="2"/>
  <c r="IB74" i="2"/>
  <c r="IA74" i="2"/>
  <c r="HZ74" i="2"/>
  <c r="HY74" i="2"/>
  <c r="HX74" i="2"/>
  <c r="HW74" i="2"/>
  <c r="HV74" i="2"/>
  <c r="HU74" i="2"/>
  <c r="HT74" i="2"/>
  <c r="HS74" i="2"/>
  <c r="HR74" i="2"/>
  <c r="HQ74" i="2"/>
  <c r="HP74" i="2"/>
  <c r="HO74" i="2"/>
  <c r="HN74" i="2"/>
  <c r="HM74" i="2"/>
  <c r="HL74" i="2"/>
  <c r="HK74" i="2"/>
  <c r="HJ74" i="2"/>
  <c r="HI74" i="2"/>
  <c r="HH74" i="2"/>
  <c r="HG74" i="2"/>
  <c r="HF74" i="2"/>
  <c r="HE74" i="2"/>
  <c r="HD74" i="2"/>
  <c r="HC74" i="2"/>
  <c r="HB74" i="2"/>
  <c r="HA74" i="2"/>
  <c r="GZ74" i="2"/>
  <c r="GY74" i="2"/>
  <c r="GX74" i="2"/>
  <c r="GW74" i="2"/>
  <c r="GV74" i="2"/>
  <c r="GU74" i="2"/>
  <c r="GT74" i="2"/>
  <c r="GS74" i="2"/>
  <c r="GR74" i="2"/>
  <c r="GQ74" i="2"/>
  <c r="GP74" i="2"/>
  <c r="GO74" i="2"/>
  <c r="GN74" i="2"/>
  <c r="GM74" i="2"/>
  <c r="GL74" i="2"/>
  <c r="GK74" i="2"/>
  <c r="GJ74" i="2"/>
  <c r="GI74" i="2"/>
  <c r="GH74" i="2"/>
  <c r="GG74" i="2"/>
  <c r="GF74" i="2"/>
  <c r="GE74" i="2"/>
  <c r="GD74" i="2"/>
  <c r="GC74" i="2"/>
  <c r="GB74" i="2"/>
  <c r="GA74" i="2"/>
  <c r="FZ74" i="2"/>
  <c r="FY74" i="2"/>
  <c r="FX74" i="2"/>
  <c r="FW74" i="2"/>
  <c r="FV74" i="2"/>
  <c r="FU74" i="2"/>
  <c r="FT74" i="2"/>
  <c r="FS74" i="2"/>
  <c r="FR74" i="2"/>
  <c r="FQ74" i="2"/>
  <c r="FP74" i="2"/>
  <c r="FO74" i="2"/>
  <c r="FN74" i="2"/>
  <c r="FM74" i="2"/>
  <c r="FL74" i="2"/>
  <c r="FK74" i="2"/>
  <c r="FJ74" i="2"/>
  <c r="FI74" i="2"/>
  <c r="FH74" i="2"/>
  <c r="FG74" i="2"/>
  <c r="FF74" i="2"/>
  <c r="FE74" i="2"/>
  <c r="FD74" i="2"/>
  <c r="FC74" i="2"/>
  <c r="FB74" i="2"/>
  <c r="FA74" i="2"/>
  <c r="EZ74" i="2"/>
  <c r="EY74" i="2"/>
  <c r="EX74" i="2"/>
  <c r="EW74" i="2"/>
  <c r="EV74" i="2"/>
  <c r="EU74" i="2"/>
  <c r="ET74" i="2"/>
  <c r="ES74" i="2"/>
  <c r="ER74" i="2"/>
  <c r="EQ74" i="2"/>
  <c r="EP74" i="2"/>
  <c r="EO74" i="2"/>
  <c r="EN74" i="2"/>
  <c r="EM74" i="2"/>
  <c r="EL74" i="2"/>
  <c r="EK74" i="2"/>
  <c r="EJ74" i="2"/>
  <c r="EI74" i="2"/>
  <c r="EH74" i="2"/>
  <c r="EG74" i="2"/>
  <c r="EF74" i="2"/>
  <c r="EE74" i="2"/>
  <c r="ED74" i="2"/>
  <c r="EC74" i="2"/>
  <c r="EB74" i="2"/>
  <c r="EA74" i="2"/>
  <c r="DZ74" i="2"/>
  <c r="DY74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DG74" i="2"/>
  <c r="DF74" i="2"/>
  <c r="DE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PI73" i="2"/>
  <c r="PH73" i="2"/>
  <c r="PG73" i="2"/>
  <c r="PF73" i="2"/>
  <c r="PE73" i="2"/>
  <c r="PD73" i="2"/>
  <c r="PC73" i="2"/>
  <c r="PB73" i="2"/>
  <c r="PA73" i="2"/>
  <c r="OZ73" i="2"/>
  <c r="OY73" i="2"/>
  <c r="OX73" i="2"/>
  <c r="OW73" i="2"/>
  <c r="OV73" i="2"/>
  <c r="OU73" i="2"/>
  <c r="OT73" i="2"/>
  <c r="OS73" i="2"/>
  <c r="OR73" i="2"/>
  <c r="OQ73" i="2"/>
  <c r="OP73" i="2"/>
  <c r="OO73" i="2"/>
  <c r="ON73" i="2"/>
  <c r="OM73" i="2"/>
  <c r="OL73" i="2"/>
  <c r="OK73" i="2"/>
  <c r="OJ73" i="2"/>
  <c r="OI73" i="2"/>
  <c r="OH73" i="2"/>
  <c r="OG73" i="2"/>
  <c r="OF73" i="2"/>
  <c r="OE73" i="2"/>
  <c r="OD73" i="2"/>
  <c r="OC73" i="2"/>
  <c r="OB73" i="2"/>
  <c r="OA73" i="2"/>
  <c r="NZ73" i="2"/>
  <c r="NY73" i="2"/>
  <c r="NX73" i="2"/>
  <c r="NW73" i="2"/>
  <c r="NV73" i="2"/>
  <c r="NU73" i="2"/>
  <c r="NT73" i="2"/>
  <c r="NS73" i="2"/>
  <c r="NR73" i="2"/>
  <c r="NQ73" i="2"/>
  <c r="NP73" i="2"/>
  <c r="NO73" i="2"/>
  <c r="NN73" i="2"/>
  <c r="NM73" i="2"/>
  <c r="NL73" i="2"/>
  <c r="NK73" i="2"/>
  <c r="NJ73" i="2"/>
  <c r="NI73" i="2"/>
  <c r="NH73" i="2"/>
  <c r="NG73" i="2"/>
  <c r="NF73" i="2"/>
  <c r="NE73" i="2"/>
  <c r="ND73" i="2"/>
  <c r="NC73" i="2"/>
  <c r="NB73" i="2"/>
  <c r="NA73" i="2"/>
  <c r="MZ73" i="2"/>
  <c r="MY73" i="2"/>
  <c r="MX73" i="2"/>
  <c r="MW73" i="2"/>
  <c r="MV73" i="2"/>
  <c r="MU73" i="2"/>
  <c r="MT73" i="2"/>
  <c r="MS73" i="2"/>
  <c r="MR73" i="2"/>
  <c r="MQ73" i="2"/>
  <c r="MP73" i="2"/>
  <c r="MO73" i="2"/>
  <c r="MN73" i="2"/>
  <c r="MM73" i="2"/>
  <c r="ML73" i="2"/>
  <c r="MK73" i="2"/>
  <c r="MJ73" i="2"/>
  <c r="MI73" i="2"/>
  <c r="MH73" i="2"/>
  <c r="MG73" i="2"/>
  <c r="MF73" i="2"/>
  <c r="ME73" i="2"/>
  <c r="MD73" i="2"/>
  <c r="MC73" i="2"/>
  <c r="MB73" i="2"/>
  <c r="MA73" i="2"/>
  <c r="LZ73" i="2"/>
  <c r="LY73" i="2"/>
  <c r="LX73" i="2"/>
  <c r="LW73" i="2"/>
  <c r="LV73" i="2"/>
  <c r="LU73" i="2"/>
  <c r="LT73" i="2"/>
  <c r="LS73" i="2"/>
  <c r="LR73" i="2"/>
  <c r="LQ73" i="2"/>
  <c r="LP73" i="2"/>
  <c r="LO73" i="2"/>
  <c r="LN73" i="2"/>
  <c r="LM73" i="2"/>
  <c r="LL73" i="2"/>
  <c r="LK73" i="2"/>
  <c r="LJ73" i="2"/>
  <c r="LI73" i="2"/>
  <c r="LH73" i="2"/>
  <c r="LG73" i="2"/>
  <c r="LF73" i="2"/>
  <c r="LE73" i="2"/>
  <c r="LD73" i="2"/>
  <c r="LC73" i="2"/>
  <c r="LB73" i="2"/>
  <c r="LA73" i="2"/>
  <c r="KZ73" i="2"/>
  <c r="KY73" i="2"/>
  <c r="KX73" i="2"/>
  <c r="KW73" i="2"/>
  <c r="KV73" i="2"/>
  <c r="KU73" i="2"/>
  <c r="KT73" i="2"/>
  <c r="KS73" i="2"/>
  <c r="KR73" i="2"/>
  <c r="KQ73" i="2"/>
  <c r="KP73" i="2"/>
  <c r="KO73" i="2"/>
  <c r="KN73" i="2"/>
  <c r="KM73" i="2"/>
  <c r="KL73" i="2"/>
  <c r="KK73" i="2"/>
  <c r="KJ73" i="2"/>
  <c r="KI73" i="2"/>
  <c r="KH73" i="2"/>
  <c r="KG73" i="2"/>
  <c r="KF73" i="2"/>
  <c r="KE73" i="2"/>
  <c r="KD73" i="2"/>
  <c r="KC73" i="2"/>
  <c r="KB73" i="2"/>
  <c r="KA73" i="2"/>
  <c r="JZ73" i="2"/>
  <c r="JY73" i="2"/>
  <c r="JX73" i="2"/>
  <c r="JW73" i="2"/>
  <c r="JV73" i="2"/>
  <c r="JU73" i="2"/>
  <c r="JT73" i="2"/>
  <c r="JS73" i="2"/>
  <c r="JR73" i="2"/>
  <c r="JQ73" i="2"/>
  <c r="JP73" i="2"/>
  <c r="JO73" i="2"/>
  <c r="JN73" i="2"/>
  <c r="JM73" i="2"/>
  <c r="JL73" i="2"/>
  <c r="JK73" i="2"/>
  <c r="JJ73" i="2"/>
  <c r="JI73" i="2"/>
  <c r="JH73" i="2"/>
  <c r="JG73" i="2"/>
  <c r="JF73" i="2"/>
  <c r="JE73" i="2"/>
  <c r="JD73" i="2"/>
  <c r="JC73" i="2"/>
  <c r="JB73" i="2"/>
  <c r="JA73" i="2"/>
  <c r="IZ73" i="2"/>
  <c r="IY73" i="2"/>
  <c r="IX73" i="2"/>
  <c r="IW73" i="2"/>
  <c r="IV73" i="2"/>
  <c r="IU73" i="2"/>
  <c r="IT73" i="2"/>
  <c r="IS73" i="2"/>
  <c r="IR73" i="2"/>
  <c r="IQ73" i="2"/>
  <c r="IP73" i="2"/>
  <c r="IO73" i="2"/>
  <c r="IN73" i="2"/>
  <c r="IM73" i="2"/>
  <c r="IL73" i="2"/>
  <c r="IK73" i="2"/>
  <c r="IJ73" i="2"/>
  <c r="II73" i="2"/>
  <c r="IH73" i="2"/>
  <c r="IG73" i="2"/>
  <c r="IF73" i="2"/>
  <c r="IE73" i="2"/>
  <c r="ID73" i="2"/>
  <c r="IC73" i="2"/>
  <c r="IB73" i="2"/>
  <c r="IA73" i="2"/>
  <c r="HZ73" i="2"/>
  <c r="HY73" i="2"/>
  <c r="HX73" i="2"/>
  <c r="HW73" i="2"/>
  <c r="HV73" i="2"/>
  <c r="HU73" i="2"/>
  <c r="HT73" i="2"/>
  <c r="HS73" i="2"/>
  <c r="HR73" i="2"/>
  <c r="HQ73" i="2"/>
  <c r="HP73" i="2"/>
  <c r="HO73" i="2"/>
  <c r="HN73" i="2"/>
  <c r="HM73" i="2"/>
  <c r="HL73" i="2"/>
  <c r="HK73" i="2"/>
  <c r="HJ73" i="2"/>
  <c r="HI73" i="2"/>
  <c r="HH73" i="2"/>
  <c r="HG73" i="2"/>
  <c r="HF73" i="2"/>
  <c r="HE73" i="2"/>
  <c r="HD73" i="2"/>
  <c r="HC73" i="2"/>
  <c r="HB73" i="2"/>
  <c r="HA73" i="2"/>
  <c r="GZ73" i="2"/>
  <c r="GY73" i="2"/>
  <c r="GX73" i="2"/>
  <c r="GW73" i="2"/>
  <c r="GV73" i="2"/>
  <c r="GU73" i="2"/>
  <c r="GT73" i="2"/>
  <c r="GS73" i="2"/>
  <c r="GR73" i="2"/>
  <c r="GQ73" i="2"/>
  <c r="GP73" i="2"/>
  <c r="GO73" i="2"/>
  <c r="GN73" i="2"/>
  <c r="GM73" i="2"/>
  <c r="GL73" i="2"/>
  <c r="GK73" i="2"/>
  <c r="GJ73" i="2"/>
  <c r="GI73" i="2"/>
  <c r="GH73" i="2"/>
  <c r="GG73" i="2"/>
  <c r="GF73" i="2"/>
  <c r="GE73" i="2"/>
  <c r="GD73" i="2"/>
  <c r="GC73" i="2"/>
  <c r="GB73" i="2"/>
  <c r="GA73" i="2"/>
  <c r="FZ73" i="2"/>
  <c r="FY73" i="2"/>
  <c r="FX73" i="2"/>
  <c r="FW73" i="2"/>
  <c r="FV73" i="2"/>
  <c r="FU73" i="2"/>
  <c r="FT73" i="2"/>
  <c r="FS73" i="2"/>
  <c r="FR73" i="2"/>
  <c r="FQ73" i="2"/>
  <c r="FP73" i="2"/>
  <c r="FO73" i="2"/>
  <c r="FN73" i="2"/>
  <c r="FM73" i="2"/>
  <c r="FL73" i="2"/>
  <c r="FK73" i="2"/>
  <c r="FJ73" i="2"/>
  <c r="FI73" i="2"/>
  <c r="FH73" i="2"/>
  <c r="FG73" i="2"/>
  <c r="FF73" i="2"/>
  <c r="FE73" i="2"/>
  <c r="FD73" i="2"/>
  <c r="FC73" i="2"/>
  <c r="FB73" i="2"/>
  <c r="FA73" i="2"/>
  <c r="EZ73" i="2"/>
  <c r="EY73" i="2"/>
  <c r="EX73" i="2"/>
  <c r="EW73" i="2"/>
  <c r="EV73" i="2"/>
  <c r="EU73" i="2"/>
  <c r="ET73" i="2"/>
  <c r="ES73" i="2"/>
  <c r="ER73" i="2"/>
  <c r="EQ73" i="2"/>
  <c r="EP73" i="2"/>
  <c r="EO73" i="2"/>
  <c r="EN73" i="2"/>
  <c r="EM73" i="2"/>
  <c r="EL73" i="2"/>
  <c r="EK73" i="2"/>
  <c r="EJ73" i="2"/>
  <c r="EI73" i="2"/>
  <c r="EH73" i="2"/>
  <c r="EG73" i="2"/>
  <c r="EF73" i="2"/>
  <c r="EE73" i="2"/>
  <c r="ED73" i="2"/>
  <c r="EC73" i="2"/>
  <c r="EB73" i="2"/>
  <c r="EA73" i="2"/>
  <c r="DZ73" i="2"/>
  <c r="DY73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PI72" i="2"/>
  <c r="PH72" i="2"/>
  <c r="PG72" i="2"/>
  <c r="PF72" i="2"/>
  <c r="PE72" i="2"/>
  <c r="PD72" i="2"/>
  <c r="PC72" i="2"/>
  <c r="PB72" i="2"/>
  <c r="PA72" i="2"/>
  <c r="OZ72" i="2"/>
  <c r="OY72" i="2"/>
  <c r="OX72" i="2"/>
  <c r="OW72" i="2"/>
  <c r="OV72" i="2"/>
  <c r="OU72" i="2"/>
  <c r="OT72" i="2"/>
  <c r="OS72" i="2"/>
  <c r="OR72" i="2"/>
  <c r="OQ72" i="2"/>
  <c r="OP72" i="2"/>
  <c r="OO72" i="2"/>
  <c r="ON72" i="2"/>
  <c r="OM72" i="2"/>
  <c r="OL72" i="2"/>
  <c r="OK72" i="2"/>
  <c r="OJ72" i="2"/>
  <c r="OI72" i="2"/>
  <c r="OH72" i="2"/>
  <c r="OG72" i="2"/>
  <c r="OF72" i="2"/>
  <c r="OE72" i="2"/>
  <c r="OD72" i="2"/>
  <c r="OC72" i="2"/>
  <c r="OB72" i="2"/>
  <c r="OA72" i="2"/>
  <c r="NZ72" i="2"/>
  <c r="NY72" i="2"/>
  <c r="NX72" i="2"/>
  <c r="NW72" i="2"/>
  <c r="NV72" i="2"/>
  <c r="NU72" i="2"/>
  <c r="NT72" i="2"/>
  <c r="NS72" i="2"/>
  <c r="NR72" i="2"/>
  <c r="NQ72" i="2"/>
  <c r="NP72" i="2"/>
  <c r="NO72" i="2"/>
  <c r="NN72" i="2"/>
  <c r="NM72" i="2"/>
  <c r="NL72" i="2"/>
  <c r="NK72" i="2"/>
  <c r="NJ72" i="2"/>
  <c r="NI72" i="2"/>
  <c r="NH72" i="2"/>
  <c r="NG72" i="2"/>
  <c r="NF72" i="2"/>
  <c r="NE72" i="2"/>
  <c r="ND72" i="2"/>
  <c r="NC72" i="2"/>
  <c r="NB72" i="2"/>
  <c r="NA72" i="2"/>
  <c r="MZ72" i="2"/>
  <c r="MY72" i="2"/>
  <c r="MX72" i="2"/>
  <c r="MW72" i="2"/>
  <c r="MV72" i="2"/>
  <c r="MU72" i="2"/>
  <c r="MT72" i="2"/>
  <c r="MS72" i="2"/>
  <c r="MR72" i="2"/>
  <c r="MQ72" i="2"/>
  <c r="MP72" i="2"/>
  <c r="MO72" i="2"/>
  <c r="MN72" i="2"/>
  <c r="MM72" i="2"/>
  <c r="ML72" i="2"/>
  <c r="MK72" i="2"/>
  <c r="MJ72" i="2"/>
  <c r="MI72" i="2"/>
  <c r="MH72" i="2"/>
  <c r="MG72" i="2"/>
  <c r="MF72" i="2"/>
  <c r="ME72" i="2"/>
  <c r="MD72" i="2"/>
  <c r="MC72" i="2"/>
  <c r="MB72" i="2"/>
  <c r="MA72" i="2"/>
  <c r="LZ72" i="2"/>
  <c r="LY72" i="2"/>
  <c r="LX72" i="2"/>
  <c r="LW72" i="2"/>
  <c r="LV72" i="2"/>
  <c r="LU72" i="2"/>
  <c r="LT72" i="2"/>
  <c r="LS72" i="2"/>
  <c r="LR72" i="2"/>
  <c r="LQ72" i="2"/>
  <c r="LP72" i="2"/>
  <c r="LO72" i="2"/>
  <c r="LN72" i="2"/>
  <c r="LM72" i="2"/>
  <c r="LL72" i="2"/>
  <c r="LK72" i="2"/>
  <c r="LJ72" i="2"/>
  <c r="LI72" i="2"/>
  <c r="LH72" i="2"/>
  <c r="LG72" i="2"/>
  <c r="LF72" i="2"/>
  <c r="LE72" i="2"/>
  <c r="LD72" i="2"/>
  <c r="LC72" i="2"/>
  <c r="LB72" i="2"/>
  <c r="LA72" i="2"/>
  <c r="KZ72" i="2"/>
  <c r="KY72" i="2"/>
  <c r="KX72" i="2"/>
  <c r="KW72" i="2"/>
  <c r="KV72" i="2"/>
  <c r="KU72" i="2"/>
  <c r="KT72" i="2"/>
  <c r="KS72" i="2"/>
  <c r="KR72" i="2"/>
  <c r="KQ72" i="2"/>
  <c r="KP72" i="2"/>
  <c r="KO72" i="2"/>
  <c r="KN72" i="2"/>
  <c r="KM72" i="2"/>
  <c r="KL72" i="2"/>
  <c r="KK72" i="2"/>
  <c r="KJ72" i="2"/>
  <c r="KI72" i="2"/>
  <c r="KH72" i="2"/>
  <c r="KG72" i="2"/>
  <c r="KF72" i="2"/>
  <c r="KE72" i="2"/>
  <c r="KD72" i="2"/>
  <c r="KC72" i="2"/>
  <c r="KB72" i="2"/>
  <c r="KA72" i="2"/>
  <c r="JZ72" i="2"/>
  <c r="JY72" i="2"/>
  <c r="JX72" i="2"/>
  <c r="JW72" i="2"/>
  <c r="JV72" i="2"/>
  <c r="JU72" i="2"/>
  <c r="JT72" i="2"/>
  <c r="JS72" i="2"/>
  <c r="JR72" i="2"/>
  <c r="JQ72" i="2"/>
  <c r="JP72" i="2"/>
  <c r="JO72" i="2"/>
  <c r="JN72" i="2"/>
  <c r="JM72" i="2"/>
  <c r="JL72" i="2"/>
  <c r="JK72" i="2"/>
  <c r="JJ72" i="2"/>
  <c r="JI72" i="2"/>
  <c r="JH72" i="2"/>
  <c r="JG72" i="2"/>
  <c r="JF72" i="2"/>
  <c r="JE72" i="2"/>
  <c r="JD72" i="2"/>
  <c r="JC72" i="2"/>
  <c r="JB72" i="2"/>
  <c r="JA72" i="2"/>
  <c r="IZ72" i="2"/>
  <c r="IY72" i="2"/>
  <c r="IX72" i="2"/>
  <c r="IW72" i="2"/>
  <c r="IV72" i="2"/>
  <c r="IU72" i="2"/>
  <c r="IT72" i="2"/>
  <c r="IS72" i="2"/>
  <c r="IR72" i="2"/>
  <c r="IQ72" i="2"/>
  <c r="IP72" i="2"/>
  <c r="IO72" i="2"/>
  <c r="IN72" i="2"/>
  <c r="IM72" i="2"/>
  <c r="IL72" i="2"/>
  <c r="IK72" i="2"/>
  <c r="IJ72" i="2"/>
  <c r="II72" i="2"/>
  <c r="IH72" i="2"/>
  <c r="IG72" i="2"/>
  <c r="IF72" i="2"/>
  <c r="IE72" i="2"/>
  <c r="ID72" i="2"/>
  <c r="IC72" i="2"/>
  <c r="IB72" i="2"/>
  <c r="IA72" i="2"/>
  <c r="HZ72" i="2"/>
  <c r="HY72" i="2"/>
  <c r="HX72" i="2"/>
  <c r="HW72" i="2"/>
  <c r="HV72" i="2"/>
  <c r="HU72" i="2"/>
  <c r="HT72" i="2"/>
  <c r="HS72" i="2"/>
  <c r="HR72" i="2"/>
  <c r="HQ72" i="2"/>
  <c r="HP72" i="2"/>
  <c r="HO72" i="2"/>
  <c r="HN72" i="2"/>
  <c r="HM72" i="2"/>
  <c r="HL72" i="2"/>
  <c r="HK72" i="2"/>
  <c r="HJ72" i="2"/>
  <c r="HI72" i="2"/>
  <c r="HH72" i="2"/>
  <c r="HG72" i="2"/>
  <c r="HF72" i="2"/>
  <c r="HE72" i="2"/>
  <c r="HD72" i="2"/>
  <c r="HC72" i="2"/>
  <c r="HB72" i="2"/>
  <c r="HA72" i="2"/>
  <c r="GZ72" i="2"/>
  <c r="GY72" i="2"/>
  <c r="GX72" i="2"/>
  <c r="GW72" i="2"/>
  <c r="GV72" i="2"/>
  <c r="GU72" i="2"/>
  <c r="GT72" i="2"/>
  <c r="GS72" i="2"/>
  <c r="GR72" i="2"/>
  <c r="GQ72" i="2"/>
  <c r="GP72" i="2"/>
  <c r="GO72" i="2"/>
  <c r="GN72" i="2"/>
  <c r="GM72" i="2"/>
  <c r="GL72" i="2"/>
  <c r="GK72" i="2"/>
  <c r="GJ72" i="2"/>
  <c r="GI72" i="2"/>
  <c r="GH72" i="2"/>
  <c r="GG72" i="2"/>
  <c r="GF72" i="2"/>
  <c r="GE72" i="2"/>
  <c r="GD72" i="2"/>
  <c r="GC72" i="2"/>
  <c r="GB72" i="2"/>
  <c r="GA72" i="2"/>
  <c r="FZ72" i="2"/>
  <c r="FY72" i="2"/>
  <c r="FX72" i="2"/>
  <c r="FW72" i="2"/>
  <c r="FV72" i="2"/>
  <c r="FU72" i="2"/>
  <c r="FT72" i="2"/>
  <c r="FS72" i="2"/>
  <c r="FR72" i="2"/>
  <c r="FQ72" i="2"/>
  <c r="FP72" i="2"/>
  <c r="FO72" i="2"/>
  <c r="FN72" i="2"/>
  <c r="FM72" i="2"/>
  <c r="FL72" i="2"/>
  <c r="FK72" i="2"/>
  <c r="FJ72" i="2"/>
  <c r="FI72" i="2"/>
  <c r="FH72" i="2"/>
  <c r="FG72" i="2"/>
  <c r="FF72" i="2"/>
  <c r="FE72" i="2"/>
  <c r="FD72" i="2"/>
  <c r="FC72" i="2"/>
  <c r="FB72" i="2"/>
  <c r="FA72" i="2"/>
  <c r="EZ72" i="2"/>
  <c r="EY72" i="2"/>
  <c r="EX72" i="2"/>
  <c r="EW72" i="2"/>
  <c r="EV72" i="2"/>
  <c r="EU72" i="2"/>
  <c r="ET72" i="2"/>
  <c r="ES72" i="2"/>
  <c r="ER72" i="2"/>
  <c r="EQ72" i="2"/>
  <c r="EP72" i="2"/>
  <c r="EO72" i="2"/>
  <c r="EN72" i="2"/>
  <c r="EM72" i="2"/>
  <c r="EL72" i="2"/>
  <c r="EK72" i="2"/>
  <c r="EJ72" i="2"/>
  <c r="EI72" i="2"/>
  <c r="EH72" i="2"/>
  <c r="EG72" i="2"/>
  <c r="EF72" i="2"/>
  <c r="EE72" i="2"/>
  <c r="ED72" i="2"/>
  <c r="EC72" i="2"/>
  <c r="EB72" i="2"/>
  <c r="EA72" i="2"/>
  <c r="DZ72" i="2"/>
  <c r="DY72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E72" i="2"/>
  <c r="DD72" i="2"/>
  <c r="DC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PI71" i="2"/>
  <c r="PH71" i="2"/>
  <c r="PG71" i="2"/>
  <c r="PF71" i="2"/>
  <c r="PE71" i="2"/>
  <c r="PD71" i="2"/>
  <c r="PC71" i="2"/>
  <c r="PB71" i="2"/>
  <c r="PA71" i="2"/>
  <c r="OZ71" i="2"/>
  <c r="OY71" i="2"/>
  <c r="OX71" i="2"/>
  <c r="OW71" i="2"/>
  <c r="OV71" i="2"/>
  <c r="OU71" i="2"/>
  <c r="OT71" i="2"/>
  <c r="OS71" i="2"/>
  <c r="OR71" i="2"/>
  <c r="OQ71" i="2"/>
  <c r="OP71" i="2"/>
  <c r="OO71" i="2"/>
  <c r="ON71" i="2"/>
  <c r="OM71" i="2"/>
  <c r="OL71" i="2"/>
  <c r="OK71" i="2"/>
  <c r="OJ71" i="2"/>
  <c r="OI71" i="2"/>
  <c r="OH71" i="2"/>
  <c r="OG71" i="2"/>
  <c r="OF71" i="2"/>
  <c r="OE71" i="2"/>
  <c r="OD71" i="2"/>
  <c r="OC71" i="2"/>
  <c r="OB71" i="2"/>
  <c r="OA71" i="2"/>
  <c r="NZ71" i="2"/>
  <c r="NY71" i="2"/>
  <c r="NX71" i="2"/>
  <c r="NW71" i="2"/>
  <c r="NV71" i="2"/>
  <c r="NU71" i="2"/>
  <c r="NT71" i="2"/>
  <c r="NS71" i="2"/>
  <c r="NR71" i="2"/>
  <c r="NQ71" i="2"/>
  <c r="NP71" i="2"/>
  <c r="NO71" i="2"/>
  <c r="NN71" i="2"/>
  <c r="NM71" i="2"/>
  <c r="NL71" i="2"/>
  <c r="NK71" i="2"/>
  <c r="NJ71" i="2"/>
  <c r="NI71" i="2"/>
  <c r="NH71" i="2"/>
  <c r="NG71" i="2"/>
  <c r="NF71" i="2"/>
  <c r="NE71" i="2"/>
  <c r="ND71" i="2"/>
  <c r="NC71" i="2"/>
  <c r="NB71" i="2"/>
  <c r="NA71" i="2"/>
  <c r="MZ71" i="2"/>
  <c r="MY71" i="2"/>
  <c r="MX71" i="2"/>
  <c r="MW71" i="2"/>
  <c r="MV71" i="2"/>
  <c r="MU71" i="2"/>
  <c r="MT71" i="2"/>
  <c r="MS71" i="2"/>
  <c r="MR71" i="2"/>
  <c r="MQ71" i="2"/>
  <c r="MP71" i="2"/>
  <c r="MO71" i="2"/>
  <c r="MN71" i="2"/>
  <c r="MM71" i="2"/>
  <c r="ML71" i="2"/>
  <c r="MK71" i="2"/>
  <c r="MJ71" i="2"/>
  <c r="MI71" i="2"/>
  <c r="MH71" i="2"/>
  <c r="MG71" i="2"/>
  <c r="MF71" i="2"/>
  <c r="ME71" i="2"/>
  <c r="MD71" i="2"/>
  <c r="MC71" i="2"/>
  <c r="MB71" i="2"/>
  <c r="MA71" i="2"/>
  <c r="LZ71" i="2"/>
  <c r="LY71" i="2"/>
  <c r="LX71" i="2"/>
  <c r="LW71" i="2"/>
  <c r="LV71" i="2"/>
  <c r="LU71" i="2"/>
  <c r="LT71" i="2"/>
  <c r="LS71" i="2"/>
  <c r="LR71" i="2"/>
  <c r="LQ71" i="2"/>
  <c r="LP71" i="2"/>
  <c r="LO71" i="2"/>
  <c r="LN71" i="2"/>
  <c r="LM71" i="2"/>
  <c r="LL71" i="2"/>
  <c r="LK71" i="2"/>
  <c r="LJ71" i="2"/>
  <c r="LI71" i="2"/>
  <c r="LH71" i="2"/>
  <c r="LG71" i="2"/>
  <c r="LF71" i="2"/>
  <c r="LE71" i="2"/>
  <c r="LD71" i="2"/>
  <c r="LC71" i="2"/>
  <c r="LB71" i="2"/>
  <c r="LA71" i="2"/>
  <c r="KZ71" i="2"/>
  <c r="KY71" i="2"/>
  <c r="KX71" i="2"/>
  <c r="KW71" i="2"/>
  <c r="KV71" i="2"/>
  <c r="KU71" i="2"/>
  <c r="KT71" i="2"/>
  <c r="KS71" i="2"/>
  <c r="KR71" i="2"/>
  <c r="KQ71" i="2"/>
  <c r="KP71" i="2"/>
  <c r="KO71" i="2"/>
  <c r="KN71" i="2"/>
  <c r="KM71" i="2"/>
  <c r="KL71" i="2"/>
  <c r="KK71" i="2"/>
  <c r="KJ71" i="2"/>
  <c r="KI71" i="2"/>
  <c r="KH71" i="2"/>
  <c r="KG71" i="2"/>
  <c r="KF71" i="2"/>
  <c r="KE71" i="2"/>
  <c r="KD71" i="2"/>
  <c r="KC71" i="2"/>
  <c r="KB71" i="2"/>
  <c r="KA71" i="2"/>
  <c r="JZ71" i="2"/>
  <c r="JY71" i="2"/>
  <c r="JX71" i="2"/>
  <c r="JW71" i="2"/>
  <c r="JV71" i="2"/>
  <c r="JU71" i="2"/>
  <c r="JT71" i="2"/>
  <c r="JS71" i="2"/>
  <c r="JR71" i="2"/>
  <c r="JQ71" i="2"/>
  <c r="JP71" i="2"/>
  <c r="JO71" i="2"/>
  <c r="JN71" i="2"/>
  <c r="JM71" i="2"/>
  <c r="JL71" i="2"/>
  <c r="JK71" i="2"/>
  <c r="JJ71" i="2"/>
  <c r="JI71" i="2"/>
  <c r="JH71" i="2"/>
  <c r="JG71" i="2"/>
  <c r="JF71" i="2"/>
  <c r="JE71" i="2"/>
  <c r="JD71" i="2"/>
  <c r="JC71" i="2"/>
  <c r="JB71" i="2"/>
  <c r="JA71" i="2"/>
  <c r="IZ71" i="2"/>
  <c r="IY71" i="2"/>
  <c r="IX71" i="2"/>
  <c r="IW71" i="2"/>
  <c r="IV71" i="2"/>
  <c r="IU71" i="2"/>
  <c r="IT71" i="2"/>
  <c r="IS71" i="2"/>
  <c r="IR71" i="2"/>
  <c r="IQ71" i="2"/>
  <c r="IP71" i="2"/>
  <c r="IO71" i="2"/>
  <c r="IN71" i="2"/>
  <c r="IM71" i="2"/>
  <c r="IL71" i="2"/>
  <c r="IK71" i="2"/>
  <c r="IJ71" i="2"/>
  <c r="II71" i="2"/>
  <c r="IH71" i="2"/>
  <c r="IG71" i="2"/>
  <c r="IF71" i="2"/>
  <c r="IE71" i="2"/>
  <c r="ID71" i="2"/>
  <c r="IC71" i="2"/>
  <c r="IB71" i="2"/>
  <c r="IA71" i="2"/>
  <c r="HZ71" i="2"/>
  <c r="HY71" i="2"/>
  <c r="HX71" i="2"/>
  <c r="HW71" i="2"/>
  <c r="HV71" i="2"/>
  <c r="HU71" i="2"/>
  <c r="HT71" i="2"/>
  <c r="HS71" i="2"/>
  <c r="HR71" i="2"/>
  <c r="HQ71" i="2"/>
  <c r="HP71" i="2"/>
  <c r="HO71" i="2"/>
  <c r="HN71" i="2"/>
  <c r="HM71" i="2"/>
  <c r="HL71" i="2"/>
  <c r="HK71" i="2"/>
  <c r="HJ71" i="2"/>
  <c r="HI71" i="2"/>
  <c r="HH71" i="2"/>
  <c r="HG71" i="2"/>
  <c r="HF71" i="2"/>
  <c r="HE71" i="2"/>
  <c r="HD71" i="2"/>
  <c r="HC71" i="2"/>
  <c r="HB71" i="2"/>
  <c r="HA71" i="2"/>
  <c r="GZ71" i="2"/>
  <c r="GY71" i="2"/>
  <c r="GX71" i="2"/>
  <c r="GW71" i="2"/>
  <c r="GV71" i="2"/>
  <c r="GU71" i="2"/>
  <c r="GT71" i="2"/>
  <c r="GS71" i="2"/>
  <c r="GR71" i="2"/>
  <c r="GQ71" i="2"/>
  <c r="GP71" i="2"/>
  <c r="GO71" i="2"/>
  <c r="GN71" i="2"/>
  <c r="GM71" i="2"/>
  <c r="GL71" i="2"/>
  <c r="GK71" i="2"/>
  <c r="GJ71" i="2"/>
  <c r="GI71" i="2"/>
  <c r="GH71" i="2"/>
  <c r="GG71" i="2"/>
  <c r="GF71" i="2"/>
  <c r="GE71" i="2"/>
  <c r="GD71" i="2"/>
  <c r="GC71" i="2"/>
  <c r="GB71" i="2"/>
  <c r="GA71" i="2"/>
  <c r="FZ71" i="2"/>
  <c r="FY71" i="2"/>
  <c r="FX71" i="2"/>
  <c r="FW71" i="2"/>
  <c r="FV71" i="2"/>
  <c r="FU71" i="2"/>
  <c r="FT71" i="2"/>
  <c r="FS71" i="2"/>
  <c r="FR71" i="2"/>
  <c r="FQ71" i="2"/>
  <c r="FP71" i="2"/>
  <c r="FO71" i="2"/>
  <c r="FN71" i="2"/>
  <c r="FM71" i="2"/>
  <c r="FL71" i="2"/>
  <c r="FK71" i="2"/>
  <c r="FJ71" i="2"/>
  <c r="FI71" i="2"/>
  <c r="FH71" i="2"/>
  <c r="FG71" i="2"/>
  <c r="FF71" i="2"/>
  <c r="FE71" i="2"/>
  <c r="FD71" i="2"/>
  <c r="FC71" i="2"/>
  <c r="FB71" i="2"/>
  <c r="FA71" i="2"/>
  <c r="EZ71" i="2"/>
  <c r="EY71" i="2"/>
  <c r="EX71" i="2"/>
  <c r="EW71" i="2"/>
  <c r="EV71" i="2"/>
  <c r="EU71" i="2"/>
  <c r="ET71" i="2"/>
  <c r="ES71" i="2"/>
  <c r="ER71" i="2"/>
  <c r="EQ71" i="2"/>
  <c r="EP71" i="2"/>
  <c r="EO71" i="2"/>
  <c r="EN71" i="2"/>
  <c r="EM71" i="2"/>
  <c r="EL71" i="2"/>
  <c r="EK71" i="2"/>
  <c r="EJ71" i="2"/>
  <c r="EI71" i="2"/>
  <c r="EH71" i="2"/>
  <c r="EG71" i="2"/>
  <c r="EF71" i="2"/>
  <c r="EE71" i="2"/>
  <c r="ED71" i="2"/>
  <c r="EC71" i="2"/>
  <c r="EB71" i="2"/>
  <c r="EA71" i="2"/>
  <c r="DZ71" i="2"/>
  <c r="DY71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PI70" i="2"/>
  <c r="PH70" i="2"/>
  <c r="PG70" i="2"/>
  <c r="PF70" i="2"/>
  <c r="PE70" i="2"/>
  <c r="PD70" i="2"/>
  <c r="PC70" i="2"/>
  <c r="PB70" i="2"/>
  <c r="PA70" i="2"/>
  <c r="OZ70" i="2"/>
  <c r="OY70" i="2"/>
  <c r="OX70" i="2"/>
  <c r="OW70" i="2"/>
  <c r="OV70" i="2"/>
  <c r="OU70" i="2"/>
  <c r="OT70" i="2"/>
  <c r="OS70" i="2"/>
  <c r="OR70" i="2"/>
  <c r="OQ70" i="2"/>
  <c r="OP70" i="2"/>
  <c r="OO70" i="2"/>
  <c r="ON70" i="2"/>
  <c r="OM70" i="2"/>
  <c r="OL70" i="2"/>
  <c r="OK70" i="2"/>
  <c r="OJ70" i="2"/>
  <c r="OI70" i="2"/>
  <c r="OH70" i="2"/>
  <c r="OG70" i="2"/>
  <c r="OF70" i="2"/>
  <c r="OE70" i="2"/>
  <c r="OD70" i="2"/>
  <c r="OC70" i="2"/>
  <c r="OB70" i="2"/>
  <c r="OA70" i="2"/>
  <c r="NZ70" i="2"/>
  <c r="NY70" i="2"/>
  <c r="NX70" i="2"/>
  <c r="NW70" i="2"/>
  <c r="NV70" i="2"/>
  <c r="NU70" i="2"/>
  <c r="NT70" i="2"/>
  <c r="NS70" i="2"/>
  <c r="NR70" i="2"/>
  <c r="NQ70" i="2"/>
  <c r="NP70" i="2"/>
  <c r="NO70" i="2"/>
  <c r="NN70" i="2"/>
  <c r="NM70" i="2"/>
  <c r="NL70" i="2"/>
  <c r="NK70" i="2"/>
  <c r="NJ70" i="2"/>
  <c r="NI70" i="2"/>
  <c r="NH70" i="2"/>
  <c r="NG70" i="2"/>
  <c r="NF70" i="2"/>
  <c r="NE70" i="2"/>
  <c r="ND70" i="2"/>
  <c r="NC70" i="2"/>
  <c r="NB70" i="2"/>
  <c r="NA70" i="2"/>
  <c r="MZ70" i="2"/>
  <c r="MY70" i="2"/>
  <c r="MX70" i="2"/>
  <c r="MW70" i="2"/>
  <c r="MV70" i="2"/>
  <c r="MU70" i="2"/>
  <c r="MT70" i="2"/>
  <c r="MS70" i="2"/>
  <c r="MR70" i="2"/>
  <c r="MQ70" i="2"/>
  <c r="MP70" i="2"/>
  <c r="MO70" i="2"/>
  <c r="MN70" i="2"/>
  <c r="MM70" i="2"/>
  <c r="ML70" i="2"/>
  <c r="MK70" i="2"/>
  <c r="MJ70" i="2"/>
  <c r="MI70" i="2"/>
  <c r="MH70" i="2"/>
  <c r="MG70" i="2"/>
  <c r="MF70" i="2"/>
  <c r="ME70" i="2"/>
  <c r="MD70" i="2"/>
  <c r="MC70" i="2"/>
  <c r="MB70" i="2"/>
  <c r="MA70" i="2"/>
  <c r="LZ70" i="2"/>
  <c r="LY70" i="2"/>
  <c r="LX70" i="2"/>
  <c r="LW70" i="2"/>
  <c r="LV70" i="2"/>
  <c r="LU70" i="2"/>
  <c r="LT70" i="2"/>
  <c r="LS70" i="2"/>
  <c r="LR70" i="2"/>
  <c r="LQ70" i="2"/>
  <c r="LP70" i="2"/>
  <c r="LO70" i="2"/>
  <c r="LN70" i="2"/>
  <c r="LM70" i="2"/>
  <c r="LL70" i="2"/>
  <c r="LK70" i="2"/>
  <c r="LJ70" i="2"/>
  <c r="LI70" i="2"/>
  <c r="LH70" i="2"/>
  <c r="LG70" i="2"/>
  <c r="LF70" i="2"/>
  <c r="LE70" i="2"/>
  <c r="LD70" i="2"/>
  <c r="LC70" i="2"/>
  <c r="LB70" i="2"/>
  <c r="LA70" i="2"/>
  <c r="KZ70" i="2"/>
  <c r="KY70" i="2"/>
  <c r="KX70" i="2"/>
  <c r="KW70" i="2"/>
  <c r="KV70" i="2"/>
  <c r="KU70" i="2"/>
  <c r="KT70" i="2"/>
  <c r="KS70" i="2"/>
  <c r="KR70" i="2"/>
  <c r="KQ70" i="2"/>
  <c r="KP70" i="2"/>
  <c r="KO70" i="2"/>
  <c r="KN70" i="2"/>
  <c r="KM70" i="2"/>
  <c r="KL70" i="2"/>
  <c r="KK70" i="2"/>
  <c r="KJ70" i="2"/>
  <c r="KI70" i="2"/>
  <c r="KH70" i="2"/>
  <c r="KG70" i="2"/>
  <c r="KF70" i="2"/>
  <c r="KE70" i="2"/>
  <c r="KD70" i="2"/>
  <c r="KC70" i="2"/>
  <c r="KB70" i="2"/>
  <c r="KA70" i="2"/>
  <c r="JZ70" i="2"/>
  <c r="JY70" i="2"/>
  <c r="JX70" i="2"/>
  <c r="JW70" i="2"/>
  <c r="JV70" i="2"/>
  <c r="JU70" i="2"/>
  <c r="JT70" i="2"/>
  <c r="JS70" i="2"/>
  <c r="JR70" i="2"/>
  <c r="JQ70" i="2"/>
  <c r="JP70" i="2"/>
  <c r="JO70" i="2"/>
  <c r="JN70" i="2"/>
  <c r="JM70" i="2"/>
  <c r="JL70" i="2"/>
  <c r="JK70" i="2"/>
  <c r="JJ70" i="2"/>
  <c r="JI70" i="2"/>
  <c r="JH70" i="2"/>
  <c r="JG70" i="2"/>
  <c r="JF70" i="2"/>
  <c r="JE70" i="2"/>
  <c r="JD70" i="2"/>
  <c r="JC70" i="2"/>
  <c r="JB70" i="2"/>
  <c r="JA70" i="2"/>
  <c r="IZ70" i="2"/>
  <c r="IY70" i="2"/>
  <c r="IX70" i="2"/>
  <c r="IW70" i="2"/>
  <c r="IV70" i="2"/>
  <c r="IU70" i="2"/>
  <c r="IT70" i="2"/>
  <c r="IS70" i="2"/>
  <c r="IR70" i="2"/>
  <c r="IQ70" i="2"/>
  <c r="IP70" i="2"/>
  <c r="IO70" i="2"/>
  <c r="IN70" i="2"/>
  <c r="IM70" i="2"/>
  <c r="IL70" i="2"/>
  <c r="IK70" i="2"/>
  <c r="IJ70" i="2"/>
  <c r="II70" i="2"/>
  <c r="IH70" i="2"/>
  <c r="IG70" i="2"/>
  <c r="IF70" i="2"/>
  <c r="IE70" i="2"/>
  <c r="ID70" i="2"/>
  <c r="IC70" i="2"/>
  <c r="IB70" i="2"/>
  <c r="IA70" i="2"/>
  <c r="HZ70" i="2"/>
  <c r="HY70" i="2"/>
  <c r="HX70" i="2"/>
  <c r="HW70" i="2"/>
  <c r="HV70" i="2"/>
  <c r="HU70" i="2"/>
  <c r="HT70" i="2"/>
  <c r="HS70" i="2"/>
  <c r="HR70" i="2"/>
  <c r="HQ70" i="2"/>
  <c r="HP70" i="2"/>
  <c r="HO70" i="2"/>
  <c r="HN70" i="2"/>
  <c r="HM70" i="2"/>
  <c r="HL70" i="2"/>
  <c r="HK70" i="2"/>
  <c r="HJ70" i="2"/>
  <c r="HI70" i="2"/>
  <c r="HH70" i="2"/>
  <c r="HG70" i="2"/>
  <c r="HF70" i="2"/>
  <c r="HE70" i="2"/>
  <c r="HD70" i="2"/>
  <c r="HC70" i="2"/>
  <c r="HB70" i="2"/>
  <c r="HA70" i="2"/>
  <c r="GZ70" i="2"/>
  <c r="GY70" i="2"/>
  <c r="GX70" i="2"/>
  <c r="GW70" i="2"/>
  <c r="GV70" i="2"/>
  <c r="GU70" i="2"/>
  <c r="GT70" i="2"/>
  <c r="GS70" i="2"/>
  <c r="GR70" i="2"/>
  <c r="GQ70" i="2"/>
  <c r="GP70" i="2"/>
  <c r="GO70" i="2"/>
  <c r="GN70" i="2"/>
  <c r="GM70" i="2"/>
  <c r="GL70" i="2"/>
  <c r="GK70" i="2"/>
  <c r="GJ70" i="2"/>
  <c r="GI70" i="2"/>
  <c r="GH70" i="2"/>
  <c r="GG70" i="2"/>
  <c r="GF70" i="2"/>
  <c r="GE70" i="2"/>
  <c r="GD70" i="2"/>
  <c r="GC70" i="2"/>
  <c r="GB70" i="2"/>
  <c r="GA70" i="2"/>
  <c r="FZ70" i="2"/>
  <c r="FY70" i="2"/>
  <c r="FX70" i="2"/>
  <c r="FW70" i="2"/>
  <c r="FV70" i="2"/>
  <c r="FU70" i="2"/>
  <c r="FT70" i="2"/>
  <c r="FS70" i="2"/>
  <c r="FR70" i="2"/>
  <c r="FQ70" i="2"/>
  <c r="FP70" i="2"/>
  <c r="FO70" i="2"/>
  <c r="FN70" i="2"/>
  <c r="FM70" i="2"/>
  <c r="FL70" i="2"/>
  <c r="FK70" i="2"/>
  <c r="FJ70" i="2"/>
  <c r="FI70" i="2"/>
  <c r="FH70" i="2"/>
  <c r="FG70" i="2"/>
  <c r="FF70" i="2"/>
  <c r="FE70" i="2"/>
  <c r="FD70" i="2"/>
  <c r="FC70" i="2"/>
  <c r="FB70" i="2"/>
  <c r="FA70" i="2"/>
  <c r="EZ70" i="2"/>
  <c r="EY70" i="2"/>
  <c r="EX70" i="2"/>
  <c r="EW70" i="2"/>
  <c r="EV70" i="2"/>
  <c r="EU70" i="2"/>
  <c r="ET70" i="2"/>
  <c r="ES70" i="2"/>
  <c r="ER70" i="2"/>
  <c r="EQ70" i="2"/>
  <c r="EP70" i="2"/>
  <c r="EO70" i="2"/>
  <c r="EN70" i="2"/>
  <c r="EM70" i="2"/>
  <c r="EL70" i="2"/>
  <c r="EK70" i="2"/>
  <c r="EJ70" i="2"/>
  <c r="EI70" i="2"/>
  <c r="EH70" i="2"/>
  <c r="EG70" i="2"/>
  <c r="EF70" i="2"/>
  <c r="EE70" i="2"/>
  <c r="ED70" i="2"/>
  <c r="EC70" i="2"/>
  <c r="EB70" i="2"/>
  <c r="EA70" i="2"/>
  <c r="DZ70" i="2"/>
  <c r="DY70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PI69" i="2"/>
  <c r="PH69" i="2"/>
  <c r="PG69" i="2"/>
  <c r="PF69" i="2"/>
  <c r="PE69" i="2"/>
  <c r="PD69" i="2"/>
  <c r="PC69" i="2"/>
  <c r="PB69" i="2"/>
  <c r="PA69" i="2"/>
  <c r="OZ69" i="2"/>
  <c r="OY69" i="2"/>
  <c r="OX69" i="2"/>
  <c r="OW69" i="2"/>
  <c r="OV69" i="2"/>
  <c r="OU69" i="2"/>
  <c r="OT69" i="2"/>
  <c r="OS69" i="2"/>
  <c r="OR69" i="2"/>
  <c r="OQ69" i="2"/>
  <c r="OP69" i="2"/>
  <c r="OO69" i="2"/>
  <c r="ON69" i="2"/>
  <c r="OM69" i="2"/>
  <c r="OL69" i="2"/>
  <c r="OK69" i="2"/>
  <c r="OJ69" i="2"/>
  <c r="OI69" i="2"/>
  <c r="OH69" i="2"/>
  <c r="OG69" i="2"/>
  <c r="OF69" i="2"/>
  <c r="OE69" i="2"/>
  <c r="OD69" i="2"/>
  <c r="OC69" i="2"/>
  <c r="OB69" i="2"/>
  <c r="OA69" i="2"/>
  <c r="NZ69" i="2"/>
  <c r="NY69" i="2"/>
  <c r="NX69" i="2"/>
  <c r="NW69" i="2"/>
  <c r="NV69" i="2"/>
  <c r="NU69" i="2"/>
  <c r="NT69" i="2"/>
  <c r="NS69" i="2"/>
  <c r="NR69" i="2"/>
  <c r="NQ69" i="2"/>
  <c r="NP69" i="2"/>
  <c r="NO69" i="2"/>
  <c r="NN69" i="2"/>
  <c r="NM69" i="2"/>
  <c r="NL69" i="2"/>
  <c r="NK69" i="2"/>
  <c r="NJ69" i="2"/>
  <c r="NI69" i="2"/>
  <c r="NH69" i="2"/>
  <c r="NG69" i="2"/>
  <c r="NF69" i="2"/>
  <c r="NE69" i="2"/>
  <c r="ND69" i="2"/>
  <c r="NC69" i="2"/>
  <c r="NB69" i="2"/>
  <c r="NA69" i="2"/>
  <c r="MZ69" i="2"/>
  <c r="MY69" i="2"/>
  <c r="MX69" i="2"/>
  <c r="MW69" i="2"/>
  <c r="MV69" i="2"/>
  <c r="MU69" i="2"/>
  <c r="MT69" i="2"/>
  <c r="MS69" i="2"/>
  <c r="MR69" i="2"/>
  <c r="MQ69" i="2"/>
  <c r="MP69" i="2"/>
  <c r="MO69" i="2"/>
  <c r="MN69" i="2"/>
  <c r="MM69" i="2"/>
  <c r="ML69" i="2"/>
  <c r="MK69" i="2"/>
  <c r="MJ69" i="2"/>
  <c r="MI69" i="2"/>
  <c r="MH69" i="2"/>
  <c r="MG69" i="2"/>
  <c r="MF69" i="2"/>
  <c r="ME69" i="2"/>
  <c r="MD69" i="2"/>
  <c r="MC69" i="2"/>
  <c r="MB69" i="2"/>
  <c r="MA69" i="2"/>
  <c r="LZ69" i="2"/>
  <c r="LY69" i="2"/>
  <c r="LX69" i="2"/>
  <c r="LW69" i="2"/>
  <c r="LV69" i="2"/>
  <c r="LU69" i="2"/>
  <c r="LT69" i="2"/>
  <c r="LS69" i="2"/>
  <c r="LR69" i="2"/>
  <c r="LQ69" i="2"/>
  <c r="LP69" i="2"/>
  <c r="LO69" i="2"/>
  <c r="LN69" i="2"/>
  <c r="LM69" i="2"/>
  <c r="LL69" i="2"/>
  <c r="LK69" i="2"/>
  <c r="LJ69" i="2"/>
  <c r="LI69" i="2"/>
  <c r="LH69" i="2"/>
  <c r="LG69" i="2"/>
  <c r="LF69" i="2"/>
  <c r="LE69" i="2"/>
  <c r="LD69" i="2"/>
  <c r="LC69" i="2"/>
  <c r="LB69" i="2"/>
  <c r="LA69" i="2"/>
  <c r="KZ69" i="2"/>
  <c r="KY69" i="2"/>
  <c r="KX69" i="2"/>
  <c r="KW69" i="2"/>
  <c r="KV69" i="2"/>
  <c r="KU69" i="2"/>
  <c r="KT69" i="2"/>
  <c r="KS69" i="2"/>
  <c r="KR69" i="2"/>
  <c r="KQ69" i="2"/>
  <c r="KP69" i="2"/>
  <c r="KO69" i="2"/>
  <c r="KN69" i="2"/>
  <c r="KM69" i="2"/>
  <c r="KL69" i="2"/>
  <c r="KK69" i="2"/>
  <c r="KJ69" i="2"/>
  <c r="KI69" i="2"/>
  <c r="KH69" i="2"/>
  <c r="KG69" i="2"/>
  <c r="KF69" i="2"/>
  <c r="KE69" i="2"/>
  <c r="KD69" i="2"/>
  <c r="KC69" i="2"/>
  <c r="KB69" i="2"/>
  <c r="KA69" i="2"/>
  <c r="JZ69" i="2"/>
  <c r="JY69" i="2"/>
  <c r="JX69" i="2"/>
  <c r="JW69" i="2"/>
  <c r="JV69" i="2"/>
  <c r="JU69" i="2"/>
  <c r="JT69" i="2"/>
  <c r="JS69" i="2"/>
  <c r="JR69" i="2"/>
  <c r="JQ69" i="2"/>
  <c r="JP69" i="2"/>
  <c r="JO69" i="2"/>
  <c r="JN69" i="2"/>
  <c r="JM69" i="2"/>
  <c r="JL69" i="2"/>
  <c r="JK69" i="2"/>
  <c r="JJ69" i="2"/>
  <c r="JI69" i="2"/>
  <c r="JH69" i="2"/>
  <c r="JG69" i="2"/>
  <c r="JF69" i="2"/>
  <c r="JE69" i="2"/>
  <c r="JD69" i="2"/>
  <c r="JC69" i="2"/>
  <c r="JB69" i="2"/>
  <c r="JA69" i="2"/>
  <c r="IZ69" i="2"/>
  <c r="IY69" i="2"/>
  <c r="IX69" i="2"/>
  <c r="IW69" i="2"/>
  <c r="IV69" i="2"/>
  <c r="IU69" i="2"/>
  <c r="IT69" i="2"/>
  <c r="IS69" i="2"/>
  <c r="IR69" i="2"/>
  <c r="IQ69" i="2"/>
  <c r="IP69" i="2"/>
  <c r="IO69" i="2"/>
  <c r="IN69" i="2"/>
  <c r="IM69" i="2"/>
  <c r="IL69" i="2"/>
  <c r="IK69" i="2"/>
  <c r="IJ69" i="2"/>
  <c r="II69" i="2"/>
  <c r="IH69" i="2"/>
  <c r="IG69" i="2"/>
  <c r="IF69" i="2"/>
  <c r="IE69" i="2"/>
  <c r="ID69" i="2"/>
  <c r="IC69" i="2"/>
  <c r="IB69" i="2"/>
  <c r="IA69" i="2"/>
  <c r="HZ69" i="2"/>
  <c r="HY69" i="2"/>
  <c r="HX69" i="2"/>
  <c r="HW69" i="2"/>
  <c r="HV69" i="2"/>
  <c r="HU69" i="2"/>
  <c r="HT69" i="2"/>
  <c r="HS69" i="2"/>
  <c r="HR69" i="2"/>
  <c r="HQ69" i="2"/>
  <c r="HP69" i="2"/>
  <c r="HO69" i="2"/>
  <c r="HN69" i="2"/>
  <c r="HM69" i="2"/>
  <c r="HL69" i="2"/>
  <c r="HK69" i="2"/>
  <c r="HJ69" i="2"/>
  <c r="HI69" i="2"/>
  <c r="HH69" i="2"/>
  <c r="HG69" i="2"/>
  <c r="HF69" i="2"/>
  <c r="HE69" i="2"/>
  <c r="HD69" i="2"/>
  <c r="HC69" i="2"/>
  <c r="HB69" i="2"/>
  <c r="HA69" i="2"/>
  <c r="GZ69" i="2"/>
  <c r="GY69" i="2"/>
  <c r="GX69" i="2"/>
  <c r="GW69" i="2"/>
  <c r="GV69" i="2"/>
  <c r="GU69" i="2"/>
  <c r="GT69" i="2"/>
  <c r="GS69" i="2"/>
  <c r="GR69" i="2"/>
  <c r="GQ69" i="2"/>
  <c r="GP69" i="2"/>
  <c r="GO69" i="2"/>
  <c r="GN69" i="2"/>
  <c r="GM69" i="2"/>
  <c r="GL69" i="2"/>
  <c r="GK69" i="2"/>
  <c r="GJ69" i="2"/>
  <c r="GI69" i="2"/>
  <c r="GH69" i="2"/>
  <c r="GG69" i="2"/>
  <c r="GF69" i="2"/>
  <c r="GE69" i="2"/>
  <c r="GD69" i="2"/>
  <c r="GC69" i="2"/>
  <c r="GB69" i="2"/>
  <c r="GA69" i="2"/>
  <c r="FZ69" i="2"/>
  <c r="FY69" i="2"/>
  <c r="FX69" i="2"/>
  <c r="FW69" i="2"/>
  <c r="FV69" i="2"/>
  <c r="FU69" i="2"/>
  <c r="FT69" i="2"/>
  <c r="FS69" i="2"/>
  <c r="FR69" i="2"/>
  <c r="FQ69" i="2"/>
  <c r="FP69" i="2"/>
  <c r="FO69" i="2"/>
  <c r="FN69" i="2"/>
  <c r="FM69" i="2"/>
  <c r="FL69" i="2"/>
  <c r="FK69" i="2"/>
  <c r="FJ69" i="2"/>
  <c r="FI69" i="2"/>
  <c r="FH69" i="2"/>
  <c r="FG69" i="2"/>
  <c r="FF69" i="2"/>
  <c r="FE69" i="2"/>
  <c r="FD69" i="2"/>
  <c r="FC69" i="2"/>
  <c r="FB69" i="2"/>
  <c r="FA69" i="2"/>
  <c r="EZ69" i="2"/>
  <c r="EY69" i="2"/>
  <c r="EX69" i="2"/>
  <c r="EW69" i="2"/>
  <c r="EV69" i="2"/>
  <c r="EU69" i="2"/>
  <c r="ET69" i="2"/>
  <c r="ES69" i="2"/>
  <c r="ER69" i="2"/>
  <c r="EQ69" i="2"/>
  <c r="EP69" i="2"/>
  <c r="EO69" i="2"/>
  <c r="EN69" i="2"/>
  <c r="EM69" i="2"/>
  <c r="EL69" i="2"/>
  <c r="EK69" i="2"/>
  <c r="EJ69" i="2"/>
  <c r="EI69" i="2"/>
  <c r="EH69" i="2"/>
  <c r="EG69" i="2"/>
  <c r="EF69" i="2"/>
  <c r="EE69" i="2"/>
  <c r="ED69" i="2"/>
  <c r="EC69" i="2"/>
  <c r="EB69" i="2"/>
  <c r="EA69" i="2"/>
  <c r="DZ69" i="2"/>
  <c r="DY69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PI68" i="2"/>
  <c r="PH68" i="2"/>
  <c r="PG68" i="2"/>
  <c r="PF68" i="2"/>
  <c r="PE68" i="2"/>
  <c r="PD68" i="2"/>
  <c r="PC68" i="2"/>
  <c r="PB68" i="2"/>
  <c r="PA68" i="2"/>
  <c r="OZ68" i="2"/>
  <c r="OY68" i="2"/>
  <c r="OX68" i="2"/>
  <c r="OW68" i="2"/>
  <c r="OV68" i="2"/>
  <c r="OU68" i="2"/>
  <c r="OT68" i="2"/>
  <c r="OS68" i="2"/>
  <c r="OR68" i="2"/>
  <c r="OQ68" i="2"/>
  <c r="OP68" i="2"/>
  <c r="OO68" i="2"/>
  <c r="ON68" i="2"/>
  <c r="OM68" i="2"/>
  <c r="OL68" i="2"/>
  <c r="OK68" i="2"/>
  <c r="OJ68" i="2"/>
  <c r="OI68" i="2"/>
  <c r="OH68" i="2"/>
  <c r="OG68" i="2"/>
  <c r="OF68" i="2"/>
  <c r="OE68" i="2"/>
  <c r="OD68" i="2"/>
  <c r="OC68" i="2"/>
  <c r="OB68" i="2"/>
  <c r="OA68" i="2"/>
  <c r="NZ68" i="2"/>
  <c r="NY68" i="2"/>
  <c r="NX68" i="2"/>
  <c r="NW68" i="2"/>
  <c r="NV68" i="2"/>
  <c r="NU68" i="2"/>
  <c r="NT68" i="2"/>
  <c r="NS68" i="2"/>
  <c r="NR68" i="2"/>
  <c r="NQ68" i="2"/>
  <c r="NP68" i="2"/>
  <c r="NO68" i="2"/>
  <c r="NN68" i="2"/>
  <c r="NM68" i="2"/>
  <c r="NL68" i="2"/>
  <c r="NK68" i="2"/>
  <c r="NJ68" i="2"/>
  <c r="NI68" i="2"/>
  <c r="NH68" i="2"/>
  <c r="NG68" i="2"/>
  <c r="NF68" i="2"/>
  <c r="NE68" i="2"/>
  <c r="ND68" i="2"/>
  <c r="NC68" i="2"/>
  <c r="NB68" i="2"/>
  <c r="NA68" i="2"/>
  <c r="MZ68" i="2"/>
  <c r="MY68" i="2"/>
  <c r="MX68" i="2"/>
  <c r="MW68" i="2"/>
  <c r="MV68" i="2"/>
  <c r="MU68" i="2"/>
  <c r="MT68" i="2"/>
  <c r="MS68" i="2"/>
  <c r="MR68" i="2"/>
  <c r="MQ68" i="2"/>
  <c r="MP68" i="2"/>
  <c r="MO68" i="2"/>
  <c r="MN68" i="2"/>
  <c r="MM68" i="2"/>
  <c r="ML68" i="2"/>
  <c r="MK68" i="2"/>
  <c r="MJ68" i="2"/>
  <c r="MI68" i="2"/>
  <c r="MH68" i="2"/>
  <c r="MG68" i="2"/>
  <c r="MF68" i="2"/>
  <c r="ME68" i="2"/>
  <c r="MD68" i="2"/>
  <c r="MC68" i="2"/>
  <c r="MB68" i="2"/>
  <c r="MA68" i="2"/>
  <c r="LZ68" i="2"/>
  <c r="LY68" i="2"/>
  <c r="LX68" i="2"/>
  <c r="LW68" i="2"/>
  <c r="LV68" i="2"/>
  <c r="LU68" i="2"/>
  <c r="LT68" i="2"/>
  <c r="LS68" i="2"/>
  <c r="LR68" i="2"/>
  <c r="LQ68" i="2"/>
  <c r="LP68" i="2"/>
  <c r="LO68" i="2"/>
  <c r="LN68" i="2"/>
  <c r="LM68" i="2"/>
  <c r="LL68" i="2"/>
  <c r="LK68" i="2"/>
  <c r="LJ68" i="2"/>
  <c r="LI68" i="2"/>
  <c r="LH68" i="2"/>
  <c r="LG68" i="2"/>
  <c r="LF68" i="2"/>
  <c r="LE68" i="2"/>
  <c r="LD68" i="2"/>
  <c r="LC68" i="2"/>
  <c r="LB68" i="2"/>
  <c r="LA68" i="2"/>
  <c r="KZ68" i="2"/>
  <c r="KY68" i="2"/>
  <c r="KX68" i="2"/>
  <c r="KW68" i="2"/>
  <c r="KV68" i="2"/>
  <c r="KU68" i="2"/>
  <c r="KT68" i="2"/>
  <c r="KS68" i="2"/>
  <c r="KR68" i="2"/>
  <c r="KQ68" i="2"/>
  <c r="KP68" i="2"/>
  <c r="KO68" i="2"/>
  <c r="KN68" i="2"/>
  <c r="KM68" i="2"/>
  <c r="KL68" i="2"/>
  <c r="KK68" i="2"/>
  <c r="KJ68" i="2"/>
  <c r="KI68" i="2"/>
  <c r="KH68" i="2"/>
  <c r="KG68" i="2"/>
  <c r="KF68" i="2"/>
  <c r="KE68" i="2"/>
  <c r="KD68" i="2"/>
  <c r="KC68" i="2"/>
  <c r="KB68" i="2"/>
  <c r="KA68" i="2"/>
  <c r="JZ68" i="2"/>
  <c r="JY68" i="2"/>
  <c r="JX68" i="2"/>
  <c r="JW68" i="2"/>
  <c r="JV68" i="2"/>
  <c r="JU68" i="2"/>
  <c r="JT68" i="2"/>
  <c r="JS68" i="2"/>
  <c r="JR68" i="2"/>
  <c r="JQ68" i="2"/>
  <c r="JP68" i="2"/>
  <c r="JO68" i="2"/>
  <c r="JN68" i="2"/>
  <c r="JM68" i="2"/>
  <c r="JL68" i="2"/>
  <c r="JK68" i="2"/>
  <c r="JJ68" i="2"/>
  <c r="JI68" i="2"/>
  <c r="JH68" i="2"/>
  <c r="JG68" i="2"/>
  <c r="JF68" i="2"/>
  <c r="JE68" i="2"/>
  <c r="JD68" i="2"/>
  <c r="JC68" i="2"/>
  <c r="JB68" i="2"/>
  <c r="JA68" i="2"/>
  <c r="IZ68" i="2"/>
  <c r="IY68" i="2"/>
  <c r="IX68" i="2"/>
  <c r="IW68" i="2"/>
  <c r="IV68" i="2"/>
  <c r="IU68" i="2"/>
  <c r="IT68" i="2"/>
  <c r="IS68" i="2"/>
  <c r="IR68" i="2"/>
  <c r="IQ68" i="2"/>
  <c r="IP68" i="2"/>
  <c r="IO68" i="2"/>
  <c r="IN68" i="2"/>
  <c r="IM68" i="2"/>
  <c r="IL68" i="2"/>
  <c r="IK68" i="2"/>
  <c r="IJ68" i="2"/>
  <c r="II68" i="2"/>
  <c r="IH68" i="2"/>
  <c r="IG68" i="2"/>
  <c r="IF68" i="2"/>
  <c r="IE68" i="2"/>
  <c r="ID68" i="2"/>
  <c r="IC68" i="2"/>
  <c r="IB68" i="2"/>
  <c r="IA68" i="2"/>
  <c r="HZ68" i="2"/>
  <c r="HY68" i="2"/>
  <c r="HX68" i="2"/>
  <c r="HW68" i="2"/>
  <c r="HV68" i="2"/>
  <c r="HU68" i="2"/>
  <c r="HT68" i="2"/>
  <c r="HS68" i="2"/>
  <c r="HR68" i="2"/>
  <c r="HQ68" i="2"/>
  <c r="HP68" i="2"/>
  <c r="HO68" i="2"/>
  <c r="HN68" i="2"/>
  <c r="HM68" i="2"/>
  <c r="HL68" i="2"/>
  <c r="HK68" i="2"/>
  <c r="HJ68" i="2"/>
  <c r="HI68" i="2"/>
  <c r="HH68" i="2"/>
  <c r="HG68" i="2"/>
  <c r="HF68" i="2"/>
  <c r="HE68" i="2"/>
  <c r="HD68" i="2"/>
  <c r="HC68" i="2"/>
  <c r="HB68" i="2"/>
  <c r="HA68" i="2"/>
  <c r="GZ68" i="2"/>
  <c r="GY68" i="2"/>
  <c r="GX68" i="2"/>
  <c r="GW68" i="2"/>
  <c r="GV68" i="2"/>
  <c r="GU68" i="2"/>
  <c r="GT68" i="2"/>
  <c r="GS68" i="2"/>
  <c r="GR68" i="2"/>
  <c r="GQ68" i="2"/>
  <c r="GP68" i="2"/>
  <c r="GO68" i="2"/>
  <c r="GN68" i="2"/>
  <c r="GM68" i="2"/>
  <c r="GL68" i="2"/>
  <c r="GK68" i="2"/>
  <c r="GJ68" i="2"/>
  <c r="GI68" i="2"/>
  <c r="GH68" i="2"/>
  <c r="GG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FQ68" i="2"/>
  <c r="FP68" i="2"/>
  <c r="FO68" i="2"/>
  <c r="FN68" i="2"/>
  <c r="FM68" i="2"/>
  <c r="FL68" i="2"/>
  <c r="FK68" i="2"/>
  <c r="FJ68" i="2"/>
  <c r="FI68" i="2"/>
  <c r="FH68" i="2"/>
  <c r="FG68" i="2"/>
  <c r="FF68" i="2"/>
  <c r="FE68" i="2"/>
  <c r="FD68" i="2"/>
  <c r="FC68" i="2"/>
  <c r="FB68" i="2"/>
  <c r="FA68" i="2"/>
  <c r="EZ68" i="2"/>
  <c r="EY68" i="2"/>
  <c r="EX68" i="2"/>
  <c r="EW68" i="2"/>
  <c r="EV68" i="2"/>
  <c r="EU68" i="2"/>
  <c r="ET68" i="2"/>
  <c r="ES68" i="2"/>
  <c r="ER68" i="2"/>
  <c r="EQ68" i="2"/>
  <c r="EP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DZ68" i="2"/>
  <c r="DY68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PI67" i="2"/>
  <c r="PH67" i="2"/>
  <c r="PG67" i="2"/>
  <c r="PF67" i="2"/>
  <c r="PE67" i="2"/>
  <c r="PD67" i="2"/>
  <c r="PC67" i="2"/>
  <c r="PB67" i="2"/>
  <c r="PA67" i="2"/>
  <c r="OZ67" i="2"/>
  <c r="OY67" i="2"/>
  <c r="OX67" i="2"/>
  <c r="OW67" i="2"/>
  <c r="OV67" i="2"/>
  <c r="OU67" i="2"/>
  <c r="OT67" i="2"/>
  <c r="OS67" i="2"/>
  <c r="OR67" i="2"/>
  <c r="OQ67" i="2"/>
  <c r="OP67" i="2"/>
  <c r="OO67" i="2"/>
  <c r="ON67" i="2"/>
  <c r="OM67" i="2"/>
  <c r="OL67" i="2"/>
  <c r="OK67" i="2"/>
  <c r="OJ67" i="2"/>
  <c r="OI67" i="2"/>
  <c r="OH67" i="2"/>
  <c r="OG67" i="2"/>
  <c r="OF67" i="2"/>
  <c r="OE67" i="2"/>
  <c r="OD67" i="2"/>
  <c r="OC67" i="2"/>
  <c r="OB67" i="2"/>
  <c r="OA67" i="2"/>
  <c r="NZ67" i="2"/>
  <c r="NY67" i="2"/>
  <c r="NX67" i="2"/>
  <c r="NW67" i="2"/>
  <c r="NV67" i="2"/>
  <c r="NU67" i="2"/>
  <c r="NT67" i="2"/>
  <c r="NS67" i="2"/>
  <c r="NR67" i="2"/>
  <c r="NQ67" i="2"/>
  <c r="NP67" i="2"/>
  <c r="NO67" i="2"/>
  <c r="NN67" i="2"/>
  <c r="NM67" i="2"/>
  <c r="NL67" i="2"/>
  <c r="NK67" i="2"/>
  <c r="NJ67" i="2"/>
  <c r="NI67" i="2"/>
  <c r="NH67" i="2"/>
  <c r="NG67" i="2"/>
  <c r="NF67" i="2"/>
  <c r="NE67" i="2"/>
  <c r="ND67" i="2"/>
  <c r="NC67" i="2"/>
  <c r="NB67" i="2"/>
  <c r="NA67" i="2"/>
  <c r="MZ67" i="2"/>
  <c r="MY67" i="2"/>
  <c r="MX67" i="2"/>
  <c r="MW67" i="2"/>
  <c r="MV67" i="2"/>
  <c r="MU67" i="2"/>
  <c r="MT67" i="2"/>
  <c r="MS67" i="2"/>
  <c r="MR67" i="2"/>
  <c r="MQ67" i="2"/>
  <c r="MP67" i="2"/>
  <c r="MO67" i="2"/>
  <c r="MN67" i="2"/>
  <c r="MM67" i="2"/>
  <c r="ML67" i="2"/>
  <c r="MK67" i="2"/>
  <c r="MJ67" i="2"/>
  <c r="MI67" i="2"/>
  <c r="MH67" i="2"/>
  <c r="MG67" i="2"/>
  <c r="MF67" i="2"/>
  <c r="ME67" i="2"/>
  <c r="MD67" i="2"/>
  <c r="MC67" i="2"/>
  <c r="MB67" i="2"/>
  <c r="MA67" i="2"/>
  <c r="LZ67" i="2"/>
  <c r="LY67" i="2"/>
  <c r="LX67" i="2"/>
  <c r="LW67" i="2"/>
  <c r="LV67" i="2"/>
  <c r="LU67" i="2"/>
  <c r="LT67" i="2"/>
  <c r="LS67" i="2"/>
  <c r="LR67" i="2"/>
  <c r="LQ67" i="2"/>
  <c r="LP67" i="2"/>
  <c r="LO67" i="2"/>
  <c r="LN67" i="2"/>
  <c r="LM67" i="2"/>
  <c r="LL67" i="2"/>
  <c r="LK67" i="2"/>
  <c r="LJ67" i="2"/>
  <c r="LI67" i="2"/>
  <c r="LH67" i="2"/>
  <c r="LG67" i="2"/>
  <c r="LF67" i="2"/>
  <c r="LE67" i="2"/>
  <c r="LD67" i="2"/>
  <c r="LC67" i="2"/>
  <c r="LB67" i="2"/>
  <c r="LA67" i="2"/>
  <c r="KZ67" i="2"/>
  <c r="KY67" i="2"/>
  <c r="KX67" i="2"/>
  <c r="KW67" i="2"/>
  <c r="KV67" i="2"/>
  <c r="KU67" i="2"/>
  <c r="KT67" i="2"/>
  <c r="KS67" i="2"/>
  <c r="KR67" i="2"/>
  <c r="KQ67" i="2"/>
  <c r="KP67" i="2"/>
  <c r="KO67" i="2"/>
  <c r="KN67" i="2"/>
  <c r="KM67" i="2"/>
  <c r="KL67" i="2"/>
  <c r="KK67" i="2"/>
  <c r="KJ67" i="2"/>
  <c r="KI67" i="2"/>
  <c r="KH67" i="2"/>
  <c r="KG67" i="2"/>
  <c r="KF67" i="2"/>
  <c r="KE67" i="2"/>
  <c r="KD67" i="2"/>
  <c r="KC67" i="2"/>
  <c r="KB67" i="2"/>
  <c r="KA67" i="2"/>
  <c r="JZ67" i="2"/>
  <c r="JY67" i="2"/>
  <c r="JX67" i="2"/>
  <c r="JW67" i="2"/>
  <c r="JV67" i="2"/>
  <c r="JU67" i="2"/>
  <c r="JT67" i="2"/>
  <c r="JS67" i="2"/>
  <c r="JR67" i="2"/>
  <c r="JQ67" i="2"/>
  <c r="JP67" i="2"/>
  <c r="JO67" i="2"/>
  <c r="JN67" i="2"/>
  <c r="JM67" i="2"/>
  <c r="JL67" i="2"/>
  <c r="JK67" i="2"/>
  <c r="JJ67" i="2"/>
  <c r="JI67" i="2"/>
  <c r="JH67" i="2"/>
  <c r="JG67" i="2"/>
  <c r="JF67" i="2"/>
  <c r="JE67" i="2"/>
  <c r="JD67" i="2"/>
  <c r="JC67" i="2"/>
  <c r="JB67" i="2"/>
  <c r="JA67" i="2"/>
  <c r="IZ67" i="2"/>
  <c r="IY67" i="2"/>
  <c r="IX67" i="2"/>
  <c r="IW67" i="2"/>
  <c r="IV67" i="2"/>
  <c r="IU67" i="2"/>
  <c r="IT67" i="2"/>
  <c r="IS67" i="2"/>
  <c r="IR67" i="2"/>
  <c r="IQ67" i="2"/>
  <c r="IP67" i="2"/>
  <c r="IO67" i="2"/>
  <c r="IN67" i="2"/>
  <c r="IM67" i="2"/>
  <c r="IL67" i="2"/>
  <c r="IK67" i="2"/>
  <c r="IJ67" i="2"/>
  <c r="II67" i="2"/>
  <c r="IH67" i="2"/>
  <c r="IG67" i="2"/>
  <c r="IF67" i="2"/>
  <c r="IE67" i="2"/>
  <c r="ID67" i="2"/>
  <c r="IC67" i="2"/>
  <c r="IB67" i="2"/>
  <c r="IA67" i="2"/>
  <c r="HZ67" i="2"/>
  <c r="HY67" i="2"/>
  <c r="HX67" i="2"/>
  <c r="HW67" i="2"/>
  <c r="HV67" i="2"/>
  <c r="HU67" i="2"/>
  <c r="HT67" i="2"/>
  <c r="HS67" i="2"/>
  <c r="HR67" i="2"/>
  <c r="HQ67" i="2"/>
  <c r="HP67" i="2"/>
  <c r="HO67" i="2"/>
  <c r="HN67" i="2"/>
  <c r="HM67" i="2"/>
  <c r="HL67" i="2"/>
  <c r="HK67" i="2"/>
  <c r="HJ67" i="2"/>
  <c r="HI67" i="2"/>
  <c r="HH67" i="2"/>
  <c r="HG67" i="2"/>
  <c r="HF67" i="2"/>
  <c r="HE67" i="2"/>
  <c r="HD67" i="2"/>
  <c r="HC67" i="2"/>
  <c r="HB67" i="2"/>
  <c r="HA67" i="2"/>
  <c r="GZ67" i="2"/>
  <c r="GY67" i="2"/>
  <c r="GX67" i="2"/>
  <c r="GW67" i="2"/>
  <c r="GV67" i="2"/>
  <c r="GU67" i="2"/>
  <c r="GT67" i="2"/>
  <c r="GS67" i="2"/>
  <c r="GR67" i="2"/>
  <c r="GQ67" i="2"/>
  <c r="GP67" i="2"/>
  <c r="GO67" i="2"/>
  <c r="GN67" i="2"/>
  <c r="GM67" i="2"/>
  <c r="GL67" i="2"/>
  <c r="GK67" i="2"/>
  <c r="GJ67" i="2"/>
  <c r="GI67" i="2"/>
  <c r="GH67" i="2"/>
  <c r="GG67" i="2"/>
  <c r="GF67" i="2"/>
  <c r="GE67" i="2"/>
  <c r="GD67" i="2"/>
  <c r="GC67" i="2"/>
  <c r="GB67" i="2"/>
  <c r="GA67" i="2"/>
  <c r="FZ67" i="2"/>
  <c r="FY67" i="2"/>
  <c r="FX67" i="2"/>
  <c r="FW67" i="2"/>
  <c r="FV67" i="2"/>
  <c r="FU67" i="2"/>
  <c r="FT67" i="2"/>
  <c r="FS67" i="2"/>
  <c r="FR67" i="2"/>
  <c r="FQ67" i="2"/>
  <c r="FP67" i="2"/>
  <c r="FO67" i="2"/>
  <c r="FN67" i="2"/>
  <c r="FM67" i="2"/>
  <c r="FL67" i="2"/>
  <c r="FK67" i="2"/>
  <c r="FJ67" i="2"/>
  <c r="FI67" i="2"/>
  <c r="FH67" i="2"/>
  <c r="FG67" i="2"/>
  <c r="FF67" i="2"/>
  <c r="FE67" i="2"/>
  <c r="FD67" i="2"/>
  <c r="FC67" i="2"/>
  <c r="FB67" i="2"/>
  <c r="FA67" i="2"/>
  <c r="EZ67" i="2"/>
  <c r="EY67" i="2"/>
  <c r="EX67" i="2"/>
  <c r="EW67" i="2"/>
  <c r="EV67" i="2"/>
  <c r="EU67" i="2"/>
  <c r="ET67" i="2"/>
  <c r="ES67" i="2"/>
  <c r="ER67" i="2"/>
  <c r="EQ67" i="2"/>
  <c r="EP67" i="2"/>
  <c r="EO67" i="2"/>
  <c r="EN67" i="2"/>
  <c r="EM67" i="2"/>
  <c r="EL67" i="2"/>
  <c r="EK67" i="2"/>
  <c r="EJ67" i="2"/>
  <c r="EI67" i="2"/>
  <c r="EH67" i="2"/>
  <c r="EG67" i="2"/>
  <c r="EF67" i="2"/>
  <c r="EE67" i="2"/>
  <c r="ED67" i="2"/>
  <c r="EC67" i="2"/>
  <c r="EB67" i="2"/>
  <c r="EA67" i="2"/>
  <c r="DZ67" i="2"/>
  <c r="DY67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PI66" i="2"/>
  <c r="PH66" i="2"/>
  <c r="PG66" i="2"/>
  <c r="PF66" i="2"/>
  <c r="PE66" i="2"/>
  <c r="PD66" i="2"/>
  <c r="PC66" i="2"/>
  <c r="PB66" i="2"/>
  <c r="PA66" i="2"/>
  <c r="OZ66" i="2"/>
  <c r="OY66" i="2"/>
  <c r="OX66" i="2"/>
  <c r="OW66" i="2"/>
  <c r="OV66" i="2"/>
  <c r="OU66" i="2"/>
  <c r="OT66" i="2"/>
  <c r="OS66" i="2"/>
  <c r="OR66" i="2"/>
  <c r="OQ66" i="2"/>
  <c r="OP66" i="2"/>
  <c r="OO66" i="2"/>
  <c r="ON66" i="2"/>
  <c r="OM66" i="2"/>
  <c r="OL66" i="2"/>
  <c r="OK66" i="2"/>
  <c r="OJ66" i="2"/>
  <c r="OI66" i="2"/>
  <c r="OH66" i="2"/>
  <c r="OG66" i="2"/>
  <c r="OF66" i="2"/>
  <c r="OE66" i="2"/>
  <c r="OD66" i="2"/>
  <c r="OC66" i="2"/>
  <c r="OB66" i="2"/>
  <c r="OA66" i="2"/>
  <c r="NZ66" i="2"/>
  <c r="NY66" i="2"/>
  <c r="NX66" i="2"/>
  <c r="NW66" i="2"/>
  <c r="NV66" i="2"/>
  <c r="NU66" i="2"/>
  <c r="NT66" i="2"/>
  <c r="NS66" i="2"/>
  <c r="NR66" i="2"/>
  <c r="NQ66" i="2"/>
  <c r="NP66" i="2"/>
  <c r="NO66" i="2"/>
  <c r="NN66" i="2"/>
  <c r="NM66" i="2"/>
  <c r="NL66" i="2"/>
  <c r="NK66" i="2"/>
  <c r="NJ66" i="2"/>
  <c r="NI66" i="2"/>
  <c r="NH66" i="2"/>
  <c r="NG66" i="2"/>
  <c r="NF66" i="2"/>
  <c r="NE66" i="2"/>
  <c r="ND66" i="2"/>
  <c r="NC66" i="2"/>
  <c r="NB66" i="2"/>
  <c r="NA66" i="2"/>
  <c r="MZ66" i="2"/>
  <c r="MY66" i="2"/>
  <c r="MX66" i="2"/>
  <c r="MW66" i="2"/>
  <c r="MV66" i="2"/>
  <c r="MU66" i="2"/>
  <c r="MT66" i="2"/>
  <c r="MS66" i="2"/>
  <c r="MR66" i="2"/>
  <c r="MQ66" i="2"/>
  <c r="MP66" i="2"/>
  <c r="MO66" i="2"/>
  <c r="MN66" i="2"/>
  <c r="MM66" i="2"/>
  <c r="ML66" i="2"/>
  <c r="MK66" i="2"/>
  <c r="MJ66" i="2"/>
  <c r="MI66" i="2"/>
  <c r="MH66" i="2"/>
  <c r="MG66" i="2"/>
  <c r="MF66" i="2"/>
  <c r="ME66" i="2"/>
  <c r="MD66" i="2"/>
  <c r="MC66" i="2"/>
  <c r="MB66" i="2"/>
  <c r="MA66" i="2"/>
  <c r="LZ66" i="2"/>
  <c r="LY66" i="2"/>
  <c r="LX66" i="2"/>
  <c r="LW66" i="2"/>
  <c r="LV66" i="2"/>
  <c r="LU66" i="2"/>
  <c r="LT66" i="2"/>
  <c r="LS66" i="2"/>
  <c r="LR66" i="2"/>
  <c r="LQ66" i="2"/>
  <c r="LP66" i="2"/>
  <c r="LO66" i="2"/>
  <c r="LN66" i="2"/>
  <c r="LM66" i="2"/>
  <c r="LL66" i="2"/>
  <c r="LK66" i="2"/>
  <c r="LJ66" i="2"/>
  <c r="LI66" i="2"/>
  <c r="LH66" i="2"/>
  <c r="LG66" i="2"/>
  <c r="LF66" i="2"/>
  <c r="LE66" i="2"/>
  <c r="LD66" i="2"/>
  <c r="LC66" i="2"/>
  <c r="LB66" i="2"/>
  <c r="LA66" i="2"/>
  <c r="KZ66" i="2"/>
  <c r="KY66" i="2"/>
  <c r="KX66" i="2"/>
  <c r="KW66" i="2"/>
  <c r="KV66" i="2"/>
  <c r="KU66" i="2"/>
  <c r="KT66" i="2"/>
  <c r="KS66" i="2"/>
  <c r="KR66" i="2"/>
  <c r="KQ66" i="2"/>
  <c r="KP66" i="2"/>
  <c r="KO66" i="2"/>
  <c r="KN66" i="2"/>
  <c r="KM66" i="2"/>
  <c r="KL66" i="2"/>
  <c r="KK66" i="2"/>
  <c r="KJ66" i="2"/>
  <c r="KI66" i="2"/>
  <c r="KH66" i="2"/>
  <c r="KG66" i="2"/>
  <c r="KF66" i="2"/>
  <c r="KE66" i="2"/>
  <c r="KD66" i="2"/>
  <c r="KC66" i="2"/>
  <c r="KB66" i="2"/>
  <c r="KA66" i="2"/>
  <c r="JZ66" i="2"/>
  <c r="JY66" i="2"/>
  <c r="JX66" i="2"/>
  <c r="JW66" i="2"/>
  <c r="JV66" i="2"/>
  <c r="JU66" i="2"/>
  <c r="JT66" i="2"/>
  <c r="JS66" i="2"/>
  <c r="JR66" i="2"/>
  <c r="JQ66" i="2"/>
  <c r="JP66" i="2"/>
  <c r="JO66" i="2"/>
  <c r="JN66" i="2"/>
  <c r="JM66" i="2"/>
  <c r="JL66" i="2"/>
  <c r="JK66" i="2"/>
  <c r="JJ66" i="2"/>
  <c r="JI66" i="2"/>
  <c r="JH66" i="2"/>
  <c r="JG66" i="2"/>
  <c r="JF66" i="2"/>
  <c r="JE66" i="2"/>
  <c r="JD66" i="2"/>
  <c r="JC66" i="2"/>
  <c r="JB66" i="2"/>
  <c r="JA66" i="2"/>
  <c r="IZ66" i="2"/>
  <c r="IY66" i="2"/>
  <c r="IX66" i="2"/>
  <c r="IW66" i="2"/>
  <c r="IV66" i="2"/>
  <c r="IU66" i="2"/>
  <c r="IT66" i="2"/>
  <c r="IS66" i="2"/>
  <c r="IR66" i="2"/>
  <c r="IQ66" i="2"/>
  <c r="IP66" i="2"/>
  <c r="IO66" i="2"/>
  <c r="IN66" i="2"/>
  <c r="IM66" i="2"/>
  <c r="IL66" i="2"/>
  <c r="IK66" i="2"/>
  <c r="IJ66" i="2"/>
  <c r="II66" i="2"/>
  <c r="IH66" i="2"/>
  <c r="IG66" i="2"/>
  <c r="IF66" i="2"/>
  <c r="IE66" i="2"/>
  <c r="ID66" i="2"/>
  <c r="IC66" i="2"/>
  <c r="IB66" i="2"/>
  <c r="IA66" i="2"/>
  <c r="HZ66" i="2"/>
  <c r="HY66" i="2"/>
  <c r="HX66" i="2"/>
  <c r="HW66" i="2"/>
  <c r="HV66" i="2"/>
  <c r="HU66" i="2"/>
  <c r="HT66" i="2"/>
  <c r="HS66" i="2"/>
  <c r="HR66" i="2"/>
  <c r="HQ66" i="2"/>
  <c r="HP66" i="2"/>
  <c r="HO66" i="2"/>
  <c r="HN66" i="2"/>
  <c r="HM66" i="2"/>
  <c r="HL66" i="2"/>
  <c r="HK66" i="2"/>
  <c r="HJ66" i="2"/>
  <c r="HI66" i="2"/>
  <c r="HH66" i="2"/>
  <c r="HG66" i="2"/>
  <c r="HF66" i="2"/>
  <c r="HE66" i="2"/>
  <c r="HD66" i="2"/>
  <c r="HC66" i="2"/>
  <c r="HB66" i="2"/>
  <c r="HA66" i="2"/>
  <c r="GZ66" i="2"/>
  <c r="GY66" i="2"/>
  <c r="GX66" i="2"/>
  <c r="GW66" i="2"/>
  <c r="GV66" i="2"/>
  <c r="GU66" i="2"/>
  <c r="GT66" i="2"/>
  <c r="GS66" i="2"/>
  <c r="GR66" i="2"/>
  <c r="GQ66" i="2"/>
  <c r="GP66" i="2"/>
  <c r="GO66" i="2"/>
  <c r="GN66" i="2"/>
  <c r="GM66" i="2"/>
  <c r="GL66" i="2"/>
  <c r="GK66" i="2"/>
  <c r="GJ66" i="2"/>
  <c r="GI66" i="2"/>
  <c r="GH66" i="2"/>
  <c r="GG66" i="2"/>
  <c r="GF66" i="2"/>
  <c r="GE66" i="2"/>
  <c r="GD66" i="2"/>
  <c r="GC66" i="2"/>
  <c r="GB66" i="2"/>
  <c r="GA66" i="2"/>
  <c r="FZ66" i="2"/>
  <c r="FY66" i="2"/>
  <c r="FX66" i="2"/>
  <c r="FW66" i="2"/>
  <c r="FV66" i="2"/>
  <c r="FU66" i="2"/>
  <c r="FT66" i="2"/>
  <c r="FS66" i="2"/>
  <c r="FR66" i="2"/>
  <c r="FQ66" i="2"/>
  <c r="FP66" i="2"/>
  <c r="FO66" i="2"/>
  <c r="FN66" i="2"/>
  <c r="FM66" i="2"/>
  <c r="FL66" i="2"/>
  <c r="FK66" i="2"/>
  <c r="FJ66" i="2"/>
  <c r="FI66" i="2"/>
  <c r="FH66" i="2"/>
  <c r="FG66" i="2"/>
  <c r="FF66" i="2"/>
  <c r="FE66" i="2"/>
  <c r="FD66" i="2"/>
  <c r="FC66" i="2"/>
  <c r="FB66" i="2"/>
  <c r="FA66" i="2"/>
  <c r="EZ66" i="2"/>
  <c r="EY66" i="2"/>
  <c r="EX66" i="2"/>
  <c r="EW66" i="2"/>
  <c r="EV66" i="2"/>
  <c r="EU66" i="2"/>
  <c r="ET66" i="2"/>
  <c r="ES66" i="2"/>
  <c r="ER66" i="2"/>
  <c r="EQ66" i="2"/>
  <c r="EP66" i="2"/>
  <c r="EO66" i="2"/>
  <c r="EN66" i="2"/>
  <c r="EM66" i="2"/>
  <c r="EL66" i="2"/>
  <c r="EK66" i="2"/>
  <c r="EJ66" i="2"/>
  <c r="EI66" i="2"/>
  <c r="EH66" i="2"/>
  <c r="EG66" i="2"/>
  <c r="EF66" i="2"/>
  <c r="EE66" i="2"/>
  <c r="ED66" i="2"/>
  <c r="EC66" i="2"/>
  <c r="EB66" i="2"/>
  <c r="EA66" i="2"/>
  <c r="DZ66" i="2"/>
  <c r="DY66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PI65" i="2"/>
  <c r="PH65" i="2"/>
  <c r="PG65" i="2"/>
  <c r="PF65" i="2"/>
  <c r="PE65" i="2"/>
  <c r="PD65" i="2"/>
  <c r="PC65" i="2"/>
  <c r="PB65" i="2"/>
  <c r="PA65" i="2"/>
  <c r="OZ65" i="2"/>
  <c r="OY65" i="2"/>
  <c r="OX65" i="2"/>
  <c r="OW65" i="2"/>
  <c r="OV65" i="2"/>
  <c r="OU65" i="2"/>
  <c r="OT65" i="2"/>
  <c r="OS65" i="2"/>
  <c r="OR65" i="2"/>
  <c r="OQ65" i="2"/>
  <c r="OP65" i="2"/>
  <c r="OO65" i="2"/>
  <c r="ON65" i="2"/>
  <c r="OM65" i="2"/>
  <c r="OL65" i="2"/>
  <c r="OK65" i="2"/>
  <c r="OJ65" i="2"/>
  <c r="OI65" i="2"/>
  <c r="OH65" i="2"/>
  <c r="OG65" i="2"/>
  <c r="OF65" i="2"/>
  <c r="OE65" i="2"/>
  <c r="OD65" i="2"/>
  <c r="OC65" i="2"/>
  <c r="OB65" i="2"/>
  <c r="OA65" i="2"/>
  <c r="NZ65" i="2"/>
  <c r="NY65" i="2"/>
  <c r="NX65" i="2"/>
  <c r="NW65" i="2"/>
  <c r="NV65" i="2"/>
  <c r="NU65" i="2"/>
  <c r="NT65" i="2"/>
  <c r="NS65" i="2"/>
  <c r="NR65" i="2"/>
  <c r="NQ65" i="2"/>
  <c r="NP65" i="2"/>
  <c r="NO65" i="2"/>
  <c r="NN65" i="2"/>
  <c r="NM65" i="2"/>
  <c r="NL65" i="2"/>
  <c r="NK65" i="2"/>
  <c r="NJ65" i="2"/>
  <c r="NI65" i="2"/>
  <c r="NH65" i="2"/>
  <c r="NG65" i="2"/>
  <c r="NF65" i="2"/>
  <c r="NE65" i="2"/>
  <c r="ND65" i="2"/>
  <c r="NC65" i="2"/>
  <c r="NB65" i="2"/>
  <c r="NA65" i="2"/>
  <c r="MZ65" i="2"/>
  <c r="MY65" i="2"/>
  <c r="MX65" i="2"/>
  <c r="MW65" i="2"/>
  <c r="MV65" i="2"/>
  <c r="MU65" i="2"/>
  <c r="MT65" i="2"/>
  <c r="MS65" i="2"/>
  <c r="MR65" i="2"/>
  <c r="MQ65" i="2"/>
  <c r="MP65" i="2"/>
  <c r="MO65" i="2"/>
  <c r="MN65" i="2"/>
  <c r="MM65" i="2"/>
  <c r="ML65" i="2"/>
  <c r="MK65" i="2"/>
  <c r="MJ65" i="2"/>
  <c r="MI65" i="2"/>
  <c r="MH65" i="2"/>
  <c r="MG65" i="2"/>
  <c r="MF65" i="2"/>
  <c r="ME65" i="2"/>
  <c r="MD65" i="2"/>
  <c r="MC65" i="2"/>
  <c r="MB65" i="2"/>
  <c r="MA65" i="2"/>
  <c r="LZ65" i="2"/>
  <c r="LY65" i="2"/>
  <c r="LX65" i="2"/>
  <c r="LW65" i="2"/>
  <c r="LV65" i="2"/>
  <c r="LU65" i="2"/>
  <c r="LT65" i="2"/>
  <c r="LS65" i="2"/>
  <c r="LR65" i="2"/>
  <c r="LQ65" i="2"/>
  <c r="LP65" i="2"/>
  <c r="LO65" i="2"/>
  <c r="LN65" i="2"/>
  <c r="LM65" i="2"/>
  <c r="LL65" i="2"/>
  <c r="LK65" i="2"/>
  <c r="LJ65" i="2"/>
  <c r="LI65" i="2"/>
  <c r="LH65" i="2"/>
  <c r="LG65" i="2"/>
  <c r="LF65" i="2"/>
  <c r="LE65" i="2"/>
  <c r="LD65" i="2"/>
  <c r="LC65" i="2"/>
  <c r="LB65" i="2"/>
  <c r="LA65" i="2"/>
  <c r="KZ65" i="2"/>
  <c r="KY65" i="2"/>
  <c r="KX65" i="2"/>
  <c r="KW65" i="2"/>
  <c r="KV65" i="2"/>
  <c r="KU65" i="2"/>
  <c r="KT65" i="2"/>
  <c r="KS65" i="2"/>
  <c r="KR65" i="2"/>
  <c r="KQ65" i="2"/>
  <c r="KP65" i="2"/>
  <c r="KO65" i="2"/>
  <c r="KN65" i="2"/>
  <c r="KM65" i="2"/>
  <c r="KL65" i="2"/>
  <c r="KK65" i="2"/>
  <c r="KJ65" i="2"/>
  <c r="KI65" i="2"/>
  <c r="KH65" i="2"/>
  <c r="KG65" i="2"/>
  <c r="KF65" i="2"/>
  <c r="KE65" i="2"/>
  <c r="KD65" i="2"/>
  <c r="KC65" i="2"/>
  <c r="KB65" i="2"/>
  <c r="KA65" i="2"/>
  <c r="JZ65" i="2"/>
  <c r="JY65" i="2"/>
  <c r="JX65" i="2"/>
  <c r="JW65" i="2"/>
  <c r="JV65" i="2"/>
  <c r="JU65" i="2"/>
  <c r="JT65" i="2"/>
  <c r="JS65" i="2"/>
  <c r="JR65" i="2"/>
  <c r="JQ65" i="2"/>
  <c r="JP65" i="2"/>
  <c r="JO65" i="2"/>
  <c r="JN65" i="2"/>
  <c r="JM65" i="2"/>
  <c r="JL65" i="2"/>
  <c r="JK65" i="2"/>
  <c r="JJ65" i="2"/>
  <c r="JI65" i="2"/>
  <c r="JH65" i="2"/>
  <c r="JG65" i="2"/>
  <c r="JF65" i="2"/>
  <c r="JE65" i="2"/>
  <c r="JD65" i="2"/>
  <c r="JC65" i="2"/>
  <c r="JB65" i="2"/>
  <c r="JA65" i="2"/>
  <c r="IZ65" i="2"/>
  <c r="IY65" i="2"/>
  <c r="IX65" i="2"/>
  <c r="IW65" i="2"/>
  <c r="IV65" i="2"/>
  <c r="IU65" i="2"/>
  <c r="IT65" i="2"/>
  <c r="IS65" i="2"/>
  <c r="IR65" i="2"/>
  <c r="IQ65" i="2"/>
  <c r="IP65" i="2"/>
  <c r="IO65" i="2"/>
  <c r="IN65" i="2"/>
  <c r="IM65" i="2"/>
  <c r="IL65" i="2"/>
  <c r="IK65" i="2"/>
  <c r="IJ65" i="2"/>
  <c r="II65" i="2"/>
  <c r="IH65" i="2"/>
  <c r="IG65" i="2"/>
  <c r="IF65" i="2"/>
  <c r="IE65" i="2"/>
  <c r="ID65" i="2"/>
  <c r="IC65" i="2"/>
  <c r="IB65" i="2"/>
  <c r="IA65" i="2"/>
  <c r="HZ65" i="2"/>
  <c r="HY65" i="2"/>
  <c r="HX65" i="2"/>
  <c r="HW65" i="2"/>
  <c r="HV65" i="2"/>
  <c r="HU65" i="2"/>
  <c r="HT65" i="2"/>
  <c r="HS65" i="2"/>
  <c r="HR65" i="2"/>
  <c r="HQ65" i="2"/>
  <c r="HP65" i="2"/>
  <c r="HO65" i="2"/>
  <c r="HN65" i="2"/>
  <c r="HM65" i="2"/>
  <c r="HL65" i="2"/>
  <c r="HK65" i="2"/>
  <c r="HJ65" i="2"/>
  <c r="HI65" i="2"/>
  <c r="HH65" i="2"/>
  <c r="HG65" i="2"/>
  <c r="HF65" i="2"/>
  <c r="HE65" i="2"/>
  <c r="HD65" i="2"/>
  <c r="HC65" i="2"/>
  <c r="HB65" i="2"/>
  <c r="HA65" i="2"/>
  <c r="GZ65" i="2"/>
  <c r="GY65" i="2"/>
  <c r="GX65" i="2"/>
  <c r="GW65" i="2"/>
  <c r="GV65" i="2"/>
  <c r="GU65" i="2"/>
  <c r="GT65" i="2"/>
  <c r="GS65" i="2"/>
  <c r="GR65" i="2"/>
  <c r="GQ65" i="2"/>
  <c r="GP65" i="2"/>
  <c r="GO65" i="2"/>
  <c r="GN65" i="2"/>
  <c r="GM65" i="2"/>
  <c r="GL65" i="2"/>
  <c r="GK65" i="2"/>
  <c r="GJ65" i="2"/>
  <c r="GI65" i="2"/>
  <c r="GH65" i="2"/>
  <c r="GG65" i="2"/>
  <c r="GF65" i="2"/>
  <c r="GE65" i="2"/>
  <c r="GD65" i="2"/>
  <c r="GC65" i="2"/>
  <c r="GB65" i="2"/>
  <c r="GA65" i="2"/>
  <c r="FZ65" i="2"/>
  <c r="FY65" i="2"/>
  <c r="FX65" i="2"/>
  <c r="FW65" i="2"/>
  <c r="FV65" i="2"/>
  <c r="FU65" i="2"/>
  <c r="FT65" i="2"/>
  <c r="FS65" i="2"/>
  <c r="FR65" i="2"/>
  <c r="FQ65" i="2"/>
  <c r="FP65" i="2"/>
  <c r="FO65" i="2"/>
  <c r="FN65" i="2"/>
  <c r="FM65" i="2"/>
  <c r="FL65" i="2"/>
  <c r="FK65" i="2"/>
  <c r="FJ65" i="2"/>
  <c r="FI65" i="2"/>
  <c r="FH65" i="2"/>
  <c r="FG65" i="2"/>
  <c r="FF65" i="2"/>
  <c r="FE65" i="2"/>
  <c r="FD65" i="2"/>
  <c r="FC65" i="2"/>
  <c r="FB65" i="2"/>
  <c r="FA65" i="2"/>
  <c r="EZ65" i="2"/>
  <c r="EY65" i="2"/>
  <c r="EX65" i="2"/>
  <c r="EW65" i="2"/>
  <c r="EV65" i="2"/>
  <c r="EU65" i="2"/>
  <c r="ET65" i="2"/>
  <c r="ES65" i="2"/>
  <c r="ER65" i="2"/>
  <c r="EQ65" i="2"/>
  <c r="EP65" i="2"/>
  <c r="EO65" i="2"/>
  <c r="EN65" i="2"/>
  <c r="EM65" i="2"/>
  <c r="EL65" i="2"/>
  <c r="EK65" i="2"/>
  <c r="EJ65" i="2"/>
  <c r="EI65" i="2"/>
  <c r="EH65" i="2"/>
  <c r="EG65" i="2"/>
  <c r="EF65" i="2"/>
  <c r="EE65" i="2"/>
  <c r="ED65" i="2"/>
  <c r="EC65" i="2"/>
  <c r="EB65" i="2"/>
  <c r="EA65" i="2"/>
  <c r="DZ65" i="2"/>
  <c r="DY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PI64" i="2"/>
  <c r="PH64" i="2"/>
  <c r="PG64" i="2"/>
  <c r="PF64" i="2"/>
  <c r="PE64" i="2"/>
  <c r="PD64" i="2"/>
  <c r="PC64" i="2"/>
  <c r="PB64" i="2"/>
  <c r="PA64" i="2"/>
  <c r="OZ64" i="2"/>
  <c r="OY64" i="2"/>
  <c r="OX64" i="2"/>
  <c r="OW64" i="2"/>
  <c r="OV64" i="2"/>
  <c r="OU64" i="2"/>
  <c r="OT64" i="2"/>
  <c r="OS64" i="2"/>
  <c r="OR64" i="2"/>
  <c r="OQ64" i="2"/>
  <c r="OP64" i="2"/>
  <c r="OO64" i="2"/>
  <c r="ON64" i="2"/>
  <c r="OM64" i="2"/>
  <c r="OL64" i="2"/>
  <c r="OK64" i="2"/>
  <c r="OJ64" i="2"/>
  <c r="OI64" i="2"/>
  <c r="OH64" i="2"/>
  <c r="OG64" i="2"/>
  <c r="OF64" i="2"/>
  <c r="OE64" i="2"/>
  <c r="OD64" i="2"/>
  <c r="OC64" i="2"/>
  <c r="OB64" i="2"/>
  <c r="OA64" i="2"/>
  <c r="NZ64" i="2"/>
  <c r="NY64" i="2"/>
  <c r="NX64" i="2"/>
  <c r="NW64" i="2"/>
  <c r="NV64" i="2"/>
  <c r="NU64" i="2"/>
  <c r="NT64" i="2"/>
  <c r="NS64" i="2"/>
  <c r="NR64" i="2"/>
  <c r="NQ64" i="2"/>
  <c r="NP64" i="2"/>
  <c r="NO64" i="2"/>
  <c r="NN64" i="2"/>
  <c r="NM64" i="2"/>
  <c r="NL64" i="2"/>
  <c r="NK64" i="2"/>
  <c r="NJ64" i="2"/>
  <c r="NI64" i="2"/>
  <c r="NH64" i="2"/>
  <c r="NG64" i="2"/>
  <c r="NF64" i="2"/>
  <c r="NE64" i="2"/>
  <c r="ND64" i="2"/>
  <c r="NC64" i="2"/>
  <c r="NB64" i="2"/>
  <c r="NA64" i="2"/>
  <c r="MZ64" i="2"/>
  <c r="MY64" i="2"/>
  <c r="MX64" i="2"/>
  <c r="MW64" i="2"/>
  <c r="MV64" i="2"/>
  <c r="MU64" i="2"/>
  <c r="MT64" i="2"/>
  <c r="MS64" i="2"/>
  <c r="MR64" i="2"/>
  <c r="MQ64" i="2"/>
  <c r="MP64" i="2"/>
  <c r="MO64" i="2"/>
  <c r="MN64" i="2"/>
  <c r="MM64" i="2"/>
  <c r="ML64" i="2"/>
  <c r="MK64" i="2"/>
  <c r="MJ64" i="2"/>
  <c r="MI64" i="2"/>
  <c r="MH64" i="2"/>
  <c r="MG64" i="2"/>
  <c r="MF64" i="2"/>
  <c r="ME64" i="2"/>
  <c r="MD64" i="2"/>
  <c r="MC64" i="2"/>
  <c r="MB64" i="2"/>
  <c r="MA64" i="2"/>
  <c r="LZ64" i="2"/>
  <c r="LY64" i="2"/>
  <c r="LX64" i="2"/>
  <c r="LW64" i="2"/>
  <c r="LV64" i="2"/>
  <c r="LU64" i="2"/>
  <c r="LT64" i="2"/>
  <c r="LS64" i="2"/>
  <c r="LR64" i="2"/>
  <c r="LQ64" i="2"/>
  <c r="LP64" i="2"/>
  <c r="LO64" i="2"/>
  <c r="LN64" i="2"/>
  <c r="LM64" i="2"/>
  <c r="LL64" i="2"/>
  <c r="LK64" i="2"/>
  <c r="LJ64" i="2"/>
  <c r="LI64" i="2"/>
  <c r="LH64" i="2"/>
  <c r="LG64" i="2"/>
  <c r="LF64" i="2"/>
  <c r="LE64" i="2"/>
  <c r="LD64" i="2"/>
  <c r="LC64" i="2"/>
  <c r="LB64" i="2"/>
  <c r="LA64" i="2"/>
  <c r="KZ64" i="2"/>
  <c r="KY64" i="2"/>
  <c r="KX64" i="2"/>
  <c r="KW64" i="2"/>
  <c r="KV64" i="2"/>
  <c r="KU64" i="2"/>
  <c r="KT64" i="2"/>
  <c r="KS64" i="2"/>
  <c r="KR64" i="2"/>
  <c r="KQ64" i="2"/>
  <c r="KP64" i="2"/>
  <c r="KO64" i="2"/>
  <c r="KN64" i="2"/>
  <c r="KM64" i="2"/>
  <c r="KL64" i="2"/>
  <c r="KK64" i="2"/>
  <c r="KJ64" i="2"/>
  <c r="KI64" i="2"/>
  <c r="KH64" i="2"/>
  <c r="KG64" i="2"/>
  <c r="KF64" i="2"/>
  <c r="KE64" i="2"/>
  <c r="KD64" i="2"/>
  <c r="KC64" i="2"/>
  <c r="KB64" i="2"/>
  <c r="KA64" i="2"/>
  <c r="JZ64" i="2"/>
  <c r="JY64" i="2"/>
  <c r="JX64" i="2"/>
  <c r="JW64" i="2"/>
  <c r="JV64" i="2"/>
  <c r="JU64" i="2"/>
  <c r="JT64" i="2"/>
  <c r="JS64" i="2"/>
  <c r="JR64" i="2"/>
  <c r="JQ64" i="2"/>
  <c r="JP64" i="2"/>
  <c r="JO64" i="2"/>
  <c r="JN64" i="2"/>
  <c r="JM64" i="2"/>
  <c r="JL64" i="2"/>
  <c r="JK64" i="2"/>
  <c r="JJ64" i="2"/>
  <c r="JI64" i="2"/>
  <c r="JH64" i="2"/>
  <c r="JG64" i="2"/>
  <c r="JF64" i="2"/>
  <c r="JE64" i="2"/>
  <c r="JD64" i="2"/>
  <c r="JC64" i="2"/>
  <c r="JB64" i="2"/>
  <c r="JA64" i="2"/>
  <c r="IZ64" i="2"/>
  <c r="IY64" i="2"/>
  <c r="IX64" i="2"/>
  <c r="IW64" i="2"/>
  <c r="IV64" i="2"/>
  <c r="IU64" i="2"/>
  <c r="IT64" i="2"/>
  <c r="IS64" i="2"/>
  <c r="IR64" i="2"/>
  <c r="IQ64" i="2"/>
  <c r="IP64" i="2"/>
  <c r="IO64" i="2"/>
  <c r="IN64" i="2"/>
  <c r="IM64" i="2"/>
  <c r="IL64" i="2"/>
  <c r="IK64" i="2"/>
  <c r="IJ64" i="2"/>
  <c r="II64" i="2"/>
  <c r="IH64" i="2"/>
  <c r="IG64" i="2"/>
  <c r="IF64" i="2"/>
  <c r="IE64" i="2"/>
  <c r="ID64" i="2"/>
  <c r="IC64" i="2"/>
  <c r="IB64" i="2"/>
  <c r="IA64" i="2"/>
  <c r="HZ64" i="2"/>
  <c r="HY64" i="2"/>
  <c r="HX64" i="2"/>
  <c r="HW64" i="2"/>
  <c r="HV64" i="2"/>
  <c r="HU64" i="2"/>
  <c r="HT64" i="2"/>
  <c r="HS64" i="2"/>
  <c r="HR64" i="2"/>
  <c r="HQ64" i="2"/>
  <c r="HP64" i="2"/>
  <c r="HO64" i="2"/>
  <c r="HN64" i="2"/>
  <c r="HM64" i="2"/>
  <c r="HL64" i="2"/>
  <c r="HK64" i="2"/>
  <c r="HJ64" i="2"/>
  <c r="HI64" i="2"/>
  <c r="HH64" i="2"/>
  <c r="HG64" i="2"/>
  <c r="HF64" i="2"/>
  <c r="HE64" i="2"/>
  <c r="HD64" i="2"/>
  <c r="HC64" i="2"/>
  <c r="HB64" i="2"/>
  <c r="HA64" i="2"/>
  <c r="GZ64" i="2"/>
  <c r="GY64" i="2"/>
  <c r="GX64" i="2"/>
  <c r="GW64" i="2"/>
  <c r="GV64" i="2"/>
  <c r="GU64" i="2"/>
  <c r="GT64" i="2"/>
  <c r="GS64" i="2"/>
  <c r="GR64" i="2"/>
  <c r="GQ64" i="2"/>
  <c r="GP64" i="2"/>
  <c r="GO64" i="2"/>
  <c r="GN64" i="2"/>
  <c r="GM64" i="2"/>
  <c r="GL64" i="2"/>
  <c r="GK64" i="2"/>
  <c r="GJ64" i="2"/>
  <c r="GI64" i="2"/>
  <c r="GH64" i="2"/>
  <c r="GG64" i="2"/>
  <c r="GF64" i="2"/>
  <c r="GE64" i="2"/>
  <c r="GD64" i="2"/>
  <c r="GC64" i="2"/>
  <c r="GB64" i="2"/>
  <c r="GA64" i="2"/>
  <c r="FZ64" i="2"/>
  <c r="FY64" i="2"/>
  <c r="FX64" i="2"/>
  <c r="FW64" i="2"/>
  <c r="FV64" i="2"/>
  <c r="FU64" i="2"/>
  <c r="FT64" i="2"/>
  <c r="FS64" i="2"/>
  <c r="FR64" i="2"/>
  <c r="FQ64" i="2"/>
  <c r="FP64" i="2"/>
  <c r="FO64" i="2"/>
  <c r="FN64" i="2"/>
  <c r="FM64" i="2"/>
  <c r="FL64" i="2"/>
  <c r="FK64" i="2"/>
  <c r="FJ64" i="2"/>
  <c r="FI64" i="2"/>
  <c r="FH64" i="2"/>
  <c r="FG64" i="2"/>
  <c r="FF64" i="2"/>
  <c r="FE64" i="2"/>
  <c r="FD64" i="2"/>
  <c r="FC64" i="2"/>
  <c r="FB64" i="2"/>
  <c r="FA64" i="2"/>
  <c r="EZ64" i="2"/>
  <c r="EY64" i="2"/>
  <c r="EX64" i="2"/>
  <c r="EW64" i="2"/>
  <c r="EV64" i="2"/>
  <c r="EU64" i="2"/>
  <c r="ET64" i="2"/>
  <c r="ES64" i="2"/>
  <c r="ER64" i="2"/>
  <c r="EQ64" i="2"/>
  <c r="EP64" i="2"/>
  <c r="EO64" i="2"/>
  <c r="EN64" i="2"/>
  <c r="EM64" i="2"/>
  <c r="EL64" i="2"/>
  <c r="EK64" i="2"/>
  <c r="EJ64" i="2"/>
  <c r="EI64" i="2"/>
  <c r="EH64" i="2"/>
  <c r="EG64" i="2"/>
  <c r="EF64" i="2"/>
  <c r="EE64" i="2"/>
  <c r="ED64" i="2"/>
  <c r="EC64" i="2"/>
  <c r="EB64" i="2"/>
  <c r="EA64" i="2"/>
  <c r="DZ64" i="2"/>
  <c r="DY64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PI63" i="2"/>
  <c r="PH63" i="2"/>
  <c r="PG63" i="2"/>
  <c r="PF63" i="2"/>
  <c r="PE63" i="2"/>
  <c r="PD63" i="2"/>
  <c r="PC63" i="2"/>
  <c r="PB63" i="2"/>
  <c r="PA63" i="2"/>
  <c r="OZ63" i="2"/>
  <c r="OY63" i="2"/>
  <c r="OX63" i="2"/>
  <c r="OW63" i="2"/>
  <c r="OV63" i="2"/>
  <c r="OU63" i="2"/>
  <c r="OT63" i="2"/>
  <c r="OS63" i="2"/>
  <c r="OR63" i="2"/>
  <c r="OQ63" i="2"/>
  <c r="OP63" i="2"/>
  <c r="OO63" i="2"/>
  <c r="ON63" i="2"/>
  <c r="OM63" i="2"/>
  <c r="OL63" i="2"/>
  <c r="OK63" i="2"/>
  <c r="OJ63" i="2"/>
  <c r="OI63" i="2"/>
  <c r="OH63" i="2"/>
  <c r="OG63" i="2"/>
  <c r="OF63" i="2"/>
  <c r="OE63" i="2"/>
  <c r="OD63" i="2"/>
  <c r="OC63" i="2"/>
  <c r="OB63" i="2"/>
  <c r="OA63" i="2"/>
  <c r="NZ63" i="2"/>
  <c r="NY63" i="2"/>
  <c r="NX63" i="2"/>
  <c r="NW63" i="2"/>
  <c r="NV63" i="2"/>
  <c r="NU63" i="2"/>
  <c r="NT63" i="2"/>
  <c r="NS63" i="2"/>
  <c r="NR63" i="2"/>
  <c r="NQ63" i="2"/>
  <c r="NP63" i="2"/>
  <c r="NO63" i="2"/>
  <c r="NN63" i="2"/>
  <c r="NM63" i="2"/>
  <c r="NL63" i="2"/>
  <c r="NK63" i="2"/>
  <c r="NJ63" i="2"/>
  <c r="NI63" i="2"/>
  <c r="NH63" i="2"/>
  <c r="NG63" i="2"/>
  <c r="NF63" i="2"/>
  <c r="NE63" i="2"/>
  <c r="ND63" i="2"/>
  <c r="NC63" i="2"/>
  <c r="NB63" i="2"/>
  <c r="NA63" i="2"/>
  <c r="MZ63" i="2"/>
  <c r="MY63" i="2"/>
  <c r="MX63" i="2"/>
  <c r="MW63" i="2"/>
  <c r="MV63" i="2"/>
  <c r="MU63" i="2"/>
  <c r="MT63" i="2"/>
  <c r="MS63" i="2"/>
  <c r="MR63" i="2"/>
  <c r="MQ63" i="2"/>
  <c r="MP63" i="2"/>
  <c r="MO63" i="2"/>
  <c r="MN63" i="2"/>
  <c r="MM63" i="2"/>
  <c r="ML63" i="2"/>
  <c r="MK63" i="2"/>
  <c r="MJ63" i="2"/>
  <c r="MI63" i="2"/>
  <c r="MH63" i="2"/>
  <c r="MG63" i="2"/>
  <c r="MF63" i="2"/>
  <c r="ME63" i="2"/>
  <c r="MD63" i="2"/>
  <c r="MC63" i="2"/>
  <c r="MB63" i="2"/>
  <c r="MA63" i="2"/>
  <c r="LZ63" i="2"/>
  <c r="LY63" i="2"/>
  <c r="LX63" i="2"/>
  <c r="LW63" i="2"/>
  <c r="LV63" i="2"/>
  <c r="LU63" i="2"/>
  <c r="LT63" i="2"/>
  <c r="LS63" i="2"/>
  <c r="LR63" i="2"/>
  <c r="LQ63" i="2"/>
  <c r="LP63" i="2"/>
  <c r="LO63" i="2"/>
  <c r="LN63" i="2"/>
  <c r="LM63" i="2"/>
  <c r="LL63" i="2"/>
  <c r="LK63" i="2"/>
  <c r="LJ63" i="2"/>
  <c r="LI63" i="2"/>
  <c r="LH63" i="2"/>
  <c r="LG63" i="2"/>
  <c r="LF63" i="2"/>
  <c r="LE63" i="2"/>
  <c r="LD63" i="2"/>
  <c r="LC63" i="2"/>
  <c r="LB63" i="2"/>
  <c r="LA63" i="2"/>
  <c r="KZ63" i="2"/>
  <c r="KY63" i="2"/>
  <c r="KX63" i="2"/>
  <c r="KW63" i="2"/>
  <c r="KV63" i="2"/>
  <c r="KU63" i="2"/>
  <c r="KT63" i="2"/>
  <c r="KS63" i="2"/>
  <c r="KR63" i="2"/>
  <c r="KQ63" i="2"/>
  <c r="KP63" i="2"/>
  <c r="KO63" i="2"/>
  <c r="KN63" i="2"/>
  <c r="KM63" i="2"/>
  <c r="KL63" i="2"/>
  <c r="KK63" i="2"/>
  <c r="KJ63" i="2"/>
  <c r="KI63" i="2"/>
  <c r="KH63" i="2"/>
  <c r="KG63" i="2"/>
  <c r="KF63" i="2"/>
  <c r="KE63" i="2"/>
  <c r="KD63" i="2"/>
  <c r="KC63" i="2"/>
  <c r="KB63" i="2"/>
  <c r="KA63" i="2"/>
  <c r="JZ63" i="2"/>
  <c r="JY63" i="2"/>
  <c r="JX63" i="2"/>
  <c r="JW63" i="2"/>
  <c r="JV63" i="2"/>
  <c r="JU63" i="2"/>
  <c r="JT63" i="2"/>
  <c r="JS63" i="2"/>
  <c r="JR63" i="2"/>
  <c r="JQ63" i="2"/>
  <c r="JP63" i="2"/>
  <c r="JO63" i="2"/>
  <c r="JN63" i="2"/>
  <c r="JM63" i="2"/>
  <c r="JL63" i="2"/>
  <c r="JK63" i="2"/>
  <c r="JJ63" i="2"/>
  <c r="JI63" i="2"/>
  <c r="JH63" i="2"/>
  <c r="JG63" i="2"/>
  <c r="JF63" i="2"/>
  <c r="JE63" i="2"/>
  <c r="JD63" i="2"/>
  <c r="JC63" i="2"/>
  <c r="JB63" i="2"/>
  <c r="JA63" i="2"/>
  <c r="IZ63" i="2"/>
  <c r="IY63" i="2"/>
  <c r="IX63" i="2"/>
  <c r="IW63" i="2"/>
  <c r="IV63" i="2"/>
  <c r="IU63" i="2"/>
  <c r="IT63" i="2"/>
  <c r="IS63" i="2"/>
  <c r="IR63" i="2"/>
  <c r="IQ63" i="2"/>
  <c r="IP63" i="2"/>
  <c r="IO63" i="2"/>
  <c r="IN63" i="2"/>
  <c r="IM63" i="2"/>
  <c r="IL63" i="2"/>
  <c r="IK63" i="2"/>
  <c r="IJ63" i="2"/>
  <c r="II63" i="2"/>
  <c r="IH63" i="2"/>
  <c r="IG63" i="2"/>
  <c r="IF63" i="2"/>
  <c r="IE63" i="2"/>
  <c r="ID63" i="2"/>
  <c r="IC63" i="2"/>
  <c r="IB63" i="2"/>
  <c r="IA63" i="2"/>
  <c r="HZ63" i="2"/>
  <c r="HY63" i="2"/>
  <c r="HX63" i="2"/>
  <c r="HW63" i="2"/>
  <c r="HV63" i="2"/>
  <c r="HU63" i="2"/>
  <c r="HT63" i="2"/>
  <c r="HS63" i="2"/>
  <c r="HR63" i="2"/>
  <c r="HQ63" i="2"/>
  <c r="HP63" i="2"/>
  <c r="HO63" i="2"/>
  <c r="HN63" i="2"/>
  <c r="HM63" i="2"/>
  <c r="HL63" i="2"/>
  <c r="HK63" i="2"/>
  <c r="HJ63" i="2"/>
  <c r="HI63" i="2"/>
  <c r="HH63" i="2"/>
  <c r="HG63" i="2"/>
  <c r="HF63" i="2"/>
  <c r="HE63" i="2"/>
  <c r="HD63" i="2"/>
  <c r="HC63" i="2"/>
  <c r="HB63" i="2"/>
  <c r="HA63" i="2"/>
  <c r="GZ63" i="2"/>
  <c r="GY63" i="2"/>
  <c r="GX63" i="2"/>
  <c r="GW63" i="2"/>
  <c r="GV63" i="2"/>
  <c r="GU63" i="2"/>
  <c r="GT63" i="2"/>
  <c r="GS63" i="2"/>
  <c r="GR63" i="2"/>
  <c r="GQ63" i="2"/>
  <c r="GP63" i="2"/>
  <c r="GO63" i="2"/>
  <c r="GN63" i="2"/>
  <c r="GM63" i="2"/>
  <c r="GL63" i="2"/>
  <c r="GK63" i="2"/>
  <c r="GJ63" i="2"/>
  <c r="GI63" i="2"/>
  <c r="GH63" i="2"/>
  <c r="GG63" i="2"/>
  <c r="GF63" i="2"/>
  <c r="GE63" i="2"/>
  <c r="GD63" i="2"/>
  <c r="GC63" i="2"/>
  <c r="GB63" i="2"/>
  <c r="GA63" i="2"/>
  <c r="FZ63" i="2"/>
  <c r="FY63" i="2"/>
  <c r="FX63" i="2"/>
  <c r="FW63" i="2"/>
  <c r="FV63" i="2"/>
  <c r="FU63" i="2"/>
  <c r="FT63" i="2"/>
  <c r="FS63" i="2"/>
  <c r="FR63" i="2"/>
  <c r="FQ63" i="2"/>
  <c r="FP63" i="2"/>
  <c r="FO63" i="2"/>
  <c r="FN63" i="2"/>
  <c r="FM63" i="2"/>
  <c r="FL63" i="2"/>
  <c r="FK63" i="2"/>
  <c r="FJ63" i="2"/>
  <c r="FI63" i="2"/>
  <c r="FH63" i="2"/>
  <c r="FG63" i="2"/>
  <c r="FF63" i="2"/>
  <c r="FE63" i="2"/>
  <c r="FD63" i="2"/>
  <c r="FC63" i="2"/>
  <c r="FB63" i="2"/>
  <c r="FA63" i="2"/>
  <c r="EZ63" i="2"/>
  <c r="EY63" i="2"/>
  <c r="EX63" i="2"/>
  <c r="EW63" i="2"/>
  <c r="EV63" i="2"/>
  <c r="EU63" i="2"/>
  <c r="ET63" i="2"/>
  <c r="ES63" i="2"/>
  <c r="ER63" i="2"/>
  <c r="EQ63" i="2"/>
  <c r="EP63" i="2"/>
  <c r="EO63" i="2"/>
  <c r="EN63" i="2"/>
  <c r="EM63" i="2"/>
  <c r="EL63" i="2"/>
  <c r="EK63" i="2"/>
  <c r="EJ63" i="2"/>
  <c r="EI63" i="2"/>
  <c r="EH63" i="2"/>
  <c r="EG63" i="2"/>
  <c r="EF63" i="2"/>
  <c r="EE63" i="2"/>
  <c r="ED63" i="2"/>
  <c r="EC63" i="2"/>
  <c r="EB63" i="2"/>
  <c r="EA63" i="2"/>
  <c r="DZ63" i="2"/>
  <c r="DY63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PI62" i="2"/>
  <c r="PH62" i="2"/>
  <c r="PG62" i="2"/>
  <c r="PF62" i="2"/>
  <c r="PE62" i="2"/>
  <c r="PD62" i="2"/>
  <c r="PC62" i="2"/>
  <c r="PB62" i="2"/>
  <c r="PA62" i="2"/>
  <c r="OZ62" i="2"/>
  <c r="OY62" i="2"/>
  <c r="OX62" i="2"/>
  <c r="OW62" i="2"/>
  <c r="OV62" i="2"/>
  <c r="OU62" i="2"/>
  <c r="OT62" i="2"/>
  <c r="OS62" i="2"/>
  <c r="OR62" i="2"/>
  <c r="OQ62" i="2"/>
  <c r="OP62" i="2"/>
  <c r="OO62" i="2"/>
  <c r="ON62" i="2"/>
  <c r="OM62" i="2"/>
  <c r="OL62" i="2"/>
  <c r="OK62" i="2"/>
  <c r="OJ62" i="2"/>
  <c r="OI62" i="2"/>
  <c r="OH62" i="2"/>
  <c r="OG62" i="2"/>
  <c r="OF62" i="2"/>
  <c r="OE62" i="2"/>
  <c r="OD62" i="2"/>
  <c r="OC62" i="2"/>
  <c r="OB62" i="2"/>
  <c r="OA62" i="2"/>
  <c r="NZ62" i="2"/>
  <c r="NY62" i="2"/>
  <c r="NX62" i="2"/>
  <c r="NW62" i="2"/>
  <c r="NV62" i="2"/>
  <c r="NU62" i="2"/>
  <c r="NT62" i="2"/>
  <c r="NS62" i="2"/>
  <c r="NR62" i="2"/>
  <c r="NQ62" i="2"/>
  <c r="NP62" i="2"/>
  <c r="NO62" i="2"/>
  <c r="NN62" i="2"/>
  <c r="NM62" i="2"/>
  <c r="NL62" i="2"/>
  <c r="NK62" i="2"/>
  <c r="NJ62" i="2"/>
  <c r="NI62" i="2"/>
  <c r="NH62" i="2"/>
  <c r="NG62" i="2"/>
  <c r="NF62" i="2"/>
  <c r="NE62" i="2"/>
  <c r="ND62" i="2"/>
  <c r="NC62" i="2"/>
  <c r="NB62" i="2"/>
  <c r="NA62" i="2"/>
  <c r="MZ62" i="2"/>
  <c r="MY62" i="2"/>
  <c r="MX62" i="2"/>
  <c r="MW62" i="2"/>
  <c r="MV62" i="2"/>
  <c r="MU62" i="2"/>
  <c r="MT62" i="2"/>
  <c r="MS62" i="2"/>
  <c r="MR62" i="2"/>
  <c r="MQ62" i="2"/>
  <c r="MP62" i="2"/>
  <c r="MO62" i="2"/>
  <c r="MN62" i="2"/>
  <c r="MM62" i="2"/>
  <c r="ML62" i="2"/>
  <c r="MK62" i="2"/>
  <c r="MJ62" i="2"/>
  <c r="MI62" i="2"/>
  <c r="MH62" i="2"/>
  <c r="MG62" i="2"/>
  <c r="MF62" i="2"/>
  <c r="ME62" i="2"/>
  <c r="MD62" i="2"/>
  <c r="MC62" i="2"/>
  <c r="MB62" i="2"/>
  <c r="MA62" i="2"/>
  <c r="LZ62" i="2"/>
  <c r="LY62" i="2"/>
  <c r="LX62" i="2"/>
  <c r="LW62" i="2"/>
  <c r="LV62" i="2"/>
  <c r="LU62" i="2"/>
  <c r="LT62" i="2"/>
  <c r="LS62" i="2"/>
  <c r="LR62" i="2"/>
  <c r="LQ62" i="2"/>
  <c r="LP62" i="2"/>
  <c r="LO62" i="2"/>
  <c r="LN62" i="2"/>
  <c r="LM62" i="2"/>
  <c r="LL62" i="2"/>
  <c r="LK62" i="2"/>
  <c r="LJ62" i="2"/>
  <c r="LI62" i="2"/>
  <c r="LH62" i="2"/>
  <c r="LG62" i="2"/>
  <c r="LF62" i="2"/>
  <c r="LE62" i="2"/>
  <c r="LD62" i="2"/>
  <c r="LC62" i="2"/>
  <c r="LB62" i="2"/>
  <c r="LA62" i="2"/>
  <c r="KZ62" i="2"/>
  <c r="KY62" i="2"/>
  <c r="KX62" i="2"/>
  <c r="KW62" i="2"/>
  <c r="KV62" i="2"/>
  <c r="KU62" i="2"/>
  <c r="KT62" i="2"/>
  <c r="KS62" i="2"/>
  <c r="KR62" i="2"/>
  <c r="KQ62" i="2"/>
  <c r="KP62" i="2"/>
  <c r="KO62" i="2"/>
  <c r="KN62" i="2"/>
  <c r="KM62" i="2"/>
  <c r="KL62" i="2"/>
  <c r="KK62" i="2"/>
  <c r="KJ62" i="2"/>
  <c r="KI62" i="2"/>
  <c r="KH62" i="2"/>
  <c r="KG62" i="2"/>
  <c r="KF62" i="2"/>
  <c r="KE62" i="2"/>
  <c r="KD62" i="2"/>
  <c r="KC62" i="2"/>
  <c r="KB62" i="2"/>
  <c r="KA62" i="2"/>
  <c r="JZ62" i="2"/>
  <c r="JY62" i="2"/>
  <c r="JX62" i="2"/>
  <c r="JW62" i="2"/>
  <c r="JV62" i="2"/>
  <c r="JU62" i="2"/>
  <c r="JT62" i="2"/>
  <c r="JS62" i="2"/>
  <c r="JR62" i="2"/>
  <c r="JQ62" i="2"/>
  <c r="JP62" i="2"/>
  <c r="JO62" i="2"/>
  <c r="JN62" i="2"/>
  <c r="JM62" i="2"/>
  <c r="JL62" i="2"/>
  <c r="JK62" i="2"/>
  <c r="JJ62" i="2"/>
  <c r="JI62" i="2"/>
  <c r="JH62" i="2"/>
  <c r="JG62" i="2"/>
  <c r="JF62" i="2"/>
  <c r="JE62" i="2"/>
  <c r="JD62" i="2"/>
  <c r="JC62" i="2"/>
  <c r="JB62" i="2"/>
  <c r="JA62" i="2"/>
  <c r="IZ62" i="2"/>
  <c r="IY62" i="2"/>
  <c r="IX62" i="2"/>
  <c r="IW62" i="2"/>
  <c r="IV62" i="2"/>
  <c r="IU62" i="2"/>
  <c r="IT62" i="2"/>
  <c r="IS62" i="2"/>
  <c r="IR62" i="2"/>
  <c r="IQ62" i="2"/>
  <c r="IP62" i="2"/>
  <c r="IO62" i="2"/>
  <c r="IN62" i="2"/>
  <c r="IM62" i="2"/>
  <c r="IL62" i="2"/>
  <c r="IK62" i="2"/>
  <c r="IJ62" i="2"/>
  <c r="II62" i="2"/>
  <c r="IH62" i="2"/>
  <c r="IG62" i="2"/>
  <c r="IF62" i="2"/>
  <c r="IE62" i="2"/>
  <c r="ID62" i="2"/>
  <c r="IC62" i="2"/>
  <c r="IB62" i="2"/>
  <c r="IA62" i="2"/>
  <c r="HZ62" i="2"/>
  <c r="HY62" i="2"/>
  <c r="HX62" i="2"/>
  <c r="HW62" i="2"/>
  <c r="HV62" i="2"/>
  <c r="HU62" i="2"/>
  <c r="HT62" i="2"/>
  <c r="HS62" i="2"/>
  <c r="HR62" i="2"/>
  <c r="HQ62" i="2"/>
  <c r="HP62" i="2"/>
  <c r="HO62" i="2"/>
  <c r="HN62" i="2"/>
  <c r="HM62" i="2"/>
  <c r="HL62" i="2"/>
  <c r="HK62" i="2"/>
  <c r="HJ62" i="2"/>
  <c r="HI62" i="2"/>
  <c r="HH62" i="2"/>
  <c r="HG62" i="2"/>
  <c r="HF62" i="2"/>
  <c r="HE62" i="2"/>
  <c r="HD62" i="2"/>
  <c r="HC62" i="2"/>
  <c r="HB62" i="2"/>
  <c r="HA62" i="2"/>
  <c r="GZ62" i="2"/>
  <c r="GY62" i="2"/>
  <c r="GX62" i="2"/>
  <c r="GW62" i="2"/>
  <c r="GV62" i="2"/>
  <c r="GU62" i="2"/>
  <c r="GT62" i="2"/>
  <c r="GS62" i="2"/>
  <c r="GR62" i="2"/>
  <c r="GQ62" i="2"/>
  <c r="GP62" i="2"/>
  <c r="GO62" i="2"/>
  <c r="GN62" i="2"/>
  <c r="GM62" i="2"/>
  <c r="GL62" i="2"/>
  <c r="GK62" i="2"/>
  <c r="GJ62" i="2"/>
  <c r="GI62" i="2"/>
  <c r="GH62" i="2"/>
  <c r="GG62" i="2"/>
  <c r="GF62" i="2"/>
  <c r="GE62" i="2"/>
  <c r="GD62" i="2"/>
  <c r="GC62" i="2"/>
  <c r="GB62" i="2"/>
  <c r="GA62" i="2"/>
  <c r="FZ62" i="2"/>
  <c r="FY62" i="2"/>
  <c r="FX62" i="2"/>
  <c r="FW62" i="2"/>
  <c r="FV62" i="2"/>
  <c r="FU62" i="2"/>
  <c r="FT62" i="2"/>
  <c r="FS62" i="2"/>
  <c r="FR62" i="2"/>
  <c r="FQ62" i="2"/>
  <c r="FP62" i="2"/>
  <c r="FO62" i="2"/>
  <c r="FN62" i="2"/>
  <c r="FM62" i="2"/>
  <c r="FL62" i="2"/>
  <c r="FK62" i="2"/>
  <c r="FJ62" i="2"/>
  <c r="FI62" i="2"/>
  <c r="FH62" i="2"/>
  <c r="FG62" i="2"/>
  <c r="FF62" i="2"/>
  <c r="FE62" i="2"/>
  <c r="FD62" i="2"/>
  <c r="FC62" i="2"/>
  <c r="FB62" i="2"/>
  <c r="FA62" i="2"/>
  <c r="EZ62" i="2"/>
  <c r="EY62" i="2"/>
  <c r="EX62" i="2"/>
  <c r="EW62" i="2"/>
  <c r="EV62" i="2"/>
  <c r="EU62" i="2"/>
  <c r="ET62" i="2"/>
  <c r="ES62" i="2"/>
  <c r="ER62" i="2"/>
  <c r="EQ62" i="2"/>
  <c r="EP62" i="2"/>
  <c r="EO62" i="2"/>
  <c r="EN62" i="2"/>
  <c r="EM62" i="2"/>
  <c r="EL62" i="2"/>
  <c r="EK62" i="2"/>
  <c r="EJ62" i="2"/>
  <c r="EI62" i="2"/>
  <c r="EH62" i="2"/>
  <c r="EG62" i="2"/>
  <c r="EF62" i="2"/>
  <c r="EE62" i="2"/>
  <c r="ED62" i="2"/>
  <c r="EC62" i="2"/>
  <c r="EB62" i="2"/>
  <c r="EA62" i="2"/>
  <c r="DZ62" i="2"/>
  <c r="DY62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PI61" i="2"/>
  <c r="PH61" i="2"/>
  <c r="PG61" i="2"/>
  <c r="PF61" i="2"/>
  <c r="PE61" i="2"/>
  <c r="PD61" i="2"/>
  <c r="PC61" i="2"/>
  <c r="PB61" i="2"/>
  <c r="PA61" i="2"/>
  <c r="OZ61" i="2"/>
  <c r="OY61" i="2"/>
  <c r="OX61" i="2"/>
  <c r="OW61" i="2"/>
  <c r="OV61" i="2"/>
  <c r="OU61" i="2"/>
  <c r="OT61" i="2"/>
  <c r="OS61" i="2"/>
  <c r="OR61" i="2"/>
  <c r="OQ61" i="2"/>
  <c r="OP61" i="2"/>
  <c r="OO61" i="2"/>
  <c r="ON61" i="2"/>
  <c r="OM61" i="2"/>
  <c r="OL61" i="2"/>
  <c r="OK61" i="2"/>
  <c r="OJ61" i="2"/>
  <c r="OI61" i="2"/>
  <c r="OH61" i="2"/>
  <c r="OG61" i="2"/>
  <c r="OF61" i="2"/>
  <c r="OE61" i="2"/>
  <c r="OD61" i="2"/>
  <c r="OC61" i="2"/>
  <c r="OB61" i="2"/>
  <c r="OA61" i="2"/>
  <c r="NZ61" i="2"/>
  <c r="NY61" i="2"/>
  <c r="NX61" i="2"/>
  <c r="NW61" i="2"/>
  <c r="NV61" i="2"/>
  <c r="NU61" i="2"/>
  <c r="NT61" i="2"/>
  <c r="NS61" i="2"/>
  <c r="NR61" i="2"/>
  <c r="NQ61" i="2"/>
  <c r="NP61" i="2"/>
  <c r="NO61" i="2"/>
  <c r="NN61" i="2"/>
  <c r="NM61" i="2"/>
  <c r="NL61" i="2"/>
  <c r="NK61" i="2"/>
  <c r="NJ61" i="2"/>
  <c r="NI61" i="2"/>
  <c r="NH61" i="2"/>
  <c r="NG61" i="2"/>
  <c r="NF61" i="2"/>
  <c r="NE61" i="2"/>
  <c r="ND61" i="2"/>
  <c r="NC61" i="2"/>
  <c r="NB61" i="2"/>
  <c r="NA61" i="2"/>
  <c r="MZ61" i="2"/>
  <c r="MY61" i="2"/>
  <c r="MX61" i="2"/>
  <c r="MW61" i="2"/>
  <c r="MV61" i="2"/>
  <c r="MU61" i="2"/>
  <c r="MT61" i="2"/>
  <c r="MS61" i="2"/>
  <c r="MR61" i="2"/>
  <c r="MQ61" i="2"/>
  <c r="MP61" i="2"/>
  <c r="MO61" i="2"/>
  <c r="MN61" i="2"/>
  <c r="MM61" i="2"/>
  <c r="ML61" i="2"/>
  <c r="MK61" i="2"/>
  <c r="MJ61" i="2"/>
  <c r="MI61" i="2"/>
  <c r="MH61" i="2"/>
  <c r="MG61" i="2"/>
  <c r="MF61" i="2"/>
  <c r="ME61" i="2"/>
  <c r="MD61" i="2"/>
  <c r="MC61" i="2"/>
  <c r="MB61" i="2"/>
  <c r="MA61" i="2"/>
  <c r="LZ61" i="2"/>
  <c r="LY61" i="2"/>
  <c r="LX61" i="2"/>
  <c r="LW61" i="2"/>
  <c r="LV61" i="2"/>
  <c r="LU61" i="2"/>
  <c r="LT61" i="2"/>
  <c r="LS61" i="2"/>
  <c r="LR61" i="2"/>
  <c r="LQ61" i="2"/>
  <c r="LP61" i="2"/>
  <c r="LO61" i="2"/>
  <c r="LN61" i="2"/>
  <c r="LM61" i="2"/>
  <c r="LL61" i="2"/>
  <c r="LK61" i="2"/>
  <c r="LJ61" i="2"/>
  <c r="LI61" i="2"/>
  <c r="LH61" i="2"/>
  <c r="LG61" i="2"/>
  <c r="LF61" i="2"/>
  <c r="LE61" i="2"/>
  <c r="LD61" i="2"/>
  <c r="LC61" i="2"/>
  <c r="LB61" i="2"/>
  <c r="LA61" i="2"/>
  <c r="KZ61" i="2"/>
  <c r="KY61" i="2"/>
  <c r="KX61" i="2"/>
  <c r="KW61" i="2"/>
  <c r="KV61" i="2"/>
  <c r="KU61" i="2"/>
  <c r="KT61" i="2"/>
  <c r="KS61" i="2"/>
  <c r="KR61" i="2"/>
  <c r="KQ61" i="2"/>
  <c r="KP61" i="2"/>
  <c r="KO61" i="2"/>
  <c r="KN61" i="2"/>
  <c r="KM61" i="2"/>
  <c r="KL61" i="2"/>
  <c r="KK61" i="2"/>
  <c r="KJ61" i="2"/>
  <c r="KI61" i="2"/>
  <c r="KH61" i="2"/>
  <c r="KG61" i="2"/>
  <c r="KF61" i="2"/>
  <c r="KE61" i="2"/>
  <c r="KD61" i="2"/>
  <c r="KC61" i="2"/>
  <c r="KB61" i="2"/>
  <c r="KA61" i="2"/>
  <c r="JZ61" i="2"/>
  <c r="JY61" i="2"/>
  <c r="JX61" i="2"/>
  <c r="JW61" i="2"/>
  <c r="JV61" i="2"/>
  <c r="JU61" i="2"/>
  <c r="JT61" i="2"/>
  <c r="JS61" i="2"/>
  <c r="JR61" i="2"/>
  <c r="JQ61" i="2"/>
  <c r="JP61" i="2"/>
  <c r="JO61" i="2"/>
  <c r="JN61" i="2"/>
  <c r="JM61" i="2"/>
  <c r="JL61" i="2"/>
  <c r="JK61" i="2"/>
  <c r="JJ61" i="2"/>
  <c r="JI61" i="2"/>
  <c r="JH61" i="2"/>
  <c r="JG61" i="2"/>
  <c r="JF61" i="2"/>
  <c r="JE61" i="2"/>
  <c r="JD61" i="2"/>
  <c r="JC61" i="2"/>
  <c r="JB61" i="2"/>
  <c r="JA61" i="2"/>
  <c r="IZ61" i="2"/>
  <c r="IY61" i="2"/>
  <c r="IX61" i="2"/>
  <c r="IW61" i="2"/>
  <c r="IV61" i="2"/>
  <c r="IU61" i="2"/>
  <c r="IT61" i="2"/>
  <c r="IS61" i="2"/>
  <c r="IR61" i="2"/>
  <c r="IQ61" i="2"/>
  <c r="IP61" i="2"/>
  <c r="IO61" i="2"/>
  <c r="IN61" i="2"/>
  <c r="IM61" i="2"/>
  <c r="IL61" i="2"/>
  <c r="IK61" i="2"/>
  <c r="IJ61" i="2"/>
  <c r="II61" i="2"/>
  <c r="IH61" i="2"/>
  <c r="IG61" i="2"/>
  <c r="IF61" i="2"/>
  <c r="IE61" i="2"/>
  <c r="ID61" i="2"/>
  <c r="IC61" i="2"/>
  <c r="IB61" i="2"/>
  <c r="IA61" i="2"/>
  <c r="HZ61" i="2"/>
  <c r="HY61" i="2"/>
  <c r="HX61" i="2"/>
  <c r="HW61" i="2"/>
  <c r="HV61" i="2"/>
  <c r="HU61" i="2"/>
  <c r="HT61" i="2"/>
  <c r="HS61" i="2"/>
  <c r="HR61" i="2"/>
  <c r="HQ61" i="2"/>
  <c r="HP61" i="2"/>
  <c r="HO61" i="2"/>
  <c r="HN61" i="2"/>
  <c r="HM61" i="2"/>
  <c r="HL61" i="2"/>
  <c r="HK61" i="2"/>
  <c r="HJ61" i="2"/>
  <c r="HI61" i="2"/>
  <c r="HH61" i="2"/>
  <c r="HG61" i="2"/>
  <c r="HF61" i="2"/>
  <c r="HE61" i="2"/>
  <c r="HD61" i="2"/>
  <c r="HC61" i="2"/>
  <c r="HB61" i="2"/>
  <c r="HA61" i="2"/>
  <c r="GZ61" i="2"/>
  <c r="GY61" i="2"/>
  <c r="GX61" i="2"/>
  <c r="GW61" i="2"/>
  <c r="GV61" i="2"/>
  <c r="GU61" i="2"/>
  <c r="GT61" i="2"/>
  <c r="GS61" i="2"/>
  <c r="GR61" i="2"/>
  <c r="GQ61" i="2"/>
  <c r="GP61" i="2"/>
  <c r="GO61" i="2"/>
  <c r="GN61" i="2"/>
  <c r="GM61" i="2"/>
  <c r="GL61" i="2"/>
  <c r="GK61" i="2"/>
  <c r="GJ61" i="2"/>
  <c r="GI61" i="2"/>
  <c r="GH61" i="2"/>
  <c r="GG61" i="2"/>
  <c r="GF61" i="2"/>
  <c r="GE61" i="2"/>
  <c r="GD61" i="2"/>
  <c r="GC61" i="2"/>
  <c r="GB61" i="2"/>
  <c r="GA61" i="2"/>
  <c r="FZ61" i="2"/>
  <c r="FY61" i="2"/>
  <c r="FX61" i="2"/>
  <c r="FW61" i="2"/>
  <c r="FV61" i="2"/>
  <c r="FU61" i="2"/>
  <c r="FT61" i="2"/>
  <c r="FS61" i="2"/>
  <c r="FR61" i="2"/>
  <c r="FQ61" i="2"/>
  <c r="FP61" i="2"/>
  <c r="FO61" i="2"/>
  <c r="FN61" i="2"/>
  <c r="FM61" i="2"/>
  <c r="FL61" i="2"/>
  <c r="FK61" i="2"/>
  <c r="FJ61" i="2"/>
  <c r="FI61" i="2"/>
  <c r="FH61" i="2"/>
  <c r="FG61" i="2"/>
  <c r="FF61" i="2"/>
  <c r="FE61" i="2"/>
  <c r="FD61" i="2"/>
  <c r="FC61" i="2"/>
  <c r="FB61" i="2"/>
  <c r="FA61" i="2"/>
  <c r="EZ61" i="2"/>
  <c r="EY61" i="2"/>
  <c r="EX61" i="2"/>
  <c r="EW61" i="2"/>
  <c r="EV61" i="2"/>
  <c r="EU61" i="2"/>
  <c r="ET61" i="2"/>
  <c r="ES61" i="2"/>
  <c r="ER61" i="2"/>
  <c r="EQ61" i="2"/>
  <c r="EP61" i="2"/>
  <c r="EO61" i="2"/>
  <c r="EN61" i="2"/>
  <c r="EM61" i="2"/>
  <c r="EL61" i="2"/>
  <c r="EK61" i="2"/>
  <c r="EJ61" i="2"/>
  <c r="EI61" i="2"/>
  <c r="EH61" i="2"/>
  <c r="EG61" i="2"/>
  <c r="EF61" i="2"/>
  <c r="EE61" i="2"/>
  <c r="ED61" i="2"/>
  <c r="EC61" i="2"/>
  <c r="EB61" i="2"/>
  <c r="EA61" i="2"/>
  <c r="DZ61" i="2"/>
  <c r="DY61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PI60" i="2"/>
  <c r="PH60" i="2"/>
  <c r="PG60" i="2"/>
  <c r="PF60" i="2"/>
  <c r="PE60" i="2"/>
  <c r="PD60" i="2"/>
  <c r="PC60" i="2"/>
  <c r="PB60" i="2"/>
  <c r="PA60" i="2"/>
  <c r="OZ60" i="2"/>
  <c r="OY60" i="2"/>
  <c r="OX60" i="2"/>
  <c r="OW60" i="2"/>
  <c r="OV60" i="2"/>
  <c r="OU60" i="2"/>
  <c r="OT60" i="2"/>
  <c r="OS60" i="2"/>
  <c r="OR60" i="2"/>
  <c r="OQ60" i="2"/>
  <c r="OP60" i="2"/>
  <c r="OO60" i="2"/>
  <c r="ON60" i="2"/>
  <c r="OM60" i="2"/>
  <c r="OL60" i="2"/>
  <c r="OK60" i="2"/>
  <c r="OJ60" i="2"/>
  <c r="OI60" i="2"/>
  <c r="OH60" i="2"/>
  <c r="OG60" i="2"/>
  <c r="OF60" i="2"/>
  <c r="OE60" i="2"/>
  <c r="OD60" i="2"/>
  <c r="OC60" i="2"/>
  <c r="OB60" i="2"/>
  <c r="OA60" i="2"/>
  <c r="NZ60" i="2"/>
  <c r="NY60" i="2"/>
  <c r="NX60" i="2"/>
  <c r="NW60" i="2"/>
  <c r="NV60" i="2"/>
  <c r="NU60" i="2"/>
  <c r="NT60" i="2"/>
  <c r="NS60" i="2"/>
  <c r="NR60" i="2"/>
  <c r="NQ60" i="2"/>
  <c r="NP60" i="2"/>
  <c r="NO60" i="2"/>
  <c r="NN60" i="2"/>
  <c r="NM60" i="2"/>
  <c r="NL60" i="2"/>
  <c r="NK60" i="2"/>
  <c r="NJ60" i="2"/>
  <c r="NI60" i="2"/>
  <c r="NH60" i="2"/>
  <c r="NG60" i="2"/>
  <c r="NF60" i="2"/>
  <c r="NE60" i="2"/>
  <c r="ND60" i="2"/>
  <c r="NC60" i="2"/>
  <c r="NB60" i="2"/>
  <c r="NA60" i="2"/>
  <c r="MZ60" i="2"/>
  <c r="MY60" i="2"/>
  <c r="MX60" i="2"/>
  <c r="MW60" i="2"/>
  <c r="MV60" i="2"/>
  <c r="MU60" i="2"/>
  <c r="MT60" i="2"/>
  <c r="MS60" i="2"/>
  <c r="MR60" i="2"/>
  <c r="MQ60" i="2"/>
  <c r="MP60" i="2"/>
  <c r="MO60" i="2"/>
  <c r="MN60" i="2"/>
  <c r="MM60" i="2"/>
  <c r="ML60" i="2"/>
  <c r="MK60" i="2"/>
  <c r="MJ60" i="2"/>
  <c r="MI60" i="2"/>
  <c r="MH60" i="2"/>
  <c r="MG60" i="2"/>
  <c r="MF60" i="2"/>
  <c r="ME60" i="2"/>
  <c r="MD60" i="2"/>
  <c r="MC60" i="2"/>
  <c r="MB60" i="2"/>
  <c r="MA60" i="2"/>
  <c r="LZ60" i="2"/>
  <c r="LY60" i="2"/>
  <c r="LX60" i="2"/>
  <c r="LW60" i="2"/>
  <c r="LV60" i="2"/>
  <c r="LU60" i="2"/>
  <c r="LT60" i="2"/>
  <c r="LS60" i="2"/>
  <c r="LR60" i="2"/>
  <c r="LQ60" i="2"/>
  <c r="LP60" i="2"/>
  <c r="LO60" i="2"/>
  <c r="LN60" i="2"/>
  <c r="LM60" i="2"/>
  <c r="LL60" i="2"/>
  <c r="LK60" i="2"/>
  <c r="LJ60" i="2"/>
  <c r="LI60" i="2"/>
  <c r="LH60" i="2"/>
  <c r="LG60" i="2"/>
  <c r="LF60" i="2"/>
  <c r="LE60" i="2"/>
  <c r="LD60" i="2"/>
  <c r="LC60" i="2"/>
  <c r="LB60" i="2"/>
  <c r="LA60" i="2"/>
  <c r="KZ60" i="2"/>
  <c r="KY60" i="2"/>
  <c r="KX60" i="2"/>
  <c r="KW60" i="2"/>
  <c r="KV60" i="2"/>
  <c r="KU60" i="2"/>
  <c r="KT60" i="2"/>
  <c r="KS60" i="2"/>
  <c r="KR60" i="2"/>
  <c r="KQ60" i="2"/>
  <c r="KP60" i="2"/>
  <c r="KO60" i="2"/>
  <c r="KN60" i="2"/>
  <c r="KM60" i="2"/>
  <c r="KL60" i="2"/>
  <c r="KK60" i="2"/>
  <c r="KJ60" i="2"/>
  <c r="KI60" i="2"/>
  <c r="KH60" i="2"/>
  <c r="KG60" i="2"/>
  <c r="KF60" i="2"/>
  <c r="KE60" i="2"/>
  <c r="KD60" i="2"/>
  <c r="KC60" i="2"/>
  <c r="KB60" i="2"/>
  <c r="KA60" i="2"/>
  <c r="JZ60" i="2"/>
  <c r="JY60" i="2"/>
  <c r="JX60" i="2"/>
  <c r="JW60" i="2"/>
  <c r="JV60" i="2"/>
  <c r="JU60" i="2"/>
  <c r="JT60" i="2"/>
  <c r="JS60" i="2"/>
  <c r="JR60" i="2"/>
  <c r="JQ60" i="2"/>
  <c r="JP60" i="2"/>
  <c r="JO60" i="2"/>
  <c r="JN60" i="2"/>
  <c r="JM60" i="2"/>
  <c r="JL60" i="2"/>
  <c r="JK60" i="2"/>
  <c r="JJ60" i="2"/>
  <c r="JI60" i="2"/>
  <c r="JH60" i="2"/>
  <c r="JG60" i="2"/>
  <c r="JF60" i="2"/>
  <c r="JE60" i="2"/>
  <c r="JD60" i="2"/>
  <c r="JC60" i="2"/>
  <c r="JB60" i="2"/>
  <c r="JA60" i="2"/>
  <c r="IZ60" i="2"/>
  <c r="IY60" i="2"/>
  <c r="IX60" i="2"/>
  <c r="IW60" i="2"/>
  <c r="IV60" i="2"/>
  <c r="IU60" i="2"/>
  <c r="IT60" i="2"/>
  <c r="IS60" i="2"/>
  <c r="IR60" i="2"/>
  <c r="IQ60" i="2"/>
  <c r="IP60" i="2"/>
  <c r="IO60" i="2"/>
  <c r="IN60" i="2"/>
  <c r="IM60" i="2"/>
  <c r="IL60" i="2"/>
  <c r="IK60" i="2"/>
  <c r="IJ60" i="2"/>
  <c r="II60" i="2"/>
  <c r="IH60" i="2"/>
  <c r="IG60" i="2"/>
  <c r="IF60" i="2"/>
  <c r="IE60" i="2"/>
  <c r="ID60" i="2"/>
  <c r="IC60" i="2"/>
  <c r="IB60" i="2"/>
  <c r="IA60" i="2"/>
  <c r="HZ60" i="2"/>
  <c r="HY60" i="2"/>
  <c r="HX60" i="2"/>
  <c r="HW60" i="2"/>
  <c r="HV60" i="2"/>
  <c r="HU60" i="2"/>
  <c r="HT60" i="2"/>
  <c r="HS60" i="2"/>
  <c r="HR60" i="2"/>
  <c r="HQ60" i="2"/>
  <c r="HP60" i="2"/>
  <c r="HO60" i="2"/>
  <c r="HN60" i="2"/>
  <c r="HM60" i="2"/>
  <c r="HL60" i="2"/>
  <c r="HK60" i="2"/>
  <c r="HJ60" i="2"/>
  <c r="HI60" i="2"/>
  <c r="HH60" i="2"/>
  <c r="HG60" i="2"/>
  <c r="HF60" i="2"/>
  <c r="HE60" i="2"/>
  <c r="HD60" i="2"/>
  <c r="HC60" i="2"/>
  <c r="HB60" i="2"/>
  <c r="HA60" i="2"/>
  <c r="GZ60" i="2"/>
  <c r="GY60" i="2"/>
  <c r="GX60" i="2"/>
  <c r="GW60" i="2"/>
  <c r="GV60" i="2"/>
  <c r="GU60" i="2"/>
  <c r="GT60" i="2"/>
  <c r="GS60" i="2"/>
  <c r="GR60" i="2"/>
  <c r="GQ60" i="2"/>
  <c r="GP60" i="2"/>
  <c r="GO60" i="2"/>
  <c r="GN60" i="2"/>
  <c r="GM60" i="2"/>
  <c r="GL60" i="2"/>
  <c r="GK60" i="2"/>
  <c r="GJ60" i="2"/>
  <c r="GI60" i="2"/>
  <c r="GH60" i="2"/>
  <c r="GG60" i="2"/>
  <c r="GF60" i="2"/>
  <c r="GE60" i="2"/>
  <c r="GD60" i="2"/>
  <c r="GC60" i="2"/>
  <c r="GB60" i="2"/>
  <c r="GA60" i="2"/>
  <c r="FZ60" i="2"/>
  <c r="FY60" i="2"/>
  <c r="FX60" i="2"/>
  <c r="FW60" i="2"/>
  <c r="FV60" i="2"/>
  <c r="FU60" i="2"/>
  <c r="FT60" i="2"/>
  <c r="FS60" i="2"/>
  <c r="FR60" i="2"/>
  <c r="FQ60" i="2"/>
  <c r="FP60" i="2"/>
  <c r="FO60" i="2"/>
  <c r="FN60" i="2"/>
  <c r="FM60" i="2"/>
  <c r="FL60" i="2"/>
  <c r="FK60" i="2"/>
  <c r="FJ60" i="2"/>
  <c r="FI60" i="2"/>
  <c r="FH60" i="2"/>
  <c r="FG60" i="2"/>
  <c r="FF60" i="2"/>
  <c r="FE60" i="2"/>
  <c r="FD60" i="2"/>
  <c r="FC60" i="2"/>
  <c r="FB60" i="2"/>
  <c r="FA60" i="2"/>
  <c r="EZ60" i="2"/>
  <c r="EY60" i="2"/>
  <c r="EX60" i="2"/>
  <c r="EW60" i="2"/>
  <c r="EV60" i="2"/>
  <c r="EU60" i="2"/>
  <c r="ET60" i="2"/>
  <c r="ES60" i="2"/>
  <c r="ER60" i="2"/>
  <c r="EQ60" i="2"/>
  <c r="EP60" i="2"/>
  <c r="EO60" i="2"/>
  <c r="EN60" i="2"/>
  <c r="EM60" i="2"/>
  <c r="EL60" i="2"/>
  <c r="EK60" i="2"/>
  <c r="EJ60" i="2"/>
  <c r="EI60" i="2"/>
  <c r="EH60" i="2"/>
  <c r="EG60" i="2"/>
  <c r="EF60" i="2"/>
  <c r="EE60" i="2"/>
  <c r="ED60" i="2"/>
  <c r="EC60" i="2"/>
  <c r="EB60" i="2"/>
  <c r="EA60" i="2"/>
  <c r="DZ60" i="2"/>
  <c r="DY60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PI59" i="2"/>
  <c r="PH59" i="2"/>
  <c r="PG59" i="2"/>
  <c r="PF59" i="2"/>
  <c r="PE59" i="2"/>
  <c r="PD59" i="2"/>
  <c r="PC59" i="2"/>
  <c r="PB59" i="2"/>
  <c r="PA59" i="2"/>
  <c r="OZ59" i="2"/>
  <c r="OY59" i="2"/>
  <c r="OX59" i="2"/>
  <c r="OW59" i="2"/>
  <c r="OV59" i="2"/>
  <c r="OU59" i="2"/>
  <c r="OT59" i="2"/>
  <c r="OS59" i="2"/>
  <c r="OR59" i="2"/>
  <c r="OQ59" i="2"/>
  <c r="OP59" i="2"/>
  <c r="OO59" i="2"/>
  <c r="ON59" i="2"/>
  <c r="OM59" i="2"/>
  <c r="OL59" i="2"/>
  <c r="OK59" i="2"/>
  <c r="OJ59" i="2"/>
  <c r="OI59" i="2"/>
  <c r="OH59" i="2"/>
  <c r="OG59" i="2"/>
  <c r="OF59" i="2"/>
  <c r="OE59" i="2"/>
  <c r="OD59" i="2"/>
  <c r="OC59" i="2"/>
  <c r="OB59" i="2"/>
  <c r="OA59" i="2"/>
  <c r="NZ59" i="2"/>
  <c r="NY59" i="2"/>
  <c r="NX59" i="2"/>
  <c r="NW59" i="2"/>
  <c r="NV59" i="2"/>
  <c r="NU59" i="2"/>
  <c r="NT59" i="2"/>
  <c r="NS59" i="2"/>
  <c r="NR59" i="2"/>
  <c r="NQ59" i="2"/>
  <c r="NP59" i="2"/>
  <c r="NO59" i="2"/>
  <c r="NN59" i="2"/>
  <c r="NM59" i="2"/>
  <c r="NL59" i="2"/>
  <c r="NK59" i="2"/>
  <c r="NJ59" i="2"/>
  <c r="NI59" i="2"/>
  <c r="NH59" i="2"/>
  <c r="NG59" i="2"/>
  <c r="NF59" i="2"/>
  <c r="NE59" i="2"/>
  <c r="ND59" i="2"/>
  <c r="NC59" i="2"/>
  <c r="NB59" i="2"/>
  <c r="NA59" i="2"/>
  <c r="MZ59" i="2"/>
  <c r="MY59" i="2"/>
  <c r="MX59" i="2"/>
  <c r="MW59" i="2"/>
  <c r="MV59" i="2"/>
  <c r="MU59" i="2"/>
  <c r="MT59" i="2"/>
  <c r="MS59" i="2"/>
  <c r="MR59" i="2"/>
  <c r="MQ59" i="2"/>
  <c r="MP59" i="2"/>
  <c r="MO59" i="2"/>
  <c r="MN59" i="2"/>
  <c r="MM59" i="2"/>
  <c r="ML59" i="2"/>
  <c r="MK59" i="2"/>
  <c r="MJ59" i="2"/>
  <c r="MI59" i="2"/>
  <c r="MH59" i="2"/>
  <c r="MG59" i="2"/>
  <c r="MF59" i="2"/>
  <c r="ME59" i="2"/>
  <c r="MD59" i="2"/>
  <c r="MC59" i="2"/>
  <c r="MB59" i="2"/>
  <c r="MA59" i="2"/>
  <c r="LZ59" i="2"/>
  <c r="LY59" i="2"/>
  <c r="LX59" i="2"/>
  <c r="LW59" i="2"/>
  <c r="LV59" i="2"/>
  <c r="LU59" i="2"/>
  <c r="LT59" i="2"/>
  <c r="LS59" i="2"/>
  <c r="LR59" i="2"/>
  <c r="LQ59" i="2"/>
  <c r="LP59" i="2"/>
  <c r="LO59" i="2"/>
  <c r="LN59" i="2"/>
  <c r="LM59" i="2"/>
  <c r="LL59" i="2"/>
  <c r="LK59" i="2"/>
  <c r="LJ59" i="2"/>
  <c r="LI59" i="2"/>
  <c r="LH59" i="2"/>
  <c r="LG59" i="2"/>
  <c r="LF59" i="2"/>
  <c r="LE59" i="2"/>
  <c r="LD59" i="2"/>
  <c r="LC59" i="2"/>
  <c r="LB59" i="2"/>
  <c r="LA59" i="2"/>
  <c r="KZ59" i="2"/>
  <c r="KY59" i="2"/>
  <c r="KX59" i="2"/>
  <c r="KW59" i="2"/>
  <c r="KV59" i="2"/>
  <c r="KU59" i="2"/>
  <c r="KT59" i="2"/>
  <c r="KS59" i="2"/>
  <c r="KR59" i="2"/>
  <c r="KQ59" i="2"/>
  <c r="KP59" i="2"/>
  <c r="KO59" i="2"/>
  <c r="KN59" i="2"/>
  <c r="KM59" i="2"/>
  <c r="KL59" i="2"/>
  <c r="KK59" i="2"/>
  <c r="KJ59" i="2"/>
  <c r="KI59" i="2"/>
  <c r="KH59" i="2"/>
  <c r="KG59" i="2"/>
  <c r="KF59" i="2"/>
  <c r="KE59" i="2"/>
  <c r="KD59" i="2"/>
  <c r="KC59" i="2"/>
  <c r="KB59" i="2"/>
  <c r="KA59" i="2"/>
  <c r="JZ59" i="2"/>
  <c r="JY59" i="2"/>
  <c r="JX59" i="2"/>
  <c r="JW59" i="2"/>
  <c r="JV59" i="2"/>
  <c r="JU59" i="2"/>
  <c r="JT59" i="2"/>
  <c r="JS59" i="2"/>
  <c r="JR59" i="2"/>
  <c r="JQ59" i="2"/>
  <c r="JP59" i="2"/>
  <c r="JO59" i="2"/>
  <c r="JN59" i="2"/>
  <c r="JM59" i="2"/>
  <c r="JL59" i="2"/>
  <c r="JK59" i="2"/>
  <c r="JJ59" i="2"/>
  <c r="JI59" i="2"/>
  <c r="JH59" i="2"/>
  <c r="JG59" i="2"/>
  <c r="JF59" i="2"/>
  <c r="JE59" i="2"/>
  <c r="JD59" i="2"/>
  <c r="JC59" i="2"/>
  <c r="JB59" i="2"/>
  <c r="JA59" i="2"/>
  <c r="IZ59" i="2"/>
  <c r="IY59" i="2"/>
  <c r="IX59" i="2"/>
  <c r="IW59" i="2"/>
  <c r="IV59" i="2"/>
  <c r="IU59" i="2"/>
  <c r="IT59" i="2"/>
  <c r="IS59" i="2"/>
  <c r="IR59" i="2"/>
  <c r="IQ59" i="2"/>
  <c r="IP59" i="2"/>
  <c r="IO59" i="2"/>
  <c r="IN59" i="2"/>
  <c r="IM59" i="2"/>
  <c r="IL59" i="2"/>
  <c r="IK59" i="2"/>
  <c r="IJ59" i="2"/>
  <c r="II59" i="2"/>
  <c r="IH59" i="2"/>
  <c r="IG59" i="2"/>
  <c r="IF59" i="2"/>
  <c r="IE59" i="2"/>
  <c r="ID59" i="2"/>
  <c r="IC59" i="2"/>
  <c r="IB59" i="2"/>
  <c r="IA59" i="2"/>
  <c r="HZ59" i="2"/>
  <c r="HY59" i="2"/>
  <c r="HX59" i="2"/>
  <c r="HW59" i="2"/>
  <c r="HV59" i="2"/>
  <c r="HU59" i="2"/>
  <c r="HT59" i="2"/>
  <c r="HS59" i="2"/>
  <c r="HR59" i="2"/>
  <c r="HQ59" i="2"/>
  <c r="HP59" i="2"/>
  <c r="HO59" i="2"/>
  <c r="HN59" i="2"/>
  <c r="HM59" i="2"/>
  <c r="HL59" i="2"/>
  <c r="HK59" i="2"/>
  <c r="HJ59" i="2"/>
  <c r="HI59" i="2"/>
  <c r="HH59" i="2"/>
  <c r="HG59" i="2"/>
  <c r="HF59" i="2"/>
  <c r="HE59" i="2"/>
  <c r="HD59" i="2"/>
  <c r="HC59" i="2"/>
  <c r="HB59" i="2"/>
  <c r="HA59" i="2"/>
  <c r="GZ59" i="2"/>
  <c r="GY59" i="2"/>
  <c r="GX59" i="2"/>
  <c r="GW59" i="2"/>
  <c r="GV59" i="2"/>
  <c r="GU59" i="2"/>
  <c r="GT59" i="2"/>
  <c r="GS59" i="2"/>
  <c r="GR59" i="2"/>
  <c r="GQ59" i="2"/>
  <c r="GP59" i="2"/>
  <c r="GO59" i="2"/>
  <c r="GN59" i="2"/>
  <c r="GM59" i="2"/>
  <c r="GL59" i="2"/>
  <c r="GK59" i="2"/>
  <c r="GJ59" i="2"/>
  <c r="GI59" i="2"/>
  <c r="GH59" i="2"/>
  <c r="GG59" i="2"/>
  <c r="GF59" i="2"/>
  <c r="GE59" i="2"/>
  <c r="GD59" i="2"/>
  <c r="GC59" i="2"/>
  <c r="GB59" i="2"/>
  <c r="GA59" i="2"/>
  <c r="FZ59" i="2"/>
  <c r="FY59" i="2"/>
  <c r="FX59" i="2"/>
  <c r="FW59" i="2"/>
  <c r="FV59" i="2"/>
  <c r="FU59" i="2"/>
  <c r="FT59" i="2"/>
  <c r="FS59" i="2"/>
  <c r="FR59" i="2"/>
  <c r="FQ59" i="2"/>
  <c r="FP59" i="2"/>
  <c r="FO59" i="2"/>
  <c r="FN59" i="2"/>
  <c r="FM59" i="2"/>
  <c r="FL59" i="2"/>
  <c r="FK59" i="2"/>
  <c r="FJ59" i="2"/>
  <c r="FI59" i="2"/>
  <c r="FH59" i="2"/>
  <c r="FG59" i="2"/>
  <c r="FF59" i="2"/>
  <c r="FE59" i="2"/>
  <c r="FD59" i="2"/>
  <c r="FC59" i="2"/>
  <c r="FB59" i="2"/>
  <c r="FA59" i="2"/>
  <c r="EZ59" i="2"/>
  <c r="EY59" i="2"/>
  <c r="EX59" i="2"/>
  <c r="EW59" i="2"/>
  <c r="EV59" i="2"/>
  <c r="EU59" i="2"/>
  <c r="ET59" i="2"/>
  <c r="ES59" i="2"/>
  <c r="ER59" i="2"/>
  <c r="EQ59" i="2"/>
  <c r="EP59" i="2"/>
  <c r="EO59" i="2"/>
  <c r="EN59" i="2"/>
  <c r="EM59" i="2"/>
  <c r="EL59" i="2"/>
  <c r="EK59" i="2"/>
  <c r="EJ59" i="2"/>
  <c r="EI59" i="2"/>
  <c r="EH59" i="2"/>
  <c r="EG59" i="2"/>
  <c r="EF59" i="2"/>
  <c r="EE59" i="2"/>
  <c r="ED59" i="2"/>
  <c r="EC59" i="2"/>
  <c r="EB59" i="2"/>
  <c r="EA59" i="2"/>
  <c r="DZ59" i="2"/>
  <c r="DY59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PI58" i="2"/>
  <c r="PH58" i="2"/>
  <c r="PG58" i="2"/>
  <c r="PF58" i="2"/>
  <c r="PE58" i="2"/>
  <c r="PD58" i="2"/>
  <c r="PC58" i="2"/>
  <c r="PB58" i="2"/>
  <c r="PA58" i="2"/>
  <c r="OZ58" i="2"/>
  <c r="OY58" i="2"/>
  <c r="OX58" i="2"/>
  <c r="OW58" i="2"/>
  <c r="OV58" i="2"/>
  <c r="OU58" i="2"/>
  <c r="OT58" i="2"/>
  <c r="OS58" i="2"/>
  <c r="OR58" i="2"/>
  <c r="OQ58" i="2"/>
  <c r="OP58" i="2"/>
  <c r="OO58" i="2"/>
  <c r="ON58" i="2"/>
  <c r="OM58" i="2"/>
  <c r="OL58" i="2"/>
  <c r="OK58" i="2"/>
  <c r="OJ58" i="2"/>
  <c r="OI58" i="2"/>
  <c r="OH58" i="2"/>
  <c r="OG58" i="2"/>
  <c r="OF58" i="2"/>
  <c r="OE58" i="2"/>
  <c r="OD58" i="2"/>
  <c r="OC58" i="2"/>
  <c r="OB58" i="2"/>
  <c r="OA58" i="2"/>
  <c r="NZ58" i="2"/>
  <c r="NY58" i="2"/>
  <c r="NX58" i="2"/>
  <c r="NW58" i="2"/>
  <c r="NV58" i="2"/>
  <c r="NU58" i="2"/>
  <c r="NT58" i="2"/>
  <c r="NS58" i="2"/>
  <c r="NR58" i="2"/>
  <c r="NQ58" i="2"/>
  <c r="NP58" i="2"/>
  <c r="NO58" i="2"/>
  <c r="NN58" i="2"/>
  <c r="NM58" i="2"/>
  <c r="NL58" i="2"/>
  <c r="NK58" i="2"/>
  <c r="NJ58" i="2"/>
  <c r="NI58" i="2"/>
  <c r="NH58" i="2"/>
  <c r="NG58" i="2"/>
  <c r="NF58" i="2"/>
  <c r="NE58" i="2"/>
  <c r="ND58" i="2"/>
  <c r="NC58" i="2"/>
  <c r="NB58" i="2"/>
  <c r="NA58" i="2"/>
  <c r="MZ58" i="2"/>
  <c r="MY58" i="2"/>
  <c r="MX58" i="2"/>
  <c r="MW58" i="2"/>
  <c r="MV58" i="2"/>
  <c r="MU58" i="2"/>
  <c r="MT58" i="2"/>
  <c r="MS58" i="2"/>
  <c r="MR58" i="2"/>
  <c r="MQ58" i="2"/>
  <c r="MP58" i="2"/>
  <c r="MO58" i="2"/>
  <c r="MN58" i="2"/>
  <c r="MM58" i="2"/>
  <c r="ML58" i="2"/>
  <c r="MK58" i="2"/>
  <c r="MJ58" i="2"/>
  <c r="MI58" i="2"/>
  <c r="MH58" i="2"/>
  <c r="MG58" i="2"/>
  <c r="MF58" i="2"/>
  <c r="ME58" i="2"/>
  <c r="MD58" i="2"/>
  <c r="MC58" i="2"/>
  <c r="MB58" i="2"/>
  <c r="MA58" i="2"/>
  <c r="LZ58" i="2"/>
  <c r="LY58" i="2"/>
  <c r="LX58" i="2"/>
  <c r="LW58" i="2"/>
  <c r="LV58" i="2"/>
  <c r="LU58" i="2"/>
  <c r="LT58" i="2"/>
  <c r="LS58" i="2"/>
  <c r="LR58" i="2"/>
  <c r="LQ58" i="2"/>
  <c r="LP58" i="2"/>
  <c r="LO58" i="2"/>
  <c r="LN58" i="2"/>
  <c r="LM58" i="2"/>
  <c r="LL58" i="2"/>
  <c r="LK58" i="2"/>
  <c r="LJ58" i="2"/>
  <c r="LI58" i="2"/>
  <c r="LH58" i="2"/>
  <c r="LG58" i="2"/>
  <c r="LF58" i="2"/>
  <c r="LE58" i="2"/>
  <c r="LD58" i="2"/>
  <c r="LC58" i="2"/>
  <c r="LB58" i="2"/>
  <c r="LA58" i="2"/>
  <c r="KZ58" i="2"/>
  <c r="KY58" i="2"/>
  <c r="KX58" i="2"/>
  <c r="KW58" i="2"/>
  <c r="KV58" i="2"/>
  <c r="KU58" i="2"/>
  <c r="KT58" i="2"/>
  <c r="KS58" i="2"/>
  <c r="KR58" i="2"/>
  <c r="KQ58" i="2"/>
  <c r="KP58" i="2"/>
  <c r="KO58" i="2"/>
  <c r="KN58" i="2"/>
  <c r="KM58" i="2"/>
  <c r="KL58" i="2"/>
  <c r="KK58" i="2"/>
  <c r="KJ58" i="2"/>
  <c r="KI58" i="2"/>
  <c r="KH58" i="2"/>
  <c r="KG58" i="2"/>
  <c r="KF58" i="2"/>
  <c r="KE58" i="2"/>
  <c r="KD58" i="2"/>
  <c r="KC58" i="2"/>
  <c r="KB58" i="2"/>
  <c r="KA58" i="2"/>
  <c r="JZ58" i="2"/>
  <c r="JY58" i="2"/>
  <c r="JX58" i="2"/>
  <c r="JW58" i="2"/>
  <c r="JV58" i="2"/>
  <c r="JU58" i="2"/>
  <c r="JT58" i="2"/>
  <c r="JS58" i="2"/>
  <c r="JR58" i="2"/>
  <c r="JQ58" i="2"/>
  <c r="JP58" i="2"/>
  <c r="JO58" i="2"/>
  <c r="JN58" i="2"/>
  <c r="JM58" i="2"/>
  <c r="JL58" i="2"/>
  <c r="JK58" i="2"/>
  <c r="JJ58" i="2"/>
  <c r="JI58" i="2"/>
  <c r="JH58" i="2"/>
  <c r="JG58" i="2"/>
  <c r="JF58" i="2"/>
  <c r="JE58" i="2"/>
  <c r="JD58" i="2"/>
  <c r="JC58" i="2"/>
  <c r="JB58" i="2"/>
  <c r="JA58" i="2"/>
  <c r="IZ58" i="2"/>
  <c r="IY58" i="2"/>
  <c r="IX58" i="2"/>
  <c r="IW58" i="2"/>
  <c r="IV58" i="2"/>
  <c r="IU58" i="2"/>
  <c r="IT58" i="2"/>
  <c r="IS58" i="2"/>
  <c r="IR58" i="2"/>
  <c r="IQ58" i="2"/>
  <c r="IP58" i="2"/>
  <c r="IO58" i="2"/>
  <c r="IN58" i="2"/>
  <c r="IM58" i="2"/>
  <c r="IL58" i="2"/>
  <c r="IK58" i="2"/>
  <c r="IJ58" i="2"/>
  <c r="II58" i="2"/>
  <c r="IH58" i="2"/>
  <c r="IG58" i="2"/>
  <c r="IF58" i="2"/>
  <c r="IE58" i="2"/>
  <c r="ID58" i="2"/>
  <c r="IC58" i="2"/>
  <c r="IB58" i="2"/>
  <c r="IA58" i="2"/>
  <c r="HZ58" i="2"/>
  <c r="HY58" i="2"/>
  <c r="HX58" i="2"/>
  <c r="HW58" i="2"/>
  <c r="HV58" i="2"/>
  <c r="HU58" i="2"/>
  <c r="HT58" i="2"/>
  <c r="HS58" i="2"/>
  <c r="HR58" i="2"/>
  <c r="HQ58" i="2"/>
  <c r="HP58" i="2"/>
  <c r="HO58" i="2"/>
  <c r="HN58" i="2"/>
  <c r="HM58" i="2"/>
  <c r="HL58" i="2"/>
  <c r="HK58" i="2"/>
  <c r="HJ58" i="2"/>
  <c r="HI58" i="2"/>
  <c r="HH58" i="2"/>
  <c r="HG58" i="2"/>
  <c r="HF58" i="2"/>
  <c r="HE58" i="2"/>
  <c r="HD58" i="2"/>
  <c r="HC58" i="2"/>
  <c r="HB58" i="2"/>
  <c r="HA58" i="2"/>
  <c r="GZ58" i="2"/>
  <c r="GY58" i="2"/>
  <c r="GX58" i="2"/>
  <c r="GW58" i="2"/>
  <c r="GV58" i="2"/>
  <c r="GU58" i="2"/>
  <c r="GT58" i="2"/>
  <c r="GS58" i="2"/>
  <c r="GR58" i="2"/>
  <c r="GQ58" i="2"/>
  <c r="GP58" i="2"/>
  <c r="GO58" i="2"/>
  <c r="GN58" i="2"/>
  <c r="GM58" i="2"/>
  <c r="GL58" i="2"/>
  <c r="GK58" i="2"/>
  <c r="GJ58" i="2"/>
  <c r="GI58" i="2"/>
  <c r="GH58" i="2"/>
  <c r="GG58" i="2"/>
  <c r="GF58" i="2"/>
  <c r="GE58" i="2"/>
  <c r="GD58" i="2"/>
  <c r="GC58" i="2"/>
  <c r="GB58" i="2"/>
  <c r="GA58" i="2"/>
  <c r="FZ58" i="2"/>
  <c r="FY58" i="2"/>
  <c r="FX58" i="2"/>
  <c r="FW58" i="2"/>
  <c r="FV58" i="2"/>
  <c r="FU58" i="2"/>
  <c r="FT58" i="2"/>
  <c r="FS58" i="2"/>
  <c r="FR58" i="2"/>
  <c r="FQ58" i="2"/>
  <c r="FP58" i="2"/>
  <c r="FO58" i="2"/>
  <c r="FN58" i="2"/>
  <c r="FM58" i="2"/>
  <c r="FL58" i="2"/>
  <c r="FK58" i="2"/>
  <c r="FJ58" i="2"/>
  <c r="FI58" i="2"/>
  <c r="FH58" i="2"/>
  <c r="FG58" i="2"/>
  <c r="FF58" i="2"/>
  <c r="FE58" i="2"/>
  <c r="FD58" i="2"/>
  <c r="FC58" i="2"/>
  <c r="FB58" i="2"/>
  <c r="FA58" i="2"/>
  <c r="EZ58" i="2"/>
  <c r="EY58" i="2"/>
  <c r="EX58" i="2"/>
  <c r="EW58" i="2"/>
  <c r="EV58" i="2"/>
  <c r="EU58" i="2"/>
  <c r="ET58" i="2"/>
  <c r="ES58" i="2"/>
  <c r="ER58" i="2"/>
  <c r="EQ58" i="2"/>
  <c r="EP58" i="2"/>
  <c r="EO58" i="2"/>
  <c r="EN58" i="2"/>
  <c r="EM58" i="2"/>
  <c r="EL58" i="2"/>
  <c r="EK58" i="2"/>
  <c r="EJ58" i="2"/>
  <c r="EI58" i="2"/>
  <c r="EH58" i="2"/>
  <c r="EG58" i="2"/>
  <c r="EF58" i="2"/>
  <c r="EE58" i="2"/>
  <c r="ED58" i="2"/>
  <c r="EC58" i="2"/>
  <c r="EB58" i="2"/>
  <c r="EA58" i="2"/>
  <c r="DZ58" i="2"/>
  <c r="DY58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PI57" i="2"/>
  <c r="PH57" i="2"/>
  <c r="PG57" i="2"/>
  <c r="PF57" i="2"/>
  <c r="PE57" i="2"/>
  <c r="PD57" i="2"/>
  <c r="PC57" i="2"/>
  <c r="PB57" i="2"/>
  <c r="PA57" i="2"/>
  <c r="OZ57" i="2"/>
  <c r="OY57" i="2"/>
  <c r="OX57" i="2"/>
  <c r="OW57" i="2"/>
  <c r="OV57" i="2"/>
  <c r="OU57" i="2"/>
  <c r="OT57" i="2"/>
  <c r="OS57" i="2"/>
  <c r="OR57" i="2"/>
  <c r="OQ57" i="2"/>
  <c r="OP57" i="2"/>
  <c r="OO57" i="2"/>
  <c r="ON57" i="2"/>
  <c r="OM57" i="2"/>
  <c r="OL57" i="2"/>
  <c r="OK57" i="2"/>
  <c r="OJ57" i="2"/>
  <c r="OI57" i="2"/>
  <c r="OH57" i="2"/>
  <c r="OG57" i="2"/>
  <c r="OF57" i="2"/>
  <c r="OE57" i="2"/>
  <c r="OD57" i="2"/>
  <c r="OC57" i="2"/>
  <c r="OB57" i="2"/>
  <c r="OA57" i="2"/>
  <c r="NZ57" i="2"/>
  <c r="NY57" i="2"/>
  <c r="NX57" i="2"/>
  <c r="NW57" i="2"/>
  <c r="NV57" i="2"/>
  <c r="NU57" i="2"/>
  <c r="NT57" i="2"/>
  <c r="NS57" i="2"/>
  <c r="NR57" i="2"/>
  <c r="NQ57" i="2"/>
  <c r="NP57" i="2"/>
  <c r="NO57" i="2"/>
  <c r="NN57" i="2"/>
  <c r="NM57" i="2"/>
  <c r="NL57" i="2"/>
  <c r="NK57" i="2"/>
  <c r="NJ57" i="2"/>
  <c r="NI57" i="2"/>
  <c r="NH57" i="2"/>
  <c r="NG57" i="2"/>
  <c r="NF57" i="2"/>
  <c r="NE57" i="2"/>
  <c r="ND57" i="2"/>
  <c r="NC57" i="2"/>
  <c r="NB57" i="2"/>
  <c r="NA57" i="2"/>
  <c r="MZ57" i="2"/>
  <c r="MY57" i="2"/>
  <c r="MX57" i="2"/>
  <c r="MW57" i="2"/>
  <c r="MV57" i="2"/>
  <c r="MU57" i="2"/>
  <c r="MT57" i="2"/>
  <c r="MS57" i="2"/>
  <c r="MR57" i="2"/>
  <c r="MQ57" i="2"/>
  <c r="MP57" i="2"/>
  <c r="MO57" i="2"/>
  <c r="MN57" i="2"/>
  <c r="MM57" i="2"/>
  <c r="ML57" i="2"/>
  <c r="MK57" i="2"/>
  <c r="MJ57" i="2"/>
  <c r="MI57" i="2"/>
  <c r="MH57" i="2"/>
  <c r="MG57" i="2"/>
  <c r="MF57" i="2"/>
  <c r="ME57" i="2"/>
  <c r="MD57" i="2"/>
  <c r="MC57" i="2"/>
  <c r="MB57" i="2"/>
  <c r="MA57" i="2"/>
  <c r="LZ57" i="2"/>
  <c r="LY57" i="2"/>
  <c r="LX57" i="2"/>
  <c r="LW57" i="2"/>
  <c r="LV57" i="2"/>
  <c r="LU57" i="2"/>
  <c r="LT57" i="2"/>
  <c r="LS57" i="2"/>
  <c r="LR57" i="2"/>
  <c r="LQ57" i="2"/>
  <c r="LP57" i="2"/>
  <c r="LO57" i="2"/>
  <c r="LN57" i="2"/>
  <c r="LM57" i="2"/>
  <c r="LL57" i="2"/>
  <c r="LK57" i="2"/>
  <c r="LJ57" i="2"/>
  <c r="LI57" i="2"/>
  <c r="LH57" i="2"/>
  <c r="LG57" i="2"/>
  <c r="LF57" i="2"/>
  <c r="LE57" i="2"/>
  <c r="LD57" i="2"/>
  <c r="LC57" i="2"/>
  <c r="LB57" i="2"/>
  <c r="LA57" i="2"/>
  <c r="KZ57" i="2"/>
  <c r="KY57" i="2"/>
  <c r="KX57" i="2"/>
  <c r="KW57" i="2"/>
  <c r="KV57" i="2"/>
  <c r="KU57" i="2"/>
  <c r="KT57" i="2"/>
  <c r="KS57" i="2"/>
  <c r="KR57" i="2"/>
  <c r="KQ57" i="2"/>
  <c r="KP57" i="2"/>
  <c r="KO57" i="2"/>
  <c r="KN57" i="2"/>
  <c r="KM57" i="2"/>
  <c r="KL57" i="2"/>
  <c r="KK57" i="2"/>
  <c r="KJ57" i="2"/>
  <c r="KI57" i="2"/>
  <c r="KH57" i="2"/>
  <c r="KG57" i="2"/>
  <c r="KF57" i="2"/>
  <c r="KE57" i="2"/>
  <c r="KD57" i="2"/>
  <c r="KC57" i="2"/>
  <c r="KB57" i="2"/>
  <c r="KA57" i="2"/>
  <c r="JZ57" i="2"/>
  <c r="JY57" i="2"/>
  <c r="JX57" i="2"/>
  <c r="JW57" i="2"/>
  <c r="JV57" i="2"/>
  <c r="JU57" i="2"/>
  <c r="JT57" i="2"/>
  <c r="JS57" i="2"/>
  <c r="JR57" i="2"/>
  <c r="JQ57" i="2"/>
  <c r="JP57" i="2"/>
  <c r="JO57" i="2"/>
  <c r="JN57" i="2"/>
  <c r="JM57" i="2"/>
  <c r="JL57" i="2"/>
  <c r="JK57" i="2"/>
  <c r="JJ57" i="2"/>
  <c r="JI57" i="2"/>
  <c r="JH57" i="2"/>
  <c r="JG57" i="2"/>
  <c r="JF57" i="2"/>
  <c r="JE57" i="2"/>
  <c r="JD57" i="2"/>
  <c r="JC57" i="2"/>
  <c r="JB57" i="2"/>
  <c r="JA57" i="2"/>
  <c r="IZ57" i="2"/>
  <c r="IY57" i="2"/>
  <c r="IX57" i="2"/>
  <c r="IW57" i="2"/>
  <c r="IV57" i="2"/>
  <c r="IU57" i="2"/>
  <c r="IT57" i="2"/>
  <c r="IS57" i="2"/>
  <c r="IR57" i="2"/>
  <c r="IQ57" i="2"/>
  <c r="IP57" i="2"/>
  <c r="IO57" i="2"/>
  <c r="IN57" i="2"/>
  <c r="IM57" i="2"/>
  <c r="IL57" i="2"/>
  <c r="IK57" i="2"/>
  <c r="IJ57" i="2"/>
  <c r="II57" i="2"/>
  <c r="IH57" i="2"/>
  <c r="IG57" i="2"/>
  <c r="IF57" i="2"/>
  <c r="IE57" i="2"/>
  <c r="ID57" i="2"/>
  <c r="IC57" i="2"/>
  <c r="IB57" i="2"/>
  <c r="IA57" i="2"/>
  <c r="HZ57" i="2"/>
  <c r="HY57" i="2"/>
  <c r="HX57" i="2"/>
  <c r="HW57" i="2"/>
  <c r="HV57" i="2"/>
  <c r="HU57" i="2"/>
  <c r="HT57" i="2"/>
  <c r="HS57" i="2"/>
  <c r="HR57" i="2"/>
  <c r="HQ57" i="2"/>
  <c r="HP57" i="2"/>
  <c r="HO57" i="2"/>
  <c r="HN57" i="2"/>
  <c r="HM57" i="2"/>
  <c r="HL57" i="2"/>
  <c r="HK57" i="2"/>
  <c r="HJ57" i="2"/>
  <c r="HI57" i="2"/>
  <c r="HH57" i="2"/>
  <c r="HG57" i="2"/>
  <c r="HF57" i="2"/>
  <c r="HE57" i="2"/>
  <c r="HD57" i="2"/>
  <c r="HC57" i="2"/>
  <c r="HB57" i="2"/>
  <c r="HA57" i="2"/>
  <c r="GZ57" i="2"/>
  <c r="GY57" i="2"/>
  <c r="GX57" i="2"/>
  <c r="GW57" i="2"/>
  <c r="GV57" i="2"/>
  <c r="GU57" i="2"/>
  <c r="GT57" i="2"/>
  <c r="GS57" i="2"/>
  <c r="GR57" i="2"/>
  <c r="GQ57" i="2"/>
  <c r="GP57" i="2"/>
  <c r="GO57" i="2"/>
  <c r="GN57" i="2"/>
  <c r="GM57" i="2"/>
  <c r="GL57" i="2"/>
  <c r="GK57" i="2"/>
  <c r="GJ57" i="2"/>
  <c r="GI57" i="2"/>
  <c r="GH57" i="2"/>
  <c r="GG57" i="2"/>
  <c r="GF57" i="2"/>
  <c r="GE57" i="2"/>
  <c r="GD57" i="2"/>
  <c r="GC57" i="2"/>
  <c r="GB57" i="2"/>
  <c r="GA57" i="2"/>
  <c r="FZ57" i="2"/>
  <c r="FY57" i="2"/>
  <c r="FX57" i="2"/>
  <c r="FW57" i="2"/>
  <c r="FV57" i="2"/>
  <c r="FU57" i="2"/>
  <c r="FT57" i="2"/>
  <c r="FS57" i="2"/>
  <c r="FR57" i="2"/>
  <c r="FQ57" i="2"/>
  <c r="FP57" i="2"/>
  <c r="FO57" i="2"/>
  <c r="FN57" i="2"/>
  <c r="FM57" i="2"/>
  <c r="FL57" i="2"/>
  <c r="FK57" i="2"/>
  <c r="FJ57" i="2"/>
  <c r="FI57" i="2"/>
  <c r="FH57" i="2"/>
  <c r="FG57" i="2"/>
  <c r="FF57" i="2"/>
  <c r="FE57" i="2"/>
  <c r="FD57" i="2"/>
  <c r="FC57" i="2"/>
  <c r="FB57" i="2"/>
  <c r="FA57" i="2"/>
  <c r="EZ57" i="2"/>
  <c r="EY57" i="2"/>
  <c r="EX57" i="2"/>
  <c r="EW57" i="2"/>
  <c r="EV57" i="2"/>
  <c r="EU57" i="2"/>
  <c r="ET57" i="2"/>
  <c r="ES57" i="2"/>
  <c r="ER57" i="2"/>
  <c r="EQ57" i="2"/>
  <c r="EP57" i="2"/>
  <c r="EO57" i="2"/>
  <c r="EN57" i="2"/>
  <c r="EM57" i="2"/>
  <c r="EL57" i="2"/>
  <c r="EK57" i="2"/>
  <c r="EJ57" i="2"/>
  <c r="EI57" i="2"/>
  <c r="EH57" i="2"/>
  <c r="EG57" i="2"/>
  <c r="EF57" i="2"/>
  <c r="EE57" i="2"/>
  <c r="ED57" i="2"/>
  <c r="EC57" i="2"/>
  <c r="EB57" i="2"/>
  <c r="EA57" i="2"/>
  <c r="DZ57" i="2"/>
  <c r="DY57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PI56" i="2"/>
  <c r="PH56" i="2"/>
  <c r="PG56" i="2"/>
  <c r="PF56" i="2"/>
  <c r="PE56" i="2"/>
  <c r="PD56" i="2"/>
  <c r="PC56" i="2"/>
  <c r="PB56" i="2"/>
  <c r="PA56" i="2"/>
  <c r="OZ56" i="2"/>
  <c r="OY56" i="2"/>
  <c r="OX56" i="2"/>
  <c r="OW56" i="2"/>
  <c r="OV56" i="2"/>
  <c r="OU56" i="2"/>
  <c r="OT56" i="2"/>
  <c r="OS56" i="2"/>
  <c r="OR56" i="2"/>
  <c r="OQ56" i="2"/>
  <c r="OP56" i="2"/>
  <c r="OO56" i="2"/>
  <c r="ON56" i="2"/>
  <c r="OM56" i="2"/>
  <c r="OL56" i="2"/>
  <c r="OK56" i="2"/>
  <c r="OJ56" i="2"/>
  <c r="OI56" i="2"/>
  <c r="OH56" i="2"/>
  <c r="OG56" i="2"/>
  <c r="OF56" i="2"/>
  <c r="OE56" i="2"/>
  <c r="OD56" i="2"/>
  <c r="OC56" i="2"/>
  <c r="OB56" i="2"/>
  <c r="OA56" i="2"/>
  <c r="NZ56" i="2"/>
  <c r="NY56" i="2"/>
  <c r="NX56" i="2"/>
  <c r="NW56" i="2"/>
  <c r="NV56" i="2"/>
  <c r="NU56" i="2"/>
  <c r="NT56" i="2"/>
  <c r="NS56" i="2"/>
  <c r="NR56" i="2"/>
  <c r="NQ56" i="2"/>
  <c r="NP56" i="2"/>
  <c r="NO56" i="2"/>
  <c r="NN56" i="2"/>
  <c r="NM56" i="2"/>
  <c r="NL56" i="2"/>
  <c r="NK56" i="2"/>
  <c r="NJ56" i="2"/>
  <c r="NI56" i="2"/>
  <c r="NH56" i="2"/>
  <c r="NG56" i="2"/>
  <c r="NF56" i="2"/>
  <c r="NE56" i="2"/>
  <c r="ND56" i="2"/>
  <c r="NC56" i="2"/>
  <c r="NB56" i="2"/>
  <c r="NA56" i="2"/>
  <c r="MZ56" i="2"/>
  <c r="MY56" i="2"/>
  <c r="MX56" i="2"/>
  <c r="MW56" i="2"/>
  <c r="MV56" i="2"/>
  <c r="MU56" i="2"/>
  <c r="MT56" i="2"/>
  <c r="MS56" i="2"/>
  <c r="MR56" i="2"/>
  <c r="MQ56" i="2"/>
  <c r="MP56" i="2"/>
  <c r="MO56" i="2"/>
  <c r="MN56" i="2"/>
  <c r="MM56" i="2"/>
  <c r="ML56" i="2"/>
  <c r="MK56" i="2"/>
  <c r="MJ56" i="2"/>
  <c r="MI56" i="2"/>
  <c r="MH56" i="2"/>
  <c r="MG56" i="2"/>
  <c r="MF56" i="2"/>
  <c r="ME56" i="2"/>
  <c r="MD56" i="2"/>
  <c r="MC56" i="2"/>
  <c r="MB56" i="2"/>
  <c r="MA56" i="2"/>
  <c r="LZ56" i="2"/>
  <c r="LY56" i="2"/>
  <c r="LX56" i="2"/>
  <c r="LW56" i="2"/>
  <c r="LV56" i="2"/>
  <c r="LU56" i="2"/>
  <c r="LT56" i="2"/>
  <c r="LS56" i="2"/>
  <c r="LR56" i="2"/>
  <c r="LQ56" i="2"/>
  <c r="LP56" i="2"/>
  <c r="LO56" i="2"/>
  <c r="LN56" i="2"/>
  <c r="LM56" i="2"/>
  <c r="LL56" i="2"/>
  <c r="LK56" i="2"/>
  <c r="LJ56" i="2"/>
  <c r="LI56" i="2"/>
  <c r="LH56" i="2"/>
  <c r="LG56" i="2"/>
  <c r="LF56" i="2"/>
  <c r="LE56" i="2"/>
  <c r="LD56" i="2"/>
  <c r="LC56" i="2"/>
  <c r="LB56" i="2"/>
  <c r="LA56" i="2"/>
  <c r="KZ56" i="2"/>
  <c r="KY56" i="2"/>
  <c r="KX56" i="2"/>
  <c r="KW56" i="2"/>
  <c r="KV56" i="2"/>
  <c r="KU56" i="2"/>
  <c r="KT56" i="2"/>
  <c r="KS56" i="2"/>
  <c r="KR56" i="2"/>
  <c r="KQ56" i="2"/>
  <c r="KP56" i="2"/>
  <c r="KO56" i="2"/>
  <c r="KN56" i="2"/>
  <c r="KM56" i="2"/>
  <c r="KL56" i="2"/>
  <c r="KK56" i="2"/>
  <c r="KJ56" i="2"/>
  <c r="KI56" i="2"/>
  <c r="KH56" i="2"/>
  <c r="KG56" i="2"/>
  <c r="KF56" i="2"/>
  <c r="KE56" i="2"/>
  <c r="KD56" i="2"/>
  <c r="KC56" i="2"/>
  <c r="KB56" i="2"/>
  <c r="KA56" i="2"/>
  <c r="JZ56" i="2"/>
  <c r="JY56" i="2"/>
  <c r="JX56" i="2"/>
  <c r="JW56" i="2"/>
  <c r="JV56" i="2"/>
  <c r="JU56" i="2"/>
  <c r="JT56" i="2"/>
  <c r="JS56" i="2"/>
  <c r="JR56" i="2"/>
  <c r="JQ56" i="2"/>
  <c r="JP56" i="2"/>
  <c r="JO56" i="2"/>
  <c r="JN56" i="2"/>
  <c r="JM56" i="2"/>
  <c r="JL56" i="2"/>
  <c r="JK56" i="2"/>
  <c r="JJ56" i="2"/>
  <c r="JI56" i="2"/>
  <c r="JH56" i="2"/>
  <c r="JG56" i="2"/>
  <c r="JF56" i="2"/>
  <c r="JE56" i="2"/>
  <c r="JD56" i="2"/>
  <c r="JC56" i="2"/>
  <c r="JB56" i="2"/>
  <c r="JA56" i="2"/>
  <c r="IZ56" i="2"/>
  <c r="IY56" i="2"/>
  <c r="IX56" i="2"/>
  <c r="IW56" i="2"/>
  <c r="IV56" i="2"/>
  <c r="IU56" i="2"/>
  <c r="IT56" i="2"/>
  <c r="IS56" i="2"/>
  <c r="IR56" i="2"/>
  <c r="IQ56" i="2"/>
  <c r="IP56" i="2"/>
  <c r="IO56" i="2"/>
  <c r="IN56" i="2"/>
  <c r="IM56" i="2"/>
  <c r="IL56" i="2"/>
  <c r="IK56" i="2"/>
  <c r="IJ56" i="2"/>
  <c r="II56" i="2"/>
  <c r="IH56" i="2"/>
  <c r="IG56" i="2"/>
  <c r="IF56" i="2"/>
  <c r="IE56" i="2"/>
  <c r="ID56" i="2"/>
  <c r="IC56" i="2"/>
  <c r="IB56" i="2"/>
  <c r="IA56" i="2"/>
  <c r="HZ56" i="2"/>
  <c r="HY56" i="2"/>
  <c r="HX56" i="2"/>
  <c r="HW56" i="2"/>
  <c r="HV56" i="2"/>
  <c r="HU56" i="2"/>
  <c r="HT56" i="2"/>
  <c r="HS56" i="2"/>
  <c r="HR56" i="2"/>
  <c r="HQ56" i="2"/>
  <c r="HP56" i="2"/>
  <c r="HO56" i="2"/>
  <c r="HN56" i="2"/>
  <c r="HM56" i="2"/>
  <c r="HL56" i="2"/>
  <c r="HK56" i="2"/>
  <c r="HJ56" i="2"/>
  <c r="HI56" i="2"/>
  <c r="HH56" i="2"/>
  <c r="HG56" i="2"/>
  <c r="HF56" i="2"/>
  <c r="HE56" i="2"/>
  <c r="HD56" i="2"/>
  <c r="HC56" i="2"/>
  <c r="HB56" i="2"/>
  <c r="HA56" i="2"/>
  <c r="GZ56" i="2"/>
  <c r="GY56" i="2"/>
  <c r="GX56" i="2"/>
  <c r="GW56" i="2"/>
  <c r="GV56" i="2"/>
  <c r="GU56" i="2"/>
  <c r="GT56" i="2"/>
  <c r="GS56" i="2"/>
  <c r="GR56" i="2"/>
  <c r="GQ56" i="2"/>
  <c r="GP56" i="2"/>
  <c r="GO56" i="2"/>
  <c r="GN56" i="2"/>
  <c r="GM56" i="2"/>
  <c r="GL56" i="2"/>
  <c r="GK56" i="2"/>
  <c r="GJ56" i="2"/>
  <c r="GI56" i="2"/>
  <c r="GH56" i="2"/>
  <c r="GG56" i="2"/>
  <c r="GF56" i="2"/>
  <c r="GE56" i="2"/>
  <c r="GD56" i="2"/>
  <c r="GC56" i="2"/>
  <c r="GB56" i="2"/>
  <c r="GA56" i="2"/>
  <c r="FZ56" i="2"/>
  <c r="FY56" i="2"/>
  <c r="FX56" i="2"/>
  <c r="FW56" i="2"/>
  <c r="FV56" i="2"/>
  <c r="FU56" i="2"/>
  <c r="FT56" i="2"/>
  <c r="FS56" i="2"/>
  <c r="FR56" i="2"/>
  <c r="FQ56" i="2"/>
  <c r="FP56" i="2"/>
  <c r="FO56" i="2"/>
  <c r="FN56" i="2"/>
  <c r="FM56" i="2"/>
  <c r="FL56" i="2"/>
  <c r="FK56" i="2"/>
  <c r="FJ56" i="2"/>
  <c r="FI56" i="2"/>
  <c r="FH56" i="2"/>
  <c r="FG56" i="2"/>
  <c r="FF56" i="2"/>
  <c r="FE56" i="2"/>
  <c r="FD56" i="2"/>
  <c r="FC56" i="2"/>
  <c r="FB56" i="2"/>
  <c r="FA56" i="2"/>
  <c r="EZ56" i="2"/>
  <c r="EY56" i="2"/>
  <c r="EX56" i="2"/>
  <c r="EW56" i="2"/>
  <c r="EV56" i="2"/>
  <c r="EU56" i="2"/>
  <c r="ET56" i="2"/>
  <c r="ES56" i="2"/>
  <c r="ER56" i="2"/>
  <c r="EQ56" i="2"/>
  <c r="EP56" i="2"/>
  <c r="EO56" i="2"/>
  <c r="EN56" i="2"/>
  <c r="EM56" i="2"/>
  <c r="EL56" i="2"/>
  <c r="EK56" i="2"/>
  <c r="EJ56" i="2"/>
  <c r="EI56" i="2"/>
  <c r="EH56" i="2"/>
  <c r="EG56" i="2"/>
  <c r="EF56" i="2"/>
  <c r="EE56" i="2"/>
  <c r="ED56" i="2"/>
  <c r="EC56" i="2"/>
  <c r="EB56" i="2"/>
  <c r="EA56" i="2"/>
  <c r="DZ56" i="2"/>
  <c r="DY56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PI55" i="2"/>
  <c r="PH55" i="2"/>
  <c r="PG55" i="2"/>
  <c r="PF55" i="2"/>
  <c r="PE55" i="2"/>
  <c r="PD55" i="2"/>
  <c r="PC55" i="2"/>
  <c r="PB55" i="2"/>
  <c r="PA55" i="2"/>
  <c r="OZ55" i="2"/>
  <c r="OY55" i="2"/>
  <c r="OX55" i="2"/>
  <c r="OW55" i="2"/>
  <c r="OV55" i="2"/>
  <c r="OU55" i="2"/>
  <c r="OT55" i="2"/>
  <c r="OS55" i="2"/>
  <c r="OR55" i="2"/>
  <c r="OQ55" i="2"/>
  <c r="OP55" i="2"/>
  <c r="OO55" i="2"/>
  <c r="ON55" i="2"/>
  <c r="OM55" i="2"/>
  <c r="OL55" i="2"/>
  <c r="OK55" i="2"/>
  <c r="OJ55" i="2"/>
  <c r="OI55" i="2"/>
  <c r="OH55" i="2"/>
  <c r="OG55" i="2"/>
  <c r="OF55" i="2"/>
  <c r="OE55" i="2"/>
  <c r="OD55" i="2"/>
  <c r="OC55" i="2"/>
  <c r="OB55" i="2"/>
  <c r="OA55" i="2"/>
  <c r="NZ55" i="2"/>
  <c r="NY55" i="2"/>
  <c r="NX55" i="2"/>
  <c r="NW55" i="2"/>
  <c r="NV55" i="2"/>
  <c r="NU55" i="2"/>
  <c r="NT55" i="2"/>
  <c r="NS55" i="2"/>
  <c r="NR55" i="2"/>
  <c r="NQ55" i="2"/>
  <c r="NP55" i="2"/>
  <c r="NO55" i="2"/>
  <c r="NN55" i="2"/>
  <c r="NM55" i="2"/>
  <c r="NL55" i="2"/>
  <c r="NK55" i="2"/>
  <c r="NJ55" i="2"/>
  <c r="NI55" i="2"/>
  <c r="NH55" i="2"/>
  <c r="NG55" i="2"/>
  <c r="NF55" i="2"/>
  <c r="NE55" i="2"/>
  <c r="ND55" i="2"/>
  <c r="NC55" i="2"/>
  <c r="NB55" i="2"/>
  <c r="NA55" i="2"/>
  <c r="MZ55" i="2"/>
  <c r="MY55" i="2"/>
  <c r="MX55" i="2"/>
  <c r="MW55" i="2"/>
  <c r="MV55" i="2"/>
  <c r="MU55" i="2"/>
  <c r="MT55" i="2"/>
  <c r="MS55" i="2"/>
  <c r="MR55" i="2"/>
  <c r="MQ55" i="2"/>
  <c r="MP55" i="2"/>
  <c r="MO55" i="2"/>
  <c r="MN55" i="2"/>
  <c r="MM55" i="2"/>
  <c r="ML55" i="2"/>
  <c r="MK55" i="2"/>
  <c r="MJ55" i="2"/>
  <c r="MI55" i="2"/>
  <c r="MH55" i="2"/>
  <c r="MG55" i="2"/>
  <c r="MF55" i="2"/>
  <c r="ME55" i="2"/>
  <c r="MD55" i="2"/>
  <c r="MC55" i="2"/>
  <c r="MB55" i="2"/>
  <c r="MA55" i="2"/>
  <c r="LZ55" i="2"/>
  <c r="LY55" i="2"/>
  <c r="LX55" i="2"/>
  <c r="LW55" i="2"/>
  <c r="LV55" i="2"/>
  <c r="LU55" i="2"/>
  <c r="LT55" i="2"/>
  <c r="LS55" i="2"/>
  <c r="LR55" i="2"/>
  <c r="LQ55" i="2"/>
  <c r="LP55" i="2"/>
  <c r="LO55" i="2"/>
  <c r="LN55" i="2"/>
  <c r="LM55" i="2"/>
  <c r="LL55" i="2"/>
  <c r="LK55" i="2"/>
  <c r="LJ55" i="2"/>
  <c r="LI55" i="2"/>
  <c r="LH55" i="2"/>
  <c r="LG55" i="2"/>
  <c r="LF55" i="2"/>
  <c r="LE55" i="2"/>
  <c r="LD55" i="2"/>
  <c r="LC55" i="2"/>
  <c r="LB55" i="2"/>
  <c r="LA55" i="2"/>
  <c r="KZ55" i="2"/>
  <c r="KY55" i="2"/>
  <c r="KX55" i="2"/>
  <c r="KW55" i="2"/>
  <c r="KV55" i="2"/>
  <c r="KU55" i="2"/>
  <c r="KT55" i="2"/>
  <c r="KS55" i="2"/>
  <c r="KR55" i="2"/>
  <c r="KQ55" i="2"/>
  <c r="KP55" i="2"/>
  <c r="KO55" i="2"/>
  <c r="KN55" i="2"/>
  <c r="KM55" i="2"/>
  <c r="KL55" i="2"/>
  <c r="KK55" i="2"/>
  <c r="KJ55" i="2"/>
  <c r="KI55" i="2"/>
  <c r="KH55" i="2"/>
  <c r="KG55" i="2"/>
  <c r="KF55" i="2"/>
  <c r="KE55" i="2"/>
  <c r="KD55" i="2"/>
  <c r="KC55" i="2"/>
  <c r="KB55" i="2"/>
  <c r="KA55" i="2"/>
  <c r="JZ55" i="2"/>
  <c r="JY55" i="2"/>
  <c r="JX55" i="2"/>
  <c r="JW55" i="2"/>
  <c r="JV55" i="2"/>
  <c r="JU55" i="2"/>
  <c r="JT55" i="2"/>
  <c r="JS55" i="2"/>
  <c r="JR55" i="2"/>
  <c r="JQ55" i="2"/>
  <c r="JP55" i="2"/>
  <c r="JO55" i="2"/>
  <c r="JN55" i="2"/>
  <c r="JM55" i="2"/>
  <c r="JL55" i="2"/>
  <c r="JK55" i="2"/>
  <c r="JJ55" i="2"/>
  <c r="JI55" i="2"/>
  <c r="JH55" i="2"/>
  <c r="JG55" i="2"/>
  <c r="JF55" i="2"/>
  <c r="JE55" i="2"/>
  <c r="JD55" i="2"/>
  <c r="JC55" i="2"/>
  <c r="JB55" i="2"/>
  <c r="JA55" i="2"/>
  <c r="IZ55" i="2"/>
  <c r="IY55" i="2"/>
  <c r="IX55" i="2"/>
  <c r="IW55" i="2"/>
  <c r="IV55" i="2"/>
  <c r="IU55" i="2"/>
  <c r="IT55" i="2"/>
  <c r="IS55" i="2"/>
  <c r="IR55" i="2"/>
  <c r="IQ55" i="2"/>
  <c r="IP55" i="2"/>
  <c r="IO55" i="2"/>
  <c r="IN55" i="2"/>
  <c r="IM55" i="2"/>
  <c r="IL55" i="2"/>
  <c r="IK55" i="2"/>
  <c r="IJ55" i="2"/>
  <c r="II55" i="2"/>
  <c r="IH55" i="2"/>
  <c r="IG55" i="2"/>
  <c r="IF55" i="2"/>
  <c r="IE55" i="2"/>
  <c r="ID55" i="2"/>
  <c r="IC55" i="2"/>
  <c r="IB55" i="2"/>
  <c r="IA55" i="2"/>
  <c r="HZ55" i="2"/>
  <c r="HY55" i="2"/>
  <c r="HX55" i="2"/>
  <c r="HW55" i="2"/>
  <c r="HV55" i="2"/>
  <c r="HU55" i="2"/>
  <c r="HT55" i="2"/>
  <c r="HS55" i="2"/>
  <c r="HR55" i="2"/>
  <c r="HQ55" i="2"/>
  <c r="HP55" i="2"/>
  <c r="HO55" i="2"/>
  <c r="HN55" i="2"/>
  <c r="HM55" i="2"/>
  <c r="HL55" i="2"/>
  <c r="HK55" i="2"/>
  <c r="HJ55" i="2"/>
  <c r="HI55" i="2"/>
  <c r="HH55" i="2"/>
  <c r="HG55" i="2"/>
  <c r="HF55" i="2"/>
  <c r="HE55" i="2"/>
  <c r="HD55" i="2"/>
  <c r="HC55" i="2"/>
  <c r="HB55" i="2"/>
  <c r="HA55" i="2"/>
  <c r="GZ55" i="2"/>
  <c r="GY55" i="2"/>
  <c r="GX55" i="2"/>
  <c r="GW55" i="2"/>
  <c r="GV55" i="2"/>
  <c r="GU55" i="2"/>
  <c r="GT55" i="2"/>
  <c r="GS55" i="2"/>
  <c r="GR55" i="2"/>
  <c r="GQ55" i="2"/>
  <c r="GP55" i="2"/>
  <c r="GO55" i="2"/>
  <c r="GN55" i="2"/>
  <c r="GM55" i="2"/>
  <c r="GL55" i="2"/>
  <c r="GK55" i="2"/>
  <c r="GJ55" i="2"/>
  <c r="GI55" i="2"/>
  <c r="GH55" i="2"/>
  <c r="GG55" i="2"/>
  <c r="GF55" i="2"/>
  <c r="GE55" i="2"/>
  <c r="GD55" i="2"/>
  <c r="GC55" i="2"/>
  <c r="GB55" i="2"/>
  <c r="GA55" i="2"/>
  <c r="FZ55" i="2"/>
  <c r="FY55" i="2"/>
  <c r="FX55" i="2"/>
  <c r="FW55" i="2"/>
  <c r="FV55" i="2"/>
  <c r="FU55" i="2"/>
  <c r="FT55" i="2"/>
  <c r="FS55" i="2"/>
  <c r="FR55" i="2"/>
  <c r="FQ55" i="2"/>
  <c r="FP55" i="2"/>
  <c r="FO55" i="2"/>
  <c r="FN55" i="2"/>
  <c r="FM55" i="2"/>
  <c r="FL55" i="2"/>
  <c r="FK55" i="2"/>
  <c r="FJ55" i="2"/>
  <c r="FI55" i="2"/>
  <c r="FH55" i="2"/>
  <c r="FG55" i="2"/>
  <c r="FF55" i="2"/>
  <c r="FE55" i="2"/>
  <c r="FD55" i="2"/>
  <c r="FC55" i="2"/>
  <c r="FB55" i="2"/>
  <c r="FA55" i="2"/>
  <c r="EZ55" i="2"/>
  <c r="EY55" i="2"/>
  <c r="EX55" i="2"/>
  <c r="EW55" i="2"/>
  <c r="EV55" i="2"/>
  <c r="EU55" i="2"/>
  <c r="ET55" i="2"/>
  <c r="ES55" i="2"/>
  <c r="ER55" i="2"/>
  <c r="EQ55" i="2"/>
  <c r="EP55" i="2"/>
  <c r="EO55" i="2"/>
  <c r="EN55" i="2"/>
  <c r="EM55" i="2"/>
  <c r="EL55" i="2"/>
  <c r="EK55" i="2"/>
  <c r="EJ55" i="2"/>
  <c r="EI55" i="2"/>
  <c r="EH55" i="2"/>
  <c r="EG55" i="2"/>
  <c r="EF55" i="2"/>
  <c r="EE55" i="2"/>
  <c r="ED55" i="2"/>
  <c r="EC55" i="2"/>
  <c r="EB55" i="2"/>
  <c r="EA55" i="2"/>
  <c r="DZ55" i="2"/>
  <c r="DY55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PI54" i="2"/>
  <c r="PH54" i="2"/>
  <c r="PG54" i="2"/>
  <c r="PF54" i="2"/>
  <c r="PE54" i="2"/>
  <c r="PD54" i="2"/>
  <c r="PC54" i="2"/>
  <c r="PB54" i="2"/>
  <c r="PA54" i="2"/>
  <c r="OZ54" i="2"/>
  <c r="OY54" i="2"/>
  <c r="OX54" i="2"/>
  <c r="OW54" i="2"/>
  <c r="OV54" i="2"/>
  <c r="OU54" i="2"/>
  <c r="OT54" i="2"/>
  <c r="OS54" i="2"/>
  <c r="OR54" i="2"/>
  <c r="OQ54" i="2"/>
  <c r="OP54" i="2"/>
  <c r="OO54" i="2"/>
  <c r="ON54" i="2"/>
  <c r="OM54" i="2"/>
  <c r="OL54" i="2"/>
  <c r="OK54" i="2"/>
  <c r="OJ54" i="2"/>
  <c r="OI54" i="2"/>
  <c r="OH54" i="2"/>
  <c r="OG54" i="2"/>
  <c r="OF54" i="2"/>
  <c r="OE54" i="2"/>
  <c r="OD54" i="2"/>
  <c r="OC54" i="2"/>
  <c r="OB54" i="2"/>
  <c r="OA54" i="2"/>
  <c r="NZ54" i="2"/>
  <c r="NY54" i="2"/>
  <c r="NX54" i="2"/>
  <c r="NW54" i="2"/>
  <c r="NV54" i="2"/>
  <c r="NU54" i="2"/>
  <c r="NT54" i="2"/>
  <c r="NS54" i="2"/>
  <c r="NR54" i="2"/>
  <c r="NQ54" i="2"/>
  <c r="NP54" i="2"/>
  <c r="NO54" i="2"/>
  <c r="NN54" i="2"/>
  <c r="NM54" i="2"/>
  <c r="NL54" i="2"/>
  <c r="NK54" i="2"/>
  <c r="NJ54" i="2"/>
  <c r="NI54" i="2"/>
  <c r="NH54" i="2"/>
  <c r="NG54" i="2"/>
  <c r="NF54" i="2"/>
  <c r="NE54" i="2"/>
  <c r="ND54" i="2"/>
  <c r="NC54" i="2"/>
  <c r="NB54" i="2"/>
  <c r="NA54" i="2"/>
  <c r="MZ54" i="2"/>
  <c r="MY54" i="2"/>
  <c r="MX54" i="2"/>
  <c r="MW54" i="2"/>
  <c r="MV54" i="2"/>
  <c r="MU54" i="2"/>
  <c r="MT54" i="2"/>
  <c r="MS54" i="2"/>
  <c r="MR54" i="2"/>
  <c r="MQ54" i="2"/>
  <c r="MP54" i="2"/>
  <c r="MO54" i="2"/>
  <c r="MN54" i="2"/>
  <c r="MM54" i="2"/>
  <c r="ML54" i="2"/>
  <c r="MK54" i="2"/>
  <c r="MJ54" i="2"/>
  <c r="MI54" i="2"/>
  <c r="MH54" i="2"/>
  <c r="MG54" i="2"/>
  <c r="MF54" i="2"/>
  <c r="ME54" i="2"/>
  <c r="MD54" i="2"/>
  <c r="MC54" i="2"/>
  <c r="MB54" i="2"/>
  <c r="MA54" i="2"/>
  <c r="LZ54" i="2"/>
  <c r="LY54" i="2"/>
  <c r="LX54" i="2"/>
  <c r="LW54" i="2"/>
  <c r="LV54" i="2"/>
  <c r="LU54" i="2"/>
  <c r="LT54" i="2"/>
  <c r="LS54" i="2"/>
  <c r="LR54" i="2"/>
  <c r="LQ54" i="2"/>
  <c r="LP54" i="2"/>
  <c r="LO54" i="2"/>
  <c r="LN54" i="2"/>
  <c r="LM54" i="2"/>
  <c r="LL54" i="2"/>
  <c r="LK54" i="2"/>
  <c r="LJ54" i="2"/>
  <c r="LI54" i="2"/>
  <c r="LH54" i="2"/>
  <c r="LG54" i="2"/>
  <c r="LF54" i="2"/>
  <c r="LE54" i="2"/>
  <c r="LD54" i="2"/>
  <c r="LC54" i="2"/>
  <c r="LB54" i="2"/>
  <c r="LA54" i="2"/>
  <c r="KZ54" i="2"/>
  <c r="KY54" i="2"/>
  <c r="KX54" i="2"/>
  <c r="KW54" i="2"/>
  <c r="KV54" i="2"/>
  <c r="KU54" i="2"/>
  <c r="KT54" i="2"/>
  <c r="KS54" i="2"/>
  <c r="KR54" i="2"/>
  <c r="KQ54" i="2"/>
  <c r="KP54" i="2"/>
  <c r="KO54" i="2"/>
  <c r="KN54" i="2"/>
  <c r="KM54" i="2"/>
  <c r="KL54" i="2"/>
  <c r="KK54" i="2"/>
  <c r="KJ54" i="2"/>
  <c r="KI54" i="2"/>
  <c r="KH54" i="2"/>
  <c r="KG54" i="2"/>
  <c r="KF54" i="2"/>
  <c r="KE54" i="2"/>
  <c r="KD54" i="2"/>
  <c r="KC54" i="2"/>
  <c r="KB54" i="2"/>
  <c r="KA54" i="2"/>
  <c r="JZ54" i="2"/>
  <c r="JY54" i="2"/>
  <c r="JX54" i="2"/>
  <c r="JW54" i="2"/>
  <c r="JV54" i="2"/>
  <c r="JU54" i="2"/>
  <c r="JT54" i="2"/>
  <c r="JS54" i="2"/>
  <c r="JR54" i="2"/>
  <c r="JQ54" i="2"/>
  <c r="JP54" i="2"/>
  <c r="JO54" i="2"/>
  <c r="JN54" i="2"/>
  <c r="JM54" i="2"/>
  <c r="JL54" i="2"/>
  <c r="JK54" i="2"/>
  <c r="JJ54" i="2"/>
  <c r="JI54" i="2"/>
  <c r="JH54" i="2"/>
  <c r="JG54" i="2"/>
  <c r="JF54" i="2"/>
  <c r="JE54" i="2"/>
  <c r="JD54" i="2"/>
  <c r="JC54" i="2"/>
  <c r="JB54" i="2"/>
  <c r="JA54" i="2"/>
  <c r="IZ54" i="2"/>
  <c r="IY54" i="2"/>
  <c r="IX54" i="2"/>
  <c r="IW54" i="2"/>
  <c r="IV54" i="2"/>
  <c r="IU54" i="2"/>
  <c r="IT54" i="2"/>
  <c r="IS54" i="2"/>
  <c r="IR54" i="2"/>
  <c r="IQ54" i="2"/>
  <c r="IP54" i="2"/>
  <c r="IO54" i="2"/>
  <c r="IN54" i="2"/>
  <c r="IM54" i="2"/>
  <c r="IL54" i="2"/>
  <c r="IK54" i="2"/>
  <c r="IJ54" i="2"/>
  <c r="II54" i="2"/>
  <c r="IH54" i="2"/>
  <c r="IG54" i="2"/>
  <c r="IF54" i="2"/>
  <c r="IE54" i="2"/>
  <c r="ID54" i="2"/>
  <c r="IC54" i="2"/>
  <c r="IB54" i="2"/>
  <c r="IA54" i="2"/>
  <c r="HZ54" i="2"/>
  <c r="HY54" i="2"/>
  <c r="HX54" i="2"/>
  <c r="HW54" i="2"/>
  <c r="HV54" i="2"/>
  <c r="HU54" i="2"/>
  <c r="HT54" i="2"/>
  <c r="HS54" i="2"/>
  <c r="HR54" i="2"/>
  <c r="HQ54" i="2"/>
  <c r="HP54" i="2"/>
  <c r="HO54" i="2"/>
  <c r="HN54" i="2"/>
  <c r="HM54" i="2"/>
  <c r="HL54" i="2"/>
  <c r="HK54" i="2"/>
  <c r="HJ54" i="2"/>
  <c r="HI54" i="2"/>
  <c r="HH54" i="2"/>
  <c r="HG54" i="2"/>
  <c r="HF54" i="2"/>
  <c r="HE54" i="2"/>
  <c r="HD54" i="2"/>
  <c r="HC54" i="2"/>
  <c r="HB54" i="2"/>
  <c r="HA54" i="2"/>
  <c r="GZ54" i="2"/>
  <c r="GY54" i="2"/>
  <c r="GX54" i="2"/>
  <c r="GW54" i="2"/>
  <c r="GV54" i="2"/>
  <c r="GU54" i="2"/>
  <c r="GT54" i="2"/>
  <c r="GS54" i="2"/>
  <c r="GR54" i="2"/>
  <c r="GQ54" i="2"/>
  <c r="GP54" i="2"/>
  <c r="GO54" i="2"/>
  <c r="GN54" i="2"/>
  <c r="GM54" i="2"/>
  <c r="GL54" i="2"/>
  <c r="GK54" i="2"/>
  <c r="GJ54" i="2"/>
  <c r="GI54" i="2"/>
  <c r="GH54" i="2"/>
  <c r="GG54" i="2"/>
  <c r="GF54" i="2"/>
  <c r="GE54" i="2"/>
  <c r="GD54" i="2"/>
  <c r="GC54" i="2"/>
  <c r="GB54" i="2"/>
  <c r="GA54" i="2"/>
  <c r="FZ54" i="2"/>
  <c r="FY54" i="2"/>
  <c r="FX54" i="2"/>
  <c r="FW54" i="2"/>
  <c r="FV54" i="2"/>
  <c r="FU54" i="2"/>
  <c r="FT54" i="2"/>
  <c r="FS54" i="2"/>
  <c r="FR54" i="2"/>
  <c r="FQ54" i="2"/>
  <c r="FP54" i="2"/>
  <c r="FO54" i="2"/>
  <c r="FN54" i="2"/>
  <c r="FM54" i="2"/>
  <c r="FL54" i="2"/>
  <c r="FK54" i="2"/>
  <c r="FJ54" i="2"/>
  <c r="FI54" i="2"/>
  <c r="FH54" i="2"/>
  <c r="FG54" i="2"/>
  <c r="FF54" i="2"/>
  <c r="FE54" i="2"/>
  <c r="FD54" i="2"/>
  <c r="FC54" i="2"/>
  <c r="FB54" i="2"/>
  <c r="FA54" i="2"/>
  <c r="EZ54" i="2"/>
  <c r="EY54" i="2"/>
  <c r="EX54" i="2"/>
  <c r="EW54" i="2"/>
  <c r="EV54" i="2"/>
  <c r="EU54" i="2"/>
  <c r="ET54" i="2"/>
  <c r="ES54" i="2"/>
  <c r="ER54" i="2"/>
  <c r="EQ54" i="2"/>
  <c r="EP54" i="2"/>
  <c r="EO54" i="2"/>
  <c r="EN54" i="2"/>
  <c r="EM54" i="2"/>
  <c r="EL54" i="2"/>
  <c r="EK54" i="2"/>
  <c r="EJ54" i="2"/>
  <c r="EI54" i="2"/>
  <c r="EH54" i="2"/>
  <c r="EG54" i="2"/>
  <c r="EF54" i="2"/>
  <c r="EE54" i="2"/>
  <c r="ED54" i="2"/>
  <c r="EC54" i="2"/>
  <c r="EB54" i="2"/>
  <c r="EA54" i="2"/>
  <c r="DZ54" i="2"/>
  <c r="DY54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PI53" i="2"/>
  <c r="PH53" i="2"/>
  <c r="PG53" i="2"/>
  <c r="PF53" i="2"/>
  <c r="PE53" i="2"/>
  <c r="PD53" i="2"/>
  <c r="PC53" i="2"/>
  <c r="PB53" i="2"/>
  <c r="PA53" i="2"/>
  <c r="OZ53" i="2"/>
  <c r="OY53" i="2"/>
  <c r="OX53" i="2"/>
  <c r="OW53" i="2"/>
  <c r="OV53" i="2"/>
  <c r="OU53" i="2"/>
  <c r="OT53" i="2"/>
  <c r="OS53" i="2"/>
  <c r="OR53" i="2"/>
  <c r="OQ53" i="2"/>
  <c r="OP53" i="2"/>
  <c r="OO53" i="2"/>
  <c r="ON53" i="2"/>
  <c r="OM53" i="2"/>
  <c r="OL53" i="2"/>
  <c r="OK53" i="2"/>
  <c r="OJ53" i="2"/>
  <c r="OI53" i="2"/>
  <c r="OH53" i="2"/>
  <c r="OG53" i="2"/>
  <c r="OF53" i="2"/>
  <c r="OE53" i="2"/>
  <c r="OD53" i="2"/>
  <c r="OC53" i="2"/>
  <c r="OB53" i="2"/>
  <c r="OA53" i="2"/>
  <c r="NZ53" i="2"/>
  <c r="NY53" i="2"/>
  <c r="NX53" i="2"/>
  <c r="NW53" i="2"/>
  <c r="NV53" i="2"/>
  <c r="NU53" i="2"/>
  <c r="NT53" i="2"/>
  <c r="NS53" i="2"/>
  <c r="NR53" i="2"/>
  <c r="NQ53" i="2"/>
  <c r="NP53" i="2"/>
  <c r="NO53" i="2"/>
  <c r="NN53" i="2"/>
  <c r="NM53" i="2"/>
  <c r="NL53" i="2"/>
  <c r="NK53" i="2"/>
  <c r="NJ53" i="2"/>
  <c r="NI53" i="2"/>
  <c r="NH53" i="2"/>
  <c r="NG53" i="2"/>
  <c r="NF53" i="2"/>
  <c r="NE53" i="2"/>
  <c r="ND53" i="2"/>
  <c r="NC53" i="2"/>
  <c r="NB53" i="2"/>
  <c r="NA53" i="2"/>
  <c r="MZ53" i="2"/>
  <c r="MY53" i="2"/>
  <c r="MX53" i="2"/>
  <c r="MW53" i="2"/>
  <c r="MV53" i="2"/>
  <c r="MU53" i="2"/>
  <c r="MT53" i="2"/>
  <c r="MS53" i="2"/>
  <c r="MR53" i="2"/>
  <c r="MQ53" i="2"/>
  <c r="MP53" i="2"/>
  <c r="MO53" i="2"/>
  <c r="MN53" i="2"/>
  <c r="MM53" i="2"/>
  <c r="ML53" i="2"/>
  <c r="MK53" i="2"/>
  <c r="MJ53" i="2"/>
  <c r="MI53" i="2"/>
  <c r="MH53" i="2"/>
  <c r="MG53" i="2"/>
  <c r="MF53" i="2"/>
  <c r="ME53" i="2"/>
  <c r="MD53" i="2"/>
  <c r="MC53" i="2"/>
  <c r="MB53" i="2"/>
  <c r="MA53" i="2"/>
  <c r="LZ53" i="2"/>
  <c r="LY53" i="2"/>
  <c r="LX53" i="2"/>
  <c r="LW53" i="2"/>
  <c r="LV53" i="2"/>
  <c r="LU53" i="2"/>
  <c r="LT53" i="2"/>
  <c r="LS53" i="2"/>
  <c r="LR53" i="2"/>
  <c r="LQ53" i="2"/>
  <c r="LP53" i="2"/>
  <c r="LO53" i="2"/>
  <c r="LN53" i="2"/>
  <c r="LM53" i="2"/>
  <c r="LL53" i="2"/>
  <c r="LK53" i="2"/>
  <c r="LJ53" i="2"/>
  <c r="LI53" i="2"/>
  <c r="LH53" i="2"/>
  <c r="LG53" i="2"/>
  <c r="LF53" i="2"/>
  <c r="LE53" i="2"/>
  <c r="LD53" i="2"/>
  <c r="LC53" i="2"/>
  <c r="LB53" i="2"/>
  <c r="LA53" i="2"/>
  <c r="KZ53" i="2"/>
  <c r="KY53" i="2"/>
  <c r="KX53" i="2"/>
  <c r="KW53" i="2"/>
  <c r="KV53" i="2"/>
  <c r="KU53" i="2"/>
  <c r="KT53" i="2"/>
  <c r="KS53" i="2"/>
  <c r="KR53" i="2"/>
  <c r="KQ53" i="2"/>
  <c r="KP53" i="2"/>
  <c r="KO53" i="2"/>
  <c r="KN53" i="2"/>
  <c r="KM53" i="2"/>
  <c r="KL53" i="2"/>
  <c r="KK53" i="2"/>
  <c r="KJ53" i="2"/>
  <c r="KI53" i="2"/>
  <c r="KH53" i="2"/>
  <c r="KG53" i="2"/>
  <c r="KF53" i="2"/>
  <c r="KE53" i="2"/>
  <c r="KD53" i="2"/>
  <c r="KC53" i="2"/>
  <c r="KB53" i="2"/>
  <c r="KA53" i="2"/>
  <c r="JZ53" i="2"/>
  <c r="JY53" i="2"/>
  <c r="JX53" i="2"/>
  <c r="JW53" i="2"/>
  <c r="JV53" i="2"/>
  <c r="JU53" i="2"/>
  <c r="JT53" i="2"/>
  <c r="JS53" i="2"/>
  <c r="JR53" i="2"/>
  <c r="JQ53" i="2"/>
  <c r="JP53" i="2"/>
  <c r="JO53" i="2"/>
  <c r="JN53" i="2"/>
  <c r="JM53" i="2"/>
  <c r="JL53" i="2"/>
  <c r="JK53" i="2"/>
  <c r="JJ53" i="2"/>
  <c r="JI53" i="2"/>
  <c r="JH53" i="2"/>
  <c r="JG53" i="2"/>
  <c r="JF53" i="2"/>
  <c r="JE53" i="2"/>
  <c r="JD53" i="2"/>
  <c r="JC53" i="2"/>
  <c r="JB53" i="2"/>
  <c r="JA53" i="2"/>
  <c r="IZ53" i="2"/>
  <c r="IY53" i="2"/>
  <c r="IX53" i="2"/>
  <c r="IW53" i="2"/>
  <c r="IV53" i="2"/>
  <c r="IU53" i="2"/>
  <c r="IT53" i="2"/>
  <c r="IS53" i="2"/>
  <c r="IR53" i="2"/>
  <c r="IQ53" i="2"/>
  <c r="IP53" i="2"/>
  <c r="IO53" i="2"/>
  <c r="IN53" i="2"/>
  <c r="IM53" i="2"/>
  <c r="IL53" i="2"/>
  <c r="IK53" i="2"/>
  <c r="IJ53" i="2"/>
  <c r="II53" i="2"/>
  <c r="IH53" i="2"/>
  <c r="IG53" i="2"/>
  <c r="IF53" i="2"/>
  <c r="IE53" i="2"/>
  <c r="ID53" i="2"/>
  <c r="IC53" i="2"/>
  <c r="IB53" i="2"/>
  <c r="IA53" i="2"/>
  <c r="HZ53" i="2"/>
  <c r="HY53" i="2"/>
  <c r="HX53" i="2"/>
  <c r="HW53" i="2"/>
  <c r="HV53" i="2"/>
  <c r="HU53" i="2"/>
  <c r="HT53" i="2"/>
  <c r="HS53" i="2"/>
  <c r="HR53" i="2"/>
  <c r="HQ53" i="2"/>
  <c r="HP53" i="2"/>
  <c r="HO53" i="2"/>
  <c r="HN53" i="2"/>
  <c r="HM53" i="2"/>
  <c r="HL53" i="2"/>
  <c r="HK53" i="2"/>
  <c r="HJ53" i="2"/>
  <c r="HI53" i="2"/>
  <c r="HH53" i="2"/>
  <c r="HG53" i="2"/>
  <c r="HF53" i="2"/>
  <c r="HE53" i="2"/>
  <c r="HD53" i="2"/>
  <c r="HC53" i="2"/>
  <c r="HB53" i="2"/>
  <c r="HA53" i="2"/>
  <c r="GZ53" i="2"/>
  <c r="GY53" i="2"/>
  <c r="GX53" i="2"/>
  <c r="GW53" i="2"/>
  <c r="GV53" i="2"/>
  <c r="GU53" i="2"/>
  <c r="GT53" i="2"/>
  <c r="GS53" i="2"/>
  <c r="GR53" i="2"/>
  <c r="GQ53" i="2"/>
  <c r="GP53" i="2"/>
  <c r="GO53" i="2"/>
  <c r="GN53" i="2"/>
  <c r="GM53" i="2"/>
  <c r="GL53" i="2"/>
  <c r="GK53" i="2"/>
  <c r="GJ53" i="2"/>
  <c r="GI53" i="2"/>
  <c r="GH53" i="2"/>
  <c r="GG53" i="2"/>
  <c r="GF53" i="2"/>
  <c r="GE53" i="2"/>
  <c r="GD53" i="2"/>
  <c r="GC53" i="2"/>
  <c r="GB53" i="2"/>
  <c r="GA53" i="2"/>
  <c r="FZ53" i="2"/>
  <c r="FY53" i="2"/>
  <c r="FX53" i="2"/>
  <c r="FW53" i="2"/>
  <c r="FV53" i="2"/>
  <c r="FU53" i="2"/>
  <c r="FT53" i="2"/>
  <c r="FS53" i="2"/>
  <c r="FR53" i="2"/>
  <c r="FQ53" i="2"/>
  <c r="FP53" i="2"/>
  <c r="FO53" i="2"/>
  <c r="FN53" i="2"/>
  <c r="FM53" i="2"/>
  <c r="FL53" i="2"/>
  <c r="FK53" i="2"/>
  <c r="FJ53" i="2"/>
  <c r="FI53" i="2"/>
  <c r="FH53" i="2"/>
  <c r="FG53" i="2"/>
  <c r="FF53" i="2"/>
  <c r="FE53" i="2"/>
  <c r="FD53" i="2"/>
  <c r="FC53" i="2"/>
  <c r="FB53" i="2"/>
  <c r="FA53" i="2"/>
  <c r="EZ53" i="2"/>
  <c r="EY53" i="2"/>
  <c r="EX53" i="2"/>
  <c r="EW53" i="2"/>
  <c r="EV53" i="2"/>
  <c r="EU53" i="2"/>
  <c r="ET53" i="2"/>
  <c r="ES53" i="2"/>
  <c r="ER53" i="2"/>
  <c r="EQ53" i="2"/>
  <c r="EP53" i="2"/>
  <c r="EO53" i="2"/>
  <c r="EN53" i="2"/>
  <c r="EM53" i="2"/>
  <c r="EL53" i="2"/>
  <c r="EK53" i="2"/>
  <c r="EJ53" i="2"/>
  <c r="EI53" i="2"/>
  <c r="EH53" i="2"/>
  <c r="EG53" i="2"/>
  <c r="EF53" i="2"/>
  <c r="EE53" i="2"/>
  <c r="ED53" i="2"/>
  <c r="EC53" i="2"/>
  <c r="EB53" i="2"/>
  <c r="EA53" i="2"/>
  <c r="DZ53" i="2"/>
  <c r="DY53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PI52" i="2"/>
  <c r="PH52" i="2"/>
  <c r="PG52" i="2"/>
  <c r="PF52" i="2"/>
  <c r="PE52" i="2"/>
  <c r="PD52" i="2"/>
  <c r="PC52" i="2"/>
  <c r="PB52" i="2"/>
  <c r="PA52" i="2"/>
  <c r="OZ52" i="2"/>
  <c r="OY52" i="2"/>
  <c r="OX52" i="2"/>
  <c r="OW52" i="2"/>
  <c r="OV52" i="2"/>
  <c r="OU52" i="2"/>
  <c r="OT52" i="2"/>
  <c r="OS52" i="2"/>
  <c r="OR52" i="2"/>
  <c r="OQ52" i="2"/>
  <c r="OP52" i="2"/>
  <c r="OO52" i="2"/>
  <c r="ON52" i="2"/>
  <c r="OM52" i="2"/>
  <c r="OL52" i="2"/>
  <c r="OK52" i="2"/>
  <c r="OJ52" i="2"/>
  <c r="OI52" i="2"/>
  <c r="OH52" i="2"/>
  <c r="OG52" i="2"/>
  <c r="OF52" i="2"/>
  <c r="OE52" i="2"/>
  <c r="OD52" i="2"/>
  <c r="OC52" i="2"/>
  <c r="OB52" i="2"/>
  <c r="OA52" i="2"/>
  <c r="NZ52" i="2"/>
  <c r="NY52" i="2"/>
  <c r="NX52" i="2"/>
  <c r="NW52" i="2"/>
  <c r="NV52" i="2"/>
  <c r="NU52" i="2"/>
  <c r="NT52" i="2"/>
  <c r="NS52" i="2"/>
  <c r="NR52" i="2"/>
  <c r="NQ52" i="2"/>
  <c r="NP52" i="2"/>
  <c r="NO52" i="2"/>
  <c r="NN52" i="2"/>
  <c r="NM52" i="2"/>
  <c r="NL52" i="2"/>
  <c r="NK52" i="2"/>
  <c r="NJ52" i="2"/>
  <c r="NI52" i="2"/>
  <c r="NH52" i="2"/>
  <c r="NG52" i="2"/>
  <c r="NF52" i="2"/>
  <c r="NE52" i="2"/>
  <c r="ND52" i="2"/>
  <c r="NC52" i="2"/>
  <c r="NB52" i="2"/>
  <c r="NA52" i="2"/>
  <c r="MZ52" i="2"/>
  <c r="MY52" i="2"/>
  <c r="MX52" i="2"/>
  <c r="MW52" i="2"/>
  <c r="MV52" i="2"/>
  <c r="MU52" i="2"/>
  <c r="MT52" i="2"/>
  <c r="MS52" i="2"/>
  <c r="MR52" i="2"/>
  <c r="MQ52" i="2"/>
  <c r="MP52" i="2"/>
  <c r="MO52" i="2"/>
  <c r="MN52" i="2"/>
  <c r="MM52" i="2"/>
  <c r="ML52" i="2"/>
  <c r="MK52" i="2"/>
  <c r="MJ52" i="2"/>
  <c r="MI52" i="2"/>
  <c r="MH52" i="2"/>
  <c r="MG52" i="2"/>
  <c r="MF52" i="2"/>
  <c r="ME52" i="2"/>
  <c r="MD52" i="2"/>
  <c r="MC52" i="2"/>
  <c r="MB52" i="2"/>
  <c r="MA52" i="2"/>
  <c r="LZ52" i="2"/>
  <c r="LY52" i="2"/>
  <c r="LX52" i="2"/>
  <c r="LW52" i="2"/>
  <c r="LV52" i="2"/>
  <c r="LU52" i="2"/>
  <c r="LT52" i="2"/>
  <c r="LS52" i="2"/>
  <c r="LR52" i="2"/>
  <c r="LQ52" i="2"/>
  <c r="LP52" i="2"/>
  <c r="LO52" i="2"/>
  <c r="LN52" i="2"/>
  <c r="LM52" i="2"/>
  <c r="LL52" i="2"/>
  <c r="LK52" i="2"/>
  <c r="LJ52" i="2"/>
  <c r="LI52" i="2"/>
  <c r="LH52" i="2"/>
  <c r="LG52" i="2"/>
  <c r="LF52" i="2"/>
  <c r="LE52" i="2"/>
  <c r="LD52" i="2"/>
  <c r="LC52" i="2"/>
  <c r="LB52" i="2"/>
  <c r="LA52" i="2"/>
  <c r="KZ52" i="2"/>
  <c r="KY52" i="2"/>
  <c r="KX52" i="2"/>
  <c r="KW52" i="2"/>
  <c r="KV52" i="2"/>
  <c r="KU52" i="2"/>
  <c r="KT52" i="2"/>
  <c r="KS52" i="2"/>
  <c r="KR52" i="2"/>
  <c r="KQ52" i="2"/>
  <c r="KP52" i="2"/>
  <c r="KO52" i="2"/>
  <c r="KN52" i="2"/>
  <c r="KM52" i="2"/>
  <c r="KL52" i="2"/>
  <c r="KK52" i="2"/>
  <c r="KJ52" i="2"/>
  <c r="KI52" i="2"/>
  <c r="KH52" i="2"/>
  <c r="KG52" i="2"/>
  <c r="KF52" i="2"/>
  <c r="KE52" i="2"/>
  <c r="KD52" i="2"/>
  <c r="KC52" i="2"/>
  <c r="KB52" i="2"/>
  <c r="KA52" i="2"/>
  <c r="JZ52" i="2"/>
  <c r="JY52" i="2"/>
  <c r="JX52" i="2"/>
  <c r="JW52" i="2"/>
  <c r="JV52" i="2"/>
  <c r="JU52" i="2"/>
  <c r="JT52" i="2"/>
  <c r="JS52" i="2"/>
  <c r="JR52" i="2"/>
  <c r="JQ52" i="2"/>
  <c r="JP52" i="2"/>
  <c r="JO52" i="2"/>
  <c r="JN52" i="2"/>
  <c r="JM52" i="2"/>
  <c r="JL52" i="2"/>
  <c r="JK52" i="2"/>
  <c r="JJ52" i="2"/>
  <c r="JI52" i="2"/>
  <c r="JH52" i="2"/>
  <c r="JG52" i="2"/>
  <c r="JF52" i="2"/>
  <c r="JE52" i="2"/>
  <c r="JD52" i="2"/>
  <c r="JC52" i="2"/>
  <c r="JB52" i="2"/>
  <c r="JA52" i="2"/>
  <c r="IZ52" i="2"/>
  <c r="IY52" i="2"/>
  <c r="IX52" i="2"/>
  <c r="IW52" i="2"/>
  <c r="IV52" i="2"/>
  <c r="IU52" i="2"/>
  <c r="IT52" i="2"/>
  <c r="IS52" i="2"/>
  <c r="IR52" i="2"/>
  <c r="IQ52" i="2"/>
  <c r="IP52" i="2"/>
  <c r="IO52" i="2"/>
  <c r="IN52" i="2"/>
  <c r="IM52" i="2"/>
  <c r="IL52" i="2"/>
  <c r="IK52" i="2"/>
  <c r="IJ52" i="2"/>
  <c r="II52" i="2"/>
  <c r="IH52" i="2"/>
  <c r="IG52" i="2"/>
  <c r="IF52" i="2"/>
  <c r="IE52" i="2"/>
  <c r="ID52" i="2"/>
  <c r="IC52" i="2"/>
  <c r="IB52" i="2"/>
  <c r="IA52" i="2"/>
  <c r="HZ52" i="2"/>
  <c r="HY52" i="2"/>
  <c r="HX52" i="2"/>
  <c r="HW52" i="2"/>
  <c r="HV52" i="2"/>
  <c r="HU52" i="2"/>
  <c r="HT52" i="2"/>
  <c r="HS52" i="2"/>
  <c r="HR52" i="2"/>
  <c r="HQ52" i="2"/>
  <c r="HP52" i="2"/>
  <c r="HO52" i="2"/>
  <c r="HN52" i="2"/>
  <c r="HM52" i="2"/>
  <c r="HL52" i="2"/>
  <c r="HK52" i="2"/>
  <c r="HJ52" i="2"/>
  <c r="HI52" i="2"/>
  <c r="HH52" i="2"/>
  <c r="HG52" i="2"/>
  <c r="HF52" i="2"/>
  <c r="HE52" i="2"/>
  <c r="HD52" i="2"/>
  <c r="HC52" i="2"/>
  <c r="HB52" i="2"/>
  <c r="HA52" i="2"/>
  <c r="GZ52" i="2"/>
  <c r="GY52" i="2"/>
  <c r="GX52" i="2"/>
  <c r="GW52" i="2"/>
  <c r="GV52" i="2"/>
  <c r="GU52" i="2"/>
  <c r="GT52" i="2"/>
  <c r="GS52" i="2"/>
  <c r="GR52" i="2"/>
  <c r="GQ52" i="2"/>
  <c r="GP52" i="2"/>
  <c r="GO52" i="2"/>
  <c r="GN52" i="2"/>
  <c r="GM52" i="2"/>
  <c r="GL52" i="2"/>
  <c r="GK52" i="2"/>
  <c r="GJ52" i="2"/>
  <c r="GI52" i="2"/>
  <c r="GH52" i="2"/>
  <c r="GG52" i="2"/>
  <c r="GF52" i="2"/>
  <c r="GE52" i="2"/>
  <c r="GD52" i="2"/>
  <c r="GC52" i="2"/>
  <c r="GB52" i="2"/>
  <c r="GA52" i="2"/>
  <c r="FZ52" i="2"/>
  <c r="FY52" i="2"/>
  <c r="FX52" i="2"/>
  <c r="FW52" i="2"/>
  <c r="FV52" i="2"/>
  <c r="FU52" i="2"/>
  <c r="FT52" i="2"/>
  <c r="FS52" i="2"/>
  <c r="FR52" i="2"/>
  <c r="FQ52" i="2"/>
  <c r="FP52" i="2"/>
  <c r="FO52" i="2"/>
  <c r="FN52" i="2"/>
  <c r="FM52" i="2"/>
  <c r="FL52" i="2"/>
  <c r="FK52" i="2"/>
  <c r="FJ52" i="2"/>
  <c r="FI52" i="2"/>
  <c r="FH52" i="2"/>
  <c r="FG52" i="2"/>
  <c r="FF52" i="2"/>
  <c r="FE52" i="2"/>
  <c r="FD52" i="2"/>
  <c r="FC52" i="2"/>
  <c r="FB52" i="2"/>
  <c r="FA52" i="2"/>
  <c r="EZ52" i="2"/>
  <c r="EY52" i="2"/>
  <c r="EX52" i="2"/>
  <c r="EW52" i="2"/>
  <c r="EV52" i="2"/>
  <c r="EU52" i="2"/>
  <c r="ET52" i="2"/>
  <c r="ES52" i="2"/>
  <c r="ER52" i="2"/>
  <c r="EQ52" i="2"/>
  <c r="EP52" i="2"/>
  <c r="EO52" i="2"/>
  <c r="EN52" i="2"/>
  <c r="EM52" i="2"/>
  <c r="EL52" i="2"/>
  <c r="EK52" i="2"/>
  <c r="EJ52" i="2"/>
  <c r="EI52" i="2"/>
  <c r="EH52" i="2"/>
  <c r="EG52" i="2"/>
  <c r="EF52" i="2"/>
  <c r="EE52" i="2"/>
  <c r="ED52" i="2"/>
  <c r="EC52" i="2"/>
  <c r="EB52" i="2"/>
  <c r="EA52" i="2"/>
  <c r="DZ52" i="2"/>
  <c r="DY52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PI51" i="2"/>
  <c r="PH51" i="2"/>
  <c r="PG51" i="2"/>
  <c r="PF51" i="2"/>
  <c r="PE51" i="2"/>
  <c r="PD51" i="2"/>
  <c r="PC51" i="2"/>
  <c r="PB51" i="2"/>
  <c r="PA51" i="2"/>
  <c r="OZ51" i="2"/>
  <c r="OY51" i="2"/>
  <c r="OX51" i="2"/>
  <c r="OW51" i="2"/>
  <c r="OV51" i="2"/>
  <c r="OU51" i="2"/>
  <c r="OT51" i="2"/>
  <c r="OS51" i="2"/>
  <c r="OR51" i="2"/>
  <c r="OQ51" i="2"/>
  <c r="OP51" i="2"/>
  <c r="OO51" i="2"/>
  <c r="ON51" i="2"/>
  <c r="OM51" i="2"/>
  <c r="OL51" i="2"/>
  <c r="OK51" i="2"/>
  <c r="OJ51" i="2"/>
  <c r="OI51" i="2"/>
  <c r="OH51" i="2"/>
  <c r="OG51" i="2"/>
  <c r="OF51" i="2"/>
  <c r="OE51" i="2"/>
  <c r="OD51" i="2"/>
  <c r="OC51" i="2"/>
  <c r="OB51" i="2"/>
  <c r="OA51" i="2"/>
  <c r="NZ51" i="2"/>
  <c r="NY51" i="2"/>
  <c r="NX51" i="2"/>
  <c r="NW51" i="2"/>
  <c r="NV51" i="2"/>
  <c r="NU51" i="2"/>
  <c r="NT51" i="2"/>
  <c r="NS51" i="2"/>
  <c r="NR51" i="2"/>
  <c r="NQ51" i="2"/>
  <c r="NP51" i="2"/>
  <c r="NO51" i="2"/>
  <c r="NN51" i="2"/>
  <c r="NM51" i="2"/>
  <c r="NL51" i="2"/>
  <c r="NK51" i="2"/>
  <c r="NJ51" i="2"/>
  <c r="NI51" i="2"/>
  <c r="NH51" i="2"/>
  <c r="NG51" i="2"/>
  <c r="NF51" i="2"/>
  <c r="NE51" i="2"/>
  <c r="ND51" i="2"/>
  <c r="NC51" i="2"/>
  <c r="NB51" i="2"/>
  <c r="NA51" i="2"/>
  <c r="MZ51" i="2"/>
  <c r="MY51" i="2"/>
  <c r="MX51" i="2"/>
  <c r="MW51" i="2"/>
  <c r="MV51" i="2"/>
  <c r="MU51" i="2"/>
  <c r="MT51" i="2"/>
  <c r="MS51" i="2"/>
  <c r="MR51" i="2"/>
  <c r="MQ51" i="2"/>
  <c r="MP51" i="2"/>
  <c r="MO51" i="2"/>
  <c r="MN51" i="2"/>
  <c r="MM51" i="2"/>
  <c r="ML51" i="2"/>
  <c r="MK51" i="2"/>
  <c r="MJ51" i="2"/>
  <c r="MI51" i="2"/>
  <c r="MH51" i="2"/>
  <c r="MG51" i="2"/>
  <c r="MF51" i="2"/>
  <c r="ME51" i="2"/>
  <c r="MD51" i="2"/>
  <c r="MC51" i="2"/>
  <c r="MB51" i="2"/>
  <c r="MA51" i="2"/>
  <c r="LZ51" i="2"/>
  <c r="LY51" i="2"/>
  <c r="LX51" i="2"/>
  <c r="LW51" i="2"/>
  <c r="LV51" i="2"/>
  <c r="LU51" i="2"/>
  <c r="LT51" i="2"/>
  <c r="LS51" i="2"/>
  <c r="LR51" i="2"/>
  <c r="LQ51" i="2"/>
  <c r="LP51" i="2"/>
  <c r="LO51" i="2"/>
  <c r="LN51" i="2"/>
  <c r="LM51" i="2"/>
  <c r="LL51" i="2"/>
  <c r="LK51" i="2"/>
  <c r="LJ51" i="2"/>
  <c r="LI51" i="2"/>
  <c r="LH51" i="2"/>
  <c r="LG51" i="2"/>
  <c r="LF51" i="2"/>
  <c r="LE51" i="2"/>
  <c r="LD51" i="2"/>
  <c r="LC51" i="2"/>
  <c r="LB51" i="2"/>
  <c r="LA51" i="2"/>
  <c r="KZ51" i="2"/>
  <c r="KY51" i="2"/>
  <c r="KX51" i="2"/>
  <c r="KW51" i="2"/>
  <c r="KV51" i="2"/>
  <c r="KU51" i="2"/>
  <c r="KT51" i="2"/>
  <c r="KS51" i="2"/>
  <c r="KR51" i="2"/>
  <c r="KQ51" i="2"/>
  <c r="KP51" i="2"/>
  <c r="KO51" i="2"/>
  <c r="KN51" i="2"/>
  <c r="KM51" i="2"/>
  <c r="KL51" i="2"/>
  <c r="KK51" i="2"/>
  <c r="KJ51" i="2"/>
  <c r="KI51" i="2"/>
  <c r="KH51" i="2"/>
  <c r="KG51" i="2"/>
  <c r="KF51" i="2"/>
  <c r="KE51" i="2"/>
  <c r="KD51" i="2"/>
  <c r="KC51" i="2"/>
  <c r="KB51" i="2"/>
  <c r="KA51" i="2"/>
  <c r="JZ51" i="2"/>
  <c r="JY51" i="2"/>
  <c r="JX51" i="2"/>
  <c r="JW51" i="2"/>
  <c r="JV51" i="2"/>
  <c r="JU51" i="2"/>
  <c r="JT51" i="2"/>
  <c r="JS51" i="2"/>
  <c r="JR51" i="2"/>
  <c r="JQ51" i="2"/>
  <c r="JP51" i="2"/>
  <c r="JO51" i="2"/>
  <c r="JN51" i="2"/>
  <c r="JM51" i="2"/>
  <c r="JL51" i="2"/>
  <c r="JK51" i="2"/>
  <c r="JJ51" i="2"/>
  <c r="JI51" i="2"/>
  <c r="JH51" i="2"/>
  <c r="JG51" i="2"/>
  <c r="JF51" i="2"/>
  <c r="JE51" i="2"/>
  <c r="JD51" i="2"/>
  <c r="JC51" i="2"/>
  <c r="JB51" i="2"/>
  <c r="JA51" i="2"/>
  <c r="IZ51" i="2"/>
  <c r="IY51" i="2"/>
  <c r="IX51" i="2"/>
  <c r="IW51" i="2"/>
  <c r="IV51" i="2"/>
  <c r="IU51" i="2"/>
  <c r="IT51" i="2"/>
  <c r="IS51" i="2"/>
  <c r="IR51" i="2"/>
  <c r="IQ51" i="2"/>
  <c r="IP51" i="2"/>
  <c r="IO51" i="2"/>
  <c r="IN51" i="2"/>
  <c r="IM51" i="2"/>
  <c r="IL51" i="2"/>
  <c r="IK51" i="2"/>
  <c r="IJ51" i="2"/>
  <c r="II51" i="2"/>
  <c r="IH51" i="2"/>
  <c r="IG51" i="2"/>
  <c r="IF51" i="2"/>
  <c r="IE51" i="2"/>
  <c r="ID51" i="2"/>
  <c r="IC51" i="2"/>
  <c r="IB51" i="2"/>
  <c r="IA51" i="2"/>
  <c r="HZ51" i="2"/>
  <c r="HY51" i="2"/>
  <c r="HX51" i="2"/>
  <c r="HW51" i="2"/>
  <c r="HV51" i="2"/>
  <c r="HU51" i="2"/>
  <c r="HT51" i="2"/>
  <c r="HS51" i="2"/>
  <c r="HR51" i="2"/>
  <c r="HQ51" i="2"/>
  <c r="HP51" i="2"/>
  <c r="HO51" i="2"/>
  <c r="HN51" i="2"/>
  <c r="HM51" i="2"/>
  <c r="HL51" i="2"/>
  <c r="HK51" i="2"/>
  <c r="HJ51" i="2"/>
  <c r="HI51" i="2"/>
  <c r="HH51" i="2"/>
  <c r="HG51" i="2"/>
  <c r="HF51" i="2"/>
  <c r="HE51" i="2"/>
  <c r="HD51" i="2"/>
  <c r="HC51" i="2"/>
  <c r="HB51" i="2"/>
  <c r="HA51" i="2"/>
  <c r="GZ51" i="2"/>
  <c r="GY51" i="2"/>
  <c r="GX51" i="2"/>
  <c r="GW51" i="2"/>
  <c r="GV51" i="2"/>
  <c r="GU51" i="2"/>
  <c r="GT51" i="2"/>
  <c r="GS51" i="2"/>
  <c r="GR51" i="2"/>
  <c r="GQ51" i="2"/>
  <c r="GP51" i="2"/>
  <c r="GO51" i="2"/>
  <c r="GN51" i="2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FZ51" i="2"/>
  <c r="FY51" i="2"/>
  <c r="FX51" i="2"/>
  <c r="FW51" i="2"/>
  <c r="FV51" i="2"/>
  <c r="FU51" i="2"/>
  <c r="FT51" i="2"/>
  <c r="FS51" i="2"/>
  <c r="FR51" i="2"/>
  <c r="FQ51" i="2"/>
  <c r="FP51" i="2"/>
  <c r="FO51" i="2"/>
  <c r="FN51" i="2"/>
  <c r="FM51" i="2"/>
  <c r="FL51" i="2"/>
  <c r="FK51" i="2"/>
  <c r="FJ51" i="2"/>
  <c r="FI51" i="2"/>
  <c r="FH51" i="2"/>
  <c r="FG51" i="2"/>
  <c r="FF51" i="2"/>
  <c r="FE51" i="2"/>
  <c r="FD51" i="2"/>
  <c r="FC51" i="2"/>
  <c r="FB51" i="2"/>
  <c r="FA51" i="2"/>
  <c r="EZ51" i="2"/>
  <c r="EY51" i="2"/>
  <c r="EX51" i="2"/>
  <c r="EW51" i="2"/>
  <c r="EV51" i="2"/>
  <c r="EU51" i="2"/>
  <c r="ET51" i="2"/>
  <c r="ES51" i="2"/>
  <c r="ER51" i="2"/>
  <c r="EQ51" i="2"/>
  <c r="EP51" i="2"/>
  <c r="EO51" i="2"/>
  <c r="EN51" i="2"/>
  <c r="EM51" i="2"/>
  <c r="EL51" i="2"/>
  <c r="EK51" i="2"/>
  <c r="EJ51" i="2"/>
  <c r="EI51" i="2"/>
  <c r="EH51" i="2"/>
  <c r="EG51" i="2"/>
  <c r="EF51" i="2"/>
  <c r="EE51" i="2"/>
  <c r="ED51" i="2"/>
  <c r="EC51" i="2"/>
  <c r="EB51" i="2"/>
  <c r="EA51" i="2"/>
  <c r="DZ51" i="2"/>
  <c r="DY51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PI50" i="2"/>
  <c r="PH50" i="2"/>
  <c r="PG50" i="2"/>
  <c r="PF50" i="2"/>
  <c r="PE50" i="2"/>
  <c r="PD50" i="2"/>
  <c r="PC50" i="2"/>
  <c r="PB50" i="2"/>
  <c r="PA50" i="2"/>
  <c r="OZ50" i="2"/>
  <c r="OY50" i="2"/>
  <c r="OX50" i="2"/>
  <c r="OW50" i="2"/>
  <c r="OV50" i="2"/>
  <c r="OU50" i="2"/>
  <c r="OT50" i="2"/>
  <c r="OS50" i="2"/>
  <c r="OR50" i="2"/>
  <c r="OQ50" i="2"/>
  <c r="OP50" i="2"/>
  <c r="OO50" i="2"/>
  <c r="ON50" i="2"/>
  <c r="OM50" i="2"/>
  <c r="OL50" i="2"/>
  <c r="OK50" i="2"/>
  <c r="OJ50" i="2"/>
  <c r="OI50" i="2"/>
  <c r="OH50" i="2"/>
  <c r="OG50" i="2"/>
  <c r="OF50" i="2"/>
  <c r="OE50" i="2"/>
  <c r="OD50" i="2"/>
  <c r="OC50" i="2"/>
  <c r="OB50" i="2"/>
  <c r="OA50" i="2"/>
  <c r="NZ50" i="2"/>
  <c r="NY50" i="2"/>
  <c r="NX50" i="2"/>
  <c r="NW50" i="2"/>
  <c r="NV50" i="2"/>
  <c r="NU50" i="2"/>
  <c r="NT50" i="2"/>
  <c r="NS50" i="2"/>
  <c r="NR50" i="2"/>
  <c r="NQ50" i="2"/>
  <c r="NP50" i="2"/>
  <c r="NO50" i="2"/>
  <c r="NN50" i="2"/>
  <c r="NM50" i="2"/>
  <c r="NL50" i="2"/>
  <c r="NK50" i="2"/>
  <c r="NJ50" i="2"/>
  <c r="NI50" i="2"/>
  <c r="NH50" i="2"/>
  <c r="NG50" i="2"/>
  <c r="NF50" i="2"/>
  <c r="NE50" i="2"/>
  <c r="ND50" i="2"/>
  <c r="NC50" i="2"/>
  <c r="NB50" i="2"/>
  <c r="NA50" i="2"/>
  <c r="MZ50" i="2"/>
  <c r="MY50" i="2"/>
  <c r="MX50" i="2"/>
  <c r="MW50" i="2"/>
  <c r="MV50" i="2"/>
  <c r="MU50" i="2"/>
  <c r="MT50" i="2"/>
  <c r="MS50" i="2"/>
  <c r="MR50" i="2"/>
  <c r="MQ50" i="2"/>
  <c r="MP50" i="2"/>
  <c r="MO50" i="2"/>
  <c r="MN50" i="2"/>
  <c r="MM50" i="2"/>
  <c r="ML50" i="2"/>
  <c r="MK50" i="2"/>
  <c r="MJ50" i="2"/>
  <c r="MI50" i="2"/>
  <c r="MH50" i="2"/>
  <c r="MG50" i="2"/>
  <c r="MF50" i="2"/>
  <c r="ME50" i="2"/>
  <c r="MD50" i="2"/>
  <c r="MC50" i="2"/>
  <c r="MB50" i="2"/>
  <c r="MA50" i="2"/>
  <c r="LZ50" i="2"/>
  <c r="LY50" i="2"/>
  <c r="LX50" i="2"/>
  <c r="LW50" i="2"/>
  <c r="LV50" i="2"/>
  <c r="LU50" i="2"/>
  <c r="LT50" i="2"/>
  <c r="LS50" i="2"/>
  <c r="LR50" i="2"/>
  <c r="LQ50" i="2"/>
  <c r="LP50" i="2"/>
  <c r="LO50" i="2"/>
  <c r="LN50" i="2"/>
  <c r="LM50" i="2"/>
  <c r="LL50" i="2"/>
  <c r="LK50" i="2"/>
  <c r="LJ50" i="2"/>
  <c r="LI50" i="2"/>
  <c r="LH50" i="2"/>
  <c r="LG50" i="2"/>
  <c r="LF50" i="2"/>
  <c r="LE50" i="2"/>
  <c r="LD50" i="2"/>
  <c r="LC50" i="2"/>
  <c r="LB50" i="2"/>
  <c r="LA50" i="2"/>
  <c r="KZ50" i="2"/>
  <c r="KY50" i="2"/>
  <c r="KX50" i="2"/>
  <c r="KW50" i="2"/>
  <c r="KV50" i="2"/>
  <c r="KU50" i="2"/>
  <c r="KT50" i="2"/>
  <c r="KS50" i="2"/>
  <c r="KR50" i="2"/>
  <c r="KQ50" i="2"/>
  <c r="KP50" i="2"/>
  <c r="KO50" i="2"/>
  <c r="KN50" i="2"/>
  <c r="KM50" i="2"/>
  <c r="KL50" i="2"/>
  <c r="KK50" i="2"/>
  <c r="KJ50" i="2"/>
  <c r="KI50" i="2"/>
  <c r="KH50" i="2"/>
  <c r="KG50" i="2"/>
  <c r="KF50" i="2"/>
  <c r="KE50" i="2"/>
  <c r="KD50" i="2"/>
  <c r="KC50" i="2"/>
  <c r="KB50" i="2"/>
  <c r="KA50" i="2"/>
  <c r="JZ50" i="2"/>
  <c r="JY50" i="2"/>
  <c r="JX50" i="2"/>
  <c r="JW50" i="2"/>
  <c r="JV50" i="2"/>
  <c r="JU50" i="2"/>
  <c r="JT50" i="2"/>
  <c r="JS50" i="2"/>
  <c r="JR50" i="2"/>
  <c r="JQ50" i="2"/>
  <c r="JP50" i="2"/>
  <c r="JO50" i="2"/>
  <c r="JN50" i="2"/>
  <c r="JM50" i="2"/>
  <c r="JL50" i="2"/>
  <c r="JK50" i="2"/>
  <c r="JJ50" i="2"/>
  <c r="JI50" i="2"/>
  <c r="JH50" i="2"/>
  <c r="JG50" i="2"/>
  <c r="JF50" i="2"/>
  <c r="JE50" i="2"/>
  <c r="JD50" i="2"/>
  <c r="JC50" i="2"/>
  <c r="JB50" i="2"/>
  <c r="JA50" i="2"/>
  <c r="IZ50" i="2"/>
  <c r="IY50" i="2"/>
  <c r="IX50" i="2"/>
  <c r="IW50" i="2"/>
  <c r="IV50" i="2"/>
  <c r="IU50" i="2"/>
  <c r="IT50" i="2"/>
  <c r="IS50" i="2"/>
  <c r="IR50" i="2"/>
  <c r="IQ50" i="2"/>
  <c r="IP50" i="2"/>
  <c r="IO50" i="2"/>
  <c r="IN50" i="2"/>
  <c r="IM50" i="2"/>
  <c r="IL50" i="2"/>
  <c r="IK50" i="2"/>
  <c r="IJ50" i="2"/>
  <c r="II50" i="2"/>
  <c r="IH50" i="2"/>
  <c r="IG50" i="2"/>
  <c r="IF50" i="2"/>
  <c r="IE50" i="2"/>
  <c r="ID50" i="2"/>
  <c r="IC50" i="2"/>
  <c r="IB50" i="2"/>
  <c r="IA50" i="2"/>
  <c r="HZ50" i="2"/>
  <c r="HY50" i="2"/>
  <c r="HX50" i="2"/>
  <c r="HW50" i="2"/>
  <c r="HV50" i="2"/>
  <c r="HU50" i="2"/>
  <c r="HT50" i="2"/>
  <c r="HS50" i="2"/>
  <c r="HR50" i="2"/>
  <c r="HQ50" i="2"/>
  <c r="HP50" i="2"/>
  <c r="HO50" i="2"/>
  <c r="HN50" i="2"/>
  <c r="HM50" i="2"/>
  <c r="HL50" i="2"/>
  <c r="HK50" i="2"/>
  <c r="HJ50" i="2"/>
  <c r="HI50" i="2"/>
  <c r="HH50" i="2"/>
  <c r="HG50" i="2"/>
  <c r="HF50" i="2"/>
  <c r="HE50" i="2"/>
  <c r="HD50" i="2"/>
  <c r="HC50" i="2"/>
  <c r="HB50" i="2"/>
  <c r="HA50" i="2"/>
  <c r="GZ50" i="2"/>
  <c r="GY50" i="2"/>
  <c r="GX50" i="2"/>
  <c r="GW50" i="2"/>
  <c r="GV50" i="2"/>
  <c r="GU50" i="2"/>
  <c r="GT50" i="2"/>
  <c r="GS50" i="2"/>
  <c r="GR50" i="2"/>
  <c r="GQ50" i="2"/>
  <c r="GP50" i="2"/>
  <c r="GO50" i="2"/>
  <c r="GN50" i="2"/>
  <c r="GM50" i="2"/>
  <c r="GL50" i="2"/>
  <c r="GK50" i="2"/>
  <c r="GJ50" i="2"/>
  <c r="GI50" i="2"/>
  <c r="GH50" i="2"/>
  <c r="GG50" i="2"/>
  <c r="GF50" i="2"/>
  <c r="GE50" i="2"/>
  <c r="GD50" i="2"/>
  <c r="GC50" i="2"/>
  <c r="GB50" i="2"/>
  <c r="GA50" i="2"/>
  <c r="FZ50" i="2"/>
  <c r="FY50" i="2"/>
  <c r="FX50" i="2"/>
  <c r="FW50" i="2"/>
  <c r="FV50" i="2"/>
  <c r="FU50" i="2"/>
  <c r="FT50" i="2"/>
  <c r="FS50" i="2"/>
  <c r="FR50" i="2"/>
  <c r="FQ50" i="2"/>
  <c r="FP50" i="2"/>
  <c r="FO50" i="2"/>
  <c r="FN50" i="2"/>
  <c r="FM50" i="2"/>
  <c r="FL50" i="2"/>
  <c r="FK50" i="2"/>
  <c r="FJ50" i="2"/>
  <c r="FI50" i="2"/>
  <c r="FH50" i="2"/>
  <c r="FG50" i="2"/>
  <c r="FF50" i="2"/>
  <c r="FE50" i="2"/>
  <c r="FD50" i="2"/>
  <c r="FC50" i="2"/>
  <c r="FB50" i="2"/>
  <c r="FA50" i="2"/>
  <c r="EZ50" i="2"/>
  <c r="EY50" i="2"/>
  <c r="EX50" i="2"/>
  <c r="EW50" i="2"/>
  <c r="EV50" i="2"/>
  <c r="EU50" i="2"/>
  <c r="ET50" i="2"/>
  <c r="ES50" i="2"/>
  <c r="ER50" i="2"/>
  <c r="EQ50" i="2"/>
  <c r="EP50" i="2"/>
  <c r="EO50" i="2"/>
  <c r="EN50" i="2"/>
  <c r="EM50" i="2"/>
  <c r="EL50" i="2"/>
  <c r="EK50" i="2"/>
  <c r="EJ50" i="2"/>
  <c r="EI50" i="2"/>
  <c r="EH50" i="2"/>
  <c r="EG50" i="2"/>
  <c r="EF50" i="2"/>
  <c r="EE50" i="2"/>
  <c r="ED50" i="2"/>
  <c r="EC50" i="2"/>
  <c r="EB50" i="2"/>
  <c r="EA50" i="2"/>
  <c r="DZ50" i="2"/>
  <c r="DY50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PI49" i="2"/>
  <c r="PH49" i="2"/>
  <c r="PG49" i="2"/>
  <c r="PF49" i="2"/>
  <c r="PE49" i="2"/>
  <c r="PD49" i="2"/>
  <c r="PC49" i="2"/>
  <c r="PB49" i="2"/>
  <c r="PA49" i="2"/>
  <c r="OZ49" i="2"/>
  <c r="OY49" i="2"/>
  <c r="OX49" i="2"/>
  <c r="OW49" i="2"/>
  <c r="OV49" i="2"/>
  <c r="OU49" i="2"/>
  <c r="OT49" i="2"/>
  <c r="OS49" i="2"/>
  <c r="OR49" i="2"/>
  <c r="OQ49" i="2"/>
  <c r="OP49" i="2"/>
  <c r="OO49" i="2"/>
  <c r="ON49" i="2"/>
  <c r="OM49" i="2"/>
  <c r="OL49" i="2"/>
  <c r="OK49" i="2"/>
  <c r="OJ49" i="2"/>
  <c r="OI49" i="2"/>
  <c r="OH49" i="2"/>
  <c r="OG49" i="2"/>
  <c r="OF49" i="2"/>
  <c r="OE49" i="2"/>
  <c r="OD49" i="2"/>
  <c r="OC49" i="2"/>
  <c r="OB49" i="2"/>
  <c r="OA49" i="2"/>
  <c r="NZ49" i="2"/>
  <c r="NY49" i="2"/>
  <c r="NX49" i="2"/>
  <c r="NW49" i="2"/>
  <c r="NV49" i="2"/>
  <c r="NU49" i="2"/>
  <c r="NT49" i="2"/>
  <c r="NS49" i="2"/>
  <c r="NR49" i="2"/>
  <c r="NQ49" i="2"/>
  <c r="NP49" i="2"/>
  <c r="NO49" i="2"/>
  <c r="NN49" i="2"/>
  <c r="NM49" i="2"/>
  <c r="NL49" i="2"/>
  <c r="NK49" i="2"/>
  <c r="NJ49" i="2"/>
  <c r="NI49" i="2"/>
  <c r="NH49" i="2"/>
  <c r="NG49" i="2"/>
  <c r="NF49" i="2"/>
  <c r="NE49" i="2"/>
  <c r="ND49" i="2"/>
  <c r="NC49" i="2"/>
  <c r="NB49" i="2"/>
  <c r="NA49" i="2"/>
  <c r="MZ49" i="2"/>
  <c r="MY49" i="2"/>
  <c r="MX49" i="2"/>
  <c r="MW49" i="2"/>
  <c r="MV49" i="2"/>
  <c r="MU49" i="2"/>
  <c r="MT49" i="2"/>
  <c r="MS49" i="2"/>
  <c r="MR49" i="2"/>
  <c r="MQ49" i="2"/>
  <c r="MP49" i="2"/>
  <c r="MO49" i="2"/>
  <c r="MN49" i="2"/>
  <c r="MM49" i="2"/>
  <c r="ML49" i="2"/>
  <c r="MK49" i="2"/>
  <c r="MJ49" i="2"/>
  <c r="MI49" i="2"/>
  <c r="MH49" i="2"/>
  <c r="MG49" i="2"/>
  <c r="MF49" i="2"/>
  <c r="ME49" i="2"/>
  <c r="MD49" i="2"/>
  <c r="MC49" i="2"/>
  <c r="MB49" i="2"/>
  <c r="MA49" i="2"/>
  <c r="LZ49" i="2"/>
  <c r="LY49" i="2"/>
  <c r="LX49" i="2"/>
  <c r="LW49" i="2"/>
  <c r="LV49" i="2"/>
  <c r="LU49" i="2"/>
  <c r="LT49" i="2"/>
  <c r="LS49" i="2"/>
  <c r="LR49" i="2"/>
  <c r="LQ49" i="2"/>
  <c r="LP49" i="2"/>
  <c r="LO49" i="2"/>
  <c r="LN49" i="2"/>
  <c r="LM49" i="2"/>
  <c r="LL49" i="2"/>
  <c r="LK49" i="2"/>
  <c r="LJ49" i="2"/>
  <c r="LI49" i="2"/>
  <c r="LH49" i="2"/>
  <c r="LG49" i="2"/>
  <c r="LF49" i="2"/>
  <c r="LE49" i="2"/>
  <c r="LD49" i="2"/>
  <c r="LC49" i="2"/>
  <c r="LB49" i="2"/>
  <c r="LA49" i="2"/>
  <c r="KZ49" i="2"/>
  <c r="KY49" i="2"/>
  <c r="KX49" i="2"/>
  <c r="KW49" i="2"/>
  <c r="KV49" i="2"/>
  <c r="KU49" i="2"/>
  <c r="KT49" i="2"/>
  <c r="KS49" i="2"/>
  <c r="KR49" i="2"/>
  <c r="KQ49" i="2"/>
  <c r="KP49" i="2"/>
  <c r="KO49" i="2"/>
  <c r="KN49" i="2"/>
  <c r="KM49" i="2"/>
  <c r="KL49" i="2"/>
  <c r="KK49" i="2"/>
  <c r="KJ49" i="2"/>
  <c r="KI49" i="2"/>
  <c r="KH49" i="2"/>
  <c r="KG49" i="2"/>
  <c r="KF49" i="2"/>
  <c r="KE49" i="2"/>
  <c r="KD49" i="2"/>
  <c r="KC49" i="2"/>
  <c r="KB49" i="2"/>
  <c r="KA49" i="2"/>
  <c r="JZ49" i="2"/>
  <c r="JY49" i="2"/>
  <c r="JX49" i="2"/>
  <c r="JW49" i="2"/>
  <c r="JV49" i="2"/>
  <c r="JU49" i="2"/>
  <c r="JT49" i="2"/>
  <c r="JS49" i="2"/>
  <c r="JR49" i="2"/>
  <c r="JQ49" i="2"/>
  <c r="JP49" i="2"/>
  <c r="JO49" i="2"/>
  <c r="JN49" i="2"/>
  <c r="JM49" i="2"/>
  <c r="JL49" i="2"/>
  <c r="JK49" i="2"/>
  <c r="JJ49" i="2"/>
  <c r="JI49" i="2"/>
  <c r="JH49" i="2"/>
  <c r="JG49" i="2"/>
  <c r="JF49" i="2"/>
  <c r="JE49" i="2"/>
  <c r="JD49" i="2"/>
  <c r="JC49" i="2"/>
  <c r="JB49" i="2"/>
  <c r="JA49" i="2"/>
  <c r="IZ49" i="2"/>
  <c r="IY49" i="2"/>
  <c r="IX49" i="2"/>
  <c r="IW49" i="2"/>
  <c r="IV49" i="2"/>
  <c r="IU49" i="2"/>
  <c r="IT49" i="2"/>
  <c r="IS49" i="2"/>
  <c r="IR49" i="2"/>
  <c r="IQ49" i="2"/>
  <c r="IP49" i="2"/>
  <c r="IO49" i="2"/>
  <c r="IN49" i="2"/>
  <c r="IM49" i="2"/>
  <c r="IL49" i="2"/>
  <c r="IK49" i="2"/>
  <c r="IJ49" i="2"/>
  <c r="II49" i="2"/>
  <c r="IH49" i="2"/>
  <c r="IG49" i="2"/>
  <c r="IF49" i="2"/>
  <c r="IE49" i="2"/>
  <c r="ID49" i="2"/>
  <c r="IC49" i="2"/>
  <c r="IB49" i="2"/>
  <c r="IA49" i="2"/>
  <c r="HZ49" i="2"/>
  <c r="HY49" i="2"/>
  <c r="HX49" i="2"/>
  <c r="HW49" i="2"/>
  <c r="HV49" i="2"/>
  <c r="HU49" i="2"/>
  <c r="HT49" i="2"/>
  <c r="HS49" i="2"/>
  <c r="HR49" i="2"/>
  <c r="HQ49" i="2"/>
  <c r="HP49" i="2"/>
  <c r="HO49" i="2"/>
  <c r="HN49" i="2"/>
  <c r="HM49" i="2"/>
  <c r="HL49" i="2"/>
  <c r="HK49" i="2"/>
  <c r="HJ49" i="2"/>
  <c r="HI49" i="2"/>
  <c r="HH49" i="2"/>
  <c r="HG49" i="2"/>
  <c r="HF49" i="2"/>
  <c r="HE49" i="2"/>
  <c r="HD49" i="2"/>
  <c r="HC49" i="2"/>
  <c r="HB49" i="2"/>
  <c r="HA49" i="2"/>
  <c r="GZ49" i="2"/>
  <c r="GY49" i="2"/>
  <c r="GX49" i="2"/>
  <c r="GW49" i="2"/>
  <c r="GV49" i="2"/>
  <c r="GU49" i="2"/>
  <c r="GT49" i="2"/>
  <c r="GS49" i="2"/>
  <c r="GR49" i="2"/>
  <c r="GQ49" i="2"/>
  <c r="GP49" i="2"/>
  <c r="GO49" i="2"/>
  <c r="GN49" i="2"/>
  <c r="GM49" i="2"/>
  <c r="GL49" i="2"/>
  <c r="GK49" i="2"/>
  <c r="GJ49" i="2"/>
  <c r="GI49" i="2"/>
  <c r="GH49" i="2"/>
  <c r="GG49" i="2"/>
  <c r="GF49" i="2"/>
  <c r="GE49" i="2"/>
  <c r="GD49" i="2"/>
  <c r="GC49" i="2"/>
  <c r="GB49" i="2"/>
  <c r="GA49" i="2"/>
  <c r="FZ49" i="2"/>
  <c r="FY49" i="2"/>
  <c r="FX49" i="2"/>
  <c r="FW49" i="2"/>
  <c r="FV49" i="2"/>
  <c r="FU49" i="2"/>
  <c r="FT49" i="2"/>
  <c r="FS49" i="2"/>
  <c r="FR49" i="2"/>
  <c r="FQ49" i="2"/>
  <c r="FP49" i="2"/>
  <c r="FO49" i="2"/>
  <c r="FN49" i="2"/>
  <c r="FM49" i="2"/>
  <c r="FL49" i="2"/>
  <c r="FK49" i="2"/>
  <c r="FJ49" i="2"/>
  <c r="FI49" i="2"/>
  <c r="FH49" i="2"/>
  <c r="FG49" i="2"/>
  <c r="FF49" i="2"/>
  <c r="FE49" i="2"/>
  <c r="FD49" i="2"/>
  <c r="FC49" i="2"/>
  <c r="FB49" i="2"/>
  <c r="FA49" i="2"/>
  <c r="EZ49" i="2"/>
  <c r="EY49" i="2"/>
  <c r="EX49" i="2"/>
  <c r="EW49" i="2"/>
  <c r="EV49" i="2"/>
  <c r="EU49" i="2"/>
  <c r="ET49" i="2"/>
  <c r="ES49" i="2"/>
  <c r="ER49" i="2"/>
  <c r="EQ49" i="2"/>
  <c r="EP49" i="2"/>
  <c r="EO49" i="2"/>
  <c r="EN49" i="2"/>
  <c r="EM49" i="2"/>
  <c r="EL49" i="2"/>
  <c r="EK49" i="2"/>
  <c r="EJ49" i="2"/>
  <c r="EI49" i="2"/>
  <c r="EH49" i="2"/>
  <c r="EG49" i="2"/>
  <c r="EF49" i="2"/>
  <c r="EE49" i="2"/>
  <c r="ED49" i="2"/>
  <c r="EC49" i="2"/>
  <c r="EB49" i="2"/>
  <c r="EA49" i="2"/>
  <c r="DZ49" i="2"/>
  <c r="DY49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PI48" i="2"/>
  <c r="PH48" i="2"/>
  <c r="PG48" i="2"/>
  <c r="PF48" i="2"/>
  <c r="PE48" i="2"/>
  <c r="PD48" i="2"/>
  <c r="PC48" i="2"/>
  <c r="PB48" i="2"/>
  <c r="PA48" i="2"/>
  <c r="OZ48" i="2"/>
  <c r="OY48" i="2"/>
  <c r="OX48" i="2"/>
  <c r="OW48" i="2"/>
  <c r="OV48" i="2"/>
  <c r="OU48" i="2"/>
  <c r="OT48" i="2"/>
  <c r="OS48" i="2"/>
  <c r="OR48" i="2"/>
  <c r="OQ48" i="2"/>
  <c r="OP48" i="2"/>
  <c r="OO48" i="2"/>
  <c r="ON48" i="2"/>
  <c r="OM48" i="2"/>
  <c r="OL48" i="2"/>
  <c r="OK48" i="2"/>
  <c r="OJ48" i="2"/>
  <c r="OI48" i="2"/>
  <c r="OH48" i="2"/>
  <c r="OG48" i="2"/>
  <c r="OF48" i="2"/>
  <c r="OE48" i="2"/>
  <c r="OD48" i="2"/>
  <c r="OC48" i="2"/>
  <c r="OB48" i="2"/>
  <c r="OA48" i="2"/>
  <c r="NZ48" i="2"/>
  <c r="NY48" i="2"/>
  <c r="NX48" i="2"/>
  <c r="NW48" i="2"/>
  <c r="NV48" i="2"/>
  <c r="NU48" i="2"/>
  <c r="NT48" i="2"/>
  <c r="NS48" i="2"/>
  <c r="NR48" i="2"/>
  <c r="NQ48" i="2"/>
  <c r="NP48" i="2"/>
  <c r="NO48" i="2"/>
  <c r="NN48" i="2"/>
  <c r="NM48" i="2"/>
  <c r="NL48" i="2"/>
  <c r="NK48" i="2"/>
  <c r="NJ48" i="2"/>
  <c r="NI48" i="2"/>
  <c r="NH48" i="2"/>
  <c r="NG48" i="2"/>
  <c r="NF48" i="2"/>
  <c r="NE48" i="2"/>
  <c r="ND48" i="2"/>
  <c r="NC48" i="2"/>
  <c r="NB48" i="2"/>
  <c r="NA48" i="2"/>
  <c r="MZ48" i="2"/>
  <c r="MY48" i="2"/>
  <c r="MX48" i="2"/>
  <c r="MW48" i="2"/>
  <c r="MV48" i="2"/>
  <c r="MU48" i="2"/>
  <c r="MT48" i="2"/>
  <c r="MS48" i="2"/>
  <c r="MR48" i="2"/>
  <c r="MQ48" i="2"/>
  <c r="MP48" i="2"/>
  <c r="MO48" i="2"/>
  <c r="MN48" i="2"/>
  <c r="MM48" i="2"/>
  <c r="ML48" i="2"/>
  <c r="MK48" i="2"/>
  <c r="MJ48" i="2"/>
  <c r="MI48" i="2"/>
  <c r="MH48" i="2"/>
  <c r="MG48" i="2"/>
  <c r="MF48" i="2"/>
  <c r="ME48" i="2"/>
  <c r="MD48" i="2"/>
  <c r="MC48" i="2"/>
  <c r="MB48" i="2"/>
  <c r="MA48" i="2"/>
  <c r="LZ48" i="2"/>
  <c r="LY48" i="2"/>
  <c r="LX48" i="2"/>
  <c r="LW48" i="2"/>
  <c r="LV48" i="2"/>
  <c r="LU48" i="2"/>
  <c r="LT48" i="2"/>
  <c r="LS48" i="2"/>
  <c r="LR48" i="2"/>
  <c r="LQ48" i="2"/>
  <c r="LP48" i="2"/>
  <c r="LO48" i="2"/>
  <c r="LN48" i="2"/>
  <c r="LM48" i="2"/>
  <c r="LL48" i="2"/>
  <c r="LK48" i="2"/>
  <c r="LJ48" i="2"/>
  <c r="LI48" i="2"/>
  <c r="LH48" i="2"/>
  <c r="LG48" i="2"/>
  <c r="LF48" i="2"/>
  <c r="LE48" i="2"/>
  <c r="LD48" i="2"/>
  <c r="LC48" i="2"/>
  <c r="LB48" i="2"/>
  <c r="LA48" i="2"/>
  <c r="KZ48" i="2"/>
  <c r="KY48" i="2"/>
  <c r="KX48" i="2"/>
  <c r="KW48" i="2"/>
  <c r="KV48" i="2"/>
  <c r="KU48" i="2"/>
  <c r="KT48" i="2"/>
  <c r="KS48" i="2"/>
  <c r="KR48" i="2"/>
  <c r="KQ48" i="2"/>
  <c r="KP48" i="2"/>
  <c r="KO48" i="2"/>
  <c r="KN48" i="2"/>
  <c r="KM48" i="2"/>
  <c r="KL48" i="2"/>
  <c r="KK48" i="2"/>
  <c r="KJ48" i="2"/>
  <c r="KI48" i="2"/>
  <c r="KH48" i="2"/>
  <c r="KG48" i="2"/>
  <c r="KF48" i="2"/>
  <c r="KE48" i="2"/>
  <c r="KD48" i="2"/>
  <c r="KC48" i="2"/>
  <c r="KB48" i="2"/>
  <c r="KA48" i="2"/>
  <c r="JZ48" i="2"/>
  <c r="JY48" i="2"/>
  <c r="JX48" i="2"/>
  <c r="JW48" i="2"/>
  <c r="JV48" i="2"/>
  <c r="JU48" i="2"/>
  <c r="JT48" i="2"/>
  <c r="JS48" i="2"/>
  <c r="JR48" i="2"/>
  <c r="JQ48" i="2"/>
  <c r="JP48" i="2"/>
  <c r="JO48" i="2"/>
  <c r="JN48" i="2"/>
  <c r="JM48" i="2"/>
  <c r="JL48" i="2"/>
  <c r="JK48" i="2"/>
  <c r="JJ48" i="2"/>
  <c r="JI48" i="2"/>
  <c r="JH48" i="2"/>
  <c r="JG48" i="2"/>
  <c r="JF48" i="2"/>
  <c r="JE48" i="2"/>
  <c r="JD48" i="2"/>
  <c r="JC48" i="2"/>
  <c r="JB48" i="2"/>
  <c r="JA48" i="2"/>
  <c r="IZ48" i="2"/>
  <c r="IY48" i="2"/>
  <c r="IX48" i="2"/>
  <c r="IW48" i="2"/>
  <c r="IV48" i="2"/>
  <c r="IU48" i="2"/>
  <c r="IT48" i="2"/>
  <c r="IS48" i="2"/>
  <c r="IR48" i="2"/>
  <c r="IQ48" i="2"/>
  <c r="IP48" i="2"/>
  <c r="IO48" i="2"/>
  <c r="IN48" i="2"/>
  <c r="IM48" i="2"/>
  <c r="IL48" i="2"/>
  <c r="IK48" i="2"/>
  <c r="IJ48" i="2"/>
  <c r="II48" i="2"/>
  <c r="IH48" i="2"/>
  <c r="IG48" i="2"/>
  <c r="IF48" i="2"/>
  <c r="IE48" i="2"/>
  <c r="ID48" i="2"/>
  <c r="IC48" i="2"/>
  <c r="IB48" i="2"/>
  <c r="IA48" i="2"/>
  <c r="HZ48" i="2"/>
  <c r="HY48" i="2"/>
  <c r="HX48" i="2"/>
  <c r="HW48" i="2"/>
  <c r="HV48" i="2"/>
  <c r="HU48" i="2"/>
  <c r="HT48" i="2"/>
  <c r="HS48" i="2"/>
  <c r="HR48" i="2"/>
  <c r="HQ48" i="2"/>
  <c r="HP48" i="2"/>
  <c r="HO48" i="2"/>
  <c r="HN48" i="2"/>
  <c r="HM48" i="2"/>
  <c r="HL48" i="2"/>
  <c r="HK48" i="2"/>
  <c r="HJ48" i="2"/>
  <c r="HI48" i="2"/>
  <c r="HH48" i="2"/>
  <c r="HG48" i="2"/>
  <c r="HF48" i="2"/>
  <c r="HE48" i="2"/>
  <c r="HD48" i="2"/>
  <c r="HC48" i="2"/>
  <c r="HB48" i="2"/>
  <c r="HA48" i="2"/>
  <c r="GZ48" i="2"/>
  <c r="GY48" i="2"/>
  <c r="GX48" i="2"/>
  <c r="GW48" i="2"/>
  <c r="GV48" i="2"/>
  <c r="GU48" i="2"/>
  <c r="GT48" i="2"/>
  <c r="GS48" i="2"/>
  <c r="GR48" i="2"/>
  <c r="GQ48" i="2"/>
  <c r="GP48" i="2"/>
  <c r="GO48" i="2"/>
  <c r="GN48" i="2"/>
  <c r="GM48" i="2"/>
  <c r="GL48" i="2"/>
  <c r="GK48" i="2"/>
  <c r="GJ48" i="2"/>
  <c r="GI48" i="2"/>
  <c r="GH48" i="2"/>
  <c r="GG48" i="2"/>
  <c r="GF48" i="2"/>
  <c r="GE48" i="2"/>
  <c r="GD48" i="2"/>
  <c r="GC48" i="2"/>
  <c r="GB48" i="2"/>
  <c r="GA48" i="2"/>
  <c r="FZ48" i="2"/>
  <c r="FY48" i="2"/>
  <c r="FX48" i="2"/>
  <c r="FW48" i="2"/>
  <c r="FV48" i="2"/>
  <c r="FU48" i="2"/>
  <c r="FT48" i="2"/>
  <c r="FS48" i="2"/>
  <c r="FR48" i="2"/>
  <c r="FQ48" i="2"/>
  <c r="FP48" i="2"/>
  <c r="FO48" i="2"/>
  <c r="FN48" i="2"/>
  <c r="FM48" i="2"/>
  <c r="FL48" i="2"/>
  <c r="FK48" i="2"/>
  <c r="FJ48" i="2"/>
  <c r="FI48" i="2"/>
  <c r="FH48" i="2"/>
  <c r="FG48" i="2"/>
  <c r="FF48" i="2"/>
  <c r="FE48" i="2"/>
  <c r="FD48" i="2"/>
  <c r="FC48" i="2"/>
  <c r="FB48" i="2"/>
  <c r="FA48" i="2"/>
  <c r="EZ48" i="2"/>
  <c r="EY48" i="2"/>
  <c r="EX48" i="2"/>
  <c r="EW48" i="2"/>
  <c r="EV48" i="2"/>
  <c r="EU48" i="2"/>
  <c r="ET48" i="2"/>
  <c r="ES48" i="2"/>
  <c r="ER48" i="2"/>
  <c r="EQ48" i="2"/>
  <c r="EP48" i="2"/>
  <c r="EO48" i="2"/>
  <c r="EN48" i="2"/>
  <c r="EM48" i="2"/>
  <c r="EL48" i="2"/>
  <c r="EK48" i="2"/>
  <c r="EJ48" i="2"/>
  <c r="EI48" i="2"/>
  <c r="EH48" i="2"/>
  <c r="EG48" i="2"/>
  <c r="EF48" i="2"/>
  <c r="EE48" i="2"/>
  <c r="ED48" i="2"/>
  <c r="EC48" i="2"/>
  <c r="EB48" i="2"/>
  <c r="EA48" i="2"/>
  <c r="DZ48" i="2"/>
  <c r="DY48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PI47" i="2"/>
  <c r="PH47" i="2"/>
  <c r="PG47" i="2"/>
  <c r="PF47" i="2"/>
  <c r="PE47" i="2"/>
  <c r="PD47" i="2"/>
  <c r="PC47" i="2"/>
  <c r="PB47" i="2"/>
  <c r="PA47" i="2"/>
  <c r="OZ47" i="2"/>
  <c r="OY47" i="2"/>
  <c r="OX47" i="2"/>
  <c r="OW47" i="2"/>
  <c r="OV47" i="2"/>
  <c r="OU47" i="2"/>
  <c r="OT47" i="2"/>
  <c r="OS47" i="2"/>
  <c r="OR47" i="2"/>
  <c r="OQ47" i="2"/>
  <c r="OP47" i="2"/>
  <c r="OO47" i="2"/>
  <c r="ON47" i="2"/>
  <c r="OM47" i="2"/>
  <c r="OL47" i="2"/>
  <c r="OK47" i="2"/>
  <c r="OJ47" i="2"/>
  <c r="OI47" i="2"/>
  <c r="OH47" i="2"/>
  <c r="OG47" i="2"/>
  <c r="OF47" i="2"/>
  <c r="OE47" i="2"/>
  <c r="OD47" i="2"/>
  <c r="OC47" i="2"/>
  <c r="OB47" i="2"/>
  <c r="OA47" i="2"/>
  <c r="NZ47" i="2"/>
  <c r="NY47" i="2"/>
  <c r="NX47" i="2"/>
  <c r="NW47" i="2"/>
  <c r="NV47" i="2"/>
  <c r="NU47" i="2"/>
  <c r="NT47" i="2"/>
  <c r="NS47" i="2"/>
  <c r="NR47" i="2"/>
  <c r="NQ47" i="2"/>
  <c r="NP47" i="2"/>
  <c r="NO47" i="2"/>
  <c r="NN47" i="2"/>
  <c r="NM47" i="2"/>
  <c r="NL47" i="2"/>
  <c r="NK47" i="2"/>
  <c r="NJ47" i="2"/>
  <c r="NI47" i="2"/>
  <c r="NH47" i="2"/>
  <c r="NG47" i="2"/>
  <c r="NF47" i="2"/>
  <c r="NE47" i="2"/>
  <c r="ND47" i="2"/>
  <c r="NC47" i="2"/>
  <c r="NB47" i="2"/>
  <c r="NA47" i="2"/>
  <c r="MZ47" i="2"/>
  <c r="MY47" i="2"/>
  <c r="MX47" i="2"/>
  <c r="MW47" i="2"/>
  <c r="MV47" i="2"/>
  <c r="MU47" i="2"/>
  <c r="MT47" i="2"/>
  <c r="MS47" i="2"/>
  <c r="MR47" i="2"/>
  <c r="MQ47" i="2"/>
  <c r="MP47" i="2"/>
  <c r="MO47" i="2"/>
  <c r="MN47" i="2"/>
  <c r="MM47" i="2"/>
  <c r="ML47" i="2"/>
  <c r="MK47" i="2"/>
  <c r="MJ47" i="2"/>
  <c r="MI47" i="2"/>
  <c r="MH47" i="2"/>
  <c r="MG47" i="2"/>
  <c r="MF47" i="2"/>
  <c r="ME47" i="2"/>
  <c r="MD47" i="2"/>
  <c r="MC47" i="2"/>
  <c r="MB47" i="2"/>
  <c r="MA47" i="2"/>
  <c r="LZ47" i="2"/>
  <c r="LY47" i="2"/>
  <c r="LX47" i="2"/>
  <c r="LW47" i="2"/>
  <c r="LV47" i="2"/>
  <c r="LU47" i="2"/>
  <c r="LT47" i="2"/>
  <c r="LS47" i="2"/>
  <c r="LR47" i="2"/>
  <c r="LQ47" i="2"/>
  <c r="LP47" i="2"/>
  <c r="LO47" i="2"/>
  <c r="LN47" i="2"/>
  <c r="LM47" i="2"/>
  <c r="LL47" i="2"/>
  <c r="LK47" i="2"/>
  <c r="LJ47" i="2"/>
  <c r="LI47" i="2"/>
  <c r="LH47" i="2"/>
  <c r="LG47" i="2"/>
  <c r="LF47" i="2"/>
  <c r="LE47" i="2"/>
  <c r="LD47" i="2"/>
  <c r="LC47" i="2"/>
  <c r="LB47" i="2"/>
  <c r="LA47" i="2"/>
  <c r="KZ47" i="2"/>
  <c r="KY47" i="2"/>
  <c r="KX47" i="2"/>
  <c r="KW47" i="2"/>
  <c r="KV47" i="2"/>
  <c r="KU47" i="2"/>
  <c r="KT47" i="2"/>
  <c r="KS47" i="2"/>
  <c r="KR47" i="2"/>
  <c r="KQ47" i="2"/>
  <c r="KP47" i="2"/>
  <c r="KO47" i="2"/>
  <c r="KN47" i="2"/>
  <c r="KM47" i="2"/>
  <c r="KL47" i="2"/>
  <c r="KK47" i="2"/>
  <c r="KJ47" i="2"/>
  <c r="KI47" i="2"/>
  <c r="KH47" i="2"/>
  <c r="KG47" i="2"/>
  <c r="KF47" i="2"/>
  <c r="KE47" i="2"/>
  <c r="KD47" i="2"/>
  <c r="KC47" i="2"/>
  <c r="KB47" i="2"/>
  <c r="KA47" i="2"/>
  <c r="JZ47" i="2"/>
  <c r="JY47" i="2"/>
  <c r="JX47" i="2"/>
  <c r="JW47" i="2"/>
  <c r="JV47" i="2"/>
  <c r="JU47" i="2"/>
  <c r="JT47" i="2"/>
  <c r="JS47" i="2"/>
  <c r="JR47" i="2"/>
  <c r="JQ47" i="2"/>
  <c r="JP47" i="2"/>
  <c r="JO47" i="2"/>
  <c r="JN47" i="2"/>
  <c r="JM47" i="2"/>
  <c r="JL47" i="2"/>
  <c r="JK47" i="2"/>
  <c r="JJ47" i="2"/>
  <c r="JI47" i="2"/>
  <c r="JH47" i="2"/>
  <c r="JG47" i="2"/>
  <c r="JF47" i="2"/>
  <c r="JE47" i="2"/>
  <c r="JD47" i="2"/>
  <c r="JC47" i="2"/>
  <c r="JB47" i="2"/>
  <c r="JA47" i="2"/>
  <c r="IZ47" i="2"/>
  <c r="IY47" i="2"/>
  <c r="IX47" i="2"/>
  <c r="IW47" i="2"/>
  <c r="IV47" i="2"/>
  <c r="IU47" i="2"/>
  <c r="IT47" i="2"/>
  <c r="IS47" i="2"/>
  <c r="IR47" i="2"/>
  <c r="IQ47" i="2"/>
  <c r="IP47" i="2"/>
  <c r="IO47" i="2"/>
  <c r="IN47" i="2"/>
  <c r="IM47" i="2"/>
  <c r="IL47" i="2"/>
  <c r="IK47" i="2"/>
  <c r="IJ47" i="2"/>
  <c r="II47" i="2"/>
  <c r="IH47" i="2"/>
  <c r="IG47" i="2"/>
  <c r="IF47" i="2"/>
  <c r="IE47" i="2"/>
  <c r="ID47" i="2"/>
  <c r="IC47" i="2"/>
  <c r="IB47" i="2"/>
  <c r="IA47" i="2"/>
  <c r="HZ47" i="2"/>
  <c r="HY47" i="2"/>
  <c r="HX47" i="2"/>
  <c r="HW47" i="2"/>
  <c r="HV47" i="2"/>
  <c r="HU47" i="2"/>
  <c r="HT47" i="2"/>
  <c r="HS47" i="2"/>
  <c r="HR47" i="2"/>
  <c r="HQ47" i="2"/>
  <c r="HP47" i="2"/>
  <c r="HO47" i="2"/>
  <c r="HN47" i="2"/>
  <c r="HM47" i="2"/>
  <c r="HL47" i="2"/>
  <c r="HK47" i="2"/>
  <c r="HJ47" i="2"/>
  <c r="HI47" i="2"/>
  <c r="HH47" i="2"/>
  <c r="HG47" i="2"/>
  <c r="HF47" i="2"/>
  <c r="HE47" i="2"/>
  <c r="HD47" i="2"/>
  <c r="HC47" i="2"/>
  <c r="HB47" i="2"/>
  <c r="HA47" i="2"/>
  <c r="GZ47" i="2"/>
  <c r="GY47" i="2"/>
  <c r="GX47" i="2"/>
  <c r="GW47" i="2"/>
  <c r="GV47" i="2"/>
  <c r="GU47" i="2"/>
  <c r="GT47" i="2"/>
  <c r="GS47" i="2"/>
  <c r="GR47" i="2"/>
  <c r="GQ47" i="2"/>
  <c r="GP47" i="2"/>
  <c r="GO47" i="2"/>
  <c r="GN47" i="2"/>
  <c r="GM47" i="2"/>
  <c r="GL47" i="2"/>
  <c r="GK47" i="2"/>
  <c r="GJ47" i="2"/>
  <c r="GI47" i="2"/>
  <c r="GH47" i="2"/>
  <c r="GG47" i="2"/>
  <c r="GF47" i="2"/>
  <c r="GE47" i="2"/>
  <c r="GD47" i="2"/>
  <c r="GC47" i="2"/>
  <c r="GB47" i="2"/>
  <c r="GA47" i="2"/>
  <c r="FZ47" i="2"/>
  <c r="FY47" i="2"/>
  <c r="FX47" i="2"/>
  <c r="FW47" i="2"/>
  <c r="FV47" i="2"/>
  <c r="FU47" i="2"/>
  <c r="FT47" i="2"/>
  <c r="FS47" i="2"/>
  <c r="FR47" i="2"/>
  <c r="FQ47" i="2"/>
  <c r="FP47" i="2"/>
  <c r="FO47" i="2"/>
  <c r="FN47" i="2"/>
  <c r="FM47" i="2"/>
  <c r="FL47" i="2"/>
  <c r="FK47" i="2"/>
  <c r="FJ47" i="2"/>
  <c r="FI47" i="2"/>
  <c r="FH47" i="2"/>
  <c r="FG47" i="2"/>
  <c r="FF47" i="2"/>
  <c r="FE47" i="2"/>
  <c r="FD47" i="2"/>
  <c r="FC47" i="2"/>
  <c r="FB47" i="2"/>
  <c r="FA47" i="2"/>
  <c r="EZ47" i="2"/>
  <c r="EY47" i="2"/>
  <c r="EX47" i="2"/>
  <c r="EW47" i="2"/>
  <c r="EV47" i="2"/>
  <c r="EU47" i="2"/>
  <c r="ET47" i="2"/>
  <c r="ES47" i="2"/>
  <c r="ER47" i="2"/>
  <c r="EQ47" i="2"/>
  <c r="EP47" i="2"/>
  <c r="EO47" i="2"/>
  <c r="EN47" i="2"/>
  <c r="EM47" i="2"/>
  <c r="EL47" i="2"/>
  <c r="EK47" i="2"/>
  <c r="EJ47" i="2"/>
  <c r="EI47" i="2"/>
  <c r="EH47" i="2"/>
  <c r="EG47" i="2"/>
  <c r="EF47" i="2"/>
  <c r="EE47" i="2"/>
  <c r="ED47" i="2"/>
  <c r="EC47" i="2"/>
  <c r="EB47" i="2"/>
  <c r="EA47" i="2"/>
  <c r="DZ47" i="2"/>
  <c r="DY47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PI46" i="2"/>
  <c r="PH46" i="2"/>
  <c r="PG46" i="2"/>
  <c r="PF46" i="2"/>
  <c r="PE46" i="2"/>
  <c r="PD46" i="2"/>
  <c r="PC46" i="2"/>
  <c r="PB46" i="2"/>
  <c r="PA46" i="2"/>
  <c r="OZ46" i="2"/>
  <c r="OY46" i="2"/>
  <c r="OX46" i="2"/>
  <c r="OW46" i="2"/>
  <c r="OV46" i="2"/>
  <c r="OU46" i="2"/>
  <c r="OT46" i="2"/>
  <c r="OS46" i="2"/>
  <c r="OR46" i="2"/>
  <c r="OQ46" i="2"/>
  <c r="OP46" i="2"/>
  <c r="OO46" i="2"/>
  <c r="ON46" i="2"/>
  <c r="OM46" i="2"/>
  <c r="OL46" i="2"/>
  <c r="OK46" i="2"/>
  <c r="OJ46" i="2"/>
  <c r="OI46" i="2"/>
  <c r="OH46" i="2"/>
  <c r="OG46" i="2"/>
  <c r="OF46" i="2"/>
  <c r="OE46" i="2"/>
  <c r="OD46" i="2"/>
  <c r="OC46" i="2"/>
  <c r="OB46" i="2"/>
  <c r="OA46" i="2"/>
  <c r="NZ46" i="2"/>
  <c r="NY46" i="2"/>
  <c r="NX46" i="2"/>
  <c r="NW46" i="2"/>
  <c r="NV46" i="2"/>
  <c r="NU46" i="2"/>
  <c r="NT46" i="2"/>
  <c r="NS46" i="2"/>
  <c r="NR46" i="2"/>
  <c r="NQ46" i="2"/>
  <c r="NP46" i="2"/>
  <c r="NO46" i="2"/>
  <c r="NN46" i="2"/>
  <c r="NM46" i="2"/>
  <c r="NL46" i="2"/>
  <c r="NK46" i="2"/>
  <c r="NJ46" i="2"/>
  <c r="NI46" i="2"/>
  <c r="NH46" i="2"/>
  <c r="NG46" i="2"/>
  <c r="NF46" i="2"/>
  <c r="NE46" i="2"/>
  <c r="ND46" i="2"/>
  <c r="NC46" i="2"/>
  <c r="NB46" i="2"/>
  <c r="NA46" i="2"/>
  <c r="MZ46" i="2"/>
  <c r="MY46" i="2"/>
  <c r="MX46" i="2"/>
  <c r="MW46" i="2"/>
  <c r="MV46" i="2"/>
  <c r="MU46" i="2"/>
  <c r="MT46" i="2"/>
  <c r="MS46" i="2"/>
  <c r="MR46" i="2"/>
  <c r="MQ46" i="2"/>
  <c r="MP46" i="2"/>
  <c r="MO46" i="2"/>
  <c r="MN46" i="2"/>
  <c r="MM46" i="2"/>
  <c r="ML46" i="2"/>
  <c r="MK46" i="2"/>
  <c r="MJ46" i="2"/>
  <c r="MI46" i="2"/>
  <c r="MH46" i="2"/>
  <c r="MG46" i="2"/>
  <c r="MF46" i="2"/>
  <c r="ME46" i="2"/>
  <c r="MD46" i="2"/>
  <c r="MC46" i="2"/>
  <c r="MB46" i="2"/>
  <c r="MA46" i="2"/>
  <c r="LZ46" i="2"/>
  <c r="LY46" i="2"/>
  <c r="LX46" i="2"/>
  <c r="LW46" i="2"/>
  <c r="LV46" i="2"/>
  <c r="LU46" i="2"/>
  <c r="LT46" i="2"/>
  <c r="LS46" i="2"/>
  <c r="LR46" i="2"/>
  <c r="LQ46" i="2"/>
  <c r="LP46" i="2"/>
  <c r="LO46" i="2"/>
  <c r="LN46" i="2"/>
  <c r="LM46" i="2"/>
  <c r="LL46" i="2"/>
  <c r="LK46" i="2"/>
  <c r="LJ46" i="2"/>
  <c r="LI46" i="2"/>
  <c r="LH46" i="2"/>
  <c r="LG46" i="2"/>
  <c r="LF46" i="2"/>
  <c r="LE46" i="2"/>
  <c r="LD46" i="2"/>
  <c r="LC46" i="2"/>
  <c r="LB46" i="2"/>
  <c r="LA46" i="2"/>
  <c r="KZ46" i="2"/>
  <c r="KY46" i="2"/>
  <c r="KX46" i="2"/>
  <c r="KW46" i="2"/>
  <c r="KV46" i="2"/>
  <c r="KU46" i="2"/>
  <c r="KT46" i="2"/>
  <c r="KS46" i="2"/>
  <c r="KR46" i="2"/>
  <c r="KQ46" i="2"/>
  <c r="KP46" i="2"/>
  <c r="KO46" i="2"/>
  <c r="KN46" i="2"/>
  <c r="KM46" i="2"/>
  <c r="KL46" i="2"/>
  <c r="KK46" i="2"/>
  <c r="KJ46" i="2"/>
  <c r="KI46" i="2"/>
  <c r="KH46" i="2"/>
  <c r="KG46" i="2"/>
  <c r="KF46" i="2"/>
  <c r="KE46" i="2"/>
  <c r="KD46" i="2"/>
  <c r="KC46" i="2"/>
  <c r="KB46" i="2"/>
  <c r="KA46" i="2"/>
  <c r="JZ46" i="2"/>
  <c r="JY46" i="2"/>
  <c r="JX46" i="2"/>
  <c r="JW46" i="2"/>
  <c r="JV46" i="2"/>
  <c r="JU46" i="2"/>
  <c r="JT46" i="2"/>
  <c r="JS46" i="2"/>
  <c r="JR46" i="2"/>
  <c r="JQ46" i="2"/>
  <c r="JP46" i="2"/>
  <c r="JO46" i="2"/>
  <c r="JN46" i="2"/>
  <c r="JM46" i="2"/>
  <c r="JL46" i="2"/>
  <c r="JK46" i="2"/>
  <c r="JJ46" i="2"/>
  <c r="JI46" i="2"/>
  <c r="JH46" i="2"/>
  <c r="JG46" i="2"/>
  <c r="JF46" i="2"/>
  <c r="JE46" i="2"/>
  <c r="JD46" i="2"/>
  <c r="JC46" i="2"/>
  <c r="JB46" i="2"/>
  <c r="JA46" i="2"/>
  <c r="IZ46" i="2"/>
  <c r="IY46" i="2"/>
  <c r="IX46" i="2"/>
  <c r="IW46" i="2"/>
  <c r="IV46" i="2"/>
  <c r="IU46" i="2"/>
  <c r="IT46" i="2"/>
  <c r="IS46" i="2"/>
  <c r="IR46" i="2"/>
  <c r="IQ46" i="2"/>
  <c r="IP46" i="2"/>
  <c r="IO46" i="2"/>
  <c r="IN46" i="2"/>
  <c r="IM46" i="2"/>
  <c r="IL46" i="2"/>
  <c r="IK46" i="2"/>
  <c r="IJ46" i="2"/>
  <c r="II46" i="2"/>
  <c r="IH46" i="2"/>
  <c r="IG46" i="2"/>
  <c r="IF46" i="2"/>
  <c r="IE46" i="2"/>
  <c r="ID46" i="2"/>
  <c r="IC46" i="2"/>
  <c r="IB46" i="2"/>
  <c r="IA46" i="2"/>
  <c r="HZ46" i="2"/>
  <c r="HY46" i="2"/>
  <c r="HX46" i="2"/>
  <c r="HW46" i="2"/>
  <c r="HV46" i="2"/>
  <c r="HU46" i="2"/>
  <c r="HT46" i="2"/>
  <c r="HS46" i="2"/>
  <c r="HR46" i="2"/>
  <c r="HQ46" i="2"/>
  <c r="HP46" i="2"/>
  <c r="HO46" i="2"/>
  <c r="HN46" i="2"/>
  <c r="HM46" i="2"/>
  <c r="HL46" i="2"/>
  <c r="HK46" i="2"/>
  <c r="HJ46" i="2"/>
  <c r="HI46" i="2"/>
  <c r="HH46" i="2"/>
  <c r="HG46" i="2"/>
  <c r="HF46" i="2"/>
  <c r="HE46" i="2"/>
  <c r="HD46" i="2"/>
  <c r="HC46" i="2"/>
  <c r="HB46" i="2"/>
  <c r="HA46" i="2"/>
  <c r="GZ46" i="2"/>
  <c r="GY46" i="2"/>
  <c r="GX46" i="2"/>
  <c r="GW46" i="2"/>
  <c r="GV46" i="2"/>
  <c r="GU46" i="2"/>
  <c r="GT46" i="2"/>
  <c r="GS46" i="2"/>
  <c r="GR46" i="2"/>
  <c r="GQ46" i="2"/>
  <c r="GP46" i="2"/>
  <c r="GO46" i="2"/>
  <c r="GN46" i="2"/>
  <c r="GM46" i="2"/>
  <c r="GL46" i="2"/>
  <c r="GK46" i="2"/>
  <c r="GJ46" i="2"/>
  <c r="GI46" i="2"/>
  <c r="GH46" i="2"/>
  <c r="GG46" i="2"/>
  <c r="GF46" i="2"/>
  <c r="GE46" i="2"/>
  <c r="GD46" i="2"/>
  <c r="GC46" i="2"/>
  <c r="GB46" i="2"/>
  <c r="GA46" i="2"/>
  <c r="FZ46" i="2"/>
  <c r="FY46" i="2"/>
  <c r="FX46" i="2"/>
  <c r="FW46" i="2"/>
  <c r="FV46" i="2"/>
  <c r="FU46" i="2"/>
  <c r="FT46" i="2"/>
  <c r="FS46" i="2"/>
  <c r="FR46" i="2"/>
  <c r="FQ46" i="2"/>
  <c r="FP46" i="2"/>
  <c r="FO46" i="2"/>
  <c r="FN46" i="2"/>
  <c r="FM46" i="2"/>
  <c r="FL46" i="2"/>
  <c r="FK46" i="2"/>
  <c r="FJ46" i="2"/>
  <c r="FI46" i="2"/>
  <c r="FH46" i="2"/>
  <c r="FG46" i="2"/>
  <c r="FF46" i="2"/>
  <c r="FE46" i="2"/>
  <c r="FD46" i="2"/>
  <c r="FC46" i="2"/>
  <c r="FB46" i="2"/>
  <c r="FA46" i="2"/>
  <c r="EZ46" i="2"/>
  <c r="EY46" i="2"/>
  <c r="EX46" i="2"/>
  <c r="EW46" i="2"/>
  <c r="EV46" i="2"/>
  <c r="EU46" i="2"/>
  <c r="ET46" i="2"/>
  <c r="ES46" i="2"/>
  <c r="ER46" i="2"/>
  <c r="EQ46" i="2"/>
  <c r="EP46" i="2"/>
  <c r="EO46" i="2"/>
  <c r="EN46" i="2"/>
  <c r="EM46" i="2"/>
  <c r="EL46" i="2"/>
  <c r="EK46" i="2"/>
  <c r="EJ46" i="2"/>
  <c r="EI46" i="2"/>
  <c r="EH46" i="2"/>
  <c r="EG46" i="2"/>
  <c r="EF46" i="2"/>
  <c r="EE46" i="2"/>
  <c r="ED46" i="2"/>
  <c r="EC46" i="2"/>
  <c r="EB46" i="2"/>
  <c r="EA46" i="2"/>
  <c r="DZ46" i="2"/>
  <c r="DY46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PI45" i="2"/>
  <c r="PH45" i="2"/>
  <c r="PG45" i="2"/>
  <c r="PF45" i="2"/>
  <c r="PE45" i="2"/>
  <c r="PD45" i="2"/>
  <c r="PC45" i="2"/>
  <c r="PB45" i="2"/>
  <c r="PA45" i="2"/>
  <c r="OZ45" i="2"/>
  <c r="OY45" i="2"/>
  <c r="OX45" i="2"/>
  <c r="OW45" i="2"/>
  <c r="OV45" i="2"/>
  <c r="OU45" i="2"/>
  <c r="OT45" i="2"/>
  <c r="OS45" i="2"/>
  <c r="OR45" i="2"/>
  <c r="OQ45" i="2"/>
  <c r="OP45" i="2"/>
  <c r="OO45" i="2"/>
  <c r="ON45" i="2"/>
  <c r="OM45" i="2"/>
  <c r="OL45" i="2"/>
  <c r="OK45" i="2"/>
  <c r="OJ45" i="2"/>
  <c r="OI45" i="2"/>
  <c r="OH45" i="2"/>
  <c r="OG45" i="2"/>
  <c r="OF45" i="2"/>
  <c r="OE45" i="2"/>
  <c r="OD45" i="2"/>
  <c r="OC45" i="2"/>
  <c r="OB45" i="2"/>
  <c r="OA45" i="2"/>
  <c r="NZ45" i="2"/>
  <c r="NY45" i="2"/>
  <c r="NX45" i="2"/>
  <c r="NW45" i="2"/>
  <c r="NV45" i="2"/>
  <c r="NU45" i="2"/>
  <c r="NT45" i="2"/>
  <c r="NS45" i="2"/>
  <c r="NR45" i="2"/>
  <c r="NQ45" i="2"/>
  <c r="NP45" i="2"/>
  <c r="NO45" i="2"/>
  <c r="NN45" i="2"/>
  <c r="NM45" i="2"/>
  <c r="NL45" i="2"/>
  <c r="NK45" i="2"/>
  <c r="NJ45" i="2"/>
  <c r="NI45" i="2"/>
  <c r="NH45" i="2"/>
  <c r="NG45" i="2"/>
  <c r="NF45" i="2"/>
  <c r="NE45" i="2"/>
  <c r="ND45" i="2"/>
  <c r="NC45" i="2"/>
  <c r="NB45" i="2"/>
  <c r="NA45" i="2"/>
  <c r="MZ45" i="2"/>
  <c r="MY45" i="2"/>
  <c r="MX45" i="2"/>
  <c r="MW45" i="2"/>
  <c r="MV45" i="2"/>
  <c r="MU45" i="2"/>
  <c r="MT45" i="2"/>
  <c r="MS45" i="2"/>
  <c r="MR45" i="2"/>
  <c r="MQ45" i="2"/>
  <c r="MP45" i="2"/>
  <c r="MO45" i="2"/>
  <c r="MN45" i="2"/>
  <c r="MM45" i="2"/>
  <c r="ML45" i="2"/>
  <c r="MK45" i="2"/>
  <c r="MJ45" i="2"/>
  <c r="MI45" i="2"/>
  <c r="MH45" i="2"/>
  <c r="MG45" i="2"/>
  <c r="MF45" i="2"/>
  <c r="ME45" i="2"/>
  <c r="MD45" i="2"/>
  <c r="MC45" i="2"/>
  <c r="MB45" i="2"/>
  <c r="MA45" i="2"/>
  <c r="LZ45" i="2"/>
  <c r="LY45" i="2"/>
  <c r="LX45" i="2"/>
  <c r="LW45" i="2"/>
  <c r="LV45" i="2"/>
  <c r="LU45" i="2"/>
  <c r="LT45" i="2"/>
  <c r="LS45" i="2"/>
  <c r="LR45" i="2"/>
  <c r="LQ45" i="2"/>
  <c r="LP45" i="2"/>
  <c r="LO45" i="2"/>
  <c r="LN45" i="2"/>
  <c r="LM45" i="2"/>
  <c r="LL45" i="2"/>
  <c r="LK45" i="2"/>
  <c r="LJ45" i="2"/>
  <c r="LI45" i="2"/>
  <c r="LH45" i="2"/>
  <c r="LG45" i="2"/>
  <c r="LF45" i="2"/>
  <c r="LE45" i="2"/>
  <c r="LD45" i="2"/>
  <c r="LC45" i="2"/>
  <c r="LB45" i="2"/>
  <c r="LA45" i="2"/>
  <c r="KZ45" i="2"/>
  <c r="KY45" i="2"/>
  <c r="KX45" i="2"/>
  <c r="KW45" i="2"/>
  <c r="KV45" i="2"/>
  <c r="KU45" i="2"/>
  <c r="KT45" i="2"/>
  <c r="KS45" i="2"/>
  <c r="KR45" i="2"/>
  <c r="KQ45" i="2"/>
  <c r="KP45" i="2"/>
  <c r="KO45" i="2"/>
  <c r="KN45" i="2"/>
  <c r="KM45" i="2"/>
  <c r="KL45" i="2"/>
  <c r="KK45" i="2"/>
  <c r="KJ45" i="2"/>
  <c r="KI45" i="2"/>
  <c r="KH45" i="2"/>
  <c r="KG45" i="2"/>
  <c r="KF45" i="2"/>
  <c r="KE45" i="2"/>
  <c r="KD45" i="2"/>
  <c r="KC45" i="2"/>
  <c r="KB45" i="2"/>
  <c r="KA45" i="2"/>
  <c r="JZ45" i="2"/>
  <c r="JY45" i="2"/>
  <c r="JX45" i="2"/>
  <c r="JW45" i="2"/>
  <c r="JV45" i="2"/>
  <c r="JU45" i="2"/>
  <c r="JT45" i="2"/>
  <c r="JS45" i="2"/>
  <c r="JR45" i="2"/>
  <c r="JQ45" i="2"/>
  <c r="JP45" i="2"/>
  <c r="JO45" i="2"/>
  <c r="JN45" i="2"/>
  <c r="JM45" i="2"/>
  <c r="JL45" i="2"/>
  <c r="JK45" i="2"/>
  <c r="JJ45" i="2"/>
  <c r="JI45" i="2"/>
  <c r="JH45" i="2"/>
  <c r="JG45" i="2"/>
  <c r="JF45" i="2"/>
  <c r="JE45" i="2"/>
  <c r="JD45" i="2"/>
  <c r="JC45" i="2"/>
  <c r="JB45" i="2"/>
  <c r="JA45" i="2"/>
  <c r="IZ45" i="2"/>
  <c r="IY45" i="2"/>
  <c r="IX45" i="2"/>
  <c r="IW45" i="2"/>
  <c r="IV45" i="2"/>
  <c r="IU45" i="2"/>
  <c r="IT45" i="2"/>
  <c r="IS45" i="2"/>
  <c r="IR45" i="2"/>
  <c r="IQ45" i="2"/>
  <c r="IP45" i="2"/>
  <c r="IO45" i="2"/>
  <c r="IN45" i="2"/>
  <c r="IM45" i="2"/>
  <c r="IL45" i="2"/>
  <c r="IK45" i="2"/>
  <c r="IJ45" i="2"/>
  <c r="II45" i="2"/>
  <c r="IH45" i="2"/>
  <c r="IG45" i="2"/>
  <c r="IF45" i="2"/>
  <c r="IE45" i="2"/>
  <c r="ID45" i="2"/>
  <c r="IC45" i="2"/>
  <c r="IB45" i="2"/>
  <c r="IA45" i="2"/>
  <c r="HZ45" i="2"/>
  <c r="HY45" i="2"/>
  <c r="HX45" i="2"/>
  <c r="HW45" i="2"/>
  <c r="HV45" i="2"/>
  <c r="HU45" i="2"/>
  <c r="HT45" i="2"/>
  <c r="HS45" i="2"/>
  <c r="HR45" i="2"/>
  <c r="HQ45" i="2"/>
  <c r="HP45" i="2"/>
  <c r="HO45" i="2"/>
  <c r="HN45" i="2"/>
  <c r="HM45" i="2"/>
  <c r="HL45" i="2"/>
  <c r="HK45" i="2"/>
  <c r="HJ45" i="2"/>
  <c r="HI45" i="2"/>
  <c r="HH45" i="2"/>
  <c r="HG45" i="2"/>
  <c r="HF45" i="2"/>
  <c r="HE45" i="2"/>
  <c r="HD45" i="2"/>
  <c r="HC45" i="2"/>
  <c r="HB45" i="2"/>
  <c r="HA45" i="2"/>
  <c r="GZ45" i="2"/>
  <c r="GY45" i="2"/>
  <c r="GX45" i="2"/>
  <c r="GW45" i="2"/>
  <c r="GV45" i="2"/>
  <c r="GU45" i="2"/>
  <c r="GT45" i="2"/>
  <c r="GS45" i="2"/>
  <c r="GR45" i="2"/>
  <c r="GQ45" i="2"/>
  <c r="GP45" i="2"/>
  <c r="GO45" i="2"/>
  <c r="GN45" i="2"/>
  <c r="GM45" i="2"/>
  <c r="GL45" i="2"/>
  <c r="GK45" i="2"/>
  <c r="GJ45" i="2"/>
  <c r="GI45" i="2"/>
  <c r="GH45" i="2"/>
  <c r="GG45" i="2"/>
  <c r="GF45" i="2"/>
  <c r="GE45" i="2"/>
  <c r="GD45" i="2"/>
  <c r="GC45" i="2"/>
  <c r="GB45" i="2"/>
  <c r="GA45" i="2"/>
  <c r="FZ45" i="2"/>
  <c r="FY45" i="2"/>
  <c r="FX45" i="2"/>
  <c r="FW45" i="2"/>
  <c r="FV45" i="2"/>
  <c r="FU45" i="2"/>
  <c r="FT45" i="2"/>
  <c r="FS45" i="2"/>
  <c r="FR45" i="2"/>
  <c r="FQ45" i="2"/>
  <c r="FP45" i="2"/>
  <c r="FO45" i="2"/>
  <c r="FN45" i="2"/>
  <c r="FM45" i="2"/>
  <c r="FL45" i="2"/>
  <c r="FK45" i="2"/>
  <c r="FJ45" i="2"/>
  <c r="FI45" i="2"/>
  <c r="FH45" i="2"/>
  <c r="FG45" i="2"/>
  <c r="FF45" i="2"/>
  <c r="FE45" i="2"/>
  <c r="FD45" i="2"/>
  <c r="FC45" i="2"/>
  <c r="FB45" i="2"/>
  <c r="FA45" i="2"/>
  <c r="EZ45" i="2"/>
  <c r="EY45" i="2"/>
  <c r="EX45" i="2"/>
  <c r="EW45" i="2"/>
  <c r="EV45" i="2"/>
  <c r="EU45" i="2"/>
  <c r="ET45" i="2"/>
  <c r="ES45" i="2"/>
  <c r="ER45" i="2"/>
  <c r="EQ45" i="2"/>
  <c r="EP45" i="2"/>
  <c r="EO45" i="2"/>
  <c r="EN45" i="2"/>
  <c r="EM45" i="2"/>
  <c r="EL45" i="2"/>
  <c r="EK45" i="2"/>
  <c r="EJ45" i="2"/>
  <c r="EI45" i="2"/>
  <c r="EH45" i="2"/>
  <c r="EG45" i="2"/>
  <c r="EF45" i="2"/>
  <c r="EE45" i="2"/>
  <c r="ED45" i="2"/>
  <c r="EC45" i="2"/>
  <c r="EB45" i="2"/>
  <c r="EA45" i="2"/>
  <c r="DZ45" i="2"/>
  <c r="DY45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PI44" i="2"/>
  <c r="PH44" i="2"/>
  <c r="PG44" i="2"/>
  <c r="PF44" i="2"/>
  <c r="PE44" i="2"/>
  <c r="PD44" i="2"/>
  <c r="PC44" i="2"/>
  <c r="PB44" i="2"/>
  <c r="PA44" i="2"/>
  <c r="OZ44" i="2"/>
  <c r="OY44" i="2"/>
  <c r="OX44" i="2"/>
  <c r="OW44" i="2"/>
  <c r="OV44" i="2"/>
  <c r="OU44" i="2"/>
  <c r="OT44" i="2"/>
  <c r="OS44" i="2"/>
  <c r="OR44" i="2"/>
  <c r="OQ44" i="2"/>
  <c r="OP44" i="2"/>
  <c r="OO44" i="2"/>
  <c r="ON44" i="2"/>
  <c r="OM44" i="2"/>
  <c r="OL44" i="2"/>
  <c r="OK44" i="2"/>
  <c r="OJ44" i="2"/>
  <c r="OI44" i="2"/>
  <c r="OH44" i="2"/>
  <c r="OG44" i="2"/>
  <c r="OF44" i="2"/>
  <c r="OE44" i="2"/>
  <c r="OD44" i="2"/>
  <c r="OC44" i="2"/>
  <c r="OB44" i="2"/>
  <c r="OA44" i="2"/>
  <c r="NZ44" i="2"/>
  <c r="NY44" i="2"/>
  <c r="NX44" i="2"/>
  <c r="NW44" i="2"/>
  <c r="NV44" i="2"/>
  <c r="NU44" i="2"/>
  <c r="NT44" i="2"/>
  <c r="NS44" i="2"/>
  <c r="NR44" i="2"/>
  <c r="NQ44" i="2"/>
  <c r="NP44" i="2"/>
  <c r="NO44" i="2"/>
  <c r="NN44" i="2"/>
  <c r="NM44" i="2"/>
  <c r="NL44" i="2"/>
  <c r="NK44" i="2"/>
  <c r="NJ44" i="2"/>
  <c r="NI44" i="2"/>
  <c r="NH44" i="2"/>
  <c r="NG44" i="2"/>
  <c r="NF44" i="2"/>
  <c r="NE44" i="2"/>
  <c r="ND44" i="2"/>
  <c r="NC44" i="2"/>
  <c r="NB44" i="2"/>
  <c r="NA44" i="2"/>
  <c r="MZ44" i="2"/>
  <c r="MY44" i="2"/>
  <c r="MX44" i="2"/>
  <c r="MW44" i="2"/>
  <c r="MV44" i="2"/>
  <c r="MU44" i="2"/>
  <c r="MT44" i="2"/>
  <c r="MS44" i="2"/>
  <c r="MR44" i="2"/>
  <c r="MQ44" i="2"/>
  <c r="MP44" i="2"/>
  <c r="MO44" i="2"/>
  <c r="MN44" i="2"/>
  <c r="MM44" i="2"/>
  <c r="ML44" i="2"/>
  <c r="MK44" i="2"/>
  <c r="MJ44" i="2"/>
  <c r="MI44" i="2"/>
  <c r="MH44" i="2"/>
  <c r="MG44" i="2"/>
  <c r="MF44" i="2"/>
  <c r="ME44" i="2"/>
  <c r="MD44" i="2"/>
  <c r="MC44" i="2"/>
  <c r="MB44" i="2"/>
  <c r="MA44" i="2"/>
  <c r="LZ44" i="2"/>
  <c r="LY44" i="2"/>
  <c r="LX44" i="2"/>
  <c r="LW44" i="2"/>
  <c r="LV44" i="2"/>
  <c r="LU44" i="2"/>
  <c r="LT44" i="2"/>
  <c r="LS44" i="2"/>
  <c r="LR44" i="2"/>
  <c r="LQ44" i="2"/>
  <c r="LP44" i="2"/>
  <c r="LO44" i="2"/>
  <c r="LN44" i="2"/>
  <c r="LM44" i="2"/>
  <c r="LL44" i="2"/>
  <c r="LK44" i="2"/>
  <c r="LJ44" i="2"/>
  <c r="LI44" i="2"/>
  <c r="LH44" i="2"/>
  <c r="LG44" i="2"/>
  <c r="LF44" i="2"/>
  <c r="LE44" i="2"/>
  <c r="LD44" i="2"/>
  <c r="LC44" i="2"/>
  <c r="LB44" i="2"/>
  <c r="LA44" i="2"/>
  <c r="KZ44" i="2"/>
  <c r="KY44" i="2"/>
  <c r="KX44" i="2"/>
  <c r="KW44" i="2"/>
  <c r="KV44" i="2"/>
  <c r="KU44" i="2"/>
  <c r="KT44" i="2"/>
  <c r="KS44" i="2"/>
  <c r="KR44" i="2"/>
  <c r="KQ44" i="2"/>
  <c r="KP44" i="2"/>
  <c r="KO44" i="2"/>
  <c r="KN44" i="2"/>
  <c r="KM44" i="2"/>
  <c r="KL44" i="2"/>
  <c r="KK44" i="2"/>
  <c r="KJ44" i="2"/>
  <c r="KI44" i="2"/>
  <c r="KH44" i="2"/>
  <c r="KG44" i="2"/>
  <c r="KF44" i="2"/>
  <c r="KE44" i="2"/>
  <c r="KD44" i="2"/>
  <c r="KC44" i="2"/>
  <c r="KB44" i="2"/>
  <c r="KA44" i="2"/>
  <c r="JZ44" i="2"/>
  <c r="JY44" i="2"/>
  <c r="JX44" i="2"/>
  <c r="JW44" i="2"/>
  <c r="JV44" i="2"/>
  <c r="JU44" i="2"/>
  <c r="JT44" i="2"/>
  <c r="JS44" i="2"/>
  <c r="JR44" i="2"/>
  <c r="JQ44" i="2"/>
  <c r="JP44" i="2"/>
  <c r="JO44" i="2"/>
  <c r="JN44" i="2"/>
  <c r="JM44" i="2"/>
  <c r="JL44" i="2"/>
  <c r="JK44" i="2"/>
  <c r="JJ44" i="2"/>
  <c r="JI44" i="2"/>
  <c r="JH44" i="2"/>
  <c r="JG44" i="2"/>
  <c r="JF44" i="2"/>
  <c r="JE44" i="2"/>
  <c r="JD44" i="2"/>
  <c r="JC44" i="2"/>
  <c r="JB44" i="2"/>
  <c r="JA44" i="2"/>
  <c r="IZ44" i="2"/>
  <c r="IY44" i="2"/>
  <c r="IX44" i="2"/>
  <c r="IW44" i="2"/>
  <c r="IV44" i="2"/>
  <c r="IU44" i="2"/>
  <c r="IT44" i="2"/>
  <c r="IS44" i="2"/>
  <c r="IR44" i="2"/>
  <c r="IQ44" i="2"/>
  <c r="IP44" i="2"/>
  <c r="IO44" i="2"/>
  <c r="IN44" i="2"/>
  <c r="IM44" i="2"/>
  <c r="IL44" i="2"/>
  <c r="IK44" i="2"/>
  <c r="IJ44" i="2"/>
  <c r="II44" i="2"/>
  <c r="IH44" i="2"/>
  <c r="IG44" i="2"/>
  <c r="IF44" i="2"/>
  <c r="IE44" i="2"/>
  <c r="ID44" i="2"/>
  <c r="IC44" i="2"/>
  <c r="IB44" i="2"/>
  <c r="IA44" i="2"/>
  <c r="HZ44" i="2"/>
  <c r="HY44" i="2"/>
  <c r="HX44" i="2"/>
  <c r="HW44" i="2"/>
  <c r="HV44" i="2"/>
  <c r="HU44" i="2"/>
  <c r="HT44" i="2"/>
  <c r="HS44" i="2"/>
  <c r="HR44" i="2"/>
  <c r="HQ44" i="2"/>
  <c r="HP44" i="2"/>
  <c r="HO44" i="2"/>
  <c r="HN44" i="2"/>
  <c r="HM44" i="2"/>
  <c r="HL44" i="2"/>
  <c r="HK44" i="2"/>
  <c r="HJ44" i="2"/>
  <c r="HI44" i="2"/>
  <c r="HH44" i="2"/>
  <c r="HG44" i="2"/>
  <c r="HF44" i="2"/>
  <c r="HE44" i="2"/>
  <c r="HD44" i="2"/>
  <c r="HC44" i="2"/>
  <c r="HB44" i="2"/>
  <c r="HA44" i="2"/>
  <c r="GZ44" i="2"/>
  <c r="GY44" i="2"/>
  <c r="GX44" i="2"/>
  <c r="GW44" i="2"/>
  <c r="GV44" i="2"/>
  <c r="GU44" i="2"/>
  <c r="GT44" i="2"/>
  <c r="GS44" i="2"/>
  <c r="GR44" i="2"/>
  <c r="GQ44" i="2"/>
  <c r="GP44" i="2"/>
  <c r="GO44" i="2"/>
  <c r="GN44" i="2"/>
  <c r="GM44" i="2"/>
  <c r="GL44" i="2"/>
  <c r="GK44" i="2"/>
  <c r="GJ44" i="2"/>
  <c r="GI44" i="2"/>
  <c r="GH44" i="2"/>
  <c r="GG44" i="2"/>
  <c r="GF44" i="2"/>
  <c r="GE44" i="2"/>
  <c r="GD44" i="2"/>
  <c r="GC44" i="2"/>
  <c r="GB44" i="2"/>
  <c r="GA44" i="2"/>
  <c r="FZ44" i="2"/>
  <c r="FY44" i="2"/>
  <c r="FX44" i="2"/>
  <c r="FW44" i="2"/>
  <c r="FV44" i="2"/>
  <c r="FU44" i="2"/>
  <c r="FT44" i="2"/>
  <c r="FS44" i="2"/>
  <c r="FR44" i="2"/>
  <c r="FQ44" i="2"/>
  <c r="FP44" i="2"/>
  <c r="FO44" i="2"/>
  <c r="FN44" i="2"/>
  <c r="FM44" i="2"/>
  <c r="FL44" i="2"/>
  <c r="FK44" i="2"/>
  <c r="FJ44" i="2"/>
  <c r="FI44" i="2"/>
  <c r="FH44" i="2"/>
  <c r="FG44" i="2"/>
  <c r="FF44" i="2"/>
  <c r="FE44" i="2"/>
  <c r="FD44" i="2"/>
  <c r="FC44" i="2"/>
  <c r="FB44" i="2"/>
  <c r="FA44" i="2"/>
  <c r="EZ44" i="2"/>
  <c r="EY44" i="2"/>
  <c r="EX44" i="2"/>
  <c r="EW44" i="2"/>
  <c r="EV44" i="2"/>
  <c r="EU44" i="2"/>
  <c r="ET44" i="2"/>
  <c r="ES44" i="2"/>
  <c r="ER44" i="2"/>
  <c r="EQ44" i="2"/>
  <c r="EP44" i="2"/>
  <c r="EO44" i="2"/>
  <c r="EN44" i="2"/>
  <c r="EM44" i="2"/>
  <c r="EL44" i="2"/>
  <c r="EK44" i="2"/>
  <c r="EJ44" i="2"/>
  <c r="EI44" i="2"/>
  <c r="EH44" i="2"/>
  <c r="EG44" i="2"/>
  <c r="EF44" i="2"/>
  <c r="EE44" i="2"/>
  <c r="ED44" i="2"/>
  <c r="EC44" i="2"/>
  <c r="EB44" i="2"/>
  <c r="EA44" i="2"/>
  <c r="DZ44" i="2"/>
  <c r="DY44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PI43" i="2"/>
  <c r="PH43" i="2"/>
  <c r="PG43" i="2"/>
  <c r="PF43" i="2"/>
  <c r="PE43" i="2"/>
  <c r="PD43" i="2"/>
  <c r="PC43" i="2"/>
  <c r="PB43" i="2"/>
  <c r="PA43" i="2"/>
  <c r="OZ43" i="2"/>
  <c r="OY43" i="2"/>
  <c r="OX43" i="2"/>
  <c r="OW43" i="2"/>
  <c r="OV43" i="2"/>
  <c r="OU43" i="2"/>
  <c r="OT43" i="2"/>
  <c r="OS43" i="2"/>
  <c r="OR43" i="2"/>
  <c r="OQ43" i="2"/>
  <c r="OP43" i="2"/>
  <c r="OO43" i="2"/>
  <c r="ON43" i="2"/>
  <c r="OM43" i="2"/>
  <c r="OL43" i="2"/>
  <c r="OK43" i="2"/>
  <c r="OJ43" i="2"/>
  <c r="OI43" i="2"/>
  <c r="OH43" i="2"/>
  <c r="OG43" i="2"/>
  <c r="OF43" i="2"/>
  <c r="OE43" i="2"/>
  <c r="OD43" i="2"/>
  <c r="OC43" i="2"/>
  <c r="OB43" i="2"/>
  <c r="OA43" i="2"/>
  <c r="NZ43" i="2"/>
  <c r="NY43" i="2"/>
  <c r="NX43" i="2"/>
  <c r="NW43" i="2"/>
  <c r="NV43" i="2"/>
  <c r="NU43" i="2"/>
  <c r="NT43" i="2"/>
  <c r="NS43" i="2"/>
  <c r="NR43" i="2"/>
  <c r="NQ43" i="2"/>
  <c r="NP43" i="2"/>
  <c r="NO43" i="2"/>
  <c r="NN43" i="2"/>
  <c r="NM43" i="2"/>
  <c r="NL43" i="2"/>
  <c r="NK43" i="2"/>
  <c r="NJ43" i="2"/>
  <c r="NI43" i="2"/>
  <c r="NH43" i="2"/>
  <c r="NG43" i="2"/>
  <c r="NF43" i="2"/>
  <c r="NE43" i="2"/>
  <c r="ND43" i="2"/>
  <c r="NC43" i="2"/>
  <c r="NB43" i="2"/>
  <c r="NA43" i="2"/>
  <c r="MZ43" i="2"/>
  <c r="MY43" i="2"/>
  <c r="MX43" i="2"/>
  <c r="MW43" i="2"/>
  <c r="MV43" i="2"/>
  <c r="MU43" i="2"/>
  <c r="MT43" i="2"/>
  <c r="MS43" i="2"/>
  <c r="MR43" i="2"/>
  <c r="MQ43" i="2"/>
  <c r="MP43" i="2"/>
  <c r="MO43" i="2"/>
  <c r="MN43" i="2"/>
  <c r="MM43" i="2"/>
  <c r="ML43" i="2"/>
  <c r="MK43" i="2"/>
  <c r="MJ43" i="2"/>
  <c r="MI43" i="2"/>
  <c r="MH43" i="2"/>
  <c r="MG43" i="2"/>
  <c r="MF43" i="2"/>
  <c r="ME43" i="2"/>
  <c r="MD43" i="2"/>
  <c r="MC43" i="2"/>
  <c r="MB43" i="2"/>
  <c r="MA43" i="2"/>
  <c r="LZ43" i="2"/>
  <c r="LY43" i="2"/>
  <c r="LX43" i="2"/>
  <c r="LW43" i="2"/>
  <c r="LV43" i="2"/>
  <c r="LU43" i="2"/>
  <c r="LT43" i="2"/>
  <c r="LS43" i="2"/>
  <c r="LR43" i="2"/>
  <c r="LQ43" i="2"/>
  <c r="LP43" i="2"/>
  <c r="LO43" i="2"/>
  <c r="LN43" i="2"/>
  <c r="LM43" i="2"/>
  <c r="LL43" i="2"/>
  <c r="LK43" i="2"/>
  <c r="LJ43" i="2"/>
  <c r="LI43" i="2"/>
  <c r="LH43" i="2"/>
  <c r="LG43" i="2"/>
  <c r="LF43" i="2"/>
  <c r="LE43" i="2"/>
  <c r="LD43" i="2"/>
  <c r="LC43" i="2"/>
  <c r="LB43" i="2"/>
  <c r="LA43" i="2"/>
  <c r="KZ43" i="2"/>
  <c r="KY43" i="2"/>
  <c r="KX43" i="2"/>
  <c r="KW43" i="2"/>
  <c r="KV43" i="2"/>
  <c r="KU43" i="2"/>
  <c r="KT43" i="2"/>
  <c r="KS43" i="2"/>
  <c r="KR43" i="2"/>
  <c r="KQ43" i="2"/>
  <c r="KP43" i="2"/>
  <c r="KO43" i="2"/>
  <c r="KN43" i="2"/>
  <c r="KM43" i="2"/>
  <c r="KL43" i="2"/>
  <c r="KK43" i="2"/>
  <c r="KJ43" i="2"/>
  <c r="KI43" i="2"/>
  <c r="KH43" i="2"/>
  <c r="KG43" i="2"/>
  <c r="KF43" i="2"/>
  <c r="KE43" i="2"/>
  <c r="KD43" i="2"/>
  <c r="KC43" i="2"/>
  <c r="KB43" i="2"/>
  <c r="KA43" i="2"/>
  <c r="JZ43" i="2"/>
  <c r="JY43" i="2"/>
  <c r="JX43" i="2"/>
  <c r="JW43" i="2"/>
  <c r="JV43" i="2"/>
  <c r="JU43" i="2"/>
  <c r="JT43" i="2"/>
  <c r="JS43" i="2"/>
  <c r="JR43" i="2"/>
  <c r="JQ43" i="2"/>
  <c r="JP43" i="2"/>
  <c r="JO43" i="2"/>
  <c r="JN43" i="2"/>
  <c r="JM43" i="2"/>
  <c r="JL43" i="2"/>
  <c r="JK43" i="2"/>
  <c r="JJ43" i="2"/>
  <c r="JI43" i="2"/>
  <c r="JH43" i="2"/>
  <c r="JG43" i="2"/>
  <c r="JF43" i="2"/>
  <c r="JE43" i="2"/>
  <c r="JD43" i="2"/>
  <c r="JC43" i="2"/>
  <c r="JB43" i="2"/>
  <c r="JA43" i="2"/>
  <c r="IZ43" i="2"/>
  <c r="IY43" i="2"/>
  <c r="IX43" i="2"/>
  <c r="IW43" i="2"/>
  <c r="IV43" i="2"/>
  <c r="IU43" i="2"/>
  <c r="IT43" i="2"/>
  <c r="IS43" i="2"/>
  <c r="IR43" i="2"/>
  <c r="IQ43" i="2"/>
  <c r="IP43" i="2"/>
  <c r="IO43" i="2"/>
  <c r="IN43" i="2"/>
  <c r="IM43" i="2"/>
  <c r="IL43" i="2"/>
  <c r="IK43" i="2"/>
  <c r="IJ43" i="2"/>
  <c r="II43" i="2"/>
  <c r="IH43" i="2"/>
  <c r="IG43" i="2"/>
  <c r="IF43" i="2"/>
  <c r="IE43" i="2"/>
  <c r="ID43" i="2"/>
  <c r="IC43" i="2"/>
  <c r="IB43" i="2"/>
  <c r="IA43" i="2"/>
  <c r="HZ43" i="2"/>
  <c r="HY43" i="2"/>
  <c r="HX43" i="2"/>
  <c r="HW43" i="2"/>
  <c r="HV43" i="2"/>
  <c r="HU43" i="2"/>
  <c r="HT43" i="2"/>
  <c r="HS43" i="2"/>
  <c r="HR43" i="2"/>
  <c r="HQ43" i="2"/>
  <c r="HP43" i="2"/>
  <c r="HO43" i="2"/>
  <c r="HN43" i="2"/>
  <c r="HM43" i="2"/>
  <c r="HL43" i="2"/>
  <c r="HK43" i="2"/>
  <c r="HJ43" i="2"/>
  <c r="HI43" i="2"/>
  <c r="HH43" i="2"/>
  <c r="HG43" i="2"/>
  <c r="HF43" i="2"/>
  <c r="HE43" i="2"/>
  <c r="HD43" i="2"/>
  <c r="HC43" i="2"/>
  <c r="HB43" i="2"/>
  <c r="HA43" i="2"/>
  <c r="GZ43" i="2"/>
  <c r="GY43" i="2"/>
  <c r="GX43" i="2"/>
  <c r="GW43" i="2"/>
  <c r="GV43" i="2"/>
  <c r="GU43" i="2"/>
  <c r="GT43" i="2"/>
  <c r="GS43" i="2"/>
  <c r="GR43" i="2"/>
  <c r="GQ43" i="2"/>
  <c r="GP43" i="2"/>
  <c r="GO43" i="2"/>
  <c r="GN43" i="2"/>
  <c r="GM43" i="2"/>
  <c r="GL43" i="2"/>
  <c r="GK43" i="2"/>
  <c r="GJ43" i="2"/>
  <c r="GI43" i="2"/>
  <c r="GH43" i="2"/>
  <c r="GG43" i="2"/>
  <c r="GF43" i="2"/>
  <c r="GE43" i="2"/>
  <c r="GD43" i="2"/>
  <c r="GC43" i="2"/>
  <c r="GB43" i="2"/>
  <c r="GA43" i="2"/>
  <c r="FZ43" i="2"/>
  <c r="FY43" i="2"/>
  <c r="FX43" i="2"/>
  <c r="FW43" i="2"/>
  <c r="FV43" i="2"/>
  <c r="FU43" i="2"/>
  <c r="FT43" i="2"/>
  <c r="FS43" i="2"/>
  <c r="FR43" i="2"/>
  <c r="FQ43" i="2"/>
  <c r="FP43" i="2"/>
  <c r="FO43" i="2"/>
  <c r="FN43" i="2"/>
  <c r="FM43" i="2"/>
  <c r="FL43" i="2"/>
  <c r="FK43" i="2"/>
  <c r="FJ43" i="2"/>
  <c r="FI43" i="2"/>
  <c r="FH43" i="2"/>
  <c r="FG43" i="2"/>
  <c r="FF43" i="2"/>
  <c r="FE43" i="2"/>
  <c r="FD43" i="2"/>
  <c r="FC43" i="2"/>
  <c r="FB43" i="2"/>
  <c r="FA43" i="2"/>
  <c r="EZ43" i="2"/>
  <c r="EY43" i="2"/>
  <c r="EX43" i="2"/>
  <c r="EW43" i="2"/>
  <c r="EV43" i="2"/>
  <c r="EU43" i="2"/>
  <c r="ET43" i="2"/>
  <c r="ES43" i="2"/>
  <c r="ER43" i="2"/>
  <c r="EQ43" i="2"/>
  <c r="EP43" i="2"/>
  <c r="EO43" i="2"/>
  <c r="EN43" i="2"/>
  <c r="EM43" i="2"/>
  <c r="EL43" i="2"/>
  <c r="EK43" i="2"/>
  <c r="EJ43" i="2"/>
  <c r="EI43" i="2"/>
  <c r="EH43" i="2"/>
  <c r="EG43" i="2"/>
  <c r="EF43" i="2"/>
  <c r="EE43" i="2"/>
  <c r="ED43" i="2"/>
  <c r="EC43" i="2"/>
  <c r="EB43" i="2"/>
  <c r="EA43" i="2"/>
  <c r="DZ43" i="2"/>
  <c r="DY43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PI42" i="2"/>
  <c r="PH42" i="2"/>
  <c r="PG42" i="2"/>
  <c r="PF42" i="2"/>
  <c r="PE42" i="2"/>
  <c r="PD42" i="2"/>
  <c r="PC42" i="2"/>
  <c r="PB42" i="2"/>
  <c r="PA42" i="2"/>
  <c r="OZ42" i="2"/>
  <c r="OY42" i="2"/>
  <c r="OX42" i="2"/>
  <c r="OW42" i="2"/>
  <c r="OV42" i="2"/>
  <c r="OU42" i="2"/>
  <c r="OT42" i="2"/>
  <c r="OS42" i="2"/>
  <c r="OR42" i="2"/>
  <c r="OQ42" i="2"/>
  <c r="OP42" i="2"/>
  <c r="OO42" i="2"/>
  <c r="ON42" i="2"/>
  <c r="OM42" i="2"/>
  <c r="OL42" i="2"/>
  <c r="OK42" i="2"/>
  <c r="OJ42" i="2"/>
  <c r="OI42" i="2"/>
  <c r="OH42" i="2"/>
  <c r="OG42" i="2"/>
  <c r="OF42" i="2"/>
  <c r="OE42" i="2"/>
  <c r="OD42" i="2"/>
  <c r="OC42" i="2"/>
  <c r="OB42" i="2"/>
  <c r="OA42" i="2"/>
  <c r="NZ42" i="2"/>
  <c r="NY42" i="2"/>
  <c r="NX42" i="2"/>
  <c r="NW42" i="2"/>
  <c r="NV42" i="2"/>
  <c r="NU42" i="2"/>
  <c r="NT42" i="2"/>
  <c r="NS42" i="2"/>
  <c r="NR42" i="2"/>
  <c r="NQ42" i="2"/>
  <c r="NP42" i="2"/>
  <c r="NO42" i="2"/>
  <c r="NN42" i="2"/>
  <c r="NM42" i="2"/>
  <c r="NL42" i="2"/>
  <c r="NK42" i="2"/>
  <c r="NJ42" i="2"/>
  <c r="NI42" i="2"/>
  <c r="NH42" i="2"/>
  <c r="NG42" i="2"/>
  <c r="NF42" i="2"/>
  <c r="NE42" i="2"/>
  <c r="ND42" i="2"/>
  <c r="NC42" i="2"/>
  <c r="NB42" i="2"/>
  <c r="NA42" i="2"/>
  <c r="MZ42" i="2"/>
  <c r="MY42" i="2"/>
  <c r="MX42" i="2"/>
  <c r="MW42" i="2"/>
  <c r="MV42" i="2"/>
  <c r="MU42" i="2"/>
  <c r="MT42" i="2"/>
  <c r="MS42" i="2"/>
  <c r="MR42" i="2"/>
  <c r="MQ42" i="2"/>
  <c r="MP42" i="2"/>
  <c r="MO42" i="2"/>
  <c r="MN42" i="2"/>
  <c r="MM42" i="2"/>
  <c r="ML42" i="2"/>
  <c r="MK42" i="2"/>
  <c r="MJ42" i="2"/>
  <c r="MI42" i="2"/>
  <c r="MH42" i="2"/>
  <c r="MG42" i="2"/>
  <c r="MF42" i="2"/>
  <c r="ME42" i="2"/>
  <c r="MD42" i="2"/>
  <c r="MC42" i="2"/>
  <c r="MB42" i="2"/>
  <c r="MA42" i="2"/>
  <c r="LZ42" i="2"/>
  <c r="LY42" i="2"/>
  <c r="LX42" i="2"/>
  <c r="LW42" i="2"/>
  <c r="LV42" i="2"/>
  <c r="LU42" i="2"/>
  <c r="LT42" i="2"/>
  <c r="LS42" i="2"/>
  <c r="LR42" i="2"/>
  <c r="LQ42" i="2"/>
  <c r="LP42" i="2"/>
  <c r="LO42" i="2"/>
  <c r="LN42" i="2"/>
  <c r="LM42" i="2"/>
  <c r="LL42" i="2"/>
  <c r="LK42" i="2"/>
  <c r="LJ42" i="2"/>
  <c r="LI42" i="2"/>
  <c r="LH42" i="2"/>
  <c r="LG42" i="2"/>
  <c r="LF42" i="2"/>
  <c r="LE42" i="2"/>
  <c r="LD42" i="2"/>
  <c r="LC42" i="2"/>
  <c r="LB42" i="2"/>
  <c r="LA42" i="2"/>
  <c r="KZ42" i="2"/>
  <c r="KY42" i="2"/>
  <c r="KX42" i="2"/>
  <c r="KW42" i="2"/>
  <c r="KV42" i="2"/>
  <c r="KU42" i="2"/>
  <c r="KT42" i="2"/>
  <c r="KS42" i="2"/>
  <c r="KR42" i="2"/>
  <c r="KQ42" i="2"/>
  <c r="KP42" i="2"/>
  <c r="KO42" i="2"/>
  <c r="KN42" i="2"/>
  <c r="KM42" i="2"/>
  <c r="KL42" i="2"/>
  <c r="KK42" i="2"/>
  <c r="KJ42" i="2"/>
  <c r="KI42" i="2"/>
  <c r="KH42" i="2"/>
  <c r="KG42" i="2"/>
  <c r="KF42" i="2"/>
  <c r="KE42" i="2"/>
  <c r="KD42" i="2"/>
  <c r="KC42" i="2"/>
  <c r="KB42" i="2"/>
  <c r="KA42" i="2"/>
  <c r="JZ42" i="2"/>
  <c r="JY42" i="2"/>
  <c r="JX42" i="2"/>
  <c r="JW42" i="2"/>
  <c r="JV42" i="2"/>
  <c r="JU42" i="2"/>
  <c r="JT42" i="2"/>
  <c r="JS42" i="2"/>
  <c r="JR42" i="2"/>
  <c r="JQ42" i="2"/>
  <c r="JP42" i="2"/>
  <c r="JO42" i="2"/>
  <c r="JN42" i="2"/>
  <c r="JM42" i="2"/>
  <c r="JL42" i="2"/>
  <c r="JK42" i="2"/>
  <c r="JJ42" i="2"/>
  <c r="JI42" i="2"/>
  <c r="JH42" i="2"/>
  <c r="JG42" i="2"/>
  <c r="JF42" i="2"/>
  <c r="JE42" i="2"/>
  <c r="JD42" i="2"/>
  <c r="JC42" i="2"/>
  <c r="JB42" i="2"/>
  <c r="JA42" i="2"/>
  <c r="IZ42" i="2"/>
  <c r="IY42" i="2"/>
  <c r="IX42" i="2"/>
  <c r="IW42" i="2"/>
  <c r="IV42" i="2"/>
  <c r="IU42" i="2"/>
  <c r="IT42" i="2"/>
  <c r="IS42" i="2"/>
  <c r="IR42" i="2"/>
  <c r="IQ42" i="2"/>
  <c r="IP42" i="2"/>
  <c r="IO42" i="2"/>
  <c r="IN42" i="2"/>
  <c r="IM42" i="2"/>
  <c r="IL42" i="2"/>
  <c r="IK42" i="2"/>
  <c r="IJ42" i="2"/>
  <c r="II42" i="2"/>
  <c r="IH42" i="2"/>
  <c r="IG42" i="2"/>
  <c r="IF42" i="2"/>
  <c r="IE42" i="2"/>
  <c r="ID42" i="2"/>
  <c r="IC42" i="2"/>
  <c r="IB42" i="2"/>
  <c r="IA42" i="2"/>
  <c r="HZ42" i="2"/>
  <c r="HY42" i="2"/>
  <c r="HX42" i="2"/>
  <c r="HW42" i="2"/>
  <c r="HV42" i="2"/>
  <c r="HU42" i="2"/>
  <c r="HT42" i="2"/>
  <c r="HS42" i="2"/>
  <c r="HR42" i="2"/>
  <c r="HQ42" i="2"/>
  <c r="HP42" i="2"/>
  <c r="HO42" i="2"/>
  <c r="HN42" i="2"/>
  <c r="HM42" i="2"/>
  <c r="HL42" i="2"/>
  <c r="HK42" i="2"/>
  <c r="HJ42" i="2"/>
  <c r="HI42" i="2"/>
  <c r="HH42" i="2"/>
  <c r="HG42" i="2"/>
  <c r="HF42" i="2"/>
  <c r="HE42" i="2"/>
  <c r="HD42" i="2"/>
  <c r="HC42" i="2"/>
  <c r="HB42" i="2"/>
  <c r="HA42" i="2"/>
  <c r="GZ42" i="2"/>
  <c r="GY42" i="2"/>
  <c r="GX42" i="2"/>
  <c r="GW42" i="2"/>
  <c r="GV42" i="2"/>
  <c r="GU42" i="2"/>
  <c r="GT42" i="2"/>
  <c r="GS42" i="2"/>
  <c r="GR42" i="2"/>
  <c r="GQ42" i="2"/>
  <c r="GP42" i="2"/>
  <c r="GO42" i="2"/>
  <c r="GN42" i="2"/>
  <c r="GM42" i="2"/>
  <c r="GL42" i="2"/>
  <c r="GK42" i="2"/>
  <c r="GJ42" i="2"/>
  <c r="GI42" i="2"/>
  <c r="GH42" i="2"/>
  <c r="GG42" i="2"/>
  <c r="GF42" i="2"/>
  <c r="GE42" i="2"/>
  <c r="GD42" i="2"/>
  <c r="GC42" i="2"/>
  <c r="GB42" i="2"/>
  <c r="GA42" i="2"/>
  <c r="FZ42" i="2"/>
  <c r="FY42" i="2"/>
  <c r="FX42" i="2"/>
  <c r="FW42" i="2"/>
  <c r="FV42" i="2"/>
  <c r="FU42" i="2"/>
  <c r="FT42" i="2"/>
  <c r="FS42" i="2"/>
  <c r="FR42" i="2"/>
  <c r="FQ42" i="2"/>
  <c r="FP42" i="2"/>
  <c r="FO42" i="2"/>
  <c r="FN42" i="2"/>
  <c r="FM42" i="2"/>
  <c r="FL42" i="2"/>
  <c r="FK42" i="2"/>
  <c r="FJ42" i="2"/>
  <c r="FI42" i="2"/>
  <c r="FH42" i="2"/>
  <c r="FG42" i="2"/>
  <c r="FF42" i="2"/>
  <c r="FE42" i="2"/>
  <c r="FD42" i="2"/>
  <c r="FC42" i="2"/>
  <c r="FB42" i="2"/>
  <c r="FA42" i="2"/>
  <c r="EZ42" i="2"/>
  <c r="EY42" i="2"/>
  <c r="EX42" i="2"/>
  <c r="EW42" i="2"/>
  <c r="EV42" i="2"/>
  <c r="EU42" i="2"/>
  <c r="ET42" i="2"/>
  <c r="ES42" i="2"/>
  <c r="ER42" i="2"/>
  <c r="EQ42" i="2"/>
  <c r="EP42" i="2"/>
  <c r="EO42" i="2"/>
  <c r="EN42" i="2"/>
  <c r="EM42" i="2"/>
  <c r="EL42" i="2"/>
  <c r="EK42" i="2"/>
  <c r="EJ42" i="2"/>
  <c r="EI42" i="2"/>
  <c r="EH42" i="2"/>
  <c r="EG42" i="2"/>
  <c r="EF42" i="2"/>
  <c r="EE42" i="2"/>
  <c r="ED42" i="2"/>
  <c r="EC42" i="2"/>
  <c r="EB42" i="2"/>
  <c r="EA42" i="2"/>
  <c r="DZ42" i="2"/>
  <c r="DY42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PI41" i="2"/>
  <c r="PH41" i="2"/>
  <c r="PG41" i="2"/>
  <c r="PF41" i="2"/>
  <c r="PE41" i="2"/>
  <c r="PD41" i="2"/>
  <c r="PC41" i="2"/>
  <c r="PB41" i="2"/>
  <c r="PA41" i="2"/>
  <c r="OZ41" i="2"/>
  <c r="OY41" i="2"/>
  <c r="OX41" i="2"/>
  <c r="OW41" i="2"/>
  <c r="OV41" i="2"/>
  <c r="OU41" i="2"/>
  <c r="OT41" i="2"/>
  <c r="OS41" i="2"/>
  <c r="OR41" i="2"/>
  <c r="OQ41" i="2"/>
  <c r="OP41" i="2"/>
  <c r="OO41" i="2"/>
  <c r="ON41" i="2"/>
  <c r="OM41" i="2"/>
  <c r="OL41" i="2"/>
  <c r="OK41" i="2"/>
  <c r="OJ41" i="2"/>
  <c r="OI41" i="2"/>
  <c r="OH41" i="2"/>
  <c r="OG41" i="2"/>
  <c r="OF41" i="2"/>
  <c r="OE41" i="2"/>
  <c r="OD41" i="2"/>
  <c r="OC41" i="2"/>
  <c r="OB41" i="2"/>
  <c r="OA41" i="2"/>
  <c r="NZ41" i="2"/>
  <c r="NY41" i="2"/>
  <c r="NX41" i="2"/>
  <c r="NW41" i="2"/>
  <c r="NV41" i="2"/>
  <c r="NU41" i="2"/>
  <c r="NT41" i="2"/>
  <c r="NS41" i="2"/>
  <c r="NR41" i="2"/>
  <c r="NQ41" i="2"/>
  <c r="NP41" i="2"/>
  <c r="NO41" i="2"/>
  <c r="NN41" i="2"/>
  <c r="NM41" i="2"/>
  <c r="NL41" i="2"/>
  <c r="NK41" i="2"/>
  <c r="NJ41" i="2"/>
  <c r="NI41" i="2"/>
  <c r="NH41" i="2"/>
  <c r="NG41" i="2"/>
  <c r="NF41" i="2"/>
  <c r="NE41" i="2"/>
  <c r="ND41" i="2"/>
  <c r="NC41" i="2"/>
  <c r="NB41" i="2"/>
  <c r="NA41" i="2"/>
  <c r="MZ41" i="2"/>
  <c r="MY41" i="2"/>
  <c r="MX41" i="2"/>
  <c r="MW41" i="2"/>
  <c r="MV41" i="2"/>
  <c r="MU41" i="2"/>
  <c r="MT41" i="2"/>
  <c r="MS41" i="2"/>
  <c r="MR41" i="2"/>
  <c r="MQ41" i="2"/>
  <c r="MP41" i="2"/>
  <c r="MO41" i="2"/>
  <c r="MN41" i="2"/>
  <c r="MM41" i="2"/>
  <c r="ML41" i="2"/>
  <c r="MK41" i="2"/>
  <c r="MJ41" i="2"/>
  <c r="MI41" i="2"/>
  <c r="MH41" i="2"/>
  <c r="MG41" i="2"/>
  <c r="MF41" i="2"/>
  <c r="ME41" i="2"/>
  <c r="MD41" i="2"/>
  <c r="MC41" i="2"/>
  <c r="MB41" i="2"/>
  <c r="MA41" i="2"/>
  <c r="LZ41" i="2"/>
  <c r="LY41" i="2"/>
  <c r="LX41" i="2"/>
  <c r="LW41" i="2"/>
  <c r="LV41" i="2"/>
  <c r="LU41" i="2"/>
  <c r="LT41" i="2"/>
  <c r="LS41" i="2"/>
  <c r="LR41" i="2"/>
  <c r="LQ41" i="2"/>
  <c r="LP41" i="2"/>
  <c r="LO41" i="2"/>
  <c r="LN41" i="2"/>
  <c r="LM41" i="2"/>
  <c r="LL41" i="2"/>
  <c r="LK41" i="2"/>
  <c r="LJ41" i="2"/>
  <c r="LI41" i="2"/>
  <c r="LH41" i="2"/>
  <c r="LG41" i="2"/>
  <c r="LF41" i="2"/>
  <c r="LE41" i="2"/>
  <c r="LD41" i="2"/>
  <c r="LC41" i="2"/>
  <c r="LB41" i="2"/>
  <c r="LA41" i="2"/>
  <c r="KZ41" i="2"/>
  <c r="KY41" i="2"/>
  <c r="KX41" i="2"/>
  <c r="KW41" i="2"/>
  <c r="KV41" i="2"/>
  <c r="KU41" i="2"/>
  <c r="KT41" i="2"/>
  <c r="KS41" i="2"/>
  <c r="KR41" i="2"/>
  <c r="KQ41" i="2"/>
  <c r="KP41" i="2"/>
  <c r="KO41" i="2"/>
  <c r="KN41" i="2"/>
  <c r="KM41" i="2"/>
  <c r="KL41" i="2"/>
  <c r="KK41" i="2"/>
  <c r="KJ41" i="2"/>
  <c r="KI41" i="2"/>
  <c r="KH41" i="2"/>
  <c r="KG41" i="2"/>
  <c r="KF41" i="2"/>
  <c r="KE41" i="2"/>
  <c r="KD41" i="2"/>
  <c r="KC41" i="2"/>
  <c r="KB41" i="2"/>
  <c r="KA41" i="2"/>
  <c r="JZ41" i="2"/>
  <c r="JY41" i="2"/>
  <c r="JX41" i="2"/>
  <c r="JW41" i="2"/>
  <c r="JV41" i="2"/>
  <c r="JU41" i="2"/>
  <c r="JT41" i="2"/>
  <c r="JS41" i="2"/>
  <c r="JR41" i="2"/>
  <c r="JQ41" i="2"/>
  <c r="JP41" i="2"/>
  <c r="JO41" i="2"/>
  <c r="JN41" i="2"/>
  <c r="JM41" i="2"/>
  <c r="JL41" i="2"/>
  <c r="JK41" i="2"/>
  <c r="JJ41" i="2"/>
  <c r="JI41" i="2"/>
  <c r="JH41" i="2"/>
  <c r="JG41" i="2"/>
  <c r="JF41" i="2"/>
  <c r="JE41" i="2"/>
  <c r="JD41" i="2"/>
  <c r="JC41" i="2"/>
  <c r="JB41" i="2"/>
  <c r="JA41" i="2"/>
  <c r="IZ41" i="2"/>
  <c r="IY41" i="2"/>
  <c r="IX41" i="2"/>
  <c r="IW41" i="2"/>
  <c r="IV41" i="2"/>
  <c r="IU41" i="2"/>
  <c r="IT41" i="2"/>
  <c r="IS41" i="2"/>
  <c r="IR41" i="2"/>
  <c r="IQ41" i="2"/>
  <c r="IP41" i="2"/>
  <c r="IO41" i="2"/>
  <c r="IN41" i="2"/>
  <c r="IM41" i="2"/>
  <c r="IL41" i="2"/>
  <c r="IK41" i="2"/>
  <c r="IJ41" i="2"/>
  <c r="II41" i="2"/>
  <c r="IH41" i="2"/>
  <c r="IG41" i="2"/>
  <c r="IF41" i="2"/>
  <c r="IE41" i="2"/>
  <c r="ID41" i="2"/>
  <c r="IC41" i="2"/>
  <c r="IB41" i="2"/>
  <c r="IA41" i="2"/>
  <c r="HZ41" i="2"/>
  <c r="HY41" i="2"/>
  <c r="HX41" i="2"/>
  <c r="HW41" i="2"/>
  <c r="HV41" i="2"/>
  <c r="HU41" i="2"/>
  <c r="HT41" i="2"/>
  <c r="HS41" i="2"/>
  <c r="HR41" i="2"/>
  <c r="HQ41" i="2"/>
  <c r="HP41" i="2"/>
  <c r="HO41" i="2"/>
  <c r="HN41" i="2"/>
  <c r="HM41" i="2"/>
  <c r="HL41" i="2"/>
  <c r="HK41" i="2"/>
  <c r="HJ41" i="2"/>
  <c r="HI41" i="2"/>
  <c r="HH41" i="2"/>
  <c r="HG41" i="2"/>
  <c r="HF41" i="2"/>
  <c r="HE41" i="2"/>
  <c r="HD41" i="2"/>
  <c r="HC41" i="2"/>
  <c r="HB41" i="2"/>
  <c r="HA41" i="2"/>
  <c r="GZ41" i="2"/>
  <c r="GY41" i="2"/>
  <c r="GX41" i="2"/>
  <c r="GW41" i="2"/>
  <c r="GV41" i="2"/>
  <c r="GU41" i="2"/>
  <c r="GT41" i="2"/>
  <c r="GS41" i="2"/>
  <c r="GR41" i="2"/>
  <c r="GQ41" i="2"/>
  <c r="GP41" i="2"/>
  <c r="GO41" i="2"/>
  <c r="GN41" i="2"/>
  <c r="GM41" i="2"/>
  <c r="GL41" i="2"/>
  <c r="GK41" i="2"/>
  <c r="GJ41" i="2"/>
  <c r="GI41" i="2"/>
  <c r="GH41" i="2"/>
  <c r="GG41" i="2"/>
  <c r="GF41" i="2"/>
  <c r="GE41" i="2"/>
  <c r="GD41" i="2"/>
  <c r="GC41" i="2"/>
  <c r="GB41" i="2"/>
  <c r="GA41" i="2"/>
  <c r="FZ41" i="2"/>
  <c r="FY41" i="2"/>
  <c r="FX41" i="2"/>
  <c r="FW41" i="2"/>
  <c r="FV41" i="2"/>
  <c r="FU41" i="2"/>
  <c r="FT41" i="2"/>
  <c r="FS41" i="2"/>
  <c r="FR41" i="2"/>
  <c r="FQ41" i="2"/>
  <c r="FP41" i="2"/>
  <c r="FO41" i="2"/>
  <c r="FN41" i="2"/>
  <c r="FM41" i="2"/>
  <c r="FL41" i="2"/>
  <c r="FK41" i="2"/>
  <c r="FJ41" i="2"/>
  <c r="FI41" i="2"/>
  <c r="FH41" i="2"/>
  <c r="FG41" i="2"/>
  <c r="FF41" i="2"/>
  <c r="FE41" i="2"/>
  <c r="FD41" i="2"/>
  <c r="FC41" i="2"/>
  <c r="FB41" i="2"/>
  <c r="FA41" i="2"/>
  <c r="EZ41" i="2"/>
  <c r="EY41" i="2"/>
  <c r="EX41" i="2"/>
  <c r="EW41" i="2"/>
  <c r="EV41" i="2"/>
  <c r="EU41" i="2"/>
  <c r="ET41" i="2"/>
  <c r="ES41" i="2"/>
  <c r="ER41" i="2"/>
  <c r="EQ41" i="2"/>
  <c r="EP41" i="2"/>
  <c r="EO41" i="2"/>
  <c r="EN41" i="2"/>
  <c r="EM41" i="2"/>
  <c r="EL41" i="2"/>
  <c r="EK41" i="2"/>
  <c r="EJ41" i="2"/>
  <c r="EI41" i="2"/>
  <c r="EH41" i="2"/>
  <c r="EG41" i="2"/>
  <c r="EF41" i="2"/>
  <c r="EE41" i="2"/>
  <c r="ED41" i="2"/>
  <c r="EC41" i="2"/>
  <c r="EB41" i="2"/>
  <c r="EA41" i="2"/>
  <c r="DZ41" i="2"/>
  <c r="DY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41" i="2"/>
  <c r="PI40" i="2"/>
  <c r="PH40" i="2"/>
  <c r="PG40" i="2"/>
  <c r="PF40" i="2"/>
  <c r="PE40" i="2"/>
  <c r="PD40" i="2"/>
  <c r="PC40" i="2"/>
  <c r="PB40" i="2"/>
  <c r="PA40" i="2"/>
  <c r="OZ40" i="2"/>
  <c r="OY40" i="2"/>
  <c r="OX40" i="2"/>
  <c r="OW40" i="2"/>
  <c r="OV40" i="2"/>
  <c r="OU40" i="2"/>
  <c r="OT40" i="2"/>
  <c r="OS40" i="2"/>
  <c r="OR40" i="2"/>
  <c r="OQ40" i="2"/>
  <c r="OP40" i="2"/>
  <c r="OO40" i="2"/>
  <c r="ON40" i="2"/>
  <c r="OM40" i="2"/>
  <c r="OL40" i="2"/>
  <c r="OK40" i="2"/>
  <c r="OJ40" i="2"/>
  <c r="OI40" i="2"/>
  <c r="OH40" i="2"/>
  <c r="OG40" i="2"/>
  <c r="OF40" i="2"/>
  <c r="OE40" i="2"/>
  <c r="OD40" i="2"/>
  <c r="OC40" i="2"/>
  <c r="OB40" i="2"/>
  <c r="OA40" i="2"/>
  <c r="NZ40" i="2"/>
  <c r="NY40" i="2"/>
  <c r="NX40" i="2"/>
  <c r="NW40" i="2"/>
  <c r="NV40" i="2"/>
  <c r="NU40" i="2"/>
  <c r="NT40" i="2"/>
  <c r="NS40" i="2"/>
  <c r="NR40" i="2"/>
  <c r="NQ40" i="2"/>
  <c r="NP40" i="2"/>
  <c r="NO40" i="2"/>
  <c r="NN40" i="2"/>
  <c r="NM40" i="2"/>
  <c r="NL40" i="2"/>
  <c r="NK40" i="2"/>
  <c r="NJ40" i="2"/>
  <c r="NI40" i="2"/>
  <c r="NH40" i="2"/>
  <c r="NG40" i="2"/>
  <c r="NF40" i="2"/>
  <c r="NE40" i="2"/>
  <c r="ND40" i="2"/>
  <c r="NC40" i="2"/>
  <c r="NB40" i="2"/>
  <c r="NA40" i="2"/>
  <c r="MZ40" i="2"/>
  <c r="MY40" i="2"/>
  <c r="MX40" i="2"/>
  <c r="MW40" i="2"/>
  <c r="MV40" i="2"/>
  <c r="MU40" i="2"/>
  <c r="MT40" i="2"/>
  <c r="MS40" i="2"/>
  <c r="MR40" i="2"/>
  <c r="MQ40" i="2"/>
  <c r="MP40" i="2"/>
  <c r="MO40" i="2"/>
  <c r="MN40" i="2"/>
  <c r="MM40" i="2"/>
  <c r="ML40" i="2"/>
  <c r="MK40" i="2"/>
  <c r="MJ40" i="2"/>
  <c r="MI40" i="2"/>
  <c r="MH40" i="2"/>
  <c r="MG40" i="2"/>
  <c r="MF40" i="2"/>
  <c r="ME40" i="2"/>
  <c r="MD40" i="2"/>
  <c r="MC40" i="2"/>
  <c r="MB40" i="2"/>
  <c r="MA40" i="2"/>
  <c r="LZ40" i="2"/>
  <c r="LY40" i="2"/>
  <c r="LX40" i="2"/>
  <c r="LW40" i="2"/>
  <c r="LV40" i="2"/>
  <c r="LU40" i="2"/>
  <c r="LT40" i="2"/>
  <c r="LS40" i="2"/>
  <c r="LR40" i="2"/>
  <c r="LQ40" i="2"/>
  <c r="LP40" i="2"/>
  <c r="LO40" i="2"/>
  <c r="LN40" i="2"/>
  <c r="LM40" i="2"/>
  <c r="LL40" i="2"/>
  <c r="LK40" i="2"/>
  <c r="LJ40" i="2"/>
  <c r="LI40" i="2"/>
  <c r="LH40" i="2"/>
  <c r="LG40" i="2"/>
  <c r="LF40" i="2"/>
  <c r="LE40" i="2"/>
  <c r="LD40" i="2"/>
  <c r="LC40" i="2"/>
  <c r="LB40" i="2"/>
  <c r="LA40" i="2"/>
  <c r="KZ40" i="2"/>
  <c r="KY40" i="2"/>
  <c r="KX40" i="2"/>
  <c r="KW40" i="2"/>
  <c r="KV40" i="2"/>
  <c r="KU40" i="2"/>
  <c r="KT40" i="2"/>
  <c r="KS40" i="2"/>
  <c r="KR40" i="2"/>
  <c r="KQ40" i="2"/>
  <c r="KP40" i="2"/>
  <c r="KO40" i="2"/>
  <c r="KN40" i="2"/>
  <c r="KM40" i="2"/>
  <c r="KL40" i="2"/>
  <c r="KK40" i="2"/>
  <c r="KJ40" i="2"/>
  <c r="KI40" i="2"/>
  <c r="KH40" i="2"/>
  <c r="KG40" i="2"/>
  <c r="KF40" i="2"/>
  <c r="KE40" i="2"/>
  <c r="KD40" i="2"/>
  <c r="KC40" i="2"/>
  <c r="KB40" i="2"/>
  <c r="KA40" i="2"/>
  <c r="JZ40" i="2"/>
  <c r="JY40" i="2"/>
  <c r="JX40" i="2"/>
  <c r="JW40" i="2"/>
  <c r="JV40" i="2"/>
  <c r="JU40" i="2"/>
  <c r="JT40" i="2"/>
  <c r="JS40" i="2"/>
  <c r="JR40" i="2"/>
  <c r="JQ40" i="2"/>
  <c r="JP40" i="2"/>
  <c r="JO40" i="2"/>
  <c r="JN40" i="2"/>
  <c r="JM40" i="2"/>
  <c r="JL40" i="2"/>
  <c r="JK40" i="2"/>
  <c r="JJ40" i="2"/>
  <c r="JI40" i="2"/>
  <c r="JH40" i="2"/>
  <c r="JG40" i="2"/>
  <c r="JF40" i="2"/>
  <c r="JE40" i="2"/>
  <c r="JD40" i="2"/>
  <c r="JC40" i="2"/>
  <c r="JB40" i="2"/>
  <c r="JA40" i="2"/>
  <c r="IZ40" i="2"/>
  <c r="IY40" i="2"/>
  <c r="IX40" i="2"/>
  <c r="IW40" i="2"/>
  <c r="IV40" i="2"/>
  <c r="IU40" i="2"/>
  <c r="IT40" i="2"/>
  <c r="IS40" i="2"/>
  <c r="IR40" i="2"/>
  <c r="IQ40" i="2"/>
  <c r="IP40" i="2"/>
  <c r="IO40" i="2"/>
  <c r="IN40" i="2"/>
  <c r="IM40" i="2"/>
  <c r="IL40" i="2"/>
  <c r="IK40" i="2"/>
  <c r="IJ40" i="2"/>
  <c r="II40" i="2"/>
  <c r="IH40" i="2"/>
  <c r="IG40" i="2"/>
  <c r="IF40" i="2"/>
  <c r="IE40" i="2"/>
  <c r="ID40" i="2"/>
  <c r="IC40" i="2"/>
  <c r="IB40" i="2"/>
  <c r="IA40" i="2"/>
  <c r="HZ40" i="2"/>
  <c r="HY40" i="2"/>
  <c r="HX40" i="2"/>
  <c r="HW40" i="2"/>
  <c r="HV40" i="2"/>
  <c r="HU40" i="2"/>
  <c r="HT40" i="2"/>
  <c r="HS40" i="2"/>
  <c r="HR40" i="2"/>
  <c r="HQ40" i="2"/>
  <c r="HP40" i="2"/>
  <c r="HO40" i="2"/>
  <c r="HN40" i="2"/>
  <c r="HM40" i="2"/>
  <c r="HL40" i="2"/>
  <c r="HK40" i="2"/>
  <c r="HJ40" i="2"/>
  <c r="HI40" i="2"/>
  <c r="HH40" i="2"/>
  <c r="HG40" i="2"/>
  <c r="HF40" i="2"/>
  <c r="HE40" i="2"/>
  <c r="HD40" i="2"/>
  <c r="HC40" i="2"/>
  <c r="HB40" i="2"/>
  <c r="HA40" i="2"/>
  <c r="GZ40" i="2"/>
  <c r="GY40" i="2"/>
  <c r="GX40" i="2"/>
  <c r="GW40" i="2"/>
  <c r="GV40" i="2"/>
  <c r="GU40" i="2"/>
  <c r="GT40" i="2"/>
  <c r="GS40" i="2"/>
  <c r="GR40" i="2"/>
  <c r="GQ40" i="2"/>
  <c r="GP40" i="2"/>
  <c r="GO40" i="2"/>
  <c r="GN40" i="2"/>
  <c r="GM40" i="2"/>
  <c r="GL40" i="2"/>
  <c r="GK40" i="2"/>
  <c r="GJ40" i="2"/>
  <c r="GI40" i="2"/>
  <c r="GH40" i="2"/>
  <c r="GG40" i="2"/>
  <c r="GF40" i="2"/>
  <c r="GE40" i="2"/>
  <c r="GD40" i="2"/>
  <c r="GC40" i="2"/>
  <c r="GB40" i="2"/>
  <c r="GA40" i="2"/>
  <c r="FZ40" i="2"/>
  <c r="FY40" i="2"/>
  <c r="FX40" i="2"/>
  <c r="FW40" i="2"/>
  <c r="FV40" i="2"/>
  <c r="FU40" i="2"/>
  <c r="FT40" i="2"/>
  <c r="FS40" i="2"/>
  <c r="FR40" i="2"/>
  <c r="FQ40" i="2"/>
  <c r="FP40" i="2"/>
  <c r="FO40" i="2"/>
  <c r="FN40" i="2"/>
  <c r="FM40" i="2"/>
  <c r="FL40" i="2"/>
  <c r="FK40" i="2"/>
  <c r="FJ40" i="2"/>
  <c r="FI40" i="2"/>
  <c r="FH40" i="2"/>
  <c r="FG40" i="2"/>
  <c r="FF40" i="2"/>
  <c r="FE40" i="2"/>
  <c r="FD40" i="2"/>
  <c r="FC40" i="2"/>
  <c r="FB40" i="2"/>
  <c r="FA40" i="2"/>
  <c r="EZ40" i="2"/>
  <c r="EY40" i="2"/>
  <c r="EX40" i="2"/>
  <c r="EW40" i="2"/>
  <c r="EV40" i="2"/>
  <c r="EU40" i="2"/>
  <c r="ET40" i="2"/>
  <c r="ES40" i="2"/>
  <c r="ER40" i="2"/>
  <c r="EQ40" i="2"/>
  <c r="EP40" i="2"/>
  <c r="EO40" i="2"/>
  <c r="EN40" i="2"/>
  <c r="EM40" i="2"/>
  <c r="EL40" i="2"/>
  <c r="EK40" i="2"/>
  <c r="EJ40" i="2"/>
  <c r="EI40" i="2"/>
  <c r="EH40" i="2"/>
  <c r="EG40" i="2"/>
  <c r="EF40" i="2"/>
  <c r="EE40" i="2"/>
  <c r="ED40" i="2"/>
  <c r="EC40" i="2"/>
  <c r="EB40" i="2"/>
  <c r="EA40" i="2"/>
  <c r="DZ40" i="2"/>
  <c r="DY40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PI39" i="2"/>
  <c r="PH39" i="2"/>
  <c r="PG39" i="2"/>
  <c r="PF39" i="2"/>
  <c r="PE39" i="2"/>
  <c r="PD39" i="2"/>
  <c r="PC39" i="2"/>
  <c r="PB39" i="2"/>
  <c r="PA39" i="2"/>
  <c r="OZ39" i="2"/>
  <c r="OY39" i="2"/>
  <c r="OX39" i="2"/>
  <c r="OW39" i="2"/>
  <c r="OV39" i="2"/>
  <c r="OU39" i="2"/>
  <c r="OT39" i="2"/>
  <c r="OS39" i="2"/>
  <c r="OR39" i="2"/>
  <c r="OQ39" i="2"/>
  <c r="OP39" i="2"/>
  <c r="OO39" i="2"/>
  <c r="ON39" i="2"/>
  <c r="OM39" i="2"/>
  <c r="OL39" i="2"/>
  <c r="OK39" i="2"/>
  <c r="OJ39" i="2"/>
  <c r="OI39" i="2"/>
  <c r="OH39" i="2"/>
  <c r="OG39" i="2"/>
  <c r="OF39" i="2"/>
  <c r="OE39" i="2"/>
  <c r="OD39" i="2"/>
  <c r="OC39" i="2"/>
  <c r="OB39" i="2"/>
  <c r="OA39" i="2"/>
  <c r="NZ39" i="2"/>
  <c r="NY39" i="2"/>
  <c r="NX39" i="2"/>
  <c r="NW39" i="2"/>
  <c r="NV39" i="2"/>
  <c r="NU39" i="2"/>
  <c r="NT39" i="2"/>
  <c r="NS39" i="2"/>
  <c r="NR39" i="2"/>
  <c r="NQ39" i="2"/>
  <c r="NP39" i="2"/>
  <c r="NO39" i="2"/>
  <c r="NN39" i="2"/>
  <c r="NM39" i="2"/>
  <c r="NL39" i="2"/>
  <c r="NK39" i="2"/>
  <c r="NJ39" i="2"/>
  <c r="NI39" i="2"/>
  <c r="NH39" i="2"/>
  <c r="NG39" i="2"/>
  <c r="NF39" i="2"/>
  <c r="NE39" i="2"/>
  <c r="ND39" i="2"/>
  <c r="NC39" i="2"/>
  <c r="NB39" i="2"/>
  <c r="NA39" i="2"/>
  <c r="MZ39" i="2"/>
  <c r="MY39" i="2"/>
  <c r="MX39" i="2"/>
  <c r="MW39" i="2"/>
  <c r="MV39" i="2"/>
  <c r="MU39" i="2"/>
  <c r="MT39" i="2"/>
  <c r="MS39" i="2"/>
  <c r="MR39" i="2"/>
  <c r="MQ39" i="2"/>
  <c r="MP39" i="2"/>
  <c r="MO39" i="2"/>
  <c r="MN39" i="2"/>
  <c r="MM39" i="2"/>
  <c r="ML39" i="2"/>
  <c r="MK39" i="2"/>
  <c r="MJ39" i="2"/>
  <c r="MI39" i="2"/>
  <c r="MH39" i="2"/>
  <c r="MG39" i="2"/>
  <c r="MF39" i="2"/>
  <c r="ME39" i="2"/>
  <c r="MD39" i="2"/>
  <c r="MC39" i="2"/>
  <c r="MB39" i="2"/>
  <c r="MA39" i="2"/>
  <c r="LZ39" i="2"/>
  <c r="LY39" i="2"/>
  <c r="LX39" i="2"/>
  <c r="LW39" i="2"/>
  <c r="LV39" i="2"/>
  <c r="LU39" i="2"/>
  <c r="LT39" i="2"/>
  <c r="LS39" i="2"/>
  <c r="LR39" i="2"/>
  <c r="LQ39" i="2"/>
  <c r="LP39" i="2"/>
  <c r="LO39" i="2"/>
  <c r="LN39" i="2"/>
  <c r="LM39" i="2"/>
  <c r="LL39" i="2"/>
  <c r="LK39" i="2"/>
  <c r="LJ39" i="2"/>
  <c r="LI39" i="2"/>
  <c r="LH39" i="2"/>
  <c r="LG39" i="2"/>
  <c r="LF39" i="2"/>
  <c r="LE39" i="2"/>
  <c r="LD39" i="2"/>
  <c r="LC39" i="2"/>
  <c r="LB39" i="2"/>
  <c r="LA39" i="2"/>
  <c r="KZ39" i="2"/>
  <c r="KY39" i="2"/>
  <c r="KX39" i="2"/>
  <c r="KW39" i="2"/>
  <c r="KV39" i="2"/>
  <c r="KU39" i="2"/>
  <c r="KT39" i="2"/>
  <c r="KS39" i="2"/>
  <c r="KR39" i="2"/>
  <c r="KQ39" i="2"/>
  <c r="KP39" i="2"/>
  <c r="KO39" i="2"/>
  <c r="KN39" i="2"/>
  <c r="KM39" i="2"/>
  <c r="KL39" i="2"/>
  <c r="KK39" i="2"/>
  <c r="KJ39" i="2"/>
  <c r="KI39" i="2"/>
  <c r="KH39" i="2"/>
  <c r="KG39" i="2"/>
  <c r="KF39" i="2"/>
  <c r="KE39" i="2"/>
  <c r="KD39" i="2"/>
  <c r="KC39" i="2"/>
  <c r="KB39" i="2"/>
  <c r="KA39" i="2"/>
  <c r="JZ39" i="2"/>
  <c r="JY39" i="2"/>
  <c r="JX39" i="2"/>
  <c r="JW39" i="2"/>
  <c r="JV39" i="2"/>
  <c r="JU39" i="2"/>
  <c r="JT39" i="2"/>
  <c r="JS39" i="2"/>
  <c r="JR39" i="2"/>
  <c r="JQ39" i="2"/>
  <c r="JP39" i="2"/>
  <c r="JO39" i="2"/>
  <c r="JN39" i="2"/>
  <c r="JM39" i="2"/>
  <c r="JL39" i="2"/>
  <c r="JK39" i="2"/>
  <c r="JJ39" i="2"/>
  <c r="JI39" i="2"/>
  <c r="JH39" i="2"/>
  <c r="JG39" i="2"/>
  <c r="JF39" i="2"/>
  <c r="JE39" i="2"/>
  <c r="JD39" i="2"/>
  <c r="JC39" i="2"/>
  <c r="JB39" i="2"/>
  <c r="JA39" i="2"/>
  <c r="IZ39" i="2"/>
  <c r="IY39" i="2"/>
  <c r="IX39" i="2"/>
  <c r="IW39" i="2"/>
  <c r="IV39" i="2"/>
  <c r="IU39" i="2"/>
  <c r="IT39" i="2"/>
  <c r="IS39" i="2"/>
  <c r="IR39" i="2"/>
  <c r="IQ39" i="2"/>
  <c r="IP39" i="2"/>
  <c r="IO39" i="2"/>
  <c r="IN39" i="2"/>
  <c r="IM39" i="2"/>
  <c r="IL39" i="2"/>
  <c r="IK39" i="2"/>
  <c r="IJ39" i="2"/>
  <c r="II39" i="2"/>
  <c r="IH39" i="2"/>
  <c r="IG39" i="2"/>
  <c r="IF39" i="2"/>
  <c r="IE39" i="2"/>
  <c r="ID39" i="2"/>
  <c r="IC39" i="2"/>
  <c r="IB39" i="2"/>
  <c r="IA39" i="2"/>
  <c r="HZ39" i="2"/>
  <c r="HY39" i="2"/>
  <c r="HX39" i="2"/>
  <c r="HW39" i="2"/>
  <c r="HV39" i="2"/>
  <c r="HU39" i="2"/>
  <c r="HT39" i="2"/>
  <c r="HS39" i="2"/>
  <c r="HR39" i="2"/>
  <c r="HQ39" i="2"/>
  <c r="HP39" i="2"/>
  <c r="HO39" i="2"/>
  <c r="HN39" i="2"/>
  <c r="HM39" i="2"/>
  <c r="HL39" i="2"/>
  <c r="HK39" i="2"/>
  <c r="HJ39" i="2"/>
  <c r="HI39" i="2"/>
  <c r="HH39" i="2"/>
  <c r="HG39" i="2"/>
  <c r="HF39" i="2"/>
  <c r="HE39" i="2"/>
  <c r="HD39" i="2"/>
  <c r="HC39" i="2"/>
  <c r="HB39" i="2"/>
  <c r="HA39" i="2"/>
  <c r="GZ39" i="2"/>
  <c r="GY39" i="2"/>
  <c r="GX39" i="2"/>
  <c r="GW39" i="2"/>
  <c r="GV39" i="2"/>
  <c r="GU39" i="2"/>
  <c r="GT39" i="2"/>
  <c r="GS39" i="2"/>
  <c r="GR39" i="2"/>
  <c r="GQ39" i="2"/>
  <c r="GP39" i="2"/>
  <c r="GO39" i="2"/>
  <c r="GN39" i="2"/>
  <c r="GM39" i="2"/>
  <c r="GL39" i="2"/>
  <c r="GK39" i="2"/>
  <c r="GJ39" i="2"/>
  <c r="GI39" i="2"/>
  <c r="GH39" i="2"/>
  <c r="GG39" i="2"/>
  <c r="GF39" i="2"/>
  <c r="GE39" i="2"/>
  <c r="GD39" i="2"/>
  <c r="GC39" i="2"/>
  <c r="GB39" i="2"/>
  <c r="GA39" i="2"/>
  <c r="FZ39" i="2"/>
  <c r="FY39" i="2"/>
  <c r="FX39" i="2"/>
  <c r="FW39" i="2"/>
  <c r="FV39" i="2"/>
  <c r="FU39" i="2"/>
  <c r="FT39" i="2"/>
  <c r="FS39" i="2"/>
  <c r="FR39" i="2"/>
  <c r="FQ39" i="2"/>
  <c r="FP39" i="2"/>
  <c r="FO39" i="2"/>
  <c r="FN39" i="2"/>
  <c r="FM39" i="2"/>
  <c r="FL39" i="2"/>
  <c r="FK39" i="2"/>
  <c r="FJ39" i="2"/>
  <c r="FI39" i="2"/>
  <c r="FH39" i="2"/>
  <c r="FG39" i="2"/>
  <c r="FF39" i="2"/>
  <c r="FE39" i="2"/>
  <c r="FD39" i="2"/>
  <c r="FC39" i="2"/>
  <c r="FB39" i="2"/>
  <c r="FA39" i="2"/>
  <c r="EZ39" i="2"/>
  <c r="EY39" i="2"/>
  <c r="EX39" i="2"/>
  <c r="EW39" i="2"/>
  <c r="EV39" i="2"/>
  <c r="EU39" i="2"/>
  <c r="ET39" i="2"/>
  <c r="ES39" i="2"/>
  <c r="ER39" i="2"/>
  <c r="EQ39" i="2"/>
  <c r="EP39" i="2"/>
  <c r="EO39" i="2"/>
  <c r="EN39" i="2"/>
  <c r="EM39" i="2"/>
  <c r="EL39" i="2"/>
  <c r="EK39" i="2"/>
  <c r="EJ39" i="2"/>
  <c r="EI39" i="2"/>
  <c r="EH39" i="2"/>
  <c r="EG39" i="2"/>
  <c r="EF39" i="2"/>
  <c r="EE39" i="2"/>
  <c r="ED39" i="2"/>
  <c r="EC39" i="2"/>
  <c r="EB39" i="2"/>
  <c r="EA39" i="2"/>
  <c r="DZ39" i="2"/>
  <c r="DY39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39" i="2"/>
  <c r="PI38" i="2"/>
  <c r="PH38" i="2"/>
  <c r="PG38" i="2"/>
  <c r="PF38" i="2"/>
  <c r="PE38" i="2"/>
  <c r="PD38" i="2"/>
  <c r="PC38" i="2"/>
  <c r="PB38" i="2"/>
  <c r="PA38" i="2"/>
  <c r="OZ38" i="2"/>
  <c r="OY38" i="2"/>
  <c r="OX38" i="2"/>
  <c r="OW38" i="2"/>
  <c r="OV38" i="2"/>
  <c r="OU38" i="2"/>
  <c r="OT38" i="2"/>
  <c r="OS38" i="2"/>
  <c r="OR38" i="2"/>
  <c r="OQ38" i="2"/>
  <c r="OP38" i="2"/>
  <c r="OO38" i="2"/>
  <c r="ON38" i="2"/>
  <c r="OM38" i="2"/>
  <c r="OL38" i="2"/>
  <c r="OK38" i="2"/>
  <c r="OJ38" i="2"/>
  <c r="OI38" i="2"/>
  <c r="OH38" i="2"/>
  <c r="OG38" i="2"/>
  <c r="OF38" i="2"/>
  <c r="OE38" i="2"/>
  <c r="OD38" i="2"/>
  <c r="OC38" i="2"/>
  <c r="OB38" i="2"/>
  <c r="OA38" i="2"/>
  <c r="NZ38" i="2"/>
  <c r="NY38" i="2"/>
  <c r="NX38" i="2"/>
  <c r="NW38" i="2"/>
  <c r="NV38" i="2"/>
  <c r="NU38" i="2"/>
  <c r="NT38" i="2"/>
  <c r="NS38" i="2"/>
  <c r="NR38" i="2"/>
  <c r="NQ38" i="2"/>
  <c r="NP38" i="2"/>
  <c r="NO38" i="2"/>
  <c r="NN38" i="2"/>
  <c r="NM38" i="2"/>
  <c r="NL38" i="2"/>
  <c r="NK38" i="2"/>
  <c r="NJ38" i="2"/>
  <c r="NI38" i="2"/>
  <c r="NH38" i="2"/>
  <c r="NG38" i="2"/>
  <c r="NF38" i="2"/>
  <c r="NE38" i="2"/>
  <c r="ND38" i="2"/>
  <c r="NC38" i="2"/>
  <c r="NB38" i="2"/>
  <c r="NA38" i="2"/>
  <c r="MZ38" i="2"/>
  <c r="MY38" i="2"/>
  <c r="MX38" i="2"/>
  <c r="MW38" i="2"/>
  <c r="MV38" i="2"/>
  <c r="MU38" i="2"/>
  <c r="MT38" i="2"/>
  <c r="MS38" i="2"/>
  <c r="MR38" i="2"/>
  <c r="MQ38" i="2"/>
  <c r="MP38" i="2"/>
  <c r="MO38" i="2"/>
  <c r="MN38" i="2"/>
  <c r="MM38" i="2"/>
  <c r="ML38" i="2"/>
  <c r="MK38" i="2"/>
  <c r="MJ38" i="2"/>
  <c r="MI38" i="2"/>
  <c r="MH38" i="2"/>
  <c r="MG38" i="2"/>
  <c r="MF38" i="2"/>
  <c r="ME38" i="2"/>
  <c r="MD38" i="2"/>
  <c r="MC38" i="2"/>
  <c r="MB38" i="2"/>
  <c r="MA38" i="2"/>
  <c r="LZ38" i="2"/>
  <c r="LY38" i="2"/>
  <c r="LX38" i="2"/>
  <c r="LW38" i="2"/>
  <c r="LV38" i="2"/>
  <c r="LU38" i="2"/>
  <c r="LT38" i="2"/>
  <c r="LS38" i="2"/>
  <c r="LR38" i="2"/>
  <c r="LQ38" i="2"/>
  <c r="LP38" i="2"/>
  <c r="LO38" i="2"/>
  <c r="LN38" i="2"/>
  <c r="LM38" i="2"/>
  <c r="LL38" i="2"/>
  <c r="LK38" i="2"/>
  <c r="LJ38" i="2"/>
  <c r="LI38" i="2"/>
  <c r="LH38" i="2"/>
  <c r="LG38" i="2"/>
  <c r="LF38" i="2"/>
  <c r="LE38" i="2"/>
  <c r="LD38" i="2"/>
  <c r="LC38" i="2"/>
  <c r="LB38" i="2"/>
  <c r="LA38" i="2"/>
  <c r="KZ38" i="2"/>
  <c r="KY38" i="2"/>
  <c r="KX38" i="2"/>
  <c r="KW38" i="2"/>
  <c r="KV38" i="2"/>
  <c r="KU38" i="2"/>
  <c r="KT38" i="2"/>
  <c r="KS38" i="2"/>
  <c r="KR38" i="2"/>
  <c r="KQ38" i="2"/>
  <c r="KP38" i="2"/>
  <c r="KO38" i="2"/>
  <c r="KN38" i="2"/>
  <c r="KM38" i="2"/>
  <c r="KL38" i="2"/>
  <c r="KK38" i="2"/>
  <c r="KJ38" i="2"/>
  <c r="KI38" i="2"/>
  <c r="KH38" i="2"/>
  <c r="KG38" i="2"/>
  <c r="KF38" i="2"/>
  <c r="KE38" i="2"/>
  <c r="KD38" i="2"/>
  <c r="KC38" i="2"/>
  <c r="KB38" i="2"/>
  <c r="KA38" i="2"/>
  <c r="JZ38" i="2"/>
  <c r="JY38" i="2"/>
  <c r="JX38" i="2"/>
  <c r="JW38" i="2"/>
  <c r="JV38" i="2"/>
  <c r="JU38" i="2"/>
  <c r="JT38" i="2"/>
  <c r="JS38" i="2"/>
  <c r="JR38" i="2"/>
  <c r="JQ38" i="2"/>
  <c r="JP38" i="2"/>
  <c r="JO38" i="2"/>
  <c r="JN38" i="2"/>
  <c r="JM38" i="2"/>
  <c r="JL38" i="2"/>
  <c r="JK38" i="2"/>
  <c r="JJ38" i="2"/>
  <c r="JI38" i="2"/>
  <c r="JH38" i="2"/>
  <c r="JG38" i="2"/>
  <c r="JF38" i="2"/>
  <c r="JE38" i="2"/>
  <c r="JD38" i="2"/>
  <c r="JC38" i="2"/>
  <c r="JB38" i="2"/>
  <c r="JA38" i="2"/>
  <c r="IZ38" i="2"/>
  <c r="IY38" i="2"/>
  <c r="IX38" i="2"/>
  <c r="IW38" i="2"/>
  <c r="IV38" i="2"/>
  <c r="IU38" i="2"/>
  <c r="IT38" i="2"/>
  <c r="IS38" i="2"/>
  <c r="IR38" i="2"/>
  <c r="IQ38" i="2"/>
  <c r="IP38" i="2"/>
  <c r="IO38" i="2"/>
  <c r="IN38" i="2"/>
  <c r="IM38" i="2"/>
  <c r="IL38" i="2"/>
  <c r="IK38" i="2"/>
  <c r="IJ38" i="2"/>
  <c r="II38" i="2"/>
  <c r="IH38" i="2"/>
  <c r="IG38" i="2"/>
  <c r="IF38" i="2"/>
  <c r="IE38" i="2"/>
  <c r="ID38" i="2"/>
  <c r="IC38" i="2"/>
  <c r="IB38" i="2"/>
  <c r="IA38" i="2"/>
  <c r="HZ38" i="2"/>
  <c r="HY38" i="2"/>
  <c r="HX38" i="2"/>
  <c r="HW38" i="2"/>
  <c r="HV38" i="2"/>
  <c r="HU38" i="2"/>
  <c r="HT38" i="2"/>
  <c r="HS38" i="2"/>
  <c r="HR38" i="2"/>
  <c r="HQ38" i="2"/>
  <c r="HP38" i="2"/>
  <c r="HO38" i="2"/>
  <c r="HN38" i="2"/>
  <c r="HM38" i="2"/>
  <c r="HL38" i="2"/>
  <c r="HK38" i="2"/>
  <c r="HJ38" i="2"/>
  <c r="HI38" i="2"/>
  <c r="HH38" i="2"/>
  <c r="HG38" i="2"/>
  <c r="HF38" i="2"/>
  <c r="HE38" i="2"/>
  <c r="HD38" i="2"/>
  <c r="HC38" i="2"/>
  <c r="HB38" i="2"/>
  <c r="HA38" i="2"/>
  <c r="GZ38" i="2"/>
  <c r="GY38" i="2"/>
  <c r="GX38" i="2"/>
  <c r="GW38" i="2"/>
  <c r="GV38" i="2"/>
  <c r="GU38" i="2"/>
  <c r="GT38" i="2"/>
  <c r="GS38" i="2"/>
  <c r="GR38" i="2"/>
  <c r="GQ38" i="2"/>
  <c r="GP38" i="2"/>
  <c r="GO38" i="2"/>
  <c r="GN38" i="2"/>
  <c r="GM38" i="2"/>
  <c r="GL38" i="2"/>
  <c r="GK38" i="2"/>
  <c r="GJ38" i="2"/>
  <c r="GI38" i="2"/>
  <c r="GH38" i="2"/>
  <c r="GG38" i="2"/>
  <c r="GF38" i="2"/>
  <c r="GE38" i="2"/>
  <c r="GD38" i="2"/>
  <c r="GC38" i="2"/>
  <c r="GB38" i="2"/>
  <c r="GA38" i="2"/>
  <c r="FZ38" i="2"/>
  <c r="FY38" i="2"/>
  <c r="FX38" i="2"/>
  <c r="FW38" i="2"/>
  <c r="FV38" i="2"/>
  <c r="FU38" i="2"/>
  <c r="FT38" i="2"/>
  <c r="FS38" i="2"/>
  <c r="FR38" i="2"/>
  <c r="FQ38" i="2"/>
  <c r="FP38" i="2"/>
  <c r="FO38" i="2"/>
  <c r="FN38" i="2"/>
  <c r="FM38" i="2"/>
  <c r="FL38" i="2"/>
  <c r="FK38" i="2"/>
  <c r="FJ38" i="2"/>
  <c r="FI38" i="2"/>
  <c r="FH38" i="2"/>
  <c r="FG38" i="2"/>
  <c r="FF38" i="2"/>
  <c r="FE38" i="2"/>
  <c r="FD38" i="2"/>
  <c r="FC38" i="2"/>
  <c r="FB38" i="2"/>
  <c r="FA38" i="2"/>
  <c r="EZ38" i="2"/>
  <c r="EY38" i="2"/>
  <c r="EX38" i="2"/>
  <c r="EW38" i="2"/>
  <c r="EV38" i="2"/>
  <c r="EU38" i="2"/>
  <c r="ET38" i="2"/>
  <c r="ES38" i="2"/>
  <c r="ER38" i="2"/>
  <c r="EQ38" i="2"/>
  <c r="EP38" i="2"/>
  <c r="EO38" i="2"/>
  <c r="EN38" i="2"/>
  <c r="EM38" i="2"/>
  <c r="EL38" i="2"/>
  <c r="EK38" i="2"/>
  <c r="EJ38" i="2"/>
  <c r="EI38" i="2"/>
  <c r="EH38" i="2"/>
  <c r="EG38" i="2"/>
  <c r="EF38" i="2"/>
  <c r="EE38" i="2"/>
  <c r="ED38" i="2"/>
  <c r="EC38" i="2"/>
  <c r="EB38" i="2"/>
  <c r="EA38" i="2"/>
  <c r="DZ38" i="2"/>
  <c r="DY38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PI37" i="2"/>
  <c r="PH37" i="2"/>
  <c r="PG37" i="2"/>
  <c r="PF37" i="2"/>
  <c r="PE37" i="2"/>
  <c r="PD37" i="2"/>
  <c r="PC37" i="2"/>
  <c r="PB37" i="2"/>
  <c r="PA37" i="2"/>
  <c r="OZ37" i="2"/>
  <c r="OY37" i="2"/>
  <c r="OX37" i="2"/>
  <c r="OW37" i="2"/>
  <c r="OV37" i="2"/>
  <c r="OU37" i="2"/>
  <c r="OT37" i="2"/>
  <c r="OS37" i="2"/>
  <c r="OR37" i="2"/>
  <c r="OQ37" i="2"/>
  <c r="OP37" i="2"/>
  <c r="OO37" i="2"/>
  <c r="ON37" i="2"/>
  <c r="OM37" i="2"/>
  <c r="OL37" i="2"/>
  <c r="OK37" i="2"/>
  <c r="OJ37" i="2"/>
  <c r="OI37" i="2"/>
  <c r="OH37" i="2"/>
  <c r="OG37" i="2"/>
  <c r="OF37" i="2"/>
  <c r="OE37" i="2"/>
  <c r="OD37" i="2"/>
  <c r="OC37" i="2"/>
  <c r="OB37" i="2"/>
  <c r="OA37" i="2"/>
  <c r="NZ37" i="2"/>
  <c r="NY37" i="2"/>
  <c r="NX37" i="2"/>
  <c r="NW37" i="2"/>
  <c r="NV37" i="2"/>
  <c r="NU37" i="2"/>
  <c r="NT37" i="2"/>
  <c r="NS37" i="2"/>
  <c r="NR37" i="2"/>
  <c r="NQ37" i="2"/>
  <c r="NP37" i="2"/>
  <c r="NO37" i="2"/>
  <c r="NN37" i="2"/>
  <c r="NM37" i="2"/>
  <c r="NL37" i="2"/>
  <c r="NK37" i="2"/>
  <c r="NJ37" i="2"/>
  <c r="NI37" i="2"/>
  <c r="NH37" i="2"/>
  <c r="NG37" i="2"/>
  <c r="NF37" i="2"/>
  <c r="NE37" i="2"/>
  <c r="ND37" i="2"/>
  <c r="NC37" i="2"/>
  <c r="NB37" i="2"/>
  <c r="NA37" i="2"/>
  <c r="MZ37" i="2"/>
  <c r="MY37" i="2"/>
  <c r="MX37" i="2"/>
  <c r="MW37" i="2"/>
  <c r="MV37" i="2"/>
  <c r="MU37" i="2"/>
  <c r="MT37" i="2"/>
  <c r="MS37" i="2"/>
  <c r="MR37" i="2"/>
  <c r="MQ37" i="2"/>
  <c r="MP37" i="2"/>
  <c r="MO37" i="2"/>
  <c r="MN37" i="2"/>
  <c r="MM37" i="2"/>
  <c r="ML37" i="2"/>
  <c r="MK37" i="2"/>
  <c r="MJ37" i="2"/>
  <c r="MI37" i="2"/>
  <c r="MH37" i="2"/>
  <c r="MG37" i="2"/>
  <c r="MF37" i="2"/>
  <c r="ME37" i="2"/>
  <c r="MD37" i="2"/>
  <c r="MC37" i="2"/>
  <c r="MB37" i="2"/>
  <c r="MA37" i="2"/>
  <c r="LZ37" i="2"/>
  <c r="LY37" i="2"/>
  <c r="LX37" i="2"/>
  <c r="LW37" i="2"/>
  <c r="LV37" i="2"/>
  <c r="LU37" i="2"/>
  <c r="LT37" i="2"/>
  <c r="LS37" i="2"/>
  <c r="LR37" i="2"/>
  <c r="LQ37" i="2"/>
  <c r="LP37" i="2"/>
  <c r="LO37" i="2"/>
  <c r="LN37" i="2"/>
  <c r="LM37" i="2"/>
  <c r="LL37" i="2"/>
  <c r="LK37" i="2"/>
  <c r="LJ37" i="2"/>
  <c r="LI37" i="2"/>
  <c r="LH37" i="2"/>
  <c r="LG37" i="2"/>
  <c r="LF37" i="2"/>
  <c r="LE37" i="2"/>
  <c r="LD37" i="2"/>
  <c r="LC37" i="2"/>
  <c r="LB37" i="2"/>
  <c r="LA37" i="2"/>
  <c r="KZ37" i="2"/>
  <c r="KY37" i="2"/>
  <c r="KX37" i="2"/>
  <c r="KW37" i="2"/>
  <c r="KV37" i="2"/>
  <c r="KU37" i="2"/>
  <c r="KT37" i="2"/>
  <c r="KS37" i="2"/>
  <c r="KR37" i="2"/>
  <c r="KQ37" i="2"/>
  <c r="KP37" i="2"/>
  <c r="KO37" i="2"/>
  <c r="KN37" i="2"/>
  <c r="KM37" i="2"/>
  <c r="KL37" i="2"/>
  <c r="KK37" i="2"/>
  <c r="KJ37" i="2"/>
  <c r="KI37" i="2"/>
  <c r="KH37" i="2"/>
  <c r="KG37" i="2"/>
  <c r="KF37" i="2"/>
  <c r="KE37" i="2"/>
  <c r="KD37" i="2"/>
  <c r="KC37" i="2"/>
  <c r="KB37" i="2"/>
  <c r="KA37" i="2"/>
  <c r="JZ37" i="2"/>
  <c r="JY37" i="2"/>
  <c r="JX37" i="2"/>
  <c r="JW37" i="2"/>
  <c r="JV37" i="2"/>
  <c r="JU37" i="2"/>
  <c r="JT37" i="2"/>
  <c r="JS37" i="2"/>
  <c r="JR37" i="2"/>
  <c r="JQ37" i="2"/>
  <c r="JP37" i="2"/>
  <c r="JO37" i="2"/>
  <c r="JN37" i="2"/>
  <c r="JM37" i="2"/>
  <c r="JL37" i="2"/>
  <c r="JK37" i="2"/>
  <c r="JJ37" i="2"/>
  <c r="JI37" i="2"/>
  <c r="JH37" i="2"/>
  <c r="JG37" i="2"/>
  <c r="JF37" i="2"/>
  <c r="JE37" i="2"/>
  <c r="JD37" i="2"/>
  <c r="JC37" i="2"/>
  <c r="JB37" i="2"/>
  <c r="JA37" i="2"/>
  <c r="IZ37" i="2"/>
  <c r="IY37" i="2"/>
  <c r="IX37" i="2"/>
  <c r="IW37" i="2"/>
  <c r="IV37" i="2"/>
  <c r="IU37" i="2"/>
  <c r="IT37" i="2"/>
  <c r="IS37" i="2"/>
  <c r="IR37" i="2"/>
  <c r="IQ37" i="2"/>
  <c r="IP37" i="2"/>
  <c r="IO37" i="2"/>
  <c r="IN37" i="2"/>
  <c r="IM37" i="2"/>
  <c r="IL37" i="2"/>
  <c r="IK37" i="2"/>
  <c r="IJ37" i="2"/>
  <c r="II37" i="2"/>
  <c r="IH37" i="2"/>
  <c r="IG37" i="2"/>
  <c r="IF37" i="2"/>
  <c r="IE37" i="2"/>
  <c r="ID37" i="2"/>
  <c r="IC37" i="2"/>
  <c r="IB37" i="2"/>
  <c r="IA37" i="2"/>
  <c r="HZ37" i="2"/>
  <c r="HY37" i="2"/>
  <c r="HX37" i="2"/>
  <c r="HW37" i="2"/>
  <c r="HV37" i="2"/>
  <c r="HU37" i="2"/>
  <c r="HT37" i="2"/>
  <c r="HS37" i="2"/>
  <c r="HR37" i="2"/>
  <c r="HQ37" i="2"/>
  <c r="HP37" i="2"/>
  <c r="HO37" i="2"/>
  <c r="HN37" i="2"/>
  <c r="HM37" i="2"/>
  <c r="HL37" i="2"/>
  <c r="HK37" i="2"/>
  <c r="HJ37" i="2"/>
  <c r="HI37" i="2"/>
  <c r="HH37" i="2"/>
  <c r="HG37" i="2"/>
  <c r="HF37" i="2"/>
  <c r="HE37" i="2"/>
  <c r="HD37" i="2"/>
  <c r="HC37" i="2"/>
  <c r="HB37" i="2"/>
  <c r="HA37" i="2"/>
  <c r="GZ37" i="2"/>
  <c r="GY37" i="2"/>
  <c r="GX37" i="2"/>
  <c r="GW37" i="2"/>
  <c r="GV37" i="2"/>
  <c r="GU37" i="2"/>
  <c r="GT37" i="2"/>
  <c r="GS37" i="2"/>
  <c r="GR37" i="2"/>
  <c r="GQ37" i="2"/>
  <c r="GP37" i="2"/>
  <c r="GO37" i="2"/>
  <c r="GN37" i="2"/>
  <c r="GM37" i="2"/>
  <c r="GL37" i="2"/>
  <c r="GK37" i="2"/>
  <c r="GJ37" i="2"/>
  <c r="GI37" i="2"/>
  <c r="GH37" i="2"/>
  <c r="GG37" i="2"/>
  <c r="GF37" i="2"/>
  <c r="GE37" i="2"/>
  <c r="GD37" i="2"/>
  <c r="GC37" i="2"/>
  <c r="GB37" i="2"/>
  <c r="GA37" i="2"/>
  <c r="FZ37" i="2"/>
  <c r="FY37" i="2"/>
  <c r="FX37" i="2"/>
  <c r="FW37" i="2"/>
  <c r="FV37" i="2"/>
  <c r="FU37" i="2"/>
  <c r="FT37" i="2"/>
  <c r="FS37" i="2"/>
  <c r="FR37" i="2"/>
  <c r="FQ37" i="2"/>
  <c r="FP37" i="2"/>
  <c r="FO37" i="2"/>
  <c r="FN37" i="2"/>
  <c r="FM37" i="2"/>
  <c r="FL37" i="2"/>
  <c r="FK37" i="2"/>
  <c r="FJ37" i="2"/>
  <c r="FI37" i="2"/>
  <c r="FH37" i="2"/>
  <c r="FG37" i="2"/>
  <c r="FF37" i="2"/>
  <c r="FE37" i="2"/>
  <c r="FD37" i="2"/>
  <c r="FC37" i="2"/>
  <c r="FB37" i="2"/>
  <c r="FA37" i="2"/>
  <c r="EZ37" i="2"/>
  <c r="EY37" i="2"/>
  <c r="EX37" i="2"/>
  <c r="EW37" i="2"/>
  <c r="EV37" i="2"/>
  <c r="EU37" i="2"/>
  <c r="ET37" i="2"/>
  <c r="ES37" i="2"/>
  <c r="ER37" i="2"/>
  <c r="EQ37" i="2"/>
  <c r="EP37" i="2"/>
  <c r="EO37" i="2"/>
  <c r="EN37" i="2"/>
  <c r="EM37" i="2"/>
  <c r="EL37" i="2"/>
  <c r="EK37" i="2"/>
  <c r="EJ37" i="2"/>
  <c r="EI37" i="2"/>
  <c r="EH37" i="2"/>
  <c r="EG37" i="2"/>
  <c r="EF37" i="2"/>
  <c r="EE37" i="2"/>
  <c r="ED37" i="2"/>
  <c r="EC37" i="2"/>
  <c r="EB37" i="2"/>
  <c r="EA37" i="2"/>
  <c r="DZ37" i="2"/>
  <c r="DY37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PI36" i="2"/>
  <c r="PH36" i="2"/>
  <c r="PG36" i="2"/>
  <c r="PF36" i="2"/>
  <c r="PE36" i="2"/>
  <c r="PD36" i="2"/>
  <c r="PC36" i="2"/>
  <c r="PB36" i="2"/>
  <c r="PA36" i="2"/>
  <c r="OZ36" i="2"/>
  <c r="OY36" i="2"/>
  <c r="OX36" i="2"/>
  <c r="OW36" i="2"/>
  <c r="OV36" i="2"/>
  <c r="OU36" i="2"/>
  <c r="OT36" i="2"/>
  <c r="OS36" i="2"/>
  <c r="OR36" i="2"/>
  <c r="OQ36" i="2"/>
  <c r="OP36" i="2"/>
  <c r="OO36" i="2"/>
  <c r="ON36" i="2"/>
  <c r="OM36" i="2"/>
  <c r="OL36" i="2"/>
  <c r="OK36" i="2"/>
  <c r="OJ36" i="2"/>
  <c r="OI36" i="2"/>
  <c r="OH36" i="2"/>
  <c r="OG36" i="2"/>
  <c r="OF36" i="2"/>
  <c r="OE36" i="2"/>
  <c r="OD36" i="2"/>
  <c r="OC36" i="2"/>
  <c r="OB36" i="2"/>
  <c r="OA36" i="2"/>
  <c r="NZ36" i="2"/>
  <c r="NY36" i="2"/>
  <c r="NX36" i="2"/>
  <c r="NW36" i="2"/>
  <c r="NV36" i="2"/>
  <c r="NU36" i="2"/>
  <c r="NT36" i="2"/>
  <c r="NS36" i="2"/>
  <c r="NR36" i="2"/>
  <c r="NQ36" i="2"/>
  <c r="NP36" i="2"/>
  <c r="NO36" i="2"/>
  <c r="NN36" i="2"/>
  <c r="NM36" i="2"/>
  <c r="NL36" i="2"/>
  <c r="NK36" i="2"/>
  <c r="NJ36" i="2"/>
  <c r="NI36" i="2"/>
  <c r="NH36" i="2"/>
  <c r="NG36" i="2"/>
  <c r="NF36" i="2"/>
  <c r="NE36" i="2"/>
  <c r="ND36" i="2"/>
  <c r="NC36" i="2"/>
  <c r="NB36" i="2"/>
  <c r="NA36" i="2"/>
  <c r="MZ36" i="2"/>
  <c r="MY36" i="2"/>
  <c r="MX36" i="2"/>
  <c r="MW36" i="2"/>
  <c r="MV36" i="2"/>
  <c r="MU36" i="2"/>
  <c r="MT36" i="2"/>
  <c r="MS36" i="2"/>
  <c r="MR36" i="2"/>
  <c r="MQ36" i="2"/>
  <c r="MP36" i="2"/>
  <c r="MO36" i="2"/>
  <c r="MN36" i="2"/>
  <c r="MM36" i="2"/>
  <c r="ML36" i="2"/>
  <c r="MK36" i="2"/>
  <c r="MJ36" i="2"/>
  <c r="MI36" i="2"/>
  <c r="MH36" i="2"/>
  <c r="MG36" i="2"/>
  <c r="MF36" i="2"/>
  <c r="ME36" i="2"/>
  <c r="MD36" i="2"/>
  <c r="MC36" i="2"/>
  <c r="MB36" i="2"/>
  <c r="MA36" i="2"/>
  <c r="LZ36" i="2"/>
  <c r="LY36" i="2"/>
  <c r="LX36" i="2"/>
  <c r="LW36" i="2"/>
  <c r="LV36" i="2"/>
  <c r="LU36" i="2"/>
  <c r="LT36" i="2"/>
  <c r="LS36" i="2"/>
  <c r="LR36" i="2"/>
  <c r="LQ36" i="2"/>
  <c r="LP36" i="2"/>
  <c r="LO36" i="2"/>
  <c r="LN36" i="2"/>
  <c r="LM36" i="2"/>
  <c r="LL36" i="2"/>
  <c r="LK36" i="2"/>
  <c r="LJ36" i="2"/>
  <c r="LI36" i="2"/>
  <c r="LH36" i="2"/>
  <c r="LG36" i="2"/>
  <c r="LF36" i="2"/>
  <c r="LE36" i="2"/>
  <c r="LD36" i="2"/>
  <c r="LC36" i="2"/>
  <c r="LB36" i="2"/>
  <c r="LA36" i="2"/>
  <c r="KZ36" i="2"/>
  <c r="KY36" i="2"/>
  <c r="KX36" i="2"/>
  <c r="KW36" i="2"/>
  <c r="KV36" i="2"/>
  <c r="KU36" i="2"/>
  <c r="KT36" i="2"/>
  <c r="KS36" i="2"/>
  <c r="KR36" i="2"/>
  <c r="KQ36" i="2"/>
  <c r="KP36" i="2"/>
  <c r="KO36" i="2"/>
  <c r="KN36" i="2"/>
  <c r="KM36" i="2"/>
  <c r="KL36" i="2"/>
  <c r="KK36" i="2"/>
  <c r="KJ36" i="2"/>
  <c r="KI36" i="2"/>
  <c r="KH36" i="2"/>
  <c r="KG36" i="2"/>
  <c r="KF36" i="2"/>
  <c r="KE36" i="2"/>
  <c r="KD36" i="2"/>
  <c r="KC36" i="2"/>
  <c r="KB36" i="2"/>
  <c r="KA36" i="2"/>
  <c r="JZ36" i="2"/>
  <c r="JY36" i="2"/>
  <c r="JX36" i="2"/>
  <c r="JW36" i="2"/>
  <c r="JV36" i="2"/>
  <c r="JU36" i="2"/>
  <c r="JT36" i="2"/>
  <c r="JS36" i="2"/>
  <c r="JR36" i="2"/>
  <c r="JQ36" i="2"/>
  <c r="JP36" i="2"/>
  <c r="JO36" i="2"/>
  <c r="JN36" i="2"/>
  <c r="JM36" i="2"/>
  <c r="JL36" i="2"/>
  <c r="JK36" i="2"/>
  <c r="JJ36" i="2"/>
  <c r="JI36" i="2"/>
  <c r="JH36" i="2"/>
  <c r="JG36" i="2"/>
  <c r="JF36" i="2"/>
  <c r="JE36" i="2"/>
  <c r="JD36" i="2"/>
  <c r="JC36" i="2"/>
  <c r="JB36" i="2"/>
  <c r="JA36" i="2"/>
  <c r="IZ36" i="2"/>
  <c r="IY36" i="2"/>
  <c r="IX36" i="2"/>
  <c r="IW36" i="2"/>
  <c r="IV36" i="2"/>
  <c r="IU36" i="2"/>
  <c r="IT36" i="2"/>
  <c r="IS36" i="2"/>
  <c r="IR36" i="2"/>
  <c r="IQ36" i="2"/>
  <c r="IP36" i="2"/>
  <c r="IO36" i="2"/>
  <c r="IN36" i="2"/>
  <c r="IM36" i="2"/>
  <c r="IL36" i="2"/>
  <c r="IK36" i="2"/>
  <c r="IJ36" i="2"/>
  <c r="II36" i="2"/>
  <c r="IH36" i="2"/>
  <c r="IG36" i="2"/>
  <c r="IF36" i="2"/>
  <c r="IE36" i="2"/>
  <c r="ID36" i="2"/>
  <c r="IC36" i="2"/>
  <c r="IB36" i="2"/>
  <c r="IA36" i="2"/>
  <c r="HZ36" i="2"/>
  <c r="HY36" i="2"/>
  <c r="HX36" i="2"/>
  <c r="HW36" i="2"/>
  <c r="HV36" i="2"/>
  <c r="HU36" i="2"/>
  <c r="HT36" i="2"/>
  <c r="HS36" i="2"/>
  <c r="HR36" i="2"/>
  <c r="HQ36" i="2"/>
  <c r="HP36" i="2"/>
  <c r="HO36" i="2"/>
  <c r="HN36" i="2"/>
  <c r="HM36" i="2"/>
  <c r="HL36" i="2"/>
  <c r="HK36" i="2"/>
  <c r="HJ36" i="2"/>
  <c r="HI36" i="2"/>
  <c r="HH36" i="2"/>
  <c r="HG36" i="2"/>
  <c r="HF36" i="2"/>
  <c r="HE36" i="2"/>
  <c r="HD36" i="2"/>
  <c r="HC36" i="2"/>
  <c r="HB36" i="2"/>
  <c r="HA36" i="2"/>
  <c r="GZ36" i="2"/>
  <c r="GY36" i="2"/>
  <c r="GX36" i="2"/>
  <c r="GW36" i="2"/>
  <c r="GV36" i="2"/>
  <c r="GU36" i="2"/>
  <c r="GT36" i="2"/>
  <c r="GS36" i="2"/>
  <c r="GR36" i="2"/>
  <c r="GQ36" i="2"/>
  <c r="GP36" i="2"/>
  <c r="GO36" i="2"/>
  <c r="GN36" i="2"/>
  <c r="GM36" i="2"/>
  <c r="GL36" i="2"/>
  <c r="GK36" i="2"/>
  <c r="GJ36" i="2"/>
  <c r="GI36" i="2"/>
  <c r="GH36" i="2"/>
  <c r="GG36" i="2"/>
  <c r="GF36" i="2"/>
  <c r="GE36" i="2"/>
  <c r="GD36" i="2"/>
  <c r="GC36" i="2"/>
  <c r="GB36" i="2"/>
  <c r="GA36" i="2"/>
  <c r="FZ36" i="2"/>
  <c r="FY36" i="2"/>
  <c r="FX36" i="2"/>
  <c r="FW36" i="2"/>
  <c r="FV36" i="2"/>
  <c r="FU36" i="2"/>
  <c r="FT36" i="2"/>
  <c r="FS36" i="2"/>
  <c r="FR36" i="2"/>
  <c r="FQ36" i="2"/>
  <c r="FP36" i="2"/>
  <c r="FO36" i="2"/>
  <c r="FN36" i="2"/>
  <c r="FM36" i="2"/>
  <c r="FL36" i="2"/>
  <c r="FK36" i="2"/>
  <c r="FJ36" i="2"/>
  <c r="FI36" i="2"/>
  <c r="FH36" i="2"/>
  <c r="FG36" i="2"/>
  <c r="FF36" i="2"/>
  <c r="FE36" i="2"/>
  <c r="FD36" i="2"/>
  <c r="FC36" i="2"/>
  <c r="FB36" i="2"/>
  <c r="FA36" i="2"/>
  <c r="EZ36" i="2"/>
  <c r="EY36" i="2"/>
  <c r="EX36" i="2"/>
  <c r="EW36" i="2"/>
  <c r="EV36" i="2"/>
  <c r="EU36" i="2"/>
  <c r="ET36" i="2"/>
  <c r="ES36" i="2"/>
  <c r="ER36" i="2"/>
  <c r="EQ36" i="2"/>
  <c r="EP36" i="2"/>
  <c r="EO36" i="2"/>
  <c r="EN36" i="2"/>
  <c r="EM36" i="2"/>
  <c r="EL36" i="2"/>
  <c r="EK36" i="2"/>
  <c r="EJ36" i="2"/>
  <c r="EI36" i="2"/>
  <c r="EH36" i="2"/>
  <c r="EG36" i="2"/>
  <c r="EF36" i="2"/>
  <c r="EE36" i="2"/>
  <c r="ED36" i="2"/>
  <c r="EC36" i="2"/>
  <c r="EB36" i="2"/>
  <c r="EA36" i="2"/>
  <c r="DZ36" i="2"/>
  <c r="DY36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PI35" i="2"/>
  <c r="PH35" i="2"/>
  <c r="PG35" i="2"/>
  <c r="PF35" i="2"/>
  <c r="PE35" i="2"/>
  <c r="PD35" i="2"/>
  <c r="PC35" i="2"/>
  <c r="PB35" i="2"/>
  <c r="PA35" i="2"/>
  <c r="OZ35" i="2"/>
  <c r="OY35" i="2"/>
  <c r="OX35" i="2"/>
  <c r="OW35" i="2"/>
  <c r="OV35" i="2"/>
  <c r="OU35" i="2"/>
  <c r="OT35" i="2"/>
  <c r="OS35" i="2"/>
  <c r="OR35" i="2"/>
  <c r="OQ35" i="2"/>
  <c r="OP35" i="2"/>
  <c r="OO35" i="2"/>
  <c r="ON35" i="2"/>
  <c r="OM35" i="2"/>
  <c r="OL35" i="2"/>
  <c r="OK35" i="2"/>
  <c r="OJ35" i="2"/>
  <c r="OI35" i="2"/>
  <c r="OH35" i="2"/>
  <c r="OG35" i="2"/>
  <c r="OF35" i="2"/>
  <c r="OE35" i="2"/>
  <c r="OD35" i="2"/>
  <c r="OC35" i="2"/>
  <c r="OB35" i="2"/>
  <c r="OA35" i="2"/>
  <c r="NZ35" i="2"/>
  <c r="NY35" i="2"/>
  <c r="NX35" i="2"/>
  <c r="NW35" i="2"/>
  <c r="NV35" i="2"/>
  <c r="NU35" i="2"/>
  <c r="NT35" i="2"/>
  <c r="NS35" i="2"/>
  <c r="NR35" i="2"/>
  <c r="NQ35" i="2"/>
  <c r="NP35" i="2"/>
  <c r="NO35" i="2"/>
  <c r="NN35" i="2"/>
  <c r="NM35" i="2"/>
  <c r="NL35" i="2"/>
  <c r="NK35" i="2"/>
  <c r="NJ35" i="2"/>
  <c r="NI35" i="2"/>
  <c r="NH35" i="2"/>
  <c r="NG35" i="2"/>
  <c r="NF35" i="2"/>
  <c r="NE35" i="2"/>
  <c r="ND35" i="2"/>
  <c r="NC35" i="2"/>
  <c r="NB35" i="2"/>
  <c r="NA35" i="2"/>
  <c r="MZ35" i="2"/>
  <c r="MY35" i="2"/>
  <c r="MX35" i="2"/>
  <c r="MW35" i="2"/>
  <c r="MV35" i="2"/>
  <c r="MU35" i="2"/>
  <c r="MT35" i="2"/>
  <c r="MS35" i="2"/>
  <c r="MR35" i="2"/>
  <c r="MQ35" i="2"/>
  <c r="MP35" i="2"/>
  <c r="MO35" i="2"/>
  <c r="MN35" i="2"/>
  <c r="MM35" i="2"/>
  <c r="ML35" i="2"/>
  <c r="MK35" i="2"/>
  <c r="MJ35" i="2"/>
  <c r="MI35" i="2"/>
  <c r="MH35" i="2"/>
  <c r="MG35" i="2"/>
  <c r="MF35" i="2"/>
  <c r="ME35" i="2"/>
  <c r="MD35" i="2"/>
  <c r="MC35" i="2"/>
  <c r="MB35" i="2"/>
  <c r="MA35" i="2"/>
  <c r="LZ35" i="2"/>
  <c r="LY35" i="2"/>
  <c r="LX35" i="2"/>
  <c r="LW35" i="2"/>
  <c r="LV35" i="2"/>
  <c r="LU35" i="2"/>
  <c r="LT35" i="2"/>
  <c r="LS35" i="2"/>
  <c r="LR35" i="2"/>
  <c r="LQ35" i="2"/>
  <c r="LP35" i="2"/>
  <c r="LO35" i="2"/>
  <c r="LN35" i="2"/>
  <c r="LM35" i="2"/>
  <c r="LL35" i="2"/>
  <c r="LK35" i="2"/>
  <c r="LJ35" i="2"/>
  <c r="LI35" i="2"/>
  <c r="LH35" i="2"/>
  <c r="LG35" i="2"/>
  <c r="LF35" i="2"/>
  <c r="LE35" i="2"/>
  <c r="LD35" i="2"/>
  <c r="LC35" i="2"/>
  <c r="LB35" i="2"/>
  <c r="LA35" i="2"/>
  <c r="KZ35" i="2"/>
  <c r="KY35" i="2"/>
  <c r="KX35" i="2"/>
  <c r="KW35" i="2"/>
  <c r="KV35" i="2"/>
  <c r="KU35" i="2"/>
  <c r="KT35" i="2"/>
  <c r="KS35" i="2"/>
  <c r="KR35" i="2"/>
  <c r="KQ35" i="2"/>
  <c r="KP35" i="2"/>
  <c r="KO35" i="2"/>
  <c r="KN35" i="2"/>
  <c r="KM35" i="2"/>
  <c r="KL35" i="2"/>
  <c r="KK35" i="2"/>
  <c r="KJ35" i="2"/>
  <c r="KI35" i="2"/>
  <c r="KH35" i="2"/>
  <c r="KG35" i="2"/>
  <c r="KF35" i="2"/>
  <c r="KE35" i="2"/>
  <c r="KD35" i="2"/>
  <c r="KC35" i="2"/>
  <c r="KB35" i="2"/>
  <c r="KA35" i="2"/>
  <c r="JZ35" i="2"/>
  <c r="JY35" i="2"/>
  <c r="JX35" i="2"/>
  <c r="JW35" i="2"/>
  <c r="JV35" i="2"/>
  <c r="JU35" i="2"/>
  <c r="JT35" i="2"/>
  <c r="JS35" i="2"/>
  <c r="JR35" i="2"/>
  <c r="JQ35" i="2"/>
  <c r="JP35" i="2"/>
  <c r="JO35" i="2"/>
  <c r="JN35" i="2"/>
  <c r="JM35" i="2"/>
  <c r="JL35" i="2"/>
  <c r="JK35" i="2"/>
  <c r="JJ35" i="2"/>
  <c r="JI35" i="2"/>
  <c r="JH35" i="2"/>
  <c r="JG35" i="2"/>
  <c r="JF35" i="2"/>
  <c r="JE35" i="2"/>
  <c r="JD35" i="2"/>
  <c r="JC35" i="2"/>
  <c r="JB35" i="2"/>
  <c r="JA35" i="2"/>
  <c r="IZ35" i="2"/>
  <c r="IY35" i="2"/>
  <c r="IX35" i="2"/>
  <c r="IW35" i="2"/>
  <c r="IV35" i="2"/>
  <c r="IU35" i="2"/>
  <c r="IT35" i="2"/>
  <c r="IS35" i="2"/>
  <c r="IR35" i="2"/>
  <c r="IQ35" i="2"/>
  <c r="IP35" i="2"/>
  <c r="IO35" i="2"/>
  <c r="IN35" i="2"/>
  <c r="IM35" i="2"/>
  <c r="IL35" i="2"/>
  <c r="IK35" i="2"/>
  <c r="IJ35" i="2"/>
  <c r="II35" i="2"/>
  <c r="IH35" i="2"/>
  <c r="IG35" i="2"/>
  <c r="IF35" i="2"/>
  <c r="IE35" i="2"/>
  <c r="ID35" i="2"/>
  <c r="IC35" i="2"/>
  <c r="IB35" i="2"/>
  <c r="IA35" i="2"/>
  <c r="HZ35" i="2"/>
  <c r="HY35" i="2"/>
  <c r="HX35" i="2"/>
  <c r="HW35" i="2"/>
  <c r="HV35" i="2"/>
  <c r="HU35" i="2"/>
  <c r="HT35" i="2"/>
  <c r="HS35" i="2"/>
  <c r="HR35" i="2"/>
  <c r="HQ35" i="2"/>
  <c r="HP35" i="2"/>
  <c r="HO35" i="2"/>
  <c r="HN35" i="2"/>
  <c r="HM35" i="2"/>
  <c r="HL35" i="2"/>
  <c r="HK35" i="2"/>
  <c r="HJ35" i="2"/>
  <c r="HI35" i="2"/>
  <c r="HH35" i="2"/>
  <c r="HG35" i="2"/>
  <c r="HF35" i="2"/>
  <c r="HE35" i="2"/>
  <c r="HD35" i="2"/>
  <c r="HC35" i="2"/>
  <c r="HB35" i="2"/>
  <c r="HA35" i="2"/>
  <c r="GZ35" i="2"/>
  <c r="GY35" i="2"/>
  <c r="GX35" i="2"/>
  <c r="GW35" i="2"/>
  <c r="GV35" i="2"/>
  <c r="GU35" i="2"/>
  <c r="GT35" i="2"/>
  <c r="GS35" i="2"/>
  <c r="GR35" i="2"/>
  <c r="GQ35" i="2"/>
  <c r="GP35" i="2"/>
  <c r="GO35" i="2"/>
  <c r="GN35" i="2"/>
  <c r="GM35" i="2"/>
  <c r="GL35" i="2"/>
  <c r="GK35" i="2"/>
  <c r="GJ35" i="2"/>
  <c r="GI35" i="2"/>
  <c r="GH35" i="2"/>
  <c r="GG35" i="2"/>
  <c r="GF35" i="2"/>
  <c r="GE35" i="2"/>
  <c r="GD35" i="2"/>
  <c r="GC35" i="2"/>
  <c r="GB35" i="2"/>
  <c r="GA35" i="2"/>
  <c r="FZ35" i="2"/>
  <c r="FY35" i="2"/>
  <c r="FX35" i="2"/>
  <c r="FW35" i="2"/>
  <c r="FV35" i="2"/>
  <c r="FU35" i="2"/>
  <c r="FT35" i="2"/>
  <c r="FS35" i="2"/>
  <c r="FR35" i="2"/>
  <c r="FQ35" i="2"/>
  <c r="FP35" i="2"/>
  <c r="FO35" i="2"/>
  <c r="FN35" i="2"/>
  <c r="FM35" i="2"/>
  <c r="FL35" i="2"/>
  <c r="FK35" i="2"/>
  <c r="FJ35" i="2"/>
  <c r="FI35" i="2"/>
  <c r="FH35" i="2"/>
  <c r="FG35" i="2"/>
  <c r="FF35" i="2"/>
  <c r="FE35" i="2"/>
  <c r="FD35" i="2"/>
  <c r="FC35" i="2"/>
  <c r="FB35" i="2"/>
  <c r="FA35" i="2"/>
  <c r="EZ35" i="2"/>
  <c r="EY35" i="2"/>
  <c r="EX35" i="2"/>
  <c r="EW35" i="2"/>
  <c r="EV35" i="2"/>
  <c r="EU35" i="2"/>
  <c r="ET35" i="2"/>
  <c r="ES35" i="2"/>
  <c r="ER35" i="2"/>
  <c r="EQ35" i="2"/>
  <c r="EP35" i="2"/>
  <c r="EO35" i="2"/>
  <c r="EN35" i="2"/>
  <c r="EM35" i="2"/>
  <c r="EL35" i="2"/>
  <c r="EK35" i="2"/>
  <c r="EJ35" i="2"/>
  <c r="EI35" i="2"/>
  <c r="EH35" i="2"/>
  <c r="EG35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PI34" i="2"/>
  <c r="PH34" i="2"/>
  <c r="PG34" i="2"/>
  <c r="PF34" i="2"/>
  <c r="PE34" i="2"/>
  <c r="PD34" i="2"/>
  <c r="PC34" i="2"/>
  <c r="PB34" i="2"/>
  <c r="PA34" i="2"/>
  <c r="OZ34" i="2"/>
  <c r="OY34" i="2"/>
  <c r="OX34" i="2"/>
  <c r="OW34" i="2"/>
  <c r="OV34" i="2"/>
  <c r="OU34" i="2"/>
  <c r="OT34" i="2"/>
  <c r="OS34" i="2"/>
  <c r="OR34" i="2"/>
  <c r="OQ34" i="2"/>
  <c r="OP34" i="2"/>
  <c r="OO34" i="2"/>
  <c r="ON34" i="2"/>
  <c r="OM34" i="2"/>
  <c r="OL34" i="2"/>
  <c r="OK34" i="2"/>
  <c r="OJ34" i="2"/>
  <c r="OI34" i="2"/>
  <c r="OH34" i="2"/>
  <c r="OG34" i="2"/>
  <c r="OF34" i="2"/>
  <c r="OE34" i="2"/>
  <c r="OD34" i="2"/>
  <c r="OC34" i="2"/>
  <c r="OB34" i="2"/>
  <c r="OA34" i="2"/>
  <c r="NZ34" i="2"/>
  <c r="NY34" i="2"/>
  <c r="NX34" i="2"/>
  <c r="NW34" i="2"/>
  <c r="NV34" i="2"/>
  <c r="NU34" i="2"/>
  <c r="NT34" i="2"/>
  <c r="NS34" i="2"/>
  <c r="NR34" i="2"/>
  <c r="NQ34" i="2"/>
  <c r="NP34" i="2"/>
  <c r="NO34" i="2"/>
  <c r="NN34" i="2"/>
  <c r="NM34" i="2"/>
  <c r="NL34" i="2"/>
  <c r="NK34" i="2"/>
  <c r="NJ34" i="2"/>
  <c r="NI34" i="2"/>
  <c r="NH34" i="2"/>
  <c r="NG34" i="2"/>
  <c r="NF34" i="2"/>
  <c r="NE34" i="2"/>
  <c r="ND34" i="2"/>
  <c r="NC34" i="2"/>
  <c r="NB34" i="2"/>
  <c r="NA34" i="2"/>
  <c r="MZ34" i="2"/>
  <c r="MY34" i="2"/>
  <c r="MX34" i="2"/>
  <c r="MW34" i="2"/>
  <c r="MV34" i="2"/>
  <c r="MU34" i="2"/>
  <c r="MT34" i="2"/>
  <c r="MS34" i="2"/>
  <c r="MR34" i="2"/>
  <c r="MQ34" i="2"/>
  <c r="MP34" i="2"/>
  <c r="MO34" i="2"/>
  <c r="MN34" i="2"/>
  <c r="MM34" i="2"/>
  <c r="ML34" i="2"/>
  <c r="MK34" i="2"/>
  <c r="MJ34" i="2"/>
  <c r="MI34" i="2"/>
  <c r="MH34" i="2"/>
  <c r="MG34" i="2"/>
  <c r="MF34" i="2"/>
  <c r="ME34" i="2"/>
  <c r="MD34" i="2"/>
  <c r="MC34" i="2"/>
  <c r="MB34" i="2"/>
  <c r="MA34" i="2"/>
  <c r="LZ34" i="2"/>
  <c r="LY34" i="2"/>
  <c r="LX34" i="2"/>
  <c r="LW34" i="2"/>
  <c r="LV34" i="2"/>
  <c r="LU34" i="2"/>
  <c r="LT34" i="2"/>
  <c r="LS34" i="2"/>
  <c r="LR34" i="2"/>
  <c r="LQ34" i="2"/>
  <c r="LP34" i="2"/>
  <c r="LO34" i="2"/>
  <c r="LN34" i="2"/>
  <c r="LM34" i="2"/>
  <c r="LL34" i="2"/>
  <c r="LK34" i="2"/>
  <c r="LJ34" i="2"/>
  <c r="LI34" i="2"/>
  <c r="LH34" i="2"/>
  <c r="LG34" i="2"/>
  <c r="LF34" i="2"/>
  <c r="LE34" i="2"/>
  <c r="LD34" i="2"/>
  <c r="LC34" i="2"/>
  <c r="LB34" i="2"/>
  <c r="LA34" i="2"/>
  <c r="KZ34" i="2"/>
  <c r="KY34" i="2"/>
  <c r="KX34" i="2"/>
  <c r="KW34" i="2"/>
  <c r="KV34" i="2"/>
  <c r="KU34" i="2"/>
  <c r="KT34" i="2"/>
  <c r="KS34" i="2"/>
  <c r="KR34" i="2"/>
  <c r="KQ34" i="2"/>
  <c r="KP34" i="2"/>
  <c r="KO34" i="2"/>
  <c r="KN34" i="2"/>
  <c r="KM34" i="2"/>
  <c r="KL34" i="2"/>
  <c r="KK34" i="2"/>
  <c r="KJ34" i="2"/>
  <c r="KI34" i="2"/>
  <c r="KH34" i="2"/>
  <c r="KG34" i="2"/>
  <c r="KF34" i="2"/>
  <c r="KE34" i="2"/>
  <c r="KD34" i="2"/>
  <c r="KC34" i="2"/>
  <c r="KB34" i="2"/>
  <c r="KA34" i="2"/>
  <c r="JZ34" i="2"/>
  <c r="JY34" i="2"/>
  <c r="JX34" i="2"/>
  <c r="JW34" i="2"/>
  <c r="JV34" i="2"/>
  <c r="JU34" i="2"/>
  <c r="JT34" i="2"/>
  <c r="JS34" i="2"/>
  <c r="JR34" i="2"/>
  <c r="JQ34" i="2"/>
  <c r="JP34" i="2"/>
  <c r="JO34" i="2"/>
  <c r="JN34" i="2"/>
  <c r="JM34" i="2"/>
  <c r="JL34" i="2"/>
  <c r="JK34" i="2"/>
  <c r="JJ34" i="2"/>
  <c r="JI34" i="2"/>
  <c r="JH34" i="2"/>
  <c r="JG34" i="2"/>
  <c r="JF34" i="2"/>
  <c r="JE34" i="2"/>
  <c r="JD34" i="2"/>
  <c r="JC34" i="2"/>
  <c r="JB34" i="2"/>
  <c r="JA34" i="2"/>
  <c r="IZ34" i="2"/>
  <c r="IY34" i="2"/>
  <c r="IX34" i="2"/>
  <c r="IW34" i="2"/>
  <c r="IV34" i="2"/>
  <c r="IU34" i="2"/>
  <c r="IT34" i="2"/>
  <c r="IS34" i="2"/>
  <c r="IR34" i="2"/>
  <c r="IQ34" i="2"/>
  <c r="IP34" i="2"/>
  <c r="IO34" i="2"/>
  <c r="IN34" i="2"/>
  <c r="IM34" i="2"/>
  <c r="IL34" i="2"/>
  <c r="IK34" i="2"/>
  <c r="IJ34" i="2"/>
  <c r="II34" i="2"/>
  <c r="IH34" i="2"/>
  <c r="IG34" i="2"/>
  <c r="IF34" i="2"/>
  <c r="IE34" i="2"/>
  <c r="ID34" i="2"/>
  <c r="IC34" i="2"/>
  <c r="IB34" i="2"/>
  <c r="IA34" i="2"/>
  <c r="HZ34" i="2"/>
  <c r="HY34" i="2"/>
  <c r="HX34" i="2"/>
  <c r="HW34" i="2"/>
  <c r="HV34" i="2"/>
  <c r="HU34" i="2"/>
  <c r="HT34" i="2"/>
  <c r="HS34" i="2"/>
  <c r="HR34" i="2"/>
  <c r="HQ34" i="2"/>
  <c r="HP34" i="2"/>
  <c r="HO34" i="2"/>
  <c r="HN34" i="2"/>
  <c r="HM34" i="2"/>
  <c r="HL34" i="2"/>
  <c r="HK34" i="2"/>
  <c r="HJ34" i="2"/>
  <c r="HI34" i="2"/>
  <c r="HH34" i="2"/>
  <c r="HG34" i="2"/>
  <c r="HF34" i="2"/>
  <c r="HE34" i="2"/>
  <c r="HD34" i="2"/>
  <c r="HC34" i="2"/>
  <c r="HB34" i="2"/>
  <c r="HA34" i="2"/>
  <c r="GZ34" i="2"/>
  <c r="GY34" i="2"/>
  <c r="GX34" i="2"/>
  <c r="GW34" i="2"/>
  <c r="GV34" i="2"/>
  <c r="GU34" i="2"/>
  <c r="GT34" i="2"/>
  <c r="GS34" i="2"/>
  <c r="GR34" i="2"/>
  <c r="GQ34" i="2"/>
  <c r="GP34" i="2"/>
  <c r="GO34" i="2"/>
  <c r="GN34" i="2"/>
  <c r="GM34" i="2"/>
  <c r="GL34" i="2"/>
  <c r="GK34" i="2"/>
  <c r="GJ34" i="2"/>
  <c r="GI34" i="2"/>
  <c r="GH34" i="2"/>
  <c r="GG34" i="2"/>
  <c r="GF34" i="2"/>
  <c r="GE34" i="2"/>
  <c r="GD34" i="2"/>
  <c r="GC34" i="2"/>
  <c r="GB34" i="2"/>
  <c r="GA34" i="2"/>
  <c r="FZ34" i="2"/>
  <c r="FY34" i="2"/>
  <c r="FX34" i="2"/>
  <c r="FW34" i="2"/>
  <c r="FV34" i="2"/>
  <c r="FU34" i="2"/>
  <c r="FT34" i="2"/>
  <c r="FS34" i="2"/>
  <c r="FR34" i="2"/>
  <c r="FQ34" i="2"/>
  <c r="FP34" i="2"/>
  <c r="FO34" i="2"/>
  <c r="FN34" i="2"/>
  <c r="FM34" i="2"/>
  <c r="FL34" i="2"/>
  <c r="FK34" i="2"/>
  <c r="FJ34" i="2"/>
  <c r="FI34" i="2"/>
  <c r="FH34" i="2"/>
  <c r="FG34" i="2"/>
  <c r="FF34" i="2"/>
  <c r="FE34" i="2"/>
  <c r="FD34" i="2"/>
  <c r="FC34" i="2"/>
  <c r="FB34" i="2"/>
  <c r="FA34" i="2"/>
  <c r="EZ34" i="2"/>
  <c r="EY34" i="2"/>
  <c r="EX34" i="2"/>
  <c r="EW34" i="2"/>
  <c r="EV34" i="2"/>
  <c r="EU34" i="2"/>
  <c r="ET34" i="2"/>
  <c r="ES34" i="2"/>
  <c r="ER34" i="2"/>
  <c r="EQ34" i="2"/>
  <c r="EP34" i="2"/>
  <c r="EO34" i="2"/>
  <c r="EN34" i="2"/>
  <c r="EM34" i="2"/>
  <c r="EL34" i="2"/>
  <c r="EK34" i="2"/>
  <c r="EJ34" i="2"/>
  <c r="EI34" i="2"/>
  <c r="EH34" i="2"/>
  <c r="EG34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PI33" i="2"/>
  <c r="PH33" i="2"/>
  <c r="PG33" i="2"/>
  <c r="PF33" i="2"/>
  <c r="PE33" i="2"/>
  <c r="PD33" i="2"/>
  <c r="PC33" i="2"/>
  <c r="PB33" i="2"/>
  <c r="PA33" i="2"/>
  <c r="OZ33" i="2"/>
  <c r="OY33" i="2"/>
  <c r="OX33" i="2"/>
  <c r="OW33" i="2"/>
  <c r="OV33" i="2"/>
  <c r="OU33" i="2"/>
  <c r="OT33" i="2"/>
  <c r="OS33" i="2"/>
  <c r="OR33" i="2"/>
  <c r="OQ33" i="2"/>
  <c r="OP33" i="2"/>
  <c r="OO33" i="2"/>
  <c r="ON33" i="2"/>
  <c r="OM33" i="2"/>
  <c r="OL33" i="2"/>
  <c r="OK33" i="2"/>
  <c r="OJ33" i="2"/>
  <c r="OI33" i="2"/>
  <c r="OH33" i="2"/>
  <c r="OG33" i="2"/>
  <c r="OF33" i="2"/>
  <c r="OE33" i="2"/>
  <c r="OD33" i="2"/>
  <c r="OC33" i="2"/>
  <c r="OB33" i="2"/>
  <c r="OA33" i="2"/>
  <c r="NZ33" i="2"/>
  <c r="NY33" i="2"/>
  <c r="NX33" i="2"/>
  <c r="NW33" i="2"/>
  <c r="NV33" i="2"/>
  <c r="NU33" i="2"/>
  <c r="NT33" i="2"/>
  <c r="NS33" i="2"/>
  <c r="NR33" i="2"/>
  <c r="NQ33" i="2"/>
  <c r="NP33" i="2"/>
  <c r="NO33" i="2"/>
  <c r="NN33" i="2"/>
  <c r="NM33" i="2"/>
  <c r="NL33" i="2"/>
  <c r="NK33" i="2"/>
  <c r="NJ33" i="2"/>
  <c r="NI33" i="2"/>
  <c r="NH33" i="2"/>
  <c r="NG33" i="2"/>
  <c r="NF33" i="2"/>
  <c r="NE33" i="2"/>
  <c r="ND33" i="2"/>
  <c r="NC33" i="2"/>
  <c r="NB33" i="2"/>
  <c r="NA33" i="2"/>
  <c r="MZ33" i="2"/>
  <c r="MY33" i="2"/>
  <c r="MX33" i="2"/>
  <c r="MW33" i="2"/>
  <c r="MV33" i="2"/>
  <c r="MU33" i="2"/>
  <c r="MT33" i="2"/>
  <c r="MS33" i="2"/>
  <c r="MR33" i="2"/>
  <c r="MQ33" i="2"/>
  <c r="MP33" i="2"/>
  <c r="MO33" i="2"/>
  <c r="MN33" i="2"/>
  <c r="MM33" i="2"/>
  <c r="ML33" i="2"/>
  <c r="MK33" i="2"/>
  <c r="MJ33" i="2"/>
  <c r="MI33" i="2"/>
  <c r="MH33" i="2"/>
  <c r="MG33" i="2"/>
  <c r="MF33" i="2"/>
  <c r="ME33" i="2"/>
  <c r="MD33" i="2"/>
  <c r="MC33" i="2"/>
  <c r="MB33" i="2"/>
  <c r="MA33" i="2"/>
  <c r="LZ33" i="2"/>
  <c r="LY33" i="2"/>
  <c r="LX33" i="2"/>
  <c r="LW33" i="2"/>
  <c r="LV33" i="2"/>
  <c r="LU33" i="2"/>
  <c r="LT33" i="2"/>
  <c r="LS33" i="2"/>
  <c r="LR33" i="2"/>
  <c r="LQ33" i="2"/>
  <c r="LP33" i="2"/>
  <c r="LO33" i="2"/>
  <c r="LN33" i="2"/>
  <c r="LM33" i="2"/>
  <c r="LL33" i="2"/>
  <c r="LK33" i="2"/>
  <c r="LJ33" i="2"/>
  <c r="LI33" i="2"/>
  <c r="LH33" i="2"/>
  <c r="LG33" i="2"/>
  <c r="LF33" i="2"/>
  <c r="LE33" i="2"/>
  <c r="LD33" i="2"/>
  <c r="LC33" i="2"/>
  <c r="LB33" i="2"/>
  <c r="LA33" i="2"/>
  <c r="KZ33" i="2"/>
  <c r="KY33" i="2"/>
  <c r="KX33" i="2"/>
  <c r="KW33" i="2"/>
  <c r="KV33" i="2"/>
  <c r="KU33" i="2"/>
  <c r="KT33" i="2"/>
  <c r="KS33" i="2"/>
  <c r="KR33" i="2"/>
  <c r="KQ33" i="2"/>
  <c r="KP33" i="2"/>
  <c r="KO33" i="2"/>
  <c r="KN33" i="2"/>
  <c r="KM33" i="2"/>
  <c r="KL33" i="2"/>
  <c r="KK33" i="2"/>
  <c r="KJ33" i="2"/>
  <c r="KI33" i="2"/>
  <c r="KH33" i="2"/>
  <c r="KG33" i="2"/>
  <c r="KF33" i="2"/>
  <c r="KE33" i="2"/>
  <c r="KD33" i="2"/>
  <c r="KC33" i="2"/>
  <c r="KB33" i="2"/>
  <c r="KA33" i="2"/>
  <c r="JZ33" i="2"/>
  <c r="JY33" i="2"/>
  <c r="JX33" i="2"/>
  <c r="JW33" i="2"/>
  <c r="JV33" i="2"/>
  <c r="JU33" i="2"/>
  <c r="JT33" i="2"/>
  <c r="JS33" i="2"/>
  <c r="JR33" i="2"/>
  <c r="JQ33" i="2"/>
  <c r="JP33" i="2"/>
  <c r="JO33" i="2"/>
  <c r="JN33" i="2"/>
  <c r="JM33" i="2"/>
  <c r="JL33" i="2"/>
  <c r="JK33" i="2"/>
  <c r="JJ33" i="2"/>
  <c r="JI33" i="2"/>
  <c r="JH33" i="2"/>
  <c r="JG33" i="2"/>
  <c r="JF33" i="2"/>
  <c r="JE33" i="2"/>
  <c r="JD33" i="2"/>
  <c r="JC33" i="2"/>
  <c r="JB33" i="2"/>
  <c r="JA33" i="2"/>
  <c r="IZ33" i="2"/>
  <c r="IY33" i="2"/>
  <c r="IX33" i="2"/>
  <c r="IW33" i="2"/>
  <c r="IV33" i="2"/>
  <c r="IU33" i="2"/>
  <c r="IT33" i="2"/>
  <c r="IS33" i="2"/>
  <c r="IR33" i="2"/>
  <c r="IQ33" i="2"/>
  <c r="IP33" i="2"/>
  <c r="IO33" i="2"/>
  <c r="IN33" i="2"/>
  <c r="IM33" i="2"/>
  <c r="IL33" i="2"/>
  <c r="IK33" i="2"/>
  <c r="IJ33" i="2"/>
  <c r="II33" i="2"/>
  <c r="IH33" i="2"/>
  <c r="IG33" i="2"/>
  <c r="IF33" i="2"/>
  <c r="IE33" i="2"/>
  <c r="ID33" i="2"/>
  <c r="IC33" i="2"/>
  <c r="IB33" i="2"/>
  <c r="IA33" i="2"/>
  <c r="HZ33" i="2"/>
  <c r="HY33" i="2"/>
  <c r="HX33" i="2"/>
  <c r="HW33" i="2"/>
  <c r="HV33" i="2"/>
  <c r="HU33" i="2"/>
  <c r="HT33" i="2"/>
  <c r="HS33" i="2"/>
  <c r="HR33" i="2"/>
  <c r="HQ33" i="2"/>
  <c r="HP33" i="2"/>
  <c r="HO33" i="2"/>
  <c r="HN33" i="2"/>
  <c r="HM33" i="2"/>
  <c r="HL33" i="2"/>
  <c r="HK33" i="2"/>
  <c r="HJ33" i="2"/>
  <c r="HI33" i="2"/>
  <c r="HH33" i="2"/>
  <c r="HG33" i="2"/>
  <c r="HF33" i="2"/>
  <c r="HE33" i="2"/>
  <c r="HD33" i="2"/>
  <c r="HC33" i="2"/>
  <c r="HB33" i="2"/>
  <c r="HA33" i="2"/>
  <c r="GZ33" i="2"/>
  <c r="GY33" i="2"/>
  <c r="GX33" i="2"/>
  <c r="GW33" i="2"/>
  <c r="GV33" i="2"/>
  <c r="GU33" i="2"/>
  <c r="GT33" i="2"/>
  <c r="GS33" i="2"/>
  <c r="GR33" i="2"/>
  <c r="GQ33" i="2"/>
  <c r="GP33" i="2"/>
  <c r="GO33" i="2"/>
  <c r="GN33" i="2"/>
  <c r="GM33" i="2"/>
  <c r="GL33" i="2"/>
  <c r="GK33" i="2"/>
  <c r="GJ33" i="2"/>
  <c r="GI33" i="2"/>
  <c r="GH33" i="2"/>
  <c r="GG33" i="2"/>
  <c r="GF33" i="2"/>
  <c r="GE33" i="2"/>
  <c r="GD33" i="2"/>
  <c r="GC33" i="2"/>
  <c r="GB33" i="2"/>
  <c r="GA33" i="2"/>
  <c r="FZ33" i="2"/>
  <c r="FY33" i="2"/>
  <c r="FX33" i="2"/>
  <c r="FW33" i="2"/>
  <c r="FV33" i="2"/>
  <c r="FU33" i="2"/>
  <c r="FT33" i="2"/>
  <c r="FS33" i="2"/>
  <c r="FR33" i="2"/>
  <c r="FQ33" i="2"/>
  <c r="FP33" i="2"/>
  <c r="FO33" i="2"/>
  <c r="FN33" i="2"/>
  <c r="FM33" i="2"/>
  <c r="FL33" i="2"/>
  <c r="FK33" i="2"/>
  <c r="FJ33" i="2"/>
  <c r="FI33" i="2"/>
  <c r="FH33" i="2"/>
  <c r="FG33" i="2"/>
  <c r="FF33" i="2"/>
  <c r="FE33" i="2"/>
  <c r="FD33" i="2"/>
  <c r="FC33" i="2"/>
  <c r="FB33" i="2"/>
  <c r="FA33" i="2"/>
  <c r="EZ33" i="2"/>
  <c r="EY33" i="2"/>
  <c r="EX33" i="2"/>
  <c r="EW33" i="2"/>
  <c r="EV33" i="2"/>
  <c r="EU33" i="2"/>
  <c r="ET33" i="2"/>
  <c r="ES33" i="2"/>
  <c r="ER33" i="2"/>
  <c r="EQ33" i="2"/>
  <c r="EP33" i="2"/>
  <c r="EO33" i="2"/>
  <c r="EN33" i="2"/>
  <c r="EM33" i="2"/>
  <c r="EL33" i="2"/>
  <c r="EK33" i="2"/>
  <c r="EJ33" i="2"/>
  <c r="EI33" i="2"/>
  <c r="EH33" i="2"/>
  <c r="EG33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PI32" i="2"/>
  <c r="PH32" i="2"/>
  <c r="PG32" i="2"/>
  <c r="PF32" i="2"/>
  <c r="PE32" i="2"/>
  <c r="PD32" i="2"/>
  <c r="PC32" i="2"/>
  <c r="PB32" i="2"/>
  <c r="PA32" i="2"/>
  <c r="OZ32" i="2"/>
  <c r="OY32" i="2"/>
  <c r="OX32" i="2"/>
  <c r="OW32" i="2"/>
  <c r="OV32" i="2"/>
  <c r="OU32" i="2"/>
  <c r="OT32" i="2"/>
  <c r="OS32" i="2"/>
  <c r="OR32" i="2"/>
  <c r="OQ32" i="2"/>
  <c r="OP32" i="2"/>
  <c r="OO32" i="2"/>
  <c r="ON32" i="2"/>
  <c r="OM32" i="2"/>
  <c r="OL32" i="2"/>
  <c r="OK32" i="2"/>
  <c r="OJ32" i="2"/>
  <c r="OI32" i="2"/>
  <c r="OH32" i="2"/>
  <c r="OG32" i="2"/>
  <c r="OF32" i="2"/>
  <c r="OE32" i="2"/>
  <c r="OD32" i="2"/>
  <c r="OC32" i="2"/>
  <c r="OB32" i="2"/>
  <c r="OA32" i="2"/>
  <c r="NZ32" i="2"/>
  <c r="NY32" i="2"/>
  <c r="NX32" i="2"/>
  <c r="NW32" i="2"/>
  <c r="NV32" i="2"/>
  <c r="NU32" i="2"/>
  <c r="NT32" i="2"/>
  <c r="NS32" i="2"/>
  <c r="NR32" i="2"/>
  <c r="NQ32" i="2"/>
  <c r="NP32" i="2"/>
  <c r="NO32" i="2"/>
  <c r="NN32" i="2"/>
  <c r="NM32" i="2"/>
  <c r="NL32" i="2"/>
  <c r="NK32" i="2"/>
  <c r="NJ32" i="2"/>
  <c r="NI32" i="2"/>
  <c r="NH32" i="2"/>
  <c r="NG32" i="2"/>
  <c r="NF32" i="2"/>
  <c r="NE32" i="2"/>
  <c r="ND32" i="2"/>
  <c r="NC32" i="2"/>
  <c r="NB32" i="2"/>
  <c r="NA32" i="2"/>
  <c r="MZ32" i="2"/>
  <c r="MY32" i="2"/>
  <c r="MX32" i="2"/>
  <c r="MW32" i="2"/>
  <c r="MV32" i="2"/>
  <c r="MU32" i="2"/>
  <c r="MT32" i="2"/>
  <c r="MS32" i="2"/>
  <c r="MR32" i="2"/>
  <c r="MQ32" i="2"/>
  <c r="MP32" i="2"/>
  <c r="MO32" i="2"/>
  <c r="MN32" i="2"/>
  <c r="MM32" i="2"/>
  <c r="ML32" i="2"/>
  <c r="MK32" i="2"/>
  <c r="MJ32" i="2"/>
  <c r="MI32" i="2"/>
  <c r="MH32" i="2"/>
  <c r="MG32" i="2"/>
  <c r="MF32" i="2"/>
  <c r="ME32" i="2"/>
  <c r="MD32" i="2"/>
  <c r="MC32" i="2"/>
  <c r="MB32" i="2"/>
  <c r="MA32" i="2"/>
  <c r="LZ32" i="2"/>
  <c r="LY32" i="2"/>
  <c r="LX32" i="2"/>
  <c r="LW32" i="2"/>
  <c r="LV32" i="2"/>
  <c r="LU32" i="2"/>
  <c r="LT32" i="2"/>
  <c r="LS32" i="2"/>
  <c r="LR32" i="2"/>
  <c r="LQ32" i="2"/>
  <c r="LP32" i="2"/>
  <c r="LO32" i="2"/>
  <c r="LN32" i="2"/>
  <c r="LM32" i="2"/>
  <c r="LL32" i="2"/>
  <c r="LK32" i="2"/>
  <c r="LJ32" i="2"/>
  <c r="LI32" i="2"/>
  <c r="LH32" i="2"/>
  <c r="LG32" i="2"/>
  <c r="LF32" i="2"/>
  <c r="LE32" i="2"/>
  <c r="LD32" i="2"/>
  <c r="LC32" i="2"/>
  <c r="LB32" i="2"/>
  <c r="LA32" i="2"/>
  <c r="KZ32" i="2"/>
  <c r="KY32" i="2"/>
  <c r="KX32" i="2"/>
  <c r="KW32" i="2"/>
  <c r="KV32" i="2"/>
  <c r="KU32" i="2"/>
  <c r="KT32" i="2"/>
  <c r="KS32" i="2"/>
  <c r="KR32" i="2"/>
  <c r="KQ32" i="2"/>
  <c r="KP32" i="2"/>
  <c r="KO32" i="2"/>
  <c r="KN32" i="2"/>
  <c r="KM32" i="2"/>
  <c r="KL32" i="2"/>
  <c r="KK32" i="2"/>
  <c r="KJ32" i="2"/>
  <c r="KI32" i="2"/>
  <c r="KH32" i="2"/>
  <c r="KG32" i="2"/>
  <c r="KF32" i="2"/>
  <c r="KE32" i="2"/>
  <c r="KD32" i="2"/>
  <c r="KC32" i="2"/>
  <c r="KB32" i="2"/>
  <c r="KA32" i="2"/>
  <c r="JZ32" i="2"/>
  <c r="JY32" i="2"/>
  <c r="JX32" i="2"/>
  <c r="JW32" i="2"/>
  <c r="JV32" i="2"/>
  <c r="JU32" i="2"/>
  <c r="JT32" i="2"/>
  <c r="JS32" i="2"/>
  <c r="JR32" i="2"/>
  <c r="JQ32" i="2"/>
  <c r="JP32" i="2"/>
  <c r="JO32" i="2"/>
  <c r="JN32" i="2"/>
  <c r="JM32" i="2"/>
  <c r="JL32" i="2"/>
  <c r="JK32" i="2"/>
  <c r="JJ32" i="2"/>
  <c r="JI32" i="2"/>
  <c r="JH32" i="2"/>
  <c r="JG32" i="2"/>
  <c r="JF32" i="2"/>
  <c r="JE32" i="2"/>
  <c r="JD32" i="2"/>
  <c r="JC32" i="2"/>
  <c r="JB32" i="2"/>
  <c r="JA32" i="2"/>
  <c r="IZ32" i="2"/>
  <c r="IY32" i="2"/>
  <c r="IX32" i="2"/>
  <c r="IW32" i="2"/>
  <c r="IV32" i="2"/>
  <c r="IU32" i="2"/>
  <c r="IT32" i="2"/>
  <c r="IS32" i="2"/>
  <c r="IR32" i="2"/>
  <c r="IQ32" i="2"/>
  <c r="IP32" i="2"/>
  <c r="IO32" i="2"/>
  <c r="IN32" i="2"/>
  <c r="IM32" i="2"/>
  <c r="IL32" i="2"/>
  <c r="IK32" i="2"/>
  <c r="IJ32" i="2"/>
  <c r="II32" i="2"/>
  <c r="IH32" i="2"/>
  <c r="IG32" i="2"/>
  <c r="IF32" i="2"/>
  <c r="IE32" i="2"/>
  <c r="ID32" i="2"/>
  <c r="IC32" i="2"/>
  <c r="IB32" i="2"/>
  <c r="IA32" i="2"/>
  <c r="HZ32" i="2"/>
  <c r="HY32" i="2"/>
  <c r="HX32" i="2"/>
  <c r="HW32" i="2"/>
  <c r="HV32" i="2"/>
  <c r="HU32" i="2"/>
  <c r="HT32" i="2"/>
  <c r="HS32" i="2"/>
  <c r="HR32" i="2"/>
  <c r="HQ32" i="2"/>
  <c r="HP32" i="2"/>
  <c r="HO32" i="2"/>
  <c r="HN32" i="2"/>
  <c r="HM32" i="2"/>
  <c r="HL32" i="2"/>
  <c r="HK32" i="2"/>
  <c r="HJ32" i="2"/>
  <c r="HI32" i="2"/>
  <c r="HH32" i="2"/>
  <c r="HG32" i="2"/>
  <c r="HF32" i="2"/>
  <c r="HE32" i="2"/>
  <c r="HD32" i="2"/>
  <c r="HC32" i="2"/>
  <c r="HB32" i="2"/>
  <c r="HA32" i="2"/>
  <c r="GZ32" i="2"/>
  <c r="GY32" i="2"/>
  <c r="GX32" i="2"/>
  <c r="GW32" i="2"/>
  <c r="GV32" i="2"/>
  <c r="GU32" i="2"/>
  <c r="GT32" i="2"/>
  <c r="GS32" i="2"/>
  <c r="GR32" i="2"/>
  <c r="GQ32" i="2"/>
  <c r="GP32" i="2"/>
  <c r="GO32" i="2"/>
  <c r="GN32" i="2"/>
  <c r="GM32" i="2"/>
  <c r="GL32" i="2"/>
  <c r="GK32" i="2"/>
  <c r="GJ32" i="2"/>
  <c r="GI32" i="2"/>
  <c r="GH32" i="2"/>
  <c r="GG32" i="2"/>
  <c r="GF32" i="2"/>
  <c r="GE32" i="2"/>
  <c r="GD32" i="2"/>
  <c r="GC32" i="2"/>
  <c r="GB32" i="2"/>
  <c r="GA32" i="2"/>
  <c r="FZ32" i="2"/>
  <c r="FY32" i="2"/>
  <c r="FX32" i="2"/>
  <c r="FW32" i="2"/>
  <c r="FV32" i="2"/>
  <c r="FU32" i="2"/>
  <c r="FT32" i="2"/>
  <c r="FS32" i="2"/>
  <c r="FR32" i="2"/>
  <c r="FQ32" i="2"/>
  <c r="FP32" i="2"/>
  <c r="FO32" i="2"/>
  <c r="FN32" i="2"/>
  <c r="FM32" i="2"/>
  <c r="FL32" i="2"/>
  <c r="FK32" i="2"/>
  <c r="FJ32" i="2"/>
  <c r="FI32" i="2"/>
  <c r="FH32" i="2"/>
  <c r="FG32" i="2"/>
  <c r="FF32" i="2"/>
  <c r="FE32" i="2"/>
  <c r="FD32" i="2"/>
  <c r="FC32" i="2"/>
  <c r="FB32" i="2"/>
  <c r="FA32" i="2"/>
  <c r="EZ32" i="2"/>
  <c r="EY32" i="2"/>
  <c r="EX32" i="2"/>
  <c r="EW32" i="2"/>
  <c r="EV32" i="2"/>
  <c r="EU32" i="2"/>
  <c r="ET32" i="2"/>
  <c r="ES32" i="2"/>
  <c r="ER32" i="2"/>
  <c r="EQ32" i="2"/>
  <c r="EP32" i="2"/>
  <c r="EO32" i="2"/>
  <c r="EN32" i="2"/>
  <c r="EM32" i="2"/>
  <c r="EL32" i="2"/>
  <c r="EK32" i="2"/>
  <c r="EJ32" i="2"/>
  <c r="EI32" i="2"/>
  <c r="EH32" i="2"/>
  <c r="EG32" i="2"/>
  <c r="EF32" i="2"/>
  <c r="EE32" i="2"/>
  <c r="ED32" i="2"/>
  <c r="EC32" i="2"/>
  <c r="EB32" i="2"/>
  <c r="EA32" i="2"/>
  <c r="DZ32" i="2"/>
  <c r="DY32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PI31" i="2"/>
  <c r="PH31" i="2"/>
  <c r="PG31" i="2"/>
  <c r="PF31" i="2"/>
  <c r="PE31" i="2"/>
  <c r="PD31" i="2"/>
  <c r="PC31" i="2"/>
  <c r="PB31" i="2"/>
  <c r="PA31" i="2"/>
  <c r="OZ31" i="2"/>
  <c r="OY31" i="2"/>
  <c r="OX31" i="2"/>
  <c r="OW31" i="2"/>
  <c r="OV31" i="2"/>
  <c r="OU31" i="2"/>
  <c r="OT31" i="2"/>
  <c r="OS31" i="2"/>
  <c r="OR31" i="2"/>
  <c r="OQ31" i="2"/>
  <c r="OP31" i="2"/>
  <c r="OO31" i="2"/>
  <c r="ON31" i="2"/>
  <c r="OM31" i="2"/>
  <c r="OL31" i="2"/>
  <c r="OK31" i="2"/>
  <c r="OJ31" i="2"/>
  <c r="OI31" i="2"/>
  <c r="OH31" i="2"/>
  <c r="OG31" i="2"/>
  <c r="OF31" i="2"/>
  <c r="OE31" i="2"/>
  <c r="OD31" i="2"/>
  <c r="OC31" i="2"/>
  <c r="OB31" i="2"/>
  <c r="OA31" i="2"/>
  <c r="NZ31" i="2"/>
  <c r="NY31" i="2"/>
  <c r="NX31" i="2"/>
  <c r="NW31" i="2"/>
  <c r="NV31" i="2"/>
  <c r="NU31" i="2"/>
  <c r="NT31" i="2"/>
  <c r="NS31" i="2"/>
  <c r="NR31" i="2"/>
  <c r="NQ31" i="2"/>
  <c r="NP31" i="2"/>
  <c r="NO31" i="2"/>
  <c r="NN31" i="2"/>
  <c r="NM31" i="2"/>
  <c r="NL31" i="2"/>
  <c r="NK31" i="2"/>
  <c r="NJ31" i="2"/>
  <c r="NI31" i="2"/>
  <c r="NH31" i="2"/>
  <c r="NG31" i="2"/>
  <c r="NF31" i="2"/>
  <c r="NE31" i="2"/>
  <c r="ND31" i="2"/>
  <c r="NC31" i="2"/>
  <c r="NB31" i="2"/>
  <c r="NA31" i="2"/>
  <c r="MZ31" i="2"/>
  <c r="MY31" i="2"/>
  <c r="MX31" i="2"/>
  <c r="MW31" i="2"/>
  <c r="MV31" i="2"/>
  <c r="MU31" i="2"/>
  <c r="MT31" i="2"/>
  <c r="MS31" i="2"/>
  <c r="MR31" i="2"/>
  <c r="MQ31" i="2"/>
  <c r="MP31" i="2"/>
  <c r="MO31" i="2"/>
  <c r="MN31" i="2"/>
  <c r="MM31" i="2"/>
  <c r="ML31" i="2"/>
  <c r="MK31" i="2"/>
  <c r="MJ31" i="2"/>
  <c r="MI31" i="2"/>
  <c r="MH31" i="2"/>
  <c r="MG31" i="2"/>
  <c r="MF31" i="2"/>
  <c r="ME31" i="2"/>
  <c r="MD31" i="2"/>
  <c r="MC31" i="2"/>
  <c r="MB31" i="2"/>
  <c r="MA31" i="2"/>
  <c r="LZ31" i="2"/>
  <c r="LY31" i="2"/>
  <c r="LX31" i="2"/>
  <c r="LW31" i="2"/>
  <c r="LV31" i="2"/>
  <c r="LU31" i="2"/>
  <c r="LT31" i="2"/>
  <c r="LS31" i="2"/>
  <c r="LR31" i="2"/>
  <c r="LQ31" i="2"/>
  <c r="LP31" i="2"/>
  <c r="LO31" i="2"/>
  <c r="LN31" i="2"/>
  <c r="LM31" i="2"/>
  <c r="LL31" i="2"/>
  <c r="LK31" i="2"/>
  <c r="LJ31" i="2"/>
  <c r="LI31" i="2"/>
  <c r="LH31" i="2"/>
  <c r="LG31" i="2"/>
  <c r="LF31" i="2"/>
  <c r="LE31" i="2"/>
  <c r="LD31" i="2"/>
  <c r="LC31" i="2"/>
  <c r="LB31" i="2"/>
  <c r="LA31" i="2"/>
  <c r="KZ31" i="2"/>
  <c r="KY31" i="2"/>
  <c r="KX31" i="2"/>
  <c r="KW31" i="2"/>
  <c r="KV31" i="2"/>
  <c r="KU31" i="2"/>
  <c r="KT31" i="2"/>
  <c r="KS31" i="2"/>
  <c r="KR31" i="2"/>
  <c r="KQ31" i="2"/>
  <c r="KP31" i="2"/>
  <c r="KO31" i="2"/>
  <c r="KN31" i="2"/>
  <c r="KM31" i="2"/>
  <c r="KL31" i="2"/>
  <c r="KK31" i="2"/>
  <c r="KJ31" i="2"/>
  <c r="KI31" i="2"/>
  <c r="KH31" i="2"/>
  <c r="KG31" i="2"/>
  <c r="KF31" i="2"/>
  <c r="KE31" i="2"/>
  <c r="KD31" i="2"/>
  <c r="KC31" i="2"/>
  <c r="KB31" i="2"/>
  <c r="KA31" i="2"/>
  <c r="JZ31" i="2"/>
  <c r="JY31" i="2"/>
  <c r="JX31" i="2"/>
  <c r="JW31" i="2"/>
  <c r="JV31" i="2"/>
  <c r="JU31" i="2"/>
  <c r="JT31" i="2"/>
  <c r="JS31" i="2"/>
  <c r="JR31" i="2"/>
  <c r="JQ31" i="2"/>
  <c r="JP31" i="2"/>
  <c r="JO31" i="2"/>
  <c r="JN31" i="2"/>
  <c r="JM31" i="2"/>
  <c r="JL31" i="2"/>
  <c r="JK31" i="2"/>
  <c r="JJ31" i="2"/>
  <c r="JI31" i="2"/>
  <c r="JH31" i="2"/>
  <c r="JG31" i="2"/>
  <c r="JF31" i="2"/>
  <c r="JE31" i="2"/>
  <c r="JD31" i="2"/>
  <c r="JC31" i="2"/>
  <c r="JB31" i="2"/>
  <c r="JA31" i="2"/>
  <c r="IZ31" i="2"/>
  <c r="IY31" i="2"/>
  <c r="IX31" i="2"/>
  <c r="IW31" i="2"/>
  <c r="IV31" i="2"/>
  <c r="IU31" i="2"/>
  <c r="IT31" i="2"/>
  <c r="IS31" i="2"/>
  <c r="IR31" i="2"/>
  <c r="IQ31" i="2"/>
  <c r="IP31" i="2"/>
  <c r="IO31" i="2"/>
  <c r="IN31" i="2"/>
  <c r="IM31" i="2"/>
  <c r="IL31" i="2"/>
  <c r="IK31" i="2"/>
  <c r="IJ31" i="2"/>
  <c r="II31" i="2"/>
  <c r="IH31" i="2"/>
  <c r="IG31" i="2"/>
  <c r="IF31" i="2"/>
  <c r="IE31" i="2"/>
  <c r="ID31" i="2"/>
  <c r="IC31" i="2"/>
  <c r="IB31" i="2"/>
  <c r="IA31" i="2"/>
  <c r="HZ31" i="2"/>
  <c r="HY31" i="2"/>
  <c r="HX31" i="2"/>
  <c r="HW31" i="2"/>
  <c r="HV31" i="2"/>
  <c r="HU31" i="2"/>
  <c r="HT31" i="2"/>
  <c r="HS31" i="2"/>
  <c r="HR31" i="2"/>
  <c r="HQ31" i="2"/>
  <c r="HP31" i="2"/>
  <c r="HO31" i="2"/>
  <c r="HN31" i="2"/>
  <c r="HM31" i="2"/>
  <c r="HL31" i="2"/>
  <c r="HK31" i="2"/>
  <c r="HJ31" i="2"/>
  <c r="HI31" i="2"/>
  <c r="HH31" i="2"/>
  <c r="HG31" i="2"/>
  <c r="HF31" i="2"/>
  <c r="HE31" i="2"/>
  <c r="HD31" i="2"/>
  <c r="HC31" i="2"/>
  <c r="HB31" i="2"/>
  <c r="HA31" i="2"/>
  <c r="GZ31" i="2"/>
  <c r="GY31" i="2"/>
  <c r="GX31" i="2"/>
  <c r="GW31" i="2"/>
  <c r="GV31" i="2"/>
  <c r="GU31" i="2"/>
  <c r="GT31" i="2"/>
  <c r="GS31" i="2"/>
  <c r="GR31" i="2"/>
  <c r="GQ31" i="2"/>
  <c r="GP31" i="2"/>
  <c r="GO31" i="2"/>
  <c r="GN31" i="2"/>
  <c r="GM31" i="2"/>
  <c r="GL31" i="2"/>
  <c r="GK31" i="2"/>
  <c r="GJ31" i="2"/>
  <c r="GI31" i="2"/>
  <c r="GH31" i="2"/>
  <c r="GG31" i="2"/>
  <c r="GF31" i="2"/>
  <c r="GE31" i="2"/>
  <c r="GD31" i="2"/>
  <c r="GC31" i="2"/>
  <c r="GB31" i="2"/>
  <c r="GA31" i="2"/>
  <c r="FZ31" i="2"/>
  <c r="FY31" i="2"/>
  <c r="FX31" i="2"/>
  <c r="FW31" i="2"/>
  <c r="FV31" i="2"/>
  <c r="FU31" i="2"/>
  <c r="FT31" i="2"/>
  <c r="FS31" i="2"/>
  <c r="FR31" i="2"/>
  <c r="FQ31" i="2"/>
  <c r="FP31" i="2"/>
  <c r="FO31" i="2"/>
  <c r="FN31" i="2"/>
  <c r="FM31" i="2"/>
  <c r="FL31" i="2"/>
  <c r="FK31" i="2"/>
  <c r="FJ31" i="2"/>
  <c r="FI31" i="2"/>
  <c r="FH31" i="2"/>
  <c r="FG31" i="2"/>
  <c r="FF31" i="2"/>
  <c r="FE31" i="2"/>
  <c r="FD31" i="2"/>
  <c r="FC31" i="2"/>
  <c r="FB31" i="2"/>
  <c r="FA31" i="2"/>
  <c r="EZ31" i="2"/>
  <c r="EY31" i="2"/>
  <c r="EX31" i="2"/>
  <c r="EW31" i="2"/>
  <c r="EV31" i="2"/>
  <c r="EU31" i="2"/>
  <c r="ET31" i="2"/>
  <c r="ES31" i="2"/>
  <c r="ER31" i="2"/>
  <c r="EQ31" i="2"/>
  <c r="EP31" i="2"/>
  <c r="EO31" i="2"/>
  <c r="EN31" i="2"/>
  <c r="EM31" i="2"/>
  <c r="EL31" i="2"/>
  <c r="EK31" i="2"/>
  <c r="EJ31" i="2"/>
  <c r="EI31" i="2"/>
  <c r="EH31" i="2"/>
  <c r="EG31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PI30" i="2"/>
  <c r="PH30" i="2"/>
  <c r="PG30" i="2"/>
  <c r="PF30" i="2"/>
  <c r="PE30" i="2"/>
  <c r="PD30" i="2"/>
  <c r="PC30" i="2"/>
  <c r="PB30" i="2"/>
  <c r="PA30" i="2"/>
  <c r="OZ30" i="2"/>
  <c r="OY30" i="2"/>
  <c r="OX30" i="2"/>
  <c r="OW30" i="2"/>
  <c r="OV30" i="2"/>
  <c r="OU30" i="2"/>
  <c r="OT30" i="2"/>
  <c r="OS30" i="2"/>
  <c r="OR30" i="2"/>
  <c r="OQ30" i="2"/>
  <c r="OP30" i="2"/>
  <c r="OO30" i="2"/>
  <c r="ON30" i="2"/>
  <c r="OM30" i="2"/>
  <c r="OL30" i="2"/>
  <c r="OK30" i="2"/>
  <c r="OJ30" i="2"/>
  <c r="OI30" i="2"/>
  <c r="OH30" i="2"/>
  <c r="OG30" i="2"/>
  <c r="OF30" i="2"/>
  <c r="OE30" i="2"/>
  <c r="OD30" i="2"/>
  <c r="OC30" i="2"/>
  <c r="OB30" i="2"/>
  <c r="OA30" i="2"/>
  <c r="NZ30" i="2"/>
  <c r="NY30" i="2"/>
  <c r="NX30" i="2"/>
  <c r="NW30" i="2"/>
  <c r="NV30" i="2"/>
  <c r="NU30" i="2"/>
  <c r="NT30" i="2"/>
  <c r="NS30" i="2"/>
  <c r="NR30" i="2"/>
  <c r="NQ30" i="2"/>
  <c r="NP30" i="2"/>
  <c r="NO30" i="2"/>
  <c r="NN30" i="2"/>
  <c r="NM30" i="2"/>
  <c r="NL30" i="2"/>
  <c r="NK30" i="2"/>
  <c r="NJ30" i="2"/>
  <c r="NI30" i="2"/>
  <c r="NH30" i="2"/>
  <c r="NG30" i="2"/>
  <c r="NF30" i="2"/>
  <c r="NE30" i="2"/>
  <c r="ND30" i="2"/>
  <c r="NC30" i="2"/>
  <c r="NB30" i="2"/>
  <c r="NA30" i="2"/>
  <c r="MZ30" i="2"/>
  <c r="MY30" i="2"/>
  <c r="MX30" i="2"/>
  <c r="MW30" i="2"/>
  <c r="MV30" i="2"/>
  <c r="MU30" i="2"/>
  <c r="MT30" i="2"/>
  <c r="MS30" i="2"/>
  <c r="MR30" i="2"/>
  <c r="MQ30" i="2"/>
  <c r="MP30" i="2"/>
  <c r="MO30" i="2"/>
  <c r="MN30" i="2"/>
  <c r="MM30" i="2"/>
  <c r="ML30" i="2"/>
  <c r="MK30" i="2"/>
  <c r="MJ30" i="2"/>
  <c r="MI30" i="2"/>
  <c r="MH30" i="2"/>
  <c r="MG30" i="2"/>
  <c r="MF30" i="2"/>
  <c r="ME30" i="2"/>
  <c r="MD30" i="2"/>
  <c r="MC30" i="2"/>
  <c r="MB30" i="2"/>
  <c r="MA30" i="2"/>
  <c r="LZ30" i="2"/>
  <c r="LY30" i="2"/>
  <c r="LX30" i="2"/>
  <c r="LW30" i="2"/>
  <c r="LV30" i="2"/>
  <c r="LU30" i="2"/>
  <c r="LT30" i="2"/>
  <c r="LS30" i="2"/>
  <c r="LR30" i="2"/>
  <c r="LQ30" i="2"/>
  <c r="LP30" i="2"/>
  <c r="LO30" i="2"/>
  <c r="LN30" i="2"/>
  <c r="LM30" i="2"/>
  <c r="LL30" i="2"/>
  <c r="LK30" i="2"/>
  <c r="LJ30" i="2"/>
  <c r="LI30" i="2"/>
  <c r="LH30" i="2"/>
  <c r="LG30" i="2"/>
  <c r="LF30" i="2"/>
  <c r="LE30" i="2"/>
  <c r="LD30" i="2"/>
  <c r="LC30" i="2"/>
  <c r="LB30" i="2"/>
  <c r="LA30" i="2"/>
  <c r="KZ30" i="2"/>
  <c r="KY30" i="2"/>
  <c r="KX30" i="2"/>
  <c r="KW30" i="2"/>
  <c r="KV30" i="2"/>
  <c r="KU30" i="2"/>
  <c r="KT30" i="2"/>
  <c r="KS30" i="2"/>
  <c r="KR30" i="2"/>
  <c r="KQ30" i="2"/>
  <c r="KP30" i="2"/>
  <c r="KO30" i="2"/>
  <c r="KN30" i="2"/>
  <c r="KM30" i="2"/>
  <c r="KL30" i="2"/>
  <c r="KK30" i="2"/>
  <c r="KJ30" i="2"/>
  <c r="KI30" i="2"/>
  <c r="KH30" i="2"/>
  <c r="KG30" i="2"/>
  <c r="KF30" i="2"/>
  <c r="KE30" i="2"/>
  <c r="KD30" i="2"/>
  <c r="KC30" i="2"/>
  <c r="KB30" i="2"/>
  <c r="KA30" i="2"/>
  <c r="JZ30" i="2"/>
  <c r="JY30" i="2"/>
  <c r="JX30" i="2"/>
  <c r="JW30" i="2"/>
  <c r="JV30" i="2"/>
  <c r="JU30" i="2"/>
  <c r="JT30" i="2"/>
  <c r="JS30" i="2"/>
  <c r="JR30" i="2"/>
  <c r="JQ30" i="2"/>
  <c r="JP30" i="2"/>
  <c r="JO30" i="2"/>
  <c r="JN30" i="2"/>
  <c r="JM30" i="2"/>
  <c r="JL30" i="2"/>
  <c r="JK30" i="2"/>
  <c r="JJ30" i="2"/>
  <c r="JI30" i="2"/>
  <c r="JH30" i="2"/>
  <c r="JG30" i="2"/>
  <c r="JF30" i="2"/>
  <c r="JE30" i="2"/>
  <c r="JD30" i="2"/>
  <c r="JC30" i="2"/>
  <c r="JB30" i="2"/>
  <c r="JA30" i="2"/>
  <c r="IZ30" i="2"/>
  <c r="IY30" i="2"/>
  <c r="IX30" i="2"/>
  <c r="IW30" i="2"/>
  <c r="IV30" i="2"/>
  <c r="IU30" i="2"/>
  <c r="IT30" i="2"/>
  <c r="IS30" i="2"/>
  <c r="IR30" i="2"/>
  <c r="IQ30" i="2"/>
  <c r="IP30" i="2"/>
  <c r="IO30" i="2"/>
  <c r="IN30" i="2"/>
  <c r="IM30" i="2"/>
  <c r="IL30" i="2"/>
  <c r="IK30" i="2"/>
  <c r="IJ30" i="2"/>
  <c r="II30" i="2"/>
  <c r="IH30" i="2"/>
  <c r="IG30" i="2"/>
  <c r="IF30" i="2"/>
  <c r="IE30" i="2"/>
  <c r="ID30" i="2"/>
  <c r="IC30" i="2"/>
  <c r="IB30" i="2"/>
  <c r="IA30" i="2"/>
  <c r="HZ30" i="2"/>
  <c r="HY30" i="2"/>
  <c r="HX30" i="2"/>
  <c r="HW30" i="2"/>
  <c r="HV30" i="2"/>
  <c r="HU30" i="2"/>
  <c r="HT30" i="2"/>
  <c r="HS30" i="2"/>
  <c r="HR30" i="2"/>
  <c r="HQ30" i="2"/>
  <c r="HP30" i="2"/>
  <c r="HO30" i="2"/>
  <c r="HN30" i="2"/>
  <c r="HM30" i="2"/>
  <c r="HL30" i="2"/>
  <c r="HK30" i="2"/>
  <c r="HJ30" i="2"/>
  <c r="HI30" i="2"/>
  <c r="HH30" i="2"/>
  <c r="HG30" i="2"/>
  <c r="HF30" i="2"/>
  <c r="HE30" i="2"/>
  <c r="HD30" i="2"/>
  <c r="HC30" i="2"/>
  <c r="HB30" i="2"/>
  <c r="HA30" i="2"/>
  <c r="GZ30" i="2"/>
  <c r="GY30" i="2"/>
  <c r="GX30" i="2"/>
  <c r="GW30" i="2"/>
  <c r="GV30" i="2"/>
  <c r="GU30" i="2"/>
  <c r="GT30" i="2"/>
  <c r="GS30" i="2"/>
  <c r="GR30" i="2"/>
  <c r="GQ30" i="2"/>
  <c r="GP30" i="2"/>
  <c r="GO30" i="2"/>
  <c r="GN30" i="2"/>
  <c r="GM30" i="2"/>
  <c r="GL30" i="2"/>
  <c r="GK30" i="2"/>
  <c r="GJ30" i="2"/>
  <c r="GI30" i="2"/>
  <c r="GH30" i="2"/>
  <c r="GG30" i="2"/>
  <c r="GF30" i="2"/>
  <c r="GE30" i="2"/>
  <c r="GD30" i="2"/>
  <c r="GC30" i="2"/>
  <c r="GB30" i="2"/>
  <c r="GA30" i="2"/>
  <c r="FZ30" i="2"/>
  <c r="FY30" i="2"/>
  <c r="FX30" i="2"/>
  <c r="FW30" i="2"/>
  <c r="FV30" i="2"/>
  <c r="FU30" i="2"/>
  <c r="FT30" i="2"/>
  <c r="FS30" i="2"/>
  <c r="FR30" i="2"/>
  <c r="FQ30" i="2"/>
  <c r="FP30" i="2"/>
  <c r="FO30" i="2"/>
  <c r="FN30" i="2"/>
  <c r="FM30" i="2"/>
  <c r="FL30" i="2"/>
  <c r="FK30" i="2"/>
  <c r="FJ30" i="2"/>
  <c r="FI30" i="2"/>
  <c r="FH30" i="2"/>
  <c r="FG30" i="2"/>
  <c r="FF30" i="2"/>
  <c r="FE30" i="2"/>
  <c r="FD30" i="2"/>
  <c r="FC30" i="2"/>
  <c r="FB30" i="2"/>
  <c r="FA30" i="2"/>
  <c r="EZ30" i="2"/>
  <c r="EY30" i="2"/>
  <c r="EX30" i="2"/>
  <c r="EW30" i="2"/>
  <c r="EV30" i="2"/>
  <c r="EU30" i="2"/>
  <c r="ET30" i="2"/>
  <c r="ES30" i="2"/>
  <c r="ER30" i="2"/>
  <c r="EQ30" i="2"/>
  <c r="EP30" i="2"/>
  <c r="EO30" i="2"/>
  <c r="EN30" i="2"/>
  <c r="EM30" i="2"/>
  <c r="EL30" i="2"/>
  <c r="EK30" i="2"/>
  <c r="EJ30" i="2"/>
  <c r="EI30" i="2"/>
  <c r="EH30" i="2"/>
  <c r="EG30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PI29" i="2"/>
  <c r="PH29" i="2"/>
  <c r="PG29" i="2"/>
  <c r="PF29" i="2"/>
  <c r="PE29" i="2"/>
  <c r="PD29" i="2"/>
  <c r="PC29" i="2"/>
  <c r="PB29" i="2"/>
  <c r="PA29" i="2"/>
  <c r="OZ29" i="2"/>
  <c r="OY29" i="2"/>
  <c r="OX29" i="2"/>
  <c r="OW29" i="2"/>
  <c r="OV29" i="2"/>
  <c r="OU29" i="2"/>
  <c r="OT29" i="2"/>
  <c r="OS29" i="2"/>
  <c r="OR29" i="2"/>
  <c r="OQ29" i="2"/>
  <c r="OP29" i="2"/>
  <c r="OO29" i="2"/>
  <c r="ON29" i="2"/>
  <c r="OM29" i="2"/>
  <c r="OL29" i="2"/>
  <c r="OK29" i="2"/>
  <c r="OJ29" i="2"/>
  <c r="OI29" i="2"/>
  <c r="OH29" i="2"/>
  <c r="OG29" i="2"/>
  <c r="OF29" i="2"/>
  <c r="OE29" i="2"/>
  <c r="OD29" i="2"/>
  <c r="OC29" i="2"/>
  <c r="OB29" i="2"/>
  <c r="OA29" i="2"/>
  <c r="NZ29" i="2"/>
  <c r="NY29" i="2"/>
  <c r="NX29" i="2"/>
  <c r="NW29" i="2"/>
  <c r="NV29" i="2"/>
  <c r="NU29" i="2"/>
  <c r="NT29" i="2"/>
  <c r="NS29" i="2"/>
  <c r="NR29" i="2"/>
  <c r="NQ29" i="2"/>
  <c r="NP29" i="2"/>
  <c r="NO29" i="2"/>
  <c r="NN29" i="2"/>
  <c r="NM29" i="2"/>
  <c r="NL29" i="2"/>
  <c r="NK29" i="2"/>
  <c r="NJ29" i="2"/>
  <c r="NI29" i="2"/>
  <c r="NH29" i="2"/>
  <c r="NG29" i="2"/>
  <c r="NF29" i="2"/>
  <c r="NE29" i="2"/>
  <c r="ND29" i="2"/>
  <c r="NC29" i="2"/>
  <c r="NB29" i="2"/>
  <c r="NA29" i="2"/>
  <c r="MZ29" i="2"/>
  <c r="MY29" i="2"/>
  <c r="MX29" i="2"/>
  <c r="MW29" i="2"/>
  <c r="MV29" i="2"/>
  <c r="MU29" i="2"/>
  <c r="MT29" i="2"/>
  <c r="MS29" i="2"/>
  <c r="MR29" i="2"/>
  <c r="MQ29" i="2"/>
  <c r="MP29" i="2"/>
  <c r="MO29" i="2"/>
  <c r="MN29" i="2"/>
  <c r="MM29" i="2"/>
  <c r="ML29" i="2"/>
  <c r="MK29" i="2"/>
  <c r="MJ29" i="2"/>
  <c r="MI29" i="2"/>
  <c r="MH29" i="2"/>
  <c r="MG29" i="2"/>
  <c r="MF29" i="2"/>
  <c r="ME29" i="2"/>
  <c r="MD29" i="2"/>
  <c r="MC29" i="2"/>
  <c r="MB29" i="2"/>
  <c r="MA29" i="2"/>
  <c r="LZ29" i="2"/>
  <c r="LY29" i="2"/>
  <c r="LX29" i="2"/>
  <c r="LW29" i="2"/>
  <c r="LV29" i="2"/>
  <c r="LU29" i="2"/>
  <c r="LT29" i="2"/>
  <c r="LS29" i="2"/>
  <c r="LR29" i="2"/>
  <c r="LQ29" i="2"/>
  <c r="LP29" i="2"/>
  <c r="LO29" i="2"/>
  <c r="LN29" i="2"/>
  <c r="LM29" i="2"/>
  <c r="LL29" i="2"/>
  <c r="LK29" i="2"/>
  <c r="LJ29" i="2"/>
  <c r="LI29" i="2"/>
  <c r="LH29" i="2"/>
  <c r="LG29" i="2"/>
  <c r="LF29" i="2"/>
  <c r="LE29" i="2"/>
  <c r="LD29" i="2"/>
  <c r="LC29" i="2"/>
  <c r="LB29" i="2"/>
  <c r="LA29" i="2"/>
  <c r="KZ29" i="2"/>
  <c r="KY29" i="2"/>
  <c r="KX29" i="2"/>
  <c r="KW29" i="2"/>
  <c r="KV29" i="2"/>
  <c r="KU29" i="2"/>
  <c r="KT29" i="2"/>
  <c r="KS29" i="2"/>
  <c r="KR29" i="2"/>
  <c r="KQ29" i="2"/>
  <c r="KP29" i="2"/>
  <c r="KO29" i="2"/>
  <c r="KN29" i="2"/>
  <c r="KM29" i="2"/>
  <c r="KL29" i="2"/>
  <c r="KK29" i="2"/>
  <c r="KJ29" i="2"/>
  <c r="KI29" i="2"/>
  <c r="KH29" i="2"/>
  <c r="KG29" i="2"/>
  <c r="KF29" i="2"/>
  <c r="KE29" i="2"/>
  <c r="KD29" i="2"/>
  <c r="KC29" i="2"/>
  <c r="KB29" i="2"/>
  <c r="KA29" i="2"/>
  <c r="JZ29" i="2"/>
  <c r="JY29" i="2"/>
  <c r="JX29" i="2"/>
  <c r="JW29" i="2"/>
  <c r="JV29" i="2"/>
  <c r="JU29" i="2"/>
  <c r="JT29" i="2"/>
  <c r="JS29" i="2"/>
  <c r="JR29" i="2"/>
  <c r="JQ29" i="2"/>
  <c r="JP29" i="2"/>
  <c r="JO29" i="2"/>
  <c r="JN29" i="2"/>
  <c r="JM29" i="2"/>
  <c r="JL29" i="2"/>
  <c r="JK29" i="2"/>
  <c r="JJ29" i="2"/>
  <c r="JI29" i="2"/>
  <c r="JH29" i="2"/>
  <c r="JG29" i="2"/>
  <c r="JF29" i="2"/>
  <c r="JE29" i="2"/>
  <c r="JD29" i="2"/>
  <c r="JC29" i="2"/>
  <c r="JB29" i="2"/>
  <c r="JA29" i="2"/>
  <c r="IZ29" i="2"/>
  <c r="IY29" i="2"/>
  <c r="IX29" i="2"/>
  <c r="IW29" i="2"/>
  <c r="IV29" i="2"/>
  <c r="IU29" i="2"/>
  <c r="IT29" i="2"/>
  <c r="IS29" i="2"/>
  <c r="IR29" i="2"/>
  <c r="IQ29" i="2"/>
  <c r="IP29" i="2"/>
  <c r="IO29" i="2"/>
  <c r="IN29" i="2"/>
  <c r="IM29" i="2"/>
  <c r="IL29" i="2"/>
  <c r="IK29" i="2"/>
  <c r="IJ29" i="2"/>
  <c r="II29" i="2"/>
  <c r="IH29" i="2"/>
  <c r="IG29" i="2"/>
  <c r="IF29" i="2"/>
  <c r="IE29" i="2"/>
  <c r="ID29" i="2"/>
  <c r="IC29" i="2"/>
  <c r="IB29" i="2"/>
  <c r="IA29" i="2"/>
  <c r="HZ29" i="2"/>
  <c r="HY29" i="2"/>
  <c r="HX29" i="2"/>
  <c r="HW29" i="2"/>
  <c r="HV29" i="2"/>
  <c r="HU29" i="2"/>
  <c r="HT29" i="2"/>
  <c r="HS29" i="2"/>
  <c r="HR29" i="2"/>
  <c r="HQ29" i="2"/>
  <c r="HP29" i="2"/>
  <c r="HO29" i="2"/>
  <c r="HN29" i="2"/>
  <c r="HM29" i="2"/>
  <c r="HL29" i="2"/>
  <c r="HK29" i="2"/>
  <c r="HJ29" i="2"/>
  <c r="HI29" i="2"/>
  <c r="HH29" i="2"/>
  <c r="HG29" i="2"/>
  <c r="HF29" i="2"/>
  <c r="HE29" i="2"/>
  <c r="HD29" i="2"/>
  <c r="HC29" i="2"/>
  <c r="HB29" i="2"/>
  <c r="HA29" i="2"/>
  <c r="GZ29" i="2"/>
  <c r="GY29" i="2"/>
  <c r="GX29" i="2"/>
  <c r="GW29" i="2"/>
  <c r="GV29" i="2"/>
  <c r="GU29" i="2"/>
  <c r="GT29" i="2"/>
  <c r="GS29" i="2"/>
  <c r="GR29" i="2"/>
  <c r="GQ29" i="2"/>
  <c r="GP29" i="2"/>
  <c r="GO29" i="2"/>
  <c r="GN29" i="2"/>
  <c r="GM29" i="2"/>
  <c r="GL29" i="2"/>
  <c r="GK29" i="2"/>
  <c r="GJ29" i="2"/>
  <c r="GI29" i="2"/>
  <c r="GH29" i="2"/>
  <c r="GG29" i="2"/>
  <c r="GF29" i="2"/>
  <c r="GE29" i="2"/>
  <c r="GD29" i="2"/>
  <c r="GC29" i="2"/>
  <c r="GB29" i="2"/>
  <c r="GA29" i="2"/>
  <c r="FZ29" i="2"/>
  <c r="FY29" i="2"/>
  <c r="FX29" i="2"/>
  <c r="FW29" i="2"/>
  <c r="FV29" i="2"/>
  <c r="FU29" i="2"/>
  <c r="FT29" i="2"/>
  <c r="FS29" i="2"/>
  <c r="FR29" i="2"/>
  <c r="FQ29" i="2"/>
  <c r="FP29" i="2"/>
  <c r="FO29" i="2"/>
  <c r="FN29" i="2"/>
  <c r="FM29" i="2"/>
  <c r="FL29" i="2"/>
  <c r="FK29" i="2"/>
  <c r="FJ29" i="2"/>
  <c r="FI29" i="2"/>
  <c r="FH29" i="2"/>
  <c r="FG29" i="2"/>
  <c r="FF29" i="2"/>
  <c r="FE29" i="2"/>
  <c r="FD29" i="2"/>
  <c r="FC29" i="2"/>
  <c r="FB29" i="2"/>
  <c r="FA29" i="2"/>
  <c r="EZ29" i="2"/>
  <c r="EY29" i="2"/>
  <c r="EX29" i="2"/>
  <c r="EW29" i="2"/>
  <c r="EV29" i="2"/>
  <c r="EU29" i="2"/>
  <c r="ET29" i="2"/>
  <c r="ES29" i="2"/>
  <c r="ER29" i="2"/>
  <c r="EQ29" i="2"/>
  <c r="EP29" i="2"/>
  <c r="EO29" i="2"/>
  <c r="EN29" i="2"/>
  <c r="EM29" i="2"/>
  <c r="EL29" i="2"/>
  <c r="EK29" i="2"/>
  <c r="EJ29" i="2"/>
  <c r="EI29" i="2"/>
  <c r="EH29" i="2"/>
  <c r="EG29" i="2"/>
  <c r="EF29" i="2"/>
  <c r="EE29" i="2"/>
  <c r="ED29" i="2"/>
  <c r="EC29" i="2"/>
  <c r="EB29" i="2"/>
  <c r="EA29" i="2"/>
  <c r="DZ29" i="2"/>
  <c r="DY29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PI28" i="2"/>
  <c r="PH28" i="2"/>
  <c r="PG28" i="2"/>
  <c r="PF28" i="2"/>
  <c r="PE28" i="2"/>
  <c r="PD28" i="2"/>
  <c r="PC28" i="2"/>
  <c r="PB28" i="2"/>
  <c r="PA28" i="2"/>
  <c r="OZ28" i="2"/>
  <c r="OY28" i="2"/>
  <c r="OX28" i="2"/>
  <c r="OW28" i="2"/>
  <c r="OV28" i="2"/>
  <c r="OU28" i="2"/>
  <c r="OT28" i="2"/>
  <c r="OS28" i="2"/>
  <c r="OR28" i="2"/>
  <c r="OQ28" i="2"/>
  <c r="OP28" i="2"/>
  <c r="OO28" i="2"/>
  <c r="ON28" i="2"/>
  <c r="OM28" i="2"/>
  <c r="OL28" i="2"/>
  <c r="OK28" i="2"/>
  <c r="OJ28" i="2"/>
  <c r="OI28" i="2"/>
  <c r="OH28" i="2"/>
  <c r="OG28" i="2"/>
  <c r="OF28" i="2"/>
  <c r="OE28" i="2"/>
  <c r="OD28" i="2"/>
  <c r="OC28" i="2"/>
  <c r="OB28" i="2"/>
  <c r="OA28" i="2"/>
  <c r="NZ28" i="2"/>
  <c r="NY28" i="2"/>
  <c r="NX28" i="2"/>
  <c r="NW28" i="2"/>
  <c r="NV28" i="2"/>
  <c r="NU28" i="2"/>
  <c r="NT28" i="2"/>
  <c r="NS28" i="2"/>
  <c r="NR28" i="2"/>
  <c r="NQ28" i="2"/>
  <c r="NP28" i="2"/>
  <c r="NO28" i="2"/>
  <c r="NN28" i="2"/>
  <c r="NM28" i="2"/>
  <c r="NL28" i="2"/>
  <c r="NK28" i="2"/>
  <c r="NJ28" i="2"/>
  <c r="NI28" i="2"/>
  <c r="NH28" i="2"/>
  <c r="NG28" i="2"/>
  <c r="NF28" i="2"/>
  <c r="NE28" i="2"/>
  <c r="ND28" i="2"/>
  <c r="NC28" i="2"/>
  <c r="NB28" i="2"/>
  <c r="NA28" i="2"/>
  <c r="MZ28" i="2"/>
  <c r="MY28" i="2"/>
  <c r="MX28" i="2"/>
  <c r="MW28" i="2"/>
  <c r="MV28" i="2"/>
  <c r="MU28" i="2"/>
  <c r="MT28" i="2"/>
  <c r="MS28" i="2"/>
  <c r="MR28" i="2"/>
  <c r="MQ28" i="2"/>
  <c r="MP28" i="2"/>
  <c r="MO28" i="2"/>
  <c r="MN28" i="2"/>
  <c r="MM28" i="2"/>
  <c r="ML28" i="2"/>
  <c r="MK28" i="2"/>
  <c r="MJ28" i="2"/>
  <c r="MI28" i="2"/>
  <c r="MH28" i="2"/>
  <c r="MG28" i="2"/>
  <c r="MF28" i="2"/>
  <c r="ME28" i="2"/>
  <c r="MD28" i="2"/>
  <c r="MC28" i="2"/>
  <c r="MB28" i="2"/>
  <c r="MA28" i="2"/>
  <c r="LZ28" i="2"/>
  <c r="LY28" i="2"/>
  <c r="LX28" i="2"/>
  <c r="LW28" i="2"/>
  <c r="LV28" i="2"/>
  <c r="LU28" i="2"/>
  <c r="LT28" i="2"/>
  <c r="LS28" i="2"/>
  <c r="LR28" i="2"/>
  <c r="LQ28" i="2"/>
  <c r="LP28" i="2"/>
  <c r="LO28" i="2"/>
  <c r="LN28" i="2"/>
  <c r="LM28" i="2"/>
  <c r="LL28" i="2"/>
  <c r="LK28" i="2"/>
  <c r="LJ28" i="2"/>
  <c r="LI28" i="2"/>
  <c r="LH28" i="2"/>
  <c r="LG28" i="2"/>
  <c r="LF28" i="2"/>
  <c r="LE28" i="2"/>
  <c r="LD28" i="2"/>
  <c r="LC28" i="2"/>
  <c r="LB28" i="2"/>
  <c r="LA28" i="2"/>
  <c r="KZ28" i="2"/>
  <c r="KY28" i="2"/>
  <c r="KX28" i="2"/>
  <c r="KW28" i="2"/>
  <c r="KV28" i="2"/>
  <c r="KU28" i="2"/>
  <c r="KT28" i="2"/>
  <c r="KS28" i="2"/>
  <c r="KR28" i="2"/>
  <c r="KQ28" i="2"/>
  <c r="KP28" i="2"/>
  <c r="KO28" i="2"/>
  <c r="KN28" i="2"/>
  <c r="KM28" i="2"/>
  <c r="KL28" i="2"/>
  <c r="KK28" i="2"/>
  <c r="KJ28" i="2"/>
  <c r="KI28" i="2"/>
  <c r="KH28" i="2"/>
  <c r="KG28" i="2"/>
  <c r="KF28" i="2"/>
  <c r="KE28" i="2"/>
  <c r="KD28" i="2"/>
  <c r="KC28" i="2"/>
  <c r="KB28" i="2"/>
  <c r="KA28" i="2"/>
  <c r="JZ28" i="2"/>
  <c r="JY28" i="2"/>
  <c r="JX28" i="2"/>
  <c r="JW28" i="2"/>
  <c r="JV28" i="2"/>
  <c r="JU28" i="2"/>
  <c r="JT28" i="2"/>
  <c r="JS28" i="2"/>
  <c r="JR28" i="2"/>
  <c r="JQ28" i="2"/>
  <c r="JP28" i="2"/>
  <c r="JO28" i="2"/>
  <c r="JN28" i="2"/>
  <c r="JM28" i="2"/>
  <c r="JL28" i="2"/>
  <c r="JK28" i="2"/>
  <c r="JJ28" i="2"/>
  <c r="JI28" i="2"/>
  <c r="JH28" i="2"/>
  <c r="JG28" i="2"/>
  <c r="JF28" i="2"/>
  <c r="JE28" i="2"/>
  <c r="JD28" i="2"/>
  <c r="JC28" i="2"/>
  <c r="JB28" i="2"/>
  <c r="JA28" i="2"/>
  <c r="IZ28" i="2"/>
  <c r="IY28" i="2"/>
  <c r="IX28" i="2"/>
  <c r="IW28" i="2"/>
  <c r="IV28" i="2"/>
  <c r="IU28" i="2"/>
  <c r="IT28" i="2"/>
  <c r="IS28" i="2"/>
  <c r="IR28" i="2"/>
  <c r="IQ28" i="2"/>
  <c r="IP28" i="2"/>
  <c r="IO28" i="2"/>
  <c r="IN28" i="2"/>
  <c r="IM28" i="2"/>
  <c r="IL28" i="2"/>
  <c r="IK28" i="2"/>
  <c r="IJ28" i="2"/>
  <c r="II28" i="2"/>
  <c r="IH28" i="2"/>
  <c r="IG28" i="2"/>
  <c r="IF28" i="2"/>
  <c r="IE28" i="2"/>
  <c r="ID28" i="2"/>
  <c r="IC28" i="2"/>
  <c r="IB28" i="2"/>
  <c r="IA28" i="2"/>
  <c r="HZ28" i="2"/>
  <c r="HY28" i="2"/>
  <c r="HX28" i="2"/>
  <c r="HW28" i="2"/>
  <c r="HV28" i="2"/>
  <c r="HU28" i="2"/>
  <c r="HT28" i="2"/>
  <c r="HS28" i="2"/>
  <c r="HR28" i="2"/>
  <c r="HQ28" i="2"/>
  <c r="HP28" i="2"/>
  <c r="HO28" i="2"/>
  <c r="HN28" i="2"/>
  <c r="HM28" i="2"/>
  <c r="HL28" i="2"/>
  <c r="HK28" i="2"/>
  <c r="HJ28" i="2"/>
  <c r="HI28" i="2"/>
  <c r="HH28" i="2"/>
  <c r="HG28" i="2"/>
  <c r="HF28" i="2"/>
  <c r="HE28" i="2"/>
  <c r="HD28" i="2"/>
  <c r="HC28" i="2"/>
  <c r="HB28" i="2"/>
  <c r="HA28" i="2"/>
  <c r="GZ28" i="2"/>
  <c r="GY28" i="2"/>
  <c r="GX28" i="2"/>
  <c r="GW28" i="2"/>
  <c r="GV28" i="2"/>
  <c r="GU28" i="2"/>
  <c r="GT28" i="2"/>
  <c r="GS28" i="2"/>
  <c r="GR28" i="2"/>
  <c r="GQ28" i="2"/>
  <c r="GP28" i="2"/>
  <c r="GO28" i="2"/>
  <c r="GN28" i="2"/>
  <c r="GM28" i="2"/>
  <c r="GL28" i="2"/>
  <c r="GK28" i="2"/>
  <c r="GJ28" i="2"/>
  <c r="GI28" i="2"/>
  <c r="GH28" i="2"/>
  <c r="GG28" i="2"/>
  <c r="GF28" i="2"/>
  <c r="GE28" i="2"/>
  <c r="GD28" i="2"/>
  <c r="GC28" i="2"/>
  <c r="GB28" i="2"/>
  <c r="GA28" i="2"/>
  <c r="FZ28" i="2"/>
  <c r="FY28" i="2"/>
  <c r="FX28" i="2"/>
  <c r="FW28" i="2"/>
  <c r="FV28" i="2"/>
  <c r="FU28" i="2"/>
  <c r="FT28" i="2"/>
  <c r="FS28" i="2"/>
  <c r="FR28" i="2"/>
  <c r="FQ28" i="2"/>
  <c r="FP28" i="2"/>
  <c r="FO28" i="2"/>
  <c r="FN28" i="2"/>
  <c r="FM28" i="2"/>
  <c r="FL28" i="2"/>
  <c r="FK28" i="2"/>
  <c r="FJ28" i="2"/>
  <c r="FI28" i="2"/>
  <c r="FH28" i="2"/>
  <c r="FG28" i="2"/>
  <c r="FF28" i="2"/>
  <c r="FE28" i="2"/>
  <c r="FD28" i="2"/>
  <c r="FC28" i="2"/>
  <c r="FB28" i="2"/>
  <c r="FA28" i="2"/>
  <c r="EZ28" i="2"/>
  <c r="EY28" i="2"/>
  <c r="EX28" i="2"/>
  <c r="EW28" i="2"/>
  <c r="EV28" i="2"/>
  <c r="EU28" i="2"/>
  <c r="ET28" i="2"/>
  <c r="ES28" i="2"/>
  <c r="ER28" i="2"/>
  <c r="EQ28" i="2"/>
  <c r="EP28" i="2"/>
  <c r="EO28" i="2"/>
  <c r="EN28" i="2"/>
  <c r="EM28" i="2"/>
  <c r="EL28" i="2"/>
  <c r="EK28" i="2"/>
  <c r="EJ28" i="2"/>
  <c r="EI28" i="2"/>
  <c r="EH28" i="2"/>
  <c r="EG28" i="2"/>
  <c r="EF28" i="2"/>
  <c r="EE28" i="2"/>
  <c r="ED28" i="2"/>
  <c r="EC28" i="2"/>
  <c r="EB28" i="2"/>
  <c r="EA28" i="2"/>
  <c r="DZ28" i="2"/>
  <c r="DY28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PI27" i="2"/>
  <c r="PH27" i="2"/>
  <c r="PG27" i="2"/>
  <c r="PF27" i="2"/>
  <c r="PE27" i="2"/>
  <c r="PD27" i="2"/>
  <c r="PC27" i="2"/>
  <c r="PB27" i="2"/>
  <c r="PA27" i="2"/>
  <c r="OZ27" i="2"/>
  <c r="OY27" i="2"/>
  <c r="OX27" i="2"/>
  <c r="OW27" i="2"/>
  <c r="OV27" i="2"/>
  <c r="OU27" i="2"/>
  <c r="OT27" i="2"/>
  <c r="OS27" i="2"/>
  <c r="OR27" i="2"/>
  <c r="OQ27" i="2"/>
  <c r="OP27" i="2"/>
  <c r="OO27" i="2"/>
  <c r="ON27" i="2"/>
  <c r="OM27" i="2"/>
  <c r="OL27" i="2"/>
  <c r="OK27" i="2"/>
  <c r="OJ27" i="2"/>
  <c r="OI27" i="2"/>
  <c r="OH27" i="2"/>
  <c r="OG27" i="2"/>
  <c r="OF27" i="2"/>
  <c r="OE27" i="2"/>
  <c r="OD27" i="2"/>
  <c r="OC27" i="2"/>
  <c r="OB27" i="2"/>
  <c r="OA27" i="2"/>
  <c r="NZ27" i="2"/>
  <c r="NY27" i="2"/>
  <c r="NX27" i="2"/>
  <c r="NW27" i="2"/>
  <c r="NV27" i="2"/>
  <c r="NU27" i="2"/>
  <c r="NT27" i="2"/>
  <c r="NS27" i="2"/>
  <c r="NR27" i="2"/>
  <c r="NQ27" i="2"/>
  <c r="NP27" i="2"/>
  <c r="NO27" i="2"/>
  <c r="NN27" i="2"/>
  <c r="NM27" i="2"/>
  <c r="NL27" i="2"/>
  <c r="NK27" i="2"/>
  <c r="NJ27" i="2"/>
  <c r="NI27" i="2"/>
  <c r="NH27" i="2"/>
  <c r="NG27" i="2"/>
  <c r="NF27" i="2"/>
  <c r="NE27" i="2"/>
  <c r="ND27" i="2"/>
  <c r="NC27" i="2"/>
  <c r="NB27" i="2"/>
  <c r="NA27" i="2"/>
  <c r="MZ27" i="2"/>
  <c r="MY27" i="2"/>
  <c r="MX27" i="2"/>
  <c r="MW27" i="2"/>
  <c r="MV27" i="2"/>
  <c r="MU27" i="2"/>
  <c r="MT27" i="2"/>
  <c r="MS27" i="2"/>
  <c r="MR27" i="2"/>
  <c r="MQ27" i="2"/>
  <c r="MP27" i="2"/>
  <c r="MO27" i="2"/>
  <c r="MN27" i="2"/>
  <c r="MM27" i="2"/>
  <c r="ML27" i="2"/>
  <c r="MK27" i="2"/>
  <c r="MJ27" i="2"/>
  <c r="MI27" i="2"/>
  <c r="MH27" i="2"/>
  <c r="MG27" i="2"/>
  <c r="MF27" i="2"/>
  <c r="ME27" i="2"/>
  <c r="MD27" i="2"/>
  <c r="MC27" i="2"/>
  <c r="MB27" i="2"/>
  <c r="MA27" i="2"/>
  <c r="LZ27" i="2"/>
  <c r="LY27" i="2"/>
  <c r="LX27" i="2"/>
  <c r="LW27" i="2"/>
  <c r="LV27" i="2"/>
  <c r="LU27" i="2"/>
  <c r="LT27" i="2"/>
  <c r="LS27" i="2"/>
  <c r="LR27" i="2"/>
  <c r="LQ27" i="2"/>
  <c r="LP27" i="2"/>
  <c r="LO27" i="2"/>
  <c r="LN27" i="2"/>
  <c r="LM27" i="2"/>
  <c r="LL27" i="2"/>
  <c r="LK27" i="2"/>
  <c r="LJ27" i="2"/>
  <c r="LI27" i="2"/>
  <c r="LH27" i="2"/>
  <c r="LG27" i="2"/>
  <c r="LF27" i="2"/>
  <c r="LE27" i="2"/>
  <c r="LD27" i="2"/>
  <c r="LC27" i="2"/>
  <c r="LB27" i="2"/>
  <c r="LA27" i="2"/>
  <c r="KZ27" i="2"/>
  <c r="KY27" i="2"/>
  <c r="KX27" i="2"/>
  <c r="KW27" i="2"/>
  <c r="KV27" i="2"/>
  <c r="KU27" i="2"/>
  <c r="KT27" i="2"/>
  <c r="KS27" i="2"/>
  <c r="KR27" i="2"/>
  <c r="KQ27" i="2"/>
  <c r="KP27" i="2"/>
  <c r="KO27" i="2"/>
  <c r="KN27" i="2"/>
  <c r="KM27" i="2"/>
  <c r="KL27" i="2"/>
  <c r="KK27" i="2"/>
  <c r="KJ27" i="2"/>
  <c r="KI27" i="2"/>
  <c r="KH27" i="2"/>
  <c r="KG27" i="2"/>
  <c r="KF27" i="2"/>
  <c r="KE27" i="2"/>
  <c r="KD27" i="2"/>
  <c r="KC27" i="2"/>
  <c r="KB27" i="2"/>
  <c r="KA27" i="2"/>
  <c r="JZ27" i="2"/>
  <c r="JY27" i="2"/>
  <c r="JX27" i="2"/>
  <c r="JW27" i="2"/>
  <c r="JV27" i="2"/>
  <c r="JU27" i="2"/>
  <c r="JT27" i="2"/>
  <c r="JS27" i="2"/>
  <c r="JR27" i="2"/>
  <c r="JQ27" i="2"/>
  <c r="JP27" i="2"/>
  <c r="JO27" i="2"/>
  <c r="JN27" i="2"/>
  <c r="JM27" i="2"/>
  <c r="JL27" i="2"/>
  <c r="JK27" i="2"/>
  <c r="JJ27" i="2"/>
  <c r="JI27" i="2"/>
  <c r="JH27" i="2"/>
  <c r="JG27" i="2"/>
  <c r="JF27" i="2"/>
  <c r="JE27" i="2"/>
  <c r="JD27" i="2"/>
  <c r="JC27" i="2"/>
  <c r="JB27" i="2"/>
  <c r="JA27" i="2"/>
  <c r="IZ27" i="2"/>
  <c r="IY27" i="2"/>
  <c r="IX27" i="2"/>
  <c r="IW27" i="2"/>
  <c r="IV27" i="2"/>
  <c r="IU27" i="2"/>
  <c r="IT27" i="2"/>
  <c r="IS27" i="2"/>
  <c r="IR27" i="2"/>
  <c r="IQ27" i="2"/>
  <c r="IP27" i="2"/>
  <c r="IO27" i="2"/>
  <c r="IN27" i="2"/>
  <c r="IM27" i="2"/>
  <c r="IL27" i="2"/>
  <c r="IK27" i="2"/>
  <c r="IJ27" i="2"/>
  <c r="II27" i="2"/>
  <c r="IH27" i="2"/>
  <c r="IG27" i="2"/>
  <c r="IF27" i="2"/>
  <c r="IE27" i="2"/>
  <c r="ID27" i="2"/>
  <c r="IC27" i="2"/>
  <c r="IB27" i="2"/>
  <c r="IA27" i="2"/>
  <c r="HZ27" i="2"/>
  <c r="HY27" i="2"/>
  <c r="HX27" i="2"/>
  <c r="HW27" i="2"/>
  <c r="HV27" i="2"/>
  <c r="HU27" i="2"/>
  <c r="HT27" i="2"/>
  <c r="HS27" i="2"/>
  <c r="HR27" i="2"/>
  <c r="HQ27" i="2"/>
  <c r="HP27" i="2"/>
  <c r="HO27" i="2"/>
  <c r="HN27" i="2"/>
  <c r="HM27" i="2"/>
  <c r="HL27" i="2"/>
  <c r="HK27" i="2"/>
  <c r="HJ27" i="2"/>
  <c r="HI27" i="2"/>
  <c r="HH27" i="2"/>
  <c r="HG27" i="2"/>
  <c r="HF27" i="2"/>
  <c r="HE27" i="2"/>
  <c r="HD27" i="2"/>
  <c r="HC27" i="2"/>
  <c r="HB27" i="2"/>
  <c r="HA27" i="2"/>
  <c r="GZ27" i="2"/>
  <c r="GY27" i="2"/>
  <c r="GX27" i="2"/>
  <c r="GW27" i="2"/>
  <c r="GV27" i="2"/>
  <c r="GU27" i="2"/>
  <c r="GT27" i="2"/>
  <c r="GS27" i="2"/>
  <c r="GR27" i="2"/>
  <c r="GQ27" i="2"/>
  <c r="GP27" i="2"/>
  <c r="GO27" i="2"/>
  <c r="GN27" i="2"/>
  <c r="GM27" i="2"/>
  <c r="GL27" i="2"/>
  <c r="GK27" i="2"/>
  <c r="GJ27" i="2"/>
  <c r="GI27" i="2"/>
  <c r="GH27" i="2"/>
  <c r="GG27" i="2"/>
  <c r="GF27" i="2"/>
  <c r="GE27" i="2"/>
  <c r="GD27" i="2"/>
  <c r="GC27" i="2"/>
  <c r="GB27" i="2"/>
  <c r="GA27" i="2"/>
  <c r="FZ27" i="2"/>
  <c r="FY27" i="2"/>
  <c r="FX27" i="2"/>
  <c r="FW27" i="2"/>
  <c r="FV27" i="2"/>
  <c r="FU27" i="2"/>
  <c r="FT27" i="2"/>
  <c r="FS27" i="2"/>
  <c r="FR27" i="2"/>
  <c r="FQ27" i="2"/>
  <c r="FP27" i="2"/>
  <c r="FO27" i="2"/>
  <c r="FN27" i="2"/>
  <c r="FM27" i="2"/>
  <c r="FL27" i="2"/>
  <c r="FK27" i="2"/>
  <c r="FJ27" i="2"/>
  <c r="FI27" i="2"/>
  <c r="FH27" i="2"/>
  <c r="FG27" i="2"/>
  <c r="FF27" i="2"/>
  <c r="FE27" i="2"/>
  <c r="FD27" i="2"/>
  <c r="FC27" i="2"/>
  <c r="FB27" i="2"/>
  <c r="FA27" i="2"/>
  <c r="EZ27" i="2"/>
  <c r="EY27" i="2"/>
  <c r="EX27" i="2"/>
  <c r="EW27" i="2"/>
  <c r="EV27" i="2"/>
  <c r="EU27" i="2"/>
  <c r="ET27" i="2"/>
  <c r="ES27" i="2"/>
  <c r="ER27" i="2"/>
  <c r="EQ27" i="2"/>
  <c r="EP27" i="2"/>
  <c r="EO27" i="2"/>
  <c r="EN27" i="2"/>
  <c r="EM27" i="2"/>
  <c r="EL27" i="2"/>
  <c r="EK27" i="2"/>
  <c r="EJ27" i="2"/>
  <c r="EI27" i="2"/>
  <c r="EH27" i="2"/>
  <c r="EG27" i="2"/>
  <c r="EF27" i="2"/>
  <c r="EE27" i="2"/>
  <c r="ED27" i="2"/>
  <c r="EC27" i="2"/>
  <c r="EB27" i="2"/>
  <c r="EA27" i="2"/>
  <c r="DZ27" i="2"/>
  <c r="DY27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PI26" i="2"/>
  <c r="PH26" i="2"/>
  <c r="PG26" i="2"/>
  <c r="PF26" i="2"/>
  <c r="PE26" i="2"/>
  <c r="PD26" i="2"/>
  <c r="PC26" i="2"/>
  <c r="PB26" i="2"/>
  <c r="PA26" i="2"/>
  <c r="OZ26" i="2"/>
  <c r="OY26" i="2"/>
  <c r="OX26" i="2"/>
  <c r="OW26" i="2"/>
  <c r="OV26" i="2"/>
  <c r="OU26" i="2"/>
  <c r="OT26" i="2"/>
  <c r="OS26" i="2"/>
  <c r="OR26" i="2"/>
  <c r="OQ26" i="2"/>
  <c r="OP26" i="2"/>
  <c r="OO26" i="2"/>
  <c r="ON26" i="2"/>
  <c r="OM26" i="2"/>
  <c r="OL26" i="2"/>
  <c r="OK26" i="2"/>
  <c r="OJ26" i="2"/>
  <c r="OI26" i="2"/>
  <c r="OH26" i="2"/>
  <c r="OG26" i="2"/>
  <c r="OF26" i="2"/>
  <c r="OE26" i="2"/>
  <c r="OD26" i="2"/>
  <c r="OC26" i="2"/>
  <c r="OB26" i="2"/>
  <c r="OA26" i="2"/>
  <c r="NZ26" i="2"/>
  <c r="NY26" i="2"/>
  <c r="NX26" i="2"/>
  <c r="NW26" i="2"/>
  <c r="NV26" i="2"/>
  <c r="NU26" i="2"/>
  <c r="NT26" i="2"/>
  <c r="NS26" i="2"/>
  <c r="NR26" i="2"/>
  <c r="NQ26" i="2"/>
  <c r="NP26" i="2"/>
  <c r="NO26" i="2"/>
  <c r="NN26" i="2"/>
  <c r="NM26" i="2"/>
  <c r="NL26" i="2"/>
  <c r="NK26" i="2"/>
  <c r="NJ26" i="2"/>
  <c r="NI26" i="2"/>
  <c r="NH26" i="2"/>
  <c r="NG26" i="2"/>
  <c r="NF26" i="2"/>
  <c r="NE26" i="2"/>
  <c r="ND26" i="2"/>
  <c r="NC26" i="2"/>
  <c r="NB26" i="2"/>
  <c r="NA26" i="2"/>
  <c r="MZ26" i="2"/>
  <c r="MY26" i="2"/>
  <c r="MX26" i="2"/>
  <c r="MW26" i="2"/>
  <c r="MV26" i="2"/>
  <c r="MU26" i="2"/>
  <c r="MT26" i="2"/>
  <c r="MS26" i="2"/>
  <c r="MR26" i="2"/>
  <c r="MQ26" i="2"/>
  <c r="MP26" i="2"/>
  <c r="MO26" i="2"/>
  <c r="MN26" i="2"/>
  <c r="MM26" i="2"/>
  <c r="ML26" i="2"/>
  <c r="MK26" i="2"/>
  <c r="MJ26" i="2"/>
  <c r="MI26" i="2"/>
  <c r="MH26" i="2"/>
  <c r="MG26" i="2"/>
  <c r="MF26" i="2"/>
  <c r="ME26" i="2"/>
  <c r="MD26" i="2"/>
  <c r="MC26" i="2"/>
  <c r="MB26" i="2"/>
  <c r="MA26" i="2"/>
  <c r="LZ26" i="2"/>
  <c r="LY26" i="2"/>
  <c r="LX26" i="2"/>
  <c r="LW26" i="2"/>
  <c r="LV26" i="2"/>
  <c r="LU26" i="2"/>
  <c r="LT26" i="2"/>
  <c r="LS26" i="2"/>
  <c r="LR26" i="2"/>
  <c r="LQ26" i="2"/>
  <c r="LP26" i="2"/>
  <c r="LO26" i="2"/>
  <c r="LN26" i="2"/>
  <c r="LM26" i="2"/>
  <c r="LL26" i="2"/>
  <c r="LK26" i="2"/>
  <c r="LJ26" i="2"/>
  <c r="LI26" i="2"/>
  <c r="LH26" i="2"/>
  <c r="LG26" i="2"/>
  <c r="LF26" i="2"/>
  <c r="LE26" i="2"/>
  <c r="LD26" i="2"/>
  <c r="LC26" i="2"/>
  <c r="LB26" i="2"/>
  <c r="LA26" i="2"/>
  <c r="KZ26" i="2"/>
  <c r="KY26" i="2"/>
  <c r="KX26" i="2"/>
  <c r="KW26" i="2"/>
  <c r="KV26" i="2"/>
  <c r="KU26" i="2"/>
  <c r="KT26" i="2"/>
  <c r="KS26" i="2"/>
  <c r="KR26" i="2"/>
  <c r="KQ26" i="2"/>
  <c r="KP26" i="2"/>
  <c r="KO26" i="2"/>
  <c r="KN26" i="2"/>
  <c r="KM26" i="2"/>
  <c r="KL26" i="2"/>
  <c r="KK26" i="2"/>
  <c r="KJ26" i="2"/>
  <c r="KI26" i="2"/>
  <c r="KH26" i="2"/>
  <c r="KG26" i="2"/>
  <c r="KF26" i="2"/>
  <c r="KE26" i="2"/>
  <c r="KD26" i="2"/>
  <c r="KC26" i="2"/>
  <c r="KB26" i="2"/>
  <c r="KA26" i="2"/>
  <c r="JZ26" i="2"/>
  <c r="JY26" i="2"/>
  <c r="JX26" i="2"/>
  <c r="JW26" i="2"/>
  <c r="JV26" i="2"/>
  <c r="JU26" i="2"/>
  <c r="JT26" i="2"/>
  <c r="JS26" i="2"/>
  <c r="JR26" i="2"/>
  <c r="JQ26" i="2"/>
  <c r="JP26" i="2"/>
  <c r="JO26" i="2"/>
  <c r="JN26" i="2"/>
  <c r="JM26" i="2"/>
  <c r="JL26" i="2"/>
  <c r="JK26" i="2"/>
  <c r="JJ26" i="2"/>
  <c r="JI26" i="2"/>
  <c r="JH26" i="2"/>
  <c r="JG26" i="2"/>
  <c r="JF26" i="2"/>
  <c r="JE26" i="2"/>
  <c r="JD26" i="2"/>
  <c r="JC26" i="2"/>
  <c r="JB26" i="2"/>
  <c r="JA26" i="2"/>
  <c r="IZ26" i="2"/>
  <c r="IY26" i="2"/>
  <c r="IX26" i="2"/>
  <c r="IW26" i="2"/>
  <c r="IV26" i="2"/>
  <c r="IU26" i="2"/>
  <c r="IT26" i="2"/>
  <c r="IS26" i="2"/>
  <c r="IR26" i="2"/>
  <c r="IQ26" i="2"/>
  <c r="IP26" i="2"/>
  <c r="IO26" i="2"/>
  <c r="IN26" i="2"/>
  <c r="IM26" i="2"/>
  <c r="IL26" i="2"/>
  <c r="IK26" i="2"/>
  <c r="IJ26" i="2"/>
  <c r="II26" i="2"/>
  <c r="IH26" i="2"/>
  <c r="IG26" i="2"/>
  <c r="IF26" i="2"/>
  <c r="IE26" i="2"/>
  <c r="ID26" i="2"/>
  <c r="IC26" i="2"/>
  <c r="IB26" i="2"/>
  <c r="IA26" i="2"/>
  <c r="HZ26" i="2"/>
  <c r="HY26" i="2"/>
  <c r="HX26" i="2"/>
  <c r="HW26" i="2"/>
  <c r="HV26" i="2"/>
  <c r="HU26" i="2"/>
  <c r="HT26" i="2"/>
  <c r="HS26" i="2"/>
  <c r="HR26" i="2"/>
  <c r="HQ26" i="2"/>
  <c r="HP26" i="2"/>
  <c r="HO26" i="2"/>
  <c r="HN26" i="2"/>
  <c r="HM26" i="2"/>
  <c r="HL26" i="2"/>
  <c r="HK26" i="2"/>
  <c r="HJ26" i="2"/>
  <c r="HI26" i="2"/>
  <c r="HH26" i="2"/>
  <c r="HG26" i="2"/>
  <c r="HF26" i="2"/>
  <c r="HE26" i="2"/>
  <c r="HD26" i="2"/>
  <c r="HC26" i="2"/>
  <c r="HB26" i="2"/>
  <c r="HA26" i="2"/>
  <c r="GZ26" i="2"/>
  <c r="GY26" i="2"/>
  <c r="GX26" i="2"/>
  <c r="GW26" i="2"/>
  <c r="GV26" i="2"/>
  <c r="GU26" i="2"/>
  <c r="GT26" i="2"/>
  <c r="GS26" i="2"/>
  <c r="GR26" i="2"/>
  <c r="GQ26" i="2"/>
  <c r="GP26" i="2"/>
  <c r="GO26" i="2"/>
  <c r="GN26" i="2"/>
  <c r="GM26" i="2"/>
  <c r="GL26" i="2"/>
  <c r="GK26" i="2"/>
  <c r="GJ26" i="2"/>
  <c r="GI26" i="2"/>
  <c r="GH26" i="2"/>
  <c r="GG26" i="2"/>
  <c r="GF26" i="2"/>
  <c r="GE26" i="2"/>
  <c r="GD26" i="2"/>
  <c r="GC26" i="2"/>
  <c r="GB26" i="2"/>
  <c r="GA26" i="2"/>
  <c r="FZ26" i="2"/>
  <c r="FY26" i="2"/>
  <c r="FX26" i="2"/>
  <c r="FW26" i="2"/>
  <c r="FV26" i="2"/>
  <c r="FU26" i="2"/>
  <c r="FT26" i="2"/>
  <c r="FS26" i="2"/>
  <c r="FR26" i="2"/>
  <c r="FQ26" i="2"/>
  <c r="FP26" i="2"/>
  <c r="FO26" i="2"/>
  <c r="FN26" i="2"/>
  <c r="FM26" i="2"/>
  <c r="FL26" i="2"/>
  <c r="FK26" i="2"/>
  <c r="FJ26" i="2"/>
  <c r="FI26" i="2"/>
  <c r="FH26" i="2"/>
  <c r="FG26" i="2"/>
  <c r="FF26" i="2"/>
  <c r="FE26" i="2"/>
  <c r="FD26" i="2"/>
  <c r="FC26" i="2"/>
  <c r="FB26" i="2"/>
  <c r="FA26" i="2"/>
  <c r="EZ26" i="2"/>
  <c r="EY26" i="2"/>
  <c r="EX26" i="2"/>
  <c r="EW26" i="2"/>
  <c r="EV26" i="2"/>
  <c r="EU26" i="2"/>
  <c r="ET26" i="2"/>
  <c r="ES26" i="2"/>
  <c r="ER26" i="2"/>
  <c r="EQ26" i="2"/>
  <c r="EP26" i="2"/>
  <c r="EO26" i="2"/>
  <c r="EN26" i="2"/>
  <c r="EM26" i="2"/>
  <c r="EL26" i="2"/>
  <c r="EK26" i="2"/>
  <c r="EJ26" i="2"/>
  <c r="EI26" i="2"/>
  <c r="EH26" i="2"/>
  <c r="EG26" i="2"/>
  <c r="EF26" i="2"/>
  <c r="EE26" i="2"/>
  <c r="ED26" i="2"/>
  <c r="EC26" i="2"/>
  <c r="EB26" i="2"/>
  <c r="EA26" i="2"/>
  <c r="DZ26" i="2"/>
  <c r="DY26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PI25" i="2"/>
  <c r="PH25" i="2"/>
  <c r="PG25" i="2"/>
  <c r="PF25" i="2"/>
  <c r="PE25" i="2"/>
  <c r="PD25" i="2"/>
  <c r="PC25" i="2"/>
  <c r="PB25" i="2"/>
  <c r="PA25" i="2"/>
  <c r="OZ25" i="2"/>
  <c r="OY25" i="2"/>
  <c r="OX25" i="2"/>
  <c r="OW25" i="2"/>
  <c r="OV25" i="2"/>
  <c r="OU25" i="2"/>
  <c r="OT25" i="2"/>
  <c r="OS25" i="2"/>
  <c r="OR25" i="2"/>
  <c r="OQ25" i="2"/>
  <c r="OP25" i="2"/>
  <c r="OO25" i="2"/>
  <c r="ON25" i="2"/>
  <c r="OM25" i="2"/>
  <c r="OL25" i="2"/>
  <c r="OK25" i="2"/>
  <c r="OJ25" i="2"/>
  <c r="OI25" i="2"/>
  <c r="OH25" i="2"/>
  <c r="OG25" i="2"/>
  <c r="OF25" i="2"/>
  <c r="OE25" i="2"/>
  <c r="OD25" i="2"/>
  <c r="OC25" i="2"/>
  <c r="OB25" i="2"/>
  <c r="OA25" i="2"/>
  <c r="NZ25" i="2"/>
  <c r="NY25" i="2"/>
  <c r="NX25" i="2"/>
  <c r="NW25" i="2"/>
  <c r="NV25" i="2"/>
  <c r="NU25" i="2"/>
  <c r="NT25" i="2"/>
  <c r="NS25" i="2"/>
  <c r="NR25" i="2"/>
  <c r="NQ25" i="2"/>
  <c r="NP25" i="2"/>
  <c r="NO25" i="2"/>
  <c r="NN25" i="2"/>
  <c r="NM25" i="2"/>
  <c r="NL25" i="2"/>
  <c r="NK25" i="2"/>
  <c r="NJ25" i="2"/>
  <c r="NI25" i="2"/>
  <c r="NH25" i="2"/>
  <c r="NG25" i="2"/>
  <c r="NF25" i="2"/>
  <c r="NE25" i="2"/>
  <c r="ND25" i="2"/>
  <c r="NC25" i="2"/>
  <c r="NB25" i="2"/>
  <c r="NA25" i="2"/>
  <c r="MZ25" i="2"/>
  <c r="MY25" i="2"/>
  <c r="MX25" i="2"/>
  <c r="MW25" i="2"/>
  <c r="MV25" i="2"/>
  <c r="MU25" i="2"/>
  <c r="MT25" i="2"/>
  <c r="MS25" i="2"/>
  <c r="MR25" i="2"/>
  <c r="MQ25" i="2"/>
  <c r="MP25" i="2"/>
  <c r="MO25" i="2"/>
  <c r="MN25" i="2"/>
  <c r="MM25" i="2"/>
  <c r="ML25" i="2"/>
  <c r="MK25" i="2"/>
  <c r="MJ25" i="2"/>
  <c r="MI25" i="2"/>
  <c r="MH25" i="2"/>
  <c r="MG25" i="2"/>
  <c r="MF25" i="2"/>
  <c r="ME25" i="2"/>
  <c r="MD25" i="2"/>
  <c r="MC25" i="2"/>
  <c r="MB25" i="2"/>
  <c r="MA25" i="2"/>
  <c r="LZ25" i="2"/>
  <c r="LY25" i="2"/>
  <c r="LX25" i="2"/>
  <c r="LW25" i="2"/>
  <c r="LV25" i="2"/>
  <c r="LU25" i="2"/>
  <c r="LT25" i="2"/>
  <c r="LS25" i="2"/>
  <c r="LR25" i="2"/>
  <c r="LQ25" i="2"/>
  <c r="LP25" i="2"/>
  <c r="LO25" i="2"/>
  <c r="LN25" i="2"/>
  <c r="LM25" i="2"/>
  <c r="LL25" i="2"/>
  <c r="LK25" i="2"/>
  <c r="LJ25" i="2"/>
  <c r="LI25" i="2"/>
  <c r="LH25" i="2"/>
  <c r="LG25" i="2"/>
  <c r="LF25" i="2"/>
  <c r="LE25" i="2"/>
  <c r="LD25" i="2"/>
  <c r="LC25" i="2"/>
  <c r="LB25" i="2"/>
  <c r="LA25" i="2"/>
  <c r="KZ25" i="2"/>
  <c r="KY25" i="2"/>
  <c r="KX25" i="2"/>
  <c r="KW25" i="2"/>
  <c r="KV25" i="2"/>
  <c r="KU25" i="2"/>
  <c r="KT25" i="2"/>
  <c r="KS25" i="2"/>
  <c r="KR25" i="2"/>
  <c r="KQ25" i="2"/>
  <c r="KP25" i="2"/>
  <c r="KO25" i="2"/>
  <c r="KN25" i="2"/>
  <c r="KM25" i="2"/>
  <c r="KL25" i="2"/>
  <c r="KK25" i="2"/>
  <c r="KJ25" i="2"/>
  <c r="KI25" i="2"/>
  <c r="KH25" i="2"/>
  <c r="KG25" i="2"/>
  <c r="KF25" i="2"/>
  <c r="KE25" i="2"/>
  <c r="KD25" i="2"/>
  <c r="KC25" i="2"/>
  <c r="KB25" i="2"/>
  <c r="KA25" i="2"/>
  <c r="JZ25" i="2"/>
  <c r="JY25" i="2"/>
  <c r="JX25" i="2"/>
  <c r="JW25" i="2"/>
  <c r="JV25" i="2"/>
  <c r="JU25" i="2"/>
  <c r="JT25" i="2"/>
  <c r="JS25" i="2"/>
  <c r="JR25" i="2"/>
  <c r="JQ25" i="2"/>
  <c r="JP25" i="2"/>
  <c r="JO25" i="2"/>
  <c r="JN25" i="2"/>
  <c r="JM25" i="2"/>
  <c r="JL25" i="2"/>
  <c r="JK25" i="2"/>
  <c r="JJ25" i="2"/>
  <c r="JI25" i="2"/>
  <c r="JH25" i="2"/>
  <c r="JG25" i="2"/>
  <c r="JF25" i="2"/>
  <c r="JE25" i="2"/>
  <c r="JD25" i="2"/>
  <c r="JC25" i="2"/>
  <c r="JB25" i="2"/>
  <c r="JA25" i="2"/>
  <c r="IZ25" i="2"/>
  <c r="IY25" i="2"/>
  <c r="IX25" i="2"/>
  <c r="IW25" i="2"/>
  <c r="IV25" i="2"/>
  <c r="IU25" i="2"/>
  <c r="IT25" i="2"/>
  <c r="IS25" i="2"/>
  <c r="IR25" i="2"/>
  <c r="IQ25" i="2"/>
  <c r="IP25" i="2"/>
  <c r="IO25" i="2"/>
  <c r="IN25" i="2"/>
  <c r="IM25" i="2"/>
  <c r="IL25" i="2"/>
  <c r="IK25" i="2"/>
  <c r="IJ25" i="2"/>
  <c r="II25" i="2"/>
  <c r="IH25" i="2"/>
  <c r="IG25" i="2"/>
  <c r="IF25" i="2"/>
  <c r="IE25" i="2"/>
  <c r="ID25" i="2"/>
  <c r="IC25" i="2"/>
  <c r="IB25" i="2"/>
  <c r="IA25" i="2"/>
  <c r="HZ25" i="2"/>
  <c r="HY25" i="2"/>
  <c r="HX25" i="2"/>
  <c r="HW25" i="2"/>
  <c r="HV25" i="2"/>
  <c r="HU25" i="2"/>
  <c r="HT25" i="2"/>
  <c r="HS25" i="2"/>
  <c r="HR25" i="2"/>
  <c r="HQ25" i="2"/>
  <c r="HP25" i="2"/>
  <c r="HO25" i="2"/>
  <c r="HN25" i="2"/>
  <c r="HM25" i="2"/>
  <c r="HL25" i="2"/>
  <c r="HK25" i="2"/>
  <c r="HJ25" i="2"/>
  <c r="HI25" i="2"/>
  <c r="HH25" i="2"/>
  <c r="HG25" i="2"/>
  <c r="HF25" i="2"/>
  <c r="HE25" i="2"/>
  <c r="HD25" i="2"/>
  <c r="HC25" i="2"/>
  <c r="HB25" i="2"/>
  <c r="HA25" i="2"/>
  <c r="GZ25" i="2"/>
  <c r="GY25" i="2"/>
  <c r="GX25" i="2"/>
  <c r="GW25" i="2"/>
  <c r="GV25" i="2"/>
  <c r="GU25" i="2"/>
  <c r="GT25" i="2"/>
  <c r="GS25" i="2"/>
  <c r="GR25" i="2"/>
  <c r="GQ25" i="2"/>
  <c r="GP25" i="2"/>
  <c r="GO25" i="2"/>
  <c r="GN25" i="2"/>
  <c r="GM25" i="2"/>
  <c r="GL25" i="2"/>
  <c r="GK25" i="2"/>
  <c r="GJ25" i="2"/>
  <c r="GI25" i="2"/>
  <c r="GH25" i="2"/>
  <c r="GG25" i="2"/>
  <c r="GF25" i="2"/>
  <c r="GE25" i="2"/>
  <c r="GD25" i="2"/>
  <c r="GC25" i="2"/>
  <c r="GB25" i="2"/>
  <c r="GA25" i="2"/>
  <c r="FZ25" i="2"/>
  <c r="FY25" i="2"/>
  <c r="FX25" i="2"/>
  <c r="FW25" i="2"/>
  <c r="FV25" i="2"/>
  <c r="FU25" i="2"/>
  <c r="FT25" i="2"/>
  <c r="FS25" i="2"/>
  <c r="FR25" i="2"/>
  <c r="FQ25" i="2"/>
  <c r="FP25" i="2"/>
  <c r="FO25" i="2"/>
  <c r="FN25" i="2"/>
  <c r="FM25" i="2"/>
  <c r="FL25" i="2"/>
  <c r="FK25" i="2"/>
  <c r="FJ25" i="2"/>
  <c r="FI25" i="2"/>
  <c r="FH25" i="2"/>
  <c r="FG25" i="2"/>
  <c r="FF25" i="2"/>
  <c r="FE25" i="2"/>
  <c r="FD25" i="2"/>
  <c r="FC25" i="2"/>
  <c r="FB25" i="2"/>
  <c r="FA25" i="2"/>
  <c r="EZ25" i="2"/>
  <c r="EY25" i="2"/>
  <c r="EX25" i="2"/>
  <c r="EW25" i="2"/>
  <c r="EV25" i="2"/>
  <c r="EU25" i="2"/>
  <c r="ET25" i="2"/>
  <c r="ES25" i="2"/>
  <c r="ER25" i="2"/>
  <c r="EQ25" i="2"/>
  <c r="EP25" i="2"/>
  <c r="EO25" i="2"/>
  <c r="EN25" i="2"/>
  <c r="EM25" i="2"/>
  <c r="EL25" i="2"/>
  <c r="EK25" i="2"/>
  <c r="EJ25" i="2"/>
  <c r="EI25" i="2"/>
  <c r="EH25" i="2"/>
  <c r="EG25" i="2"/>
  <c r="EF25" i="2"/>
  <c r="EE25" i="2"/>
  <c r="ED25" i="2"/>
  <c r="EC25" i="2"/>
  <c r="EB25" i="2"/>
  <c r="EA25" i="2"/>
  <c r="DZ25" i="2"/>
  <c r="DY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PI24" i="2"/>
  <c r="PH24" i="2"/>
  <c r="PG24" i="2"/>
  <c r="PF24" i="2"/>
  <c r="PE24" i="2"/>
  <c r="PD24" i="2"/>
  <c r="PC24" i="2"/>
  <c r="PB24" i="2"/>
  <c r="PA24" i="2"/>
  <c r="OZ24" i="2"/>
  <c r="OY24" i="2"/>
  <c r="OX24" i="2"/>
  <c r="OW24" i="2"/>
  <c r="OV24" i="2"/>
  <c r="OU24" i="2"/>
  <c r="OT24" i="2"/>
  <c r="OS24" i="2"/>
  <c r="OR24" i="2"/>
  <c r="OQ24" i="2"/>
  <c r="OP24" i="2"/>
  <c r="OO24" i="2"/>
  <c r="ON24" i="2"/>
  <c r="OM24" i="2"/>
  <c r="OL24" i="2"/>
  <c r="OK24" i="2"/>
  <c r="OJ24" i="2"/>
  <c r="OI24" i="2"/>
  <c r="OH24" i="2"/>
  <c r="OG24" i="2"/>
  <c r="OF24" i="2"/>
  <c r="OE24" i="2"/>
  <c r="OD24" i="2"/>
  <c r="OC24" i="2"/>
  <c r="OB24" i="2"/>
  <c r="OA24" i="2"/>
  <c r="NZ24" i="2"/>
  <c r="NY24" i="2"/>
  <c r="NX24" i="2"/>
  <c r="NW24" i="2"/>
  <c r="NV24" i="2"/>
  <c r="NU24" i="2"/>
  <c r="NT24" i="2"/>
  <c r="NS24" i="2"/>
  <c r="NR24" i="2"/>
  <c r="NQ24" i="2"/>
  <c r="NP24" i="2"/>
  <c r="NO24" i="2"/>
  <c r="NN24" i="2"/>
  <c r="NM24" i="2"/>
  <c r="NL24" i="2"/>
  <c r="NK24" i="2"/>
  <c r="NJ24" i="2"/>
  <c r="NI24" i="2"/>
  <c r="NH24" i="2"/>
  <c r="NG24" i="2"/>
  <c r="NF24" i="2"/>
  <c r="NE24" i="2"/>
  <c r="ND24" i="2"/>
  <c r="NC24" i="2"/>
  <c r="NB24" i="2"/>
  <c r="NA24" i="2"/>
  <c r="MZ24" i="2"/>
  <c r="MY24" i="2"/>
  <c r="MX24" i="2"/>
  <c r="MW24" i="2"/>
  <c r="MV24" i="2"/>
  <c r="MU24" i="2"/>
  <c r="MT24" i="2"/>
  <c r="MS24" i="2"/>
  <c r="MR24" i="2"/>
  <c r="MQ24" i="2"/>
  <c r="MP24" i="2"/>
  <c r="MO24" i="2"/>
  <c r="MN24" i="2"/>
  <c r="MM24" i="2"/>
  <c r="ML24" i="2"/>
  <c r="MK24" i="2"/>
  <c r="MJ24" i="2"/>
  <c r="MI24" i="2"/>
  <c r="MH24" i="2"/>
  <c r="MG24" i="2"/>
  <c r="MF24" i="2"/>
  <c r="ME24" i="2"/>
  <c r="MD24" i="2"/>
  <c r="MC24" i="2"/>
  <c r="MB24" i="2"/>
  <c r="MA24" i="2"/>
  <c r="LZ24" i="2"/>
  <c r="LY24" i="2"/>
  <c r="LX24" i="2"/>
  <c r="LW24" i="2"/>
  <c r="LV24" i="2"/>
  <c r="LU24" i="2"/>
  <c r="LT24" i="2"/>
  <c r="LS24" i="2"/>
  <c r="LR24" i="2"/>
  <c r="LQ24" i="2"/>
  <c r="LP24" i="2"/>
  <c r="LO24" i="2"/>
  <c r="LN24" i="2"/>
  <c r="LM24" i="2"/>
  <c r="LL24" i="2"/>
  <c r="LK24" i="2"/>
  <c r="LJ24" i="2"/>
  <c r="LI24" i="2"/>
  <c r="LH24" i="2"/>
  <c r="LG24" i="2"/>
  <c r="LF24" i="2"/>
  <c r="LE24" i="2"/>
  <c r="LD24" i="2"/>
  <c r="LC24" i="2"/>
  <c r="LB24" i="2"/>
  <c r="LA24" i="2"/>
  <c r="KZ24" i="2"/>
  <c r="KY24" i="2"/>
  <c r="KX24" i="2"/>
  <c r="KW24" i="2"/>
  <c r="KV24" i="2"/>
  <c r="KU24" i="2"/>
  <c r="KT24" i="2"/>
  <c r="KS24" i="2"/>
  <c r="KR24" i="2"/>
  <c r="KQ24" i="2"/>
  <c r="KP24" i="2"/>
  <c r="KO24" i="2"/>
  <c r="KN24" i="2"/>
  <c r="KM24" i="2"/>
  <c r="KL24" i="2"/>
  <c r="KK24" i="2"/>
  <c r="KJ24" i="2"/>
  <c r="KI24" i="2"/>
  <c r="KH24" i="2"/>
  <c r="KG24" i="2"/>
  <c r="KF24" i="2"/>
  <c r="KE24" i="2"/>
  <c r="KD24" i="2"/>
  <c r="KC24" i="2"/>
  <c r="KB24" i="2"/>
  <c r="KA24" i="2"/>
  <c r="JZ24" i="2"/>
  <c r="JY24" i="2"/>
  <c r="JX24" i="2"/>
  <c r="JW24" i="2"/>
  <c r="JV24" i="2"/>
  <c r="JU24" i="2"/>
  <c r="JT24" i="2"/>
  <c r="JS24" i="2"/>
  <c r="JR24" i="2"/>
  <c r="JQ24" i="2"/>
  <c r="JP24" i="2"/>
  <c r="JO24" i="2"/>
  <c r="JN24" i="2"/>
  <c r="JM24" i="2"/>
  <c r="JL24" i="2"/>
  <c r="JK24" i="2"/>
  <c r="JJ24" i="2"/>
  <c r="JI24" i="2"/>
  <c r="JH24" i="2"/>
  <c r="JG24" i="2"/>
  <c r="JF24" i="2"/>
  <c r="JE24" i="2"/>
  <c r="JD24" i="2"/>
  <c r="JC24" i="2"/>
  <c r="JB24" i="2"/>
  <c r="JA24" i="2"/>
  <c r="IZ24" i="2"/>
  <c r="IY24" i="2"/>
  <c r="IX24" i="2"/>
  <c r="IW24" i="2"/>
  <c r="IV24" i="2"/>
  <c r="IU24" i="2"/>
  <c r="IT24" i="2"/>
  <c r="IS24" i="2"/>
  <c r="IR24" i="2"/>
  <c r="IQ24" i="2"/>
  <c r="IP24" i="2"/>
  <c r="IO24" i="2"/>
  <c r="IN24" i="2"/>
  <c r="IM24" i="2"/>
  <c r="IL24" i="2"/>
  <c r="IK24" i="2"/>
  <c r="IJ24" i="2"/>
  <c r="II24" i="2"/>
  <c r="IH24" i="2"/>
  <c r="IG24" i="2"/>
  <c r="IF24" i="2"/>
  <c r="IE24" i="2"/>
  <c r="ID24" i="2"/>
  <c r="IC24" i="2"/>
  <c r="IB24" i="2"/>
  <c r="IA24" i="2"/>
  <c r="HZ24" i="2"/>
  <c r="HY24" i="2"/>
  <c r="HX24" i="2"/>
  <c r="HW24" i="2"/>
  <c r="HV24" i="2"/>
  <c r="HU24" i="2"/>
  <c r="HT24" i="2"/>
  <c r="HS24" i="2"/>
  <c r="HR24" i="2"/>
  <c r="HQ24" i="2"/>
  <c r="HP24" i="2"/>
  <c r="HO24" i="2"/>
  <c r="HN24" i="2"/>
  <c r="HM24" i="2"/>
  <c r="HL24" i="2"/>
  <c r="HK24" i="2"/>
  <c r="HJ24" i="2"/>
  <c r="HI24" i="2"/>
  <c r="HH24" i="2"/>
  <c r="HG24" i="2"/>
  <c r="HF24" i="2"/>
  <c r="HE24" i="2"/>
  <c r="HD24" i="2"/>
  <c r="HC24" i="2"/>
  <c r="HB24" i="2"/>
  <c r="HA24" i="2"/>
  <c r="GZ24" i="2"/>
  <c r="GY24" i="2"/>
  <c r="GX24" i="2"/>
  <c r="GW24" i="2"/>
  <c r="GV24" i="2"/>
  <c r="GU24" i="2"/>
  <c r="GT24" i="2"/>
  <c r="GS24" i="2"/>
  <c r="GR24" i="2"/>
  <c r="GQ24" i="2"/>
  <c r="GP24" i="2"/>
  <c r="GO24" i="2"/>
  <c r="GN24" i="2"/>
  <c r="GM24" i="2"/>
  <c r="GL24" i="2"/>
  <c r="GK24" i="2"/>
  <c r="GJ24" i="2"/>
  <c r="GI24" i="2"/>
  <c r="GH24" i="2"/>
  <c r="GG24" i="2"/>
  <c r="GF24" i="2"/>
  <c r="GE24" i="2"/>
  <c r="GD24" i="2"/>
  <c r="GC24" i="2"/>
  <c r="GB24" i="2"/>
  <c r="GA24" i="2"/>
  <c r="FZ24" i="2"/>
  <c r="FY24" i="2"/>
  <c r="FX24" i="2"/>
  <c r="FW24" i="2"/>
  <c r="FV24" i="2"/>
  <c r="FU24" i="2"/>
  <c r="FT24" i="2"/>
  <c r="FS24" i="2"/>
  <c r="FR24" i="2"/>
  <c r="FQ24" i="2"/>
  <c r="FP24" i="2"/>
  <c r="FO24" i="2"/>
  <c r="FN24" i="2"/>
  <c r="FM24" i="2"/>
  <c r="FL24" i="2"/>
  <c r="FK24" i="2"/>
  <c r="FJ24" i="2"/>
  <c r="FI24" i="2"/>
  <c r="FH24" i="2"/>
  <c r="FG24" i="2"/>
  <c r="FF24" i="2"/>
  <c r="FE24" i="2"/>
  <c r="FD24" i="2"/>
  <c r="FC24" i="2"/>
  <c r="FB24" i="2"/>
  <c r="FA24" i="2"/>
  <c r="EZ24" i="2"/>
  <c r="EY24" i="2"/>
  <c r="EX24" i="2"/>
  <c r="EW24" i="2"/>
  <c r="EV24" i="2"/>
  <c r="EU24" i="2"/>
  <c r="ET24" i="2"/>
  <c r="ES24" i="2"/>
  <c r="ER24" i="2"/>
  <c r="EQ24" i="2"/>
  <c r="EP24" i="2"/>
  <c r="EO24" i="2"/>
  <c r="EN24" i="2"/>
  <c r="EM24" i="2"/>
  <c r="EL24" i="2"/>
  <c r="EK24" i="2"/>
  <c r="EJ24" i="2"/>
  <c r="EI24" i="2"/>
  <c r="EH24" i="2"/>
  <c r="EG24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PI23" i="2"/>
  <c r="PH23" i="2"/>
  <c r="PG23" i="2"/>
  <c r="PF23" i="2"/>
  <c r="PE23" i="2"/>
  <c r="PD23" i="2"/>
  <c r="PC23" i="2"/>
  <c r="PB23" i="2"/>
  <c r="PA23" i="2"/>
  <c r="OZ23" i="2"/>
  <c r="OY23" i="2"/>
  <c r="OX23" i="2"/>
  <c r="OW23" i="2"/>
  <c r="OV23" i="2"/>
  <c r="OU23" i="2"/>
  <c r="OT23" i="2"/>
  <c r="OS23" i="2"/>
  <c r="OR23" i="2"/>
  <c r="OQ23" i="2"/>
  <c r="OP23" i="2"/>
  <c r="OO23" i="2"/>
  <c r="ON23" i="2"/>
  <c r="OM23" i="2"/>
  <c r="OL23" i="2"/>
  <c r="OK23" i="2"/>
  <c r="OJ23" i="2"/>
  <c r="OI23" i="2"/>
  <c r="OH23" i="2"/>
  <c r="OG23" i="2"/>
  <c r="OF23" i="2"/>
  <c r="OE23" i="2"/>
  <c r="OD23" i="2"/>
  <c r="OC23" i="2"/>
  <c r="OB23" i="2"/>
  <c r="OA23" i="2"/>
  <c r="NZ23" i="2"/>
  <c r="NY23" i="2"/>
  <c r="NX23" i="2"/>
  <c r="NW23" i="2"/>
  <c r="NV23" i="2"/>
  <c r="NU23" i="2"/>
  <c r="NT23" i="2"/>
  <c r="NS23" i="2"/>
  <c r="NR23" i="2"/>
  <c r="NQ23" i="2"/>
  <c r="NP23" i="2"/>
  <c r="NO23" i="2"/>
  <c r="NN23" i="2"/>
  <c r="NM23" i="2"/>
  <c r="NL23" i="2"/>
  <c r="NK23" i="2"/>
  <c r="NJ23" i="2"/>
  <c r="NI23" i="2"/>
  <c r="NH23" i="2"/>
  <c r="NG23" i="2"/>
  <c r="NF23" i="2"/>
  <c r="NE23" i="2"/>
  <c r="ND23" i="2"/>
  <c r="NC23" i="2"/>
  <c r="NB23" i="2"/>
  <c r="NA23" i="2"/>
  <c r="MZ23" i="2"/>
  <c r="MY23" i="2"/>
  <c r="MX23" i="2"/>
  <c r="MW23" i="2"/>
  <c r="MV23" i="2"/>
  <c r="MU23" i="2"/>
  <c r="MT23" i="2"/>
  <c r="MS23" i="2"/>
  <c r="MR23" i="2"/>
  <c r="MQ23" i="2"/>
  <c r="MP23" i="2"/>
  <c r="MO23" i="2"/>
  <c r="MN23" i="2"/>
  <c r="MM23" i="2"/>
  <c r="ML23" i="2"/>
  <c r="MK23" i="2"/>
  <c r="MJ23" i="2"/>
  <c r="MI23" i="2"/>
  <c r="MH23" i="2"/>
  <c r="MG23" i="2"/>
  <c r="MF23" i="2"/>
  <c r="ME23" i="2"/>
  <c r="MD23" i="2"/>
  <c r="MC23" i="2"/>
  <c r="MB23" i="2"/>
  <c r="MA23" i="2"/>
  <c r="LZ23" i="2"/>
  <c r="LY23" i="2"/>
  <c r="LX23" i="2"/>
  <c r="LW23" i="2"/>
  <c r="LV23" i="2"/>
  <c r="LU23" i="2"/>
  <c r="LT23" i="2"/>
  <c r="LS23" i="2"/>
  <c r="LR23" i="2"/>
  <c r="LQ23" i="2"/>
  <c r="LP23" i="2"/>
  <c r="LO23" i="2"/>
  <c r="LN23" i="2"/>
  <c r="LM23" i="2"/>
  <c r="LL23" i="2"/>
  <c r="LK23" i="2"/>
  <c r="LJ23" i="2"/>
  <c r="LI23" i="2"/>
  <c r="LH23" i="2"/>
  <c r="LG23" i="2"/>
  <c r="LF23" i="2"/>
  <c r="LE23" i="2"/>
  <c r="LD23" i="2"/>
  <c r="LC23" i="2"/>
  <c r="LB23" i="2"/>
  <c r="LA23" i="2"/>
  <c r="KZ23" i="2"/>
  <c r="KY23" i="2"/>
  <c r="KX23" i="2"/>
  <c r="KW23" i="2"/>
  <c r="KV23" i="2"/>
  <c r="KU23" i="2"/>
  <c r="KT23" i="2"/>
  <c r="KS23" i="2"/>
  <c r="KR23" i="2"/>
  <c r="KQ23" i="2"/>
  <c r="KP23" i="2"/>
  <c r="KO23" i="2"/>
  <c r="KN23" i="2"/>
  <c r="KM23" i="2"/>
  <c r="KL23" i="2"/>
  <c r="KK23" i="2"/>
  <c r="KJ23" i="2"/>
  <c r="KI23" i="2"/>
  <c r="KH23" i="2"/>
  <c r="KG23" i="2"/>
  <c r="KF23" i="2"/>
  <c r="KE23" i="2"/>
  <c r="KD23" i="2"/>
  <c r="KC23" i="2"/>
  <c r="KB23" i="2"/>
  <c r="KA23" i="2"/>
  <c r="JZ23" i="2"/>
  <c r="JY23" i="2"/>
  <c r="JX23" i="2"/>
  <c r="JW23" i="2"/>
  <c r="JV23" i="2"/>
  <c r="JU23" i="2"/>
  <c r="JT23" i="2"/>
  <c r="JS23" i="2"/>
  <c r="JR23" i="2"/>
  <c r="JQ23" i="2"/>
  <c r="JP23" i="2"/>
  <c r="JO23" i="2"/>
  <c r="JN23" i="2"/>
  <c r="JM23" i="2"/>
  <c r="JL23" i="2"/>
  <c r="JK23" i="2"/>
  <c r="JJ23" i="2"/>
  <c r="JI23" i="2"/>
  <c r="JH23" i="2"/>
  <c r="JG23" i="2"/>
  <c r="JF23" i="2"/>
  <c r="JE23" i="2"/>
  <c r="JD23" i="2"/>
  <c r="JC23" i="2"/>
  <c r="JB23" i="2"/>
  <c r="JA23" i="2"/>
  <c r="IZ23" i="2"/>
  <c r="IY23" i="2"/>
  <c r="IX23" i="2"/>
  <c r="IW23" i="2"/>
  <c r="IV23" i="2"/>
  <c r="IU23" i="2"/>
  <c r="IT23" i="2"/>
  <c r="IS23" i="2"/>
  <c r="IR23" i="2"/>
  <c r="IQ23" i="2"/>
  <c r="IP23" i="2"/>
  <c r="IO23" i="2"/>
  <c r="IN23" i="2"/>
  <c r="IM23" i="2"/>
  <c r="IL23" i="2"/>
  <c r="IK23" i="2"/>
  <c r="IJ23" i="2"/>
  <c r="II23" i="2"/>
  <c r="IH23" i="2"/>
  <c r="IG23" i="2"/>
  <c r="IF23" i="2"/>
  <c r="IE23" i="2"/>
  <c r="ID23" i="2"/>
  <c r="IC23" i="2"/>
  <c r="IB23" i="2"/>
  <c r="IA23" i="2"/>
  <c r="HZ23" i="2"/>
  <c r="HY23" i="2"/>
  <c r="HX23" i="2"/>
  <c r="HW23" i="2"/>
  <c r="HV23" i="2"/>
  <c r="HU23" i="2"/>
  <c r="HT23" i="2"/>
  <c r="HS23" i="2"/>
  <c r="HR23" i="2"/>
  <c r="HQ23" i="2"/>
  <c r="HP23" i="2"/>
  <c r="HO23" i="2"/>
  <c r="HN23" i="2"/>
  <c r="HM23" i="2"/>
  <c r="HL23" i="2"/>
  <c r="HK23" i="2"/>
  <c r="HJ23" i="2"/>
  <c r="HI23" i="2"/>
  <c r="HH23" i="2"/>
  <c r="HG23" i="2"/>
  <c r="HF23" i="2"/>
  <c r="HE23" i="2"/>
  <c r="HD23" i="2"/>
  <c r="HC23" i="2"/>
  <c r="HB23" i="2"/>
  <c r="HA23" i="2"/>
  <c r="GZ23" i="2"/>
  <c r="GY23" i="2"/>
  <c r="GX23" i="2"/>
  <c r="GW23" i="2"/>
  <c r="GV23" i="2"/>
  <c r="GU23" i="2"/>
  <c r="GT23" i="2"/>
  <c r="GS23" i="2"/>
  <c r="GR23" i="2"/>
  <c r="GQ23" i="2"/>
  <c r="GP23" i="2"/>
  <c r="GO23" i="2"/>
  <c r="GN23" i="2"/>
  <c r="GM23" i="2"/>
  <c r="GL23" i="2"/>
  <c r="GK23" i="2"/>
  <c r="GJ23" i="2"/>
  <c r="GI23" i="2"/>
  <c r="GH23" i="2"/>
  <c r="GG23" i="2"/>
  <c r="GF23" i="2"/>
  <c r="GE23" i="2"/>
  <c r="GD23" i="2"/>
  <c r="GC23" i="2"/>
  <c r="GB23" i="2"/>
  <c r="GA23" i="2"/>
  <c r="FZ23" i="2"/>
  <c r="FY23" i="2"/>
  <c r="FX23" i="2"/>
  <c r="FW23" i="2"/>
  <c r="FV23" i="2"/>
  <c r="FU23" i="2"/>
  <c r="FT23" i="2"/>
  <c r="FS23" i="2"/>
  <c r="FR23" i="2"/>
  <c r="FQ23" i="2"/>
  <c r="FP23" i="2"/>
  <c r="FO23" i="2"/>
  <c r="FN23" i="2"/>
  <c r="FM23" i="2"/>
  <c r="FL23" i="2"/>
  <c r="FK23" i="2"/>
  <c r="FJ23" i="2"/>
  <c r="FI23" i="2"/>
  <c r="FH23" i="2"/>
  <c r="FG23" i="2"/>
  <c r="FF23" i="2"/>
  <c r="FE23" i="2"/>
  <c r="FD23" i="2"/>
  <c r="FC23" i="2"/>
  <c r="FB23" i="2"/>
  <c r="FA23" i="2"/>
  <c r="EZ23" i="2"/>
  <c r="EY23" i="2"/>
  <c r="EX23" i="2"/>
  <c r="EW23" i="2"/>
  <c r="EV23" i="2"/>
  <c r="EU23" i="2"/>
  <c r="ET23" i="2"/>
  <c r="ES23" i="2"/>
  <c r="ER23" i="2"/>
  <c r="EQ23" i="2"/>
  <c r="EP23" i="2"/>
  <c r="EO23" i="2"/>
  <c r="EN23" i="2"/>
  <c r="EM23" i="2"/>
  <c r="EL23" i="2"/>
  <c r="EK23" i="2"/>
  <c r="EJ23" i="2"/>
  <c r="EI23" i="2"/>
  <c r="EH23" i="2"/>
  <c r="EG23" i="2"/>
  <c r="EF23" i="2"/>
  <c r="EE23" i="2"/>
  <c r="ED23" i="2"/>
  <c r="EC23" i="2"/>
  <c r="EB23" i="2"/>
  <c r="EA23" i="2"/>
  <c r="DZ23" i="2"/>
  <c r="DY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PI22" i="2"/>
  <c r="PH22" i="2"/>
  <c r="PG22" i="2"/>
  <c r="PF22" i="2"/>
  <c r="PE22" i="2"/>
  <c r="PD22" i="2"/>
  <c r="PC22" i="2"/>
  <c r="PB22" i="2"/>
  <c r="PA22" i="2"/>
  <c r="OZ22" i="2"/>
  <c r="OY22" i="2"/>
  <c r="OX22" i="2"/>
  <c r="OW22" i="2"/>
  <c r="OV22" i="2"/>
  <c r="OU22" i="2"/>
  <c r="OT22" i="2"/>
  <c r="OS22" i="2"/>
  <c r="OR22" i="2"/>
  <c r="OQ22" i="2"/>
  <c r="OP22" i="2"/>
  <c r="OO22" i="2"/>
  <c r="ON22" i="2"/>
  <c r="OM22" i="2"/>
  <c r="OL22" i="2"/>
  <c r="OK22" i="2"/>
  <c r="OJ22" i="2"/>
  <c r="OI22" i="2"/>
  <c r="OH22" i="2"/>
  <c r="OG22" i="2"/>
  <c r="OF22" i="2"/>
  <c r="OE22" i="2"/>
  <c r="OD22" i="2"/>
  <c r="OC22" i="2"/>
  <c r="OB22" i="2"/>
  <c r="OA22" i="2"/>
  <c r="NZ22" i="2"/>
  <c r="NY22" i="2"/>
  <c r="NX22" i="2"/>
  <c r="NW22" i="2"/>
  <c r="NV22" i="2"/>
  <c r="NU22" i="2"/>
  <c r="NT22" i="2"/>
  <c r="NS22" i="2"/>
  <c r="NR22" i="2"/>
  <c r="NQ22" i="2"/>
  <c r="NP22" i="2"/>
  <c r="NO22" i="2"/>
  <c r="NN22" i="2"/>
  <c r="NM22" i="2"/>
  <c r="NL22" i="2"/>
  <c r="NK22" i="2"/>
  <c r="NJ22" i="2"/>
  <c r="NI22" i="2"/>
  <c r="NH22" i="2"/>
  <c r="NG22" i="2"/>
  <c r="NF22" i="2"/>
  <c r="NE22" i="2"/>
  <c r="ND22" i="2"/>
  <c r="NC22" i="2"/>
  <c r="NB22" i="2"/>
  <c r="NA22" i="2"/>
  <c r="MZ22" i="2"/>
  <c r="MY22" i="2"/>
  <c r="MX22" i="2"/>
  <c r="MW22" i="2"/>
  <c r="MV22" i="2"/>
  <c r="MU22" i="2"/>
  <c r="MT22" i="2"/>
  <c r="MS22" i="2"/>
  <c r="MR22" i="2"/>
  <c r="MQ22" i="2"/>
  <c r="MP22" i="2"/>
  <c r="MO22" i="2"/>
  <c r="MN22" i="2"/>
  <c r="MM22" i="2"/>
  <c r="ML22" i="2"/>
  <c r="MK22" i="2"/>
  <c r="MJ22" i="2"/>
  <c r="MI22" i="2"/>
  <c r="MH22" i="2"/>
  <c r="MG22" i="2"/>
  <c r="MF22" i="2"/>
  <c r="ME22" i="2"/>
  <c r="MD22" i="2"/>
  <c r="MC22" i="2"/>
  <c r="MB22" i="2"/>
  <c r="MA22" i="2"/>
  <c r="LZ22" i="2"/>
  <c r="LY22" i="2"/>
  <c r="LX22" i="2"/>
  <c r="LW22" i="2"/>
  <c r="LV22" i="2"/>
  <c r="LU22" i="2"/>
  <c r="LT22" i="2"/>
  <c r="LS22" i="2"/>
  <c r="LR22" i="2"/>
  <c r="LQ22" i="2"/>
  <c r="LP22" i="2"/>
  <c r="LO22" i="2"/>
  <c r="LN22" i="2"/>
  <c r="LM22" i="2"/>
  <c r="LL22" i="2"/>
  <c r="LK22" i="2"/>
  <c r="LJ22" i="2"/>
  <c r="LI22" i="2"/>
  <c r="LH22" i="2"/>
  <c r="LG22" i="2"/>
  <c r="LF22" i="2"/>
  <c r="LE22" i="2"/>
  <c r="LD22" i="2"/>
  <c r="LC22" i="2"/>
  <c r="LB22" i="2"/>
  <c r="LA22" i="2"/>
  <c r="KZ22" i="2"/>
  <c r="KY22" i="2"/>
  <c r="KX22" i="2"/>
  <c r="KW22" i="2"/>
  <c r="KV22" i="2"/>
  <c r="KU22" i="2"/>
  <c r="KT22" i="2"/>
  <c r="KS22" i="2"/>
  <c r="KR22" i="2"/>
  <c r="KQ22" i="2"/>
  <c r="KP22" i="2"/>
  <c r="KO22" i="2"/>
  <c r="KN22" i="2"/>
  <c r="KM22" i="2"/>
  <c r="KL22" i="2"/>
  <c r="KK22" i="2"/>
  <c r="KJ22" i="2"/>
  <c r="KI22" i="2"/>
  <c r="KH22" i="2"/>
  <c r="KG22" i="2"/>
  <c r="KF22" i="2"/>
  <c r="KE22" i="2"/>
  <c r="KD22" i="2"/>
  <c r="KC22" i="2"/>
  <c r="KB22" i="2"/>
  <c r="KA22" i="2"/>
  <c r="JZ22" i="2"/>
  <c r="JY22" i="2"/>
  <c r="JX22" i="2"/>
  <c r="JW22" i="2"/>
  <c r="JV22" i="2"/>
  <c r="JU22" i="2"/>
  <c r="JT22" i="2"/>
  <c r="JS22" i="2"/>
  <c r="JR22" i="2"/>
  <c r="JQ22" i="2"/>
  <c r="JP22" i="2"/>
  <c r="JO22" i="2"/>
  <c r="JN22" i="2"/>
  <c r="JM22" i="2"/>
  <c r="JL22" i="2"/>
  <c r="JK22" i="2"/>
  <c r="JJ22" i="2"/>
  <c r="JI22" i="2"/>
  <c r="JH22" i="2"/>
  <c r="JG22" i="2"/>
  <c r="JF22" i="2"/>
  <c r="JE22" i="2"/>
  <c r="JD22" i="2"/>
  <c r="JC22" i="2"/>
  <c r="JB22" i="2"/>
  <c r="JA22" i="2"/>
  <c r="IZ22" i="2"/>
  <c r="IY22" i="2"/>
  <c r="IX22" i="2"/>
  <c r="IW22" i="2"/>
  <c r="IV22" i="2"/>
  <c r="IU22" i="2"/>
  <c r="IT22" i="2"/>
  <c r="IS22" i="2"/>
  <c r="IR22" i="2"/>
  <c r="IQ22" i="2"/>
  <c r="IP22" i="2"/>
  <c r="IO22" i="2"/>
  <c r="IN22" i="2"/>
  <c r="IM22" i="2"/>
  <c r="IL22" i="2"/>
  <c r="IK22" i="2"/>
  <c r="IJ22" i="2"/>
  <c r="II22" i="2"/>
  <c r="IH22" i="2"/>
  <c r="IG22" i="2"/>
  <c r="IF22" i="2"/>
  <c r="IE22" i="2"/>
  <c r="ID22" i="2"/>
  <c r="IC22" i="2"/>
  <c r="IB22" i="2"/>
  <c r="IA22" i="2"/>
  <c r="HZ22" i="2"/>
  <c r="HY22" i="2"/>
  <c r="HX22" i="2"/>
  <c r="HW22" i="2"/>
  <c r="HV22" i="2"/>
  <c r="HU22" i="2"/>
  <c r="HT22" i="2"/>
  <c r="HS22" i="2"/>
  <c r="HR22" i="2"/>
  <c r="HQ22" i="2"/>
  <c r="HP22" i="2"/>
  <c r="HO22" i="2"/>
  <c r="HN22" i="2"/>
  <c r="HM22" i="2"/>
  <c r="HL22" i="2"/>
  <c r="HK22" i="2"/>
  <c r="HJ22" i="2"/>
  <c r="HI22" i="2"/>
  <c r="HH22" i="2"/>
  <c r="HG22" i="2"/>
  <c r="HF22" i="2"/>
  <c r="HE22" i="2"/>
  <c r="HD22" i="2"/>
  <c r="HC22" i="2"/>
  <c r="HB22" i="2"/>
  <c r="HA22" i="2"/>
  <c r="GZ22" i="2"/>
  <c r="GY22" i="2"/>
  <c r="GX22" i="2"/>
  <c r="GW22" i="2"/>
  <c r="GV22" i="2"/>
  <c r="GU22" i="2"/>
  <c r="GT22" i="2"/>
  <c r="GS22" i="2"/>
  <c r="GR22" i="2"/>
  <c r="GQ22" i="2"/>
  <c r="GP22" i="2"/>
  <c r="GO22" i="2"/>
  <c r="GN22" i="2"/>
  <c r="GM22" i="2"/>
  <c r="GL22" i="2"/>
  <c r="GK22" i="2"/>
  <c r="GJ22" i="2"/>
  <c r="GI22" i="2"/>
  <c r="GH22" i="2"/>
  <c r="GG22" i="2"/>
  <c r="GF22" i="2"/>
  <c r="GE22" i="2"/>
  <c r="GD22" i="2"/>
  <c r="GC22" i="2"/>
  <c r="GB22" i="2"/>
  <c r="GA22" i="2"/>
  <c r="FZ22" i="2"/>
  <c r="FY22" i="2"/>
  <c r="FX22" i="2"/>
  <c r="FW22" i="2"/>
  <c r="FV22" i="2"/>
  <c r="FU22" i="2"/>
  <c r="FT22" i="2"/>
  <c r="FS22" i="2"/>
  <c r="FR22" i="2"/>
  <c r="FQ22" i="2"/>
  <c r="FP22" i="2"/>
  <c r="FO22" i="2"/>
  <c r="FN22" i="2"/>
  <c r="FM22" i="2"/>
  <c r="FL22" i="2"/>
  <c r="FK22" i="2"/>
  <c r="FJ22" i="2"/>
  <c r="FI22" i="2"/>
  <c r="FH22" i="2"/>
  <c r="FG22" i="2"/>
  <c r="FF22" i="2"/>
  <c r="FE22" i="2"/>
  <c r="FD22" i="2"/>
  <c r="FC22" i="2"/>
  <c r="FB22" i="2"/>
  <c r="FA22" i="2"/>
  <c r="EZ22" i="2"/>
  <c r="EY22" i="2"/>
  <c r="EX22" i="2"/>
  <c r="EW22" i="2"/>
  <c r="EV22" i="2"/>
  <c r="EU22" i="2"/>
  <c r="ET22" i="2"/>
  <c r="ES22" i="2"/>
  <c r="ER22" i="2"/>
  <c r="EQ22" i="2"/>
  <c r="EP22" i="2"/>
  <c r="EO22" i="2"/>
  <c r="EN22" i="2"/>
  <c r="EM22" i="2"/>
  <c r="EL22" i="2"/>
  <c r="EK22" i="2"/>
  <c r="EJ22" i="2"/>
  <c r="EI22" i="2"/>
  <c r="EH22" i="2"/>
  <c r="EG22" i="2"/>
  <c r="EF22" i="2"/>
  <c r="EE22" i="2"/>
  <c r="ED22" i="2"/>
  <c r="EC22" i="2"/>
  <c r="EB22" i="2"/>
  <c r="EA22" i="2"/>
  <c r="DZ22" i="2"/>
  <c r="DY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PI21" i="2"/>
  <c r="PH21" i="2"/>
  <c r="PG21" i="2"/>
  <c r="PF21" i="2"/>
  <c r="PE21" i="2"/>
  <c r="PD21" i="2"/>
  <c r="PC21" i="2"/>
  <c r="PB21" i="2"/>
  <c r="PA21" i="2"/>
  <c r="OZ21" i="2"/>
  <c r="OY21" i="2"/>
  <c r="OX21" i="2"/>
  <c r="OW21" i="2"/>
  <c r="OV21" i="2"/>
  <c r="OU21" i="2"/>
  <c r="OT21" i="2"/>
  <c r="OS21" i="2"/>
  <c r="OR21" i="2"/>
  <c r="OQ21" i="2"/>
  <c r="OP21" i="2"/>
  <c r="OO21" i="2"/>
  <c r="ON21" i="2"/>
  <c r="OM21" i="2"/>
  <c r="OL21" i="2"/>
  <c r="OK21" i="2"/>
  <c r="OJ21" i="2"/>
  <c r="OI21" i="2"/>
  <c r="OH21" i="2"/>
  <c r="OG21" i="2"/>
  <c r="OF21" i="2"/>
  <c r="OE21" i="2"/>
  <c r="OD21" i="2"/>
  <c r="OC21" i="2"/>
  <c r="OB21" i="2"/>
  <c r="OA21" i="2"/>
  <c r="NZ21" i="2"/>
  <c r="NY21" i="2"/>
  <c r="NX21" i="2"/>
  <c r="NW21" i="2"/>
  <c r="NV21" i="2"/>
  <c r="NU21" i="2"/>
  <c r="NT21" i="2"/>
  <c r="NS21" i="2"/>
  <c r="NR21" i="2"/>
  <c r="NQ21" i="2"/>
  <c r="NP21" i="2"/>
  <c r="NO21" i="2"/>
  <c r="NN21" i="2"/>
  <c r="NM21" i="2"/>
  <c r="NL21" i="2"/>
  <c r="NK21" i="2"/>
  <c r="NJ21" i="2"/>
  <c r="NI21" i="2"/>
  <c r="NH21" i="2"/>
  <c r="NG21" i="2"/>
  <c r="NF21" i="2"/>
  <c r="NE21" i="2"/>
  <c r="ND21" i="2"/>
  <c r="NC21" i="2"/>
  <c r="NB21" i="2"/>
  <c r="NA21" i="2"/>
  <c r="MZ21" i="2"/>
  <c r="MY21" i="2"/>
  <c r="MX21" i="2"/>
  <c r="MW21" i="2"/>
  <c r="MV21" i="2"/>
  <c r="MU21" i="2"/>
  <c r="MT21" i="2"/>
  <c r="MS21" i="2"/>
  <c r="MR21" i="2"/>
  <c r="MQ21" i="2"/>
  <c r="MP21" i="2"/>
  <c r="MO21" i="2"/>
  <c r="MN21" i="2"/>
  <c r="MM21" i="2"/>
  <c r="ML21" i="2"/>
  <c r="MK21" i="2"/>
  <c r="MJ21" i="2"/>
  <c r="MI21" i="2"/>
  <c r="MH21" i="2"/>
  <c r="MG21" i="2"/>
  <c r="MF21" i="2"/>
  <c r="ME21" i="2"/>
  <c r="MD21" i="2"/>
  <c r="MC21" i="2"/>
  <c r="MB21" i="2"/>
  <c r="MA21" i="2"/>
  <c r="LZ21" i="2"/>
  <c r="LY21" i="2"/>
  <c r="LX21" i="2"/>
  <c r="LW21" i="2"/>
  <c r="LV21" i="2"/>
  <c r="LU21" i="2"/>
  <c r="LT21" i="2"/>
  <c r="LS21" i="2"/>
  <c r="LR21" i="2"/>
  <c r="LQ21" i="2"/>
  <c r="LP21" i="2"/>
  <c r="LO21" i="2"/>
  <c r="LN21" i="2"/>
  <c r="LM21" i="2"/>
  <c r="LL21" i="2"/>
  <c r="LK21" i="2"/>
  <c r="LJ21" i="2"/>
  <c r="LI21" i="2"/>
  <c r="LH21" i="2"/>
  <c r="LG21" i="2"/>
  <c r="LF21" i="2"/>
  <c r="LE21" i="2"/>
  <c r="LD21" i="2"/>
  <c r="LC21" i="2"/>
  <c r="LB21" i="2"/>
  <c r="LA21" i="2"/>
  <c r="KZ21" i="2"/>
  <c r="KY21" i="2"/>
  <c r="KX21" i="2"/>
  <c r="KW21" i="2"/>
  <c r="KV21" i="2"/>
  <c r="KU21" i="2"/>
  <c r="KT21" i="2"/>
  <c r="KS21" i="2"/>
  <c r="KR21" i="2"/>
  <c r="KQ21" i="2"/>
  <c r="KP21" i="2"/>
  <c r="KO21" i="2"/>
  <c r="KN21" i="2"/>
  <c r="KM21" i="2"/>
  <c r="KL21" i="2"/>
  <c r="KK21" i="2"/>
  <c r="KJ21" i="2"/>
  <c r="KI21" i="2"/>
  <c r="KH21" i="2"/>
  <c r="KG21" i="2"/>
  <c r="KF21" i="2"/>
  <c r="KE21" i="2"/>
  <c r="KD21" i="2"/>
  <c r="KC21" i="2"/>
  <c r="KB21" i="2"/>
  <c r="KA21" i="2"/>
  <c r="JZ21" i="2"/>
  <c r="JY21" i="2"/>
  <c r="JX21" i="2"/>
  <c r="JW21" i="2"/>
  <c r="JV21" i="2"/>
  <c r="JU21" i="2"/>
  <c r="JT21" i="2"/>
  <c r="JS21" i="2"/>
  <c r="JR21" i="2"/>
  <c r="JQ21" i="2"/>
  <c r="JP21" i="2"/>
  <c r="JO21" i="2"/>
  <c r="JN21" i="2"/>
  <c r="JM21" i="2"/>
  <c r="JL21" i="2"/>
  <c r="JK21" i="2"/>
  <c r="JJ21" i="2"/>
  <c r="JI21" i="2"/>
  <c r="JH21" i="2"/>
  <c r="JG21" i="2"/>
  <c r="JF21" i="2"/>
  <c r="JE21" i="2"/>
  <c r="JD21" i="2"/>
  <c r="JC21" i="2"/>
  <c r="JB21" i="2"/>
  <c r="JA21" i="2"/>
  <c r="IZ21" i="2"/>
  <c r="IY21" i="2"/>
  <c r="IX21" i="2"/>
  <c r="IW21" i="2"/>
  <c r="IV21" i="2"/>
  <c r="IU21" i="2"/>
  <c r="IT21" i="2"/>
  <c r="IS21" i="2"/>
  <c r="IR21" i="2"/>
  <c r="IQ21" i="2"/>
  <c r="IP21" i="2"/>
  <c r="IO21" i="2"/>
  <c r="IN21" i="2"/>
  <c r="IM21" i="2"/>
  <c r="IL21" i="2"/>
  <c r="IK21" i="2"/>
  <c r="IJ21" i="2"/>
  <c r="II21" i="2"/>
  <c r="IH21" i="2"/>
  <c r="IG21" i="2"/>
  <c r="IF21" i="2"/>
  <c r="IE21" i="2"/>
  <c r="ID21" i="2"/>
  <c r="IC21" i="2"/>
  <c r="IB21" i="2"/>
  <c r="IA21" i="2"/>
  <c r="HZ21" i="2"/>
  <c r="HY21" i="2"/>
  <c r="HX21" i="2"/>
  <c r="HW21" i="2"/>
  <c r="HV21" i="2"/>
  <c r="HU21" i="2"/>
  <c r="HT21" i="2"/>
  <c r="HS21" i="2"/>
  <c r="HR21" i="2"/>
  <c r="HQ21" i="2"/>
  <c r="HP21" i="2"/>
  <c r="HO21" i="2"/>
  <c r="HN21" i="2"/>
  <c r="HM21" i="2"/>
  <c r="HL21" i="2"/>
  <c r="HK21" i="2"/>
  <c r="HJ21" i="2"/>
  <c r="HI21" i="2"/>
  <c r="HH21" i="2"/>
  <c r="HG21" i="2"/>
  <c r="HF21" i="2"/>
  <c r="HE21" i="2"/>
  <c r="HD21" i="2"/>
  <c r="HC21" i="2"/>
  <c r="HB21" i="2"/>
  <c r="HA21" i="2"/>
  <c r="GZ21" i="2"/>
  <c r="GY21" i="2"/>
  <c r="GX21" i="2"/>
  <c r="GW21" i="2"/>
  <c r="GV21" i="2"/>
  <c r="GU21" i="2"/>
  <c r="GT21" i="2"/>
  <c r="GS21" i="2"/>
  <c r="GR21" i="2"/>
  <c r="GQ21" i="2"/>
  <c r="GP21" i="2"/>
  <c r="GO21" i="2"/>
  <c r="GN21" i="2"/>
  <c r="GM21" i="2"/>
  <c r="GL21" i="2"/>
  <c r="GK21" i="2"/>
  <c r="GJ21" i="2"/>
  <c r="GI21" i="2"/>
  <c r="GH21" i="2"/>
  <c r="GG21" i="2"/>
  <c r="GF21" i="2"/>
  <c r="GE21" i="2"/>
  <c r="GD21" i="2"/>
  <c r="GC21" i="2"/>
  <c r="GB21" i="2"/>
  <c r="GA21" i="2"/>
  <c r="FZ21" i="2"/>
  <c r="FY21" i="2"/>
  <c r="FX21" i="2"/>
  <c r="FW21" i="2"/>
  <c r="FV21" i="2"/>
  <c r="FU21" i="2"/>
  <c r="FT21" i="2"/>
  <c r="FS21" i="2"/>
  <c r="FR21" i="2"/>
  <c r="FQ21" i="2"/>
  <c r="FP21" i="2"/>
  <c r="FO21" i="2"/>
  <c r="FN21" i="2"/>
  <c r="FM21" i="2"/>
  <c r="FL21" i="2"/>
  <c r="FK21" i="2"/>
  <c r="FJ21" i="2"/>
  <c r="FI21" i="2"/>
  <c r="FH21" i="2"/>
  <c r="FG21" i="2"/>
  <c r="FF21" i="2"/>
  <c r="FE21" i="2"/>
  <c r="FD21" i="2"/>
  <c r="FC21" i="2"/>
  <c r="FB21" i="2"/>
  <c r="FA21" i="2"/>
  <c r="EZ21" i="2"/>
  <c r="EY21" i="2"/>
  <c r="EX21" i="2"/>
  <c r="EW21" i="2"/>
  <c r="EV21" i="2"/>
  <c r="EU21" i="2"/>
  <c r="ET21" i="2"/>
  <c r="ES21" i="2"/>
  <c r="ER21" i="2"/>
  <c r="EQ21" i="2"/>
  <c r="EP21" i="2"/>
  <c r="EO21" i="2"/>
  <c r="EN21" i="2"/>
  <c r="EM21" i="2"/>
  <c r="EL21" i="2"/>
  <c r="EK21" i="2"/>
  <c r="EJ21" i="2"/>
  <c r="EI21" i="2"/>
  <c r="EH21" i="2"/>
  <c r="EG21" i="2"/>
  <c r="EF21" i="2"/>
  <c r="EE21" i="2"/>
  <c r="ED21" i="2"/>
  <c r="EC21" i="2"/>
  <c r="EB21" i="2"/>
  <c r="EA21" i="2"/>
  <c r="DZ21" i="2"/>
  <c r="DY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PI20" i="2"/>
  <c r="PH20" i="2"/>
  <c r="PG20" i="2"/>
  <c r="PF20" i="2"/>
  <c r="PE20" i="2"/>
  <c r="PD20" i="2"/>
  <c r="PC20" i="2"/>
  <c r="PB20" i="2"/>
  <c r="PA20" i="2"/>
  <c r="OZ20" i="2"/>
  <c r="OY20" i="2"/>
  <c r="OX20" i="2"/>
  <c r="OW20" i="2"/>
  <c r="OV20" i="2"/>
  <c r="OU20" i="2"/>
  <c r="OT20" i="2"/>
  <c r="OS20" i="2"/>
  <c r="OR20" i="2"/>
  <c r="OQ20" i="2"/>
  <c r="OP20" i="2"/>
  <c r="OO20" i="2"/>
  <c r="ON20" i="2"/>
  <c r="OM20" i="2"/>
  <c r="OL20" i="2"/>
  <c r="OK20" i="2"/>
  <c r="OJ20" i="2"/>
  <c r="OI20" i="2"/>
  <c r="OH20" i="2"/>
  <c r="OG20" i="2"/>
  <c r="OF20" i="2"/>
  <c r="OE20" i="2"/>
  <c r="OD20" i="2"/>
  <c r="OC20" i="2"/>
  <c r="OB20" i="2"/>
  <c r="OA20" i="2"/>
  <c r="NZ20" i="2"/>
  <c r="NY20" i="2"/>
  <c r="NX20" i="2"/>
  <c r="NW20" i="2"/>
  <c r="NV20" i="2"/>
  <c r="NU20" i="2"/>
  <c r="NT20" i="2"/>
  <c r="NS20" i="2"/>
  <c r="NR20" i="2"/>
  <c r="NQ20" i="2"/>
  <c r="NP20" i="2"/>
  <c r="NO20" i="2"/>
  <c r="NN20" i="2"/>
  <c r="NM20" i="2"/>
  <c r="NL20" i="2"/>
  <c r="NK20" i="2"/>
  <c r="NJ20" i="2"/>
  <c r="NI20" i="2"/>
  <c r="NH20" i="2"/>
  <c r="NG20" i="2"/>
  <c r="NF20" i="2"/>
  <c r="NE20" i="2"/>
  <c r="ND20" i="2"/>
  <c r="NC20" i="2"/>
  <c r="NB20" i="2"/>
  <c r="NA20" i="2"/>
  <c r="MZ20" i="2"/>
  <c r="MY20" i="2"/>
  <c r="MX20" i="2"/>
  <c r="MW20" i="2"/>
  <c r="MV20" i="2"/>
  <c r="MU20" i="2"/>
  <c r="MT20" i="2"/>
  <c r="MS20" i="2"/>
  <c r="MR20" i="2"/>
  <c r="MQ20" i="2"/>
  <c r="MP20" i="2"/>
  <c r="MO20" i="2"/>
  <c r="MN20" i="2"/>
  <c r="MM20" i="2"/>
  <c r="ML20" i="2"/>
  <c r="MK20" i="2"/>
  <c r="MJ20" i="2"/>
  <c r="MI20" i="2"/>
  <c r="MH20" i="2"/>
  <c r="MG20" i="2"/>
  <c r="MF20" i="2"/>
  <c r="ME20" i="2"/>
  <c r="MD20" i="2"/>
  <c r="MC20" i="2"/>
  <c r="MB20" i="2"/>
  <c r="MA20" i="2"/>
  <c r="LZ20" i="2"/>
  <c r="LY20" i="2"/>
  <c r="LX20" i="2"/>
  <c r="LW20" i="2"/>
  <c r="LV20" i="2"/>
  <c r="LU20" i="2"/>
  <c r="LT20" i="2"/>
  <c r="LS20" i="2"/>
  <c r="LR20" i="2"/>
  <c r="LQ20" i="2"/>
  <c r="LP20" i="2"/>
  <c r="LO20" i="2"/>
  <c r="LN20" i="2"/>
  <c r="LM20" i="2"/>
  <c r="LL20" i="2"/>
  <c r="LK20" i="2"/>
  <c r="LJ20" i="2"/>
  <c r="LI20" i="2"/>
  <c r="LH20" i="2"/>
  <c r="LG20" i="2"/>
  <c r="LF20" i="2"/>
  <c r="LE20" i="2"/>
  <c r="LD20" i="2"/>
  <c r="LC20" i="2"/>
  <c r="LB20" i="2"/>
  <c r="LA20" i="2"/>
  <c r="KZ20" i="2"/>
  <c r="KY20" i="2"/>
  <c r="KX20" i="2"/>
  <c r="KW20" i="2"/>
  <c r="KV20" i="2"/>
  <c r="KU20" i="2"/>
  <c r="KT20" i="2"/>
  <c r="KS20" i="2"/>
  <c r="KR20" i="2"/>
  <c r="KQ20" i="2"/>
  <c r="KP20" i="2"/>
  <c r="KO20" i="2"/>
  <c r="KN20" i="2"/>
  <c r="KM20" i="2"/>
  <c r="KL20" i="2"/>
  <c r="KK20" i="2"/>
  <c r="KJ20" i="2"/>
  <c r="KI20" i="2"/>
  <c r="KH20" i="2"/>
  <c r="KG20" i="2"/>
  <c r="KF20" i="2"/>
  <c r="KE20" i="2"/>
  <c r="KD20" i="2"/>
  <c r="KC20" i="2"/>
  <c r="KB20" i="2"/>
  <c r="KA20" i="2"/>
  <c r="JZ20" i="2"/>
  <c r="JY20" i="2"/>
  <c r="JX20" i="2"/>
  <c r="JW20" i="2"/>
  <c r="JV20" i="2"/>
  <c r="JU20" i="2"/>
  <c r="JT20" i="2"/>
  <c r="JS20" i="2"/>
  <c r="JR20" i="2"/>
  <c r="JQ20" i="2"/>
  <c r="JP20" i="2"/>
  <c r="JO20" i="2"/>
  <c r="JN20" i="2"/>
  <c r="JM20" i="2"/>
  <c r="JL20" i="2"/>
  <c r="JK20" i="2"/>
  <c r="JJ20" i="2"/>
  <c r="JI20" i="2"/>
  <c r="JH20" i="2"/>
  <c r="JG20" i="2"/>
  <c r="JF20" i="2"/>
  <c r="JE20" i="2"/>
  <c r="JD20" i="2"/>
  <c r="JC20" i="2"/>
  <c r="JB20" i="2"/>
  <c r="JA20" i="2"/>
  <c r="IZ20" i="2"/>
  <c r="IY20" i="2"/>
  <c r="IX20" i="2"/>
  <c r="IW20" i="2"/>
  <c r="IV20" i="2"/>
  <c r="IU20" i="2"/>
  <c r="IT20" i="2"/>
  <c r="IS20" i="2"/>
  <c r="IR20" i="2"/>
  <c r="IQ20" i="2"/>
  <c r="IP20" i="2"/>
  <c r="IO20" i="2"/>
  <c r="IN20" i="2"/>
  <c r="IM20" i="2"/>
  <c r="IL20" i="2"/>
  <c r="IK20" i="2"/>
  <c r="IJ20" i="2"/>
  <c r="II20" i="2"/>
  <c r="IH20" i="2"/>
  <c r="IG20" i="2"/>
  <c r="IF20" i="2"/>
  <c r="IE20" i="2"/>
  <c r="ID20" i="2"/>
  <c r="IC20" i="2"/>
  <c r="IB20" i="2"/>
  <c r="IA20" i="2"/>
  <c r="HZ20" i="2"/>
  <c r="HY20" i="2"/>
  <c r="HX20" i="2"/>
  <c r="HW20" i="2"/>
  <c r="HV20" i="2"/>
  <c r="HU20" i="2"/>
  <c r="HT20" i="2"/>
  <c r="HS20" i="2"/>
  <c r="HR20" i="2"/>
  <c r="HQ20" i="2"/>
  <c r="HP20" i="2"/>
  <c r="HO20" i="2"/>
  <c r="HN20" i="2"/>
  <c r="HM20" i="2"/>
  <c r="HL20" i="2"/>
  <c r="HK20" i="2"/>
  <c r="HJ20" i="2"/>
  <c r="HI20" i="2"/>
  <c r="HH20" i="2"/>
  <c r="HG20" i="2"/>
  <c r="HF20" i="2"/>
  <c r="HE20" i="2"/>
  <c r="HD20" i="2"/>
  <c r="HC20" i="2"/>
  <c r="HB20" i="2"/>
  <c r="HA20" i="2"/>
  <c r="GZ20" i="2"/>
  <c r="GY20" i="2"/>
  <c r="GX20" i="2"/>
  <c r="GW20" i="2"/>
  <c r="GV20" i="2"/>
  <c r="GU20" i="2"/>
  <c r="GT20" i="2"/>
  <c r="GS20" i="2"/>
  <c r="GR20" i="2"/>
  <c r="GQ20" i="2"/>
  <c r="GP20" i="2"/>
  <c r="GO20" i="2"/>
  <c r="GN20" i="2"/>
  <c r="GM20" i="2"/>
  <c r="GL20" i="2"/>
  <c r="GK20" i="2"/>
  <c r="GJ20" i="2"/>
  <c r="GI20" i="2"/>
  <c r="GH20" i="2"/>
  <c r="GG20" i="2"/>
  <c r="GF20" i="2"/>
  <c r="GE20" i="2"/>
  <c r="GD20" i="2"/>
  <c r="GC20" i="2"/>
  <c r="GB20" i="2"/>
  <c r="GA20" i="2"/>
  <c r="FZ20" i="2"/>
  <c r="FY20" i="2"/>
  <c r="FX20" i="2"/>
  <c r="FW20" i="2"/>
  <c r="FV20" i="2"/>
  <c r="FU20" i="2"/>
  <c r="FT20" i="2"/>
  <c r="FS20" i="2"/>
  <c r="FR20" i="2"/>
  <c r="FQ20" i="2"/>
  <c r="FP20" i="2"/>
  <c r="FO20" i="2"/>
  <c r="FN20" i="2"/>
  <c r="FM20" i="2"/>
  <c r="FL20" i="2"/>
  <c r="FK20" i="2"/>
  <c r="FJ20" i="2"/>
  <c r="FI20" i="2"/>
  <c r="FH20" i="2"/>
  <c r="FG20" i="2"/>
  <c r="FF20" i="2"/>
  <c r="FE20" i="2"/>
  <c r="FD20" i="2"/>
  <c r="FC20" i="2"/>
  <c r="FB20" i="2"/>
  <c r="FA20" i="2"/>
  <c r="EZ20" i="2"/>
  <c r="EY20" i="2"/>
  <c r="EX20" i="2"/>
  <c r="EW20" i="2"/>
  <c r="EV20" i="2"/>
  <c r="EU20" i="2"/>
  <c r="ET20" i="2"/>
  <c r="ES20" i="2"/>
  <c r="ER20" i="2"/>
  <c r="EQ20" i="2"/>
  <c r="EP20" i="2"/>
  <c r="EO20" i="2"/>
  <c r="EN20" i="2"/>
  <c r="EM20" i="2"/>
  <c r="EL20" i="2"/>
  <c r="EK20" i="2"/>
  <c r="EJ20" i="2"/>
  <c r="EI20" i="2"/>
  <c r="EH20" i="2"/>
  <c r="EG20" i="2"/>
  <c r="EF20" i="2"/>
  <c r="EE20" i="2"/>
  <c r="ED20" i="2"/>
  <c r="EC20" i="2"/>
  <c r="EB20" i="2"/>
  <c r="EA20" i="2"/>
  <c r="DZ20" i="2"/>
  <c r="DY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PI19" i="2"/>
  <c r="PH19" i="2"/>
  <c r="PG19" i="2"/>
  <c r="PF19" i="2"/>
  <c r="PE19" i="2"/>
  <c r="PD19" i="2"/>
  <c r="PC19" i="2"/>
  <c r="PB19" i="2"/>
  <c r="PA19" i="2"/>
  <c r="OZ19" i="2"/>
  <c r="OY19" i="2"/>
  <c r="OX19" i="2"/>
  <c r="OW19" i="2"/>
  <c r="OV19" i="2"/>
  <c r="OU19" i="2"/>
  <c r="OT19" i="2"/>
  <c r="OS19" i="2"/>
  <c r="OR19" i="2"/>
  <c r="OQ19" i="2"/>
  <c r="OP19" i="2"/>
  <c r="OO19" i="2"/>
  <c r="ON19" i="2"/>
  <c r="OM19" i="2"/>
  <c r="OL19" i="2"/>
  <c r="OK19" i="2"/>
  <c r="OJ19" i="2"/>
  <c r="OI19" i="2"/>
  <c r="OH19" i="2"/>
  <c r="OG19" i="2"/>
  <c r="OF19" i="2"/>
  <c r="OE19" i="2"/>
  <c r="OD19" i="2"/>
  <c r="OC19" i="2"/>
  <c r="OB19" i="2"/>
  <c r="OA19" i="2"/>
  <c r="NZ19" i="2"/>
  <c r="NY19" i="2"/>
  <c r="NX19" i="2"/>
  <c r="NW19" i="2"/>
  <c r="NV19" i="2"/>
  <c r="NU19" i="2"/>
  <c r="NT19" i="2"/>
  <c r="NS19" i="2"/>
  <c r="NR19" i="2"/>
  <c r="NQ19" i="2"/>
  <c r="NP19" i="2"/>
  <c r="NO19" i="2"/>
  <c r="NN19" i="2"/>
  <c r="NM19" i="2"/>
  <c r="NL19" i="2"/>
  <c r="NK19" i="2"/>
  <c r="NJ19" i="2"/>
  <c r="NI19" i="2"/>
  <c r="NH19" i="2"/>
  <c r="NG19" i="2"/>
  <c r="NF19" i="2"/>
  <c r="NE19" i="2"/>
  <c r="ND19" i="2"/>
  <c r="NC19" i="2"/>
  <c r="NB19" i="2"/>
  <c r="NA19" i="2"/>
  <c r="MZ19" i="2"/>
  <c r="MY19" i="2"/>
  <c r="MX19" i="2"/>
  <c r="MW19" i="2"/>
  <c r="MV19" i="2"/>
  <c r="MU19" i="2"/>
  <c r="MT19" i="2"/>
  <c r="MS19" i="2"/>
  <c r="MR19" i="2"/>
  <c r="MQ19" i="2"/>
  <c r="MP19" i="2"/>
  <c r="MO19" i="2"/>
  <c r="MN19" i="2"/>
  <c r="MM19" i="2"/>
  <c r="ML19" i="2"/>
  <c r="MK19" i="2"/>
  <c r="MJ19" i="2"/>
  <c r="MI19" i="2"/>
  <c r="MH19" i="2"/>
  <c r="MG19" i="2"/>
  <c r="MF19" i="2"/>
  <c r="ME19" i="2"/>
  <c r="MD19" i="2"/>
  <c r="MC19" i="2"/>
  <c r="MB19" i="2"/>
  <c r="MA19" i="2"/>
  <c r="LZ19" i="2"/>
  <c r="LY19" i="2"/>
  <c r="LX19" i="2"/>
  <c r="LW19" i="2"/>
  <c r="LV19" i="2"/>
  <c r="LU19" i="2"/>
  <c r="LT19" i="2"/>
  <c r="LS19" i="2"/>
  <c r="LR19" i="2"/>
  <c r="LQ19" i="2"/>
  <c r="LP19" i="2"/>
  <c r="LO19" i="2"/>
  <c r="LN19" i="2"/>
  <c r="LM19" i="2"/>
  <c r="LL19" i="2"/>
  <c r="LK19" i="2"/>
  <c r="LJ19" i="2"/>
  <c r="LI19" i="2"/>
  <c r="LH19" i="2"/>
  <c r="LG19" i="2"/>
  <c r="LF19" i="2"/>
  <c r="LE19" i="2"/>
  <c r="LD19" i="2"/>
  <c r="LC19" i="2"/>
  <c r="LB19" i="2"/>
  <c r="LA19" i="2"/>
  <c r="KZ19" i="2"/>
  <c r="KY19" i="2"/>
  <c r="KX19" i="2"/>
  <c r="KW19" i="2"/>
  <c r="KV19" i="2"/>
  <c r="KU19" i="2"/>
  <c r="KT19" i="2"/>
  <c r="KS19" i="2"/>
  <c r="KR19" i="2"/>
  <c r="KQ19" i="2"/>
  <c r="KP19" i="2"/>
  <c r="KO19" i="2"/>
  <c r="KN19" i="2"/>
  <c r="KM19" i="2"/>
  <c r="KL19" i="2"/>
  <c r="KK19" i="2"/>
  <c r="KJ19" i="2"/>
  <c r="KI19" i="2"/>
  <c r="KH19" i="2"/>
  <c r="KG19" i="2"/>
  <c r="KF19" i="2"/>
  <c r="KE19" i="2"/>
  <c r="KD19" i="2"/>
  <c r="KC19" i="2"/>
  <c r="KB19" i="2"/>
  <c r="KA19" i="2"/>
  <c r="JZ19" i="2"/>
  <c r="JY19" i="2"/>
  <c r="JX19" i="2"/>
  <c r="JW19" i="2"/>
  <c r="JV19" i="2"/>
  <c r="JU19" i="2"/>
  <c r="JT19" i="2"/>
  <c r="JS19" i="2"/>
  <c r="JR19" i="2"/>
  <c r="JQ19" i="2"/>
  <c r="JP19" i="2"/>
  <c r="JO19" i="2"/>
  <c r="JN19" i="2"/>
  <c r="JM19" i="2"/>
  <c r="JL19" i="2"/>
  <c r="JK19" i="2"/>
  <c r="JJ19" i="2"/>
  <c r="JI19" i="2"/>
  <c r="JH19" i="2"/>
  <c r="JG19" i="2"/>
  <c r="JF19" i="2"/>
  <c r="JE19" i="2"/>
  <c r="JD19" i="2"/>
  <c r="JC19" i="2"/>
  <c r="JB19" i="2"/>
  <c r="JA19" i="2"/>
  <c r="IZ19" i="2"/>
  <c r="IY19" i="2"/>
  <c r="IX19" i="2"/>
  <c r="IW19" i="2"/>
  <c r="IV19" i="2"/>
  <c r="IU19" i="2"/>
  <c r="IT19" i="2"/>
  <c r="IS19" i="2"/>
  <c r="IR19" i="2"/>
  <c r="IQ19" i="2"/>
  <c r="IP19" i="2"/>
  <c r="IO19" i="2"/>
  <c r="IN19" i="2"/>
  <c r="IM19" i="2"/>
  <c r="IL19" i="2"/>
  <c r="IK19" i="2"/>
  <c r="IJ19" i="2"/>
  <c r="II19" i="2"/>
  <c r="IH19" i="2"/>
  <c r="IG19" i="2"/>
  <c r="IF19" i="2"/>
  <c r="IE19" i="2"/>
  <c r="ID19" i="2"/>
  <c r="IC19" i="2"/>
  <c r="IB19" i="2"/>
  <c r="IA19" i="2"/>
  <c r="HZ19" i="2"/>
  <c r="HY19" i="2"/>
  <c r="HX19" i="2"/>
  <c r="HW19" i="2"/>
  <c r="HV19" i="2"/>
  <c r="HU19" i="2"/>
  <c r="HT19" i="2"/>
  <c r="HS19" i="2"/>
  <c r="HR19" i="2"/>
  <c r="HQ19" i="2"/>
  <c r="HP19" i="2"/>
  <c r="HO19" i="2"/>
  <c r="HN19" i="2"/>
  <c r="HM19" i="2"/>
  <c r="HL19" i="2"/>
  <c r="HK19" i="2"/>
  <c r="HJ19" i="2"/>
  <c r="HI19" i="2"/>
  <c r="HH19" i="2"/>
  <c r="HG19" i="2"/>
  <c r="HF19" i="2"/>
  <c r="HE19" i="2"/>
  <c r="HD19" i="2"/>
  <c r="HC19" i="2"/>
  <c r="HB19" i="2"/>
  <c r="HA19" i="2"/>
  <c r="GZ19" i="2"/>
  <c r="GY19" i="2"/>
  <c r="GX19" i="2"/>
  <c r="GW19" i="2"/>
  <c r="GV19" i="2"/>
  <c r="GU19" i="2"/>
  <c r="GT19" i="2"/>
  <c r="GS19" i="2"/>
  <c r="GR19" i="2"/>
  <c r="GQ19" i="2"/>
  <c r="GP19" i="2"/>
  <c r="GO19" i="2"/>
  <c r="GN19" i="2"/>
  <c r="GM19" i="2"/>
  <c r="GL19" i="2"/>
  <c r="GK19" i="2"/>
  <c r="GJ19" i="2"/>
  <c r="GI19" i="2"/>
  <c r="GH19" i="2"/>
  <c r="GG19" i="2"/>
  <c r="GF19" i="2"/>
  <c r="GE19" i="2"/>
  <c r="GD19" i="2"/>
  <c r="GC19" i="2"/>
  <c r="GB19" i="2"/>
  <c r="GA19" i="2"/>
  <c r="FZ19" i="2"/>
  <c r="FY19" i="2"/>
  <c r="FX19" i="2"/>
  <c r="FW19" i="2"/>
  <c r="FV19" i="2"/>
  <c r="FU19" i="2"/>
  <c r="FT19" i="2"/>
  <c r="FS19" i="2"/>
  <c r="FR19" i="2"/>
  <c r="FQ19" i="2"/>
  <c r="FP19" i="2"/>
  <c r="FO19" i="2"/>
  <c r="FN19" i="2"/>
  <c r="FM19" i="2"/>
  <c r="FL19" i="2"/>
  <c r="FK19" i="2"/>
  <c r="FJ19" i="2"/>
  <c r="FI19" i="2"/>
  <c r="FH19" i="2"/>
  <c r="FG19" i="2"/>
  <c r="FF19" i="2"/>
  <c r="FE19" i="2"/>
  <c r="FD19" i="2"/>
  <c r="FC19" i="2"/>
  <c r="FB19" i="2"/>
  <c r="FA19" i="2"/>
  <c r="EZ19" i="2"/>
  <c r="EY19" i="2"/>
  <c r="EX19" i="2"/>
  <c r="EW19" i="2"/>
  <c r="EV19" i="2"/>
  <c r="EU19" i="2"/>
  <c r="ET19" i="2"/>
  <c r="ES19" i="2"/>
  <c r="ER19" i="2"/>
  <c r="EQ19" i="2"/>
  <c r="EP19" i="2"/>
  <c r="EO19" i="2"/>
  <c r="EN19" i="2"/>
  <c r="EM19" i="2"/>
  <c r="EL19" i="2"/>
  <c r="EK19" i="2"/>
  <c r="EJ19" i="2"/>
  <c r="EI19" i="2"/>
  <c r="EH19" i="2"/>
  <c r="EG19" i="2"/>
  <c r="EF19" i="2"/>
  <c r="EE19" i="2"/>
  <c r="ED19" i="2"/>
  <c r="EC19" i="2"/>
  <c r="EB19" i="2"/>
  <c r="EA19" i="2"/>
  <c r="DZ19" i="2"/>
  <c r="DY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PI18" i="2"/>
  <c r="PH18" i="2"/>
  <c r="PG18" i="2"/>
  <c r="PF18" i="2"/>
  <c r="PE18" i="2"/>
  <c r="PD18" i="2"/>
  <c r="PC18" i="2"/>
  <c r="PB18" i="2"/>
  <c r="PA18" i="2"/>
  <c r="OZ18" i="2"/>
  <c r="OY18" i="2"/>
  <c r="OX18" i="2"/>
  <c r="OW18" i="2"/>
  <c r="OV18" i="2"/>
  <c r="OU18" i="2"/>
  <c r="OT18" i="2"/>
  <c r="OS18" i="2"/>
  <c r="OR18" i="2"/>
  <c r="OQ18" i="2"/>
  <c r="OP18" i="2"/>
  <c r="OO18" i="2"/>
  <c r="ON18" i="2"/>
  <c r="OM18" i="2"/>
  <c r="OL18" i="2"/>
  <c r="OK18" i="2"/>
  <c r="OJ18" i="2"/>
  <c r="OI18" i="2"/>
  <c r="OH18" i="2"/>
  <c r="OG18" i="2"/>
  <c r="OF18" i="2"/>
  <c r="OE18" i="2"/>
  <c r="OD18" i="2"/>
  <c r="OC18" i="2"/>
  <c r="OB18" i="2"/>
  <c r="OA18" i="2"/>
  <c r="NZ18" i="2"/>
  <c r="NY18" i="2"/>
  <c r="NX18" i="2"/>
  <c r="NW18" i="2"/>
  <c r="NV18" i="2"/>
  <c r="NU18" i="2"/>
  <c r="NT18" i="2"/>
  <c r="NS18" i="2"/>
  <c r="NR18" i="2"/>
  <c r="NQ18" i="2"/>
  <c r="NP18" i="2"/>
  <c r="NO18" i="2"/>
  <c r="NN18" i="2"/>
  <c r="NM18" i="2"/>
  <c r="NL18" i="2"/>
  <c r="NK18" i="2"/>
  <c r="NJ18" i="2"/>
  <c r="NI18" i="2"/>
  <c r="NH18" i="2"/>
  <c r="NG18" i="2"/>
  <c r="NF18" i="2"/>
  <c r="NE18" i="2"/>
  <c r="ND18" i="2"/>
  <c r="NC18" i="2"/>
  <c r="NB18" i="2"/>
  <c r="NA18" i="2"/>
  <c r="MZ18" i="2"/>
  <c r="MY18" i="2"/>
  <c r="MX18" i="2"/>
  <c r="MW18" i="2"/>
  <c r="MV18" i="2"/>
  <c r="MU18" i="2"/>
  <c r="MT18" i="2"/>
  <c r="MS18" i="2"/>
  <c r="MR18" i="2"/>
  <c r="MQ18" i="2"/>
  <c r="MP18" i="2"/>
  <c r="MO18" i="2"/>
  <c r="MN18" i="2"/>
  <c r="MM18" i="2"/>
  <c r="ML18" i="2"/>
  <c r="MK18" i="2"/>
  <c r="MJ18" i="2"/>
  <c r="MI18" i="2"/>
  <c r="MH18" i="2"/>
  <c r="MG18" i="2"/>
  <c r="MF18" i="2"/>
  <c r="ME18" i="2"/>
  <c r="MD18" i="2"/>
  <c r="MC18" i="2"/>
  <c r="MB18" i="2"/>
  <c r="MA18" i="2"/>
  <c r="LZ18" i="2"/>
  <c r="LY18" i="2"/>
  <c r="LX18" i="2"/>
  <c r="LW18" i="2"/>
  <c r="LV18" i="2"/>
  <c r="LU18" i="2"/>
  <c r="LT18" i="2"/>
  <c r="LS18" i="2"/>
  <c r="LR18" i="2"/>
  <c r="LQ18" i="2"/>
  <c r="LP18" i="2"/>
  <c r="LO18" i="2"/>
  <c r="LN18" i="2"/>
  <c r="LM18" i="2"/>
  <c r="LL18" i="2"/>
  <c r="LK18" i="2"/>
  <c r="LJ18" i="2"/>
  <c r="LI18" i="2"/>
  <c r="LH18" i="2"/>
  <c r="LG18" i="2"/>
  <c r="LF18" i="2"/>
  <c r="LE18" i="2"/>
  <c r="LD18" i="2"/>
  <c r="LC18" i="2"/>
  <c r="LB18" i="2"/>
  <c r="LA18" i="2"/>
  <c r="KZ18" i="2"/>
  <c r="KY18" i="2"/>
  <c r="KX18" i="2"/>
  <c r="KW18" i="2"/>
  <c r="KV18" i="2"/>
  <c r="KU18" i="2"/>
  <c r="KT18" i="2"/>
  <c r="KS18" i="2"/>
  <c r="KR18" i="2"/>
  <c r="KQ18" i="2"/>
  <c r="KP18" i="2"/>
  <c r="KO18" i="2"/>
  <c r="KN18" i="2"/>
  <c r="KM18" i="2"/>
  <c r="KL18" i="2"/>
  <c r="KK18" i="2"/>
  <c r="KJ18" i="2"/>
  <c r="KI18" i="2"/>
  <c r="KH18" i="2"/>
  <c r="KG18" i="2"/>
  <c r="KF18" i="2"/>
  <c r="KE18" i="2"/>
  <c r="KD18" i="2"/>
  <c r="KC18" i="2"/>
  <c r="KB18" i="2"/>
  <c r="KA18" i="2"/>
  <c r="JZ18" i="2"/>
  <c r="JY18" i="2"/>
  <c r="JX18" i="2"/>
  <c r="JW18" i="2"/>
  <c r="JV18" i="2"/>
  <c r="JU18" i="2"/>
  <c r="JT18" i="2"/>
  <c r="JS18" i="2"/>
  <c r="JR18" i="2"/>
  <c r="JQ18" i="2"/>
  <c r="JP18" i="2"/>
  <c r="JO18" i="2"/>
  <c r="JN18" i="2"/>
  <c r="JM18" i="2"/>
  <c r="JL18" i="2"/>
  <c r="JK18" i="2"/>
  <c r="JJ18" i="2"/>
  <c r="JI18" i="2"/>
  <c r="JH18" i="2"/>
  <c r="JG18" i="2"/>
  <c r="JF18" i="2"/>
  <c r="JE18" i="2"/>
  <c r="JD18" i="2"/>
  <c r="JC18" i="2"/>
  <c r="JB18" i="2"/>
  <c r="JA18" i="2"/>
  <c r="IZ18" i="2"/>
  <c r="IY18" i="2"/>
  <c r="IX18" i="2"/>
  <c r="IW18" i="2"/>
  <c r="IV18" i="2"/>
  <c r="IU18" i="2"/>
  <c r="IT18" i="2"/>
  <c r="IS18" i="2"/>
  <c r="IR18" i="2"/>
  <c r="IQ18" i="2"/>
  <c r="IP18" i="2"/>
  <c r="IO18" i="2"/>
  <c r="IN18" i="2"/>
  <c r="IM18" i="2"/>
  <c r="IL18" i="2"/>
  <c r="IK18" i="2"/>
  <c r="IJ18" i="2"/>
  <c r="II18" i="2"/>
  <c r="IH18" i="2"/>
  <c r="IG18" i="2"/>
  <c r="IF18" i="2"/>
  <c r="IE18" i="2"/>
  <c r="ID18" i="2"/>
  <c r="IC18" i="2"/>
  <c r="IB18" i="2"/>
  <c r="IA18" i="2"/>
  <c r="HZ18" i="2"/>
  <c r="HY18" i="2"/>
  <c r="HX18" i="2"/>
  <c r="HW18" i="2"/>
  <c r="HV18" i="2"/>
  <c r="HU18" i="2"/>
  <c r="HT18" i="2"/>
  <c r="HS18" i="2"/>
  <c r="HR18" i="2"/>
  <c r="HQ18" i="2"/>
  <c r="HP18" i="2"/>
  <c r="HO18" i="2"/>
  <c r="HN18" i="2"/>
  <c r="HM18" i="2"/>
  <c r="HL18" i="2"/>
  <c r="HK18" i="2"/>
  <c r="HJ18" i="2"/>
  <c r="HI18" i="2"/>
  <c r="HH18" i="2"/>
  <c r="HG18" i="2"/>
  <c r="HF18" i="2"/>
  <c r="HE18" i="2"/>
  <c r="HD18" i="2"/>
  <c r="HC18" i="2"/>
  <c r="HB18" i="2"/>
  <c r="HA18" i="2"/>
  <c r="GZ18" i="2"/>
  <c r="GY18" i="2"/>
  <c r="GX18" i="2"/>
  <c r="GW18" i="2"/>
  <c r="GV18" i="2"/>
  <c r="GU18" i="2"/>
  <c r="GT18" i="2"/>
  <c r="GS18" i="2"/>
  <c r="GR18" i="2"/>
  <c r="GQ18" i="2"/>
  <c r="GP18" i="2"/>
  <c r="GO18" i="2"/>
  <c r="GN18" i="2"/>
  <c r="GM18" i="2"/>
  <c r="GL18" i="2"/>
  <c r="GK18" i="2"/>
  <c r="GJ18" i="2"/>
  <c r="GI18" i="2"/>
  <c r="GH18" i="2"/>
  <c r="GG18" i="2"/>
  <c r="GF18" i="2"/>
  <c r="GE18" i="2"/>
  <c r="GD18" i="2"/>
  <c r="GC18" i="2"/>
  <c r="GB18" i="2"/>
  <c r="GA18" i="2"/>
  <c r="FZ18" i="2"/>
  <c r="FY18" i="2"/>
  <c r="FX18" i="2"/>
  <c r="FW18" i="2"/>
  <c r="FV18" i="2"/>
  <c r="FU18" i="2"/>
  <c r="FT18" i="2"/>
  <c r="FS18" i="2"/>
  <c r="FR18" i="2"/>
  <c r="FQ18" i="2"/>
  <c r="FP18" i="2"/>
  <c r="FO18" i="2"/>
  <c r="FN18" i="2"/>
  <c r="FM18" i="2"/>
  <c r="FL18" i="2"/>
  <c r="FK18" i="2"/>
  <c r="FJ18" i="2"/>
  <c r="FI18" i="2"/>
  <c r="FH18" i="2"/>
  <c r="FG18" i="2"/>
  <c r="FF18" i="2"/>
  <c r="FE18" i="2"/>
  <c r="FD18" i="2"/>
  <c r="FC18" i="2"/>
  <c r="FB18" i="2"/>
  <c r="FA18" i="2"/>
  <c r="EZ18" i="2"/>
  <c r="EY18" i="2"/>
  <c r="EX18" i="2"/>
  <c r="EW18" i="2"/>
  <c r="EV18" i="2"/>
  <c r="EU18" i="2"/>
  <c r="ET18" i="2"/>
  <c r="ES18" i="2"/>
  <c r="ER18" i="2"/>
  <c r="EQ18" i="2"/>
  <c r="EP18" i="2"/>
  <c r="EO18" i="2"/>
  <c r="EN18" i="2"/>
  <c r="EM18" i="2"/>
  <c r="EL18" i="2"/>
  <c r="EK18" i="2"/>
  <c r="EJ18" i="2"/>
  <c r="EI18" i="2"/>
  <c r="EH18" i="2"/>
  <c r="EG18" i="2"/>
  <c r="EF18" i="2"/>
  <c r="EE18" i="2"/>
  <c r="ED18" i="2"/>
  <c r="EC18" i="2"/>
  <c r="EB18" i="2"/>
  <c r="EA18" i="2"/>
  <c r="DZ18" i="2"/>
  <c r="DY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PI17" i="2"/>
  <c r="PH17" i="2"/>
  <c r="PG17" i="2"/>
  <c r="PF17" i="2"/>
  <c r="PE17" i="2"/>
  <c r="PD17" i="2"/>
  <c r="PC17" i="2"/>
  <c r="PB17" i="2"/>
  <c r="PA17" i="2"/>
  <c r="OZ17" i="2"/>
  <c r="OY17" i="2"/>
  <c r="OX17" i="2"/>
  <c r="OW17" i="2"/>
  <c r="OV17" i="2"/>
  <c r="OU17" i="2"/>
  <c r="OT17" i="2"/>
  <c r="OS17" i="2"/>
  <c r="OR17" i="2"/>
  <c r="OQ17" i="2"/>
  <c r="OP17" i="2"/>
  <c r="OO17" i="2"/>
  <c r="ON17" i="2"/>
  <c r="OM17" i="2"/>
  <c r="OL17" i="2"/>
  <c r="OK17" i="2"/>
  <c r="OJ17" i="2"/>
  <c r="OI17" i="2"/>
  <c r="OH17" i="2"/>
  <c r="OG17" i="2"/>
  <c r="OF17" i="2"/>
  <c r="OE17" i="2"/>
  <c r="OD17" i="2"/>
  <c r="OC17" i="2"/>
  <c r="OB17" i="2"/>
  <c r="OA17" i="2"/>
  <c r="NZ17" i="2"/>
  <c r="NY17" i="2"/>
  <c r="NX17" i="2"/>
  <c r="NW17" i="2"/>
  <c r="NV17" i="2"/>
  <c r="NU17" i="2"/>
  <c r="NT17" i="2"/>
  <c r="NS17" i="2"/>
  <c r="NR17" i="2"/>
  <c r="NQ17" i="2"/>
  <c r="NP17" i="2"/>
  <c r="NO17" i="2"/>
  <c r="NN17" i="2"/>
  <c r="NM17" i="2"/>
  <c r="NL17" i="2"/>
  <c r="NK17" i="2"/>
  <c r="NJ17" i="2"/>
  <c r="NI17" i="2"/>
  <c r="NH17" i="2"/>
  <c r="NG17" i="2"/>
  <c r="NF17" i="2"/>
  <c r="NE17" i="2"/>
  <c r="ND17" i="2"/>
  <c r="NC17" i="2"/>
  <c r="NB17" i="2"/>
  <c r="NA17" i="2"/>
  <c r="MZ17" i="2"/>
  <c r="MY17" i="2"/>
  <c r="MX17" i="2"/>
  <c r="MW17" i="2"/>
  <c r="MV17" i="2"/>
  <c r="MU17" i="2"/>
  <c r="MT17" i="2"/>
  <c r="MS17" i="2"/>
  <c r="MR17" i="2"/>
  <c r="MQ17" i="2"/>
  <c r="MP17" i="2"/>
  <c r="MO17" i="2"/>
  <c r="MN17" i="2"/>
  <c r="MM17" i="2"/>
  <c r="ML17" i="2"/>
  <c r="MK17" i="2"/>
  <c r="MJ17" i="2"/>
  <c r="MI17" i="2"/>
  <c r="MH17" i="2"/>
  <c r="MG17" i="2"/>
  <c r="MF17" i="2"/>
  <c r="ME17" i="2"/>
  <c r="MD17" i="2"/>
  <c r="MC17" i="2"/>
  <c r="MB17" i="2"/>
  <c r="MA17" i="2"/>
  <c r="LZ17" i="2"/>
  <c r="LY17" i="2"/>
  <c r="LX17" i="2"/>
  <c r="LW17" i="2"/>
  <c r="LV17" i="2"/>
  <c r="LU17" i="2"/>
  <c r="LT17" i="2"/>
  <c r="LS17" i="2"/>
  <c r="LR17" i="2"/>
  <c r="LQ17" i="2"/>
  <c r="LP17" i="2"/>
  <c r="LO17" i="2"/>
  <c r="LN17" i="2"/>
  <c r="LM17" i="2"/>
  <c r="LL17" i="2"/>
  <c r="LK17" i="2"/>
  <c r="LJ17" i="2"/>
  <c r="LI17" i="2"/>
  <c r="LH17" i="2"/>
  <c r="LG17" i="2"/>
  <c r="LF17" i="2"/>
  <c r="LE17" i="2"/>
  <c r="LD17" i="2"/>
  <c r="LC17" i="2"/>
  <c r="LB17" i="2"/>
  <c r="LA17" i="2"/>
  <c r="KZ17" i="2"/>
  <c r="KY17" i="2"/>
  <c r="KX17" i="2"/>
  <c r="KW17" i="2"/>
  <c r="KV17" i="2"/>
  <c r="KU17" i="2"/>
  <c r="KT17" i="2"/>
  <c r="KS17" i="2"/>
  <c r="KR17" i="2"/>
  <c r="KQ17" i="2"/>
  <c r="KP17" i="2"/>
  <c r="KO17" i="2"/>
  <c r="KN17" i="2"/>
  <c r="KM17" i="2"/>
  <c r="KL17" i="2"/>
  <c r="KK17" i="2"/>
  <c r="KJ17" i="2"/>
  <c r="KI17" i="2"/>
  <c r="KH17" i="2"/>
  <c r="KG17" i="2"/>
  <c r="KF17" i="2"/>
  <c r="KE17" i="2"/>
  <c r="KD17" i="2"/>
  <c r="KC17" i="2"/>
  <c r="KB17" i="2"/>
  <c r="KA17" i="2"/>
  <c r="JZ17" i="2"/>
  <c r="JY17" i="2"/>
  <c r="JX17" i="2"/>
  <c r="JW17" i="2"/>
  <c r="JV17" i="2"/>
  <c r="JU17" i="2"/>
  <c r="JT17" i="2"/>
  <c r="JS17" i="2"/>
  <c r="JR17" i="2"/>
  <c r="JQ17" i="2"/>
  <c r="JP17" i="2"/>
  <c r="JO17" i="2"/>
  <c r="JN17" i="2"/>
  <c r="JM17" i="2"/>
  <c r="JL17" i="2"/>
  <c r="JK17" i="2"/>
  <c r="JJ17" i="2"/>
  <c r="JI17" i="2"/>
  <c r="JH17" i="2"/>
  <c r="JG17" i="2"/>
  <c r="JF17" i="2"/>
  <c r="JE17" i="2"/>
  <c r="JD17" i="2"/>
  <c r="JC17" i="2"/>
  <c r="JB17" i="2"/>
  <c r="JA17" i="2"/>
  <c r="IZ17" i="2"/>
  <c r="IY17" i="2"/>
  <c r="IX17" i="2"/>
  <c r="IW17" i="2"/>
  <c r="IV17" i="2"/>
  <c r="IU17" i="2"/>
  <c r="IT17" i="2"/>
  <c r="IS17" i="2"/>
  <c r="IR17" i="2"/>
  <c r="IQ17" i="2"/>
  <c r="IP17" i="2"/>
  <c r="IO17" i="2"/>
  <c r="IN17" i="2"/>
  <c r="IM17" i="2"/>
  <c r="IL17" i="2"/>
  <c r="IK17" i="2"/>
  <c r="IJ17" i="2"/>
  <c r="II17" i="2"/>
  <c r="IH17" i="2"/>
  <c r="IG17" i="2"/>
  <c r="IF17" i="2"/>
  <c r="IE17" i="2"/>
  <c r="ID17" i="2"/>
  <c r="IC17" i="2"/>
  <c r="IB17" i="2"/>
  <c r="IA17" i="2"/>
  <c r="HZ17" i="2"/>
  <c r="HY17" i="2"/>
  <c r="HX17" i="2"/>
  <c r="HW17" i="2"/>
  <c r="HV17" i="2"/>
  <c r="HU17" i="2"/>
  <c r="HT17" i="2"/>
  <c r="HS17" i="2"/>
  <c r="HR17" i="2"/>
  <c r="HQ17" i="2"/>
  <c r="HP17" i="2"/>
  <c r="HO17" i="2"/>
  <c r="HN17" i="2"/>
  <c r="HM17" i="2"/>
  <c r="HL17" i="2"/>
  <c r="HK17" i="2"/>
  <c r="HJ17" i="2"/>
  <c r="HI17" i="2"/>
  <c r="HH17" i="2"/>
  <c r="HG17" i="2"/>
  <c r="HF17" i="2"/>
  <c r="HE17" i="2"/>
  <c r="HD17" i="2"/>
  <c r="HC17" i="2"/>
  <c r="HB17" i="2"/>
  <c r="HA17" i="2"/>
  <c r="GZ17" i="2"/>
  <c r="GY17" i="2"/>
  <c r="GX17" i="2"/>
  <c r="GW17" i="2"/>
  <c r="GV17" i="2"/>
  <c r="GU17" i="2"/>
  <c r="GT17" i="2"/>
  <c r="GS17" i="2"/>
  <c r="GR17" i="2"/>
  <c r="GQ17" i="2"/>
  <c r="GP17" i="2"/>
  <c r="GO17" i="2"/>
  <c r="GN17" i="2"/>
  <c r="GM17" i="2"/>
  <c r="GL17" i="2"/>
  <c r="GK17" i="2"/>
  <c r="GJ17" i="2"/>
  <c r="GI17" i="2"/>
  <c r="GH17" i="2"/>
  <c r="GG17" i="2"/>
  <c r="GF17" i="2"/>
  <c r="GE17" i="2"/>
  <c r="GD17" i="2"/>
  <c r="GC17" i="2"/>
  <c r="GB17" i="2"/>
  <c r="GA17" i="2"/>
  <c r="FZ17" i="2"/>
  <c r="FY17" i="2"/>
  <c r="FX17" i="2"/>
  <c r="FW17" i="2"/>
  <c r="FV17" i="2"/>
  <c r="FU17" i="2"/>
  <c r="FT17" i="2"/>
  <c r="FS17" i="2"/>
  <c r="FR17" i="2"/>
  <c r="FQ17" i="2"/>
  <c r="FP17" i="2"/>
  <c r="FO17" i="2"/>
  <c r="FN17" i="2"/>
  <c r="FM17" i="2"/>
  <c r="FL17" i="2"/>
  <c r="FK17" i="2"/>
  <c r="FJ17" i="2"/>
  <c r="FI17" i="2"/>
  <c r="FH17" i="2"/>
  <c r="FG17" i="2"/>
  <c r="FF17" i="2"/>
  <c r="FE17" i="2"/>
  <c r="FD17" i="2"/>
  <c r="FC17" i="2"/>
  <c r="FB17" i="2"/>
  <c r="FA17" i="2"/>
  <c r="EZ17" i="2"/>
  <c r="EY17" i="2"/>
  <c r="EX17" i="2"/>
  <c r="EW17" i="2"/>
  <c r="EV17" i="2"/>
  <c r="EU17" i="2"/>
  <c r="ET17" i="2"/>
  <c r="ES17" i="2"/>
  <c r="ER17" i="2"/>
  <c r="EQ17" i="2"/>
  <c r="EP17" i="2"/>
  <c r="EO17" i="2"/>
  <c r="EN17" i="2"/>
  <c r="EM17" i="2"/>
  <c r="EL17" i="2"/>
  <c r="EK17" i="2"/>
  <c r="EJ17" i="2"/>
  <c r="EI17" i="2"/>
  <c r="EH17" i="2"/>
  <c r="EG17" i="2"/>
  <c r="EF17" i="2"/>
  <c r="EE17" i="2"/>
  <c r="ED17" i="2"/>
  <c r="EC17" i="2"/>
  <c r="EB17" i="2"/>
  <c r="EA17" i="2"/>
  <c r="DZ17" i="2"/>
  <c r="DY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PI16" i="2"/>
  <c r="PH16" i="2"/>
  <c r="PG16" i="2"/>
  <c r="PF16" i="2"/>
  <c r="PE16" i="2"/>
  <c r="PD16" i="2"/>
  <c r="PC16" i="2"/>
  <c r="PB16" i="2"/>
  <c r="PA16" i="2"/>
  <c r="OZ16" i="2"/>
  <c r="OY16" i="2"/>
  <c r="OX16" i="2"/>
  <c r="OW16" i="2"/>
  <c r="OV16" i="2"/>
  <c r="OU16" i="2"/>
  <c r="OT16" i="2"/>
  <c r="OS16" i="2"/>
  <c r="OR16" i="2"/>
  <c r="OQ16" i="2"/>
  <c r="OP16" i="2"/>
  <c r="OO16" i="2"/>
  <c r="ON16" i="2"/>
  <c r="OM16" i="2"/>
  <c r="OL16" i="2"/>
  <c r="OK16" i="2"/>
  <c r="OJ16" i="2"/>
  <c r="OI16" i="2"/>
  <c r="OH16" i="2"/>
  <c r="OG16" i="2"/>
  <c r="OF16" i="2"/>
  <c r="OE16" i="2"/>
  <c r="OD16" i="2"/>
  <c r="OC16" i="2"/>
  <c r="OB16" i="2"/>
  <c r="OA16" i="2"/>
  <c r="NZ16" i="2"/>
  <c r="NY16" i="2"/>
  <c r="NX16" i="2"/>
  <c r="NW16" i="2"/>
  <c r="NV16" i="2"/>
  <c r="NU16" i="2"/>
  <c r="NT16" i="2"/>
  <c r="NS16" i="2"/>
  <c r="NR16" i="2"/>
  <c r="NQ16" i="2"/>
  <c r="NP16" i="2"/>
  <c r="NO16" i="2"/>
  <c r="NN16" i="2"/>
  <c r="NM16" i="2"/>
  <c r="NL16" i="2"/>
  <c r="NK16" i="2"/>
  <c r="NJ16" i="2"/>
  <c r="NI16" i="2"/>
  <c r="NH16" i="2"/>
  <c r="NG16" i="2"/>
  <c r="NF16" i="2"/>
  <c r="NE16" i="2"/>
  <c r="ND16" i="2"/>
  <c r="NC16" i="2"/>
  <c r="NB16" i="2"/>
  <c r="NA16" i="2"/>
  <c r="MZ16" i="2"/>
  <c r="MY16" i="2"/>
  <c r="MX16" i="2"/>
  <c r="MW16" i="2"/>
  <c r="MV16" i="2"/>
  <c r="MU16" i="2"/>
  <c r="MT16" i="2"/>
  <c r="MS16" i="2"/>
  <c r="MR16" i="2"/>
  <c r="MQ16" i="2"/>
  <c r="MP16" i="2"/>
  <c r="MO16" i="2"/>
  <c r="MN16" i="2"/>
  <c r="MM16" i="2"/>
  <c r="ML16" i="2"/>
  <c r="MK16" i="2"/>
  <c r="MJ16" i="2"/>
  <c r="MI16" i="2"/>
  <c r="MH16" i="2"/>
  <c r="MG16" i="2"/>
  <c r="MF16" i="2"/>
  <c r="ME16" i="2"/>
  <c r="MD16" i="2"/>
  <c r="MC16" i="2"/>
  <c r="MB16" i="2"/>
  <c r="MA16" i="2"/>
  <c r="LZ16" i="2"/>
  <c r="LY16" i="2"/>
  <c r="LX16" i="2"/>
  <c r="LW16" i="2"/>
  <c r="LV16" i="2"/>
  <c r="LU16" i="2"/>
  <c r="LT16" i="2"/>
  <c r="LS16" i="2"/>
  <c r="LR16" i="2"/>
  <c r="LQ16" i="2"/>
  <c r="LP16" i="2"/>
  <c r="LO16" i="2"/>
  <c r="LN16" i="2"/>
  <c r="LM16" i="2"/>
  <c r="LL16" i="2"/>
  <c r="LK16" i="2"/>
  <c r="LJ16" i="2"/>
  <c r="LI16" i="2"/>
  <c r="LH16" i="2"/>
  <c r="LG16" i="2"/>
  <c r="LF16" i="2"/>
  <c r="LE16" i="2"/>
  <c r="LD16" i="2"/>
  <c r="LC16" i="2"/>
  <c r="LB16" i="2"/>
  <c r="LA16" i="2"/>
  <c r="KZ16" i="2"/>
  <c r="KY16" i="2"/>
  <c r="KX16" i="2"/>
  <c r="KW16" i="2"/>
  <c r="KV16" i="2"/>
  <c r="KU16" i="2"/>
  <c r="KT16" i="2"/>
  <c r="KS16" i="2"/>
  <c r="KR16" i="2"/>
  <c r="KQ16" i="2"/>
  <c r="KP16" i="2"/>
  <c r="KO16" i="2"/>
  <c r="KN16" i="2"/>
  <c r="KM16" i="2"/>
  <c r="KL16" i="2"/>
  <c r="KK16" i="2"/>
  <c r="KJ16" i="2"/>
  <c r="KI16" i="2"/>
  <c r="KH16" i="2"/>
  <c r="KG16" i="2"/>
  <c r="KF16" i="2"/>
  <c r="KE16" i="2"/>
  <c r="KD16" i="2"/>
  <c r="KC16" i="2"/>
  <c r="KB16" i="2"/>
  <c r="KA16" i="2"/>
  <c r="JZ16" i="2"/>
  <c r="JY16" i="2"/>
  <c r="JX16" i="2"/>
  <c r="JW16" i="2"/>
  <c r="JV16" i="2"/>
  <c r="JU16" i="2"/>
  <c r="JT16" i="2"/>
  <c r="JS16" i="2"/>
  <c r="JR16" i="2"/>
  <c r="JQ16" i="2"/>
  <c r="JP16" i="2"/>
  <c r="JO16" i="2"/>
  <c r="JN16" i="2"/>
  <c r="JM16" i="2"/>
  <c r="JL16" i="2"/>
  <c r="JK16" i="2"/>
  <c r="JJ16" i="2"/>
  <c r="JI16" i="2"/>
  <c r="JH16" i="2"/>
  <c r="JG16" i="2"/>
  <c r="JF16" i="2"/>
  <c r="JE16" i="2"/>
  <c r="JD16" i="2"/>
  <c r="JC16" i="2"/>
  <c r="JB16" i="2"/>
  <c r="JA16" i="2"/>
  <c r="IZ16" i="2"/>
  <c r="IY16" i="2"/>
  <c r="IX16" i="2"/>
  <c r="IW16" i="2"/>
  <c r="IV16" i="2"/>
  <c r="IU16" i="2"/>
  <c r="IT16" i="2"/>
  <c r="IS16" i="2"/>
  <c r="IR16" i="2"/>
  <c r="IQ16" i="2"/>
  <c r="IP16" i="2"/>
  <c r="IO16" i="2"/>
  <c r="IN16" i="2"/>
  <c r="IM16" i="2"/>
  <c r="IL16" i="2"/>
  <c r="IK16" i="2"/>
  <c r="IJ16" i="2"/>
  <c r="II16" i="2"/>
  <c r="IH16" i="2"/>
  <c r="IG16" i="2"/>
  <c r="IF16" i="2"/>
  <c r="IE16" i="2"/>
  <c r="ID16" i="2"/>
  <c r="IC16" i="2"/>
  <c r="IB16" i="2"/>
  <c r="IA16" i="2"/>
  <c r="HZ16" i="2"/>
  <c r="HY16" i="2"/>
  <c r="HX16" i="2"/>
  <c r="HW16" i="2"/>
  <c r="HV16" i="2"/>
  <c r="HU16" i="2"/>
  <c r="HT16" i="2"/>
  <c r="HS16" i="2"/>
  <c r="HR16" i="2"/>
  <c r="HQ16" i="2"/>
  <c r="HP16" i="2"/>
  <c r="HO16" i="2"/>
  <c r="HN16" i="2"/>
  <c r="HM16" i="2"/>
  <c r="HL16" i="2"/>
  <c r="HK16" i="2"/>
  <c r="HJ16" i="2"/>
  <c r="HI16" i="2"/>
  <c r="HH16" i="2"/>
  <c r="HG16" i="2"/>
  <c r="HF16" i="2"/>
  <c r="HE16" i="2"/>
  <c r="HD16" i="2"/>
  <c r="HC16" i="2"/>
  <c r="HB16" i="2"/>
  <c r="HA16" i="2"/>
  <c r="GZ16" i="2"/>
  <c r="GY16" i="2"/>
  <c r="GX16" i="2"/>
  <c r="GW16" i="2"/>
  <c r="GV16" i="2"/>
  <c r="GU16" i="2"/>
  <c r="GT16" i="2"/>
  <c r="GS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M16" i="2"/>
  <c r="FL16" i="2"/>
  <c r="FK16" i="2"/>
  <c r="FJ16" i="2"/>
  <c r="FI16" i="2"/>
  <c r="FH16" i="2"/>
  <c r="FG16" i="2"/>
  <c r="FF16" i="2"/>
  <c r="FE16" i="2"/>
  <c r="FD16" i="2"/>
  <c r="FC16" i="2"/>
  <c r="FB16" i="2"/>
  <c r="FA16" i="2"/>
  <c r="EZ16" i="2"/>
  <c r="EY16" i="2"/>
  <c r="EX16" i="2"/>
  <c r="EW16" i="2"/>
  <c r="EV16" i="2"/>
  <c r="EU16" i="2"/>
  <c r="ET16" i="2"/>
  <c r="ES16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PI15" i="2"/>
  <c r="PH15" i="2"/>
  <c r="PG15" i="2"/>
  <c r="PF15" i="2"/>
  <c r="PE15" i="2"/>
  <c r="PD15" i="2"/>
  <c r="PC15" i="2"/>
  <c r="PB15" i="2"/>
  <c r="PA15" i="2"/>
  <c r="OZ15" i="2"/>
  <c r="OY15" i="2"/>
  <c r="OX15" i="2"/>
  <c r="OW15" i="2"/>
  <c r="OV15" i="2"/>
  <c r="OU15" i="2"/>
  <c r="OT15" i="2"/>
  <c r="OS15" i="2"/>
  <c r="OR15" i="2"/>
  <c r="OQ15" i="2"/>
  <c r="OP15" i="2"/>
  <c r="OO15" i="2"/>
  <c r="ON15" i="2"/>
  <c r="OM15" i="2"/>
  <c r="OL15" i="2"/>
  <c r="OK15" i="2"/>
  <c r="OJ15" i="2"/>
  <c r="OI15" i="2"/>
  <c r="OH15" i="2"/>
  <c r="OG15" i="2"/>
  <c r="OF15" i="2"/>
  <c r="OE15" i="2"/>
  <c r="OD15" i="2"/>
  <c r="OC15" i="2"/>
  <c r="OB15" i="2"/>
  <c r="OA15" i="2"/>
  <c r="NZ15" i="2"/>
  <c r="NY15" i="2"/>
  <c r="NX15" i="2"/>
  <c r="NW15" i="2"/>
  <c r="NV15" i="2"/>
  <c r="NU15" i="2"/>
  <c r="NT15" i="2"/>
  <c r="NS15" i="2"/>
  <c r="NR15" i="2"/>
  <c r="NQ15" i="2"/>
  <c r="NP15" i="2"/>
  <c r="NO15" i="2"/>
  <c r="NN15" i="2"/>
  <c r="NM15" i="2"/>
  <c r="NL15" i="2"/>
  <c r="NK15" i="2"/>
  <c r="NJ15" i="2"/>
  <c r="NI15" i="2"/>
  <c r="NH15" i="2"/>
  <c r="NG15" i="2"/>
  <c r="NF15" i="2"/>
  <c r="NE15" i="2"/>
  <c r="ND15" i="2"/>
  <c r="NC15" i="2"/>
  <c r="NB15" i="2"/>
  <c r="NA15" i="2"/>
  <c r="MZ15" i="2"/>
  <c r="MY15" i="2"/>
  <c r="MX15" i="2"/>
  <c r="MW15" i="2"/>
  <c r="MV15" i="2"/>
  <c r="MU15" i="2"/>
  <c r="MT15" i="2"/>
  <c r="MS15" i="2"/>
  <c r="MR15" i="2"/>
  <c r="MQ15" i="2"/>
  <c r="MP15" i="2"/>
  <c r="MO15" i="2"/>
  <c r="MN15" i="2"/>
  <c r="MM15" i="2"/>
  <c r="ML15" i="2"/>
  <c r="MK15" i="2"/>
  <c r="MJ15" i="2"/>
  <c r="MI15" i="2"/>
  <c r="MH15" i="2"/>
  <c r="MG15" i="2"/>
  <c r="MF15" i="2"/>
  <c r="ME15" i="2"/>
  <c r="MD15" i="2"/>
  <c r="MC15" i="2"/>
  <c r="MB15" i="2"/>
  <c r="MA15" i="2"/>
  <c r="LZ15" i="2"/>
  <c r="LY15" i="2"/>
  <c r="LX15" i="2"/>
  <c r="LW15" i="2"/>
  <c r="LV15" i="2"/>
  <c r="LU15" i="2"/>
  <c r="LT15" i="2"/>
  <c r="LS15" i="2"/>
  <c r="LR15" i="2"/>
  <c r="LQ15" i="2"/>
  <c r="LP15" i="2"/>
  <c r="LO15" i="2"/>
  <c r="LN15" i="2"/>
  <c r="LM15" i="2"/>
  <c r="LL15" i="2"/>
  <c r="LK15" i="2"/>
  <c r="LJ15" i="2"/>
  <c r="LI15" i="2"/>
  <c r="LH15" i="2"/>
  <c r="LG15" i="2"/>
  <c r="LF15" i="2"/>
  <c r="LE15" i="2"/>
  <c r="LD15" i="2"/>
  <c r="LC15" i="2"/>
  <c r="LB15" i="2"/>
  <c r="LA15" i="2"/>
  <c r="KZ15" i="2"/>
  <c r="KY15" i="2"/>
  <c r="KX15" i="2"/>
  <c r="KW15" i="2"/>
  <c r="KV15" i="2"/>
  <c r="KU15" i="2"/>
  <c r="KT15" i="2"/>
  <c r="KS15" i="2"/>
  <c r="KR15" i="2"/>
  <c r="KQ15" i="2"/>
  <c r="KP15" i="2"/>
  <c r="KO15" i="2"/>
  <c r="KN15" i="2"/>
  <c r="KM15" i="2"/>
  <c r="KL15" i="2"/>
  <c r="KK15" i="2"/>
  <c r="KJ15" i="2"/>
  <c r="KI15" i="2"/>
  <c r="KH15" i="2"/>
  <c r="KG15" i="2"/>
  <c r="KF15" i="2"/>
  <c r="KE15" i="2"/>
  <c r="KD15" i="2"/>
  <c r="KC15" i="2"/>
  <c r="KB15" i="2"/>
  <c r="KA15" i="2"/>
  <c r="JZ15" i="2"/>
  <c r="JY15" i="2"/>
  <c r="JX15" i="2"/>
  <c r="JW15" i="2"/>
  <c r="JV15" i="2"/>
  <c r="JU15" i="2"/>
  <c r="JT15" i="2"/>
  <c r="JS15" i="2"/>
  <c r="JR15" i="2"/>
  <c r="JQ15" i="2"/>
  <c r="JP15" i="2"/>
  <c r="JO15" i="2"/>
  <c r="JN15" i="2"/>
  <c r="JM15" i="2"/>
  <c r="JL15" i="2"/>
  <c r="JK15" i="2"/>
  <c r="JJ15" i="2"/>
  <c r="JI15" i="2"/>
  <c r="JH15" i="2"/>
  <c r="JG15" i="2"/>
  <c r="JF15" i="2"/>
  <c r="JE15" i="2"/>
  <c r="JD15" i="2"/>
  <c r="JC15" i="2"/>
  <c r="JB15" i="2"/>
  <c r="JA15" i="2"/>
  <c r="IZ15" i="2"/>
  <c r="IY15" i="2"/>
  <c r="IX15" i="2"/>
  <c r="IW15" i="2"/>
  <c r="IV15" i="2"/>
  <c r="IU15" i="2"/>
  <c r="IT15" i="2"/>
  <c r="IS15" i="2"/>
  <c r="IR15" i="2"/>
  <c r="IQ15" i="2"/>
  <c r="IP15" i="2"/>
  <c r="IO15" i="2"/>
  <c r="IN15" i="2"/>
  <c r="IM15" i="2"/>
  <c r="IL15" i="2"/>
  <c r="IK15" i="2"/>
  <c r="IJ15" i="2"/>
  <c r="II15" i="2"/>
  <c r="IH15" i="2"/>
  <c r="IG15" i="2"/>
  <c r="IF15" i="2"/>
  <c r="IE15" i="2"/>
  <c r="ID15" i="2"/>
  <c r="IC15" i="2"/>
  <c r="IB15" i="2"/>
  <c r="IA15" i="2"/>
  <c r="HZ15" i="2"/>
  <c r="HY15" i="2"/>
  <c r="HX15" i="2"/>
  <c r="HW15" i="2"/>
  <c r="HV15" i="2"/>
  <c r="HU15" i="2"/>
  <c r="HT15" i="2"/>
  <c r="HS15" i="2"/>
  <c r="HR15" i="2"/>
  <c r="HQ15" i="2"/>
  <c r="HP15" i="2"/>
  <c r="HO15" i="2"/>
  <c r="HN15" i="2"/>
  <c r="HM15" i="2"/>
  <c r="HL15" i="2"/>
  <c r="HK15" i="2"/>
  <c r="HJ15" i="2"/>
  <c r="HI15" i="2"/>
  <c r="HH15" i="2"/>
  <c r="HG15" i="2"/>
  <c r="HF15" i="2"/>
  <c r="HE15" i="2"/>
  <c r="HD15" i="2"/>
  <c r="HC15" i="2"/>
  <c r="HB15" i="2"/>
  <c r="HA15" i="2"/>
  <c r="GZ15" i="2"/>
  <c r="GY15" i="2"/>
  <c r="GX15" i="2"/>
  <c r="GW15" i="2"/>
  <c r="GV15" i="2"/>
  <c r="GU15" i="2"/>
  <c r="GT15" i="2"/>
  <c r="GS15" i="2"/>
  <c r="GR15" i="2"/>
  <c r="GQ15" i="2"/>
  <c r="GP15" i="2"/>
  <c r="GO15" i="2"/>
  <c r="GN15" i="2"/>
  <c r="GM15" i="2"/>
  <c r="GL15" i="2"/>
  <c r="GK15" i="2"/>
  <c r="GJ15" i="2"/>
  <c r="GI15" i="2"/>
  <c r="GH15" i="2"/>
  <c r="GG15" i="2"/>
  <c r="GF15" i="2"/>
  <c r="GE15" i="2"/>
  <c r="GD15" i="2"/>
  <c r="GC15" i="2"/>
  <c r="GB15" i="2"/>
  <c r="GA15" i="2"/>
  <c r="FZ15" i="2"/>
  <c r="FY15" i="2"/>
  <c r="FX15" i="2"/>
  <c r="FW15" i="2"/>
  <c r="FV15" i="2"/>
  <c r="FU15" i="2"/>
  <c r="FT15" i="2"/>
  <c r="FS15" i="2"/>
  <c r="FR15" i="2"/>
  <c r="FQ15" i="2"/>
  <c r="FP15" i="2"/>
  <c r="FO15" i="2"/>
  <c r="FN15" i="2"/>
  <c r="FM15" i="2"/>
  <c r="FL15" i="2"/>
  <c r="FK15" i="2"/>
  <c r="FJ15" i="2"/>
  <c r="FI15" i="2"/>
  <c r="FH15" i="2"/>
  <c r="FG15" i="2"/>
  <c r="FF15" i="2"/>
  <c r="FE15" i="2"/>
  <c r="FD15" i="2"/>
  <c r="FC15" i="2"/>
  <c r="FB15" i="2"/>
  <c r="FA15" i="2"/>
  <c r="EZ15" i="2"/>
  <c r="EY15" i="2"/>
  <c r="EX15" i="2"/>
  <c r="EW15" i="2"/>
  <c r="EV15" i="2"/>
  <c r="EU15" i="2"/>
  <c r="ET15" i="2"/>
  <c r="ES15" i="2"/>
  <c r="ER15" i="2"/>
  <c r="EQ15" i="2"/>
  <c r="EP15" i="2"/>
  <c r="EO15" i="2"/>
  <c r="EN15" i="2"/>
  <c r="EM15" i="2"/>
  <c r="EL15" i="2"/>
  <c r="EK15" i="2"/>
  <c r="EJ15" i="2"/>
  <c r="EI15" i="2"/>
  <c r="EH15" i="2"/>
  <c r="EG15" i="2"/>
  <c r="EF15" i="2"/>
  <c r="EE15" i="2"/>
  <c r="ED15" i="2"/>
  <c r="EC15" i="2"/>
  <c r="EB15" i="2"/>
  <c r="EA15" i="2"/>
  <c r="DZ15" i="2"/>
  <c r="DY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PI14" i="2"/>
  <c r="PH14" i="2"/>
  <c r="PG14" i="2"/>
  <c r="PF14" i="2"/>
  <c r="PE14" i="2"/>
  <c r="PD14" i="2"/>
  <c r="PC14" i="2"/>
  <c r="PB14" i="2"/>
  <c r="PA14" i="2"/>
  <c r="OZ14" i="2"/>
  <c r="OY14" i="2"/>
  <c r="OX14" i="2"/>
  <c r="OW14" i="2"/>
  <c r="OV14" i="2"/>
  <c r="OU14" i="2"/>
  <c r="OT14" i="2"/>
  <c r="OS14" i="2"/>
  <c r="OR14" i="2"/>
  <c r="OQ14" i="2"/>
  <c r="OP14" i="2"/>
  <c r="OO14" i="2"/>
  <c r="ON14" i="2"/>
  <c r="OM14" i="2"/>
  <c r="OL14" i="2"/>
  <c r="OK14" i="2"/>
  <c r="OJ14" i="2"/>
  <c r="OI14" i="2"/>
  <c r="OH14" i="2"/>
  <c r="OG14" i="2"/>
  <c r="OF14" i="2"/>
  <c r="OE14" i="2"/>
  <c r="OD14" i="2"/>
  <c r="OC14" i="2"/>
  <c r="OB14" i="2"/>
  <c r="OA14" i="2"/>
  <c r="NZ14" i="2"/>
  <c r="NY14" i="2"/>
  <c r="NX14" i="2"/>
  <c r="NW14" i="2"/>
  <c r="NV14" i="2"/>
  <c r="NU14" i="2"/>
  <c r="NT14" i="2"/>
  <c r="NS14" i="2"/>
  <c r="NR14" i="2"/>
  <c r="NQ14" i="2"/>
  <c r="NP14" i="2"/>
  <c r="NO14" i="2"/>
  <c r="NN14" i="2"/>
  <c r="NM14" i="2"/>
  <c r="NL14" i="2"/>
  <c r="NK14" i="2"/>
  <c r="NJ14" i="2"/>
  <c r="NI14" i="2"/>
  <c r="NH14" i="2"/>
  <c r="NG14" i="2"/>
  <c r="NF14" i="2"/>
  <c r="NE14" i="2"/>
  <c r="ND14" i="2"/>
  <c r="NC14" i="2"/>
  <c r="NB14" i="2"/>
  <c r="NA14" i="2"/>
  <c r="MZ14" i="2"/>
  <c r="MY14" i="2"/>
  <c r="MX14" i="2"/>
  <c r="MW14" i="2"/>
  <c r="MV14" i="2"/>
  <c r="MU14" i="2"/>
  <c r="MT14" i="2"/>
  <c r="MS14" i="2"/>
  <c r="MR14" i="2"/>
  <c r="MQ14" i="2"/>
  <c r="MP14" i="2"/>
  <c r="MO14" i="2"/>
  <c r="MN14" i="2"/>
  <c r="MM14" i="2"/>
  <c r="ML14" i="2"/>
  <c r="MK14" i="2"/>
  <c r="MJ14" i="2"/>
  <c r="MI14" i="2"/>
  <c r="MH14" i="2"/>
  <c r="MG14" i="2"/>
  <c r="MF14" i="2"/>
  <c r="ME14" i="2"/>
  <c r="MD14" i="2"/>
  <c r="MC14" i="2"/>
  <c r="MB14" i="2"/>
  <c r="MA14" i="2"/>
  <c r="LZ14" i="2"/>
  <c r="LY14" i="2"/>
  <c r="LX14" i="2"/>
  <c r="LW14" i="2"/>
  <c r="LV14" i="2"/>
  <c r="LU14" i="2"/>
  <c r="LT14" i="2"/>
  <c r="LS14" i="2"/>
  <c r="LR14" i="2"/>
  <c r="LQ14" i="2"/>
  <c r="LP14" i="2"/>
  <c r="LO14" i="2"/>
  <c r="LN14" i="2"/>
  <c r="LM14" i="2"/>
  <c r="LL14" i="2"/>
  <c r="LK14" i="2"/>
  <c r="LJ14" i="2"/>
  <c r="LI14" i="2"/>
  <c r="LH14" i="2"/>
  <c r="LG14" i="2"/>
  <c r="LF14" i="2"/>
  <c r="LE14" i="2"/>
  <c r="LD14" i="2"/>
  <c r="LC14" i="2"/>
  <c r="LB14" i="2"/>
  <c r="LA14" i="2"/>
  <c r="KZ14" i="2"/>
  <c r="KY14" i="2"/>
  <c r="KX14" i="2"/>
  <c r="KW14" i="2"/>
  <c r="KV14" i="2"/>
  <c r="KU14" i="2"/>
  <c r="KT14" i="2"/>
  <c r="KS14" i="2"/>
  <c r="KR14" i="2"/>
  <c r="KQ14" i="2"/>
  <c r="KP14" i="2"/>
  <c r="KO14" i="2"/>
  <c r="KN14" i="2"/>
  <c r="KM14" i="2"/>
  <c r="KL14" i="2"/>
  <c r="KK14" i="2"/>
  <c r="KJ14" i="2"/>
  <c r="KI14" i="2"/>
  <c r="KH14" i="2"/>
  <c r="KG14" i="2"/>
  <c r="KF14" i="2"/>
  <c r="KE14" i="2"/>
  <c r="KD14" i="2"/>
  <c r="KC14" i="2"/>
  <c r="KB14" i="2"/>
  <c r="KA14" i="2"/>
  <c r="JZ14" i="2"/>
  <c r="JY14" i="2"/>
  <c r="JX14" i="2"/>
  <c r="JW14" i="2"/>
  <c r="JV14" i="2"/>
  <c r="JU14" i="2"/>
  <c r="JT14" i="2"/>
  <c r="JS14" i="2"/>
  <c r="JR14" i="2"/>
  <c r="JQ14" i="2"/>
  <c r="JP14" i="2"/>
  <c r="JO14" i="2"/>
  <c r="JN14" i="2"/>
  <c r="JM14" i="2"/>
  <c r="JL14" i="2"/>
  <c r="JK14" i="2"/>
  <c r="JJ14" i="2"/>
  <c r="JI14" i="2"/>
  <c r="JH14" i="2"/>
  <c r="JG14" i="2"/>
  <c r="JF14" i="2"/>
  <c r="JE14" i="2"/>
  <c r="JD14" i="2"/>
  <c r="JC14" i="2"/>
  <c r="JB14" i="2"/>
  <c r="JA14" i="2"/>
  <c r="IZ14" i="2"/>
  <c r="IY14" i="2"/>
  <c r="IX14" i="2"/>
  <c r="IW14" i="2"/>
  <c r="IV14" i="2"/>
  <c r="IU14" i="2"/>
  <c r="IT14" i="2"/>
  <c r="IS14" i="2"/>
  <c r="IR14" i="2"/>
  <c r="IQ14" i="2"/>
  <c r="IP14" i="2"/>
  <c r="IO14" i="2"/>
  <c r="IN14" i="2"/>
  <c r="IM14" i="2"/>
  <c r="IL14" i="2"/>
  <c r="IK14" i="2"/>
  <c r="IJ14" i="2"/>
  <c r="II14" i="2"/>
  <c r="IH14" i="2"/>
  <c r="IG14" i="2"/>
  <c r="IF14" i="2"/>
  <c r="IE14" i="2"/>
  <c r="ID14" i="2"/>
  <c r="IC14" i="2"/>
  <c r="IB14" i="2"/>
  <c r="IA14" i="2"/>
  <c r="HZ14" i="2"/>
  <c r="HY14" i="2"/>
  <c r="HX14" i="2"/>
  <c r="HW14" i="2"/>
  <c r="HV14" i="2"/>
  <c r="HU14" i="2"/>
  <c r="HT14" i="2"/>
  <c r="HS14" i="2"/>
  <c r="HR14" i="2"/>
  <c r="HQ14" i="2"/>
  <c r="HP14" i="2"/>
  <c r="HO14" i="2"/>
  <c r="HN14" i="2"/>
  <c r="HM14" i="2"/>
  <c r="HL14" i="2"/>
  <c r="HK14" i="2"/>
  <c r="HJ14" i="2"/>
  <c r="HI14" i="2"/>
  <c r="HH14" i="2"/>
  <c r="HG14" i="2"/>
  <c r="HF14" i="2"/>
  <c r="HE14" i="2"/>
  <c r="HD14" i="2"/>
  <c r="HC14" i="2"/>
  <c r="HB14" i="2"/>
  <c r="HA14" i="2"/>
  <c r="GZ14" i="2"/>
  <c r="GY14" i="2"/>
  <c r="GX14" i="2"/>
  <c r="GW14" i="2"/>
  <c r="GV14" i="2"/>
  <c r="GU14" i="2"/>
  <c r="GT14" i="2"/>
  <c r="GS14" i="2"/>
  <c r="GR14" i="2"/>
  <c r="GQ14" i="2"/>
  <c r="GP14" i="2"/>
  <c r="GO14" i="2"/>
  <c r="GN14" i="2"/>
  <c r="GM14" i="2"/>
  <c r="GL14" i="2"/>
  <c r="GK14" i="2"/>
  <c r="GJ14" i="2"/>
  <c r="GI14" i="2"/>
  <c r="GH14" i="2"/>
  <c r="GG14" i="2"/>
  <c r="GF14" i="2"/>
  <c r="GE14" i="2"/>
  <c r="GD14" i="2"/>
  <c r="GC14" i="2"/>
  <c r="GB14" i="2"/>
  <c r="GA14" i="2"/>
  <c r="FZ14" i="2"/>
  <c r="FY14" i="2"/>
  <c r="FX14" i="2"/>
  <c r="FW14" i="2"/>
  <c r="FV14" i="2"/>
  <c r="FU14" i="2"/>
  <c r="FT14" i="2"/>
  <c r="FS14" i="2"/>
  <c r="FR14" i="2"/>
  <c r="FQ14" i="2"/>
  <c r="FP14" i="2"/>
  <c r="FO14" i="2"/>
  <c r="FN14" i="2"/>
  <c r="FM14" i="2"/>
  <c r="FL14" i="2"/>
  <c r="FK14" i="2"/>
  <c r="FJ14" i="2"/>
  <c r="FI14" i="2"/>
  <c r="FH14" i="2"/>
  <c r="FG14" i="2"/>
  <c r="FF14" i="2"/>
  <c r="FE14" i="2"/>
  <c r="FD14" i="2"/>
  <c r="FC14" i="2"/>
  <c r="FB14" i="2"/>
  <c r="FA14" i="2"/>
  <c r="EZ14" i="2"/>
  <c r="EY14" i="2"/>
  <c r="EX14" i="2"/>
  <c r="EW14" i="2"/>
  <c r="EV14" i="2"/>
  <c r="EU14" i="2"/>
  <c r="ET14" i="2"/>
  <c r="ES14" i="2"/>
  <c r="ER14" i="2"/>
  <c r="EQ14" i="2"/>
  <c r="EP14" i="2"/>
  <c r="EO14" i="2"/>
  <c r="EN14" i="2"/>
  <c r="EM14" i="2"/>
  <c r="EL14" i="2"/>
  <c r="EK14" i="2"/>
  <c r="EJ14" i="2"/>
  <c r="EI14" i="2"/>
  <c r="EH14" i="2"/>
  <c r="EG14" i="2"/>
  <c r="EF14" i="2"/>
  <c r="EE14" i="2"/>
  <c r="ED14" i="2"/>
  <c r="EC14" i="2"/>
  <c r="EB14" i="2"/>
  <c r="EA14" i="2"/>
  <c r="DZ14" i="2"/>
  <c r="DY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PI13" i="2"/>
  <c r="PH13" i="2"/>
  <c r="PG13" i="2"/>
  <c r="PF13" i="2"/>
  <c r="PE13" i="2"/>
  <c r="PD13" i="2"/>
  <c r="PC13" i="2"/>
  <c r="PB13" i="2"/>
  <c r="PA13" i="2"/>
  <c r="OZ13" i="2"/>
  <c r="OY13" i="2"/>
  <c r="OX13" i="2"/>
  <c r="OW13" i="2"/>
  <c r="OV13" i="2"/>
  <c r="OU13" i="2"/>
  <c r="OT13" i="2"/>
  <c r="OS13" i="2"/>
  <c r="OR13" i="2"/>
  <c r="OQ13" i="2"/>
  <c r="OP13" i="2"/>
  <c r="OO13" i="2"/>
  <c r="ON13" i="2"/>
  <c r="OM13" i="2"/>
  <c r="OL13" i="2"/>
  <c r="OK13" i="2"/>
  <c r="OJ13" i="2"/>
  <c r="OI13" i="2"/>
  <c r="OH13" i="2"/>
  <c r="OG13" i="2"/>
  <c r="OF13" i="2"/>
  <c r="OE13" i="2"/>
  <c r="OD13" i="2"/>
  <c r="OC13" i="2"/>
  <c r="OB13" i="2"/>
  <c r="OA13" i="2"/>
  <c r="NZ13" i="2"/>
  <c r="NY13" i="2"/>
  <c r="NX13" i="2"/>
  <c r="NW13" i="2"/>
  <c r="NV13" i="2"/>
  <c r="NU13" i="2"/>
  <c r="NT13" i="2"/>
  <c r="NS13" i="2"/>
  <c r="NR13" i="2"/>
  <c r="NQ13" i="2"/>
  <c r="NP13" i="2"/>
  <c r="NO13" i="2"/>
  <c r="NN13" i="2"/>
  <c r="NM13" i="2"/>
  <c r="NL13" i="2"/>
  <c r="NK13" i="2"/>
  <c r="NJ13" i="2"/>
  <c r="NI13" i="2"/>
  <c r="NH13" i="2"/>
  <c r="NG13" i="2"/>
  <c r="NF13" i="2"/>
  <c r="NE13" i="2"/>
  <c r="ND13" i="2"/>
  <c r="NC13" i="2"/>
  <c r="NB13" i="2"/>
  <c r="NA13" i="2"/>
  <c r="MZ13" i="2"/>
  <c r="MY13" i="2"/>
  <c r="MX13" i="2"/>
  <c r="MW13" i="2"/>
  <c r="MV13" i="2"/>
  <c r="MU13" i="2"/>
  <c r="MT13" i="2"/>
  <c r="MS13" i="2"/>
  <c r="MR13" i="2"/>
  <c r="MQ13" i="2"/>
  <c r="MP13" i="2"/>
  <c r="MO13" i="2"/>
  <c r="MN13" i="2"/>
  <c r="MM13" i="2"/>
  <c r="ML13" i="2"/>
  <c r="MK13" i="2"/>
  <c r="MJ13" i="2"/>
  <c r="MI13" i="2"/>
  <c r="MH13" i="2"/>
  <c r="MG13" i="2"/>
  <c r="MF13" i="2"/>
  <c r="ME13" i="2"/>
  <c r="MD13" i="2"/>
  <c r="MC13" i="2"/>
  <c r="MB13" i="2"/>
  <c r="MA13" i="2"/>
  <c r="LZ13" i="2"/>
  <c r="LY13" i="2"/>
  <c r="LX13" i="2"/>
  <c r="LW13" i="2"/>
  <c r="LV13" i="2"/>
  <c r="LU13" i="2"/>
  <c r="LT13" i="2"/>
  <c r="LS13" i="2"/>
  <c r="LR13" i="2"/>
  <c r="LQ13" i="2"/>
  <c r="LP13" i="2"/>
  <c r="LO13" i="2"/>
  <c r="LN13" i="2"/>
  <c r="LM13" i="2"/>
  <c r="LL13" i="2"/>
  <c r="LK13" i="2"/>
  <c r="LJ13" i="2"/>
  <c r="LI13" i="2"/>
  <c r="LH13" i="2"/>
  <c r="LG13" i="2"/>
  <c r="LF13" i="2"/>
  <c r="LE13" i="2"/>
  <c r="LD13" i="2"/>
  <c r="LC13" i="2"/>
  <c r="LB13" i="2"/>
  <c r="LA13" i="2"/>
  <c r="KZ13" i="2"/>
  <c r="KY13" i="2"/>
  <c r="KX13" i="2"/>
  <c r="KW13" i="2"/>
  <c r="KV13" i="2"/>
  <c r="KU13" i="2"/>
  <c r="KT13" i="2"/>
  <c r="KS13" i="2"/>
  <c r="KR13" i="2"/>
  <c r="KQ13" i="2"/>
  <c r="KP13" i="2"/>
  <c r="KO13" i="2"/>
  <c r="KN13" i="2"/>
  <c r="KM13" i="2"/>
  <c r="KL13" i="2"/>
  <c r="KK13" i="2"/>
  <c r="KJ13" i="2"/>
  <c r="KI13" i="2"/>
  <c r="KH13" i="2"/>
  <c r="KG13" i="2"/>
  <c r="KF13" i="2"/>
  <c r="KE13" i="2"/>
  <c r="KD13" i="2"/>
  <c r="KC13" i="2"/>
  <c r="KB13" i="2"/>
  <c r="KA13" i="2"/>
  <c r="JZ13" i="2"/>
  <c r="JY13" i="2"/>
  <c r="JX13" i="2"/>
  <c r="JW13" i="2"/>
  <c r="JV13" i="2"/>
  <c r="JU13" i="2"/>
  <c r="JT13" i="2"/>
  <c r="JS13" i="2"/>
  <c r="JR13" i="2"/>
  <c r="JQ13" i="2"/>
  <c r="JP13" i="2"/>
  <c r="JO13" i="2"/>
  <c r="JN13" i="2"/>
  <c r="JM13" i="2"/>
  <c r="JL13" i="2"/>
  <c r="JK13" i="2"/>
  <c r="JJ13" i="2"/>
  <c r="JI13" i="2"/>
  <c r="JH13" i="2"/>
  <c r="JG13" i="2"/>
  <c r="JF13" i="2"/>
  <c r="JE13" i="2"/>
  <c r="JD13" i="2"/>
  <c r="JC13" i="2"/>
  <c r="JB13" i="2"/>
  <c r="JA13" i="2"/>
  <c r="IZ13" i="2"/>
  <c r="IY13" i="2"/>
  <c r="IX13" i="2"/>
  <c r="IW13" i="2"/>
  <c r="IV13" i="2"/>
  <c r="IU13" i="2"/>
  <c r="IT13" i="2"/>
  <c r="IS13" i="2"/>
  <c r="IR13" i="2"/>
  <c r="IQ13" i="2"/>
  <c r="IP13" i="2"/>
  <c r="IO13" i="2"/>
  <c r="IN13" i="2"/>
  <c r="IM13" i="2"/>
  <c r="IL13" i="2"/>
  <c r="IK13" i="2"/>
  <c r="IJ13" i="2"/>
  <c r="II13" i="2"/>
  <c r="IH13" i="2"/>
  <c r="IG13" i="2"/>
  <c r="IF13" i="2"/>
  <c r="IE13" i="2"/>
  <c r="ID13" i="2"/>
  <c r="IC13" i="2"/>
  <c r="IB13" i="2"/>
  <c r="IA13" i="2"/>
  <c r="HZ13" i="2"/>
  <c r="HY13" i="2"/>
  <c r="HX13" i="2"/>
  <c r="HW13" i="2"/>
  <c r="HV13" i="2"/>
  <c r="HU13" i="2"/>
  <c r="HT13" i="2"/>
  <c r="HS13" i="2"/>
  <c r="HR13" i="2"/>
  <c r="HQ13" i="2"/>
  <c r="HP13" i="2"/>
  <c r="HO13" i="2"/>
  <c r="HN13" i="2"/>
  <c r="HM13" i="2"/>
  <c r="HL13" i="2"/>
  <c r="HK13" i="2"/>
  <c r="HJ13" i="2"/>
  <c r="HI13" i="2"/>
  <c r="HH13" i="2"/>
  <c r="HG13" i="2"/>
  <c r="HF13" i="2"/>
  <c r="HE13" i="2"/>
  <c r="HD13" i="2"/>
  <c r="HC13" i="2"/>
  <c r="HB13" i="2"/>
  <c r="HA13" i="2"/>
  <c r="GZ13" i="2"/>
  <c r="GY13" i="2"/>
  <c r="GX13" i="2"/>
  <c r="GW13" i="2"/>
  <c r="GV13" i="2"/>
  <c r="GU13" i="2"/>
  <c r="GT13" i="2"/>
  <c r="GS13" i="2"/>
  <c r="GR13" i="2"/>
  <c r="GQ13" i="2"/>
  <c r="GP13" i="2"/>
  <c r="GO13" i="2"/>
  <c r="GN13" i="2"/>
  <c r="GM13" i="2"/>
  <c r="GL13" i="2"/>
  <c r="GK13" i="2"/>
  <c r="GJ13" i="2"/>
  <c r="GI13" i="2"/>
  <c r="GH13" i="2"/>
  <c r="GG13" i="2"/>
  <c r="GF13" i="2"/>
  <c r="GE13" i="2"/>
  <c r="GD13" i="2"/>
  <c r="GC13" i="2"/>
  <c r="GB13" i="2"/>
  <c r="GA13" i="2"/>
  <c r="FZ13" i="2"/>
  <c r="FY13" i="2"/>
  <c r="FX13" i="2"/>
  <c r="FW13" i="2"/>
  <c r="FV13" i="2"/>
  <c r="FU13" i="2"/>
  <c r="FT13" i="2"/>
  <c r="FS13" i="2"/>
  <c r="FR13" i="2"/>
  <c r="FQ13" i="2"/>
  <c r="FP13" i="2"/>
  <c r="FO13" i="2"/>
  <c r="FN13" i="2"/>
  <c r="FM13" i="2"/>
  <c r="FL13" i="2"/>
  <c r="FK13" i="2"/>
  <c r="FJ13" i="2"/>
  <c r="FI13" i="2"/>
  <c r="FH13" i="2"/>
  <c r="FG13" i="2"/>
  <c r="FF13" i="2"/>
  <c r="FE13" i="2"/>
  <c r="FD13" i="2"/>
  <c r="FC13" i="2"/>
  <c r="FB13" i="2"/>
  <c r="FA13" i="2"/>
  <c r="EZ13" i="2"/>
  <c r="EY13" i="2"/>
  <c r="EX13" i="2"/>
  <c r="EW13" i="2"/>
  <c r="EV13" i="2"/>
  <c r="EU13" i="2"/>
  <c r="ET13" i="2"/>
  <c r="ES13" i="2"/>
  <c r="ER13" i="2"/>
  <c r="EQ13" i="2"/>
  <c r="EP13" i="2"/>
  <c r="EO13" i="2"/>
  <c r="EN13" i="2"/>
  <c r="EM13" i="2"/>
  <c r="EL13" i="2"/>
  <c r="EK13" i="2"/>
  <c r="EJ13" i="2"/>
  <c r="EI13" i="2"/>
  <c r="EH13" i="2"/>
  <c r="EG13" i="2"/>
  <c r="EF13" i="2"/>
  <c r="EE13" i="2"/>
  <c r="ED13" i="2"/>
  <c r="EC13" i="2"/>
  <c r="EB13" i="2"/>
  <c r="EA13" i="2"/>
  <c r="DZ13" i="2"/>
  <c r="DY13" i="2"/>
  <c r="DX13" i="2"/>
  <c r="DW13" i="2"/>
  <c r="DV13" i="2"/>
  <c r="DU13" i="2"/>
  <c r="DT13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PI12" i="2"/>
  <c r="PH12" i="2"/>
  <c r="PG12" i="2"/>
  <c r="PF12" i="2"/>
  <c r="PE12" i="2"/>
  <c r="PD12" i="2"/>
  <c r="PC12" i="2"/>
  <c r="PB12" i="2"/>
  <c r="PA12" i="2"/>
  <c r="OZ12" i="2"/>
  <c r="OY12" i="2"/>
  <c r="OX12" i="2"/>
  <c r="OW12" i="2"/>
  <c r="OV12" i="2"/>
  <c r="OU12" i="2"/>
  <c r="OT12" i="2"/>
  <c r="OS12" i="2"/>
  <c r="OR12" i="2"/>
  <c r="OQ12" i="2"/>
  <c r="OP12" i="2"/>
  <c r="OO12" i="2"/>
  <c r="ON12" i="2"/>
  <c r="OM12" i="2"/>
  <c r="OL12" i="2"/>
  <c r="OK12" i="2"/>
  <c r="OJ12" i="2"/>
  <c r="OI12" i="2"/>
  <c r="OH12" i="2"/>
  <c r="OG12" i="2"/>
  <c r="OF12" i="2"/>
  <c r="OE12" i="2"/>
  <c r="OD12" i="2"/>
  <c r="OC12" i="2"/>
  <c r="OB12" i="2"/>
  <c r="OA12" i="2"/>
  <c r="NZ12" i="2"/>
  <c r="NY12" i="2"/>
  <c r="NX12" i="2"/>
  <c r="NW12" i="2"/>
  <c r="NV12" i="2"/>
  <c r="NU12" i="2"/>
  <c r="NT12" i="2"/>
  <c r="NS12" i="2"/>
  <c r="NR12" i="2"/>
  <c r="NQ12" i="2"/>
  <c r="NP12" i="2"/>
  <c r="NO12" i="2"/>
  <c r="NN12" i="2"/>
  <c r="NM12" i="2"/>
  <c r="NL12" i="2"/>
  <c r="NK12" i="2"/>
  <c r="NJ12" i="2"/>
  <c r="NI12" i="2"/>
  <c r="NH12" i="2"/>
  <c r="NG12" i="2"/>
  <c r="NF12" i="2"/>
  <c r="NE12" i="2"/>
  <c r="ND12" i="2"/>
  <c r="NC12" i="2"/>
  <c r="NB12" i="2"/>
  <c r="NA12" i="2"/>
  <c r="MZ12" i="2"/>
  <c r="MY12" i="2"/>
  <c r="MX12" i="2"/>
  <c r="MW12" i="2"/>
  <c r="MV12" i="2"/>
  <c r="MU12" i="2"/>
  <c r="MT12" i="2"/>
  <c r="MS12" i="2"/>
  <c r="MR12" i="2"/>
  <c r="MQ12" i="2"/>
  <c r="MP12" i="2"/>
  <c r="MO12" i="2"/>
  <c r="MN12" i="2"/>
  <c r="MM12" i="2"/>
  <c r="ML12" i="2"/>
  <c r="MK12" i="2"/>
  <c r="MJ12" i="2"/>
  <c r="MI12" i="2"/>
  <c r="MH12" i="2"/>
  <c r="MG12" i="2"/>
  <c r="MF12" i="2"/>
  <c r="ME12" i="2"/>
  <c r="MD12" i="2"/>
  <c r="MC12" i="2"/>
  <c r="MB12" i="2"/>
  <c r="MA12" i="2"/>
  <c r="LZ12" i="2"/>
  <c r="LY12" i="2"/>
  <c r="LX12" i="2"/>
  <c r="LW12" i="2"/>
  <c r="LV12" i="2"/>
  <c r="LU12" i="2"/>
  <c r="LT12" i="2"/>
  <c r="LS12" i="2"/>
  <c r="LR12" i="2"/>
  <c r="LQ12" i="2"/>
  <c r="LP12" i="2"/>
  <c r="LO12" i="2"/>
  <c r="LN12" i="2"/>
  <c r="LM12" i="2"/>
  <c r="LL12" i="2"/>
  <c r="LK12" i="2"/>
  <c r="LJ12" i="2"/>
  <c r="LI12" i="2"/>
  <c r="LH12" i="2"/>
  <c r="LG12" i="2"/>
  <c r="LF12" i="2"/>
  <c r="LE12" i="2"/>
  <c r="LD12" i="2"/>
  <c r="LC12" i="2"/>
  <c r="LB12" i="2"/>
  <c r="LA12" i="2"/>
  <c r="KZ12" i="2"/>
  <c r="KY12" i="2"/>
  <c r="KX12" i="2"/>
  <c r="KW12" i="2"/>
  <c r="KV12" i="2"/>
  <c r="KU12" i="2"/>
  <c r="KT12" i="2"/>
  <c r="KS12" i="2"/>
  <c r="KR12" i="2"/>
  <c r="KQ12" i="2"/>
  <c r="KP12" i="2"/>
  <c r="KO12" i="2"/>
  <c r="KN12" i="2"/>
  <c r="KM12" i="2"/>
  <c r="KL12" i="2"/>
  <c r="KK12" i="2"/>
  <c r="KJ12" i="2"/>
  <c r="KI12" i="2"/>
  <c r="KH12" i="2"/>
  <c r="KG12" i="2"/>
  <c r="KF12" i="2"/>
  <c r="KE12" i="2"/>
  <c r="KD12" i="2"/>
  <c r="KC12" i="2"/>
  <c r="KB12" i="2"/>
  <c r="KA12" i="2"/>
  <c r="JZ12" i="2"/>
  <c r="JY12" i="2"/>
  <c r="JX12" i="2"/>
  <c r="JW12" i="2"/>
  <c r="JV12" i="2"/>
  <c r="JU12" i="2"/>
  <c r="JT12" i="2"/>
  <c r="JS12" i="2"/>
  <c r="JR12" i="2"/>
  <c r="JQ12" i="2"/>
  <c r="JP12" i="2"/>
  <c r="JO12" i="2"/>
  <c r="JN12" i="2"/>
  <c r="JM12" i="2"/>
  <c r="JL12" i="2"/>
  <c r="JK12" i="2"/>
  <c r="JJ12" i="2"/>
  <c r="JI12" i="2"/>
  <c r="JH12" i="2"/>
  <c r="JG12" i="2"/>
  <c r="JF12" i="2"/>
  <c r="JE12" i="2"/>
  <c r="JD12" i="2"/>
  <c r="JC12" i="2"/>
  <c r="JB12" i="2"/>
  <c r="JA12" i="2"/>
  <c r="IZ12" i="2"/>
  <c r="IY12" i="2"/>
  <c r="IX12" i="2"/>
  <c r="IW12" i="2"/>
  <c r="IV12" i="2"/>
  <c r="IU12" i="2"/>
  <c r="IT12" i="2"/>
  <c r="IS12" i="2"/>
  <c r="IR12" i="2"/>
  <c r="IQ12" i="2"/>
  <c r="IP12" i="2"/>
  <c r="IO12" i="2"/>
  <c r="IN12" i="2"/>
  <c r="IM12" i="2"/>
  <c r="IL12" i="2"/>
  <c r="IK12" i="2"/>
  <c r="IJ12" i="2"/>
  <c r="II12" i="2"/>
  <c r="IH12" i="2"/>
  <c r="IG12" i="2"/>
  <c r="IF12" i="2"/>
  <c r="IE12" i="2"/>
  <c r="ID12" i="2"/>
  <c r="IC12" i="2"/>
  <c r="IB12" i="2"/>
  <c r="IA12" i="2"/>
  <c r="HZ12" i="2"/>
  <c r="HY12" i="2"/>
  <c r="HX12" i="2"/>
  <c r="HW12" i="2"/>
  <c r="HV12" i="2"/>
  <c r="HU12" i="2"/>
  <c r="HT12" i="2"/>
  <c r="HS12" i="2"/>
  <c r="HR12" i="2"/>
  <c r="HQ12" i="2"/>
  <c r="HP12" i="2"/>
  <c r="HO12" i="2"/>
  <c r="HN12" i="2"/>
  <c r="HM12" i="2"/>
  <c r="HL12" i="2"/>
  <c r="HK12" i="2"/>
  <c r="HJ12" i="2"/>
  <c r="HI12" i="2"/>
  <c r="HH12" i="2"/>
  <c r="HG12" i="2"/>
  <c r="HF12" i="2"/>
  <c r="HE12" i="2"/>
  <c r="HD12" i="2"/>
  <c r="HC12" i="2"/>
  <c r="HB12" i="2"/>
  <c r="HA12" i="2"/>
  <c r="GZ12" i="2"/>
  <c r="GY12" i="2"/>
  <c r="GX12" i="2"/>
  <c r="GW12" i="2"/>
  <c r="GV12" i="2"/>
  <c r="GU12" i="2"/>
  <c r="GT12" i="2"/>
  <c r="GS12" i="2"/>
  <c r="GR12" i="2"/>
  <c r="GQ12" i="2"/>
  <c r="GP12" i="2"/>
  <c r="GO12" i="2"/>
  <c r="GN12" i="2"/>
  <c r="GM12" i="2"/>
  <c r="GL12" i="2"/>
  <c r="GK12" i="2"/>
  <c r="GJ12" i="2"/>
  <c r="GI12" i="2"/>
  <c r="GH12" i="2"/>
  <c r="GG12" i="2"/>
  <c r="GF12" i="2"/>
  <c r="GE12" i="2"/>
  <c r="GD12" i="2"/>
  <c r="GC12" i="2"/>
  <c r="GB12" i="2"/>
  <c r="GA12" i="2"/>
  <c r="FZ12" i="2"/>
  <c r="FY12" i="2"/>
  <c r="FX12" i="2"/>
  <c r="FW12" i="2"/>
  <c r="FV12" i="2"/>
  <c r="FU12" i="2"/>
  <c r="FT12" i="2"/>
  <c r="FS12" i="2"/>
  <c r="FR12" i="2"/>
  <c r="FQ12" i="2"/>
  <c r="FP12" i="2"/>
  <c r="FO12" i="2"/>
  <c r="FN12" i="2"/>
  <c r="FM12" i="2"/>
  <c r="FL12" i="2"/>
  <c r="FK12" i="2"/>
  <c r="FJ12" i="2"/>
  <c r="FI12" i="2"/>
  <c r="FH12" i="2"/>
  <c r="FG12" i="2"/>
  <c r="FF12" i="2"/>
  <c r="FE12" i="2"/>
  <c r="FD12" i="2"/>
  <c r="FC12" i="2"/>
  <c r="FB12" i="2"/>
  <c r="FA12" i="2"/>
  <c r="EZ12" i="2"/>
  <c r="EY12" i="2"/>
  <c r="EX12" i="2"/>
  <c r="EW12" i="2"/>
  <c r="EV12" i="2"/>
  <c r="EU12" i="2"/>
  <c r="ET12" i="2"/>
  <c r="ES12" i="2"/>
  <c r="ER12" i="2"/>
  <c r="EQ12" i="2"/>
  <c r="EP12" i="2"/>
  <c r="EO12" i="2"/>
  <c r="EN12" i="2"/>
  <c r="EM12" i="2"/>
  <c r="EL12" i="2"/>
  <c r="EK12" i="2"/>
  <c r="EJ12" i="2"/>
  <c r="EI12" i="2"/>
  <c r="EH12" i="2"/>
  <c r="EG12" i="2"/>
  <c r="EF12" i="2"/>
  <c r="EE12" i="2"/>
  <c r="ED12" i="2"/>
  <c r="EC12" i="2"/>
  <c r="EB12" i="2"/>
  <c r="EA12" i="2"/>
  <c r="DZ12" i="2"/>
  <c r="DY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PI11" i="2"/>
  <c r="PH11" i="2"/>
  <c r="PG11" i="2"/>
  <c r="PF11" i="2"/>
  <c r="PE11" i="2"/>
  <c r="PD11" i="2"/>
  <c r="PC11" i="2"/>
  <c r="PB11" i="2"/>
  <c r="PA11" i="2"/>
  <c r="OZ11" i="2"/>
  <c r="OY11" i="2"/>
  <c r="OX11" i="2"/>
  <c r="OW11" i="2"/>
  <c r="OV11" i="2"/>
  <c r="OU11" i="2"/>
  <c r="OT11" i="2"/>
  <c r="OS11" i="2"/>
  <c r="OR11" i="2"/>
  <c r="OQ11" i="2"/>
  <c r="OP11" i="2"/>
  <c r="OO11" i="2"/>
  <c r="ON11" i="2"/>
  <c r="OM11" i="2"/>
  <c r="OL11" i="2"/>
  <c r="OK11" i="2"/>
  <c r="OJ11" i="2"/>
  <c r="OI11" i="2"/>
  <c r="OH11" i="2"/>
  <c r="OG11" i="2"/>
  <c r="OF11" i="2"/>
  <c r="OE11" i="2"/>
  <c r="OD11" i="2"/>
  <c r="OC11" i="2"/>
  <c r="OB11" i="2"/>
  <c r="OA11" i="2"/>
  <c r="NZ11" i="2"/>
  <c r="NY11" i="2"/>
  <c r="NX11" i="2"/>
  <c r="NW11" i="2"/>
  <c r="NV11" i="2"/>
  <c r="NU11" i="2"/>
  <c r="NT11" i="2"/>
  <c r="NS11" i="2"/>
  <c r="NR11" i="2"/>
  <c r="NQ11" i="2"/>
  <c r="NP11" i="2"/>
  <c r="NO11" i="2"/>
  <c r="NN11" i="2"/>
  <c r="NM11" i="2"/>
  <c r="NL11" i="2"/>
  <c r="NK11" i="2"/>
  <c r="NJ11" i="2"/>
  <c r="NI11" i="2"/>
  <c r="NH11" i="2"/>
  <c r="NG11" i="2"/>
  <c r="NF11" i="2"/>
  <c r="NE11" i="2"/>
  <c r="ND11" i="2"/>
  <c r="NC11" i="2"/>
  <c r="NB11" i="2"/>
  <c r="NA11" i="2"/>
  <c r="MZ11" i="2"/>
  <c r="MY11" i="2"/>
  <c r="MX11" i="2"/>
  <c r="MW11" i="2"/>
  <c r="MV11" i="2"/>
  <c r="MU11" i="2"/>
  <c r="MT11" i="2"/>
  <c r="MS11" i="2"/>
  <c r="MR11" i="2"/>
  <c r="MQ11" i="2"/>
  <c r="MP11" i="2"/>
  <c r="MO11" i="2"/>
  <c r="MN11" i="2"/>
  <c r="MM11" i="2"/>
  <c r="ML11" i="2"/>
  <c r="MK11" i="2"/>
  <c r="MJ11" i="2"/>
  <c r="MI11" i="2"/>
  <c r="MH11" i="2"/>
  <c r="MG11" i="2"/>
  <c r="MF11" i="2"/>
  <c r="ME11" i="2"/>
  <c r="MD11" i="2"/>
  <c r="MC11" i="2"/>
  <c r="MB11" i="2"/>
  <c r="MA11" i="2"/>
  <c r="LZ11" i="2"/>
  <c r="LY11" i="2"/>
  <c r="LX11" i="2"/>
  <c r="LW11" i="2"/>
  <c r="LV11" i="2"/>
  <c r="LU11" i="2"/>
  <c r="LT11" i="2"/>
  <c r="LS11" i="2"/>
  <c r="LR11" i="2"/>
  <c r="LQ11" i="2"/>
  <c r="LP11" i="2"/>
  <c r="LO11" i="2"/>
  <c r="LN11" i="2"/>
  <c r="LM11" i="2"/>
  <c r="LL11" i="2"/>
  <c r="LK11" i="2"/>
  <c r="LJ11" i="2"/>
  <c r="LI11" i="2"/>
  <c r="LH11" i="2"/>
  <c r="LG11" i="2"/>
  <c r="LF11" i="2"/>
  <c r="LE11" i="2"/>
  <c r="LD11" i="2"/>
  <c r="LC11" i="2"/>
  <c r="LB11" i="2"/>
  <c r="LA11" i="2"/>
  <c r="KZ11" i="2"/>
  <c r="KY11" i="2"/>
  <c r="KX11" i="2"/>
  <c r="KW11" i="2"/>
  <c r="KV11" i="2"/>
  <c r="KU11" i="2"/>
  <c r="KT11" i="2"/>
  <c r="KS11" i="2"/>
  <c r="KR11" i="2"/>
  <c r="KQ11" i="2"/>
  <c r="KP11" i="2"/>
  <c r="KO11" i="2"/>
  <c r="KN11" i="2"/>
  <c r="KM11" i="2"/>
  <c r="KL11" i="2"/>
  <c r="KK11" i="2"/>
  <c r="KJ11" i="2"/>
  <c r="KI11" i="2"/>
  <c r="KH11" i="2"/>
  <c r="KG11" i="2"/>
  <c r="KF11" i="2"/>
  <c r="KE11" i="2"/>
  <c r="KD11" i="2"/>
  <c r="KC11" i="2"/>
  <c r="KB11" i="2"/>
  <c r="KA11" i="2"/>
  <c r="JZ11" i="2"/>
  <c r="JY11" i="2"/>
  <c r="JX11" i="2"/>
  <c r="JW11" i="2"/>
  <c r="JV11" i="2"/>
  <c r="JU11" i="2"/>
  <c r="JT11" i="2"/>
  <c r="JS11" i="2"/>
  <c r="JR11" i="2"/>
  <c r="JQ11" i="2"/>
  <c r="JP11" i="2"/>
  <c r="JO11" i="2"/>
  <c r="JN11" i="2"/>
  <c r="JM11" i="2"/>
  <c r="JL11" i="2"/>
  <c r="JK11" i="2"/>
  <c r="JJ11" i="2"/>
  <c r="JI11" i="2"/>
  <c r="JH11" i="2"/>
  <c r="JG11" i="2"/>
  <c r="JF11" i="2"/>
  <c r="JE11" i="2"/>
  <c r="JD11" i="2"/>
  <c r="JC11" i="2"/>
  <c r="JB11" i="2"/>
  <c r="JA11" i="2"/>
  <c r="IZ11" i="2"/>
  <c r="IY11" i="2"/>
  <c r="IX11" i="2"/>
  <c r="IW11" i="2"/>
  <c r="IV11" i="2"/>
  <c r="IU11" i="2"/>
  <c r="IT11" i="2"/>
  <c r="IS11" i="2"/>
  <c r="IR11" i="2"/>
  <c r="IQ11" i="2"/>
  <c r="IP11" i="2"/>
  <c r="IO11" i="2"/>
  <c r="IN11" i="2"/>
  <c r="IM11" i="2"/>
  <c r="IL11" i="2"/>
  <c r="IK11" i="2"/>
  <c r="IJ11" i="2"/>
  <c r="II11" i="2"/>
  <c r="IH11" i="2"/>
  <c r="IG11" i="2"/>
  <c r="IF11" i="2"/>
  <c r="IE11" i="2"/>
  <c r="ID11" i="2"/>
  <c r="IC11" i="2"/>
  <c r="IB11" i="2"/>
  <c r="IA11" i="2"/>
  <c r="HZ11" i="2"/>
  <c r="HY11" i="2"/>
  <c r="HX11" i="2"/>
  <c r="HW11" i="2"/>
  <c r="HV11" i="2"/>
  <c r="HU11" i="2"/>
  <c r="HT11" i="2"/>
  <c r="HS11" i="2"/>
  <c r="HR11" i="2"/>
  <c r="HQ11" i="2"/>
  <c r="HP11" i="2"/>
  <c r="HO11" i="2"/>
  <c r="HN11" i="2"/>
  <c r="HM11" i="2"/>
  <c r="HL11" i="2"/>
  <c r="HK11" i="2"/>
  <c r="HJ11" i="2"/>
  <c r="HI11" i="2"/>
  <c r="HH11" i="2"/>
  <c r="HG11" i="2"/>
  <c r="HF11" i="2"/>
  <c r="HE11" i="2"/>
  <c r="HD11" i="2"/>
  <c r="HC11" i="2"/>
  <c r="HB11" i="2"/>
  <c r="HA11" i="2"/>
  <c r="GZ11" i="2"/>
  <c r="GY11" i="2"/>
  <c r="GX11" i="2"/>
  <c r="GW11" i="2"/>
  <c r="GV11" i="2"/>
  <c r="GU11" i="2"/>
  <c r="GT11" i="2"/>
  <c r="GS11" i="2"/>
  <c r="GR11" i="2"/>
  <c r="GQ11" i="2"/>
  <c r="GP11" i="2"/>
  <c r="GO11" i="2"/>
  <c r="GN11" i="2"/>
  <c r="GM11" i="2"/>
  <c r="GL11" i="2"/>
  <c r="GK11" i="2"/>
  <c r="GJ11" i="2"/>
  <c r="GI11" i="2"/>
  <c r="GH11" i="2"/>
  <c r="GG11" i="2"/>
  <c r="GF11" i="2"/>
  <c r="GE11" i="2"/>
  <c r="GD11" i="2"/>
  <c r="GC11" i="2"/>
  <c r="GB11" i="2"/>
  <c r="GA11" i="2"/>
  <c r="FZ11" i="2"/>
  <c r="FY11" i="2"/>
  <c r="FX11" i="2"/>
  <c r="FW11" i="2"/>
  <c r="FV11" i="2"/>
  <c r="FU11" i="2"/>
  <c r="FT11" i="2"/>
  <c r="FS11" i="2"/>
  <c r="FR11" i="2"/>
  <c r="FQ11" i="2"/>
  <c r="FP11" i="2"/>
  <c r="FO11" i="2"/>
  <c r="FN11" i="2"/>
  <c r="FM11" i="2"/>
  <c r="FL11" i="2"/>
  <c r="FK11" i="2"/>
  <c r="FJ11" i="2"/>
  <c r="FI11" i="2"/>
  <c r="FH11" i="2"/>
  <c r="FG11" i="2"/>
  <c r="FF11" i="2"/>
  <c r="FE11" i="2"/>
  <c r="FD11" i="2"/>
  <c r="FC11" i="2"/>
  <c r="FB11" i="2"/>
  <c r="FA11" i="2"/>
  <c r="EZ11" i="2"/>
  <c r="EY11" i="2"/>
  <c r="EX11" i="2"/>
  <c r="EW11" i="2"/>
  <c r="EV11" i="2"/>
  <c r="EU11" i="2"/>
  <c r="ET11" i="2"/>
  <c r="ES11" i="2"/>
  <c r="ER11" i="2"/>
  <c r="EQ11" i="2"/>
  <c r="EP11" i="2"/>
  <c r="EO11" i="2"/>
  <c r="EN11" i="2"/>
  <c r="EM11" i="2"/>
  <c r="EL11" i="2"/>
  <c r="EK11" i="2"/>
  <c r="EJ11" i="2"/>
  <c r="EI11" i="2"/>
  <c r="EH11" i="2"/>
  <c r="EG11" i="2"/>
  <c r="EF11" i="2"/>
  <c r="EE11" i="2"/>
  <c r="ED11" i="2"/>
  <c r="EC11" i="2"/>
  <c r="EB11" i="2"/>
  <c r="EA11" i="2"/>
  <c r="DZ11" i="2"/>
  <c r="DY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PI10" i="2"/>
  <c r="PH10" i="2"/>
  <c r="PG10" i="2"/>
  <c r="PF10" i="2"/>
  <c r="PE10" i="2"/>
  <c r="PD10" i="2"/>
  <c r="PC10" i="2"/>
  <c r="PB10" i="2"/>
  <c r="PA10" i="2"/>
  <c r="OZ10" i="2"/>
  <c r="OY10" i="2"/>
  <c r="OX10" i="2"/>
  <c r="OW10" i="2"/>
  <c r="OV10" i="2"/>
  <c r="OU10" i="2"/>
  <c r="OT10" i="2"/>
  <c r="OS10" i="2"/>
  <c r="OR10" i="2"/>
  <c r="OQ10" i="2"/>
  <c r="OP10" i="2"/>
  <c r="OO10" i="2"/>
  <c r="ON10" i="2"/>
  <c r="OM10" i="2"/>
  <c r="OL10" i="2"/>
  <c r="OK10" i="2"/>
  <c r="OJ10" i="2"/>
  <c r="OI10" i="2"/>
  <c r="OH10" i="2"/>
  <c r="OG10" i="2"/>
  <c r="OF10" i="2"/>
  <c r="OE10" i="2"/>
  <c r="OD10" i="2"/>
  <c r="OC10" i="2"/>
  <c r="OB10" i="2"/>
  <c r="OA10" i="2"/>
  <c r="NZ10" i="2"/>
  <c r="NY10" i="2"/>
  <c r="NX10" i="2"/>
  <c r="NW10" i="2"/>
  <c r="NV10" i="2"/>
  <c r="NU10" i="2"/>
  <c r="NT10" i="2"/>
  <c r="NS10" i="2"/>
  <c r="NR10" i="2"/>
  <c r="NQ10" i="2"/>
  <c r="NP10" i="2"/>
  <c r="NO10" i="2"/>
  <c r="NN10" i="2"/>
  <c r="NM10" i="2"/>
  <c r="NL10" i="2"/>
  <c r="NK10" i="2"/>
  <c r="NJ10" i="2"/>
  <c r="NI10" i="2"/>
  <c r="NH10" i="2"/>
  <c r="NG10" i="2"/>
  <c r="NF10" i="2"/>
  <c r="NE10" i="2"/>
  <c r="ND10" i="2"/>
  <c r="NC10" i="2"/>
  <c r="NB10" i="2"/>
  <c r="NA10" i="2"/>
  <c r="MZ10" i="2"/>
  <c r="MY10" i="2"/>
  <c r="MX10" i="2"/>
  <c r="MW10" i="2"/>
  <c r="MV10" i="2"/>
  <c r="MU10" i="2"/>
  <c r="MT10" i="2"/>
  <c r="MS10" i="2"/>
  <c r="MR10" i="2"/>
  <c r="MQ10" i="2"/>
  <c r="MP10" i="2"/>
  <c r="MO10" i="2"/>
  <c r="MN10" i="2"/>
  <c r="MM10" i="2"/>
  <c r="ML10" i="2"/>
  <c r="MK10" i="2"/>
  <c r="MJ10" i="2"/>
  <c r="MI10" i="2"/>
  <c r="MH10" i="2"/>
  <c r="MG10" i="2"/>
  <c r="MF10" i="2"/>
  <c r="ME10" i="2"/>
  <c r="MD10" i="2"/>
  <c r="MC10" i="2"/>
  <c r="MB10" i="2"/>
  <c r="MA10" i="2"/>
  <c r="LZ10" i="2"/>
  <c r="LY10" i="2"/>
  <c r="LX10" i="2"/>
  <c r="LW10" i="2"/>
  <c r="LV10" i="2"/>
  <c r="LU10" i="2"/>
  <c r="LT10" i="2"/>
  <c r="LS10" i="2"/>
  <c r="LR10" i="2"/>
  <c r="LQ10" i="2"/>
  <c r="LP10" i="2"/>
  <c r="LO10" i="2"/>
  <c r="LN10" i="2"/>
  <c r="LM10" i="2"/>
  <c r="LL10" i="2"/>
  <c r="LK10" i="2"/>
  <c r="LJ10" i="2"/>
  <c r="LI10" i="2"/>
  <c r="LH10" i="2"/>
  <c r="LG10" i="2"/>
  <c r="LF10" i="2"/>
  <c r="LE10" i="2"/>
  <c r="LD10" i="2"/>
  <c r="LC10" i="2"/>
  <c r="LB10" i="2"/>
  <c r="LA10" i="2"/>
  <c r="KZ10" i="2"/>
  <c r="KY10" i="2"/>
  <c r="KX10" i="2"/>
  <c r="KW10" i="2"/>
  <c r="KV10" i="2"/>
  <c r="KU10" i="2"/>
  <c r="KT10" i="2"/>
  <c r="KS10" i="2"/>
  <c r="KR10" i="2"/>
  <c r="KQ10" i="2"/>
  <c r="KP10" i="2"/>
  <c r="KO10" i="2"/>
  <c r="KN10" i="2"/>
  <c r="KM10" i="2"/>
  <c r="KL10" i="2"/>
  <c r="KK10" i="2"/>
  <c r="KJ10" i="2"/>
  <c r="KI10" i="2"/>
  <c r="KH10" i="2"/>
  <c r="KG10" i="2"/>
  <c r="KF10" i="2"/>
  <c r="KE10" i="2"/>
  <c r="KD10" i="2"/>
  <c r="KC10" i="2"/>
  <c r="KB10" i="2"/>
  <c r="KA10" i="2"/>
  <c r="JZ10" i="2"/>
  <c r="JY10" i="2"/>
  <c r="JX10" i="2"/>
  <c r="JW10" i="2"/>
  <c r="JV10" i="2"/>
  <c r="JU10" i="2"/>
  <c r="JT10" i="2"/>
  <c r="JS10" i="2"/>
  <c r="JR10" i="2"/>
  <c r="JQ10" i="2"/>
  <c r="JP10" i="2"/>
  <c r="JO10" i="2"/>
  <c r="JN10" i="2"/>
  <c r="JM10" i="2"/>
  <c r="JL10" i="2"/>
  <c r="JK10" i="2"/>
  <c r="JJ10" i="2"/>
  <c r="JI10" i="2"/>
  <c r="JH10" i="2"/>
  <c r="JG10" i="2"/>
  <c r="JF10" i="2"/>
  <c r="JE10" i="2"/>
  <c r="JD10" i="2"/>
  <c r="JC10" i="2"/>
  <c r="JB10" i="2"/>
  <c r="JA10" i="2"/>
  <c r="IZ10" i="2"/>
  <c r="IY10" i="2"/>
  <c r="IX10" i="2"/>
  <c r="IW10" i="2"/>
  <c r="IV10" i="2"/>
  <c r="IU10" i="2"/>
  <c r="IT10" i="2"/>
  <c r="IS10" i="2"/>
  <c r="IR10" i="2"/>
  <c r="IQ10" i="2"/>
  <c r="IP10" i="2"/>
  <c r="IO10" i="2"/>
  <c r="IN10" i="2"/>
  <c r="IM10" i="2"/>
  <c r="IL10" i="2"/>
  <c r="IK10" i="2"/>
  <c r="IJ10" i="2"/>
  <c r="II10" i="2"/>
  <c r="IH10" i="2"/>
  <c r="IG10" i="2"/>
  <c r="IF10" i="2"/>
  <c r="IE10" i="2"/>
  <c r="ID10" i="2"/>
  <c r="IC10" i="2"/>
  <c r="IB10" i="2"/>
  <c r="IA10" i="2"/>
  <c r="HZ10" i="2"/>
  <c r="HY10" i="2"/>
  <c r="HX10" i="2"/>
  <c r="HW10" i="2"/>
  <c r="HV10" i="2"/>
  <c r="HU10" i="2"/>
  <c r="HT10" i="2"/>
  <c r="HS10" i="2"/>
  <c r="HR10" i="2"/>
  <c r="HQ10" i="2"/>
  <c r="HP10" i="2"/>
  <c r="HO10" i="2"/>
  <c r="HN10" i="2"/>
  <c r="HM10" i="2"/>
  <c r="HL10" i="2"/>
  <c r="HK10" i="2"/>
  <c r="HJ10" i="2"/>
  <c r="HI10" i="2"/>
  <c r="HH10" i="2"/>
  <c r="HG10" i="2"/>
  <c r="HF10" i="2"/>
  <c r="HE10" i="2"/>
  <c r="HD10" i="2"/>
  <c r="HC10" i="2"/>
  <c r="HB10" i="2"/>
  <c r="HA10" i="2"/>
  <c r="GZ10" i="2"/>
  <c r="GY10" i="2"/>
  <c r="GX10" i="2"/>
  <c r="GW10" i="2"/>
  <c r="GV10" i="2"/>
  <c r="GU10" i="2"/>
  <c r="GT10" i="2"/>
  <c r="GS10" i="2"/>
  <c r="GR10" i="2"/>
  <c r="GQ10" i="2"/>
  <c r="GP10" i="2"/>
  <c r="GO10" i="2"/>
  <c r="GN10" i="2"/>
  <c r="GM10" i="2"/>
  <c r="GL10" i="2"/>
  <c r="GK10" i="2"/>
  <c r="GJ10" i="2"/>
  <c r="GI10" i="2"/>
  <c r="GH10" i="2"/>
  <c r="GG10" i="2"/>
  <c r="GF10" i="2"/>
  <c r="GE10" i="2"/>
  <c r="GD10" i="2"/>
  <c r="GC10" i="2"/>
  <c r="GB10" i="2"/>
  <c r="GA10" i="2"/>
  <c r="FZ10" i="2"/>
  <c r="FY10" i="2"/>
  <c r="FX10" i="2"/>
  <c r="FW10" i="2"/>
  <c r="FV10" i="2"/>
  <c r="FU10" i="2"/>
  <c r="FT10" i="2"/>
  <c r="FS10" i="2"/>
  <c r="FR10" i="2"/>
  <c r="FQ10" i="2"/>
  <c r="FP10" i="2"/>
  <c r="FO10" i="2"/>
  <c r="FN10" i="2"/>
  <c r="FM10" i="2"/>
  <c r="FL10" i="2"/>
  <c r="FK10" i="2"/>
  <c r="FJ10" i="2"/>
  <c r="FI10" i="2"/>
  <c r="FH10" i="2"/>
  <c r="FG10" i="2"/>
  <c r="FF10" i="2"/>
  <c r="FE10" i="2"/>
  <c r="FD10" i="2"/>
  <c r="FC10" i="2"/>
  <c r="FB10" i="2"/>
  <c r="FA10" i="2"/>
  <c r="EZ10" i="2"/>
  <c r="EY10" i="2"/>
  <c r="EX10" i="2"/>
  <c r="EW10" i="2"/>
  <c r="EV10" i="2"/>
  <c r="EU10" i="2"/>
  <c r="ET10" i="2"/>
  <c r="ES10" i="2"/>
  <c r="ER10" i="2"/>
  <c r="EQ10" i="2"/>
  <c r="EP10" i="2"/>
  <c r="EO10" i="2"/>
  <c r="EN10" i="2"/>
  <c r="EM10" i="2"/>
  <c r="EL10" i="2"/>
  <c r="EK10" i="2"/>
  <c r="EJ10" i="2"/>
  <c r="EI10" i="2"/>
  <c r="EH10" i="2"/>
  <c r="EG10" i="2"/>
  <c r="EF10" i="2"/>
  <c r="EE10" i="2"/>
  <c r="ED10" i="2"/>
  <c r="EC10" i="2"/>
  <c r="EB10" i="2"/>
  <c r="EA10" i="2"/>
  <c r="DZ10" i="2"/>
  <c r="DY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PI9" i="2"/>
  <c r="PH9" i="2"/>
  <c r="PG9" i="2"/>
  <c r="PF9" i="2"/>
  <c r="PE9" i="2"/>
  <c r="PD9" i="2"/>
  <c r="PC9" i="2"/>
  <c r="PB9" i="2"/>
  <c r="PA9" i="2"/>
  <c r="OZ9" i="2"/>
  <c r="OY9" i="2"/>
  <c r="OX9" i="2"/>
  <c r="OW9" i="2"/>
  <c r="OV9" i="2"/>
  <c r="OU9" i="2"/>
  <c r="OT9" i="2"/>
  <c r="OS9" i="2"/>
  <c r="OR9" i="2"/>
  <c r="OQ9" i="2"/>
  <c r="OP9" i="2"/>
  <c r="OO9" i="2"/>
  <c r="ON9" i="2"/>
  <c r="OM9" i="2"/>
  <c r="OL9" i="2"/>
  <c r="OK9" i="2"/>
  <c r="OJ9" i="2"/>
  <c r="OI9" i="2"/>
  <c r="OH9" i="2"/>
  <c r="OG9" i="2"/>
  <c r="OF9" i="2"/>
  <c r="OE9" i="2"/>
  <c r="OD9" i="2"/>
  <c r="OC9" i="2"/>
  <c r="OB9" i="2"/>
  <c r="OA9" i="2"/>
  <c r="NZ9" i="2"/>
  <c r="NY9" i="2"/>
  <c r="NX9" i="2"/>
  <c r="NW9" i="2"/>
  <c r="NV9" i="2"/>
  <c r="NU9" i="2"/>
  <c r="NT9" i="2"/>
  <c r="NS9" i="2"/>
  <c r="NR9" i="2"/>
  <c r="NQ9" i="2"/>
  <c r="NP9" i="2"/>
  <c r="NO9" i="2"/>
  <c r="NN9" i="2"/>
  <c r="NM9" i="2"/>
  <c r="NL9" i="2"/>
  <c r="NK9" i="2"/>
  <c r="NJ9" i="2"/>
  <c r="NI9" i="2"/>
  <c r="NH9" i="2"/>
  <c r="NG9" i="2"/>
  <c r="NF9" i="2"/>
  <c r="NE9" i="2"/>
  <c r="ND9" i="2"/>
  <c r="NC9" i="2"/>
  <c r="NB9" i="2"/>
  <c r="NA9" i="2"/>
  <c r="MZ9" i="2"/>
  <c r="MY9" i="2"/>
  <c r="MX9" i="2"/>
  <c r="MW9" i="2"/>
  <c r="MV9" i="2"/>
  <c r="MU9" i="2"/>
  <c r="MT9" i="2"/>
  <c r="MS9" i="2"/>
  <c r="MR9" i="2"/>
  <c r="MQ9" i="2"/>
  <c r="MP9" i="2"/>
  <c r="MO9" i="2"/>
  <c r="MN9" i="2"/>
  <c r="MM9" i="2"/>
  <c r="ML9" i="2"/>
  <c r="MK9" i="2"/>
  <c r="MJ9" i="2"/>
  <c r="MI9" i="2"/>
  <c r="MH9" i="2"/>
  <c r="MG9" i="2"/>
  <c r="MF9" i="2"/>
  <c r="ME9" i="2"/>
  <c r="MD9" i="2"/>
  <c r="MC9" i="2"/>
  <c r="MB9" i="2"/>
  <c r="MA9" i="2"/>
  <c r="LZ9" i="2"/>
  <c r="LY9" i="2"/>
  <c r="LX9" i="2"/>
  <c r="LW9" i="2"/>
  <c r="LV9" i="2"/>
  <c r="LU9" i="2"/>
  <c r="LT9" i="2"/>
  <c r="LS9" i="2"/>
  <c r="LR9" i="2"/>
  <c r="LQ9" i="2"/>
  <c r="LP9" i="2"/>
  <c r="LO9" i="2"/>
  <c r="LN9" i="2"/>
  <c r="LM9" i="2"/>
  <c r="LL9" i="2"/>
  <c r="LK9" i="2"/>
  <c r="LJ9" i="2"/>
  <c r="LI9" i="2"/>
  <c r="LH9" i="2"/>
  <c r="LG9" i="2"/>
  <c r="LF9" i="2"/>
  <c r="LE9" i="2"/>
  <c r="LD9" i="2"/>
  <c r="LC9" i="2"/>
  <c r="LB9" i="2"/>
  <c r="LA9" i="2"/>
  <c r="KZ9" i="2"/>
  <c r="KY9" i="2"/>
  <c r="KX9" i="2"/>
  <c r="KW9" i="2"/>
  <c r="KV9" i="2"/>
  <c r="KU9" i="2"/>
  <c r="KT9" i="2"/>
  <c r="KS9" i="2"/>
  <c r="KR9" i="2"/>
  <c r="KQ9" i="2"/>
  <c r="KP9" i="2"/>
  <c r="KO9" i="2"/>
  <c r="KN9" i="2"/>
  <c r="KM9" i="2"/>
  <c r="KL9" i="2"/>
  <c r="KK9" i="2"/>
  <c r="KJ9" i="2"/>
  <c r="KI9" i="2"/>
  <c r="KH9" i="2"/>
  <c r="KG9" i="2"/>
  <c r="KF9" i="2"/>
  <c r="KE9" i="2"/>
  <c r="KD9" i="2"/>
  <c r="KC9" i="2"/>
  <c r="KB9" i="2"/>
  <c r="KA9" i="2"/>
  <c r="JZ9" i="2"/>
  <c r="JY9" i="2"/>
  <c r="JX9" i="2"/>
  <c r="JW9" i="2"/>
  <c r="JV9" i="2"/>
  <c r="JU9" i="2"/>
  <c r="JT9" i="2"/>
  <c r="JS9" i="2"/>
  <c r="JR9" i="2"/>
  <c r="JQ9" i="2"/>
  <c r="JP9" i="2"/>
  <c r="JO9" i="2"/>
  <c r="JN9" i="2"/>
  <c r="JM9" i="2"/>
  <c r="JL9" i="2"/>
  <c r="JK9" i="2"/>
  <c r="JJ9" i="2"/>
  <c r="JI9" i="2"/>
  <c r="JH9" i="2"/>
  <c r="JG9" i="2"/>
  <c r="JF9" i="2"/>
  <c r="JE9" i="2"/>
  <c r="JD9" i="2"/>
  <c r="JC9" i="2"/>
  <c r="JB9" i="2"/>
  <c r="JA9" i="2"/>
  <c r="IZ9" i="2"/>
  <c r="IY9" i="2"/>
  <c r="IX9" i="2"/>
  <c r="IW9" i="2"/>
  <c r="IV9" i="2"/>
  <c r="IU9" i="2"/>
  <c r="IT9" i="2"/>
  <c r="IS9" i="2"/>
  <c r="IR9" i="2"/>
  <c r="IQ9" i="2"/>
  <c r="IP9" i="2"/>
  <c r="IO9" i="2"/>
  <c r="IN9" i="2"/>
  <c r="IM9" i="2"/>
  <c r="IL9" i="2"/>
  <c r="IK9" i="2"/>
  <c r="IJ9" i="2"/>
  <c r="II9" i="2"/>
  <c r="IH9" i="2"/>
  <c r="IG9" i="2"/>
  <c r="IF9" i="2"/>
  <c r="IE9" i="2"/>
  <c r="ID9" i="2"/>
  <c r="IC9" i="2"/>
  <c r="IB9" i="2"/>
  <c r="IA9" i="2"/>
  <c r="HZ9" i="2"/>
  <c r="HY9" i="2"/>
  <c r="HX9" i="2"/>
  <c r="HW9" i="2"/>
  <c r="HV9" i="2"/>
  <c r="HU9" i="2"/>
  <c r="HT9" i="2"/>
  <c r="HS9" i="2"/>
  <c r="HR9" i="2"/>
  <c r="HQ9" i="2"/>
  <c r="HP9" i="2"/>
  <c r="HO9" i="2"/>
  <c r="HN9" i="2"/>
  <c r="HM9" i="2"/>
  <c r="HL9" i="2"/>
  <c r="HK9" i="2"/>
  <c r="HJ9" i="2"/>
  <c r="HI9" i="2"/>
  <c r="HH9" i="2"/>
  <c r="HG9" i="2"/>
  <c r="HF9" i="2"/>
  <c r="HE9" i="2"/>
  <c r="HD9" i="2"/>
  <c r="HC9" i="2"/>
  <c r="HB9" i="2"/>
  <c r="HA9" i="2"/>
  <c r="GZ9" i="2"/>
  <c r="GY9" i="2"/>
  <c r="GX9" i="2"/>
  <c r="GW9" i="2"/>
  <c r="GV9" i="2"/>
  <c r="GU9" i="2"/>
  <c r="GT9" i="2"/>
  <c r="GS9" i="2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M9" i="2"/>
  <c r="FL9" i="2"/>
  <c r="FK9" i="2"/>
  <c r="FJ9" i="2"/>
  <c r="FI9" i="2"/>
  <c r="FH9" i="2"/>
  <c r="FG9" i="2"/>
  <c r="FF9" i="2"/>
  <c r="FE9" i="2"/>
  <c r="FD9" i="2"/>
  <c r="FC9" i="2"/>
  <c r="FB9" i="2"/>
  <c r="FA9" i="2"/>
  <c r="EZ9" i="2"/>
  <c r="EY9" i="2"/>
  <c r="EX9" i="2"/>
  <c r="EW9" i="2"/>
  <c r="EV9" i="2"/>
  <c r="EU9" i="2"/>
  <c r="ET9" i="2"/>
  <c r="ES9" i="2"/>
  <c r="ER9" i="2"/>
  <c r="EQ9" i="2"/>
  <c r="EP9" i="2"/>
  <c r="EO9" i="2"/>
  <c r="EN9" i="2"/>
  <c r="EM9" i="2"/>
  <c r="EL9" i="2"/>
  <c r="EK9" i="2"/>
  <c r="EJ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PI8" i="2"/>
  <c r="PH8" i="2"/>
  <c r="PG8" i="2"/>
  <c r="PF8" i="2"/>
  <c r="PE8" i="2"/>
  <c r="PD8" i="2"/>
  <c r="PC8" i="2"/>
  <c r="PB8" i="2"/>
  <c r="PA8" i="2"/>
  <c r="OZ8" i="2"/>
  <c r="OY8" i="2"/>
  <c r="OX8" i="2"/>
  <c r="OW8" i="2"/>
  <c r="OV8" i="2"/>
  <c r="OU8" i="2"/>
  <c r="OT8" i="2"/>
  <c r="OS8" i="2"/>
  <c r="OR8" i="2"/>
  <c r="OQ8" i="2"/>
  <c r="OP8" i="2"/>
  <c r="OO8" i="2"/>
  <c r="ON8" i="2"/>
  <c r="OM8" i="2"/>
  <c r="OL8" i="2"/>
  <c r="OK8" i="2"/>
  <c r="OJ8" i="2"/>
  <c r="OI8" i="2"/>
  <c r="OH8" i="2"/>
  <c r="OG8" i="2"/>
  <c r="OF8" i="2"/>
  <c r="OE8" i="2"/>
  <c r="OD8" i="2"/>
  <c r="OC8" i="2"/>
  <c r="OB8" i="2"/>
  <c r="OA8" i="2"/>
  <c r="NZ8" i="2"/>
  <c r="NY8" i="2"/>
  <c r="NX8" i="2"/>
  <c r="NW8" i="2"/>
  <c r="NV8" i="2"/>
  <c r="NU8" i="2"/>
  <c r="NT8" i="2"/>
  <c r="NS8" i="2"/>
  <c r="NR8" i="2"/>
  <c r="NQ8" i="2"/>
  <c r="NP8" i="2"/>
  <c r="NO8" i="2"/>
  <c r="NN8" i="2"/>
  <c r="NM8" i="2"/>
  <c r="NL8" i="2"/>
  <c r="NK8" i="2"/>
  <c r="NJ8" i="2"/>
  <c r="NI8" i="2"/>
  <c r="NH8" i="2"/>
  <c r="NG8" i="2"/>
  <c r="NF8" i="2"/>
  <c r="NE8" i="2"/>
  <c r="ND8" i="2"/>
  <c r="NC8" i="2"/>
  <c r="NB8" i="2"/>
  <c r="NA8" i="2"/>
  <c r="MZ8" i="2"/>
  <c r="MY8" i="2"/>
  <c r="MX8" i="2"/>
  <c r="MW8" i="2"/>
  <c r="MV8" i="2"/>
  <c r="MU8" i="2"/>
  <c r="MT8" i="2"/>
  <c r="MS8" i="2"/>
  <c r="MR8" i="2"/>
  <c r="MQ8" i="2"/>
  <c r="MP8" i="2"/>
  <c r="MO8" i="2"/>
  <c r="MN8" i="2"/>
  <c r="MM8" i="2"/>
  <c r="ML8" i="2"/>
  <c r="MK8" i="2"/>
  <c r="MJ8" i="2"/>
  <c r="MI8" i="2"/>
  <c r="MH8" i="2"/>
  <c r="MG8" i="2"/>
  <c r="MF8" i="2"/>
  <c r="ME8" i="2"/>
  <c r="MD8" i="2"/>
  <c r="MC8" i="2"/>
  <c r="MB8" i="2"/>
  <c r="MA8" i="2"/>
  <c r="LZ8" i="2"/>
  <c r="LY8" i="2"/>
  <c r="LX8" i="2"/>
  <c r="LW8" i="2"/>
  <c r="LV8" i="2"/>
  <c r="LU8" i="2"/>
  <c r="LT8" i="2"/>
  <c r="LS8" i="2"/>
  <c r="LR8" i="2"/>
  <c r="LQ8" i="2"/>
  <c r="LP8" i="2"/>
  <c r="LO8" i="2"/>
  <c r="LN8" i="2"/>
  <c r="LM8" i="2"/>
  <c r="LL8" i="2"/>
  <c r="LK8" i="2"/>
  <c r="LJ8" i="2"/>
  <c r="LI8" i="2"/>
  <c r="LH8" i="2"/>
  <c r="LG8" i="2"/>
  <c r="LF8" i="2"/>
  <c r="LE8" i="2"/>
  <c r="LD8" i="2"/>
  <c r="LC8" i="2"/>
  <c r="LB8" i="2"/>
  <c r="LA8" i="2"/>
  <c r="KZ8" i="2"/>
  <c r="KY8" i="2"/>
  <c r="KX8" i="2"/>
  <c r="KW8" i="2"/>
  <c r="KV8" i="2"/>
  <c r="KU8" i="2"/>
  <c r="KT8" i="2"/>
  <c r="KS8" i="2"/>
  <c r="KR8" i="2"/>
  <c r="KQ8" i="2"/>
  <c r="KP8" i="2"/>
  <c r="KO8" i="2"/>
  <c r="KN8" i="2"/>
  <c r="KM8" i="2"/>
  <c r="KL8" i="2"/>
  <c r="KK8" i="2"/>
  <c r="KJ8" i="2"/>
  <c r="KI8" i="2"/>
  <c r="KH8" i="2"/>
  <c r="KG8" i="2"/>
  <c r="KF8" i="2"/>
  <c r="KE8" i="2"/>
  <c r="KD8" i="2"/>
  <c r="KC8" i="2"/>
  <c r="KB8" i="2"/>
  <c r="KA8" i="2"/>
  <c r="JZ8" i="2"/>
  <c r="JY8" i="2"/>
  <c r="JX8" i="2"/>
  <c r="JW8" i="2"/>
  <c r="JV8" i="2"/>
  <c r="JU8" i="2"/>
  <c r="JT8" i="2"/>
  <c r="JS8" i="2"/>
  <c r="JR8" i="2"/>
  <c r="JQ8" i="2"/>
  <c r="JP8" i="2"/>
  <c r="JO8" i="2"/>
  <c r="JN8" i="2"/>
  <c r="JM8" i="2"/>
  <c r="JL8" i="2"/>
  <c r="JK8" i="2"/>
  <c r="JJ8" i="2"/>
  <c r="JI8" i="2"/>
  <c r="JH8" i="2"/>
  <c r="JG8" i="2"/>
  <c r="JF8" i="2"/>
  <c r="JE8" i="2"/>
  <c r="JD8" i="2"/>
  <c r="JC8" i="2"/>
  <c r="JB8" i="2"/>
  <c r="JA8" i="2"/>
  <c r="IZ8" i="2"/>
  <c r="IY8" i="2"/>
  <c r="IX8" i="2"/>
  <c r="IW8" i="2"/>
  <c r="IV8" i="2"/>
  <c r="IU8" i="2"/>
  <c r="IT8" i="2"/>
  <c r="IS8" i="2"/>
  <c r="IR8" i="2"/>
  <c r="IQ8" i="2"/>
  <c r="IP8" i="2"/>
  <c r="IO8" i="2"/>
  <c r="IN8" i="2"/>
  <c r="IM8" i="2"/>
  <c r="IL8" i="2"/>
  <c r="IK8" i="2"/>
  <c r="IJ8" i="2"/>
  <c r="II8" i="2"/>
  <c r="IH8" i="2"/>
  <c r="IG8" i="2"/>
  <c r="IF8" i="2"/>
  <c r="IE8" i="2"/>
  <c r="ID8" i="2"/>
  <c r="IC8" i="2"/>
  <c r="IB8" i="2"/>
  <c r="IA8" i="2"/>
  <c r="HZ8" i="2"/>
  <c r="HY8" i="2"/>
  <c r="HX8" i="2"/>
  <c r="HW8" i="2"/>
  <c r="HV8" i="2"/>
  <c r="HU8" i="2"/>
  <c r="HT8" i="2"/>
  <c r="HS8" i="2"/>
  <c r="HR8" i="2"/>
  <c r="HQ8" i="2"/>
  <c r="HP8" i="2"/>
  <c r="HO8" i="2"/>
  <c r="HN8" i="2"/>
  <c r="HM8" i="2"/>
  <c r="HL8" i="2"/>
  <c r="HK8" i="2"/>
  <c r="HJ8" i="2"/>
  <c r="HI8" i="2"/>
  <c r="HH8" i="2"/>
  <c r="HG8" i="2"/>
  <c r="HF8" i="2"/>
  <c r="HE8" i="2"/>
  <c r="HD8" i="2"/>
  <c r="HC8" i="2"/>
  <c r="HB8" i="2"/>
  <c r="HA8" i="2"/>
  <c r="GZ8" i="2"/>
  <c r="GY8" i="2"/>
  <c r="GX8" i="2"/>
  <c r="GW8" i="2"/>
  <c r="GV8" i="2"/>
  <c r="GU8" i="2"/>
  <c r="GT8" i="2"/>
  <c r="GS8" i="2"/>
  <c r="GR8" i="2"/>
  <c r="GQ8" i="2"/>
  <c r="GP8" i="2"/>
  <c r="GO8" i="2"/>
  <c r="GN8" i="2"/>
  <c r="GM8" i="2"/>
  <c r="GL8" i="2"/>
  <c r="GK8" i="2"/>
  <c r="GJ8" i="2"/>
  <c r="GI8" i="2"/>
  <c r="GH8" i="2"/>
  <c r="GG8" i="2"/>
  <c r="GF8" i="2"/>
  <c r="GE8" i="2"/>
  <c r="GD8" i="2"/>
  <c r="GC8" i="2"/>
  <c r="GB8" i="2"/>
  <c r="GA8" i="2"/>
  <c r="FZ8" i="2"/>
  <c r="FY8" i="2"/>
  <c r="FX8" i="2"/>
  <c r="FW8" i="2"/>
  <c r="FV8" i="2"/>
  <c r="FU8" i="2"/>
  <c r="FT8" i="2"/>
  <c r="FS8" i="2"/>
  <c r="FR8" i="2"/>
  <c r="FQ8" i="2"/>
  <c r="FP8" i="2"/>
  <c r="FO8" i="2"/>
  <c r="FN8" i="2"/>
  <c r="FM8" i="2"/>
  <c r="FL8" i="2"/>
  <c r="FK8" i="2"/>
  <c r="FJ8" i="2"/>
  <c r="FI8" i="2"/>
  <c r="FH8" i="2"/>
  <c r="FG8" i="2"/>
  <c r="FF8" i="2"/>
  <c r="FE8" i="2"/>
  <c r="FD8" i="2"/>
  <c r="FC8" i="2"/>
  <c r="FB8" i="2"/>
  <c r="FA8" i="2"/>
  <c r="EZ8" i="2"/>
  <c r="EY8" i="2"/>
  <c r="EX8" i="2"/>
  <c r="EW8" i="2"/>
  <c r="EV8" i="2"/>
  <c r="EU8" i="2"/>
  <c r="ET8" i="2"/>
  <c r="ES8" i="2"/>
  <c r="ER8" i="2"/>
  <c r="EQ8" i="2"/>
  <c r="EP8" i="2"/>
  <c r="EO8" i="2"/>
  <c r="EN8" i="2"/>
  <c r="EM8" i="2"/>
  <c r="EL8" i="2"/>
  <c r="EK8" i="2"/>
  <c r="EJ8" i="2"/>
  <c r="EI8" i="2"/>
  <c r="EH8" i="2"/>
  <c r="EG8" i="2"/>
  <c r="EF8" i="2"/>
  <c r="EE8" i="2"/>
  <c r="ED8" i="2"/>
  <c r="EC8" i="2"/>
  <c r="EB8" i="2"/>
  <c r="EA8" i="2"/>
  <c r="DZ8" i="2"/>
  <c r="DY8" i="2"/>
  <c r="DX8" i="2"/>
  <c r="DW8" i="2"/>
  <c r="DV8" i="2"/>
  <c r="DU8" i="2"/>
  <c r="DT8" i="2"/>
  <c r="DS8" i="2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PI7" i="2"/>
  <c r="PH7" i="2"/>
  <c r="PG7" i="2"/>
  <c r="PF7" i="2"/>
  <c r="PE7" i="2"/>
  <c r="PD7" i="2"/>
  <c r="PC7" i="2"/>
  <c r="PB7" i="2"/>
  <c r="PA7" i="2"/>
  <c r="OZ7" i="2"/>
  <c r="OY7" i="2"/>
  <c r="OX7" i="2"/>
  <c r="OW7" i="2"/>
  <c r="OV7" i="2"/>
  <c r="OU7" i="2"/>
  <c r="OT7" i="2"/>
  <c r="OS7" i="2"/>
  <c r="OR7" i="2"/>
  <c r="OQ7" i="2"/>
  <c r="OP7" i="2"/>
  <c r="OO7" i="2"/>
  <c r="ON7" i="2"/>
  <c r="OM7" i="2"/>
  <c r="OL7" i="2"/>
  <c r="OK7" i="2"/>
  <c r="OJ7" i="2"/>
  <c r="OI7" i="2"/>
  <c r="OH7" i="2"/>
  <c r="OG7" i="2"/>
  <c r="OF7" i="2"/>
  <c r="OE7" i="2"/>
  <c r="OD7" i="2"/>
  <c r="OC7" i="2"/>
  <c r="OB7" i="2"/>
  <c r="OA7" i="2"/>
  <c r="NZ7" i="2"/>
  <c r="NY7" i="2"/>
  <c r="NX7" i="2"/>
  <c r="NW7" i="2"/>
  <c r="NV7" i="2"/>
  <c r="NU7" i="2"/>
  <c r="NT7" i="2"/>
  <c r="NS7" i="2"/>
  <c r="NR7" i="2"/>
  <c r="NQ7" i="2"/>
  <c r="NP7" i="2"/>
  <c r="NO7" i="2"/>
  <c r="NN7" i="2"/>
  <c r="NM7" i="2"/>
  <c r="NL7" i="2"/>
  <c r="NK7" i="2"/>
  <c r="NJ7" i="2"/>
  <c r="NI7" i="2"/>
  <c r="NH7" i="2"/>
  <c r="NG7" i="2"/>
  <c r="NF7" i="2"/>
  <c r="NE7" i="2"/>
  <c r="ND7" i="2"/>
  <c r="NC7" i="2"/>
  <c r="NB7" i="2"/>
  <c r="NA7" i="2"/>
  <c r="MZ7" i="2"/>
  <c r="MY7" i="2"/>
  <c r="MX7" i="2"/>
  <c r="MW7" i="2"/>
  <c r="MV7" i="2"/>
  <c r="MU7" i="2"/>
  <c r="MT7" i="2"/>
  <c r="MS7" i="2"/>
  <c r="MR7" i="2"/>
  <c r="MQ7" i="2"/>
  <c r="MP7" i="2"/>
  <c r="MO7" i="2"/>
  <c r="MN7" i="2"/>
  <c r="MM7" i="2"/>
  <c r="ML7" i="2"/>
  <c r="MK7" i="2"/>
  <c r="MJ7" i="2"/>
  <c r="MI7" i="2"/>
  <c r="MH7" i="2"/>
  <c r="MG7" i="2"/>
  <c r="MF7" i="2"/>
  <c r="ME7" i="2"/>
  <c r="MD7" i="2"/>
  <c r="MC7" i="2"/>
  <c r="MB7" i="2"/>
  <c r="MA7" i="2"/>
  <c r="LZ7" i="2"/>
  <c r="LY7" i="2"/>
  <c r="LX7" i="2"/>
  <c r="LW7" i="2"/>
  <c r="LV7" i="2"/>
  <c r="LU7" i="2"/>
  <c r="LT7" i="2"/>
  <c r="LS7" i="2"/>
  <c r="LR7" i="2"/>
  <c r="LQ7" i="2"/>
  <c r="LP7" i="2"/>
  <c r="LO7" i="2"/>
  <c r="LN7" i="2"/>
  <c r="LM7" i="2"/>
  <c r="LL7" i="2"/>
  <c r="LK7" i="2"/>
  <c r="LJ7" i="2"/>
  <c r="LI7" i="2"/>
  <c r="LH7" i="2"/>
  <c r="LG7" i="2"/>
  <c r="LF7" i="2"/>
  <c r="LE7" i="2"/>
  <c r="LD7" i="2"/>
  <c r="LC7" i="2"/>
  <c r="LB7" i="2"/>
  <c r="LA7" i="2"/>
  <c r="KZ7" i="2"/>
  <c r="KY7" i="2"/>
  <c r="KX7" i="2"/>
  <c r="KW7" i="2"/>
  <c r="KV7" i="2"/>
  <c r="KU7" i="2"/>
  <c r="KT7" i="2"/>
  <c r="KS7" i="2"/>
  <c r="KR7" i="2"/>
  <c r="KQ7" i="2"/>
  <c r="KP7" i="2"/>
  <c r="KO7" i="2"/>
  <c r="KN7" i="2"/>
  <c r="KM7" i="2"/>
  <c r="KL7" i="2"/>
  <c r="KK7" i="2"/>
  <c r="KJ7" i="2"/>
  <c r="KI7" i="2"/>
  <c r="KH7" i="2"/>
  <c r="KG7" i="2"/>
  <c r="KF7" i="2"/>
  <c r="KE7" i="2"/>
  <c r="KD7" i="2"/>
  <c r="KC7" i="2"/>
  <c r="KB7" i="2"/>
  <c r="KA7" i="2"/>
  <c r="JZ7" i="2"/>
  <c r="JY7" i="2"/>
  <c r="JX7" i="2"/>
  <c r="JW7" i="2"/>
  <c r="JV7" i="2"/>
  <c r="JU7" i="2"/>
  <c r="JT7" i="2"/>
  <c r="JS7" i="2"/>
  <c r="JR7" i="2"/>
  <c r="JQ7" i="2"/>
  <c r="JP7" i="2"/>
  <c r="JO7" i="2"/>
  <c r="JN7" i="2"/>
  <c r="JM7" i="2"/>
  <c r="JL7" i="2"/>
  <c r="JK7" i="2"/>
  <c r="JJ7" i="2"/>
  <c r="JI7" i="2"/>
  <c r="JH7" i="2"/>
  <c r="JG7" i="2"/>
  <c r="JF7" i="2"/>
  <c r="JE7" i="2"/>
  <c r="JD7" i="2"/>
  <c r="JC7" i="2"/>
  <c r="JB7" i="2"/>
  <c r="JA7" i="2"/>
  <c r="IZ7" i="2"/>
  <c r="IY7" i="2"/>
  <c r="IX7" i="2"/>
  <c r="IW7" i="2"/>
  <c r="IV7" i="2"/>
  <c r="IU7" i="2"/>
  <c r="IT7" i="2"/>
  <c r="IS7" i="2"/>
  <c r="IR7" i="2"/>
  <c r="IQ7" i="2"/>
  <c r="IP7" i="2"/>
  <c r="IO7" i="2"/>
  <c r="IN7" i="2"/>
  <c r="IM7" i="2"/>
  <c r="IL7" i="2"/>
  <c r="IK7" i="2"/>
  <c r="IJ7" i="2"/>
  <c r="II7" i="2"/>
  <c r="IH7" i="2"/>
  <c r="IG7" i="2"/>
  <c r="IF7" i="2"/>
  <c r="IE7" i="2"/>
  <c r="ID7" i="2"/>
  <c r="IC7" i="2"/>
  <c r="IB7" i="2"/>
  <c r="IA7" i="2"/>
  <c r="HZ7" i="2"/>
  <c r="HY7" i="2"/>
  <c r="HX7" i="2"/>
  <c r="HW7" i="2"/>
  <c r="HV7" i="2"/>
  <c r="HU7" i="2"/>
  <c r="HT7" i="2"/>
  <c r="HS7" i="2"/>
  <c r="HR7" i="2"/>
  <c r="HQ7" i="2"/>
  <c r="HP7" i="2"/>
  <c r="HO7" i="2"/>
  <c r="HN7" i="2"/>
  <c r="HM7" i="2"/>
  <c r="HL7" i="2"/>
  <c r="HK7" i="2"/>
  <c r="HJ7" i="2"/>
  <c r="HI7" i="2"/>
  <c r="HH7" i="2"/>
  <c r="HG7" i="2"/>
  <c r="HF7" i="2"/>
  <c r="HE7" i="2"/>
  <c r="HD7" i="2"/>
  <c r="HC7" i="2"/>
  <c r="HB7" i="2"/>
  <c r="HA7" i="2"/>
  <c r="GZ7" i="2"/>
  <c r="GY7" i="2"/>
  <c r="GX7" i="2"/>
  <c r="GW7" i="2"/>
  <c r="GV7" i="2"/>
  <c r="GU7" i="2"/>
  <c r="GT7" i="2"/>
  <c r="GS7" i="2"/>
  <c r="GR7" i="2"/>
  <c r="GQ7" i="2"/>
  <c r="GP7" i="2"/>
  <c r="GO7" i="2"/>
  <c r="GN7" i="2"/>
  <c r="GM7" i="2"/>
  <c r="GL7" i="2"/>
  <c r="GK7" i="2"/>
  <c r="GJ7" i="2"/>
  <c r="GI7" i="2"/>
  <c r="GH7" i="2"/>
  <c r="GG7" i="2"/>
  <c r="GF7" i="2"/>
  <c r="GE7" i="2"/>
  <c r="GD7" i="2"/>
  <c r="GC7" i="2"/>
  <c r="GB7" i="2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L7" i="2"/>
  <c r="FK7" i="2"/>
  <c r="FJ7" i="2"/>
  <c r="FI7" i="2"/>
  <c r="FH7" i="2"/>
  <c r="FG7" i="2"/>
  <c r="FF7" i="2"/>
  <c r="FE7" i="2"/>
  <c r="FD7" i="2"/>
  <c r="FC7" i="2"/>
  <c r="FB7" i="2"/>
  <c r="FA7" i="2"/>
  <c r="EZ7" i="2"/>
  <c r="EY7" i="2"/>
  <c r="EX7" i="2"/>
  <c r="EW7" i="2"/>
  <c r="EV7" i="2"/>
  <c r="EU7" i="2"/>
  <c r="ET7" i="2"/>
  <c r="ES7" i="2"/>
  <c r="ER7" i="2"/>
  <c r="EQ7" i="2"/>
  <c r="EP7" i="2"/>
  <c r="EO7" i="2"/>
  <c r="EN7" i="2"/>
  <c r="EM7" i="2"/>
  <c r="EL7" i="2"/>
  <c r="EK7" i="2"/>
  <c r="EJ7" i="2"/>
  <c r="EI7" i="2"/>
  <c r="EH7" i="2"/>
  <c r="EG7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PI6" i="2"/>
  <c r="PH6" i="2"/>
  <c r="PG6" i="2"/>
  <c r="PF6" i="2"/>
  <c r="PE6" i="2"/>
  <c r="PD6" i="2"/>
  <c r="PC6" i="2"/>
  <c r="PB6" i="2"/>
  <c r="PA6" i="2"/>
  <c r="OZ6" i="2"/>
  <c r="OY6" i="2"/>
  <c r="OX6" i="2"/>
  <c r="OW6" i="2"/>
  <c r="OV6" i="2"/>
  <c r="OU6" i="2"/>
  <c r="OT6" i="2"/>
  <c r="OS6" i="2"/>
  <c r="OR6" i="2"/>
  <c r="OQ6" i="2"/>
  <c r="OP6" i="2"/>
  <c r="OO6" i="2"/>
  <c r="ON6" i="2"/>
  <c r="OM6" i="2"/>
  <c r="OL6" i="2"/>
  <c r="OK6" i="2"/>
  <c r="OJ6" i="2"/>
  <c r="OI6" i="2"/>
  <c r="OH6" i="2"/>
  <c r="OG6" i="2"/>
  <c r="OF6" i="2"/>
  <c r="OE6" i="2"/>
  <c r="OD6" i="2"/>
  <c r="OC6" i="2"/>
  <c r="OB6" i="2"/>
  <c r="OA6" i="2"/>
  <c r="NZ6" i="2"/>
  <c r="NY6" i="2"/>
  <c r="NX6" i="2"/>
  <c r="NW6" i="2"/>
  <c r="NV6" i="2"/>
  <c r="NU6" i="2"/>
  <c r="NT6" i="2"/>
  <c r="NS6" i="2"/>
  <c r="NR6" i="2"/>
  <c r="NQ6" i="2"/>
  <c r="NP6" i="2"/>
  <c r="NO6" i="2"/>
  <c r="NN6" i="2"/>
  <c r="NM6" i="2"/>
  <c r="NL6" i="2"/>
  <c r="NK6" i="2"/>
  <c r="NJ6" i="2"/>
  <c r="NI6" i="2"/>
  <c r="NH6" i="2"/>
  <c r="NG6" i="2"/>
  <c r="NF6" i="2"/>
  <c r="NE6" i="2"/>
  <c r="ND6" i="2"/>
  <c r="NC6" i="2"/>
  <c r="NB6" i="2"/>
  <c r="NA6" i="2"/>
  <c r="MZ6" i="2"/>
  <c r="MY6" i="2"/>
  <c r="MX6" i="2"/>
  <c r="MW6" i="2"/>
  <c r="MV6" i="2"/>
  <c r="MU6" i="2"/>
  <c r="MT6" i="2"/>
  <c r="MS6" i="2"/>
  <c r="MR6" i="2"/>
  <c r="MQ6" i="2"/>
  <c r="MP6" i="2"/>
  <c r="MO6" i="2"/>
  <c r="MN6" i="2"/>
  <c r="MM6" i="2"/>
  <c r="ML6" i="2"/>
  <c r="MK6" i="2"/>
  <c r="MJ6" i="2"/>
  <c r="MI6" i="2"/>
  <c r="MH6" i="2"/>
  <c r="MG6" i="2"/>
  <c r="MF6" i="2"/>
  <c r="ME6" i="2"/>
  <c r="MD6" i="2"/>
  <c r="MC6" i="2"/>
  <c r="MB6" i="2"/>
  <c r="MA6" i="2"/>
  <c r="LZ6" i="2"/>
  <c r="LY6" i="2"/>
  <c r="LX6" i="2"/>
  <c r="LW6" i="2"/>
  <c r="LV6" i="2"/>
  <c r="LU6" i="2"/>
  <c r="LT6" i="2"/>
  <c r="LS6" i="2"/>
  <c r="LR6" i="2"/>
  <c r="LQ6" i="2"/>
  <c r="LP6" i="2"/>
  <c r="LO6" i="2"/>
  <c r="LN6" i="2"/>
  <c r="LM6" i="2"/>
  <c r="LL6" i="2"/>
  <c r="LK6" i="2"/>
  <c r="LJ6" i="2"/>
  <c r="LI6" i="2"/>
  <c r="LH6" i="2"/>
  <c r="LG6" i="2"/>
  <c r="LF6" i="2"/>
  <c r="LE6" i="2"/>
  <c r="LD6" i="2"/>
  <c r="LC6" i="2"/>
  <c r="LB6" i="2"/>
  <c r="LA6" i="2"/>
  <c r="KZ6" i="2"/>
  <c r="KY6" i="2"/>
  <c r="KX6" i="2"/>
  <c r="KW6" i="2"/>
  <c r="KV6" i="2"/>
  <c r="KU6" i="2"/>
  <c r="KT6" i="2"/>
  <c r="KS6" i="2"/>
  <c r="KR6" i="2"/>
  <c r="KQ6" i="2"/>
  <c r="KP6" i="2"/>
  <c r="KO6" i="2"/>
  <c r="KN6" i="2"/>
  <c r="KM6" i="2"/>
  <c r="KL6" i="2"/>
  <c r="KK6" i="2"/>
  <c r="KJ6" i="2"/>
  <c r="KI6" i="2"/>
  <c r="KH6" i="2"/>
  <c r="KG6" i="2"/>
  <c r="KF6" i="2"/>
  <c r="KE6" i="2"/>
  <c r="KD6" i="2"/>
  <c r="KC6" i="2"/>
  <c r="KB6" i="2"/>
  <c r="KA6" i="2"/>
  <c r="JZ6" i="2"/>
  <c r="JY6" i="2"/>
  <c r="JX6" i="2"/>
  <c r="JW6" i="2"/>
  <c r="JV6" i="2"/>
  <c r="JU6" i="2"/>
  <c r="JT6" i="2"/>
  <c r="JS6" i="2"/>
  <c r="JR6" i="2"/>
  <c r="JQ6" i="2"/>
  <c r="JP6" i="2"/>
  <c r="JO6" i="2"/>
  <c r="JN6" i="2"/>
  <c r="JM6" i="2"/>
  <c r="JL6" i="2"/>
  <c r="JK6" i="2"/>
  <c r="JJ6" i="2"/>
  <c r="JI6" i="2"/>
  <c r="JH6" i="2"/>
  <c r="JG6" i="2"/>
  <c r="JF6" i="2"/>
  <c r="JE6" i="2"/>
  <c r="JD6" i="2"/>
  <c r="JC6" i="2"/>
  <c r="JB6" i="2"/>
  <c r="JA6" i="2"/>
  <c r="IZ6" i="2"/>
  <c r="IY6" i="2"/>
  <c r="IX6" i="2"/>
  <c r="IW6" i="2"/>
  <c r="IV6" i="2"/>
  <c r="IU6" i="2"/>
  <c r="IT6" i="2"/>
  <c r="IS6" i="2"/>
  <c r="IR6" i="2"/>
  <c r="IQ6" i="2"/>
  <c r="IP6" i="2"/>
  <c r="IO6" i="2"/>
  <c r="IN6" i="2"/>
  <c r="IM6" i="2"/>
  <c r="IL6" i="2"/>
  <c r="IK6" i="2"/>
  <c r="IJ6" i="2"/>
  <c r="II6" i="2"/>
  <c r="IH6" i="2"/>
  <c r="IG6" i="2"/>
  <c r="IF6" i="2"/>
  <c r="IE6" i="2"/>
  <c r="ID6" i="2"/>
  <c r="IC6" i="2"/>
  <c r="IB6" i="2"/>
  <c r="IA6" i="2"/>
  <c r="HZ6" i="2"/>
  <c r="HY6" i="2"/>
  <c r="HX6" i="2"/>
  <c r="HW6" i="2"/>
  <c r="HV6" i="2"/>
  <c r="HU6" i="2"/>
  <c r="HT6" i="2"/>
  <c r="HS6" i="2"/>
  <c r="HR6" i="2"/>
  <c r="HQ6" i="2"/>
  <c r="HP6" i="2"/>
  <c r="HO6" i="2"/>
  <c r="HN6" i="2"/>
  <c r="HM6" i="2"/>
  <c r="HL6" i="2"/>
  <c r="HK6" i="2"/>
  <c r="HJ6" i="2"/>
  <c r="HI6" i="2"/>
  <c r="HH6" i="2"/>
  <c r="HG6" i="2"/>
  <c r="HF6" i="2"/>
  <c r="HE6" i="2"/>
  <c r="HD6" i="2"/>
  <c r="HC6" i="2"/>
  <c r="HB6" i="2"/>
  <c r="HA6" i="2"/>
  <c r="GZ6" i="2"/>
  <c r="GY6" i="2"/>
  <c r="GX6" i="2"/>
  <c r="GW6" i="2"/>
  <c r="GV6" i="2"/>
  <c r="GU6" i="2"/>
  <c r="GT6" i="2"/>
  <c r="GS6" i="2"/>
  <c r="GR6" i="2"/>
  <c r="GQ6" i="2"/>
  <c r="GP6" i="2"/>
  <c r="GO6" i="2"/>
  <c r="GN6" i="2"/>
  <c r="GM6" i="2"/>
  <c r="GL6" i="2"/>
  <c r="GK6" i="2"/>
  <c r="GJ6" i="2"/>
  <c r="GI6" i="2"/>
  <c r="GH6" i="2"/>
  <c r="GG6" i="2"/>
  <c r="GF6" i="2"/>
  <c r="GE6" i="2"/>
  <c r="GD6" i="2"/>
  <c r="GC6" i="2"/>
  <c r="GB6" i="2"/>
  <c r="GA6" i="2"/>
  <c r="FZ6" i="2"/>
  <c r="FY6" i="2"/>
  <c r="FX6" i="2"/>
  <c r="FW6" i="2"/>
  <c r="FV6" i="2"/>
  <c r="FU6" i="2"/>
  <c r="FT6" i="2"/>
  <c r="FS6" i="2"/>
  <c r="FR6" i="2"/>
  <c r="FQ6" i="2"/>
  <c r="FP6" i="2"/>
  <c r="FO6" i="2"/>
  <c r="FN6" i="2"/>
  <c r="FM6" i="2"/>
  <c r="FL6" i="2"/>
  <c r="FK6" i="2"/>
  <c r="FJ6" i="2"/>
  <c r="FI6" i="2"/>
  <c r="FH6" i="2"/>
  <c r="FG6" i="2"/>
  <c r="FF6" i="2"/>
  <c r="FE6" i="2"/>
  <c r="FD6" i="2"/>
  <c r="FC6" i="2"/>
  <c r="FB6" i="2"/>
  <c r="FA6" i="2"/>
  <c r="EZ6" i="2"/>
  <c r="EY6" i="2"/>
  <c r="EX6" i="2"/>
  <c r="EW6" i="2"/>
  <c r="EV6" i="2"/>
  <c r="EU6" i="2"/>
  <c r="ET6" i="2"/>
  <c r="ES6" i="2"/>
  <c r="ER6" i="2"/>
  <c r="EQ6" i="2"/>
  <c r="EP6" i="2"/>
  <c r="EO6" i="2"/>
  <c r="EN6" i="2"/>
  <c r="EM6" i="2"/>
  <c r="EL6" i="2"/>
  <c r="EK6" i="2"/>
  <c r="EJ6" i="2"/>
  <c r="EI6" i="2"/>
  <c r="EH6" i="2"/>
  <c r="EG6" i="2"/>
  <c r="EF6" i="2"/>
  <c r="EE6" i="2"/>
  <c r="ED6" i="2"/>
  <c r="EC6" i="2"/>
  <c r="EB6" i="2"/>
  <c r="EA6" i="2"/>
  <c r="DZ6" i="2"/>
  <c r="DY6" i="2"/>
  <c r="DX6" i="2"/>
  <c r="DW6" i="2"/>
  <c r="DV6" i="2"/>
  <c r="DU6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PI5" i="2"/>
  <c r="PH5" i="2"/>
  <c r="PG5" i="2"/>
  <c r="PF5" i="2"/>
  <c r="PE5" i="2"/>
  <c r="PD5" i="2"/>
  <c r="PC5" i="2"/>
  <c r="PB5" i="2"/>
  <c r="PA5" i="2"/>
  <c r="OZ5" i="2"/>
  <c r="OY5" i="2"/>
  <c r="OX5" i="2"/>
  <c r="OW5" i="2"/>
  <c r="OV5" i="2"/>
  <c r="OU5" i="2"/>
  <c r="OT5" i="2"/>
  <c r="OS5" i="2"/>
  <c r="OR5" i="2"/>
  <c r="OQ5" i="2"/>
  <c r="OP5" i="2"/>
  <c r="OO5" i="2"/>
  <c r="ON5" i="2"/>
  <c r="OM5" i="2"/>
  <c r="OL5" i="2"/>
  <c r="OK5" i="2"/>
  <c r="OJ5" i="2"/>
  <c r="OI5" i="2"/>
  <c r="OH5" i="2"/>
  <c r="OG5" i="2"/>
  <c r="OF5" i="2"/>
  <c r="OE5" i="2"/>
  <c r="OD5" i="2"/>
  <c r="OC5" i="2"/>
  <c r="OB5" i="2"/>
  <c r="OA5" i="2"/>
  <c r="NZ5" i="2"/>
  <c r="NY5" i="2"/>
  <c r="NX5" i="2"/>
  <c r="NW5" i="2"/>
  <c r="NV5" i="2"/>
  <c r="NU5" i="2"/>
  <c r="NT5" i="2"/>
  <c r="NS5" i="2"/>
  <c r="NR5" i="2"/>
  <c r="NQ5" i="2"/>
  <c r="NP5" i="2"/>
  <c r="NO5" i="2"/>
  <c r="NN5" i="2"/>
  <c r="NM5" i="2"/>
  <c r="NL5" i="2"/>
  <c r="NK5" i="2"/>
  <c r="NJ5" i="2"/>
  <c r="NI5" i="2"/>
  <c r="NH5" i="2"/>
  <c r="NG5" i="2"/>
  <c r="NF5" i="2"/>
  <c r="NE5" i="2"/>
  <c r="ND5" i="2"/>
  <c r="NC5" i="2"/>
  <c r="NB5" i="2"/>
  <c r="NA5" i="2"/>
  <c r="MZ5" i="2"/>
  <c r="MY5" i="2"/>
  <c r="MX5" i="2"/>
  <c r="MW5" i="2"/>
  <c r="MV5" i="2"/>
  <c r="MU5" i="2"/>
  <c r="MT5" i="2"/>
  <c r="MS5" i="2"/>
  <c r="MR5" i="2"/>
  <c r="MQ5" i="2"/>
  <c r="MP5" i="2"/>
  <c r="MO5" i="2"/>
  <c r="MN5" i="2"/>
  <c r="MM5" i="2"/>
  <c r="ML5" i="2"/>
  <c r="MK5" i="2"/>
  <c r="MJ5" i="2"/>
  <c r="MI5" i="2"/>
  <c r="MH5" i="2"/>
  <c r="MG5" i="2"/>
  <c r="MF5" i="2"/>
  <c r="ME5" i="2"/>
  <c r="MD5" i="2"/>
  <c r="MC5" i="2"/>
  <c r="MB5" i="2"/>
  <c r="MA5" i="2"/>
  <c r="LZ5" i="2"/>
  <c r="LY5" i="2"/>
  <c r="LX5" i="2"/>
  <c r="LW5" i="2"/>
  <c r="LV5" i="2"/>
  <c r="LU5" i="2"/>
  <c r="LT5" i="2"/>
  <c r="LS5" i="2"/>
  <c r="LR5" i="2"/>
  <c r="LQ5" i="2"/>
  <c r="LP5" i="2"/>
  <c r="LO5" i="2"/>
  <c r="LN5" i="2"/>
  <c r="LM5" i="2"/>
  <c r="LL5" i="2"/>
  <c r="LK5" i="2"/>
  <c r="LJ5" i="2"/>
  <c r="LI5" i="2"/>
  <c r="LH5" i="2"/>
  <c r="LG5" i="2"/>
  <c r="LF5" i="2"/>
  <c r="LE5" i="2"/>
  <c r="LD5" i="2"/>
  <c r="LC5" i="2"/>
  <c r="LB5" i="2"/>
  <c r="LA5" i="2"/>
  <c r="KZ5" i="2"/>
  <c r="KY5" i="2"/>
  <c r="KX5" i="2"/>
  <c r="KW5" i="2"/>
  <c r="KV5" i="2"/>
  <c r="KU5" i="2"/>
  <c r="KT5" i="2"/>
  <c r="KS5" i="2"/>
  <c r="KR5" i="2"/>
  <c r="KQ5" i="2"/>
  <c r="KP5" i="2"/>
  <c r="KO5" i="2"/>
  <c r="KN5" i="2"/>
  <c r="KM5" i="2"/>
  <c r="KL5" i="2"/>
  <c r="KK5" i="2"/>
  <c r="KJ5" i="2"/>
  <c r="KI5" i="2"/>
  <c r="KH5" i="2"/>
  <c r="KG5" i="2"/>
  <c r="KF5" i="2"/>
  <c r="KE5" i="2"/>
  <c r="KD5" i="2"/>
  <c r="KC5" i="2"/>
  <c r="KB5" i="2"/>
  <c r="KA5" i="2"/>
  <c r="JZ5" i="2"/>
  <c r="JY5" i="2"/>
  <c r="JX5" i="2"/>
  <c r="JW5" i="2"/>
  <c r="JV5" i="2"/>
  <c r="JU5" i="2"/>
  <c r="JT5" i="2"/>
  <c r="JS5" i="2"/>
  <c r="JR5" i="2"/>
  <c r="JQ5" i="2"/>
  <c r="JP5" i="2"/>
  <c r="JO5" i="2"/>
  <c r="JN5" i="2"/>
  <c r="JM5" i="2"/>
  <c r="JL5" i="2"/>
  <c r="JK5" i="2"/>
  <c r="JJ5" i="2"/>
  <c r="JI5" i="2"/>
  <c r="JH5" i="2"/>
  <c r="JG5" i="2"/>
  <c r="JF5" i="2"/>
  <c r="JE5" i="2"/>
  <c r="JD5" i="2"/>
  <c r="JC5" i="2"/>
  <c r="JB5" i="2"/>
  <c r="JA5" i="2"/>
  <c r="IZ5" i="2"/>
  <c r="IY5" i="2"/>
  <c r="IX5" i="2"/>
  <c r="IW5" i="2"/>
  <c r="IV5" i="2"/>
  <c r="IU5" i="2"/>
  <c r="IT5" i="2"/>
  <c r="IS5" i="2"/>
  <c r="IR5" i="2"/>
  <c r="IQ5" i="2"/>
  <c r="IP5" i="2"/>
  <c r="IO5" i="2"/>
  <c r="IN5" i="2"/>
  <c r="IM5" i="2"/>
  <c r="IL5" i="2"/>
  <c r="IK5" i="2"/>
  <c r="IJ5" i="2"/>
  <c r="II5" i="2"/>
  <c r="IH5" i="2"/>
  <c r="IG5" i="2"/>
  <c r="IF5" i="2"/>
  <c r="IE5" i="2"/>
  <c r="ID5" i="2"/>
  <c r="IC5" i="2"/>
  <c r="IB5" i="2"/>
  <c r="IA5" i="2"/>
  <c r="HZ5" i="2"/>
  <c r="HY5" i="2"/>
  <c r="HX5" i="2"/>
  <c r="HW5" i="2"/>
  <c r="HV5" i="2"/>
  <c r="HU5" i="2"/>
  <c r="HT5" i="2"/>
  <c r="HS5" i="2"/>
  <c r="HR5" i="2"/>
  <c r="HQ5" i="2"/>
  <c r="HP5" i="2"/>
  <c r="HO5" i="2"/>
  <c r="HN5" i="2"/>
  <c r="HM5" i="2"/>
  <c r="HL5" i="2"/>
  <c r="HK5" i="2"/>
  <c r="HJ5" i="2"/>
  <c r="HI5" i="2"/>
  <c r="HH5" i="2"/>
  <c r="HG5" i="2"/>
  <c r="HF5" i="2"/>
  <c r="HE5" i="2"/>
  <c r="HD5" i="2"/>
  <c r="HC5" i="2"/>
  <c r="HB5" i="2"/>
  <c r="HA5" i="2"/>
  <c r="GZ5" i="2"/>
  <c r="GY5" i="2"/>
  <c r="GX5" i="2"/>
  <c r="GW5" i="2"/>
  <c r="GV5" i="2"/>
  <c r="GU5" i="2"/>
  <c r="GT5" i="2"/>
  <c r="GS5" i="2"/>
  <c r="GR5" i="2"/>
  <c r="GQ5" i="2"/>
  <c r="GP5" i="2"/>
  <c r="GO5" i="2"/>
  <c r="GN5" i="2"/>
  <c r="GM5" i="2"/>
  <c r="GL5" i="2"/>
  <c r="GK5" i="2"/>
  <c r="GJ5" i="2"/>
  <c r="GI5" i="2"/>
  <c r="GH5" i="2"/>
  <c r="GG5" i="2"/>
  <c r="GF5" i="2"/>
  <c r="GE5" i="2"/>
  <c r="GD5" i="2"/>
  <c r="GC5" i="2"/>
  <c r="GB5" i="2"/>
  <c r="GA5" i="2"/>
  <c r="FZ5" i="2"/>
  <c r="FY5" i="2"/>
  <c r="FX5" i="2"/>
  <c r="FW5" i="2"/>
  <c r="FV5" i="2"/>
  <c r="FU5" i="2"/>
  <c r="FT5" i="2"/>
  <c r="FS5" i="2"/>
  <c r="FR5" i="2"/>
  <c r="FQ5" i="2"/>
  <c r="FP5" i="2"/>
  <c r="FO5" i="2"/>
  <c r="FN5" i="2"/>
  <c r="FM5" i="2"/>
  <c r="FL5" i="2"/>
  <c r="FK5" i="2"/>
  <c r="FJ5" i="2"/>
  <c r="FI5" i="2"/>
  <c r="FH5" i="2"/>
  <c r="FG5" i="2"/>
  <c r="FF5" i="2"/>
  <c r="FE5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PI4" i="2"/>
  <c r="PH4" i="2"/>
  <c r="PG4" i="2"/>
  <c r="PF4" i="2"/>
  <c r="PE4" i="2"/>
  <c r="PD4" i="2"/>
  <c r="PC4" i="2"/>
  <c r="PB4" i="2"/>
  <c r="PA4" i="2"/>
  <c r="OZ4" i="2"/>
  <c r="OY4" i="2"/>
  <c r="OX4" i="2"/>
  <c r="OW4" i="2"/>
  <c r="OV4" i="2"/>
  <c r="OU4" i="2"/>
  <c r="OT4" i="2"/>
  <c r="OS4" i="2"/>
  <c r="OR4" i="2"/>
  <c r="OQ4" i="2"/>
  <c r="OP4" i="2"/>
  <c r="OO4" i="2"/>
  <c r="ON4" i="2"/>
  <c r="OM4" i="2"/>
  <c r="OL4" i="2"/>
  <c r="OK4" i="2"/>
  <c r="OJ4" i="2"/>
  <c r="OI4" i="2"/>
  <c r="OH4" i="2"/>
  <c r="OG4" i="2"/>
  <c r="OF4" i="2"/>
  <c r="OE4" i="2"/>
  <c r="OD4" i="2"/>
  <c r="OC4" i="2"/>
  <c r="OB4" i="2"/>
  <c r="OA4" i="2"/>
  <c r="NZ4" i="2"/>
  <c r="NY4" i="2"/>
  <c r="NX4" i="2"/>
  <c r="NW4" i="2"/>
  <c r="NV4" i="2"/>
  <c r="NU4" i="2"/>
  <c r="NT4" i="2"/>
  <c r="NS4" i="2"/>
  <c r="NR4" i="2"/>
  <c r="NQ4" i="2"/>
  <c r="NP4" i="2"/>
  <c r="NO4" i="2"/>
  <c r="NN4" i="2"/>
  <c r="NM4" i="2"/>
  <c r="NL4" i="2"/>
  <c r="NK4" i="2"/>
  <c r="NJ4" i="2"/>
  <c r="NI4" i="2"/>
  <c r="NH4" i="2"/>
  <c r="NG4" i="2"/>
  <c r="NF4" i="2"/>
  <c r="NE4" i="2"/>
  <c r="ND4" i="2"/>
  <c r="NC4" i="2"/>
  <c r="NB4" i="2"/>
  <c r="NA4" i="2"/>
  <c r="MZ4" i="2"/>
  <c r="MY4" i="2"/>
  <c r="MX4" i="2"/>
  <c r="MW4" i="2"/>
  <c r="MV4" i="2"/>
  <c r="MU4" i="2"/>
  <c r="MT4" i="2"/>
  <c r="MS4" i="2"/>
  <c r="MR4" i="2"/>
  <c r="MQ4" i="2"/>
  <c r="MP4" i="2"/>
  <c r="MO4" i="2"/>
  <c r="MN4" i="2"/>
  <c r="MM4" i="2"/>
  <c r="ML4" i="2"/>
  <c r="MK4" i="2"/>
  <c r="MJ4" i="2"/>
  <c r="MI4" i="2"/>
  <c r="MH4" i="2"/>
  <c r="MG4" i="2"/>
  <c r="MF4" i="2"/>
  <c r="ME4" i="2"/>
  <c r="MD4" i="2"/>
  <c r="MC4" i="2"/>
  <c r="MB4" i="2"/>
  <c r="MA4" i="2"/>
  <c r="LZ4" i="2"/>
  <c r="LY4" i="2"/>
  <c r="LX4" i="2"/>
  <c r="LW4" i="2"/>
  <c r="LV4" i="2"/>
  <c r="LU4" i="2"/>
  <c r="LT4" i="2"/>
  <c r="LS4" i="2"/>
  <c r="LR4" i="2"/>
  <c r="LQ4" i="2"/>
  <c r="LP4" i="2"/>
  <c r="LO4" i="2"/>
  <c r="LN4" i="2"/>
  <c r="LM4" i="2"/>
  <c r="LL4" i="2"/>
  <c r="LK4" i="2"/>
  <c r="LJ4" i="2"/>
  <c r="LI4" i="2"/>
  <c r="LH4" i="2"/>
  <c r="LG4" i="2"/>
  <c r="LF4" i="2"/>
  <c r="LE4" i="2"/>
  <c r="LD4" i="2"/>
  <c r="LC4" i="2"/>
  <c r="LB4" i="2"/>
  <c r="LA4" i="2"/>
  <c r="KZ4" i="2"/>
  <c r="KY4" i="2"/>
  <c r="KX4" i="2"/>
  <c r="KW4" i="2"/>
  <c r="KV4" i="2"/>
  <c r="KU4" i="2"/>
  <c r="KT4" i="2"/>
  <c r="KS4" i="2"/>
  <c r="KR4" i="2"/>
  <c r="KQ4" i="2"/>
  <c r="KP4" i="2"/>
  <c r="KO4" i="2"/>
  <c r="KN4" i="2"/>
  <c r="KM4" i="2"/>
  <c r="KL4" i="2"/>
  <c r="KK4" i="2"/>
  <c r="KJ4" i="2"/>
  <c r="KI4" i="2"/>
  <c r="KH4" i="2"/>
  <c r="KG4" i="2"/>
  <c r="KF4" i="2"/>
  <c r="KE4" i="2"/>
  <c r="KD4" i="2"/>
  <c r="KC4" i="2"/>
  <c r="KB4" i="2"/>
  <c r="KA4" i="2"/>
  <c r="JZ4" i="2"/>
  <c r="JY4" i="2"/>
  <c r="JX4" i="2"/>
  <c r="JW4" i="2"/>
  <c r="JV4" i="2"/>
  <c r="JU4" i="2"/>
  <c r="JT4" i="2"/>
  <c r="JS4" i="2"/>
  <c r="JR4" i="2"/>
  <c r="JQ4" i="2"/>
  <c r="JP4" i="2"/>
  <c r="JO4" i="2"/>
  <c r="JN4" i="2"/>
  <c r="JM4" i="2"/>
  <c r="JL4" i="2"/>
  <c r="JK4" i="2"/>
  <c r="JJ4" i="2"/>
  <c r="JI4" i="2"/>
  <c r="JH4" i="2"/>
  <c r="JG4" i="2"/>
  <c r="JF4" i="2"/>
  <c r="JE4" i="2"/>
  <c r="JD4" i="2"/>
  <c r="JC4" i="2"/>
  <c r="JB4" i="2"/>
  <c r="JA4" i="2"/>
  <c r="IZ4" i="2"/>
  <c r="IY4" i="2"/>
  <c r="IX4" i="2"/>
  <c r="IW4" i="2"/>
  <c r="IV4" i="2"/>
  <c r="IU4" i="2"/>
  <c r="IT4" i="2"/>
  <c r="IS4" i="2"/>
  <c r="IR4" i="2"/>
  <c r="IQ4" i="2"/>
  <c r="IP4" i="2"/>
  <c r="IO4" i="2"/>
  <c r="IN4" i="2"/>
  <c r="IM4" i="2"/>
  <c r="IL4" i="2"/>
  <c r="IK4" i="2"/>
  <c r="IJ4" i="2"/>
  <c r="II4" i="2"/>
  <c r="IH4" i="2"/>
  <c r="IG4" i="2"/>
  <c r="IF4" i="2"/>
  <c r="IE4" i="2"/>
  <c r="ID4" i="2"/>
  <c r="IC4" i="2"/>
  <c r="IB4" i="2"/>
  <c r="IA4" i="2"/>
  <c r="HZ4" i="2"/>
  <c r="HY4" i="2"/>
  <c r="HX4" i="2"/>
  <c r="HW4" i="2"/>
  <c r="HV4" i="2"/>
  <c r="HU4" i="2"/>
  <c r="HT4" i="2"/>
  <c r="HS4" i="2"/>
  <c r="HR4" i="2"/>
  <c r="HQ4" i="2"/>
  <c r="HP4" i="2"/>
  <c r="HO4" i="2"/>
  <c r="HN4" i="2"/>
  <c r="HM4" i="2"/>
  <c r="HL4" i="2"/>
  <c r="HK4" i="2"/>
  <c r="HJ4" i="2"/>
  <c r="HI4" i="2"/>
  <c r="HH4" i="2"/>
  <c r="HG4" i="2"/>
  <c r="HF4" i="2"/>
  <c r="HE4" i="2"/>
  <c r="HD4" i="2"/>
  <c r="HC4" i="2"/>
  <c r="HB4" i="2"/>
  <c r="HA4" i="2"/>
  <c r="GZ4" i="2"/>
  <c r="GY4" i="2"/>
  <c r="GX4" i="2"/>
  <c r="GW4" i="2"/>
  <c r="GV4" i="2"/>
  <c r="GU4" i="2"/>
  <c r="GT4" i="2"/>
  <c r="GS4" i="2"/>
  <c r="GR4" i="2"/>
  <c r="GQ4" i="2"/>
  <c r="GP4" i="2"/>
  <c r="GO4" i="2"/>
  <c r="GN4" i="2"/>
  <c r="GM4" i="2"/>
  <c r="GL4" i="2"/>
  <c r="GK4" i="2"/>
  <c r="GJ4" i="2"/>
  <c r="GI4" i="2"/>
  <c r="GH4" i="2"/>
  <c r="GG4" i="2"/>
  <c r="GF4" i="2"/>
  <c r="GE4" i="2"/>
  <c r="GD4" i="2"/>
  <c r="GC4" i="2"/>
  <c r="GB4" i="2"/>
  <c r="GA4" i="2"/>
  <c r="FZ4" i="2"/>
  <c r="FY4" i="2"/>
  <c r="FX4" i="2"/>
  <c r="FW4" i="2"/>
  <c r="FV4" i="2"/>
  <c r="FU4" i="2"/>
  <c r="FT4" i="2"/>
  <c r="FS4" i="2"/>
  <c r="FR4" i="2"/>
  <c r="FQ4" i="2"/>
  <c r="FP4" i="2"/>
  <c r="FO4" i="2"/>
  <c r="FN4" i="2"/>
  <c r="FM4" i="2"/>
  <c r="FL4" i="2"/>
  <c r="FK4" i="2"/>
  <c r="FJ4" i="2"/>
  <c r="FI4" i="2"/>
  <c r="FH4" i="2"/>
  <c r="FG4" i="2"/>
  <c r="FF4" i="2"/>
  <c r="FE4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PI3" i="2"/>
  <c r="PH3" i="2"/>
  <c r="PG3" i="2"/>
  <c r="PF3" i="2"/>
  <c r="PE3" i="2"/>
  <c r="PD3" i="2"/>
  <c r="PC3" i="2"/>
  <c r="PB3" i="2"/>
  <c r="PA3" i="2"/>
  <c r="OZ3" i="2"/>
  <c r="OY3" i="2"/>
  <c r="OX3" i="2"/>
  <c r="OW3" i="2"/>
  <c r="OV3" i="2"/>
  <c r="OU3" i="2"/>
  <c r="OT3" i="2"/>
  <c r="OS3" i="2"/>
  <c r="OR3" i="2"/>
  <c r="OQ3" i="2"/>
  <c r="OP3" i="2"/>
  <c r="OO3" i="2"/>
  <c r="ON3" i="2"/>
  <c r="OM3" i="2"/>
  <c r="OL3" i="2"/>
  <c r="OK3" i="2"/>
  <c r="OJ3" i="2"/>
  <c r="OI3" i="2"/>
  <c r="OH3" i="2"/>
  <c r="OG3" i="2"/>
  <c r="OF3" i="2"/>
  <c r="OE3" i="2"/>
  <c r="OD3" i="2"/>
  <c r="OC3" i="2"/>
  <c r="OB3" i="2"/>
  <c r="OA3" i="2"/>
  <c r="NZ3" i="2"/>
  <c r="NY3" i="2"/>
  <c r="NX3" i="2"/>
  <c r="NW3" i="2"/>
  <c r="NV3" i="2"/>
  <c r="NU3" i="2"/>
  <c r="NT3" i="2"/>
  <c r="NS3" i="2"/>
  <c r="NR3" i="2"/>
  <c r="NQ3" i="2"/>
  <c r="NP3" i="2"/>
  <c r="NO3" i="2"/>
  <c r="NN3" i="2"/>
  <c r="NM3" i="2"/>
  <c r="NL3" i="2"/>
  <c r="NK3" i="2"/>
  <c r="NJ3" i="2"/>
  <c r="NI3" i="2"/>
  <c r="NH3" i="2"/>
  <c r="NG3" i="2"/>
  <c r="NF3" i="2"/>
  <c r="NE3" i="2"/>
  <c r="ND3" i="2"/>
  <c r="NC3" i="2"/>
  <c r="NB3" i="2"/>
  <c r="NA3" i="2"/>
  <c r="MZ3" i="2"/>
  <c r="MY3" i="2"/>
  <c r="MX3" i="2"/>
  <c r="MW3" i="2"/>
  <c r="MV3" i="2"/>
  <c r="MU3" i="2"/>
  <c r="MT3" i="2"/>
  <c r="MS3" i="2"/>
  <c r="MR3" i="2"/>
  <c r="MQ3" i="2"/>
  <c r="MP3" i="2"/>
  <c r="MO3" i="2"/>
  <c r="MN3" i="2"/>
  <c r="MM3" i="2"/>
  <c r="ML3" i="2"/>
  <c r="MK3" i="2"/>
  <c r="MJ3" i="2"/>
  <c r="MI3" i="2"/>
  <c r="MH3" i="2"/>
  <c r="MG3" i="2"/>
  <c r="MF3" i="2"/>
  <c r="ME3" i="2"/>
  <c r="MD3" i="2"/>
  <c r="MC3" i="2"/>
  <c r="MB3" i="2"/>
  <c r="MA3" i="2"/>
  <c r="LZ3" i="2"/>
  <c r="LY3" i="2"/>
  <c r="LX3" i="2"/>
  <c r="LW3" i="2"/>
  <c r="LV3" i="2"/>
  <c r="LU3" i="2"/>
  <c r="LT3" i="2"/>
  <c r="LS3" i="2"/>
  <c r="LR3" i="2"/>
  <c r="LQ3" i="2"/>
  <c r="LP3" i="2"/>
  <c r="LO3" i="2"/>
  <c r="LN3" i="2"/>
  <c r="LM3" i="2"/>
  <c r="LL3" i="2"/>
  <c r="LK3" i="2"/>
  <c r="LJ3" i="2"/>
  <c r="LI3" i="2"/>
  <c r="LH3" i="2"/>
  <c r="LG3" i="2"/>
  <c r="LF3" i="2"/>
  <c r="LE3" i="2"/>
  <c r="LD3" i="2"/>
  <c r="LC3" i="2"/>
  <c r="LB3" i="2"/>
  <c r="LA3" i="2"/>
  <c r="KZ3" i="2"/>
  <c r="KY3" i="2"/>
  <c r="KX3" i="2"/>
  <c r="KW3" i="2"/>
  <c r="KV3" i="2"/>
  <c r="KU3" i="2"/>
  <c r="KT3" i="2"/>
  <c r="KS3" i="2"/>
  <c r="KR3" i="2"/>
  <c r="KQ3" i="2"/>
  <c r="KP3" i="2"/>
  <c r="KO3" i="2"/>
  <c r="KN3" i="2"/>
  <c r="KM3" i="2"/>
  <c r="KL3" i="2"/>
  <c r="KK3" i="2"/>
  <c r="KJ3" i="2"/>
  <c r="KI3" i="2"/>
  <c r="KH3" i="2"/>
  <c r="KG3" i="2"/>
  <c r="KF3" i="2"/>
  <c r="KE3" i="2"/>
  <c r="KD3" i="2"/>
  <c r="KC3" i="2"/>
  <c r="KB3" i="2"/>
  <c r="KA3" i="2"/>
  <c r="JZ3" i="2"/>
  <c r="JY3" i="2"/>
  <c r="JX3" i="2"/>
  <c r="JW3" i="2"/>
  <c r="JV3" i="2"/>
  <c r="JU3" i="2"/>
  <c r="JT3" i="2"/>
  <c r="JS3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PI2" i="2"/>
  <c r="PH2" i="2"/>
  <c r="PG2" i="2"/>
  <c r="PF2" i="2"/>
  <c r="PE2" i="2"/>
  <c r="PD2" i="2"/>
  <c r="PC2" i="2"/>
  <c r="PB2" i="2"/>
  <c r="PA2" i="2"/>
  <c r="OZ2" i="2"/>
  <c r="OY2" i="2"/>
  <c r="OX2" i="2"/>
  <c r="OW2" i="2"/>
  <c r="OV2" i="2"/>
  <c r="OU2" i="2"/>
  <c r="OT2" i="2"/>
  <c r="OS2" i="2"/>
  <c r="OR2" i="2"/>
  <c r="OQ2" i="2"/>
  <c r="OP2" i="2"/>
  <c r="OO2" i="2"/>
  <c r="ON2" i="2"/>
  <c r="OM2" i="2"/>
  <c r="OL2" i="2"/>
  <c r="OK2" i="2"/>
  <c r="OJ2" i="2"/>
  <c r="OI2" i="2"/>
  <c r="OH2" i="2"/>
  <c r="OG2" i="2"/>
  <c r="OF2" i="2"/>
  <c r="OE2" i="2"/>
  <c r="OD2" i="2"/>
  <c r="OC2" i="2"/>
  <c r="OB2" i="2"/>
  <c r="OA2" i="2"/>
  <c r="NZ2" i="2"/>
  <c r="NY2" i="2"/>
  <c r="NX2" i="2"/>
  <c r="NW2" i="2"/>
  <c r="NV2" i="2"/>
  <c r="NU2" i="2"/>
  <c r="NT2" i="2"/>
  <c r="NS2" i="2"/>
  <c r="NR2" i="2"/>
  <c r="NQ2" i="2"/>
  <c r="NP2" i="2"/>
  <c r="NO2" i="2"/>
  <c r="NN2" i="2"/>
  <c r="NM2" i="2"/>
  <c r="NL2" i="2"/>
  <c r="NK2" i="2"/>
  <c r="NJ2" i="2"/>
  <c r="NI2" i="2"/>
  <c r="NH2" i="2"/>
  <c r="NG2" i="2"/>
  <c r="NF2" i="2"/>
  <c r="NE2" i="2"/>
  <c r="ND2" i="2"/>
  <c r="NC2" i="2"/>
  <c r="NB2" i="2"/>
  <c r="NA2" i="2"/>
  <c r="MZ2" i="2"/>
  <c r="MY2" i="2"/>
  <c r="MX2" i="2"/>
  <c r="MW2" i="2"/>
  <c r="MV2" i="2"/>
  <c r="MU2" i="2"/>
  <c r="MT2" i="2"/>
  <c r="MS2" i="2"/>
  <c r="MR2" i="2"/>
  <c r="MQ2" i="2"/>
  <c r="MP2" i="2"/>
  <c r="MO2" i="2"/>
  <c r="MN2" i="2"/>
  <c r="MM2" i="2"/>
  <c r="ML2" i="2"/>
  <c r="MK2" i="2"/>
  <c r="MJ2" i="2"/>
  <c r="MI2" i="2"/>
  <c r="MH2" i="2"/>
  <c r="MG2" i="2"/>
  <c r="MF2" i="2"/>
  <c r="ME2" i="2"/>
  <c r="MD2" i="2"/>
  <c r="MC2" i="2"/>
  <c r="MB2" i="2"/>
  <c r="MA2" i="2"/>
  <c r="LZ2" i="2"/>
  <c r="LY2" i="2"/>
  <c r="LX2" i="2"/>
  <c r="LW2" i="2"/>
  <c r="LV2" i="2"/>
  <c r="LU2" i="2"/>
  <c r="LT2" i="2"/>
  <c r="LS2" i="2"/>
  <c r="LR2" i="2"/>
  <c r="LQ2" i="2"/>
  <c r="LP2" i="2"/>
  <c r="LO2" i="2"/>
  <c r="LN2" i="2"/>
  <c r="LM2" i="2"/>
  <c r="LL2" i="2"/>
  <c r="LK2" i="2"/>
  <c r="LJ2" i="2"/>
  <c r="LI2" i="2"/>
  <c r="LH2" i="2"/>
  <c r="LG2" i="2"/>
  <c r="LF2" i="2"/>
  <c r="LE2" i="2"/>
  <c r="LD2" i="2"/>
  <c r="LC2" i="2"/>
  <c r="LB2" i="2"/>
  <c r="LA2" i="2"/>
  <c r="KZ2" i="2"/>
  <c r="KY2" i="2"/>
  <c r="KX2" i="2"/>
  <c r="KW2" i="2"/>
  <c r="KV2" i="2"/>
  <c r="KU2" i="2"/>
  <c r="KT2" i="2"/>
  <c r="KS2" i="2"/>
  <c r="KR2" i="2"/>
  <c r="KQ2" i="2"/>
  <c r="KP2" i="2"/>
  <c r="KO2" i="2"/>
  <c r="KN2" i="2"/>
  <c r="KM2" i="2"/>
  <c r="KL2" i="2"/>
  <c r="KK2" i="2"/>
  <c r="KJ2" i="2"/>
  <c r="KI2" i="2"/>
  <c r="KH2" i="2"/>
  <c r="KG2" i="2"/>
  <c r="KF2" i="2"/>
  <c r="KE2" i="2"/>
  <c r="KD2" i="2"/>
  <c r="KC2" i="2"/>
  <c r="KB2" i="2"/>
  <c r="KA2" i="2"/>
  <c r="JZ2" i="2"/>
  <c r="JY2" i="2"/>
  <c r="JX2" i="2"/>
  <c r="JW2" i="2"/>
  <c r="JV2" i="2"/>
  <c r="JU2" i="2"/>
  <c r="JT2" i="2"/>
  <c r="JS2" i="2"/>
  <c r="JR2" i="2"/>
  <c r="JQ2" i="2"/>
  <c r="JP2" i="2"/>
  <c r="JO2" i="2"/>
  <c r="JN2" i="2"/>
  <c r="JM2" i="2"/>
  <c r="JL2" i="2"/>
  <c r="JK2" i="2"/>
  <c r="JJ2" i="2"/>
  <c r="JI2" i="2"/>
  <c r="JH2" i="2"/>
  <c r="JG2" i="2"/>
  <c r="JF2" i="2"/>
  <c r="JE2" i="2"/>
  <c r="JD2" i="2"/>
  <c r="JC2" i="2"/>
  <c r="JB2" i="2"/>
  <c r="JA2" i="2"/>
  <c r="IZ2" i="2"/>
  <c r="IY2" i="2"/>
  <c r="IX2" i="2"/>
  <c r="IW2" i="2"/>
  <c r="IV2" i="2"/>
  <c r="IU2" i="2"/>
  <c r="IT2" i="2"/>
  <c r="IS2" i="2"/>
  <c r="IR2" i="2"/>
  <c r="IQ2" i="2"/>
  <c r="IP2" i="2"/>
  <c r="IO2" i="2"/>
  <c r="IN2" i="2"/>
  <c r="IM2" i="2"/>
  <c r="IL2" i="2"/>
  <c r="IK2" i="2"/>
  <c r="IJ2" i="2"/>
  <c r="II2" i="2"/>
  <c r="IH2" i="2"/>
  <c r="IG2" i="2"/>
  <c r="IF2" i="2"/>
  <c r="IE2" i="2"/>
  <c r="ID2" i="2"/>
  <c r="IC2" i="2"/>
  <c r="IB2" i="2"/>
  <c r="IA2" i="2"/>
  <c r="HZ2" i="2"/>
  <c r="HY2" i="2"/>
  <c r="HX2" i="2"/>
  <c r="HW2" i="2"/>
  <c r="HV2" i="2"/>
  <c r="HU2" i="2"/>
  <c r="HT2" i="2"/>
  <c r="HS2" i="2"/>
  <c r="HR2" i="2"/>
  <c r="HQ2" i="2"/>
  <c r="HP2" i="2"/>
  <c r="HO2" i="2"/>
  <c r="HN2" i="2"/>
  <c r="HM2" i="2"/>
  <c r="HL2" i="2"/>
  <c r="HK2" i="2"/>
  <c r="HJ2" i="2"/>
  <c r="HI2" i="2"/>
  <c r="HH2" i="2"/>
  <c r="HG2" i="2"/>
  <c r="HF2" i="2"/>
  <c r="HE2" i="2"/>
  <c r="HD2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L2" i="2"/>
  <c r="GK2" i="2"/>
  <c r="GJ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A2" i="2"/>
  <c r="PI1" i="2"/>
  <c r="PH1" i="2"/>
  <c r="PG1" i="2"/>
  <c r="PF1" i="2"/>
  <c r="PE1" i="2"/>
  <c r="PD1" i="2"/>
  <c r="PC1" i="2"/>
  <c r="PB1" i="2"/>
  <c r="PA1" i="2"/>
  <c r="OZ1" i="2"/>
  <c r="OY1" i="2"/>
  <c r="OX1" i="2"/>
  <c r="OW1" i="2"/>
  <c r="OV1" i="2"/>
  <c r="OU1" i="2"/>
  <c r="OT1" i="2"/>
  <c r="OS1" i="2"/>
  <c r="OR1" i="2"/>
  <c r="OQ1" i="2"/>
  <c r="OP1" i="2"/>
  <c r="OO1" i="2"/>
  <c r="ON1" i="2"/>
  <c r="OM1" i="2"/>
  <c r="OL1" i="2"/>
  <c r="OK1" i="2"/>
  <c r="OJ1" i="2"/>
  <c r="OI1" i="2"/>
  <c r="OH1" i="2"/>
  <c r="OG1" i="2"/>
  <c r="OF1" i="2"/>
  <c r="OE1" i="2"/>
  <c r="OD1" i="2"/>
  <c r="OC1" i="2"/>
  <c r="OB1" i="2"/>
  <c r="OA1" i="2"/>
  <c r="NZ1" i="2"/>
  <c r="NY1" i="2"/>
  <c r="NX1" i="2"/>
  <c r="NW1" i="2"/>
  <c r="NV1" i="2"/>
  <c r="NU1" i="2"/>
  <c r="NT1" i="2"/>
  <c r="NS1" i="2"/>
  <c r="NR1" i="2"/>
  <c r="NQ1" i="2"/>
  <c r="NP1" i="2"/>
  <c r="NO1" i="2"/>
  <c r="NN1" i="2"/>
  <c r="NM1" i="2"/>
  <c r="NL1" i="2"/>
  <c r="NK1" i="2"/>
  <c r="NJ1" i="2"/>
  <c r="NI1" i="2"/>
  <c r="NH1" i="2"/>
  <c r="NG1" i="2"/>
  <c r="NF1" i="2"/>
  <c r="NE1" i="2"/>
  <c r="ND1" i="2"/>
  <c r="NC1" i="2"/>
  <c r="NB1" i="2"/>
  <c r="NA1" i="2"/>
  <c r="MZ1" i="2"/>
  <c r="MY1" i="2"/>
  <c r="MX1" i="2"/>
  <c r="MW1" i="2"/>
  <c r="MV1" i="2"/>
  <c r="MU1" i="2"/>
  <c r="MT1" i="2"/>
  <c r="MS1" i="2"/>
  <c r="MR1" i="2"/>
  <c r="MQ1" i="2"/>
  <c r="MP1" i="2"/>
  <c r="MO1" i="2"/>
  <c r="MN1" i="2"/>
  <c r="MM1" i="2"/>
  <c r="ML1" i="2"/>
  <c r="MK1" i="2"/>
  <c r="MJ1" i="2"/>
  <c r="MI1" i="2"/>
  <c r="MH1" i="2"/>
  <c r="MG1" i="2"/>
  <c r="MF1" i="2"/>
  <c r="ME1" i="2"/>
  <c r="MD1" i="2"/>
  <c r="MC1" i="2"/>
  <c r="MB1" i="2"/>
  <c r="MA1" i="2"/>
  <c r="LZ1" i="2"/>
  <c r="LY1" i="2"/>
  <c r="LX1" i="2"/>
  <c r="LW1" i="2"/>
  <c r="LV1" i="2"/>
  <c r="LU1" i="2"/>
  <c r="LT1" i="2"/>
  <c r="LS1" i="2"/>
  <c r="LR1" i="2"/>
  <c r="LQ1" i="2"/>
  <c r="LP1" i="2"/>
  <c r="LO1" i="2"/>
  <c r="LN1" i="2"/>
  <c r="LM1" i="2"/>
  <c r="LL1" i="2"/>
  <c r="LK1" i="2"/>
  <c r="LJ1" i="2"/>
  <c r="LI1" i="2"/>
  <c r="LH1" i="2"/>
  <c r="LG1" i="2"/>
  <c r="LF1" i="2"/>
  <c r="LE1" i="2"/>
  <c r="LD1" i="2"/>
  <c r="LC1" i="2"/>
  <c r="LB1" i="2"/>
  <c r="LA1" i="2"/>
  <c r="KZ1" i="2"/>
  <c r="KY1" i="2"/>
  <c r="KX1" i="2"/>
  <c r="KW1" i="2"/>
  <c r="KV1" i="2"/>
  <c r="KU1" i="2"/>
  <c r="KT1" i="2"/>
  <c r="KS1" i="2"/>
  <c r="KR1" i="2"/>
  <c r="KQ1" i="2"/>
  <c r="KP1" i="2"/>
  <c r="KO1" i="2"/>
  <c r="KN1" i="2"/>
  <c r="KM1" i="2"/>
  <c r="KL1" i="2"/>
  <c r="KK1" i="2"/>
  <c r="KJ1" i="2"/>
  <c r="KI1" i="2"/>
  <c r="KH1" i="2"/>
  <c r="KG1" i="2"/>
  <c r="KF1" i="2"/>
  <c r="KE1" i="2"/>
  <c r="KD1" i="2"/>
  <c r="KC1" i="2"/>
  <c r="KB1" i="2"/>
  <c r="KA1" i="2"/>
  <c r="JZ1" i="2"/>
  <c r="JY1" i="2"/>
  <c r="JX1" i="2"/>
  <c r="JW1" i="2"/>
  <c r="JV1" i="2"/>
  <c r="JU1" i="2"/>
  <c r="JT1" i="2"/>
  <c r="JS1" i="2"/>
  <c r="JR1" i="2"/>
  <c r="JQ1" i="2"/>
  <c r="JP1" i="2"/>
  <c r="JO1" i="2"/>
  <c r="JN1" i="2"/>
  <c r="JM1" i="2"/>
  <c r="JL1" i="2"/>
  <c r="JK1" i="2"/>
  <c r="JJ1" i="2"/>
  <c r="JI1" i="2"/>
  <c r="JH1" i="2"/>
  <c r="JG1" i="2"/>
  <c r="JF1" i="2"/>
  <c r="JE1" i="2"/>
  <c r="JD1" i="2"/>
  <c r="JC1" i="2"/>
  <c r="JB1" i="2"/>
  <c r="JA1" i="2"/>
  <c r="IZ1" i="2"/>
  <c r="IY1" i="2"/>
  <c r="IX1" i="2"/>
  <c r="IW1" i="2"/>
  <c r="IV1" i="2"/>
  <c r="IU1" i="2"/>
  <c r="IT1" i="2"/>
  <c r="IS1" i="2"/>
  <c r="IR1" i="2"/>
  <c r="IQ1" i="2"/>
  <c r="IP1" i="2"/>
  <c r="IO1" i="2"/>
  <c r="IN1" i="2"/>
  <c r="IM1" i="2"/>
  <c r="IL1" i="2"/>
  <c r="IK1" i="2"/>
  <c r="IJ1" i="2"/>
  <c r="II1" i="2"/>
  <c r="IH1" i="2"/>
  <c r="IG1" i="2"/>
  <c r="IF1" i="2"/>
  <c r="IE1" i="2"/>
  <c r="ID1" i="2"/>
  <c r="IC1" i="2"/>
  <c r="IB1" i="2"/>
  <c r="IA1" i="2"/>
  <c r="HZ1" i="2"/>
  <c r="HY1" i="2"/>
  <c r="HX1" i="2"/>
  <c r="HW1" i="2"/>
  <c r="HV1" i="2"/>
  <c r="HU1" i="2"/>
  <c r="HT1" i="2"/>
  <c r="HS1" i="2"/>
  <c r="HR1" i="2"/>
  <c r="HQ1" i="2"/>
  <c r="HP1" i="2"/>
  <c r="HO1" i="2"/>
  <c r="HN1" i="2"/>
  <c r="HM1" i="2"/>
  <c r="HL1" i="2"/>
  <c r="HK1" i="2"/>
  <c r="HJ1" i="2"/>
  <c r="HI1" i="2"/>
  <c r="HH1" i="2"/>
  <c r="HG1" i="2"/>
  <c r="HF1" i="2"/>
  <c r="HE1" i="2"/>
  <c r="HD1" i="2"/>
  <c r="HC1" i="2"/>
  <c r="HB1" i="2"/>
  <c r="HA1" i="2"/>
  <c r="GZ1" i="2"/>
  <c r="GY1" i="2"/>
  <c r="GX1" i="2"/>
  <c r="GW1" i="2"/>
  <c r="GV1" i="2"/>
  <c r="GU1" i="2"/>
  <c r="GT1" i="2"/>
  <c r="GS1" i="2"/>
  <c r="GR1" i="2"/>
  <c r="GQ1" i="2"/>
  <c r="GP1" i="2"/>
  <c r="GO1" i="2"/>
  <c r="GN1" i="2"/>
  <c r="GM1" i="2"/>
  <c r="GL1" i="2"/>
  <c r="GK1" i="2"/>
  <c r="GJ1" i="2"/>
  <c r="GI1" i="2"/>
  <c r="GH1" i="2"/>
  <c r="GG1" i="2"/>
  <c r="GF1" i="2"/>
  <c r="GE1" i="2"/>
  <c r="GD1" i="2"/>
  <c r="GC1" i="2"/>
  <c r="GB1" i="2"/>
  <c r="GA1" i="2"/>
  <c r="FZ1" i="2"/>
  <c r="FY1" i="2"/>
  <c r="FX1" i="2"/>
  <c r="FW1" i="2"/>
  <c r="FV1" i="2"/>
  <c r="FU1" i="2"/>
  <c r="FT1" i="2"/>
  <c r="FS1" i="2"/>
  <c r="FR1" i="2"/>
  <c r="FQ1" i="2"/>
  <c r="FP1" i="2"/>
  <c r="FO1" i="2"/>
  <c r="FN1" i="2"/>
  <c r="FM1" i="2"/>
  <c r="FL1" i="2"/>
  <c r="FK1" i="2"/>
  <c r="FJ1" i="2"/>
  <c r="FI1" i="2"/>
  <c r="FH1" i="2"/>
  <c r="FG1" i="2"/>
  <c r="FF1" i="2"/>
  <c r="FE1" i="2"/>
  <c r="FD1" i="2"/>
  <c r="FC1" i="2"/>
  <c r="FB1" i="2"/>
  <c r="FA1" i="2"/>
  <c r="EZ1" i="2"/>
  <c r="EY1" i="2"/>
  <c r="EX1" i="2"/>
  <c r="EW1" i="2"/>
  <c r="EV1" i="2"/>
  <c r="EU1" i="2"/>
  <c r="ET1" i="2"/>
  <c r="ES1" i="2"/>
  <c r="ER1" i="2"/>
  <c r="EQ1" i="2"/>
  <c r="EP1" i="2"/>
  <c r="EO1" i="2"/>
  <c r="EN1" i="2"/>
  <c r="EM1" i="2"/>
  <c r="EL1" i="2"/>
  <c r="EK1" i="2"/>
  <c r="EJ1" i="2"/>
  <c r="EI1" i="2"/>
  <c r="EH1" i="2"/>
  <c r="EG1" i="2"/>
  <c r="EF1" i="2"/>
  <c r="EE1" i="2"/>
  <c r="ED1" i="2"/>
  <c r="EC1" i="2"/>
  <c r="EB1" i="2"/>
  <c r="EA1" i="2"/>
  <c r="DZ1" i="2"/>
  <c r="DY1" i="2"/>
  <c r="DX1" i="2"/>
  <c r="DW1" i="2"/>
  <c r="DV1" i="2"/>
  <c r="DU1" i="2"/>
  <c r="DT1" i="2"/>
  <c r="DS1" i="2"/>
  <c r="DR1" i="2"/>
  <c r="DQ1" i="2"/>
  <c r="DP1" i="2"/>
  <c r="DO1" i="2"/>
  <c r="DN1" i="2"/>
  <c r="DM1" i="2"/>
  <c r="DL1" i="2"/>
  <c r="DK1" i="2"/>
  <c r="DJ1" i="2"/>
  <c r="DI1" i="2"/>
  <c r="DH1" i="2"/>
  <c r="DG1" i="2"/>
  <c r="DF1" i="2"/>
  <c r="DE1" i="2"/>
  <c r="DD1" i="2"/>
  <c r="DC1" i="2"/>
  <c r="DB1" i="2"/>
  <c r="DA1" i="2"/>
  <c r="CZ1" i="2"/>
  <c r="CY1" i="2"/>
  <c r="CX1" i="2"/>
  <c r="CW1" i="2"/>
  <c r="CV1" i="2"/>
  <c r="CU1" i="2"/>
  <c r="CT1" i="2"/>
  <c r="CS1" i="2"/>
  <c r="CR1" i="2"/>
  <c r="CQ1" i="2"/>
  <c r="CP1" i="2"/>
  <c r="CO1" i="2"/>
  <c r="CN1" i="2"/>
  <c r="CM1" i="2"/>
  <c r="CL1" i="2"/>
  <c r="CK1" i="2"/>
  <c r="CJ1" i="2"/>
  <c r="CI1" i="2"/>
  <c r="CH1" i="2"/>
  <c r="CG1" i="2"/>
  <c r="CF1" i="2"/>
  <c r="CE1" i="2"/>
  <c r="CD1" i="2"/>
  <c r="CC1" i="2"/>
  <c r="CB1" i="2"/>
  <c r="CA1" i="2"/>
  <c r="BZ1" i="2"/>
  <c r="BY1" i="2"/>
  <c r="BX1" i="2"/>
  <c r="BW1" i="2"/>
  <c r="BV1" i="2"/>
  <c r="BU1" i="2"/>
  <c r="BT1" i="2"/>
  <c r="BS1" i="2"/>
  <c r="BR1" i="2"/>
  <c r="BQ1" i="2"/>
  <c r="BP1" i="2"/>
  <c r="BO1" i="2"/>
  <c r="BN1" i="2"/>
  <c r="BM1" i="2"/>
  <c r="BL1" i="2"/>
  <c r="BK1" i="2"/>
  <c r="BJ1" i="2"/>
  <c r="BI1" i="2"/>
  <c r="BH1" i="2"/>
  <c r="BG1" i="2"/>
  <c r="BF1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A1" i="2"/>
  <c r="A11" i="1"/>
  <c r="A10" i="1"/>
  <c r="A9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PF1" i="1"/>
  <c r="PE1" i="1"/>
  <c r="PD1" i="1"/>
  <c r="PC1" i="1"/>
  <c r="PB1" i="1"/>
  <c r="PA1" i="1"/>
  <c r="OZ1" i="1"/>
  <c r="OY1" i="1"/>
  <c r="OX1" i="1"/>
  <c r="OW1" i="1"/>
  <c r="OV1" i="1"/>
  <c r="OU1" i="1"/>
  <c r="OT1" i="1"/>
  <c r="OS1" i="1"/>
  <c r="OR1" i="1"/>
  <c r="OQ1" i="1"/>
  <c r="OP1" i="1"/>
  <c r="OO1" i="1"/>
  <c r="ON1" i="1"/>
  <c r="OM1" i="1"/>
  <c r="OL1" i="1"/>
  <c r="OK1" i="1"/>
  <c r="OJ1" i="1"/>
  <c r="OI1" i="1"/>
  <c r="OH1" i="1"/>
  <c r="OG1" i="1"/>
  <c r="OF1" i="1"/>
  <c r="OE1" i="1"/>
  <c r="OD1" i="1"/>
  <c r="OC1" i="1"/>
  <c r="OB1" i="1"/>
  <c r="OA1" i="1"/>
  <c r="NZ1" i="1"/>
  <c r="NY1" i="1"/>
  <c r="NX1" i="1"/>
  <c r="NW1" i="1"/>
  <c r="NV1" i="1"/>
  <c r="NU1" i="1"/>
  <c r="NT1" i="1"/>
  <c r="NS1" i="1"/>
  <c r="NR1" i="1"/>
  <c r="NQ1" i="1"/>
  <c r="NP1" i="1"/>
  <c r="NO1" i="1"/>
  <c r="NN1" i="1"/>
  <c r="NM1" i="1"/>
  <c r="NL1" i="1"/>
  <c r="NK1" i="1"/>
  <c r="NJ1" i="1"/>
  <c r="NI1" i="1"/>
  <c r="NH1" i="1"/>
  <c r="NG1" i="1"/>
  <c r="NF1" i="1"/>
  <c r="NE1" i="1"/>
  <c r="ND1" i="1"/>
  <c r="NC1" i="1"/>
  <c r="NB1" i="1"/>
  <c r="NA1" i="1"/>
  <c r="MZ1" i="1"/>
  <c r="MY1" i="1"/>
  <c r="MX1" i="1"/>
  <c r="MW1" i="1"/>
  <c r="MV1" i="1"/>
  <c r="MU1" i="1"/>
  <c r="MT1" i="1"/>
  <c r="MS1" i="1"/>
  <c r="MR1" i="1"/>
  <c r="MQ1" i="1"/>
  <c r="MP1" i="1"/>
  <c r="MO1" i="1"/>
  <c r="MN1" i="1"/>
  <c r="MM1" i="1"/>
  <c r="ML1" i="1"/>
  <c r="MK1" i="1"/>
  <c r="MJ1" i="1"/>
  <c r="MI1" i="1"/>
  <c r="MH1" i="1"/>
  <c r="MG1" i="1"/>
  <c r="MF1" i="1"/>
  <c r="ME1" i="1"/>
  <c r="MD1" i="1"/>
  <c r="MC1" i="1"/>
  <c r="MB1" i="1"/>
  <c r="MA1" i="1"/>
  <c r="LZ1" i="1"/>
  <c r="LY1" i="1"/>
  <c r="LX1" i="1"/>
  <c r="LW1" i="1"/>
  <c r="LV1" i="1"/>
  <c r="LU1" i="1"/>
  <c r="LT1" i="1"/>
  <c r="LS1" i="1"/>
  <c r="LR1" i="1"/>
  <c r="LQ1" i="1"/>
  <c r="LP1" i="1"/>
  <c r="LO1" i="1"/>
  <c r="LN1" i="1"/>
  <c r="LM1" i="1"/>
  <c r="LL1" i="1"/>
  <c r="LK1" i="1"/>
  <c r="LJ1" i="1"/>
  <c r="LI1" i="1"/>
  <c r="LH1" i="1"/>
  <c r="LG1" i="1"/>
  <c r="LF1" i="1"/>
  <c r="LE1" i="1"/>
  <c r="LD1" i="1"/>
  <c r="LC1" i="1"/>
  <c r="LB1" i="1"/>
  <c r="LA1" i="1"/>
  <c r="KZ1" i="1"/>
  <c r="KY1" i="1"/>
  <c r="KX1" i="1"/>
  <c r="KW1" i="1"/>
  <c r="KV1" i="1"/>
  <c r="KU1" i="1"/>
  <c r="KT1" i="1"/>
  <c r="KS1" i="1"/>
  <c r="KR1" i="1"/>
  <c r="KQ1" i="1"/>
  <c r="KP1" i="1"/>
  <c r="KO1" i="1"/>
  <c r="KN1" i="1"/>
  <c r="KM1" i="1"/>
  <c r="KL1" i="1"/>
  <c r="KK1" i="1"/>
  <c r="KJ1" i="1"/>
  <c r="KI1" i="1"/>
  <c r="KH1" i="1"/>
  <c r="KG1" i="1"/>
  <c r="KF1" i="1"/>
  <c r="KE1" i="1"/>
  <c r="KD1" i="1"/>
  <c r="KC1" i="1"/>
  <c r="KB1" i="1"/>
  <c r="KA1" i="1"/>
  <c r="JZ1" i="1"/>
  <c r="JY1" i="1"/>
  <c r="JX1" i="1"/>
  <c r="JW1" i="1"/>
  <c r="JV1" i="1"/>
  <c r="JU1" i="1"/>
  <c r="JT1" i="1"/>
  <c r="JS1" i="1"/>
  <c r="JR1" i="1"/>
  <c r="JQ1" i="1"/>
  <c r="JP1" i="1"/>
  <c r="JO1" i="1"/>
  <c r="JN1" i="1"/>
  <c r="JM1" i="1"/>
  <c r="JL1" i="1"/>
  <c r="JK1" i="1"/>
  <c r="JJ1" i="1"/>
  <c r="JI1" i="1"/>
  <c r="JH1" i="1"/>
  <c r="JG1" i="1"/>
  <c r="JF1" i="1"/>
  <c r="JE1" i="1"/>
  <c r="JD1" i="1"/>
  <c r="JC1" i="1"/>
  <c r="JB1" i="1"/>
  <c r="JA1" i="1"/>
  <c r="IZ1" i="1"/>
  <c r="IY1" i="1"/>
  <c r="IX1" i="1"/>
  <c r="IW1" i="1"/>
  <c r="IV1" i="1"/>
  <c r="IU1" i="1"/>
  <c r="IT1" i="1"/>
  <c r="IS1" i="1"/>
  <c r="IR1" i="1"/>
  <c r="IQ1" i="1"/>
  <c r="IP1" i="1"/>
  <c r="IO1" i="1"/>
  <c r="IN1" i="1"/>
  <c r="IM1" i="1"/>
  <c r="IL1" i="1"/>
  <c r="IK1" i="1"/>
  <c r="IJ1" i="1"/>
  <c r="II1" i="1"/>
  <c r="IH1" i="1"/>
  <c r="IG1" i="1"/>
  <c r="IF1" i="1"/>
  <c r="IE1" i="1"/>
  <c r="ID1" i="1"/>
  <c r="IC1" i="1"/>
  <c r="IB1" i="1"/>
  <c r="IA1" i="1"/>
  <c r="HZ1" i="1"/>
  <c r="HY1" i="1"/>
  <c r="HX1" i="1"/>
  <c r="HW1" i="1"/>
  <c r="HV1" i="1"/>
  <c r="HU1" i="1"/>
  <c r="HT1" i="1"/>
  <c r="HS1" i="1"/>
  <c r="HR1" i="1"/>
  <c r="HQ1" i="1"/>
  <c r="HP1" i="1"/>
  <c r="HO1" i="1"/>
  <c r="HN1" i="1"/>
  <c r="HM1" i="1"/>
  <c r="HL1" i="1"/>
  <c r="HK1" i="1"/>
  <c r="HJ1" i="1"/>
  <c r="HI1" i="1"/>
  <c r="HH1" i="1"/>
  <c r="HG1" i="1"/>
  <c r="HF1" i="1"/>
  <c r="HE1" i="1"/>
  <c r="HD1" i="1"/>
  <c r="HC1" i="1"/>
  <c r="HB1" i="1"/>
  <c r="HA1" i="1"/>
  <c r="GZ1" i="1"/>
  <c r="GY1" i="1"/>
  <c r="GX1" i="1"/>
  <c r="GW1" i="1"/>
  <c r="GV1" i="1"/>
  <c r="GU1" i="1"/>
  <c r="GT1" i="1"/>
  <c r="GS1" i="1"/>
  <c r="GR1" i="1"/>
  <c r="GQ1" i="1"/>
  <c r="GP1" i="1"/>
  <c r="GO1" i="1"/>
  <c r="GN1" i="1"/>
  <c r="GM1" i="1"/>
  <c r="GL1" i="1"/>
  <c r="GK1" i="1"/>
  <c r="GJ1" i="1"/>
  <c r="GI1" i="1"/>
  <c r="GH1" i="1"/>
  <c r="GG1" i="1"/>
  <c r="GF1" i="1"/>
  <c r="GE1" i="1"/>
  <c r="GD1" i="1"/>
  <c r="GC1" i="1"/>
  <c r="GB1" i="1"/>
  <c r="GA1" i="1"/>
  <c r="FZ1" i="1"/>
  <c r="FY1" i="1"/>
  <c r="FX1" i="1"/>
  <c r="FW1" i="1"/>
  <c r="FV1" i="1"/>
  <c r="FU1" i="1"/>
  <c r="FT1" i="1"/>
  <c r="FS1" i="1"/>
  <c r="FR1" i="1"/>
  <c r="FQ1" i="1"/>
  <c r="FP1" i="1"/>
  <c r="FO1" i="1"/>
  <c r="FN1" i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A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yyyy&quot;-&quot;mm&quot;-&quot;dd"/>
  </numFmts>
  <fonts count="3">
    <font>
      <sz val="10"/>
      <color rgb="FF000000"/>
      <name val="Arial"/>
    </font>
    <font>
      <sz val="10"/>
      <color theme="1"/>
      <name val="Arial"/>
      <family val="2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/>
    <xf numFmtId="9" fontId="1" fillId="0" borderId="0" xfId="0" applyNumberFormat="1" applyFont="1"/>
    <xf numFmtId="0" fontId="2" fillId="2" borderId="0" xfId="0" applyFont="1" applyFill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H30"/>
  <sheetViews>
    <sheetView workbookViewId="0">
      <selection activeCell="R14" sqref="R14"/>
    </sheetView>
  </sheetViews>
  <sheetFormatPr baseColWidth="10" defaultColWidth="14.5" defaultRowHeight="15.75" customHeight="1"/>
  <sheetData>
    <row r="1" spans="1:476" ht="15.75" customHeight="1">
      <c r="A1" s="1" t="str">
        <f ca="1">IFERROR(__xludf.DUMMYFUNCTION("IMPORTRANGE(""docs.google.com/spreadsheets/d/1poUGMWDl7cmGFXobJquGAg04mObsmCEZP3TtpwQbKI4"", ""Countries Daily Public!A1:30"")"),"Country")</f>
        <v>Country</v>
      </c>
      <c r="B1" s="2" t="str">
        <f ca="1">IFERROR(__xludf.DUMMYFUNCTION("""COMPUTED_VALUE"""),"2021-04-10 00:00:00")</f>
        <v>2021-04-10 00:00:00</v>
      </c>
      <c r="C1" s="1" t="str">
        <f ca="1">IFERROR(__xludf.DUMMYFUNCTION("""COMPUTED_VALUE"""),"2021-04-09 00:00:00")</f>
        <v>2021-04-09 00:00:00</v>
      </c>
      <c r="D1" s="1" t="str">
        <f ca="1">IFERROR(__xludf.DUMMYFUNCTION("""COMPUTED_VALUE"""),"2021-04-08 00:00:00")</f>
        <v>2021-04-08 00:00:00</v>
      </c>
      <c r="E1" s="1" t="str">
        <f ca="1">IFERROR(__xludf.DUMMYFUNCTION("""COMPUTED_VALUE"""),"2021-04-07 00:00:00")</f>
        <v>2021-04-07 00:00:00</v>
      </c>
      <c r="F1" s="1" t="str">
        <f ca="1">IFERROR(__xludf.DUMMYFUNCTION("""COMPUTED_VALUE"""),"2021-04-06 00:00:00")</f>
        <v>2021-04-06 00:00:00</v>
      </c>
      <c r="G1" s="1" t="str">
        <f ca="1">IFERROR(__xludf.DUMMYFUNCTION("""COMPUTED_VALUE"""),"2021-04-05 00:00:00")</f>
        <v>2021-04-05 00:00:00</v>
      </c>
      <c r="H1" s="1" t="str">
        <f ca="1">IFERROR(__xludf.DUMMYFUNCTION("""COMPUTED_VALUE"""),"2021-04-04 00:00:00")</f>
        <v>2021-04-04 00:00:00</v>
      </c>
      <c r="I1" s="1" t="str">
        <f ca="1">IFERROR(__xludf.DUMMYFUNCTION("""COMPUTED_VALUE"""),"2021-04-03 00:00:00")</f>
        <v>2021-04-03 00:00:00</v>
      </c>
      <c r="J1" s="1" t="str">
        <f ca="1">IFERROR(__xludf.DUMMYFUNCTION("""COMPUTED_VALUE"""),"2021-04-02 00:00:00")</f>
        <v>2021-04-02 00:00:00</v>
      </c>
      <c r="K1" s="1" t="str">
        <f ca="1">IFERROR(__xludf.DUMMYFUNCTION("""COMPUTED_VALUE"""),"2021-04-01 00:00:00")</f>
        <v>2021-04-01 00:00:00</v>
      </c>
      <c r="L1" s="1" t="str">
        <f ca="1">IFERROR(__xludf.DUMMYFUNCTION("""COMPUTED_VALUE"""),"2021-03-31 00:00:00")</f>
        <v>2021-03-31 00:00:00</v>
      </c>
      <c r="M1" s="1" t="str">
        <f ca="1">IFERROR(__xludf.DUMMYFUNCTION("""COMPUTED_VALUE"""),"2021-03-30 00:00:00")</f>
        <v>2021-03-30 00:00:00</v>
      </c>
      <c r="N1" s="1" t="str">
        <f ca="1">IFERROR(__xludf.DUMMYFUNCTION("""COMPUTED_VALUE"""),"2021-03-29 00:00:00")</f>
        <v>2021-03-29 00:00:00</v>
      </c>
      <c r="O1" s="1" t="str">
        <f ca="1">IFERROR(__xludf.DUMMYFUNCTION("""COMPUTED_VALUE"""),"2021-03-28 00:00:00")</f>
        <v>2021-03-28 00:00:00</v>
      </c>
      <c r="P1" s="1" t="str">
        <f ca="1">IFERROR(__xludf.DUMMYFUNCTION("""COMPUTED_VALUE"""),"2021-03-27 00:00:00")</f>
        <v>2021-03-27 00:00:00</v>
      </c>
      <c r="Q1" s="1" t="str">
        <f ca="1">IFERROR(__xludf.DUMMYFUNCTION("""COMPUTED_VALUE"""),"2021-03-26 00:00:00")</f>
        <v>2021-03-26 00:00:00</v>
      </c>
      <c r="R1" s="1" t="str">
        <f ca="1">IFERROR(__xludf.DUMMYFUNCTION("""COMPUTED_VALUE"""),"2021-03-25 00:00:00")</f>
        <v>2021-03-25 00:00:00</v>
      </c>
      <c r="S1" s="1" t="str">
        <f ca="1">IFERROR(__xludf.DUMMYFUNCTION("""COMPUTED_VALUE"""),"2021-03-24 00:00:00")</f>
        <v>2021-03-24 00:00:00</v>
      </c>
      <c r="T1" s="1" t="str">
        <f ca="1">IFERROR(__xludf.DUMMYFUNCTION("""COMPUTED_VALUE"""),"2021-03-23 00:00:00")</f>
        <v>2021-03-23 00:00:00</v>
      </c>
      <c r="U1" s="1" t="str">
        <f ca="1">IFERROR(__xludf.DUMMYFUNCTION("""COMPUTED_VALUE"""),"2021-03-22 00:00:00")</f>
        <v>2021-03-22 00:00:00</v>
      </c>
      <c r="V1" s="1" t="str">
        <f ca="1">IFERROR(__xludf.DUMMYFUNCTION("""COMPUTED_VALUE"""),"2021-03-21 00:00:00")</f>
        <v>2021-03-21 00:00:00</v>
      </c>
      <c r="W1" s="1" t="str">
        <f ca="1">IFERROR(__xludf.DUMMYFUNCTION("""COMPUTED_VALUE"""),"2021-03-20 00:00:00")</f>
        <v>2021-03-20 00:00:00</v>
      </c>
      <c r="X1" s="1" t="str">
        <f ca="1">IFERROR(__xludf.DUMMYFUNCTION("""COMPUTED_VALUE"""),"2021-03-19 00:00:00")</f>
        <v>2021-03-19 00:00:00</v>
      </c>
      <c r="Y1" s="1" t="str">
        <f ca="1">IFERROR(__xludf.DUMMYFUNCTION("""COMPUTED_VALUE"""),"2021-03-18 00:00:00")</f>
        <v>2021-03-18 00:00:00</v>
      </c>
      <c r="Z1" s="1" t="str">
        <f ca="1">IFERROR(__xludf.DUMMYFUNCTION("""COMPUTED_VALUE"""),"2021-03-17 00:00:00")</f>
        <v>2021-03-17 00:00:00</v>
      </c>
      <c r="AA1" s="1" t="str">
        <f ca="1">IFERROR(__xludf.DUMMYFUNCTION("""COMPUTED_VALUE"""),"2021-03-16 00:00:00")</f>
        <v>2021-03-16 00:00:00</v>
      </c>
      <c r="AB1" s="1" t="str">
        <f ca="1">IFERROR(__xludf.DUMMYFUNCTION("""COMPUTED_VALUE"""),"2021-03-15 00:00:00")</f>
        <v>2021-03-15 00:00:00</v>
      </c>
      <c r="AC1" s="1" t="str">
        <f ca="1">IFERROR(__xludf.DUMMYFUNCTION("""COMPUTED_VALUE"""),"2021-03-14 00:00:00")</f>
        <v>2021-03-14 00:00:00</v>
      </c>
      <c r="AD1" s="1" t="str">
        <f ca="1">IFERROR(__xludf.DUMMYFUNCTION("""COMPUTED_VALUE"""),"2021-03-13 00:00:00")</f>
        <v>2021-03-13 00:00:00</v>
      </c>
      <c r="AE1" s="1" t="str">
        <f ca="1">IFERROR(__xludf.DUMMYFUNCTION("""COMPUTED_VALUE"""),"2021-03-12 00:00:00")</f>
        <v>2021-03-12 00:00:00</v>
      </c>
      <c r="AF1" s="1" t="str">
        <f ca="1">IFERROR(__xludf.DUMMYFUNCTION("""COMPUTED_VALUE"""),"2021-03-11 00:00:00")</f>
        <v>2021-03-11 00:00:00</v>
      </c>
      <c r="AG1" s="1" t="str">
        <f ca="1">IFERROR(__xludf.DUMMYFUNCTION("""COMPUTED_VALUE"""),"2021-03-10 00:00:00")</f>
        <v>2021-03-10 00:00:00</v>
      </c>
      <c r="AH1" s="1" t="str">
        <f ca="1">IFERROR(__xludf.DUMMYFUNCTION("""COMPUTED_VALUE"""),"2021-03-09 00:00:00")</f>
        <v>2021-03-09 00:00:00</v>
      </c>
      <c r="AI1" s="1" t="str">
        <f ca="1">IFERROR(__xludf.DUMMYFUNCTION("""COMPUTED_VALUE"""),"2021-03-08 00:00:00")</f>
        <v>2021-03-08 00:00:00</v>
      </c>
      <c r="AJ1" s="1" t="str">
        <f ca="1">IFERROR(__xludf.DUMMYFUNCTION("""COMPUTED_VALUE"""),"2021-03-07 00:00:00")</f>
        <v>2021-03-07 00:00:00</v>
      </c>
      <c r="AK1" s="1" t="str">
        <f ca="1">IFERROR(__xludf.DUMMYFUNCTION("""COMPUTED_VALUE"""),"2021-03-06 00:00:00")</f>
        <v>2021-03-06 00:00:00</v>
      </c>
      <c r="AL1" s="1" t="str">
        <f ca="1">IFERROR(__xludf.DUMMYFUNCTION("""COMPUTED_VALUE"""),"2021-03-05 00:00:00")</f>
        <v>2021-03-05 00:00:00</v>
      </c>
      <c r="AM1" s="1" t="str">
        <f ca="1">IFERROR(__xludf.DUMMYFUNCTION("""COMPUTED_VALUE"""),"2021-03-04 00:00:00")</f>
        <v>2021-03-04 00:00:00</v>
      </c>
      <c r="AN1" s="1" t="str">
        <f ca="1">IFERROR(__xludf.DUMMYFUNCTION("""COMPUTED_VALUE"""),"2021-03-03 00:00:00")</f>
        <v>2021-03-03 00:00:00</v>
      </c>
      <c r="AO1" s="1" t="str">
        <f ca="1">IFERROR(__xludf.DUMMYFUNCTION("""COMPUTED_VALUE"""),"2021-03-02 00:00:00")</f>
        <v>2021-03-02 00:00:00</v>
      </c>
      <c r="AP1" s="1" t="str">
        <f ca="1">IFERROR(__xludf.DUMMYFUNCTION("""COMPUTED_VALUE"""),"2021-03-01 00:00:00")</f>
        <v>2021-03-01 00:00:00</v>
      </c>
      <c r="AQ1" s="1" t="str">
        <f ca="1">IFERROR(__xludf.DUMMYFUNCTION("""COMPUTED_VALUE"""),"2021-02-28 00:00:00")</f>
        <v>2021-02-28 00:00:00</v>
      </c>
      <c r="AR1" s="1" t="str">
        <f ca="1">IFERROR(__xludf.DUMMYFUNCTION("""COMPUTED_VALUE"""),"2021-02-27 00:00:00")</f>
        <v>2021-02-27 00:00:00</v>
      </c>
      <c r="AS1" s="1" t="str">
        <f ca="1">IFERROR(__xludf.DUMMYFUNCTION("""COMPUTED_VALUE"""),"2021-02-26 00:00:00")</f>
        <v>2021-02-26 00:00:00</v>
      </c>
      <c r="AT1" s="1" t="str">
        <f ca="1">IFERROR(__xludf.DUMMYFUNCTION("""COMPUTED_VALUE"""),"2021-02-25 00:00:00")</f>
        <v>2021-02-25 00:00:00</v>
      </c>
      <c r="AU1" s="1" t="str">
        <f ca="1">IFERROR(__xludf.DUMMYFUNCTION("""COMPUTED_VALUE"""),"2021-02-24 00:00:00")</f>
        <v>2021-02-24 00:00:00</v>
      </c>
      <c r="AV1" s="1" t="str">
        <f ca="1">IFERROR(__xludf.DUMMYFUNCTION("""COMPUTED_VALUE"""),"2021-02-23 00:00:00")</f>
        <v>2021-02-23 00:00:00</v>
      </c>
      <c r="AW1" s="1" t="str">
        <f ca="1">IFERROR(__xludf.DUMMYFUNCTION("""COMPUTED_VALUE"""),"2021-02-22 00:00:00")</f>
        <v>2021-02-22 00:00:00</v>
      </c>
      <c r="AX1" s="1" t="str">
        <f ca="1">IFERROR(__xludf.DUMMYFUNCTION("""COMPUTED_VALUE"""),"2021-02-21 00:00:00")</f>
        <v>2021-02-21 00:00:00</v>
      </c>
      <c r="AY1" s="1" t="str">
        <f ca="1">IFERROR(__xludf.DUMMYFUNCTION("""COMPUTED_VALUE"""),"2021-02-20 00:00:00")</f>
        <v>2021-02-20 00:00:00</v>
      </c>
      <c r="AZ1" s="1" t="str">
        <f ca="1">IFERROR(__xludf.DUMMYFUNCTION("""COMPUTED_VALUE"""),"2021-02-19 00:00:00")</f>
        <v>2021-02-19 00:00:00</v>
      </c>
      <c r="BA1" s="1" t="str">
        <f ca="1">IFERROR(__xludf.DUMMYFUNCTION("""COMPUTED_VALUE"""),"2021-02-18 00:00:00")</f>
        <v>2021-02-18 00:00:00</v>
      </c>
      <c r="BB1" s="1" t="str">
        <f ca="1">IFERROR(__xludf.DUMMYFUNCTION("""COMPUTED_VALUE"""),"2021-02-17 00:00:00")</f>
        <v>2021-02-17 00:00:00</v>
      </c>
      <c r="BC1" s="1" t="str">
        <f ca="1">IFERROR(__xludf.DUMMYFUNCTION("""COMPUTED_VALUE"""),"2021-02-16 00:00:00")</f>
        <v>2021-02-16 00:00:00</v>
      </c>
      <c r="BD1" s="1" t="str">
        <f ca="1">IFERROR(__xludf.DUMMYFUNCTION("""COMPUTED_VALUE"""),"2021-02-15 00:00:00")</f>
        <v>2021-02-15 00:00:00</v>
      </c>
      <c r="BE1" s="1" t="str">
        <f ca="1">IFERROR(__xludf.DUMMYFUNCTION("""COMPUTED_VALUE"""),"2021-02-14 00:00:00")</f>
        <v>2021-02-14 00:00:00</v>
      </c>
      <c r="BF1" s="1" t="str">
        <f ca="1">IFERROR(__xludf.DUMMYFUNCTION("""COMPUTED_VALUE"""),"2021-02-13 00:00:00")</f>
        <v>2021-02-13 00:00:00</v>
      </c>
      <c r="BG1" s="1" t="str">
        <f ca="1">IFERROR(__xludf.DUMMYFUNCTION("""COMPUTED_VALUE"""),"2021-02-12 00:00:00")</f>
        <v>2021-02-12 00:00:00</v>
      </c>
      <c r="BH1" s="1" t="str">
        <f ca="1">IFERROR(__xludf.DUMMYFUNCTION("""COMPUTED_VALUE"""),"2021-02-11 00:00:00")</f>
        <v>2021-02-11 00:00:00</v>
      </c>
      <c r="BI1" s="1" t="str">
        <f ca="1">IFERROR(__xludf.DUMMYFUNCTION("""COMPUTED_VALUE"""),"2021-02-10 00:00:00")</f>
        <v>2021-02-10 00:00:00</v>
      </c>
      <c r="BJ1" s="1" t="str">
        <f ca="1">IFERROR(__xludf.DUMMYFUNCTION("""COMPUTED_VALUE"""),"2021-02-09 00:00:00")</f>
        <v>2021-02-09 00:00:00</v>
      </c>
      <c r="BK1" s="1" t="str">
        <f ca="1">IFERROR(__xludf.DUMMYFUNCTION("""COMPUTED_VALUE"""),"2021-02-08 00:00:00")</f>
        <v>2021-02-08 00:00:00</v>
      </c>
      <c r="BL1" s="1" t="str">
        <f ca="1">IFERROR(__xludf.DUMMYFUNCTION("""COMPUTED_VALUE"""),"2021-02-07 00:00:00")</f>
        <v>2021-02-07 00:00:00</v>
      </c>
      <c r="BM1" s="1" t="str">
        <f ca="1">IFERROR(__xludf.DUMMYFUNCTION("""COMPUTED_VALUE"""),"2021-02-06 00:00:00")</f>
        <v>2021-02-06 00:00:00</v>
      </c>
      <c r="BN1" s="1" t="str">
        <f ca="1">IFERROR(__xludf.DUMMYFUNCTION("""COMPUTED_VALUE"""),"2021-02-05 00:00:00")</f>
        <v>2021-02-05 00:00:00</v>
      </c>
      <c r="BO1" s="1" t="str">
        <f ca="1">IFERROR(__xludf.DUMMYFUNCTION("""COMPUTED_VALUE"""),"2021-02-04 00:00:00")</f>
        <v>2021-02-04 00:00:00</v>
      </c>
      <c r="BP1" s="1" t="str">
        <f ca="1">IFERROR(__xludf.DUMMYFUNCTION("""COMPUTED_VALUE"""),"2021-02-03 00:00:00")</f>
        <v>2021-02-03 00:00:00</v>
      </c>
      <c r="BQ1" s="1" t="str">
        <f ca="1">IFERROR(__xludf.DUMMYFUNCTION("""COMPUTED_VALUE"""),"2021-02-02 00:00:00")</f>
        <v>2021-02-02 00:00:00</v>
      </c>
      <c r="BR1" s="1" t="str">
        <f ca="1">IFERROR(__xludf.DUMMYFUNCTION("""COMPUTED_VALUE"""),"2021-02-01 00:00:00")</f>
        <v>2021-02-01 00:00:00</v>
      </c>
      <c r="BS1" s="1" t="str">
        <f ca="1">IFERROR(__xludf.DUMMYFUNCTION("""COMPUTED_VALUE"""),"2021-01-31 00:00:00")</f>
        <v>2021-01-31 00:00:00</v>
      </c>
      <c r="BT1" s="1" t="str">
        <f ca="1">IFERROR(__xludf.DUMMYFUNCTION("""COMPUTED_VALUE"""),"2021-01-30 00:00:00")</f>
        <v>2021-01-30 00:00:00</v>
      </c>
      <c r="BU1" s="1" t="str">
        <f ca="1">IFERROR(__xludf.DUMMYFUNCTION("""COMPUTED_VALUE"""),"2021-01-29 00:00:00")</f>
        <v>2021-01-29 00:00:00</v>
      </c>
      <c r="BV1" s="1" t="str">
        <f ca="1">IFERROR(__xludf.DUMMYFUNCTION("""COMPUTED_VALUE"""),"2021-01-28 00:00:00")</f>
        <v>2021-01-28 00:00:00</v>
      </c>
      <c r="BW1" s="1" t="str">
        <f ca="1">IFERROR(__xludf.DUMMYFUNCTION("""COMPUTED_VALUE"""),"2021-01-27 00:00:00")</f>
        <v>2021-01-27 00:00:00</v>
      </c>
      <c r="BX1" s="1" t="str">
        <f ca="1">IFERROR(__xludf.DUMMYFUNCTION("""COMPUTED_VALUE"""),"2021-01-26 00:00:00")</f>
        <v>2021-01-26 00:00:00</v>
      </c>
      <c r="BY1" s="1" t="str">
        <f ca="1">IFERROR(__xludf.DUMMYFUNCTION("""COMPUTED_VALUE"""),"2021-01-25 00:00:00")</f>
        <v>2021-01-25 00:00:00</v>
      </c>
      <c r="BZ1" s="1" t="str">
        <f ca="1">IFERROR(__xludf.DUMMYFUNCTION("""COMPUTED_VALUE"""),"2021-01-24 00:00:00")</f>
        <v>2021-01-24 00:00:00</v>
      </c>
      <c r="CA1" s="1" t="str">
        <f ca="1">IFERROR(__xludf.DUMMYFUNCTION("""COMPUTED_VALUE"""),"2021-01-23 00:00:00")</f>
        <v>2021-01-23 00:00:00</v>
      </c>
      <c r="CB1" s="1" t="str">
        <f ca="1">IFERROR(__xludf.DUMMYFUNCTION("""COMPUTED_VALUE"""),"2021-01-22 00:00:00")</f>
        <v>2021-01-22 00:00:00</v>
      </c>
      <c r="CC1" s="1" t="str">
        <f ca="1">IFERROR(__xludf.DUMMYFUNCTION("""COMPUTED_VALUE"""),"2021-01-21 00:00:00")</f>
        <v>2021-01-21 00:00:00</v>
      </c>
      <c r="CD1" s="1" t="str">
        <f ca="1">IFERROR(__xludf.DUMMYFUNCTION("""COMPUTED_VALUE"""),"2021-01-20 00:00:00")</f>
        <v>2021-01-20 00:00:00</v>
      </c>
      <c r="CE1" s="1" t="str">
        <f ca="1">IFERROR(__xludf.DUMMYFUNCTION("""COMPUTED_VALUE"""),"2021-01-19 00:00:00")</f>
        <v>2021-01-19 00:00:00</v>
      </c>
      <c r="CF1" s="1" t="str">
        <f ca="1">IFERROR(__xludf.DUMMYFUNCTION("""COMPUTED_VALUE"""),"2021-01-18 00:00:00")</f>
        <v>2021-01-18 00:00:00</v>
      </c>
      <c r="CG1" s="1" t="str">
        <f ca="1">IFERROR(__xludf.DUMMYFUNCTION("""COMPUTED_VALUE"""),"2021-01-17 00:00:00")</f>
        <v>2021-01-17 00:00:00</v>
      </c>
      <c r="CH1" s="1" t="str">
        <f ca="1">IFERROR(__xludf.DUMMYFUNCTION("""COMPUTED_VALUE"""),"2021-01-16 00:00:00")</f>
        <v>2021-01-16 00:00:00</v>
      </c>
      <c r="CI1" s="1" t="str">
        <f ca="1">IFERROR(__xludf.DUMMYFUNCTION("""COMPUTED_VALUE"""),"2021-01-15 00:00:00")</f>
        <v>2021-01-15 00:00:00</v>
      </c>
      <c r="CJ1" s="1" t="str">
        <f ca="1">IFERROR(__xludf.DUMMYFUNCTION("""COMPUTED_VALUE"""),"2021-01-14 00:00:00")</f>
        <v>2021-01-14 00:00:00</v>
      </c>
      <c r="CK1" s="1" t="str">
        <f ca="1">IFERROR(__xludf.DUMMYFUNCTION("""COMPUTED_VALUE"""),"2021-01-13 00:00:00")</f>
        <v>2021-01-13 00:00:00</v>
      </c>
      <c r="CL1" s="1" t="str">
        <f ca="1">IFERROR(__xludf.DUMMYFUNCTION("""COMPUTED_VALUE"""),"2021-01-12 00:00:00")</f>
        <v>2021-01-12 00:00:00</v>
      </c>
      <c r="CM1" s="1" t="str">
        <f ca="1">IFERROR(__xludf.DUMMYFUNCTION("""COMPUTED_VALUE"""),"2021-01-11 00:00:00")</f>
        <v>2021-01-11 00:00:00</v>
      </c>
      <c r="CN1" s="1" t="str">
        <f ca="1">IFERROR(__xludf.DUMMYFUNCTION("""COMPUTED_VALUE"""),"2021-01-10 00:00:00")</f>
        <v>2021-01-10 00:00:00</v>
      </c>
      <c r="CO1" s="1" t="str">
        <f ca="1">IFERROR(__xludf.DUMMYFUNCTION("""COMPUTED_VALUE"""),"2021-01-09 00:00:00")</f>
        <v>2021-01-09 00:00:00</v>
      </c>
      <c r="CP1" s="1" t="str">
        <f ca="1">IFERROR(__xludf.DUMMYFUNCTION("""COMPUTED_VALUE"""),"2021-01-08 00:00:00")</f>
        <v>2021-01-08 00:00:00</v>
      </c>
      <c r="CQ1" s="1" t="str">
        <f ca="1">IFERROR(__xludf.DUMMYFUNCTION("""COMPUTED_VALUE"""),"2021-01-07 00:00:00")</f>
        <v>2021-01-07 00:00:00</v>
      </c>
      <c r="CR1" s="1" t="str">
        <f ca="1">IFERROR(__xludf.DUMMYFUNCTION("""COMPUTED_VALUE"""),"2021-01-06 00:00:00")</f>
        <v>2021-01-06 00:00:00</v>
      </c>
      <c r="CS1" s="1" t="str">
        <f ca="1">IFERROR(__xludf.DUMMYFUNCTION("""COMPUTED_VALUE"""),"2021-01-05 00:00:00")</f>
        <v>2021-01-05 00:00:00</v>
      </c>
      <c r="CT1" s="1" t="str">
        <f ca="1">IFERROR(__xludf.DUMMYFUNCTION("""COMPUTED_VALUE"""),"2021-01-04 00:00:00")</f>
        <v>2021-01-04 00:00:00</v>
      </c>
      <c r="CU1" s="1" t="str">
        <f ca="1">IFERROR(__xludf.DUMMYFUNCTION("""COMPUTED_VALUE"""),"2021-01-03 00:00:00")</f>
        <v>2021-01-03 00:00:00</v>
      </c>
      <c r="CV1" s="1" t="str">
        <f ca="1">IFERROR(__xludf.DUMMYFUNCTION("""COMPUTED_VALUE"""),"2021-01-02 00:00:00")</f>
        <v>2021-01-02 00:00:00</v>
      </c>
      <c r="CW1" s="1" t="str">
        <f ca="1">IFERROR(__xludf.DUMMYFUNCTION("""COMPUTED_VALUE"""),"2021-01-01 00:00:00")</f>
        <v>2021-01-01 00:00:00</v>
      </c>
      <c r="CX1" s="1" t="str">
        <f ca="1">IFERROR(__xludf.DUMMYFUNCTION("""COMPUTED_VALUE"""),"2020-12-31 00:00:00")</f>
        <v>2020-12-31 00:00:00</v>
      </c>
      <c r="CY1" s="1" t="str">
        <f ca="1">IFERROR(__xludf.DUMMYFUNCTION("""COMPUTED_VALUE"""),"2020-12-30 00:00:00")</f>
        <v>2020-12-30 00:00:00</v>
      </c>
      <c r="CZ1" s="1" t="str">
        <f ca="1">IFERROR(__xludf.DUMMYFUNCTION("""COMPUTED_VALUE"""),"2020-12-29 00:00:00")</f>
        <v>2020-12-29 00:00:00</v>
      </c>
      <c r="DA1" s="1" t="str">
        <f ca="1">IFERROR(__xludf.DUMMYFUNCTION("""COMPUTED_VALUE"""),"2020-12-28 00:00:00")</f>
        <v>2020-12-28 00:00:00</v>
      </c>
      <c r="DB1" s="1" t="str">
        <f ca="1">IFERROR(__xludf.DUMMYFUNCTION("""COMPUTED_VALUE"""),"2020-12-27 00:00:00")</f>
        <v>2020-12-27 00:00:00</v>
      </c>
      <c r="DC1" s="1" t="str">
        <f ca="1">IFERROR(__xludf.DUMMYFUNCTION("""COMPUTED_VALUE"""),"2020-12-26 00:00:00")</f>
        <v>2020-12-26 00:00:00</v>
      </c>
      <c r="DD1" s="1" t="str">
        <f ca="1">IFERROR(__xludf.DUMMYFUNCTION("""COMPUTED_VALUE"""),"2020-12-25 00:00:00")</f>
        <v>2020-12-25 00:00:00</v>
      </c>
      <c r="DE1" s="1" t="str">
        <f ca="1">IFERROR(__xludf.DUMMYFUNCTION("""COMPUTED_VALUE"""),"2020-12-24 00:00:00")</f>
        <v>2020-12-24 00:00:00</v>
      </c>
      <c r="DF1" s="1" t="str">
        <f ca="1">IFERROR(__xludf.DUMMYFUNCTION("""COMPUTED_VALUE"""),"2020-12-23 00:00:00")</f>
        <v>2020-12-23 00:00:00</v>
      </c>
      <c r="DG1" s="1" t="str">
        <f ca="1">IFERROR(__xludf.DUMMYFUNCTION("""COMPUTED_VALUE"""),"2020-12-22 00:00:00")</f>
        <v>2020-12-22 00:00:00</v>
      </c>
      <c r="DH1" s="1" t="str">
        <f ca="1">IFERROR(__xludf.DUMMYFUNCTION("""COMPUTED_VALUE"""),"2020-12-21 00:00:00")</f>
        <v>2020-12-21 00:00:00</v>
      </c>
      <c r="DI1" s="1" t="str">
        <f ca="1">IFERROR(__xludf.DUMMYFUNCTION("""COMPUTED_VALUE"""),"2020-12-20 00:00:00")</f>
        <v>2020-12-20 00:00:00</v>
      </c>
      <c r="DJ1" s="1" t="str">
        <f ca="1">IFERROR(__xludf.DUMMYFUNCTION("""COMPUTED_VALUE"""),"2020-12-19 00:00:00")</f>
        <v>2020-12-19 00:00:00</v>
      </c>
      <c r="DK1" s="1" t="str">
        <f ca="1">IFERROR(__xludf.DUMMYFUNCTION("""COMPUTED_VALUE"""),"2020-12-18 00:00:00")</f>
        <v>2020-12-18 00:00:00</v>
      </c>
      <c r="DL1" s="1" t="str">
        <f ca="1">IFERROR(__xludf.DUMMYFUNCTION("""COMPUTED_VALUE"""),"2020-12-17 00:00:00")</f>
        <v>2020-12-17 00:00:00</v>
      </c>
      <c r="DM1" s="1" t="str">
        <f ca="1">IFERROR(__xludf.DUMMYFUNCTION("""COMPUTED_VALUE"""),"2020-12-16 00:00:00")</f>
        <v>2020-12-16 00:00:00</v>
      </c>
      <c r="DN1" s="1" t="str">
        <f ca="1">IFERROR(__xludf.DUMMYFUNCTION("""COMPUTED_VALUE"""),"2020-12-15 00:00:00")</f>
        <v>2020-12-15 00:00:00</v>
      </c>
      <c r="DO1" s="1" t="str">
        <f ca="1">IFERROR(__xludf.DUMMYFUNCTION("""COMPUTED_VALUE"""),"2020-12-14 00:00:00")</f>
        <v>2020-12-14 00:00:00</v>
      </c>
      <c r="DP1" s="1" t="str">
        <f ca="1">IFERROR(__xludf.DUMMYFUNCTION("""COMPUTED_VALUE"""),"2020-12-13 00:00:00")</f>
        <v>2020-12-13 00:00:00</v>
      </c>
      <c r="DQ1" s="1" t="str">
        <f ca="1">IFERROR(__xludf.DUMMYFUNCTION("""COMPUTED_VALUE"""),"2020-12-12 00:00:00")</f>
        <v>2020-12-12 00:00:00</v>
      </c>
      <c r="DR1" s="1" t="str">
        <f ca="1">IFERROR(__xludf.DUMMYFUNCTION("""COMPUTED_VALUE"""),"2020-12-11 00:00:00")</f>
        <v>2020-12-11 00:00:00</v>
      </c>
      <c r="DS1" s="1" t="str">
        <f ca="1">IFERROR(__xludf.DUMMYFUNCTION("""COMPUTED_VALUE"""),"2020-12-10 00:00:00")</f>
        <v>2020-12-10 00:00:00</v>
      </c>
      <c r="DT1" s="1" t="str">
        <f ca="1">IFERROR(__xludf.DUMMYFUNCTION("""COMPUTED_VALUE"""),"2020-12-09 00:00:00")</f>
        <v>2020-12-09 00:00:00</v>
      </c>
      <c r="DU1" s="1" t="str">
        <f ca="1">IFERROR(__xludf.DUMMYFUNCTION("""COMPUTED_VALUE"""),"2020-12-08 00:00:00")</f>
        <v>2020-12-08 00:00:00</v>
      </c>
      <c r="DV1" s="1" t="str">
        <f ca="1">IFERROR(__xludf.DUMMYFUNCTION("""COMPUTED_VALUE"""),"2020-12-07 00:00:00")</f>
        <v>2020-12-07 00:00:00</v>
      </c>
      <c r="DW1" s="1" t="str">
        <f ca="1">IFERROR(__xludf.DUMMYFUNCTION("""COMPUTED_VALUE"""),"2020-12-06 00:00:00")</f>
        <v>2020-12-06 00:00:00</v>
      </c>
      <c r="DX1" s="1" t="str">
        <f ca="1">IFERROR(__xludf.DUMMYFUNCTION("""COMPUTED_VALUE"""),"2020-12-05 00:00:00")</f>
        <v>2020-12-05 00:00:00</v>
      </c>
      <c r="DY1" s="1" t="str">
        <f ca="1">IFERROR(__xludf.DUMMYFUNCTION("""COMPUTED_VALUE"""),"2020-12-04 00:00:00")</f>
        <v>2020-12-04 00:00:00</v>
      </c>
      <c r="DZ1" s="1" t="str">
        <f ca="1">IFERROR(__xludf.DUMMYFUNCTION("""COMPUTED_VALUE"""),"2020-12-03 00:00:00")</f>
        <v>2020-12-03 00:00:00</v>
      </c>
      <c r="EA1" s="1" t="str">
        <f ca="1">IFERROR(__xludf.DUMMYFUNCTION("""COMPUTED_VALUE"""),"2020-12-02 00:00:00")</f>
        <v>2020-12-02 00:00:00</v>
      </c>
      <c r="EB1" s="1" t="str">
        <f ca="1">IFERROR(__xludf.DUMMYFUNCTION("""COMPUTED_VALUE"""),"2020-12-01 00:00:00")</f>
        <v>2020-12-01 00:00:00</v>
      </c>
      <c r="EC1" s="1" t="str">
        <f ca="1">IFERROR(__xludf.DUMMYFUNCTION("""COMPUTED_VALUE"""),"2020-11-30 00:00:00")</f>
        <v>2020-11-30 00:00:00</v>
      </c>
      <c r="ED1" s="1" t="str">
        <f ca="1">IFERROR(__xludf.DUMMYFUNCTION("""COMPUTED_VALUE"""),"2020-11-29 00:00:00")</f>
        <v>2020-11-29 00:00:00</v>
      </c>
      <c r="EE1" s="1" t="str">
        <f ca="1">IFERROR(__xludf.DUMMYFUNCTION("""COMPUTED_VALUE"""),"2020-11-28 00:00:00")</f>
        <v>2020-11-28 00:00:00</v>
      </c>
      <c r="EF1" s="1" t="str">
        <f ca="1">IFERROR(__xludf.DUMMYFUNCTION("""COMPUTED_VALUE"""),"2020-11-27 00:00:00")</f>
        <v>2020-11-27 00:00:00</v>
      </c>
      <c r="EG1" s="1" t="str">
        <f ca="1">IFERROR(__xludf.DUMMYFUNCTION("""COMPUTED_VALUE"""),"2020-11-26 00:00:00")</f>
        <v>2020-11-26 00:00:00</v>
      </c>
      <c r="EH1" s="1" t="str">
        <f ca="1">IFERROR(__xludf.DUMMYFUNCTION("""COMPUTED_VALUE"""),"2020-11-25 00:00:00")</f>
        <v>2020-11-25 00:00:00</v>
      </c>
      <c r="EI1" s="1" t="str">
        <f ca="1">IFERROR(__xludf.DUMMYFUNCTION("""COMPUTED_VALUE"""),"2020-11-24 00:00:00")</f>
        <v>2020-11-24 00:00:00</v>
      </c>
      <c r="EJ1" s="1" t="str">
        <f ca="1">IFERROR(__xludf.DUMMYFUNCTION("""COMPUTED_VALUE"""),"2020-11-23 00:00:00")</f>
        <v>2020-11-23 00:00:00</v>
      </c>
      <c r="EK1" s="1" t="str">
        <f ca="1">IFERROR(__xludf.DUMMYFUNCTION("""COMPUTED_VALUE"""),"2020-11-22 00:00:00")</f>
        <v>2020-11-22 00:00:00</v>
      </c>
      <c r="EL1" s="1" t="str">
        <f ca="1">IFERROR(__xludf.DUMMYFUNCTION("""COMPUTED_VALUE"""),"2020-11-21 00:00:00")</f>
        <v>2020-11-21 00:00:00</v>
      </c>
      <c r="EM1" s="1" t="str">
        <f ca="1">IFERROR(__xludf.DUMMYFUNCTION("""COMPUTED_VALUE"""),"2020-11-20 00:00:00")</f>
        <v>2020-11-20 00:00:00</v>
      </c>
      <c r="EN1" s="1" t="str">
        <f ca="1">IFERROR(__xludf.DUMMYFUNCTION("""COMPUTED_VALUE"""),"2020-11-19 00:00:00")</f>
        <v>2020-11-19 00:00:00</v>
      </c>
      <c r="EO1" s="1" t="str">
        <f ca="1">IFERROR(__xludf.DUMMYFUNCTION("""COMPUTED_VALUE"""),"2020-11-18 00:00:00")</f>
        <v>2020-11-18 00:00:00</v>
      </c>
      <c r="EP1" s="1" t="str">
        <f ca="1">IFERROR(__xludf.DUMMYFUNCTION("""COMPUTED_VALUE"""),"2020-11-17 00:00:00")</f>
        <v>2020-11-17 00:00:00</v>
      </c>
      <c r="EQ1" s="1" t="str">
        <f ca="1">IFERROR(__xludf.DUMMYFUNCTION("""COMPUTED_VALUE"""),"2020-11-16 00:00:00")</f>
        <v>2020-11-16 00:00:00</v>
      </c>
      <c r="ER1" s="1" t="str">
        <f ca="1">IFERROR(__xludf.DUMMYFUNCTION("""COMPUTED_VALUE"""),"2020-11-15 00:00:00")</f>
        <v>2020-11-15 00:00:00</v>
      </c>
      <c r="ES1" s="1" t="str">
        <f ca="1">IFERROR(__xludf.DUMMYFUNCTION("""COMPUTED_VALUE"""),"2020-11-14 00:00:00")</f>
        <v>2020-11-14 00:00:00</v>
      </c>
      <c r="ET1" s="1" t="str">
        <f ca="1">IFERROR(__xludf.DUMMYFUNCTION("""COMPUTED_VALUE"""),"2020-11-13 00:00:00")</f>
        <v>2020-11-13 00:00:00</v>
      </c>
      <c r="EU1" s="1" t="str">
        <f ca="1">IFERROR(__xludf.DUMMYFUNCTION("""COMPUTED_VALUE"""),"2020-11-12 00:00:00")</f>
        <v>2020-11-12 00:00:00</v>
      </c>
      <c r="EV1" s="1" t="str">
        <f ca="1">IFERROR(__xludf.DUMMYFUNCTION("""COMPUTED_VALUE"""),"2020-11-11 00:00:00")</f>
        <v>2020-11-11 00:00:00</v>
      </c>
      <c r="EW1" s="1" t="str">
        <f ca="1">IFERROR(__xludf.DUMMYFUNCTION("""COMPUTED_VALUE"""),"2020-11-10 00:00:00")</f>
        <v>2020-11-10 00:00:00</v>
      </c>
      <c r="EX1" s="1" t="str">
        <f ca="1">IFERROR(__xludf.DUMMYFUNCTION("""COMPUTED_VALUE"""),"2020-11-09 00:00:00")</f>
        <v>2020-11-09 00:00:00</v>
      </c>
      <c r="EY1" s="1" t="str">
        <f ca="1">IFERROR(__xludf.DUMMYFUNCTION("""COMPUTED_VALUE"""),"2020-11-08 00:00:00")</f>
        <v>2020-11-08 00:00:00</v>
      </c>
      <c r="EZ1" s="1" t="str">
        <f ca="1">IFERROR(__xludf.DUMMYFUNCTION("""COMPUTED_VALUE"""),"2020-11-07 00:00:00")</f>
        <v>2020-11-07 00:00:00</v>
      </c>
      <c r="FA1" s="1" t="str">
        <f ca="1">IFERROR(__xludf.DUMMYFUNCTION("""COMPUTED_VALUE"""),"2020-11-06 00:00:00")</f>
        <v>2020-11-06 00:00:00</v>
      </c>
      <c r="FB1" s="1" t="str">
        <f ca="1">IFERROR(__xludf.DUMMYFUNCTION("""COMPUTED_VALUE"""),"2020-11-05 00:00:00")</f>
        <v>2020-11-05 00:00:00</v>
      </c>
      <c r="FC1" s="1" t="str">
        <f ca="1">IFERROR(__xludf.DUMMYFUNCTION("""COMPUTED_VALUE"""),"2020-11-04 00:00:00")</f>
        <v>2020-11-04 00:00:00</v>
      </c>
      <c r="FD1" s="1" t="str">
        <f ca="1">IFERROR(__xludf.DUMMYFUNCTION("""COMPUTED_VALUE"""),"2020-11-03 00:00:00")</f>
        <v>2020-11-03 00:00:00</v>
      </c>
      <c r="FE1" s="1" t="str">
        <f ca="1">IFERROR(__xludf.DUMMYFUNCTION("""COMPUTED_VALUE"""),"2020-11-02 00:00:00")</f>
        <v>2020-11-02 00:00:00</v>
      </c>
      <c r="FF1" s="1" t="str">
        <f ca="1">IFERROR(__xludf.DUMMYFUNCTION("""COMPUTED_VALUE"""),"2020-11-01 00:00:00")</f>
        <v>2020-11-01 00:00:00</v>
      </c>
      <c r="FG1" s="1" t="str">
        <f ca="1">IFERROR(__xludf.DUMMYFUNCTION("""COMPUTED_VALUE"""),"2020-10-31 00:00:00")</f>
        <v>2020-10-31 00:00:00</v>
      </c>
      <c r="FH1" s="1" t="str">
        <f ca="1">IFERROR(__xludf.DUMMYFUNCTION("""COMPUTED_VALUE"""),"2020-10-30 00:00:00")</f>
        <v>2020-10-30 00:00:00</v>
      </c>
      <c r="FI1" s="1" t="str">
        <f ca="1">IFERROR(__xludf.DUMMYFUNCTION("""COMPUTED_VALUE"""),"2020-10-29 00:00:00")</f>
        <v>2020-10-29 00:00:00</v>
      </c>
      <c r="FJ1" s="1" t="str">
        <f ca="1">IFERROR(__xludf.DUMMYFUNCTION("""COMPUTED_VALUE"""),"2020-10-28 00:00:00")</f>
        <v>2020-10-28 00:00:00</v>
      </c>
      <c r="FK1" s="1" t="str">
        <f ca="1">IFERROR(__xludf.DUMMYFUNCTION("""COMPUTED_VALUE"""),"2020-10-27 00:00:00")</f>
        <v>2020-10-27 00:00:00</v>
      </c>
      <c r="FL1" s="1" t="str">
        <f ca="1">IFERROR(__xludf.DUMMYFUNCTION("""COMPUTED_VALUE"""),"2020-10-26 00:00:00")</f>
        <v>2020-10-26 00:00:00</v>
      </c>
      <c r="FM1" s="1" t="str">
        <f ca="1">IFERROR(__xludf.DUMMYFUNCTION("""COMPUTED_VALUE"""),"2020-10-25 00:00:00")</f>
        <v>2020-10-25 00:00:00</v>
      </c>
      <c r="FN1" s="1" t="str">
        <f ca="1">IFERROR(__xludf.DUMMYFUNCTION("""COMPUTED_VALUE"""),"2020-10-24 00:00:00")</f>
        <v>2020-10-24 00:00:00</v>
      </c>
      <c r="FO1" s="1" t="str">
        <f ca="1">IFERROR(__xludf.DUMMYFUNCTION("""COMPUTED_VALUE"""),"2020-10-23 00:00:00")</f>
        <v>2020-10-23 00:00:00</v>
      </c>
      <c r="FP1" s="1" t="str">
        <f ca="1">IFERROR(__xludf.DUMMYFUNCTION("""COMPUTED_VALUE"""),"2020-10-22 00:00:00")</f>
        <v>2020-10-22 00:00:00</v>
      </c>
      <c r="FQ1" s="1" t="str">
        <f ca="1">IFERROR(__xludf.DUMMYFUNCTION("""COMPUTED_VALUE"""),"2020-10-21 00:00:00")</f>
        <v>2020-10-21 00:00:00</v>
      </c>
      <c r="FR1" s="1" t="str">
        <f ca="1">IFERROR(__xludf.DUMMYFUNCTION("""COMPUTED_VALUE"""),"2020-10-20 00:00:00")</f>
        <v>2020-10-20 00:00:00</v>
      </c>
      <c r="FS1" s="1" t="str">
        <f ca="1">IFERROR(__xludf.DUMMYFUNCTION("""COMPUTED_VALUE"""),"2020-10-19 00:00:00")</f>
        <v>2020-10-19 00:00:00</v>
      </c>
      <c r="FT1" s="1" t="str">
        <f ca="1">IFERROR(__xludf.DUMMYFUNCTION("""COMPUTED_VALUE"""),"2020-10-18 00:00:00")</f>
        <v>2020-10-18 00:00:00</v>
      </c>
      <c r="FU1" s="1" t="str">
        <f ca="1">IFERROR(__xludf.DUMMYFUNCTION("""COMPUTED_VALUE"""),"2020-10-17 00:00:00")</f>
        <v>2020-10-17 00:00:00</v>
      </c>
      <c r="FV1" s="1" t="str">
        <f ca="1">IFERROR(__xludf.DUMMYFUNCTION("""COMPUTED_VALUE"""),"2020-10-16 00:00:00")</f>
        <v>2020-10-16 00:00:00</v>
      </c>
      <c r="FW1" s="1" t="str">
        <f ca="1">IFERROR(__xludf.DUMMYFUNCTION("""COMPUTED_VALUE"""),"2020-10-15 00:00:00")</f>
        <v>2020-10-15 00:00:00</v>
      </c>
      <c r="FX1" s="1" t="str">
        <f ca="1">IFERROR(__xludf.DUMMYFUNCTION("""COMPUTED_VALUE"""),"2020-10-14 00:00:00")</f>
        <v>2020-10-14 00:00:00</v>
      </c>
      <c r="FY1" s="1" t="str">
        <f ca="1">IFERROR(__xludf.DUMMYFUNCTION("""COMPUTED_VALUE"""),"2020-10-13 00:00:00")</f>
        <v>2020-10-13 00:00:00</v>
      </c>
      <c r="FZ1" s="1" t="str">
        <f ca="1">IFERROR(__xludf.DUMMYFUNCTION("""COMPUTED_VALUE"""),"2020-10-12 00:00:00")</f>
        <v>2020-10-12 00:00:00</v>
      </c>
      <c r="GA1" s="1" t="str">
        <f ca="1">IFERROR(__xludf.DUMMYFUNCTION("""COMPUTED_VALUE"""),"2020-10-11 00:00:00")</f>
        <v>2020-10-11 00:00:00</v>
      </c>
      <c r="GB1" s="1" t="str">
        <f ca="1">IFERROR(__xludf.DUMMYFUNCTION("""COMPUTED_VALUE"""),"2020-10-10 00:00:00")</f>
        <v>2020-10-10 00:00:00</v>
      </c>
      <c r="GC1" s="1" t="str">
        <f ca="1">IFERROR(__xludf.DUMMYFUNCTION("""COMPUTED_VALUE"""),"2020-10-09 00:00:00")</f>
        <v>2020-10-09 00:00:00</v>
      </c>
      <c r="GD1" s="1" t="str">
        <f ca="1">IFERROR(__xludf.DUMMYFUNCTION("""COMPUTED_VALUE"""),"2020-10-08 00:00:00")</f>
        <v>2020-10-08 00:00:00</v>
      </c>
      <c r="GE1" s="1" t="str">
        <f ca="1">IFERROR(__xludf.DUMMYFUNCTION("""COMPUTED_VALUE"""),"2020-10-07 00:00:00")</f>
        <v>2020-10-07 00:00:00</v>
      </c>
      <c r="GF1" s="1" t="str">
        <f ca="1">IFERROR(__xludf.DUMMYFUNCTION("""COMPUTED_VALUE"""),"2020-10-06 00:00:00")</f>
        <v>2020-10-06 00:00:00</v>
      </c>
      <c r="GG1" s="1" t="str">
        <f ca="1">IFERROR(__xludf.DUMMYFUNCTION("""COMPUTED_VALUE"""),"2020-10-05 00:00:00")</f>
        <v>2020-10-05 00:00:00</v>
      </c>
      <c r="GH1" s="1" t="str">
        <f ca="1">IFERROR(__xludf.DUMMYFUNCTION("""COMPUTED_VALUE"""),"2020-10-04 00:00:00")</f>
        <v>2020-10-04 00:00:00</v>
      </c>
      <c r="GI1" s="1" t="str">
        <f ca="1">IFERROR(__xludf.DUMMYFUNCTION("""COMPUTED_VALUE"""),"2020-10-03 00:00:00")</f>
        <v>2020-10-03 00:00:00</v>
      </c>
      <c r="GJ1" s="1" t="str">
        <f ca="1">IFERROR(__xludf.DUMMYFUNCTION("""COMPUTED_VALUE"""),"2020-10-02 00:00:00")</f>
        <v>2020-10-02 00:00:00</v>
      </c>
      <c r="GK1" s="1" t="str">
        <f ca="1">IFERROR(__xludf.DUMMYFUNCTION("""COMPUTED_VALUE"""),"2020-10-01 00:00:00")</f>
        <v>2020-10-01 00:00:00</v>
      </c>
      <c r="GL1" s="1" t="str">
        <f ca="1">IFERROR(__xludf.DUMMYFUNCTION("""COMPUTED_VALUE"""),"2020-09-30 00:00:00")</f>
        <v>2020-09-30 00:00:00</v>
      </c>
      <c r="GM1" s="1" t="str">
        <f ca="1">IFERROR(__xludf.DUMMYFUNCTION("""COMPUTED_VALUE"""),"2020-09-29 00:00:00")</f>
        <v>2020-09-29 00:00:00</v>
      </c>
      <c r="GN1" s="1" t="str">
        <f ca="1">IFERROR(__xludf.DUMMYFUNCTION("""COMPUTED_VALUE"""),"2020-09-28 00:00:00")</f>
        <v>2020-09-28 00:00:00</v>
      </c>
      <c r="GO1" s="1" t="str">
        <f ca="1">IFERROR(__xludf.DUMMYFUNCTION("""COMPUTED_VALUE"""),"2020-09-27 00:00:00")</f>
        <v>2020-09-27 00:00:00</v>
      </c>
      <c r="GP1" s="1" t="str">
        <f ca="1">IFERROR(__xludf.DUMMYFUNCTION("""COMPUTED_VALUE"""),"2020-09-26 00:00:00")</f>
        <v>2020-09-26 00:00:00</v>
      </c>
      <c r="GQ1" s="1" t="str">
        <f ca="1">IFERROR(__xludf.DUMMYFUNCTION("""COMPUTED_VALUE"""),"2020-09-25 00:00:00")</f>
        <v>2020-09-25 00:00:00</v>
      </c>
      <c r="GR1" s="1" t="str">
        <f ca="1">IFERROR(__xludf.DUMMYFUNCTION("""COMPUTED_VALUE"""),"2020-09-24 00:00:00")</f>
        <v>2020-09-24 00:00:00</v>
      </c>
      <c r="GS1" s="1" t="str">
        <f ca="1">IFERROR(__xludf.DUMMYFUNCTION("""COMPUTED_VALUE"""),"2020-09-23 00:00:00")</f>
        <v>2020-09-23 00:00:00</v>
      </c>
      <c r="GT1" s="1" t="str">
        <f ca="1">IFERROR(__xludf.DUMMYFUNCTION("""COMPUTED_VALUE"""),"2020-09-22 00:00:00")</f>
        <v>2020-09-22 00:00:00</v>
      </c>
      <c r="GU1" s="1" t="str">
        <f ca="1">IFERROR(__xludf.DUMMYFUNCTION("""COMPUTED_VALUE"""),"2020-09-21 00:00:00")</f>
        <v>2020-09-21 00:00:00</v>
      </c>
      <c r="GV1" s="1" t="str">
        <f ca="1">IFERROR(__xludf.DUMMYFUNCTION("""COMPUTED_VALUE"""),"2020-09-20 00:00:00")</f>
        <v>2020-09-20 00:00:00</v>
      </c>
      <c r="GW1" s="1" t="str">
        <f ca="1">IFERROR(__xludf.DUMMYFUNCTION("""COMPUTED_VALUE"""),"2020-09-19 00:00:00")</f>
        <v>2020-09-19 00:00:00</v>
      </c>
      <c r="GX1" s="1" t="str">
        <f ca="1">IFERROR(__xludf.DUMMYFUNCTION("""COMPUTED_VALUE"""),"2020-09-18 00:00:00")</f>
        <v>2020-09-18 00:00:00</v>
      </c>
      <c r="GY1" s="1" t="str">
        <f ca="1">IFERROR(__xludf.DUMMYFUNCTION("""COMPUTED_VALUE"""),"2020-09-17 00:00:00")</f>
        <v>2020-09-17 00:00:00</v>
      </c>
      <c r="GZ1" s="1" t="str">
        <f ca="1">IFERROR(__xludf.DUMMYFUNCTION("""COMPUTED_VALUE"""),"2020-09-16 00:00:00")</f>
        <v>2020-09-16 00:00:00</v>
      </c>
      <c r="HA1" s="1" t="str">
        <f ca="1">IFERROR(__xludf.DUMMYFUNCTION("""COMPUTED_VALUE"""),"2020-09-15 00:00:00")</f>
        <v>2020-09-15 00:00:00</v>
      </c>
      <c r="HB1" s="1" t="str">
        <f ca="1">IFERROR(__xludf.DUMMYFUNCTION("""COMPUTED_VALUE"""),"2020-09-14 00:00:00")</f>
        <v>2020-09-14 00:00:00</v>
      </c>
      <c r="HC1" s="1" t="str">
        <f ca="1">IFERROR(__xludf.DUMMYFUNCTION("""COMPUTED_VALUE"""),"2020-09-13 00:00:00")</f>
        <v>2020-09-13 00:00:00</v>
      </c>
      <c r="HD1" s="1" t="str">
        <f ca="1">IFERROR(__xludf.DUMMYFUNCTION("""COMPUTED_VALUE"""),"2020-09-12 00:00:00")</f>
        <v>2020-09-12 00:00:00</v>
      </c>
      <c r="HE1" s="1" t="str">
        <f ca="1">IFERROR(__xludf.DUMMYFUNCTION("""COMPUTED_VALUE"""),"2020-09-11 00:00:00")</f>
        <v>2020-09-11 00:00:00</v>
      </c>
      <c r="HF1" s="1" t="str">
        <f ca="1">IFERROR(__xludf.DUMMYFUNCTION("""COMPUTED_VALUE"""),"2020-09-10 00:00:00")</f>
        <v>2020-09-10 00:00:00</v>
      </c>
      <c r="HG1" s="1" t="str">
        <f ca="1">IFERROR(__xludf.DUMMYFUNCTION("""COMPUTED_VALUE"""),"2020-09-09 00:00:00")</f>
        <v>2020-09-09 00:00:00</v>
      </c>
      <c r="HH1" s="1" t="str">
        <f ca="1">IFERROR(__xludf.DUMMYFUNCTION("""COMPUTED_VALUE"""),"2020-09-08 00:00:00")</f>
        <v>2020-09-08 00:00:00</v>
      </c>
      <c r="HI1" s="1" t="str">
        <f ca="1">IFERROR(__xludf.DUMMYFUNCTION("""COMPUTED_VALUE"""),"2020-09-07 00:00:00")</f>
        <v>2020-09-07 00:00:00</v>
      </c>
      <c r="HJ1" s="1" t="str">
        <f ca="1">IFERROR(__xludf.DUMMYFUNCTION("""COMPUTED_VALUE"""),"2020-09-06 00:00:00")</f>
        <v>2020-09-06 00:00:00</v>
      </c>
      <c r="HK1" s="1" t="str">
        <f ca="1">IFERROR(__xludf.DUMMYFUNCTION("""COMPUTED_VALUE"""),"2020-09-05 00:00:00")</f>
        <v>2020-09-05 00:00:00</v>
      </c>
      <c r="HL1" s="1" t="str">
        <f ca="1">IFERROR(__xludf.DUMMYFUNCTION("""COMPUTED_VALUE"""),"2020-09-04 00:00:00")</f>
        <v>2020-09-04 00:00:00</v>
      </c>
      <c r="HM1" s="1" t="str">
        <f ca="1">IFERROR(__xludf.DUMMYFUNCTION("""COMPUTED_VALUE"""),"2020-09-03 00:00:00")</f>
        <v>2020-09-03 00:00:00</v>
      </c>
      <c r="HN1" s="1" t="str">
        <f ca="1">IFERROR(__xludf.DUMMYFUNCTION("""COMPUTED_VALUE"""),"2020-09-02 00:00:00")</f>
        <v>2020-09-02 00:00:00</v>
      </c>
      <c r="HO1" s="1" t="str">
        <f ca="1">IFERROR(__xludf.DUMMYFUNCTION("""COMPUTED_VALUE"""),"2020-09-01 00:00:00")</f>
        <v>2020-09-01 00:00:00</v>
      </c>
      <c r="HP1" s="1" t="str">
        <f ca="1">IFERROR(__xludf.DUMMYFUNCTION("""COMPUTED_VALUE"""),"2020-08-31 00:00:00")</f>
        <v>2020-08-31 00:00:00</v>
      </c>
      <c r="HQ1" s="1" t="str">
        <f ca="1">IFERROR(__xludf.DUMMYFUNCTION("""COMPUTED_VALUE"""),"2020-08-30 00:00:00")</f>
        <v>2020-08-30 00:00:00</v>
      </c>
      <c r="HR1" s="1" t="str">
        <f ca="1">IFERROR(__xludf.DUMMYFUNCTION("""COMPUTED_VALUE"""),"2020-08-29 00:00:00")</f>
        <v>2020-08-29 00:00:00</v>
      </c>
      <c r="HS1" s="1" t="str">
        <f ca="1">IFERROR(__xludf.DUMMYFUNCTION("""COMPUTED_VALUE"""),"2020-08-28 00:00:00")</f>
        <v>2020-08-28 00:00:00</v>
      </c>
      <c r="HT1" s="1" t="str">
        <f ca="1">IFERROR(__xludf.DUMMYFUNCTION("""COMPUTED_VALUE"""),"2020-08-27 00:00:00")</f>
        <v>2020-08-27 00:00:00</v>
      </c>
      <c r="HU1" s="1" t="str">
        <f ca="1">IFERROR(__xludf.DUMMYFUNCTION("""COMPUTED_VALUE"""),"2020-08-26 00:00:00")</f>
        <v>2020-08-26 00:00:00</v>
      </c>
      <c r="HV1" s="1" t="str">
        <f ca="1">IFERROR(__xludf.DUMMYFUNCTION("""COMPUTED_VALUE"""),"2020-08-25 00:00:00")</f>
        <v>2020-08-25 00:00:00</v>
      </c>
      <c r="HW1" s="1" t="str">
        <f ca="1">IFERROR(__xludf.DUMMYFUNCTION("""COMPUTED_VALUE"""),"2020-08-24 00:00:00")</f>
        <v>2020-08-24 00:00:00</v>
      </c>
      <c r="HX1" s="1" t="str">
        <f ca="1">IFERROR(__xludf.DUMMYFUNCTION("""COMPUTED_VALUE"""),"2020-08-23 00:00:00")</f>
        <v>2020-08-23 00:00:00</v>
      </c>
      <c r="HY1" s="1" t="str">
        <f ca="1">IFERROR(__xludf.DUMMYFUNCTION("""COMPUTED_VALUE"""),"2020-08-22 00:00:00")</f>
        <v>2020-08-22 00:00:00</v>
      </c>
      <c r="HZ1" s="1" t="str">
        <f ca="1">IFERROR(__xludf.DUMMYFUNCTION("""COMPUTED_VALUE"""),"2020-08-21 00:00:00")</f>
        <v>2020-08-21 00:00:00</v>
      </c>
      <c r="IA1" s="1" t="str">
        <f ca="1">IFERROR(__xludf.DUMMYFUNCTION("""COMPUTED_VALUE"""),"2020-08-20 00:00:00")</f>
        <v>2020-08-20 00:00:00</v>
      </c>
      <c r="IB1" s="1" t="str">
        <f ca="1">IFERROR(__xludf.DUMMYFUNCTION("""COMPUTED_VALUE"""),"2020-08-19 00:00:00")</f>
        <v>2020-08-19 00:00:00</v>
      </c>
      <c r="IC1" s="1" t="str">
        <f ca="1">IFERROR(__xludf.DUMMYFUNCTION("""COMPUTED_VALUE"""),"2020-08-18 00:00:00")</f>
        <v>2020-08-18 00:00:00</v>
      </c>
      <c r="ID1" s="1" t="str">
        <f ca="1">IFERROR(__xludf.DUMMYFUNCTION("""COMPUTED_VALUE"""),"2020-08-17 00:00:00")</f>
        <v>2020-08-17 00:00:00</v>
      </c>
      <c r="IE1" s="1" t="str">
        <f ca="1">IFERROR(__xludf.DUMMYFUNCTION("""COMPUTED_VALUE"""),"2020-08-16 00:00:00")</f>
        <v>2020-08-16 00:00:00</v>
      </c>
      <c r="IF1" s="1" t="str">
        <f ca="1">IFERROR(__xludf.DUMMYFUNCTION("""COMPUTED_VALUE"""),"2020-08-15 00:00:00")</f>
        <v>2020-08-15 00:00:00</v>
      </c>
      <c r="IG1" s="1" t="str">
        <f ca="1">IFERROR(__xludf.DUMMYFUNCTION("""COMPUTED_VALUE"""),"2020-08-14 00:00:00")</f>
        <v>2020-08-14 00:00:00</v>
      </c>
      <c r="IH1" s="1" t="str">
        <f ca="1">IFERROR(__xludf.DUMMYFUNCTION("""COMPUTED_VALUE"""),"2020-08-13 00:00:00")</f>
        <v>2020-08-13 00:00:00</v>
      </c>
      <c r="II1" s="1" t="str">
        <f ca="1">IFERROR(__xludf.DUMMYFUNCTION("""COMPUTED_VALUE"""),"2020-08-12 00:00:00")</f>
        <v>2020-08-12 00:00:00</v>
      </c>
      <c r="IJ1" s="1" t="str">
        <f ca="1">IFERROR(__xludf.DUMMYFUNCTION("""COMPUTED_VALUE"""),"2020-08-11 00:00:00")</f>
        <v>2020-08-11 00:00:00</v>
      </c>
      <c r="IK1" s="1" t="str">
        <f ca="1">IFERROR(__xludf.DUMMYFUNCTION("""COMPUTED_VALUE"""),"2020-08-10 00:00:00")</f>
        <v>2020-08-10 00:00:00</v>
      </c>
      <c r="IL1" s="1" t="str">
        <f ca="1">IFERROR(__xludf.DUMMYFUNCTION("""COMPUTED_VALUE"""),"2020-08-09 00:00:00")</f>
        <v>2020-08-09 00:00:00</v>
      </c>
      <c r="IM1" s="1" t="str">
        <f ca="1">IFERROR(__xludf.DUMMYFUNCTION("""COMPUTED_VALUE"""),"2020-08-08 00:00:00")</f>
        <v>2020-08-08 00:00:00</v>
      </c>
      <c r="IN1" s="1" t="str">
        <f ca="1">IFERROR(__xludf.DUMMYFUNCTION("""COMPUTED_VALUE"""),"2020-08-07 00:00:00")</f>
        <v>2020-08-07 00:00:00</v>
      </c>
      <c r="IO1" s="1" t="str">
        <f ca="1">IFERROR(__xludf.DUMMYFUNCTION("""COMPUTED_VALUE"""),"2020-08-06 00:00:00")</f>
        <v>2020-08-06 00:00:00</v>
      </c>
      <c r="IP1" s="1" t="str">
        <f ca="1">IFERROR(__xludf.DUMMYFUNCTION("""COMPUTED_VALUE"""),"2020-08-05 00:00:00")</f>
        <v>2020-08-05 00:00:00</v>
      </c>
      <c r="IQ1" s="1" t="str">
        <f ca="1">IFERROR(__xludf.DUMMYFUNCTION("""COMPUTED_VALUE"""),"2020-08-04 00:00:00")</f>
        <v>2020-08-04 00:00:00</v>
      </c>
      <c r="IR1" s="1" t="str">
        <f ca="1">IFERROR(__xludf.DUMMYFUNCTION("""COMPUTED_VALUE"""),"2020-08-03 00:00:00")</f>
        <v>2020-08-03 00:00:00</v>
      </c>
      <c r="IS1" s="1" t="str">
        <f ca="1">IFERROR(__xludf.DUMMYFUNCTION("""COMPUTED_VALUE"""),"2020-08-02 00:00:00")</f>
        <v>2020-08-02 00:00:00</v>
      </c>
      <c r="IT1" s="1" t="str">
        <f ca="1">IFERROR(__xludf.DUMMYFUNCTION("""COMPUTED_VALUE"""),"2020-08-01 00:00:00")</f>
        <v>2020-08-01 00:00:00</v>
      </c>
      <c r="IU1" s="1" t="str">
        <f ca="1">IFERROR(__xludf.DUMMYFUNCTION("""COMPUTED_VALUE"""),"2020-07-31 00:00:00")</f>
        <v>2020-07-31 00:00:00</v>
      </c>
      <c r="IV1" s="1" t="str">
        <f ca="1">IFERROR(__xludf.DUMMYFUNCTION("""COMPUTED_VALUE"""),"2020-07-30 00:00:00")</f>
        <v>2020-07-30 00:00:00</v>
      </c>
      <c r="IW1" s="1" t="str">
        <f ca="1">IFERROR(__xludf.DUMMYFUNCTION("""COMPUTED_VALUE"""),"2020-07-29 00:00:00")</f>
        <v>2020-07-29 00:00:00</v>
      </c>
      <c r="IX1" s="1" t="str">
        <f ca="1">IFERROR(__xludf.DUMMYFUNCTION("""COMPUTED_VALUE"""),"2020-07-28 00:00:00")</f>
        <v>2020-07-28 00:00:00</v>
      </c>
      <c r="IY1" s="1" t="str">
        <f ca="1">IFERROR(__xludf.DUMMYFUNCTION("""COMPUTED_VALUE"""),"2020-07-27 00:00:00")</f>
        <v>2020-07-27 00:00:00</v>
      </c>
      <c r="IZ1" s="1" t="str">
        <f ca="1">IFERROR(__xludf.DUMMYFUNCTION("""COMPUTED_VALUE"""),"2020-07-26 00:00:00")</f>
        <v>2020-07-26 00:00:00</v>
      </c>
      <c r="JA1" s="1" t="str">
        <f ca="1">IFERROR(__xludf.DUMMYFUNCTION("""COMPUTED_VALUE"""),"2020-07-25 00:00:00")</f>
        <v>2020-07-25 00:00:00</v>
      </c>
      <c r="JB1" s="1" t="str">
        <f ca="1">IFERROR(__xludf.DUMMYFUNCTION("""COMPUTED_VALUE"""),"2020-07-24 00:00:00")</f>
        <v>2020-07-24 00:00:00</v>
      </c>
      <c r="JC1" s="1" t="str">
        <f ca="1">IFERROR(__xludf.DUMMYFUNCTION("""COMPUTED_VALUE"""),"2020-07-23 00:00:00")</f>
        <v>2020-07-23 00:00:00</v>
      </c>
      <c r="JD1" s="1" t="str">
        <f ca="1">IFERROR(__xludf.DUMMYFUNCTION("""COMPUTED_VALUE"""),"2020-07-22 00:00:00")</f>
        <v>2020-07-22 00:00:00</v>
      </c>
      <c r="JE1" s="1" t="str">
        <f ca="1">IFERROR(__xludf.DUMMYFUNCTION("""COMPUTED_VALUE"""),"2020-07-21 00:00:00")</f>
        <v>2020-07-21 00:00:00</v>
      </c>
      <c r="JF1" s="1" t="str">
        <f ca="1">IFERROR(__xludf.DUMMYFUNCTION("""COMPUTED_VALUE"""),"2020-07-20 00:00:00")</f>
        <v>2020-07-20 00:00:00</v>
      </c>
      <c r="JG1" s="1" t="str">
        <f ca="1">IFERROR(__xludf.DUMMYFUNCTION("""COMPUTED_VALUE"""),"2020-07-19 00:00:00")</f>
        <v>2020-07-19 00:00:00</v>
      </c>
      <c r="JH1" s="1" t="str">
        <f ca="1">IFERROR(__xludf.DUMMYFUNCTION("""COMPUTED_VALUE"""),"2020-07-18 00:00:00")</f>
        <v>2020-07-18 00:00:00</v>
      </c>
      <c r="JI1" s="1" t="str">
        <f ca="1">IFERROR(__xludf.DUMMYFUNCTION("""COMPUTED_VALUE"""),"2020-07-17 00:00:00")</f>
        <v>2020-07-17 00:00:00</v>
      </c>
      <c r="JJ1" s="1" t="str">
        <f ca="1">IFERROR(__xludf.DUMMYFUNCTION("""COMPUTED_VALUE"""),"2020-07-16 00:00:00")</f>
        <v>2020-07-16 00:00:00</v>
      </c>
      <c r="JK1" s="1" t="str">
        <f ca="1">IFERROR(__xludf.DUMMYFUNCTION("""COMPUTED_VALUE"""),"2020-07-15 00:00:00")</f>
        <v>2020-07-15 00:00:00</v>
      </c>
      <c r="JL1" s="1" t="str">
        <f ca="1">IFERROR(__xludf.DUMMYFUNCTION("""COMPUTED_VALUE"""),"2020-07-14 00:00:00")</f>
        <v>2020-07-14 00:00:00</v>
      </c>
      <c r="JM1" s="1" t="str">
        <f ca="1">IFERROR(__xludf.DUMMYFUNCTION("""COMPUTED_VALUE"""),"2020-07-13 00:00:00")</f>
        <v>2020-07-13 00:00:00</v>
      </c>
      <c r="JN1" s="1" t="str">
        <f ca="1">IFERROR(__xludf.DUMMYFUNCTION("""COMPUTED_VALUE"""),"2020-07-12 00:00:00")</f>
        <v>2020-07-12 00:00:00</v>
      </c>
      <c r="JO1" s="1" t="str">
        <f ca="1">IFERROR(__xludf.DUMMYFUNCTION("""COMPUTED_VALUE"""),"2020-07-11 00:00:00")</f>
        <v>2020-07-11 00:00:00</v>
      </c>
      <c r="JP1" s="1" t="str">
        <f ca="1">IFERROR(__xludf.DUMMYFUNCTION("""COMPUTED_VALUE"""),"2020-07-10 00:00:00")</f>
        <v>2020-07-10 00:00:00</v>
      </c>
      <c r="JQ1" s="1" t="str">
        <f ca="1">IFERROR(__xludf.DUMMYFUNCTION("""COMPUTED_VALUE"""),"2020-07-09 00:00:00")</f>
        <v>2020-07-09 00:00:00</v>
      </c>
      <c r="JR1" s="1" t="str">
        <f ca="1">IFERROR(__xludf.DUMMYFUNCTION("""COMPUTED_VALUE"""),"2020-07-08 00:00:00")</f>
        <v>2020-07-08 00:00:00</v>
      </c>
      <c r="JS1" s="1" t="str">
        <f ca="1">IFERROR(__xludf.DUMMYFUNCTION("""COMPUTED_VALUE"""),"2020-07-07 00:00:00")</f>
        <v>2020-07-07 00:00:00</v>
      </c>
      <c r="JT1" s="1" t="str">
        <f ca="1">IFERROR(__xludf.DUMMYFUNCTION("""COMPUTED_VALUE"""),"2020-07-06 00:00:00")</f>
        <v>2020-07-06 00:00:00</v>
      </c>
      <c r="JU1" s="1" t="str">
        <f ca="1">IFERROR(__xludf.DUMMYFUNCTION("""COMPUTED_VALUE"""),"2020-07-05 00:00:00")</f>
        <v>2020-07-05 00:00:00</v>
      </c>
      <c r="JV1" s="1" t="str">
        <f ca="1">IFERROR(__xludf.DUMMYFUNCTION("""COMPUTED_VALUE"""),"2020-07-04 00:00:00")</f>
        <v>2020-07-04 00:00:00</v>
      </c>
      <c r="JW1" s="1" t="str">
        <f ca="1">IFERROR(__xludf.DUMMYFUNCTION("""COMPUTED_VALUE"""),"2020-07-03 00:00:00")</f>
        <v>2020-07-03 00:00:00</v>
      </c>
      <c r="JX1" s="1" t="str">
        <f ca="1">IFERROR(__xludf.DUMMYFUNCTION("""COMPUTED_VALUE"""),"2020-07-02 00:00:00")</f>
        <v>2020-07-02 00:00:00</v>
      </c>
      <c r="JY1" s="1" t="str">
        <f ca="1">IFERROR(__xludf.DUMMYFUNCTION("""COMPUTED_VALUE"""),"2020-07-01 00:00:00")</f>
        <v>2020-07-01 00:00:00</v>
      </c>
      <c r="JZ1" s="1" t="str">
        <f ca="1">IFERROR(__xludf.DUMMYFUNCTION("""COMPUTED_VALUE"""),"2020-06-30 00:00:00")</f>
        <v>2020-06-30 00:00:00</v>
      </c>
      <c r="KA1" s="1" t="str">
        <f ca="1">IFERROR(__xludf.DUMMYFUNCTION("""COMPUTED_VALUE"""),"2020-06-29 00:00:00")</f>
        <v>2020-06-29 00:00:00</v>
      </c>
      <c r="KB1" s="1" t="str">
        <f ca="1">IFERROR(__xludf.DUMMYFUNCTION("""COMPUTED_VALUE"""),"2020-06-28 00:00:00")</f>
        <v>2020-06-28 00:00:00</v>
      </c>
      <c r="KC1" s="1" t="str">
        <f ca="1">IFERROR(__xludf.DUMMYFUNCTION("""COMPUTED_VALUE"""),"2020-06-27 00:00:00")</f>
        <v>2020-06-27 00:00:00</v>
      </c>
      <c r="KD1" s="1" t="str">
        <f ca="1">IFERROR(__xludf.DUMMYFUNCTION("""COMPUTED_VALUE"""),"2020-06-26 00:00:00")</f>
        <v>2020-06-26 00:00:00</v>
      </c>
      <c r="KE1" s="1" t="str">
        <f ca="1">IFERROR(__xludf.DUMMYFUNCTION("""COMPUTED_VALUE"""),"2020-06-25 00:00:00")</f>
        <v>2020-06-25 00:00:00</v>
      </c>
      <c r="KF1" s="1" t="str">
        <f ca="1">IFERROR(__xludf.DUMMYFUNCTION("""COMPUTED_VALUE"""),"2020-06-24 00:00:00")</f>
        <v>2020-06-24 00:00:00</v>
      </c>
      <c r="KG1" s="1" t="str">
        <f ca="1">IFERROR(__xludf.DUMMYFUNCTION("""COMPUTED_VALUE"""),"2020-06-23 00:00:00")</f>
        <v>2020-06-23 00:00:00</v>
      </c>
      <c r="KH1" s="1" t="str">
        <f ca="1">IFERROR(__xludf.DUMMYFUNCTION("""COMPUTED_VALUE"""),"2020-06-22 00:00:00")</f>
        <v>2020-06-22 00:00:00</v>
      </c>
      <c r="KI1" s="1" t="str">
        <f ca="1">IFERROR(__xludf.DUMMYFUNCTION("""COMPUTED_VALUE"""),"2020-06-21 00:00:00")</f>
        <v>2020-06-21 00:00:00</v>
      </c>
      <c r="KJ1" s="1" t="str">
        <f ca="1">IFERROR(__xludf.DUMMYFUNCTION("""COMPUTED_VALUE"""),"2020-06-20 00:00:00")</f>
        <v>2020-06-20 00:00:00</v>
      </c>
      <c r="KK1" s="1" t="str">
        <f ca="1">IFERROR(__xludf.DUMMYFUNCTION("""COMPUTED_VALUE"""),"2020-06-19 00:00:00")</f>
        <v>2020-06-19 00:00:00</v>
      </c>
      <c r="KL1" s="1" t="str">
        <f ca="1">IFERROR(__xludf.DUMMYFUNCTION("""COMPUTED_VALUE"""),"2020-06-18 00:00:00")</f>
        <v>2020-06-18 00:00:00</v>
      </c>
      <c r="KM1" s="1" t="str">
        <f ca="1">IFERROR(__xludf.DUMMYFUNCTION("""COMPUTED_VALUE"""),"2020-06-17 00:00:00")</f>
        <v>2020-06-17 00:00:00</v>
      </c>
      <c r="KN1" s="1" t="str">
        <f ca="1">IFERROR(__xludf.DUMMYFUNCTION("""COMPUTED_VALUE"""),"2020-06-16 00:00:00")</f>
        <v>2020-06-16 00:00:00</v>
      </c>
      <c r="KO1" s="1" t="str">
        <f ca="1">IFERROR(__xludf.DUMMYFUNCTION("""COMPUTED_VALUE"""),"2020-06-15 00:00:00")</f>
        <v>2020-06-15 00:00:00</v>
      </c>
      <c r="KP1" s="1" t="str">
        <f ca="1">IFERROR(__xludf.DUMMYFUNCTION("""COMPUTED_VALUE"""),"2020-06-14 00:00:00")</f>
        <v>2020-06-14 00:00:00</v>
      </c>
      <c r="KQ1" s="1" t="str">
        <f ca="1">IFERROR(__xludf.DUMMYFUNCTION("""COMPUTED_VALUE"""),"2020-06-13 00:00:00")</f>
        <v>2020-06-13 00:00:00</v>
      </c>
      <c r="KR1" s="1" t="str">
        <f ca="1">IFERROR(__xludf.DUMMYFUNCTION("""COMPUTED_VALUE"""),"2020-06-12 00:00:00")</f>
        <v>2020-06-12 00:00:00</v>
      </c>
      <c r="KS1" s="1" t="str">
        <f ca="1">IFERROR(__xludf.DUMMYFUNCTION("""COMPUTED_VALUE"""),"2020-06-11 00:00:00")</f>
        <v>2020-06-11 00:00:00</v>
      </c>
      <c r="KT1" s="1" t="str">
        <f ca="1">IFERROR(__xludf.DUMMYFUNCTION("""COMPUTED_VALUE"""),"2020-06-10 00:00:00")</f>
        <v>2020-06-10 00:00:00</v>
      </c>
      <c r="KU1" s="1" t="str">
        <f ca="1">IFERROR(__xludf.DUMMYFUNCTION("""COMPUTED_VALUE"""),"2020-06-09 00:00:00")</f>
        <v>2020-06-09 00:00:00</v>
      </c>
      <c r="KV1" s="1" t="str">
        <f ca="1">IFERROR(__xludf.DUMMYFUNCTION("""COMPUTED_VALUE"""),"2020-06-08 00:00:00")</f>
        <v>2020-06-08 00:00:00</v>
      </c>
      <c r="KW1" s="1" t="str">
        <f ca="1">IFERROR(__xludf.DUMMYFUNCTION("""COMPUTED_VALUE"""),"2020-06-07 00:00:00")</f>
        <v>2020-06-07 00:00:00</v>
      </c>
      <c r="KX1" s="1" t="str">
        <f ca="1">IFERROR(__xludf.DUMMYFUNCTION("""COMPUTED_VALUE"""),"2020-06-06 00:00:00")</f>
        <v>2020-06-06 00:00:00</v>
      </c>
      <c r="KY1" s="1" t="str">
        <f ca="1">IFERROR(__xludf.DUMMYFUNCTION("""COMPUTED_VALUE"""),"2020-06-05 00:00:00")</f>
        <v>2020-06-05 00:00:00</v>
      </c>
      <c r="KZ1" s="1" t="str">
        <f ca="1">IFERROR(__xludf.DUMMYFUNCTION("""COMPUTED_VALUE"""),"2020-06-04 00:00:00")</f>
        <v>2020-06-04 00:00:00</v>
      </c>
      <c r="LA1" s="1" t="str">
        <f ca="1">IFERROR(__xludf.DUMMYFUNCTION("""COMPUTED_VALUE"""),"2020-06-03 00:00:00")</f>
        <v>2020-06-03 00:00:00</v>
      </c>
      <c r="LB1" s="1" t="str">
        <f ca="1">IFERROR(__xludf.DUMMYFUNCTION("""COMPUTED_VALUE"""),"2020-06-02 00:00:00")</f>
        <v>2020-06-02 00:00:00</v>
      </c>
      <c r="LC1" s="1" t="str">
        <f ca="1">IFERROR(__xludf.DUMMYFUNCTION("""COMPUTED_VALUE"""),"2020-06-01 00:00:00")</f>
        <v>2020-06-01 00:00:00</v>
      </c>
      <c r="LD1" s="1" t="str">
        <f ca="1">IFERROR(__xludf.DUMMYFUNCTION("""COMPUTED_VALUE"""),"2020-05-31 00:00:00")</f>
        <v>2020-05-31 00:00:00</v>
      </c>
      <c r="LE1" s="1" t="str">
        <f ca="1">IFERROR(__xludf.DUMMYFUNCTION("""COMPUTED_VALUE"""),"2020-05-30 00:00:00")</f>
        <v>2020-05-30 00:00:00</v>
      </c>
      <c r="LF1" s="1" t="str">
        <f ca="1">IFERROR(__xludf.DUMMYFUNCTION("""COMPUTED_VALUE"""),"2020-05-29 00:00:00")</f>
        <v>2020-05-29 00:00:00</v>
      </c>
      <c r="LG1" s="1" t="str">
        <f ca="1">IFERROR(__xludf.DUMMYFUNCTION("""COMPUTED_VALUE"""),"2020-05-28 00:00:00")</f>
        <v>2020-05-28 00:00:00</v>
      </c>
      <c r="LH1" s="1" t="str">
        <f ca="1">IFERROR(__xludf.DUMMYFUNCTION("""COMPUTED_VALUE"""),"2020-05-27 00:00:00")</f>
        <v>2020-05-27 00:00:00</v>
      </c>
      <c r="LI1" s="1" t="str">
        <f ca="1">IFERROR(__xludf.DUMMYFUNCTION("""COMPUTED_VALUE"""),"2020-05-26 00:00:00")</f>
        <v>2020-05-26 00:00:00</v>
      </c>
      <c r="LJ1" s="1" t="str">
        <f ca="1">IFERROR(__xludf.DUMMYFUNCTION("""COMPUTED_VALUE"""),"2020-05-25 00:00:00")</f>
        <v>2020-05-25 00:00:00</v>
      </c>
      <c r="LK1" s="1" t="str">
        <f ca="1">IFERROR(__xludf.DUMMYFUNCTION("""COMPUTED_VALUE"""),"2020-05-24 00:00:00")</f>
        <v>2020-05-24 00:00:00</v>
      </c>
      <c r="LL1" s="1" t="str">
        <f ca="1">IFERROR(__xludf.DUMMYFUNCTION("""COMPUTED_VALUE"""),"2020-05-23 00:00:00")</f>
        <v>2020-05-23 00:00:00</v>
      </c>
      <c r="LM1" s="1" t="str">
        <f ca="1">IFERROR(__xludf.DUMMYFUNCTION("""COMPUTED_VALUE"""),"2020-05-22 00:00:00")</f>
        <v>2020-05-22 00:00:00</v>
      </c>
      <c r="LN1" s="1" t="str">
        <f ca="1">IFERROR(__xludf.DUMMYFUNCTION("""COMPUTED_VALUE"""),"2020-05-21 00:00:00")</f>
        <v>2020-05-21 00:00:00</v>
      </c>
      <c r="LO1" s="1" t="str">
        <f ca="1">IFERROR(__xludf.DUMMYFUNCTION("""COMPUTED_VALUE"""),"2020-05-20 00:00:00")</f>
        <v>2020-05-20 00:00:00</v>
      </c>
      <c r="LP1" s="1" t="str">
        <f ca="1">IFERROR(__xludf.DUMMYFUNCTION("""COMPUTED_VALUE"""),"2020-05-19 00:00:00")</f>
        <v>2020-05-19 00:00:00</v>
      </c>
      <c r="LQ1" s="1" t="str">
        <f ca="1">IFERROR(__xludf.DUMMYFUNCTION("""COMPUTED_VALUE"""),"2020-05-18 00:00:00")</f>
        <v>2020-05-18 00:00:00</v>
      </c>
      <c r="LR1" s="1" t="str">
        <f ca="1">IFERROR(__xludf.DUMMYFUNCTION("""COMPUTED_VALUE"""),"2020-05-17 00:00:00")</f>
        <v>2020-05-17 00:00:00</v>
      </c>
      <c r="LS1" s="1" t="str">
        <f ca="1">IFERROR(__xludf.DUMMYFUNCTION("""COMPUTED_VALUE"""),"2020-05-16 00:00:00")</f>
        <v>2020-05-16 00:00:00</v>
      </c>
      <c r="LT1" s="1" t="str">
        <f ca="1">IFERROR(__xludf.DUMMYFUNCTION("""COMPUTED_VALUE"""),"2020-05-15 00:00:00")</f>
        <v>2020-05-15 00:00:00</v>
      </c>
      <c r="LU1" s="1" t="str">
        <f ca="1">IFERROR(__xludf.DUMMYFUNCTION("""COMPUTED_VALUE"""),"2020-05-14 00:00:00")</f>
        <v>2020-05-14 00:00:00</v>
      </c>
      <c r="LV1" s="1" t="str">
        <f ca="1">IFERROR(__xludf.DUMMYFUNCTION("""COMPUTED_VALUE"""),"2020-05-13 00:00:00")</f>
        <v>2020-05-13 00:00:00</v>
      </c>
      <c r="LW1" s="1" t="str">
        <f ca="1">IFERROR(__xludf.DUMMYFUNCTION("""COMPUTED_VALUE"""),"2020-05-12 00:00:00")</f>
        <v>2020-05-12 00:00:00</v>
      </c>
      <c r="LX1" s="1" t="str">
        <f ca="1">IFERROR(__xludf.DUMMYFUNCTION("""COMPUTED_VALUE"""),"2020-05-11 00:00:00")</f>
        <v>2020-05-11 00:00:00</v>
      </c>
      <c r="LY1" s="1" t="str">
        <f ca="1">IFERROR(__xludf.DUMMYFUNCTION("""COMPUTED_VALUE"""),"2020-05-10 00:00:00")</f>
        <v>2020-05-10 00:00:00</v>
      </c>
      <c r="LZ1" s="1" t="str">
        <f ca="1">IFERROR(__xludf.DUMMYFUNCTION("""COMPUTED_VALUE"""),"2020-05-09 00:00:00")</f>
        <v>2020-05-09 00:00:00</v>
      </c>
      <c r="MA1" s="1" t="str">
        <f ca="1">IFERROR(__xludf.DUMMYFUNCTION("""COMPUTED_VALUE"""),"2020-05-08 00:00:00")</f>
        <v>2020-05-08 00:00:00</v>
      </c>
      <c r="MB1" s="1" t="str">
        <f ca="1">IFERROR(__xludf.DUMMYFUNCTION("""COMPUTED_VALUE"""),"2020-05-07 00:00:00")</f>
        <v>2020-05-07 00:00:00</v>
      </c>
      <c r="MC1" s="1" t="str">
        <f ca="1">IFERROR(__xludf.DUMMYFUNCTION("""COMPUTED_VALUE"""),"2020-05-06 00:00:00")</f>
        <v>2020-05-06 00:00:00</v>
      </c>
      <c r="MD1" s="1" t="str">
        <f ca="1">IFERROR(__xludf.DUMMYFUNCTION("""COMPUTED_VALUE"""),"2020-05-05 00:00:00")</f>
        <v>2020-05-05 00:00:00</v>
      </c>
      <c r="ME1" s="1" t="str">
        <f ca="1">IFERROR(__xludf.DUMMYFUNCTION("""COMPUTED_VALUE"""),"2020-05-04 00:00:00")</f>
        <v>2020-05-04 00:00:00</v>
      </c>
      <c r="MF1" s="1" t="str">
        <f ca="1">IFERROR(__xludf.DUMMYFUNCTION("""COMPUTED_VALUE"""),"2020-05-03 00:00:00")</f>
        <v>2020-05-03 00:00:00</v>
      </c>
      <c r="MG1" s="1" t="str">
        <f ca="1">IFERROR(__xludf.DUMMYFUNCTION("""COMPUTED_VALUE"""),"2020-05-02 00:00:00")</f>
        <v>2020-05-02 00:00:00</v>
      </c>
      <c r="MH1" s="1" t="str">
        <f ca="1">IFERROR(__xludf.DUMMYFUNCTION("""COMPUTED_VALUE"""),"2020-05-01 00:00:00")</f>
        <v>2020-05-01 00:00:00</v>
      </c>
      <c r="MI1" s="1" t="str">
        <f ca="1">IFERROR(__xludf.DUMMYFUNCTION("""COMPUTED_VALUE"""),"2020-04-30 00:00:00")</f>
        <v>2020-04-30 00:00:00</v>
      </c>
      <c r="MJ1" s="1" t="str">
        <f ca="1">IFERROR(__xludf.DUMMYFUNCTION("""COMPUTED_VALUE"""),"2020-04-29 00:00:00")</f>
        <v>2020-04-29 00:00:00</v>
      </c>
      <c r="MK1" s="1" t="str">
        <f ca="1">IFERROR(__xludf.DUMMYFUNCTION("""COMPUTED_VALUE"""),"2020-04-28 00:00:00")</f>
        <v>2020-04-28 00:00:00</v>
      </c>
      <c r="ML1" s="1" t="str">
        <f ca="1">IFERROR(__xludf.DUMMYFUNCTION("""COMPUTED_VALUE"""),"2020-04-27 00:00:00")</f>
        <v>2020-04-27 00:00:00</v>
      </c>
      <c r="MM1" s="1" t="str">
        <f ca="1">IFERROR(__xludf.DUMMYFUNCTION("""COMPUTED_VALUE"""),"2020-04-26 00:00:00")</f>
        <v>2020-04-26 00:00:00</v>
      </c>
      <c r="MN1" s="1" t="str">
        <f ca="1">IFERROR(__xludf.DUMMYFUNCTION("""COMPUTED_VALUE"""),"2020-04-25 00:00:00")</f>
        <v>2020-04-25 00:00:00</v>
      </c>
      <c r="MO1" s="1" t="str">
        <f ca="1">IFERROR(__xludf.DUMMYFUNCTION("""COMPUTED_VALUE"""),"2020-04-24 00:00:00")</f>
        <v>2020-04-24 00:00:00</v>
      </c>
      <c r="MP1" s="1" t="str">
        <f ca="1">IFERROR(__xludf.DUMMYFUNCTION("""COMPUTED_VALUE"""),"2020-04-23 00:00:00")</f>
        <v>2020-04-23 00:00:00</v>
      </c>
      <c r="MQ1" s="1" t="str">
        <f ca="1">IFERROR(__xludf.DUMMYFUNCTION("""COMPUTED_VALUE"""),"2020-04-22 00:00:00")</f>
        <v>2020-04-22 00:00:00</v>
      </c>
      <c r="MR1" s="1" t="str">
        <f ca="1">IFERROR(__xludf.DUMMYFUNCTION("""COMPUTED_VALUE"""),"2020-04-21 00:00:00")</f>
        <v>2020-04-21 00:00:00</v>
      </c>
      <c r="MS1" s="1" t="str">
        <f ca="1">IFERROR(__xludf.DUMMYFUNCTION("""COMPUTED_VALUE"""),"2020-04-20 00:00:00")</f>
        <v>2020-04-20 00:00:00</v>
      </c>
      <c r="MT1" s="1" t="str">
        <f ca="1">IFERROR(__xludf.DUMMYFUNCTION("""COMPUTED_VALUE"""),"2020-04-19 00:00:00")</f>
        <v>2020-04-19 00:00:00</v>
      </c>
      <c r="MU1" s="1" t="str">
        <f ca="1">IFERROR(__xludf.DUMMYFUNCTION("""COMPUTED_VALUE"""),"2020-04-18 00:00:00")</f>
        <v>2020-04-18 00:00:00</v>
      </c>
      <c r="MV1" s="1" t="str">
        <f ca="1">IFERROR(__xludf.DUMMYFUNCTION("""COMPUTED_VALUE"""),"2020-04-17 00:00:00")</f>
        <v>2020-04-17 00:00:00</v>
      </c>
      <c r="MW1" s="1" t="str">
        <f ca="1">IFERROR(__xludf.DUMMYFUNCTION("""COMPUTED_VALUE"""),"2020-04-16 00:00:00")</f>
        <v>2020-04-16 00:00:00</v>
      </c>
      <c r="MX1" s="1" t="str">
        <f ca="1">IFERROR(__xludf.DUMMYFUNCTION("""COMPUTED_VALUE"""),"2020-04-15 00:00:00")</f>
        <v>2020-04-15 00:00:00</v>
      </c>
      <c r="MY1" s="1" t="str">
        <f ca="1">IFERROR(__xludf.DUMMYFUNCTION("""COMPUTED_VALUE"""),"2020-04-14 00:00:00")</f>
        <v>2020-04-14 00:00:00</v>
      </c>
      <c r="MZ1" s="1" t="str">
        <f ca="1">IFERROR(__xludf.DUMMYFUNCTION("""COMPUTED_VALUE"""),"2020-04-13 00:00:00")</f>
        <v>2020-04-13 00:00:00</v>
      </c>
      <c r="NA1" s="1" t="str">
        <f ca="1">IFERROR(__xludf.DUMMYFUNCTION("""COMPUTED_VALUE"""),"2020-04-12 00:00:00")</f>
        <v>2020-04-12 00:00:00</v>
      </c>
      <c r="NB1" s="1" t="str">
        <f ca="1">IFERROR(__xludf.DUMMYFUNCTION("""COMPUTED_VALUE"""),"2020-04-11 00:00:00")</f>
        <v>2020-04-11 00:00:00</v>
      </c>
      <c r="NC1" s="1" t="str">
        <f ca="1">IFERROR(__xludf.DUMMYFUNCTION("""COMPUTED_VALUE"""),"2020-04-10 00:00:00")</f>
        <v>2020-04-10 00:00:00</v>
      </c>
      <c r="ND1" s="1" t="str">
        <f ca="1">IFERROR(__xludf.DUMMYFUNCTION("""COMPUTED_VALUE"""),"2020-04-09 00:00:00")</f>
        <v>2020-04-09 00:00:00</v>
      </c>
      <c r="NE1" s="1" t="str">
        <f ca="1">IFERROR(__xludf.DUMMYFUNCTION("""COMPUTED_VALUE"""),"2020-04-08 00:00:00")</f>
        <v>2020-04-08 00:00:00</v>
      </c>
      <c r="NF1" s="1" t="str">
        <f ca="1">IFERROR(__xludf.DUMMYFUNCTION("""COMPUTED_VALUE"""),"2020-04-07 00:00:00")</f>
        <v>2020-04-07 00:00:00</v>
      </c>
      <c r="NG1" s="1" t="str">
        <f ca="1">IFERROR(__xludf.DUMMYFUNCTION("""COMPUTED_VALUE"""),"2020-04-06 00:00:00")</f>
        <v>2020-04-06 00:00:00</v>
      </c>
      <c r="NH1" s="1" t="str">
        <f ca="1">IFERROR(__xludf.DUMMYFUNCTION("""COMPUTED_VALUE"""),"2020-04-05 00:00:00")</f>
        <v>2020-04-05 00:00:00</v>
      </c>
      <c r="NI1" s="1" t="str">
        <f ca="1">IFERROR(__xludf.DUMMYFUNCTION("""COMPUTED_VALUE"""),"2020-04-04 00:00:00")</f>
        <v>2020-04-04 00:00:00</v>
      </c>
      <c r="NJ1" s="1" t="str">
        <f ca="1">IFERROR(__xludf.DUMMYFUNCTION("""COMPUTED_VALUE"""),"2020-04-03 00:00:00")</f>
        <v>2020-04-03 00:00:00</v>
      </c>
      <c r="NK1" s="1" t="str">
        <f ca="1">IFERROR(__xludf.DUMMYFUNCTION("""COMPUTED_VALUE"""),"2020-04-02 00:00:00")</f>
        <v>2020-04-02 00:00:00</v>
      </c>
      <c r="NL1" s="1" t="str">
        <f ca="1">IFERROR(__xludf.DUMMYFUNCTION("""COMPUTED_VALUE"""),"2020-04-01 00:00:00")</f>
        <v>2020-04-01 00:00:00</v>
      </c>
      <c r="NM1" s="1" t="str">
        <f ca="1">IFERROR(__xludf.DUMMYFUNCTION("""COMPUTED_VALUE"""),"2020-03-31 00:00:00")</f>
        <v>2020-03-31 00:00:00</v>
      </c>
      <c r="NN1" s="1" t="str">
        <f ca="1">IFERROR(__xludf.DUMMYFUNCTION("""COMPUTED_VALUE"""),"2020-03-30 00:00:00")</f>
        <v>2020-03-30 00:00:00</v>
      </c>
      <c r="NO1" s="1" t="str">
        <f ca="1">IFERROR(__xludf.DUMMYFUNCTION("""COMPUTED_VALUE"""),"2020-03-29 00:00:00")</f>
        <v>2020-03-29 00:00:00</v>
      </c>
      <c r="NP1" s="1" t="str">
        <f ca="1">IFERROR(__xludf.DUMMYFUNCTION("""COMPUTED_VALUE"""),"2020-03-28 00:00:00")</f>
        <v>2020-03-28 00:00:00</v>
      </c>
      <c r="NQ1" s="1" t="str">
        <f ca="1">IFERROR(__xludf.DUMMYFUNCTION("""COMPUTED_VALUE"""),"2020-03-27 00:00:00")</f>
        <v>2020-03-27 00:00:00</v>
      </c>
      <c r="NR1" s="1" t="str">
        <f ca="1">IFERROR(__xludf.DUMMYFUNCTION("""COMPUTED_VALUE"""),"2020-03-26 00:00:00")</f>
        <v>2020-03-26 00:00:00</v>
      </c>
      <c r="NS1" s="1" t="str">
        <f ca="1">IFERROR(__xludf.DUMMYFUNCTION("""COMPUTED_VALUE"""),"2020-03-25 00:00:00")</f>
        <v>2020-03-25 00:00:00</v>
      </c>
      <c r="NT1" s="1" t="str">
        <f ca="1">IFERROR(__xludf.DUMMYFUNCTION("""COMPUTED_VALUE"""),"2020-03-24 00:00:00")</f>
        <v>2020-03-24 00:00:00</v>
      </c>
      <c r="NU1" s="1" t="str">
        <f ca="1">IFERROR(__xludf.DUMMYFUNCTION("""COMPUTED_VALUE"""),"2020-03-23 00:00:00")</f>
        <v>2020-03-23 00:00:00</v>
      </c>
      <c r="NV1" s="1" t="str">
        <f ca="1">IFERROR(__xludf.DUMMYFUNCTION("""COMPUTED_VALUE"""),"2020-03-22 00:00:00")</f>
        <v>2020-03-22 00:00:00</v>
      </c>
      <c r="NW1" s="1" t="str">
        <f ca="1">IFERROR(__xludf.DUMMYFUNCTION("""COMPUTED_VALUE"""),"2020-03-21 00:00:00")</f>
        <v>2020-03-21 00:00:00</v>
      </c>
      <c r="NX1" s="1" t="str">
        <f ca="1">IFERROR(__xludf.DUMMYFUNCTION("""COMPUTED_VALUE"""),"2020-03-20 00:00:00")</f>
        <v>2020-03-20 00:00:00</v>
      </c>
      <c r="NY1" s="1" t="str">
        <f ca="1">IFERROR(__xludf.DUMMYFUNCTION("""COMPUTED_VALUE"""),"2020-03-19 00:00:00")</f>
        <v>2020-03-19 00:00:00</v>
      </c>
      <c r="NZ1" s="1" t="str">
        <f ca="1">IFERROR(__xludf.DUMMYFUNCTION("""COMPUTED_VALUE"""),"2020-03-18 00:00:00")</f>
        <v>2020-03-18 00:00:00</v>
      </c>
      <c r="OA1" s="1" t="str">
        <f ca="1">IFERROR(__xludf.DUMMYFUNCTION("""COMPUTED_VALUE"""),"2020-03-17 00:00:00")</f>
        <v>2020-03-17 00:00:00</v>
      </c>
      <c r="OB1" s="1" t="str">
        <f ca="1">IFERROR(__xludf.DUMMYFUNCTION("""COMPUTED_VALUE"""),"2020-03-16 00:00:00")</f>
        <v>2020-03-16 00:00:00</v>
      </c>
      <c r="OC1" s="1" t="str">
        <f ca="1">IFERROR(__xludf.DUMMYFUNCTION("""COMPUTED_VALUE"""),"2020-03-15 00:00:00")</f>
        <v>2020-03-15 00:00:00</v>
      </c>
      <c r="OD1" s="1" t="str">
        <f ca="1">IFERROR(__xludf.DUMMYFUNCTION("""COMPUTED_VALUE"""),"2020-03-14 00:00:00")</f>
        <v>2020-03-14 00:00:00</v>
      </c>
      <c r="OE1" s="1" t="str">
        <f ca="1">IFERROR(__xludf.DUMMYFUNCTION("""COMPUTED_VALUE"""),"2020-03-13 00:00:00")</f>
        <v>2020-03-13 00:00:00</v>
      </c>
      <c r="OF1" s="1" t="str">
        <f ca="1">IFERROR(__xludf.DUMMYFUNCTION("""COMPUTED_VALUE"""),"2020-03-12 00:00:00")</f>
        <v>2020-03-12 00:00:00</v>
      </c>
      <c r="OG1" s="1" t="str">
        <f ca="1">IFERROR(__xludf.DUMMYFUNCTION("""COMPUTED_VALUE"""),"2020-03-11 00:00:00")</f>
        <v>2020-03-11 00:00:00</v>
      </c>
      <c r="OH1" s="1" t="str">
        <f ca="1">IFERROR(__xludf.DUMMYFUNCTION("""COMPUTED_VALUE"""),"2020-03-10 00:00:00")</f>
        <v>2020-03-10 00:00:00</v>
      </c>
      <c r="OI1" s="1" t="str">
        <f ca="1">IFERROR(__xludf.DUMMYFUNCTION("""COMPUTED_VALUE"""),"2020-03-09 00:00:00")</f>
        <v>2020-03-09 00:00:00</v>
      </c>
      <c r="OJ1" s="1" t="str">
        <f ca="1">IFERROR(__xludf.DUMMYFUNCTION("""COMPUTED_VALUE"""),"2020-03-08 00:00:00")</f>
        <v>2020-03-08 00:00:00</v>
      </c>
      <c r="OK1" s="1" t="str">
        <f ca="1">IFERROR(__xludf.DUMMYFUNCTION("""COMPUTED_VALUE"""),"2020-03-07 00:00:00")</f>
        <v>2020-03-07 00:00:00</v>
      </c>
      <c r="OL1" s="1" t="str">
        <f ca="1">IFERROR(__xludf.DUMMYFUNCTION("""COMPUTED_VALUE"""),"2020-03-06 00:00:00")</f>
        <v>2020-03-06 00:00:00</v>
      </c>
      <c r="OM1" s="1" t="str">
        <f ca="1">IFERROR(__xludf.DUMMYFUNCTION("""COMPUTED_VALUE"""),"2020-03-05 00:00:00")</f>
        <v>2020-03-05 00:00:00</v>
      </c>
      <c r="ON1" s="1" t="str">
        <f ca="1">IFERROR(__xludf.DUMMYFUNCTION("""COMPUTED_VALUE"""),"2020-03-04 00:00:00")</f>
        <v>2020-03-04 00:00:00</v>
      </c>
      <c r="OO1" s="1" t="str">
        <f ca="1">IFERROR(__xludf.DUMMYFUNCTION("""COMPUTED_VALUE"""),"2020-03-03 00:00:00")</f>
        <v>2020-03-03 00:00:00</v>
      </c>
      <c r="OP1" s="1" t="str">
        <f ca="1">IFERROR(__xludf.DUMMYFUNCTION("""COMPUTED_VALUE"""),"2020-03-02 00:00:00")</f>
        <v>2020-03-02 00:00:00</v>
      </c>
      <c r="OQ1" s="1" t="str">
        <f ca="1">IFERROR(__xludf.DUMMYFUNCTION("""COMPUTED_VALUE"""),"2020-03-01 00:00:00")</f>
        <v>2020-03-01 00:00:00</v>
      </c>
      <c r="OR1" s="1" t="str">
        <f ca="1">IFERROR(__xludf.DUMMYFUNCTION("""COMPUTED_VALUE"""),"2020-02-29 00:00:00")</f>
        <v>2020-02-29 00:00:00</v>
      </c>
      <c r="OS1" s="1" t="str">
        <f ca="1">IFERROR(__xludf.DUMMYFUNCTION("""COMPUTED_VALUE"""),"2020-02-28 00:00:00")</f>
        <v>2020-02-28 00:00:00</v>
      </c>
      <c r="OT1" s="1" t="str">
        <f ca="1">IFERROR(__xludf.DUMMYFUNCTION("""COMPUTED_VALUE"""),"2020-02-27 00:00:00")</f>
        <v>2020-02-27 00:00:00</v>
      </c>
      <c r="OU1" s="1" t="str">
        <f ca="1">IFERROR(__xludf.DUMMYFUNCTION("""COMPUTED_VALUE"""),"2020-02-26 00:00:00")</f>
        <v>2020-02-26 00:00:00</v>
      </c>
      <c r="OV1" s="1" t="str">
        <f ca="1">IFERROR(__xludf.DUMMYFUNCTION("""COMPUTED_VALUE"""),"2020-02-25 00:00:00")</f>
        <v>2020-02-25 00:00:00</v>
      </c>
      <c r="OW1" s="1" t="str">
        <f ca="1">IFERROR(__xludf.DUMMYFUNCTION("""COMPUTED_VALUE"""),"2020-02-24 00:00:00")</f>
        <v>2020-02-24 00:00:00</v>
      </c>
      <c r="OX1" s="1" t="str">
        <f ca="1">IFERROR(__xludf.DUMMYFUNCTION("""COMPUTED_VALUE"""),"2020-02-23 00:00:00")</f>
        <v>2020-02-23 00:00:00</v>
      </c>
      <c r="OY1" s="1" t="str">
        <f ca="1">IFERROR(__xludf.DUMMYFUNCTION("""COMPUTED_VALUE"""),"2020-02-22 00:00:00")</f>
        <v>2020-02-22 00:00:00</v>
      </c>
      <c r="OZ1" s="1" t="str">
        <f ca="1">IFERROR(__xludf.DUMMYFUNCTION("""COMPUTED_VALUE"""),"2020-02-21 00:00:00")</f>
        <v>2020-02-21 00:00:00</v>
      </c>
      <c r="PA1" s="1" t="str">
        <f ca="1">IFERROR(__xludf.DUMMYFUNCTION("""COMPUTED_VALUE"""),"2020-02-20 00:00:00")</f>
        <v>2020-02-20 00:00:00</v>
      </c>
      <c r="PB1" s="1" t="str">
        <f ca="1">IFERROR(__xludf.DUMMYFUNCTION("""COMPUTED_VALUE"""),"2020-02-19 00:00:00")</f>
        <v>2020-02-19 00:00:00</v>
      </c>
      <c r="PC1" s="1" t="str">
        <f ca="1">IFERROR(__xludf.DUMMYFUNCTION("""COMPUTED_VALUE"""),"2020-02-18 00:00:00")</f>
        <v>2020-02-18 00:00:00</v>
      </c>
      <c r="PD1" s="1" t="str">
        <f ca="1">IFERROR(__xludf.DUMMYFUNCTION("""COMPUTED_VALUE"""),"2020-02-17 00:00:00")</f>
        <v>2020-02-17 00:00:00</v>
      </c>
      <c r="PE1" s="1" t="str">
        <f ca="1">IFERROR(__xludf.DUMMYFUNCTION("""COMPUTED_VALUE"""),"2020-02-16 00:00:00")</f>
        <v>2020-02-16 00:00:00</v>
      </c>
      <c r="PF1" s="1" t="str">
        <f ca="1">IFERROR(__xludf.DUMMYFUNCTION("""COMPUTED_VALUE"""),"2020-02-15 00:00:00")</f>
        <v>2020-02-15 00:00:00</v>
      </c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</row>
    <row r="2" spans="1:476" ht="15.75" customHeight="1">
      <c r="A2" s="1" t="str">
        <f ca="1">IFERROR(__xludf.DUMMYFUNCTION("""COMPUTED_VALUE"""),"Global")</f>
        <v>Global</v>
      </c>
      <c r="B2" s="3">
        <f ca="1">IFERROR(__xludf.DUMMYFUNCTION("""COMPUTED_VALUE"""),-0.473711089991441)</f>
        <v>-0.47371108999144101</v>
      </c>
      <c r="C2" s="3">
        <f ca="1">IFERROR(__xludf.DUMMYFUNCTION("""COMPUTED_VALUE"""),-0.510351072295734)</f>
        <v>-0.51035107229573395</v>
      </c>
      <c r="D2" s="3">
        <f ca="1">IFERROR(__xludf.DUMMYFUNCTION("""COMPUTED_VALUE"""),-0.549653868478444)</f>
        <v>-0.549653868478444</v>
      </c>
      <c r="E2" s="3">
        <f ca="1">IFERROR(__xludf.DUMMYFUNCTION("""COMPUTED_VALUE"""),-0.549505036823283)</f>
        <v>-0.549505036823283</v>
      </c>
      <c r="F2" s="3">
        <f ca="1">IFERROR(__xludf.DUMMYFUNCTION("""COMPUTED_VALUE"""),-0.549882490990725)</f>
        <v>-0.54988249099072495</v>
      </c>
      <c r="G2" s="3">
        <f ca="1">IFERROR(__xludf.DUMMYFUNCTION("""COMPUTED_VALUE"""),-0.552289872296536)</f>
        <v>-0.55228987229653603</v>
      </c>
      <c r="H2" s="3">
        <f ca="1">IFERROR(__xludf.DUMMYFUNCTION("""COMPUTED_VALUE"""),-0.495272338319073)</f>
        <v>-0.49527233831907302</v>
      </c>
      <c r="I2" s="3">
        <f ca="1">IFERROR(__xludf.DUMMYFUNCTION("""COMPUTED_VALUE"""),-0.50202156374006)</f>
        <v>-0.50202156374006002</v>
      </c>
      <c r="J2" s="3">
        <f ca="1">IFERROR(__xludf.DUMMYFUNCTION("""COMPUTED_VALUE"""),-0.57886271293343)</f>
        <v>-0.57886271293342995</v>
      </c>
      <c r="K2" s="3">
        <f ca="1">IFERROR(__xludf.DUMMYFUNCTION("""COMPUTED_VALUE"""),-0.557290021458918)</f>
        <v>-0.55729002145891804</v>
      </c>
      <c r="L2" s="3">
        <f ca="1">IFERROR(__xludf.DUMMYFUNCTION("""COMPUTED_VALUE"""),-0.569152993123156)</f>
        <v>-0.56915299312315604</v>
      </c>
      <c r="M2" s="3">
        <f ca="1">IFERROR(__xludf.DUMMYFUNCTION("""COMPUTED_VALUE"""),-0.549518208929143)</f>
        <v>-0.54951820892914305</v>
      </c>
      <c r="N2" s="3">
        <f ca="1">IFERROR(__xludf.DUMMYFUNCTION("""COMPUTED_VALUE"""),-0.549113239347328)</f>
        <v>-0.54911323934732803</v>
      </c>
      <c r="O2" s="3">
        <f ca="1">IFERROR(__xludf.DUMMYFUNCTION("""COMPUTED_VALUE"""),-0.500491430393313)</f>
        <v>-0.50049143039331301</v>
      </c>
      <c r="P2" s="3">
        <f ca="1">IFERROR(__xludf.DUMMYFUNCTION("""COMPUTED_VALUE"""),-0.466876106863811)</f>
        <v>-0.46687610686381098</v>
      </c>
      <c r="Q2" s="3">
        <f ca="1">IFERROR(__xludf.DUMMYFUNCTION("""COMPUTED_VALUE"""),-0.541873518323088)</f>
        <v>-0.54187351832308805</v>
      </c>
      <c r="R2" s="3">
        <f ca="1">IFERROR(__xludf.DUMMYFUNCTION("""COMPUTED_VALUE"""),-0.560982945827687)</f>
        <v>-0.56098294582768704</v>
      </c>
      <c r="S2" s="3">
        <f ca="1">IFERROR(__xludf.DUMMYFUNCTION("""COMPUTED_VALUE"""),-0.584231163094229)</f>
        <v>-0.58423116309422896</v>
      </c>
      <c r="T2" s="3">
        <f ca="1">IFERROR(__xludf.DUMMYFUNCTION("""COMPUTED_VALUE"""),-0.560746535248972)</f>
        <v>-0.560746535248972</v>
      </c>
      <c r="U2" s="3">
        <f ca="1">IFERROR(__xludf.DUMMYFUNCTION("""COMPUTED_VALUE"""),-0.544900264756414)</f>
        <v>-0.54490026475641395</v>
      </c>
      <c r="V2" s="3">
        <f ca="1">IFERROR(__xludf.DUMMYFUNCTION("""COMPUTED_VALUE"""),-0.4573225887608)</f>
        <v>-0.45732258876080001</v>
      </c>
      <c r="W2" s="3">
        <f ca="1">IFERROR(__xludf.DUMMYFUNCTION("""COMPUTED_VALUE"""),-0.487674478805946)</f>
        <v>-0.487674478805946</v>
      </c>
      <c r="X2" s="3">
        <f ca="1">IFERROR(__xludf.DUMMYFUNCTION("""COMPUTED_VALUE"""),-0.553345492880785)</f>
        <v>-0.55334549288078505</v>
      </c>
      <c r="Y2" s="3">
        <f ca="1">IFERROR(__xludf.DUMMYFUNCTION("""COMPUTED_VALUE"""),-0.589114080744771)</f>
        <v>-0.58911408074477101</v>
      </c>
      <c r="Z2" s="3">
        <f ca="1">IFERROR(__xludf.DUMMYFUNCTION("""COMPUTED_VALUE"""),-0.573699563367979)</f>
        <v>-0.573699563367979</v>
      </c>
      <c r="AA2" s="3">
        <f ca="1">IFERROR(__xludf.DUMMYFUNCTION("""COMPUTED_VALUE"""),-0.581839133690262)</f>
        <v>-0.58183913369026197</v>
      </c>
      <c r="AB2" s="3">
        <f ca="1">IFERROR(__xludf.DUMMYFUNCTION("""COMPUTED_VALUE"""),-0.566548348348983)</f>
        <v>-0.56654834834898304</v>
      </c>
      <c r="AC2" s="3">
        <f ca="1">IFERROR(__xludf.DUMMYFUNCTION("""COMPUTED_VALUE"""),-0.475803660107388)</f>
        <v>-0.475803660107388</v>
      </c>
      <c r="AD2" s="3">
        <f ca="1">IFERROR(__xludf.DUMMYFUNCTION("""COMPUTED_VALUE"""),-0.493280470041207)</f>
        <v>-0.49328047004120701</v>
      </c>
      <c r="AE2" s="3">
        <f ca="1">IFERROR(__xludf.DUMMYFUNCTION("""COMPUTED_VALUE"""),-0.55935825643818)</f>
        <v>-0.55935825643818005</v>
      </c>
      <c r="AF2" s="3">
        <f ca="1">IFERROR(__xludf.DUMMYFUNCTION("""COMPUTED_VALUE"""),-0.569763750134475)</f>
        <v>-0.569763750134475</v>
      </c>
      <c r="AG2" s="3">
        <f ca="1">IFERROR(__xludf.DUMMYFUNCTION("""COMPUTED_VALUE"""),-0.573369923373993)</f>
        <v>-0.57336992337399295</v>
      </c>
      <c r="AH2" s="3">
        <f ca="1">IFERROR(__xludf.DUMMYFUNCTION("""COMPUTED_VALUE"""),-0.57322004858197)</f>
        <v>-0.57322004858196995</v>
      </c>
      <c r="AI2" s="3">
        <f ca="1">IFERROR(__xludf.DUMMYFUNCTION("""COMPUTED_VALUE"""),-0.556772132429742)</f>
        <v>-0.55677213242974199</v>
      </c>
      <c r="AJ2" s="3">
        <f ca="1">IFERROR(__xludf.DUMMYFUNCTION("""COMPUTED_VALUE"""),-0.47949878693828)</f>
        <v>-0.47949878693828002</v>
      </c>
      <c r="AK2" s="3">
        <f ca="1">IFERROR(__xludf.DUMMYFUNCTION("""COMPUTED_VALUE"""),-0.510241926022053)</f>
        <v>-0.51024192602205298</v>
      </c>
      <c r="AL2" s="3">
        <f ca="1">IFERROR(__xludf.DUMMYFUNCTION("""COMPUTED_VALUE"""),-0.575675680880328)</f>
        <v>-0.57567568088032794</v>
      </c>
      <c r="AM2" s="3">
        <f ca="1">IFERROR(__xludf.DUMMYFUNCTION("""COMPUTED_VALUE"""),-0.588009797650618)</f>
        <v>-0.588009797650618</v>
      </c>
      <c r="AN2" s="3">
        <f ca="1">IFERROR(__xludf.DUMMYFUNCTION("""COMPUTED_VALUE"""),-0.575015620221618)</f>
        <v>-0.57501562022161801</v>
      </c>
      <c r="AO2" s="3">
        <f ca="1">IFERROR(__xludf.DUMMYFUNCTION("""COMPUTED_VALUE"""),-0.592343224984018)</f>
        <v>-0.59234322498401804</v>
      </c>
      <c r="AP2" s="3">
        <f ca="1">IFERROR(__xludf.DUMMYFUNCTION("""COMPUTED_VALUE"""),-0.555304788642634)</f>
        <v>-0.555304788642634</v>
      </c>
      <c r="AQ2" s="3">
        <f ca="1">IFERROR(__xludf.DUMMYFUNCTION("""COMPUTED_VALUE"""),-0.469677666483809)</f>
        <v>-0.46967766648380899</v>
      </c>
      <c r="AR2" s="3">
        <f ca="1">IFERROR(__xludf.DUMMYFUNCTION("""COMPUTED_VALUE"""),-0.506046889755593)</f>
        <v>-0.50604688975559298</v>
      </c>
      <c r="AS2" s="3">
        <f ca="1">IFERROR(__xludf.DUMMYFUNCTION("""COMPUTED_VALUE"""),-0.565789646123066)</f>
        <v>-0.56578964612306604</v>
      </c>
      <c r="AT2" s="3">
        <f ca="1">IFERROR(__xludf.DUMMYFUNCTION("""COMPUTED_VALUE"""),-0.574586749967332)</f>
        <v>-0.57458674996733206</v>
      </c>
      <c r="AU2" s="3">
        <f ca="1">IFERROR(__xludf.DUMMYFUNCTION("""COMPUTED_VALUE"""),-0.551095861234865)</f>
        <v>-0.55109586123486498</v>
      </c>
      <c r="AV2" s="3">
        <f ca="1">IFERROR(__xludf.DUMMYFUNCTION("""COMPUTED_VALUE"""),-0.584511223417369)</f>
        <v>-0.58451122341736905</v>
      </c>
      <c r="AW2" s="3">
        <f ca="1">IFERROR(__xludf.DUMMYFUNCTION("""COMPUTED_VALUE"""),-0.541187757454647)</f>
        <v>-0.54118775745464698</v>
      </c>
      <c r="AX2" s="3">
        <f ca="1">IFERROR(__xludf.DUMMYFUNCTION("""COMPUTED_VALUE"""),-0.467733295968585)</f>
        <v>-0.46773329596858498</v>
      </c>
      <c r="AY2" s="3">
        <f ca="1">IFERROR(__xludf.DUMMYFUNCTION("""COMPUTED_VALUE"""),-0.493188068892171)</f>
        <v>-0.49318806889217098</v>
      </c>
      <c r="AZ2" s="3">
        <f ca="1">IFERROR(__xludf.DUMMYFUNCTION("""COMPUTED_VALUE"""),-0.572527407922859)</f>
        <v>-0.57252740792285906</v>
      </c>
      <c r="BA2" s="3">
        <f ca="1">IFERROR(__xludf.DUMMYFUNCTION("""COMPUTED_VALUE"""),-0.605905132078775)</f>
        <v>-0.60590513207877505</v>
      </c>
      <c r="BB2" s="3">
        <f ca="1">IFERROR(__xludf.DUMMYFUNCTION("""COMPUTED_VALUE"""),-0.567687056831371)</f>
        <v>-0.567687056831371</v>
      </c>
      <c r="BC2" s="3">
        <f ca="1">IFERROR(__xludf.DUMMYFUNCTION("""COMPUTED_VALUE"""),-0.568973453934518)</f>
        <v>-0.56897345393451804</v>
      </c>
      <c r="BD2" s="3">
        <f ca="1">IFERROR(__xludf.DUMMYFUNCTION("""COMPUTED_VALUE"""),-0.565621168333803)</f>
        <v>-0.56562116833380305</v>
      </c>
      <c r="BE2" s="3">
        <f ca="1">IFERROR(__xludf.DUMMYFUNCTION("""COMPUTED_VALUE"""),-0.465685881175247)</f>
        <v>-0.46568588117524701</v>
      </c>
      <c r="BF2" s="3">
        <f ca="1">IFERROR(__xludf.DUMMYFUNCTION("""COMPUTED_VALUE"""),-0.514466652868161)</f>
        <v>-0.51446665286816096</v>
      </c>
      <c r="BG2" s="3">
        <f ca="1">IFERROR(__xludf.DUMMYFUNCTION("""COMPUTED_VALUE"""),-0.60003977139026)</f>
        <v>-0.60003977139025999</v>
      </c>
      <c r="BH2" s="3">
        <f ca="1">IFERROR(__xludf.DUMMYFUNCTION("""COMPUTED_VALUE"""),-0.613283057888631)</f>
        <v>-0.61328305788863102</v>
      </c>
      <c r="BI2" s="3">
        <f ca="1">IFERROR(__xludf.DUMMYFUNCTION("""COMPUTED_VALUE"""),-0.608000443040353)</f>
        <v>-0.60800044304035294</v>
      </c>
      <c r="BJ2" s="3">
        <f ca="1">IFERROR(__xludf.DUMMYFUNCTION("""COMPUTED_VALUE"""),-0.607460801572244)</f>
        <v>-0.60746080157224402</v>
      </c>
      <c r="BK2" s="3">
        <f ca="1">IFERROR(__xludf.DUMMYFUNCTION("""COMPUTED_VALUE"""),-0.574349348771393)</f>
        <v>-0.57434934877139299</v>
      </c>
      <c r="BL2" s="3">
        <f ca="1">IFERROR(__xludf.DUMMYFUNCTION("""COMPUTED_VALUE"""),-0.527069416879744)</f>
        <v>-0.52706941687974396</v>
      </c>
      <c r="BM2" s="3">
        <f ca="1">IFERROR(__xludf.DUMMYFUNCTION("""COMPUTED_VALUE"""),-0.509671975634717)</f>
        <v>-0.509671975634717</v>
      </c>
      <c r="BN2" s="3">
        <f ca="1">IFERROR(__xludf.DUMMYFUNCTION("""COMPUTED_VALUE"""),-0.596007447941293)</f>
        <v>-0.59600744794129301</v>
      </c>
      <c r="BO2" s="3">
        <f ca="1">IFERROR(__xludf.DUMMYFUNCTION("""COMPUTED_VALUE"""),-0.600954552082865)</f>
        <v>-0.60095455208286497</v>
      </c>
      <c r="BP2" s="3">
        <f ca="1">IFERROR(__xludf.DUMMYFUNCTION("""COMPUTED_VALUE"""),-0.599514546511074)</f>
        <v>-0.59951454651107405</v>
      </c>
      <c r="BQ2" s="3">
        <f ca="1">IFERROR(__xludf.DUMMYFUNCTION("""COMPUTED_VALUE"""),-0.624339686140082)</f>
        <v>-0.62433968614008195</v>
      </c>
      <c r="BR2" s="3">
        <f ca="1">IFERROR(__xludf.DUMMYFUNCTION("""COMPUTED_VALUE"""),-0.629613867354484)</f>
        <v>-0.62961386735448399</v>
      </c>
      <c r="BS2" s="3">
        <f ca="1">IFERROR(__xludf.DUMMYFUNCTION("""COMPUTED_VALUE"""),-0.540050442756612)</f>
        <v>-0.54005044275661196</v>
      </c>
      <c r="BT2" s="3">
        <f ca="1">IFERROR(__xludf.DUMMYFUNCTION("""COMPUTED_VALUE"""),-0.560896094563359)</f>
        <v>-0.56089609456335898</v>
      </c>
      <c r="BU2" s="3">
        <f ca="1">IFERROR(__xludf.DUMMYFUNCTION("""COMPUTED_VALUE"""),-0.651813996937808)</f>
        <v>-0.65181399693780795</v>
      </c>
      <c r="BV2" s="3">
        <f ca="1">IFERROR(__xludf.DUMMYFUNCTION("""COMPUTED_VALUE"""),-0.649352279250372)</f>
        <v>-0.64935227925037198</v>
      </c>
      <c r="BW2" s="3">
        <f ca="1">IFERROR(__xludf.DUMMYFUNCTION("""COMPUTED_VALUE"""),-0.645895489579806)</f>
        <v>-0.64589548957980603</v>
      </c>
      <c r="BX2" s="3">
        <f ca="1">IFERROR(__xludf.DUMMYFUNCTION("""COMPUTED_VALUE"""),-0.651991658728943)</f>
        <v>-0.65199165872894305</v>
      </c>
      <c r="BY2" s="3">
        <f ca="1">IFERROR(__xludf.DUMMYFUNCTION("""COMPUTED_VALUE"""),-0.613650612013817)</f>
        <v>-0.61365061201381699</v>
      </c>
      <c r="BZ2" s="3">
        <f ca="1">IFERROR(__xludf.DUMMYFUNCTION("""COMPUTED_VALUE"""),-0.555105436725497)</f>
        <v>-0.55510543672549695</v>
      </c>
      <c r="CA2" s="3">
        <f ca="1">IFERROR(__xludf.DUMMYFUNCTION("""COMPUTED_VALUE"""),-0.549811372682268)</f>
        <v>-0.54981137268226798</v>
      </c>
      <c r="CB2" s="3">
        <f ca="1">IFERROR(__xludf.DUMMYFUNCTION("""COMPUTED_VALUE"""),-0.631189110290391)</f>
        <v>-0.63118911029039104</v>
      </c>
      <c r="CC2" s="3">
        <f ca="1">IFERROR(__xludf.DUMMYFUNCTION("""COMPUTED_VALUE"""),-0.641466505975814)</f>
        <v>-0.64146650597581401</v>
      </c>
      <c r="CD2" s="3">
        <f ca="1">IFERROR(__xludf.DUMMYFUNCTION("""COMPUTED_VALUE"""),-0.649152049219955)</f>
        <v>-0.64915204921995495</v>
      </c>
      <c r="CE2" s="3">
        <f ca="1">IFERROR(__xludf.DUMMYFUNCTION("""COMPUTED_VALUE"""),-0.640704850092414)</f>
        <v>-0.64070485009241396</v>
      </c>
      <c r="CF2" s="3">
        <f ca="1">IFERROR(__xludf.DUMMYFUNCTION("""COMPUTED_VALUE"""),-0.619950690602299)</f>
        <v>-0.61995069060229901</v>
      </c>
      <c r="CG2" s="3">
        <f ca="1">IFERROR(__xludf.DUMMYFUNCTION("""COMPUTED_VALUE"""),-0.544453343730227)</f>
        <v>-0.54445334373022702</v>
      </c>
      <c r="CH2" s="3">
        <f ca="1">IFERROR(__xludf.DUMMYFUNCTION("""COMPUTED_VALUE"""),-0.552429727564045)</f>
        <v>-0.55242972756404496</v>
      </c>
      <c r="CI2" s="3">
        <f ca="1">IFERROR(__xludf.DUMMYFUNCTION("""COMPUTED_VALUE"""),-0.636509771302978)</f>
        <v>-0.63650977130297803</v>
      </c>
      <c r="CJ2" s="3">
        <f ca="1">IFERROR(__xludf.DUMMYFUNCTION("""COMPUTED_VALUE"""),-0.643072954691664)</f>
        <v>-0.64307295469166403</v>
      </c>
      <c r="CK2" s="3">
        <f ca="1">IFERROR(__xludf.DUMMYFUNCTION("""COMPUTED_VALUE"""),-0.641922131502515)</f>
        <v>-0.64192213150251498</v>
      </c>
      <c r="CL2" s="3">
        <f ca="1">IFERROR(__xludf.DUMMYFUNCTION("""COMPUTED_VALUE"""),-0.634867091347809)</f>
        <v>-0.63486709134780905</v>
      </c>
      <c r="CM2" s="3">
        <f ca="1">IFERROR(__xludf.DUMMYFUNCTION("""COMPUTED_VALUE"""),-0.620448497621628)</f>
        <v>-0.62044849762162801</v>
      </c>
      <c r="CN2" s="3">
        <f ca="1">IFERROR(__xludf.DUMMYFUNCTION("""COMPUTED_VALUE"""),-0.549381466611907)</f>
        <v>-0.54938146661190701</v>
      </c>
      <c r="CO2" s="3">
        <f ca="1">IFERROR(__xludf.DUMMYFUNCTION("""COMPUTED_VALUE"""),-0.545903062883472)</f>
        <v>-0.54590306288347201</v>
      </c>
      <c r="CP2" s="3">
        <f ca="1">IFERROR(__xludf.DUMMYFUNCTION("""COMPUTED_VALUE"""),-0.619273580078741)</f>
        <v>-0.619273580078741</v>
      </c>
      <c r="CQ2" s="3">
        <f ca="1">IFERROR(__xludf.DUMMYFUNCTION("""COMPUTED_VALUE"""),-0.619593866457861)</f>
        <v>-0.61959386645786096</v>
      </c>
      <c r="CR2" s="3">
        <f ca="1">IFERROR(__xludf.DUMMYFUNCTION("""COMPUTED_VALUE"""),-0.581409382464999)</f>
        <v>-0.58140938246499896</v>
      </c>
      <c r="CS2" s="3">
        <f ca="1">IFERROR(__xludf.DUMMYFUNCTION("""COMPUTED_VALUE"""),-0.611503437567781)</f>
        <v>-0.61150343756778103</v>
      </c>
      <c r="CT2" s="3">
        <f ca="1">IFERROR(__xludf.DUMMYFUNCTION("""COMPUTED_VALUE"""),-0.604403926410199)</f>
        <v>-0.60440392641019902</v>
      </c>
      <c r="CU2" s="3">
        <f ca="1">IFERROR(__xludf.DUMMYFUNCTION("""COMPUTED_VALUE"""),-0.569386062994341)</f>
        <v>-0.56938606299434102</v>
      </c>
      <c r="CV2" s="3">
        <f ca="1">IFERROR(__xludf.DUMMYFUNCTION("""COMPUTED_VALUE"""),-0.586560360990399)</f>
        <v>-0.58656036099039899</v>
      </c>
      <c r="CW2" s="3">
        <f ca="1">IFERROR(__xludf.DUMMYFUNCTION("""COMPUTED_VALUE"""),-0.721596358653695)</f>
        <v>-0.72159635865369498</v>
      </c>
      <c r="CX2" s="3">
        <f ca="1">IFERROR(__xludf.DUMMYFUNCTION("""COMPUTED_VALUE"""),-0.577790462522317)</f>
        <v>-0.57779046252231703</v>
      </c>
      <c r="CY2" s="3">
        <f ca="1">IFERROR(__xludf.DUMMYFUNCTION("""COMPUTED_VALUE"""),-0.441577984812476)</f>
        <v>-0.44157798481247601</v>
      </c>
      <c r="CZ2" s="3">
        <f ca="1">IFERROR(__xludf.DUMMYFUNCTION("""COMPUTED_VALUE"""),-0.566806752097766)</f>
        <v>-0.56680675209776599</v>
      </c>
      <c r="DA2" s="3">
        <f ca="1">IFERROR(__xludf.DUMMYFUNCTION("""COMPUTED_VALUE"""),-0.587288835961024)</f>
        <v>-0.58728883596102399</v>
      </c>
      <c r="DB2" s="3">
        <f ca="1">IFERROR(__xludf.DUMMYFUNCTION("""COMPUTED_VALUE"""),-0.549060663568434)</f>
        <v>-0.54906066356843397</v>
      </c>
      <c r="DC2" s="3">
        <f ca="1">IFERROR(__xludf.DUMMYFUNCTION("""COMPUTED_VALUE"""),-0.596103021648924)</f>
        <v>-0.59610302164892404</v>
      </c>
      <c r="DD2" s="3">
        <f ca="1">IFERROR(__xludf.DUMMYFUNCTION("""COMPUTED_VALUE"""),-0.775007788040405)</f>
        <v>-0.77500778804040504</v>
      </c>
      <c r="DE2" s="3">
        <f ca="1">IFERROR(__xludf.DUMMYFUNCTION("""COMPUTED_VALUE"""),-0.574093878700817)</f>
        <v>-0.57409387870081696</v>
      </c>
      <c r="DF2" s="3">
        <f ca="1">IFERROR(__xludf.DUMMYFUNCTION("""COMPUTED_VALUE"""),-0.365210265928254)</f>
        <v>-0.36521026592825401</v>
      </c>
      <c r="DG2" s="3">
        <f ca="1">IFERROR(__xludf.DUMMYFUNCTION("""COMPUTED_VALUE"""),-0.509288941061403)</f>
        <v>-0.50928894106140299</v>
      </c>
      <c r="DH2" s="3">
        <f ca="1">IFERROR(__xludf.DUMMYFUNCTION("""COMPUTED_VALUE"""),-0.537777946977949)</f>
        <v>-0.53777794697794901</v>
      </c>
      <c r="DI2" s="3">
        <f ca="1">IFERROR(__xludf.DUMMYFUNCTION("""COMPUTED_VALUE"""),-0.510358608751446)</f>
        <v>-0.51035860875144601</v>
      </c>
      <c r="DJ2" s="3">
        <f ca="1">IFERROR(__xludf.DUMMYFUNCTION("""COMPUTED_VALUE"""),-0.516775041085194)</f>
        <v>-0.51677504108519401</v>
      </c>
      <c r="DK2" s="3">
        <f ca="1">IFERROR(__xludf.DUMMYFUNCTION("""COMPUTED_VALUE"""),-0.570604261133093)</f>
        <v>-0.57060426113309304</v>
      </c>
      <c r="DL2" s="3">
        <f ca="1">IFERROR(__xludf.DUMMYFUNCTION("""COMPUTED_VALUE"""),-0.578351505522251)</f>
        <v>-0.57835150552225101</v>
      </c>
      <c r="DM2" s="3">
        <f ca="1">IFERROR(__xludf.DUMMYFUNCTION("""COMPUTED_VALUE"""),-0.509249461769309)</f>
        <v>-0.50924946176930896</v>
      </c>
      <c r="DN2" s="3">
        <f ca="1">IFERROR(__xludf.DUMMYFUNCTION("""COMPUTED_VALUE"""),-0.573482451523316)</f>
        <v>-0.57348245152331601</v>
      </c>
      <c r="DO2" s="3">
        <f ca="1">IFERROR(__xludf.DUMMYFUNCTION("""COMPUTED_VALUE"""),-0.60939212567142)</f>
        <v>-0.60939212567141998</v>
      </c>
      <c r="DP2" s="3">
        <f ca="1">IFERROR(__xludf.DUMMYFUNCTION("""COMPUTED_VALUE"""),-0.535126424897256)</f>
        <v>-0.53512642489725604</v>
      </c>
      <c r="DQ2" s="3">
        <f ca="1">IFERROR(__xludf.DUMMYFUNCTION("""COMPUTED_VALUE"""),-0.556982744261609)</f>
        <v>-0.55698274426160899</v>
      </c>
      <c r="DR2" s="3">
        <f ca="1">IFERROR(__xludf.DUMMYFUNCTION("""COMPUTED_VALUE"""),-0.62168503620871)</f>
        <v>-0.62168503620870996</v>
      </c>
      <c r="DS2" s="3">
        <f ca="1">IFERROR(__xludf.DUMMYFUNCTION("""COMPUTED_VALUE"""),-0.627387135536843)</f>
        <v>-0.627387135536843</v>
      </c>
      <c r="DT2" s="3">
        <f ca="1">IFERROR(__xludf.DUMMYFUNCTION("""COMPUTED_VALUE"""),-0.640929897829388)</f>
        <v>-0.64092989782938803</v>
      </c>
      <c r="DU2" s="3">
        <f ca="1">IFERROR(__xludf.DUMMYFUNCTION("""COMPUTED_VALUE"""),-0.630817909860581)</f>
        <v>-0.63081790986058095</v>
      </c>
      <c r="DV2" s="3">
        <f ca="1">IFERROR(__xludf.DUMMYFUNCTION("""COMPUTED_VALUE"""),-0.620503692819087)</f>
        <v>-0.62050369281908702</v>
      </c>
      <c r="DW2" s="3">
        <f ca="1">IFERROR(__xludf.DUMMYFUNCTION("""COMPUTED_VALUE"""),-0.523832793047086)</f>
        <v>-0.52383279304708597</v>
      </c>
      <c r="DX2" s="3">
        <f ca="1">IFERROR(__xludf.DUMMYFUNCTION("""COMPUTED_VALUE"""),-0.568830148634742)</f>
        <v>-0.56883014863474202</v>
      </c>
      <c r="DY2" s="3">
        <f ca="1">IFERROR(__xludf.DUMMYFUNCTION("""COMPUTED_VALUE"""),-0.60887412275141)</f>
        <v>-0.60887412275140995</v>
      </c>
      <c r="DZ2" s="3">
        <f ca="1">IFERROR(__xludf.DUMMYFUNCTION("""COMPUTED_VALUE"""),-0.598767082013428)</f>
        <v>-0.59876708201342799</v>
      </c>
      <c r="EA2" s="3">
        <f ca="1">IFERROR(__xludf.DUMMYFUNCTION("""COMPUTED_VALUE"""),-0.638845351635472)</f>
        <v>-0.63884535163547196</v>
      </c>
      <c r="EB2" s="3">
        <f ca="1">IFERROR(__xludf.DUMMYFUNCTION("""COMPUTED_VALUE"""),-0.627607544477283)</f>
        <v>-0.62760754447728295</v>
      </c>
      <c r="EC2" s="3">
        <f ca="1">IFERROR(__xludf.DUMMYFUNCTION("""COMPUTED_VALUE"""),-0.637245648656799)</f>
        <v>-0.637245648656799</v>
      </c>
      <c r="ED2" s="3">
        <f ca="1">IFERROR(__xludf.DUMMYFUNCTION("""COMPUTED_VALUE"""),-0.514446063001933)</f>
        <v>-0.51444606300193296</v>
      </c>
      <c r="EE2" s="3">
        <f ca="1">IFERROR(__xludf.DUMMYFUNCTION("""COMPUTED_VALUE"""),-0.560775461174852)</f>
        <v>-0.560775461174852</v>
      </c>
      <c r="EF2" s="3">
        <f ca="1">IFERROR(__xludf.DUMMYFUNCTION("""COMPUTED_VALUE"""),-0.628493272844703)</f>
        <v>-0.62849327284470302</v>
      </c>
      <c r="EG2" s="3">
        <f ca="1">IFERROR(__xludf.DUMMYFUNCTION("""COMPUTED_VALUE"""),-0.680805356954174)</f>
        <v>-0.68080535695417399</v>
      </c>
      <c r="EH2" s="3">
        <f ca="1">IFERROR(__xludf.DUMMYFUNCTION("""COMPUTED_VALUE"""),-0.623215065628867)</f>
        <v>-0.62321506562886697</v>
      </c>
      <c r="EI2" s="3">
        <f ca="1">IFERROR(__xludf.DUMMYFUNCTION("""COMPUTED_VALUE"""),-0.626055748908634)</f>
        <v>-0.62605574890863402</v>
      </c>
      <c r="EJ2" s="3">
        <f ca="1">IFERROR(__xludf.DUMMYFUNCTION("""COMPUTED_VALUE"""),-0.611941734651575)</f>
        <v>-0.61194173465157498</v>
      </c>
      <c r="EK2" s="3">
        <f ca="1">IFERROR(__xludf.DUMMYFUNCTION("""COMPUTED_VALUE"""),-0.514321841826704)</f>
        <v>-0.51432184182670404</v>
      </c>
      <c r="EL2" s="3">
        <f ca="1">IFERROR(__xludf.DUMMYFUNCTION("""COMPUTED_VALUE"""),-0.533904932854775)</f>
        <v>-0.53390493285477503</v>
      </c>
      <c r="EM2" s="3">
        <f ca="1">IFERROR(__xludf.DUMMYFUNCTION("""COMPUTED_VALUE"""),-0.585423082802441)</f>
        <v>-0.58542308280244104</v>
      </c>
      <c r="EN2" s="3">
        <f ca="1">IFERROR(__xludf.DUMMYFUNCTION("""COMPUTED_VALUE"""),-0.596411072121864)</f>
        <v>-0.59641107212186395</v>
      </c>
      <c r="EO2" s="3">
        <f ca="1">IFERROR(__xludf.DUMMYFUNCTION("""COMPUTED_VALUE"""),-0.626003768125562)</f>
        <v>-0.62600376812556202</v>
      </c>
      <c r="EP2" s="3">
        <f ca="1">IFERROR(__xludf.DUMMYFUNCTION("""COMPUTED_VALUE"""),-0.623854648595569)</f>
        <v>-0.62385464859556905</v>
      </c>
      <c r="EQ2" s="3">
        <f ca="1">IFERROR(__xludf.DUMMYFUNCTION("""COMPUTED_VALUE"""),-0.596102765231206)</f>
        <v>-0.59610276523120598</v>
      </c>
      <c r="ER2" s="3">
        <f ca="1">IFERROR(__xludf.DUMMYFUNCTION("""COMPUTED_VALUE"""),-0.53806444397691)</f>
        <v>-0.53806444397691</v>
      </c>
      <c r="ES2" s="3">
        <f ca="1">IFERROR(__xludf.DUMMYFUNCTION("""COMPUTED_VALUE"""),-0.541561424948281)</f>
        <v>-0.54156142494828097</v>
      </c>
      <c r="ET2" s="3">
        <f ca="1">IFERROR(__xludf.DUMMYFUNCTION("""COMPUTED_VALUE"""),-0.621375814035212)</f>
        <v>-0.62137581403521203</v>
      </c>
      <c r="EU2" s="3">
        <f ca="1">IFERROR(__xludf.DUMMYFUNCTION("""COMPUTED_VALUE"""),-0.637207838353506)</f>
        <v>-0.63720783835350603</v>
      </c>
      <c r="EV2" s="3">
        <f ca="1">IFERROR(__xludf.DUMMYFUNCTION("""COMPUTED_VALUE"""),-0.660026141048718)</f>
        <v>-0.66002614104871804</v>
      </c>
      <c r="EW2" s="3">
        <f ca="1">IFERROR(__xludf.DUMMYFUNCTION("""COMPUTED_VALUE"""),-0.597944047131964)</f>
        <v>-0.59794404713196403</v>
      </c>
      <c r="EX2" s="3">
        <f ca="1">IFERROR(__xludf.DUMMYFUNCTION("""COMPUTED_VALUE"""),-0.573244710209574)</f>
        <v>-0.57324471020957402</v>
      </c>
      <c r="EY2" s="3">
        <f ca="1">IFERROR(__xludf.DUMMYFUNCTION("""COMPUTED_VALUE"""),-0.504478833478039)</f>
        <v>-0.50447883347803901</v>
      </c>
      <c r="EZ2" s="3">
        <f ca="1">IFERROR(__xludf.DUMMYFUNCTION("""COMPUTED_VALUE"""),-0.529906344754395)</f>
        <v>-0.52990634475439502</v>
      </c>
      <c r="FA2" s="3">
        <f ca="1">IFERROR(__xludf.DUMMYFUNCTION("""COMPUTED_VALUE"""),-0.599619042285542)</f>
        <v>-0.59961904228554197</v>
      </c>
      <c r="FB2" s="3">
        <f ca="1">IFERROR(__xludf.DUMMYFUNCTION("""COMPUTED_VALUE"""),-0.613920562961655)</f>
        <v>-0.61392056296165498</v>
      </c>
      <c r="FC2" s="3">
        <f ca="1">IFERROR(__xludf.DUMMYFUNCTION("""COMPUTED_VALUE"""),-0.623950902365192)</f>
        <v>-0.62395090236519202</v>
      </c>
      <c r="FD2" s="3">
        <f ca="1">IFERROR(__xludf.DUMMYFUNCTION("""COMPUTED_VALUE"""),-0.617758706181711)</f>
        <v>-0.61775870618171103</v>
      </c>
      <c r="FE2" s="3">
        <f ca="1">IFERROR(__xludf.DUMMYFUNCTION("""COMPUTED_VALUE"""),-0.578242741794282)</f>
        <v>-0.57824274179428203</v>
      </c>
      <c r="FF2" s="3">
        <f ca="1">IFERROR(__xludf.DUMMYFUNCTION("""COMPUTED_VALUE"""),-0.51562960548374)</f>
        <v>-0.51562960548374004</v>
      </c>
      <c r="FG2" s="3">
        <f ca="1">IFERROR(__xludf.DUMMYFUNCTION("""COMPUTED_VALUE"""),-0.529622036882497)</f>
        <v>-0.52962203688249698</v>
      </c>
      <c r="FH2" s="3">
        <f ca="1">IFERROR(__xludf.DUMMYFUNCTION("""COMPUTED_VALUE"""),-0.627441233963651)</f>
        <v>-0.62744123396365103</v>
      </c>
      <c r="FI2" s="3">
        <f ca="1">IFERROR(__xludf.DUMMYFUNCTION("""COMPUTED_VALUE"""),-0.626391216919652)</f>
        <v>-0.62639121691965205</v>
      </c>
      <c r="FJ2" s="3">
        <f ca="1">IFERROR(__xludf.DUMMYFUNCTION("""COMPUTED_VALUE"""),-0.610456842426753)</f>
        <v>-0.61045684242675302</v>
      </c>
      <c r="FK2" s="3">
        <f ca="1">IFERROR(__xludf.DUMMYFUNCTION("""COMPUTED_VALUE"""),-0.596701084077525)</f>
        <v>-0.59670108407752498</v>
      </c>
      <c r="FL2" s="3">
        <f ca="1">IFERROR(__xludf.DUMMYFUNCTION("""COMPUTED_VALUE"""),-0.597788071914995)</f>
        <v>-0.59778807191499495</v>
      </c>
      <c r="FM2" s="3">
        <f ca="1">IFERROR(__xludf.DUMMYFUNCTION("""COMPUTED_VALUE"""),-0.487769367815717)</f>
        <v>-0.487769367815717</v>
      </c>
      <c r="FN2" s="3">
        <f ca="1">IFERROR(__xludf.DUMMYFUNCTION("""COMPUTED_VALUE"""),-0.518272008714776)</f>
        <v>-0.51827200871477597</v>
      </c>
      <c r="FO2" s="3">
        <f ca="1">IFERROR(__xludf.DUMMYFUNCTION("""COMPUTED_VALUE"""),-0.597043020312358)</f>
        <v>-0.59704302031235801</v>
      </c>
      <c r="FP2" s="3">
        <f ca="1">IFERROR(__xludf.DUMMYFUNCTION("""COMPUTED_VALUE"""),-0.602414521387887)</f>
        <v>-0.60241452138788698</v>
      </c>
      <c r="FQ2" s="3">
        <f ca="1">IFERROR(__xludf.DUMMYFUNCTION("""COMPUTED_VALUE"""),-0.600200217363415)</f>
        <v>-0.600200217363415</v>
      </c>
      <c r="FR2" s="3">
        <f ca="1">IFERROR(__xludf.DUMMYFUNCTION("""COMPUTED_VALUE"""),-0.588374617815743)</f>
        <v>-0.58837461781574296</v>
      </c>
      <c r="FS2" s="3">
        <f ca="1">IFERROR(__xludf.DUMMYFUNCTION("""COMPUTED_VALUE"""),-0.543052145501435)</f>
        <v>-0.54305214550143499</v>
      </c>
      <c r="FT2" s="3">
        <f ca="1">IFERROR(__xludf.DUMMYFUNCTION("""COMPUTED_VALUE"""),-0.474229606698999)</f>
        <v>-0.474229606698999</v>
      </c>
      <c r="FU2" s="3">
        <f ca="1">IFERROR(__xludf.DUMMYFUNCTION("""COMPUTED_VALUE"""),-0.512764332668706)</f>
        <v>-0.51276433266870602</v>
      </c>
      <c r="FV2" s="3">
        <f ca="1">IFERROR(__xludf.DUMMYFUNCTION("""COMPUTED_VALUE"""),-0.60815858688001)</f>
        <v>-0.60815858688001001</v>
      </c>
      <c r="FW2" s="3">
        <f ca="1">IFERROR(__xludf.DUMMYFUNCTION("""COMPUTED_VALUE"""),-0.58968032329818)</f>
        <v>-0.58968032329817999</v>
      </c>
      <c r="FX2" s="3">
        <f ca="1">IFERROR(__xludf.DUMMYFUNCTION("""COMPUTED_VALUE"""),-0.585486859433521)</f>
        <v>-0.58548685943352097</v>
      </c>
      <c r="FY2" s="3">
        <f ca="1">IFERROR(__xludf.DUMMYFUNCTION("""COMPUTED_VALUE"""),-0.602283416306866)</f>
        <v>-0.60228341630686599</v>
      </c>
      <c r="FZ2" s="3">
        <f ca="1">IFERROR(__xludf.DUMMYFUNCTION("""COMPUTED_VALUE"""),-0.61512548569221)</f>
        <v>-0.61512548569221004</v>
      </c>
      <c r="GA2" s="3">
        <f ca="1">IFERROR(__xludf.DUMMYFUNCTION("""COMPUTED_VALUE"""),-0.491575252457833)</f>
        <v>-0.49157525245783301</v>
      </c>
      <c r="GB2" s="3">
        <f ca="1">IFERROR(__xludf.DUMMYFUNCTION("""COMPUTED_VALUE"""),-0.508220078630276)</f>
        <v>-0.50822007863027596</v>
      </c>
      <c r="GC2" s="3">
        <f ca="1">IFERROR(__xludf.DUMMYFUNCTION("""COMPUTED_VALUE"""),-0.587381969226471)</f>
        <v>-0.58738196922647101</v>
      </c>
      <c r="GD2" s="3">
        <f ca="1">IFERROR(__xludf.DUMMYFUNCTION("""COMPUTED_VALUE"""),-0.59204686577144)</f>
        <v>-0.59204686577143995</v>
      </c>
      <c r="GE2" s="3">
        <f ca="1">IFERROR(__xludf.DUMMYFUNCTION("""COMPUTED_VALUE"""),-0.582744308856268)</f>
        <v>-0.58274430885626805</v>
      </c>
      <c r="GF2" s="3">
        <f ca="1">IFERROR(__xludf.DUMMYFUNCTION("""COMPUTED_VALUE"""),-0.578667670984545)</f>
        <v>-0.57866767098454497</v>
      </c>
      <c r="GG2" s="3">
        <f ca="1">IFERROR(__xludf.DUMMYFUNCTION("""COMPUTED_VALUE"""),-0.526852643317371)</f>
        <v>-0.52685264331737103</v>
      </c>
      <c r="GH2" s="3">
        <f ca="1">IFERROR(__xludf.DUMMYFUNCTION("""COMPUTED_VALUE"""),-0.503435850773823)</f>
        <v>-0.50343585077382302</v>
      </c>
      <c r="GI2" s="3">
        <f ca="1">IFERROR(__xludf.DUMMYFUNCTION("""COMPUTED_VALUE"""),-0.507485067147066)</f>
        <v>-0.50748506714706598</v>
      </c>
      <c r="GJ2" s="3">
        <f ca="1">IFERROR(__xludf.DUMMYFUNCTION("""COMPUTED_VALUE"""),-0.586648995660647)</f>
        <v>-0.58664899566064699</v>
      </c>
      <c r="GK2" s="3">
        <f ca="1">IFERROR(__xludf.DUMMYFUNCTION("""COMPUTED_VALUE"""),-0.588292123591633)</f>
        <v>-0.58829212359163296</v>
      </c>
      <c r="GL2" s="3">
        <f ca="1">IFERROR(__xludf.DUMMYFUNCTION("""COMPUTED_VALUE"""),-0.581803441286893)</f>
        <v>-0.58180344128689299</v>
      </c>
      <c r="GM2" s="3">
        <f ca="1">IFERROR(__xludf.DUMMYFUNCTION("""COMPUTED_VALUE"""),-0.592873710685434)</f>
        <v>-0.59287371068543404</v>
      </c>
      <c r="GN2" s="3">
        <f ca="1">IFERROR(__xludf.DUMMYFUNCTION("""COMPUTED_VALUE"""),-0.571771443323156)</f>
        <v>-0.57177144332315599</v>
      </c>
      <c r="GO2" s="3">
        <f ca="1">IFERROR(__xludf.DUMMYFUNCTION("""COMPUTED_VALUE"""),-0.481920318282282)</f>
        <v>-0.48192031828228199</v>
      </c>
      <c r="GP2" s="3">
        <f ca="1">IFERROR(__xludf.DUMMYFUNCTION("""COMPUTED_VALUE"""),-0.505765946509276)</f>
        <v>-0.50576594650927598</v>
      </c>
      <c r="GQ2" s="3">
        <f ca="1">IFERROR(__xludf.DUMMYFUNCTION("""COMPUTED_VALUE"""),-0.587037299883604)</f>
        <v>-0.58703729988360398</v>
      </c>
      <c r="GR2" s="3">
        <f ca="1">IFERROR(__xludf.DUMMYFUNCTION("""COMPUTED_VALUE"""),-0.596247628738505)</f>
        <v>-0.59624762873850501</v>
      </c>
      <c r="GS2" s="3">
        <f ca="1">IFERROR(__xludf.DUMMYFUNCTION("""COMPUTED_VALUE"""),-0.59283458123295)</f>
        <v>-0.59283458123294996</v>
      </c>
      <c r="GT2" s="3">
        <f ca="1">IFERROR(__xludf.DUMMYFUNCTION("""COMPUTED_VALUE"""),-0.580621727680012)</f>
        <v>-0.58062172768001197</v>
      </c>
      <c r="GU2" s="3">
        <f ca="1">IFERROR(__xludf.DUMMYFUNCTION("""COMPUTED_VALUE"""),-0.558005314813206)</f>
        <v>-0.55800531481320603</v>
      </c>
      <c r="GV2" s="3">
        <f ca="1">IFERROR(__xludf.DUMMYFUNCTION("""COMPUTED_VALUE"""),-0.459068594713524)</f>
        <v>-0.45906859471352401</v>
      </c>
      <c r="GW2" s="3">
        <f ca="1">IFERROR(__xludf.DUMMYFUNCTION("""COMPUTED_VALUE"""),-0.489785189224164)</f>
        <v>-0.48978518922416397</v>
      </c>
      <c r="GX2" s="3">
        <f ca="1">IFERROR(__xludf.DUMMYFUNCTION("""COMPUTED_VALUE"""),-0.579246244110047)</f>
        <v>-0.57924624411004699</v>
      </c>
      <c r="GY2" s="3">
        <f ca="1">IFERROR(__xludf.DUMMYFUNCTION("""COMPUTED_VALUE"""),-0.589840267103821)</f>
        <v>-0.58984026710382098</v>
      </c>
      <c r="GZ2" s="3">
        <f ca="1">IFERROR(__xludf.DUMMYFUNCTION("""COMPUTED_VALUE"""),-0.589656074558037)</f>
        <v>-0.58965607455803704</v>
      </c>
      <c r="HA2" s="3">
        <f ca="1">IFERROR(__xludf.DUMMYFUNCTION("""COMPUTED_VALUE"""),-0.586796692811351)</f>
        <v>-0.58679669281135105</v>
      </c>
      <c r="HB2" s="3">
        <f ca="1">IFERROR(__xludf.DUMMYFUNCTION("""COMPUTED_VALUE"""),-0.571504279920818)</f>
        <v>-0.57150427992081798</v>
      </c>
      <c r="HC2" s="3">
        <f ca="1">IFERROR(__xludf.DUMMYFUNCTION("""COMPUTED_VALUE"""),-0.472743121839454)</f>
        <v>-0.47274312183945399</v>
      </c>
      <c r="HD2" s="3">
        <f ca="1">IFERROR(__xludf.DUMMYFUNCTION("""COMPUTED_VALUE"""),-0.478741632867263)</f>
        <v>-0.47874163286726301</v>
      </c>
      <c r="HE2" s="3">
        <f ca="1">IFERROR(__xludf.DUMMYFUNCTION("""COMPUTED_VALUE"""),-0.571397029553843)</f>
        <v>-0.57139702955384297</v>
      </c>
      <c r="HF2" s="3">
        <f ca="1">IFERROR(__xludf.DUMMYFUNCTION("""COMPUTED_VALUE"""),-0.594345303282935)</f>
        <v>-0.594345303282935</v>
      </c>
      <c r="HG2" s="3">
        <f ca="1">IFERROR(__xludf.DUMMYFUNCTION("""COMPUTED_VALUE"""),-0.577745171845088)</f>
        <v>-0.577745171845088</v>
      </c>
      <c r="HH2" s="3">
        <f ca="1">IFERROR(__xludf.DUMMYFUNCTION("""COMPUTED_VALUE"""),-0.564731146515602)</f>
        <v>-0.56473114651560197</v>
      </c>
      <c r="HI2" s="3">
        <f ca="1">IFERROR(__xludf.DUMMYFUNCTION("""COMPUTED_VALUE"""),-0.546714897843702)</f>
        <v>-0.54671489784370197</v>
      </c>
      <c r="HJ2" s="3">
        <f ca="1">IFERROR(__xludf.DUMMYFUNCTION("""COMPUTED_VALUE"""),-0.443993694171847)</f>
        <v>-0.44399369417184698</v>
      </c>
      <c r="HK2" s="3">
        <f ca="1">IFERROR(__xludf.DUMMYFUNCTION("""COMPUTED_VALUE"""),-0.461697586033075)</f>
        <v>-0.46169758603307498</v>
      </c>
      <c r="HL2" s="3">
        <f ca="1">IFERROR(__xludf.DUMMYFUNCTION("""COMPUTED_VALUE"""),-0.542526133105541)</f>
        <v>-0.54252613310554099</v>
      </c>
      <c r="HM2" s="3">
        <f ca="1">IFERROR(__xludf.DUMMYFUNCTION("""COMPUTED_VALUE"""),-0.565933235550669)</f>
        <v>-0.56593323555066899</v>
      </c>
      <c r="HN2" s="3">
        <f ca="1">IFERROR(__xludf.DUMMYFUNCTION("""COMPUTED_VALUE"""),-0.580234054213339)</f>
        <v>-0.58023405421333896</v>
      </c>
      <c r="HO2" s="3">
        <f ca="1">IFERROR(__xludf.DUMMYFUNCTION("""COMPUTED_VALUE"""),-0.561143047278371)</f>
        <v>-0.56114304727837105</v>
      </c>
      <c r="HP2" s="3">
        <f ca="1">IFERROR(__xludf.DUMMYFUNCTION("""COMPUTED_VALUE"""),-0.489658379375012)</f>
        <v>-0.489658379375012</v>
      </c>
      <c r="HQ2" s="3">
        <f ca="1">IFERROR(__xludf.DUMMYFUNCTION("""COMPUTED_VALUE"""),-0.413199748792964)</f>
        <v>-0.41319974879296401</v>
      </c>
      <c r="HR2" s="3">
        <f ca="1">IFERROR(__xludf.DUMMYFUNCTION("""COMPUTED_VALUE"""),-0.475678441398678)</f>
        <v>-0.47567844139867799</v>
      </c>
      <c r="HS2" s="3">
        <f ca="1">IFERROR(__xludf.DUMMYFUNCTION("""COMPUTED_VALUE"""),-0.511046821532863)</f>
        <v>-0.51104682153286296</v>
      </c>
      <c r="HT2" s="3">
        <f ca="1">IFERROR(__xludf.DUMMYFUNCTION("""COMPUTED_VALUE"""),-0.540414428873459)</f>
        <v>-0.54041442887345903</v>
      </c>
      <c r="HU2" s="3">
        <f ca="1">IFERROR(__xludf.DUMMYFUNCTION("""COMPUTED_VALUE"""),-0.528020391491265)</f>
        <v>-0.52802039149126501</v>
      </c>
      <c r="HV2" s="3">
        <f ca="1">IFERROR(__xludf.DUMMYFUNCTION("""COMPUTED_VALUE"""),-0.51309189647628)</f>
        <v>-0.51309189647627995</v>
      </c>
      <c r="HW2" s="3">
        <f ca="1">IFERROR(__xludf.DUMMYFUNCTION("""COMPUTED_VALUE"""),-0.425518282551676)</f>
        <v>-0.42551828255167601</v>
      </c>
      <c r="HX2" s="3">
        <f ca="1">IFERROR(__xludf.DUMMYFUNCTION("""COMPUTED_VALUE"""),-0.424503567854911)</f>
        <v>-0.424503567854911</v>
      </c>
      <c r="HY2" s="3">
        <f ca="1">IFERROR(__xludf.DUMMYFUNCTION("""COMPUTED_VALUE"""),-0.42476711892897)</f>
        <v>-0.42476711892897001</v>
      </c>
      <c r="HZ2" s="3">
        <f ca="1">IFERROR(__xludf.DUMMYFUNCTION("""COMPUTED_VALUE"""),-0.476413554112358)</f>
        <v>-0.47641355411235797</v>
      </c>
      <c r="IA2" s="3">
        <f ca="1">IFERROR(__xludf.DUMMYFUNCTION("""COMPUTED_VALUE"""),-0.497352016884446)</f>
        <v>-0.49735201688444602</v>
      </c>
      <c r="IB2" s="3">
        <f ca="1">IFERROR(__xludf.DUMMYFUNCTION("""COMPUTED_VALUE"""),-0.503346753546553)</f>
        <v>-0.50334675354655301</v>
      </c>
      <c r="IC2" s="3">
        <f ca="1">IFERROR(__xludf.DUMMYFUNCTION("""COMPUTED_VALUE"""),-0.481035181456136)</f>
        <v>-0.481035181456136</v>
      </c>
      <c r="ID2" s="3">
        <f ca="1">IFERROR(__xludf.DUMMYFUNCTION("""COMPUTED_VALUE"""),-0.48318597795806)</f>
        <v>-0.48318597795806001</v>
      </c>
      <c r="IE2" s="3">
        <f ca="1">IFERROR(__xludf.DUMMYFUNCTION("""COMPUTED_VALUE"""),-0.466528121979771)</f>
        <v>-0.466528121979771</v>
      </c>
      <c r="IF2" s="3">
        <f ca="1">IFERROR(__xludf.DUMMYFUNCTION("""COMPUTED_VALUE"""),-0.420141356292467)</f>
        <v>-0.42014135629246702</v>
      </c>
      <c r="IG2" s="3">
        <f ca="1">IFERROR(__xludf.DUMMYFUNCTION("""COMPUTED_VALUE"""),-0.465134499839816)</f>
        <v>-0.46513449983981597</v>
      </c>
      <c r="IH2" s="3">
        <f ca="1">IFERROR(__xludf.DUMMYFUNCTION("""COMPUTED_VALUE"""),-0.509161222013871)</f>
        <v>-0.50916122201387104</v>
      </c>
      <c r="II2" s="3">
        <f ca="1">IFERROR(__xludf.DUMMYFUNCTION("""COMPUTED_VALUE"""),-0.486007931739499)</f>
        <v>-0.48600793173949902</v>
      </c>
      <c r="IJ2" s="3">
        <f ca="1">IFERROR(__xludf.DUMMYFUNCTION("""COMPUTED_VALUE"""),-0.474314921158942)</f>
        <v>-0.47431492115894203</v>
      </c>
      <c r="IK2" s="3">
        <f ca="1">IFERROR(__xludf.DUMMYFUNCTION("""COMPUTED_VALUE"""),-0.445162504359181)</f>
        <v>-0.44516250435918098</v>
      </c>
      <c r="IL2" s="3">
        <f ca="1">IFERROR(__xludf.DUMMYFUNCTION("""COMPUTED_VALUE"""),-0.416535186354981)</f>
        <v>-0.41653518635498099</v>
      </c>
      <c r="IM2" s="3">
        <f ca="1">IFERROR(__xludf.DUMMYFUNCTION("""COMPUTED_VALUE"""),-0.438197885253011)</f>
        <v>-0.43819788525301101</v>
      </c>
      <c r="IN2" s="3">
        <f ca="1">IFERROR(__xludf.DUMMYFUNCTION("""COMPUTED_VALUE"""),-0.479715235513669)</f>
        <v>-0.47971523551366901</v>
      </c>
      <c r="IO2" s="3">
        <f ca="1">IFERROR(__xludf.DUMMYFUNCTION("""COMPUTED_VALUE"""),-0.494027103435199)</f>
        <v>-0.49402710343519901</v>
      </c>
      <c r="IP2" s="3">
        <f ca="1">IFERROR(__xludf.DUMMYFUNCTION("""COMPUTED_VALUE"""),-0.459789111662129)</f>
        <v>-0.45978911166212899</v>
      </c>
      <c r="IQ2" s="3">
        <f ca="1">IFERROR(__xludf.DUMMYFUNCTION("""COMPUTED_VALUE"""),-0.518199251869442)</f>
        <v>-0.51819925186944205</v>
      </c>
      <c r="IR2" s="3">
        <f ca="1">IFERROR(__xludf.DUMMYFUNCTION("""COMPUTED_VALUE"""),-0.482561421632673)</f>
        <v>-0.48256142163267302</v>
      </c>
      <c r="IS2" s="3">
        <f ca="1">IFERROR(__xludf.DUMMYFUNCTION("""COMPUTED_VALUE"""),-0.457801637409917)</f>
        <v>-0.45780163740991697</v>
      </c>
      <c r="IT2" s="3">
        <f ca="1">IFERROR(__xludf.DUMMYFUNCTION("""COMPUTED_VALUE"""),-0.437101940319974)</f>
        <v>-0.43710194031997401</v>
      </c>
      <c r="IU2" s="3">
        <f ca="1">IFERROR(__xludf.DUMMYFUNCTION("""COMPUTED_VALUE"""),-0.49729019770611)</f>
        <v>-0.49729019770610999</v>
      </c>
      <c r="IV2" s="3">
        <f ca="1">IFERROR(__xludf.DUMMYFUNCTION("""COMPUTED_VALUE"""),-0.511972408831087)</f>
        <v>-0.51197240883108697</v>
      </c>
      <c r="IW2" s="3">
        <f ca="1">IFERROR(__xludf.DUMMYFUNCTION("""COMPUTED_VALUE"""),-0.502336044216916)</f>
        <v>-0.50233604421691602</v>
      </c>
      <c r="IX2" s="3">
        <f ca="1">IFERROR(__xludf.DUMMYFUNCTION("""COMPUTED_VALUE"""),-0.510831292712646)</f>
        <v>-0.51083129271264605</v>
      </c>
      <c r="IY2" s="3">
        <f ca="1">IFERROR(__xludf.DUMMYFUNCTION("""COMPUTED_VALUE"""),-0.490382582060462)</f>
        <v>-0.49038258206046198</v>
      </c>
      <c r="IZ2" s="3">
        <f ca="1">IFERROR(__xludf.DUMMYFUNCTION("""COMPUTED_VALUE"""),-0.444242867484068)</f>
        <v>-0.44424286748406799</v>
      </c>
      <c r="JA2" s="3">
        <f ca="1">IFERROR(__xludf.DUMMYFUNCTION("""COMPUTED_VALUE"""),-0.447774979934752)</f>
        <v>-0.44777497993475202</v>
      </c>
      <c r="JB2" s="3">
        <f ca="1">IFERROR(__xludf.DUMMYFUNCTION("""COMPUTED_VALUE"""),-0.534864506146412)</f>
        <v>-0.53486450614641201</v>
      </c>
      <c r="JC2" s="3">
        <f ca="1">IFERROR(__xludf.DUMMYFUNCTION("""COMPUTED_VALUE"""),-0.538449473843169)</f>
        <v>-0.53844947384316899</v>
      </c>
      <c r="JD2" s="3">
        <f ca="1">IFERROR(__xludf.DUMMYFUNCTION("""COMPUTED_VALUE"""),-0.537047144006012)</f>
        <v>-0.53704714400601195</v>
      </c>
      <c r="JE2" s="3">
        <f ca="1">IFERROR(__xludf.DUMMYFUNCTION("""COMPUTED_VALUE"""),-0.522121019073117)</f>
        <v>-0.52212101907311703</v>
      </c>
      <c r="JF2" s="3">
        <f ca="1">IFERROR(__xludf.DUMMYFUNCTION("""COMPUTED_VALUE"""),-0.507929824492553)</f>
        <v>-0.50792982449255297</v>
      </c>
      <c r="JG2" s="3">
        <f ca="1">IFERROR(__xludf.DUMMYFUNCTION("""COMPUTED_VALUE"""),-0.450949082090694)</f>
        <v>-0.45094908209069401</v>
      </c>
      <c r="JH2" s="3">
        <f ca="1">IFERROR(__xludf.DUMMYFUNCTION("""COMPUTED_VALUE"""),-0.463838025934657)</f>
        <v>-0.46383802593465701</v>
      </c>
      <c r="JI2" s="3">
        <f ca="1">IFERROR(__xludf.DUMMYFUNCTION("""COMPUTED_VALUE"""),-0.533239673090713)</f>
        <v>-0.53323967309071296</v>
      </c>
      <c r="JJ2" s="3">
        <f ca="1">IFERROR(__xludf.DUMMYFUNCTION("""COMPUTED_VALUE"""),-0.537122536748581)</f>
        <v>-0.53712253674858101</v>
      </c>
      <c r="JK2" s="3">
        <f ca="1">IFERROR(__xludf.DUMMYFUNCTION("""COMPUTED_VALUE"""),-0.534462562472167)</f>
        <v>-0.53446256247216695</v>
      </c>
      <c r="JL2" s="3">
        <f ca="1">IFERROR(__xludf.DUMMYFUNCTION("""COMPUTED_VALUE"""),-0.535462145432652)</f>
        <v>-0.53546214543265203</v>
      </c>
      <c r="JM2" s="3">
        <f ca="1">IFERROR(__xludf.DUMMYFUNCTION("""COMPUTED_VALUE"""),-0.510228837023202)</f>
        <v>-0.51022883702320199</v>
      </c>
      <c r="JN2" s="3">
        <f ca="1">IFERROR(__xludf.DUMMYFUNCTION("""COMPUTED_VALUE"""),-0.461263310540401)</f>
        <v>-0.46126331054040098</v>
      </c>
      <c r="JO2" s="3">
        <f ca="1">IFERROR(__xludf.DUMMYFUNCTION("""COMPUTED_VALUE"""),-0.51217523009008)</f>
        <v>-0.51217523009008004</v>
      </c>
      <c r="JP2" s="3">
        <f ca="1">IFERROR(__xludf.DUMMYFUNCTION("""COMPUTED_VALUE"""),-0.552528621684998)</f>
        <v>-0.55252862168499794</v>
      </c>
      <c r="JQ2" s="3">
        <f ca="1">IFERROR(__xludf.DUMMYFUNCTION("""COMPUTED_VALUE"""),-0.501266486535039)</f>
        <v>-0.50126648653503902</v>
      </c>
      <c r="JR2" s="3">
        <f ca="1">IFERROR(__xludf.DUMMYFUNCTION("""COMPUTED_VALUE"""),-0.557077657119937)</f>
        <v>-0.55707765711993695</v>
      </c>
      <c r="JS2" s="3">
        <f ca="1">IFERROR(__xludf.DUMMYFUNCTION("""COMPUTED_VALUE"""),-0.550903768648112)</f>
        <v>-0.55090376864811197</v>
      </c>
      <c r="JT2" s="3">
        <f ca="1">IFERROR(__xludf.DUMMYFUNCTION("""COMPUTED_VALUE"""),-0.519510618813743)</f>
        <v>-0.51951061881374305</v>
      </c>
      <c r="JU2" s="3">
        <f ca="1">IFERROR(__xludf.DUMMYFUNCTION("""COMPUTED_VALUE"""),-0.479937299037878)</f>
        <v>-0.47993729903787802</v>
      </c>
      <c r="JV2" s="3">
        <f ca="1">IFERROR(__xludf.DUMMYFUNCTION("""COMPUTED_VALUE"""),-0.520712900070854)</f>
        <v>-0.52071290007085402</v>
      </c>
      <c r="JW2" s="3">
        <f ca="1">IFERROR(__xludf.DUMMYFUNCTION("""COMPUTED_VALUE"""),-0.513934172302514)</f>
        <v>-0.51393417230251404</v>
      </c>
      <c r="JX2" s="3">
        <f ca="1">IFERROR(__xludf.DUMMYFUNCTION("""COMPUTED_VALUE"""),-0.514694296901478)</f>
        <v>-0.51469429690147805</v>
      </c>
      <c r="JY2" s="3">
        <f ca="1">IFERROR(__xludf.DUMMYFUNCTION("""COMPUTED_VALUE"""),-0.590249709242889)</f>
        <v>-0.590249709242889</v>
      </c>
      <c r="JZ2" s="3">
        <f ca="1">IFERROR(__xludf.DUMMYFUNCTION("""COMPUTED_VALUE"""),-0.553836008251296)</f>
        <v>-0.55383600825129597</v>
      </c>
      <c r="KA2" s="3">
        <f ca="1">IFERROR(__xludf.DUMMYFUNCTION("""COMPUTED_VALUE"""),-0.514602887497715)</f>
        <v>-0.51460288749771499</v>
      </c>
      <c r="KB2" s="3">
        <f ca="1">IFERROR(__xludf.DUMMYFUNCTION("""COMPUTED_VALUE"""),-0.501370686066525)</f>
        <v>-0.50137068606652502</v>
      </c>
      <c r="KC2" s="3">
        <f ca="1">IFERROR(__xludf.DUMMYFUNCTION("""COMPUTED_VALUE"""),-0.513812490370435)</f>
        <v>-0.51381249037043497</v>
      </c>
      <c r="KD2" s="3">
        <f ca="1">IFERROR(__xludf.DUMMYFUNCTION("""COMPUTED_VALUE"""),-0.525391103397358)</f>
        <v>-0.52539110339735795</v>
      </c>
      <c r="KE2" s="3">
        <f ca="1">IFERROR(__xludf.DUMMYFUNCTION("""COMPUTED_VALUE"""),-0.533805247582666)</f>
        <v>-0.53380524758266601</v>
      </c>
      <c r="KF2" s="3">
        <f ca="1">IFERROR(__xludf.DUMMYFUNCTION("""COMPUTED_VALUE"""),-0.580116719605925)</f>
        <v>-0.58011671960592504</v>
      </c>
      <c r="KG2" s="3">
        <f ca="1">IFERROR(__xludf.DUMMYFUNCTION("""COMPUTED_VALUE"""),-0.557416783625653)</f>
        <v>-0.55741678362565295</v>
      </c>
      <c r="KH2" s="3">
        <f ca="1">IFERROR(__xludf.DUMMYFUNCTION("""COMPUTED_VALUE"""),-0.537899337083879)</f>
        <v>-0.53789933708387905</v>
      </c>
      <c r="KI2" s="3">
        <f ca="1">IFERROR(__xludf.DUMMYFUNCTION("""COMPUTED_VALUE"""),-0.528662728409147)</f>
        <v>-0.52866272840914696</v>
      </c>
      <c r="KJ2" s="3">
        <f ca="1">IFERROR(__xludf.DUMMYFUNCTION("""COMPUTED_VALUE"""),-0.547673357689493)</f>
        <v>-0.54767335768949299</v>
      </c>
      <c r="KK2" s="3">
        <f ca="1">IFERROR(__xludf.DUMMYFUNCTION("""COMPUTED_VALUE"""),-0.588571239190055)</f>
        <v>-0.58857123919005505</v>
      </c>
      <c r="KL2" s="3">
        <f ca="1">IFERROR(__xludf.DUMMYFUNCTION("""COMPUTED_VALUE"""),-0.606062853648651)</f>
        <v>-0.60606285364865098</v>
      </c>
      <c r="KM2" s="3">
        <f ca="1">IFERROR(__xludf.DUMMYFUNCTION("""COMPUTED_VALUE"""),-0.616600529245888)</f>
        <v>-0.61660052924588804</v>
      </c>
      <c r="KN2" s="3">
        <f ca="1">IFERROR(__xludf.DUMMYFUNCTION("""COMPUTED_VALUE"""),-0.601179812871711)</f>
        <v>-0.60117981287171096</v>
      </c>
      <c r="KO2" s="3">
        <f ca="1">IFERROR(__xludf.DUMMYFUNCTION("""COMPUTED_VALUE"""),-0.587967492642792)</f>
        <v>-0.58796749264279202</v>
      </c>
      <c r="KP2" s="3">
        <f ca="1">IFERROR(__xludf.DUMMYFUNCTION("""COMPUTED_VALUE"""),-0.556135081339281)</f>
        <v>-0.55613508133928102</v>
      </c>
      <c r="KQ2" s="3">
        <f ca="1">IFERROR(__xludf.DUMMYFUNCTION("""COMPUTED_VALUE"""),-0.582442620984137)</f>
        <v>-0.58244262098413702</v>
      </c>
      <c r="KR2" s="3">
        <f ca="1">IFERROR(__xludf.DUMMYFUNCTION("""COMPUTED_VALUE"""),-0.624003738459604)</f>
        <v>-0.624003738459604</v>
      </c>
      <c r="KS2" s="3">
        <f ca="1">IFERROR(__xludf.DUMMYFUNCTION("""COMPUTED_VALUE"""),-0.644591141618166)</f>
        <v>-0.644591141618166</v>
      </c>
      <c r="KT2" s="3">
        <f ca="1">IFERROR(__xludf.DUMMYFUNCTION("""COMPUTED_VALUE"""),-0.630799849917608)</f>
        <v>-0.63079984991760796</v>
      </c>
      <c r="KU2" s="3">
        <f ca="1">IFERROR(__xludf.DUMMYFUNCTION("""COMPUTED_VALUE"""),-0.621943071567154)</f>
        <v>-0.621943071567154</v>
      </c>
      <c r="KV2" s="3">
        <f ca="1">IFERROR(__xludf.DUMMYFUNCTION("""COMPUTED_VALUE"""),-0.610074881800887)</f>
        <v>-0.61007488180088698</v>
      </c>
      <c r="KW2" s="3">
        <f ca="1">IFERROR(__xludf.DUMMYFUNCTION("""COMPUTED_VALUE"""),-0.577923684803067)</f>
        <v>-0.57792368480306699</v>
      </c>
      <c r="KX2" s="3">
        <f ca="1">IFERROR(__xludf.DUMMYFUNCTION("""COMPUTED_VALUE"""),-0.617142648275027)</f>
        <v>-0.61714264827502696</v>
      </c>
      <c r="KY2" s="3">
        <f ca="1">IFERROR(__xludf.DUMMYFUNCTION("""COMPUTED_VALUE"""),-0.662991792487375)</f>
        <v>-0.66299179248737505</v>
      </c>
      <c r="KZ2" s="3">
        <f ca="1">IFERROR(__xludf.DUMMYFUNCTION("""COMPUTED_VALUE"""),-0.648091067642328)</f>
        <v>-0.64809106764232804</v>
      </c>
      <c r="LA2" s="3">
        <f ca="1">IFERROR(__xludf.DUMMYFUNCTION("""COMPUTED_VALUE"""),-0.663680616778123)</f>
        <v>-0.66368061677812296</v>
      </c>
      <c r="LB2" s="3">
        <f ca="1">IFERROR(__xludf.DUMMYFUNCTION("""COMPUTED_VALUE"""),-0.65353863651457)</f>
        <v>-0.65353863651457</v>
      </c>
      <c r="LC2" s="3">
        <f ca="1">IFERROR(__xludf.DUMMYFUNCTION("""COMPUTED_VALUE"""),-0.616965593457176)</f>
        <v>-0.61696559345717605</v>
      </c>
      <c r="LD2" s="3">
        <f ca="1">IFERROR(__xludf.DUMMYFUNCTION("""COMPUTED_VALUE"""),-0.620084237512122)</f>
        <v>-0.62008423751212205</v>
      </c>
      <c r="LE2" s="3">
        <f ca="1">IFERROR(__xludf.DUMMYFUNCTION("""COMPUTED_VALUE"""),-0.63174221100683)</f>
        <v>-0.63174221100683003</v>
      </c>
      <c r="LF2" s="3">
        <f ca="1">IFERROR(__xludf.DUMMYFUNCTION("""COMPUTED_VALUE"""),-0.686313316218457)</f>
        <v>-0.68631331621845704</v>
      </c>
      <c r="LG2" s="3">
        <f ca="1">IFERROR(__xludf.DUMMYFUNCTION("""COMPUTED_VALUE"""),-0.683949403058837)</f>
        <v>-0.683949403058837</v>
      </c>
      <c r="LH2" s="3">
        <f ca="1">IFERROR(__xludf.DUMMYFUNCTION("""COMPUTED_VALUE"""),-0.670736291919464)</f>
        <v>-0.67073629191946404</v>
      </c>
      <c r="LI2" s="3">
        <f ca="1">IFERROR(__xludf.DUMMYFUNCTION("""COMPUTED_VALUE"""),-0.665071088377689)</f>
        <v>-0.66507108837768902</v>
      </c>
      <c r="LJ2" s="3">
        <f ca="1">IFERROR(__xludf.DUMMYFUNCTION("""COMPUTED_VALUE"""),-0.673907457077467)</f>
        <v>-0.67390745707746702</v>
      </c>
      <c r="LK2" s="3">
        <f ca="1">IFERROR(__xludf.DUMMYFUNCTION("""COMPUTED_VALUE"""),-0.648322338856485)</f>
        <v>-0.64832233885648505</v>
      </c>
      <c r="LL2" s="3">
        <f ca="1">IFERROR(__xludf.DUMMYFUNCTION("""COMPUTED_VALUE"""),-0.683769203846685)</f>
        <v>-0.68376920384668505</v>
      </c>
      <c r="LM2" s="3">
        <f ca="1">IFERROR(__xludf.DUMMYFUNCTION("""COMPUTED_VALUE"""),-0.707537180380373)</f>
        <v>-0.70753718038037305</v>
      </c>
      <c r="LN2" s="3">
        <f ca="1">IFERROR(__xludf.DUMMYFUNCTION("""COMPUTED_VALUE"""),-0.707706572110007)</f>
        <v>-0.70770657211000698</v>
      </c>
      <c r="LO2" s="3">
        <f ca="1">IFERROR(__xludf.DUMMYFUNCTION("""COMPUTED_VALUE"""),-0.709835766661906)</f>
        <v>-0.70983576666190595</v>
      </c>
      <c r="LP2" s="3">
        <f ca="1">IFERROR(__xludf.DUMMYFUNCTION("""COMPUTED_VALUE"""),-0.704412470298035)</f>
        <v>-0.704412470298035</v>
      </c>
      <c r="LQ2" s="3">
        <f ca="1">IFERROR(__xludf.DUMMYFUNCTION("""COMPUTED_VALUE"""),-0.682373102241729)</f>
        <v>-0.68237310224172898</v>
      </c>
      <c r="LR2" s="3">
        <f ca="1">IFERROR(__xludf.DUMMYFUNCTION("""COMPUTED_VALUE"""),-0.66806170308385)</f>
        <v>-0.66806170308385004</v>
      </c>
      <c r="LS2" s="3">
        <f ca="1">IFERROR(__xludf.DUMMYFUNCTION("""COMPUTED_VALUE"""),-0.688543663061859)</f>
        <v>-0.68854366306185899</v>
      </c>
      <c r="LT2" s="3">
        <f ca="1">IFERROR(__xludf.DUMMYFUNCTION("""COMPUTED_VALUE"""),-0.724916319785567)</f>
        <v>-0.72491631978556703</v>
      </c>
      <c r="LU2" s="3">
        <f ca="1">IFERROR(__xludf.DUMMYFUNCTION("""COMPUTED_VALUE"""),-0.734540229444748)</f>
        <v>-0.73454022944474795</v>
      </c>
      <c r="LV2" s="3">
        <f ca="1">IFERROR(__xludf.DUMMYFUNCTION("""COMPUTED_VALUE"""),-0.732695843544178)</f>
        <v>-0.73269584354417805</v>
      </c>
      <c r="LW2" s="3">
        <f ca="1">IFERROR(__xludf.DUMMYFUNCTION("""COMPUTED_VALUE"""),-0.731478335046965)</f>
        <v>-0.73147833504696502</v>
      </c>
      <c r="LX2" s="3">
        <f ca="1">IFERROR(__xludf.DUMMYFUNCTION("""COMPUTED_VALUE"""),-0.709579652976347)</f>
        <v>-0.70957965297634695</v>
      </c>
      <c r="LY2" s="3">
        <f ca="1">IFERROR(__xludf.DUMMYFUNCTION("""COMPUTED_VALUE"""),-0.687451450534557)</f>
        <v>-0.68745145053455703</v>
      </c>
      <c r="LZ2" s="3">
        <f ca="1">IFERROR(__xludf.DUMMYFUNCTION("""COMPUTED_VALUE"""),-0.733209335678628)</f>
        <v>-0.733209335678628</v>
      </c>
      <c r="MA2" s="3">
        <f ca="1">IFERROR(__xludf.DUMMYFUNCTION("""COMPUTED_VALUE"""),-0.753872097861514)</f>
        <v>-0.75387209786151399</v>
      </c>
      <c r="MB2" s="3">
        <f ca="1">IFERROR(__xludf.DUMMYFUNCTION("""COMPUTED_VALUE"""),-0.744138455454988)</f>
        <v>-0.74413845545498802</v>
      </c>
      <c r="MC2" s="3">
        <f ca="1">IFERROR(__xludf.DUMMYFUNCTION("""COMPUTED_VALUE"""),-0.743578972250232)</f>
        <v>-0.74357897225023195</v>
      </c>
      <c r="MD2" s="3">
        <f ca="1">IFERROR(__xludf.DUMMYFUNCTION("""COMPUTED_VALUE"""),-0.743902059205708)</f>
        <v>-0.74390205920570796</v>
      </c>
      <c r="ME2" s="3">
        <f ca="1">IFERROR(__xludf.DUMMYFUNCTION("""COMPUTED_VALUE"""),-0.724137395446282)</f>
        <v>-0.72413739544628197</v>
      </c>
      <c r="MF2" s="3">
        <f ca="1">IFERROR(__xludf.DUMMYFUNCTION("""COMPUTED_VALUE"""),-0.685279945670728)</f>
        <v>-0.68527994567072803</v>
      </c>
      <c r="MG2" s="3">
        <f ca="1">IFERROR(__xludf.DUMMYFUNCTION("""COMPUTED_VALUE"""),-0.724687008019919)</f>
        <v>-0.72468700801991903</v>
      </c>
      <c r="MH2" s="3">
        <f ca="1">IFERROR(__xludf.DUMMYFUNCTION("""COMPUTED_VALUE"""),-0.751570919256422)</f>
        <v>-0.75157091925642205</v>
      </c>
      <c r="MI2" s="3">
        <f ca="1">IFERROR(__xludf.DUMMYFUNCTION("""COMPUTED_VALUE"""),-0.768900286460619)</f>
        <v>-0.76890028646061903</v>
      </c>
      <c r="MJ2" s="3">
        <f ca="1">IFERROR(__xludf.DUMMYFUNCTION("""COMPUTED_VALUE"""),-0.748614582397545)</f>
        <v>-0.74861458239754497</v>
      </c>
      <c r="MK2" s="3">
        <f ca="1">IFERROR(__xludf.DUMMYFUNCTION("""COMPUTED_VALUE"""),-0.752462523345766)</f>
        <v>-0.75246252334576602</v>
      </c>
      <c r="ML2" s="3">
        <f ca="1">IFERROR(__xludf.DUMMYFUNCTION("""COMPUTED_VALUE"""),-0.737889450234976)</f>
        <v>-0.73788945023497599</v>
      </c>
      <c r="MM2" s="3">
        <f ca="1">IFERROR(__xludf.DUMMYFUNCTION("""COMPUTED_VALUE"""),-0.72552337138205)</f>
        <v>-0.72552337138205003</v>
      </c>
      <c r="MN2" s="3">
        <f ca="1">IFERROR(__xludf.DUMMYFUNCTION("""COMPUTED_VALUE"""),-0.738534681434405)</f>
        <v>-0.73853468143440504</v>
      </c>
      <c r="MO2" s="3">
        <f ca="1">IFERROR(__xludf.DUMMYFUNCTION("""COMPUTED_VALUE"""),-0.756776166470219)</f>
        <v>-0.75677616647021895</v>
      </c>
      <c r="MP2" s="3">
        <f ca="1">IFERROR(__xludf.DUMMYFUNCTION("""COMPUTED_VALUE"""),-0.768616948404904)</f>
        <v>-0.76861694840490402</v>
      </c>
      <c r="MQ2" s="3">
        <f ca="1">IFERROR(__xludf.DUMMYFUNCTION("""COMPUTED_VALUE"""),-0.76298372072519)</f>
        <v>-0.76298372072519005</v>
      </c>
      <c r="MR2" s="3">
        <f ca="1">IFERROR(__xludf.DUMMYFUNCTION("""COMPUTED_VALUE"""),-0.764668514011908)</f>
        <v>-0.76466851401190805</v>
      </c>
      <c r="MS2" s="3">
        <f ca="1">IFERROR(__xludf.DUMMYFUNCTION("""COMPUTED_VALUE"""),-0.730204141416922)</f>
        <v>-0.73020414141692203</v>
      </c>
      <c r="MT2" s="3">
        <f ca="1">IFERROR(__xludf.DUMMYFUNCTION("""COMPUTED_VALUE"""),-0.72205134675995)</f>
        <v>-0.72205134675994997</v>
      </c>
      <c r="MU2" s="3">
        <f ca="1">IFERROR(__xludf.DUMMYFUNCTION("""COMPUTED_VALUE"""),-0.754337372853965)</f>
        <v>-0.75433737285396496</v>
      </c>
      <c r="MV2" s="3">
        <f ca="1">IFERROR(__xludf.DUMMYFUNCTION("""COMPUTED_VALUE"""),-0.746721244808995)</f>
        <v>-0.74672124480899504</v>
      </c>
      <c r="MW2" s="3">
        <f ca="1">IFERROR(__xludf.DUMMYFUNCTION("""COMPUTED_VALUE"""),-0.76608084212535)</f>
        <v>-0.76608084212534999</v>
      </c>
      <c r="MX2" s="3">
        <f ca="1">IFERROR(__xludf.DUMMYFUNCTION("""COMPUTED_VALUE"""),-0.766223947294766)</f>
        <v>-0.76622394729476595</v>
      </c>
      <c r="MY2" s="3">
        <f ca="1">IFERROR(__xludf.DUMMYFUNCTION("""COMPUTED_VALUE"""),-0.758184693370426)</f>
        <v>-0.75818469337042604</v>
      </c>
      <c r="MZ2" s="3">
        <f ca="1">IFERROR(__xludf.DUMMYFUNCTION("""COMPUTED_VALUE"""),-0.763486223349078)</f>
        <v>-0.76348622334907801</v>
      </c>
      <c r="NA2" s="3">
        <f ca="1">IFERROR(__xludf.DUMMYFUNCTION("""COMPUTED_VALUE"""),-0.731234950214848)</f>
        <v>-0.73123495021484797</v>
      </c>
      <c r="NB2" s="3">
        <f ca="1">IFERROR(__xludf.DUMMYFUNCTION("""COMPUTED_VALUE"""),-0.742212272406423)</f>
        <v>-0.74221227240642296</v>
      </c>
      <c r="NC2" s="3">
        <f ca="1">IFERROR(__xludf.DUMMYFUNCTION("""COMPUTED_VALUE"""),-0.76145064418247)</f>
        <v>-0.76145064418246999</v>
      </c>
      <c r="ND2" s="3">
        <f ca="1">IFERROR(__xludf.DUMMYFUNCTION("""COMPUTED_VALUE"""),-0.762054477994973)</f>
        <v>-0.76205447799497295</v>
      </c>
      <c r="NE2" s="3">
        <f ca="1">IFERROR(__xludf.DUMMYFUNCTION("""COMPUTED_VALUE"""),-0.764922184098414)</f>
        <v>-0.76492218409841395</v>
      </c>
      <c r="NF2" s="3">
        <f ca="1">IFERROR(__xludf.DUMMYFUNCTION("""COMPUTED_VALUE"""),-0.760467826118893)</f>
        <v>-0.76046782611889296</v>
      </c>
      <c r="NG2" s="3">
        <f ca="1">IFERROR(__xludf.DUMMYFUNCTION("""COMPUTED_VALUE"""),-0.73870287033768)</f>
        <v>-0.73870287033768001</v>
      </c>
      <c r="NH2" s="3">
        <f ca="1">IFERROR(__xludf.DUMMYFUNCTION("""COMPUTED_VALUE"""),-0.712219084195716)</f>
        <v>-0.712219084195716</v>
      </c>
      <c r="NI2" s="3">
        <f ca="1">IFERROR(__xludf.DUMMYFUNCTION("""COMPUTED_VALUE"""),-0.744801440445003)</f>
        <v>-0.74480144044500296</v>
      </c>
      <c r="NJ2" s="3">
        <f ca="1">IFERROR(__xludf.DUMMYFUNCTION("""COMPUTED_VALUE"""),-0.755806144742099)</f>
        <v>-0.75580614474209895</v>
      </c>
      <c r="NK2" s="3">
        <f ca="1">IFERROR(__xludf.DUMMYFUNCTION("""COMPUTED_VALUE"""),-0.754057174983211)</f>
        <v>-0.75405717498321101</v>
      </c>
      <c r="NL2" s="3">
        <f ca="1">IFERROR(__xludf.DUMMYFUNCTION("""COMPUTED_VALUE"""),-0.739836403763311)</f>
        <v>-0.73983640376331095</v>
      </c>
      <c r="NM2" s="3">
        <f ca="1">IFERROR(__xludf.DUMMYFUNCTION("""COMPUTED_VALUE"""),-0.745443147149942)</f>
        <v>-0.74544314714994198</v>
      </c>
      <c r="NN2" s="3">
        <f ca="1">IFERROR(__xludf.DUMMYFUNCTION("""COMPUTED_VALUE"""),-0.720459805824832)</f>
        <v>-0.72045980582483204</v>
      </c>
      <c r="NO2" s="3">
        <f ca="1">IFERROR(__xludf.DUMMYFUNCTION("""COMPUTED_VALUE"""),-0.700126583049438)</f>
        <v>-0.70012658304943798</v>
      </c>
      <c r="NP2" s="3">
        <f ca="1">IFERROR(__xludf.DUMMYFUNCTION("""COMPUTED_VALUE"""),-0.737495228276357)</f>
        <v>-0.73749522827635705</v>
      </c>
      <c r="NQ2" s="3">
        <f ca="1">IFERROR(__xludf.DUMMYFUNCTION("""COMPUTED_VALUE"""),-0.740158305964306)</f>
        <v>-0.74015830596430598</v>
      </c>
      <c r="NR2" s="3">
        <f ca="1">IFERROR(__xludf.DUMMYFUNCTION("""COMPUTED_VALUE"""),-0.748166625058958)</f>
        <v>-0.74816662505895803</v>
      </c>
      <c r="NS2" s="3">
        <f ca="1">IFERROR(__xludf.DUMMYFUNCTION("""COMPUTED_VALUE"""),-0.750618277430726)</f>
        <v>-0.75061827743072596</v>
      </c>
      <c r="NT2" s="3">
        <f ca="1">IFERROR(__xludf.DUMMYFUNCTION("""COMPUTED_VALUE"""),-0.708471899178713)</f>
        <v>-0.708471899178713</v>
      </c>
      <c r="NU2" s="3">
        <f ca="1">IFERROR(__xludf.DUMMYFUNCTION("""COMPUTED_VALUE"""),-0.723557380650973)</f>
        <v>-0.72355738065097297</v>
      </c>
      <c r="NV2" s="3">
        <f ca="1">IFERROR(__xludf.DUMMYFUNCTION("""COMPUTED_VALUE"""),-0.64527257380255)</f>
        <v>-0.64527257380254999</v>
      </c>
      <c r="NW2" s="3">
        <f ca="1">IFERROR(__xludf.DUMMYFUNCTION("""COMPUTED_VALUE"""),-0.651430954677714)</f>
        <v>-0.65143095467771395</v>
      </c>
      <c r="NX2" s="3">
        <f ca="1">IFERROR(__xludf.DUMMYFUNCTION("""COMPUTED_VALUE"""),-0.662776572754725)</f>
        <v>-0.66277657275472501</v>
      </c>
      <c r="NY2" s="3">
        <f ca="1">IFERROR(__xludf.DUMMYFUNCTION("""COMPUTED_VALUE"""),-0.643618769251185)</f>
        <v>-0.643618769251185</v>
      </c>
      <c r="NZ2" s="3">
        <f ca="1">IFERROR(__xludf.DUMMYFUNCTION("""COMPUTED_VALUE"""),-0.613704519246224)</f>
        <v>-0.61370451924622405</v>
      </c>
      <c r="OA2" s="3">
        <f ca="1">IFERROR(__xludf.DUMMYFUNCTION("""COMPUTED_VALUE"""),-0.571372351486726)</f>
        <v>-0.57137235148672605</v>
      </c>
      <c r="OB2" s="3">
        <f ca="1">IFERROR(__xludf.DUMMYFUNCTION("""COMPUTED_VALUE"""),-0.46701424244618)</f>
        <v>-0.46701424244618001</v>
      </c>
      <c r="OC2" s="3">
        <f ca="1">IFERROR(__xludf.DUMMYFUNCTION("""COMPUTED_VALUE"""),-0.301257952841951)</f>
        <v>-0.301257952841951</v>
      </c>
      <c r="OD2" s="3">
        <f ca="1">IFERROR(__xludf.DUMMYFUNCTION("""COMPUTED_VALUE"""),-0.291332402128461)</f>
        <v>-0.29133240212846101</v>
      </c>
      <c r="OE2" s="3">
        <f ca="1">IFERROR(__xludf.DUMMYFUNCTION("""COMPUTED_VALUE"""),-0.238490528424606)</f>
        <v>-0.238490528424606</v>
      </c>
      <c r="OF2" s="3">
        <f ca="1">IFERROR(__xludf.DUMMYFUNCTION("""COMPUTED_VALUE"""),-0.145896075193834)</f>
        <v>-0.14589607519383399</v>
      </c>
      <c r="OG2" s="3">
        <f ca="1">IFERROR(__xludf.DUMMYFUNCTION("""COMPUTED_VALUE"""),-0.0865800815080563)</f>
        <v>-8.6580081508056295E-2</v>
      </c>
      <c r="OH2" s="3">
        <f ca="1">IFERROR(__xludf.DUMMYFUNCTION("""COMPUTED_VALUE"""),-0.071808533450123)</f>
        <v>-7.1808533450123002E-2</v>
      </c>
      <c r="OI2" s="3">
        <f ca="1">IFERROR(__xludf.DUMMYFUNCTION("""COMPUTED_VALUE"""),-0.0025246906313443)</f>
        <v>-2.5246906313443002E-3</v>
      </c>
      <c r="OJ2" s="3">
        <f ca="1">IFERROR(__xludf.DUMMYFUNCTION("""COMPUTED_VALUE"""),-0.0374563479473853)</f>
        <v>-3.7456347947385303E-2</v>
      </c>
      <c r="OK2" s="3">
        <f ca="1">IFERROR(__xludf.DUMMYFUNCTION("""COMPUTED_VALUE"""),-0.0155948120783444)</f>
        <v>-1.55948120783444E-2</v>
      </c>
      <c r="OL2" s="3">
        <f ca="1">IFERROR(__xludf.DUMMYFUNCTION("""COMPUTED_VALUE"""),-0.0275433687308359)</f>
        <v>-2.7543368730835901E-2</v>
      </c>
      <c r="OM2" s="3">
        <f ca="1">IFERROR(__xludf.DUMMYFUNCTION("""COMPUTED_VALUE"""),-0.0206161759755931)</f>
        <v>-2.06161759755931E-2</v>
      </c>
      <c r="ON2" s="3">
        <f ca="1">IFERROR(__xludf.DUMMYFUNCTION("""COMPUTED_VALUE"""),0.000996801892931831)</f>
        <v>9.9680189293183097E-4</v>
      </c>
      <c r="OO2" s="3">
        <f ca="1">IFERROR(__xludf.DUMMYFUNCTION("""COMPUTED_VALUE"""),-0.00734308002610006)</f>
        <v>-7.3430800261000597E-3</v>
      </c>
      <c r="OP2" s="3">
        <f ca="1">IFERROR(__xludf.DUMMYFUNCTION("""COMPUTED_VALUE"""),0.0191365450449982)</f>
        <v>1.9136545044998201E-2</v>
      </c>
      <c r="OQ2" s="3">
        <f ca="1">IFERROR(__xludf.DUMMYFUNCTION("""COMPUTED_VALUE"""),0.0177453267411242)</f>
        <v>1.7745326741124199E-2</v>
      </c>
      <c r="OR2" s="3">
        <f ca="1">IFERROR(__xludf.DUMMYFUNCTION("""COMPUTED_VALUE"""),0.00794728561957169)</f>
        <v>7.9472856195716892E-3</v>
      </c>
      <c r="OS2" s="3">
        <f ca="1">IFERROR(__xludf.DUMMYFUNCTION("""COMPUTED_VALUE"""),0.0223928033104132)</f>
        <v>2.2392803310413201E-2</v>
      </c>
      <c r="OT2" s="3">
        <f ca="1">IFERROR(__xludf.DUMMYFUNCTION("""COMPUTED_VALUE"""),-0.00221586053330902)</f>
        <v>-2.2158605333090198E-3</v>
      </c>
      <c r="OU2" s="3">
        <f ca="1">IFERROR(__xludf.DUMMYFUNCTION("""COMPUTED_VALUE"""),0.036641806985558)</f>
        <v>3.6641806985558002E-2</v>
      </c>
      <c r="OV2" s="3">
        <f ca="1">IFERROR(__xludf.DUMMYFUNCTION("""COMPUTED_VALUE"""),0.011149602250289)</f>
        <v>1.1149602250288999E-2</v>
      </c>
      <c r="OW2" s="3">
        <f ca="1">IFERROR(__xludf.DUMMYFUNCTION("""COMPUTED_VALUE"""),0.102139283836834)</f>
        <v>0.102139283836834</v>
      </c>
      <c r="OX2" s="3">
        <f ca="1">IFERROR(__xludf.DUMMYFUNCTION("""COMPUTED_VALUE"""),0.0133385467739426)</f>
        <v>1.3338546773942601E-2</v>
      </c>
      <c r="OY2" s="3">
        <f ca="1">IFERROR(__xludf.DUMMYFUNCTION("""COMPUTED_VALUE"""),0.00273772805887473)</f>
        <v>2.7377280588747302E-3</v>
      </c>
      <c r="OZ2" s="3">
        <f ca="1">IFERROR(__xludf.DUMMYFUNCTION("""COMPUTED_VALUE"""),-0.0543406283361894)</f>
        <v>-5.4340628336189398E-2</v>
      </c>
      <c r="PA2" s="3">
        <f ca="1">IFERROR(__xludf.DUMMYFUNCTION("""COMPUTED_VALUE"""),-0.0551297487345127)</f>
        <v>-5.51297487345127E-2</v>
      </c>
      <c r="PB2" s="3">
        <f ca="1">IFERROR(__xludf.DUMMYFUNCTION("""COMPUTED_VALUE"""),0.00363924628266887)</f>
        <v>3.6392462826688701E-3</v>
      </c>
      <c r="PC2" s="3">
        <f ca="1">IFERROR(__xludf.DUMMYFUNCTION("""COMPUTED_VALUE"""),-0.0139370606660875)</f>
        <v>-1.3937060666087501E-2</v>
      </c>
      <c r="PD2" s="3">
        <f ca="1">IFERROR(__xludf.DUMMYFUNCTION("""COMPUTED_VALUE"""),-0.129188686714515)</f>
        <v>-0.129188686714515</v>
      </c>
      <c r="PE2" s="3">
        <f ca="1">IFERROR(__xludf.DUMMYFUNCTION("""COMPUTED_VALUE"""),0.0141284157132854)</f>
        <v>1.41284157132854E-2</v>
      </c>
      <c r="PF2" s="3">
        <f ca="1">IFERROR(__xludf.DUMMYFUNCTION("""COMPUTED_VALUE"""),-0.0286194720127588)</f>
        <v>-2.8619472012758801E-2</v>
      </c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</row>
    <row r="3" spans="1:476" ht="15.75" customHeight="1">
      <c r="A3" s="1" t="str">
        <f ca="1">IFERROR(__xludf.DUMMYFUNCTION("""COMPUTED_VALUE"""),"United Kingdom")</f>
        <v>United Kingdom</v>
      </c>
      <c r="B3" s="3">
        <f ca="1">IFERROR(__xludf.DUMMYFUNCTION("""COMPUTED_VALUE"""),-0.578777453564397)</f>
        <v>-0.57877745356439703</v>
      </c>
      <c r="C3" s="3">
        <f ca="1">IFERROR(__xludf.DUMMYFUNCTION("""COMPUTED_VALUE"""),-0.58567531187325)</f>
        <v>-0.58567531187324995</v>
      </c>
      <c r="D3" s="3">
        <f ca="1">IFERROR(__xludf.DUMMYFUNCTION("""COMPUTED_VALUE"""),-0.576128331669707)</f>
        <v>-0.57612833166970701</v>
      </c>
      <c r="E3" s="3">
        <f ca="1">IFERROR(__xludf.DUMMYFUNCTION("""COMPUTED_VALUE"""),-0.573430209003246)</f>
        <v>-0.57343020900324604</v>
      </c>
      <c r="F3" s="3">
        <f ca="1">IFERROR(__xludf.DUMMYFUNCTION("""COMPUTED_VALUE"""),-0.559356407534058)</f>
        <v>-0.55935640753405802</v>
      </c>
      <c r="G3" s="3">
        <f ca="1">IFERROR(__xludf.DUMMYFUNCTION("""COMPUTED_VALUE"""),-0.611540661203864)</f>
        <v>-0.61154066120386397</v>
      </c>
      <c r="H3" s="3">
        <f ca="1">IFERROR(__xludf.DUMMYFUNCTION("""COMPUTED_VALUE"""),-0.585551015448879)</f>
        <v>-0.585551015448879</v>
      </c>
      <c r="I3" s="3">
        <f ca="1">IFERROR(__xludf.DUMMYFUNCTION("""COMPUTED_VALUE"""),-0.60094306127731)</f>
        <v>-0.60094306127731001</v>
      </c>
      <c r="J3" s="3">
        <f ca="1">IFERROR(__xludf.DUMMYFUNCTION("""COMPUTED_VALUE"""),-0.624542042425909)</f>
        <v>-0.62454204242590905</v>
      </c>
      <c r="K3" s="3">
        <f ca="1">IFERROR(__xludf.DUMMYFUNCTION("""COMPUTED_VALUE"""),-0.462311997051634)</f>
        <v>-0.462311997051634</v>
      </c>
      <c r="L3" s="3">
        <f ca="1">IFERROR(__xludf.DUMMYFUNCTION("""COMPUTED_VALUE"""),-0.4405582233195)</f>
        <v>-0.44055822331950001</v>
      </c>
      <c r="M3" s="3">
        <f ca="1">IFERROR(__xludf.DUMMYFUNCTION("""COMPUTED_VALUE"""),-0.446511424505051)</f>
        <v>-0.44651142450505099</v>
      </c>
      <c r="N3" s="3">
        <f ca="1">IFERROR(__xludf.DUMMYFUNCTION("""COMPUTED_VALUE"""),-0.52671165519759)</f>
        <v>-0.52671165519759</v>
      </c>
      <c r="O3" s="3">
        <f ca="1">IFERROR(__xludf.DUMMYFUNCTION("""COMPUTED_VALUE"""),-0.622818357156672)</f>
        <v>-0.622818357156672</v>
      </c>
      <c r="P3" s="3">
        <f ca="1">IFERROR(__xludf.DUMMYFUNCTION("""COMPUTED_VALUE"""),-0.61167341773253)</f>
        <v>-0.61167341773253003</v>
      </c>
      <c r="Q3" s="3">
        <f ca="1">IFERROR(__xludf.DUMMYFUNCTION("""COMPUTED_VALUE"""),-0.623067184556726)</f>
        <v>-0.62306718455672605</v>
      </c>
      <c r="R3" s="3">
        <f ca="1">IFERROR(__xludf.DUMMYFUNCTION("""COMPUTED_VALUE"""),-0.564682437288205)</f>
        <v>-0.564682437288205</v>
      </c>
      <c r="S3" s="3">
        <f ca="1">IFERROR(__xludf.DUMMYFUNCTION("""COMPUTED_VALUE"""),-0.53900421767442)</f>
        <v>-0.53900421767441997</v>
      </c>
      <c r="T3" s="3">
        <f ca="1">IFERROR(__xludf.DUMMYFUNCTION("""COMPUTED_VALUE"""),-0.516205330150436)</f>
        <v>-0.51620533015043601</v>
      </c>
      <c r="U3" s="3">
        <f ca="1">IFERROR(__xludf.DUMMYFUNCTION("""COMPUTED_VALUE"""),-0.57374900884406)</f>
        <v>-0.57374900884405999</v>
      </c>
      <c r="V3" s="3">
        <f ca="1">IFERROR(__xludf.DUMMYFUNCTION("""COMPUTED_VALUE"""),-0.670735803339362)</f>
        <v>-0.670735803339362</v>
      </c>
      <c r="W3" s="3">
        <f ca="1">IFERROR(__xludf.DUMMYFUNCTION("""COMPUTED_VALUE"""),-0.660876868385042)</f>
        <v>-0.660876868385042</v>
      </c>
      <c r="X3" s="3">
        <f ca="1">IFERROR(__xludf.DUMMYFUNCTION("""COMPUTED_VALUE"""),-0.603308189002842)</f>
        <v>-0.603308189002842</v>
      </c>
      <c r="Y3" s="3">
        <f ca="1">IFERROR(__xludf.DUMMYFUNCTION("""COMPUTED_VALUE"""),-0.565094563987014)</f>
        <v>-0.56509456398701396</v>
      </c>
      <c r="Z3" s="3">
        <f ca="1">IFERROR(__xludf.DUMMYFUNCTION("""COMPUTED_VALUE"""),-0.508542648939901)</f>
        <v>-0.50854264893990098</v>
      </c>
      <c r="AA3" s="3">
        <f ca="1">IFERROR(__xludf.DUMMYFUNCTION("""COMPUTED_VALUE"""),-0.555928615000498)</f>
        <v>-0.55592861500049795</v>
      </c>
      <c r="AB3" s="3">
        <f ca="1">IFERROR(__xludf.DUMMYFUNCTION("""COMPUTED_VALUE"""),-0.562789203671522)</f>
        <v>-0.56278920367152196</v>
      </c>
      <c r="AC3" s="3">
        <f ca="1">IFERROR(__xludf.DUMMYFUNCTION("""COMPUTED_VALUE"""),-0.599786556251175)</f>
        <v>-0.59978655625117505</v>
      </c>
      <c r="AD3" s="3">
        <f ca="1">IFERROR(__xludf.DUMMYFUNCTION("""COMPUTED_VALUE"""),-0.673607039397628)</f>
        <v>-0.673607039397628</v>
      </c>
      <c r="AE3" s="3">
        <f ca="1">IFERROR(__xludf.DUMMYFUNCTION("""COMPUTED_VALUE"""),-0.625632527664008)</f>
        <v>-0.62563252766400801</v>
      </c>
      <c r="AF3" s="3">
        <f ca="1">IFERROR(__xludf.DUMMYFUNCTION("""COMPUTED_VALUE"""),-0.553619809472707)</f>
        <v>-0.55361980947270695</v>
      </c>
      <c r="AG3" s="3">
        <f ca="1">IFERROR(__xludf.DUMMYFUNCTION("""COMPUTED_VALUE"""),-0.54029347699095)</f>
        <v>-0.54029347699094998</v>
      </c>
      <c r="AH3" s="3">
        <f ca="1">IFERROR(__xludf.DUMMYFUNCTION("""COMPUTED_VALUE"""),-0.568649368673562)</f>
        <v>-0.56864936867356197</v>
      </c>
      <c r="AI3" s="3">
        <f ca="1">IFERROR(__xludf.DUMMYFUNCTION("""COMPUTED_VALUE"""),-0.585168946781727)</f>
        <v>-0.58516894678172704</v>
      </c>
      <c r="AJ3" s="3">
        <f ca="1">IFERROR(__xludf.DUMMYFUNCTION("""COMPUTED_VALUE"""),-0.682223638913533)</f>
        <v>-0.68222363891353299</v>
      </c>
      <c r="AK3" s="3">
        <f ca="1">IFERROR(__xludf.DUMMYFUNCTION("""COMPUTED_VALUE"""),-0.640770403423005)</f>
        <v>-0.64077040342300495</v>
      </c>
      <c r="AL3" s="3">
        <f ca="1">IFERROR(__xludf.DUMMYFUNCTION("""COMPUTED_VALUE"""),-0.649272802698935)</f>
        <v>-0.64927280269893495</v>
      </c>
      <c r="AM3" s="3">
        <f ca="1">IFERROR(__xludf.DUMMYFUNCTION("""COMPUTED_VALUE"""),-0.642524949562463)</f>
        <v>-0.64252494956246298</v>
      </c>
      <c r="AN3" s="3">
        <f ca="1">IFERROR(__xludf.DUMMYFUNCTION("""COMPUTED_VALUE"""),-0.638006002069636)</f>
        <v>-0.63800600206963598</v>
      </c>
      <c r="AO3" s="3">
        <f ca="1">IFERROR(__xludf.DUMMYFUNCTION("""COMPUTED_VALUE"""),-0.656969314673709)</f>
        <v>-0.656969314673709</v>
      </c>
      <c r="AP3" s="3">
        <f ca="1">IFERROR(__xludf.DUMMYFUNCTION("""COMPUTED_VALUE"""),-0.700126932332538)</f>
        <v>-0.70012693233253798</v>
      </c>
      <c r="AQ3" s="3">
        <f ca="1">IFERROR(__xludf.DUMMYFUNCTION("""COMPUTED_VALUE"""),-0.591270434252294)</f>
        <v>-0.59127043425229397</v>
      </c>
      <c r="AR3" s="3">
        <f ca="1">IFERROR(__xludf.DUMMYFUNCTION("""COMPUTED_VALUE"""),-0.624682886701818)</f>
        <v>-0.62468288670181804</v>
      </c>
      <c r="AS3" s="3">
        <f ca="1">IFERROR(__xludf.DUMMYFUNCTION("""COMPUTED_VALUE"""),-0.661536138891025)</f>
        <v>-0.66153613889102503</v>
      </c>
      <c r="AT3" s="3">
        <f ca="1">IFERROR(__xludf.DUMMYFUNCTION("""COMPUTED_VALUE"""),-0.677923787378361)</f>
        <v>-0.67792378737836101</v>
      </c>
      <c r="AU3" s="3">
        <f ca="1">IFERROR(__xludf.DUMMYFUNCTION("""COMPUTED_VALUE"""),-0.581745702143347)</f>
        <v>-0.58174570214334698</v>
      </c>
      <c r="AV3" s="3">
        <f ca="1">IFERROR(__xludf.DUMMYFUNCTION("""COMPUTED_VALUE"""),-0.635643016527849)</f>
        <v>-0.63564301652784905</v>
      </c>
      <c r="AW3" s="3">
        <f ca="1">IFERROR(__xludf.DUMMYFUNCTION("""COMPUTED_VALUE"""),-0.580879076326556)</f>
        <v>-0.580879076326556</v>
      </c>
      <c r="AX3" s="3">
        <f ca="1">IFERROR(__xludf.DUMMYFUNCTION("""COMPUTED_VALUE"""),-0.626392148789194)</f>
        <v>-0.62639214878919403</v>
      </c>
      <c r="AY3" s="3">
        <f ca="1">IFERROR(__xludf.DUMMYFUNCTION("""COMPUTED_VALUE"""),-0.622437897143968)</f>
        <v>-0.62243789714396802</v>
      </c>
      <c r="AZ3" s="3">
        <f ca="1">IFERROR(__xludf.DUMMYFUNCTION("""COMPUTED_VALUE"""),-0.653206007670396)</f>
        <v>-0.65320600767039605</v>
      </c>
      <c r="BA3" s="3">
        <f ca="1">IFERROR(__xludf.DUMMYFUNCTION("""COMPUTED_VALUE"""),-0.706043120766912)</f>
        <v>-0.706043120766912</v>
      </c>
      <c r="BB3" s="3">
        <f ca="1">IFERROR(__xludf.DUMMYFUNCTION("""COMPUTED_VALUE"""),-0.654586791959915)</f>
        <v>-0.65458679195991498</v>
      </c>
      <c r="BC3" s="3">
        <f ca="1">IFERROR(__xludf.DUMMYFUNCTION("""COMPUTED_VALUE"""),-0.688039641845952)</f>
        <v>-0.68803964184595201</v>
      </c>
      <c r="BD3" s="3">
        <f ca="1">IFERROR(__xludf.DUMMYFUNCTION("""COMPUTED_VALUE"""),-0.642300815508918)</f>
        <v>-0.64230081550891804</v>
      </c>
      <c r="BE3" s="3">
        <f ca="1">IFERROR(__xludf.DUMMYFUNCTION("""COMPUTED_VALUE"""),-0.581790536677788)</f>
        <v>-0.58179053667778802</v>
      </c>
      <c r="BF3" s="3">
        <f ca="1">IFERROR(__xludf.DUMMYFUNCTION("""COMPUTED_VALUE"""),-0.570822577241682)</f>
        <v>-0.57082257724168195</v>
      </c>
      <c r="BG3" s="3">
        <f ca="1">IFERROR(__xludf.DUMMYFUNCTION("""COMPUTED_VALUE"""),-0.684653864275053)</f>
        <v>-0.68465386427505304</v>
      </c>
      <c r="BH3" s="3">
        <f ca="1">IFERROR(__xludf.DUMMYFUNCTION("""COMPUTED_VALUE"""),-0.73257884855148)</f>
        <v>-0.73257884855148003</v>
      </c>
      <c r="BI3" s="3">
        <f ca="1">IFERROR(__xludf.DUMMYFUNCTION("""COMPUTED_VALUE"""),-0.673540577982972)</f>
        <v>-0.67354057798297196</v>
      </c>
      <c r="BJ3" s="3">
        <f ca="1">IFERROR(__xludf.DUMMYFUNCTION("""COMPUTED_VALUE"""),-0.713229748945625)</f>
        <v>-0.71322974894562496</v>
      </c>
      <c r="BK3" s="3">
        <f ca="1">IFERROR(__xludf.DUMMYFUNCTION("""COMPUTED_VALUE"""),-0.704115666275898)</f>
        <v>-0.70411566627589794</v>
      </c>
      <c r="BL3" s="3">
        <f ca="1">IFERROR(__xludf.DUMMYFUNCTION("""COMPUTED_VALUE"""),-0.719355993269045)</f>
        <v>-0.71935599326904498</v>
      </c>
      <c r="BM3" s="3">
        <f ca="1">IFERROR(__xludf.DUMMYFUNCTION("""COMPUTED_VALUE"""),-0.683635981375283)</f>
        <v>-0.68363598137528303</v>
      </c>
      <c r="BN3" s="3">
        <f ca="1">IFERROR(__xludf.DUMMYFUNCTION("""COMPUTED_VALUE"""),-0.711641021462613)</f>
        <v>-0.71164102146261299</v>
      </c>
      <c r="BO3" s="3">
        <f ca="1">IFERROR(__xludf.DUMMYFUNCTION("""COMPUTED_VALUE"""),-0.733547841443909)</f>
        <v>-0.73354784144390905</v>
      </c>
      <c r="BP3" s="3">
        <f ca="1">IFERROR(__xludf.DUMMYFUNCTION("""COMPUTED_VALUE"""),-0.737565046060666)</f>
        <v>-0.73756504606066597</v>
      </c>
      <c r="BQ3" s="3">
        <f ca="1">IFERROR(__xludf.DUMMYFUNCTION("""COMPUTED_VALUE"""),-0.746132554986205)</f>
        <v>-0.74613255498620501</v>
      </c>
      <c r="BR3" s="3">
        <f ca="1">IFERROR(__xludf.DUMMYFUNCTION("""COMPUTED_VALUE"""),-0.700087471510518)</f>
        <v>-0.70008747151051798</v>
      </c>
      <c r="BS3" s="3">
        <f ca="1">IFERROR(__xludf.DUMMYFUNCTION("""COMPUTED_VALUE"""),-0.680517808962037)</f>
        <v>-0.68051780896203695</v>
      </c>
      <c r="BT3" s="3">
        <f ca="1">IFERROR(__xludf.DUMMYFUNCTION("""COMPUTED_VALUE"""),-0.656905261977479)</f>
        <v>-0.656905261977479</v>
      </c>
      <c r="BU3" s="3">
        <f ca="1">IFERROR(__xludf.DUMMYFUNCTION("""COMPUTED_VALUE"""),-0.710874625727867)</f>
        <v>-0.71087462572786697</v>
      </c>
      <c r="BV3" s="3">
        <f ca="1">IFERROR(__xludf.DUMMYFUNCTION("""COMPUTED_VALUE"""),-0.729256432112077)</f>
        <v>-0.72925643211207702</v>
      </c>
      <c r="BW3" s="3">
        <f ca="1">IFERROR(__xludf.DUMMYFUNCTION("""COMPUTED_VALUE"""),-0.723712929998264)</f>
        <v>-0.72371292999826398</v>
      </c>
      <c r="BX3" s="3">
        <f ca="1">IFERROR(__xludf.DUMMYFUNCTION("""COMPUTED_VALUE"""),-0.700248886518168)</f>
        <v>-0.70024888651816797</v>
      </c>
      <c r="BY3" s="3">
        <f ca="1">IFERROR(__xludf.DUMMYFUNCTION("""COMPUTED_VALUE"""),-0.723620542446355)</f>
        <v>-0.72362054244635499</v>
      </c>
      <c r="BZ3" s="3">
        <f ca="1">IFERROR(__xludf.DUMMYFUNCTION("""COMPUTED_VALUE"""),-0.711583272397219)</f>
        <v>-0.71158327239721897</v>
      </c>
      <c r="CA3" s="3">
        <f ca="1">IFERROR(__xludf.DUMMYFUNCTION("""COMPUTED_VALUE"""),-0.695742684327324)</f>
        <v>-0.695742684327324</v>
      </c>
      <c r="CB3" s="3">
        <f ca="1">IFERROR(__xludf.DUMMYFUNCTION("""COMPUTED_VALUE"""),-0.753939410960355)</f>
        <v>-0.75393941096035499</v>
      </c>
      <c r="CC3" s="3">
        <f ca="1">IFERROR(__xludf.DUMMYFUNCTION("""COMPUTED_VALUE"""),-0.748325969903606)</f>
        <v>-0.748325969903606</v>
      </c>
      <c r="CD3" s="3">
        <f ca="1">IFERROR(__xludf.DUMMYFUNCTION("""COMPUTED_VALUE"""),-0.735136633132432)</f>
        <v>-0.73513663313243205</v>
      </c>
      <c r="CE3" s="3">
        <f ca="1">IFERROR(__xludf.DUMMYFUNCTION("""COMPUTED_VALUE"""),-0.700448273639948)</f>
        <v>-0.70044827363994799</v>
      </c>
      <c r="CF3" s="3">
        <f ca="1">IFERROR(__xludf.DUMMYFUNCTION("""COMPUTED_VALUE"""),-0.713186277740484)</f>
        <v>-0.71318627774048404</v>
      </c>
      <c r="CG3" s="3">
        <f ca="1">IFERROR(__xludf.DUMMYFUNCTION("""COMPUTED_VALUE"""),-0.742003774614892)</f>
        <v>-0.74200377461489198</v>
      </c>
      <c r="CH3" s="3">
        <f ca="1">IFERROR(__xludf.DUMMYFUNCTION("""COMPUTED_VALUE"""),-0.734697456779936)</f>
        <v>-0.73469745677993603</v>
      </c>
      <c r="CI3" s="3">
        <f ca="1">IFERROR(__xludf.DUMMYFUNCTION("""COMPUTED_VALUE"""),-0.72366036482514)</f>
        <v>-0.72366036482513996</v>
      </c>
      <c r="CJ3" s="3">
        <f ca="1">IFERROR(__xludf.DUMMYFUNCTION("""COMPUTED_VALUE"""),-0.715745148484305)</f>
        <v>-0.71574514848430504</v>
      </c>
      <c r="CK3" s="3">
        <f ca="1">IFERROR(__xludf.DUMMYFUNCTION("""COMPUTED_VALUE"""),-0.708784687748859)</f>
        <v>-0.70878468774885905</v>
      </c>
      <c r="CL3" s="3">
        <f ca="1">IFERROR(__xludf.DUMMYFUNCTION("""COMPUTED_VALUE"""),-0.728752156115289)</f>
        <v>-0.72875215611528898</v>
      </c>
      <c r="CM3" s="3">
        <f ca="1">IFERROR(__xludf.DUMMYFUNCTION("""COMPUTED_VALUE"""),-0.722964570419778)</f>
        <v>-0.72296457041977802</v>
      </c>
      <c r="CN3" s="3">
        <f ca="1">IFERROR(__xludf.DUMMYFUNCTION("""COMPUTED_VALUE"""),-0.675652445615095)</f>
        <v>-0.67565244561509497</v>
      </c>
      <c r="CO3" s="3">
        <f ca="1">IFERROR(__xludf.DUMMYFUNCTION("""COMPUTED_VALUE"""),-0.706801901847603)</f>
        <v>-0.70680190184760305</v>
      </c>
      <c r="CP3" s="3">
        <f ca="1">IFERROR(__xludf.DUMMYFUNCTION("""COMPUTED_VALUE"""),-0.714526854041307)</f>
        <v>-0.714526854041307</v>
      </c>
      <c r="CQ3" s="3">
        <f ca="1">IFERROR(__xludf.DUMMYFUNCTION("""COMPUTED_VALUE"""),-0.730126289694163)</f>
        <v>-0.73012628969416304</v>
      </c>
      <c r="CR3" s="3">
        <f ca="1">IFERROR(__xludf.DUMMYFUNCTION("""COMPUTED_VALUE"""),-0.705854557701717)</f>
        <v>-0.70585455770171701</v>
      </c>
      <c r="CS3" s="3">
        <f ca="1">IFERROR(__xludf.DUMMYFUNCTION("""COMPUTED_VALUE"""),-0.758210367013497)</f>
        <v>-0.75821036701349698</v>
      </c>
      <c r="CT3" s="3">
        <f ca="1">IFERROR(__xludf.DUMMYFUNCTION("""COMPUTED_VALUE"""),-0.722674050256876)</f>
        <v>-0.72267405025687603</v>
      </c>
      <c r="CU3" s="3">
        <f ca="1">IFERROR(__xludf.DUMMYFUNCTION("""COMPUTED_VALUE"""),-0.757930948968547)</f>
        <v>-0.75793094896854696</v>
      </c>
      <c r="CV3" s="3">
        <f ca="1">IFERROR(__xludf.DUMMYFUNCTION("""COMPUTED_VALUE"""),-0.764223231923592)</f>
        <v>-0.76422323192359198</v>
      </c>
      <c r="CW3" s="3">
        <f ca="1">IFERROR(__xludf.DUMMYFUNCTION("""COMPUTED_VALUE"""),-0.785681253231422)</f>
        <v>-0.78568125323142202</v>
      </c>
      <c r="CX3" s="3">
        <f ca="1">IFERROR(__xludf.DUMMYFUNCTION("""COMPUTED_VALUE"""),-0.692590517965265)</f>
        <v>-0.69259051796526505</v>
      </c>
      <c r="CY3" s="3">
        <f ca="1">IFERROR(__xludf.DUMMYFUNCTION("""COMPUTED_VALUE"""),-0.469128446233128)</f>
        <v>-0.46912844623312799</v>
      </c>
      <c r="CZ3" s="3">
        <f ca="1">IFERROR(__xludf.DUMMYFUNCTION("""COMPUTED_VALUE"""),-0.716195661286284)</f>
        <v>-0.71619566128628398</v>
      </c>
      <c r="DA3" s="3">
        <f ca="1">IFERROR(__xludf.DUMMYFUNCTION("""COMPUTED_VALUE"""),-0.714342747708397)</f>
        <v>-0.71434274770839701</v>
      </c>
      <c r="DB3" s="3">
        <f ca="1">IFERROR(__xludf.DUMMYFUNCTION("""COMPUTED_VALUE"""),-0.743840399302312)</f>
        <v>-0.74384039930231205</v>
      </c>
      <c r="DC3" s="3">
        <f ca="1">IFERROR(__xludf.DUMMYFUNCTION("""COMPUTED_VALUE"""),-0.743929635733125)</f>
        <v>-0.74392963573312498</v>
      </c>
      <c r="DD3" s="3">
        <f ca="1">IFERROR(__xludf.DUMMYFUNCTION("""COMPUTED_VALUE"""),-0.950279668337529)</f>
        <v>-0.95027966833752897</v>
      </c>
      <c r="DE3" s="3">
        <f ca="1">IFERROR(__xludf.DUMMYFUNCTION("""COMPUTED_VALUE"""),-0.719066979366472)</f>
        <v>-0.71906697936647201</v>
      </c>
      <c r="DF3" s="3">
        <f ca="1">IFERROR(__xludf.DUMMYFUNCTION("""COMPUTED_VALUE"""),-0.588267307635862)</f>
        <v>-0.58826730763586199</v>
      </c>
      <c r="DG3" s="3">
        <f ca="1">IFERROR(__xludf.DUMMYFUNCTION("""COMPUTED_VALUE"""),-0.702878030673953)</f>
        <v>-0.70287803067395305</v>
      </c>
      <c r="DH3" s="3">
        <f ca="1">IFERROR(__xludf.DUMMYFUNCTION("""COMPUTED_VALUE"""),-0.721294298356407)</f>
        <v>-0.72129429835640702</v>
      </c>
      <c r="DI3" s="3">
        <f ca="1">IFERROR(__xludf.DUMMYFUNCTION("""COMPUTED_VALUE"""),-0.725133958845662)</f>
        <v>-0.72513395884566201</v>
      </c>
      <c r="DJ3" s="3">
        <f ca="1">IFERROR(__xludf.DUMMYFUNCTION("""COMPUTED_VALUE"""),-0.658280507043749)</f>
        <v>-0.65828050704374896</v>
      </c>
      <c r="DK3" s="3">
        <f ca="1">IFERROR(__xludf.DUMMYFUNCTION("""COMPUTED_VALUE"""),-0.572106840260851)</f>
        <v>-0.57210684026085101</v>
      </c>
      <c r="DL3" s="3">
        <f ca="1">IFERROR(__xludf.DUMMYFUNCTION("""COMPUTED_VALUE"""),-0.51740364309688)</f>
        <v>-0.51740364309688003</v>
      </c>
      <c r="DM3" s="3">
        <f ca="1">IFERROR(__xludf.DUMMYFUNCTION("""COMPUTED_VALUE"""),-0.425762782577778)</f>
        <v>-0.425762782577778</v>
      </c>
      <c r="DN3" s="3">
        <f ca="1">IFERROR(__xludf.DUMMYFUNCTION("""COMPUTED_VALUE"""),-0.52186445079152)</f>
        <v>-0.52186445079152</v>
      </c>
      <c r="DO3" s="3">
        <f ca="1">IFERROR(__xludf.DUMMYFUNCTION("""COMPUTED_VALUE"""),-0.58378259754178)</f>
        <v>-0.58378259754177997</v>
      </c>
      <c r="DP3" s="3">
        <f ca="1">IFERROR(__xludf.DUMMYFUNCTION("""COMPUTED_VALUE"""),-0.616140466793323)</f>
        <v>-0.61614046679332302</v>
      </c>
      <c r="DQ3" s="3">
        <f ca="1">IFERROR(__xludf.DUMMYFUNCTION("""COMPUTED_VALUE"""),-0.562326513644932)</f>
        <v>-0.56232651364493202</v>
      </c>
      <c r="DR3" s="3">
        <f ca="1">IFERROR(__xludf.DUMMYFUNCTION("""COMPUTED_VALUE"""),-0.553917612483957)</f>
        <v>-0.55391761248395699</v>
      </c>
      <c r="DS3" s="3">
        <f ca="1">IFERROR(__xludf.DUMMYFUNCTION("""COMPUTED_VALUE"""),-0.571206523973276)</f>
        <v>-0.57120652397327598</v>
      </c>
      <c r="DT3" s="3">
        <f ca="1">IFERROR(__xludf.DUMMYFUNCTION("""COMPUTED_VALUE"""),-0.529498210500977)</f>
        <v>-0.52949821050097701</v>
      </c>
      <c r="DU3" s="3">
        <f ca="1">IFERROR(__xludf.DUMMYFUNCTION("""COMPUTED_VALUE"""),-0.544329256359871)</f>
        <v>-0.54432925635987095</v>
      </c>
      <c r="DV3" s="3">
        <f ca="1">IFERROR(__xludf.DUMMYFUNCTION("""COMPUTED_VALUE"""),-0.571406120024517)</f>
        <v>-0.57140612002451696</v>
      </c>
      <c r="DW3" s="3">
        <f ca="1">IFERROR(__xludf.DUMMYFUNCTION("""COMPUTED_VALUE"""),-0.579145816385939)</f>
        <v>-0.57914581638593898</v>
      </c>
      <c r="DX3" s="3">
        <f ca="1">IFERROR(__xludf.DUMMYFUNCTION("""COMPUTED_VALUE"""),-0.616320749075074)</f>
        <v>-0.61632074907507395</v>
      </c>
      <c r="DY3" s="3">
        <f ca="1">IFERROR(__xludf.DUMMYFUNCTION("""COMPUTED_VALUE"""),-0.568378701460608)</f>
        <v>-0.56837870146060798</v>
      </c>
      <c r="DZ3" s="3">
        <f ca="1">IFERROR(__xludf.DUMMYFUNCTION("""COMPUTED_VALUE"""),-0.554015764987731)</f>
        <v>-0.55401576498773097</v>
      </c>
      <c r="EA3" s="3">
        <f ca="1">IFERROR(__xludf.DUMMYFUNCTION("""COMPUTED_VALUE"""),-0.592014758655543)</f>
        <v>-0.59201475865554298</v>
      </c>
      <c r="EB3" s="3">
        <f ca="1">IFERROR(__xludf.DUMMYFUNCTION("""COMPUTED_VALUE"""),-0.63322526492399)</f>
        <v>-0.63322526492399001</v>
      </c>
      <c r="EC3" s="3">
        <f ca="1">IFERROR(__xludf.DUMMYFUNCTION("""COMPUTED_VALUE"""),-0.626558233068451)</f>
        <v>-0.62655823306845104</v>
      </c>
      <c r="ED3" s="3">
        <f ca="1">IFERROR(__xludf.DUMMYFUNCTION("""COMPUTED_VALUE"""),-0.702035136666481)</f>
        <v>-0.70203513666648099</v>
      </c>
      <c r="EE3" s="3">
        <f ca="1">IFERROR(__xludf.DUMMYFUNCTION("""COMPUTED_VALUE"""),-0.695521735360001)</f>
        <v>-0.69552173536000095</v>
      </c>
      <c r="EF3" s="3">
        <f ca="1">IFERROR(__xludf.DUMMYFUNCTION("""COMPUTED_VALUE"""),-0.668117682604949)</f>
        <v>-0.66811768260494897</v>
      </c>
      <c r="EG3" s="3">
        <f ca="1">IFERROR(__xludf.DUMMYFUNCTION("""COMPUTED_VALUE"""),-0.653718952780896)</f>
        <v>-0.65371895278089598</v>
      </c>
      <c r="EH3" s="3">
        <f ca="1">IFERROR(__xludf.DUMMYFUNCTION("""COMPUTED_VALUE"""),-0.657156575028144)</f>
        <v>-0.65715657502814395</v>
      </c>
      <c r="EI3" s="3">
        <f ca="1">IFERROR(__xludf.DUMMYFUNCTION("""COMPUTED_VALUE"""),-0.682941856647006)</f>
        <v>-0.68294185664700602</v>
      </c>
      <c r="EJ3" s="3">
        <f ca="1">IFERROR(__xludf.DUMMYFUNCTION("""COMPUTED_VALUE"""),-0.662901107447041)</f>
        <v>-0.662901107447041</v>
      </c>
      <c r="EK3" s="3">
        <f ca="1">IFERROR(__xludf.DUMMYFUNCTION("""COMPUTED_VALUE"""),-0.712359755977222)</f>
        <v>-0.71235975597722201</v>
      </c>
      <c r="EL3" s="3">
        <f ca="1">IFERROR(__xludf.DUMMYFUNCTION("""COMPUTED_VALUE"""),-0.715657526991116)</f>
        <v>-0.71565752699111596</v>
      </c>
      <c r="EM3" s="3">
        <f ca="1">IFERROR(__xludf.DUMMYFUNCTION("""COMPUTED_VALUE"""),-0.653467647005402)</f>
        <v>-0.65346764700540205</v>
      </c>
      <c r="EN3" s="3">
        <f ca="1">IFERROR(__xludf.DUMMYFUNCTION("""COMPUTED_VALUE"""),-0.633664080500545)</f>
        <v>-0.63366408050054501</v>
      </c>
      <c r="EO3" s="3">
        <f ca="1">IFERROR(__xludf.DUMMYFUNCTION("""COMPUTED_VALUE"""),-0.672120950910969)</f>
        <v>-0.67212095091096902</v>
      </c>
      <c r="EP3" s="3">
        <f ca="1">IFERROR(__xludf.DUMMYFUNCTION("""COMPUTED_VALUE"""),-0.627390474907395)</f>
        <v>-0.62739047490739497</v>
      </c>
      <c r="EQ3" s="3">
        <f ca="1">IFERROR(__xludf.DUMMYFUNCTION("""COMPUTED_VALUE"""),-0.638038549249201)</f>
        <v>-0.638038549249201</v>
      </c>
      <c r="ER3" s="3">
        <f ca="1">IFERROR(__xludf.DUMMYFUNCTION("""COMPUTED_VALUE"""),-0.766173463374014)</f>
        <v>-0.76617346337401404</v>
      </c>
      <c r="ES3" s="3">
        <f ca="1">IFERROR(__xludf.DUMMYFUNCTION("""COMPUTED_VALUE"""),-0.745326445827133)</f>
        <v>-0.74532644582713303</v>
      </c>
      <c r="ET3" s="3">
        <f ca="1">IFERROR(__xludf.DUMMYFUNCTION("""COMPUTED_VALUE"""),-0.645523001343936)</f>
        <v>-0.64552300134393603</v>
      </c>
      <c r="EU3" s="3">
        <f ca="1">IFERROR(__xludf.DUMMYFUNCTION("""COMPUTED_VALUE"""),-0.662417366242315)</f>
        <v>-0.66241736624231495</v>
      </c>
      <c r="EV3" s="3">
        <f ca="1">IFERROR(__xludf.DUMMYFUNCTION("""COMPUTED_VALUE"""),-0.660425619266065)</f>
        <v>-0.66042561926606502</v>
      </c>
      <c r="EW3" s="3">
        <f ca="1">IFERROR(__xludf.DUMMYFUNCTION("""COMPUTED_VALUE"""),-0.650840105701393)</f>
        <v>-0.65084010570139295</v>
      </c>
      <c r="EX3" s="3">
        <f ca="1">IFERROR(__xludf.DUMMYFUNCTION("""COMPUTED_VALUE"""),-0.691478041313238)</f>
        <v>-0.69147804131323798</v>
      </c>
      <c r="EY3" s="3">
        <f ca="1">IFERROR(__xludf.DUMMYFUNCTION("""COMPUTED_VALUE"""),-0.756799234770784)</f>
        <v>-0.75679923477078404</v>
      </c>
      <c r="EZ3" s="3">
        <f ca="1">IFERROR(__xludf.DUMMYFUNCTION("""COMPUTED_VALUE"""),-0.768984712766423)</f>
        <v>-0.768984712766423</v>
      </c>
      <c r="FA3" s="3">
        <f ca="1">IFERROR(__xludf.DUMMYFUNCTION("""COMPUTED_VALUE"""),-0.663728573338387)</f>
        <v>-0.66372857333838697</v>
      </c>
      <c r="FB3" s="3">
        <f ca="1">IFERROR(__xludf.DUMMYFUNCTION("""COMPUTED_VALUE"""),-0.661769513957287)</f>
        <v>-0.661769513957287</v>
      </c>
      <c r="FC3" s="3">
        <f ca="1">IFERROR(__xludf.DUMMYFUNCTION("""COMPUTED_VALUE"""),-0.499644299190122)</f>
        <v>-0.49964429919012199</v>
      </c>
      <c r="FD3" s="3">
        <f ca="1">IFERROR(__xludf.DUMMYFUNCTION("""COMPUTED_VALUE"""),-0.519977001571341)</f>
        <v>-0.51997700157134097</v>
      </c>
      <c r="FE3" s="3">
        <f ca="1">IFERROR(__xludf.DUMMYFUNCTION("""COMPUTED_VALUE"""),-0.56183515659381)</f>
        <v>-0.56183515659381</v>
      </c>
      <c r="FF3" s="3">
        <f ca="1">IFERROR(__xludf.DUMMYFUNCTION("""COMPUTED_VALUE"""),-0.601839748604764)</f>
        <v>-0.60183974860476397</v>
      </c>
      <c r="FG3" s="3">
        <f ca="1">IFERROR(__xludf.DUMMYFUNCTION("""COMPUTED_VALUE"""),-0.564768998199221)</f>
        <v>-0.564768998199221</v>
      </c>
      <c r="FH3" s="3">
        <f ca="1">IFERROR(__xludf.DUMMYFUNCTION("""COMPUTED_VALUE"""),-0.665769168601573)</f>
        <v>-0.66576916860157298</v>
      </c>
      <c r="FI3" s="3">
        <f ca="1">IFERROR(__xludf.DUMMYFUNCTION("""COMPUTED_VALUE"""),-0.64900373169966)</f>
        <v>-0.64900373169965997</v>
      </c>
      <c r="FJ3" s="3">
        <f ca="1">IFERROR(__xludf.DUMMYFUNCTION("""COMPUTED_VALUE"""),-0.662671161219593)</f>
        <v>-0.66267116121959302</v>
      </c>
      <c r="FK3" s="3">
        <f ca="1">IFERROR(__xludf.DUMMYFUNCTION("""COMPUTED_VALUE"""),-0.678751989389155)</f>
        <v>-0.67875198938915504</v>
      </c>
      <c r="FL3" s="3">
        <f ca="1">IFERROR(__xludf.DUMMYFUNCTION("""COMPUTED_VALUE"""),-0.681774237659953)</f>
        <v>-0.68177423765995304</v>
      </c>
      <c r="FM3" s="3">
        <f ca="1">IFERROR(__xludf.DUMMYFUNCTION("""COMPUTED_VALUE"""),-0.603937753525533)</f>
        <v>-0.60393775352553303</v>
      </c>
      <c r="FN3" s="3">
        <f ca="1">IFERROR(__xludf.DUMMYFUNCTION("""COMPUTED_VALUE"""),-0.586404759972125)</f>
        <v>-0.58640475997212504</v>
      </c>
      <c r="FO3" s="3">
        <f ca="1">IFERROR(__xludf.DUMMYFUNCTION("""COMPUTED_VALUE"""),-0.595064895575921)</f>
        <v>-0.59506489557592102</v>
      </c>
      <c r="FP3" s="3">
        <f ca="1">IFERROR(__xludf.DUMMYFUNCTION("""COMPUTED_VALUE"""),-0.594010031452122)</f>
        <v>-0.59401003145212194</v>
      </c>
      <c r="FQ3" s="3">
        <f ca="1">IFERROR(__xludf.DUMMYFUNCTION("""COMPUTED_VALUE"""),-0.608867799935326)</f>
        <v>-0.60886779993532603</v>
      </c>
      <c r="FR3" s="3">
        <f ca="1">IFERROR(__xludf.DUMMYFUNCTION("""COMPUTED_VALUE"""),-0.587999392866086)</f>
        <v>-0.58799939286608605</v>
      </c>
      <c r="FS3" s="3">
        <f ca="1">IFERROR(__xludf.DUMMYFUNCTION("""COMPUTED_VALUE"""),-0.618089495459252)</f>
        <v>-0.61808949545925196</v>
      </c>
      <c r="FT3" s="3">
        <f ca="1">IFERROR(__xludf.DUMMYFUNCTION("""COMPUTED_VALUE"""),-0.59645281418628)</f>
        <v>-0.59645281418628004</v>
      </c>
      <c r="FU3" s="3">
        <f ca="1">IFERROR(__xludf.DUMMYFUNCTION("""COMPUTED_VALUE"""),-0.629851452753731)</f>
        <v>-0.629851452753731</v>
      </c>
      <c r="FV3" s="3">
        <f ca="1">IFERROR(__xludf.DUMMYFUNCTION("""COMPUTED_VALUE"""),-0.543599545321968)</f>
        <v>-0.54359954532196797</v>
      </c>
      <c r="FW3" s="3">
        <f ca="1">IFERROR(__xludf.DUMMYFUNCTION("""COMPUTED_VALUE"""),-0.556525136236457)</f>
        <v>-0.55652513623645705</v>
      </c>
      <c r="FX3" s="3">
        <f ca="1">IFERROR(__xludf.DUMMYFUNCTION("""COMPUTED_VALUE"""),-0.578474136537321)</f>
        <v>-0.57847413653732105</v>
      </c>
      <c r="FY3" s="3">
        <f ca="1">IFERROR(__xludf.DUMMYFUNCTION("""COMPUTED_VALUE"""),-0.56847605458745)</f>
        <v>-0.56847605458744999</v>
      </c>
      <c r="FZ3" s="3">
        <f ca="1">IFERROR(__xludf.DUMMYFUNCTION("""COMPUTED_VALUE"""),-0.59106461690065)</f>
        <v>-0.59106461690065004</v>
      </c>
      <c r="GA3" s="3">
        <f ca="1">IFERROR(__xludf.DUMMYFUNCTION("""COMPUTED_VALUE"""),-0.607833416308157)</f>
        <v>-0.60783341630815702</v>
      </c>
      <c r="GB3" s="3">
        <f ca="1">IFERROR(__xludf.DUMMYFUNCTION("""COMPUTED_VALUE"""),-0.617160688356055)</f>
        <v>-0.61716068835605498</v>
      </c>
      <c r="GC3" s="3">
        <f ca="1">IFERROR(__xludf.DUMMYFUNCTION("""COMPUTED_VALUE"""),-0.551402344918029)</f>
        <v>-0.55140234491802897</v>
      </c>
      <c r="GD3" s="3">
        <f ca="1">IFERROR(__xludf.DUMMYFUNCTION("""COMPUTED_VALUE"""),-0.516668584883174)</f>
        <v>-0.51666858488317402</v>
      </c>
      <c r="GE3" s="3">
        <f ca="1">IFERROR(__xludf.DUMMYFUNCTION("""COMPUTED_VALUE"""),-0.562111858420474)</f>
        <v>-0.56211185842047395</v>
      </c>
      <c r="GF3" s="3">
        <f ca="1">IFERROR(__xludf.DUMMYFUNCTION("""COMPUTED_VALUE"""),-0.571108287288758)</f>
        <v>-0.57110828728875795</v>
      </c>
      <c r="GG3" s="3">
        <f ca="1">IFERROR(__xludf.DUMMYFUNCTION("""COMPUTED_VALUE"""),-0.597628111950365)</f>
        <v>-0.59762811195036503</v>
      </c>
      <c r="GH3" s="3">
        <f ca="1">IFERROR(__xludf.DUMMYFUNCTION("""COMPUTED_VALUE"""),-0.696503472411164)</f>
        <v>-0.69650347241116395</v>
      </c>
      <c r="GI3" s="3">
        <f ca="1">IFERROR(__xludf.DUMMYFUNCTION("""COMPUTED_VALUE"""),-0.640726788023049)</f>
        <v>-0.64072678802304905</v>
      </c>
      <c r="GJ3" s="3">
        <f ca="1">IFERROR(__xludf.DUMMYFUNCTION("""COMPUTED_VALUE"""),-0.623723035459911)</f>
        <v>-0.62372303545991103</v>
      </c>
      <c r="GK3" s="3">
        <f ca="1">IFERROR(__xludf.DUMMYFUNCTION("""COMPUTED_VALUE"""),-0.631007293878655)</f>
        <v>-0.63100729387865495</v>
      </c>
      <c r="GL3" s="3">
        <f ca="1">IFERROR(__xludf.DUMMYFUNCTION("""COMPUTED_VALUE"""),-0.593207858206407)</f>
        <v>-0.59320785820640698</v>
      </c>
      <c r="GM3" s="3">
        <f ca="1">IFERROR(__xludf.DUMMYFUNCTION("""COMPUTED_VALUE"""),-0.595158365641684)</f>
        <v>-0.59515836564168401</v>
      </c>
      <c r="GN3" s="3">
        <f ca="1">IFERROR(__xludf.DUMMYFUNCTION("""COMPUTED_VALUE"""),-0.557077820344029)</f>
        <v>-0.55707782034402897</v>
      </c>
      <c r="GO3" s="3">
        <f ca="1">IFERROR(__xludf.DUMMYFUNCTION("""COMPUTED_VALUE"""),-0.632198336886179)</f>
        <v>-0.63219833688617899</v>
      </c>
      <c r="GP3" s="3">
        <f ca="1">IFERROR(__xludf.DUMMYFUNCTION("""COMPUTED_VALUE"""),-0.617593673207005)</f>
        <v>-0.61759367320700498</v>
      </c>
      <c r="GQ3" s="3">
        <f ca="1">IFERROR(__xludf.DUMMYFUNCTION("""COMPUTED_VALUE"""),-0.583722796682811)</f>
        <v>-0.58372279668281102</v>
      </c>
      <c r="GR3" s="3">
        <f ca="1">IFERROR(__xludf.DUMMYFUNCTION("""COMPUTED_VALUE"""),-0.591349014053339)</f>
        <v>-0.59134901405333895</v>
      </c>
      <c r="GS3" s="3">
        <f ca="1">IFERROR(__xludf.DUMMYFUNCTION("""COMPUTED_VALUE"""),-0.586909385797463)</f>
        <v>-0.58690938579746299</v>
      </c>
      <c r="GT3" s="3">
        <f ca="1">IFERROR(__xludf.DUMMYFUNCTION("""COMPUTED_VALUE"""),-0.575615584097774)</f>
        <v>-0.57561558409777402</v>
      </c>
      <c r="GU3" s="3">
        <f ca="1">IFERROR(__xludf.DUMMYFUNCTION("""COMPUTED_VALUE"""),-0.612378858884747)</f>
        <v>-0.61237885888474697</v>
      </c>
      <c r="GV3" s="3">
        <f ca="1">IFERROR(__xludf.DUMMYFUNCTION("""COMPUTED_VALUE"""),-0.642134679805706)</f>
        <v>-0.64213467980570604</v>
      </c>
      <c r="GW3" s="3">
        <f ca="1">IFERROR(__xludf.DUMMYFUNCTION("""COMPUTED_VALUE"""),-0.63500218822015)</f>
        <v>-0.63500218822014998</v>
      </c>
      <c r="GX3" s="3">
        <f ca="1">IFERROR(__xludf.DUMMYFUNCTION("""COMPUTED_VALUE"""),-0.571079779856433)</f>
        <v>-0.57107977985643299</v>
      </c>
      <c r="GY3" s="3">
        <f ca="1">IFERROR(__xludf.DUMMYFUNCTION("""COMPUTED_VALUE"""),-0.582329724424796)</f>
        <v>-0.58232972442479602</v>
      </c>
      <c r="GZ3" s="3">
        <f ca="1">IFERROR(__xludf.DUMMYFUNCTION("""COMPUTED_VALUE"""),-0.551675330101083)</f>
        <v>-0.55167533010108305</v>
      </c>
      <c r="HA3" s="3">
        <f ca="1">IFERROR(__xludf.DUMMYFUNCTION("""COMPUTED_VALUE"""),-0.552256418487709)</f>
        <v>-0.55225641848770901</v>
      </c>
      <c r="HB3" s="3">
        <f ca="1">IFERROR(__xludf.DUMMYFUNCTION("""COMPUTED_VALUE"""),-0.564497328770927)</f>
        <v>-0.56449732877092695</v>
      </c>
      <c r="HC3" s="3">
        <f ca="1">IFERROR(__xludf.DUMMYFUNCTION("""COMPUTED_VALUE"""),-0.619676796148659)</f>
        <v>-0.619676796148659</v>
      </c>
      <c r="HD3" s="3">
        <f ca="1">IFERROR(__xludf.DUMMYFUNCTION("""COMPUTED_VALUE"""),-0.65189330706595)</f>
        <v>-0.65189330706594995</v>
      </c>
      <c r="HE3" s="3">
        <f ca="1">IFERROR(__xludf.DUMMYFUNCTION("""COMPUTED_VALUE"""),-0.623725546093847)</f>
        <v>-0.62372554609384701</v>
      </c>
      <c r="HF3" s="3">
        <f ca="1">IFERROR(__xludf.DUMMYFUNCTION("""COMPUTED_VALUE"""),-0.593173468098627)</f>
        <v>-0.59317346809862703</v>
      </c>
      <c r="HG3" s="3">
        <f ca="1">IFERROR(__xludf.DUMMYFUNCTION("""COMPUTED_VALUE"""),-0.557180465746907)</f>
        <v>-0.55718046574690705</v>
      </c>
      <c r="HH3" s="3">
        <f ca="1">IFERROR(__xludf.DUMMYFUNCTION("""COMPUTED_VALUE"""),-0.513046482751943)</f>
        <v>-0.51304648275194298</v>
      </c>
      <c r="HI3" s="3">
        <f ca="1">IFERROR(__xludf.DUMMYFUNCTION("""COMPUTED_VALUE"""),-0.575600413002916)</f>
        <v>-0.57560041300291598</v>
      </c>
      <c r="HJ3" s="3">
        <f ca="1">IFERROR(__xludf.DUMMYFUNCTION("""COMPUTED_VALUE"""),-0.615849255420884)</f>
        <v>-0.61584925542088398</v>
      </c>
      <c r="HK3" s="3">
        <f ca="1">IFERROR(__xludf.DUMMYFUNCTION("""COMPUTED_VALUE"""),-0.624336363981678)</f>
        <v>-0.62433636398167802</v>
      </c>
      <c r="HL3" s="3">
        <f ca="1">IFERROR(__xludf.DUMMYFUNCTION("""COMPUTED_VALUE"""),-0.593600401824916)</f>
        <v>-0.59360040182491602</v>
      </c>
      <c r="HM3" s="3">
        <f ca="1">IFERROR(__xludf.DUMMYFUNCTION("""COMPUTED_VALUE"""),-0.627854127373099)</f>
        <v>-0.62785412737309898</v>
      </c>
      <c r="HN3" s="3">
        <f ca="1">IFERROR(__xludf.DUMMYFUNCTION("""COMPUTED_VALUE"""),-0.661643390716239)</f>
        <v>-0.66164339071623901</v>
      </c>
      <c r="HO3" s="3">
        <f ca="1">IFERROR(__xludf.DUMMYFUNCTION("""COMPUTED_VALUE"""),-0.638674322615402)</f>
        <v>-0.63867432261540202</v>
      </c>
      <c r="HP3" s="3">
        <f ca="1">IFERROR(__xludf.DUMMYFUNCTION("""COMPUTED_VALUE"""),-0.556143756605036)</f>
        <v>-0.55614375660503601</v>
      </c>
      <c r="HQ3" s="3">
        <f ca="1">IFERROR(__xludf.DUMMYFUNCTION("""COMPUTED_VALUE"""),-0.601794473607634)</f>
        <v>-0.60179447360763405</v>
      </c>
      <c r="HR3" s="3">
        <f ca="1">IFERROR(__xludf.DUMMYFUNCTION("""COMPUTED_VALUE"""),-0.632433979790366)</f>
        <v>-0.63243397979036597</v>
      </c>
      <c r="HS3" s="3">
        <f ca="1">IFERROR(__xludf.DUMMYFUNCTION("""COMPUTED_VALUE"""),-0.664083679175828)</f>
        <v>-0.664083679175828</v>
      </c>
      <c r="HT3" s="3">
        <f ca="1">IFERROR(__xludf.DUMMYFUNCTION("""COMPUTED_VALUE"""),-0.651460602817112)</f>
        <v>-0.65146060281711204</v>
      </c>
      <c r="HU3" s="3">
        <f ca="1">IFERROR(__xludf.DUMMYFUNCTION("""COMPUTED_VALUE"""),-0.648059794921265)</f>
        <v>-0.64805979492126498</v>
      </c>
      <c r="HV3" s="3">
        <f ca="1">IFERROR(__xludf.DUMMYFUNCTION("""COMPUTED_VALUE"""),-0.64309163822009)</f>
        <v>-0.64309163822008997</v>
      </c>
      <c r="HW3" s="3">
        <f ca="1">IFERROR(__xludf.DUMMYFUNCTION("""COMPUTED_VALUE"""),-0.623843396880751)</f>
        <v>-0.62384339688075097</v>
      </c>
      <c r="HX3" s="3">
        <f ca="1">IFERROR(__xludf.DUMMYFUNCTION("""COMPUTED_VALUE"""),-0.626797553765799)</f>
        <v>-0.62679755376579904</v>
      </c>
      <c r="HY3" s="3">
        <f ca="1">IFERROR(__xludf.DUMMYFUNCTION("""COMPUTED_VALUE"""),-0.609877343504814)</f>
        <v>-0.60987734350481404</v>
      </c>
      <c r="HZ3" s="3">
        <f ca="1">IFERROR(__xludf.DUMMYFUNCTION("""COMPUTED_VALUE"""),-0.635618692057399)</f>
        <v>-0.63561869205739896</v>
      </c>
      <c r="IA3" s="3">
        <f ca="1">IFERROR(__xludf.DUMMYFUNCTION("""COMPUTED_VALUE"""),-0.614381457233442)</f>
        <v>-0.61438145723344195</v>
      </c>
      <c r="IB3" s="3">
        <f ca="1">IFERROR(__xludf.DUMMYFUNCTION("""COMPUTED_VALUE"""),-0.628968921311122)</f>
        <v>-0.62896892131112203</v>
      </c>
      <c r="IC3" s="3">
        <f ca="1">IFERROR(__xludf.DUMMYFUNCTION("""COMPUTED_VALUE"""),-0.626687837403464)</f>
        <v>-0.62668783740346401</v>
      </c>
      <c r="ID3" s="3">
        <f ca="1">IFERROR(__xludf.DUMMYFUNCTION("""COMPUTED_VALUE"""),-0.592583924700131)</f>
        <v>-0.59258392470013099</v>
      </c>
      <c r="IE3" s="3">
        <f ca="1">IFERROR(__xludf.DUMMYFUNCTION("""COMPUTED_VALUE"""),-0.645427000468344)</f>
        <v>-0.645427000468344</v>
      </c>
      <c r="IF3" s="3">
        <f ca="1">IFERROR(__xludf.DUMMYFUNCTION("""COMPUTED_VALUE"""),-0.660582052124291)</f>
        <v>-0.660582052124291</v>
      </c>
      <c r="IG3" s="3">
        <f ca="1">IFERROR(__xludf.DUMMYFUNCTION("""COMPUTED_VALUE"""),-0.641270140024472)</f>
        <v>-0.64127014002447202</v>
      </c>
      <c r="IH3" s="3">
        <f ca="1">IFERROR(__xludf.DUMMYFUNCTION("""COMPUTED_VALUE"""),-0.630212853261022)</f>
        <v>-0.63021285326102205</v>
      </c>
      <c r="II3" s="3">
        <f ca="1">IFERROR(__xludf.DUMMYFUNCTION("""COMPUTED_VALUE"""),-0.644594660424345)</f>
        <v>-0.64459466042434499</v>
      </c>
      <c r="IJ3" s="3">
        <f ca="1">IFERROR(__xludf.DUMMYFUNCTION("""COMPUTED_VALUE"""),-0.651616402353587)</f>
        <v>-0.65161640235358698</v>
      </c>
      <c r="IK3" s="3">
        <f ca="1">IFERROR(__xludf.DUMMYFUNCTION("""COMPUTED_VALUE"""),-0.638712757505512)</f>
        <v>-0.63871275750551204</v>
      </c>
      <c r="IL3" s="3">
        <f ca="1">IFERROR(__xludf.DUMMYFUNCTION("""COMPUTED_VALUE"""),-0.627866182932139)</f>
        <v>-0.62786618293213903</v>
      </c>
      <c r="IM3" s="3">
        <f ca="1">IFERROR(__xludf.DUMMYFUNCTION("""COMPUTED_VALUE"""),-0.577294661562528)</f>
        <v>-0.57729466156252796</v>
      </c>
      <c r="IN3" s="3">
        <f ca="1">IFERROR(__xludf.DUMMYFUNCTION("""COMPUTED_VALUE"""),-0.616241997106799)</f>
        <v>-0.61624199710679906</v>
      </c>
      <c r="IO3" s="3">
        <f ca="1">IFERROR(__xludf.DUMMYFUNCTION("""COMPUTED_VALUE"""),-0.624124272205032)</f>
        <v>-0.62412427220503197</v>
      </c>
      <c r="IP3" s="3">
        <f ca="1">IFERROR(__xludf.DUMMYFUNCTION("""COMPUTED_VALUE"""),-0.552635799735405)</f>
        <v>-0.552635799735405</v>
      </c>
      <c r="IQ3" s="3">
        <f ca="1">IFERROR(__xludf.DUMMYFUNCTION("""COMPUTED_VALUE"""),-0.580129369426339)</f>
        <v>-0.58012936942633897</v>
      </c>
      <c r="IR3" s="3">
        <f ca="1">IFERROR(__xludf.DUMMYFUNCTION("""COMPUTED_VALUE"""),-0.585120862981539)</f>
        <v>-0.58512086298153898</v>
      </c>
      <c r="IS3" s="3">
        <f ca="1">IFERROR(__xludf.DUMMYFUNCTION("""COMPUTED_VALUE"""),-0.631236037212942)</f>
        <v>-0.63123603721294197</v>
      </c>
      <c r="IT3" s="3">
        <f ca="1">IFERROR(__xludf.DUMMYFUNCTION("""COMPUTED_VALUE"""),-0.586842139480069)</f>
        <v>-0.58684213948006902</v>
      </c>
      <c r="IU3" s="3">
        <f ca="1">IFERROR(__xludf.DUMMYFUNCTION("""COMPUTED_VALUE"""),-0.574023749016771)</f>
        <v>-0.574023749016771</v>
      </c>
      <c r="IV3" s="3">
        <f ca="1">IFERROR(__xludf.DUMMYFUNCTION("""COMPUTED_VALUE"""),-0.583076742376871)</f>
        <v>-0.58307674237687102</v>
      </c>
      <c r="IW3" s="3">
        <f ca="1">IFERROR(__xludf.DUMMYFUNCTION("""COMPUTED_VALUE"""),-0.625545702972652)</f>
        <v>-0.625545702972652</v>
      </c>
      <c r="IX3" s="3">
        <f ca="1">IFERROR(__xludf.DUMMYFUNCTION("""COMPUTED_VALUE"""),-0.622829529440008)</f>
        <v>-0.62282952944000802</v>
      </c>
      <c r="IY3" s="3">
        <f ca="1">IFERROR(__xludf.DUMMYFUNCTION("""COMPUTED_VALUE"""),-0.638688400209777)</f>
        <v>-0.63868840020977702</v>
      </c>
      <c r="IZ3" s="3">
        <f ca="1">IFERROR(__xludf.DUMMYFUNCTION("""COMPUTED_VALUE"""),-0.586868308059203)</f>
        <v>-0.58686830805920298</v>
      </c>
      <c r="JA3" s="3">
        <f ca="1">IFERROR(__xludf.DUMMYFUNCTION("""COMPUTED_VALUE"""),-0.642530662714266)</f>
        <v>-0.64253066271426595</v>
      </c>
      <c r="JB3" s="3">
        <f ca="1">IFERROR(__xludf.DUMMYFUNCTION("""COMPUTED_VALUE"""),-0.637898379537709)</f>
        <v>-0.637898379537709</v>
      </c>
      <c r="JC3" s="3">
        <f ca="1">IFERROR(__xludf.DUMMYFUNCTION("""COMPUTED_VALUE"""),-0.686314010665407)</f>
        <v>-0.68631401066540698</v>
      </c>
      <c r="JD3" s="3">
        <f ca="1">IFERROR(__xludf.DUMMYFUNCTION("""COMPUTED_VALUE"""),-0.666133349915676)</f>
        <v>-0.66613334991567597</v>
      </c>
      <c r="JE3" s="3">
        <f ca="1">IFERROR(__xludf.DUMMYFUNCTION("""COMPUTED_VALUE"""),-0.644945837838986)</f>
        <v>-0.64494583783898596</v>
      </c>
      <c r="JF3" s="3">
        <f ca="1">IFERROR(__xludf.DUMMYFUNCTION("""COMPUTED_VALUE"""),-0.639025460223386)</f>
        <v>-0.63902546022338602</v>
      </c>
      <c r="JG3" s="3">
        <f ca="1">IFERROR(__xludf.DUMMYFUNCTION("""COMPUTED_VALUE"""),-0.629746367094065)</f>
        <v>-0.62974636709406495</v>
      </c>
      <c r="JH3" s="3">
        <f ca="1">IFERROR(__xludf.DUMMYFUNCTION("""COMPUTED_VALUE"""),-0.637093935735745)</f>
        <v>-0.63709393573574502</v>
      </c>
      <c r="JI3" s="3">
        <f ca="1">IFERROR(__xludf.DUMMYFUNCTION("""COMPUTED_VALUE"""),-0.595571411201931)</f>
        <v>-0.59557141120193102</v>
      </c>
      <c r="JJ3" s="3">
        <f ca="1">IFERROR(__xludf.DUMMYFUNCTION("""COMPUTED_VALUE"""),-0.704799942076886)</f>
        <v>-0.70479994207688601</v>
      </c>
      <c r="JK3" s="3">
        <f ca="1">IFERROR(__xludf.DUMMYFUNCTION("""COMPUTED_VALUE"""),-0.683722800466862)</f>
        <v>-0.68372280046686196</v>
      </c>
      <c r="JL3" s="3">
        <f ca="1">IFERROR(__xludf.DUMMYFUNCTION("""COMPUTED_VALUE"""),-0.702076834282284)</f>
        <v>-0.70207683428228396</v>
      </c>
      <c r="JM3" s="3">
        <f ca="1">IFERROR(__xludf.DUMMYFUNCTION("""COMPUTED_VALUE"""),-0.709313137449791)</f>
        <v>-0.70931313744979096</v>
      </c>
      <c r="JN3" s="3">
        <f ca="1">IFERROR(__xludf.DUMMYFUNCTION("""COMPUTED_VALUE"""),-0.639477451997216)</f>
        <v>-0.63947745199721595</v>
      </c>
      <c r="JO3" s="3">
        <f ca="1">IFERROR(__xludf.DUMMYFUNCTION("""COMPUTED_VALUE"""),-0.678868906402682)</f>
        <v>-0.67886890640268205</v>
      </c>
      <c r="JP3" s="3">
        <f ca="1">IFERROR(__xludf.DUMMYFUNCTION("""COMPUTED_VALUE"""),-0.72411188979836)</f>
        <v>-0.72411188979836005</v>
      </c>
      <c r="JQ3" s="3">
        <f ca="1">IFERROR(__xludf.DUMMYFUNCTION("""COMPUTED_VALUE"""),-0.716692325471308)</f>
        <v>-0.71669232547130801</v>
      </c>
      <c r="JR3" s="3">
        <f ca="1">IFERROR(__xludf.DUMMYFUNCTION("""COMPUTED_VALUE"""),-0.705934427939659)</f>
        <v>-0.70593442793965899</v>
      </c>
      <c r="JS3" s="3">
        <f ca="1">IFERROR(__xludf.DUMMYFUNCTION("""COMPUTED_VALUE"""),-0.74787562118403)</f>
        <v>-0.74787562118402995</v>
      </c>
      <c r="JT3" s="3">
        <f ca="1">IFERROR(__xludf.DUMMYFUNCTION("""COMPUTED_VALUE"""),-0.69650969460667)</f>
        <v>-0.69650969460667</v>
      </c>
      <c r="JU3" s="3">
        <f ca="1">IFERROR(__xludf.DUMMYFUNCTION("""COMPUTED_VALUE"""),-0.71515626102894)</f>
        <v>-0.71515626102894003</v>
      </c>
      <c r="JV3" s="3">
        <f ca="1">IFERROR(__xludf.DUMMYFUNCTION("""COMPUTED_VALUE"""),-0.704977851856624)</f>
        <v>-0.70497785185662398</v>
      </c>
      <c r="JW3" s="3">
        <f ca="1">IFERROR(__xludf.DUMMYFUNCTION("""COMPUTED_VALUE"""),-0.730878121388187)</f>
        <v>-0.73087812138818697</v>
      </c>
      <c r="JX3" s="3">
        <f ca="1">IFERROR(__xludf.DUMMYFUNCTION("""COMPUTED_VALUE"""),-0.721884873158274)</f>
        <v>-0.72188487315827399</v>
      </c>
      <c r="JY3" s="3">
        <f ca="1">IFERROR(__xludf.DUMMYFUNCTION("""COMPUTED_VALUE"""),-0.714777551802401)</f>
        <v>-0.71477755180240099</v>
      </c>
      <c r="JZ3" s="3">
        <f ca="1">IFERROR(__xludf.DUMMYFUNCTION("""COMPUTED_VALUE"""),-0.690333164673108)</f>
        <v>-0.69033316467310801</v>
      </c>
      <c r="KA3" s="3">
        <f ca="1">IFERROR(__xludf.DUMMYFUNCTION("""COMPUTED_VALUE"""),-0.704461694300641)</f>
        <v>-0.70446169430064098</v>
      </c>
      <c r="KB3" s="3">
        <f ca="1">IFERROR(__xludf.DUMMYFUNCTION("""COMPUTED_VALUE"""),-0.688168850360172)</f>
        <v>-0.68816885036017195</v>
      </c>
      <c r="KC3" s="3">
        <f ca="1">IFERROR(__xludf.DUMMYFUNCTION("""COMPUTED_VALUE"""),-0.755091562518085)</f>
        <v>-0.75509156251808496</v>
      </c>
      <c r="KD3" s="3">
        <f ca="1">IFERROR(__xludf.DUMMYFUNCTION("""COMPUTED_VALUE"""),-0.713193199035273)</f>
        <v>-0.71319319903527301</v>
      </c>
      <c r="KE3" s="3">
        <f ca="1">IFERROR(__xludf.DUMMYFUNCTION("""COMPUTED_VALUE"""),-0.733338579101313)</f>
        <v>-0.73333857910131295</v>
      </c>
      <c r="KF3" s="3">
        <f ca="1">IFERROR(__xludf.DUMMYFUNCTION("""COMPUTED_VALUE"""),-0.719027428501348)</f>
        <v>-0.71902742850134804</v>
      </c>
      <c r="KG3" s="3">
        <f ca="1">IFERROR(__xludf.DUMMYFUNCTION("""COMPUTED_VALUE"""),-0.706512341515901)</f>
        <v>-0.70651234151590103</v>
      </c>
      <c r="KH3" s="3">
        <f ca="1">IFERROR(__xludf.DUMMYFUNCTION("""COMPUTED_VALUE"""),-0.740988780758414)</f>
        <v>-0.74098878075841401</v>
      </c>
      <c r="KI3" s="3">
        <f ca="1">IFERROR(__xludf.DUMMYFUNCTION("""COMPUTED_VALUE"""),-0.727981906294752)</f>
        <v>-0.72798190629475201</v>
      </c>
      <c r="KJ3" s="3">
        <f ca="1">IFERROR(__xludf.DUMMYFUNCTION("""COMPUTED_VALUE"""),-0.721672218423876)</f>
        <v>-0.72167221842387597</v>
      </c>
      <c r="KK3" s="3">
        <f ca="1">IFERROR(__xludf.DUMMYFUNCTION("""COMPUTED_VALUE"""),-0.744666928395785)</f>
        <v>-0.74466692839578497</v>
      </c>
      <c r="KL3" s="3">
        <f ca="1">IFERROR(__xludf.DUMMYFUNCTION("""COMPUTED_VALUE"""),-0.732198521804049)</f>
        <v>-0.73219852180404899</v>
      </c>
      <c r="KM3" s="3">
        <f ca="1">IFERROR(__xludf.DUMMYFUNCTION("""COMPUTED_VALUE"""),-0.750807136658339)</f>
        <v>-0.75080713665833898</v>
      </c>
      <c r="KN3" s="3">
        <f ca="1">IFERROR(__xludf.DUMMYFUNCTION("""COMPUTED_VALUE"""),-0.702410526988629)</f>
        <v>-0.70241052698862905</v>
      </c>
      <c r="KO3" s="3">
        <f ca="1">IFERROR(__xludf.DUMMYFUNCTION("""COMPUTED_VALUE"""),-0.743557871334054)</f>
        <v>-0.74355787133405404</v>
      </c>
      <c r="KP3" s="3">
        <f ca="1">IFERROR(__xludf.DUMMYFUNCTION("""COMPUTED_VALUE"""),-0.675011620850326)</f>
        <v>-0.67501162085032596</v>
      </c>
      <c r="KQ3" s="3">
        <f ca="1">IFERROR(__xludf.DUMMYFUNCTION("""COMPUTED_VALUE"""),-0.754053278936558)</f>
        <v>-0.75405327893655805</v>
      </c>
      <c r="KR3" s="3">
        <f ca="1">IFERROR(__xludf.DUMMYFUNCTION("""COMPUTED_VALUE"""),-0.712540041428354)</f>
        <v>-0.71254004142835403</v>
      </c>
      <c r="KS3" s="3">
        <f ca="1">IFERROR(__xludf.DUMMYFUNCTION("""COMPUTED_VALUE"""),-0.78887989963673)</f>
        <v>-0.78887989963673</v>
      </c>
      <c r="KT3" s="3">
        <f ca="1">IFERROR(__xludf.DUMMYFUNCTION("""COMPUTED_VALUE"""),-0.728537891224878)</f>
        <v>-0.728537891224878</v>
      </c>
      <c r="KU3" s="3">
        <f ca="1">IFERROR(__xludf.DUMMYFUNCTION("""COMPUTED_VALUE"""),-0.705622040168338)</f>
        <v>-0.70562204016833796</v>
      </c>
      <c r="KV3" s="3">
        <f ca="1">IFERROR(__xludf.DUMMYFUNCTION("""COMPUTED_VALUE"""),-0.734935085945435)</f>
        <v>-0.734935085945435</v>
      </c>
      <c r="KW3" s="3">
        <f ca="1">IFERROR(__xludf.DUMMYFUNCTION("""COMPUTED_VALUE"""),-0.743508619628062)</f>
        <v>-0.74350861962806203</v>
      </c>
      <c r="KX3" s="3">
        <f ca="1">IFERROR(__xludf.DUMMYFUNCTION("""COMPUTED_VALUE"""),-0.767016107510626)</f>
        <v>-0.76701610751062599</v>
      </c>
      <c r="KY3" s="3">
        <f ca="1">IFERROR(__xludf.DUMMYFUNCTION("""COMPUTED_VALUE"""),-0.726617209222107)</f>
        <v>-0.72661720922210704</v>
      </c>
      <c r="KZ3" s="3">
        <f ca="1">IFERROR(__xludf.DUMMYFUNCTION("""COMPUTED_VALUE"""),-0.679065139461397)</f>
        <v>-0.67906513946139702</v>
      </c>
      <c r="LA3" s="3">
        <f ca="1">IFERROR(__xludf.DUMMYFUNCTION("""COMPUTED_VALUE"""),-0.736582750093531)</f>
        <v>-0.73658275009353102</v>
      </c>
      <c r="LB3" s="3">
        <f ca="1">IFERROR(__xludf.DUMMYFUNCTION("""COMPUTED_VALUE"""),-0.646732045855362)</f>
        <v>-0.64673204585536204</v>
      </c>
      <c r="LC3" s="3">
        <f ca="1">IFERROR(__xludf.DUMMYFUNCTION("""COMPUTED_VALUE"""),-0.707892761444195)</f>
        <v>-0.707892761444195</v>
      </c>
      <c r="LD3" s="3">
        <f ca="1">IFERROR(__xludf.DUMMYFUNCTION("""COMPUTED_VALUE"""),-0.787886711432021)</f>
        <v>-0.78788671143202105</v>
      </c>
      <c r="LE3" s="3">
        <f ca="1">IFERROR(__xludf.DUMMYFUNCTION("""COMPUTED_VALUE"""),-0.744573559895542)</f>
        <v>-0.74457355989554197</v>
      </c>
      <c r="LF3" s="3">
        <f ca="1">IFERROR(__xludf.DUMMYFUNCTION("""COMPUTED_VALUE"""),-0.739466311217718)</f>
        <v>-0.739466311217718</v>
      </c>
      <c r="LG3" s="3">
        <f ca="1">IFERROR(__xludf.DUMMYFUNCTION("""COMPUTED_VALUE"""),-0.720246679436947)</f>
        <v>-0.72024667943694698</v>
      </c>
      <c r="LH3" s="3">
        <f ca="1">IFERROR(__xludf.DUMMYFUNCTION("""COMPUTED_VALUE"""),-0.721920556353499)</f>
        <v>-0.72192055635349905</v>
      </c>
      <c r="LI3" s="3">
        <f ca="1">IFERROR(__xludf.DUMMYFUNCTION("""COMPUTED_VALUE"""),-0.734867030455169)</f>
        <v>-0.73486703045516899</v>
      </c>
      <c r="LJ3" s="3">
        <f ca="1">IFERROR(__xludf.DUMMYFUNCTION("""COMPUTED_VALUE"""),-0.744029862429949)</f>
        <v>-0.74402986242994895</v>
      </c>
      <c r="LK3" s="3">
        <f ca="1">IFERROR(__xludf.DUMMYFUNCTION("""COMPUTED_VALUE"""),-0.79030051207116)</f>
        <v>-0.79030051207116003</v>
      </c>
      <c r="LL3" s="3">
        <f ca="1">IFERROR(__xludf.DUMMYFUNCTION("""COMPUTED_VALUE"""),-0.759734117343452)</f>
        <v>-0.75973411734345198</v>
      </c>
      <c r="LM3" s="3">
        <f ca="1">IFERROR(__xludf.DUMMYFUNCTION("""COMPUTED_VALUE"""),-0.774828369046587)</f>
        <v>-0.77482836904658703</v>
      </c>
      <c r="LN3" s="3">
        <f ca="1">IFERROR(__xludf.DUMMYFUNCTION("""COMPUTED_VALUE"""),-0.78708677554209)</f>
        <v>-0.78708677554208994</v>
      </c>
      <c r="LO3" s="3">
        <f ca="1">IFERROR(__xludf.DUMMYFUNCTION("""COMPUTED_VALUE"""),-0.782960264396815)</f>
        <v>-0.78296026439681499</v>
      </c>
      <c r="LP3" s="3">
        <f ca="1">IFERROR(__xludf.DUMMYFUNCTION("""COMPUTED_VALUE"""),-0.765363539768002)</f>
        <v>-0.76536353976800198</v>
      </c>
      <c r="LQ3" s="3">
        <f ca="1">IFERROR(__xludf.DUMMYFUNCTION("""COMPUTED_VALUE"""),-0.759741641607558)</f>
        <v>-0.75974164160755797</v>
      </c>
      <c r="LR3" s="3">
        <f ca="1">IFERROR(__xludf.DUMMYFUNCTION("""COMPUTED_VALUE"""),-0.758844042847852)</f>
        <v>-0.75884404284785201</v>
      </c>
      <c r="LS3" s="3">
        <f ca="1">IFERROR(__xludf.DUMMYFUNCTION("""COMPUTED_VALUE"""),-0.825364348894016)</f>
        <v>-0.825364348894016</v>
      </c>
      <c r="LT3" s="3">
        <f ca="1">IFERROR(__xludf.DUMMYFUNCTION("""COMPUTED_VALUE"""),-0.75976502203951)</f>
        <v>-0.75976502203951002</v>
      </c>
      <c r="LU3" s="3">
        <f ca="1">IFERROR(__xludf.DUMMYFUNCTION("""COMPUTED_VALUE"""),-0.745790074200864)</f>
        <v>-0.74579007420086396</v>
      </c>
      <c r="LV3" s="3">
        <f ca="1">IFERROR(__xludf.DUMMYFUNCTION("""COMPUTED_VALUE"""),-0.804649011007003)</f>
        <v>-0.80464901100700303</v>
      </c>
      <c r="LW3" s="3">
        <f ca="1">IFERROR(__xludf.DUMMYFUNCTION("""COMPUTED_VALUE"""),-0.793554733417708)</f>
        <v>-0.79355473341770799</v>
      </c>
      <c r="LX3" s="3">
        <f ca="1">IFERROR(__xludf.DUMMYFUNCTION("""COMPUTED_VALUE"""),-0.681810720083169)</f>
        <v>-0.68181072008316901</v>
      </c>
      <c r="LY3" s="3">
        <f ca="1">IFERROR(__xludf.DUMMYFUNCTION("""COMPUTED_VALUE"""),-0.755113732060436)</f>
        <v>-0.75511373206043597</v>
      </c>
      <c r="LZ3" s="3">
        <f ca="1">IFERROR(__xludf.DUMMYFUNCTION("""COMPUTED_VALUE"""),-0.801531562328477)</f>
        <v>-0.801531562328477</v>
      </c>
      <c r="MA3" s="3">
        <f ca="1">IFERROR(__xludf.DUMMYFUNCTION("""COMPUTED_VALUE"""),-0.793927442571861)</f>
        <v>-0.79392744257186099</v>
      </c>
      <c r="MB3" s="3">
        <f ca="1">IFERROR(__xludf.DUMMYFUNCTION("""COMPUTED_VALUE"""),-0.780233281985777)</f>
        <v>-0.78023328198577702</v>
      </c>
      <c r="MC3" s="3">
        <f ca="1">IFERROR(__xludf.DUMMYFUNCTION("""COMPUTED_VALUE"""),-0.767731565888501)</f>
        <v>-0.767731565888501</v>
      </c>
      <c r="MD3" s="3">
        <f ca="1">IFERROR(__xludf.DUMMYFUNCTION("""COMPUTED_VALUE"""),-0.779724393507019)</f>
        <v>-0.77972439350701905</v>
      </c>
      <c r="ME3" s="3">
        <f ca="1">IFERROR(__xludf.DUMMYFUNCTION("""COMPUTED_VALUE"""),-0.770324543556614)</f>
        <v>-0.77032454355661395</v>
      </c>
      <c r="MF3" s="3">
        <f ca="1">IFERROR(__xludf.DUMMYFUNCTION("""COMPUTED_VALUE"""),-0.802126166403981)</f>
        <v>-0.80212616640398104</v>
      </c>
      <c r="MG3" s="3">
        <f ca="1">IFERROR(__xludf.DUMMYFUNCTION("""COMPUTED_VALUE"""),-0.761635128040746)</f>
        <v>-0.76163512804074596</v>
      </c>
      <c r="MH3" s="3">
        <f ca="1">IFERROR(__xludf.DUMMYFUNCTION("""COMPUTED_VALUE"""),-0.777341537411183)</f>
        <v>-0.77734153741118295</v>
      </c>
      <c r="MI3" s="3">
        <f ca="1">IFERROR(__xludf.DUMMYFUNCTION("""COMPUTED_VALUE"""),-0.763418471960243)</f>
        <v>-0.76341847196024304</v>
      </c>
      <c r="MJ3" s="3">
        <f ca="1">IFERROR(__xludf.DUMMYFUNCTION("""COMPUTED_VALUE"""),-0.747159276088313)</f>
        <v>-0.74715927608831301</v>
      </c>
      <c r="MK3" s="3">
        <f ca="1">IFERROR(__xludf.DUMMYFUNCTION("""COMPUTED_VALUE"""),-0.732799103127578)</f>
        <v>-0.73279910312757801</v>
      </c>
      <c r="ML3" s="3">
        <f ca="1">IFERROR(__xludf.DUMMYFUNCTION("""COMPUTED_VALUE"""),-0.746153200301887)</f>
        <v>-0.74615320030188703</v>
      </c>
      <c r="MM3" s="3">
        <f ca="1">IFERROR(__xludf.DUMMYFUNCTION("""COMPUTED_VALUE"""),-0.792097668229954)</f>
        <v>-0.79209766822995398</v>
      </c>
      <c r="MN3" s="3">
        <f ca="1">IFERROR(__xludf.DUMMYFUNCTION("""COMPUTED_VALUE"""),-0.796400614773984)</f>
        <v>-0.79640061477398405</v>
      </c>
      <c r="MO3" s="3">
        <f ca="1">IFERROR(__xludf.DUMMYFUNCTION("""COMPUTED_VALUE"""),-0.767682755803114)</f>
        <v>-0.76768275580311396</v>
      </c>
      <c r="MP3" s="3">
        <f ca="1">IFERROR(__xludf.DUMMYFUNCTION("""COMPUTED_VALUE"""),-0.774063616172261)</f>
        <v>-0.77406361617226105</v>
      </c>
      <c r="MQ3" s="3">
        <f ca="1">IFERROR(__xludf.DUMMYFUNCTION("""COMPUTED_VALUE"""),-0.765317230484484)</f>
        <v>-0.76531723048448397</v>
      </c>
      <c r="MR3" s="3">
        <f ca="1">IFERROR(__xludf.DUMMYFUNCTION("""COMPUTED_VALUE"""),-0.837629745895086)</f>
        <v>-0.83762974589508599</v>
      </c>
      <c r="MS3" s="3">
        <f ca="1">IFERROR(__xludf.DUMMYFUNCTION("""COMPUTED_VALUE"""),-0.757656850912775)</f>
        <v>-0.75765685091277502</v>
      </c>
      <c r="MT3" s="3">
        <f ca="1">IFERROR(__xludf.DUMMYFUNCTION("""COMPUTED_VALUE"""),-0.779550642620555)</f>
        <v>-0.77955064262055496</v>
      </c>
      <c r="MU3" s="3">
        <f ca="1">IFERROR(__xludf.DUMMYFUNCTION("""COMPUTED_VALUE"""),-0.805818724669513)</f>
        <v>-0.80581872466951299</v>
      </c>
      <c r="MV3" s="3">
        <f ca="1">IFERROR(__xludf.DUMMYFUNCTION("""COMPUTED_VALUE"""),-0.769204752031493)</f>
        <v>-0.76920475203149297</v>
      </c>
      <c r="MW3" s="3">
        <f ca="1">IFERROR(__xludf.DUMMYFUNCTION("""COMPUTED_VALUE"""),-0.760355825942916)</f>
        <v>-0.76035582594291595</v>
      </c>
      <c r="MX3" s="3">
        <f ca="1">IFERROR(__xludf.DUMMYFUNCTION("""COMPUTED_VALUE"""),-0.782499809871281)</f>
        <v>-0.78249980987128098</v>
      </c>
      <c r="MY3" s="3">
        <f ca="1">IFERROR(__xludf.DUMMYFUNCTION("""COMPUTED_VALUE"""),-0.808236234133294)</f>
        <v>-0.80823623413329404</v>
      </c>
      <c r="MZ3" s="3">
        <f ca="1">IFERROR(__xludf.DUMMYFUNCTION("""COMPUTED_VALUE"""),-0.80310319148946)</f>
        <v>-0.80310319148945997</v>
      </c>
      <c r="NA3" s="3">
        <f ca="1">IFERROR(__xludf.DUMMYFUNCTION("""COMPUTED_VALUE"""),-0.791180449447773)</f>
        <v>-0.79118044944777299</v>
      </c>
      <c r="NB3" s="3">
        <f ca="1">IFERROR(__xludf.DUMMYFUNCTION("""COMPUTED_VALUE"""),-0.786422016338352)</f>
        <v>-0.78642201633835196</v>
      </c>
      <c r="NC3" s="3">
        <f ca="1">IFERROR(__xludf.DUMMYFUNCTION("""COMPUTED_VALUE"""),-0.757880631480778)</f>
        <v>-0.757880631480778</v>
      </c>
      <c r="ND3" s="3">
        <f ca="1">IFERROR(__xludf.DUMMYFUNCTION("""COMPUTED_VALUE"""),-0.765836053883111)</f>
        <v>-0.76583605388311105</v>
      </c>
      <c r="NE3" s="3">
        <f ca="1">IFERROR(__xludf.DUMMYFUNCTION("""COMPUTED_VALUE"""),-0.799683379460989)</f>
        <v>-0.799683379460989</v>
      </c>
      <c r="NF3" s="3">
        <f ca="1">IFERROR(__xludf.DUMMYFUNCTION("""COMPUTED_VALUE"""),-0.599443806271687)</f>
        <v>-0.59944380627168703</v>
      </c>
      <c r="NG3" s="3">
        <f ca="1">IFERROR(__xludf.DUMMYFUNCTION("""COMPUTED_VALUE"""),-0.651456602843036)</f>
        <v>-0.65145660284303597</v>
      </c>
      <c r="NH3" s="3">
        <f ca="1">IFERROR(__xludf.DUMMYFUNCTION("""COMPUTED_VALUE"""),-0.645338991810784)</f>
        <v>-0.64533899181078402</v>
      </c>
      <c r="NI3" s="3">
        <f ca="1">IFERROR(__xludf.DUMMYFUNCTION("""COMPUTED_VALUE"""),-0.729570049607228)</f>
        <v>-0.72957004960722804</v>
      </c>
      <c r="NJ3" s="3">
        <f ca="1">IFERROR(__xludf.DUMMYFUNCTION("""COMPUTED_VALUE"""),-0.743648158370185)</f>
        <v>-0.74364815837018505</v>
      </c>
      <c r="NK3" s="3">
        <f ca="1">IFERROR(__xludf.DUMMYFUNCTION("""COMPUTED_VALUE"""),-0.797670962644591)</f>
        <v>-0.79767096264459103</v>
      </c>
      <c r="NL3" s="3">
        <f ca="1">IFERROR(__xludf.DUMMYFUNCTION("""COMPUTED_VALUE"""),-0.787783366551324)</f>
        <v>-0.78778336655132397</v>
      </c>
      <c r="NM3" s="3">
        <f ca="1">IFERROR(__xludf.DUMMYFUNCTION("""COMPUTED_VALUE"""),-0.81498989119946)</f>
        <v>-0.81498989119945997</v>
      </c>
      <c r="NN3" s="3">
        <f ca="1">IFERROR(__xludf.DUMMYFUNCTION("""COMPUTED_VALUE"""),-0.78525878587833)</f>
        <v>-0.78525878587832998</v>
      </c>
      <c r="NO3" s="3">
        <f ca="1">IFERROR(__xludf.DUMMYFUNCTION("""COMPUTED_VALUE"""),-0.809666579621606)</f>
        <v>-0.80966657962160604</v>
      </c>
      <c r="NP3" s="3">
        <f ca="1">IFERROR(__xludf.DUMMYFUNCTION("""COMPUTED_VALUE"""),-0.788198028053548)</f>
        <v>-0.78819802805354799</v>
      </c>
      <c r="NQ3" s="3">
        <f ca="1">IFERROR(__xludf.DUMMYFUNCTION("""COMPUTED_VALUE"""),-0.805125772671467)</f>
        <v>-0.80512577267146701</v>
      </c>
      <c r="NR3" s="3">
        <f ca="1">IFERROR(__xludf.DUMMYFUNCTION("""COMPUTED_VALUE"""),-0.767459461403594)</f>
        <v>-0.767459461403594</v>
      </c>
      <c r="NS3" s="3">
        <f ca="1">IFERROR(__xludf.DUMMYFUNCTION("""COMPUTED_VALUE"""),-0.758933521661192)</f>
        <v>-0.75893352166119199</v>
      </c>
      <c r="NT3" s="3">
        <f ca="1">IFERROR(__xludf.DUMMYFUNCTION("""COMPUTED_VALUE"""),-0.687317301215124)</f>
        <v>-0.68731730121512402</v>
      </c>
      <c r="NU3" s="3">
        <f ca="1">IFERROR(__xludf.DUMMYFUNCTION("""COMPUTED_VALUE"""),-0.632789773433179)</f>
        <v>-0.63278977343317899</v>
      </c>
      <c r="NV3" s="3">
        <f ca="1">IFERROR(__xludf.DUMMYFUNCTION("""COMPUTED_VALUE"""),-0.670326906479181)</f>
        <v>-0.67032690647918103</v>
      </c>
      <c r="NW3" s="3">
        <f ca="1">IFERROR(__xludf.DUMMYFUNCTION("""COMPUTED_VALUE"""),-0.580793050711591)</f>
        <v>-0.58079305071159104</v>
      </c>
      <c r="NX3" s="3">
        <f ca="1">IFERROR(__xludf.DUMMYFUNCTION("""COMPUTED_VALUE"""),-0.600705570864704)</f>
        <v>-0.600705570864704</v>
      </c>
      <c r="NY3" s="3">
        <f ca="1">IFERROR(__xludf.DUMMYFUNCTION("""COMPUTED_VALUE"""),-0.545976932070934)</f>
        <v>-0.54597693207093401</v>
      </c>
      <c r="NZ3" s="3">
        <f ca="1">IFERROR(__xludf.DUMMYFUNCTION("""COMPUTED_VALUE"""),-0.496988009024695)</f>
        <v>-0.49698800902469498</v>
      </c>
      <c r="OA3" s="3">
        <f ca="1">IFERROR(__xludf.DUMMYFUNCTION("""COMPUTED_VALUE"""),-0.447993998895064)</f>
        <v>-0.44799399889506403</v>
      </c>
      <c r="OB3" s="3">
        <f ca="1">IFERROR(__xludf.DUMMYFUNCTION("""COMPUTED_VALUE"""),-0.373420974220426)</f>
        <v>-0.37342097422042603</v>
      </c>
      <c r="OC3" s="3">
        <f ca="1">IFERROR(__xludf.DUMMYFUNCTION("""COMPUTED_VALUE"""),-0.364759002029467)</f>
        <v>-0.36475900202946698</v>
      </c>
      <c r="OD3" s="3">
        <f ca="1">IFERROR(__xludf.DUMMYFUNCTION("""COMPUTED_VALUE"""),-0.302118647757308)</f>
        <v>-0.30211864775730801</v>
      </c>
      <c r="OE3" s="3">
        <f ca="1">IFERROR(__xludf.DUMMYFUNCTION("""COMPUTED_VALUE"""),-0.333401927701752)</f>
        <v>-0.33340192770175198</v>
      </c>
      <c r="OF3" s="3">
        <f ca="1">IFERROR(__xludf.DUMMYFUNCTION("""COMPUTED_VALUE"""),-0.188181688890372)</f>
        <v>-0.18818168889037201</v>
      </c>
      <c r="OG3" s="3">
        <f ca="1">IFERROR(__xludf.DUMMYFUNCTION("""COMPUTED_VALUE"""),-0.200798277834198)</f>
        <v>-0.20079827783419801</v>
      </c>
      <c r="OH3" s="3">
        <f ca="1">IFERROR(__xludf.DUMMYFUNCTION("""COMPUTED_VALUE"""),-0.182624874134834)</f>
        <v>-0.182624874134834</v>
      </c>
      <c r="OI3" s="3">
        <f ca="1">IFERROR(__xludf.DUMMYFUNCTION("""COMPUTED_VALUE"""),-0.193225862274805)</f>
        <v>-0.19322586227480501</v>
      </c>
      <c r="OJ3" s="3">
        <f ca="1">IFERROR(__xludf.DUMMYFUNCTION("""COMPUTED_VALUE"""),-0.0727759684360392)</f>
        <v>-7.2775968436039201E-2</v>
      </c>
      <c r="OK3" s="3">
        <f ca="1">IFERROR(__xludf.DUMMYFUNCTION("""COMPUTED_VALUE"""),-0.0477030650575394)</f>
        <v>-4.77030650575394E-2</v>
      </c>
      <c r="OL3" s="3">
        <f ca="1">IFERROR(__xludf.DUMMYFUNCTION("""COMPUTED_VALUE"""),-0.119821284310114)</f>
        <v>-0.119821284310114</v>
      </c>
      <c r="OM3" s="3">
        <f ca="1">IFERROR(__xludf.DUMMYFUNCTION("""COMPUTED_VALUE"""),-0.04256435547981)</f>
        <v>-4.2564355479810002E-2</v>
      </c>
      <c r="ON3" s="3">
        <f ca="1">IFERROR(__xludf.DUMMYFUNCTION("""COMPUTED_VALUE"""),-0.0751808357271733)</f>
        <v>-7.5180835727173295E-2</v>
      </c>
      <c r="OO3" s="3">
        <f ca="1">IFERROR(__xludf.DUMMYFUNCTION("""COMPUTED_VALUE"""),-0.143250721142332)</f>
        <v>-0.143250721142332</v>
      </c>
      <c r="OP3" s="3">
        <f ca="1">IFERROR(__xludf.DUMMYFUNCTION("""COMPUTED_VALUE"""),-0.192976532260581)</f>
        <v>-0.19297653226058101</v>
      </c>
      <c r="OQ3" s="3">
        <f ca="1">IFERROR(__xludf.DUMMYFUNCTION("""COMPUTED_VALUE"""),-0.119722261558827)</f>
        <v>-0.119722261558827</v>
      </c>
      <c r="OR3" s="3">
        <f ca="1">IFERROR(__xludf.DUMMYFUNCTION("""COMPUTED_VALUE"""),-0.124569875983236)</f>
        <v>-0.124569875983236</v>
      </c>
      <c r="OS3" s="3">
        <f ca="1">IFERROR(__xludf.DUMMYFUNCTION("""COMPUTED_VALUE"""),-0.125360319050445)</f>
        <v>-0.12536031905044501</v>
      </c>
      <c r="OT3" s="3">
        <f ca="1">IFERROR(__xludf.DUMMYFUNCTION("""COMPUTED_VALUE"""),0.012556502633275)</f>
        <v>1.2556502633275001E-2</v>
      </c>
      <c r="OU3" s="3">
        <f ca="1">IFERROR(__xludf.DUMMYFUNCTION("""COMPUTED_VALUE"""),0.0788782646228536)</f>
        <v>7.8878264622853606E-2</v>
      </c>
      <c r="OV3" s="3">
        <f ca="1">IFERROR(__xludf.DUMMYFUNCTION("""COMPUTED_VALUE"""),-0.083537476666087)</f>
        <v>-8.3537476666087004E-2</v>
      </c>
      <c r="OW3" s="3">
        <f ca="1">IFERROR(__xludf.DUMMYFUNCTION("""COMPUTED_VALUE"""),-0.0849663587871513)</f>
        <v>-8.4966358787151294E-2</v>
      </c>
      <c r="OX3" s="3">
        <f ca="1">IFERROR(__xludf.DUMMYFUNCTION("""COMPUTED_VALUE"""),0.0799175824695865)</f>
        <v>7.9917582469586496E-2</v>
      </c>
      <c r="OY3" s="3">
        <f ca="1">IFERROR(__xludf.DUMMYFUNCTION("""COMPUTED_VALUE"""),0.132070995428441)</f>
        <v>0.132070995428441</v>
      </c>
      <c r="OZ3" s="3">
        <f ca="1">IFERROR(__xludf.DUMMYFUNCTION("""COMPUTED_VALUE"""),0.0253385416212899)</f>
        <v>2.5338541621289901E-2</v>
      </c>
      <c r="PA3" s="3">
        <f ca="1">IFERROR(__xludf.DUMMYFUNCTION("""COMPUTED_VALUE"""),-0.0827485680142144)</f>
        <v>-8.2748568014214402E-2</v>
      </c>
      <c r="PB3" s="3">
        <f ca="1">IFERROR(__xludf.DUMMYFUNCTION("""COMPUTED_VALUE"""),-0.0529552519571803)</f>
        <v>-5.2955251957180302E-2</v>
      </c>
      <c r="PC3" s="3">
        <f ca="1">IFERROR(__xludf.DUMMYFUNCTION("""COMPUTED_VALUE"""),-0.0390563113383779)</f>
        <v>-3.9056311338377898E-2</v>
      </c>
      <c r="PD3" s="3">
        <f ca="1">IFERROR(__xludf.DUMMYFUNCTION("""COMPUTED_VALUE"""),0.0590550471716304)</f>
        <v>5.9055047171630397E-2</v>
      </c>
      <c r="PE3" s="3">
        <f ca="1">IFERROR(__xludf.DUMMYFUNCTION("""COMPUTED_VALUE"""),0.160515952905693)</f>
        <v>0.16051595290569301</v>
      </c>
      <c r="PF3" s="3">
        <f ca="1">IFERROR(__xludf.DUMMYFUNCTION("""COMPUTED_VALUE"""),0.210931047701674)</f>
        <v>0.21093104770167401</v>
      </c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</row>
    <row r="4" spans="1:476" ht="15.75" customHeight="1">
      <c r="A4" s="1" t="str">
        <f ca="1">IFERROR(__xludf.DUMMYFUNCTION("""COMPUTED_VALUE"""),"New Zealand")</f>
        <v>New Zealand</v>
      </c>
      <c r="B4" s="3">
        <f ca="1">IFERROR(__xludf.DUMMYFUNCTION("""COMPUTED_VALUE"""),0.0470962757499728)</f>
        <v>4.7096275749972799E-2</v>
      </c>
      <c r="C4" s="3">
        <f ca="1">IFERROR(__xludf.DUMMYFUNCTION("""COMPUTED_VALUE"""),0.154812453069247)</f>
        <v>0.15481245306924701</v>
      </c>
      <c r="D4" s="3">
        <f ca="1">IFERROR(__xludf.DUMMYFUNCTION("""COMPUTED_VALUE"""),0.295223115977321)</f>
        <v>0.29522311597732098</v>
      </c>
      <c r="E4" s="3">
        <f ca="1">IFERROR(__xludf.DUMMYFUNCTION("""COMPUTED_VALUE"""),0.243106599312256)</f>
        <v>0.24310659931225601</v>
      </c>
      <c r="F4" s="3">
        <f ca="1">IFERROR(__xludf.DUMMYFUNCTION("""COMPUTED_VALUE"""),0.166623292592393)</f>
        <v>0.166623292592393</v>
      </c>
      <c r="G4" s="3">
        <f ca="1">IFERROR(__xludf.DUMMYFUNCTION("""COMPUTED_VALUE"""),-0.144175961546451)</f>
        <v>-0.14417596154645099</v>
      </c>
      <c r="H4" s="3">
        <f ca="1">IFERROR(__xludf.DUMMYFUNCTION("""COMPUTED_VALUE"""),-0.529452597447743)</f>
        <v>-0.52945259744774298</v>
      </c>
      <c r="I4" s="3">
        <f ca="1">IFERROR(__xludf.DUMMYFUNCTION("""COMPUTED_VALUE"""),-0.329820946250986)</f>
        <v>-0.32982094625098601</v>
      </c>
      <c r="J4" s="3">
        <f ca="1">IFERROR(__xludf.DUMMYFUNCTION("""COMPUTED_VALUE"""),-0.311684950041173)</f>
        <v>-0.31168495004117303</v>
      </c>
      <c r="K4" s="3">
        <f ca="1">IFERROR(__xludf.DUMMYFUNCTION("""COMPUTED_VALUE"""),-0.579078976545373)</f>
        <v>-0.57907897654537299</v>
      </c>
      <c r="L4" s="3">
        <f ca="1">IFERROR(__xludf.DUMMYFUNCTION("""COMPUTED_VALUE"""),0.135116637628217)</f>
        <v>0.13511663762821699</v>
      </c>
      <c r="M4" s="3">
        <f ca="1">IFERROR(__xludf.DUMMYFUNCTION("""COMPUTED_VALUE"""),0.085270524582677)</f>
        <v>8.5270524582677004E-2</v>
      </c>
      <c r="N4" s="3">
        <f ca="1">IFERROR(__xludf.DUMMYFUNCTION("""COMPUTED_VALUE"""),0.0518300632128596)</f>
        <v>5.1830063212859601E-2</v>
      </c>
      <c r="O4" s="3">
        <f ca="1">IFERROR(__xludf.DUMMYFUNCTION("""COMPUTED_VALUE"""),0.10162444663849)</f>
        <v>0.10162444663849</v>
      </c>
      <c r="P4" s="3">
        <f ca="1">IFERROR(__xludf.DUMMYFUNCTION("""COMPUTED_VALUE"""),-0.0555582515373728)</f>
        <v>-5.5558251537372802E-2</v>
      </c>
      <c r="Q4" s="3">
        <f ca="1">IFERROR(__xludf.DUMMYFUNCTION("""COMPUTED_VALUE"""),-0.108040352066012)</f>
        <v>-0.10804035206601199</v>
      </c>
      <c r="R4" s="3">
        <f ca="1">IFERROR(__xludf.DUMMYFUNCTION("""COMPUTED_VALUE"""),0.0191765375796577)</f>
        <v>1.9176537579657701E-2</v>
      </c>
      <c r="S4" s="3">
        <f ca="1">IFERROR(__xludf.DUMMYFUNCTION("""COMPUTED_VALUE"""),0.132068962096622)</f>
        <v>0.132068962096622</v>
      </c>
      <c r="T4" s="3">
        <f ca="1">IFERROR(__xludf.DUMMYFUNCTION("""COMPUTED_VALUE"""),0.0989366010590384)</f>
        <v>9.8936601059038398E-2</v>
      </c>
      <c r="U4" s="3">
        <f ca="1">IFERROR(__xludf.DUMMYFUNCTION("""COMPUTED_VALUE"""),0.160311970647272)</f>
        <v>0.16031197064727201</v>
      </c>
      <c r="V4" s="3">
        <f ca="1">IFERROR(__xludf.DUMMYFUNCTION("""COMPUTED_VALUE"""),0.0990653202348521)</f>
        <v>9.9065320234852094E-2</v>
      </c>
      <c r="W4" s="3">
        <f ca="1">IFERROR(__xludf.DUMMYFUNCTION("""COMPUTED_VALUE"""),0.0385935293982366)</f>
        <v>3.8593529398236598E-2</v>
      </c>
      <c r="X4" s="3">
        <f ca="1">IFERROR(__xludf.DUMMYFUNCTION("""COMPUTED_VALUE"""),-0.00207452022920406)</f>
        <v>-2.0745202292040601E-3</v>
      </c>
      <c r="Y4" s="3">
        <f ca="1">IFERROR(__xludf.DUMMYFUNCTION("""COMPUTED_VALUE"""),0.0592306837034612)</f>
        <v>5.9230683703461198E-2</v>
      </c>
      <c r="Z4" s="3">
        <f ca="1">IFERROR(__xludf.DUMMYFUNCTION("""COMPUTED_VALUE"""),0.117686216498114)</f>
        <v>0.117686216498114</v>
      </c>
      <c r="AA4" s="3">
        <f ca="1">IFERROR(__xludf.DUMMYFUNCTION("""COMPUTED_VALUE"""),0.155780297941288)</f>
        <v>0.155780297941288</v>
      </c>
      <c r="AB4" s="3">
        <f ca="1">IFERROR(__xludf.DUMMYFUNCTION("""COMPUTED_VALUE"""),0.160793644482222)</f>
        <v>0.160793644482222</v>
      </c>
      <c r="AC4" s="3">
        <f ca="1">IFERROR(__xludf.DUMMYFUNCTION("""COMPUTED_VALUE"""),0.0647170937996126)</f>
        <v>6.4717093799612602E-2</v>
      </c>
      <c r="AD4" s="3">
        <f ca="1">IFERROR(__xludf.DUMMYFUNCTION("""COMPUTED_VALUE"""),0.00079392481081153)</f>
        <v>7.9392481081153E-4</v>
      </c>
      <c r="AE4" s="3">
        <f ca="1">IFERROR(__xludf.DUMMYFUNCTION("""COMPUTED_VALUE"""),-0.108272705981771)</f>
        <v>-0.10827270598177099</v>
      </c>
      <c r="AF4" s="3">
        <f ca="1">IFERROR(__xludf.DUMMYFUNCTION("""COMPUTED_VALUE"""),-0.0359705364088557)</f>
        <v>-3.5970536408855697E-2</v>
      </c>
      <c r="AG4" s="3">
        <f ca="1">IFERROR(__xludf.DUMMYFUNCTION("""COMPUTED_VALUE"""),0.0651487091996092)</f>
        <v>6.5148709199609203E-2</v>
      </c>
      <c r="AH4" s="3">
        <f ca="1">IFERROR(__xludf.DUMMYFUNCTION("""COMPUTED_VALUE"""),0.0200250137497468)</f>
        <v>2.0025013749746801E-2</v>
      </c>
      <c r="AI4" s="3">
        <f ca="1">IFERROR(__xludf.DUMMYFUNCTION("""COMPUTED_VALUE"""),0.0511880124650379)</f>
        <v>5.1188012465037902E-2</v>
      </c>
      <c r="AJ4" s="3">
        <f ca="1">IFERROR(__xludf.DUMMYFUNCTION("""COMPUTED_VALUE"""),0.118012909832177)</f>
        <v>0.11801290983217699</v>
      </c>
      <c r="AK4" s="3">
        <f ca="1">IFERROR(__xludf.DUMMYFUNCTION("""COMPUTED_VALUE"""),-0.140991824903195)</f>
        <v>-0.14099182490319501</v>
      </c>
      <c r="AL4" s="3">
        <f ca="1">IFERROR(__xludf.DUMMYFUNCTION("""COMPUTED_VALUE"""),-0.178006498099917)</f>
        <v>-0.178006498099917</v>
      </c>
      <c r="AM4" s="3">
        <f ca="1">IFERROR(__xludf.DUMMYFUNCTION("""COMPUTED_VALUE"""),-0.0732683721347852)</f>
        <v>-7.3268372134785195E-2</v>
      </c>
      <c r="AN4" s="3">
        <f ca="1">IFERROR(__xludf.DUMMYFUNCTION("""COMPUTED_VALUE"""),-0.102706082338203)</f>
        <v>-0.102706082338203</v>
      </c>
      <c r="AO4" s="3">
        <f ca="1">IFERROR(__xludf.DUMMYFUNCTION("""COMPUTED_VALUE"""),-0.0360780092613792)</f>
        <v>-3.6078009261379197E-2</v>
      </c>
      <c r="AP4" s="3">
        <f ca="1">IFERROR(__xludf.DUMMYFUNCTION("""COMPUTED_VALUE"""),-0.0673970914104261)</f>
        <v>-6.7397091410426102E-2</v>
      </c>
      <c r="AQ4" s="3">
        <f ca="1">IFERROR(__xludf.DUMMYFUNCTION("""COMPUTED_VALUE"""),-0.0955574513061064)</f>
        <v>-9.5557451306106406E-2</v>
      </c>
      <c r="AR4" s="3">
        <f ca="1">IFERROR(__xludf.DUMMYFUNCTION("""COMPUTED_VALUE"""),-0.140796100596643)</f>
        <v>-0.14079610059664299</v>
      </c>
      <c r="AS4" s="3">
        <f ca="1">IFERROR(__xludf.DUMMYFUNCTION("""COMPUTED_VALUE"""),-0.129146635129735)</f>
        <v>-0.12914663512973501</v>
      </c>
      <c r="AT4" s="3">
        <f ca="1">IFERROR(__xludf.DUMMYFUNCTION("""COMPUTED_VALUE"""),-0.016479091706451)</f>
        <v>-1.6479091706451E-2</v>
      </c>
      <c r="AU4" s="3">
        <f ca="1">IFERROR(__xludf.DUMMYFUNCTION("""COMPUTED_VALUE"""),-0.0210764573332018)</f>
        <v>-2.1076457333201799E-2</v>
      </c>
      <c r="AV4" s="3">
        <f ca="1">IFERROR(__xludf.DUMMYFUNCTION("""COMPUTED_VALUE"""),-0.0381089172440844)</f>
        <v>-3.8108917244084398E-2</v>
      </c>
      <c r="AW4" s="3">
        <f ca="1">IFERROR(__xludf.DUMMYFUNCTION("""COMPUTED_VALUE"""),0.0226772310410268)</f>
        <v>2.2677231041026799E-2</v>
      </c>
      <c r="AX4" s="3">
        <f ca="1">IFERROR(__xludf.DUMMYFUNCTION("""COMPUTED_VALUE"""),0.00485345160928574)</f>
        <v>4.8534516092857399E-3</v>
      </c>
      <c r="AY4" s="3">
        <f ca="1">IFERROR(__xludf.DUMMYFUNCTION("""COMPUTED_VALUE"""),0.0066780874531569)</f>
        <v>6.6780874531569001E-3</v>
      </c>
      <c r="AZ4" s="3">
        <f ca="1">IFERROR(__xludf.DUMMYFUNCTION("""COMPUTED_VALUE"""),-0.0802616517225206)</f>
        <v>-8.0261651722520602E-2</v>
      </c>
      <c r="BA4" s="3">
        <f ca="1">IFERROR(__xludf.DUMMYFUNCTION("""COMPUTED_VALUE"""),-0.0734061370509939)</f>
        <v>-7.34061370509939E-2</v>
      </c>
      <c r="BB4" s="3">
        <f ca="1">IFERROR(__xludf.DUMMYFUNCTION("""COMPUTED_VALUE"""),-0.0589291628315277)</f>
        <v>-5.8929162831527701E-2</v>
      </c>
      <c r="BC4" s="3">
        <f ca="1">IFERROR(__xludf.DUMMYFUNCTION("""COMPUTED_VALUE"""),-0.165213465030717)</f>
        <v>-0.16521346503071699</v>
      </c>
      <c r="BD4" s="3">
        <f ca="1">IFERROR(__xludf.DUMMYFUNCTION("""COMPUTED_VALUE"""),-0.107111920894156)</f>
        <v>-0.107111920894156</v>
      </c>
      <c r="BE4" s="3">
        <f ca="1">IFERROR(__xludf.DUMMYFUNCTION("""COMPUTED_VALUE"""),-0.16301347518764)</f>
        <v>-0.16301347518764001</v>
      </c>
      <c r="BF4" s="3">
        <f ca="1">IFERROR(__xludf.DUMMYFUNCTION("""COMPUTED_VALUE"""),0.118124681682385)</f>
        <v>0.118124681682385</v>
      </c>
      <c r="BG4" s="3">
        <f ca="1">IFERROR(__xludf.DUMMYFUNCTION("""COMPUTED_VALUE"""),-0.139013732940203)</f>
        <v>-0.139013732940203</v>
      </c>
      <c r="BH4" s="3">
        <f ca="1">IFERROR(__xludf.DUMMYFUNCTION("""COMPUTED_VALUE"""),0.0609413748269354)</f>
        <v>6.0941374826935402E-2</v>
      </c>
      <c r="BI4" s="3">
        <f ca="1">IFERROR(__xludf.DUMMYFUNCTION("""COMPUTED_VALUE"""),0.202459592681579)</f>
        <v>0.20245959268157901</v>
      </c>
      <c r="BJ4" s="3">
        <f ca="1">IFERROR(__xludf.DUMMYFUNCTION("""COMPUTED_VALUE"""),0.0488318028424492)</f>
        <v>4.8831802842449201E-2</v>
      </c>
      <c r="BK4" s="3">
        <f ca="1">IFERROR(__xludf.DUMMYFUNCTION("""COMPUTED_VALUE"""),-0.0219562460448815)</f>
        <v>-2.19562460448815E-2</v>
      </c>
      <c r="BL4" s="3">
        <f ca="1">IFERROR(__xludf.DUMMYFUNCTION("""COMPUTED_VALUE"""),-0.610398211841297)</f>
        <v>-0.61039821184129694</v>
      </c>
      <c r="BM4" s="3">
        <f ca="1">IFERROR(__xludf.DUMMYFUNCTION("""COMPUTED_VALUE"""),-0.0793007735653587)</f>
        <v>-7.9300773565358695E-2</v>
      </c>
      <c r="BN4" s="3">
        <f ca="1">IFERROR(__xludf.DUMMYFUNCTION("""COMPUTED_VALUE"""),-0.241429272781559)</f>
        <v>-0.24142927278155901</v>
      </c>
      <c r="BO4" s="3">
        <f ca="1">IFERROR(__xludf.DUMMYFUNCTION("""COMPUTED_VALUE"""),0.0912481543739811)</f>
        <v>9.1248154373981094E-2</v>
      </c>
      <c r="BP4" s="3">
        <f ca="1">IFERROR(__xludf.DUMMYFUNCTION("""COMPUTED_VALUE"""),0.200475905210969)</f>
        <v>0.200475905210969</v>
      </c>
      <c r="BQ4" s="3">
        <f ca="1">IFERROR(__xludf.DUMMYFUNCTION("""COMPUTED_VALUE"""),-0.12723710240254)</f>
        <v>-0.12723710240253999</v>
      </c>
      <c r="BR4" s="3">
        <f ca="1">IFERROR(__xludf.DUMMYFUNCTION("""COMPUTED_VALUE"""),-0.142231208018956)</f>
        <v>-0.142231208018956</v>
      </c>
      <c r="BS4" s="3">
        <f ca="1">IFERROR(__xludf.DUMMYFUNCTION("""COMPUTED_VALUE"""),-0.453436828730236)</f>
        <v>-0.453436828730236</v>
      </c>
      <c r="BT4" s="3">
        <f ca="1">IFERROR(__xludf.DUMMYFUNCTION("""COMPUTED_VALUE"""),-0.253801868443266)</f>
        <v>-0.25380186844326602</v>
      </c>
      <c r="BU4" s="3">
        <f ca="1">IFERROR(__xludf.DUMMYFUNCTION("""COMPUTED_VALUE"""),-0.216214211405499)</f>
        <v>-0.21621421140549901</v>
      </c>
      <c r="BV4" s="3">
        <f ca="1">IFERROR(__xludf.DUMMYFUNCTION("""COMPUTED_VALUE"""),-0.154787540339408)</f>
        <v>-0.154787540339408</v>
      </c>
      <c r="BW4" s="3">
        <f ca="1">IFERROR(__xludf.DUMMYFUNCTION("""COMPUTED_VALUE"""),0.0635038748341259)</f>
        <v>6.3503874834125895E-2</v>
      </c>
      <c r="BX4" s="3">
        <f ca="1">IFERROR(__xludf.DUMMYFUNCTION("""COMPUTED_VALUE"""),-0.151847878886791)</f>
        <v>-0.15184787888679099</v>
      </c>
      <c r="BY4" s="3">
        <f ca="1">IFERROR(__xludf.DUMMYFUNCTION("""COMPUTED_VALUE"""),-0.218210416930626)</f>
        <v>-0.21821041693062601</v>
      </c>
      <c r="BZ4" s="3">
        <f ca="1">IFERROR(__xludf.DUMMYFUNCTION("""COMPUTED_VALUE"""),-0.0404792718525209)</f>
        <v>-4.0479271852520898E-2</v>
      </c>
      <c r="CA4" s="3">
        <f ca="1">IFERROR(__xludf.DUMMYFUNCTION("""COMPUTED_VALUE"""),-0.218752431948505)</f>
        <v>-0.21875243194850499</v>
      </c>
      <c r="CB4" s="3">
        <f ca="1">IFERROR(__xludf.DUMMYFUNCTION("""COMPUTED_VALUE"""),-0.0790175316040778)</f>
        <v>-7.9017531604077804E-2</v>
      </c>
      <c r="CC4" s="3">
        <f ca="1">IFERROR(__xludf.DUMMYFUNCTION("""COMPUTED_VALUE"""),-0.137448173734193)</f>
        <v>-0.13744817373419299</v>
      </c>
      <c r="CD4" s="3">
        <f ca="1">IFERROR(__xludf.DUMMYFUNCTION("""COMPUTED_VALUE"""),-0.165545657037438)</f>
        <v>-0.16554565703743801</v>
      </c>
      <c r="CE4" s="3">
        <f ca="1">IFERROR(__xludf.DUMMYFUNCTION("""COMPUTED_VALUE"""),-0.151475978495437)</f>
        <v>-0.15147597849543701</v>
      </c>
      <c r="CF4" s="3">
        <f ca="1">IFERROR(__xludf.DUMMYFUNCTION("""COMPUTED_VALUE"""),-0.157952662060808)</f>
        <v>-0.15795266206080799</v>
      </c>
      <c r="CG4" s="3">
        <f ca="1">IFERROR(__xludf.DUMMYFUNCTION("""COMPUTED_VALUE"""),-0.0809341113851059)</f>
        <v>-8.0934111385105895E-2</v>
      </c>
      <c r="CH4" s="3">
        <f ca="1">IFERROR(__xludf.DUMMYFUNCTION("""COMPUTED_VALUE"""),-0.186485685501827)</f>
        <v>-0.18648568550182701</v>
      </c>
      <c r="CI4" s="3">
        <f ca="1">IFERROR(__xludf.DUMMYFUNCTION("""COMPUTED_VALUE"""),-0.150272238292522)</f>
        <v>-0.15027223829252201</v>
      </c>
      <c r="CJ4" s="3">
        <f ca="1">IFERROR(__xludf.DUMMYFUNCTION("""COMPUTED_VALUE"""),-0.127755873541877)</f>
        <v>-0.12775587354187701</v>
      </c>
      <c r="CK4" s="3">
        <f ca="1">IFERROR(__xludf.DUMMYFUNCTION("""COMPUTED_VALUE"""),-0.046458808535386)</f>
        <v>-4.6458808535385997E-2</v>
      </c>
      <c r="CL4" s="3">
        <f ca="1">IFERROR(__xludf.DUMMYFUNCTION("""COMPUTED_VALUE"""),-0.0650466089143948)</f>
        <v>-6.5046608914394802E-2</v>
      </c>
      <c r="CM4" s="3">
        <f ca="1">IFERROR(__xludf.DUMMYFUNCTION("""COMPUTED_VALUE"""),-0.10889065152867)</f>
        <v>-0.10889065152867</v>
      </c>
      <c r="CN4" s="3">
        <f ca="1">IFERROR(__xludf.DUMMYFUNCTION("""COMPUTED_VALUE"""),-0.260119616358218)</f>
        <v>-0.26011961635821801</v>
      </c>
      <c r="CO4" s="3">
        <f ca="1">IFERROR(__xludf.DUMMYFUNCTION("""COMPUTED_VALUE"""),-0.221389385894007)</f>
        <v>-0.221389385894007</v>
      </c>
      <c r="CP4" s="3">
        <f ca="1">IFERROR(__xludf.DUMMYFUNCTION("""COMPUTED_VALUE"""),-0.143866508337756)</f>
        <v>-0.14386650833775599</v>
      </c>
      <c r="CQ4" s="3">
        <f ca="1">IFERROR(__xludf.DUMMYFUNCTION("""COMPUTED_VALUE"""),-0.199007418866901)</f>
        <v>-0.19900741886690099</v>
      </c>
      <c r="CR4" s="3">
        <f ca="1">IFERROR(__xludf.DUMMYFUNCTION("""COMPUTED_VALUE"""),-0.0734754663222526)</f>
        <v>-7.3475466322252603E-2</v>
      </c>
      <c r="CS4" s="3">
        <f ca="1">IFERROR(__xludf.DUMMYFUNCTION("""COMPUTED_VALUE"""),-0.125643935778389)</f>
        <v>-0.125643935778389</v>
      </c>
      <c r="CT4" s="3">
        <f ca="1">IFERROR(__xludf.DUMMYFUNCTION("""COMPUTED_VALUE"""),-0.256273560074313)</f>
        <v>-0.25627356007431301</v>
      </c>
      <c r="CU4" s="3">
        <f ca="1">IFERROR(__xludf.DUMMYFUNCTION("""COMPUTED_VALUE"""),-0.450676288693681)</f>
        <v>-0.45067628869368098</v>
      </c>
      <c r="CV4" s="3">
        <f ca="1">IFERROR(__xludf.DUMMYFUNCTION("""COMPUTED_VALUE"""),-0.265478966774474)</f>
        <v>-0.26547896677447402</v>
      </c>
      <c r="CW4" s="3">
        <f ca="1">IFERROR(__xludf.DUMMYFUNCTION("""COMPUTED_VALUE"""),-0.425921053820039)</f>
        <v>-0.42592105382003898</v>
      </c>
      <c r="CX4" s="3">
        <f ca="1">IFERROR(__xludf.DUMMYFUNCTION("""COMPUTED_VALUE"""),-0.487358754725316)</f>
        <v>-0.48735875472531598</v>
      </c>
      <c r="CY4" s="3">
        <f ca="1">IFERROR(__xludf.DUMMYFUNCTION("""COMPUTED_VALUE"""),-0.130397118091045)</f>
        <v>-0.13039711809104501</v>
      </c>
      <c r="CZ4" s="3">
        <f ca="1">IFERROR(__xludf.DUMMYFUNCTION("""COMPUTED_VALUE"""),0.252326366453142)</f>
        <v>0.25232636645314199</v>
      </c>
      <c r="DA4" s="3">
        <f ca="1">IFERROR(__xludf.DUMMYFUNCTION("""COMPUTED_VALUE"""),-0.192946690624891)</f>
        <v>-0.192946690624891</v>
      </c>
      <c r="DB4" s="3">
        <f ca="1">IFERROR(__xludf.DUMMYFUNCTION("""COMPUTED_VALUE"""),-0.452998956964836)</f>
        <v>-0.452998956964836</v>
      </c>
      <c r="DC4" s="3">
        <f ca="1">IFERROR(__xludf.DUMMYFUNCTION("""COMPUTED_VALUE"""),-0.236133226683477)</f>
        <v>-0.236133226683477</v>
      </c>
      <c r="DD4" s="3">
        <f ca="1">IFERROR(__xludf.DUMMYFUNCTION("""COMPUTED_VALUE"""),-0.183167185132019)</f>
        <v>-0.18316718513201899</v>
      </c>
      <c r="DE4" s="3">
        <f ca="1">IFERROR(__xludf.DUMMYFUNCTION("""COMPUTED_VALUE"""),-0.760114153231165)</f>
        <v>-0.76011415323116505</v>
      </c>
      <c r="DF4" s="3">
        <f ca="1">IFERROR(__xludf.DUMMYFUNCTION("""COMPUTED_VALUE"""),-0.20944320156162)</f>
        <v>-0.20944320156162</v>
      </c>
      <c r="DG4" s="3">
        <f ca="1">IFERROR(__xludf.DUMMYFUNCTION("""COMPUTED_VALUE"""),0.594504455267998)</f>
        <v>0.594504455267998</v>
      </c>
      <c r="DH4" s="3">
        <f ca="1">IFERROR(__xludf.DUMMYFUNCTION("""COMPUTED_VALUE"""),0.057420837155919)</f>
        <v>5.7420837155919002E-2</v>
      </c>
      <c r="DI4" s="3">
        <f ca="1">IFERROR(__xludf.DUMMYFUNCTION("""COMPUTED_VALUE"""),-0.0178276885307164)</f>
        <v>-1.7827688530716399E-2</v>
      </c>
      <c r="DJ4" s="3">
        <f ca="1">IFERROR(__xludf.DUMMYFUNCTION("""COMPUTED_VALUE"""),-0.102796060554887)</f>
        <v>-0.10279606055488701</v>
      </c>
      <c r="DK4" s="3">
        <f ca="1">IFERROR(__xludf.DUMMYFUNCTION("""COMPUTED_VALUE"""),-0.0252362143566099)</f>
        <v>-2.5236214356609901E-2</v>
      </c>
      <c r="DL4" s="3">
        <f ca="1">IFERROR(__xludf.DUMMYFUNCTION("""COMPUTED_VALUE"""),0.0200825298785158)</f>
        <v>2.00825298785158E-2</v>
      </c>
      <c r="DM4" s="3">
        <f ca="1">IFERROR(__xludf.DUMMYFUNCTION("""COMPUTED_VALUE"""),0.112018621913141)</f>
        <v>0.11201862191314101</v>
      </c>
      <c r="DN4" s="3">
        <f ca="1">IFERROR(__xludf.DUMMYFUNCTION("""COMPUTED_VALUE"""),0.370735678846602)</f>
        <v>0.37073567884660202</v>
      </c>
      <c r="DO4" s="3">
        <f ca="1">IFERROR(__xludf.DUMMYFUNCTION("""COMPUTED_VALUE"""),0.00702701204941624)</f>
        <v>7.0270120494162402E-3</v>
      </c>
      <c r="DP4" s="3">
        <f ca="1">IFERROR(__xludf.DUMMYFUNCTION("""COMPUTED_VALUE"""),-0.00462853631468607)</f>
        <v>-4.6285363146860697E-3</v>
      </c>
      <c r="DQ4" s="3">
        <f ca="1">IFERROR(__xludf.DUMMYFUNCTION("""COMPUTED_VALUE"""),-0.139720828587899)</f>
        <v>-0.139720828587899</v>
      </c>
      <c r="DR4" s="3">
        <f ca="1">IFERROR(__xludf.DUMMYFUNCTION("""COMPUTED_VALUE"""),-0.157148310011305)</f>
        <v>-0.157148310011305</v>
      </c>
      <c r="DS4" s="3">
        <f ca="1">IFERROR(__xludf.DUMMYFUNCTION("""COMPUTED_VALUE"""),-0.0618080996030048)</f>
        <v>-6.1808099603004797E-2</v>
      </c>
      <c r="DT4" s="3">
        <f ca="1">IFERROR(__xludf.DUMMYFUNCTION("""COMPUTED_VALUE"""),-0.0269802933253897)</f>
        <v>-2.69802933253897E-2</v>
      </c>
      <c r="DU4" s="3">
        <f ca="1">IFERROR(__xludf.DUMMYFUNCTION("""COMPUTED_VALUE"""),-0.058262605221694)</f>
        <v>-5.8262605221693999E-2</v>
      </c>
      <c r="DV4" s="3">
        <f ca="1">IFERROR(__xludf.DUMMYFUNCTION("""COMPUTED_VALUE"""),-0.0836030354720224)</f>
        <v>-8.3603035472022399E-2</v>
      </c>
      <c r="DW4" s="3">
        <f ca="1">IFERROR(__xludf.DUMMYFUNCTION("""COMPUTED_VALUE"""),-0.113795723356683)</f>
        <v>-0.113795723356683</v>
      </c>
      <c r="DX4" s="3">
        <f ca="1">IFERROR(__xludf.DUMMYFUNCTION("""COMPUTED_VALUE"""),-0.175881536814715)</f>
        <v>-0.17588153681471499</v>
      </c>
      <c r="DY4" s="3">
        <f ca="1">IFERROR(__xludf.DUMMYFUNCTION("""COMPUTED_VALUE"""),-0.162913489700909)</f>
        <v>-0.16291348970090899</v>
      </c>
      <c r="DZ4" s="3">
        <f ca="1">IFERROR(__xludf.DUMMYFUNCTION("""COMPUTED_VALUE"""),-0.114028007443031)</f>
        <v>-0.114028007443031</v>
      </c>
      <c r="EA4" s="3">
        <f ca="1">IFERROR(__xludf.DUMMYFUNCTION("""COMPUTED_VALUE"""),-0.0539228015670883)</f>
        <v>-5.3922801567088299E-2</v>
      </c>
      <c r="EB4" s="3">
        <f ca="1">IFERROR(__xludf.DUMMYFUNCTION("""COMPUTED_VALUE"""),-0.0197842632715089)</f>
        <v>-1.9784263271508899E-2</v>
      </c>
      <c r="EC4" s="3">
        <f ca="1">IFERROR(__xludf.DUMMYFUNCTION("""COMPUTED_VALUE"""),-0.0221522718608836)</f>
        <v>-2.2152271860883602E-2</v>
      </c>
      <c r="ED4" s="3">
        <f ca="1">IFERROR(__xludf.DUMMYFUNCTION("""COMPUTED_VALUE"""),-0.0728321746694514)</f>
        <v>-7.2832174669451397E-2</v>
      </c>
      <c r="EE4" s="3">
        <f ca="1">IFERROR(__xludf.DUMMYFUNCTION("""COMPUTED_VALUE"""),-0.339540601820707)</f>
        <v>-0.339540601820707</v>
      </c>
      <c r="EF4" s="3">
        <f ca="1">IFERROR(__xludf.DUMMYFUNCTION("""COMPUTED_VALUE"""),-0.141674955875182)</f>
        <v>-0.141674955875182</v>
      </c>
      <c r="EG4" s="3">
        <f ca="1">IFERROR(__xludf.DUMMYFUNCTION("""COMPUTED_VALUE"""),-0.0158351617910694)</f>
        <v>-1.5835161791069401E-2</v>
      </c>
      <c r="EH4" s="3">
        <f ca="1">IFERROR(__xludf.DUMMYFUNCTION("""COMPUTED_VALUE"""),-0.0253347762301296)</f>
        <v>-2.5334776230129599E-2</v>
      </c>
      <c r="EI4" s="3">
        <f ca="1">IFERROR(__xludf.DUMMYFUNCTION("""COMPUTED_VALUE"""),-0.0826721152624497)</f>
        <v>-8.2672115262449705E-2</v>
      </c>
      <c r="EJ4" s="3">
        <f ca="1">IFERROR(__xludf.DUMMYFUNCTION("""COMPUTED_VALUE"""),-0.0598739154571932)</f>
        <v>-5.98739154571932E-2</v>
      </c>
      <c r="EK4" s="3">
        <f ca="1">IFERROR(__xludf.DUMMYFUNCTION("""COMPUTED_VALUE"""),-0.152078069928582)</f>
        <v>-0.152078069928582</v>
      </c>
      <c r="EL4" s="3">
        <f ca="1">IFERROR(__xludf.DUMMYFUNCTION("""COMPUTED_VALUE"""),-0.301514542407941)</f>
        <v>-0.30151454240794101</v>
      </c>
      <c r="EM4" s="3">
        <f ca="1">IFERROR(__xludf.DUMMYFUNCTION("""COMPUTED_VALUE"""),-0.292962569084169)</f>
        <v>-0.29296256908416901</v>
      </c>
      <c r="EN4" s="3">
        <f ca="1">IFERROR(__xludf.DUMMYFUNCTION("""COMPUTED_VALUE"""),-0.193546338460339)</f>
        <v>-0.193546338460339</v>
      </c>
      <c r="EO4" s="3">
        <f ca="1">IFERROR(__xludf.DUMMYFUNCTION("""COMPUTED_VALUE"""),-0.119424590384143)</f>
        <v>-0.11942459038414301</v>
      </c>
      <c r="EP4" s="3">
        <f ca="1">IFERROR(__xludf.DUMMYFUNCTION("""COMPUTED_VALUE"""),-0.166849020513827)</f>
        <v>-0.166849020513827</v>
      </c>
      <c r="EQ4" s="3">
        <f ca="1">IFERROR(__xludf.DUMMYFUNCTION("""COMPUTED_VALUE"""),-0.169459565999315)</f>
        <v>-0.169459565999315</v>
      </c>
      <c r="ER4" s="3">
        <f ca="1">IFERROR(__xludf.DUMMYFUNCTION("""COMPUTED_VALUE"""),-0.108320206438753)</f>
        <v>-0.10832020643875299</v>
      </c>
      <c r="ES4" s="3">
        <f ca="1">IFERROR(__xludf.DUMMYFUNCTION("""COMPUTED_VALUE"""),-0.323787219260076)</f>
        <v>-0.32378721926007598</v>
      </c>
      <c r="ET4" s="3">
        <f ca="1">IFERROR(__xludf.DUMMYFUNCTION("""COMPUTED_VALUE"""),-0.307673293409442)</f>
        <v>-0.30767329340944199</v>
      </c>
      <c r="EU4" s="3">
        <f ca="1">IFERROR(__xludf.DUMMYFUNCTION("""COMPUTED_VALUE"""),-0.159757455022549)</f>
        <v>-0.15975745502254901</v>
      </c>
      <c r="EV4" s="3">
        <f ca="1">IFERROR(__xludf.DUMMYFUNCTION("""COMPUTED_VALUE"""),-0.139236268440577)</f>
        <v>-0.13923626844057699</v>
      </c>
      <c r="EW4" s="3">
        <f ca="1">IFERROR(__xludf.DUMMYFUNCTION("""COMPUTED_VALUE"""),-0.125143612021945)</f>
        <v>-0.12514361202194499</v>
      </c>
      <c r="EX4" s="3">
        <f ca="1">IFERROR(__xludf.DUMMYFUNCTION("""COMPUTED_VALUE"""),-0.172262507719032)</f>
        <v>-0.17226250771903201</v>
      </c>
      <c r="EY4" s="3">
        <f ca="1">IFERROR(__xludf.DUMMYFUNCTION("""COMPUTED_VALUE"""),-0.136923592326183)</f>
        <v>-0.13692359232618301</v>
      </c>
      <c r="EZ4" s="3">
        <f ca="1">IFERROR(__xludf.DUMMYFUNCTION("""COMPUTED_VALUE"""),-0.363191903319286)</f>
        <v>-0.36319190331928602</v>
      </c>
      <c r="FA4" s="3">
        <f ca="1">IFERROR(__xludf.DUMMYFUNCTION("""COMPUTED_VALUE"""),-0.290001732205313)</f>
        <v>-0.290001732205313</v>
      </c>
      <c r="FB4" s="3">
        <f ca="1">IFERROR(__xludf.DUMMYFUNCTION("""COMPUTED_VALUE"""),-0.0554780757958861)</f>
        <v>-5.5478075795886102E-2</v>
      </c>
      <c r="FC4" s="3">
        <f ca="1">IFERROR(__xludf.DUMMYFUNCTION("""COMPUTED_VALUE"""),-0.182317349274123)</f>
        <v>-0.18231734927412299</v>
      </c>
      <c r="FD4" s="3">
        <f ca="1">IFERROR(__xludf.DUMMYFUNCTION("""COMPUTED_VALUE"""),-0.151154518685298)</f>
        <v>-0.151154518685298</v>
      </c>
      <c r="FE4" s="3">
        <f ca="1">IFERROR(__xludf.DUMMYFUNCTION("""COMPUTED_VALUE"""),-0.126955225680084)</f>
        <v>-0.12695522568008399</v>
      </c>
      <c r="FF4" s="3">
        <f ca="1">IFERROR(__xludf.DUMMYFUNCTION("""COMPUTED_VALUE"""),0.00971378477275997)</f>
        <v>9.7137847727599702E-3</v>
      </c>
      <c r="FG4" s="3">
        <f ca="1">IFERROR(__xludf.DUMMYFUNCTION("""COMPUTED_VALUE"""),-0.240972452530396)</f>
        <v>-0.24097245253039601</v>
      </c>
      <c r="FH4" s="3">
        <f ca="1">IFERROR(__xludf.DUMMYFUNCTION("""COMPUTED_VALUE"""),-0.284021927070964)</f>
        <v>-0.28402192707096402</v>
      </c>
      <c r="FI4" s="3">
        <f ca="1">IFERROR(__xludf.DUMMYFUNCTION("""COMPUTED_VALUE"""),-0.108733172092941)</f>
        <v>-0.10873317209294101</v>
      </c>
      <c r="FJ4" s="3">
        <f ca="1">IFERROR(__xludf.DUMMYFUNCTION("""COMPUTED_VALUE"""),-0.0792544064859208)</f>
        <v>-7.9254406485920803E-2</v>
      </c>
      <c r="FK4" s="3">
        <f ca="1">IFERROR(__xludf.DUMMYFUNCTION("""COMPUTED_VALUE"""),-0.110938949252071)</f>
        <v>-0.110938949252071</v>
      </c>
      <c r="FL4" s="3">
        <f ca="1">IFERROR(__xludf.DUMMYFUNCTION("""COMPUTED_VALUE"""),-0.126837754459758)</f>
        <v>-0.12683775445975801</v>
      </c>
      <c r="FM4" s="3">
        <f ca="1">IFERROR(__xludf.DUMMYFUNCTION("""COMPUTED_VALUE"""),-0.46212960352631)</f>
        <v>-0.46212960352631</v>
      </c>
      <c r="FN4" s="3">
        <f ca="1">IFERROR(__xludf.DUMMYFUNCTION("""COMPUTED_VALUE"""),-0.337113170537359)</f>
        <v>-0.33711317053735901</v>
      </c>
      <c r="FO4" s="3">
        <f ca="1">IFERROR(__xludf.DUMMYFUNCTION("""COMPUTED_VALUE"""),-0.324414594971681)</f>
        <v>-0.32441459497168101</v>
      </c>
      <c r="FP4" s="3">
        <f ca="1">IFERROR(__xludf.DUMMYFUNCTION("""COMPUTED_VALUE"""),-0.147107312591775)</f>
        <v>-0.14710731259177501</v>
      </c>
      <c r="FQ4" s="3">
        <f ca="1">IFERROR(__xludf.DUMMYFUNCTION("""COMPUTED_VALUE"""),-0.195431512194815)</f>
        <v>-0.195431512194815</v>
      </c>
      <c r="FR4" s="3">
        <f ca="1">IFERROR(__xludf.DUMMYFUNCTION("""COMPUTED_VALUE"""),-0.18474065731754)</f>
        <v>-0.18474065731754</v>
      </c>
      <c r="FS4" s="3">
        <f ca="1">IFERROR(__xludf.DUMMYFUNCTION("""COMPUTED_VALUE"""),-0.154287747252692)</f>
        <v>-0.15428774725269201</v>
      </c>
      <c r="FT4" s="3">
        <f ca="1">IFERROR(__xludf.DUMMYFUNCTION("""COMPUTED_VALUE"""),0.0409811645886031)</f>
        <v>4.0981164588603097E-2</v>
      </c>
      <c r="FU4" s="3">
        <f ca="1">IFERROR(__xludf.DUMMYFUNCTION("""COMPUTED_VALUE"""),-0.265221554958934)</f>
        <v>-0.26522155495893401</v>
      </c>
      <c r="FV4" s="3">
        <f ca="1">IFERROR(__xludf.DUMMYFUNCTION("""COMPUTED_VALUE"""),-0.258937800069942)</f>
        <v>-0.25893780006994199</v>
      </c>
      <c r="FW4" s="3">
        <f ca="1">IFERROR(__xludf.DUMMYFUNCTION("""COMPUTED_VALUE"""),-0.0994199369836882)</f>
        <v>-9.9419936983688201E-2</v>
      </c>
      <c r="FX4" s="3">
        <f ca="1">IFERROR(__xludf.DUMMYFUNCTION("""COMPUTED_VALUE"""),-0.185235687277658)</f>
        <v>-0.18523568727765799</v>
      </c>
      <c r="FY4" s="3">
        <f ca="1">IFERROR(__xludf.DUMMYFUNCTION("""COMPUTED_VALUE"""),-0.12008507173724)</f>
        <v>-0.12008507173724001</v>
      </c>
      <c r="FZ4" s="3">
        <f ca="1">IFERROR(__xludf.DUMMYFUNCTION("""COMPUTED_VALUE"""),-0.150580844718885)</f>
        <v>-0.150580844718885</v>
      </c>
      <c r="GA4" s="3">
        <f ca="1">IFERROR(__xludf.DUMMYFUNCTION("""COMPUTED_VALUE"""),-0.119977947842888)</f>
        <v>-0.119977947842888</v>
      </c>
      <c r="GB4" s="3">
        <f ca="1">IFERROR(__xludf.DUMMYFUNCTION("""COMPUTED_VALUE"""),-0.31414660783791)</f>
        <v>-0.31414660783790999</v>
      </c>
      <c r="GC4" s="3">
        <f ca="1">IFERROR(__xludf.DUMMYFUNCTION("""COMPUTED_VALUE"""),-0.371635938253815)</f>
        <v>-0.37163593825381502</v>
      </c>
      <c r="GD4" s="3">
        <f ca="1">IFERROR(__xludf.DUMMYFUNCTION("""COMPUTED_VALUE"""),-0.278987785389703)</f>
        <v>-0.27898778538970298</v>
      </c>
      <c r="GE4" s="3">
        <f ca="1">IFERROR(__xludf.DUMMYFUNCTION("""COMPUTED_VALUE"""),-0.278434064481086)</f>
        <v>-0.27843406448108599</v>
      </c>
      <c r="GF4" s="3">
        <f ca="1">IFERROR(__xludf.DUMMYFUNCTION("""COMPUTED_VALUE"""),-0.306990183593205)</f>
        <v>-0.30699018359320501</v>
      </c>
      <c r="GG4" s="3">
        <f ca="1">IFERROR(__xludf.DUMMYFUNCTION("""COMPUTED_VALUE"""),-0.279485417679272)</f>
        <v>-0.27948541767927199</v>
      </c>
      <c r="GH4" s="3">
        <f ca="1">IFERROR(__xludf.DUMMYFUNCTION("""COMPUTED_VALUE"""),-0.339898588655841)</f>
        <v>-0.33989858865584099</v>
      </c>
      <c r="GI4" s="3">
        <f ca="1">IFERROR(__xludf.DUMMYFUNCTION("""COMPUTED_VALUE"""),-0.279405110383973)</f>
        <v>-0.27940511038397298</v>
      </c>
      <c r="GJ4" s="3">
        <f ca="1">IFERROR(__xludf.DUMMYFUNCTION("""COMPUTED_VALUE"""),-0.323459014736018)</f>
        <v>-0.32345901473601801</v>
      </c>
      <c r="GK4" s="3">
        <f ca="1">IFERROR(__xludf.DUMMYFUNCTION("""COMPUTED_VALUE"""),-0.299435391430849)</f>
        <v>-0.29943539143084902</v>
      </c>
      <c r="GL4" s="3">
        <f ca="1">IFERROR(__xludf.DUMMYFUNCTION("""COMPUTED_VALUE"""),-0.327776058501464)</f>
        <v>-0.32777605850146402</v>
      </c>
      <c r="GM4" s="3">
        <f ca="1">IFERROR(__xludf.DUMMYFUNCTION("""COMPUTED_VALUE"""),-0.325368911010692)</f>
        <v>-0.32536891101069199</v>
      </c>
      <c r="GN4" s="3">
        <f ca="1">IFERROR(__xludf.DUMMYFUNCTION("""COMPUTED_VALUE"""),-0.29274369226567)</f>
        <v>-0.29274369226566999</v>
      </c>
      <c r="GO4" s="3">
        <f ca="1">IFERROR(__xludf.DUMMYFUNCTION("""COMPUTED_VALUE"""),-0.273134844816393)</f>
        <v>-0.273134844816393</v>
      </c>
      <c r="GP4" s="3">
        <f ca="1">IFERROR(__xludf.DUMMYFUNCTION("""COMPUTED_VALUE"""),-0.3729155677144)</f>
        <v>-0.37291556771439999</v>
      </c>
      <c r="GQ4" s="3">
        <f ca="1">IFERROR(__xludf.DUMMYFUNCTION("""COMPUTED_VALUE"""),-0.283519990260604)</f>
        <v>-0.28351999026060398</v>
      </c>
      <c r="GR4" s="3">
        <f ca="1">IFERROR(__xludf.DUMMYFUNCTION("""COMPUTED_VALUE"""),-0.170376797244099)</f>
        <v>-0.17037679724409899</v>
      </c>
      <c r="GS4" s="3">
        <f ca="1">IFERROR(__xludf.DUMMYFUNCTION("""COMPUTED_VALUE"""),-0.27142577894059)</f>
        <v>-0.27142577894059</v>
      </c>
      <c r="GT4" s="3">
        <f ca="1">IFERROR(__xludf.DUMMYFUNCTION("""COMPUTED_VALUE"""),-0.132823793689925)</f>
        <v>-0.132823793689925</v>
      </c>
      <c r="GU4" s="3">
        <f ca="1">IFERROR(__xludf.DUMMYFUNCTION("""COMPUTED_VALUE"""),-0.147743604396699)</f>
        <v>-0.14774360439669901</v>
      </c>
      <c r="GV4" s="3">
        <f ca="1">IFERROR(__xludf.DUMMYFUNCTION("""COMPUTED_VALUE"""),-0.197376882288202)</f>
        <v>-0.19737688228820199</v>
      </c>
      <c r="GW4" s="3">
        <f ca="1">IFERROR(__xludf.DUMMYFUNCTION("""COMPUTED_VALUE"""),-0.305443349831542)</f>
        <v>-0.30544334983154198</v>
      </c>
      <c r="GX4" s="3">
        <f ca="1">IFERROR(__xludf.DUMMYFUNCTION("""COMPUTED_VALUE"""),-0.317849150616479)</f>
        <v>-0.317849150616479</v>
      </c>
      <c r="GY4" s="3">
        <f ca="1">IFERROR(__xludf.DUMMYFUNCTION("""COMPUTED_VALUE"""),-0.204666168232372)</f>
        <v>-0.20466616823237199</v>
      </c>
      <c r="GZ4" s="3">
        <f ca="1">IFERROR(__xludf.DUMMYFUNCTION("""COMPUTED_VALUE"""),-0.226838950000736)</f>
        <v>-0.22683895000073601</v>
      </c>
      <c r="HA4" s="3">
        <f ca="1">IFERROR(__xludf.DUMMYFUNCTION("""COMPUTED_VALUE"""),-0.201249928880195)</f>
        <v>-0.20124992888019499</v>
      </c>
      <c r="HB4" s="3">
        <f ca="1">IFERROR(__xludf.DUMMYFUNCTION("""COMPUTED_VALUE"""),-0.218111432450407)</f>
        <v>-0.21811143245040701</v>
      </c>
      <c r="HC4" s="3">
        <f ca="1">IFERROR(__xludf.DUMMYFUNCTION("""COMPUTED_VALUE"""),-0.226535395434968)</f>
        <v>-0.22653539543496801</v>
      </c>
      <c r="HD4" s="3">
        <f ca="1">IFERROR(__xludf.DUMMYFUNCTION("""COMPUTED_VALUE"""),-0.349062695125249)</f>
        <v>-0.34906269512524901</v>
      </c>
      <c r="HE4" s="3">
        <f ca="1">IFERROR(__xludf.DUMMYFUNCTION("""COMPUTED_VALUE"""),-0.320487079271177)</f>
        <v>-0.32048707927117698</v>
      </c>
      <c r="HF4" s="3">
        <f ca="1">IFERROR(__xludf.DUMMYFUNCTION("""COMPUTED_VALUE"""),-0.217568413317328)</f>
        <v>-0.21756841331732801</v>
      </c>
      <c r="HG4" s="3">
        <f ca="1">IFERROR(__xludf.DUMMYFUNCTION("""COMPUTED_VALUE"""),-0.276411605512649)</f>
        <v>-0.27641160551264898</v>
      </c>
      <c r="HH4" s="3">
        <f ca="1">IFERROR(__xludf.DUMMYFUNCTION("""COMPUTED_VALUE"""),-0.260699927629486)</f>
        <v>-0.26069992762948602</v>
      </c>
      <c r="HI4" s="3">
        <f ca="1">IFERROR(__xludf.DUMMYFUNCTION("""COMPUTED_VALUE"""),-0.230885511002886)</f>
        <v>-0.23088551100288601</v>
      </c>
      <c r="HJ4" s="3">
        <f ca="1">IFERROR(__xludf.DUMMYFUNCTION("""COMPUTED_VALUE"""),-0.21355277843109)</f>
        <v>-0.21355277843109</v>
      </c>
      <c r="HK4" s="3">
        <f ca="1">IFERROR(__xludf.DUMMYFUNCTION("""COMPUTED_VALUE"""),-0.331386377963444)</f>
        <v>-0.331386377963444</v>
      </c>
      <c r="HL4" s="3">
        <f ca="1">IFERROR(__xludf.DUMMYFUNCTION("""COMPUTED_VALUE"""),-0.321104803008059)</f>
        <v>-0.32110480300805899</v>
      </c>
      <c r="HM4" s="3">
        <f ca="1">IFERROR(__xludf.DUMMYFUNCTION("""COMPUTED_VALUE"""),-0.29300235318966)</f>
        <v>-0.29300235318966</v>
      </c>
      <c r="HN4" s="3">
        <f ca="1">IFERROR(__xludf.DUMMYFUNCTION("""COMPUTED_VALUE"""),-0.290114822940791)</f>
        <v>-0.290114822940791</v>
      </c>
      <c r="HO4" s="3">
        <f ca="1">IFERROR(__xludf.DUMMYFUNCTION("""COMPUTED_VALUE"""),-0.267269525327802)</f>
        <v>-0.26726952532780202</v>
      </c>
      <c r="HP4" s="3">
        <f ca="1">IFERROR(__xludf.DUMMYFUNCTION("""COMPUTED_VALUE"""),-0.229197860947518)</f>
        <v>-0.22919786094751801</v>
      </c>
      <c r="HQ4" s="3">
        <f ca="1">IFERROR(__xludf.DUMMYFUNCTION("""COMPUTED_VALUE"""),-0.193549316270395)</f>
        <v>-0.19354931627039501</v>
      </c>
      <c r="HR4" s="3">
        <f ca="1">IFERROR(__xludf.DUMMYFUNCTION("""COMPUTED_VALUE"""),-0.335953378308383)</f>
        <v>-0.33595337830838301</v>
      </c>
      <c r="HS4" s="3">
        <f ca="1">IFERROR(__xludf.DUMMYFUNCTION("""COMPUTED_VALUE"""),-0.326095220455249)</f>
        <v>-0.32609522045524902</v>
      </c>
      <c r="HT4" s="3">
        <f ca="1">IFERROR(__xludf.DUMMYFUNCTION("""COMPUTED_VALUE"""),-0.326992362047698)</f>
        <v>-0.32699236204769799</v>
      </c>
      <c r="HU4" s="3">
        <f ca="1">IFERROR(__xludf.DUMMYFUNCTION("""COMPUTED_VALUE"""),-0.232992409528035)</f>
        <v>-0.23299240952803499</v>
      </c>
      <c r="HV4" s="3">
        <f ca="1">IFERROR(__xludf.DUMMYFUNCTION("""COMPUTED_VALUE"""),-0.281687766882085)</f>
        <v>-0.28168776688208502</v>
      </c>
      <c r="HW4" s="3">
        <f ca="1">IFERROR(__xludf.DUMMYFUNCTION("""COMPUTED_VALUE"""),-0.249719643182748)</f>
        <v>-0.249719643182748</v>
      </c>
      <c r="HX4" s="3">
        <f ca="1">IFERROR(__xludf.DUMMYFUNCTION("""COMPUTED_VALUE"""),-0.224614933910507)</f>
        <v>-0.22461493391050699</v>
      </c>
      <c r="HY4" s="3">
        <f ca="1">IFERROR(__xludf.DUMMYFUNCTION("""COMPUTED_VALUE"""),-0.33620637114367)</f>
        <v>-0.33620637114367002</v>
      </c>
      <c r="HZ4" s="3">
        <f ca="1">IFERROR(__xludf.DUMMYFUNCTION("""COMPUTED_VALUE"""),-0.357198337812908)</f>
        <v>-0.357198337812908</v>
      </c>
      <c r="IA4" s="3">
        <f ca="1">IFERROR(__xludf.DUMMYFUNCTION("""COMPUTED_VALUE"""),-0.273435311461364)</f>
        <v>-0.27343531146136402</v>
      </c>
      <c r="IB4" s="3">
        <f ca="1">IFERROR(__xludf.DUMMYFUNCTION("""COMPUTED_VALUE"""),-0.293898072655355)</f>
        <v>-0.293898072655355</v>
      </c>
      <c r="IC4" s="3">
        <f ca="1">IFERROR(__xludf.DUMMYFUNCTION("""COMPUTED_VALUE"""),-0.279936101430559)</f>
        <v>-0.27993610143055903</v>
      </c>
      <c r="ID4" s="3">
        <f ca="1">IFERROR(__xludf.DUMMYFUNCTION("""COMPUTED_VALUE"""),-0.202907107420904)</f>
        <v>-0.20290710742090401</v>
      </c>
      <c r="IE4" s="3">
        <f ca="1">IFERROR(__xludf.DUMMYFUNCTION("""COMPUTED_VALUE"""),-0.276364113196923)</f>
        <v>-0.276364113196923</v>
      </c>
      <c r="IF4" s="3">
        <f ca="1">IFERROR(__xludf.DUMMYFUNCTION("""COMPUTED_VALUE"""),-0.416708828504914)</f>
        <v>-0.41670882850491398</v>
      </c>
      <c r="IG4" s="3">
        <f ca="1">IFERROR(__xludf.DUMMYFUNCTION("""COMPUTED_VALUE"""),-0.388147276739715)</f>
        <v>-0.388147276739715</v>
      </c>
      <c r="IH4" s="3">
        <f ca="1">IFERROR(__xludf.DUMMYFUNCTION("""COMPUTED_VALUE"""),-0.29651629969745)</f>
        <v>-0.29651629969745003</v>
      </c>
      <c r="II4" s="3">
        <f ca="1">IFERROR(__xludf.DUMMYFUNCTION("""COMPUTED_VALUE"""),-0.223191471920924)</f>
        <v>-0.22319147192092401</v>
      </c>
      <c r="IJ4" s="3">
        <f ca="1">IFERROR(__xludf.DUMMYFUNCTION("""COMPUTED_VALUE"""),-0.189937352987856)</f>
        <v>-0.189937352987856</v>
      </c>
      <c r="IK4" s="3">
        <f ca="1">IFERROR(__xludf.DUMMYFUNCTION("""COMPUTED_VALUE"""),-0.0880091441494338)</f>
        <v>-8.8009144149433796E-2</v>
      </c>
      <c r="IL4" s="3">
        <f ca="1">IFERROR(__xludf.DUMMYFUNCTION("""COMPUTED_VALUE"""),-0.0680528585225368)</f>
        <v>-6.8052858522536799E-2</v>
      </c>
      <c r="IM4" s="3">
        <f ca="1">IFERROR(__xludf.DUMMYFUNCTION("""COMPUTED_VALUE"""),-0.18951095241356)</f>
        <v>-0.18951095241356</v>
      </c>
      <c r="IN4" s="3">
        <f ca="1">IFERROR(__xludf.DUMMYFUNCTION("""COMPUTED_VALUE"""),-0.236855831594742)</f>
        <v>-0.23685583159474199</v>
      </c>
      <c r="IO4" s="3">
        <f ca="1">IFERROR(__xludf.DUMMYFUNCTION("""COMPUTED_VALUE"""),-0.136806798148293)</f>
        <v>-0.136806798148293</v>
      </c>
      <c r="IP4" s="3">
        <f ca="1">IFERROR(__xludf.DUMMYFUNCTION("""COMPUTED_VALUE"""),-0.0762808976341429)</f>
        <v>-7.6280897634142905E-2</v>
      </c>
      <c r="IQ4" s="3">
        <f ca="1">IFERROR(__xludf.DUMMYFUNCTION("""COMPUTED_VALUE"""),-0.127051240984082)</f>
        <v>-0.12705124098408199</v>
      </c>
      <c r="IR4" s="3">
        <f ca="1">IFERROR(__xludf.DUMMYFUNCTION("""COMPUTED_VALUE"""),-0.00332960730845233)</f>
        <v>-3.3296073084523301E-3</v>
      </c>
      <c r="IS4" s="3">
        <f ca="1">IFERROR(__xludf.DUMMYFUNCTION("""COMPUTED_VALUE"""),-0.0972471657963409)</f>
        <v>-9.7247165796340906E-2</v>
      </c>
      <c r="IT4" s="3">
        <f ca="1">IFERROR(__xludf.DUMMYFUNCTION("""COMPUTED_VALUE"""),-0.111902958157676)</f>
        <v>-0.11190295815767599</v>
      </c>
      <c r="IU4" s="3">
        <f ca="1">IFERROR(__xludf.DUMMYFUNCTION("""COMPUTED_VALUE"""),-0.155126676801481)</f>
        <v>-0.15512667680148101</v>
      </c>
      <c r="IV4" s="3">
        <f ca="1">IFERROR(__xludf.DUMMYFUNCTION("""COMPUTED_VALUE"""),-0.111865110391518)</f>
        <v>-0.111865110391518</v>
      </c>
      <c r="IW4" s="3">
        <f ca="1">IFERROR(__xludf.DUMMYFUNCTION("""COMPUTED_VALUE"""),-0.115110175353256)</f>
        <v>-0.115110175353256</v>
      </c>
      <c r="IX4" s="3">
        <f ca="1">IFERROR(__xludf.DUMMYFUNCTION("""COMPUTED_VALUE"""),-0.138477119276239)</f>
        <v>-0.13847711927623901</v>
      </c>
      <c r="IY4" s="3">
        <f ca="1">IFERROR(__xludf.DUMMYFUNCTION("""COMPUTED_VALUE"""),-0.06460263668867)</f>
        <v>-6.4602636688670001E-2</v>
      </c>
      <c r="IZ4" s="3">
        <f ca="1">IFERROR(__xludf.DUMMYFUNCTION("""COMPUTED_VALUE"""),-0.0798944533668534)</f>
        <v>-7.9894453366853399E-2</v>
      </c>
      <c r="JA4" s="3">
        <f ca="1">IFERROR(__xludf.DUMMYFUNCTION("""COMPUTED_VALUE"""),-0.191691327109287)</f>
        <v>-0.19169132710928699</v>
      </c>
      <c r="JB4" s="3">
        <f ca="1">IFERROR(__xludf.DUMMYFUNCTION("""COMPUTED_VALUE"""),-0.20625838894642)</f>
        <v>-0.20625838894642001</v>
      </c>
      <c r="JC4" s="3">
        <f ca="1">IFERROR(__xludf.DUMMYFUNCTION("""COMPUTED_VALUE"""),-0.0654473291415628)</f>
        <v>-6.5447329141562802E-2</v>
      </c>
      <c r="JD4" s="3">
        <f ca="1">IFERROR(__xludf.DUMMYFUNCTION("""COMPUTED_VALUE"""),-0.0218808161229404)</f>
        <v>-2.1880816122940398E-2</v>
      </c>
      <c r="JE4" s="3">
        <f ca="1">IFERROR(__xludf.DUMMYFUNCTION("""COMPUTED_VALUE"""),-0.0692959943594185)</f>
        <v>-6.9295994359418495E-2</v>
      </c>
      <c r="JF4" s="3">
        <f ca="1">IFERROR(__xludf.DUMMYFUNCTION("""COMPUTED_VALUE"""),0.0881368416654917)</f>
        <v>8.8136841665491697E-2</v>
      </c>
      <c r="JG4" s="3">
        <f ca="1">IFERROR(__xludf.DUMMYFUNCTION("""COMPUTED_VALUE"""),-0.038399250896867)</f>
        <v>-3.8399250896867E-2</v>
      </c>
      <c r="JH4" s="3">
        <f ca="1">IFERROR(__xludf.DUMMYFUNCTION("""COMPUTED_VALUE"""),-0.181133800301632)</f>
        <v>-0.18113380030163201</v>
      </c>
      <c r="JI4" s="3">
        <f ca="1">IFERROR(__xludf.DUMMYFUNCTION("""COMPUTED_VALUE"""),-0.252328335500778)</f>
        <v>-0.25232833550077799</v>
      </c>
      <c r="JJ4" s="3">
        <f ca="1">IFERROR(__xludf.DUMMYFUNCTION("""COMPUTED_VALUE"""),-0.175941571335634)</f>
        <v>-0.17594157133563401</v>
      </c>
      <c r="JK4" s="3">
        <f ca="1">IFERROR(__xludf.DUMMYFUNCTION("""COMPUTED_VALUE"""),-0.239586227645008)</f>
        <v>-0.239586227645008</v>
      </c>
      <c r="JL4" s="3">
        <f ca="1">IFERROR(__xludf.DUMMYFUNCTION("""COMPUTED_VALUE"""),-0.246983475035893)</f>
        <v>-0.24698347503589299</v>
      </c>
      <c r="JM4" s="3">
        <f ca="1">IFERROR(__xludf.DUMMYFUNCTION("""COMPUTED_VALUE"""),-0.196458676808903)</f>
        <v>-0.196458676808903</v>
      </c>
      <c r="JN4" s="3">
        <f ca="1">IFERROR(__xludf.DUMMYFUNCTION("""COMPUTED_VALUE"""),-0.28885048377921)</f>
        <v>-0.28885048377921002</v>
      </c>
      <c r="JO4" s="3">
        <f ca="1">IFERROR(__xludf.DUMMYFUNCTION("""COMPUTED_VALUE"""),-0.178831154801038)</f>
        <v>-0.17883115480103801</v>
      </c>
      <c r="JP4" s="3">
        <f ca="1">IFERROR(__xludf.DUMMYFUNCTION("""COMPUTED_VALUE"""),-0.219405763242506)</f>
        <v>-0.21940576324250599</v>
      </c>
      <c r="JQ4" s="3">
        <f ca="1">IFERROR(__xludf.DUMMYFUNCTION("""COMPUTED_VALUE"""),-0.208173840370734)</f>
        <v>-0.208173840370734</v>
      </c>
      <c r="JR4" s="3">
        <f ca="1">IFERROR(__xludf.DUMMYFUNCTION("""COMPUTED_VALUE"""),-0.243725298135485)</f>
        <v>-0.24372529813548499</v>
      </c>
      <c r="JS4" s="3">
        <f ca="1">IFERROR(__xludf.DUMMYFUNCTION("""COMPUTED_VALUE"""),-0.302839291644142)</f>
        <v>-0.30283929164414197</v>
      </c>
      <c r="JT4" s="3">
        <f ca="1">IFERROR(__xludf.DUMMYFUNCTION("""COMPUTED_VALUE"""),-0.291068284374793)</f>
        <v>-0.29106828437479298</v>
      </c>
      <c r="JU4" s="3">
        <f ca="1">IFERROR(__xludf.DUMMYFUNCTION("""COMPUTED_VALUE"""),-0.212509915748234)</f>
        <v>-0.212509915748234</v>
      </c>
      <c r="JV4" s="3">
        <f ca="1">IFERROR(__xludf.DUMMYFUNCTION("""COMPUTED_VALUE"""),0.0475956122483551)</f>
        <v>4.7595612248355103E-2</v>
      </c>
      <c r="JW4" s="3">
        <f ca="1">IFERROR(__xludf.DUMMYFUNCTION("""COMPUTED_VALUE"""),0.0352016135686981)</f>
        <v>3.5201613568698102E-2</v>
      </c>
      <c r="JX4" s="3">
        <f ca="1">IFERROR(__xludf.DUMMYFUNCTION("""COMPUTED_VALUE"""),0.178909290491396)</f>
        <v>0.17890929049139601</v>
      </c>
      <c r="JY4" s="3">
        <f ca="1">IFERROR(__xludf.DUMMYFUNCTION("""COMPUTED_VALUE"""),0.0640420561476953)</f>
        <v>6.40420561476953E-2</v>
      </c>
      <c r="JZ4" s="3">
        <f ca="1">IFERROR(__xludf.DUMMYFUNCTION("""COMPUTED_VALUE"""),0.0666359574857966)</f>
        <v>6.6635957485796593E-2</v>
      </c>
      <c r="KA4" s="3">
        <f ca="1">IFERROR(__xludf.DUMMYFUNCTION("""COMPUTED_VALUE"""),0.0622295835177337)</f>
        <v>6.2229583517733701E-2</v>
      </c>
      <c r="KB4" s="3">
        <f ca="1">IFERROR(__xludf.DUMMYFUNCTION("""COMPUTED_VALUE"""),0.0329366261627253)</f>
        <v>3.2936626162725302E-2</v>
      </c>
      <c r="KC4" s="3">
        <f ca="1">IFERROR(__xludf.DUMMYFUNCTION("""COMPUTED_VALUE"""),0.144644463361507)</f>
        <v>0.14464446336150699</v>
      </c>
      <c r="KD4" s="3">
        <f ca="1">IFERROR(__xludf.DUMMYFUNCTION("""COMPUTED_VALUE"""),0.00802425813401863)</f>
        <v>8.0242581340186307E-3</v>
      </c>
      <c r="KE4" s="3">
        <f ca="1">IFERROR(__xludf.DUMMYFUNCTION("""COMPUTED_VALUE"""),0.0752506273199442)</f>
        <v>7.5250627319944197E-2</v>
      </c>
      <c r="KF4" s="3">
        <f ca="1">IFERROR(__xludf.DUMMYFUNCTION("""COMPUTED_VALUE"""),0.0377222467239501)</f>
        <v>3.7722246723950102E-2</v>
      </c>
      <c r="KG4" s="3">
        <f ca="1">IFERROR(__xludf.DUMMYFUNCTION("""COMPUTED_VALUE"""),0.00602279052673027)</f>
        <v>6.0227905267302697E-3</v>
      </c>
      <c r="KH4" s="3">
        <f ca="1">IFERROR(__xludf.DUMMYFUNCTION("""COMPUTED_VALUE"""),0.0748584013894089)</f>
        <v>7.4858401389408899E-2</v>
      </c>
      <c r="KI4" s="3">
        <f ca="1">IFERROR(__xludf.DUMMYFUNCTION("""COMPUTED_VALUE"""),0.0822103086690744)</f>
        <v>8.2210308669074403E-2</v>
      </c>
      <c r="KJ4" s="3">
        <f ca="1">IFERROR(__xludf.DUMMYFUNCTION("""COMPUTED_VALUE"""),0.00663323731490228)</f>
        <v>6.6332373149022798E-3</v>
      </c>
      <c r="KK4" s="3">
        <f ca="1">IFERROR(__xludf.DUMMYFUNCTION("""COMPUTED_VALUE"""),0.00725356529508913)</f>
        <v>7.2535652950891302E-3</v>
      </c>
      <c r="KL4" s="3">
        <f ca="1">IFERROR(__xludf.DUMMYFUNCTION("""COMPUTED_VALUE"""),-0.101151508580101)</f>
        <v>-0.101151508580101</v>
      </c>
      <c r="KM4" s="3">
        <f ca="1">IFERROR(__xludf.DUMMYFUNCTION("""COMPUTED_VALUE"""),-0.0595240690009417)</f>
        <v>-5.9524069000941697E-2</v>
      </c>
      <c r="KN4" s="3">
        <f ca="1">IFERROR(__xludf.DUMMYFUNCTION("""COMPUTED_VALUE"""),-0.0651737217138829)</f>
        <v>-6.5173721713882901E-2</v>
      </c>
      <c r="KO4" s="3">
        <f ca="1">IFERROR(__xludf.DUMMYFUNCTION("""COMPUTED_VALUE"""),-0.0306796010829336)</f>
        <v>-3.0679601082933598E-2</v>
      </c>
      <c r="KP4" s="3">
        <f ca="1">IFERROR(__xludf.DUMMYFUNCTION("""COMPUTED_VALUE"""),0.0217915104528623)</f>
        <v>2.17915104528623E-2</v>
      </c>
      <c r="KQ4" s="3">
        <f ca="1">IFERROR(__xludf.DUMMYFUNCTION("""COMPUTED_VALUE"""),0.13346090860316)</f>
        <v>0.13346090860316001</v>
      </c>
      <c r="KR4" s="3">
        <f ca="1">IFERROR(__xludf.DUMMYFUNCTION("""COMPUTED_VALUE"""),0.0194926564380553)</f>
        <v>1.9492656438055301E-2</v>
      </c>
      <c r="KS4" s="3">
        <f ca="1">IFERROR(__xludf.DUMMYFUNCTION("""COMPUTED_VALUE"""),-0.118746945653496)</f>
        <v>-0.118746945653496</v>
      </c>
      <c r="KT4" s="3">
        <f ca="1">IFERROR(__xludf.DUMMYFUNCTION("""COMPUTED_VALUE"""),-0.0704505851340582)</f>
        <v>-7.0450585134058205E-2</v>
      </c>
      <c r="KU4" s="3">
        <f ca="1">IFERROR(__xludf.DUMMYFUNCTION("""COMPUTED_VALUE"""),-0.118691478227783)</f>
        <v>-0.118691478227783</v>
      </c>
      <c r="KV4" s="3">
        <f ca="1">IFERROR(__xludf.DUMMYFUNCTION("""COMPUTED_VALUE"""),-0.0700721348391696)</f>
        <v>-7.0072134839169603E-2</v>
      </c>
      <c r="KW4" s="3">
        <f ca="1">IFERROR(__xludf.DUMMYFUNCTION("""COMPUTED_VALUE"""),0.051331290481809)</f>
        <v>5.1331290481808997E-2</v>
      </c>
      <c r="KX4" s="3">
        <f ca="1">IFERROR(__xludf.DUMMYFUNCTION("""COMPUTED_VALUE"""),-0.194893289558328)</f>
        <v>-0.19489328955832799</v>
      </c>
      <c r="KY4" s="3">
        <f ca="1">IFERROR(__xludf.DUMMYFUNCTION("""COMPUTED_VALUE"""),-0.140394857674874)</f>
        <v>-0.140394857674874</v>
      </c>
      <c r="KZ4" s="3">
        <f ca="1">IFERROR(__xludf.DUMMYFUNCTION("""COMPUTED_VALUE"""),-0.201228851996039)</f>
        <v>-0.20122885199603899</v>
      </c>
      <c r="LA4" s="3">
        <f ca="1">IFERROR(__xludf.DUMMYFUNCTION("""COMPUTED_VALUE"""),-0.201088951009702)</f>
        <v>-0.201088951009702</v>
      </c>
      <c r="LB4" s="3">
        <f ca="1">IFERROR(__xludf.DUMMYFUNCTION("""COMPUTED_VALUE"""),-0.215735331008683)</f>
        <v>-0.215735331008683</v>
      </c>
      <c r="LC4" s="3">
        <f ca="1">IFERROR(__xludf.DUMMYFUNCTION("""COMPUTED_VALUE"""),-0.299930982837021)</f>
        <v>-0.29993098283702102</v>
      </c>
      <c r="LD4" s="3">
        <f ca="1">IFERROR(__xludf.DUMMYFUNCTION("""COMPUTED_VALUE"""),-0.588262212980353)</f>
        <v>-0.58826221298035297</v>
      </c>
      <c r="LE4" s="3">
        <f ca="1">IFERROR(__xludf.DUMMYFUNCTION("""COMPUTED_VALUE"""),-0.228998616252275)</f>
        <v>-0.22899861625227499</v>
      </c>
      <c r="LF4" s="3">
        <f ca="1">IFERROR(__xludf.DUMMYFUNCTION("""COMPUTED_VALUE"""),-0.305500288128157)</f>
        <v>-0.30550028812815699</v>
      </c>
      <c r="LG4" s="3">
        <f ca="1">IFERROR(__xludf.DUMMYFUNCTION("""COMPUTED_VALUE"""),-0.306983692714176)</f>
        <v>-0.30698369271417603</v>
      </c>
      <c r="LH4" s="3">
        <f ca="1">IFERROR(__xludf.DUMMYFUNCTION("""COMPUTED_VALUE"""),-0.404137465083766)</f>
        <v>-0.40413746508376602</v>
      </c>
      <c r="LI4" s="3">
        <f ca="1">IFERROR(__xludf.DUMMYFUNCTION("""COMPUTED_VALUE"""),-0.389653667849698)</f>
        <v>-0.38965366784969802</v>
      </c>
      <c r="LJ4" s="3">
        <f ca="1">IFERROR(__xludf.DUMMYFUNCTION("""COMPUTED_VALUE"""),-0.292900449991299)</f>
        <v>-0.29290044999129899</v>
      </c>
      <c r="LK4" s="3">
        <f ca="1">IFERROR(__xludf.DUMMYFUNCTION("""COMPUTED_VALUE"""),-0.269872836247856)</f>
        <v>-0.26987283624785602</v>
      </c>
      <c r="LL4" s="3">
        <f ca="1">IFERROR(__xludf.DUMMYFUNCTION("""COMPUTED_VALUE"""),-0.37204331138251)</f>
        <v>-0.37204331138251001</v>
      </c>
      <c r="LM4" s="3">
        <f ca="1">IFERROR(__xludf.DUMMYFUNCTION("""COMPUTED_VALUE"""),-0.395240308648745)</f>
        <v>-0.39524030864874499</v>
      </c>
      <c r="LN4" s="3">
        <f ca="1">IFERROR(__xludf.DUMMYFUNCTION("""COMPUTED_VALUE"""),-0.437954309067357)</f>
        <v>-0.43795430906735699</v>
      </c>
      <c r="LO4" s="3">
        <f ca="1">IFERROR(__xludf.DUMMYFUNCTION("""COMPUTED_VALUE"""),-0.438292873340063)</f>
        <v>-0.43829287334006301</v>
      </c>
      <c r="LP4" s="3">
        <f ca="1">IFERROR(__xludf.DUMMYFUNCTION("""COMPUTED_VALUE"""),-0.422158525923)</f>
        <v>-0.42215852592300002</v>
      </c>
      <c r="LQ4" s="3">
        <f ca="1">IFERROR(__xludf.DUMMYFUNCTION("""COMPUTED_VALUE"""),-0.360081607267208)</f>
        <v>-0.360081607267208</v>
      </c>
      <c r="LR4" s="3">
        <f ca="1">IFERROR(__xludf.DUMMYFUNCTION("""COMPUTED_VALUE"""),-0.359904270668715)</f>
        <v>-0.359904270668715</v>
      </c>
      <c r="LS4" s="3">
        <f ca="1">IFERROR(__xludf.DUMMYFUNCTION("""COMPUTED_VALUE"""),-0.519254042432096)</f>
        <v>-0.51925404243209605</v>
      </c>
      <c r="LT4" s="3">
        <f ca="1">IFERROR(__xludf.DUMMYFUNCTION("""COMPUTED_VALUE"""),-0.60829605572952)</f>
        <v>-0.60829605572951995</v>
      </c>
      <c r="LU4" s="3">
        <f ca="1">IFERROR(__xludf.DUMMYFUNCTION("""COMPUTED_VALUE"""),-0.705206599908375)</f>
        <v>-0.70520659990837498</v>
      </c>
      <c r="LV4" s="3">
        <f ca="1">IFERROR(__xludf.DUMMYFUNCTION("""COMPUTED_VALUE"""),-0.763281782796935)</f>
        <v>-0.76328178279693504</v>
      </c>
      <c r="LW4" s="3">
        <f ca="1">IFERROR(__xludf.DUMMYFUNCTION("""COMPUTED_VALUE"""),-0.846013715101876)</f>
        <v>-0.84601371510187595</v>
      </c>
      <c r="LX4" s="3">
        <f ca="1">IFERROR(__xludf.DUMMYFUNCTION("""COMPUTED_VALUE"""),-0.875867607712334)</f>
        <v>-0.87586760771233396</v>
      </c>
      <c r="LY4" s="3">
        <f ca="1">IFERROR(__xludf.DUMMYFUNCTION("""COMPUTED_VALUE"""),-0.881283892261016)</f>
        <v>-0.881283892261016</v>
      </c>
      <c r="LZ4" s="3">
        <f ca="1">IFERROR(__xludf.DUMMYFUNCTION("""COMPUTED_VALUE"""),-0.831883168394994)</f>
        <v>-0.83188316839499399</v>
      </c>
      <c r="MA4" s="3">
        <f ca="1">IFERROR(__xludf.DUMMYFUNCTION("""COMPUTED_VALUE"""),-0.885064169647809)</f>
        <v>-0.88506416964780898</v>
      </c>
      <c r="MB4" s="3">
        <f ca="1">IFERROR(__xludf.DUMMYFUNCTION("""COMPUTED_VALUE"""),-0.885523143079669)</f>
        <v>-0.88552314307966895</v>
      </c>
      <c r="MC4" s="3">
        <f ca="1">IFERROR(__xludf.DUMMYFUNCTION("""COMPUTED_VALUE"""),-0.885242763418348)</f>
        <v>-0.88524276341834796</v>
      </c>
      <c r="MD4" s="3">
        <f ca="1">IFERROR(__xludf.DUMMYFUNCTION("""COMPUTED_VALUE"""),-0.889155143254316)</f>
        <v>-0.88915514325431599</v>
      </c>
      <c r="ME4" s="3">
        <f ca="1">IFERROR(__xludf.DUMMYFUNCTION("""COMPUTED_VALUE"""),-0.899082147391171)</f>
        <v>-0.89908214739117098</v>
      </c>
      <c r="MF4" s="3">
        <f ca="1">IFERROR(__xludf.DUMMYFUNCTION("""COMPUTED_VALUE"""),-0.882251914215411)</f>
        <v>-0.88225191421541105</v>
      </c>
      <c r="MG4" s="3">
        <f ca="1">IFERROR(__xludf.DUMMYFUNCTION("""COMPUTED_VALUE"""),-0.829713905722343)</f>
        <v>-0.82971390572234305</v>
      </c>
      <c r="MH4" s="3">
        <f ca="1">IFERROR(__xludf.DUMMYFUNCTION("""COMPUTED_VALUE"""),-0.863030576151933)</f>
        <v>-0.86303057615193302</v>
      </c>
      <c r="MI4" s="3">
        <f ca="1">IFERROR(__xludf.DUMMYFUNCTION("""COMPUTED_VALUE"""),-0.849776990407294)</f>
        <v>-0.84977699040729404</v>
      </c>
      <c r="MJ4" s="3">
        <f ca="1">IFERROR(__xludf.DUMMYFUNCTION("""COMPUTED_VALUE"""),-0.889525961688765)</f>
        <v>-0.88952596168876497</v>
      </c>
      <c r="MK4" s="3">
        <f ca="1">IFERROR(__xludf.DUMMYFUNCTION("""COMPUTED_VALUE"""),-0.899601950276748)</f>
        <v>-0.89960195027674805</v>
      </c>
      <c r="ML4" s="3">
        <f ca="1">IFERROR(__xludf.DUMMYFUNCTION("""COMPUTED_VALUE"""),-0.894485235466415)</f>
        <v>-0.89448523546641501</v>
      </c>
      <c r="MM4" s="3">
        <f ca="1">IFERROR(__xludf.DUMMYFUNCTION("""COMPUTED_VALUE"""),-0.922826860291786)</f>
        <v>-0.92282686029178596</v>
      </c>
      <c r="MN4" s="3">
        <f ca="1">IFERROR(__xludf.DUMMYFUNCTION("""COMPUTED_VALUE"""),-0.880938133775854)</f>
        <v>-0.88093813377585395</v>
      </c>
      <c r="MO4" s="3">
        <f ca="1">IFERROR(__xludf.DUMMYFUNCTION("""COMPUTED_VALUE"""),-0.925327182745299)</f>
        <v>-0.92532718274529902</v>
      </c>
      <c r="MP4" s="3">
        <f ca="1">IFERROR(__xludf.DUMMYFUNCTION("""COMPUTED_VALUE"""),-0.896239795511995)</f>
        <v>-0.89623979551199495</v>
      </c>
      <c r="MQ4" s="3">
        <f ca="1">IFERROR(__xludf.DUMMYFUNCTION("""COMPUTED_VALUE"""),-0.919515240531406)</f>
        <v>-0.91951524053140599</v>
      </c>
      <c r="MR4" s="3">
        <f ca="1">IFERROR(__xludf.DUMMYFUNCTION("""COMPUTED_VALUE"""),-0.932533408746743)</f>
        <v>-0.93253340874674295</v>
      </c>
      <c r="MS4" s="3">
        <f ca="1">IFERROR(__xludf.DUMMYFUNCTION("""COMPUTED_VALUE"""),-0.889118799868937)</f>
        <v>-0.88911879986893705</v>
      </c>
      <c r="MT4" s="3">
        <f ca="1">IFERROR(__xludf.DUMMYFUNCTION("""COMPUTED_VALUE"""),-0.926706284287416)</f>
        <v>-0.92670628428741597</v>
      </c>
      <c r="MU4" s="3">
        <f ca="1">IFERROR(__xludf.DUMMYFUNCTION("""COMPUTED_VALUE"""),-0.877484867274977)</f>
        <v>-0.87748486727497699</v>
      </c>
      <c r="MV4" s="3">
        <f ca="1">IFERROR(__xludf.DUMMYFUNCTION("""COMPUTED_VALUE"""),-0.920588631023643)</f>
        <v>-0.92058863102364297</v>
      </c>
      <c r="MW4" s="3">
        <f ca="1">IFERROR(__xludf.DUMMYFUNCTION("""COMPUTED_VALUE"""),-0.915791689752491)</f>
        <v>-0.91579168975249103</v>
      </c>
      <c r="MX4" s="3">
        <f ca="1">IFERROR(__xludf.DUMMYFUNCTION("""COMPUTED_VALUE"""),-0.939909525009484)</f>
        <v>-0.93990952500948399</v>
      </c>
      <c r="MY4" s="3">
        <f ca="1">IFERROR(__xludf.DUMMYFUNCTION("""COMPUTED_VALUE"""),-0.935924994885218)</f>
        <v>-0.93592499488521796</v>
      </c>
      <c r="MZ4" s="3">
        <f ca="1">IFERROR(__xludf.DUMMYFUNCTION("""COMPUTED_VALUE"""),-0.931108516068381)</f>
        <v>-0.93110851606838096</v>
      </c>
      <c r="NA4" s="3">
        <f ca="1">IFERROR(__xludf.DUMMYFUNCTION("""COMPUTED_VALUE"""),-0.940592496269802)</f>
        <v>-0.94059249626980201</v>
      </c>
      <c r="NB4" s="3">
        <f ca="1">IFERROR(__xludf.DUMMYFUNCTION("""COMPUTED_VALUE"""),-0.826514875896018)</f>
        <v>-0.82651487589601802</v>
      </c>
      <c r="NC4" s="3">
        <f ca="1">IFERROR(__xludf.DUMMYFUNCTION("""COMPUTED_VALUE"""),-0.931998261604953)</f>
        <v>-0.93199826160495303</v>
      </c>
      <c r="ND4" s="3">
        <f ca="1">IFERROR(__xludf.DUMMYFUNCTION("""COMPUTED_VALUE"""),-0.953705380515031)</f>
        <v>-0.95370538051503095</v>
      </c>
      <c r="NE4" s="3">
        <f ca="1">IFERROR(__xludf.DUMMYFUNCTION("""COMPUTED_VALUE"""),-0.948788673890543)</f>
        <v>-0.948788673890543</v>
      </c>
      <c r="NF4" s="3">
        <f ca="1">IFERROR(__xludf.DUMMYFUNCTION("""COMPUTED_VALUE"""),-0.944927646759739)</f>
        <v>-0.94492764675973895</v>
      </c>
      <c r="NG4" s="3">
        <f ca="1">IFERROR(__xludf.DUMMYFUNCTION("""COMPUTED_VALUE"""),-0.941703318648295)</f>
        <v>-0.94170331864829504</v>
      </c>
      <c r="NH4" s="3">
        <f ca="1">IFERROR(__xludf.DUMMYFUNCTION("""COMPUTED_VALUE"""),-0.957147651720193)</f>
        <v>-0.957147651720193</v>
      </c>
      <c r="NI4" s="3">
        <f ca="1">IFERROR(__xludf.DUMMYFUNCTION("""COMPUTED_VALUE"""),-0.869425207837633)</f>
        <v>-0.869425207837633</v>
      </c>
      <c r="NJ4" s="3">
        <f ca="1">IFERROR(__xludf.DUMMYFUNCTION("""COMPUTED_VALUE"""),-0.871800989018374)</f>
        <v>-0.871800989018374</v>
      </c>
      <c r="NK4" s="3">
        <f ca="1">IFERROR(__xludf.DUMMYFUNCTION("""COMPUTED_VALUE"""),-0.950616261087394)</f>
        <v>-0.95061626108739405</v>
      </c>
      <c r="NL4" s="3">
        <f ca="1">IFERROR(__xludf.DUMMYFUNCTION("""COMPUTED_VALUE"""),-0.948057505904749)</f>
        <v>-0.94805750590474902</v>
      </c>
      <c r="NM4" s="3">
        <f ca="1">IFERROR(__xludf.DUMMYFUNCTION("""COMPUTED_VALUE"""),-0.948816132325866)</f>
        <v>-0.94881613232586604</v>
      </c>
      <c r="NN4" s="3">
        <f ca="1">IFERROR(__xludf.DUMMYFUNCTION("""COMPUTED_VALUE"""),-0.949956983776656)</f>
        <v>-0.94995698377665605</v>
      </c>
      <c r="NO4" s="3">
        <f ca="1">IFERROR(__xludf.DUMMYFUNCTION("""COMPUTED_VALUE"""),-0.941036127339682)</f>
        <v>-0.941036127339682</v>
      </c>
      <c r="NP4" s="3">
        <f ca="1">IFERROR(__xludf.DUMMYFUNCTION("""COMPUTED_VALUE"""),-0.91342184631328)</f>
        <v>-0.91342184631328005</v>
      </c>
      <c r="NQ4" s="3">
        <f ca="1">IFERROR(__xludf.DUMMYFUNCTION("""COMPUTED_VALUE"""),-0.918047203137749)</f>
        <v>-0.91804720313774901</v>
      </c>
      <c r="NR4" s="3">
        <f ca="1">IFERROR(__xludf.DUMMYFUNCTION("""COMPUTED_VALUE"""),-0.927846927221538)</f>
        <v>-0.92784692722153805</v>
      </c>
      <c r="NS4" s="3">
        <f ca="1">IFERROR(__xludf.DUMMYFUNCTION("""COMPUTED_VALUE"""),-0.913577782050863)</f>
        <v>-0.91357778205086304</v>
      </c>
      <c r="NT4" s="3">
        <f ca="1">IFERROR(__xludf.DUMMYFUNCTION("""COMPUTED_VALUE"""),-0.840134229576104)</f>
        <v>-0.84013422957610395</v>
      </c>
      <c r="NU4" s="3">
        <f ca="1">IFERROR(__xludf.DUMMYFUNCTION("""COMPUTED_VALUE"""),-0.70413041152076)</f>
        <v>-0.70413041152075995</v>
      </c>
      <c r="NV4" s="3">
        <f ca="1">IFERROR(__xludf.DUMMYFUNCTION("""COMPUTED_VALUE"""),-0.381271990634723)</f>
        <v>-0.381271990634723</v>
      </c>
      <c r="NW4" s="3">
        <f ca="1">IFERROR(__xludf.DUMMYFUNCTION("""COMPUTED_VALUE"""),-0.385841114442473)</f>
        <v>-0.38584111444247299</v>
      </c>
      <c r="NX4" s="3">
        <f ca="1">IFERROR(__xludf.DUMMYFUNCTION("""COMPUTED_VALUE"""),-0.270739787551608)</f>
        <v>-0.27073978755160799</v>
      </c>
      <c r="NY4" s="3">
        <f ca="1">IFERROR(__xludf.DUMMYFUNCTION("""COMPUTED_VALUE"""),-0.254417351744183)</f>
        <v>-0.25441735174418301</v>
      </c>
      <c r="NZ4" s="3">
        <f ca="1">IFERROR(__xludf.DUMMYFUNCTION("""COMPUTED_VALUE"""),-0.118118246107954)</f>
        <v>-0.118118246107954</v>
      </c>
      <c r="OA4" s="3">
        <f ca="1">IFERROR(__xludf.DUMMYFUNCTION("""COMPUTED_VALUE"""),-0.0506425321474139)</f>
        <v>-5.0642532147413898E-2</v>
      </c>
      <c r="OB4" s="3">
        <f ca="1">IFERROR(__xludf.DUMMYFUNCTION("""COMPUTED_VALUE"""),-0.0142418182252285)</f>
        <v>-1.4241818225228501E-2</v>
      </c>
      <c r="OC4" s="3">
        <f ca="1">IFERROR(__xludf.DUMMYFUNCTION("""COMPUTED_VALUE"""),-0.0248092811825787)</f>
        <v>-2.4809281182578701E-2</v>
      </c>
      <c r="OD4" s="3">
        <f ca="1">IFERROR(__xludf.DUMMYFUNCTION("""COMPUTED_VALUE"""),0.0684539682788356)</f>
        <v>6.8453968278835597E-2</v>
      </c>
      <c r="OE4" s="3">
        <f ca="1">IFERROR(__xludf.DUMMYFUNCTION("""COMPUTED_VALUE"""),0.0205708313622665)</f>
        <v>2.0570831362266499E-2</v>
      </c>
      <c r="OF4" s="3">
        <f ca="1">IFERROR(__xludf.DUMMYFUNCTION("""COMPUTED_VALUE"""),0.0456173431466773)</f>
        <v>4.56173431466773E-2</v>
      </c>
      <c r="OG4" s="3">
        <f ca="1">IFERROR(__xludf.DUMMYFUNCTION("""COMPUTED_VALUE"""),0.0583067008219757)</f>
        <v>5.8306700821975699E-2</v>
      </c>
      <c r="OH4" s="3">
        <f ca="1">IFERROR(__xludf.DUMMYFUNCTION("""COMPUTED_VALUE"""),0.0674348504059436)</f>
        <v>6.7434850405943603E-2</v>
      </c>
      <c r="OI4" s="3">
        <f ca="1">IFERROR(__xludf.DUMMYFUNCTION("""COMPUTED_VALUE"""),0.0753400438253486)</f>
        <v>7.5340043825348604E-2</v>
      </c>
      <c r="OJ4" s="3">
        <f ca="1">IFERROR(__xludf.DUMMYFUNCTION("""COMPUTED_VALUE"""),0.00309846052196527)</f>
        <v>3.09846052196527E-3</v>
      </c>
      <c r="OK4" s="3">
        <f ca="1">IFERROR(__xludf.DUMMYFUNCTION("""COMPUTED_VALUE"""),0.12280215194444)</f>
        <v>0.12280215194444</v>
      </c>
      <c r="OL4" s="3">
        <f ca="1">IFERROR(__xludf.DUMMYFUNCTION("""COMPUTED_VALUE"""),0.0914995680968311)</f>
        <v>9.1499568096831102E-2</v>
      </c>
      <c r="OM4" s="3">
        <f ca="1">IFERROR(__xludf.DUMMYFUNCTION("""COMPUTED_VALUE"""),0.0321982024380831)</f>
        <v>3.21982024380831E-2</v>
      </c>
      <c r="ON4" s="3">
        <f ca="1">IFERROR(__xludf.DUMMYFUNCTION("""COMPUTED_VALUE"""),0.0683182006153717)</f>
        <v>6.8318200615371694E-2</v>
      </c>
      <c r="OO4" s="3">
        <f ca="1">IFERROR(__xludf.DUMMYFUNCTION("""COMPUTED_VALUE"""),0.0696529719590242)</f>
        <v>6.9652971959024201E-2</v>
      </c>
      <c r="OP4" s="3">
        <f ca="1">IFERROR(__xludf.DUMMYFUNCTION("""COMPUTED_VALUE"""),0.106252542656324)</f>
        <v>0.106252542656324</v>
      </c>
      <c r="OQ4" s="3">
        <f ca="1">IFERROR(__xludf.DUMMYFUNCTION("""COMPUTED_VALUE"""),0.0140719485355775)</f>
        <v>1.40719485355775E-2</v>
      </c>
      <c r="OR4" s="3">
        <f ca="1">IFERROR(__xludf.DUMMYFUNCTION("""COMPUTED_VALUE"""),0.198334200141373)</f>
        <v>0.19833420014137301</v>
      </c>
      <c r="OS4" s="3">
        <f ca="1">IFERROR(__xludf.DUMMYFUNCTION("""COMPUTED_VALUE"""),0.0111316566827341)</f>
        <v>1.11316566827341E-2</v>
      </c>
      <c r="OT4" s="3">
        <f ca="1">IFERROR(__xludf.DUMMYFUNCTION("""COMPUTED_VALUE"""),-0.0373948772562001)</f>
        <v>-3.7394877256200103E-2</v>
      </c>
      <c r="OU4" s="3">
        <f ca="1">IFERROR(__xludf.DUMMYFUNCTION("""COMPUTED_VALUE"""),0.0311024348469743)</f>
        <v>3.1102434846974301E-2</v>
      </c>
      <c r="OV4" s="3">
        <f ca="1">IFERROR(__xludf.DUMMYFUNCTION("""COMPUTED_VALUE"""),0.0585424444182489)</f>
        <v>5.85424444182489E-2</v>
      </c>
      <c r="OW4" s="3">
        <f ca="1">IFERROR(__xludf.DUMMYFUNCTION("""COMPUTED_VALUE"""),0.0497744494059444)</f>
        <v>4.9774449405944401E-2</v>
      </c>
      <c r="OX4" s="3">
        <f ca="1">IFERROR(__xludf.DUMMYFUNCTION("""COMPUTED_VALUE"""),0.0176498663749065)</f>
        <v>1.7649866374906498E-2</v>
      </c>
      <c r="OY4" s="3">
        <f ca="1">IFERROR(__xludf.DUMMYFUNCTION("""COMPUTED_VALUE"""),0.181638250674188)</f>
        <v>0.18163825067418801</v>
      </c>
      <c r="OZ4" s="3">
        <f ca="1">IFERROR(__xludf.DUMMYFUNCTION("""COMPUTED_VALUE"""),-0.0338781954785352)</f>
        <v>-3.3878195478535197E-2</v>
      </c>
      <c r="PA4" s="3">
        <f ca="1">IFERROR(__xludf.DUMMYFUNCTION("""COMPUTED_VALUE"""),0.0475806494924107)</f>
        <v>4.7580649492410698E-2</v>
      </c>
      <c r="PB4" s="3">
        <f ca="1">IFERROR(__xludf.DUMMYFUNCTION("""COMPUTED_VALUE"""),0.00576507980115859)</f>
        <v>5.7650798011585902E-3</v>
      </c>
      <c r="PC4" s="3">
        <f ca="1">IFERROR(__xludf.DUMMYFUNCTION("""COMPUTED_VALUE"""),0.0500361641223108)</f>
        <v>5.0036164122310801E-2</v>
      </c>
      <c r="PD4" s="3">
        <f ca="1">IFERROR(__xludf.DUMMYFUNCTION("""COMPUTED_VALUE"""),0.0899494834632619)</f>
        <v>8.9949483463261898E-2</v>
      </c>
      <c r="PE4" s="3">
        <f ca="1">IFERROR(__xludf.DUMMYFUNCTION("""COMPUTED_VALUE"""),0.0411719895388049)</f>
        <v>4.1171989538804903E-2</v>
      </c>
      <c r="PF4" s="3">
        <f ca="1">IFERROR(__xludf.DUMMYFUNCTION("""COMPUTED_VALUE"""),0.0767126564348903)</f>
        <v>7.6712656434890295E-2</v>
      </c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</row>
    <row r="5" spans="1:476" ht="15.75" customHeight="1">
      <c r="A5" s="1" t="str">
        <f ca="1">IFERROR(__xludf.DUMMYFUNCTION("""COMPUTED_VALUE"""),"France")</f>
        <v>France</v>
      </c>
      <c r="B5" s="3">
        <f ca="1">IFERROR(__xludf.DUMMYFUNCTION("""COMPUTED_VALUE"""),-0.336871525695523)</f>
        <v>-0.33687152569552298</v>
      </c>
      <c r="C5" s="3">
        <f ca="1">IFERROR(__xludf.DUMMYFUNCTION("""COMPUTED_VALUE"""),-0.310366770802752)</f>
        <v>-0.31036677080275199</v>
      </c>
      <c r="D5" s="3">
        <f ca="1">IFERROR(__xludf.DUMMYFUNCTION("""COMPUTED_VALUE"""),-0.280533937643422)</f>
        <v>-0.28053393764342199</v>
      </c>
      <c r="E5" s="3">
        <f ca="1">IFERROR(__xludf.DUMMYFUNCTION("""COMPUTED_VALUE"""),-0.279034494131665)</f>
        <v>-0.27903449413166498</v>
      </c>
      <c r="F5" s="3">
        <f ca="1">IFERROR(__xludf.DUMMYFUNCTION("""COMPUTED_VALUE"""),-0.281226330027775)</f>
        <v>-0.28122633002777497</v>
      </c>
      <c r="G5" s="3">
        <f ca="1">IFERROR(__xludf.DUMMYFUNCTION("""COMPUTED_VALUE"""),-0.359740807327648)</f>
        <v>-0.35974080732764802</v>
      </c>
      <c r="H5" s="3">
        <f ca="1">IFERROR(__xludf.DUMMYFUNCTION("""COMPUTED_VALUE"""),-0.196473206338395)</f>
        <v>-0.19647320633839499</v>
      </c>
      <c r="I5" s="3">
        <f ca="1">IFERROR(__xludf.DUMMYFUNCTION("""COMPUTED_VALUE"""),-0.273222137775546)</f>
        <v>-0.27322213777554599</v>
      </c>
      <c r="J5" s="3">
        <f ca="1">IFERROR(__xludf.DUMMYFUNCTION("""COMPUTED_VALUE"""),-0.147469664482012)</f>
        <v>-0.14746966448201199</v>
      </c>
      <c r="K5" s="3">
        <f ca="1">IFERROR(__xludf.DUMMYFUNCTION("""COMPUTED_VALUE"""),-0.130145366303256)</f>
        <v>-0.13014536630325599</v>
      </c>
      <c r="L5" s="3">
        <f ca="1">IFERROR(__xludf.DUMMYFUNCTION("""COMPUTED_VALUE"""),-0.107260895819967)</f>
        <v>-0.10726089581996701</v>
      </c>
      <c r="M5" s="3">
        <f ca="1">IFERROR(__xludf.DUMMYFUNCTION("""COMPUTED_VALUE"""),-0.0734879393097641)</f>
        <v>-7.3487939309764105E-2</v>
      </c>
      <c r="N5" s="3">
        <f ca="1">IFERROR(__xludf.DUMMYFUNCTION("""COMPUTED_VALUE"""),-0.106032701328358)</f>
        <v>-0.106032701328358</v>
      </c>
      <c r="O5" s="3">
        <f ca="1">IFERROR(__xludf.DUMMYFUNCTION("""COMPUTED_VALUE"""),-0.271999718515797)</f>
        <v>-0.27199971851579702</v>
      </c>
      <c r="P5" s="3">
        <f ca="1">IFERROR(__xludf.DUMMYFUNCTION("""COMPUTED_VALUE"""),-0.312032882193915)</f>
        <v>-0.31203288219391501</v>
      </c>
      <c r="Q5" s="3">
        <f ca="1">IFERROR(__xludf.DUMMYFUNCTION("""COMPUTED_VALUE"""),-0.232407634645232)</f>
        <v>-0.23240763464523201</v>
      </c>
      <c r="R5" s="3">
        <f ca="1">IFERROR(__xludf.DUMMYFUNCTION("""COMPUTED_VALUE"""),-0.210680499929491)</f>
        <v>-0.21068049992949101</v>
      </c>
      <c r="S5" s="3">
        <f ca="1">IFERROR(__xludf.DUMMYFUNCTION("""COMPUTED_VALUE"""),-0.2105875194946)</f>
        <v>-0.2105875194946</v>
      </c>
      <c r="T5" s="3">
        <f ca="1">IFERROR(__xludf.DUMMYFUNCTION("""COMPUTED_VALUE"""),-0.186603220400996)</f>
        <v>-0.186603220400996</v>
      </c>
      <c r="U5" s="3">
        <f ca="1">IFERROR(__xludf.DUMMYFUNCTION("""COMPUTED_VALUE"""),-0.199075028219699)</f>
        <v>-0.199075028219699</v>
      </c>
      <c r="V5" s="3">
        <f ca="1">IFERROR(__xludf.DUMMYFUNCTION("""COMPUTED_VALUE"""),-0.368227833340146)</f>
        <v>-0.36822783334014603</v>
      </c>
      <c r="W5" s="3">
        <f ca="1">IFERROR(__xludf.DUMMYFUNCTION("""COMPUTED_VALUE"""),-0.400261639336782)</f>
        <v>-0.40026163933678199</v>
      </c>
      <c r="X5" s="3">
        <f ca="1">IFERROR(__xludf.DUMMYFUNCTION("""COMPUTED_VALUE"""),-0.159234743879504)</f>
        <v>-0.15923474387950401</v>
      </c>
      <c r="Y5" s="3">
        <f ca="1">IFERROR(__xludf.DUMMYFUNCTION("""COMPUTED_VALUE"""),-0.187142436268329)</f>
        <v>-0.18714243626832899</v>
      </c>
      <c r="Z5" s="3">
        <f ca="1">IFERROR(__xludf.DUMMYFUNCTION("""COMPUTED_VALUE"""),-0.175760725532913)</f>
        <v>-0.175760725532913</v>
      </c>
      <c r="AA5" s="3">
        <f ca="1">IFERROR(__xludf.DUMMYFUNCTION("""COMPUTED_VALUE"""),-0.149821377083631)</f>
        <v>-0.149821377083631</v>
      </c>
      <c r="AB5" s="3">
        <f ca="1">IFERROR(__xludf.DUMMYFUNCTION("""COMPUTED_VALUE"""),-0.143181752957631)</f>
        <v>-0.143181752957631</v>
      </c>
      <c r="AC5" s="3">
        <f ca="1">IFERROR(__xludf.DUMMYFUNCTION("""COMPUTED_VALUE"""),-0.203028088014667)</f>
        <v>-0.20302808801466701</v>
      </c>
      <c r="AD5" s="3">
        <f ca="1">IFERROR(__xludf.DUMMYFUNCTION("""COMPUTED_VALUE"""),-0.22855090332225)</f>
        <v>-0.22855090332225</v>
      </c>
      <c r="AE5" s="3">
        <f ca="1">IFERROR(__xludf.DUMMYFUNCTION("""COMPUTED_VALUE"""),-0.195584747180589)</f>
        <v>-0.19558474718058899</v>
      </c>
      <c r="AF5" s="3">
        <f ca="1">IFERROR(__xludf.DUMMYFUNCTION("""COMPUTED_VALUE"""),-0.17872065159601)</f>
        <v>-0.17872065159601</v>
      </c>
      <c r="AG5" s="3">
        <f ca="1">IFERROR(__xludf.DUMMYFUNCTION("""COMPUTED_VALUE"""),-0.147753591341532)</f>
        <v>-0.14775359134153199</v>
      </c>
      <c r="AH5" s="3">
        <f ca="1">IFERROR(__xludf.DUMMYFUNCTION("""COMPUTED_VALUE"""),-0.14603381579359)</f>
        <v>-0.14603381579359001</v>
      </c>
      <c r="AI5" s="3">
        <f ca="1">IFERROR(__xludf.DUMMYFUNCTION("""COMPUTED_VALUE"""),-0.12504963924965)</f>
        <v>-0.12504963924965001</v>
      </c>
      <c r="AJ5" s="3">
        <f ca="1">IFERROR(__xludf.DUMMYFUNCTION("""COMPUTED_VALUE"""),-0.186780928198696)</f>
        <v>-0.18678092819869599</v>
      </c>
      <c r="AK5" s="3">
        <f ca="1">IFERROR(__xludf.DUMMYFUNCTION("""COMPUTED_VALUE"""),-0.199955307297695)</f>
        <v>-0.19995530729769501</v>
      </c>
      <c r="AL5" s="3">
        <f ca="1">IFERROR(__xludf.DUMMYFUNCTION("""COMPUTED_VALUE"""),-0.147347426019145)</f>
        <v>-0.14734742601914499</v>
      </c>
      <c r="AM5" s="3">
        <f ca="1">IFERROR(__xludf.DUMMYFUNCTION("""COMPUTED_VALUE"""),-0.135262158500765)</f>
        <v>-0.13526215850076501</v>
      </c>
      <c r="AN5" s="3">
        <f ca="1">IFERROR(__xludf.DUMMYFUNCTION("""COMPUTED_VALUE"""),-0.12433035872812)</f>
        <v>-0.12433035872812</v>
      </c>
      <c r="AO5" s="3">
        <f ca="1">IFERROR(__xludf.DUMMYFUNCTION("""COMPUTED_VALUE"""),-0.0803212144542915)</f>
        <v>-8.0321214454291495E-2</v>
      </c>
      <c r="AP5" s="3">
        <f ca="1">IFERROR(__xludf.DUMMYFUNCTION("""COMPUTED_VALUE"""),-0.0531584799106519)</f>
        <v>-5.3158479910651903E-2</v>
      </c>
      <c r="AQ5" s="3">
        <f ca="1">IFERROR(__xludf.DUMMYFUNCTION("""COMPUTED_VALUE"""),-0.0890790038668276)</f>
        <v>-8.90790038668276E-2</v>
      </c>
      <c r="AR5" s="3">
        <f ca="1">IFERROR(__xludf.DUMMYFUNCTION("""COMPUTED_VALUE"""),-0.111717584242688)</f>
        <v>-0.111717584242688</v>
      </c>
      <c r="AS5" s="3">
        <f ca="1">IFERROR(__xludf.DUMMYFUNCTION("""COMPUTED_VALUE"""),-0.169932305443425)</f>
        <v>-0.169932305443425</v>
      </c>
      <c r="AT5" s="3">
        <f ca="1">IFERROR(__xludf.DUMMYFUNCTION("""COMPUTED_VALUE"""),-0.135116943569969)</f>
        <v>-0.13511694356996901</v>
      </c>
      <c r="AU5" s="3">
        <f ca="1">IFERROR(__xludf.DUMMYFUNCTION("""COMPUTED_VALUE"""),-0.112391630516507)</f>
        <v>-0.112391630516507</v>
      </c>
      <c r="AV5" s="3">
        <f ca="1">IFERROR(__xludf.DUMMYFUNCTION("""COMPUTED_VALUE"""),-0.152391278268297)</f>
        <v>-0.15239127826829699</v>
      </c>
      <c r="AW5" s="3">
        <f ca="1">IFERROR(__xludf.DUMMYFUNCTION("""COMPUTED_VALUE"""),-0.150799620304304)</f>
        <v>-0.15079962030430399</v>
      </c>
      <c r="AX5" s="3">
        <f ca="1">IFERROR(__xludf.DUMMYFUNCTION("""COMPUTED_VALUE"""),-0.104758484008915)</f>
        <v>-0.10475848400891501</v>
      </c>
      <c r="AY5" s="3">
        <f ca="1">IFERROR(__xludf.DUMMYFUNCTION("""COMPUTED_VALUE"""),-0.122618497025436)</f>
        <v>-0.12261849702543599</v>
      </c>
      <c r="AZ5" s="3">
        <f ca="1">IFERROR(__xludf.DUMMYFUNCTION("""COMPUTED_VALUE"""),-0.204206796126908)</f>
        <v>-0.20420679612690801</v>
      </c>
      <c r="BA5" s="3">
        <f ca="1">IFERROR(__xludf.DUMMYFUNCTION("""COMPUTED_VALUE"""),-0.202780421883157)</f>
        <v>-0.20278042188315701</v>
      </c>
      <c r="BB5" s="3">
        <f ca="1">IFERROR(__xludf.DUMMYFUNCTION("""COMPUTED_VALUE"""),-0.189249531682057)</f>
        <v>-0.18924953168205699</v>
      </c>
      <c r="BC5" s="3">
        <f ca="1">IFERROR(__xludf.DUMMYFUNCTION("""COMPUTED_VALUE"""),-0.128990332131602)</f>
        <v>-0.12899033213160199</v>
      </c>
      <c r="BD5" s="3">
        <f ca="1">IFERROR(__xludf.DUMMYFUNCTION("""COMPUTED_VALUE"""),-0.130014025823007)</f>
        <v>-0.130014025823007</v>
      </c>
      <c r="BE5" s="3">
        <f ca="1">IFERROR(__xludf.DUMMYFUNCTION("""COMPUTED_VALUE"""),-0.150681333930672)</f>
        <v>-0.15068133393067201</v>
      </c>
      <c r="BF5" s="3">
        <f ca="1">IFERROR(__xludf.DUMMYFUNCTION("""COMPUTED_VALUE"""),-0.205986655640591)</f>
        <v>-0.20598665564059099</v>
      </c>
      <c r="BG5" s="3">
        <f ca="1">IFERROR(__xludf.DUMMYFUNCTION("""COMPUTED_VALUE"""),-0.195020803996044)</f>
        <v>-0.19502080399604399</v>
      </c>
      <c r="BH5" s="3">
        <f ca="1">IFERROR(__xludf.DUMMYFUNCTION("""COMPUTED_VALUE"""),-0.1905851758012)</f>
        <v>-0.19058517580119999</v>
      </c>
      <c r="BI5" s="3">
        <f ca="1">IFERROR(__xludf.DUMMYFUNCTION("""COMPUTED_VALUE"""),-0.180447415806673)</f>
        <v>-0.18044741580667301</v>
      </c>
      <c r="BJ5" s="3">
        <f ca="1">IFERROR(__xludf.DUMMYFUNCTION("""COMPUTED_VALUE"""),-0.152404850681809)</f>
        <v>-0.15240485068180901</v>
      </c>
      <c r="BK5" s="3">
        <f ca="1">IFERROR(__xludf.DUMMYFUNCTION("""COMPUTED_VALUE"""),-0.170432240390699)</f>
        <v>-0.17043224039069901</v>
      </c>
      <c r="BL5" s="3">
        <f ca="1">IFERROR(__xludf.DUMMYFUNCTION("""COMPUTED_VALUE"""),-0.206948379527534)</f>
        <v>-0.206948379527534</v>
      </c>
      <c r="BM5" s="3">
        <f ca="1">IFERROR(__xludf.DUMMYFUNCTION("""COMPUTED_VALUE"""),-0.176162156759161)</f>
        <v>-0.176162156759161</v>
      </c>
      <c r="BN5" s="3">
        <f ca="1">IFERROR(__xludf.DUMMYFUNCTION("""COMPUTED_VALUE"""),-0.135981776481539)</f>
        <v>-0.135981776481539</v>
      </c>
      <c r="BO5" s="3">
        <f ca="1">IFERROR(__xludf.DUMMYFUNCTION("""COMPUTED_VALUE"""),-0.216510532977956)</f>
        <v>-0.216510532977956</v>
      </c>
      <c r="BP5" s="3">
        <f ca="1">IFERROR(__xludf.DUMMYFUNCTION("""COMPUTED_VALUE"""),-0.246565328301011)</f>
        <v>-0.24656532830101099</v>
      </c>
      <c r="BQ5" s="3">
        <f ca="1">IFERROR(__xludf.DUMMYFUNCTION("""COMPUTED_VALUE"""),-0.243693013206871)</f>
        <v>-0.24369301320687101</v>
      </c>
      <c r="BR5" s="3">
        <f ca="1">IFERROR(__xludf.DUMMYFUNCTION("""COMPUTED_VALUE"""),-0.26621347509407)</f>
        <v>-0.26621347509407001</v>
      </c>
      <c r="BS5" s="3">
        <f ca="1">IFERROR(__xludf.DUMMYFUNCTION("""COMPUTED_VALUE"""),-0.171355417471251)</f>
        <v>-0.17135541747125099</v>
      </c>
      <c r="BT5" s="3">
        <f ca="1">IFERROR(__xludf.DUMMYFUNCTION("""COMPUTED_VALUE"""),-0.19895087561259)</f>
        <v>-0.19895087561259001</v>
      </c>
      <c r="BU5" s="3">
        <f ca="1">IFERROR(__xludf.DUMMYFUNCTION("""COMPUTED_VALUE"""),-0.314311694039416)</f>
        <v>-0.314311694039416</v>
      </c>
      <c r="BV5" s="3">
        <f ca="1">IFERROR(__xludf.DUMMYFUNCTION("""COMPUTED_VALUE"""),-0.26139527541269)</f>
        <v>-0.26139527541268998</v>
      </c>
      <c r="BW5" s="3">
        <f ca="1">IFERROR(__xludf.DUMMYFUNCTION("""COMPUTED_VALUE"""),-0.289404469627157)</f>
        <v>-0.28940446962715699</v>
      </c>
      <c r="BX5" s="3">
        <f ca="1">IFERROR(__xludf.DUMMYFUNCTION("""COMPUTED_VALUE"""),-0.271238558491964)</f>
        <v>-0.27123855849196399</v>
      </c>
      <c r="BY5" s="3">
        <f ca="1">IFERROR(__xludf.DUMMYFUNCTION("""COMPUTED_VALUE"""),-0.299317447119189)</f>
        <v>-0.29931744711918901</v>
      </c>
      <c r="BZ5" s="3">
        <f ca="1">IFERROR(__xludf.DUMMYFUNCTION("""COMPUTED_VALUE"""),-0.297387099707144)</f>
        <v>-0.297387099707144</v>
      </c>
      <c r="CA5" s="3">
        <f ca="1">IFERROR(__xludf.DUMMYFUNCTION("""COMPUTED_VALUE"""),-0.353730272992352)</f>
        <v>-0.35373027299235199</v>
      </c>
      <c r="CB5" s="3">
        <f ca="1">IFERROR(__xludf.DUMMYFUNCTION("""COMPUTED_VALUE"""),-0.36774558314108)</f>
        <v>-0.36774558314108002</v>
      </c>
      <c r="CC5" s="3">
        <f ca="1">IFERROR(__xludf.DUMMYFUNCTION("""COMPUTED_VALUE"""),-0.307608722942155)</f>
        <v>-0.30760872294215502</v>
      </c>
      <c r="CD5" s="3">
        <f ca="1">IFERROR(__xludf.DUMMYFUNCTION("""COMPUTED_VALUE"""),-0.351568980713984)</f>
        <v>-0.35156898071398401</v>
      </c>
      <c r="CE5" s="3">
        <f ca="1">IFERROR(__xludf.DUMMYFUNCTION("""COMPUTED_VALUE"""),-0.34582514497739)</f>
        <v>-0.34582514497738998</v>
      </c>
      <c r="CF5" s="3">
        <f ca="1">IFERROR(__xludf.DUMMYFUNCTION("""COMPUTED_VALUE"""),-0.359659308321878)</f>
        <v>-0.35965930832187798</v>
      </c>
      <c r="CG5" s="3">
        <f ca="1">IFERROR(__xludf.DUMMYFUNCTION("""COMPUTED_VALUE"""),-0.389517050611777)</f>
        <v>-0.38951705061177699</v>
      </c>
      <c r="CH5" s="3">
        <f ca="1">IFERROR(__xludf.DUMMYFUNCTION("""COMPUTED_VALUE"""),-0.425852480644097)</f>
        <v>-0.42585248064409698</v>
      </c>
      <c r="CI5" s="3">
        <f ca="1">IFERROR(__xludf.DUMMYFUNCTION("""COMPUTED_VALUE"""),-0.415930277169452)</f>
        <v>-0.41593027716945202</v>
      </c>
      <c r="CJ5" s="3">
        <f ca="1">IFERROR(__xludf.DUMMYFUNCTION("""COMPUTED_VALUE"""),-0.405841461521233)</f>
        <v>-0.40584146152123302</v>
      </c>
      <c r="CK5" s="3">
        <f ca="1">IFERROR(__xludf.DUMMYFUNCTION("""COMPUTED_VALUE"""),-0.415543567147333)</f>
        <v>-0.41554356714733298</v>
      </c>
      <c r="CL5" s="3">
        <f ca="1">IFERROR(__xludf.DUMMYFUNCTION("""COMPUTED_VALUE"""),-0.412199155886531)</f>
        <v>-0.412199155886531</v>
      </c>
      <c r="CM5" s="3">
        <f ca="1">IFERROR(__xludf.DUMMYFUNCTION("""COMPUTED_VALUE"""),-0.43112573404978)</f>
        <v>-0.43112573404978</v>
      </c>
      <c r="CN5" s="3">
        <f ca="1">IFERROR(__xludf.DUMMYFUNCTION("""COMPUTED_VALUE"""),-0.412549851890876)</f>
        <v>-0.41254985189087601</v>
      </c>
      <c r="CO5" s="3">
        <f ca="1">IFERROR(__xludf.DUMMYFUNCTION("""COMPUTED_VALUE"""),-0.431057207108705)</f>
        <v>-0.43105720710870499</v>
      </c>
      <c r="CP5" s="3">
        <f ca="1">IFERROR(__xludf.DUMMYFUNCTION("""COMPUTED_VALUE"""),-0.40901537048682)</f>
        <v>-0.40901537048682002</v>
      </c>
      <c r="CQ5" s="3">
        <f ca="1">IFERROR(__xludf.DUMMYFUNCTION("""COMPUTED_VALUE"""),-0.428232004272108)</f>
        <v>-0.428232004272108</v>
      </c>
      <c r="CR5" s="3">
        <f ca="1">IFERROR(__xludf.DUMMYFUNCTION("""COMPUTED_VALUE"""),-0.381496265680834)</f>
        <v>-0.381496265680834</v>
      </c>
      <c r="CS5" s="3">
        <f ca="1">IFERROR(__xludf.DUMMYFUNCTION("""COMPUTED_VALUE"""),-0.460098979256372)</f>
        <v>-0.460098979256372</v>
      </c>
      <c r="CT5" s="3">
        <f ca="1">IFERROR(__xludf.DUMMYFUNCTION("""COMPUTED_VALUE"""),-0.469878769137689)</f>
        <v>-0.469878769137689</v>
      </c>
      <c r="CU5" s="3">
        <f ca="1">IFERROR(__xludf.DUMMYFUNCTION("""COMPUTED_VALUE"""),-0.50724165887727)</f>
        <v>-0.50724165887727002</v>
      </c>
      <c r="CV5" s="3">
        <f ca="1">IFERROR(__xludf.DUMMYFUNCTION("""COMPUTED_VALUE"""),-0.550445780838948)</f>
        <v>-0.55044578083894802</v>
      </c>
      <c r="CW5" s="3">
        <f ca="1">IFERROR(__xludf.DUMMYFUNCTION("""COMPUTED_VALUE"""),-0.651671474586454)</f>
        <v>-0.65167147458645402</v>
      </c>
      <c r="CX5" s="3">
        <f ca="1">IFERROR(__xludf.DUMMYFUNCTION("""COMPUTED_VALUE"""),-0.453281386086772)</f>
        <v>-0.45328138608677199</v>
      </c>
      <c r="CY5" s="3">
        <f ca="1">IFERROR(__xludf.DUMMYFUNCTION("""COMPUTED_VALUE"""),-0.38129018804197)</f>
        <v>-0.38129018804197001</v>
      </c>
      <c r="CZ5" s="3">
        <f ca="1">IFERROR(__xludf.DUMMYFUNCTION("""COMPUTED_VALUE"""),-0.529363589424864)</f>
        <v>-0.52936358942486395</v>
      </c>
      <c r="DA5" s="3">
        <f ca="1">IFERROR(__xludf.DUMMYFUNCTION("""COMPUTED_VALUE"""),-0.562889718918968)</f>
        <v>-0.562889718918968</v>
      </c>
      <c r="DB5" s="3">
        <f ca="1">IFERROR(__xludf.DUMMYFUNCTION("""COMPUTED_VALUE"""),-0.540464720244414)</f>
        <v>-0.54046472024441405</v>
      </c>
      <c r="DC5" s="3">
        <f ca="1">IFERROR(__xludf.DUMMYFUNCTION("""COMPUTED_VALUE"""),-0.552413541069095)</f>
        <v>-0.55241354106909502</v>
      </c>
      <c r="DD5" s="3">
        <f ca="1">IFERROR(__xludf.DUMMYFUNCTION("""COMPUTED_VALUE"""),-0.680511834083659)</f>
        <v>-0.68051183408365901</v>
      </c>
      <c r="DE5" s="3">
        <f ca="1">IFERROR(__xludf.DUMMYFUNCTION("""COMPUTED_VALUE"""),-0.52794023753771)</f>
        <v>-0.52794023753771002</v>
      </c>
      <c r="DF5" s="3">
        <f ca="1">IFERROR(__xludf.DUMMYFUNCTION("""COMPUTED_VALUE"""),-0.380152051190541)</f>
        <v>-0.38015205119054102</v>
      </c>
      <c r="DG5" s="3">
        <f ca="1">IFERROR(__xludf.DUMMYFUNCTION("""COMPUTED_VALUE"""),-0.514626681058033)</f>
        <v>-0.514626681058033</v>
      </c>
      <c r="DH5" s="3">
        <f ca="1">IFERROR(__xludf.DUMMYFUNCTION("""COMPUTED_VALUE"""),-0.557093686197341)</f>
        <v>-0.55709368619734101</v>
      </c>
      <c r="DI5" s="3">
        <f ca="1">IFERROR(__xludf.DUMMYFUNCTION("""COMPUTED_VALUE"""),-0.508048771306799)</f>
        <v>-0.50804877130679904</v>
      </c>
      <c r="DJ5" s="3">
        <f ca="1">IFERROR(__xludf.DUMMYFUNCTION("""COMPUTED_VALUE"""),-0.526952961895042)</f>
        <v>-0.52695296189504204</v>
      </c>
      <c r="DK5" s="3">
        <f ca="1">IFERROR(__xludf.DUMMYFUNCTION("""COMPUTED_VALUE"""),-0.50525165903758)</f>
        <v>-0.50525165903757996</v>
      </c>
      <c r="DL5" s="3">
        <f ca="1">IFERROR(__xludf.DUMMYFUNCTION("""COMPUTED_VALUE"""),-0.473108174006821)</f>
        <v>-0.47310817400682098</v>
      </c>
      <c r="DM5" s="3">
        <f ca="1">IFERROR(__xludf.DUMMYFUNCTION("""COMPUTED_VALUE"""),-0.477070967784697)</f>
        <v>-0.47707096778469699</v>
      </c>
      <c r="DN5" s="3">
        <f ca="1">IFERROR(__xludf.DUMMYFUNCTION("""COMPUTED_VALUE"""),-0.506529137495658)</f>
        <v>-0.50652913749565798</v>
      </c>
      <c r="DO5" s="3">
        <f ca="1">IFERROR(__xludf.DUMMYFUNCTION("""COMPUTED_VALUE"""),-0.57652085483363)</f>
        <v>-0.57652085483363003</v>
      </c>
      <c r="DP5" s="3">
        <f ca="1">IFERROR(__xludf.DUMMYFUNCTION("""COMPUTED_VALUE"""),-0.554112545630763)</f>
        <v>-0.55411254563076295</v>
      </c>
      <c r="DQ5" s="3">
        <f ca="1">IFERROR(__xludf.DUMMYFUNCTION("""COMPUTED_VALUE"""),-0.557222286602559)</f>
        <v>-0.55722228660255901</v>
      </c>
      <c r="DR5" s="3">
        <f ca="1">IFERROR(__xludf.DUMMYFUNCTION("""COMPUTED_VALUE"""),-0.559268619605634)</f>
        <v>-0.55926861960563401</v>
      </c>
      <c r="DS5" s="3">
        <f ca="1">IFERROR(__xludf.DUMMYFUNCTION("""COMPUTED_VALUE"""),-0.528687595704372)</f>
        <v>-0.52868759570437196</v>
      </c>
      <c r="DT5" s="3">
        <f ca="1">IFERROR(__xludf.DUMMYFUNCTION("""COMPUTED_VALUE"""),-0.56029891621334)</f>
        <v>-0.56029891621334005</v>
      </c>
      <c r="DU5" s="3">
        <f ca="1">IFERROR(__xludf.DUMMYFUNCTION("""COMPUTED_VALUE"""),-0.513752394814782)</f>
        <v>-0.51375239481478197</v>
      </c>
      <c r="DV5" s="3">
        <f ca="1">IFERROR(__xludf.DUMMYFUNCTION("""COMPUTED_VALUE"""),-0.569395910416048)</f>
        <v>-0.56939591041604798</v>
      </c>
      <c r="DW5" s="3">
        <f ca="1">IFERROR(__xludf.DUMMYFUNCTION("""COMPUTED_VALUE"""),-0.527875455274902)</f>
        <v>-0.52787545527490198</v>
      </c>
      <c r="DX5" s="3">
        <f ca="1">IFERROR(__xludf.DUMMYFUNCTION("""COMPUTED_VALUE"""),-0.521234873139772)</f>
        <v>-0.52123487313977201</v>
      </c>
      <c r="DY5" s="3">
        <f ca="1">IFERROR(__xludf.DUMMYFUNCTION("""COMPUTED_VALUE"""),-0.527544587180234)</f>
        <v>-0.527544587180234</v>
      </c>
      <c r="DZ5" s="3">
        <f ca="1">IFERROR(__xludf.DUMMYFUNCTION("""COMPUTED_VALUE"""),-0.490557867900837)</f>
        <v>-0.490557867900837</v>
      </c>
      <c r="EA5" s="3">
        <f ca="1">IFERROR(__xludf.DUMMYFUNCTION("""COMPUTED_VALUE"""),-0.518638485493086)</f>
        <v>-0.518638485493086</v>
      </c>
      <c r="EB5" s="3">
        <f ca="1">IFERROR(__xludf.DUMMYFUNCTION("""COMPUTED_VALUE"""),-0.448917516180884)</f>
        <v>-0.44891751618088399</v>
      </c>
      <c r="EC5" s="3">
        <f ca="1">IFERROR(__xludf.DUMMYFUNCTION("""COMPUTED_VALUE"""),-0.51460845545054)</f>
        <v>-0.51460845545054001</v>
      </c>
      <c r="ED5" s="3">
        <f ca="1">IFERROR(__xludf.DUMMYFUNCTION("""COMPUTED_VALUE"""),-0.508320011106535)</f>
        <v>-0.50832001110653502</v>
      </c>
      <c r="EE5" s="3">
        <f ca="1">IFERROR(__xludf.DUMMYFUNCTION("""COMPUTED_VALUE"""),-0.522110345195411)</f>
        <v>-0.522110345195411</v>
      </c>
      <c r="EF5" s="3">
        <f ca="1">IFERROR(__xludf.DUMMYFUNCTION("""COMPUTED_VALUE"""),-0.555454786770414)</f>
        <v>-0.55545478677041404</v>
      </c>
      <c r="EG5" s="3">
        <f ca="1">IFERROR(__xludf.DUMMYFUNCTION("""COMPUTED_VALUE"""),-0.48543190875982)</f>
        <v>-0.48543190875982001</v>
      </c>
      <c r="EH5" s="3">
        <f ca="1">IFERROR(__xludf.DUMMYFUNCTION("""COMPUTED_VALUE"""),-0.519893635078991)</f>
        <v>-0.519893635078991</v>
      </c>
      <c r="EI5" s="3">
        <f ca="1">IFERROR(__xludf.DUMMYFUNCTION("""COMPUTED_VALUE"""),-0.423133550380751)</f>
        <v>-0.42313355038075101</v>
      </c>
      <c r="EJ5" s="3">
        <f ca="1">IFERROR(__xludf.DUMMYFUNCTION("""COMPUTED_VALUE"""),-0.449067059977799)</f>
        <v>-0.449067059977799</v>
      </c>
      <c r="EK5" s="3">
        <f ca="1">IFERROR(__xludf.DUMMYFUNCTION("""COMPUTED_VALUE"""),-0.561300856161037)</f>
        <v>-0.56130085616103698</v>
      </c>
      <c r="EL5" s="3">
        <f ca="1">IFERROR(__xludf.DUMMYFUNCTION("""COMPUTED_VALUE"""),-0.579461010597757)</f>
        <v>-0.57946101059775701</v>
      </c>
      <c r="EM5" s="3">
        <f ca="1">IFERROR(__xludf.DUMMYFUNCTION("""COMPUTED_VALUE"""),-0.495284396689381)</f>
        <v>-0.49528439668938101</v>
      </c>
      <c r="EN5" s="3">
        <f ca="1">IFERROR(__xludf.DUMMYFUNCTION("""COMPUTED_VALUE"""),-0.475676788574131)</f>
        <v>-0.47567678857413098</v>
      </c>
      <c r="EO5" s="3">
        <f ca="1">IFERROR(__xludf.DUMMYFUNCTION("""COMPUTED_VALUE"""),-0.478149678230491)</f>
        <v>-0.47814967823049098</v>
      </c>
      <c r="EP5" s="3">
        <f ca="1">IFERROR(__xludf.DUMMYFUNCTION("""COMPUTED_VALUE"""),-0.433127712610021)</f>
        <v>-0.43312771261002098</v>
      </c>
      <c r="EQ5" s="3">
        <f ca="1">IFERROR(__xludf.DUMMYFUNCTION("""COMPUTED_VALUE"""),-0.426299317105454)</f>
        <v>-0.42629931710545399</v>
      </c>
      <c r="ER5" s="3">
        <f ca="1">IFERROR(__xludf.DUMMYFUNCTION("""COMPUTED_VALUE"""),-0.594643006474951)</f>
        <v>-0.59464300647495105</v>
      </c>
      <c r="ES5" s="3">
        <f ca="1">IFERROR(__xludf.DUMMYFUNCTION("""COMPUTED_VALUE"""),-0.588828975543993)</f>
        <v>-0.58882897554399305</v>
      </c>
      <c r="ET5" s="3">
        <f ca="1">IFERROR(__xludf.DUMMYFUNCTION("""COMPUTED_VALUE"""),-0.506314970846888)</f>
        <v>-0.50631497084688804</v>
      </c>
      <c r="EU5" s="3">
        <f ca="1">IFERROR(__xludf.DUMMYFUNCTION("""COMPUTED_VALUE"""),-0.497938825051111)</f>
        <v>-0.49793882505111098</v>
      </c>
      <c r="EV5" s="3">
        <f ca="1">IFERROR(__xludf.DUMMYFUNCTION("""COMPUTED_VALUE"""),-0.642068025380406)</f>
        <v>-0.64206802538040597</v>
      </c>
      <c r="EW5" s="3">
        <f ca="1">IFERROR(__xludf.DUMMYFUNCTION("""COMPUTED_VALUE"""),-0.453310294402462)</f>
        <v>-0.45331029440246201</v>
      </c>
      <c r="EX5" s="3">
        <f ca="1">IFERROR(__xludf.DUMMYFUNCTION("""COMPUTED_VALUE"""),-0.430073010486412)</f>
        <v>-0.430073010486412</v>
      </c>
      <c r="EY5" s="3">
        <f ca="1">IFERROR(__xludf.DUMMYFUNCTION("""COMPUTED_VALUE"""),-0.594061168195443)</f>
        <v>-0.59406116819544297</v>
      </c>
      <c r="EZ5" s="3">
        <f ca="1">IFERROR(__xludf.DUMMYFUNCTION("""COMPUTED_VALUE"""),-0.593396429038507)</f>
        <v>-0.59339642903850698</v>
      </c>
      <c r="FA5" s="3">
        <f ca="1">IFERROR(__xludf.DUMMYFUNCTION("""COMPUTED_VALUE"""),-0.470587850382393)</f>
        <v>-0.47058785038239298</v>
      </c>
      <c r="FB5" s="3">
        <f ca="1">IFERROR(__xludf.DUMMYFUNCTION("""COMPUTED_VALUE"""),-0.490926513191147)</f>
        <v>-0.490926513191147</v>
      </c>
      <c r="FC5" s="3">
        <f ca="1">IFERROR(__xludf.DUMMYFUNCTION("""COMPUTED_VALUE"""),-0.499200288579546)</f>
        <v>-0.49920028857954601</v>
      </c>
      <c r="FD5" s="3">
        <f ca="1">IFERROR(__xludf.DUMMYFUNCTION("""COMPUTED_VALUE"""),-0.465254525840871)</f>
        <v>-0.46525452584087101</v>
      </c>
      <c r="FE5" s="3">
        <f ca="1">IFERROR(__xludf.DUMMYFUNCTION("""COMPUTED_VALUE"""),-0.392097348098206)</f>
        <v>-0.39209734809820601</v>
      </c>
      <c r="FF5" s="3">
        <f ca="1">IFERROR(__xludf.DUMMYFUNCTION("""COMPUTED_VALUE"""),-0.605928778180712)</f>
        <v>-0.605928778180712</v>
      </c>
      <c r="FG5" s="3">
        <f ca="1">IFERROR(__xludf.DUMMYFUNCTION("""COMPUTED_VALUE"""),-0.626374676573825)</f>
        <v>-0.62637467657382495</v>
      </c>
      <c r="FH5" s="3">
        <f ca="1">IFERROR(__xludf.DUMMYFUNCTION("""COMPUTED_VALUE"""),-0.595327336575643)</f>
        <v>-0.59532733657564296</v>
      </c>
      <c r="FI5" s="3">
        <f ca="1">IFERROR(__xludf.DUMMYFUNCTION("""COMPUTED_VALUE"""),-0.234077389505827)</f>
        <v>-0.23407738950582699</v>
      </c>
      <c r="FJ5" s="3">
        <f ca="1">IFERROR(__xludf.DUMMYFUNCTION("""COMPUTED_VALUE"""),-0.344788858241004)</f>
        <v>-0.34478885824100403</v>
      </c>
      <c r="FK5" s="3">
        <f ca="1">IFERROR(__xludf.DUMMYFUNCTION("""COMPUTED_VALUE"""),-0.346491619132335)</f>
        <v>-0.346491619132335</v>
      </c>
      <c r="FL5" s="3">
        <f ca="1">IFERROR(__xludf.DUMMYFUNCTION("""COMPUTED_VALUE"""),-0.330955319034039)</f>
        <v>-0.33095531903403902</v>
      </c>
      <c r="FM5" s="3">
        <f ca="1">IFERROR(__xludf.DUMMYFUNCTION("""COMPUTED_VALUE"""),-0.274211625468451)</f>
        <v>-0.27421162546845101</v>
      </c>
      <c r="FN5" s="3">
        <f ca="1">IFERROR(__xludf.DUMMYFUNCTION("""COMPUTED_VALUE"""),-0.325854668525538)</f>
        <v>-0.32585466852553802</v>
      </c>
      <c r="FO5" s="3">
        <f ca="1">IFERROR(__xludf.DUMMYFUNCTION("""COMPUTED_VALUE"""),-0.394537614847008)</f>
        <v>-0.394537614847008</v>
      </c>
      <c r="FP5" s="3">
        <f ca="1">IFERROR(__xludf.DUMMYFUNCTION("""COMPUTED_VALUE"""),-0.357019999616872)</f>
        <v>-0.35701999961687197</v>
      </c>
      <c r="FQ5" s="3">
        <f ca="1">IFERROR(__xludf.DUMMYFUNCTION("""COMPUTED_VALUE"""),-0.320864008805283)</f>
        <v>-0.32086400880528299</v>
      </c>
      <c r="FR5" s="3">
        <f ca="1">IFERROR(__xludf.DUMMYFUNCTION("""COMPUTED_VALUE"""),-0.306583510502115)</f>
        <v>-0.30658351050211502</v>
      </c>
      <c r="FS5" s="3">
        <f ca="1">IFERROR(__xludf.DUMMYFUNCTION("""COMPUTED_VALUE"""),-0.273477585083131)</f>
        <v>-0.27347758508313103</v>
      </c>
      <c r="FT5" s="3">
        <f ca="1">IFERROR(__xludf.DUMMYFUNCTION("""COMPUTED_VALUE"""),-0.273818334562961)</f>
        <v>-0.27381833456296101</v>
      </c>
      <c r="FU5" s="3">
        <f ca="1">IFERROR(__xludf.DUMMYFUNCTION("""COMPUTED_VALUE"""),-0.328332403508312)</f>
        <v>-0.328332403508312</v>
      </c>
      <c r="FV5" s="3">
        <f ca="1">IFERROR(__xludf.DUMMYFUNCTION("""COMPUTED_VALUE"""),-0.304143888746665)</f>
        <v>-0.30414388874666498</v>
      </c>
      <c r="FW5" s="3">
        <f ca="1">IFERROR(__xludf.DUMMYFUNCTION("""COMPUTED_VALUE"""),-0.250327286195081)</f>
        <v>-0.25032728619508099</v>
      </c>
      <c r="FX5" s="3">
        <f ca="1">IFERROR(__xludf.DUMMYFUNCTION("""COMPUTED_VALUE"""),-0.318884506892275)</f>
        <v>-0.31888450689227499</v>
      </c>
      <c r="FY5" s="3">
        <f ca="1">IFERROR(__xludf.DUMMYFUNCTION("""COMPUTED_VALUE"""),-0.274360919876633)</f>
        <v>-0.27436091987663302</v>
      </c>
      <c r="FZ5" s="3">
        <f ca="1">IFERROR(__xludf.DUMMYFUNCTION("""COMPUTED_VALUE"""),-0.268422556470501)</f>
        <v>-0.26842255647050101</v>
      </c>
      <c r="GA5" s="3">
        <f ca="1">IFERROR(__xludf.DUMMYFUNCTION("""COMPUTED_VALUE"""),-0.28578509176025)</f>
        <v>-0.28578509176025002</v>
      </c>
      <c r="GB5" s="3">
        <f ca="1">IFERROR(__xludf.DUMMYFUNCTION("""COMPUTED_VALUE"""),-0.285882781089753)</f>
        <v>-0.28588278108975301</v>
      </c>
      <c r="GC5" s="3">
        <f ca="1">IFERROR(__xludf.DUMMYFUNCTION("""COMPUTED_VALUE"""),-0.324092561530365)</f>
        <v>-0.32409256153036498</v>
      </c>
      <c r="GD5" s="3">
        <f ca="1">IFERROR(__xludf.DUMMYFUNCTION("""COMPUTED_VALUE"""),-0.296957035095862)</f>
        <v>-0.29695703509586202</v>
      </c>
      <c r="GE5" s="3">
        <f ca="1">IFERROR(__xludf.DUMMYFUNCTION("""COMPUTED_VALUE"""),-0.27989398588156)</f>
        <v>-0.27989398588156</v>
      </c>
      <c r="GF5" s="3">
        <f ca="1">IFERROR(__xludf.DUMMYFUNCTION("""COMPUTED_VALUE"""),-0.269469446886753)</f>
        <v>-0.26946944688675301</v>
      </c>
      <c r="GG5" s="3">
        <f ca="1">IFERROR(__xludf.DUMMYFUNCTION("""COMPUTED_VALUE"""),-0.253413645029536)</f>
        <v>-0.25341364502953601</v>
      </c>
      <c r="GH5" s="3">
        <f ca="1">IFERROR(__xludf.DUMMYFUNCTION("""COMPUTED_VALUE"""),-0.291762989981632)</f>
        <v>-0.29176298998163203</v>
      </c>
      <c r="GI5" s="3">
        <f ca="1">IFERROR(__xludf.DUMMYFUNCTION("""COMPUTED_VALUE"""),-0.299381785414015)</f>
        <v>-0.299381785414015</v>
      </c>
      <c r="GJ5" s="3">
        <f ca="1">IFERROR(__xludf.DUMMYFUNCTION("""COMPUTED_VALUE"""),-0.297928310552833)</f>
        <v>-0.29792831055283298</v>
      </c>
      <c r="GK5" s="3">
        <f ca="1">IFERROR(__xludf.DUMMYFUNCTION("""COMPUTED_VALUE"""),-0.289623947840363)</f>
        <v>-0.28962394784036299</v>
      </c>
      <c r="GL5" s="3">
        <f ca="1">IFERROR(__xludf.DUMMYFUNCTION("""COMPUTED_VALUE"""),-0.27002326310088)</f>
        <v>-0.27002326310087998</v>
      </c>
      <c r="GM5" s="3">
        <f ca="1">IFERROR(__xludf.DUMMYFUNCTION("""COMPUTED_VALUE"""),-0.305515365369027)</f>
        <v>-0.30551536536902701</v>
      </c>
      <c r="GN5" s="3">
        <f ca="1">IFERROR(__xludf.DUMMYFUNCTION("""COMPUTED_VALUE"""),-0.299656052408587)</f>
        <v>-0.299656052408587</v>
      </c>
      <c r="GO5" s="3">
        <f ca="1">IFERROR(__xludf.DUMMYFUNCTION("""COMPUTED_VALUE"""),-0.316813829563049)</f>
        <v>-0.31681382956304899</v>
      </c>
      <c r="GP5" s="3">
        <f ca="1">IFERROR(__xludf.DUMMYFUNCTION("""COMPUTED_VALUE"""),-0.323940290913608)</f>
        <v>-0.32394029091360799</v>
      </c>
      <c r="GQ5" s="3">
        <f ca="1">IFERROR(__xludf.DUMMYFUNCTION("""COMPUTED_VALUE"""),-0.319434881328596)</f>
        <v>-0.31943488132859599</v>
      </c>
      <c r="GR5" s="3">
        <f ca="1">IFERROR(__xludf.DUMMYFUNCTION("""COMPUTED_VALUE"""),-0.30613400542156)</f>
        <v>-0.30613400542156</v>
      </c>
      <c r="GS5" s="3">
        <f ca="1">IFERROR(__xludf.DUMMYFUNCTION("""COMPUTED_VALUE"""),-0.279297270467215)</f>
        <v>-0.27929727046721498</v>
      </c>
      <c r="GT5" s="3">
        <f ca="1">IFERROR(__xludf.DUMMYFUNCTION("""COMPUTED_VALUE"""),-0.28866280894334)</f>
        <v>-0.28866280894334001</v>
      </c>
      <c r="GU5" s="3">
        <f ca="1">IFERROR(__xludf.DUMMYFUNCTION("""COMPUTED_VALUE"""),-0.248013599843957)</f>
        <v>-0.24801359984395699</v>
      </c>
      <c r="GV5" s="3">
        <f ca="1">IFERROR(__xludf.DUMMYFUNCTION("""COMPUTED_VALUE"""),-0.229038360515886)</f>
        <v>-0.229038360515886</v>
      </c>
      <c r="GW5" s="3">
        <f ca="1">IFERROR(__xludf.DUMMYFUNCTION("""COMPUTED_VALUE"""),-0.280017157769872)</f>
        <v>-0.28001715776987202</v>
      </c>
      <c r="GX5" s="3">
        <f ca="1">IFERROR(__xludf.DUMMYFUNCTION("""COMPUTED_VALUE"""),-0.350116039535166)</f>
        <v>-0.35011603953516601</v>
      </c>
      <c r="GY5" s="3">
        <f ca="1">IFERROR(__xludf.DUMMYFUNCTION("""COMPUTED_VALUE"""),-0.245633174958301)</f>
        <v>-0.245633174958301</v>
      </c>
      <c r="GZ5" s="3">
        <f ca="1">IFERROR(__xludf.DUMMYFUNCTION("""COMPUTED_VALUE"""),-0.235357994250216)</f>
        <v>-0.235357994250216</v>
      </c>
      <c r="HA5" s="3">
        <f ca="1">IFERROR(__xludf.DUMMYFUNCTION("""COMPUTED_VALUE"""),-0.25457084956953)</f>
        <v>-0.25457084956953002</v>
      </c>
      <c r="HB5" s="3">
        <f ca="1">IFERROR(__xludf.DUMMYFUNCTION("""COMPUTED_VALUE"""),-0.243653872510407)</f>
        <v>-0.24365387251040699</v>
      </c>
      <c r="HC5" s="3">
        <f ca="1">IFERROR(__xludf.DUMMYFUNCTION("""COMPUTED_VALUE"""),-0.206015815146757)</f>
        <v>-0.20601581514675699</v>
      </c>
      <c r="HD5" s="3">
        <f ca="1">IFERROR(__xludf.DUMMYFUNCTION("""COMPUTED_VALUE"""),-0.257702210259805)</f>
        <v>-0.257702210259805</v>
      </c>
      <c r="HE5" s="3">
        <f ca="1">IFERROR(__xludf.DUMMYFUNCTION("""COMPUTED_VALUE"""),-0.326523351839313)</f>
        <v>-0.32652335183931303</v>
      </c>
      <c r="HF5" s="3">
        <f ca="1">IFERROR(__xludf.DUMMYFUNCTION("""COMPUTED_VALUE"""),-0.231410052442929)</f>
        <v>-0.231410052442929</v>
      </c>
      <c r="HG5" s="3">
        <f ca="1">IFERROR(__xludf.DUMMYFUNCTION("""COMPUTED_VALUE"""),-0.206025680181059)</f>
        <v>-0.20602568018105899</v>
      </c>
      <c r="HH5" s="3">
        <f ca="1">IFERROR(__xludf.DUMMYFUNCTION("""COMPUTED_VALUE"""),-0.211612335809482)</f>
        <v>-0.21161233580948199</v>
      </c>
      <c r="HI5" s="3">
        <f ca="1">IFERROR(__xludf.DUMMYFUNCTION("""COMPUTED_VALUE"""),-0.203495028429198)</f>
        <v>-0.203495028429198</v>
      </c>
      <c r="HJ5" s="3">
        <f ca="1">IFERROR(__xludf.DUMMYFUNCTION("""COMPUTED_VALUE"""),-0.245236341204415)</f>
        <v>-0.24523634120441501</v>
      </c>
      <c r="HK5" s="3">
        <f ca="1">IFERROR(__xludf.DUMMYFUNCTION("""COMPUTED_VALUE"""),-0.251760475215064)</f>
        <v>-0.25176047521506401</v>
      </c>
      <c r="HL5" s="3">
        <f ca="1">IFERROR(__xludf.DUMMYFUNCTION("""COMPUTED_VALUE"""),-0.283019276403308)</f>
        <v>-0.28301927640330798</v>
      </c>
      <c r="HM5" s="3">
        <f ca="1">IFERROR(__xludf.DUMMYFUNCTION("""COMPUTED_VALUE"""),-0.161898340467891)</f>
        <v>-0.16189834046789101</v>
      </c>
      <c r="HN5" s="3">
        <f ca="1">IFERROR(__xludf.DUMMYFUNCTION("""COMPUTED_VALUE"""),-0.194722994080417)</f>
        <v>-0.19472299408041699</v>
      </c>
      <c r="HO5" s="3">
        <f ca="1">IFERROR(__xludf.DUMMYFUNCTION("""COMPUTED_VALUE"""),-0.206447702917084)</f>
        <v>-0.206447702917084</v>
      </c>
      <c r="HP5" s="3">
        <f ca="1">IFERROR(__xludf.DUMMYFUNCTION("""COMPUTED_VALUE"""),-0.257215394295173)</f>
        <v>-0.25721539429517298</v>
      </c>
      <c r="HQ5" s="3">
        <f ca="1">IFERROR(__xludf.DUMMYFUNCTION("""COMPUTED_VALUE"""),-0.238195101792176)</f>
        <v>-0.23819510179217601</v>
      </c>
      <c r="HR5" s="3">
        <f ca="1">IFERROR(__xludf.DUMMYFUNCTION("""COMPUTED_VALUE"""),-0.228253423589051)</f>
        <v>-0.22825342358905101</v>
      </c>
      <c r="HS5" s="3">
        <f ca="1">IFERROR(__xludf.DUMMYFUNCTION("""COMPUTED_VALUE"""),-0.266470708177864)</f>
        <v>-0.266470708177864</v>
      </c>
      <c r="HT5" s="3">
        <f ca="1">IFERROR(__xludf.DUMMYFUNCTION("""COMPUTED_VALUE"""),-0.247638857960346)</f>
        <v>-0.24763885796034599</v>
      </c>
      <c r="HU5" s="3">
        <f ca="1">IFERROR(__xludf.DUMMYFUNCTION("""COMPUTED_VALUE"""),-0.235485495332356)</f>
        <v>-0.23548549533235599</v>
      </c>
      <c r="HV5" s="3">
        <f ca="1">IFERROR(__xludf.DUMMYFUNCTION("""COMPUTED_VALUE"""),-0.255713913409657)</f>
        <v>-0.25571391340965699</v>
      </c>
      <c r="HW5" s="3">
        <f ca="1">IFERROR(__xludf.DUMMYFUNCTION("""COMPUTED_VALUE"""),-0.27772487397726)</f>
        <v>-0.27772487397725998</v>
      </c>
      <c r="HX5" s="3">
        <f ca="1">IFERROR(__xludf.DUMMYFUNCTION("""COMPUTED_VALUE"""),-0.20427185286523)</f>
        <v>-0.20427185286523</v>
      </c>
      <c r="HY5" s="3">
        <f ca="1">IFERROR(__xludf.DUMMYFUNCTION("""COMPUTED_VALUE"""),-0.177413404014844)</f>
        <v>-0.17741340401484401</v>
      </c>
      <c r="HZ5" s="3">
        <f ca="1">IFERROR(__xludf.DUMMYFUNCTION("""COMPUTED_VALUE"""),-0.209963088194281)</f>
        <v>-0.209963088194281</v>
      </c>
      <c r="IA5" s="3">
        <f ca="1">IFERROR(__xludf.DUMMYFUNCTION("""COMPUTED_VALUE"""),-0.168808580631617)</f>
        <v>-0.16880858063161699</v>
      </c>
      <c r="IB5" s="3">
        <f ca="1">IFERROR(__xludf.DUMMYFUNCTION("""COMPUTED_VALUE"""),-0.191478482372306)</f>
        <v>-0.191478482372306</v>
      </c>
      <c r="IC5" s="3">
        <f ca="1">IFERROR(__xludf.DUMMYFUNCTION("""COMPUTED_VALUE"""),-0.141319315679143)</f>
        <v>-0.14131931567914299</v>
      </c>
      <c r="ID5" s="3">
        <f ca="1">IFERROR(__xludf.DUMMYFUNCTION("""COMPUTED_VALUE"""),-0.181299495637878)</f>
        <v>-0.18129949563787801</v>
      </c>
      <c r="IE5" s="3">
        <f ca="1">IFERROR(__xludf.DUMMYFUNCTION("""COMPUTED_VALUE"""),-0.17501101951825)</f>
        <v>-0.17501101951824999</v>
      </c>
      <c r="IF5" s="3">
        <f ca="1">IFERROR(__xludf.DUMMYFUNCTION("""COMPUTED_VALUE"""),-0.0292834952339338)</f>
        <v>-2.9283495233933799E-2</v>
      </c>
      <c r="IG5" s="3">
        <f ca="1">IFERROR(__xludf.DUMMYFUNCTION("""COMPUTED_VALUE"""),-0.129511284599688)</f>
        <v>-0.129511284599688</v>
      </c>
      <c r="IH5" s="3">
        <f ca="1">IFERROR(__xludf.DUMMYFUNCTION("""COMPUTED_VALUE"""),-0.0967754829723324)</f>
        <v>-9.6775482972332405E-2</v>
      </c>
      <c r="II5" s="3">
        <f ca="1">IFERROR(__xludf.DUMMYFUNCTION("""COMPUTED_VALUE"""),-0.0751797716277888)</f>
        <v>-7.51797716277888E-2</v>
      </c>
      <c r="IJ5" s="3">
        <f ca="1">IFERROR(__xludf.DUMMYFUNCTION("""COMPUTED_VALUE"""),-0.0780828966168872)</f>
        <v>-7.8082896616887207E-2</v>
      </c>
      <c r="IK5" s="3">
        <f ca="1">IFERROR(__xludf.DUMMYFUNCTION("""COMPUTED_VALUE"""),-0.0881709319192063)</f>
        <v>-8.8170931919206302E-2</v>
      </c>
      <c r="IL5" s="3">
        <f ca="1">IFERROR(__xludf.DUMMYFUNCTION("""COMPUTED_VALUE"""),-0.112402848414608)</f>
        <v>-0.112402848414608</v>
      </c>
      <c r="IM5" s="3">
        <f ca="1">IFERROR(__xludf.DUMMYFUNCTION("""COMPUTED_VALUE"""),-0.0324932708344966)</f>
        <v>-3.2493270834496601E-2</v>
      </c>
      <c r="IN5" s="3">
        <f ca="1">IFERROR(__xludf.DUMMYFUNCTION("""COMPUTED_VALUE"""),-0.0879544403490049)</f>
        <v>-8.7954440349004903E-2</v>
      </c>
      <c r="IO5" s="3">
        <f ca="1">IFERROR(__xludf.DUMMYFUNCTION("""COMPUTED_VALUE"""),-0.0776471924460466)</f>
        <v>-7.7647192446046606E-2</v>
      </c>
      <c r="IP5" s="3">
        <f ca="1">IFERROR(__xludf.DUMMYFUNCTION("""COMPUTED_VALUE"""),-0.107480512968314)</f>
        <v>-0.107480512968314</v>
      </c>
      <c r="IQ5" s="3">
        <f ca="1">IFERROR(__xludf.DUMMYFUNCTION("""COMPUTED_VALUE"""),-0.109232773432501)</f>
        <v>-0.109232773432501</v>
      </c>
      <c r="IR5" s="3">
        <f ca="1">IFERROR(__xludf.DUMMYFUNCTION("""COMPUTED_VALUE"""),-0.147801220984156)</f>
        <v>-0.14780122098415599</v>
      </c>
      <c r="IS5" s="3">
        <f ca="1">IFERROR(__xludf.DUMMYFUNCTION("""COMPUTED_VALUE"""),-0.14676718804808)</f>
        <v>-0.14676718804808001</v>
      </c>
      <c r="IT5" s="3">
        <f ca="1">IFERROR(__xludf.DUMMYFUNCTION("""COMPUTED_VALUE"""),-0.117667344974581)</f>
        <v>-0.11766734497458101</v>
      </c>
      <c r="IU5" s="3">
        <f ca="1">IFERROR(__xludf.DUMMYFUNCTION("""COMPUTED_VALUE"""),-0.116688961185221)</f>
        <v>-0.116688961185221</v>
      </c>
      <c r="IV5" s="3">
        <f ca="1">IFERROR(__xludf.DUMMYFUNCTION("""COMPUTED_VALUE"""),-0.101849520112416)</f>
        <v>-0.10184952011241601</v>
      </c>
      <c r="IW5" s="3">
        <f ca="1">IFERROR(__xludf.DUMMYFUNCTION("""COMPUTED_VALUE"""),-0.12001373506741)</f>
        <v>-0.12001373506741</v>
      </c>
      <c r="IX5" s="3">
        <f ca="1">IFERROR(__xludf.DUMMYFUNCTION("""COMPUTED_VALUE"""),-0.166089000590687)</f>
        <v>-0.16608900059068701</v>
      </c>
      <c r="IY5" s="3">
        <f ca="1">IFERROR(__xludf.DUMMYFUNCTION("""COMPUTED_VALUE"""),-0.144184917870287)</f>
        <v>-0.144184917870287</v>
      </c>
      <c r="IZ5" s="3">
        <f ca="1">IFERROR(__xludf.DUMMYFUNCTION("""COMPUTED_VALUE"""),-0.20091673431573)</f>
        <v>-0.20091673431573001</v>
      </c>
      <c r="JA5" s="3">
        <f ca="1">IFERROR(__xludf.DUMMYFUNCTION("""COMPUTED_VALUE"""),-0.147216583700242)</f>
        <v>-0.14721658370024199</v>
      </c>
      <c r="JB5" s="3">
        <f ca="1">IFERROR(__xludf.DUMMYFUNCTION("""COMPUTED_VALUE"""),-0.19525610167341)</f>
        <v>-0.19525610167341001</v>
      </c>
      <c r="JC5" s="3">
        <f ca="1">IFERROR(__xludf.DUMMYFUNCTION("""COMPUTED_VALUE"""),-0.184132859766555)</f>
        <v>-0.184132859766555</v>
      </c>
      <c r="JD5" s="3">
        <f ca="1">IFERROR(__xludf.DUMMYFUNCTION("""COMPUTED_VALUE"""),-0.197788616152302)</f>
        <v>-0.197788616152302</v>
      </c>
      <c r="JE5" s="3">
        <f ca="1">IFERROR(__xludf.DUMMYFUNCTION("""COMPUTED_VALUE"""),-0.173259316727459)</f>
        <v>-0.17325931672745901</v>
      </c>
      <c r="JF5" s="3">
        <f ca="1">IFERROR(__xludf.DUMMYFUNCTION("""COMPUTED_VALUE"""),-0.18153877238689)</f>
        <v>-0.18153877238689001</v>
      </c>
      <c r="JG5" s="3">
        <f ca="1">IFERROR(__xludf.DUMMYFUNCTION("""COMPUTED_VALUE"""),-0.167475223259215)</f>
        <v>-0.16747522325921499</v>
      </c>
      <c r="JH5" s="3">
        <f ca="1">IFERROR(__xludf.DUMMYFUNCTION("""COMPUTED_VALUE"""),-0.104729901468822)</f>
        <v>-0.104729901468822</v>
      </c>
      <c r="JI5" s="3">
        <f ca="1">IFERROR(__xludf.DUMMYFUNCTION("""COMPUTED_VALUE"""),-0.169966577493922)</f>
        <v>-0.16996657749392199</v>
      </c>
      <c r="JJ5" s="3">
        <f ca="1">IFERROR(__xludf.DUMMYFUNCTION("""COMPUTED_VALUE"""),-0.187589740282663)</f>
        <v>-0.18758974028266301</v>
      </c>
      <c r="JK5" s="3">
        <f ca="1">IFERROR(__xludf.DUMMYFUNCTION("""COMPUTED_VALUE"""),-0.197859197475393)</f>
        <v>-0.19785919747539299</v>
      </c>
      <c r="JL5" s="3">
        <f ca="1">IFERROR(__xludf.DUMMYFUNCTION("""COMPUTED_VALUE"""),-0.300759938714773)</f>
        <v>-0.30075993871477302</v>
      </c>
      <c r="JM5" s="3">
        <f ca="1">IFERROR(__xludf.DUMMYFUNCTION("""COMPUTED_VALUE"""),-0.188885988110289)</f>
        <v>-0.188885988110289</v>
      </c>
      <c r="JN5" s="3">
        <f ca="1">IFERROR(__xludf.DUMMYFUNCTION("""COMPUTED_VALUE"""),-0.243769403291601)</f>
        <v>-0.24376940329160099</v>
      </c>
      <c r="JO5" s="3">
        <f ca="1">IFERROR(__xludf.DUMMYFUNCTION("""COMPUTED_VALUE"""),-0.191326676862626)</f>
        <v>-0.191326676862626</v>
      </c>
      <c r="JP5" s="3">
        <f ca="1">IFERROR(__xludf.DUMMYFUNCTION("""COMPUTED_VALUE"""),-0.271939487588564)</f>
        <v>-0.27193948758856401</v>
      </c>
      <c r="JQ5" s="3">
        <f ca="1">IFERROR(__xludf.DUMMYFUNCTION("""COMPUTED_VALUE"""),-0.22769180447314)</f>
        <v>-0.22769180447314</v>
      </c>
      <c r="JR5" s="3">
        <f ca="1">IFERROR(__xludf.DUMMYFUNCTION("""COMPUTED_VALUE"""),-0.243257982070913)</f>
        <v>-0.24325798207091301</v>
      </c>
      <c r="JS5" s="3">
        <f ca="1">IFERROR(__xludf.DUMMYFUNCTION("""COMPUTED_VALUE"""),-0.187377847465883)</f>
        <v>-0.18737784746588301</v>
      </c>
      <c r="JT5" s="3">
        <f ca="1">IFERROR(__xludf.DUMMYFUNCTION("""COMPUTED_VALUE"""),-0.21696740063072)</f>
        <v>-0.21696740063072001</v>
      </c>
      <c r="JU5" s="3">
        <f ca="1">IFERROR(__xludf.DUMMYFUNCTION("""COMPUTED_VALUE"""),-0.237872942624279)</f>
        <v>-0.23787294262427899</v>
      </c>
      <c r="JV5" s="3">
        <f ca="1">IFERROR(__xludf.DUMMYFUNCTION("""COMPUTED_VALUE"""),-0.246276412342697)</f>
        <v>-0.24627641234269701</v>
      </c>
      <c r="JW5" s="3">
        <f ca="1">IFERROR(__xludf.DUMMYFUNCTION("""COMPUTED_VALUE"""),-0.29279266704209)</f>
        <v>-0.29279266704209</v>
      </c>
      <c r="JX5" s="3">
        <f ca="1">IFERROR(__xludf.DUMMYFUNCTION("""COMPUTED_VALUE"""),-0.282527814224929)</f>
        <v>-0.28252781422492901</v>
      </c>
      <c r="JY5" s="3">
        <f ca="1">IFERROR(__xludf.DUMMYFUNCTION("""COMPUTED_VALUE"""),-0.289744551129126)</f>
        <v>-0.289744551129126</v>
      </c>
      <c r="JZ5" s="3">
        <f ca="1">IFERROR(__xludf.DUMMYFUNCTION("""COMPUTED_VALUE"""),-0.223405353934718)</f>
        <v>-0.223405353934718</v>
      </c>
      <c r="KA5" s="3">
        <f ca="1">IFERROR(__xludf.DUMMYFUNCTION("""COMPUTED_VALUE"""),-0.246564896822976)</f>
        <v>-0.246564896822976</v>
      </c>
      <c r="KB5" s="3">
        <f ca="1">IFERROR(__xludf.DUMMYFUNCTION("""COMPUTED_VALUE"""),-0.287988484942881)</f>
        <v>-0.28798848494288098</v>
      </c>
      <c r="KC5" s="3">
        <f ca="1">IFERROR(__xludf.DUMMYFUNCTION("""COMPUTED_VALUE"""),-0.252974361261893)</f>
        <v>-0.25297436126189299</v>
      </c>
      <c r="KD5" s="3">
        <f ca="1">IFERROR(__xludf.DUMMYFUNCTION("""COMPUTED_VALUE"""),-0.292187646464001)</f>
        <v>-0.29218764646400103</v>
      </c>
      <c r="KE5" s="3">
        <f ca="1">IFERROR(__xludf.DUMMYFUNCTION("""COMPUTED_VALUE"""),-0.227213267371617)</f>
        <v>-0.22721326737161701</v>
      </c>
      <c r="KF5" s="3">
        <f ca="1">IFERROR(__xludf.DUMMYFUNCTION("""COMPUTED_VALUE"""),-0.239948129281635)</f>
        <v>-0.239948129281635</v>
      </c>
      <c r="KG5" s="3">
        <f ca="1">IFERROR(__xludf.DUMMYFUNCTION("""COMPUTED_VALUE"""),-0.187069624676804)</f>
        <v>-0.18706962467680399</v>
      </c>
      <c r="KH5" s="3">
        <f ca="1">IFERROR(__xludf.DUMMYFUNCTION("""COMPUTED_VALUE"""),-0.227253091811983)</f>
        <v>-0.227253091811983</v>
      </c>
      <c r="KI5" s="3">
        <f ca="1">IFERROR(__xludf.DUMMYFUNCTION("""COMPUTED_VALUE"""),-0.267927333131012)</f>
        <v>-0.26792733313101202</v>
      </c>
      <c r="KJ5" s="3">
        <f ca="1">IFERROR(__xludf.DUMMYFUNCTION("""COMPUTED_VALUE"""),-0.276758666943371)</f>
        <v>-0.27675866694337098</v>
      </c>
      <c r="KK5" s="3">
        <f ca="1">IFERROR(__xludf.DUMMYFUNCTION("""COMPUTED_VALUE"""),-0.337473695485978)</f>
        <v>-0.337473695485978</v>
      </c>
      <c r="KL5" s="3">
        <f ca="1">IFERROR(__xludf.DUMMYFUNCTION("""COMPUTED_VALUE"""),-0.312351491925615)</f>
        <v>-0.31235149192561501</v>
      </c>
      <c r="KM5" s="3">
        <f ca="1">IFERROR(__xludf.DUMMYFUNCTION("""COMPUTED_VALUE"""),-0.317554369216588)</f>
        <v>-0.31755436921658797</v>
      </c>
      <c r="KN5" s="3">
        <f ca="1">IFERROR(__xludf.DUMMYFUNCTION("""COMPUTED_VALUE"""),-0.280516443731295)</f>
        <v>-0.28051644373129497</v>
      </c>
      <c r="KO5" s="3">
        <f ca="1">IFERROR(__xludf.DUMMYFUNCTION("""COMPUTED_VALUE"""),-0.259971502345392)</f>
        <v>-0.25997150234539201</v>
      </c>
      <c r="KP5" s="3">
        <f ca="1">IFERROR(__xludf.DUMMYFUNCTION("""COMPUTED_VALUE"""),-0.317261827191456)</f>
        <v>-0.31726182719145601</v>
      </c>
      <c r="KQ5" s="3">
        <f ca="1">IFERROR(__xludf.DUMMYFUNCTION("""COMPUTED_VALUE"""),-0.311948816765499)</f>
        <v>-0.31194881676549902</v>
      </c>
      <c r="KR5" s="3">
        <f ca="1">IFERROR(__xludf.DUMMYFUNCTION("""COMPUTED_VALUE"""),-0.439137202183072)</f>
        <v>-0.43913720218307201</v>
      </c>
      <c r="KS5" s="3">
        <f ca="1">IFERROR(__xludf.DUMMYFUNCTION("""COMPUTED_VALUE"""),-0.377325778495853)</f>
        <v>-0.37732577849585303</v>
      </c>
      <c r="KT5" s="3">
        <f ca="1">IFERROR(__xludf.DUMMYFUNCTION("""COMPUTED_VALUE"""),-0.359426851070513)</f>
        <v>-0.35942685107051298</v>
      </c>
      <c r="KU5" s="3">
        <f ca="1">IFERROR(__xludf.DUMMYFUNCTION("""COMPUTED_VALUE"""),-0.393915458434303)</f>
        <v>-0.39391545843430298</v>
      </c>
      <c r="KV5" s="3">
        <f ca="1">IFERROR(__xludf.DUMMYFUNCTION("""COMPUTED_VALUE"""),-0.344523223461567)</f>
        <v>-0.344523223461567</v>
      </c>
      <c r="KW5" s="3">
        <f ca="1">IFERROR(__xludf.DUMMYFUNCTION("""COMPUTED_VALUE"""),-0.402952707912878)</f>
        <v>-0.40295270791287802</v>
      </c>
      <c r="KX5" s="3">
        <f ca="1">IFERROR(__xludf.DUMMYFUNCTION("""COMPUTED_VALUE"""),-0.359369945173574)</f>
        <v>-0.35936994517357401</v>
      </c>
      <c r="KY5" s="3">
        <f ca="1">IFERROR(__xludf.DUMMYFUNCTION("""COMPUTED_VALUE"""),-0.426841557947048)</f>
        <v>-0.42684155794704798</v>
      </c>
      <c r="KZ5" s="3">
        <f ca="1">IFERROR(__xludf.DUMMYFUNCTION("""COMPUTED_VALUE"""),-0.392970218874478)</f>
        <v>-0.39297021887447797</v>
      </c>
      <c r="LA5" s="3">
        <f ca="1">IFERROR(__xludf.DUMMYFUNCTION("""COMPUTED_VALUE"""),-0.411252137562154)</f>
        <v>-0.41125213756215401</v>
      </c>
      <c r="LB5" s="3">
        <f ca="1">IFERROR(__xludf.DUMMYFUNCTION("""COMPUTED_VALUE"""),-0.35254641071397)</f>
        <v>-0.35254641071397003</v>
      </c>
      <c r="LC5" s="3">
        <f ca="1">IFERROR(__xludf.DUMMYFUNCTION("""COMPUTED_VALUE"""),-0.421096479680406)</f>
        <v>-0.42109647968040598</v>
      </c>
      <c r="LD5" s="3">
        <f ca="1">IFERROR(__xludf.DUMMYFUNCTION("""COMPUTED_VALUE"""),-0.402234500478084)</f>
        <v>-0.40223450047808401</v>
      </c>
      <c r="LE5" s="3">
        <f ca="1">IFERROR(__xludf.DUMMYFUNCTION("""COMPUTED_VALUE"""),-0.425612062658306)</f>
        <v>-0.42561206265830598</v>
      </c>
      <c r="LF5" s="3">
        <f ca="1">IFERROR(__xludf.DUMMYFUNCTION("""COMPUTED_VALUE"""),-0.498929160279133)</f>
        <v>-0.49892916027913298</v>
      </c>
      <c r="LG5" s="3">
        <f ca="1">IFERROR(__xludf.DUMMYFUNCTION("""COMPUTED_VALUE"""),-0.467824954864331)</f>
        <v>-0.46782495486433101</v>
      </c>
      <c r="LH5" s="3">
        <f ca="1">IFERROR(__xludf.DUMMYFUNCTION("""COMPUTED_VALUE"""),-0.498125812625566)</f>
        <v>-0.49812581262556599</v>
      </c>
      <c r="LI5" s="3">
        <f ca="1">IFERROR(__xludf.DUMMYFUNCTION("""COMPUTED_VALUE"""),-0.474845206002339)</f>
        <v>-0.47484520600233898</v>
      </c>
      <c r="LJ5" s="3">
        <f ca="1">IFERROR(__xludf.DUMMYFUNCTION("""COMPUTED_VALUE"""),-0.481752567002085)</f>
        <v>-0.48175256700208502</v>
      </c>
      <c r="LK5" s="3">
        <f ca="1">IFERROR(__xludf.DUMMYFUNCTION("""COMPUTED_VALUE"""),-0.445762428472865)</f>
        <v>-0.44576242847286501</v>
      </c>
      <c r="LL5" s="3">
        <f ca="1">IFERROR(__xludf.DUMMYFUNCTION("""COMPUTED_VALUE"""),-0.535217171167318)</f>
        <v>-0.53521717116731804</v>
      </c>
      <c r="LM5" s="3">
        <f ca="1">IFERROR(__xludf.DUMMYFUNCTION("""COMPUTED_VALUE"""),-0.546406139958226)</f>
        <v>-0.54640613995822596</v>
      </c>
      <c r="LN5" s="3">
        <f ca="1">IFERROR(__xludf.DUMMYFUNCTION("""COMPUTED_VALUE"""),-0.530860035271296)</f>
        <v>-0.53086003527129599</v>
      </c>
      <c r="LO5" s="3">
        <f ca="1">IFERROR(__xludf.DUMMYFUNCTION("""COMPUTED_VALUE"""),-0.549141246602408)</f>
        <v>-0.54914124660240804</v>
      </c>
      <c r="LP5" s="3">
        <f ca="1">IFERROR(__xludf.DUMMYFUNCTION("""COMPUTED_VALUE"""),-0.529389540818359)</f>
        <v>-0.52938954081835898</v>
      </c>
      <c r="LQ5" s="3">
        <f ca="1">IFERROR(__xludf.DUMMYFUNCTION("""COMPUTED_VALUE"""),-0.531952022616414)</f>
        <v>-0.53195202261641406</v>
      </c>
      <c r="LR5" s="3">
        <f ca="1">IFERROR(__xludf.DUMMYFUNCTION("""COMPUTED_VALUE"""),-0.534343855625877)</f>
        <v>-0.53434385562587705</v>
      </c>
      <c r="LS5" s="3">
        <f ca="1">IFERROR(__xludf.DUMMYFUNCTION("""COMPUTED_VALUE"""),-0.556289954348753)</f>
        <v>-0.55628995434875295</v>
      </c>
      <c r="LT5" s="3">
        <f ca="1">IFERROR(__xludf.DUMMYFUNCTION("""COMPUTED_VALUE"""),-0.625939005864507)</f>
        <v>-0.62593900586450701</v>
      </c>
      <c r="LU5" s="3">
        <f ca="1">IFERROR(__xludf.DUMMYFUNCTION("""COMPUTED_VALUE"""),-0.602801753418791)</f>
        <v>-0.60280175341879105</v>
      </c>
      <c r="LV5" s="3">
        <f ca="1">IFERROR(__xludf.DUMMYFUNCTION("""COMPUTED_VALUE"""),-0.586706460160995)</f>
        <v>-0.58670646016099504</v>
      </c>
      <c r="LW5" s="3">
        <f ca="1">IFERROR(__xludf.DUMMYFUNCTION("""COMPUTED_VALUE"""),-0.600313222236019)</f>
        <v>-0.60031322223601902</v>
      </c>
      <c r="LX5" s="3">
        <f ca="1">IFERROR(__xludf.DUMMYFUNCTION("""COMPUTED_VALUE"""),-0.574323181472146)</f>
        <v>-0.574323181472146</v>
      </c>
      <c r="LY5" s="3">
        <f ca="1">IFERROR(__xludf.DUMMYFUNCTION("""COMPUTED_VALUE"""),-0.680948359526373)</f>
        <v>-0.680948359526373</v>
      </c>
      <c r="LZ5" s="3">
        <f ca="1">IFERROR(__xludf.DUMMYFUNCTION("""COMPUTED_VALUE"""),-0.717848870571157)</f>
        <v>-0.71784887057115698</v>
      </c>
      <c r="MA5" s="3">
        <f ca="1">IFERROR(__xludf.DUMMYFUNCTION("""COMPUTED_VALUE"""),-0.755587547915857)</f>
        <v>-0.75558754791585703</v>
      </c>
      <c r="MB5" s="3">
        <f ca="1">IFERROR(__xludf.DUMMYFUNCTION("""COMPUTED_VALUE"""),-0.71002446935632)</f>
        <v>-0.71002446935632002</v>
      </c>
      <c r="MC5" s="3">
        <f ca="1">IFERROR(__xludf.DUMMYFUNCTION("""COMPUTED_VALUE"""),-0.663455539521526)</f>
        <v>-0.66345553952152603</v>
      </c>
      <c r="MD5" s="3">
        <f ca="1">IFERROR(__xludf.DUMMYFUNCTION("""COMPUTED_VALUE"""),-0.729249902583309)</f>
        <v>-0.72924990258330902</v>
      </c>
      <c r="ME5" s="3">
        <f ca="1">IFERROR(__xludf.DUMMYFUNCTION("""COMPUTED_VALUE"""),-0.722447760056275)</f>
        <v>-0.72244776005627498</v>
      </c>
      <c r="MF5" s="3">
        <f ca="1">IFERROR(__xludf.DUMMYFUNCTION("""COMPUTED_VALUE"""),-0.761804032809171)</f>
        <v>-0.76180403280917097</v>
      </c>
      <c r="MG5" s="3">
        <f ca="1">IFERROR(__xludf.DUMMYFUNCTION("""COMPUTED_VALUE"""),-0.751590585548709)</f>
        <v>-0.75159058554870894</v>
      </c>
      <c r="MH5" s="3">
        <f ca="1">IFERROR(__xludf.DUMMYFUNCTION("""COMPUTED_VALUE"""),-0.830963852347409)</f>
        <v>-0.83096385234740899</v>
      </c>
      <c r="MI5" s="3">
        <f ca="1">IFERROR(__xludf.DUMMYFUNCTION("""COMPUTED_VALUE"""),-0.762192745735906)</f>
        <v>-0.76219274573590601</v>
      </c>
      <c r="MJ5" s="3">
        <f ca="1">IFERROR(__xludf.DUMMYFUNCTION("""COMPUTED_VALUE"""),-0.728889937601375)</f>
        <v>-0.72888993760137499</v>
      </c>
      <c r="MK5" s="3">
        <f ca="1">IFERROR(__xludf.DUMMYFUNCTION("""COMPUTED_VALUE"""),-0.772492345255792)</f>
        <v>-0.77249234525579202</v>
      </c>
      <c r="ML5" s="3">
        <f ca="1">IFERROR(__xludf.DUMMYFUNCTION("""COMPUTED_VALUE"""),-0.742940672476801)</f>
        <v>-0.74294067247680096</v>
      </c>
      <c r="MM5" s="3">
        <f ca="1">IFERROR(__xludf.DUMMYFUNCTION("""COMPUTED_VALUE"""),-0.798071496658468)</f>
        <v>-0.79807149665846799</v>
      </c>
      <c r="MN5" s="3">
        <f ca="1">IFERROR(__xludf.DUMMYFUNCTION("""COMPUTED_VALUE"""),-0.799166385997432)</f>
        <v>-0.79916638599743195</v>
      </c>
      <c r="MO5" s="3">
        <f ca="1">IFERROR(__xludf.DUMMYFUNCTION("""COMPUTED_VALUE"""),-0.777571691866781)</f>
        <v>-0.77757169186678099</v>
      </c>
      <c r="MP5" s="3">
        <f ca="1">IFERROR(__xludf.DUMMYFUNCTION("""COMPUTED_VALUE"""),-0.741125158555965)</f>
        <v>-0.74112515855596495</v>
      </c>
      <c r="MQ5" s="3">
        <f ca="1">IFERROR(__xludf.DUMMYFUNCTION("""COMPUTED_VALUE"""),-0.739285760524526)</f>
        <v>-0.73928576052452599</v>
      </c>
      <c r="MR5" s="3">
        <f ca="1">IFERROR(__xludf.DUMMYFUNCTION("""COMPUTED_VALUE"""),-0.765661894780139)</f>
        <v>-0.76566189478013902</v>
      </c>
      <c r="MS5" s="3">
        <f ca="1">IFERROR(__xludf.DUMMYFUNCTION("""COMPUTED_VALUE"""),-0.742066510760852)</f>
        <v>-0.74206651076085195</v>
      </c>
      <c r="MT5" s="3">
        <f ca="1">IFERROR(__xludf.DUMMYFUNCTION("""COMPUTED_VALUE"""),-0.801820659957663)</f>
        <v>-0.80182065995766305</v>
      </c>
      <c r="MU5" s="3">
        <f ca="1">IFERROR(__xludf.DUMMYFUNCTION("""COMPUTED_VALUE"""),-0.793599950907222)</f>
        <v>-0.79359995090722202</v>
      </c>
      <c r="MV5" s="3">
        <f ca="1">IFERROR(__xludf.DUMMYFUNCTION("""COMPUTED_VALUE"""),-0.777795382685536)</f>
        <v>-0.77779538268553605</v>
      </c>
      <c r="MW5" s="3">
        <f ca="1">IFERROR(__xludf.DUMMYFUNCTION("""COMPUTED_VALUE"""),-0.756027575638203)</f>
        <v>-0.756027575638203</v>
      </c>
      <c r="MX5" s="3">
        <f ca="1">IFERROR(__xludf.DUMMYFUNCTION("""COMPUTED_VALUE"""),-0.761150751960289)</f>
        <v>-0.76115075196028903</v>
      </c>
      <c r="MY5" s="3">
        <f ca="1">IFERROR(__xludf.DUMMYFUNCTION("""COMPUTED_VALUE"""),-0.755225378788458)</f>
        <v>-0.75522537878845797</v>
      </c>
      <c r="MZ5" s="3">
        <f ca="1">IFERROR(__xludf.DUMMYFUNCTION("""COMPUTED_VALUE"""),-0.790551209258478)</f>
        <v>-0.79055120925847799</v>
      </c>
      <c r="NA5" s="3">
        <f ca="1">IFERROR(__xludf.DUMMYFUNCTION("""COMPUTED_VALUE"""),-0.803194440994311)</f>
        <v>-0.80319444099431103</v>
      </c>
      <c r="NB5" s="3">
        <f ca="1">IFERROR(__xludf.DUMMYFUNCTION("""COMPUTED_VALUE"""),-0.798523044962807)</f>
        <v>-0.79852304496280702</v>
      </c>
      <c r="NC5" s="3">
        <f ca="1">IFERROR(__xludf.DUMMYFUNCTION("""COMPUTED_VALUE"""),-0.772552296095666)</f>
        <v>-0.772552296095666</v>
      </c>
      <c r="ND5" s="3">
        <f ca="1">IFERROR(__xludf.DUMMYFUNCTION("""COMPUTED_VALUE"""),-0.783448531011236)</f>
        <v>-0.78344853101123602</v>
      </c>
      <c r="NE5" s="3">
        <f ca="1">IFERROR(__xludf.DUMMYFUNCTION("""COMPUTED_VALUE"""),-0.786007131115468)</f>
        <v>-0.78600713111546805</v>
      </c>
      <c r="NF5" s="3">
        <f ca="1">IFERROR(__xludf.DUMMYFUNCTION("""COMPUTED_VALUE"""),-0.764904662911379)</f>
        <v>-0.76490466291137904</v>
      </c>
      <c r="NG5" s="3">
        <f ca="1">IFERROR(__xludf.DUMMYFUNCTION("""COMPUTED_VALUE"""),-0.767131582839081)</f>
        <v>-0.76713158283908101</v>
      </c>
      <c r="NH5" s="3">
        <f ca="1">IFERROR(__xludf.DUMMYFUNCTION("""COMPUTED_VALUE"""),-0.817148256496775)</f>
        <v>-0.81714825649677503</v>
      </c>
      <c r="NI5" s="3">
        <f ca="1">IFERROR(__xludf.DUMMYFUNCTION("""COMPUTED_VALUE"""),-0.827867864583682)</f>
        <v>-0.827867864583682</v>
      </c>
      <c r="NJ5" s="3">
        <f ca="1">IFERROR(__xludf.DUMMYFUNCTION("""COMPUTED_VALUE"""),-0.810707278347661)</f>
        <v>-0.81070727834766099</v>
      </c>
      <c r="NK5" s="3">
        <f ca="1">IFERROR(__xludf.DUMMYFUNCTION("""COMPUTED_VALUE"""),-0.808482305261502)</f>
        <v>-0.808482305261502</v>
      </c>
      <c r="NL5" s="3">
        <f ca="1">IFERROR(__xludf.DUMMYFUNCTION("""COMPUTED_VALUE"""),-0.799161113198161)</f>
        <v>-0.79916111319816097</v>
      </c>
      <c r="NM5" s="3">
        <f ca="1">IFERROR(__xludf.DUMMYFUNCTION("""COMPUTED_VALUE"""),-0.780201028902085)</f>
        <v>-0.78020102890208498</v>
      </c>
      <c r="NN5" s="3">
        <f ca="1">IFERROR(__xludf.DUMMYFUNCTION("""COMPUTED_VALUE"""),-0.743637154256101)</f>
        <v>-0.743637154256101</v>
      </c>
      <c r="NO5" s="3">
        <f ca="1">IFERROR(__xludf.DUMMYFUNCTION("""COMPUTED_VALUE"""),-0.837800224669415)</f>
        <v>-0.83780022466941495</v>
      </c>
      <c r="NP5" s="3">
        <f ca="1">IFERROR(__xludf.DUMMYFUNCTION("""COMPUTED_VALUE"""),-0.829470328274472)</f>
        <v>-0.82947032827447198</v>
      </c>
      <c r="NQ5" s="3">
        <f ca="1">IFERROR(__xludf.DUMMYFUNCTION("""COMPUTED_VALUE"""),-0.811914495481493)</f>
        <v>-0.81191449548149297</v>
      </c>
      <c r="NR5" s="3">
        <f ca="1">IFERROR(__xludf.DUMMYFUNCTION("""COMPUTED_VALUE"""),-0.795041825222986)</f>
        <v>-0.79504182522298605</v>
      </c>
      <c r="NS5" s="3">
        <f ca="1">IFERROR(__xludf.DUMMYFUNCTION("""COMPUTED_VALUE"""),-0.799377680008987)</f>
        <v>-0.79937768000898701</v>
      </c>
      <c r="NT5" s="3">
        <f ca="1">IFERROR(__xludf.DUMMYFUNCTION("""COMPUTED_VALUE"""),-0.742110012448979)</f>
        <v>-0.74211001244897901</v>
      </c>
      <c r="NU5" s="3">
        <f ca="1">IFERROR(__xludf.DUMMYFUNCTION("""COMPUTED_VALUE"""),-0.753548655407085)</f>
        <v>-0.75354865540708504</v>
      </c>
      <c r="NV5" s="3">
        <f ca="1">IFERROR(__xludf.DUMMYFUNCTION("""COMPUTED_VALUE"""),-0.802231488802318)</f>
        <v>-0.80223148880231798</v>
      </c>
      <c r="NW5" s="3">
        <f ca="1">IFERROR(__xludf.DUMMYFUNCTION("""COMPUTED_VALUE"""),-0.797494242839359)</f>
        <v>-0.79749424283935899</v>
      </c>
      <c r="NX5" s="3">
        <f ca="1">IFERROR(__xludf.DUMMYFUNCTION("""COMPUTED_VALUE"""),-0.781287680522094)</f>
        <v>-0.78128768052209396</v>
      </c>
      <c r="NY5" s="3">
        <f ca="1">IFERROR(__xludf.DUMMYFUNCTION("""COMPUTED_VALUE"""),-0.759158584272109)</f>
        <v>-0.75915858427210903</v>
      </c>
      <c r="NZ5" s="3">
        <f ca="1">IFERROR(__xludf.DUMMYFUNCTION("""COMPUTED_VALUE"""),-0.766232452846592)</f>
        <v>-0.76623245284659203</v>
      </c>
      <c r="OA5" s="3">
        <f ca="1">IFERROR(__xludf.DUMMYFUNCTION("""COMPUTED_VALUE"""),-0.651828545290226)</f>
        <v>-0.65182854529022605</v>
      </c>
      <c r="OB5" s="3">
        <f ca="1">IFERROR(__xludf.DUMMYFUNCTION("""COMPUTED_VALUE"""),-0.407709303719207)</f>
        <v>-0.40770930371920699</v>
      </c>
      <c r="OC5" s="3">
        <f ca="1">IFERROR(__xludf.DUMMYFUNCTION("""COMPUTED_VALUE"""),-0.302372381946919)</f>
        <v>-0.30237238194691901</v>
      </c>
      <c r="OD5" s="3">
        <f ca="1">IFERROR(__xludf.DUMMYFUNCTION("""COMPUTED_VALUE"""),-0.215321055099838)</f>
        <v>-0.21532105509983801</v>
      </c>
      <c r="OE5" s="3">
        <f ca="1">IFERROR(__xludf.DUMMYFUNCTION("""COMPUTED_VALUE"""),-0.0447743460948147)</f>
        <v>-4.4774346094814697E-2</v>
      </c>
      <c r="OF5" s="3">
        <f ca="1">IFERROR(__xludf.DUMMYFUNCTION("""COMPUTED_VALUE"""),-0.0290462563444174)</f>
        <v>-2.90462563444174E-2</v>
      </c>
      <c r="OG5" s="3">
        <f ca="1">IFERROR(__xludf.DUMMYFUNCTION("""COMPUTED_VALUE"""),0.0153483830034586)</f>
        <v>1.53483830034586E-2</v>
      </c>
      <c r="OH5" s="3">
        <f ca="1">IFERROR(__xludf.DUMMYFUNCTION("""COMPUTED_VALUE"""),0.00441788979580404)</f>
        <v>4.4178897958040402E-3</v>
      </c>
      <c r="OI5" s="3">
        <f ca="1">IFERROR(__xludf.DUMMYFUNCTION("""COMPUTED_VALUE"""),0.0113768622639249)</f>
        <v>1.1376862263924901E-2</v>
      </c>
      <c r="OJ5" s="3">
        <f ca="1">IFERROR(__xludf.DUMMYFUNCTION("""COMPUTED_VALUE"""),-0.0715373040186487)</f>
        <v>-7.1537304018648704E-2</v>
      </c>
      <c r="OK5" s="3">
        <f ca="1">IFERROR(__xludf.DUMMYFUNCTION("""COMPUTED_VALUE"""),0.0336572945786677)</f>
        <v>3.3657294578667701E-2</v>
      </c>
      <c r="OL5" s="3">
        <f ca="1">IFERROR(__xludf.DUMMYFUNCTION("""COMPUTED_VALUE"""),0.0940470449827299)</f>
        <v>9.4047044982729894E-2</v>
      </c>
      <c r="OM5" s="3">
        <f ca="1">IFERROR(__xludf.DUMMYFUNCTION("""COMPUTED_VALUE"""),0.0376278756778907)</f>
        <v>3.76278756778907E-2</v>
      </c>
      <c r="ON5" s="3">
        <f ca="1">IFERROR(__xludf.DUMMYFUNCTION("""COMPUTED_VALUE"""),0.0668624459329783)</f>
        <v>6.6862445932978298E-2</v>
      </c>
      <c r="OO5" s="3">
        <f ca="1">IFERROR(__xludf.DUMMYFUNCTION("""COMPUTED_VALUE"""),0.112863148666783)</f>
        <v>0.112863148666783</v>
      </c>
      <c r="OP5" s="3">
        <f ca="1">IFERROR(__xludf.DUMMYFUNCTION("""COMPUTED_VALUE"""),0.0965267204032724)</f>
        <v>9.6526720403272398E-2</v>
      </c>
      <c r="OQ5" s="3">
        <f ca="1">IFERROR(__xludf.DUMMYFUNCTION("""COMPUTED_VALUE"""),-0.0765703372181164)</f>
        <v>-7.6570337218116402E-2</v>
      </c>
      <c r="OR5" s="3">
        <f ca="1">IFERROR(__xludf.DUMMYFUNCTION("""COMPUTED_VALUE"""),0.0620180200978524)</f>
        <v>6.20180200978524E-2</v>
      </c>
      <c r="OS5" s="3">
        <f ca="1">IFERROR(__xludf.DUMMYFUNCTION("""COMPUTED_VALUE"""),0.128351033494546)</f>
        <v>0.12835103349454599</v>
      </c>
      <c r="OT5" s="3">
        <f ca="1">IFERROR(__xludf.DUMMYFUNCTION("""COMPUTED_VALUE"""),0.0721741058222611)</f>
        <v>7.2174105822261095E-2</v>
      </c>
      <c r="OU5" s="3">
        <f ca="1">IFERROR(__xludf.DUMMYFUNCTION("""COMPUTED_VALUE"""),0.0769103047765025)</f>
        <v>7.69103047765025E-2</v>
      </c>
      <c r="OV5" s="3">
        <f ca="1">IFERROR(__xludf.DUMMYFUNCTION("""COMPUTED_VALUE"""),0.0898056181926236)</f>
        <v>8.9805618192623601E-2</v>
      </c>
      <c r="OW5" s="3">
        <f ca="1">IFERROR(__xludf.DUMMYFUNCTION("""COMPUTED_VALUE"""),0.0624427386663419)</f>
        <v>6.2442738666341903E-2</v>
      </c>
      <c r="OX5" s="3">
        <f ca="1">IFERROR(__xludf.DUMMYFUNCTION("""COMPUTED_VALUE"""),-0.0458568610566039)</f>
        <v>-4.5856861056603901E-2</v>
      </c>
      <c r="OY5" s="3">
        <f ca="1">IFERROR(__xludf.DUMMYFUNCTION("""COMPUTED_VALUE"""),-0.0535263551488086)</f>
        <v>-5.3526355148808602E-2</v>
      </c>
      <c r="OZ5" s="3">
        <f ca="1">IFERROR(__xludf.DUMMYFUNCTION("""COMPUTED_VALUE"""),-0.0628400595696598)</f>
        <v>-6.2840059569659795E-2</v>
      </c>
      <c r="PA5" s="3">
        <f ca="1">IFERROR(__xludf.DUMMYFUNCTION("""COMPUTED_VALUE"""),-0.0340512590192675)</f>
        <v>-3.4051259019267498E-2</v>
      </c>
      <c r="PB5" s="3">
        <f ca="1">IFERROR(__xludf.DUMMYFUNCTION("""COMPUTED_VALUE"""),-0.0668693437568088)</f>
        <v>-6.6869343756808794E-2</v>
      </c>
      <c r="PC5" s="3">
        <f ca="1">IFERROR(__xludf.DUMMYFUNCTION("""COMPUTED_VALUE"""),-0.00200718462213578)</f>
        <v>-2.0071846221357799E-3</v>
      </c>
      <c r="PD5" s="3">
        <f ca="1">IFERROR(__xludf.DUMMYFUNCTION("""COMPUTED_VALUE"""),-0.000632235258681501)</f>
        <v>-6.32235258681501E-4</v>
      </c>
      <c r="PE5" s="3">
        <f ca="1">IFERROR(__xludf.DUMMYFUNCTION("""COMPUTED_VALUE"""),0.00876115605603167)</f>
        <v>8.7611560560316697E-3</v>
      </c>
      <c r="PF5" s="3">
        <f ca="1">IFERROR(__xludf.DUMMYFUNCTION("""COMPUTED_VALUE"""),-0.0644160596479106)</f>
        <v>-6.4416059647910598E-2</v>
      </c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</row>
    <row r="6" spans="1:476" ht="15.75" customHeight="1">
      <c r="A6" s="1" t="str">
        <f ca="1">IFERROR(__xludf.DUMMYFUNCTION("""COMPUTED_VALUE"""),"Canada")</f>
        <v>Canada</v>
      </c>
      <c r="B6" s="3">
        <f ca="1">IFERROR(__xludf.DUMMYFUNCTION("""COMPUTED_VALUE"""),-0.587654333045542)</f>
        <v>-0.58765433304554204</v>
      </c>
      <c r="C6" s="3">
        <f ca="1">IFERROR(__xludf.DUMMYFUNCTION("""COMPUTED_VALUE"""),-0.597667843051725)</f>
        <v>-0.59766784305172505</v>
      </c>
      <c r="D6" s="3">
        <f ca="1">IFERROR(__xludf.DUMMYFUNCTION("""COMPUTED_VALUE"""),-0.650184803294631)</f>
        <v>-0.65018480329463102</v>
      </c>
      <c r="E6" s="3">
        <f ca="1">IFERROR(__xludf.DUMMYFUNCTION("""COMPUTED_VALUE"""),-0.632593192060621)</f>
        <v>-0.63259319206062103</v>
      </c>
      <c r="F6" s="3">
        <f ca="1">IFERROR(__xludf.DUMMYFUNCTION("""COMPUTED_VALUE"""),-0.627094411828375)</f>
        <v>-0.627094411828375</v>
      </c>
      <c r="G6" s="3">
        <f ca="1">IFERROR(__xludf.DUMMYFUNCTION("""COMPUTED_VALUE"""),-0.649163662686508)</f>
        <v>-0.64916366268650805</v>
      </c>
      <c r="H6" s="3">
        <f ca="1">IFERROR(__xludf.DUMMYFUNCTION("""COMPUTED_VALUE"""),-0.616357238298846)</f>
        <v>-0.61635723829884603</v>
      </c>
      <c r="I6" s="3">
        <f ca="1">IFERROR(__xludf.DUMMYFUNCTION("""COMPUTED_VALUE"""),-0.60743419735697)</f>
        <v>-0.60743419735697002</v>
      </c>
      <c r="J6" s="3">
        <f ca="1">IFERROR(__xludf.DUMMYFUNCTION("""COMPUTED_VALUE"""),-0.702182713975067)</f>
        <v>-0.70218271397506704</v>
      </c>
      <c r="K6" s="3">
        <f ca="1">IFERROR(__xludf.DUMMYFUNCTION("""COMPUTED_VALUE"""),-0.619549648124013)</f>
        <v>-0.61954964812401303</v>
      </c>
      <c r="L6" s="3">
        <f ca="1">IFERROR(__xludf.DUMMYFUNCTION("""COMPUTED_VALUE"""),-0.630471274260457)</f>
        <v>-0.63047127426045702</v>
      </c>
      <c r="M6" s="3">
        <f ca="1">IFERROR(__xludf.DUMMYFUNCTION("""COMPUTED_VALUE"""),-0.625353913211246)</f>
        <v>-0.625353913211246</v>
      </c>
      <c r="N6" s="3">
        <f ca="1">IFERROR(__xludf.DUMMYFUNCTION("""COMPUTED_VALUE"""),-0.625916479889291)</f>
        <v>-0.625916479889291</v>
      </c>
      <c r="O6" s="3">
        <f ca="1">IFERROR(__xludf.DUMMYFUNCTION("""COMPUTED_VALUE"""),-0.580437414528062)</f>
        <v>-0.58043741452806197</v>
      </c>
      <c r="P6" s="3">
        <f ca="1">IFERROR(__xludf.DUMMYFUNCTION("""COMPUTED_VALUE"""),-0.573368328865688)</f>
        <v>-0.573368328865688</v>
      </c>
      <c r="Q6" s="3">
        <f ca="1">IFERROR(__xludf.DUMMYFUNCTION("""COMPUTED_VALUE"""),-0.652052460915763)</f>
        <v>-0.65205246091576297</v>
      </c>
      <c r="R6" s="3">
        <f ca="1">IFERROR(__xludf.DUMMYFUNCTION("""COMPUTED_VALUE"""),-0.636701117063489)</f>
        <v>-0.63670111706348897</v>
      </c>
      <c r="S6" s="3">
        <f ca="1">IFERROR(__xludf.DUMMYFUNCTION("""COMPUTED_VALUE"""),-0.653884845597827)</f>
        <v>-0.653884845597827</v>
      </c>
      <c r="T6" s="3">
        <f ca="1">IFERROR(__xludf.DUMMYFUNCTION("""COMPUTED_VALUE"""),-0.64046463797917)</f>
        <v>-0.64046463797916997</v>
      </c>
      <c r="U6" s="3">
        <f ca="1">IFERROR(__xludf.DUMMYFUNCTION("""COMPUTED_VALUE"""),-0.628550636067403)</f>
        <v>-0.62855063606740302</v>
      </c>
      <c r="V6" s="3">
        <f ca="1">IFERROR(__xludf.DUMMYFUNCTION("""COMPUTED_VALUE"""),-0.55390203070719)</f>
        <v>-0.55390203070719002</v>
      </c>
      <c r="W6" s="3">
        <f ca="1">IFERROR(__xludf.DUMMYFUNCTION("""COMPUTED_VALUE"""),-0.568429245807372)</f>
        <v>-0.56842924580737197</v>
      </c>
      <c r="X6" s="3">
        <f ca="1">IFERROR(__xludf.DUMMYFUNCTION("""COMPUTED_VALUE"""),-0.644481116732393)</f>
        <v>-0.64448111673239294</v>
      </c>
      <c r="Y6" s="3">
        <f ca="1">IFERROR(__xludf.DUMMYFUNCTION("""COMPUTED_VALUE"""),-0.655585604019596)</f>
        <v>-0.65558560401959598</v>
      </c>
      <c r="Z6" s="3">
        <f ca="1">IFERROR(__xludf.DUMMYFUNCTION("""COMPUTED_VALUE"""),-0.650855043489599)</f>
        <v>-0.65085504348959899</v>
      </c>
      <c r="AA6" s="3">
        <f ca="1">IFERROR(__xludf.DUMMYFUNCTION("""COMPUTED_VALUE"""),-0.654072496732258)</f>
        <v>-0.65407249673225798</v>
      </c>
      <c r="AB6" s="3">
        <f ca="1">IFERROR(__xludf.DUMMYFUNCTION("""COMPUTED_VALUE"""),-0.643044824297853)</f>
        <v>-0.64304482429785303</v>
      </c>
      <c r="AC6" s="3">
        <f ca="1">IFERROR(__xludf.DUMMYFUNCTION("""COMPUTED_VALUE"""),-0.581045362836175)</f>
        <v>-0.58104536283617503</v>
      </c>
      <c r="AD6" s="3">
        <f ca="1">IFERROR(__xludf.DUMMYFUNCTION("""COMPUTED_VALUE"""),-0.582210786149362)</f>
        <v>-0.58221078614936195</v>
      </c>
      <c r="AE6" s="3">
        <f ca="1">IFERROR(__xludf.DUMMYFUNCTION("""COMPUTED_VALUE"""),-0.655693981257976)</f>
        <v>-0.65569398125797596</v>
      </c>
      <c r="AF6" s="3">
        <f ca="1">IFERROR(__xludf.DUMMYFUNCTION("""COMPUTED_VALUE"""),-0.659526385806218)</f>
        <v>-0.65952638580621803</v>
      </c>
      <c r="AG6" s="3">
        <f ca="1">IFERROR(__xludf.DUMMYFUNCTION("""COMPUTED_VALUE"""),-0.654913545249523)</f>
        <v>-0.65491354524952305</v>
      </c>
      <c r="AH6" s="3">
        <f ca="1">IFERROR(__xludf.DUMMYFUNCTION("""COMPUTED_VALUE"""),-0.665795202833193)</f>
        <v>-0.66579520283319304</v>
      </c>
      <c r="AI6" s="3">
        <f ca="1">IFERROR(__xludf.DUMMYFUNCTION("""COMPUTED_VALUE"""),-0.65290517995549)</f>
        <v>-0.65290517995549002</v>
      </c>
      <c r="AJ6" s="3">
        <f ca="1">IFERROR(__xludf.DUMMYFUNCTION("""COMPUTED_VALUE"""),-0.591709834417128)</f>
        <v>-0.59170983441712799</v>
      </c>
      <c r="AK6" s="3">
        <f ca="1">IFERROR(__xludf.DUMMYFUNCTION("""COMPUTED_VALUE"""),-0.610835952303362)</f>
        <v>-0.61083595230336196</v>
      </c>
      <c r="AL6" s="3">
        <f ca="1">IFERROR(__xludf.DUMMYFUNCTION("""COMPUTED_VALUE"""),-0.66544277927206)</f>
        <v>-0.66544277927205997</v>
      </c>
      <c r="AM6" s="3">
        <f ca="1">IFERROR(__xludf.DUMMYFUNCTION("""COMPUTED_VALUE"""),-0.673828300996591)</f>
        <v>-0.67382830099659097</v>
      </c>
      <c r="AN6" s="3">
        <f ca="1">IFERROR(__xludf.DUMMYFUNCTION("""COMPUTED_VALUE"""),-0.66252604813751)</f>
        <v>-0.66252604813751004</v>
      </c>
      <c r="AO6" s="3">
        <f ca="1">IFERROR(__xludf.DUMMYFUNCTION("""COMPUTED_VALUE"""),-0.671447816490437)</f>
        <v>-0.67144781649043705</v>
      </c>
      <c r="AP6" s="3">
        <f ca="1">IFERROR(__xludf.DUMMYFUNCTION("""COMPUTED_VALUE"""),-0.650944860867899)</f>
        <v>-0.65094486086789904</v>
      </c>
      <c r="AQ6" s="3">
        <f ca="1">IFERROR(__xludf.DUMMYFUNCTION("""COMPUTED_VALUE"""),-0.573874181458333)</f>
        <v>-0.57387418145833302</v>
      </c>
      <c r="AR6" s="3">
        <f ca="1">IFERROR(__xludf.DUMMYFUNCTION("""COMPUTED_VALUE"""),-0.605101530123372)</f>
        <v>-0.60510153012337198</v>
      </c>
      <c r="AS6" s="3">
        <f ca="1">IFERROR(__xludf.DUMMYFUNCTION("""COMPUTED_VALUE"""),-0.65522580770402)</f>
        <v>-0.65522580770401995</v>
      </c>
      <c r="AT6" s="3">
        <f ca="1">IFERROR(__xludf.DUMMYFUNCTION("""COMPUTED_VALUE"""),-0.672896593193822)</f>
        <v>-0.672896593193822</v>
      </c>
      <c r="AU6" s="3">
        <f ca="1">IFERROR(__xludf.DUMMYFUNCTION("""COMPUTED_VALUE"""),-0.663968734591879)</f>
        <v>-0.663968734591879</v>
      </c>
      <c r="AV6" s="3">
        <f ca="1">IFERROR(__xludf.DUMMYFUNCTION("""COMPUTED_VALUE"""),-0.676563799968207)</f>
        <v>-0.67656379996820704</v>
      </c>
      <c r="AW6" s="3">
        <f ca="1">IFERROR(__xludf.DUMMYFUNCTION("""COMPUTED_VALUE"""),-0.620199290200407)</f>
        <v>-0.62019929020040698</v>
      </c>
      <c r="AX6" s="3">
        <f ca="1">IFERROR(__xludf.DUMMYFUNCTION("""COMPUTED_VALUE"""),-0.606184898160163)</f>
        <v>-0.60618489816016297</v>
      </c>
      <c r="AY6" s="3">
        <f ca="1">IFERROR(__xludf.DUMMYFUNCTION("""COMPUTED_VALUE"""),-0.619513866162286)</f>
        <v>-0.61951386616228599</v>
      </c>
      <c r="AZ6" s="3">
        <f ca="1">IFERROR(__xludf.DUMMYFUNCTION("""COMPUTED_VALUE"""),-0.670168585002613)</f>
        <v>-0.670168585002613</v>
      </c>
      <c r="BA6" s="3">
        <f ca="1">IFERROR(__xludf.DUMMYFUNCTION("""COMPUTED_VALUE"""),-0.699160756752122)</f>
        <v>-0.69916075675212197</v>
      </c>
      <c r="BB6" s="3">
        <f ca="1">IFERROR(__xludf.DUMMYFUNCTION("""COMPUTED_VALUE"""),-0.654788486296361)</f>
        <v>-0.65478848629636099</v>
      </c>
      <c r="BC6" s="3">
        <f ca="1">IFERROR(__xludf.DUMMYFUNCTION("""COMPUTED_VALUE"""),-0.660465212571931)</f>
        <v>-0.66046521257193103</v>
      </c>
      <c r="BD6" s="3">
        <f ca="1">IFERROR(__xludf.DUMMYFUNCTION("""COMPUTED_VALUE"""),-0.72254755477766)</f>
        <v>-0.72254755477765997</v>
      </c>
      <c r="BE6" s="3">
        <f ca="1">IFERROR(__xludf.DUMMYFUNCTION("""COMPUTED_VALUE"""),-0.594931043231185)</f>
        <v>-0.59493104323118495</v>
      </c>
      <c r="BF6" s="3">
        <f ca="1">IFERROR(__xludf.DUMMYFUNCTION("""COMPUTED_VALUE"""),-0.634161501425718)</f>
        <v>-0.63416150142571803</v>
      </c>
      <c r="BG6" s="3">
        <f ca="1">IFERROR(__xludf.DUMMYFUNCTION("""COMPUTED_VALUE"""),-0.70823353793191)</f>
        <v>-0.70823353793191002</v>
      </c>
      <c r="BH6" s="3">
        <f ca="1">IFERROR(__xludf.DUMMYFUNCTION("""COMPUTED_VALUE"""),-0.72187512158875)</f>
        <v>-0.72187512158875</v>
      </c>
      <c r="BI6" s="3">
        <f ca="1">IFERROR(__xludf.DUMMYFUNCTION("""COMPUTED_VALUE"""),-0.717324789056379)</f>
        <v>-0.71732478905637898</v>
      </c>
      <c r="BJ6" s="3">
        <f ca="1">IFERROR(__xludf.DUMMYFUNCTION("""COMPUTED_VALUE"""),-0.707962079482017)</f>
        <v>-0.70796207948201695</v>
      </c>
      <c r="BK6" s="3">
        <f ca="1">IFERROR(__xludf.DUMMYFUNCTION("""COMPUTED_VALUE"""),-0.683861659040139)</f>
        <v>-0.68386165904013896</v>
      </c>
      <c r="BL6" s="3">
        <f ca="1">IFERROR(__xludf.DUMMYFUNCTION("""COMPUTED_VALUE"""),-0.658248305940201)</f>
        <v>-0.65824830594020101</v>
      </c>
      <c r="BM6" s="3">
        <f ca="1">IFERROR(__xludf.DUMMYFUNCTION("""COMPUTED_VALUE"""),-0.673780703817288)</f>
        <v>-0.67378070381728805</v>
      </c>
      <c r="BN6" s="3">
        <f ca="1">IFERROR(__xludf.DUMMYFUNCTION("""COMPUTED_VALUE"""),-0.712598569502766)</f>
        <v>-0.71259856950276601</v>
      </c>
      <c r="BO6" s="3">
        <f ca="1">IFERROR(__xludf.DUMMYFUNCTION("""COMPUTED_VALUE"""),-0.7198075623513)</f>
        <v>-0.71980756235129995</v>
      </c>
      <c r="BP6" s="3">
        <f ca="1">IFERROR(__xludf.DUMMYFUNCTION("""COMPUTED_VALUE"""),-0.716375782507187)</f>
        <v>-0.71637578250718703</v>
      </c>
      <c r="BQ6" s="3">
        <f ca="1">IFERROR(__xludf.DUMMYFUNCTION("""COMPUTED_VALUE"""),-0.732428890828114)</f>
        <v>-0.73242889082811402</v>
      </c>
      <c r="BR6" s="3">
        <f ca="1">IFERROR(__xludf.DUMMYFUNCTION("""COMPUTED_VALUE"""),-0.729367597757006)</f>
        <v>-0.72936759775700599</v>
      </c>
      <c r="BS6" s="3">
        <f ca="1">IFERROR(__xludf.DUMMYFUNCTION("""COMPUTED_VALUE"""),-0.670557840775931)</f>
        <v>-0.67055784077593095</v>
      </c>
      <c r="BT6" s="3">
        <f ca="1">IFERROR(__xludf.DUMMYFUNCTION("""COMPUTED_VALUE"""),-0.690671906446571)</f>
        <v>-0.69067190644657095</v>
      </c>
      <c r="BU6" s="3">
        <f ca="1">IFERROR(__xludf.DUMMYFUNCTION("""COMPUTED_VALUE"""),-0.742119603605162)</f>
        <v>-0.74211960360516205</v>
      </c>
      <c r="BV6" s="3">
        <f ca="1">IFERROR(__xludf.DUMMYFUNCTION("""COMPUTED_VALUE"""),-0.750571799257153)</f>
        <v>-0.75057179925715301</v>
      </c>
      <c r="BW6" s="3">
        <f ca="1">IFERROR(__xludf.DUMMYFUNCTION("""COMPUTED_VALUE"""),-0.747069990658217)</f>
        <v>-0.747069990658217</v>
      </c>
      <c r="BX6" s="3">
        <f ca="1">IFERROR(__xludf.DUMMYFUNCTION("""COMPUTED_VALUE"""),-0.74898009708513)</f>
        <v>-0.74898009708513003</v>
      </c>
      <c r="BY6" s="3">
        <f ca="1">IFERROR(__xludf.DUMMYFUNCTION("""COMPUTED_VALUE"""),-0.738262504033786)</f>
        <v>-0.73826250403378602</v>
      </c>
      <c r="BZ6" s="3">
        <f ca="1">IFERROR(__xludf.DUMMYFUNCTION("""COMPUTED_VALUE"""),-0.67644966102634)</f>
        <v>-0.67644966102633997</v>
      </c>
      <c r="CA6" s="3">
        <f ca="1">IFERROR(__xludf.DUMMYFUNCTION("""COMPUTED_VALUE"""),-0.676545532540547)</f>
        <v>-0.67654553254054695</v>
      </c>
      <c r="CB6" s="3">
        <f ca="1">IFERROR(__xludf.DUMMYFUNCTION("""COMPUTED_VALUE"""),-0.729709319061349)</f>
        <v>-0.72970931906134895</v>
      </c>
      <c r="CC6" s="3">
        <f ca="1">IFERROR(__xludf.DUMMYFUNCTION("""COMPUTED_VALUE"""),-0.736787209172223)</f>
        <v>-0.73678720917222296</v>
      </c>
      <c r="CD6" s="3">
        <f ca="1">IFERROR(__xludf.DUMMYFUNCTION("""COMPUTED_VALUE"""),-0.740072382121127)</f>
        <v>-0.74007238212112703</v>
      </c>
      <c r="CE6" s="3">
        <f ca="1">IFERROR(__xludf.DUMMYFUNCTION("""COMPUTED_VALUE"""),-0.740558934536839)</f>
        <v>-0.74055893453683896</v>
      </c>
      <c r="CF6" s="3">
        <f ca="1">IFERROR(__xludf.DUMMYFUNCTION("""COMPUTED_VALUE"""),-0.729326290178897)</f>
        <v>-0.72932629017889705</v>
      </c>
      <c r="CG6" s="3">
        <f ca="1">IFERROR(__xludf.DUMMYFUNCTION("""COMPUTED_VALUE"""),-0.657671482860387)</f>
        <v>-0.65767148286038701</v>
      </c>
      <c r="CH6" s="3">
        <f ca="1">IFERROR(__xludf.DUMMYFUNCTION("""COMPUTED_VALUE"""),-0.670379421817396)</f>
        <v>-0.67037942181739596</v>
      </c>
      <c r="CI6" s="3">
        <f ca="1">IFERROR(__xludf.DUMMYFUNCTION("""COMPUTED_VALUE"""),-0.739284344484473)</f>
        <v>-0.739284344484473</v>
      </c>
      <c r="CJ6" s="3">
        <f ca="1">IFERROR(__xludf.DUMMYFUNCTION("""COMPUTED_VALUE"""),-0.749112660835855)</f>
        <v>-0.74911266083585504</v>
      </c>
      <c r="CK6" s="3">
        <f ca="1">IFERROR(__xludf.DUMMYFUNCTION("""COMPUTED_VALUE"""),-0.742506267897825)</f>
        <v>-0.74250626789782503</v>
      </c>
      <c r="CL6" s="3">
        <f ca="1">IFERROR(__xludf.DUMMYFUNCTION("""COMPUTED_VALUE"""),-0.743417885243609)</f>
        <v>-0.74341788524360897</v>
      </c>
      <c r="CM6" s="3">
        <f ca="1">IFERROR(__xludf.DUMMYFUNCTION("""COMPUTED_VALUE"""),-0.732975980507392)</f>
        <v>-0.73297598050739199</v>
      </c>
      <c r="CN6" s="3">
        <f ca="1">IFERROR(__xludf.DUMMYFUNCTION("""COMPUTED_VALUE"""),-0.648850414574971)</f>
        <v>-0.64885041457497095</v>
      </c>
      <c r="CO6" s="3">
        <f ca="1">IFERROR(__xludf.DUMMYFUNCTION("""COMPUTED_VALUE"""),-0.64512700641411)</f>
        <v>-0.64512700641411003</v>
      </c>
      <c r="CP6" s="3">
        <f ca="1">IFERROR(__xludf.DUMMYFUNCTION("""COMPUTED_VALUE"""),-0.712367746568018)</f>
        <v>-0.71236774656801805</v>
      </c>
      <c r="CQ6" s="3">
        <f ca="1">IFERROR(__xludf.DUMMYFUNCTION("""COMPUTED_VALUE"""),-0.712845043584469)</f>
        <v>-0.71284504358446898</v>
      </c>
      <c r="CR6" s="3">
        <f ca="1">IFERROR(__xludf.DUMMYFUNCTION("""COMPUTED_VALUE"""),-0.682452112601304)</f>
        <v>-0.68245211260130401</v>
      </c>
      <c r="CS6" s="3">
        <f ca="1">IFERROR(__xludf.DUMMYFUNCTION("""COMPUTED_VALUE"""),-0.702479323766349)</f>
        <v>-0.70247932376634903</v>
      </c>
      <c r="CT6" s="3">
        <f ca="1">IFERROR(__xludf.DUMMYFUNCTION("""COMPUTED_VALUE"""),-0.693392014938795)</f>
        <v>-0.69339201493879499</v>
      </c>
      <c r="CU6" s="3">
        <f ca="1">IFERROR(__xludf.DUMMYFUNCTION("""COMPUTED_VALUE"""),-0.633049800980022)</f>
        <v>-0.63304980098002195</v>
      </c>
      <c r="CV6" s="3">
        <f ca="1">IFERROR(__xludf.DUMMYFUNCTION("""COMPUTED_VALUE"""),-0.673603852445809)</f>
        <v>-0.673603852445809</v>
      </c>
      <c r="CW6" s="3">
        <f ca="1">IFERROR(__xludf.DUMMYFUNCTION("""COMPUTED_VALUE"""),-0.799937201443699)</f>
        <v>-0.79993720144369895</v>
      </c>
      <c r="CX6" s="3">
        <f ca="1">IFERROR(__xludf.DUMMYFUNCTION("""COMPUTED_VALUE"""),-0.680730573359257)</f>
        <v>-0.68073057335925702</v>
      </c>
      <c r="CY6" s="3">
        <f ca="1">IFERROR(__xludf.DUMMYFUNCTION("""COMPUTED_VALUE"""),-0.589049838195781)</f>
        <v>-0.58904983819578105</v>
      </c>
      <c r="CZ6" s="3">
        <f ca="1">IFERROR(__xludf.DUMMYFUNCTION("""COMPUTED_VALUE"""),-0.677669130642365)</f>
        <v>-0.677669130642365</v>
      </c>
      <c r="DA6" s="3">
        <f ca="1">IFERROR(__xludf.DUMMYFUNCTION("""COMPUTED_VALUE"""),-0.712342017829261)</f>
        <v>-0.71234201782926099</v>
      </c>
      <c r="DB6" s="3">
        <f ca="1">IFERROR(__xludf.DUMMYFUNCTION("""COMPUTED_VALUE"""),-0.639302048294855)</f>
        <v>-0.63930204829485504</v>
      </c>
      <c r="DC6" s="3">
        <f ca="1">IFERROR(__xludf.DUMMYFUNCTION("""COMPUTED_VALUE"""),-0.687187341025173)</f>
        <v>-0.68718734102517298</v>
      </c>
      <c r="DD6" s="3">
        <f ca="1">IFERROR(__xludf.DUMMYFUNCTION("""COMPUTED_VALUE"""),-0.82976392449491)</f>
        <v>-0.82976392449490999</v>
      </c>
      <c r="DE6" s="3">
        <f ca="1">IFERROR(__xludf.DUMMYFUNCTION("""COMPUTED_VALUE"""),-0.634215707674739)</f>
        <v>-0.634215707674739</v>
      </c>
      <c r="DF6" s="3">
        <f ca="1">IFERROR(__xludf.DUMMYFUNCTION("""COMPUTED_VALUE"""),-0.418621816632055)</f>
        <v>-0.418621816632055</v>
      </c>
      <c r="DG6" s="3">
        <f ca="1">IFERROR(__xludf.DUMMYFUNCTION("""COMPUTED_VALUE"""),-0.558971800240846)</f>
        <v>-0.55897180024084603</v>
      </c>
      <c r="DH6" s="3">
        <f ca="1">IFERROR(__xludf.DUMMYFUNCTION("""COMPUTED_VALUE"""),-0.596814758002682)</f>
        <v>-0.59681475800268202</v>
      </c>
      <c r="DI6" s="3">
        <f ca="1">IFERROR(__xludf.DUMMYFUNCTION("""COMPUTED_VALUE"""),-0.57610526085486)</f>
        <v>-0.57610526085486002</v>
      </c>
      <c r="DJ6" s="3">
        <f ca="1">IFERROR(__xludf.DUMMYFUNCTION("""COMPUTED_VALUE"""),-0.591256404283199)</f>
        <v>-0.59125640428319903</v>
      </c>
      <c r="DK6" s="3">
        <f ca="1">IFERROR(__xludf.DUMMYFUNCTION("""COMPUTED_VALUE"""),-0.631919686534781)</f>
        <v>-0.63191968653478103</v>
      </c>
      <c r="DL6" s="3">
        <f ca="1">IFERROR(__xludf.DUMMYFUNCTION("""COMPUTED_VALUE"""),-0.622865567284047)</f>
        <v>-0.62286556728404696</v>
      </c>
      <c r="DM6" s="3">
        <f ca="1">IFERROR(__xludf.DUMMYFUNCTION("""COMPUTED_VALUE"""),-0.576564630006002)</f>
        <v>-0.576564630006002</v>
      </c>
      <c r="DN6" s="3">
        <f ca="1">IFERROR(__xludf.DUMMYFUNCTION("""COMPUTED_VALUE"""),-0.619132270804193)</f>
        <v>-0.61913227080419297</v>
      </c>
      <c r="DO6" s="3">
        <f ca="1">IFERROR(__xludf.DUMMYFUNCTION("""COMPUTED_VALUE"""),-0.638914722225652)</f>
        <v>-0.63891472222565204</v>
      </c>
      <c r="DP6" s="3">
        <f ca="1">IFERROR(__xludf.DUMMYFUNCTION("""COMPUTED_VALUE"""),-0.616025335043751)</f>
        <v>-0.61602533504375101</v>
      </c>
      <c r="DQ6" s="3">
        <f ca="1">IFERROR(__xludf.DUMMYFUNCTION("""COMPUTED_VALUE"""),-0.618162140635397)</f>
        <v>-0.61816214063539698</v>
      </c>
      <c r="DR6" s="3">
        <f ca="1">IFERROR(__xludf.DUMMYFUNCTION("""COMPUTED_VALUE"""),-0.660733101735733)</f>
        <v>-0.66073310173573296</v>
      </c>
      <c r="DS6" s="3">
        <f ca="1">IFERROR(__xludf.DUMMYFUNCTION("""COMPUTED_VALUE"""),-0.655103084625002)</f>
        <v>-0.655103084625002</v>
      </c>
      <c r="DT6" s="3">
        <f ca="1">IFERROR(__xludf.DUMMYFUNCTION("""COMPUTED_VALUE"""),-0.670635212652604)</f>
        <v>-0.67063521265260395</v>
      </c>
      <c r="DU6" s="3">
        <f ca="1">IFERROR(__xludf.DUMMYFUNCTION("""COMPUTED_VALUE"""),-0.671926338727004)</f>
        <v>-0.67192633872700402</v>
      </c>
      <c r="DV6" s="3">
        <f ca="1">IFERROR(__xludf.DUMMYFUNCTION("""COMPUTED_VALUE"""),-0.672974515032289)</f>
        <v>-0.672974515032289</v>
      </c>
      <c r="DW6" s="3">
        <f ca="1">IFERROR(__xludf.DUMMYFUNCTION("""COMPUTED_VALUE"""),-0.608124564614869)</f>
        <v>-0.60812456461486897</v>
      </c>
      <c r="DX6" s="3">
        <f ca="1">IFERROR(__xludf.DUMMYFUNCTION("""COMPUTED_VALUE"""),-0.619009380754283)</f>
        <v>-0.61900938075428302</v>
      </c>
      <c r="DY6" s="3">
        <f ca="1">IFERROR(__xludf.DUMMYFUNCTION("""COMPUTED_VALUE"""),-0.675095957842407)</f>
        <v>-0.67509595784240695</v>
      </c>
      <c r="DZ6" s="3">
        <f ca="1">IFERROR(__xludf.DUMMYFUNCTION("""COMPUTED_VALUE"""),-0.684041104073964)</f>
        <v>-0.68404110407396401</v>
      </c>
      <c r="EA6" s="3">
        <f ca="1">IFERROR(__xludf.DUMMYFUNCTION("""COMPUTED_VALUE"""),-0.682175475990487)</f>
        <v>-0.682175475990487</v>
      </c>
      <c r="EB6" s="3">
        <f ca="1">IFERROR(__xludf.DUMMYFUNCTION("""COMPUTED_VALUE"""),-0.673566703783861)</f>
        <v>-0.67356670378386096</v>
      </c>
      <c r="EC6" s="3">
        <f ca="1">IFERROR(__xludf.DUMMYFUNCTION("""COMPUTED_VALUE"""),-0.666285084784853)</f>
        <v>-0.66628508478485304</v>
      </c>
      <c r="ED6" s="3">
        <f ca="1">IFERROR(__xludf.DUMMYFUNCTION("""COMPUTED_VALUE"""),-0.584572660440851)</f>
        <v>-0.58457266044085099</v>
      </c>
      <c r="EE6" s="3">
        <f ca="1">IFERROR(__xludf.DUMMYFUNCTION("""COMPUTED_VALUE"""),-0.61195151055332)</f>
        <v>-0.61195151055331998</v>
      </c>
      <c r="EF6" s="3">
        <f ca="1">IFERROR(__xludf.DUMMYFUNCTION("""COMPUTED_VALUE"""),-0.650783783070722)</f>
        <v>-0.65078378307072204</v>
      </c>
      <c r="EG6" s="3">
        <f ca="1">IFERROR(__xludf.DUMMYFUNCTION("""COMPUTED_VALUE"""),-0.668985588197707)</f>
        <v>-0.66898558819770704</v>
      </c>
      <c r="EH6" s="3">
        <f ca="1">IFERROR(__xludf.DUMMYFUNCTION("""COMPUTED_VALUE"""),-0.663657918621985)</f>
        <v>-0.66365791862198498</v>
      </c>
      <c r="EI6" s="3">
        <f ca="1">IFERROR(__xludf.DUMMYFUNCTION("""COMPUTED_VALUE"""),-0.685338694027452)</f>
        <v>-0.68533869402745196</v>
      </c>
      <c r="EJ6" s="3">
        <f ca="1">IFERROR(__xludf.DUMMYFUNCTION("""COMPUTED_VALUE"""),-0.669980234131594)</f>
        <v>-0.66998023413159402</v>
      </c>
      <c r="EK6" s="3">
        <f ca="1">IFERROR(__xludf.DUMMYFUNCTION("""COMPUTED_VALUE"""),-0.579172618132688)</f>
        <v>-0.57917261813268806</v>
      </c>
      <c r="EL6" s="3">
        <f ca="1">IFERROR(__xludf.DUMMYFUNCTION("""COMPUTED_VALUE"""),-0.595654416419152)</f>
        <v>-0.59565441641915196</v>
      </c>
      <c r="EM6" s="3">
        <f ca="1">IFERROR(__xludf.DUMMYFUNCTION("""COMPUTED_VALUE"""),-0.66276036398992)</f>
        <v>-0.66276036398992</v>
      </c>
      <c r="EN6" s="3">
        <f ca="1">IFERROR(__xludf.DUMMYFUNCTION("""COMPUTED_VALUE"""),-0.682986686543913)</f>
        <v>-0.68298668654391304</v>
      </c>
      <c r="EO6" s="3">
        <f ca="1">IFERROR(__xludf.DUMMYFUNCTION("""COMPUTED_VALUE"""),-0.673979273894902)</f>
        <v>-0.67397927389490198</v>
      </c>
      <c r="EP6" s="3">
        <f ca="1">IFERROR(__xludf.DUMMYFUNCTION("""COMPUTED_VALUE"""),-0.675062396630114)</f>
        <v>-0.67506239663011403</v>
      </c>
      <c r="EQ6" s="3">
        <f ca="1">IFERROR(__xludf.DUMMYFUNCTION("""COMPUTED_VALUE"""),-0.655042437336245)</f>
        <v>-0.65504243733624501</v>
      </c>
      <c r="ER6" s="3">
        <f ca="1">IFERROR(__xludf.DUMMYFUNCTION("""COMPUTED_VALUE"""),-0.606371732597472)</f>
        <v>-0.60637173259747201</v>
      </c>
      <c r="ES6" s="3">
        <f ca="1">IFERROR(__xludf.DUMMYFUNCTION("""COMPUTED_VALUE"""),-0.59644389010644)</f>
        <v>-0.59644389010643994</v>
      </c>
      <c r="ET6" s="3">
        <f ca="1">IFERROR(__xludf.DUMMYFUNCTION("""COMPUTED_VALUE"""),-0.654841979992312)</f>
        <v>-0.65484197999231197</v>
      </c>
      <c r="EU6" s="3">
        <f ca="1">IFERROR(__xludf.DUMMYFUNCTION("""COMPUTED_VALUE"""),-0.668452842438469)</f>
        <v>-0.66845284243846903</v>
      </c>
      <c r="EV6" s="3">
        <f ca="1">IFERROR(__xludf.DUMMYFUNCTION("""COMPUTED_VALUE"""),-0.68993413028518)</f>
        <v>-0.68993413028518003</v>
      </c>
      <c r="EW6" s="3">
        <f ca="1">IFERROR(__xludf.DUMMYFUNCTION("""COMPUTED_VALUE"""),-0.649170910587421)</f>
        <v>-0.64917091058742105</v>
      </c>
      <c r="EX6" s="3">
        <f ca="1">IFERROR(__xludf.DUMMYFUNCTION("""COMPUTED_VALUE"""),-0.623844465486758)</f>
        <v>-0.62384446548675798</v>
      </c>
      <c r="EY6" s="3">
        <f ca="1">IFERROR(__xludf.DUMMYFUNCTION("""COMPUTED_VALUE"""),-0.54405879036706)</f>
        <v>-0.54405879036705995</v>
      </c>
      <c r="EZ6" s="3">
        <f ca="1">IFERROR(__xludf.DUMMYFUNCTION("""COMPUTED_VALUE"""),-0.554272715572743)</f>
        <v>-0.55427271557274305</v>
      </c>
      <c r="FA6" s="3">
        <f ca="1">IFERROR(__xludf.DUMMYFUNCTION("""COMPUTED_VALUE"""),-0.626714440068956)</f>
        <v>-0.62671444006895605</v>
      </c>
      <c r="FB6" s="3">
        <f ca="1">IFERROR(__xludf.DUMMYFUNCTION("""COMPUTED_VALUE"""),-0.655078174657843)</f>
        <v>-0.65507817465784302</v>
      </c>
      <c r="FC6" s="3">
        <f ca="1">IFERROR(__xludf.DUMMYFUNCTION("""COMPUTED_VALUE"""),-0.651421480594209)</f>
        <v>-0.65142148059420901</v>
      </c>
      <c r="FD6" s="3">
        <f ca="1">IFERROR(__xludf.DUMMYFUNCTION("""COMPUTED_VALUE"""),-0.663259129355988)</f>
        <v>-0.66325912935598796</v>
      </c>
      <c r="FE6" s="3">
        <f ca="1">IFERROR(__xludf.DUMMYFUNCTION("""COMPUTED_VALUE"""),-0.624395641198558)</f>
        <v>-0.62439564119855795</v>
      </c>
      <c r="FF6" s="3">
        <f ca="1">IFERROR(__xludf.DUMMYFUNCTION("""COMPUTED_VALUE"""),-0.559190540708378)</f>
        <v>-0.55919054070837804</v>
      </c>
      <c r="FG6" s="3">
        <f ca="1">IFERROR(__xludf.DUMMYFUNCTION("""COMPUTED_VALUE"""),-0.550851288633638)</f>
        <v>-0.55085128863363797</v>
      </c>
      <c r="FH6" s="3">
        <f ca="1">IFERROR(__xludf.DUMMYFUNCTION("""COMPUTED_VALUE"""),-0.631005016390116)</f>
        <v>-0.63100501639011597</v>
      </c>
      <c r="FI6" s="3">
        <f ca="1">IFERROR(__xludf.DUMMYFUNCTION("""COMPUTED_VALUE"""),-0.648603717078027)</f>
        <v>-0.648603717078027</v>
      </c>
      <c r="FJ6" s="3">
        <f ca="1">IFERROR(__xludf.DUMMYFUNCTION("""COMPUTED_VALUE"""),-0.637545947969001)</f>
        <v>-0.63754594796900099</v>
      </c>
      <c r="FK6" s="3">
        <f ca="1">IFERROR(__xludf.DUMMYFUNCTION("""COMPUTED_VALUE"""),-0.637527559839333)</f>
        <v>-0.63752755983933296</v>
      </c>
      <c r="FL6" s="3">
        <f ca="1">IFERROR(__xludf.DUMMYFUNCTION("""COMPUTED_VALUE"""),-0.627692970853749)</f>
        <v>-0.62769297085374898</v>
      </c>
      <c r="FM6" s="3">
        <f ca="1">IFERROR(__xludf.DUMMYFUNCTION("""COMPUTED_VALUE"""),-0.545035938947126)</f>
        <v>-0.54503593894712599</v>
      </c>
      <c r="FN6" s="3">
        <f ca="1">IFERROR(__xludf.DUMMYFUNCTION("""COMPUTED_VALUE"""),-0.564423568876411)</f>
        <v>-0.56442356887641099</v>
      </c>
      <c r="FO6" s="3">
        <f ca="1">IFERROR(__xludf.DUMMYFUNCTION("""COMPUTED_VALUE"""),-0.618378798956957)</f>
        <v>-0.61837879895695702</v>
      </c>
      <c r="FP6" s="3">
        <f ca="1">IFERROR(__xludf.DUMMYFUNCTION("""COMPUTED_VALUE"""),-0.636159706225704)</f>
        <v>-0.63615970622570395</v>
      </c>
      <c r="FQ6" s="3">
        <f ca="1">IFERROR(__xludf.DUMMYFUNCTION("""COMPUTED_VALUE"""),-0.629739397007661)</f>
        <v>-0.62973939700766102</v>
      </c>
      <c r="FR6" s="3">
        <f ca="1">IFERROR(__xludf.DUMMYFUNCTION("""COMPUTED_VALUE"""),-0.613134923749584)</f>
        <v>-0.613134923749584</v>
      </c>
      <c r="FS6" s="3">
        <f ca="1">IFERROR(__xludf.DUMMYFUNCTION("""COMPUTED_VALUE"""),-0.54934507736522)</f>
        <v>-0.54934507736521998</v>
      </c>
      <c r="FT6" s="3">
        <f ca="1">IFERROR(__xludf.DUMMYFUNCTION("""COMPUTED_VALUE"""),-0.550170216626346)</f>
        <v>-0.55017021662634602</v>
      </c>
      <c r="FU6" s="3">
        <f ca="1">IFERROR(__xludf.DUMMYFUNCTION("""COMPUTED_VALUE"""),-0.559509094943487)</f>
        <v>-0.559509094943487</v>
      </c>
      <c r="FV6" s="3">
        <f ca="1">IFERROR(__xludf.DUMMYFUNCTION("""COMPUTED_VALUE"""),-0.623118406330998)</f>
        <v>-0.62311840633099802</v>
      </c>
      <c r="FW6" s="3">
        <f ca="1">IFERROR(__xludf.DUMMYFUNCTION("""COMPUTED_VALUE"""),-0.630623060288774)</f>
        <v>-0.63062306028877402</v>
      </c>
      <c r="FX6" s="3">
        <f ca="1">IFERROR(__xludf.DUMMYFUNCTION("""COMPUTED_VALUE"""),-0.643179820917284)</f>
        <v>-0.64317982091728398</v>
      </c>
      <c r="FY6" s="3">
        <f ca="1">IFERROR(__xludf.DUMMYFUNCTION("""COMPUTED_VALUE"""),-0.638232213199049)</f>
        <v>-0.63823221319904899</v>
      </c>
      <c r="FZ6" s="3">
        <f ca="1">IFERROR(__xludf.DUMMYFUNCTION("""COMPUTED_VALUE"""),-0.698721304424894)</f>
        <v>-0.698721304424894</v>
      </c>
      <c r="GA6" s="3">
        <f ca="1">IFERROR(__xludf.DUMMYFUNCTION("""COMPUTED_VALUE"""),-0.557916925231958)</f>
        <v>-0.55791692523195802</v>
      </c>
      <c r="GB6" s="3">
        <f ca="1">IFERROR(__xludf.DUMMYFUNCTION("""COMPUTED_VALUE"""),-0.580576490125246)</f>
        <v>-0.58057649012524604</v>
      </c>
      <c r="GC6" s="3">
        <f ca="1">IFERROR(__xludf.DUMMYFUNCTION("""COMPUTED_VALUE"""),-0.626263745299127)</f>
        <v>-0.62626374529912698</v>
      </c>
      <c r="GD6" s="3">
        <f ca="1">IFERROR(__xludf.DUMMYFUNCTION("""COMPUTED_VALUE"""),-0.630259148295916)</f>
        <v>-0.63025914829591601</v>
      </c>
      <c r="GE6" s="3">
        <f ca="1">IFERROR(__xludf.DUMMYFUNCTION("""COMPUTED_VALUE"""),-0.622972451087846)</f>
        <v>-0.62297245108784605</v>
      </c>
      <c r="GF6" s="3">
        <f ca="1">IFERROR(__xludf.DUMMYFUNCTION("""COMPUTED_VALUE"""),-0.613845251924702)</f>
        <v>-0.61384525192470196</v>
      </c>
      <c r="GG6" s="3">
        <f ca="1">IFERROR(__xludf.DUMMYFUNCTION("""COMPUTED_VALUE"""),-0.534257833746597)</f>
        <v>-0.53425783374659697</v>
      </c>
      <c r="GH6" s="3">
        <f ca="1">IFERROR(__xludf.DUMMYFUNCTION("""COMPUTED_VALUE"""),-0.546652246984351)</f>
        <v>-0.546652246984351</v>
      </c>
      <c r="GI6" s="3">
        <f ca="1">IFERROR(__xludf.DUMMYFUNCTION("""COMPUTED_VALUE"""),-0.545323061448991)</f>
        <v>-0.54532306144899101</v>
      </c>
      <c r="GJ6" s="3">
        <f ca="1">IFERROR(__xludf.DUMMYFUNCTION("""COMPUTED_VALUE"""),-0.621305242030222)</f>
        <v>-0.62130524203022197</v>
      </c>
      <c r="GK6" s="3">
        <f ca="1">IFERROR(__xludf.DUMMYFUNCTION("""COMPUTED_VALUE"""),-0.620537151957475)</f>
        <v>-0.62053715195747505</v>
      </c>
      <c r="GL6" s="3">
        <f ca="1">IFERROR(__xludf.DUMMYFUNCTION("""COMPUTED_VALUE"""),-0.612437313815701)</f>
        <v>-0.61243731381570099</v>
      </c>
      <c r="GM6" s="3">
        <f ca="1">IFERROR(__xludf.DUMMYFUNCTION("""COMPUTED_VALUE"""),-0.612263033859066)</f>
        <v>-0.612263033859066</v>
      </c>
      <c r="GN6" s="3">
        <f ca="1">IFERROR(__xludf.DUMMYFUNCTION("""COMPUTED_VALUE"""),-0.586694334645356)</f>
        <v>-0.58669433464535603</v>
      </c>
      <c r="GO6" s="3">
        <f ca="1">IFERROR(__xludf.DUMMYFUNCTION("""COMPUTED_VALUE"""),-0.492538318070839)</f>
        <v>-0.49253831807083898</v>
      </c>
      <c r="GP6" s="3">
        <f ca="1">IFERROR(__xludf.DUMMYFUNCTION("""COMPUTED_VALUE"""),-0.511886418601441)</f>
        <v>-0.51188641860144102</v>
      </c>
      <c r="GQ6" s="3">
        <f ca="1">IFERROR(__xludf.DUMMYFUNCTION("""COMPUTED_VALUE"""),-0.603597813794884)</f>
        <v>-0.60359781379488398</v>
      </c>
      <c r="GR6" s="3">
        <f ca="1">IFERROR(__xludf.DUMMYFUNCTION("""COMPUTED_VALUE"""),-0.605174735267277)</f>
        <v>-0.60517473526727705</v>
      </c>
      <c r="GS6" s="3">
        <f ca="1">IFERROR(__xludf.DUMMYFUNCTION("""COMPUTED_VALUE"""),-0.606857554443288)</f>
        <v>-0.60685755444328804</v>
      </c>
      <c r="GT6" s="3">
        <f ca="1">IFERROR(__xludf.DUMMYFUNCTION("""COMPUTED_VALUE"""),-0.602795508907606)</f>
        <v>-0.60279550890760603</v>
      </c>
      <c r="GU6" s="3">
        <f ca="1">IFERROR(__xludf.DUMMYFUNCTION("""COMPUTED_VALUE"""),-0.583654843912452)</f>
        <v>-0.58365484391245204</v>
      </c>
      <c r="GV6" s="3">
        <f ca="1">IFERROR(__xludf.DUMMYFUNCTION("""COMPUTED_VALUE"""),-0.482842401196293)</f>
        <v>-0.48284240119629301</v>
      </c>
      <c r="GW6" s="3">
        <f ca="1">IFERROR(__xludf.DUMMYFUNCTION("""COMPUTED_VALUE"""),-0.508057090951074)</f>
        <v>-0.50805709095107399</v>
      </c>
      <c r="GX6" s="3">
        <f ca="1">IFERROR(__xludf.DUMMYFUNCTION("""COMPUTED_VALUE"""),-0.58775505932702)</f>
        <v>-0.58775505932701999</v>
      </c>
      <c r="GY6" s="3">
        <f ca="1">IFERROR(__xludf.DUMMYFUNCTION("""COMPUTED_VALUE"""),-0.589399481632016)</f>
        <v>-0.58939948163201605</v>
      </c>
      <c r="GZ6" s="3">
        <f ca="1">IFERROR(__xludf.DUMMYFUNCTION("""COMPUTED_VALUE"""),-0.592761671012099)</f>
        <v>-0.59276167101209898</v>
      </c>
      <c r="HA6" s="3">
        <f ca="1">IFERROR(__xludf.DUMMYFUNCTION("""COMPUTED_VALUE"""),-0.592928167931633)</f>
        <v>-0.59292816793163305</v>
      </c>
      <c r="HB6" s="3">
        <f ca="1">IFERROR(__xludf.DUMMYFUNCTION("""COMPUTED_VALUE"""),-0.575146461786967)</f>
        <v>-0.57514646178696704</v>
      </c>
      <c r="HC6" s="3">
        <f ca="1">IFERROR(__xludf.DUMMYFUNCTION("""COMPUTED_VALUE"""),-0.478564004281724)</f>
        <v>-0.47856400428172402</v>
      </c>
      <c r="HD6" s="3">
        <f ca="1">IFERROR(__xludf.DUMMYFUNCTION("""COMPUTED_VALUE"""),-0.480027122917889)</f>
        <v>-0.48002712291788902</v>
      </c>
      <c r="HE6" s="3">
        <f ca="1">IFERROR(__xludf.DUMMYFUNCTION("""COMPUTED_VALUE"""),-0.574415151145963)</f>
        <v>-0.57441515114596298</v>
      </c>
      <c r="HF6" s="3">
        <f ca="1">IFERROR(__xludf.DUMMYFUNCTION("""COMPUTED_VALUE"""),-0.590963836893996)</f>
        <v>-0.59096383689399601</v>
      </c>
      <c r="HG6" s="3">
        <f ca="1">IFERROR(__xludf.DUMMYFUNCTION("""COMPUTED_VALUE"""),-0.593453241162478)</f>
        <v>-0.593453241162478</v>
      </c>
      <c r="HH6" s="3">
        <f ca="1">IFERROR(__xludf.DUMMYFUNCTION("""COMPUTED_VALUE"""),-0.588701119081036)</f>
        <v>-0.58870111908103595</v>
      </c>
      <c r="HI6" s="3">
        <f ca="1">IFERROR(__xludf.DUMMYFUNCTION("""COMPUTED_VALUE"""),-0.667538667395601)</f>
        <v>-0.66753866739560097</v>
      </c>
      <c r="HJ6" s="3">
        <f ca="1">IFERROR(__xludf.DUMMYFUNCTION("""COMPUTED_VALUE"""),-0.424944207307552)</f>
        <v>-0.424944207307552</v>
      </c>
      <c r="HK6" s="3">
        <f ca="1">IFERROR(__xludf.DUMMYFUNCTION("""COMPUTED_VALUE"""),-0.465852651688395)</f>
        <v>-0.46585265168839501</v>
      </c>
      <c r="HL6" s="3">
        <f ca="1">IFERROR(__xludf.DUMMYFUNCTION("""COMPUTED_VALUE"""),-0.559696944775753)</f>
        <v>-0.55969694477575305</v>
      </c>
      <c r="HM6" s="3">
        <f ca="1">IFERROR(__xludf.DUMMYFUNCTION("""COMPUTED_VALUE"""),-0.576857991656606)</f>
        <v>-0.57685799165660601</v>
      </c>
      <c r="HN6" s="3">
        <f ca="1">IFERROR(__xludf.DUMMYFUNCTION("""COMPUTED_VALUE"""),-0.599596878131744)</f>
        <v>-0.599596878131744</v>
      </c>
      <c r="HO6" s="3">
        <f ca="1">IFERROR(__xludf.DUMMYFUNCTION("""COMPUTED_VALUE"""),-0.569379447137322)</f>
        <v>-0.56937944713732203</v>
      </c>
      <c r="HP6" s="3">
        <f ca="1">IFERROR(__xludf.DUMMYFUNCTION("""COMPUTED_VALUE"""),-0.484562877718333)</f>
        <v>-0.48456287771833301</v>
      </c>
      <c r="HQ6" s="3">
        <f ca="1">IFERROR(__xludf.DUMMYFUNCTION("""COMPUTED_VALUE"""),-0.440139109966006)</f>
        <v>-0.44013910996600603</v>
      </c>
      <c r="HR6" s="3">
        <f ca="1">IFERROR(__xludf.DUMMYFUNCTION("""COMPUTED_VALUE"""),-0.483335059347978)</f>
        <v>-0.48333505934797799</v>
      </c>
      <c r="HS6" s="3">
        <f ca="1">IFERROR(__xludf.DUMMYFUNCTION("""COMPUTED_VALUE"""),-0.552784953901209)</f>
        <v>-0.55278495390120896</v>
      </c>
      <c r="HT6" s="3">
        <f ca="1">IFERROR(__xludf.DUMMYFUNCTION("""COMPUTED_VALUE"""),-0.578869407443211)</f>
        <v>-0.57886940744321103</v>
      </c>
      <c r="HU6" s="3">
        <f ca="1">IFERROR(__xludf.DUMMYFUNCTION("""COMPUTED_VALUE"""),-0.576536430424815)</f>
        <v>-0.57653643042481495</v>
      </c>
      <c r="HV6" s="3">
        <f ca="1">IFERROR(__xludf.DUMMYFUNCTION("""COMPUTED_VALUE"""),-0.562595051948462)</f>
        <v>-0.56259505194846204</v>
      </c>
      <c r="HW6" s="3">
        <f ca="1">IFERROR(__xludf.DUMMYFUNCTION("""COMPUTED_VALUE"""),-0.44665843035027)</f>
        <v>-0.44665843035026997</v>
      </c>
      <c r="HX6" s="3">
        <f ca="1">IFERROR(__xludf.DUMMYFUNCTION("""COMPUTED_VALUE"""),-0.44494700825914)</f>
        <v>-0.44494700825914002</v>
      </c>
      <c r="HY6" s="3">
        <f ca="1">IFERROR(__xludf.DUMMYFUNCTION("""COMPUTED_VALUE"""),-0.421276615397326)</f>
        <v>-0.42127661539732603</v>
      </c>
      <c r="HZ6" s="3">
        <f ca="1">IFERROR(__xludf.DUMMYFUNCTION("""COMPUTED_VALUE"""),-0.524438517599881)</f>
        <v>-0.52443851759988103</v>
      </c>
      <c r="IA6" s="3">
        <f ca="1">IFERROR(__xludf.DUMMYFUNCTION("""COMPUTED_VALUE"""),-0.533476736623746)</f>
        <v>-0.53347673662374595</v>
      </c>
      <c r="IB6" s="3">
        <f ca="1">IFERROR(__xludf.DUMMYFUNCTION("""COMPUTED_VALUE"""),-0.515591285378731)</f>
        <v>-0.515591285378731</v>
      </c>
      <c r="IC6" s="3">
        <f ca="1">IFERROR(__xludf.DUMMYFUNCTION("""COMPUTED_VALUE"""),-0.517543100261318)</f>
        <v>-0.517543100261318</v>
      </c>
      <c r="ID6" s="3">
        <f ca="1">IFERROR(__xludf.DUMMYFUNCTION("""COMPUTED_VALUE"""),-0.509912188404967)</f>
        <v>-0.50991218840496699</v>
      </c>
      <c r="IE6" s="3">
        <f ca="1">IFERROR(__xludf.DUMMYFUNCTION("""COMPUTED_VALUE"""),-0.432982645996738)</f>
        <v>-0.43298264599673802</v>
      </c>
      <c r="IF6" s="3">
        <f ca="1">IFERROR(__xludf.DUMMYFUNCTION("""COMPUTED_VALUE"""),-0.420318465631583)</f>
        <v>-0.42031846563158298</v>
      </c>
      <c r="IG6" s="3">
        <f ca="1">IFERROR(__xludf.DUMMYFUNCTION("""COMPUTED_VALUE"""),-0.494674269142598)</f>
        <v>-0.49467426914259799</v>
      </c>
      <c r="IH6" s="3">
        <f ca="1">IFERROR(__xludf.DUMMYFUNCTION("""COMPUTED_VALUE"""),-0.506870551886803)</f>
        <v>-0.50687055188680297</v>
      </c>
      <c r="II6" s="3">
        <f ca="1">IFERROR(__xludf.DUMMYFUNCTION("""COMPUTED_VALUE"""),-0.505927869711655)</f>
        <v>-0.50592786971165504</v>
      </c>
      <c r="IJ6" s="3">
        <f ca="1">IFERROR(__xludf.DUMMYFUNCTION("""COMPUTED_VALUE"""),-0.510090629240207)</f>
        <v>-0.51009062924020698</v>
      </c>
      <c r="IK6" s="3">
        <f ca="1">IFERROR(__xludf.DUMMYFUNCTION("""COMPUTED_VALUE"""),-0.44485774992306)</f>
        <v>-0.44485774992305999</v>
      </c>
      <c r="IL6" s="3">
        <f ca="1">IFERROR(__xludf.DUMMYFUNCTION("""COMPUTED_VALUE"""),-0.428627908697013)</f>
        <v>-0.428627908697013</v>
      </c>
      <c r="IM6" s="3">
        <f ca="1">IFERROR(__xludf.DUMMYFUNCTION("""COMPUTED_VALUE"""),-0.420396997061506)</f>
        <v>-0.42039699706150602</v>
      </c>
      <c r="IN6" s="3">
        <f ca="1">IFERROR(__xludf.DUMMYFUNCTION("""COMPUTED_VALUE"""),-0.489758705333264)</f>
        <v>-0.48975870533326399</v>
      </c>
      <c r="IO6" s="3">
        <f ca="1">IFERROR(__xludf.DUMMYFUNCTION("""COMPUTED_VALUE"""),-0.508673102653469)</f>
        <v>-0.50867310265346899</v>
      </c>
      <c r="IP6" s="3">
        <f ca="1">IFERROR(__xludf.DUMMYFUNCTION("""COMPUTED_VALUE"""),-0.50452901590108)</f>
        <v>-0.50452901590108001</v>
      </c>
      <c r="IQ6" s="3">
        <f ca="1">IFERROR(__xludf.DUMMYFUNCTION("""COMPUTED_VALUE"""),-0.520560132475441)</f>
        <v>-0.52056013247544097</v>
      </c>
      <c r="IR6" s="3">
        <f ca="1">IFERROR(__xludf.DUMMYFUNCTION("""COMPUTED_VALUE"""),-0.517524542857639)</f>
        <v>-0.51752454285763905</v>
      </c>
      <c r="IS6" s="3">
        <f ca="1">IFERROR(__xludf.DUMMYFUNCTION("""COMPUTED_VALUE"""),-0.465794361210577)</f>
        <v>-0.46579436121057699</v>
      </c>
      <c r="IT6" s="3">
        <f ca="1">IFERROR(__xludf.DUMMYFUNCTION("""COMPUTED_VALUE"""),-0.425767813845733)</f>
        <v>-0.42576781384573298</v>
      </c>
      <c r="IU6" s="3">
        <f ca="1">IFERROR(__xludf.DUMMYFUNCTION("""COMPUTED_VALUE"""),-0.489304888629859)</f>
        <v>-0.48930488862985899</v>
      </c>
      <c r="IV6" s="3">
        <f ca="1">IFERROR(__xludf.DUMMYFUNCTION("""COMPUTED_VALUE"""),-0.509217965821189)</f>
        <v>-0.50921796582118894</v>
      </c>
      <c r="IW6" s="3">
        <f ca="1">IFERROR(__xludf.DUMMYFUNCTION("""COMPUTED_VALUE"""),-0.513873340354497)</f>
        <v>-0.51387334035449705</v>
      </c>
      <c r="IX6" s="3">
        <f ca="1">IFERROR(__xludf.DUMMYFUNCTION("""COMPUTED_VALUE"""),-0.506578366157288)</f>
        <v>-0.50657836615728802</v>
      </c>
      <c r="IY6" s="3">
        <f ca="1">IFERROR(__xludf.DUMMYFUNCTION("""COMPUTED_VALUE"""),-0.484083931785026)</f>
        <v>-0.48408393178502601</v>
      </c>
      <c r="IZ6" s="3">
        <f ca="1">IFERROR(__xludf.DUMMYFUNCTION("""COMPUTED_VALUE"""),-0.448713923163318)</f>
        <v>-0.44871392316331798</v>
      </c>
      <c r="JA6" s="3">
        <f ca="1">IFERROR(__xludf.DUMMYFUNCTION("""COMPUTED_VALUE"""),-0.442687758396363)</f>
        <v>-0.44268775839636298</v>
      </c>
      <c r="JB6" s="3">
        <f ca="1">IFERROR(__xludf.DUMMYFUNCTION("""COMPUTED_VALUE"""),-0.51491416330124)</f>
        <v>-0.51491416330123996</v>
      </c>
      <c r="JC6" s="3">
        <f ca="1">IFERROR(__xludf.DUMMYFUNCTION("""COMPUTED_VALUE"""),-0.544025685229616)</f>
        <v>-0.54402568522961603</v>
      </c>
      <c r="JD6" s="3">
        <f ca="1">IFERROR(__xludf.DUMMYFUNCTION("""COMPUTED_VALUE"""),-0.540758012382177)</f>
        <v>-0.54075801238217702</v>
      </c>
      <c r="JE6" s="3">
        <f ca="1">IFERROR(__xludf.DUMMYFUNCTION("""COMPUTED_VALUE"""),-0.525461352633714)</f>
        <v>-0.52546135263371396</v>
      </c>
      <c r="JF6" s="3">
        <f ca="1">IFERROR(__xludf.DUMMYFUNCTION("""COMPUTED_VALUE"""),-0.504932039669426)</f>
        <v>-0.50493203966942601</v>
      </c>
      <c r="JG6" s="3">
        <f ca="1">IFERROR(__xludf.DUMMYFUNCTION("""COMPUTED_VALUE"""),-0.468277469230037)</f>
        <v>-0.46827746923003699</v>
      </c>
      <c r="JH6" s="3">
        <f ca="1">IFERROR(__xludf.DUMMYFUNCTION("""COMPUTED_VALUE"""),-0.444400284339946)</f>
        <v>-0.44440028433994599</v>
      </c>
      <c r="JI6" s="3">
        <f ca="1">IFERROR(__xludf.DUMMYFUNCTION("""COMPUTED_VALUE"""),-0.526151952114754)</f>
        <v>-0.52615195211475396</v>
      </c>
      <c r="JJ6" s="3">
        <f ca="1">IFERROR(__xludf.DUMMYFUNCTION("""COMPUTED_VALUE"""),-0.555826995146665)</f>
        <v>-0.555826995146665</v>
      </c>
      <c r="JK6" s="3">
        <f ca="1">IFERROR(__xludf.DUMMYFUNCTION("""COMPUTED_VALUE"""),-0.528643221232581)</f>
        <v>-0.52864322123258101</v>
      </c>
      <c r="JL6" s="3">
        <f ca="1">IFERROR(__xludf.DUMMYFUNCTION("""COMPUTED_VALUE"""),-0.539421079341275)</f>
        <v>-0.53942107934127503</v>
      </c>
      <c r="JM6" s="3">
        <f ca="1">IFERROR(__xludf.DUMMYFUNCTION("""COMPUTED_VALUE"""),-0.524988754075194)</f>
        <v>-0.52498875407519396</v>
      </c>
      <c r="JN6" s="3">
        <f ca="1">IFERROR(__xludf.DUMMYFUNCTION("""COMPUTED_VALUE"""),-0.489414191529521)</f>
        <v>-0.48941419152952098</v>
      </c>
      <c r="JO6" s="3">
        <f ca="1">IFERROR(__xludf.DUMMYFUNCTION("""COMPUTED_VALUE"""),-0.523952837757188)</f>
        <v>-0.52395283775718804</v>
      </c>
      <c r="JP6" s="3">
        <f ca="1">IFERROR(__xludf.DUMMYFUNCTION("""COMPUTED_VALUE"""),-0.541111197722486)</f>
        <v>-0.54111119772248595</v>
      </c>
      <c r="JQ6" s="3">
        <f ca="1">IFERROR(__xludf.DUMMYFUNCTION("""COMPUTED_VALUE"""),-0.559811510912657)</f>
        <v>-0.55981151091265702</v>
      </c>
      <c r="JR6" s="3">
        <f ca="1">IFERROR(__xludf.DUMMYFUNCTION("""COMPUTED_VALUE"""),-0.564810445989435)</f>
        <v>-0.56481044598943497</v>
      </c>
      <c r="JS6" s="3">
        <f ca="1">IFERROR(__xludf.DUMMYFUNCTION("""COMPUTED_VALUE"""),-0.554078250012083)</f>
        <v>-0.554078250012083</v>
      </c>
      <c r="JT6" s="3">
        <f ca="1">IFERROR(__xludf.DUMMYFUNCTION("""COMPUTED_VALUE"""),-0.488972477345522)</f>
        <v>-0.48897247734552202</v>
      </c>
      <c r="JU6" s="3">
        <f ca="1">IFERROR(__xludf.DUMMYFUNCTION("""COMPUTED_VALUE"""),-0.473130509349874)</f>
        <v>-0.473130509349874</v>
      </c>
      <c r="JV6" s="3">
        <f ca="1">IFERROR(__xludf.DUMMYFUNCTION("""COMPUTED_VALUE"""),-0.482440802384403)</f>
        <v>-0.48244080238440301</v>
      </c>
      <c r="JW6" s="3">
        <f ca="1">IFERROR(__xludf.DUMMYFUNCTION("""COMPUTED_VALUE"""),-0.555933817490267)</f>
        <v>-0.55593381749026705</v>
      </c>
      <c r="JX6" s="3">
        <f ca="1">IFERROR(__xludf.DUMMYFUNCTION("""COMPUTED_VALUE"""),-0.57247037539623)</f>
        <v>-0.57247037539623002</v>
      </c>
      <c r="JY6" s="3">
        <f ca="1">IFERROR(__xludf.DUMMYFUNCTION("""COMPUTED_VALUE"""),-0.625975181176032)</f>
        <v>-0.62597518117603201</v>
      </c>
      <c r="JZ6" s="3">
        <f ca="1">IFERROR(__xludf.DUMMYFUNCTION("""COMPUTED_VALUE"""),-0.552416276179513)</f>
        <v>-0.55241627617951305</v>
      </c>
      <c r="KA6" s="3">
        <f ca="1">IFERROR(__xludf.DUMMYFUNCTION("""COMPUTED_VALUE"""),-0.488032963188925)</f>
        <v>-0.48803296318892497</v>
      </c>
      <c r="KB6" s="3">
        <f ca="1">IFERROR(__xludf.DUMMYFUNCTION("""COMPUTED_VALUE"""),-0.501759177875504)</f>
        <v>-0.50175917787550395</v>
      </c>
      <c r="KC6" s="3">
        <f ca="1">IFERROR(__xludf.DUMMYFUNCTION("""COMPUTED_VALUE"""),-0.509052282153702)</f>
        <v>-0.50905228215370202</v>
      </c>
      <c r="KD6" s="3">
        <f ca="1">IFERROR(__xludf.DUMMYFUNCTION("""COMPUTED_VALUE"""),-0.568350207893463)</f>
        <v>-0.56835020789346302</v>
      </c>
      <c r="KE6" s="3">
        <f ca="1">IFERROR(__xludf.DUMMYFUNCTION("""COMPUTED_VALUE"""),-0.588624894596275)</f>
        <v>-0.58862489459627498</v>
      </c>
      <c r="KF6" s="3">
        <f ca="1">IFERROR(__xludf.DUMMYFUNCTION("""COMPUTED_VALUE"""),-0.631631002985081)</f>
        <v>-0.63163100298508101</v>
      </c>
      <c r="KG6" s="3">
        <f ca="1">IFERROR(__xludf.DUMMYFUNCTION("""COMPUTED_VALUE"""),-0.606424025305953)</f>
        <v>-0.60642402530595296</v>
      </c>
      <c r="KH6" s="3">
        <f ca="1">IFERROR(__xludf.DUMMYFUNCTION("""COMPUTED_VALUE"""),-0.533474013168588)</f>
        <v>-0.533474013168588</v>
      </c>
      <c r="KI6" s="3">
        <f ca="1">IFERROR(__xludf.DUMMYFUNCTION("""COMPUTED_VALUE"""),-0.5378942516776)</f>
        <v>-0.53789425167759997</v>
      </c>
      <c r="KJ6" s="3">
        <f ca="1">IFERROR(__xludf.DUMMYFUNCTION("""COMPUTED_VALUE"""),-0.525049545639128)</f>
        <v>-0.52504954563912798</v>
      </c>
      <c r="KK6" s="3">
        <f ca="1">IFERROR(__xludf.DUMMYFUNCTION("""COMPUTED_VALUE"""),-0.605672421598526)</f>
        <v>-0.60567242159852597</v>
      </c>
      <c r="KL6" s="3">
        <f ca="1">IFERROR(__xludf.DUMMYFUNCTION("""COMPUTED_VALUE"""),-0.623142722750732)</f>
        <v>-0.62314272275073201</v>
      </c>
      <c r="KM6" s="3">
        <f ca="1">IFERROR(__xludf.DUMMYFUNCTION("""COMPUTED_VALUE"""),-0.636246648322145)</f>
        <v>-0.63624664832214495</v>
      </c>
      <c r="KN6" s="3">
        <f ca="1">IFERROR(__xludf.DUMMYFUNCTION("""COMPUTED_VALUE"""),-0.636140816166518)</f>
        <v>-0.63614081616651796</v>
      </c>
      <c r="KO6" s="3">
        <f ca="1">IFERROR(__xludf.DUMMYFUNCTION("""COMPUTED_VALUE"""),-0.624172738637924)</f>
        <v>-0.624172738637924</v>
      </c>
      <c r="KP6" s="3">
        <f ca="1">IFERROR(__xludf.DUMMYFUNCTION("""COMPUTED_VALUE"""),-0.582673433497098)</f>
        <v>-0.58267343349709799</v>
      </c>
      <c r="KQ6" s="3">
        <f ca="1">IFERROR(__xludf.DUMMYFUNCTION("""COMPUTED_VALUE"""),-0.607150717375321)</f>
        <v>-0.607150717375321</v>
      </c>
      <c r="KR6" s="3">
        <f ca="1">IFERROR(__xludf.DUMMYFUNCTION("""COMPUTED_VALUE"""),-0.667837791775581)</f>
        <v>-0.667837791775581</v>
      </c>
      <c r="KS6" s="3">
        <f ca="1">IFERROR(__xludf.DUMMYFUNCTION("""COMPUTED_VALUE"""),-0.675079175290517)</f>
        <v>-0.67507917529051698</v>
      </c>
      <c r="KT6" s="3">
        <f ca="1">IFERROR(__xludf.DUMMYFUNCTION("""COMPUTED_VALUE"""),-0.675223087989627)</f>
        <v>-0.67522308798962705</v>
      </c>
      <c r="KU6" s="3">
        <f ca="1">IFERROR(__xludf.DUMMYFUNCTION("""COMPUTED_VALUE"""),-0.669671540655683)</f>
        <v>-0.66967154065568302</v>
      </c>
      <c r="KV6" s="3">
        <f ca="1">IFERROR(__xludf.DUMMYFUNCTION("""COMPUTED_VALUE"""),-0.656007959456071)</f>
        <v>-0.65600795945607104</v>
      </c>
      <c r="KW6" s="3">
        <f ca="1">IFERROR(__xludf.DUMMYFUNCTION("""COMPUTED_VALUE"""),-0.585238784582933)</f>
        <v>-0.58523878458293299</v>
      </c>
      <c r="KX6" s="3">
        <f ca="1">IFERROR(__xludf.DUMMYFUNCTION("""COMPUTED_VALUE"""),-0.636642085171643)</f>
        <v>-0.636642085171643</v>
      </c>
      <c r="KY6" s="3">
        <f ca="1">IFERROR(__xludf.DUMMYFUNCTION("""COMPUTED_VALUE"""),-0.677438082887424)</f>
        <v>-0.67743808288742402</v>
      </c>
      <c r="KZ6" s="3">
        <f ca="1">IFERROR(__xludf.DUMMYFUNCTION("""COMPUTED_VALUE"""),-0.680383491888471)</f>
        <v>-0.68038349188847103</v>
      </c>
      <c r="LA6" s="3">
        <f ca="1">IFERROR(__xludf.DUMMYFUNCTION("""COMPUTED_VALUE"""),-0.698546000978243)</f>
        <v>-0.69854600097824304</v>
      </c>
      <c r="LB6" s="3">
        <f ca="1">IFERROR(__xludf.DUMMYFUNCTION("""COMPUTED_VALUE"""),-0.697085752078816)</f>
        <v>-0.69708575207881596</v>
      </c>
      <c r="LC6" s="3">
        <f ca="1">IFERROR(__xludf.DUMMYFUNCTION("""COMPUTED_VALUE"""),-0.668634207571962)</f>
        <v>-0.66863420757196201</v>
      </c>
      <c r="LD6" s="3">
        <f ca="1">IFERROR(__xludf.DUMMYFUNCTION("""COMPUTED_VALUE"""),-0.633160254479511)</f>
        <v>-0.63316025447951096</v>
      </c>
      <c r="LE6" s="3">
        <f ca="1">IFERROR(__xludf.DUMMYFUNCTION("""COMPUTED_VALUE"""),-0.65352699155124)</f>
        <v>-0.65352699155124006</v>
      </c>
      <c r="LF6" s="3">
        <f ca="1">IFERROR(__xludf.DUMMYFUNCTION("""COMPUTED_VALUE"""),-0.715401810839264)</f>
        <v>-0.71540181083926402</v>
      </c>
      <c r="LG6" s="3">
        <f ca="1">IFERROR(__xludf.DUMMYFUNCTION("""COMPUTED_VALUE"""),-0.718527401247734)</f>
        <v>-0.71852740124773395</v>
      </c>
      <c r="LH6" s="3">
        <f ca="1">IFERROR(__xludf.DUMMYFUNCTION("""COMPUTED_VALUE"""),-0.696522108202723)</f>
        <v>-0.69652210820272298</v>
      </c>
      <c r="LI6" s="3">
        <f ca="1">IFERROR(__xludf.DUMMYFUNCTION("""COMPUTED_VALUE"""),-0.702984111456758)</f>
        <v>-0.70298411145675799</v>
      </c>
      <c r="LJ6" s="3">
        <f ca="1">IFERROR(__xludf.DUMMYFUNCTION("""COMPUTED_VALUE"""),-0.665590625204948)</f>
        <v>-0.66559062520494805</v>
      </c>
      <c r="LK6" s="3">
        <f ca="1">IFERROR(__xludf.DUMMYFUNCTION("""COMPUTED_VALUE"""),-0.658352382038703)</f>
        <v>-0.65835238203870305</v>
      </c>
      <c r="LL6" s="3">
        <f ca="1">IFERROR(__xludf.DUMMYFUNCTION("""COMPUTED_VALUE"""),-0.667698366817127)</f>
        <v>-0.66769836681712702</v>
      </c>
      <c r="LM6" s="3">
        <f ca="1">IFERROR(__xludf.DUMMYFUNCTION("""COMPUTED_VALUE"""),-0.737880460748714)</f>
        <v>-0.73788046074871405</v>
      </c>
      <c r="LN6" s="3">
        <f ca="1">IFERROR(__xludf.DUMMYFUNCTION("""COMPUTED_VALUE"""),-0.751146159315929)</f>
        <v>-0.75114615931592899</v>
      </c>
      <c r="LO6" s="3">
        <f ca="1">IFERROR(__xludf.DUMMYFUNCTION("""COMPUTED_VALUE"""),-0.746415305526237)</f>
        <v>-0.74641530552623703</v>
      </c>
      <c r="LP6" s="3">
        <f ca="1">IFERROR(__xludf.DUMMYFUNCTION("""COMPUTED_VALUE"""),-0.74781304572104)</f>
        <v>-0.74781304572104002</v>
      </c>
      <c r="LQ6" s="3">
        <f ca="1">IFERROR(__xludf.DUMMYFUNCTION("""COMPUTED_VALUE"""),-0.753631440250146)</f>
        <v>-0.75363144025014595</v>
      </c>
      <c r="LR6" s="3">
        <f ca="1">IFERROR(__xludf.DUMMYFUNCTION("""COMPUTED_VALUE"""),-0.717995035621472)</f>
        <v>-0.71799503562147204</v>
      </c>
      <c r="LS6" s="3">
        <f ca="1">IFERROR(__xludf.DUMMYFUNCTION("""COMPUTED_VALUE"""),-0.720616225533655)</f>
        <v>-0.72061622553365501</v>
      </c>
      <c r="LT6" s="3">
        <f ca="1">IFERROR(__xludf.DUMMYFUNCTION("""COMPUTED_VALUE"""),-0.784334630712507)</f>
        <v>-0.78433463071250697</v>
      </c>
      <c r="LU6" s="3">
        <f ca="1">IFERROR(__xludf.DUMMYFUNCTION("""COMPUTED_VALUE"""),-0.786119553785367)</f>
        <v>-0.78611955378536702</v>
      </c>
      <c r="LV6" s="3">
        <f ca="1">IFERROR(__xludf.DUMMYFUNCTION("""COMPUTED_VALUE"""),-0.781525157188868)</f>
        <v>-0.78152515718886795</v>
      </c>
      <c r="LW6" s="3">
        <f ca="1">IFERROR(__xludf.DUMMYFUNCTION("""COMPUTED_VALUE"""),-0.781682338659467)</f>
        <v>-0.78168233865946701</v>
      </c>
      <c r="LX6" s="3">
        <f ca="1">IFERROR(__xludf.DUMMYFUNCTION("""COMPUTED_VALUE"""),-0.740166085066982)</f>
        <v>-0.740166085066982</v>
      </c>
      <c r="LY6" s="3">
        <f ca="1">IFERROR(__xludf.DUMMYFUNCTION("""COMPUTED_VALUE"""),-0.738939150973579)</f>
        <v>-0.73893915097357898</v>
      </c>
      <c r="LZ6" s="3">
        <f ca="1">IFERROR(__xludf.DUMMYFUNCTION("""COMPUTED_VALUE"""),-0.75695052764184)</f>
        <v>-0.75695052764184001</v>
      </c>
      <c r="MA6" s="3">
        <f ca="1">IFERROR(__xludf.DUMMYFUNCTION("""COMPUTED_VALUE"""),-0.791371554955814)</f>
        <v>-0.79137155495581402</v>
      </c>
      <c r="MB6" s="3">
        <f ca="1">IFERROR(__xludf.DUMMYFUNCTION("""COMPUTED_VALUE"""),-0.794914356323775)</f>
        <v>-0.79491435632377505</v>
      </c>
      <c r="MC6" s="3">
        <f ca="1">IFERROR(__xludf.DUMMYFUNCTION("""COMPUTED_VALUE"""),-0.78829191955137)</f>
        <v>-0.78829191955137001</v>
      </c>
      <c r="MD6" s="3">
        <f ca="1">IFERROR(__xludf.DUMMYFUNCTION("""COMPUTED_VALUE"""),-0.794749615956273)</f>
        <v>-0.79474961595627303</v>
      </c>
      <c r="ME6" s="3">
        <f ca="1">IFERROR(__xludf.DUMMYFUNCTION("""COMPUTED_VALUE"""),-0.782210787812465)</f>
        <v>-0.782210787812465</v>
      </c>
      <c r="MF6" s="3">
        <f ca="1">IFERROR(__xludf.DUMMYFUNCTION("""COMPUTED_VALUE"""),-0.745365241435434)</f>
        <v>-0.74536524143543403</v>
      </c>
      <c r="MG6" s="3">
        <f ca="1">IFERROR(__xludf.DUMMYFUNCTION("""COMPUTED_VALUE"""),-0.768043181803256)</f>
        <v>-0.76804318180325604</v>
      </c>
      <c r="MH6" s="3">
        <f ca="1">IFERROR(__xludf.DUMMYFUNCTION("""COMPUTED_VALUE"""),-0.798778478303878)</f>
        <v>-0.79877847830387805</v>
      </c>
      <c r="MI6" s="3">
        <f ca="1">IFERROR(__xludf.DUMMYFUNCTION("""COMPUTED_VALUE"""),-0.807755447150569)</f>
        <v>-0.80775544715056902</v>
      </c>
      <c r="MJ6" s="3">
        <f ca="1">IFERROR(__xludf.DUMMYFUNCTION("""COMPUTED_VALUE"""),-0.800898764158618)</f>
        <v>-0.80089876415861805</v>
      </c>
      <c r="MK6" s="3">
        <f ca="1">IFERROR(__xludf.DUMMYFUNCTION("""COMPUTED_VALUE"""),-0.809314422729051)</f>
        <v>-0.80931442272905096</v>
      </c>
      <c r="ML6" s="3">
        <f ca="1">IFERROR(__xludf.DUMMYFUNCTION("""COMPUTED_VALUE"""),-0.788295262033022)</f>
        <v>-0.78829526203302203</v>
      </c>
      <c r="MM6" s="3">
        <f ca="1">IFERROR(__xludf.DUMMYFUNCTION("""COMPUTED_VALUE"""),-0.766676850532545)</f>
        <v>-0.76667685053254497</v>
      </c>
      <c r="MN6" s="3">
        <f ca="1">IFERROR(__xludf.DUMMYFUNCTION("""COMPUTED_VALUE"""),-0.777258976262301)</f>
        <v>-0.777258976262301</v>
      </c>
      <c r="MO6" s="3">
        <f ca="1">IFERROR(__xludf.DUMMYFUNCTION("""COMPUTED_VALUE"""),-0.794724352569064)</f>
        <v>-0.79472435256906404</v>
      </c>
      <c r="MP6" s="3">
        <f ca="1">IFERROR(__xludf.DUMMYFUNCTION("""COMPUTED_VALUE"""),-0.821194905537747)</f>
        <v>-0.82119490553774699</v>
      </c>
      <c r="MQ6" s="3">
        <f ca="1">IFERROR(__xludf.DUMMYFUNCTION("""COMPUTED_VALUE"""),-0.817691040490034)</f>
        <v>-0.81769104049003405</v>
      </c>
      <c r="MR6" s="3">
        <f ca="1">IFERROR(__xludf.DUMMYFUNCTION("""COMPUTED_VALUE"""),-0.813049721401511)</f>
        <v>-0.81304972140151099</v>
      </c>
      <c r="MS6" s="3">
        <f ca="1">IFERROR(__xludf.DUMMYFUNCTION("""COMPUTED_VALUE"""),-0.78301519768068)</f>
        <v>-0.78301519768067995</v>
      </c>
      <c r="MT6" s="3">
        <f ca="1">IFERROR(__xludf.DUMMYFUNCTION("""COMPUTED_VALUE"""),-0.773791644516168)</f>
        <v>-0.773791644516168</v>
      </c>
      <c r="MU6" s="3">
        <f ca="1">IFERROR(__xludf.DUMMYFUNCTION("""COMPUTED_VALUE"""),-0.787253939491613)</f>
        <v>-0.78725393949161304</v>
      </c>
      <c r="MV6" s="3">
        <f ca="1">IFERROR(__xludf.DUMMYFUNCTION("""COMPUTED_VALUE"""),-0.799038939275302)</f>
        <v>-0.79903893927530201</v>
      </c>
      <c r="MW6" s="3">
        <f ca="1">IFERROR(__xludf.DUMMYFUNCTION("""COMPUTED_VALUE"""),-0.830658300619811)</f>
        <v>-0.83065830061981105</v>
      </c>
      <c r="MX6" s="3">
        <f ca="1">IFERROR(__xludf.DUMMYFUNCTION("""COMPUTED_VALUE"""),-0.825483178164482)</f>
        <v>-0.82548317816448202</v>
      </c>
      <c r="MY6" s="3">
        <f ca="1">IFERROR(__xludf.DUMMYFUNCTION("""COMPUTED_VALUE"""),-0.817357003224899)</f>
        <v>-0.81735700322489901</v>
      </c>
      <c r="MZ6" s="3">
        <f ca="1">IFERROR(__xludf.DUMMYFUNCTION("""COMPUTED_VALUE"""),-0.805354332337308)</f>
        <v>-0.80535433233730802</v>
      </c>
      <c r="NA6" s="3">
        <f ca="1">IFERROR(__xludf.DUMMYFUNCTION("""COMPUTED_VALUE"""),-0.797489865351222)</f>
        <v>-0.79748986535122202</v>
      </c>
      <c r="NB6" s="3">
        <f ca="1">IFERROR(__xludf.DUMMYFUNCTION("""COMPUTED_VALUE"""),-0.796484305954098)</f>
        <v>-0.79648430595409803</v>
      </c>
      <c r="NC6" s="3">
        <f ca="1">IFERROR(__xludf.DUMMYFUNCTION("""COMPUTED_VALUE"""),-0.838021136275756)</f>
        <v>-0.83802113627575603</v>
      </c>
      <c r="ND6" s="3">
        <f ca="1">IFERROR(__xludf.DUMMYFUNCTION("""COMPUTED_VALUE"""),-0.823904743097634)</f>
        <v>-0.82390474309763395</v>
      </c>
      <c r="NE6" s="3">
        <f ca="1">IFERROR(__xludf.DUMMYFUNCTION("""COMPUTED_VALUE"""),-0.825281127101002)</f>
        <v>-0.82528112710100199</v>
      </c>
      <c r="NF6" s="3">
        <f ca="1">IFERROR(__xludf.DUMMYFUNCTION("""COMPUTED_VALUE"""),-0.823665625813641)</f>
        <v>-0.823665625813641</v>
      </c>
      <c r="NG6" s="3">
        <f ca="1">IFERROR(__xludf.DUMMYFUNCTION("""COMPUTED_VALUE"""),-0.803961250321551)</f>
        <v>-0.80396125032155097</v>
      </c>
      <c r="NH6" s="3">
        <f ca="1">IFERROR(__xludf.DUMMYFUNCTION("""COMPUTED_VALUE"""),-0.782655517800348)</f>
        <v>-0.78265551780034803</v>
      </c>
      <c r="NI6" s="3">
        <f ca="1">IFERROR(__xludf.DUMMYFUNCTION("""COMPUTED_VALUE"""),-0.795010589557566)</f>
        <v>-0.79501058955756598</v>
      </c>
      <c r="NJ6" s="3">
        <f ca="1">IFERROR(__xludf.DUMMYFUNCTION("""COMPUTED_VALUE"""),-0.822952825733615)</f>
        <v>-0.82295282573361495</v>
      </c>
      <c r="NK6" s="3">
        <f ca="1">IFERROR(__xludf.DUMMYFUNCTION("""COMPUTED_VALUE"""),-0.816505040196093)</f>
        <v>-0.81650504019609305</v>
      </c>
      <c r="NL6" s="3">
        <f ca="1">IFERROR(__xludf.DUMMYFUNCTION("""COMPUTED_VALUE"""),-0.808621828022065)</f>
        <v>-0.80862182802206495</v>
      </c>
      <c r="NM6" s="3">
        <f ca="1">IFERROR(__xludf.DUMMYFUNCTION("""COMPUTED_VALUE"""),-0.810581286505749)</f>
        <v>-0.81058128650574901</v>
      </c>
      <c r="NN6" s="3">
        <f ca="1">IFERROR(__xludf.DUMMYFUNCTION("""COMPUTED_VALUE"""),-0.791823437344844)</f>
        <v>-0.79182343734484395</v>
      </c>
      <c r="NO6" s="3">
        <f ca="1">IFERROR(__xludf.DUMMYFUNCTION("""COMPUTED_VALUE"""),-0.76811943065678)</f>
        <v>-0.76811943065678001</v>
      </c>
      <c r="NP6" s="3">
        <f ca="1">IFERROR(__xludf.DUMMYFUNCTION("""COMPUTED_VALUE"""),-0.790422362262138)</f>
        <v>-0.79042236226213802</v>
      </c>
      <c r="NQ6" s="3">
        <f ca="1">IFERROR(__xludf.DUMMYFUNCTION("""COMPUTED_VALUE"""),-0.823275604456081)</f>
        <v>-0.82327560445608094</v>
      </c>
      <c r="NR6" s="3">
        <f ca="1">IFERROR(__xludf.DUMMYFUNCTION("""COMPUTED_VALUE"""),-0.820815580823421)</f>
        <v>-0.82081558082342099</v>
      </c>
      <c r="NS6" s="3">
        <f ca="1">IFERROR(__xludf.DUMMYFUNCTION("""COMPUTED_VALUE"""),-0.810126114035357)</f>
        <v>-0.81012611403535695</v>
      </c>
      <c r="NT6" s="3">
        <f ca="1">IFERROR(__xludf.DUMMYFUNCTION("""COMPUTED_VALUE"""),-0.768504462231718)</f>
        <v>-0.76850446223171798</v>
      </c>
      <c r="NU6" s="3">
        <f ca="1">IFERROR(__xludf.DUMMYFUNCTION("""COMPUTED_VALUE"""),-0.753588701109123)</f>
        <v>-0.75358870110912302</v>
      </c>
      <c r="NV6" s="3">
        <f ca="1">IFERROR(__xludf.DUMMYFUNCTION("""COMPUTED_VALUE"""),-0.684993027123783)</f>
        <v>-0.68499302712378296</v>
      </c>
      <c r="NW6" s="3">
        <f ca="1">IFERROR(__xludf.DUMMYFUNCTION("""COMPUTED_VALUE"""),-0.684947538102693)</f>
        <v>-0.68494753810269304</v>
      </c>
      <c r="NX6" s="3">
        <f ca="1">IFERROR(__xludf.DUMMYFUNCTION("""COMPUTED_VALUE"""),-0.720367436980044)</f>
        <v>-0.72036743698004402</v>
      </c>
      <c r="NY6" s="3">
        <f ca="1">IFERROR(__xludf.DUMMYFUNCTION("""COMPUTED_VALUE"""),-0.694065654935073)</f>
        <v>-0.694065654935073</v>
      </c>
      <c r="NZ6" s="3">
        <f ca="1">IFERROR(__xludf.DUMMYFUNCTION("""COMPUTED_VALUE"""),-0.663491948496521)</f>
        <v>-0.66349194849652104</v>
      </c>
      <c r="OA6" s="3">
        <f ca="1">IFERROR(__xludf.DUMMYFUNCTION("""COMPUTED_VALUE"""),-0.604564309835427)</f>
        <v>-0.60456430983542697</v>
      </c>
      <c r="OB6" s="3">
        <f ca="1">IFERROR(__xludf.DUMMYFUNCTION("""COMPUTED_VALUE"""),-0.506966331317934)</f>
        <v>-0.506966331317934</v>
      </c>
      <c r="OC6" s="3">
        <f ca="1">IFERROR(__xludf.DUMMYFUNCTION("""COMPUTED_VALUE"""),-0.306781076252436)</f>
        <v>-0.306781076252436</v>
      </c>
      <c r="OD6" s="3">
        <f ca="1">IFERROR(__xludf.DUMMYFUNCTION("""COMPUTED_VALUE"""),-0.299335902422279)</f>
        <v>-0.29933590242227898</v>
      </c>
      <c r="OE6" s="3">
        <f ca="1">IFERROR(__xludf.DUMMYFUNCTION("""COMPUTED_VALUE"""),-0.229258839487726)</f>
        <v>-0.22925883948772599</v>
      </c>
      <c r="OF6" s="3">
        <f ca="1">IFERROR(__xludf.DUMMYFUNCTION("""COMPUTED_VALUE"""),-0.0782300449705831)</f>
        <v>-7.8230044970583099E-2</v>
      </c>
      <c r="OG6" s="3">
        <f ca="1">IFERROR(__xludf.DUMMYFUNCTION("""COMPUTED_VALUE"""),-0.034484799770778)</f>
        <v>-3.4484799770778E-2</v>
      </c>
      <c r="OH6" s="3">
        <f ca="1">IFERROR(__xludf.DUMMYFUNCTION("""COMPUTED_VALUE"""),-0.029316582346075)</f>
        <v>-2.9316582346074999E-2</v>
      </c>
      <c r="OI6" s="3">
        <f ca="1">IFERROR(__xludf.DUMMYFUNCTION("""COMPUTED_VALUE"""),-0.0182112028915076)</f>
        <v>-1.82112028915076E-2</v>
      </c>
      <c r="OJ6" s="3">
        <f ca="1">IFERROR(__xludf.DUMMYFUNCTION("""COMPUTED_VALUE"""),-0.0249951223021461)</f>
        <v>-2.4995122302146101E-2</v>
      </c>
      <c r="OK6" s="3">
        <f ca="1">IFERROR(__xludf.DUMMYFUNCTION("""COMPUTED_VALUE"""),-0.00453712342631784)</f>
        <v>-4.5371234263178401E-3</v>
      </c>
      <c r="OL6" s="3">
        <f ca="1">IFERROR(__xludf.DUMMYFUNCTION("""COMPUTED_VALUE"""),-0.0277285851611244)</f>
        <v>-2.7728585161124399E-2</v>
      </c>
      <c r="OM6" s="3">
        <f ca="1">IFERROR(__xludf.DUMMYFUNCTION("""COMPUTED_VALUE"""),-0.0122218126369717)</f>
        <v>-1.22218126369717E-2</v>
      </c>
      <c r="ON6" s="3">
        <f ca="1">IFERROR(__xludf.DUMMYFUNCTION("""COMPUTED_VALUE"""),0.0113162735266751)</f>
        <v>1.1316273526675099E-2</v>
      </c>
      <c r="OO6" s="3">
        <f ca="1">IFERROR(__xludf.DUMMYFUNCTION("""COMPUTED_VALUE"""),0.0049931063257278)</f>
        <v>4.9931063257278004E-3</v>
      </c>
      <c r="OP6" s="3">
        <f ca="1">IFERROR(__xludf.DUMMYFUNCTION("""COMPUTED_VALUE"""),-0.00284719699704039)</f>
        <v>-2.8471969970403901E-3</v>
      </c>
      <c r="OQ6" s="3">
        <f ca="1">IFERROR(__xludf.DUMMYFUNCTION("""COMPUTED_VALUE"""),0.0550742510599897)</f>
        <v>5.5074251059989698E-2</v>
      </c>
      <c r="OR6" s="3">
        <f ca="1">IFERROR(__xludf.DUMMYFUNCTION("""COMPUTED_VALUE"""),0.0166436780490137)</f>
        <v>1.6643678049013701E-2</v>
      </c>
      <c r="OS6" s="3">
        <f ca="1">IFERROR(__xludf.DUMMYFUNCTION("""COMPUTED_VALUE"""),0.0000963066090855502)</f>
        <v>9.6306609085550194E-5</v>
      </c>
      <c r="OT6" s="3">
        <f ca="1">IFERROR(__xludf.DUMMYFUNCTION("""COMPUTED_VALUE"""),-0.0390537752962615)</f>
        <v>-3.90537752962615E-2</v>
      </c>
      <c r="OU6" s="3">
        <f ca="1">IFERROR(__xludf.DUMMYFUNCTION("""COMPUTED_VALUE"""),0.00747613073687714)</f>
        <v>7.4761307368771401E-3</v>
      </c>
      <c r="OV6" s="3">
        <f ca="1">IFERROR(__xludf.DUMMYFUNCTION("""COMPUTED_VALUE"""),0.0183656597060664)</f>
        <v>1.8365659706066399E-2</v>
      </c>
      <c r="OW6" s="3">
        <f ca="1">IFERROR(__xludf.DUMMYFUNCTION("""COMPUTED_VALUE"""),0.114133795753441)</f>
        <v>0.114133795753441</v>
      </c>
      <c r="OX6" s="3">
        <f ca="1">IFERROR(__xludf.DUMMYFUNCTION("""COMPUTED_VALUE"""),0.0307291277457373)</f>
        <v>3.07291277457373E-2</v>
      </c>
      <c r="OY6" s="3">
        <f ca="1">IFERROR(__xludf.DUMMYFUNCTION("""COMPUTED_VALUE"""),0.031226852068571)</f>
        <v>3.1226852068570999E-2</v>
      </c>
      <c r="OZ6" s="3">
        <f ca="1">IFERROR(__xludf.DUMMYFUNCTION("""COMPUTED_VALUE"""),-0.0430679433419807)</f>
        <v>-4.3067943341980698E-2</v>
      </c>
      <c r="PA6" s="3">
        <f ca="1">IFERROR(__xludf.DUMMYFUNCTION("""COMPUTED_VALUE"""),-0.0827022721342166)</f>
        <v>-8.2702272134216603E-2</v>
      </c>
      <c r="PB6" s="3">
        <f ca="1">IFERROR(__xludf.DUMMYFUNCTION("""COMPUTED_VALUE"""),0.0130253964767992)</f>
        <v>1.3025396476799201E-2</v>
      </c>
      <c r="PC6" s="3">
        <f ca="1">IFERROR(__xludf.DUMMYFUNCTION("""COMPUTED_VALUE"""),0.021401281568566)</f>
        <v>2.1401281568566001E-2</v>
      </c>
      <c r="PD6" s="3">
        <f ca="1">IFERROR(__xludf.DUMMYFUNCTION("""COMPUTED_VALUE"""),-0.234591221498857)</f>
        <v>-0.234591221498857</v>
      </c>
      <c r="PE6" s="3">
        <f ca="1">IFERROR(__xludf.DUMMYFUNCTION("""COMPUTED_VALUE"""),0.0448378289648867)</f>
        <v>4.4837828964886701E-2</v>
      </c>
      <c r="PF6" s="3">
        <f ca="1">IFERROR(__xludf.DUMMYFUNCTION("""COMPUTED_VALUE"""),0.00193024939636288)</f>
        <v>1.93024939636288E-3</v>
      </c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</row>
    <row r="7" spans="1:476" ht="15.75" customHeight="1">
      <c r="A7" s="1" t="str">
        <f ca="1">IFERROR(__xludf.DUMMYFUNCTION("""COMPUTED_VALUE"""),"Australia")</f>
        <v>Australia</v>
      </c>
      <c r="B7" s="3">
        <f ca="1">IFERROR(__xludf.DUMMYFUNCTION("""COMPUTED_VALUE"""),-0.0664798506839166)</f>
        <v>-6.6479850683916597E-2</v>
      </c>
      <c r="C7" s="3">
        <f ca="1">IFERROR(__xludf.DUMMYFUNCTION("""COMPUTED_VALUE"""),-0.150375922448166)</f>
        <v>-0.150375922448166</v>
      </c>
      <c r="D7" s="3">
        <f ca="1">IFERROR(__xludf.DUMMYFUNCTION("""COMPUTED_VALUE"""),-0.158500342424307)</f>
        <v>-0.15850034242430699</v>
      </c>
      <c r="E7" s="3">
        <f ca="1">IFERROR(__xludf.DUMMYFUNCTION("""COMPUTED_VALUE"""),-0.232592494103698)</f>
        <v>-0.23259249410369801</v>
      </c>
      <c r="F7" s="3">
        <f ca="1">IFERROR(__xludf.DUMMYFUNCTION("""COMPUTED_VALUE"""),-0.234423267157803)</f>
        <v>-0.23442326715780301</v>
      </c>
      <c r="G7" s="3">
        <f ca="1">IFERROR(__xludf.DUMMYFUNCTION("""COMPUTED_VALUE"""),-0.314029899756747)</f>
        <v>-0.314029899756747</v>
      </c>
      <c r="H7" s="3">
        <f ca="1">IFERROR(__xludf.DUMMYFUNCTION("""COMPUTED_VALUE"""),-0.379968906754895)</f>
        <v>-0.37996890675489498</v>
      </c>
      <c r="I7" s="3">
        <f ca="1">IFERROR(__xludf.DUMMYFUNCTION("""COMPUTED_VALUE"""),-0.257793644820497)</f>
        <v>-0.25779364482049699</v>
      </c>
      <c r="J7" s="3">
        <f ca="1">IFERROR(__xludf.DUMMYFUNCTION("""COMPUTED_VALUE"""),-0.425937680746765)</f>
        <v>-0.42593768074676502</v>
      </c>
      <c r="K7" s="3">
        <f ca="1">IFERROR(__xludf.DUMMYFUNCTION("""COMPUTED_VALUE"""),-0.358852840166599)</f>
        <v>-0.35885284016659902</v>
      </c>
      <c r="L7" s="3">
        <f ca="1">IFERROR(__xludf.DUMMYFUNCTION("""COMPUTED_VALUE"""),-0.160945953887492)</f>
        <v>-0.160945953887492</v>
      </c>
      <c r="M7" s="3">
        <f ca="1">IFERROR(__xludf.DUMMYFUNCTION("""COMPUTED_VALUE"""),-0.17322624022238)</f>
        <v>-0.17322624022238001</v>
      </c>
      <c r="N7" s="3">
        <f ca="1">IFERROR(__xludf.DUMMYFUNCTION("""COMPUTED_VALUE"""),-0.165397961137192)</f>
        <v>-0.16539796113719199</v>
      </c>
      <c r="O7" s="3">
        <f ca="1">IFERROR(__xludf.DUMMYFUNCTION("""COMPUTED_VALUE"""),-0.129552565593506)</f>
        <v>-0.129552565593506</v>
      </c>
      <c r="P7" s="3">
        <f ca="1">IFERROR(__xludf.DUMMYFUNCTION("""COMPUTED_VALUE"""),-0.0938010791735097)</f>
        <v>-9.3801079173509702E-2</v>
      </c>
      <c r="Q7" s="3">
        <f ca="1">IFERROR(__xludf.DUMMYFUNCTION("""COMPUTED_VALUE"""),-0.115257559029618)</f>
        <v>-0.115257559029618</v>
      </c>
      <c r="R7" s="3">
        <f ca="1">IFERROR(__xludf.DUMMYFUNCTION("""COMPUTED_VALUE"""),-0.0390533950087763)</f>
        <v>-3.9053395008776297E-2</v>
      </c>
      <c r="S7" s="3">
        <f ca="1">IFERROR(__xludf.DUMMYFUNCTION("""COMPUTED_VALUE"""),-0.0324787480162178)</f>
        <v>-3.24787480162178E-2</v>
      </c>
      <c r="T7" s="3">
        <f ca="1">IFERROR(__xludf.DUMMYFUNCTION("""COMPUTED_VALUE"""),-0.0477795442458899)</f>
        <v>-4.7779544245889899E-2</v>
      </c>
      <c r="U7" s="3">
        <f ca="1">IFERROR(__xludf.DUMMYFUNCTION("""COMPUTED_VALUE"""),-0.181648846996379)</f>
        <v>-0.18164884699637901</v>
      </c>
      <c r="V7" s="3">
        <f ca="1">IFERROR(__xludf.DUMMYFUNCTION("""COMPUTED_VALUE"""),-0.187554057660253)</f>
        <v>-0.18755405766025299</v>
      </c>
      <c r="W7" s="3">
        <f ca="1">IFERROR(__xludf.DUMMYFUNCTION("""COMPUTED_VALUE"""),-0.231047577540873)</f>
        <v>-0.23104757754087299</v>
      </c>
      <c r="X7" s="3">
        <f ca="1">IFERROR(__xludf.DUMMYFUNCTION("""COMPUTED_VALUE"""),-0.130523337720148)</f>
        <v>-0.13052333772014801</v>
      </c>
      <c r="Y7" s="3">
        <f ca="1">IFERROR(__xludf.DUMMYFUNCTION("""COMPUTED_VALUE"""),-0.103683119686213)</f>
        <v>-0.10368311968621299</v>
      </c>
      <c r="Z7" s="3">
        <f ca="1">IFERROR(__xludf.DUMMYFUNCTION("""COMPUTED_VALUE"""),-0.0853267076211429)</f>
        <v>-8.5326707621142903E-2</v>
      </c>
      <c r="AA7" s="3">
        <f ca="1">IFERROR(__xludf.DUMMYFUNCTION("""COMPUTED_VALUE"""),-0.10756013238882)</f>
        <v>-0.10756013238882001</v>
      </c>
      <c r="AB7" s="3">
        <f ca="1">IFERROR(__xludf.DUMMYFUNCTION("""COMPUTED_VALUE"""),-0.102070894137745)</f>
        <v>-0.10207089413774501</v>
      </c>
      <c r="AC7" s="3">
        <f ca="1">IFERROR(__xludf.DUMMYFUNCTION("""COMPUTED_VALUE"""),-0.157730915910378)</f>
        <v>-0.15773091591037799</v>
      </c>
      <c r="AD7" s="3">
        <f ca="1">IFERROR(__xludf.DUMMYFUNCTION("""COMPUTED_VALUE"""),-0.180167460240574)</f>
        <v>-0.18016746024057401</v>
      </c>
      <c r="AE7" s="3">
        <f ca="1">IFERROR(__xludf.DUMMYFUNCTION("""COMPUTED_VALUE"""),-0.174769325576834)</f>
        <v>-0.174769325576834</v>
      </c>
      <c r="AF7" s="3">
        <f ca="1">IFERROR(__xludf.DUMMYFUNCTION("""COMPUTED_VALUE"""),-0.125745683642438)</f>
        <v>-0.12574568364243799</v>
      </c>
      <c r="AG7" s="3">
        <f ca="1">IFERROR(__xludf.DUMMYFUNCTION("""COMPUTED_VALUE"""),-0.0913525398146244)</f>
        <v>-9.1352539814624406E-2</v>
      </c>
      <c r="AH7" s="3">
        <f ca="1">IFERROR(__xludf.DUMMYFUNCTION("""COMPUTED_VALUE"""),-0.116556628828436)</f>
        <v>-0.116556628828436</v>
      </c>
      <c r="AI7" s="3">
        <f ca="1">IFERROR(__xludf.DUMMYFUNCTION("""COMPUTED_VALUE"""),-0.133018721363248)</f>
        <v>-0.13301872136324799</v>
      </c>
      <c r="AJ7" s="3">
        <f ca="1">IFERROR(__xludf.DUMMYFUNCTION("""COMPUTED_VALUE"""),-0.096948338597391)</f>
        <v>-9.6948338597391007E-2</v>
      </c>
      <c r="AK7" s="3">
        <f ca="1">IFERROR(__xludf.DUMMYFUNCTION("""COMPUTED_VALUE"""),-0.154993975167135)</f>
        <v>-0.15499397516713501</v>
      </c>
      <c r="AL7" s="3">
        <f ca="1">IFERROR(__xludf.DUMMYFUNCTION("""COMPUTED_VALUE"""),-0.184171057522717)</f>
        <v>-0.18417105752271701</v>
      </c>
      <c r="AM7" s="3">
        <f ca="1">IFERROR(__xludf.DUMMYFUNCTION("""COMPUTED_VALUE"""),-0.149600972244213)</f>
        <v>-0.14960097224421301</v>
      </c>
      <c r="AN7" s="3">
        <f ca="1">IFERROR(__xludf.DUMMYFUNCTION("""COMPUTED_VALUE"""),-0.125111794480506)</f>
        <v>-0.12511179448050599</v>
      </c>
      <c r="AO7" s="3">
        <f ca="1">IFERROR(__xludf.DUMMYFUNCTION("""COMPUTED_VALUE"""),-0.118624490640213)</f>
        <v>-0.11862449064021301</v>
      </c>
      <c r="AP7" s="3">
        <f ca="1">IFERROR(__xludf.DUMMYFUNCTION("""COMPUTED_VALUE"""),-0.123921399087414)</f>
        <v>-0.12392139908741399</v>
      </c>
      <c r="AQ7" s="3">
        <f ca="1">IFERROR(__xludf.DUMMYFUNCTION("""COMPUTED_VALUE"""),-0.131492407235597)</f>
        <v>-0.13149240723559699</v>
      </c>
      <c r="AR7" s="3">
        <f ca="1">IFERROR(__xludf.DUMMYFUNCTION("""COMPUTED_VALUE"""),-0.139428982711996)</f>
        <v>-0.139428982711996</v>
      </c>
      <c r="AS7" s="3">
        <f ca="1">IFERROR(__xludf.DUMMYFUNCTION("""COMPUTED_VALUE"""),-0.184381463310023)</f>
        <v>-0.184381463310023</v>
      </c>
      <c r="AT7" s="3">
        <f ca="1">IFERROR(__xludf.DUMMYFUNCTION("""COMPUTED_VALUE"""),-0.145606166969534)</f>
        <v>-0.14560616696953399</v>
      </c>
      <c r="AU7" s="3">
        <f ca="1">IFERROR(__xludf.DUMMYFUNCTION("""COMPUTED_VALUE"""),-0.172105402211505)</f>
        <v>-0.172105402211505</v>
      </c>
      <c r="AV7" s="3">
        <f ca="1">IFERROR(__xludf.DUMMYFUNCTION("""COMPUTED_VALUE"""),-0.131896231325625)</f>
        <v>-0.131896231325625</v>
      </c>
      <c r="AW7" s="3">
        <f ca="1">IFERROR(__xludf.DUMMYFUNCTION("""COMPUTED_VALUE"""),-0.135815130615478)</f>
        <v>-0.13581513061547801</v>
      </c>
      <c r="AX7" s="3">
        <f ca="1">IFERROR(__xludf.DUMMYFUNCTION("""COMPUTED_VALUE"""),-0.147313600279794)</f>
        <v>-0.14731360027979401</v>
      </c>
      <c r="AY7" s="3">
        <f ca="1">IFERROR(__xludf.DUMMYFUNCTION("""COMPUTED_VALUE"""),-0.184310868594861)</f>
        <v>-0.18431086859486101</v>
      </c>
      <c r="AZ7" s="3">
        <f ca="1">IFERROR(__xludf.DUMMYFUNCTION("""COMPUTED_VALUE"""),-0.205924467587431)</f>
        <v>-0.20592446758743099</v>
      </c>
      <c r="BA7" s="3">
        <f ca="1">IFERROR(__xludf.DUMMYFUNCTION("""COMPUTED_VALUE"""),-0.17460027546943)</f>
        <v>-0.17460027546942999</v>
      </c>
      <c r="BB7" s="3">
        <f ca="1">IFERROR(__xludf.DUMMYFUNCTION("""COMPUTED_VALUE"""),-0.219975798654805)</f>
        <v>-0.21997579865480499</v>
      </c>
      <c r="BC7" s="3">
        <f ca="1">IFERROR(__xludf.DUMMYFUNCTION("""COMPUTED_VALUE"""),-0.237581792165627)</f>
        <v>-0.237581792165627</v>
      </c>
      <c r="BD7" s="3">
        <f ca="1">IFERROR(__xludf.DUMMYFUNCTION("""COMPUTED_VALUE"""),-0.240252173885149)</f>
        <v>-0.240252173885149</v>
      </c>
      <c r="BE7" s="3">
        <f ca="1">IFERROR(__xludf.DUMMYFUNCTION("""COMPUTED_VALUE"""),-0.224694914114669)</f>
        <v>-0.22469491411466899</v>
      </c>
      <c r="BF7" s="3">
        <f ca="1">IFERROR(__xludf.DUMMYFUNCTION("""COMPUTED_VALUE"""),-0.270902651168102)</f>
        <v>-0.27090265116810203</v>
      </c>
      <c r="BG7" s="3">
        <f ca="1">IFERROR(__xludf.DUMMYFUNCTION("""COMPUTED_VALUE"""),-0.298569005287604)</f>
        <v>-0.29856900528760399</v>
      </c>
      <c r="BH7" s="3">
        <f ca="1">IFERROR(__xludf.DUMMYFUNCTION("""COMPUTED_VALUE"""),-0.148190816960572)</f>
        <v>-0.14819081696057201</v>
      </c>
      <c r="BI7" s="3">
        <f ca="1">IFERROR(__xludf.DUMMYFUNCTION("""COMPUTED_VALUE"""),-0.117453536033706)</f>
        <v>-0.11745353603370599</v>
      </c>
      <c r="BJ7" s="3">
        <f ca="1">IFERROR(__xludf.DUMMYFUNCTION("""COMPUTED_VALUE"""),-0.142979004209055)</f>
        <v>-0.14297900420905499</v>
      </c>
      <c r="BK7" s="3">
        <f ca="1">IFERROR(__xludf.DUMMYFUNCTION("""COMPUTED_VALUE"""),-0.141798667937304)</f>
        <v>-0.141798667937304</v>
      </c>
      <c r="BL7" s="3">
        <f ca="1">IFERROR(__xludf.DUMMYFUNCTION("""COMPUTED_VALUE"""),-0.177219619361201)</f>
        <v>-0.17721961936120101</v>
      </c>
      <c r="BM7" s="3">
        <f ca="1">IFERROR(__xludf.DUMMYFUNCTION("""COMPUTED_VALUE"""),-0.192378524534332)</f>
        <v>-0.19237852453433199</v>
      </c>
      <c r="BN7" s="3">
        <f ca="1">IFERROR(__xludf.DUMMYFUNCTION("""COMPUTED_VALUE"""),-0.276032143895237)</f>
        <v>-0.276032143895237</v>
      </c>
      <c r="BO7" s="3">
        <f ca="1">IFERROR(__xludf.DUMMYFUNCTION("""COMPUTED_VALUE"""),-0.206432745187326)</f>
        <v>-0.20643274518732599</v>
      </c>
      <c r="BP7" s="3">
        <f ca="1">IFERROR(__xludf.DUMMYFUNCTION("""COMPUTED_VALUE"""),-0.197468482171121)</f>
        <v>-0.19746848217112101</v>
      </c>
      <c r="BQ7" s="3">
        <f ca="1">IFERROR(__xludf.DUMMYFUNCTION("""COMPUTED_VALUE"""),-0.194730218608539)</f>
        <v>-0.19473021860853901</v>
      </c>
      <c r="BR7" s="3">
        <f ca="1">IFERROR(__xludf.DUMMYFUNCTION("""COMPUTED_VALUE"""),-0.176566832226734)</f>
        <v>-0.176566832226734</v>
      </c>
      <c r="BS7" s="3">
        <f ca="1">IFERROR(__xludf.DUMMYFUNCTION("""COMPUTED_VALUE"""),-0.143006709663361)</f>
        <v>-0.14300670966336099</v>
      </c>
      <c r="BT7" s="3">
        <f ca="1">IFERROR(__xludf.DUMMYFUNCTION("""COMPUTED_VALUE"""),-0.208355333849757)</f>
        <v>-0.20835533384975699</v>
      </c>
      <c r="BU7" s="3">
        <f ca="1">IFERROR(__xludf.DUMMYFUNCTION("""COMPUTED_VALUE"""),-0.252950418252513)</f>
        <v>-0.25295041825251302</v>
      </c>
      <c r="BV7" s="3">
        <f ca="1">IFERROR(__xludf.DUMMYFUNCTION("""COMPUTED_VALUE"""),-0.234672041958764)</f>
        <v>-0.23467204195876401</v>
      </c>
      <c r="BW7" s="3">
        <f ca="1">IFERROR(__xludf.DUMMYFUNCTION("""COMPUTED_VALUE"""),-0.311648725340168)</f>
        <v>-0.31164872534016802</v>
      </c>
      <c r="BX7" s="3">
        <f ca="1">IFERROR(__xludf.DUMMYFUNCTION("""COMPUTED_VALUE"""),-0.383138884005425)</f>
        <v>-0.38313888400542501</v>
      </c>
      <c r="BY7" s="3">
        <f ca="1">IFERROR(__xludf.DUMMYFUNCTION("""COMPUTED_VALUE"""),-0.428317679734465)</f>
        <v>-0.428317679734465</v>
      </c>
      <c r="BZ7" s="3">
        <f ca="1">IFERROR(__xludf.DUMMYFUNCTION("""COMPUTED_VALUE"""),-0.319092056480604)</f>
        <v>-0.31909205648060401</v>
      </c>
      <c r="CA7" s="3">
        <f ca="1">IFERROR(__xludf.DUMMYFUNCTION("""COMPUTED_VALUE"""),-0.229442197608789)</f>
        <v>-0.22944219760878901</v>
      </c>
      <c r="CB7" s="3">
        <f ca="1">IFERROR(__xludf.DUMMYFUNCTION("""COMPUTED_VALUE"""),-0.236179379443062)</f>
        <v>-0.236179379443062</v>
      </c>
      <c r="CC7" s="3">
        <f ca="1">IFERROR(__xludf.DUMMYFUNCTION("""COMPUTED_VALUE"""),-0.308179172184037)</f>
        <v>-0.30817917218403701</v>
      </c>
      <c r="CD7" s="3">
        <f ca="1">IFERROR(__xludf.DUMMYFUNCTION("""COMPUTED_VALUE"""),-0.341440820539801)</f>
        <v>-0.34144082053980102</v>
      </c>
      <c r="CE7" s="3">
        <f ca="1">IFERROR(__xludf.DUMMYFUNCTION("""COMPUTED_VALUE"""),-0.325661531733108)</f>
        <v>-0.32566153173310802</v>
      </c>
      <c r="CF7" s="3">
        <f ca="1">IFERROR(__xludf.DUMMYFUNCTION("""COMPUTED_VALUE"""),-0.258122061460319)</f>
        <v>-0.25812206146031902</v>
      </c>
      <c r="CG7" s="3">
        <f ca="1">IFERROR(__xludf.DUMMYFUNCTION("""COMPUTED_VALUE"""),-0.263437705435294)</f>
        <v>-0.26343770543529399</v>
      </c>
      <c r="CH7" s="3">
        <f ca="1">IFERROR(__xludf.DUMMYFUNCTION("""COMPUTED_VALUE"""),-0.284377399277848)</f>
        <v>-0.284377399277848</v>
      </c>
      <c r="CI7" s="3">
        <f ca="1">IFERROR(__xludf.DUMMYFUNCTION("""COMPUTED_VALUE"""),-0.251381422182992)</f>
        <v>-0.25138142218299198</v>
      </c>
      <c r="CJ7" s="3">
        <f ca="1">IFERROR(__xludf.DUMMYFUNCTION("""COMPUTED_VALUE"""),-0.324260391782484)</f>
        <v>-0.324260391782484</v>
      </c>
      <c r="CK7" s="3">
        <f ca="1">IFERROR(__xludf.DUMMYFUNCTION("""COMPUTED_VALUE"""),-0.367892421291088)</f>
        <v>-0.36789242129108801</v>
      </c>
      <c r="CL7" s="3">
        <f ca="1">IFERROR(__xludf.DUMMYFUNCTION("""COMPUTED_VALUE"""),-0.323084262967355)</f>
        <v>-0.32308426296735498</v>
      </c>
      <c r="CM7" s="3">
        <f ca="1">IFERROR(__xludf.DUMMYFUNCTION("""COMPUTED_VALUE"""),-0.324372864251529)</f>
        <v>-0.324372864251529</v>
      </c>
      <c r="CN7" s="3">
        <f ca="1">IFERROR(__xludf.DUMMYFUNCTION("""COMPUTED_VALUE"""),-0.382906720498544)</f>
        <v>-0.38290672049854402</v>
      </c>
      <c r="CO7" s="3">
        <f ca="1">IFERROR(__xludf.DUMMYFUNCTION("""COMPUTED_VALUE"""),-0.427090752385076)</f>
        <v>-0.42709075238507599</v>
      </c>
      <c r="CP7" s="3">
        <f ca="1">IFERROR(__xludf.DUMMYFUNCTION("""COMPUTED_VALUE"""),-0.415883618738135)</f>
        <v>-0.41588361873813501</v>
      </c>
      <c r="CQ7" s="3">
        <f ca="1">IFERROR(__xludf.DUMMYFUNCTION("""COMPUTED_VALUE"""),-0.358306973032323)</f>
        <v>-0.35830697303232301</v>
      </c>
      <c r="CR7" s="3">
        <f ca="1">IFERROR(__xludf.DUMMYFUNCTION("""COMPUTED_VALUE"""),-0.337102822828647)</f>
        <v>-0.33710282282864701</v>
      </c>
      <c r="CS7" s="3">
        <f ca="1">IFERROR(__xludf.DUMMYFUNCTION("""COMPUTED_VALUE"""),-0.341605172074056)</f>
        <v>-0.341605172074056</v>
      </c>
      <c r="CT7" s="3">
        <f ca="1">IFERROR(__xludf.DUMMYFUNCTION("""COMPUTED_VALUE"""),-0.374144306325654)</f>
        <v>-0.37414430632565399</v>
      </c>
      <c r="CU7" s="3">
        <f ca="1">IFERROR(__xludf.DUMMYFUNCTION("""COMPUTED_VALUE"""),-0.32313057151001)</f>
        <v>-0.32313057151001001</v>
      </c>
      <c r="CV7" s="3">
        <f ca="1">IFERROR(__xludf.DUMMYFUNCTION("""COMPUTED_VALUE"""),-0.397423637096771)</f>
        <v>-0.39742363709677098</v>
      </c>
      <c r="CW7" s="3">
        <f ca="1">IFERROR(__xludf.DUMMYFUNCTION("""COMPUTED_VALUE"""),-0.505106040556563)</f>
        <v>-0.50510604055656305</v>
      </c>
      <c r="CX7" s="3">
        <f ca="1">IFERROR(__xludf.DUMMYFUNCTION("""COMPUTED_VALUE"""),-0.387547105277355)</f>
        <v>-0.38754710527735498</v>
      </c>
      <c r="CY7" s="3">
        <f ca="1">IFERROR(__xludf.DUMMYFUNCTION("""COMPUTED_VALUE"""),-0.359609210378615)</f>
        <v>-0.35960921037861499</v>
      </c>
      <c r="CZ7" s="3">
        <f ca="1">IFERROR(__xludf.DUMMYFUNCTION("""COMPUTED_VALUE"""),-0.29604800418729)</f>
        <v>-0.29604800418728999</v>
      </c>
      <c r="DA7" s="3">
        <f ca="1">IFERROR(__xludf.DUMMYFUNCTION("""COMPUTED_VALUE"""),-0.377941295850758)</f>
        <v>-0.37794129585075797</v>
      </c>
      <c r="DB7" s="3">
        <f ca="1">IFERROR(__xludf.DUMMYFUNCTION("""COMPUTED_VALUE"""),-0.36494649941815)</f>
        <v>-0.36494649941814999</v>
      </c>
      <c r="DC7" s="3">
        <f ca="1">IFERROR(__xludf.DUMMYFUNCTION("""COMPUTED_VALUE"""),-0.308749099080178)</f>
        <v>-0.308749099080178</v>
      </c>
      <c r="DD7" s="3">
        <f ca="1">IFERROR(__xludf.DUMMYFUNCTION("""COMPUTED_VALUE"""),-0.440459691645608)</f>
        <v>-0.440459691645608</v>
      </c>
      <c r="DE7" s="3">
        <f ca="1">IFERROR(__xludf.DUMMYFUNCTION("""COMPUTED_VALUE"""),-0.647067461184016)</f>
        <v>-0.64706746118401604</v>
      </c>
      <c r="DF7" s="3">
        <f ca="1">IFERROR(__xludf.DUMMYFUNCTION("""COMPUTED_VALUE"""),-0.291016148242363)</f>
        <v>-0.29101614824236299</v>
      </c>
      <c r="DG7" s="3">
        <f ca="1">IFERROR(__xludf.DUMMYFUNCTION("""COMPUTED_VALUE"""),-0.184488003943589)</f>
        <v>-0.184488003943589</v>
      </c>
      <c r="DH7" s="3">
        <f ca="1">IFERROR(__xludf.DUMMYFUNCTION("""COMPUTED_VALUE"""),-0.300327530597977)</f>
        <v>-0.30032753059797701</v>
      </c>
      <c r="DI7" s="3">
        <f ca="1">IFERROR(__xludf.DUMMYFUNCTION("""COMPUTED_VALUE"""),-0.341133942283725)</f>
        <v>-0.34113394228372501</v>
      </c>
      <c r="DJ7" s="3">
        <f ca="1">IFERROR(__xludf.DUMMYFUNCTION("""COMPUTED_VALUE"""),-0.360639995752533)</f>
        <v>-0.36063999575253303</v>
      </c>
      <c r="DK7" s="3">
        <f ca="1">IFERROR(__xludf.DUMMYFUNCTION("""COMPUTED_VALUE"""),-0.309025112790373)</f>
        <v>-0.30902511279037298</v>
      </c>
      <c r="DL7" s="3">
        <f ca="1">IFERROR(__xludf.DUMMYFUNCTION("""COMPUTED_VALUE"""),-0.245000557396739)</f>
        <v>-0.24500055739673901</v>
      </c>
      <c r="DM7" s="3">
        <f ca="1">IFERROR(__xludf.DUMMYFUNCTION("""COMPUTED_VALUE"""),-0.203717372893424)</f>
        <v>-0.20371737289342401</v>
      </c>
      <c r="DN7" s="3">
        <f ca="1">IFERROR(__xludf.DUMMYFUNCTION("""COMPUTED_VALUE"""),-0.168814790182917)</f>
        <v>-0.16881479018291701</v>
      </c>
      <c r="DO7" s="3">
        <f ca="1">IFERROR(__xludf.DUMMYFUNCTION("""COMPUTED_VALUE"""),-0.318579357882134)</f>
        <v>-0.31857935788213398</v>
      </c>
      <c r="DP7" s="3">
        <f ca="1">IFERROR(__xludf.DUMMYFUNCTION("""COMPUTED_VALUE"""),-0.362034579299929)</f>
        <v>-0.36203457929992899</v>
      </c>
      <c r="DQ7" s="3">
        <f ca="1">IFERROR(__xludf.DUMMYFUNCTION("""COMPUTED_VALUE"""),-0.301100568983191)</f>
        <v>-0.30110056898319099</v>
      </c>
      <c r="DR7" s="3">
        <f ca="1">IFERROR(__xludf.DUMMYFUNCTION("""COMPUTED_VALUE"""),-0.225085117104035)</f>
        <v>-0.225085117104035</v>
      </c>
      <c r="DS7" s="3">
        <f ca="1">IFERROR(__xludf.DUMMYFUNCTION("""COMPUTED_VALUE"""),-0.294534123428802)</f>
        <v>-0.29453412342880197</v>
      </c>
      <c r="DT7" s="3">
        <f ca="1">IFERROR(__xludf.DUMMYFUNCTION("""COMPUTED_VALUE"""),-0.320849289875808)</f>
        <v>-0.32084928987580802</v>
      </c>
      <c r="DU7" s="3">
        <f ca="1">IFERROR(__xludf.DUMMYFUNCTION("""COMPUTED_VALUE"""),-0.345873722542592)</f>
        <v>-0.34587372254259202</v>
      </c>
      <c r="DV7" s="3">
        <f ca="1">IFERROR(__xludf.DUMMYFUNCTION("""COMPUTED_VALUE"""),-0.395044560173708)</f>
        <v>-0.39504456017370798</v>
      </c>
      <c r="DW7" s="3">
        <f ca="1">IFERROR(__xludf.DUMMYFUNCTION("""COMPUTED_VALUE"""),-0.438430188542904)</f>
        <v>-0.438430188542904</v>
      </c>
      <c r="DX7" s="3">
        <f ca="1">IFERROR(__xludf.DUMMYFUNCTION("""COMPUTED_VALUE"""),-0.312725720684517)</f>
        <v>-0.31272572068451698</v>
      </c>
      <c r="DY7" s="3">
        <f ca="1">IFERROR(__xludf.DUMMYFUNCTION("""COMPUTED_VALUE"""),-0.38257571738984)</f>
        <v>-0.38257571738983998</v>
      </c>
      <c r="DZ7" s="3">
        <f ca="1">IFERROR(__xludf.DUMMYFUNCTION("""COMPUTED_VALUE"""),-0.365785767751672)</f>
        <v>-0.36578576775167199</v>
      </c>
      <c r="EA7" s="3">
        <f ca="1">IFERROR(__xludf.DUMMYFUNCTION("""COMPUTED_VALUE"""),-0.362046840836025)</f>
        <v>-0.36204684083602501</v>
      </c>
      <c r="EB7" s="3">
        <f ca="1">IFERROR(__xludf.DUMMYFUNCTION("""COMPUTED_VALUE"""),-0.363482917652832)</f>
        <v>-0.36348291765283203</v>
      </c>
      <c r="EC7" s="3">
        <f ca="1">IFERROR(__xludf.DUMMYFUNCTION("""COMPUTED_VALUE"""),-0.402329182156183)</f>
        <v>-0.40232918215618302</v>
      </c>
      <c r="ED7" s="3">
        <f ca="1">IFERROR(__xludf.DUMMYFUNCTION("""COMPUTED_VALUE"""),-0.485654697376781)</f>
        <v>-0.48565469737678102</v>
      </c>
      <c r="EE7" s="3">
        <f ca="1">IFERROR(__xludf.DUMMYFUNCTION("""COMPUTED_VALUE"""),-0.287840820973974)</f>
        <v>-0.28784082097397401</v>
      </c>
      <c r="EF7" s="3">
        <f ca="1">IFERROR(__xludf.DUMMYFUNCTION("""COMPUTED_VALUE"""),-0.339746902485274)</f>
        <v>-0.339746902485274</v>
      </c>
      <c r="EG7" s="3">
        <f ca="1">IFERROR(__xludf.DUMMYFUNCTION("""COMPUTED_VALUE"""),-0.34551475398108)</f>
        <v>-0.34551475398108</v>
      </c>
      <c r="EH7" s="3">
        <f ca="1">IFERROR(__xludf.DUMMYFUNCTION("""COMPUTED_VALUE"""),-0.376395846690047)</f>
        <v>-0.376395846690047</v>
      </c>
      <c r="EI7" s="3">
        <f ca="1">IFERROR(__xludf.DUMMYFUNCTION("""COMPUTED_VALUE"""),-0.364956839032462)</f>
        <v>-0.36495683903246201</v>
      </c>
      <c r="EJ7" s="3">
        <f ca="1">IFERROR(__xludf.DUMMYFUNCTION("""COMPUTED_VALUE"""),-0.378019624259992)</f>
        <v>-0.37801962425999203</v>
      </c>
      <c r="EK7" s="3">
        <f ca="1">IFERROR(__xludf.DUMMYFUNCTION("""COMPUTED_VALUE"""),-0.428779537817831)</f>
        <v>-0.42877953781783101</v>
      </c>
      <c r="EL7" s="3">
        <f ca="1">IFERROR(__xludf.DUMMYFUNCTION("""COMPUTED_VALUE"""),-0.367438550869586)</f>
        <v>-0.36743855086958599</v>
      </c>
      <c r="EM7" s="3">
        <f ca="1">IFERROR(__xludf.DUMMYFUNCTION("""COMPUTED_VALUE"""),-0.408726207619711)</f>
        <v>-0.40872620761971101</v>
      </c>
      <c r="EN7" s="3">
        <f ca="1">IFERROR(__xludf.DUMMYFUNCTION("""COMPUTED_VALUE"""),-0.375220224451949)</f>
        <v>-0.37522022445194902</v>
      </c>
      <c r="EO7" s="3">
        <f ca="1">IFERROR(__xludf.DUMMYFUNCTION("""COMPUTED_VALUE"""),-0.379829230194583)</f>
        <v>-0.37982923019458298</v>
      </c>
      <c r="EP7" s="3">
        <f ca="1">IFERROR(__xludf.DUMMYFUNCTION("""COMPUTED_VALUE"""),-0.359304752520455)</f>
        <v>-0.35930475252045502</v>
      </c>
      <c r="EQ7" s="3">
        <f ca="1">IFERROR(__xludf.DUMMYFUNCTION("""COMPUTED_VALUE"""),-0.361935309984319)</f>
        <v>-0.361935309984319</v>
      </c>
      <c r="ER7" s="3">
        <f ca="1">IFERROR(__xludf.DUMMYFUNCTION("""COMPUTED_VALUE"""),-0.347589731390875)</f>
        <v>-0.34758973139087501</v>
      </c>
      <c r="ES7" s="3">
        <f ca="1">IFERROR(__xludf.DUMMYFUNCTION("""COMPUTED_VALUE"""),-0.306145740311761)</f>
        <v>-0.30614574031176101</v>
      </c>
      <c r="ET7" s="3">
        <f ca="1">IFERROR(__xludf.DUMMYFUNCTION("""COMPUTED_VALUE"""),-0.393265783117414)</f>
        <v>-0.393265783117414</v>
      </c>
      <c r="EU7" s="3">
        <f ca="1">IFERROR(__xludf.DUMMYFUNCTION("""COMPUTED_VALUE"""),-0.382542161879511)</f>
        <v>-0.38254216187951101</v>
      </c>
      <c r="EV7" s="3">
        <f ca="1">IFERROR(__xludf.DUMMYFUNCTION("""COMPUTED_VALUE"""),-0.396232382177563)</f>
        <v>-0.39623238217756301</v>
      </c>
      <c r="EW7" s="3">
        <f ca="1">IFERROR(__xludf.DUMMYFUNCTION("""COMPUTED_VALUE"""),-0.306498726029446)</f>
        <v>-0.306498726029446</v>
      </c>
      <c r="EX7" s="3">
        <f ca="1">IFERROR(__xludf.DUMMYFUNCTION("""COMPUTED_VALUE"""),-0.32973198658917)</f>
        <v>-0.32973198658917002</v>
      </c>
      <c r="EY7" s="3">
        <f ca="1">IFERROR(__xludf.DUMMYFUNCTION("""COMPUTED_VALUE"""),-0.386987678760798)</f>
        <v>-0.38698767876079798</v>
      </c>
      <c r="EZ7" s="3">
        <f ca="1">IFERROR(__xludf.DUMMYFUNCTION("""COMPUTED_VALUE"""),-0.383280326266853)</f>
        <v>-0.38328032626685299</v>
      </c>
      <c r="FA7" s="3">
        <f ca="1">IFERROR(__xludf.DUMMYFUNCTION("""COMPUTED_VALUE"""),-0.406311433218186)</f>
        <v>-0.40631143321818602</v>
      </c>
      <c r="FB7" s="3">
        <f ca="1">IFERROR(__xludf.DUMMYFUNCTION("""COMPUTED_VALUE"""),-0.400310798599217)</f>
        <v>-0.40031079859921698</v>
      </c>
      <c r="FC7" s="3">
        <f ca="1">IFERROR(__xludf.DUMMYFUNCTION("""COMPUTED_VALUE"""),-0.404423775775136)</f>
        <v>-0.404423775775136</v>
      </c>
      <c r="FD7" s="3">
        <f ca="1">IFERROR(__xludf.DUMMYFUNCTION("""COMPUTED_VALUE"""),-0.349384091581855)</f>
        <v>-0.34938409158185502</v>
      </c>
      <c r="FE7" s="3">
        <f ca="1">IFERROR(__xludf.DUMMYFUNCTION("""COMPUTED_VALUE"""),-0.276535744956765)</f>
        <v>-0.27653574495676497</v>
      </c>
      <c r="FF7" s="3">
        <f ca="1">IFERROR(__xludf.DUMMYFUNCTION("""COMPUTED_VALUE"""),-0.298166449346602)</f>
        <v>-0.29816644934660202</v>
      </c>
      <c r="FG7" s="3">
        <f ca="1">IFERROR(__xludf.DUMMYFUNCTION("""COMPUTED_VALUE"""),-0.405909788016382)</f>
        <v>-0.405909788016382</v>
      </c>
      <c r="FH7" s="3">
        <f ca="1">IFERROR(__xludf.DUMMYFUNCTION("""COMPUTED_VALUE"""),-0.381354322553503)</f>
        <v>-0.38135432255350299</v>
      </c>
      <c r="FI7" s="3">
        <f ca="1">IFERROR(__xludf.DUMMYFUNCTION("""COMPUTED_VALUE"""),-0.336765730388127)</f>
        <v>-0.33676573038812702</v>
      </c>
      <c r="FJ7" s="3">
        <f ca="1">IFERROR(__xludf.DUMMYFUNCTION("""COMPUTED_VALUE"""),-0.384841410347579)</f>
        <v>-0.38484141034757902</v>
      </c>
      <c r="FK7" s="3">
        <f ca="1">IFERROR(__xludf.DUMMYFUNCTION("""COMPUTED_VALUE"""),-0.348989736980127)</f>
        <v>-0.34898973698012697</v>
      </c>
      <c r="FL7" s="3">
        <f ca="1">IFERROR(__xludf.DUMMYFUNCTION("""COMPUTED_VALUE"""),-0.386225502922882)</f>
        <v>-0.38622550292288199</v>
      </c>
      <c r="FM7" s="3">
        <f ca="1">IFERROR(__xludf.DUMMYFUNCTION("""COMPUTED_VALUE"""),-0.45546357917258)</f>
        <v>-0.45546357917258001</v>
      </c>
      <c r="FN7" s="3">
        <f ca="1">IFERROR(__xludf.DUMMYFUNCTION("""COMPUTED_VALUE"""),-0.479093379201027)</f>
        <v>-0.47909337920102701</v>
      </c>
      <c r="FO7" s="3">
        <f ca="1">IFERROR(__xludf.DUMMYFUNCTION("""COMPUTED_VALUE"""),-0.448436468325868)</f>
        <v>-0.44843646832586798</v>
      </c>
      <c r="FP7" s="3">
        <f ca="1">IFERROR(__xludf.DUMMYFUNCTION("""COMPUTED_VALUE"""),-0.437893645006177)</f>
        <v>-0.437893645006177</v>
      </c>
      <c r="FQ7" s="3">
        <f ca="1">IFERROR(__xludf.DUMMYFUNCTION("""COMPUTED_VALUE"""),-0.421084208512675)</f>
        <v>-0.42108420851267497</v>
      </c>
      <c r="FR7" s="3">
        <f ca="1">IFERROR(__xludf.DUMMYFUNCTION("""COMPUTED_VALUE"""),-0.405469747033109)</f>
        <v>-0.40546974703310901</v>
      </c>
      <c r="FS7" s="3">
        <f ca="1">IFERROR(__xludf.DUMMYFUNCTION("""COMPUTED_VALUE"""),-0.401296910707649)</f>
        <v>-0.401296910707649</v>
      </c>
      <c r="FT7" s="3">
        <f ca="1">IFERROR(__xludf.DUMMYFUNCTION("""COMPUTED_VALUE"""),-0.449797352432836)</f>
        <v>-0.44979735243283597</v>
      </c>
      <c r="FU7" s="3">
        <f ca="1">IFERROR(__xludf.DUMMYFUNCTION("""COMPUTED_VALUE"""),-0.515700453205033)</f>
        <v>-0.51570045320503299</v>
      </c>
      <c r="FV7" s="3">
        <f ca="1">IFERROR(__xludf.DUMMYFUNCTION("""COMPUTED_VALUE"""),-0.482249632540497)</f>
        <v>-0.48224963254049702</v>
      </c>
      <c r="FW7" s="3">
        <f ca="1">IFERROR(__xludf.DUMMYFUNCTION("""COMPUTED_VALUE"""),-0.454594262409177)</f>
        <v>-0.454594262409177</v>
      </c>
      <c r="FX7" s="3">
        <f ca="1">IFERROR(__xludf.DUMMYFUNCTION("""COMPUTED_VALUE"""),-0.466195876209528)</f>
        <v>-0.46619587620952802</v>
      </c>
      <c r="FY7" s="3">
        <f ca="1">IFERROR(__xludf.DUMMYFUNCTION("""COMPUTED_VALUE"""),-0.444004709735311)</f>
        <v>-0.44400470973531098</v>
      </c>
      <c r="FZ7" s="3">
        <f ca="1">IFERROR(__xludf.DUMMYFUNCTION("""COMPUTED_VALUE"""),-0.429027786699286)</f>
        <v>-0.42902778669928598</v>
      </c>
      <c r="GA7" s="3">
        <f ca="1">IFERROR(__xludf.DUMMYFUNCTION("""COMPUTED_VALUE"""),-0.457514834859495)</f>
        <v>-0.45751483485949501</v>
      </c>
      <c r="GB7" s="3">
        <f ca="1">IFERROR(__xludf.DUMMYFUNCTION("""COMPUTED_VALUE"""),-0.514545969384216)</f>
        <v>-0.51454596938421604</v>
      </c>
      <c r="GC7" s="3">
        <f ca="1">IFERROR(__xludf.DUMMYFUNCTION("""COMPUTED_VALUE"""),-0.505246702057796)</f>
        <v>-0.50524670205779598</v>
      </c>
      <c r="GD7" s="3">
        <f ca="1">IFERROR(__xludf.DUMMYFUNCTION("""COMPUTED_VALUE"""),-0.492211757174087)</f>
        <v>-0.49221175717408699</v>
      </c>
      <c r="GE7" s="3">
        <f ca="1">IFERROR(__xludf.DUMMYFUNCTION("""COMPUTED_VALUE"""),-0.556971685104358)</f>
        <v>-0.55697168510435802</v>
      </c>
      <c r="GF7" s="3">
        <f ca="1">IFERROR(__xludf.DUMMYFUNCTION("""COMPUTED_VALUE"""),-0.511750895295352)</f>
        <v>-0.511750895295352</v>
      </c>
      <c r="GG7" s="3">
        <f ca="1">IFERROR(__xludf.DUMMYFUNCTION("""COMPUTED_VALUE"""),-0.498671731188861)</f>
        <v>-0.49867173118886099</v>
      </c>
      <c r="GH7" s="3">
        <f ca="1">IFERROR(__xludf.DUMMYFUNCTION("""COMPUTED_VALUE"""),-0.517121295815788)</f>
        <v>-0.51712129581578803</v>
      </c>
      <c r="GI7" s="3">
        <f ca="1">IFERROR(__xludf.DUMMYFUNCTION("""COMPUTED_VALUE"""),-0.463825257031102)</f>
        <v>-0.463825257031102</v>
      </c>
      <c r="GJ7" s="3">
        <f ca="1">IFERROR(__xludf.DUMMYFUNCTION("""COMPUTED_VALUE"""),-0.452812038471759)</f>
        <v>-0.45281203847175899</v>
      </c>
      <c r="GK7" s="3">
        <f ca="1">IFERROR(__xludf.DUMMYFUNCTION("""COMPUTED_VALUE"""),-0.497999480788487)</f>
        <v>-0.49799948078848699</v>
      </c>
      <c r="GL7" s="3">
        <f ca="1">IFERROR(__xludf.DUMMYFUNCTION("""COMPUTED_VALUE"""),-0.540229297240215)</f>
        <v>-0.54022929724021496</v>
      </c>
      <c r="GM7" s="3">
        <f ca="1">IFERROR(__xludf.DUMMYFUNCTION("""COMPUTED_VALUE"""),-0.520059703640916)</f>
        <v>-0.52005970364091603</v>
      </c>
      <c r="GN7" s="3">
        <f ca="1">IFERROR(__xludf.DUMMYFUNCTION("""COMPUTED_VALUE"""),-0.494756454150926)</f>
        <v>-0.49475645415092601</v>
      </c>
      <c r="GO7" s="3">
        <f ca="1">IFERROR(__xludf.DUMMYFUNCTION("""COMPUTED_VALUE"""),-0.495334927779117)</f>
        <v>-0.49533492777911697</v>
      </c>
      <c r="GP7" s="3">
        <f ca="1">IFERROR(__xludf.DUMMYFUNCTION("""COMPUTED_VALUE"""),-0.553647565734056)</f>
        <v>-0.55364756573405605</v>
      </c>
      <c r="GQ7" s="3">
        <f ca="1">IFERROR(__xludf.DUMMYFUNCTION("""COMPUTED_VALUE"""),-0.467387244123787)</f>
        <v>-0.46738724412378702</v>
      </c>
      <c r="GR7" s="3">
        <f ca="1">IFERROR(__xludf.DUMMYFUNCTION("""COMPUTED_VALUE"""),-0.45225872742608)</f>
        <v>-0.45225872742607998</v>
      </c>
      <c r="GS7" s="3">
        <f ca="1">IFERROR(__xludf.DUMMYFUNCTION("""COMPUTED_VALUE"""),-0.457630032897278)</f>
        <v>-0.45763003289727799</v>
      </c>
      <c r="GT7" s="3">
        <f ca="1">IFERROR(__xludf.DUMMYFUNCTION("""COMPUTED_VALUE"""),-0.440412764352011)</f>
        <v>-0.44041276435201099</v>
      </c>
      <c r="GU7" s="3">
        <f ca="1">IFERROR(__xludf.DUMMYFUNCTION("""COMPUTED_VALUE"""),-0.454957911063393)</f>
        <v>-0.45495791106339301</v>
      </c>
      <c r="GV7" s="3">
        <f ca="1">IFERROR(__xludf.DUMMYFUNCTION("""COMPUTED_VALUE"""),-0.475044413597929)</f>
        <v>-0.47504441359792898</v>
      </c>
      <c r="GW7" s="3">
        <f ca="1">IFERROR(__xludf.DUMMYFUNCTION("""COMPUTED_VALUE"""),-0.46135130068215)</f>
        <v>-0.46135130068215002</v>
      </c>
      <c r="GX7" s="3">
        <f ca="1">IFERROR(__xludf.DUMMYFUNCTION("""COMPUTED_VALUE"""),-0.486505525811075)</f>
        <v>-0.48650552581107498</v>
      </c>
      <c r="GY7" s="3">
        <f ca="1">IFERROR(__xludf.DUMMYFUNCTION("""COMPUTED_VALUE"""),-0.407886086324005)</f>
        <v>-0.40788608632400503</v>
      </c>
      <c r="GZ7" s="3">
        <f ca="1">IFERROR(__xludf.DUMMYFUNCTION("""COMPUTED_VALUE"""),-0.40190850119384)</f>
        <v>-0.40190850119383997</v>
      </c>
      <c r="HA7" s="3">
        <f ca="1">IFERROR(__xludf.DUMMYFUNCTION("""COMPUTED_VALUE"""),-0.403889090753587)</f>
        <v>-0.40388909075358698</v>
      </c>
      <c r="HB7" s="3">
        <f ca="1">IFERROR(__xludf.DUMMYFUNCTION("""COMPUTED_VALUE"""),-0.469730015675134)</f>
        <v>-0.46973001567513401</v>
      </c>
      <c r="HC7" s="3">
        <f ca="1">IFERROR(__xludf.DUMMYFUNCTION("""COMPUTED_VALUE"""),-0.449047313345683)</f>
        <v>-0.44904731334568299</v>
      </c>
      <c r="HD7" s="3">
        <f ca="1">IFERROR(__xludf.DUMMYFUNCTION("""COMPUTED_VALUE"""),-0.433978565980762)</f>
        <v>-0.43397856598076201</v>
      </c>
      <c r="HE7" s="3">
        <f ca="1">IFERROR(__xludf.DUMMYFUNCTION("""COMPUTED_VALUE"""),-0.439814182102626)</f>
        <v>-0.43981418210262602</v>
      </c>
      <c r="HF7" s="3">
        <f ca="1">IFERROR(__xludf.DUMMYFUNCTION("""COMPUTED_VALUE"""),-0.43434440478854)</f>
        <v>-0.43434440478853997</v>
      </c>
      <c r="HG7" s="3">
        <f ca="1">IFERROR(__xludf.DUMMYFUNCTION("""COMPUTED_VALUE"""),-0.432094800719466)</f>
        <v>-0.43209480071946599</v>
      </c>
      <c r="HH7" s="3">
        <f ca="1">IFERROR(__xludf.DUMMYFUNCTION("""COMPUTED_VALUE"""),-0.406713247025647)</f>
        <v>-0.40671324702564698</v>
      </c>
      <c r="HI7" s="3">
        <f ca="1">IFERROR(__xludf.DUMMYFUNCTION("""COMPUTED_VALUE"""),-0.421551513614859)</f>
        <v>-0.42155151361485899</v>
      </c>
      <c r="HJ7" s="3">
        <f ca="1">IFERROR(__xludf.DUMMYFUNCTION("""COMPUTED_VALUE"""),-0.458165958523654)</f>
        <v>-0.45816595852365399</v>
      </c>
      <c r="HK7" s="3">
        <f ca="1">IFERROR(__xludf.DUMMYFUNCTION("""COMPUTED_VALUE"""),-0.492305598866745)</f>
        <v>-0.49230559886674502</v>
      </c>
      <c r="HL7" s="3">
        <f ca="1">IFERROR(__xludf.DUMMYFUNCTION("""COMPUTED_VALUE"""),-0.460822808523465)</f>
        <v>-0.46082280852346502</v>
      </c>
      <c r="HM7" s="3">
        <f ca="1">IFERROR(__xludf.DUMMYFUNCTION("""COMPUTED_VALUE"""),-0.407042550633984)</f>
        <v>-0.40704255063398398</v>
      </c>
      <c r="HN7" s="3">
        <f ca="1">IFERROR(__xludf.DUMMYFUNCTION("""COMPUTED_VALUE"""),-0.425556136905061)</f>
        <v>-0.425556136905061</v>
      </c>
      <c r="HO7" s="3">
        <f ca="1">IFERROR(__xludf.DUMMYFUNCTION("""COMPUTED_VALUE"""),-0.413573390568628)</f>
        <v>-0.41357339056862802</v>
      </c>
      <c r="HP7" s="3">
        <f ca="1">IFERROR(__xludf.DUMMYFUNCTION("""COMPUTED_VALUE"""),-0.440081809163928)</f>
        <v>-0.44008180916392797</v>
      </c>
      <c r="HQ7" s="3">
        <f ca="1">IFERROR(__xludf.DUMMYFUNCTION("""COMPUTED_VALUE"""),-0.438625913457433)</f>
        <v>-0.43862591345743301</v>
      </c>
      <c r="HR7" s="3">
        <f ca="1">IFERROR(__xludf.DUMMYFUNCTION("""COMPUTED_VALUE"""),-0.487419862153038)</f>
        <v>-0.48741986215303801</v>
      </c>
      <c r="HS7" s="3">
        <f ca="1">IFERROR(__xludf.DUMMYFUNCTION("""COMPUTED_VALUE"""),-0.484553926495642)</f>
        <v>-0.484553926495642</v>
      </c>
      <c r="HT7" s="3">
        <f ca="1">IFERROR(__xludf.DUMMYFUNCTION("""COMPUTED_VALUE"""),-0.46890042516125)</f>
        <v>-0.46890042516125002</v>
      </c>
      <c r="HU7" s="3">
        <f ca="1">IFERROR(__xludf.DUMMYFUNCTION("""COMPUTED_VALUE"""),-0.469902437764534)</f>
        <v>-0.469902437764534</v>
      </c>
      <c r="HV7" s="3">
        <f ca="1">IFERROR(__xludf.DUMMYFUNCTION("""COMPUTED_VALUE"""),-0.482356890894783)</f>
        <v>-0.48235689089478301</v>
      </c>
      <c r="HW7" s="3">
        <f ca="1">IFERROR(__xludf.DUMMYFUNCTION("""COMPUTED_VALUE"""),-0.476221705672079)</f>
        <v>-0.476221705672079</v>
      </c>
      <c r="HX7" s="3">
        <f ca="1">IFERROR(__xludf.DUMMYFUNCTION("""COMPUTED_VALUE"""),-0.435764841528553)</f>
        <v>-0.43576484152855299</v>
      </c>
      <c r="HY7" s="3">
        <f ca="1">IFERROR(__xludf.DUMMYFUNCTION("""COMPUTED_VALUE"""),-0.492207847428942)</f>
        <v>-0.49220784742894202</v>
      </c>
      <c r="HZ7" s="3">
        <f ca="1">IFERROR(__xludf.DUMMYFUNCTION("""COMPUTED_VALUE"""),-0.506304944214859)</f>
        <v>-0.50630494421485905</v>
      </c>
      <c r="IA7" s="3">
        <f ca="1">IFERROR(__xludf.DUMMYFUNCTION("""COMPUTED_VALUE"""),-0.455765814958269)</f>
        <v>-0.45576581495826901</v>
      </c>
      <c r="IB7" s="3">
        <f ca="1">IFERROR(__xludf.DUMMYFUNCTION("""COMPUTED_VALUE"""),-0.455719873148548)</f>
        <v>-0.455719873148548</v>
      </c>
      <c r="IC7" s="3">
        <f ca="1">IFERROR(__xludf.DUMMYFUNCTION("""COMPUTED_VALUE"""),-0.432805078802209)</f>
        <v>-0.43280507880220898</v>
      </c>
      <c r="ID7" s="3">
        <f ca="1">IFERROR(__xludf.DUMMYFUNCTION("""COMPUTED_VALUE"""),-0.443565518727782)</f>
        <v>-0.44356551872778199</v>
      </c>
      <c r="IE7" s="3">
        <f ca="1">IFERROR(__xludf.DUMMYFUNCTION("""COMPUTED_VALUE"""),-0.437429008158432)</f>
        <v>-0.437429008158432</v>
      </c>
      <c r="IF7" s="3">
        <f ca="1">IFERROR(__xludf.DUMMYFUNCTION("""COMPUTED_VALUE"""),-0.511358241030207)</f>
        <v>-0.51135824103020699</v>
      </c>
      <c r="IG7" s="3">
        <f ca="1">IFERROR(__xludf.DUMMYFUNCTION("""COMPUTED_VALUE"""),-0.538732481240127)</f>
        <v>-0.53873248124012696</v>
      </c>
      <c r="IH7" s="3">
        <f ca="1">IFERROR(__xludf.DUMMYFUNCTION("""COMPUTED_VALUE"""),-0.472751231741799)</f>
        <v>-0.47275123174179901</v>
      </c>
      <c r="II7" s="3">
        <f ca="1">IFERROR(__xludf.DUMMYFUNCTION("""COMPUTED_VALUE"""),-0.468054866147886)</f>
        <v>-0.468054866147886</v>
      </c>
      <c r="IJ7" s="3">
        <f ca="1">IFERROR(__xludf.DUMMYFUNCTION("""COMPUTED_VALUE"""),-0.468964363825926)</f>
        <v>-0.46896436382592599</v>
      </c>
      <c r="IK7" s="3">
        <f ca="1">IFERROR(__xludf.DUMMYFUNCTION("""COMPUTED_VALUE"""),-0.467211597219513)</f>
        <v>-0.467211597219513</v>
      </c>
      <c r="IL7" s="3">
        <f ca="1">IFERROR(__xludf.DUMMYFUNCTION("""COMPUTED_VALUE"""),-0.525846748689139)</f>
        <v>-0.52584674868913905</v>
      </c>
      <c r="IM7" s="3">
        <f ca="1">IFERROR(__xludf.DUMMYFUNCTION("""COMPUTED_VALUE"""),-0.546248469803826)</f>
        <v>-0.54624846980382602</v>
      </c>
      <c r="IN7" s="3">
        <f ca="1">IFERROR(__xludf.DUMMYFUNCTION("""COMPUTED_VALUE"""),-0.520603559748371)</f>
        <v>-0.52060355974837103</v>
      </c>
      <c r="IO7" s="3">
        <f ca="1">IFERROR(__xludf.DUMMYFUNCTION("""COMPUTED_VALUE"""),-0.492641508626456)</f>
        <v>-0.492641508626456</v>
      </c>
      <c r="IP7" s="3">
        <f ca="1">IFERROR(__xludf.DUMMYFUNCTION("""COMPUTED_VALUE"""),-0.483332973594681)</f>
        <v>-0.48333297359468103</v>
      </c>
      <c r="IQ7" s="3">
        <f ca="1">IFERROR(__xludf.DUMMYFUNCTION("""COMPUTED_VALUE"""),-0.458340017082982)</f>
        <v>-0.458340017082982</v>
      </c>
      <c r="IR7" s="3">
        <f ca="1">IFERROR(__xludf.DUMMYFUNCTION("""COMPUTED_VALUE"""),-0.461947907304875)</f>
        <v>-0.46194790730487501</v>
      </c>
      <c r="IS7" s="3">
        <f ca="1">IFERROR(__xludf.DUMMYFUNCTION("""COMPUTED_VALUE"""),-0.487247371891985)</f>
        <v>-0.48724737189198503</v>
      </c>
      <c r="IT7" s="3">
        <f ca="1">IFERROR(__xludf.DUMMYFUNCTION("""COMPUTED_VALUE"""),-0.476742497000478)</f>
        <v>-0.47674249700047799</v>
      </c>
      <c r="IU7" s="3">
        <f ca="1">IFERROR(__xludf.DUMMYFUNCTION("""COMPUTED_VALUE"""),-0.444409233162106)</f>
        <v>-0.44440923316210601</v>
      </c>
      <c r="IV7" s="3">
        <f ca="1">IFERROR(__xludf.DUMMYFUNCTION("""COMPUTED_VALUE"""),-0.440459185549631)</f>
        <v>-0.44045918554963098</v>
      </c>
      <c r="IW7" s="3">
        <f ca="1">IFERROR(__xludf.DUMMYFUNCTION("""COMPUTED_VALUE"""),-0.420607624809632)</f>
        <v>-0.42060762480963199</v>
      </c>
      <c r="IX7" s="3">
        <f ca="1">IFERROR(__xludf.DUMMYFUNCTION("""COMPUTED_VALUE"""),-0.393204379155828)</f>
        <v>-0.39320437915582801</v>
      </c>
      <c r="IY7" s="3">
        <f ca="1">IFERROR(__xludf.DUMMYFUNCTION("""COMPUTED_VALUE"""),-0.447173531023553)</f>
        <v>-0.44717353102355301</v>
      </c>
      <c r="IZ7" s="3">
        <f ca="1">IFERROR(__xludf.DUMMYFUNCTION("""COMPUTED_VALUE"""),-0.491286808534712)</f>
        <v>-0.49128680853471202</v>
      </c>
      <c r="JA7" s="3">
        <f ca="1">IFERROR(__xludf.DUMMYFUNCTION("""COMPUTED_VALUE"""),-0.528253527426994)</f>
        <v>-0.52825352742699405</v>
      </c>
      <c r="JB7" s="3">
        <f ca="1">IFERROR(__xludf.DUMMYFUNCTION("""COMPUTED_VALUE"""),-0.445423977181504)</f>
        <v>-0.445423977181504</v>
      </c>
      <c r="JC7" s="3">
        <f ca="1">IFERROR(__xludf.DUMMYFUNCTION("""COMPUTED_VALUE"""),-0.400643570861345)</f>
        <v>-0.400643570861345</v>
      </c>
      <c r="JD7" s="3">
        <f ca="1">IFERROR(__xludf.DUMMYFUNCTION("""COMPUTED_VALUE"""),-0.439640588554257)</f>
        <v>-0.43964058855425697</v>
      </c>
      <c r="JE7" s="3">
        <f ca="1">IFERROR(__xludf.DUMMYFUNCTION("""COMPUTED_VALUE"""),-0.436048509827086)</f>
        <v>-0.43604850982708598</v>
      </c>
      <c r="JF7" s="3">
        <f ca="1">IFERROR(__xludf.DUMMYFUNCTION("""COMPUTED_VALUE"""),-0.402633353570603)</f>
        <v>-0.40263335357060298</v>
      </c>
      <c r="JG7" s="3">
        <f ca="1">IFERROR(__xludf.DUMMYFUNCTION("""COMPUTED_VALUE"""),-0.476619201219621)</f>
        <v>-0.47661920121962098</v>
      </c>
      <c r="JH7" s="3">
        <f ca="1">IFERROR(__xludf.DUMMYFUNCTION("""COMPUTED_VALUE"""),-0.461081617652749)</f>
        <v>-0.46108161765274902</v>
      </c>
      <c r="JI7" s="3">
        <f ca="1">IFERROR(__xludf.DUMMYFUNCTION("""COMPUTED_VALUE"""),-0.449890104127753)</f>
        <v>-0.44989010412775299</v>
      </c>
      <c r="JJ7" s="3">
        <f ca="1">IFERROR(__xludf.DUMMYFUNCTION("""COMPUTED_VALUE"""),-0.479454221542106)</f>
        <v>-0.47945422154210598</v>
      </c>
      <c r="JK7" s="3">
        <f ca="1">IFERROR(__xludf.DUMMYFUNCTION("""COMPUTED_VALUE"""),-0.484938611365336)</f>
        <v>-0.484938611365336</v>
      </c>
      <c r="JL7" s="3">
        <f ca="1">IFERROR(__xludf.DUMMYFUNCTION("""COMPUTED_VALUE"""),-0.505310591960412)</f>
        <v>-0.50531059196041195</v>
      </c>
      <c r="JM7" s="3">
        <f ca="1">IFERROR(__xludf.DUMMYFUNCTION("""COMPUTED_VALUE"""),-0.513635847287268)</f>
        <v>-0.51363584728726797</v>
      </c>
      <c r="JN7" s="3">
        <f ca="1">IFERROR(__xludf.DUMMYFUNCTION("""COMPUTED_VALUE"""),-0.520584658578448)</f>
        <v>-0.52058465857844805</v>
      </c>
      <c r="JO7" s="3">
        <f ca="1">IFERROR(__xludf.DUMMYFUNCTION("""COMPUTED_VALUE"""),-0.462397048417673)</f>
        <v>-0.46239704841767298</v>
      </c>
      <c r="JP7" s="3">
        <f ca="1">IFERROR(__xludf.DUMMYFUNCTION("""COMPUTED_VALUE"""),-0.454235341512889)</f>
        <v>-0.45423534151288902</v>
      </c>
      <c r="JQ7" s="3">
        <f ca="1">IFERROR(__xludf.DUMMYFUNCTION("""COMPUTED_VALUE"""),-0.437086896240497)</f>
        <v>-0.43708689624049701</v>
      </c>
      <c r="JR7" s="3">
        <f ca="1">IFERROR(__xludf.DUMMYFUNCTION("""COMPUTED_VALUE"""),-0.476053802579686)</f>
        <v>-0.47605380257968599</v>
      </c>
      <c r="JS7" s="3">
        <f ca="1">IFERROR(__xludf.DUMMYFUNCTION("""COMPUTED_VALUE"""),-0.450193873117476)</f>
        <v>-0.450193873117476</v>
      </c>
      <c r="JT7" s="3">
        <f ca="1">IFERROR(__xludf.DUMMYFUNCTION("""COMPUTED_VALUE"""),-0.442982053171442)</f>
        <v>-0.44298205317144201</v>
      </c>
      <c r="JU7" s="3">
        <f ca="1">IFERROR(__xludf.DUMMYFUNCTION("""COMPUTED_VALUE"""),-0.437008837994526)</f>
        <v>-0.437008837994526</v>
      </c>
      <c r="JV7" s="3">
        <f ca="1">IFERROR(__xludf.DUMMYFUNCTION("""COMPUTED_VALUE"""),-0.401102946968551)</f>
        <v>-0.40110294696855098</v>
      </c>
      <c r="JW7" s="3">
        <f ca="1">IFERROR(__xludf.DUMMYFUNCTION("""COMPUTED_VALUE"""),-0.354029150215209)</f>
        <v>-0.35402915021520898</v>
      </c>
      <c r="JX7" s="3">
        <f ca="1">IFERROR(__xludf.DUMMYFUNCTION("""COMPUTED_VALUE"""),-0.328129436628144)</f>
        <v>-0.32812943662814398</v>
      </c>
      <c r="JY7" s="3">
        <f ca="1">IFERROR(__xludf.DUMMYFUNCTION("""COMPUTED_VALUE"""),-0.387443250211699)</f>
        <v>-0.38744325021169901</v>
      </c>
      <c r="JZ7" s="3">
        <f ca="1">IFERROR(__xludf.DUMMYFUNCTION("""COMPUTED_VALUE"""),-0.341073347210487)</f>
        <v>-0.34107334721048699</v>
      </c>
      <c r="KA7" s="3">
        <f ca="1">IFERROR(__xludf.DUMMYFUNCTION("""COMPUTED_VALUE"""),-0.355155720596784)</f>
        <v>-0.35515572059678402</v>
      </c>
      <c r="KB7" s="3">
        <f ca="1">IFERROR(__xludf.DUMMYFUNCTION("""COMPUTED_VALUE"""),-0.411986836964524)</f>
        <v>-0.41198683696452398</v>
      </c>
      <c r="KC7" s="3">
        <f ca="1">IFERROR(__xludf.DUMMYFUNCTION("""COMPUTED_VALUE"""),-0.366377735206062)</f>
        <v>-0.36637773520606198</v>
      </c>
      <c r="KD7" s="3">
        <f ca="1">IFERROR(__xludf.DUMMYFUNCTION("""COMPUTED_VALUE"""),-0.301405916558367)</f>
        <v>-0.30140591655836702</v>
      </c>
      <c r="KE7" s="3">
        <f ca="1">IFERROR(__xludf.DUMMYFUNCTION("""COMPUTED_VALUE"""),-0.363882526267913)</f>
        <v>-0.36388252626791301</v>
      </c>
      <c r="KF7" s="3">
        <f ca="1">IFERROR(__xludf.DUMMYFUNCTION("""COMPUTED_VALUE"""),-0.376106986257182)</f>
        <v>-0.37610698625718197</v>
      </c>
      <c r="KG7" s="3">
        <f ca="1">IFERROR(__xludf.DUMMYFUNCTION("""COMPUTED_VALUE"""),-0.338530758210694)</f>
        <v>-0.338530758210694</v>
      </c>
      <c r="KH7" s="3">
        <f ca="1">IFERROR(__xludf.DUMMYFUNCTION("""COMPUTED_VALUE"""),-0.369493829483509)</f>
        <v>-0.36949382948350901</v>
      </c>
      <c r="KI7" s="3">
        <f ca="1">IFERROR(__xludf.DUMMYFUNCTION("""COMPUTED_VALUE"""),-0.382874738585953)</f>
        <v>-0.382874738585953</v>
      </c>
      <c r="KJ7" s="3">
        <f ca="1">IFERROR(__xludf.DUMMYFUNCTION("""COMPUTED_VALUE"""),-0.364687932905337)</f>
        <v>-0.36468793290533702</v>
      </c>
      <c r="KK7" s="3">
        <f ca="1">IFERROR(__xludf.DUMMYFUNCTION("""COMPUTED_VALUE"""),-0.368030163957065)</f>
        <v>-0.368030163957065</v>
      </c>
      <c r="KL7" s="3">
        <f ca="1">IFERROR(__xludf.DUMMYFUNCTION("""COMPUTED_VALUE"""),-0.359546838846122)</f>
        <v>-0.35954683884612199</v>
      </c>
      <c r="KM7" s="3">
        <f ca="1">IFERROR(__xludf.DUMMYFUNCTION("""COMPUTED_VALUE"""),-0.402566153203459)</f>
        <v>-0.40256615320345901</v>
      </c>
      <c r="KN7" s="3">
        <f ca="1">IFERROR(__xludf.DUMMYFUNCTION("""COMPUTED_VALUE"""),-0.377358287466486)</f>
        <v>-0.37735828746648598</v>
      </c>
      <c r="KO7" s="3">
        <f ca="1">IFERROR(__xludf.DUMMYFUNCTION("""COMPUTED_VALUE"""),-0.358082009153482)</f>
        <v>-0.35808200915348198</v>
      </c>
      <c r="KP7" s="3">
        <f ca="1">IFERROR(__xludf.DUMMYFUNCTION("""COMPUTED_VALUE"""),-0.357643189648664)</f>
        <v>-0.35764318964866398</v>
      </c>
      <c r="KQ7" s="3">
        <f ca="1">IFERROR(__xludf.DUMMYFUNCTION("""COMPUTED_VALUE"""),-0.351128991828343)</f>
        <v>-0.35112899182834301</v>
      </c>
      <c r="KR7" s="3">
        <f ca="1">IFERROR(__xludf.DUMMYFUNCTION("""COMPUTED_VALUE"""),-0.351744028236963)</f>
        <v>-0.35174402823696299</v>
      </c>
      <c r="KS7" s="3">
        <f ca="1">IFERROR(__xludf.DUMMYFUNCTION("""COMPUTED_VALUE"""),-0.381169088783349)</f>
        <v>-0.38116908878334899</v>
      </c>
      <c r="KT7" s="3">
        <f ca="1">IFERROR(__xludf.DUMMYFUNCTION("""COMPUTED_VALUE"""),-0.404957997272528)</f>
        <v>-0.40495799727252801</v>
      </c>
      <c r="KU7" s="3">
        <f ca="1">IFERROR(__xludf.DUMMYFUNCTION("""COMPUTED_VALUE"""),-0.358830649226645)</f>
        <v>-0.35883064922664498</v>
      </c>
      <c r="KV7" s="3">
        <f ca="1">IFERROR(__xludf.DUMMYFUNCTION("""COMPUTED_VALUE"""),-0.462459411566854)</f>
        <v>-0.462459411566854</v>
      </c>
      <c r="KW7" s="3">
        <f ca="1">IFERROR(__xludf.DUMMYFUNCTION("""COMPUTED_VALUE"""),-0.484190349219301)</f>
        <v>-0.48419034921930099</v>
      </c>
      <c r="KX7" s="3">
        <f ca="1">IFERROR(__xludf.DUMMYFUNCTION("""COMPUTED_VALUE"""),-0.368870923355229)</f>
        <v>-0.36887092335522897</v>
      </c>
      <c r="KY7" s="3">
        <f ca="1">IFERROR(__xludf.DUMMYFUNCTION("""COMPUTED_VALUE"""),-0.426763987337662)</f>
        <v>-0.42676398733766202</v>
      </c>
      <c r="KZ7" s="3">
        <f ca="1">IFERROR(__xludf.DUMMYFUNCTION("""COMPUTED_VALUE"""),-0.446630805269572)</f>
        <v>-0.446630805269572</v>
      </c>
      <c r="LA7" s="3">
        <f ca="1">IFERROR(__xludf.DUMMYFUNCTION("""COMPUTED_VALUE"""),-0.497584525033335)</f>
        <v>-0.497584525033335</v>
      </c>
      <c r="LB7" s="3">
        <f ca="1">IFERROR(__xludf.DUMMYFUNCTION("""COMPUTED_VALUE"""),-0.473891449762865)</f>
        <v>-0.47389144976286501</v>
      </c>
      <c r="LC7" s="3">
        <f ca="1">IFERROR(__xludf.DUMMYFUNCTION("""COMPUTED_VALUE"""),-0.45101749733038)</f>
        <v>-0.45101749733037999</v>
      </c>
      <c r="LD7" s="3">
        <f ca="1">IFERROR(__xludf.DUMMYFUNCTION("""COMPUTED_VALUE"""),-0.499738456469621)</f>
        <v>-0.49973845646962101</v>
      </c>
      <c r="LE7" s="3">
        <f ca="1">IFERROR(__xludf.DUMMYFUNCTION("""COMPUTED_VALUE"""),-0.445211285586166)</f>
        <v>-0.44521128558616602</v>
      </c>
      <c r="LF7" s="3">
        <f ca="1">IFERROR(__xludf.DUMMYFUNCTION("""COMPUTED_VALUE"""),-0.497091809761891)</f>
        <v>-0.49709180976189099</v>
      </c>
      <c r="LG7" s="3">
        <f ca="1">IFERROR(__xludf.DUMMYFUNCTION("""COMPUTED_VALUE"""),-0.490489045340096)</f>
        <v>-0.49048904534009602</v>
      </c>
      <c r="LH7" s="3">
        <f ca="1">IFERROR(__xludf.DUMMYFUNCTION("""COMPUTED_VALUE"""),-0.465931052013492)</f>
        <v>-0.465931052013492</v>
      </c>
      <c r="LI7" s="3">
        <f ca="1">IFERROR(__xludf.DUMMYFUNCTION("""COMPUTED_VALUE"""),-0.517364375207664)</f>
        <v>-0.51736437520766398</v>
      </c>
      <c r="LJ7" s="3">
        <f ca="1">IFERROR(__xludf.DUMMYFUNCTION("""COMPUTED_VALUE"""),-0.536878441260533)</f>
        <v>-0.53687844126053297</v>
      </c>
      <c r="LK7" s="3">
        <f ca="1">IFERROR(__xludf.DUMMYFUNCTION("""COMPUTED_VALUE"""),-0.548841105497557)</f>
        <v>-0.54884110549755705</v>
      </c>
      <c r="LL7" s="3">
        <f ca="1">IFERROR(__xludf.DUMMYFUNCTION("""COMPUTED_VALUE"""),-0.592360380196854)</f>
        <v>-0.592360380196854</v>
      </c>
      <c r="LM7" s="3">
        <f ca="1">IFERROR(__xludf.DUMMYFUNCTION("""COMPUTED_VALUE"""),-0.659054936298824)</f>
        <v>-0.65905493629882395</v>
      </c>
      <c r="LN7" s="3">
        <f ca="1">IFERROR(__xludf.DUMMYFUNCTION("""COMPUTED_VALUE"""),-0.686502147438839)</f>
        <v>-0.68650214743883897</v>
      </c>
      <c r="LO7" s="3">
        <f ca="1">IFERROR(__xludf.DUMMYFUNCTION("""COMPUTED_VALUE"""),-0.6573509059372)</f>
        <v>-0.65735090593720003</v>
      </c>
      <c r="LP7" s="3">
        <f ca="1">IFERROR(__xludf.DUMMYFUNCTION("""COMPUTED_VALUE"""),-0.673584186534322)</f>
        <v>-0.67358418653432195</v>
      </c>
      <c r="LQ7" s="3">
        <f ca="1">IFERROR(__xludf.DUMMYFUNCTION("""COMPUTED_VALUE"""),-0.666505525044407)</f>
        <v>-0.66650552504440697</v>
      </c>
      <c r="LR7" s="3">
        <f ca="1">IFERROR(__xludf.DUMMYFUNCTION("""COMPUTED_VALUE"""),-0.632305535200066)</f>
        <v>-0.63230553520006605</v>
      </c>
      <c r="LS7" s="3">
        <f ca="1">IFERROR(__xludf.DUMMYFUNCTION("""COMPUTED_VALUE"""),-0.667270239430869)</f>
        <v>-0.66727023943086905</v>
      </c>
      <c r="LT7" s="3">
        <f ca="1">IFERROR(__xludf.DUMMYFUNCTION("""COMPUTED_VALUE"""),-0.70155898428318)</f>
        <v>-0.70155898428317998</v>
      </c>
      <c r="LU7" s="3">
        <f ca="1">IFERROR(__xludf.DUMMYFUNCTION("""COMPUTED_VALUE"""),-0.693924402190028)</f>
        <v>-0.69392440219002804</v>
      </c>
      <c r="LV7" s="3">
        <f ca="1">IFERROR(__xludf.DUMMYFUNCTION("""COMPUTED_VALUE"""),-0.691680960462216)</f>
        <v>-0.69168096046221605</v>
      </c>
      <c r="LW7" s="3">
        <f ca="1">IFERROR(__xludf.DUMMYFUNCTION("""COMPUTED_VALUE"""),-0.724959400989954)</f>
        <v>-0.72495940098995404</v>
      </c>
      <c r="LX7" s="3">
        <f ca="1">IFERROR(__xludf.DUMMYFUNCTION("""COMPUTED_VALUE"""),-0.733763583755306)</f>
        <v>-0.73376358375530604</v>
      </c>
      <c r="LY7" s="3">
        <f ca="1">IFERROR(__xludf.DUMMYFUNCTION("""COMPUTED_VALUE"""),-0.688855755262867)</f>
        <v>-0.68885575526286702</v>
      </c>
      <c r="LZ7" s="3">
        <f ca="1">IFERROR(__xludf.DUMMYFUNCTION("""COMPUTED_VALUE"""),-0.739158576005857)</f>
        <v>-0.73915857600585699</v>
      </c>
      <c r="MA7" s="3">
        <f ca="1">IFERROR(__xludf.DUMMYFUNCTION("""COMPUTED_VALUE"""),-0.735364762315295)</f>
        <v>-0.73536476231529502</v>
      </c>
      <c r="MB7" s="3">
        <f ca="1">IFERROR(__xludf.DUMMYFUNCTION("""COMPUTED_VALUE"""),-0.770346965555412)</f>
        <v>-0.77034696555541204</v>
      </c>
      <c r="MC7" s="3">
        <f ca="1">IFERROR(__xludf.DUMMYFUNCTION("""COMPUTED_VALUE"""),-0.758627992767527)</f>
        <v>-0.75862799276752702</v>
      </c>
      <c r="MD7" s="3">
        <f ca="1">IFERROR(__xludf.DUMMYFUNCTION("""COMPUTED_VALUE"""),-0.78211159875052)</f>
        <v>-0.78211159875052005</v>
      </c>
      <c r="ME7" s="3">
        <f ca="1">IFERROR(__xludf.DUMMYFUNCTION("""COMPUTED_VALUE"""),-0.7759136073441)</f>
        <v>-0.77591360734409998</v>
      </c>
      <c r="MF7" s="3">
        <f ca="1">IFERROR(__xludf.DUMMYFUNCTION("""COMPUTED_VALUE"""),-0.737793592081205)</f>
        <v>-0.73779359208120499</v>
      </c>
      <c r="MG7" s="3">
        <f ca="1">IFERROR(__xludf.DUMMYFUNCTION("""COMPUTED_VALUE"""),-0.744068649086408)</f>
        <v>-0.74406864908640802</v>
      </c>
      <c r="MH7" s="3">
        <f ca="1">IFERROR(__xludf.DUMMYFUNCTION("""COMPUTED_VALUE"""),-0.787146914778749)</f>
        <v>-0.78714691477874899</v>
      </c>
      <c r="MI7" s="3">
        <f ca="1">IFERROR(__xludf.DUMMYFUNCTION("""COMPUTED_VALUE"""),-0.798748975893054)</f>
        <v>-0.79874897589305405</v>
      </c>
      <c r="MJ7" s="3">
        <f ca="1">IFERROR(__xludf.DUMMYFUNCTION("""COMPUTED_VALUE"""),-0.78200800751973)</f>
        <v>-0.78200800751972999</v>
      </c>
      <c r="MK7" s="3">
        <f ca="1">IFERROR(__xludf.DUMMYFUNCTION("""COMPUTED_VALUE"""),-0.787493653495976)</f>
        <v>-0.787493653495976</v>
      </c>
      <c r="ML7" s="3">
        <f ca="1">IFERROR(__xludf.DUMMYFUNCTION("""COMPUTED_VALUE"""),-0.787219002667245)</f>
        <v>-0.78721900266724498</v>
      </c>
      <c r="MM7" s="3">
        <f ca="1">IFERROR(__xludf.DUMMYFUNCTION("""COMPUTED_VALUE"""),-0.773978576267727)</f>
        <v>-0.77397857626772704</v>
      </c>
      <c r="MN7" s="3">
        <f ca="1">IFERROR(__xludf.DUMMYFUNCTION("""COMPUTED_VALUE"""),-0.785798802138805)</f>
        <v>-0.78579880213880504</v>
      </c>
      <c r="MO7" s="3">
        <f ca="1">IFERROR(__xludf.DUMMYFUNCTION("""COMPUTED_VALUE"""),-0.750403898339785)</f>
        <v>-0.75040389833978505</v>
      </c>
      <c r="MP7" s="3">
        <f ca="1">IFERROR(__xludf.DUMMYFUNCTION("""COMPUTED_VALUE"""),-0.762000612037915)</f>
        <v>-0.76200061203791503</v>
      </c>
      <c r="MQ7" s="3">
        <f ca="1">IFERROR(__xludf.DUMMYFUNCTION("""COMPUTED_VALUE"""),-0.796150734750048)</f>
        <v>-0.79615073475004805</v>
      </c>
      <c r="MR7" s="3">
        <f ca="1">IFERROR(__xludf.DUMMYFUNCTION("""COMPUTED_VALUE"""),-0.814999995277986)</f>
        <v>-0.81499999527798594</v>
      </c>
      <c r="MS7" s="3">
        <f ca="1">IFERROR(__xludf.DUMMYFUNCTION("""COMPUTED_VALUE"""),-0.803283322359626)</f>
        <v>-0.80328332235962596</v>
      </c>
      <c r="MT7" s="3">
        <f ca="1">IFERROR(__xludf.DUMMYFUNCTION("""COMPUTED_VALUE"""),-0.771488029988846)</f>
        <v>-0.77148802998884602</v>
      </c>
      <c r="MU7" s="3">
        <f ca="1">IFERROR(__xludf.DUMMYFUNCTION("""COMPUTED_VALUE"""),-0.796376190744154)</f>
        <v>-0.796376190744154</v>
      </c>
      <c r="MV7" s="3">
        <f ca="1">IFERROR(__xludf.DUMMYFUNCTION("""COMPUTED_VALUE"""),-0.78487319251663)</f>
        <v>-0.78487319251663001</v>
      </c>
      <c r="MW7" s="3">
        <f ca="1">IFERROR(__xludf.DUMMYFUNCTION("""COMPUTED_VALUE"""),-0.79910635379854)</f>
        <v>-0.79910635379854</v>
      </c>
      <c r="MX7" s="3">
        <f ca="1">IFERROR(__xludf.DUMMYFUNCTION("""COMPUTED_VALUE"""),-0.810262581129438)</f>
        <v>-0.81026258112943805</v>
      </c>
      <c r="MY7" s="3">
        <f ca="1">IFERROR(__xludf.DUMMYFUNCTION("""COMPUTED_VALUE"""),-0.809127569279231)</f>
        <v>-0.80912756927923102</v>
      </c>
      <c r="MZ7" s="3">
        <f ca="1">IFERROR(__xludf.DUMMYFUNCTION("""COMPUTED_VALUE"""),-0.834904962408024)</f>
        <v>-0.83490496240802403</v>
      </c>
      <c r="NA7" s="3">
        <f ca="1">IFERROR(__xludf.DUMMYFUNCTION("""COMPUTED_VALUE"""),-0.842383809030205)</f>
        <v>-0.84238380903020504</v>
      </c>
      <c r="NB7" s="3">
        <f ca="1">IFERROR(__xludf.DUMMYFUNCTION("""COMPUTED_VALUE"""),-0.831504076445149)</f>
        <v>-0.83150407644514901</v>
      </c>
      <c r="NC7" s="3">
        <f ca="1">IFERROR(__xludf.DUMMYFUNCTION("""COMPUTED_VALUE"""),-0.858968993415636)</f>
        <v>-0.85896899341563604</v>
      </c>
      <c r="ND7" s="3">
        <f ca="1">IFERROR(__xludf.DUMMYFUNCTION("""COMPUTED_VALUE"""),-0.840937428560369)</f>
        <v>-0.84093742856036902</v>
      </c>
      <c r="NE7" s="3">
        <f ca="1">IFERROR(__xludf.DUMMYFUNCTION("""COMPUTED_VALUE"""),-0.829671561008564)</f>
        <v>-0.82967156100856398</v>
      </c>
      <c r="NF7" s="3">
        <f ca="1">IFERROR(__xludf.DUMMYFUNCTION("""COMPUTED_VALUE"""),-0.826832779620078)</f>
        <v>-0.82683277962007795</v>
      </c>
      <c r="NG7" s="3">
        <f ca="1">IFERROR(__xludf.DUMMYFUNCTION("""COMPUTED_VALUE"""),-0.831553604095887)</f>
        <v>-0.83155360409588697</v>
      </c>
      <c r="NH7" s="3">
        <f ca="1">IFERROR(__xludf.DUMMYFUNCTION("""COMPUTED_VALUE"""),-0.798153437221072)</f>
        <v>-0.79815343722107202</v>
      </c>
      <c r="NI7" s="3">
        <f ca="1">IFERROR(__xludf.DUMMYFUNCTION("""COMPUTED_VALUE"""),-0.817482812051056)</f>
        <v>-0.817482812051056</v>
      </c>
      <c r="NJ7" s="3">
        <f ca="1">IFERROR(__xludf.DUMMYFUNCTION("""COMPUTED_VALUE"""),-0.809009054276009)</f>
        <v>-0.809009054276009</v>
      </c>
      <c r="NK7" s="3">
        <f ca="1">IFERROR(__xludf.DUMMYFUNCTION("""COMPUTED_VALUE"""),-0.829569274041927)</f>
        <v>-0.82956927404192704</v>
      </c>
      <c r="NL7" s="3">
        <f ca="1">IFERROR(__xludf.DUMMYFUNCTION("""COMPUTED_VALUE"""),-0.843250206132159)</f>
        <v>-0.84325020613215895</v>
      </c>
      <c r="NM7" s="3">
        <f ca="1">IFERROR(__xludf.DUMMYFUNCTION("""COMPUTED_VALUE"""),-0.831461722893458)</f>
        <v>-0.83146172289345799</v>
      </c>
      <c r="NN7" s="3">
        <f ca="1">IFERROR(__xludf.DUMMYFUNCTION("""COMPUTED_VALUE"""),-0.827662127438806)</f>
        <v>-0.82766212743880596</v>
      </c>
      <c r="NO7" s="3">
        <f ca="1">IFERROR(__xludf.DUMMYFUNCTION("""COMPUTED_VALUE"""),-0.758651241413282)</f>
        <v>-0.758651241413282</v>
      </c>
      <c r="NP7" s="3">
        <f ca="1">IFERROR(__xludf.DUMMYFUNCTION("""COMPUTED_VALUE"""),-0.769954890336318)</f>
        <v>-0.76995489033631803</v>
      </c>
      <c r="NQ7" s="3">
        <f ca="1">IFERROR(__xludf.DUMMYFUNCTION("""COMPUTED_VALUE"""),-0.783313322208529)</f>
        <v>-0.78331332220852901</v>
      </c>
      <c r="NR7" s="3">
        <f ca="1">IFERROR(__xludf.DUMMYFUNCTION("""COMPUTED_VALUE"""),-0.767118321961521)</f>
        <v>-0.76711832196152097</v>
      </c>
      <c r="NS7" s="3">
        <f ca="1">IFERROR(__xludf.DUMMYFUNCTION("""COMPUTED_VALUE"""),-0.760519967881995)</f>
        <v>-0.76051996788199505</v>
      </c>
      <c r="NT7" s="3">
        <f ca="1">IFERROR(__xludf.DUMMYFUNCTION("""COMPUTED_VALUE"""),-0.716284287701586)</f>
        <v>-0.71628428770158603</v>
      </c>
      <c r="NU7" s="3">
        <f ca="1">IFERROR(__xludf.DUMMYFUNCTION("""COMPUTED_VALUE"""),-0.627348958225285)</f>
        <v>-0.62734895822528502</v>
      </c>
      <c r="NV7" s="3">
        <f ca="1">IFERROR(__xludf.DUMMYFUNCTION("""COMPUTED_VALUE"""),-0.475413250337648)</f>
        <v>-0.47541325033764797</v>
      </c>
      <c r="NW7" s="3">
        <f ca="1">IFERROR(__xludf.DUMMYFUNCTION("""COMPUTED_VALUE"""),-0.465123874969482)</f>
        <v>-0.46512387496948199</v>
      </c>
      <c r="NX7" s="3">
        <f ca="1">IFERROR(__xludf.DUMMYFUNCTION("""COMPUTED_VALUE"""),-0.376440409866269)</f>
        <v>-0.37644040986626898</v>
      </c>
      <c r="NY7" s="3">
        <f ca="1">IFERROR(__xludf.DUMMYFUNCTION("""COMPUTED_VALUE"""),-0.390801317726172)</f>
        <v>-0.39080131772617199</v>
      </c>
      <c r="NZ7" s="3">
        <f ca="1">IFERROR(__xludf.DUMMYFUNCTION("""COMPUTED_VALUE"""),-0.353143496529408)</f>
        <v>-0.35314349652940802</v>
      </c>
      <c r="OA7" s="3">
        <f ca="1">IFERROR(__xludf.DUMMYFUNCTION("""COMPUTED_VALUE"""),-0.305317274224159)</f>
        <v>-0.305317274224159</v>
      </c>
      <c r="OB7" s="3">
        <f ca="1">IFERROR(__xludf.DUMMYFUNCTION("""COMPUTED_VALUE"""),-0.226905352849958)</f>
        <v>-0.226905352849958</v>
      </c>
      <c r="OC7" s="3">
        <f ca="1">IFERROR(__xludf.DUMMYFUNCTION("""COMPUTED_VALUE"""),-0.184695086569254)</f>
        <v>-0.18469508656925401</v>
      </c>
      <c r="OD7" s="3">
        <f ca="1">IFERROR(__xludf.DUMMYFUNCTION("""COMPUTED_VALUE"""),-0.226147890455723)</f>
        <v>-0.22614789045572301</v>
      </c>
      <c r="OE7" s="3">
        <f ca="1">IFERROR(__xludf.DUMMYFUNCTION("""COMPUTED_VALUE"""),-0.13322953095214)</f>
        <v>-0.13322953095213999</v>
      </c>
      <c r="OF7" s="3">
        <f ca="1">IFERROR(__xludf.DUMMYFUNCTION("""COMPUTED_VALUE"""),-0.0715190461891638)</f>
        <v>-7.1519046189163799E-2</v>
      </c>
      <c r="OG7" s="3">
        <f ca="1">IFERROR(__xludf.DUMMYFUNCTION("""COMPUTED_VALUE"""),0.00355661304959897)</f>
        <v>3.55661304959897E-3</v>
      </c>
      <c r="OH7" s="3">
        <f ca="1">IFERROR(__xludf.DUMMYFUNCTION("""COMPUTED_VALUE"""),-0.0288534679113209)</f>
        <v>-2.8853467911320901E-2</v>
      </c>
      <c r="OI7" s="3">
        <f ca="1">IFERROR(__xludf.DUMMYFUNCTION("""COMPUTED_VALUE"""),-0.0737554041103288)</f>
        <v>-7.3755404110328798E-2</v>
      </c>
      <c r="OJ7" s="3">
        <f ca="1">IFERROR(__xludf.DUMMYFUNCTION("""COMPUTED_VALUE"""),-0.191696104862098)</f>
        <v>-0.19169610486209801</v>
      </c>
      <c r="OK7" s="3">
        <f ca="1">IFERROR(__xludf.DUMMYFUNCTION("""COMPUTED_VALUE"""),-0.0898683819160081)</f>
        <v>-8.98683819160081E-2</v>
      </c>
      <c r="OL7" s="3">
        <f ca="1">IFERROR(__xludf.DUMMYFUNCTION("""COMPUTED_VALUE"""),-0.0717831936822901)</f>
        <v>-7.1783193682290095E-2</v>
      </c>
      <c r="OM7" s="3">
        <f ca="1">IFERROR(__xludf.DUMMYFUNCTION("""COMPUTED_VALUE"""),0.000407952750199447)</f>
        <v>4.07952750199447E-4</v>
      </c>
      <c r="ON7" s="3">
        <f ca="1">IFERROR(__xludf.DUMMYFUNCTION("""COMPUTED_VALUE"""),-0.0397890503220833)</f>
        <v>-3.9789050322083297E-2</v>
      </c>
      <c r="OO7" s="3">
        <f ca="1">IFERROR(__xludf.DUMMYFUNCTION("""COMPUTED_VALUE"""),-0.0893834684589149)</f>
        <v>-8.93834684589149E-2</v>
      </c>
      <c r="OP7" s="3">
        <f ca="1">IFERROR(__xludf.DUMMYFUNCTION("""COMPUTED_VALUE"""),-0.0303700177854406)</f>
        <v>-3.0370017785440601E-2</v>
      </c>
      <c r="OQ7" s="3">
        <f ca="1">IFERROR(__xludf.DUMMYFUNCTION("""COMPUTED_VALUE"""),0.0176400023101026)</f>
        <v>1.7640002310102602E-2</v>
      </c>
      <c r="OR7" s="3">
        <f ca="1">IFERROR(__xludf.DUMMYFUNCTION("""COMPUTED_VALUE"""),-0.0460052256121221)</f>
        <v>-4.60052256121221E-2</v>
      </c>
      <c r="OS7" s="3">
        <f ca="1">IFERROR(__xludf.DUMMYFUNCTION("""COMPUTED_VALUE"""),-0.0581460414337604)</f>
        <v>-5.8146041433760398E-2</v>
      </c>
      <c r="OT7" s="3">
        <f ca="1">IFERROR(__xludf.DUMMYFUNCTION("""COMPUTED_VALUE"""),0.0626194422128632)</f>
        <v>6.2619442212863197E-2</v>
      </c>
      <c r="OU7" s="3">
        <f ca="1">IFERROR(__xludf.DUMMYFUNCTION("""COMPUTED_VALUE"""),0.0126151065713333)</f>
        <v>1.2615106571333299E-2</v>
      </c>
      <c r="OV7" s="3">
        <f ca="1">IFERROR(__xludf.DUMMYFUNCTION("""COMPUTED_VALUE"""),0.0138231179954293)</f>
        <v>1.3823117995429301E-2</v>
      </c>
      <c r="OW7" s="3">
        <f ca="1">IFERROR(__xludf.DUMMYFUNCTION("""COMPUTED_VALUE"""),0.0399265911760058)</f>
        <v>3.9926591176005798E-2</v>
      </c>
      <c r="OX7" s="3">
        <f ca="1">IFERROR(__xludf.DUMMYFUNCTION("""COMPUTED_VALUE"""),-0.0344888683791456)</f>
        <v>-3.4488868379145603E-2</v>
      </c>
      <c r="OY7" s="3">
        <f ca="1">IFERROR(__xludf.DUMMYFUNCTION("""COMPUTED_VALUE"""),0.0467179431700197)</f>
        <v>4.6717943170019698E-2</v>
      </c>
      <c r="OZ7" s="3">
        <f ca="1">IFERROR(__xludf.DUMMYFUNCTION("""COMPUTED_VALUE"""),0.0190605201548148)</f>
        <v>1.9060520154814801E-2</v>
      </c>
      <c r="PA7" s="3">
        <f ca="1">IFERROR(__xludf.DUMMYFUNCTION("""COMPUTED_VALUE"""),0.0159674602594224)</f>
        <v>1.59674602594224E-2</v>
      </c>
      <c r="PB7" s="3">
        <f ca="1">IFERROR(__xludf.DUMMYFUNCTION("""COMPUTED_VALUE"""),-0.018382208284867)</f>
        <v>-1.8382208284866999E-2</v>
      </c>
      <c r="PC7" s="3">
        <f ca="1">IFERROR(__xludf.DUMMYFUNCTION("""COMPUTED_VALUE"""),0.0489832216861105)</f>
        <v>4.8983221686110502E-2</v>
      </c>
      <c r="PD7" s="3">
        <f ca="1">IFERROR(__xludf.DUMMYFUNCTION("""COMPUTED_VALUE"""),0.019626304001959)</f>
        <v>1.9626304001959E-2</v>
      </c>
      <c r="PE7" s="3">
        <f ca="1">IFERROR(__xludf.DUMMYFUNCTION("""COMPUTED_VALUE"""),-0.0152592679763918)</f>
        <v>-1.5259267976391801E-2</v>
      </c>
      <c r="PF7" s="3">
        <f ca="1">IFERROR(__xludf.DUMMYFUNCTION("""COMPUTED_VALUE"""),-0.00490055149931367)</f>
        <v>-4.9005514993136698E-3</v>
      </c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</row>
    <row r="8" spans="1:476" ht="15.75" customHeight="1">
      <c r="A8" s="1" t="str">
        <f ca="1">IFERROR(__xludf.DUMMYFUNCTION("""COMPUTED_VALUE"""),"United States")</f>
        <v>United States</v>
      </c>
      <c r="B8" s="3">
        <f ca="1">IFERROR(__xludf.DUMMYFUNCTION("""COMPUTED_VALUE"""),-0.445838724733614)</f>
        <v>-0.44583872473361402</v>
      </c>
      <c r="C8" s="3">
        <f ca="1">IFERROR(__xludf.DUMMYFUNCTION("""COMPUTED_VALUE"""),-0.494069297173256)</f>
        <v>-0.49406929717325598</v>
      </c>
      <c r="D8" s="3">
        <f ca="1">IFERROR(__xludf.DUMMYFUNCTION("""COMPUTED_VALUE"""),-0.526402919182205)</f>
        <v>-0.52640291918220505</v>
      </c>
      <c r="E8" s="3">
        <f ca="1">IFERROR(__xludf.DUMMYFUNCTION("""COMPUTED_VALUE"""),-0.536352432663954)</f>
        <v>-0.53635243266395405</v>
      </c>
      <c r="F8" s="3">
        <f ca="1">IFERROR(__xludf.DUMMYFUNCTION("""COMPUTED_VALUE"""),-0.537838375586076)</f>
        <v>-0.53783837558607595</v>
      </c>
      <c r="G8" s="3">
        <f ca="1">IFERROR(__xludf.DUMMYFUNCTION("""COMPUTED_VALUE"""),-0.526035079327073)</f>
        <v>-0.52603507932707305</v>
      </c>
      <c r="H8" s="3">
        <f ca="1">IFERROR(__xludf.DUMMYFUNCTION("""COMPUTED_VALUE"""),-0.474927124897881)</f>
        <v>-0.47492712489788103</v>
      </c>
      <c r="I8" s="3">
        <f ca="1">IFERROR(__xludf.DUMMYFUNCTION("""COMPUTED_VALUE"""),-0.48565365414835)</f>
        <v>-0.48565365414834999</v>
      </c>
      <c r="J8" s="3">
        <f ca="1">IFERROR(__xludf.DUMMYFUNCTION("""COMPUTED_VALUE"""),-0.55822181835809)</f>
        <v>-0.55822181835809004</v>
      </c>
      <c r="K8" s="3">
        <f ca="1">IFERROR(__xludf.DUMMYFUNCTION("""COMPUTED_VALUE"""),-0.562510437863997)</f>
        <v>-0.56251043786399701</v>
      </c>
      <c r="L8" s="3">
        <f ca="1">IFERROR(__xludf.DUMMYFUNCTION("""COMPUTED_VALUE"""),-0.580062040319265)</f>
        <v>-0.580062040319265</v>
      </c>
      <c r="M8" s="3">
        <f ca="1">IFERROR(__xludf.DUMMYFUNCTION("""COMPUTED_VALUE"""),-0.552942215493447)</f>
        <v>-0.55294221549344702</v>
      </c>
      <c r="N8" s="3">
        <f ca="1">IFERROR(__xludf.DUMMYFUNCTION("""COMPUTED_VALUE"""),-0.550828977681346)</f>
        <v>-0.55082897768134598</v>
      </c>
      <c r="O8" s="3">
        <f ca="1">IFERROR(__xludf.DUMMYFUNCTION("""COMPUTED_VALUE"""),-0.493120072662304)</f>
        <v>-0.49312007266230401</v>
      </c>
      <c r="P8" s="3">
        <f ca="1">IFERROR(__xludf.DUMMYFUNCTION("""COMPUTED_VALUE"""),-0.44395281183591)</f>
        <v>-0.44395281183591001</v>
      </c>
      <c r="Q8" s="3">
        <f ca="1">IFERROR(__xludf.DUMMYFUNCTION("""COMPUTED_VALUE"""),-0.517099757494445)</f>
        <v>-0.51709975749444503</v>
      </c>
      <c r="R8" s="3">
        <f ca="1">IFERROR(__xludf.DUMMYFUNCTION("""COMPUTED_VALUE"""),-0.555334299872176)</f>
        <v>-0.55533429987217597</v>
      </c>
      <c r="S8" s="3">
        <f ca="1">IFERROR(__xludf.DUMMYFUNCTION("""COMPUTED_VALUE"""),-0.584974707795803)</f>
        <v>-0.58497470779580296</v>
      </c>
      <c r="T8" s="3">
        <f ca="1">IFERROR(__xludf.DUMMYFUNCTION("""COMPUTED_VALUE"""),-0.555300371928145)</f>
        <v>-0.55530037192814496</v>
      </c>
      <c r="U8" s="3">
        <f ca="1">IFERROR(__xludf.DUMMYFUNCTION("""COMPUTED_VALUE"""),-0.53523556149854)</f>
        <v>-0.53523556149854001</v>
      </c>
      <c r="V8" s="3">
        <f ca="1">IFERROR(__xludf.DUMMYFUNCTION("""COMPUTED_VALUE"""),-0.428665543063987)</f>
        <v>-0.42866554306398702</v>
      </c>
      <c r="W8" s="3">
        <f ca="1">IFERROR(__xludf.DUMMYFUNCTION("""COMPUTED_VALUE"""),-0.468489484003566)</f>
        <v>-0.46848948400356599</v>
      </c>
      <c r="X8" s="3">
        <f ca="1">IFERROR(__xludf.DUMMYFUNCTION("""COMPUTED_VALUE"""),-0.545063158689668)</f>
        <v>-0.54506315868966804</v>
      </c>
      <c r="Y8" s="3">
        <f ca="1">IFERROR(__xludf.DUMMYFUNCTION("""COMPUTED_VALUE"""),-0.592120175014828)</f>
        <v>-0.59212017501482805</v>
      </c>
      <c r="Z8" s="3">
        <f ca="1">IFERROR(__xludf.DUMMYFUNCTION("""COMPUTED_VALUE"""),-0.572181675454701)</f>
        <v>-0.572181675454701</v>
      </c>
      <c r="AA8" s="3">
        <f ca="1">IFERROR(__xludf.DUMMYFUNCTION("""COMPUTED_VALUE"""),-0.583834001718056)</f>
        <v>-0.58383400171805599</v>
      </c>
      <c r="AB8" s="3">
        <f ca="1">IFERROR(__xludf.DUMMYFUNCTION("""COMPUTED_VALUE"""),-0.566660655729705)</f>
        <v>-0.56666065572970503</v>
      </c>
      <c r="AC8" s="3">
        <f ca="1">IFERROR(__xludf.DUMMYFUNCTION("""COMPUTED_VALUE"""),-0.459725240183536)</f>
        <v>-0.459725240183536</v>
      </c>
      <c r="AD8" s="3">
        <f ca="1">IFERROR(__xludf.DUMMYFUNCTION("""COMPUTED_VALUE"""),-0.485958531218011)</f>
        <v>-0.48595853121801103</v>
      </c>
      <c r="AE8" s="3">
        <f ca="1">IFERROR(__xludf.DUMMYFUNCTION("""COMPUTED_VALUE"""),-0.543734162968197)</f>
        <v>-0.54373416296819699</v>
      </c>
      <c r="AF8" s="3">
        <f ca="1">IFERROR(__xludf.DUMMYFUNCTION("""COMPUTED_VALUE"""),-0.55905701256004)</f>
        <v>-0.55905701256004003</v>
      </c>
      <c r="AG8" s="3">
        <f ca="1">IFERROR(__xludf.DUMMYFUNCTION("""COMPUTED_VALUE"""),-0.570265581511122)</f>
        <v>-0.57026558151112205</v>
      </c>
      <c r="AH8" s="3">
        <f ca="1">IFERROR(__xludf.DUMMYFUNCTION("""COMPUTED_VALUE"""),-0.564037580338674)</f>
        <v>-0.56403758033867402</v>
      </c>
      <c r="AI8" s="3">
        <f ca="1">IFERROR(__xludf.DUMMYFUNCTION("""COMPUTED_VALUE"""),-0.546833418208129)</f>
        <v>-0.54683341820812903</v>
      </c>
      <c r="AJ8" s="3">
        <f ca="1">IFERROR(__xludf.DUMMYFUNCTION("""COMPUTED_VALUE"""),-0.461238313832437)</f>
        <v>-0.46123831383243702</v>
      </c>
      <c r="AK8" s="3">
        <f ca="1">IFERROR(__xludf.DUMMYFUNCTION("""COMPUTED_VALUE"""),-0.499725197602412)</f>
        <v>-0.49972519760241202</v>
      </c>
      <c r="AL8" s="3">
        <f ca="1">IFERROR(__xludf.DUMMYFUNCTION("""COMPUTED_VALUE"""),-0.565525442059019)</f>
        <v>-0.565525442059019</v>
      </c>
      <c r="AM8" s="3">
        <f ca="1">IFERROR(__xludf.DUMMYFUNCTION("""COMPUTED_VALUE"""),-0.581564280301148)</f>
        <v>-0.58156428030114804</v>
      </c>
      <c r="AN8" s="3">
        <f ca="1">IFERROR(__xludf.DUMMYFUNCTION("""COMPUTED_VALUE"""),-0.568809573185959)</f>
        <v>-0.56880957318595904</v>
      </c>
      <c r="AO8" s="3">
        <f ca="1">IFERROR(__xludf.DUMMYFUNCTION("""COMPUTED_VALUE"""),-0.59374681336612)</f>
        <v>-0.59374681336612001</v>
      </c>
      <c r="AP8" s="3">
        <f ca="1">IFERROR(__xludf.DUMMYFUNCTION("""COMPUTED_VALUE"""),-0.550116047027297)</f>
        <v>-0.55011604702729699</v>
      </c>
      <c r="AQ8" s="3">
        <f ca="1">IFERROR(__xludf.DUMMYFUNCTION("""COMPUTED_VALUE"""),-0.464308354640053)</f>
        <v>-0.46430835464005299</v>
      </c>
      <c r="AR8" s="3">
        <f ca="1">IFERROR(__xludf.DUMMYFUNCTION("""COMPUTED_VALUE"""),-0.501940410424591)</f>
        <v>-0.50194041042459103</v>
      </c>
      <c r="AS8" s="3">
        <f ca="1">IFERROR(__xludf.DUMMYFUNCTION("""COMPUTED_VALUE"""),-0.55303863504954)</f>
        <v>-0.55303863504953998</v>
      </c>
      <c r="AT8" s="3">
        <f ca="1">IFERROR(__xludf.DUMMYFUNCTION("""COMPUTED_VALUE"""),-0.56053994072729)</f>
        <v>-0.56053994072728996</v>
      </c>
      <c r="AU8" s="3">
        <f ca="1">IFERROR(__xludf.DUMMYFUNCTION("""COMPUTED_VALUE"""),-0.532417575695758)</f>
        <v>-0.53241757569575798</v>
      </c>
      <c r="AV8" s="3">
        <f ca="1">IFERROR(__xludf.DUMMYFUNCTION("""COMPUTED_VALUE"""),-0.574950593765111)</f>
        <v>-0.57495059376511104</v>
      </c>
      <c r="AW8" s="3">
        <f ca="1">IFERROR(__xludf.DUMMYFUNCTION("""COMPUTED_VALUE"""),-0.540495226256474)</f>
        <v>-0.54049522625647395</v>
      </c>
      <c r="AX8" s="3">
        <f ca="1">IFERROR(__xludf.DUMMYFUNCTION("""COMPUTED_VALUE"""),-0.447722584338888)</f>
        <v>-0.44772258433888801</v>
      </c>
      <c r="AY8" s="3">
        <f ca="1">IFERROR(__xludf.DUMMYFUNCTION("""COMPUTED_VALUE"""),-0.47811836756365)</f>
        <v>-0.47811836756365</v>
      </c>
      <c r="AZ8" s="3">
        <f ca="1">IFERROR(__xludf.DUMMYFUNCTION("""COMPUTED_VALUE"""),-0.554112012033132)</f>
        <v>-0.55411201203313198</v>
      </c>
      <c r="BA8" s="3">
        <f ca="1">IFERROR(__xludf.DUMMYFUNCTION("""COMPUTED_VALUE"""),-0.590002864217974)</f>
        <v>-0.59000286421797399</v>
      </c>
      <c r="BB8" s="3">
        <f ca="1">IFERROR(__xludf.DUMMYFUNCTION("""COMPUTED_VALUE"""),-0.558976566124003)</f>
        <v>-0.55897656612400304</v>
      </c>
      <c r="BC8" s="3">
        <f ca="1">IFERROR(__xludf.DUMMYFUNCTION("""COMPUTED_VALUE"""),-0.563299029099614)</f>
        <v>-0.56329902909961405</v>
      </c>
      <c r="BD8" s="3">
        <f ca="1">IFERROR(__xludf.DUMMYFUNCTION("""COMPUTED_VALUE"""),-0.534301472744039)</f>
        <v>-0.53430147274403905</v>
      </c>
      <c r="BE8" s="3">
        <f ca="1">IFERROR(__xludf.DUMMYFUNCTION("""COMPUTED_VALUE"""),-0.444771227940395)</f>
        <v>-0.44477122794039498</v>
      </c>
      <c r="BF8" s="3">
        <f ca="1">IFERROR(__xludf.DUMMYFUNCTION("""COMPUTED_VALUE"""),-0.499300387952457)</f>
        <v>-0.49930038795245701</v>
      </c>
      <c r="BG8" s="3">
        <f ca="1">IFERROR(__xludf.DUMMYFUNCTION("""COMPUTED_VALUE"""),-0.582459562518604)</f>
        <v>-0.58245956251860398</v>
      </c>
      <c r="BH8" s="3">
        <f ca="1">IFERROR(__xludf.DUMMYFUNCTION("""COMPUTED_VALUE"""),-0.596484677759868)</f>
        <v>-0.59648467775986802</v>
      </c>
      <c r="BI8" s="3">
        <f ca="1">IFERROR(__xludf.DUMMYFUNCTION("""COMPUTED_VALUE"""),-0.592779319369093)</f>
        <v>-0.59277931936909301</v>
      </c>
      <c r="BJ8" s="3">
        <f ca="1">IFERROR(__xludf.DUMMYFUNCTION("""COMPUTED_VALUE"""),-0.598910488770705)</f>
        <v>-0.59891048877070496</v>
      </c>
      <c r="BK8" s="3">
        <f ca="1">IFERROR(__xludf.DUMMYFUNCTION("""COMPUTED_VALUE"""),-0.562505323142888)</f>
        <v>-0.56250532314288804</v>
      </c>
      <c r="BL8" s="3">
        <f ca="1">IFERROR(__xludf.DUMMYFUNCTION("""COMPUTED_VALUE"""),-0.500770399881639)</f>
        <v>-0.50077039988163896</v>
      </c>
      <c r="BM8" s="3">
        <f ca="1">IFERROR(__xludf.DUMMYFUNCTION("""COMPUTED_VALUE"""),-0.471779952109998)</f>
        <v>-0.47177995210999801</v>
      </c>
      <c r="BN8" s="3">
        <f ca="1">IFERROR(__xludf.DUMMYFUNCTION("""COMPUTED_VALUE"""),-0.582126934834327)</f>
        <v>-0.58212693483432698</v>
      </c>
      <c r="BO8" s="3">
        <f ca="1">IFERROR(__xludf.DUMMYFUNCTION("""COMPUTED_VALUE"""),-0.57777701403986)</f>
        <v>-0.57777701403986004</v>
      </c>
      <c r="BP8" s="3">
        <f ca="1">IFERROR(__xludf.DUMMYFUNCTION("""COMPUTED_VALUE"""),-0.576522281266407)</f>
        <v>-0.57652228126640703</v>
      </c>
      <c r="BQ8" s="3">
        <f ca="1">IFERROR(__xludf.DUMMYFUNCTION("""COMPUTED_VALUE"""),-0.606711321462114)</f>
        <v>-0.60671132146211404</v>
      </c>
      <c r="BR8" s="3">
        <f ca="1">IFERROR(__xludf.DUMMYFUNCTION("""COMPUTED_VALUE"""),-0.615662163598369)</f>
        <v>-0.61566216359836901</v>
      </c>
      <c r="BS8" s="3">
        <f ca="1">IFERROR(__xludf.DUMMYFUNCTION("""COMPUTED_VALUE"""),-0.52028137852696)</f>
        <v>-0.52028137852695999</v>
      </c>
      <c r="BT8" s="3">
        <f ca="1">IFERROR(__xludf.DUMMYFUNCTION("""COMPUTED_VALUE"""),-0.545014415636249)</f>
        <v>-0.54501441563624897</v>
      </c>
      <c r="BU8" s="3">
        <f ca="1">IFERROR(__xludf.DUMMYFUNCTION("""COMPUTED_VALUE"""),-0.643888814848127)</f>
        <v>-0.64388881484812699</v>
      </c>
      <c r="BV8" s="3">
        <f ca="1">IFERROR(__xludf.DUMMYFUNCTION("""COMPUTED_VALUE"""),-0.637132341066186)</f>
        <v>-0.63713234106618599</v>
      </c>
      <c r="BW8" s="3">
        <f ca="1">IFERROR(__xludf.DUMMYFUNCTION("""COMPUTED_VALUE"""),-0.632266588536612)</f>
        <v>-0.632266588536612</v>
      </c>
      <c r="BX8" s="3">
        <f ca="1">IFERROR(__xludf.DUMMYFUNCTION("""COMPUTED_VALUE"""),-0.641444591469783)</f>
        <v>-0.64144459146978305</v>
      </c>
      <c r="BY8" s="3">
        <f ca="1">IFERROR(__xludf.DUMMYFUNCTION("""COMPUTED_VALUE"""),-0.581417643236714)</f>
        <v>-0.58141764323671397</v>
      </c>
      <c r="BZ8" s="3">
        <f ca="1">IFERROR(__xludf.DUMMYFUNCTION("""COMPUTED_VALUE"""),-0.532026995250052)</f>
        <v>-0.53202699525005204</v>
      </c>
      <c r="CA8" s="3">
        <f ca="1">IFERROR(__xludf.DUMMYFUNCTION("""COMPUTED_VALUE"""),-0.519566186924886)</f>
        <v>-0.51956618692488599</v>
      </c>
      <c r="CB8" s="3">
        <f ca="1">IFERROR(__xludf.DUMMYFUNCTION("""COMPUTED_VALUE"""),-0.613830848887554)</f>
        <v>-0.61383084888755401</v>
      </c>
      <c r="CC8" s="3">
        <f ca="1">IFERROR(__xludf.DUMMYFUNCTION("""COMPUTED_VALUE"""),-0.630281394650685)</f>
        <v>-0.630281394650685</v>
      </c>
      <c r="CD8" s="3">
        <f ca="1">IFERROR(__xludf.DUMMYFUNCTION("""COMPUTED_VALUE"""),-0.637688591630641)</f>
        <v>-0.63768859163064096</v>
      </c>
      <c r="CE8" s="3">
        <f ca="1">IFERROR(__xludf.DUMMYFUNCTION("""COMPUTED_VALUE"""),-0.624047239861638)</f>
        <v>-0.62404723986163801</v>
      </c>
      <c r="CF8" s="3">
        <f ca="1">IFERROR(__xludf.DUMMYFUNCTION("""COMPUTED_VALUE"""),-0.594218656492582)</f>
        <v>-0.59421865649258199</v>
      </c>
      <c r="CG8" s="3">
        <f ca="1">IFERROR(__xludf.DUMMYFUNCTION("""COMPUTED_VALUE"""),-0.517625528434797)</f>
        <v>-0.51762552843479703</v>
      </c>
      <c r="CH8" s="3">
        <f ca="1">IFERROR(__xludf.DUMMYFUNCTION("""COMPUTED_VALUE"""),-0.522362698060354)</f>
        <v>-0.52236269806035396</v>
      </c>
      <c r="CI8" s="3">
        <f ca="1">IFERROR(__xludf.DUMMYFUNCTION("""COMPUTED_VALUE"""),-0.614780698332555)</f>
        <v>-0.614780698332555</v>
      </c>
      <c r="CJ8" s="3">
        <f ca="1">IFERROR(__xludf.DUMMYFUNCTION("""COMPUTED_VALUE"""),-0.619790324575922)</f>
        <v>-0.61979032457592198</v>
      </c>
      <c r="CK8" s="3">
        <f ca="1">IFERROR(__xludf.DUMMYFUNCTION("""COMPUTED_VALUE"""),-0.621248197536523)</f>
        <v>-0.62124819753652305</v>
      </c>
      <c r="CL8" s="3">
        <f ca="1">IFERROR(__xludf.DUMMYFUNCTION("""COMPUTED_VALUE"""),-0.609470115139112)</f>
        <v>-0.60947011513911198</v>
      </c>
      <c r="CM8" s="3">
        <f ca="1">IFERROR(__xludf.DUMMYFUNCTION("""COMPUTED_VALUE"""),-0.587845302388898)</f>
        <v>-0.58784530238889798</v>
      </c>
      <c r="CN8" s="3">
        <f ca="1">IFERROR(__xludf.DUMMYFUNCTION("""COMPUTED_VALUE"""),-0.528258415793542)</f>
        <v>-0.52825841579354205</v>
      </c>
      <c r="CO8" s="3">
        <f ca="1">IFERROR(__xludf.DUMMYFUNCTION("""COMPUTED_VALUE"""),-0.524532314126664)</f>
        <v>-0.52453231412666401</v>
      </c>
      <c r="CP8" s="3">
        <f ca="1">IFERROR(__xludf.DUMMYFUNCTION("""COMPUTED_VALUE"""),-0.60401793731172)</f>
        <v>-0.60401793731172004</v>
      </c>
      <c r="CQ8" s="3">
        <f ca="1">IFERROR(__xludf.DUMMYFUNCTION("""COMPUTED_VALUE"""),-0.602841404262274)</f>
        <v>-0.60284140426227395</v>
      </c>
      <c r="CR8" s="3">
        <f ca="1">IFERROR(__xludf.DUMMYFUNCTION("""COMPUTED_VALUE"""),-0.563074820052265)</f>
        <v>-0.56307482005226495</v>
      </c>
      <c r="CS8" s="3">
        <f ca="1">IFERROR(__xludf.DUMMYFUNCTION("""COMPUTED_VALUE"""),-0.592848377284197)</f>
        <v>-0.59284837728419704</v>
      </c>
      <c r="CT8" s="3">
        <f ca="1">IFERROR(__xludf.DUMMYFUNCTION("""COMPUTED_VALUE"""),-0.585051377607266)</f>
        <v>-0.585051377607266</v>
      </c>
      <c r="CU8" s="3">
        <f ca="1">IFERROR(__xludf.DUMMYFUNCTION("""COMPUTED_VALUE"""),-0.556366232782109)</f>
        <v>-0.55636623278210895</v>
      </c>
      <c r="CV8" s="3">
        <f ca="1">IFERROR(__xludf.DUMMYFUNCTION("""COMPUTED_VALUE"""),-0.562178653973081)</f>
        <v>-0.56217865397308098</v>
      </c>
      <c r="CW8" s="3">
        <f ca="1">IFERROR(__xludf.DUMMYFUNCTION("""COMPUTED_VALUE"""),-0.699068695227582)</f>
        <v>-0.69906869522758197</v>
      </c>
      <c r="CX8" s="3">
        <f ca="1">IFERROR(__xludf.DUMMYFUNCTION("""COMPUTED_VALUE"""),-0.553732129416845)</f>
        <v>-0.55373212941684502</v>
      </c>
      <c r="CY8" s="3">
        <f ca="1">IFERROR(__xludf.DUMMYFUNCTION("""COMPUTED_VALUE"""),-0.391742306367677)</f>
        <v>-0.39174230636767698</v>
      </c>
      <c r="CZ8" s="3">
        <f ca="1">IFERROR(__xludf.DUMMYFUNCTION("""COMPUTED_VALUE"""),-0.529774944854302)</f>
        <v>-0.52977494485430199</v>
      </c>
      <c r="DA8" s="3">
        <f ca="1">IFERROR(__xludf.DUMMYFUNCTION("""COMPUTED_VALUE"""),-0.540724932119629)</f>
        <v>-0.54072493211962902</v>
      </c>
      <c r="DB8" s="3">
        <f ca="1">IFERROR(__xludf.DUMMYFUNCTION("""COMPUTED_VALUE"""),-0.518534873890888)</f>
        <v>-0.51853487389088804</v>
      </c>
      <c r="DC8" s="3">
        <f ca="1">IFERROR(__xludf.DUMMYFUNCTION("""COMPUTED_VALUE"""),-0.571889569948622)</f>
        <v>-0.57188956994862195</v>
      </c>
      <c r="DD8" s="3">
        <f ca="1">IFERROR(__xludf.DUMMYFUNCTION("""COMPUTED_VALUE"""),-0.767928680462355)</f>
        <v>-0.76792868046235496</v>
      </c>
      <c r="DE8" s="3">
        <f ca="1">IFERROR(__xludf.DUMMYFUNCTION("""COMPUTED_VALUE"""),-0.560100546543439)</f>
        <v>-0.56010054654343899</v>
      </c>
      <c r="DF8" s="3">
        <f ca="1">IFERROR(__xludf.DUMMYFUNCTION("""COMPUTED_VALUE"""),-0.350336735203242)</f>
        <v>-0.35033673520324199</v>
      </c>
      <c r="DG8" s="3">
        <f ca="1">IFERROR(__xludf.DUMMYFUNCTION("""COMPUTED_VALUE"""),-0.496047433753987)</f>
        <v>-0.49604743375398702</v>
      </c>
      <c r="DH8" s="3">
        <f ca="1">IFERROR(__xludf.DUMMYFUNCTION("""COMPUTED_VALUE"""),-0.518144214293296)</f>
        <v>-0.51814421429329605</v>
      </c>
      <c r="DI8" s="3">
        <f ca="1">IFERROR(__xludf.DUMMYFUNCTION("""COMPUTED_VALUE"""),-0.491518423492034)</f>
        <v>-0.49151842349203401</v>
      </c>
      <c r="DJ8" s="3">
        <f ca="1">IFERROR(__xludf.DUMMYFUNCTION("""COMPUTED_VALUE"""),-0.492911292607876)</f>
        <v>-0.49291129260787597</v>
      </c>
      <c r="DK8" s="3">
        <f ca="1">IFERROR(__xludf.DUMMYFUNCTION("""COMPUTED_VALUE"""),-0.560372748728482)</f>
        <v>-0.56037274872848197</v>
      </c>
      <c r="DL8" s="3">
        <f ca="1">IFERROR(__xludf.DUMMYFUNCTION("""COMPUTED_VALUE"""),-0.582509969003664)</f>
        <v>-0.58250996900366403</v>
      </c>
      <c r="DM8" s="3">
        <f ca="1">IFERROR(__xludf.DUMMYFUNCTION("""COMPUTED_VALUE"""),-0.496494248488622)</f>
        <v>-0.496494248488622</v>
      </c>
      <c r="DN8" s="3">
        <f ca="1">IFERROR(__xludf.DUMMYFUNCTION("""COMPUTED_VALUE"""),-0.572769839293215)</f>
        <v>-0.57276983929321501</v>
      </c>
      <c r="DO8" s="3">
        <f ca="1">IFERROR(__xludf.DUMMYFUNCTION("""COMPUTED_VALUE"""),-0.610946101244635)</f>
        <v>-0.610946101244635</v>
      </c>
      <c r="DP8" s="3">
        <f ca="1">IFERROR(__xludf.DUMMYFUNCTION("""COMPUTED_VALUE"""),-0.507878380393968)</f>
        <v>-0.50787838039396804</v>
      </c>
      <c r="DQ8" s="3">
        <f ca="1">IFERROR(__xludf.DUMMYFUNCTION("""COMPUTED_VALUE"""),-0.540074899624289)</f>
        <v>-0.54007489962428901</v>
      </c>
      <c r="DR8" s="3">
        <f ca="1">IFERROR(__xludf.DUMMYFUNCTION("""COMPUTED_VALUE"""),-0.620202721539971)</f>
        <v>-0.62020272153997102</v>
      </c>
      <c r="DS8" s="3">
        <f ca="1">IFERROR(__xludf.DUMMYFUNCTION("""COMPUTED_VALUE"""),-0.634322103983279)</f>
        <v>-0.63432210398327904</v>
      </c>
      <c r="DT8" s="3">
        <f ca="1">IFERROR(__xludf.DUMMYFUNCTION("""COMPUTED_VALUE"""),-0.645770179693256)</f>
        <v>-0.64577017969325601</v>
      </c>
      <c r="DU8" s="3">
        <f ca="1">IFERROR(__xludf.DUMMYFUNCTION("""COMPUTED_VALUE"""),-0.633875270029505)</f>
        <v>-0.63387527002950494</v>
      </c>
      <c r="DV8" s="3">
        <f ca="1">IFERROR(__xludf.DUMMYFUNCTION("""COMPUTED_VALUE"""),-0.612192229620901)</f>
        <v>-0.61219222962090103</v>
      </c>
      <c r="DW8" s="3">
        <f ca="1">IFERROR(__xludf.DUMMYFUNCTION("""COMPUTED_VALUE"""),-0.495762901579909)</f>
        <v>-0.49576290157990899</v>
      </c>
      <c r="DX8" s="3">
        <f ca="1">IFERROR(__xludf.DUMMYFUNCTION("""COMPUTED_VALUE"""),-0.56196949951497)</f>
        <v>-0.56196949951496999</v>
      </c>
      <c r="DY8" s="3">
        <f ca="1">IFERROR(__xludf.DUMMYFUNCTION("""COMPUTED_VALUE"""),-0.593207338868248)</f>
        <v>-0.59320733886824795</v>
      </c>
      <c r="DZ8" s="3">
        <f ca="1">IFERROR(__xludf.DUMMYFUNCTION("""COMPUTED_VALUE"""),-0.575273104956463)</f>
        <v>-0.575273104956463</v>
      </c>
      <c r="EA8" s="3">
        <f ca="1">IFERROR(__xludf.DUMMYFUNCTION("""COMPUTED_VALUE"""),-0.639501556913026)</f>
        <v>-0.63950155691302601</v>
      </c>
      <c r="EB8" s="3">
        <f ca="1">IFERROR(__xludf.DUMMYFUNCTION("""COMPUTED_VALUE"""),-0.630653899849509)</f>
        <v>-0.63065389984950904</v>
      </c>
      <c r="EC8" s="3">
        <f ca="1">IFERROR(__xludf.DUMMYFUNCTION("""COMPUTED_VALUE"""),-0.644615448187952)</f>
        <v>-0.64461544818795202</v>
      </c>
      <c r="ED8" s="3">
        <f ca="1">IFERROR(__xludf.DUMMYFUNCTION("""COMPUTED_VALUE"""),-0.491372601160833)</f>
        <v>-0.49137260116083298</v>
      </c>
      <c r="EE8" s="3">
        <f ca="1">IFERROR(__xludf.DUMMYFUNCTION("""COMPUTED_VALUE"""),-0.550306180881959)</f>
        <v>-0.55030618088195904</v>
      </c>
      <c r="EF8" s="3">
        <f ca="1">IFERROR(__xludf.DUMMYFUNCTION("""COMPUTED_VALUE"""),-0.631537093175625)</f>
        <v>-0.63153709317562501</v>
      </c>
      <c r="EG8" s="3">
        <f ca="1">IFERROR(__xludf.DUMMYFUNCTION("""COMPUTED_VALUE"""),-0.714615386300038)</f>
        <v>-0.71461538630003796</v>
      </c>
      <c r="EH8" s="3">
        <f ca="1">IFERROR(__xludf.DUMMYFUNCTION("""COMPUTED_VALUE"""),-0.619508927309724)</f>
        <v>-0.61950892730972396</v>
      </c>
      <c r="EI8" s="3">
        <f ca="1">IFERROR(__xludf.DUMMYFUNCTION("""COMPUTED_VALUE"""),-0.619717486822272)</f>
        <v>-0.61971748682227201</v>
      </c>
      <c r="EJ8" s="3">
        <f ca="1">IFERROR(__xludf.DUMMYFUNCTION("""COMPUTED_VALUE"""),-0.604580491237339)</f>
        <v>-0.60458049123733903</v>
      </c>
      <c r="EK8" s="3">
        <f ca="1">IFERROR(__xludf.DUMMYFUNCTION("""COMPUTED_VALUE"""),-0.486232638306955)</f>
        <v>-0.48623263830695501</v>
      </c>
      <c r="EL8" s="3">
        <f ca="1">IFERROR(__xludf.DUMMYFUNCTION("""COMPUTED_VALUE"""),-0.506785089979606)</f>
        <v>-0.50678508997960603</v>
      </c>
      <c r="EM8" s="3">
        <f ca="1">IFERROR(__xludf.DUMMYFUNCTION("""COMPUTED_VALUE"""),-0.557733663483903)</f>
        <v>-0.55773366348390296</v>
      </c>
      <c r="EN8" s="3">
        <f ca="1">IFERROR(__xludf.DUMMYFUNCTION("""COMPUTED_VALUE"""),-0.564578632368437)</f>
        <v>-0.56457863236843697</v>
      </c>
      <c r="EO8" s="3">
        <f ca="1">IFERROR(__xludf.DUMMYFUNCTION("""COMPUTED_VALUE"""),-0.621112964648233)</f>
        <v>-0.62111296464823296</v>
      </c>
      <c r="EP8" s="3">
        <f ca="1">IFERROR(__xludf.DUMMYFUNCTION("""COMPUTED_VALUE"""),-0.619787323141123)</f>
        <v>-0.61978732314112295</v>
      </c>
      <c r="EQ8" s="3">
        <f ca="1">IFERROR(__xludf.DUMMYFUNCTION("""COMPUTED_VALUE"""),-0.588386264807439)</f>
        <v>-0.58838626480743905</v>
      </c>
      <c r="ER8" s="3">
        <f ca="1">IFERROR(__xludf.DUMMYFUNCTION("""COMPUTED_VALUE"""),-0.508599686340602)</f>
        <v>-0.50859968634060204</v>
      </c>
      <c r="ES8" s="3">
        <f ca="1">IFERROR(__xludf.DUMMYFUNCTION("""COMPUTED_VALUE"""),-0.518546712759556)</f>
        <v>-0.51854671275955599</v>
      </c>
      <c r="ET8" s="3">
        <f ca="1">IFERROR(__xludf.DUMMYFUNCTION("""COMPUTED_VALUE"""),-0.620621385449769)</f>
        <v>-0.62062138544976897</v>
      </c>
      <c r="EU8" s="3">
        <f ca="1">IFERROR(__xludf.DUMMYFUNCTION("""COMPUTED_VALUE"""),-0.639111995755483)</f>
        <v>-0.63911199575548305</v>
      </c>
      <c r="EV8" s="3">
        <f ca="1">IFERROR(__xludf.DUMMYFUNCTION("""COMPUTED_VALUE"""),-0.651840263478906)</f>
        <v>-0.651840263478906</v>
      </c>
      <c r="EW8" s="3">
        <f ca="1">IFERROR(__xludf.DUMMYFUNCTION("""COMPUTED_VALUE"""),-0.591274219635944)</f>
        <v>-0.59127421963594395</v>
      </c>
      <c r="EX8" s="3">
        <f ca="1">IFERROR(__xludf.DUMMYFUNCTION("""COMPUTED_VALUE"""),-0.567066384491902)</f>
        <v>-0.56706638449190205</v>
      </c>
      <c r="EY8" s="3">
        <f ca="1">IFERROR(__xludf.DUMMYFUNCTION("""COMPUTED_VALUE"""),-0.484239570925999)</f>
        <v>-0.48423957092599901</v>
      </c>
      <c r="EZ8" s="3">
        <f ca="1">IFERROR(__xludf.DUMMYFUNCTION("""COMPUTED_VALUE"""),-0.517920928689284)</f>
        <v>-0.51792092868928397</v>
      </c>
      <c r="FA8" s="3">
        <f ca="1">IFERROR(__xludf.DUMMYFUNCTION("""COMPUTED_VALUE"""),-0.601943075067477)</f>
        <v>-0.60194307506747702</v>
      </c>
      <c r="FB8" s="3">
        <f ca="1">IFERROR(__xludf.DUMMYFUNCTION("""COMPUTED_VALUE"""),-0.609431176791691)</f>
        <v>-0.60943117679169101</v>
      </c>
      <c r="FC8" s="3">
        <f ca="1">IFERROR(__xludf.DUMMYFUNCTION("""COMPUTED_VALUE"""),-0.626547482031802)</f>
        <v>-0.62654748203180199</v>
      </c>
      <c r="FD8" s="3">
        <f ca="1">IFERROR(__xludf.DUMMYFUNCTION("""COMPUTED_VALUE"""),-0.614099901871663)</f>
        <v>-0.61409990187166297</v>
      </c>
      <c r="FE8" s="3">
        <f ca="1">IFERROR(__xludf.DUMMYFUNCTION("""COMPUTED_VALUE"""),-0.577575625686306)</f>
        <v>-0.57757562568630605</v>
      </c>
      <c r="FF8" s="3">
        <f ca="1">IFERROR(__xludf.DUMMYFUNCTION("""COMPUTED_VALUE"""),-0.494468242612812)</f>
        <v>-0.49446824261281203</v>
      </c>
      <c r="FG8" s="3">
        <f ca="1">IFERROR(__xludf.DUMMYFUNCTION("""COMPUTED_VALUE"""),-0.516033684246539)</f>
        <v>-0.51603368424653895</v>
      </c>
      <c r="FH8" s="3">
        <f ca="1">IFERROR(__xludf.DUMMYFUNCTION("""COMPUTED_VALUE"""),-0.631826255623549)</f>
        <v>-0.63182625562354899</v>
      </c>
      <c r="FI8" s="3">
        <f ca="1">IFERROR(__xludf.DUMMYFUNCTION("""COMPUTED_VALUE"""),-0.654758683687841)</f>
        <v>-0.65475868368784096</v>
      </c>
      <c r="FJ8" s="3">
        <f ca="1">IFERROR(__xludf.DUMMYFUNCTION("""COMPUTED_VALUE"""),-0.62517054352372)</f>
        <v>-0.62517054352372003</v>
      </c>
      <c r="FK8" s="3">
        <f ca="1">IFERROR(__xludf.DUMMYFUNCTION("""COMPUTED_VALUE"""),-0.604473197431475)</f>
        <v>-0.60447319743147498</v>
      </c>
      <c r="FL8" s="3">
        <f ca="1">IFERROR(__xludf.DUMMYFUNCTION("""COMPUTED_VALUE"""),-0.61225151275212)</f>
        <v>-0.61225151275211998</v>
      </c>
      <c r="FM8" s="3">
        <f ca="1">IFERROR(__xludf.DUMMYFUNCTION("""COMPUTED_VALUE"""),-0.490206464573214)</f>
        <v>-0.49020646457321398</v>
      </c>
      <c r="FN8" s="3">
        <f ca="1">IFERROR(__xludf.DUMMYFUNCTION("""COMPUTED_VALUE"""),-0.525100076807272)</f>
        <v>-0.525100076807272</v>
      </c>
      <c r="FO8" s="3">
        <f ca="1">IFERROR(__xludf.DUMMYFUNCTION("""COMPUTED_VALUE"""),-0.610045643140211)</f>
        <v>-0.61004564314021104</v>
      </c>
      <c r="FP8" s="3">
        <f ca="1">IFERROR(__xludf.DUMMYFUNCTION("""COMPUTED_VALUE"""),-0.612872828706406)</f>
        <v>-0.61287282870640603</v>
      </c>
      <c r="FQ8" s="3">
        <f ca="1">IFERROR(__xludf.DUMMYFUNCTION("""COMPUTED_VALUE"""),-0.61584446003866)</f>
        <v>-0.61584446003866</v>
      </c>
      <c r="FR8" s="3">
        <f ca="1">IFERROR(__xludf.DUMMYFUNCTION("""COMPUTED_VALUE"""),-0.606767896564417)</f>
        <v>-0.60676789656441699</v>
      </c>
      <c r="FS8" s="3">
        <f ca="1">IFERROR(__xludf.DUMMYFUNCTION("""COMPUTED_VALUE"""),-0.571726395136017)</f>
        <v>-0.57172639513601697</v>
      </c>
      <c r="FT8" s="3">
        <f ca="1">IFERROR(__xludf.DUMMYFUNCTION("""COMPUTED_VALUE"""),-0.469681550303419)</f>
        <v>-0.46968155030341902</v>
      </c>
      <c r="FU8" s="3">
        <f ca="1">IFERROR(__xludf.DUMMYFUNCTION("""COMPUTED_VALUE"""),-0.520429762960207)</f>
        <v>-0.52042976296020704</v>
      </c>
      <c r="FV8" s="3">
        <f ca="1">IFERROR(__xludf.DUMMYFUNCTION("""COMPUTED_VALUE"""),-0.636867263147919)</f>
        <v>-0.63686726314791897</v>
      </c>
      <c r="FW8" s="3">
        <f ca="1">IFERROR(__xludf.DUMMYFUNCTION("""COMPUTED_VALUE"""),-0.606099883830612)</f>
        <v>-0.60609988383061197</v>
      </c>
      <c r="FX8" s="3">
        <f ca="1">IFERROR(__xludf.DUMMYFUNCTION("""COMPUTED_VALUE"""),-0.589608949379108)</f>
        <v>-0.58960894937910802</v>
      </c>
      <c r="FY8" s="3">
        <f ca="1">IFERROR(__xludf.DUMMYFUNCTION("""COMPUTED_VALUE"""),-0.622041153401788)</f>
        <v>-0.62204115340178801</v>
      </c>
      <c r="FZ8" s="3">
        <f ca="1">IFERROR(__xludf.DUMMYFUNCTION("""COMPUTED_VALUE"""),-0.622508487192993)</f>
        <v>-0.62250848719299301</v>
      </c>
      <c r="GA8" s="3">
        <f ca="1">IFERROR(__xludf.DUMMYFUNCTION("""COMPUTED_VALUE"""),-0.491901323641331)</f>
        <v>-0.49190132364133099</v>
      </c>
      <c r="GB8" s="3">
        <f ca="1">IFERROR(__xludf.DUMMYFUNCTION("""COMPUTED_VALUE"""),-0.511506976417825)</f>
        <v>-0.51150697641782505</v>
      </c>
      <c r="GC8" s="3">
        <f ca="1">IFERROR(__xludf.DUMMYFUNCTION("""COMPUTED_VALUE"""),-0.602936394704148)</f>
        <v>-0.60293639470414795</v>
      </c>
      <c r="GD8" s="3">
        <f ca="1">IFERROR(__xludf.DUMMYFUNCTION("""COMPUTED_VALUE"""),-0.607532043307145)</f>
        <v>-0.60753204330714505</v>
      </c>
      <c r="GE8" s="3">
        <f ca="1">IFERROR(__xludf.DUMMYFUNCTION("""COMPUTED_VALUE"""),-0.599325675634657)</f>
        <v>-0.599325675634657</v>
      </c>
      <c r="GF8" s="3">
        <f ca="1">IFERROR(__xludf.DUMMYFUNCTION("""COMPUTED_VALUE"""),-0.597864864356128)</f>
        <v>-0.59786486435612796</v>
      </c>
      <c r="GG8" s="3">
        <f ca="1">IFERROR(__xludf.DUMMYFUNCTION("""COMPUTED_VALUE"""),-0.560106735035536)</f>
        <v>-0.56010673503553599</v>
      </c>
      <c r="GH8" s="3">
        <f ca="1">IFERROR(__xludf.DUMMYFUNCTION("""COMPUTED_VALUE"""),-0.512923088435681)</f>
        <v>-0.51292308843568102</v>
      </c>
      <c r="GI8" s="3">
        <f ca="1">IFERROR(__xludf.DUMMYFUNCTION("""COMPUTED_VALUE"""),-0.523318907204697)</f>
        <v>-0.52331890720469698</v>
      </c>
      <c r="GJ8" s="3">
        <f ca="1">IFERROR(__xludf.DUMMYFUNCTION("""COMPUTED_VALUE"""),-0.603786369856021)</f>
        <v>-0.60378636985602097</v>
      </c>
      <c r="GK8" s="3">
        <f ca="1">IFERROR(__xludf.DUMMYFUNCTION("""COMPUTED_VALUE"""),-0.605950094958208)</f>
        <v>-0.60595009495820795</v>
      </c>
      <c r="GL8" s="3">
        <f ca="1">IFERROR(__xludf.DUMMYFUNCTION("""COMPUTED_VALUE"""),-0.603265549933908)</f>
        <v>-0.60326554993390802</v>
      </c>
      <c r="GM8" s="3">
        <f ca="1">IFERROR(__xludf.DUMMYFUNCTION("""COMPUTED_VALUE"""),-0.618900465625765)</f>
        <v>-0.61890046562576495</v>
      </c>
      <c r="GN8" s="3">
        <f ca="1">IFERROR(__xludf.DUMMYFUNCTION("""COMPUTED_VALUE"""),-0.598672282571562)</f>
        <v>-0.59867228257156202</v>
      </c>
      <c r="GO8" s="3">
        <f ca="1">IFERROR(__xludf.DUMMYFUNCTION("""COMPUTED_VALUE"""),-0.500117025247457)</f>
        <v>-0.50011702524745705</v>
      </c>
      <c r="GP8" s="3">
        <f ca="1">IFERROR(__xludf.DUMMYFUNCTION("""COMPUTED_VALUE"""),-0.531914630770929)</f>
        <v>-0.53191463077092904</v>
      </c>
      <c r="GQ8" s="3">
        <f ca="1">IFERROR(__xludf.DUMMYFUNCTION("""COMPUTED_VALUE"""),-0.610966631396921)</f>
        <v>-0.61096663139692098</v>
      </c>
      <c r="GR8" s="3">
        <f ca="1">IFERROR(__xludf.DUMMYFUNCTION("""COMPUTED_VALUE"""),-0.624967825578328)</f>
        <v>-0.62496782557832797</v>
      </c>
      <c r="GS8" s="3">
        <f ca="1">IFERROR(__xludf.DUMMYFUNCTION("""COMPUTED_VALUE"""),-0.621685691052103)</f>
        <v>-0.62168569105210303</v>
      </c>
      <c r="GT8" s="3">
        <f ca="1">IFERROR(__xludf.DUMMYFUNCTION("""COMPUTED_VALUE"""),-0.607017189471384)</f>
        <v>-0.60701718947138406</v>
      </c>
      <c r="GU8" s="3">
        <f ca="1">IFERROR(__xludf.DUMMYFUNCTION("""COMPUTED_VALUE"""),-0.585090324637731)</f>
        <v>-0.58509032463773103</v>
      </c>
      <c r="GV8" s="3">
        <f ca="1">IFERROR(__xludf.DUMMYFUNCTION("""COMPUTED_VALUE"""),-0.47960427926324)</f>
        <v>-0.47960427926324001</v>
      </c>
      <c r="GW8" s="3">
        <f ca="1">IFERROR(__xludf.DUMMYFUNCTION("""COMPUTED_VALUE"""),-0.515917694978954)</f>
        <v>-0.51591769497895401</v>
      </c>
      <c r="GX8" s="3">
        <f ca="1">IFERROR(__xludf.DUMMYFUNCTION("""COMPUTED_VALUE"""),-0.60888128112014)</f>
        <v>-0.60888128112013995</v>
      </c>
      <c r="GY8" s="3">
        <f ca="1">IFERROR(__xludf.DUMMYFUNCTION("""COMPUTED_VALUE"""),-0.629032407108437)</f>
        <v>-0.629032407108437</v>
      </c>
      <c r="GZ8" s="3">
        <f ca="1">IFERROR(__xludf.DUMMYFUNCTION("""COMPUTED_VALUE"""),-0.628336690219373)</f>
        <v>-0.628336690219373</v>
      </c>
      <c r="HA8" s="3">
        <f ca="1">IFERROR(__xludf.DUMMYFUNCTION("""COMPUTED_VALUE"""),-0.624171283369443)</f>
        <v>-0.62417128336944305</v>
      </c>
      <c r="HB8" s="3">
        <f ca="1">IFERROR(__xludf.DUMMYFUNCTION("""COMPUTED_VALUE"""),-0.60913344392267)</f>
        <v>-0.60913344392266999</v>
      </c>
      <c r="HC8" s="3">
        <f ca="1">IFERROR(__xludf.DUMMYFUNCTION("""COMPUTED_VALUE"""),-0.50622222157122)</f>
        <v>-0.50622222157121999</v>
      </c>
      <c r="HD8" s="3">
        <f ca="1">IFERROR(__xludf.DUMMYFUNCTION("""COMPUTED_VALUE"""),-0.514134138332648)</f>
        <v>-0.51413413833264798</v>
      </c>
      <c r="HE8" s="3">
        <f ca="1">IFERROR(__xludf.DUMMYFUNCTION("""COMPUTED_VALUE"""),-0.605996239111605)</f>
        <v>-0.60599623911160505</v>
      </c>
      <c r="HF8" s="3">
        <f ca="1">IFERROR(__xludf.DUMMYFUNCTION("""COMPUTED_VALUE"""),-0.637098722552519)</f>
        <v>-0.63709872255251898</v>
      </c>
      <c r="HG8" s="3">
        <f ca="1">IFERROR(__xludf.DUMMYFUNCTION("""COMPUTED_VALUE"""),-0.611810925526075)</f>
        <v>-0.61181092552607497</v>
      </c>
      <c r="HH8" s="3">
        <f ca="1">IFERROR(__xludf.DUMMYFUNCTION("""COMPUTED_VALUE"""),-0.595169909257809)</f>
        <v>-0.59516990925780899</v>
      </c>
      <c r="HI8" s="3">
        <f ca="1">IFERROR(__xludf.DUMMYFUNCTION("""COMPUTED_VALUE"""),-0.5390923544819)</f>
        <v>-0.53909235448189996</v>
      </c>
      <c r="HJ8" s="3">
        <f ca="1">IFERROR(__xludf.DUMMYFUNCTION("""COMPUTED_VALUE"""),-0.481905245151444)</f>
        <v>-0.48190524515144401</v>
      </c>
      <c r="HK8" s="3">
        <f ca="1">IFERROR(__xludf.DUMMYFUNCTION("""COMPUTED_VALUE"""),-0.494191983437301)</f>
        <v>-0.49419198343730097</v>
      </c>
      <c r="HL8" s="3">
        <f ca="1">IFERROR(__xludf.DUMMYFUNCTION("""COMPUTED_VALUE"""),-0.572081908785117)</f>
        <v>-0.572081908785117</v>
      </c>
      <c r="HM8" s="3">
        <f ca="1">IFERROR(__xludf.DUMMYFUNCTION("""COMPUTED_VALUE"""),-0.604613752251764)</f>
        <v>-0.60461375225176395</v>
      </c>
      <c r="HN8" s="3">
        <f ca="1">IFERROR(__xludf.DUMMYFUNCTION("""COMPUTED_VALUE"""),-0.612436172641337)</f>
        <v>-0.61243617264133698</v>
      </c>
      <c r="HO8" s="3">
        <f ca="1">IFERROR(__xludf.DUMMYFUNCTION("""COMPUTED_VALUE"""),-0.59861744300407)</f>
        <v>-0.59861744300407005</v>
      </c>
      <c r="HP8" s="3">
        <f ca="1">IFERROR(__xludf.DUMMYFUNCTION("""COMPUTED_VALUE"""),-0.527449792089578)</f>
        <v>-0.52744979208957798</v>
      </c>
      <c r="HQ8" s="3">
        <f ca="1">IFERROR(__xludf.DUMMYFUNCTION("""COMPUTED_VALUE"""),-0.429284279727335)</f>
        <v>-0.42928427972733502</v>
      </c>
      <c r="HR8" s="3">
        <f ca="1">IFERROR(__xludf.DUMMYFUNCTION("""COMPUTED_VALUE"""),-0.507441285974383)</f>
        <v>-0.50744128597438298</v>
      </c>
      <c r="HS8" s="3">
        <f ca="1">IFERROR(__xludf.DUMMYFUNCTION("""COMPUTED_VALUE"""),-0.520027397131091)</f>
        <v>-0.52002739713109103</v>
      </c>
      <c r="HT8" s="3">
        <f ca="1">IFERROR(__xludf.DUMMYFUNCTION("""COMPUTED_VALUE"""),-0.552694004514476)</f>
        <v>-0.55269400451447603</v>
      </c>
      <c r="HU8" s="3">
        <f ca="1">IFERROR(__xludf.DUMMYFUNCTION("""COMPUTED_VALUE"""),-0.536112478649642)</f>
        <v>-0.53611247864964195</v>
      </c>
      <c r="HV8" s="3">
        <f ca="1">IFERROR(__xludf.DUMMYFUNCTION("""COMPUTED_VALUE"""),-0.519824993039266)</f>
        <v>-0.51982499303926599</v>
      </c>
      <c r="HW8" s="3">
        <f ca="1">IFERROR(__xludf.DUMMYFUNCTION("""COMPUTED_VALUE"""),-0.442079458689214)</f>
        <v>-0.442079458689214</v>
      </c>
      <c r="HX8" s="3">
        <f ca="1">IFERROR(__xludf.DUMMYFUNCTION("""COMPUTED_VALUE"""),-0.446457345524669)</f>
        <v>-0.44645734552466898</v>
      </c>
      <c r="HY8" s="3">
        <f ca="1">IFERROR(__xludf.DUMMYFUNCTION("""COMPUTED_VALUE"""),-0.457394853838522)</f>
        <v>-0.45739485383852202</v>
      </c>
      <c r="HZ8" s="3">
        <f ca="1">IFERROR(__xludf.DUMMYFUNCTION("""COMPUTED_VALUE"""),-0.485054155919459)</f>
        <v>-0.485054155919459</v>
      </c>
      <c r="IA8" s="3">
        <f ca="1">IFERROR(__xludf.DUMMYFUNCTION("""COMPUTED_VALUE"""),-0.513064086496317)</f>
        <v>-0.51306408649631696</v>
      </c>
      <c r="IB8" s="3">
        <f ca="1">IFERROR(__xludf.DUMMYFUNCTION("""COMPUTED_VALUE"""),-0.529019312341139)</f>
        <v>-0.52901931234113897</v>
      </c>
      <c r="IC8" s="3">
        <f ca="1">IFERROR(__xludf.DUMMYFUNCTION("""COMPUTED_VALUE"""),-0.499399683623199)</f>
        <v>-0.49939968362319898</v>
      </c>
      <c r="ID8" s="3">
        <f ca="1">IFERROR(__xludf.DUMMYFUNCTION("""COMPUTED_VALUE"""),-0.504495812484791)</f>
        <v>-0.50449581248479103</v>
      </c>
      <c r="IE8" s="3">
        <f ca="1">IFERROR(__xludf.DUMMYFUNCTION("""COMPUTED_VALUE"""),-0.514057420600587)</f>
        <v>-0.51405742060058701</v>
      </c>
      <c r="IF8" s="3">
        <f ca="1">IFERROR(__xludf.DUMMYFUNCTION("""COMPUTED_VALUE"""),-0.461580743275204)</f>
        <v>-0.46158074327520399</v>
      </c>
      <c r="IG8" s="3">
        <f ca="1">IFERROR(__xludf.DUMMYFUNCTION("""COMPUTED_VALUE"""),-0.485351298125102)</f>
        <v>-0.48535129812510203</v>
      </c>
      <c r="IH8" s="3">
        <f ca="1">IFERROR(__xludf.DUMMYFUNCTION("""COMPUTED_VALUE"""),-0.546520475953966)</f>
        <v>-0.54652047595396602</v>
      </c>
      <c r="II8" s="3">
        <f ca="1">IFERROR(__xludf.DUMMYFUNCTION("""COMPUTED_VALUE"""),-0.516003777449668)</f>
        <v>-0.51600377744966797</v>
      </c>
      <c r="IJ8" s="3">
        <f ca="1">IFERROR(__xludf.DUMMYFUNCTION("""COMPUTED_VALUE"""),-0.496467491201013)</f>
        <v>-0.49646749120101302</v>
      </c>
      <c r="IK8" s="3">
        <f ca="1">IFERROR(__xludf.DUMMYFUNCTION("""COMPUTED_VALUE"""),-0.481111876225517)</f>
        <v>-0.48111187622551699</v>
      </c>
      <c r="IL8" s="3">
        <f ca="1">IFERROR(__xludf.DUMMYFUNCTION("""COMPUTED_VALUE"""),-0.446640127132462)</f>
        <v>-0.44664012713246198</v>
      </c>
      <c r="IM8" s="3">
        <f ca="1">IFERROR(__xludf.DUMMYFUNCTION("""COMPUTED_VALUE"""),-0.486369210592292)</f>
        <v>-0.48636921059229199</v>
      </c>
      <c r="IN8" s="3">
        <f ca="1">IFERROR(__xludf.DUMMYFUNCTION("""COMPUTED_VALUE"""),-0.512317208868953)</f>
        <v>-0.51231720886895304</v>
      </c>
      <c r="IO8" s="3">
        <f ca="1">IFERROR(__xludf.DUMMYFUNCTION("""COMPUTED_VALUE"""),-0.524399656795395)</f>
        <v>-0.52439965679539502</v>
      </c>
      <c r="IP8" s="3">
        <f ca="1">IFERROR(__xludf.DUMMYFUNCTION("""COMPUTED_VALUE"""),-0.474449051351705)</f>
        <v>-0.47444905135170501</v>
      </c>
      <c r="IQ8" s="3">
        <f ca="1">IFERROR(__xludf.DUMMYFUNCTION("""COMPUTED_VALUE"""),-0.554537748136936)</f>
        <v>-0.55453774813693602</v>
      </c>
      <c r="IR8" s="3">
        <f ca="1">IFERROR(__xludf.DUMMYFUNCTION("""COMPUTED_VALUE"""),-0.503182468011782)</f>
        <v>-0.50318246801178201</v>
      </c>
      <c r="IS8" s="3">
        <f ca="1">IFERROR(__xludf.DUMMYFUNCTION("""COMPUTED_VALUE"""),-0.489547573103564)</f>
        <v>-0.489547573103564</v>
      </c>
      <c r="IT8" s="3">
        <f ca="1">IFERROR(__xludf.DUMMYFUNCTION("""COMPUTED_VALUE"""),-0.475780414703769)</f>
        <v>-0.47578041470376897</v>
      </c>
      <c r="IU8" s="3">
        <f ca="1">IFERROR(__xludf.DUMMYFUNCTION("""COMPUTED_VALUE"""),-0.535145700159065)</f>
        <v>-0.53514570015906504</v>
      </c>
      <c r="IV8" s="3">
        <f ca="1">IFERROR(__xludf.DUMMYFUNCTION("""COMPUTED_VALUE"""),-0.550230313393449)</f>
        <v>-0.55023031339344897</v>
      </c>
      <c r="IW8" s="3">
        <f ca="1">IFERROR(__xludf.DUMMYFUNCTION("""COMPUTED_VALUE"""),-0.533695546963485)</f>
        <v>-0.53369554696348498</v>
      </c>
      <c r="IX8" s="3">
        <f ca="1">IFERROR(__xludf.DUMMYFUNCTION("""COMPUTED_VALUE"""),-0.546122528257906)</f>
        <v>-0.54612252825790597</v>
      </c>
      <c r="IY8" s="3">
        <f ca="1">IFERROR(__xludf.DUMMYFUNCTION("""COMPUTED_VALUE"""),-0.527385387884347)</f>
        <v>-0.52738538788434697</v>
      </c>
      <c r="IZ8" s="3">
        <f ca="1">IFERROR(__xludf.DUMMYFUNCTION("""COMPUTED_VALUE"""),-0.471559413659061)</f>
        <v>-0.47155941365906101</v>
      </c>
      <c r="JA8" s="3">
        <f ca="1">IFERROR(__xludf.DUMMYFUNCTION("""COMPUTED_VALUE"""),-0.482082713366474)</f>
        <v>-0.48208271336647401</v>
      </c>
      <c r="JB8" s="3">
        <f ca="1">IFERROR(__xludf.DUMMYFUNCTION("""COMPUTED_VALUE"""),-0.574063661616781)</f>
        <v>-0.57406366161678102</v>
      </c>
      <c r="JC8" s="3">
        <f ca="1">IFERROR(__xludf.DUMMYFUNCTION("""COMPUTED_VALUE"""),-0.5688994002762)</f>
        <v>-0.56889940027620001</v>
      </c>
      <c r="JD8" s="3">
        <f ca="1">IFERROR(__xludf.DUMMYFUNCTION("""COMPUTED_VALUE"""),-0.567756066393335)</f>
        <v>-0.56775606639333498</v>
      </c>
      <c r="JE8" s="3">
        <f ca="1">IFERROR(__xludf.DUMMYFUNCTION("""COMPUTED_VALUE"""),-0.554708652137055)</f>
        <v>-0.554708652137055</v>
      </c>
      <c r="JF8" s="3">
        <f ca="1">IFERROR(__xludf.DUMMYFUNCTION("""COMPUTED_VALUE"""),-0.542663868941182)</f>
        <v>-0.54266386894118201</v>
      </c>
      <c r="JG8" s="3">
        <f ca="1">IFERROR(__xludf.DUMMYFUNCTION("""COMPUTED_VALUE"""),-0.477952124096102)</f>
        <v>-0.47795212409610199</v>
      </c>
      <c r="JH8" s="3">
        <f ca="1">IFERROR(__xludf.DUMMYFUNCTION("""COMPUTED_VALUE"""),-0.508784225616205)</f>
        <v>-0.50878422561620495</v>
      </c>
      <c r="JI8" s="3">
        <f ca="1">IFERROR(__xludf.DUMMYFUNCTION("""COMPUTED_VALUE"""),-0.569602505436526)</f>
        <v>-0.56960250543652602</v>
      </c>
      <c r="JJ8" s="3">
        <f ca="1">IFERROR(__xludf.DUMMYFUNCTION("""COMPUTED_VALUE"""),-0.561800817111826)</f>
        <v>-0.56180081711182595</v>
      </c>
      <c r="JK8" s="3">
        <f ca="1">IFERROR(__xludf.DUMMYFUNCTION("""COMPUTED_VALUE"""),-0.568705941532235)</f>
        <v>-0.56870594153223497</v>
      </c>
      <c r="JL8" s="3">
        <f ca="1">IFERROR(__xludf.DUMMYFUNCTION("""COMPUTED_VALUE"""),-0.557675075127041)</f>
        <v>-0.55767507512704095</v>
      </c>
      <c r="JM8" s="3">
        <f ca="1">IFERROR(__xludf.DUMMYFUNCTION("""COMPUTED_VALUE"""),-0.537645179229292)</f>
        <v>-0.537645179229292</v>
      </c>
      <c r="JN8" s="3">
        <f ca="1">IFERROR(__xludf.DUMMYFUNCTION("""COMPUTED_VALUE"""),-0.477969140004354)</f>
        <v>-0.47796914000435398</v>
      </c>
      <c r="JO8" s="3">
        <f ca="1">IFERROR(__xludf.DUMMYFUNCTION("""COMPUTED_VALUE"""),-0.545050004870153)</f>
        <v>-0.54505000487015298</v>
      </c>
      <c r="JP8" s="3">
        <f ca="1">IFERROR(__xludf.DUMMYFUNCTION("""COMPUTED_VALUE"""),-0.588037452814954)</f>
        <v>-0.58803745281495401</v>
      </c>
      <c r="JQ8" s="3">
        <f ca="1">IFERROR(__xludf.DUMMYFUNCTION("""COMPUTED_VALUE"""),-0.503654764877528)</f>
        <v>-0.50365476487752803</v>
      </c>
      <c r="JR8" s="3">
        <f ca="1">IFERROR(__xludf.DUMMYFUNCTION("""COMPUTED_VALUE"""),-0.583730641884224)</f>
        <v>-0.58373064188422397</v>
      </c>
      <c r="JS8" s="3">
        <f ca="1">IFERROR(__xludf.DUMMYFUNCTION("""COMPUTED_VALUE"""),-0.583754560418072)</f>
        <v>-0.58375456041807205</v>
      </c>
      <c r="JT8" s="3">
        <f ca="1">IFERROR(__xludf.DUMMYFUNCTION("""COMPUTED_VALUE"""),-0.56273037801255)</f>
        <v>-0.56273037801254999</v>
      </c>
      <c r="JU8" s="3">
        <f ca="1">IFERROR(__xludf.DUMMYFUNCTION("""COMPUTED_VALUE"""),-0.511607828654919)</f>
        <v>-0.51160782865491905</v>
      </c>
      <c r="JV8" s="3">
        <f ca="1">IFERROR(__xludf.DUMMYFUNCTION("""COMPUTED_VALUE"""),-0.569068252476325)</f>
        <v>-0.56906825247632498</v>
      </c>
      <c r="JW8" s="3">
        <f ca="1">IFERROR(__xludf.DUMMYFUNCTION("""COMPUTED_VALUE"""),-0.520704327448929)</f>
        <v>-0.52070432744892903</v>
      </c>
      <c r="JX8" s="3">
        <f ca="1">IFERROR(__xludf.DUMMYFUNCTION("""COMPUTED_VALUE"""),-0.513801787481846)</f>
        <v>-0.51380178748184602</v>
      </c>
      <c r="JY8" s="3">
        <f ca="1">IFERROR(__xludf.DUMMYFUNCTION("""COMPUTED_VALUE"""),-0.602902001177933)</f>
        <v>-0.60290200117793302</v>
      </c>
      <c r="JZ8" s="3">
        <f ca="1">IFERROR(__xludf.DUMMYFUNCTION("""COMPUTED_VALUE"""),-0.584354357302356)</f>
        <v>-0.58435435730235596</v>
      </c>
      <c r="KA8" s="3">
        <f ca="1">IFERROR(__xludf.DUMMYFUNCTION("""COMPUTED_VALUE"""),-0.5519996634423)</f>
        <v>-0.5519996634423</v>
      </c>
      <c r="KB8" s="3">
        <f ca="1">IFERROR(__xludf.DUMMYFUNCTION("""COMPUTED_VALUE"""),-0.525990442033543)</f>
        <v>-0.52599044203354295</v>
      </c>
      <c r="KC8" s="3">
        <f ca="1">IFERROR(__xludf.DUMMYFUNCTION("""COMPUTED_VALUE"""),-0.547282411744337)</f>
        <v>-0.54728241174433701</v>
      </c>
      <c r="KD8" s="3">
        <f ca="1">IFERROR(__xludf.DUMMYFUNCTION("""COMPUTED_VALUE"""),-0.533183712032359)</f>
        <v>-0.53318371203235904</v>
      </c>
      <c r="KE8" s="3">
        <f ca="1">IFERROR(__xludf.DUMMYFUNCTION("""COMPUTED_VALUE"""),-0.539496217007617)</f>
        <v>-0.53949621700761696</v>
      </c>
      <c r="KF8" s="3">
        <f ca="1">IFERROR(__xludf.DUMMYFUNCTION("""COMPUTED_VALUE"""),-0.587968256133208)</f>
        <v>-0.58796825613320802</v>
      </c>
      <c r="KG8" s="3">
        <f ca="1">IFERROR(__xludf.DUMMYFUNCTION("""COMPUTED_VALUE"""),-0.568767255673408)</f>
        <v>-0.56876725567340802</v>
      </c>
      <c r="KH8" s="3">
        <f ca="1">IFERROR(__xludf.DUMMYFUNCTION("""COMPUTED_VALUE"""),-0.568422165198522)</f>
        <v>-0.56842216519852196</v>
      </c>
      <c r="KI8" s="3">
        <f ca="1">IFERROR(__xludf.DUMMYFUNCTION("""COMPUTED_VALUE"""),-0.553079707012239)</f>
        <v>-0.55307970701223896</v>
      </c>
      <c r="KJ8" s="3">
        <f ca="1">IFERROR(__xludf.DUMMYFUNCTION("""COMPUTED_VALUE"""),-0.58613083016829)</f>
        <v>-0.58613083016829004</v>
      </c>
      <c r="KK8" s="3">
        <f ca="1">IFERROR(__xludf.DUMMYFUNCTION("""COMPUTED_VALUE"""),-0.605902370663375)</f>
        <v>-0.60590237066337505</v>
      </c>
      <c r="KL8" s="3">
        <f ca="1">IFERROR(__xludf.DUMMYFUNCTION("""COMPUTED_VALUE"""),-0.625203624142988)</f>
        <v>-0.62520362414298802</v>
      </c>
      <c r="KM8" s="3">
        <f ca="1">IFERROR(__xludf.DUMMYFUNCTION("""COMPUTED_VALUE"""),-0.633667794527197)</f>
        <v>-0.63366779452719701</v>
      </c>
      <c r="KN8" s="3">
        <f ca="1">IFERROR(__xludf.DUMMYFUNCTION("""COMPUTED_VALUE"""),-0.613990845144908)</f>
        <v>-0.61399084514490798</v>
      </c>
      <c r="KO8" s="3">
        <f ca="1">IFERROR(__xludf.DUMMYFUNCTION("""COMPUTED_VALUE"""),-0.600715151618742)</f>
        <v>-0.600715151618742</v>
      </c>
      <c r="KP8" s="3">
        <f ca="1">IFERROR(__xludf.DUMMYFUNCTION("""COMPUTED_VALUE"""),-0.571802201516525)</f>
        <v>-0.57180220151652505</v>
      </c>
      <c r="KQ8" s="3">
        <f ca="1">IFERROR(__xludf.DUMMYFUNCTION("""COMPUTED_VALUE"""),-0.601955600542334)</f>
        <v>-0.60195560054233399</v>
      </c>
      <c r="KR8" s="3">
        <f ca="1">IFERROR(__xludf.DUMMYFUNCTION("""COMPUTED_VALUE"""),-0.62409647142387)</f>
        <v>-0.62409647142387004</v>
      </c>
      <c r="KS8" s="3">
        <f ca="1">IFERROR(__xludf.DUMMYFUNCTION("""COMPUTED_VALUE"""),-0.656082526178068)</f>
        <v>-0.65608252617806795</v>
      </c>
      <c r="KT8" s="3">
        <f ca="1">IFERROR(__xludf.DUMMYFUNCTION("""COMPUTED_VALUE"""),-0.636216661651547)</f>
        <v>-0.636216661651547</v>
      </c>
      <c r="KU8" s="3">
        <f ca="1">IFERROR(__xludf.DUMMYFUNCTION("""COMPUTED_VALUE"""),-0.624337983426688)</f>
        <v>-0.624337983426688</v>
      </c>
      <c r="KV8" s="3">
        <f ca="1">IFERROR(__xludf.DUMMYFUNCTION("""COMPUTED_VALUE"""),-0.614013584398552)</f>
        <v>-0.61401358439855203</v>
      </c>
      <c r="KW8" s="3">
        <f ca="1">IFERROR(__xludf.DUMMYFUNCTION("""COMPUTED_VALUE"""),-0.595355833787553)</f>
        <v>-0.59535583378755297</v>
      </c>
      <c r="KX8" s="3">
        <f ca="1">IFERROR(__xludf.DUMMYFUNCTION("""COMPUTED_VALUE"""),-0.636637409011593)</f>
        <v>-0.63663740901159305</v>
      </c>
      <c r="KY8" s="3">
        <f ca="1">IFERROR(__xludf.DUMMYFUNCTION("""COMPUTED_VALUE"""),-0.678228623317428)</f>
        <v>-0.67822862331742795</v>
      </c>
      <c r="KZ8" s="3">
        <f ca="1">IFERROR(__xludf.DUMMYFUNCTION("""COMPUTED_VALUE"""),-0.656029202374792)</f>
        <v>-0.65602920237479201</v>
      </c>
      <c r="LA8" s="3">
        <f ca="1">IFERROR(__xludf.DUMMYFUNCTION("""COMPUTED_VALUE"""),-0.671944335876437)</f>
        <v>-0.67194433587643698</v>
      </c>
      <c r="LB8" s="3">
        <f ca="1">IFERROR(__xludf.DUMMYFUNCTION("""COMPUTED_VALUE"""),-0.663433140637401)</f>
        <v>-0.663433140637401</v>
      </c>
      <c r="LC8" s="3">
        <f ca="1">IFERROR(__xludf.DUMMYFUNCTION("""COMPUTED_VALUE"""),-0.613097296458254)</f>
        <v>-0.61309729645825395</v>
      </c>
      <c r="LD8" s="3">
        <f ca="1">IFERROR(__xludf.DUMMYFUNCTION("""COMPUTED_VALUE"""),-0.636669321825333)</f>
        <v>-0.63666932182533298</v>
      </c>
      <c r="LE8" s="3">
        <f ca="1">IFERROR(__xludf.DUMMYFUNCTION("""COMPUTED_VALUE"""),-0.645609249981917)</f>
        <v>-0.64560924998191704</v>
      </c>
      <c r="LF8" s="3">
        <f ca="1">IFERROR(__xludf.DUMMYFUNCTION("""COMPUTED_VALUE"""),-0.691156878404899)</f>
        <v>-0.69115687840489903</v>
      </c>
      <c r="LG8" s="3">
        <f ca="1">IFERROR(__xludf.DUMMYFUNCTION("""COMPUTED_VALUE"""),-0.687187175659361)</f>
        <v>-0.68718717565936105</v>
      </c>
      <c r="LH8" s="3">
        <f ca="1">IFERROR(__xludf.DUMMYFUNCTION("""COMPUTED_VALUE"""),-0.676185002209091)</f>
        <v>-0.67618500220909095</v>
      </c>
      <c r="LI8" s="3">
        <f ca="1">IFERROR(__xludf.DUMMYFUNCTION("""COMPUTED_VALUE"""),-0.6668504722559)</f>
        <v>-0.6668504722559</v>
      </c>
      <c r="LJ8" s="3">
        <f ca="1">IFERROR(__xludf.DUMMYFUNCTION("""COMPUTED_VALUE"""),-0.696567105141955)</f>
        <v>-0.69656710514195497</v>
      </c>
      <c r="LK8" s="3">
        <f ca="1">IFERROR(__xludf.DUMMYFUNCTION("""COMPUTED_VALUE"""),-0.66303926329344)</f>
        <v>-0.66303926329343998</v>
      </c>
      <c r="LL8" s="3">
        <f ca="1">IFERROR(__xludf.DUMMYFUNCTION("""COMPUTED_VALUE"""),-0.70554866744257)</f>
        <v>-0.70554866744257005</v>
      </c>
      <c r="LM8" s="3">
        <f ca="1">IFERROR(__xludf.DUMMYFUNCTION("""COMPUTED_VALUE"""),-0.708577833502283)</f>
        <v>-0.70857783350228298</v>
      </c>
      <c r="LN8" s="3">
        <f ca="1">IFERROR(__xludf.DUMMYFUNCTION("""COMPUTED_VALUE"""),-0.702491292480254)</f>
        <v>-0.70249129248025399</v>
      </c>
      <c r="LO8" s="3">
        <f ca="1">IFERROR(__xludf.DUMMYFUNCTION("""COMPUTED_VALUE"""),-0.708717766377149)</f>
        <v>-0.70871776637714901</v>
      </c>
      <c r="LP8" s="3">
        <f ca="1">IFERROR(__xludf.DUMMYFUNCTION("""COMPUTED_VALUE"""),-0.700881470128532)</f>
        <v>-0.70088147012853197</v>
      </c>
      <c r="LQ8" s="3">
        <f ca="1">IFERROR(__xludf.DUMMYFUNCTION("""COMPUTED_VALUE"""),-0.669046183247643)</f>
        <v>-0.66904618324764298</v>
      </c>
      <c r="LR8" s="3">
        <f ca="1">IFERROR(__xludf.DUMMYFUNCTION("""COMPUTED_VALUE"""),-0.659946812804266)</f>
        <v>-0.65994681280426604</v>
      </c>
      <c r="LS8" s="3">
        <f ca="1">IFERROR(__xludf.DUMMYFUNCTION("""COMPUTED_VALUE"""),-0.689405144983236)</f>
        <v>-0.68940514498323602</v>
      </c>
      <c r="LT8" s="3">
        <f ca="1">IFERROR(__xludf.DUMMYFUNCTION("""COMPUTED_VALUE"""),-0.707999772594111)</f>
        <v>-0.70799977259411095</v>
      </c>
      <c r="LU8" s="3">
        <f ca="1">IFERROR(__xludf.DUMMYFUNCTION("""COMPUTED_VALUE"""),-0.722730482796835)</f>
        <v>-0.72273048279683505</v>
      </c>
      <c r="LV8" s="3">
        <f ca="1">IFERROR(__xludf.DUMMYFUNCTION("""COMPUTED_VALUE"""),-0.722385997734457)</f>
        <v>-0.722385997734457</v>
      </c>
      <c r="LW8" s="3">
        <f ca="1">IFERROR(__xludf.DUMMYFUNCTION("""COMPUTED_VALUE"""),-0.720476395751286)</f>
        <v>-0.72047639575128597</v>
      </c>
      <c r="LX8" s="3">
        <f ca="1">IFERROR(__xludf.DUMMYFUNCTION("""COMPUTED_VALUE"""),-0.709139748028205)</f>
        <v>-0.70913974802820501</v>
      </c>
      <c r="LY8" s="3">
        <f ca="1">IFERROR(__xludf.DUMMYFUNCTION("""COMPUTED_VALUE"""),-0.666366914728431)</f>
        <v>-0.66636691472843101</v>
      </c>
      <c r="LZ8" s="3">
        <f ca="1">IFERROR(__xludf.DUMMYFUNCTION("""COMPUTED_VALUE"""),-0.726107694326679)</f>
        <v>-0.72610769432667899</v>
      </c>
      <c r="MA8" s="3">
        <f ca="1">IFERROR(__xludf.DUMMYFUNCTION("""COMPUTED_VALUE"""),-0.737693023058392)</f>
        <v>-0.73769302305839202</v>
      </c>
      <c r="MB8" s="3">
        <f ca="1">IFERROR(__xludf.DUMMYFUNCTION("""COMPUTED_VALUE"""),-0.724557152454596)</f>
        <v>-0.72455715245459595</v>
      </c>
      <c r="MC8" s="3">
        <f ca="1">IFERROR(__xludf.DUMMYFUNCTION("""COMPUTED_VALUE"""),-0.7285089852357)</f>
        <v>-0.72850898523569996</v>
      </c>
      <c r="MD8" s="3">
        <f ca="1">IFERROR(__xludf.DUMMYFUNCTION("""COMPUTED_VALUE"""),-0.722788994232539)</f>
        <v>-0.72278899423253895</v>
      </c>
      <c r="ME8" s="3">
        <f ca="1">IFERROR(__xludf.DUMMYFUNCTION("""COMPUTED_VALUE"""),-0.69860421733412)</f>
        <v>-0.69860421733412004</v>
      </c>
      <c r="MF8" s="3">
        <f ca="1">IFERROR(__xludf.DUMMYFUNCTION("""COMPUTED_VALUE"""),-0.651875928877181)</f>
        <v>-0.65187592887718104</v>
      </c>
      <c r="MG8" s="3">
        <f ca="1">IFERROR(__xludf.DUMMYFUNCTION("""COMPUTED_VALUE"""),-0.70503557042192)</f>
        <v>-0.70503557042192</v>
      </c>
      <c r="MH8" s="3">
        <f ca="1">IFERROR(__xludf.DUMMYFUNCTION("""COMPUTED_VALUE"""),-0.723553613011356)</f>
        <v>-0.72355361301135601</v>
      </c>
      <c r="MI8" s="3">
        <f ca="1">IFERROR(__xludf.DUMMYFUNCTION("""COMPUTED_VALUE"""),-0.751794388885503)</f>
        <v>-0.75179438888550298</v>
      </c>
      <c r="MJ8" s="3">
        <f ca="1">IFERROR(__xludf.DUMMYFUNCTION("""COMPUTED_VALUE"""),-0.7257510513153)</f>
        <v>-0.72575105131530004</v>
      </c>
      <c r="MK8" s="3">
        <f ca="1">IFERROR(__xludf.DUMMYFUNCTION("""COMPUTED_VALUE"""),-0.725932760502337)</f>
        <v>-0.72593276050233702</v>
      </c>
      <c r="ML8" s="3">
        <f ca="1">IFERROR(__xludf.DUMMYFUNCTION("""COMPUTED_VALUE"""),-0.715597415535966)</f>
        <v>-0.71559741553596601</v>
      </c>
      <c r="MM8" s="3">
        <f ca="1">IFERROR(__xludf.DUMMYFUNCTION("""COMPUTED_VALUE"""),-0.702178023253354)</f>
        <v>-0.70217802325335399</v>
      </c>
      <c r="MN8" s="3">
        <f ca="1">IFERROR(__xludf.DUMMYFUNCTION("""COMPUTED_VALUE"""),-0.717941024562639)</f>
        <v>-0.71794102456263897</v>
      </c>
      <c r="MO8" s="3">
        <f ca="1">IFERROR(__xludf.DUMMYFUNCTION("""COMPUTED_VALUE"""),-0.739381012742129)</f>
        <v>-0.73938101274212897</v>
      </c>
      <c r="MP8" s="3">
        <f ca="1">IFERROR(__xludf.DUMMYFUNCTION("""COMPUTED_VALUE"""),-0.74625814992958)</f>
        <v>-0.74625814992957995</v>
      </c>
      <c r="MQ8" s="3">
        <f ca="1">IFERROR(__xludf.DUMMYFUNCTION("""COMPUTED_VALUE"""),-0.739956084695957)</f>
        <v>-0.73995608469595697</v>
      </c>
      <c r="MR8" s="3">
        <f ca="1">IFERROR(__xludf.DUMMYFUNCTION("""COMPUTED_VALUE"""),-0.743029446589782)</f>
        <v>-0.74302944658978198</v>
      </c>
      <c r="MS8" s="3">
        <f ca="1">IFERROR(__xludf.DUMMYFUNCTION("""COMPUTED_VALUE"""),-0.706483615292438)</f>
        <v>-0.70648361529243797</v>
      </c>
      <c r="MT8" s="3">
        <f ca="1">IFERROR(__xludf.DUMMYFUNCTION("""COMPUTED_VALUE"""),-0.694541863971194)</f>
        <v>-0.694541863971194</v>
      </c>
      <c r="MU8" s="3">
        <f ca="1">IFERROR(__xludf.DUMMYFUNCTION("""COMPUTED_VALUE"""),-0.738259613026086)</f>
        <v>-0.738259613026086</v>
      </c>
      <c r="MV8" s="3">
        <f ca="1">IFERROR(__xludf.DUMMYFUNCTION("""COMPUTED_VALUE"""),-0.721730865566589)</f>
        <v>-0.72173086556658905</v>
      </c>
      <c r="MW8" s="3">
        <f ca="1">IFERROR(__xludf.DUMMYFUNCTION("""COMPUTED_VALUE"""),-0.736599591890348)</f>
        <v>-0.73659959189034796</v>
      </c>
      <c r="MX8" s="3">
        <f ca="1">IFERROR(__xludf.DUMMYFUNCTION("""COMPUTED_VALUE"""),-0.740241001189066)</f>
        <v>-0.74024100118906599</v>
      </c>
      <c r="MY8" s="3">
        <f ca="1">IFERROR(__xludf.DUMMYFUNCTION("""COMPUTED_VALUE"""),-0.732170174555251)</f>
        <v>-0.73217017455525102</v>
      </c>
      <c r="MZ8" s="3">
        <f ca="1">IFERROR(__xludf.DUMMYFUNCTION("""COMPUTED_VALUE"""),-0.743302502600009)</f>
        <v>-0.74330250260000896</v>
      </c>
      <c r="NA8" s="3">
        <f ca="1">IFERROR(__xludf.DUMMYFUNCTION("""COMPUTED_VALUE"""),-0.698776770809384)</f>
        <v>-0.69877677080938405</v>
      </c>
      <c r="NB8" s="3">
        <f ca="1">IFERROR(__xludf.DUMMYFUNCTION("""COMPUTED_VALUE"""),-0.715838554190133)</f>
        <v>-0.71583855419013298</v>
      </c>
      <c r="NC8" s="3">
        <f ca="1">IFERROR(__xludf.DUMMYFUNCTION("""COMPUTED_VALUE"""),-0.728173944230625)</f>
        <v>-0.72817394423062498</v>
      </c>
      <c r="ND8" s="3">
        <f ca="1">IFERROR(__xludf.DUMMYFUNCTION("""COMPUTED_VALUE"""),-0.731559816196687)</f>
        <v>-0.73155981619668697</v>
      </c>
      <c r="NE8" s="3">
        <f ca="1">IFERROR(__xludf.DUMMYFUNCTION("""COMPUTED_VALUE"""),-0.736498241649444)</f>
        <v>-0.736498241649444</v>
      </c>
      <c r="NF8" s="3">
        <f ca="1">IFERROR(__xludf.DUMMYFUNCTION("""COMPUTED_VALUE"""),-0.731990602772429)</f>
        <v>-0.731990602772429</v>
      </c>
      <c r="NG8" s="3">
        <f ca="1">IFERROR(__xludf.DUMMYFUNCTION("""COMPUTED_VALUE"""),-0.707310433279706)</f>
        <v>-0.707310433279706</v>
      </c>
      <c r="NH8" s="3">
        <f ca="1">IFERROR(__xludf.DUMMYFUNCTION("""COMPUTED_VALUE"""),-0.674292471923121)</f>
        <v>-0.67429247192312103</v>
      </c>
      <c r="NI8" s="3">
        <f ca="1">IFERROR(__xludf.DUMMYFUNCTION("""COMPUTED_VALUE"""),-0.717659115382354)</f>
        <v>-0.71765911538235405</v>
      </c>
      <c r="NJ8" s="3">
        <f ca="1">IFERROR(__xludf.DUMMYFUNCTION("""COMPUTED_VALUE"""),-0.719723255161485)</f>
        <v>-0.71972325516148505</v>
      </c>
      <c r="NK8" s="3">
        <f ca="1">IFERROR(__xludf.DUMMYFUNCTION("""COMPUTED_VALUE"""),-0.72090708013967)</f>
        <v>-0.72090708013966998</v>
      </c>
      <c r="NL8" s="3">
        <f ca="1">IFERROR(__xludf.DUMMYFUNCTION("""COMPUTED_VALUE"""),-0.70376190706824)</f>
        <v>-0.70376190706824004</v>
      </c>
      <c r="NM8" s="3">
        <f ca="1">IFERROR(__xludf.DUMMYFUNCTION("""COMPUTED_VALUE"""),-0.712532810256768)</f>
        <v>-0.71253281025676796</v>
      </c>
      <c r="NN8" s="3">
        <f ca="1">IFERROR(__xludf.DUMMYFUNCTION("""COMPUTED_VALUE"""),-0.685353371164118)</f>
        <v>-0.68535337116411799</v>
      </c>
      <c r="NO8" s="3">
        <f ca="1">IFERROR(__xludf.DUMMYFUNCTION("""COMPUTED_VALUE"""),-0.659345800273526)</f>
        <v>-0.65934580027352596</v>
      </c>
      <c r="NP8" s="3">
        <f ca="1">IFERROR(__xludf.DUMMYFUNCTION("""COMPUTED_VALUE"""),-0.70792951510128)</f>
        <v>-0.70792951510127999</v>
      </c>
      <c r="NQ8" s="3">
        <f ca="1">IFERROR(__xludf.DUMMYFUNCTION("""COMPUTED_VALUE"""),-0.693677609315876)</f>
        <v>-0.69367760931587596</v>
      </c>
      <c r="NR8" s="3">
        <f ca="1">IFERROR(__xludf.DUMMYFUNCTION("""COMPUTED_VALUE"""),-0.709812537108652)</f>
        <v>-0.709812537108652</v>
      </c>
      <c r="NS8" s="3">
        <f ca="1">IFERROR(__xludf.DUMMYFUNCTION("""COMPUTED_VALUE"""),-0.719141694160876)</f>
        <v>-0.71914169416087603</v>
      </c>
      <c r="NT8" s="3">
        <f ca="1">IFERROR(__xludf.DUMMYFUNCTION("""COMPUTED_VALUE"""),-0.677711953435018)</f>
        <v>-0.677711953435018</v>
      </c>
      <c r="NU8" s="3">
        <f ca="1">IFERROR(__xludf.DUMMYFUNCTION("""COMPUTED_VALUE"""),-0.707612182837641)</f>
        <v>-0.70761218283764105</v>
      </c>
      <c r="NV8" s="3">
        <f ca="1">IFERROR(__xludf.DUMMYFUNCTION("""COMPUTED_VALUE"""),-0.616733915119036)</f>
        <v>-0.61673391511903597</v>
      </c>
      <c r="NW8" s="3">
        <f ca="1">IFERROR(__xludf.DUMMYFUNCTION("""COMPUTED_VALUE"""),-0.626515053521053)</f>
        <v>-0.62651505352105297</v>
      </c>
      <c r="NX8" s="3">
        <f ca="1">IFERROR(__xludf.DUMMYFUNCTION("""COMPUTED_VALUE"""),-0.626125020376006)</f>
        <v>-0.62612502037600604</v>
      </c>
      <c r="NY8" s="3">
        <f ca="1">IFERROR(__xludf.DUMMYFUNCTION("""COMPUTED_VALUE"""),-0.612021408303271)</f>
        <v>-0.61202140830327101</v>
      </c>
      <c r="NZ8" s="3">
        <f ca="1">IFERROR(__xludf.DUMMYFUNCTION("""COMPUTED_VALUE"""),-0.580076721295329)</f>
        <v>-0.58007672129532895</v>
      </c>
      <c r="OA8" s="3">
        <f ca="1">IFERROR(__xludf.DUMMYFUNCTION("""COMPUTED_VALUE"""),-0.551031874444633)</f>
        <v>-0.55103187444463297</v>
      </c>
      <c r="OB8" s="3">
        <f ca="1">IFERROR(__xludf.DUMMYFUNCTION("""COMPUTED_VALUE"""),-0.454238462889247)</f>
        <v>-0.45423846288924702</v>
      </c>
      <c r="OC8" s="3">
        <f ca="1">IFERROR(__xludf.DUMMYFUNCTION("""COMPUTED_VALUE"""),-0.303037112227286)</f>
        <v>-0.30303711222728602</v>
      </c>
      <c r="OD8" s="3">
        <f ca="1">IFERROR(__xludf.DUMMYFUNCTION("""COMPUTED_VALUE"""),-0.30148568485148)</f>
        <v>-0.30148568485147997</v>
      </c>
      <c r="OE8" s="3">
        <f ca="1">IFERROR(__xludf.DUMMYFUNCTION("""COMPUTED_VALUE"""),-0.258551213192711)</f>
        <v>-0.25855121319271102</v>
      </c>
      <c r="OF8" s="3">
        <f ca="1">IFERROR(__xludf.DUMMYFUNCTION("""COMPUTED_VALUE"""),-0.18502506449732)</f>
        <v>-0.18502506449732001</v>
      </c>
      <c r="OG8" s="3">
        <f ca="1">IFERROR(__xludf.DUMMYFUNCTION("""COMPUTED_VALUE"""),-0.116693233006971)</f>
        <v>-0.116693233006971</v>
      </c>
      <c r="OH8" s="3">
        <f ca="1">IFERROR(__xludf.DUMMYFUNCTION("""COMPUTED_VALUE"""),-0.0946582875366831)</f>
        <v>-9.4658287536683094E-2</v>
      </c>
      <c r="OI8" s="3">
        <f ca="1">IFERROR(__xludf.DUMMYFUNCTION("""COMPUTED_VALUE"""),0.00631596743651474)</f>
        <v>6.3159674365147397E-3</v>
      </c>
      <c r="OJ8" s="3">
        <f ca="1">IFERROR(__xludf.DUMMYFUNCTION("""COMPUTED_VALUE"""),-0.0426766264275569)</f>
        <v>-4.2676626427556902E-2</v>
      </c>
      <c r="OK8" s="3">
        <f ca="1">IFERROR(__xludf.DUMMYFUNCTION("""COMPUTED_VALUE"""),-0.0305545978203833)</f>
        <v>-3.0554597820383299E-2</v>
      </c>
      <c r="OL8" s="3">
        <f ca="1">IFERROR(__xludf.DUMMYFUNCTION("""COMPUTED_VALUE"""),-0.0332477190761354)</f>
        <v>-3.3247719076135399E-2</v>
      </c>
      <c r="OM8" s="3">
        <f ca="1">IFERROR(__xludf.DUMMYFUNCTION("""COMPUTED_VALUE"""),-0.0246500049554758)</f>
        <v>-2.4650004955475799E-2</v>
      </c>
      <c r="ON8" s="3">
        <f ca="1">IFERROR(__xludf.DUMMYFUNCTION("""COMPUTED_VALUE"""),-0.00466446702810607)</f>
        <v>-4.6644670281060698E-3</v>
      </c>
      <c r="OO8" s="3">
        <f ca="1">IFERROR(__xludf.DUMMYFUNCTION("""COMPUTED_VALUE"""),-0.0167097375048597)</f>
        <v>-1.6709737504859701E-2</v>
      </c>
      <c r="OP8" s="3">
        <f ca="1">IFERROR(__xludf.DUMMYFUNCTION("""COMPUTED_VALUE"""),0.0268066131907882)</f>
        <v>2.6806613190788201E-2</v>
      </c>
      <c r="OQ8" s="3">
        <f ca="1">IFERROR(__xludf.DUMMYFUNCTION("""COMPUTED_VALUE"""),0.0056408530186105)</f>
        <v>5.6408530186104998E-3</v>
      </c>
      <c r="OR8" s="3">
        <f ca="1">IFERROR(__xludf.DUMMYFUNCTION("""COMPUTED_VALUE"""),-0.00482116722863057)</f>
        <v>-4.8211672286305697E-3</v>
      </c>
      <c r="OS8" s="3">
        <f ca="1">IFERROR(__xludf.DUMMYFUNCTION("""COMPUTED_VALUE"""),0.0292457682364393)</f>
        <v>2.9245768236439301E-2</v>
      </c>
      <c r="OT8" s="3">
        <f ca="1">IFERROR(__xludf.DUMMYFUNCTION("""COMPUTED_VALUE"""),0.0142190390320293)</f>
        <v>1.42190390320293E-2</v>
      </c>
      <c r="OU8" s="3">
        <f ca="1">IFERROR(__xludf.DUMMYFUNCTION("""COMPUTED_VALUE"""),0.050469234328184)</f>
        <v>5.0469234328184003E-2</v>
      </c>
      <c r="OV8" s="3">
        <f ca="1">IFERROR(__xludf.DUMMYFUNCTION("""COMPUTED_VALUE"""),0.00634123625159421)</f>
        <v>6.34123625159421E-3</v>
      </c>
      <c r="OW8" s="3">
        <f ca="1">IFERROR(__xludf.DUMMYFUNCTION("""COMPUTED_VALUE"""),0.101038280097687)</f>
        <v>0.10103828009768701</v>
      </c>
      <c r="OX8" s="3">
        <f ca="1">IFERROR(__xludf.DUMMYFUNCTION("""COMPUTED_VALUE"""),0.00617881466128134)</f>
        <v>6.1788146612813399E-3</v>
      </c>
      <c r="OY8" s="3">
        <f ca="1">IFERROR(__xludf.DUMMYFUNCTION("""COMPUTED_VALUE"""),-0.0113750206734133)</f>
        <v>-1.13750206734133E-2</v>
      </c>
      <c r="OZ8" s="3">
        <f ca="1">IFERROR(__xludf.DUMMYFUNCTION("""COMPUTED_VALUE"""),-0.057072756482587)</f>
        <v>-5.7072756482587E-2</v>
      </c>
      <c r="PA8" s="3">
        <f ca="1">IFERROR(__xludf.DUMMYFUNCTION("""COMPUTED_VALUE"""),-0.038796301185093)</f>
        <v>-3.8796301185093002E-2</v>
      </c>
      <c r="PB8" s="3">
        <f ca="1">IFERROR(__xludf.DUMMYFUNCTION("""COMPUTED_VALUE"""),0.0067229245121172)</f>
        <v>6.7229245121172001E-3</v>
      </c>
      <c r="PC8" s="3">
        <f ca="1">IFERROR(__xludf.DUMMYFUNCTION("""COMPUTED_VALUE"""),-0.0294138251868675)</f>
        <v>-2.9413825186867502E-2</v>
      </c>
      <c r="PD8" s="3">
        <f ca="1">IFERROR(__xludf.DUMMYFUNCTION("""COMPUTED_VALUE"""),-0.0946648111842224)</f>
        <v>-9.4664811184222403E-2</v>
      </c>
      <c r="PE8" s="3">
        <f ca="1">IFERROR(__xludf.DUMMYFUNCTION("""COMPUTED_VALUE"""),-0.00389344120300327)</f>
        <v>-3.8934412030032701E-3</v>
      </c>
      <c r="PF8" s="3">
        <f ca="1">IFERROR(__xludf.DUMMYFUNCTION("""COMPUTED_VALUE"""),-0.0467347774084206)</f>
        <v>-4.6734777408420601E-2</v>
      </c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</row>
    <row r="9" spans="1:476" ht="15.75" customHeight="1">
      <c r="A9" s="1" t="str">
        <f ca="1">IFERROR(__xludf.DUMMYFUNCTION("""COMPUTED_VALUE"""),"")</f>
        <v/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</row>
    <row r="10" spans="1:476" ht="15.75" customHeight="1">
      <c r="A10" s="1" t="str">
        <f ca="1">IFERROR(__xludf.DUMMYFUNCTION("""COMPUTED_VALUE"""),"Updated on 2021-04-11 20:26:23")</f>
        <v>Updated on 2021-04-11 20:26:23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</row>
    <row r="11" spans="1:476" ht="15.75" customHeight="1">
      <c r="A11" s="1" t="str">
        <f ca="1">IFERROR(__xludf.DUMMYFUNCTION("""COMPUTED_VALUE"""),"Note : This spreadsheet gets overwritten on a regular basis")</f>
        <v>Note : This spreadsheet gets overwritten on a regular basis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</row>
    <row r="12" spans="1:476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</row>
    <row r="13" spans="1:476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</row>
    <row r="14" spans="1:476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</row>
    <row r="15" spans="1:476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</row>
    <row r="16" spans="1:476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</row>
    <row r="17" spans="1:476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</row>
    <row r="18" spans="1:476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</row>
    <row r="19" spans="1:476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</row>
    <row r="20" spans="1:476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</row>
    <row r="21" spans="1:47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</row>
    <row r="22" spans="1:47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</row>
    <row r="23" spans="1:47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</row>
    <row r="24" spans="1:47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</row>
    <row r="25" spans="1:47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</row>
    <row r="26" spans="1:47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</row>
    <row r="27" spans="1:47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</row>
    <row r="28" spans="1:47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</row>
    <row r="29" spans="1:47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</row>
    <row r="30" spans="1:47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RI300"/>
  <sheetViews>
    <sheetView tabSelected="1" workbookViewId="0">
      <selection activeCell="B1" sqref="B1"/>
    </sheetView>
  </sheetViews>
  <sheetFormatPr baseColWidth="10" defaultColWidth="14.5" defaultRowHeight="15.75" customHeight="1"/>
  <cols>
    <col min="1" max="1" width="29.1640625" customWidth="1"/>
  </cols>
  <sheetData>
    <row r="1" spans="1:477" ht="15.75" customHeight="1">
      <c r="A1" s="4" t="str">
        <f ca="1">IFERROR(__xludf.DUMMYFUNCTION("IMPORTRANGE(""docs.google.com/spreadsheets/d/1poUGMWDl7cmGFXobJquGAg04mObsmCEZP3TtpwQbKI4"", ""Agencies Daily Public!A1:300"")"),"Name")</f>
        <v>Name</v>
      </c>
      <c r="B1" s="1" t="str">
        <f ca="1">IFERROR(__xludf.DUMMYFUNCTION("""COMPUTED_VALUE"""),"Municipality")</f>
        <v>Municipality</v>
      </c>
      <c r="C1" s="1" t="str">
        <f ca="1">IFERROR(__xludf.DUMMYFUNCTION("""COMPUTED_VALUE"""),"Country")</f>
        <v>Country</v>
      </c>
      <c r="D1" s="1" t="str">
        <f ca="1">IFERROR(__xludf.DUMMYFUNCTION("""COMPUTED_VALUE"""),"State")</f>
        <v>State</v>
      </c>
      <c r="E1" s="1" t="str">
        <f ca="1">IFERROR(__xludf.DUMMYFUNCTION("""COMPUTED_VALUE"""),"2021-04-10 00:00:00")</f>
        <v>2021-04-10 00:00:00</v>
      </c>
      <c r="F1" s="1" t="str">
        <f ca="1">IFERROR(__xludf.DUMMYFUNCTION("""COMPUTED_VALUE"""),"2021-04-09 00:00:00")</f>
        <v>2021-04-09 00:00:00</v>
      </c>
      <c r="G1" s="1" t="str">
        <f ca="1">IFERROR(__xludf.DUMMYFUNCTION("""COMPUTED_VALUE"""),"2021-04-08 00:00:00")</f>
        <v>2021-04-08 00:00:00</v>
      </c>
      <c r="H1" s="1" t="str">
        <f ca="1">IFERROR(__xludf.DUMMYFUNCTION("""COMPUTED_VALUE"""),"2021-04-07 00:00:00")</f>
        <v>2021-04-07 00:00:00</v>
      </c>
      <c r="I1" s="1" t="str">
        <f ca="1">IFERROR(__xludf.DUMMYFUNCTION("""COMPUTED_VALUE"""),"2021-04-06 00:00:00")</f>
        <v>2021-04-06 00:00:00</v>
      </c>
      <c r="J1" s="1" t="str">
        <f ca="1">IFERROR(__xludf.DUMMYFUNCTION("""COMPUTED_VALUE"""),"2021-04-05 00:00:00")</f>
        <v>2021-04-05 00:00:00</v>
      </c>
      <c r="K1" s="1" t="str">
        <f ca="1">IFERROR(__xludf.DUMMYFUNCTION("""COMPUTED_VALUE"""),"2021-04-04 00:00:00")</f>
        <v>2021-04-04 00:00:00</v>
      </c>
      <c r="L1" s="1" t="str">
        <f ca="1">IFERROR(__xludf.DUMMYFUNCTION("""COMPUTED_VALUE"""),"2021-04-03 00:00:00")</f>
        <v>2021-04-03 00:00:00</v>
      </c>
      <c r="M1" s="1" t="str">
        <f ca="1">IFERROR(__xludf.DUMMYFUNCTION("""COMPUTED_VALUE"""),"2021-04-02 00:00:00")</f>
        <v>2021-04-02 00:00:00</v>
      </c>
      <c r="N1" s="1" t="str">
        <f ca="1">IFERROR(__xludf.DUMMYFUNCTION("""COMPUTED_VALUE"""),"2021-04-01 00:00:00")</f>
        <v>2021-04-01 00:00:00</v>
      </c>
      <c r="O1" s="1" t="str">
        <f ca="1">IFERROR(__xludf.DUMMYFUNCTION("""COMPUTED_VALUE"""),"2021-03-31 00:00:00")</f>
        <v>2021-03-31 00:00:00</v>
      </c>
      <c r="P1" s="1" t="str">
        <f ca="1">IFERROR(__xludf.DUMMYFUNCTION("""COMPUTED_VALUE"""),"2021-03-30 00:00:00")</f>
        <v>2021-03-30 00:00:00</v>
      </c>
      <c r="Q1" s="1" t="str">
        <f ca="1">IFERROR(__xludf.DUMMYFUNCTION("""COMPUTED_VALUE"""),"2021-03-29 00:00:00")</f>
        <v>2021-03-29 00:00:00</v>
      </c>
      <c r="R1" s="1" t="str">
        <f ca="1">IFERROR(__xludf.DUMMYFUNCTION("""COMPUTED_VALUE"""),"2021-03-28 00:00:00")</f>
        <v>2021-03-28 00:00:00</v>
      </c>
      <c r="S1" s="1" t="str">
        <f ca="1">IFERROR(__xludf.DUMMYFUNCTION("""COMPUTED_VALUE"""),"2021-03-27 00:00:00")</f>
        <v>2021-03-27 00:00:00</v>
      </c>
      <c r="T1" s="1" t="str">
        <f ca="1">IFERROR(__xludf.DUMMYFUNCTION("""COMPUTED_VALUE"""),"2021-03-26 00:00:00")</f>
        <v>2021-03-26 00:00:00</v>
      </c>
      <c r="U1" s="1" t="str">
        <f ca="1">IFERROR(__xludf.DUMMYFUNCTION("""COMPUTED_VALUE"""),"2021-03-25 00:00:00")</f>
        <v>2021-03-25 00:00:00</v>
      </c>
      <c r="V1" s="1" t="str">
        <f ca="1">IFERROR(__xludf.DUMMYFUNCTION("""COMPUTED_VALUE"""),"2021-03-24 00:00:00")</f>
        <v>2021-03-24 00:00:00</v>
      </c>
      <c r="W1" s="1" t="str">
        <f ca="1">IFERROR(__xludf.DUMMYFUNCTION("""COMPUTED_VALUE"""),"2021-03-23 00:00:00")</f>
        <v>2021-03-23 00:00:00</v>
      </c>
      <c r="X1" s="1" t="str">
        <f ca="1">IFERROR(__xludf.DUMMYFUNCTION("""COMPUTED_VALUE"""),"2021-03-22 00:00:00")</f>
        <v>2021-03-22 00:00:00</v>
      </c>
      <c r="Y1" s="1" t="str">
        <f ca="1">IFERROR(__xludf.DUMMYFUNCTION("""COMPUTED_VALUE"""),"2021-03-21 00:00:00")</f>
        <v>2021-03-21 00:00:00</v>
      </c>
      <c r="Z1" s="1" t="str">
        <f ca="1">IFERROR(__xludf.DUMMYFUNCTION("""COMPUTED_VALUE"""),"2021-03-20 00:00:00")</f>
        <v>2021-03-20 00:00:00</v>
      </c>
      <c r="AA1" s="1" t="str">
        <f ca="1">IFERROR(__xludf.DUMMYFUNCTION("""COMPUTED_VALUE"""),"2021-03-19 00:00:00")</f>
        <v>2021-03-19 00:00:00</v>
      </c>
      <c r="AB1" s="1" t="str">
        <f ca="1">IFERROR(__xludf.DUMMYFUNCTION("""COMPUTED_VALUE"""),"2021-03-18 00:00:00")</f>
        <v>2021-03-18 00:00:00</v>
      </c>
      <c r="AC1" s="1" t="str">
        <f ca="1">IFERROR(__xludf.DUMMYFUNCTION("""COMPUTED_VALUE"""),"2021-03-17 00:00:00")</f>
        <v>2021-03-17 00:00:00</v>
      </c>
      <c r="AD1" s="1" t="str">
        <f ca="1">IFERROR(__xludf.DUMMYFUNCTION("""COMPUTED_VALUE"""),"2021-03-16 00:00:00")</f>
        <v>2021-03-16 00:00:00</v>
      </c>
      <c r="AE1" s="1" t="str">
        <f ca="1">IFERROR(__xludf.DUMMYFUNCTION("""COMPUTED_VALUE"""),"2021-03-15 00:00:00")</f>
        <v>2021-03-15 00:00:00</v>
      </c>
      <c r="AF1" s="1" t="str">
        <f ca="1">IFERROR(__xludf.DUMMYFUNCTION("""COMPUTED_VALUE"""),"2021-03-14 00:00:00")</f>
        <v>2021-03-14 00:00:00</v>
      </c>
      <c r="AG1" s="1" t="str">
        <f ca="1">IFERROR(__xludf.DUMMYFUNCTION("""COMPUTED_VALUE"""),"2021-03-13 00:00:00")</f>
        <v>2021-03-13 00:00:00</v>
      </c>
      <c r="AH1" s="1" t="str">
        <f ca="1">IFERROR(__xludf.DUMMYFUNCTION("""COMPUTED_VALUE"""),"2021-03-12 00:00:00")</f>
        <v>2021-03-12 00:00:00</v>
      </c>
      <c r="AI1" s="1" t="str">
        <f ca="1">IFERROR(__xludf.DUMMYFUNCTION("""COMPUTED_VALUE"""),"2021-03-11 00:00:00")</f>
        <v>2021-03-11 00:00:00</v>
      </c>
      <c r="AJ1" s="1" t="str">
        <f ca="1">IFERROR(__xludf.DUMMYFUNCTION("""COMPUTED_VALUE"""),"2021-03-10 00:00:00")</f>
        <v>2021-03-10 00:00:00</v>
      </c>
      <c r="AK1" s="1" t="str">
        <f ca="1">IFERROR(__xludf.DUMMYFUNCTION("""COMPUTED_VALUE"""),"2021-03-09 00:00:00")</f>
        <v>2021-03-09 00:00:00</v>
      </c>
      <c r="AL1" s="1" t="str">
        <f ca="1">IFERROR(__xludf.DUMMYFUNCTION("""COMPUTED_VALUE"""),"2021-03-08 00:00:00")</f>
        <v>2021-03-08 00:00:00</v>
      </c>
      <c r="AM1" s="1" t="str">
        <f ca="1">IFERROR(__xludf.DUMMYFUNCTION("""COMPUTED_VALUE"""),"2021-03-07 00:00:00")</f>
        <v>2021-03-07 00:00:00</v>
      </c>
      <c r="AN1" s="1" t="str">
        <f ca="1">IFERROR(__xludf.DUMMYFUNCTION("""COMPUTED_VALUE"""),"2021-03-06 00:00:00")</f>
        <v>2021-03-06 00:00:00</v>
      </c>
      <c r="AO1" s="1" t="str">
        <f ca="1">IFERROR(__xludf.DUMMYFUNCTION("""COMPUTED_VALUE"""),"2021-03-05 00:00:00")</f>
        <v>2021-03-05 00:00:00</v>
      </c>
      <c r="AP1" s="1" t="str">
        <f ca="1">IFERROR(__xludf.DUMMYFUNCTION("""COMPUTED_VALUE"""),"2021-03-04 00:00:00")</f>
        <v>2021-03-04 00:00:00</v>
      </c>
      <c r="AQ1" s="1" t="str">
        <f ca="1">IFERROR(__xludf.DUMMYFUNCTION("""COMPUTED_VALUE"""),"2021-03-03 00:00:00")</f>
        <v>2021-03-03 00:00:00</v>
      </c>
      <c r="AR1" s="1" t="str">
        <f ca="1">IFERROR(__xludf.DUMMYFUNCTION("""COMPUTED_VALUE"""),"2021-03-02 00:00:00")</f>
        <v>2021-03-02 00:00:00</v>
      </c>
      <c r="AS1" s="1" t="str">
        <f ca="1">IFERROR(__xludf.DUMMYFUNCTION("""COMPUTED_VALUE"""),"2021-03-01 00:00:00")</f>
        <v>2021-03-01 00:00:00</v>
      </c>
      <c r="AT1" s="1" t="str">
        <f ca="1">IFERROR(__xludf.DUMMYFUNCTION("""COMPUTED_VALUE"""),"2021-02-28 00:00:00")</f>
        <v>2021-02-28 00:00:00</v>
      </c>
      <c r="AU1" s="1" t="str">
        <f ca="1">IFERROR(__xludf.DUMMYFUNCTION("""COMPUTED_VALUE"""),"2021-02-27 00:00:00")</f>
        <v>2021-02-27 00:00:00</v>
      </c>
      <c r="AV1" s="1" t="str">
        <f ca="1">IFERROR(__xludf.DUMMYFUNCTION("""COMPUTED_VALUE"""),"2021-02-26 00:00:00")</f>
        <v>2021-02-26 00:00:00</v>
      </c>
      <c r="AW1" s="1" t="str">
        <f ca="1">IFERROR(__xludf.DUMMYFUNCTION("""COMPUTED_VALUE"""),"2021-02-25 00:00:00")</f>
        <v>2021-02-25 00:00:00</v>
      </c>
      <c r="AX1" s="1" t="str">
        <f ca="1">IFERROR(__xludf.DUMMYFUNCTION("""COMPUTED_VALUE"""),"2021-02-24 00:00:00")</f>
        <v>2021-02-24 00:00:00</v>
      </c>
      <c r="AY1" s="1" t="str">
        <f ca="1">IFERROR(__xludf.DUMMYFUNCTION("""COMPUTED_VALUE"""),"2021-02-23 00:00:00")</f>
        <v>2021-02-23 00:00:00</v>
      </c>
      <c r="AZ1" s="1" t="str">
        <f ca="1">IFERROR(__xludf.DUMMYFUNCTION("""COMPUTED_VALUE"""),"2021-02-22 00:00:00")</f>
        <v>2021-02-22 00:00:00</v>
      </c>
      <c r="BA1" s="1" t="str">
        <f ca="1">IFERROR(__xludf.DUMMYFUNCTION("""COMPUTED_VALUE"""),"2021-02-21 00:00:00")</f>
        <v>2021-02-21 00:00:00</v>
      </c>
      <c r="BB1" s="1" t="str">
        <f ca="1">IFERROR(__xludf.DUMMYFUNCTION("""COMPUTED_VALUE"""),"2021-02-20 00:00:00")</f>
        <v>2021-02-20 00:00:00</v>
      </c>
      <c r="BC1" s="1" t="str">
        <f ca="1">IFERROR(__xludf.DUMMYFUNCTION("""COMPUTED_VALUE"""),"2021-02-19 00:00:00")</f>
        <v>2021-02-19 00:00:00</v>
      </c>
      <c r="BD1" s="1" t="str">
        <f ca="1">IFERROR(__xludf.DUMMYFUNCTION("""COMPUTED_VALUE"""),"2021-02-18 00:00:00")</f>
        <v>2021-02-18 00:00:00</v>
      </c>
      <c r="BE1" s="1" t="str">
        <f ca="1">IFERROR(__xludf.DUMMYFUNCTION("""COMPUTED_VALUE"""),"2021-02-17 00:00:00")</f>
        <v>2021-02-17 00:00:00</v>
      </c>
      <c r="BF1" s="1" t="str">
        <f ca="1">IFERROR(__xludf.DUMMYFUNCTION("""COMPUTED_VALUE"""),"2021-02-16 00:00:00")</f>
        <v>2021-02-16 00:00:00</v>
      </c>
      <c r="BG1" s="1" t="str">
        <f ca="1">IFERROR(__xludf.DUMMYFUNCTION("""COMPUTED_VALUE"""),"2021-02-15 00:00:00")</f>
        <v>2021-02-15 00:00:00</v>
      </c>
      <c r="BH1" s="1" t="str">
        <f ca="1">IFERROR(__xludf.DUMMYFUNCTION("""COMPUTED_VALUE"""),"2021-02-14 00:00:00")</f>
        <v>2021-02-14 00:00:00</v>
      </c>
      <c r="BI1" s="1" t="str">
        <f ca="1">IFERROR(__xludf.DUMMYFUNCTION("""COMPUTED_VALUE"""),"2021-02-13 00:00:00")</f>
        <v>2021-02-13 00:00:00</v>
      </c>
      <c r="BJ1" s="1" t="str">
        <f ca="1">IFERROR(__xludf.DUMMYFUNCTION("""COMPUTED_VALUE"""),"2021-02-12 00:00:00")</f>
        <v>2021-02-12 00:00:00</v>
      </c>
      <c r="BK1" s="1" t="str">
        <f ca="1">IFERROR(__xludf.DUMMYFUNCTION("""COMPUTED_VALUE"""),"2021-02-11 00:00:00")</f>
        <v>2021-02-11 00:00:00</v>
      </c>
      <c r="BL1" s="3" t="str">
        <f ca="1">IFERROR(__xludf.DUMMYFUNCTION("""COMPUTED_VALUE"""),"2021-02-10 00:00:00")</f>
        <v>2021-02-10 00:00:00</v>
      </c>
      <c r="BM1" s="3" t="str">
        <f ca="1">IFERROR(__xludf.DUMMYFUNCTION("""COMPUTED_VALUE"""),"2021-02-09 00:00:00")</f>
        <v>2021-02-09 00:00:00</v>
      </c>
      <c r="BN1" s="3" t="str">
        <f ca="1">IFERROR(__xludf.DUMMYFUNCTION("""COMPUTED_VALUE"""),"2021-02-08 00:00:00")</f>
        <v>2021-02-08 00:00:00</v>
      </c>
      <c r="BO1" s="3" t="str">
        <f ca="1">IFERROR(__xludf.DUMMYFUNCTION("""COMPUTED_VALUE"""),"2021-02-07 00:00:00")</f>
        <v>2021-02-07 00:00:00</v>
      </c>
      <c r="BP1" s="3" t="str">
        <f ca="1">IFERROR(__xludf.DUMMYFUNCTION("""COMPUTED_VALUE"""),"2021-02-06 00:00:00")</f>
        <v>2021-02-06 00:00:00</v>
      </c>
      <c r="BQ1" s="3" t="str">
        <f ca="1">IFERROR(__xludf.DUMMYFUNCTION("""COMPUTED_VALUE"""),"2021-02-05 00:00:00")</f>
        <v>2021-02-05 00:00:00</v>
      </c>
      <c r="BR1" s="3" t="str">
        <f ca="1">IFERROR(__xludf.DUMMYFUNCTION("""COMPUTED_VALUE"""),"2021-02-04 00:00:00")</f>
        <v>2021-02-04 00:00:00</v>
      </c>
      <c r="BS1" s="3" t="str">
        <f ca="1">IFERROR(__xludf.DUMMYFUNCTION("""COMPUTED_VALUE"""),"2021-02-03 00:00:00")</f>
        <v>2021-02-03 00:00:00</v>
      </c>
      <c r="BT1" s="3" t="str">
        <f ca="1">IFERROR(__xludf.DUMMYFUNCTION("""COMPUTED_VALUE"""),"2021-02-02 00:00:00")</f>
        <v>2021-02-02 00:00:00</v>
      </c>
      <c r="BU1" s="3" t="str">
        <f ca="1">IFERROR(__xludf.DUMMYFUNCTION("""COMPUTED_VALUE"""),"2021-02-01 00:00:00")</f>
        <v>2021-02-01 00:00:00</v>
      </c>
      <c r="BV1" s="3" t="str">
        <f ca="1">IFERROR(__xludf.DUMMYFUNCTION("""COMPUTED_VALUE"""),"2021-01-31 00:00:00")</f>
        <v>2021-01-31 00:00:00</v>
      </c>
      <c r="BW1" s="3" t="str">
        <f ca="1">IFERROR(__xludf.DUMMYFUNCTION("""COMPUTED_VALUE"""),"2021-01-30 00:00:00")</f>
        <v>2021-01-30 00:00:00</v>
      </c>
      <c r="BX1" s="3" t="str">
        <f ca="1">IFERROR(__xludf.DUMMYFUNCTION("""COMPUTED_VALUE"""),"2021-01-29 00:00:00")</f>
        <v>2021-01-29 00:00:00</v>
      </c>
      <c r="BY1" s="3" t="str">
        <f ca="1">IFERROR(__xludf.DUMMYFUNCTION("""COMPUTED_VALUE"""),"2021-01-28 00:00:00")</f>
        <v>2021-01-28 00:00:00</v>
      </c>
      <c r="BZ1" s="3" t="str">
        <f ca="1">IFERROR(__xludf.DUMMYFUNCTION("""COMPUTED_VALUE"""),"2021-01-27 00:00:00")</f>
        <v>2021-01-27 00:00:00</v>
      </c>
      <c r="CA1" s="3" t="str">
        <f ca="1">IFERROR(__xludf.DUMMYFUNCTION("""COMPUTED_VALUE"""),"2021-01-26 00:00:00")</f>
        <v>2021-01-26 00:00:00</v>
      </c>
      <c r="CB1" s="3" t="str">
        <f ca="1">IFERROR(__xludf.DUMMYFUNCTION("""COMPUTED_VALUE"""),"2021-01-25 00:00:00")</f>
        <v>2021-01-25 00:00:00</v>
      </c>
      <c r="CC1" s="3" t="str">
        <f ca="1">IFERROR(__xludf.DUMMYFUNCTION("""COMPUTED_VALUE"""),"2021-01-24 00:00:00")</f>
        <v>2021-01-24 00:00:00</v>
      </c>
      <c r="CD1" s="3" t="str">
        <f ca="1">IFERROR(__xludf.DUMMYFUNCTION("""COMPUTED_VALUE"""),"2021-01-23 00:00:00")</f>
        <v>2021-01-23 00:00:00</v>
      </c>
      <c r="CE1" s="3" t="str">
        <f ca="1">IFERROR(__xludf.DUMMYFUNCTION("""COMPUTED_VALUE"""),"2021-01-22 00:00:00")</f>
        <v>2021-01-22 00:00:00</v>
      </c>
      <c r="CF1" s="3" t="str">
        <f ca="1">IFERROR(__xludf.DUMMYFUNCTION("""COMPUTED_VALUE"""),"2021-01-21 00:00:00")</f>
        <v>2021-01-21 00:00:00</v>
      </c>
      <c r="CG1" s="3" t="str">
        <f ca="1">IFERROR(__xludf.DUMMYFUNCTION("""COMPUTED_VALUE"""),"2021-01-20 00:00:00")</f>
        <v>2021-01-20 00:00:00</v>
      </c>
      <c r="CH1" s="3" t="str">
        <f ca="1">IFERROR(__xludf.DUMMYFUNCTION("""COMPUTED_VALUE"""),"2021-01-19 00:00:00")</f>
        <v>2021-01-19 00:00:00</v>
      </c>
      <c r="CI1" s="3" t="str">
        <f ca="1">IFERROR(__xludf.DUMMYFUNCTION("""COMPUTED_VALUE"""),"2021-01-18 00:00:00")</f>
        <v>2021-01-18 00:00:00</v>
      </c>
      <c r="CJ1" s="3" t="str">
        <f ca="1">IFERROR(__xludf.DUMMYFUNCTION("""COMPUTED_VALUE"""),"2021-01-17 00:00:00")</f>
        <v>2021-01-17 00:00:00</v>
      </c>
      <c r="CK1" s="3" t="str">
        <f ca="1">IFERROR(__xludf.DUMMYFUNCTION("""COMPUTED_VALUE"""),"2021-01-16 00:00:00")</f>
        <v>2021-01-16 00:00:00</v>
      </c>
      <c r="CL1" s="3" t="str">
        <f ca="1">IFERROR(__xludf.DUMMYFUNCTION("""COMPUTED_VALUE"""),"2021-01-15 00:00:00")</f>
        <v>2021-01-15 00:00:00</v>
      </c>
      <c r="CM1" s="3" t="str">
        <f ca="1">IFERROR(__xludf.DUMMYFUNCTION("""COMPUTED_VALUE"""),"2021-01-14 00:00:00")</f>
        <v>2021-01-14 00:00:00</v>
      </c>
      <c r="CN1" s="3" t="str">
        <f ca="1">IFERROR(__xludf.DUMMYFUNCTION("""COMPUTED_VALUE"""),"2021-01-13 00:00:00")</f>
        <v>2021-01-13 00:00:00</v>
      </c>
      <c r="CO1" s="3" t="str">
        <f ca="1">IFERROR(__xludf.DUMMYFUNCTION("""COMPUTED_VALUE"""),"2021-01-12 00:00:00")</f>
        <v>2021-01-12 00:00:00</v>
      </c>
      <c r="CP1" s="3" t="str">
        <f ca="1">IFERROR(__xludf.DUMMYFUNCTION("""COMPUTED_VALUE"""),"2021-01-11 00:00:00")</f>
        <v>2021-01-11 00:00:00</v>
      </c>
      <c r="CQ1" s="3" t="str">
        <f ca="1">IFERROR(__xludf.DUMMYFUNCTION("""COMPUTED_VALUE"""),"2021-01-10 00:00:00")</f>
        <v>2021-01-10 00:00:00</v>
      </c>
      <c r="CR1" s="3" t="str">
        <f ca="1">IFERROR(__xludf.DUMMYFUNCTION("""COMPUTED_VALUE"""),"2021-01-09 00:00:00")</f>
        <v>2021-01-09 00:00:00</v>
      </c>
      <c r="CS1" s="3" t="str">
        <f ca="1">IFERROR(__xludf.DUMMYFUNCTION("""COMPUTED_VALUE"""),"2021-01-08 00:00:00")</f>
        <v>2021-01-08 00:00:00</v>
      </c>
      <c r="CT1" s="3" t="str">
        <f ca="1">IFERROR(__xludf.DUMMYFUNCTION("""COMPUTED_VALUE"""),"2021-01-07 00:00:00")</f>
        <v>2021-01-07 00:00:00</v>
      </c>
      <c r="CU1" s="3" t="str">
        <f ca="1">IFERROR(__xludf.DUMMYFUNCTION("""COMPUTED_VALUE"""),"2021-01-06 00:00:00")</f>
        <v>2021-01-06 00:00:00</v>
      </c>
      <c r="CV1" s="3" t="str">
        <f ca="1">IFERROR(__xludf.DUMMYFUNCTION("""COMPUTED_VALUE"""),"2021-01-05 00:00:00")</f>
        <v>2021-01-05 00:00:00</v>
      </c>
      <c r="CW1" s="3" t="str">
        <f ca="1">IFERROR(__xludf.DUMMYFUNCTION("""COMPUTED_VALUE"""),"2021-01-04 00:00:00")</f>
        <v>2021-01-04 00:00:00</v>
      </c>
      <c r="CX1" s="3" t="str">
        <f ca="1">IFERROR(__xludf.DUMMYFUNCTION("""COMPUTED_VALUE"""),"2021-01-03 00:00:00")</f>
        <v>2021-01-03 00:00:00</v>
      </c>
      <c r="CY1" s="3" t="str">
        <f ca="1">IFERROR(__xludf.DUMMYFUNCTION("""COMPUTED_VALUE"""),"2021-01-02 00:00:00")</f>
        <v>2021-01-02 00:00:00</v>
      </c>
      <c r="CZ1" s="3" t="str">
        <f ca="1">IFERROR(__xludf.DUMMYFUNCTION("""COMPUTED_VALUE"""),"2021-01-01 00:00:00")</f>
        <v>2021-01-01 00:00:00</v>
      </c>
      <c r="DA1" s="3" t="str">
        <f ca="1">IFERROR(__xludf.DUMMYFUNCTION("""COMPUTED_VALUE"""),"2020-12-31 00:00:00")</f>
        <v>2020-12-31 00:00:00</v>
      </c>
      <c r="DB1" s="3" t="str">
        <f ca="1">IFERROR(__xludf.DUMMYFUNCTION("""COMPUTED_VALUE"""),"2020-12-30 00:00:00")</f>
        <v>2020-12-30 00:00:00</v>
      </c>
      <c r="DC1" s="3" t="str">
        <f ca="1">IFERROR(__xludf.DUMMYFUNCTION("""COMPUTED_VALUE"""),"2020-12-29 00:00:00")</f>
        <v>2020-12-29 00:00:00</v>
      </c>
      <c r="DD1" s="3" t="str">
        <f ca="1">IFERROR(__xludf.DUMMYFUNCTION("""COMPUTED_VALUE"""),"2020-12-28 00:00:00")</f>
        <v>2020-12-28 00:00:00</v>
      </c>
      <c r="DE1" s="3" t="str">
        <f ca="1">IFERROR(__xludf.DUMMYFUNCTION("""COMPUTED_VALUE"""),"2020-12-27 00:00:00")</f>
        <v>2020-12-27 00:00:00</v>
      </c>
      <c r="DF1" s="3" t="str">
        <f ca="1">IFERROR(__xludf.DUMMYFUNCTION("""COMPUTED_VALUE"""),"2020-12-26 00:00:00")</f>
        <v>2020-12-26 00:00:00</v>
      </c>
      <c r="DG1" s="3" t="str">
        <f ca="1">IFERROR(__xludf.DUMMYFUNCTION("""COMPUTED_VALUE"""),"2020-12-25 00:00:00")</f>
        <v>2020-12-25 00:00:00</v>
      </c>
      <c r="DH1" s="3" t="str">
        <f ca="1">IFERROR(__xludf.DUMMYFUNCTION("""COMPUTED_VALUE"""),"2020-12-24 00:00:00")</f>
        <v>2020-12-24 00:00:00</v>
      </c>
      <c r="DI1" s="3" t="str">
        <f ca="1">IFERROR(__xludf.DUMMYFUNCTION("""COMPUTED_VALUE"""),"2020-12-23 00:00:00")</f>
        <v>2020-12-23 00:00:00</v>
      </c>
      <c r="DJ1" s="3" t="str">
        <f ca="1">IFERROR(__xludf.DUMMYFUNCTION("""COMPUTED_VALUE"""),"2020-12-22 00:00:00")</f>
        <v>2020-12-22 00:00:00</v>
      </c>
      <c r="DK1" s="3" t="str">
        <f ca="1">IFERROR(__xludf.DUMMYFUNCTION("""COMPUTED_VALUE"""),"2020-12-21 00:00:00")</f>
        <v>2020-12-21 00:00:00</v>
      </c>
      <c r="DL1" s="3" t="str">
        <f ca="1">IFERROR(__xludf.DUMMYFUNCTION("""COMPUTED_VALUE"""),"2020-12-20 00:00:00")</f>
        <v>2020-12-20 00:00:00</v>
      </c>
      <c r="DM1" s="3" t="str">
        <f ca="1">IFERROR(__xludf.DUMMYFUNCTION("""COMPUTED_VALUE"""),"2020-12-19 00:00:00")</f>
        <v>2020-12-19 00:00:00</v>
      </c>
      <c r="DN1" s="3" t="str">
        <f ca="1">IFERROR(__xludf.DUMMYFUNCTION("""COMPUTED_VALUE"""),"2020-12-18 00:00:00")</f>
        <v>2020-12-18 00:00:00</v>
      </c>
      <c r="DO1" s="3" t="str">
        <f ca="1">IFERROR(__xludf.DUMMYFUNCTION("""COMPUTED_VALUE"""),"2020-12-17 00:00:00")</f>
        <v>2020-12-17 00:00:00</v>
      </c>
      <c r="DP1" s="3" t="str">
        <f ca="1">IFERROR(__xludf.DUMMYFUNCTION("""COMPUTED_VALUE"""),"2020-12-16 00:00:00")</f>
        <v>2020-12-16 00:00:00</v>
      </c>
      <c r="DQ1" s="3" t="str">
        <f ca="1">IFERROR(__xludf.DUMMYFUNCTION("""COMPUTED_VALUE"""),"2020-12-15 00:00:00")</f>
        <v>2020-12-15 00:00:00</v>
      </c>
      <c r="DR1" s="3" t="str">
        <f ca="1">IFERROR(__xludf.DUMMYFUNCTION("""COMPUTED_VALUE"""),"2020-12-14 00:00:00")</f>
        <v>2020-12-14 00:00:00</v>
      </c>
      <c r="DS1" s="3" t="str">
        <f ca="1">IFERROR(__xludf.DUMMYFUNCTION("""COMPUTED_VALUE"""),"2020-12-13 00:00:00")</f>
        <v>2020-12-13 00:00:00</v>
      </c>
      <c r="DT1" s="3" t="str">
        <f ca="1">IFERROR(__xludf.DUMMYFUNCTION("""COMPUTED_VALUE"""),"2020-12-12 00:00:00")</f>
        <v>2020-12-12 00:00:00</v>
      </c>
      <c r="DU1" s="3" t="str">
        <f ca="1">IFERROR(__xludf.DUMMYFUNCTION("""COMPUTED_VALUE"""),"2020-12-11 00:00:00")</f>
        <v>2020-12-11 00:00:00</v>
      </c>
      <c r="DV1" s="3" t="str">
        <f ca="1">IFERROR(__xludf.DUMMYFUNCTION("""COMPUTED_VALUE"""),"2020-12-10 00:00:00")</f>
        <v>2020-12-10 00:00:00</v>
      </c>
      <c r="DW1" s="3" t="str">
        <f ca="1">IFERROR(__xludf.DUMMYFUNCTION("""COMPUTED_VALUE"""),"2020-12-09 00:00:00")</f>
        <v>2020-12-09 00:00:00</v>
      </c>
      <c r="DX1" s="3" t="str">
        <f ca="1">IFERROR(__xludf.DUMMYFUNCTION("""COMPUTED_VALUE"""),"2020-12-08 00:00:00")</f>
        <v>2020-12-08 00:00:00</v>
      </c>
      <c r="DY1" s="3" t="str">
        <f ca="1">IFERROR(__xludf.DUMMYFUNCTION("""COMPUTED_VALUE"""),"2020-12-07 00:00:00")</f>
        <v>2020-12-07 00:00:00</v>
      </c>
      <c r="DZ1" s="3" t="str">
        <f ca="1">IFERROR(__xludf.DUMMYFUNCTION("""COMPUTED_VALUE"""),"2020-12-06 00:00:00")</f>
        <v>2020-12-06 00:00:00</v>
      </c>
      <c r="EA1" s="3" t="str">
        <f ca="1">IFERROR(__xludf.DUMMYFUNCTION("""COMPUTED_VALUE"""),"2020-12-05 00:00:00")</f>
        <v>2020-12-05 00:00:00</v>
      </c>
      <c r="EB1" s="3" t="str">
        <f ca="1">IFERROR(__xludf.DUMMYFUNCTION("""COMPUTED_VALUE"""),"2020-12-04 00:00:00")</f>
        <v>2020-12-04 00:00:00</v>
      </c>
      <c r="EC1" s="3" t="str">
        <f ca="1">IFERROR(__xludf.DUMMYFUNCTION("""COMPUTED_VALUE"""),"2020-12-03 00:00:00")</f>
        <v>2020-12-03 00:00:00</v>
      </c>
      <c r="ED1" s="3" t="str">
        <f ca="1">IFERROR(__xludf.DUMMYFUNCTION("""COMPUTED_VALUE"""),"2020-12-02 00:00:00")</f>
        <v>2020-12-02 00:00:00</v>
      </c>
      <c r="EE1" s="3" t="str">
        <f ca="1">IFERROR(__xludf.DUMMYFUNCTION("""COMPUTED_VALUE"""),"2020-12-01 00:00:00")</f>
        <v>2020-12-01 00:00:00</v>
      </c>
      <c r="EF1" s="3" t="str">
        <f ca="1">IFERROR(__xludf.DUMMYFUNCTION("""COMPUTED_VALUE"""),"2020-11-30 00:00:00")</f>
        <v>2020-11-30 00:00:00</v>
      </c>
      <c r="EG1" s="3" t="str">
        <f ca="1">IFERROR(__xludf.DUMMYFUNCTION("""COMPUTED_VALUE"""),"2020-11-29 00:00:00")</f>
        <v>2020-11-29 00:00:00</v>
      </c>
      <c r="EH1" s="3" t="str">
        <f ca="1">IFERROR(__xludf.DUMMYFUNCTION("""COMPUTED_VALUE"""),"2020-11-28 00:00:00")</f>
        <v>2020-11-28 00:00:00</v>
      </c>
      <c r="EI1" s="3" t="str">
        <f ca="1">IFERROR(__xludf.DUMMYFUNCTION("""COMPUTED_VALUE"""),"2020-11-27 00:00:00")</f>
        <v>2020-11-27 00:00:00</v>
      </c>
      <c r="EJ1" s="3" t="str">
        <f ca="1">IFERROR(__xludf.DUMMYFUNCTION("""COMPUTED_VALUE"""),"2020-11-26 00:00:00")</f>
        <v>2020-11-26 00:00:00</v>
      </c>
      <c r="EK1" s="3" t="str">
        <f ca="1">IFERROR(__xludf.DUMMYFUNCTION("""COMPUTED_VALUE"""),"2020-11-25 00:00:00")</f>
        <v>2020-11-25 00:00:00</v>
      </c>
      <c r="EL1" s="3" t="str">
        <f ca="1">IFERROR(__xludf.DUMMYFUNCTION("""COMPUTED_VALUE"""),"2020-11-24 00:00:00")</f>
        <v>2020-11-24 00:00:00</v>
      </c>
      <c r="EM1" s="3" t="str">
        <f ca="1">IFERROR(__xludf.DUMMYFUNCTION("""COMPUTED_VALUE"""),"2020-11-23 00:00:00")</f>
        <v>2020-11-23 00:00:00</v>
      </c>
      <c r="EN1" s="3" t="str">
        <f ca="1">IFERROR(__xludf.DUMMYFUNCTION("""COMPUTED_VALUE"""),"2020-11-22 00:00:00")</f>
        <v>2020-11-22 00:00:00</v>
      </c>
      <c r="EO1" s="3" t="str">
        <f ca="1">IFERROR(__xludf.DUMMYFUNCTION("""COMPUTED_VALUE"""),"2020-11-21 00:00:00")</f>
        <v>2020-11-21 00:00:00</v>
      </c>
      <c r="EP1" s="3" t="str">
        <f ca="1">IFERROR(__xludf.DUMMYFUNCTION("""COMPUTED_VALUE"""),"2020-11-20 00:00:00")</f>
        <v>2020-11-20 00:00:00</v>
      </c>
      <c r="EQ1" s="3" t="str">
        <f ca="1">IFERROR(__xludf.DUMMYFUNCTION("""COMPUTED_VALUE"""),"2020-11-19 00:00:00")</f>
        <v>2020-11-19 00:00:00</v>
      </c>
      <c r="ER1" s="3" t="str">
        <f ca="1">IFERROR(__xludf.DUMMYFUNCTION("""COMPUTED_VALUE"""),"2020-11-18 00:00:00")</f>
        <v>2020-11-18 00:00:00</v>
      </c>
      <c r="ES1" s="3" t="str">
        <f ca="1">IFERROR(__xludf.DUMMYFUNCTION("""COMPUTED_VALUE"""),"2020-11-17 00:00:00")</f>
        <v>2020-11-17 00:00:00</v>
      </c>
      <c r="ET1" s="3" t="str">
        <f ca="1">IFERROR(__xludf.DUMMYFUNCTION("""COMPUTED_VALUE"""),"2020-11-16 00:00:00")</f>
        <v>2020-11-16 00:00:00</v>
      </c>
      <c r="EU1" s="3" t="str">
        <f ca="1">IFERROR(__xludf.DUMMYFUNCTION("""COMPUTED_VALUE"""),"2020-11-15 00:00:00")</f>
        <v>2020-11-15 00:00:00</v>
      </c>
      <c r="EV1" s="3" t="str">
        <f ca="1">IFERROR(__xludf.DUMMYFUNCTION("""COMPUTED_VALUE"""),"2020-11-14 00:00:00")</f>
        <v>2020-11-14 00:00:00</v>
      </c>
      <c r="EW1" s="3" t="str">
        <f ca="1">IFERROR(__xludf.DUMMYFUNCTION("""COMPUTED_VALUE"""),"2020-11-13 00:00:00")</f>
        <v>2020-11-13 00:00:00</v>
      </c>
      <c r="EX1" s="3" t="str">
        <f ca="1">IFERROR(__xludf.DUMMYFUNCTION("""COMPUTED_VALUE"""),"2020-11-12 00:00:00")</f>
        <v>2020-11-12 00:00:00</v>
      </c>
      <c r="EY1" s="3" t="str">
        <f ca="1">IFERROR(__xludf.DUMMYFUNCTION("""COMPUTED_VALUE"""),"2020-11-11 00:00:00")</f>
        <v>2020-11-11 00:00:00</v>
      </c>
      <c r="EZ1" s="3" t="str">
        <f ca="1">IFERROR(__xludf.DUMMYFUNCTION("""COMPUTED_VALUE"""),"2020-11-10 00:00:00")</f>
        <v>2020-11-10 00:00:00</v>
      </c>
      <c r="FA1" s="3" t="str">
        <f ca="1">IFERROR(__xludf.DUMMYFUNCTION("""COMPUTED_VALUE"""),"2020-11-09 00:00:00")</f>
        <v>2020-11-09 00:00:00</v>
      </c>
      <c r="FB1" s="3" t="str">
        <f ca="1">IFERROR(__xludf.DUMMYFUNCTION("""COMPUTED_VALUE"""),"2020-11-08 00:00:00")</f>
        <v>2020-11-08 00:00:00</v>
      </c>
      <c r="FC1" s="3" t="str">
        <f ca="1">IFERROR(__xludf.DUMMYFUNCTION("""COMPUTED_VALUE"""),"2020-11-07 00:00:00")</f>
        <v>2020-11-07 00:00:00</v>
      </c>
      <c r="FD1" s="3" t="str">
        <f ca="1">IFERROR(__xludf.DUMMYFUNCTION("""COMPUTED_VALUE"""),"2020-11-06 00:00:00")</f>
        <v>2020-11-06 00:00:00</v>
      </c>
      <c r="FE1" s="3" t="str">
        <f ca="1">IFERROR(__xludf.DUMMYFUNCTION("""COMPUTED_VALUE"""),"2020-11-05 00:00:00")</f>
        <v>2020-11-05 00:00:00</v>
      </c>
      <c r="FF1" s="3" t="str">
        <f ca="1">IFERROR(__xludf.DUMMYFUNCTION("""COMPUTED_VALUE"""),"2020-11-04 00:00:00")</f>
        <v>2020-11-04 00:00:00</v>
      </c>
      <c r="FG1" s="3" t="str">
        <f ca="1">IFERROR(__xludf.DUMMYFUNCTION("""COMPUTED_VALUE"""),"2020-11-03 00:00:00")</f>
        <v>2020-11-03 00:00:00</v>
      </c>
      <c r="FH1" s="3" t="str">
        <f ca="1">IFERROR(__xludf.DUMMYFUNCTION("""COMPUTED_VALUE"""),"2020-11-02 00:00:00")</f>
        <v>2020-11-02 00:00:00</v>
      </c>
      <c r="FI1" s="3" t="str">
        <f ca="1">IFERROR(__xludf.DUMMYFUNCTION("""COMPUTED_VALUE"""),"2020-11-01 00:00:00")</f>
        <v>2020-11-01 00:00:00</v>
      </c>
      <c r="FJ1" s="3" t="str">
        <f ca="1">IFERROR(__xludf.DUMMYFUNCTION("""COMPUTED_VALUE"""),"2020-10-31 00:00:00")</f>
        <v>2020-10-31 00:00:00</v>
      </c>
      <c r="FK1" s="3" t="str">
        <f ca="1">IFERROR(__xludf.DUMMYFUNCTION("""COMPUTED_VALUE"""),"2020-10-30 00:00:00")</f>
        <v>2020-10-30 00:00:00</v>
      </c>
      <c r="FL1" s="3" t="str">
        <f ca="1">IFERROR(__xludf.DUMMYFUNCTION("""COMPUTED_VALUE"""),"2020-10-29 00:00:00")</f>
        <v>2020-10-29 00:00:00</v>
      </c>
      <c r="FM1" s="3" t="str">
        <f ca="1">IFERROR(__xludf.DUMMYFUNCTION("""COMPUTED_VALUE"""),"2020-10-28 00:00:00")</f>
        <v>2020-10-28 00:00:00</v>
      </c>
      <c r="FN1" s="3" t="str">
        <f ca="1">IFERROR(__xludf.DUMMYFUNCTION("""COMPUTED_VALUE"""),"2020-10-27 00:00:00")</f>
        <v>2020-10-27 00:00:00</v>
      </c>
      <c r="FO1" s="3" t="str">
        <f ca="1">IFERROR(__xludf.DUMMYFUNCTION("""COMPUTED_VALUE"""),"2020-10-26 00:00:00")</f>
        <v>2020-10-26 00:00:00</v>
      </c>
      <c r="FP1" s="3" t="str">
        <f ca="1">IFERROR(__xludf.DUMMYFUNCTION("""COMPUTED_VALUE"""),"2020-10-25 00:00:00")</f>
        <v>2020-10-25 00:00:00</v>
      </c>
      <c r="FQ1" s="3" t="str">
        <f ca="1">IFERROR(__xludf.DUMMYFUNCTION("""COMPUTED_VALUE"""),"2020-10-24 00:00:00")</f>
        <v>2020-10-24 00:00:00</v>
      </c>
      <c r="FR1" s="3" t="str">
        <f ca="1">IFERROR(__xludf.DUMMYFUNCTION("""COMPUTED_VALUE"""),"2020-10-23 00:00:00")</f>
        <v>2020-10-23 00:00:00</v>
      </c>
      <c r="FS1" s="3" t="str">
        <f ca="1">IFERROR(__xludf.DUMMYFUNCTION("""COMPUTED_VALUE"""),"2020-10-22 00:00:00")</f>
        <v>2020-10-22 00:00:00</v>
      </c>
      <c r="FT1" s="3" t="str">
        <f ca="1">IFERROR(__xludf.DUMMYFUNCTION("""COMPUTED_VALUE"""),"2020-10-21 00:00:00")</f>
        <v>2020-10-21 00:00:00</v>
      </c>
      <c r="FU1" s="3" t="str">
        <f ca="1">IFERROR(__xludf.DUMMYFUNCTION("""COMPUTED_VALUE"""),"2020-10-20 00:00:00")</f>
        <v>2020-10-20 00:00:00</v>
      </c>
      <c r="FV1" s="3" t="str">
        <f ca="1">IFERROR(__xludf.DUMMYFUNCTION("""COMPUTED_VALUE"""),"2020-10-19 00:00:00")</f>
        <v>2020-10-19 00:00:00</v>
      </c>
      <c r="FW1" s="3" t="str">
        <f ca="1">IFERROR(__xludf.DUMMYFUNCTION("""COMPUTED_VALUE"""),"2020-10-18 00:00:00")</f>
        <v>2020-10-18 00:00:00</v>
      </c>
      <c r="FX1" s="3" t="str">
        <f ca="1">IFERROR(__xludf.DUMMYFUNCTION("""COMPUTED_VALUE"""),"2020-10-17 00:00:00")</f>
        <v>2020-10-17 00:00:00</v>
      </c>
      <c r="FY1" s="3" t="str">
        <f ca="1">IFERROR(__xludf.DUMMYFUNCTION("""COMPUTED_VALUE"""),"2020-10-16 00:00:00")</f>
        <v>2020-10-16 00:00:00</v>
      </c>
      <c r="FZ1" s="3" t="str">
        <f ca="1">IFERROR(__xludf.DUMMYFUNCTION("""COMPUTED_VALUE"""),"2020-10-15 00:00:00")</f>
        <v>2020-10-15 00:00:00</v>
      </c>
      <c r="GA1" s="3" t="str">
        <f ca="1">IFERROR(__xludf.DUMMYFUNCTION("""COMPUTED_VALUE"""),"2020-10-14 00:00:00")</f>
        <v>2020-10-14 00:00:00</v>
      </c>
      <c r="GB1" s="3" t="str">
        <f ca="1">IFERROR(__xludf.DUMMYFUNCTION("""COMPUTED_VALUE"""),"2020-10-13 00:00:00")</f>
        <v>2020-10-13 00:00:00</v>
      </c>
      <c r="GC1" s="3" t="str">
        <f ca="1">IFERROR(__xludf.DUMMYFUNCTION("""COMPUTED_VALUE"""),"2020-10-12 00:00:00")</f>
        <v>2020-10-12 00:00:00</v>
      </c>
      <c r="GD1" s="3" t="str">
        <f ca="1">IFERROR(__xludf.DUMMYFUNCTION("""COMPUTED_VALUE"""),"2020-10-11 00:00:00")</f>
        <v>2020-10-11 00:00:00</v>
      </c>
      <c r="GE1" s="3" t="str">
        <f ca="1">IFERROR(__xludf.DUMMYFUNCTION("""COMPUTED_VALUE"""),"2020-10-10 00:00:00")</f>
        <v>2020-10-10 00:00:00</v>
      </c>
      <c r="GF1" s="3" t="str">
        <f ca="1">IFERROR(__xludf.DUMMYFUNCTION("""COMPUTED_VALUE"""),"2020-10-09 00:00:00")</f>
        <v>2020-10-09 00:00:00</v>
      </c>
      <c r="GG1" s="3" t="str">
        <f ca="1">IFERROR(__xludf.DUMMYFUNCTION("""COMPUTED_VALUE"""),"2020-10-08 00:00:00")</f>
        <v>2020-10-08 00:00:00</v>
      </c>
      <c r="GH1" s="3" t="str">
        <f ca="1">IFERROR(__xludf.DUMMYFUNCTION("""COMPUTED_VALUE"""),"2020-10-07 00:00:00")</f>
        <v>2020-10-07 00:00:00</v>
      </c>
      <c r="GI1" s="3" t="str">
        <f ca="1">IFERROR(__xludf.DUMMYFUNCTION("""COMPUTED_VALUE"""),"2020-10-06 00:00:00")</f>
        <v>2020-10-06 00:00:00</v>
      </c>
      <c r="GJ1" s="3" t="str">
        <f ca="1">IFERROR(__xludf.DUMMYFUNCTION("""COMPUTED_VALUE"""),"2020-10-05 00:00:00")</f>
        <v>2020-10-05 00:00:00</v>
      </c>
      <c r="GK1" s="3" t="str">
        <f ca="1">IFERROR(__xludf.DUMMYFUNCTION("""COMPUTED_VALUE"""),"2020-10-04 00:00:00")</f>
        <v>2020-10-04 00:00:00</v>
      </c>
      <c r="GL1" s="3" t="str">
        <f ca="1">IFERROR(__xludf.DUMMYFUNCTION("""COMPUTED_VALUE"""),"2020-10-03 00:00:00")</f>
        <v>2020-10-03 00:00:00</v>
      </c>
      <c r="GM1" s="3" t="str">
        <f ca="1">IFERROR(__xludf.DUMMYFUNCTION("""COMPUTED_VALUE"""),"2020-10-02 00:00:00")</f>
        <v>2020-10-02 00:00:00</v>
      </c>
      <c r="GN1" s="3" t="str">
        <f ca="1">IFERROR(__xludf.DUMMYFUNCTION("""COMPUTED_VALUE"""),"2020-10-01 00:00:00")</f>
        <v>2020-10-01 00:00:00</v>
      </c>
      <c r="GO1" s="3" t="str">
        <f ca="1">IFERROR(__xludf.DUMMYFUNCTION("""COMPUTED_VALUE"""),"2020-09-30 00:00:00")</f>
        <v>2020-09-30 00:00:00</v>
      </c>
      <c r="GP1" s="3" t="str">
        <f ca="1">IFERROR(__xludf.DUMMYFUNCTION("""COMPUTED_VALUE"""),"2020-09-29 00:00:00")</f>
        <v>2020-09-29 00:00:00</v>
      </c>
      <c r="GQ1" s="3" t="str">
        <f ca="1">IFERROR(__xludf.DUMMYFUNCTION("""COMPUTED_VALUE"""),"2020-09-28 00:00:00")</f>
        <v>2020-09-28 00:00:00</v>
      </c>
      <c r="GR1" s="3" t="str">
        <f ca="1">IFERROR(__xludf.DUMMYFUNCTION("""COMPUTED_VALUE"""),"2020-09-27 00:00:00")</f>
        <v>2020-09-27 00:00:00</v>
      </c>
      <c r="GS1" s="3" t="str">
        <f ca="1">IFERROR(__xludf.DUMMYFUNCTION("""COMPUTED_VALUE"""),"2020-09-26 00:00:00")</f>
        <v>2020-09-26 00:00:00</v>
      </c>
      <c r="GT1" s="3" t="str">
        <f ca="1">IFERROR(__xludf.DUMMYFUNCTION("""COMPUTED_VALUE"""),"2020-09-25 00:00:00")</f>
        <v>2020-09-25 00:00:00</v>
      </c>
      <c r="GU1" s="3" t="str">
        <f ca="1">IFERROR(__xludf.DUMMYFUNCTION("""COMPUTED_VALUE"""),"2020-09-24 00:00:00")</f>
        <v>2020-09-24 00:00:00</v>
      </c>
      <c r="GV1" s="3" t="str">
        <f ca="1">IFERROR(__xludf.DUMMYFUNCTION("""COMPUTED_VALUE"""),"2020-09-23 00:00:00")</f>
        <v>2020-09-23 00:00:00</v>
      </c>
      <c r="GW1" s="3" t="str">
        <f ca="1">IFERROR(__xludf.DUMMYFUNCTION("""COMPUTED_VALUE"""),"2020-09-22 00:00:00")</f>
        <v>2020-09-22 00:00:00</v>
      </c>
      <c r="GX1" s="3" t="str">
        <f ca="1">IFERROR(__xludf.DUMMYFUNCTION("""COMPUTED_VALUE"""),"2020-09-21 00:00:00")</f>
        <v>2020-09-21 00:00:00</v>
      </c>
      <c r="GY1" s="3" t="str">
        <f ca="1">IFERROR(__xludf.DUMMYFUNCTION("""COMPUTED_VALUE"""),"2020-09-20 00:00:00")</f>
        <v>2020-09-20 00:00:00</v>
      </c>
      <c r="GZ1" s="3" t="str">
        <f ca="1">IFERROR(__xludf.DUMMYFUNCTION("""COMPUTED_VALUE"""),"2020-09-19 00:00:00")</f>
        <v>2020-09-19 00:00:00</v>
      </c>
      <c r="HA1" s="3" t="str">
        <f ca="1">IFERROR(__xludf.DUMMYFUNCTION("""COMPUTED_VALUE"""),"2020-09-18 00:00:00")</f>
        <v>2020-09-18 00:00:00</v>
      </c>
      <c r="HB1" s="3" t="str">
        <f ca="1">IFERROR(__xludf.DUMMYFUNCTION("""COMPUTED_VALUE"""),"2020-09-17 00:00:00")</f>
        <v>2020-09-17 00:00:00</v>
      </c>
      <c r="HC1" s="3" t="str">
        <f ca="1">IFERROR(__xludf.DUMMYFUNCTION("""COMPUTED_VALUE"""),"2020-09-16 00:00:00")</f>
        <v>2020-09-16 00:00:00</v>
      </c>
      <c r="HD1" s="3" t="str">
        <f ca="1">IFERROR(__xludf.DUMMYFUNCTION("""COMPUTED_VALUE"""),"2020-09-15 00:00:00")</f>
        <v>2020-09-15 00:00:00</v>
      </c>
      <c r="HE1" s="3" t="str">
        <f ca="1">IFERROR(__xludf.DUMMYFUNCTION("""COMPUTED_VALUE"""),"2020-09-14 00:00:00")</f>
        <v>2020-09-14 00:00:00</v>
      </c>
      <c r="HF1" s="3" t="str">
        <f ca="1">IFERROR(__xludf.DUMMYFUNCTION("""COMPUTED_VALUE"""),"2020-09-13 00:00:00")</f>
        <v>2020-09-13 00:00:00</v>
      </c>
      <c r="HG1" s="3" t="str">
        <f ca="1">IFERROR(__xludf.DUMMYFUNCTION("""COMPUTED_VALUE"""),"2020-09-12 00:00:00")</f>
        <v>2020-09-12 00:00:00</v>
      </c>
      <c r="HH1" s="3" t="str">
        <f ca="1">IFERROR(__xludf.DUMMYFUNCTION("""COMPUTED_VALUE"""),"2020-09-11 00:00:00")</f>
        <v>2020-09-11 00:00:00</v>
      </c>
      <c r="HI1" s="3" t="str">
        <f ca="1">IFERROR(__xludf.DUMMYFUNCTION("""COMPUTED_VALUE"""),"2020-09-10 00:00:00")</f>
        <v>2020-09-10 00:00:00</v>
      </c>
      <c r="HJ1" s="3" t="str">
        <f ca="1">IFERROR(__xludf.DUMMYFUNCTION("""COMPUTED_VALUE"""),"2020-09-09 00:00:00")</f>
        <v>2020-09-09 00:00:00</v>
      </c>
      <c r="HK1" s="3" t="str">
        <f ca="1">IFERROR(__xludf.DUMMYFUNCTION("""COMPUTED_VALUE"""),"2020-09-08 00:00:00")</f>
        <v>2020-09-08 00:00:00</v>
      </c>
      <c r="HL1" s="3" t="str">
        <f ca="1">IFERROR(__xludf.DUMMYFUNCTION("""COMPUTED_VALUE"""),"2020-09-07 00:00:00")</f>
        <v>2020-09-07 00:00:00</v>
      </c>
      <c r="HM1" s="3" t="str">
        <f ca="1">IFERROR(__xludf.DUMMYFUNCTION("""COMPUTED_VALUE"""),"2020-09-06 00:00:00")</f>
        <v>2020-09-06 00:00:00</v>
      </c>
      <c r="HN1" s="3" t="str">
        <f ca="1">IFERROR(__xludf.DUMMYFUNCTION("""COMPUTED_VALUE"""),"2020-09-05 00:00:00")</f>
        <v>2020-09-05 00:00:00</v>
      </c>
      <c r="HO1" s="3" t="str">
        <f ca="1">IFERROR(__xludf.DUMMYFUNCTION("""COMPUTED_VALUE"""),"2020-09-04 00:00:00")</f>
        <v>2020-09-04 00:00:00</v>
      </c>
      <c r="HP1" s="3" t="str">
        <f ca="1">IFERROR(__xludf.DUMMYFUNCTION("""COMPUTED_VALUE"""),"2020-09-03 00:00:00")</f>
        <v>2020-09-03 00:00:00</v>
      </c>
      <c r="HQ1" s="3" t="str">
        <f ca="1">IFERROR(__xludf.DUMMYFUNCTION("""COMPUTED_VALUE"""),"2020-09-02 00:00:00")</f>
        <v>2020-09-02 00:00:00</v>
      </c>
      <c r="HR1" s="3" t="str">
        <f ca="1">IFERROR(__xludf.DUMMYFUNCTION("""COMPUTED_VALUE"""),"2020-09-01 00:00:00")</f>
        <v>2020-09-01 00:00:00</v>
      </c>
      <c r="HS1" s="3" t="str">
        <f ca="1">IFERROR(__xludf.DUMMYFUNCTION("""COMPUTED_VALUE"""),"2020-08-31 00:00:00")</f>
        <v>2020-08-31 00:00:00</v>
      </c>
      <c r="HT1" s="3" t="str">
        <f ca="1">IFERROR(__xludf.DUMMYFUNCTION("""COMPUTED_VALUE"""),"2020-08-30 00:00:00")</f>
        <v>2020-08-30 00:00:00</v>
      </c>
      <c r="HU1" s="3" t="str">
        <f ca="1">IFERROR(__xludf.DUMMYFUNCTION("""COMPUTED_VALUE"""),"2020-08-29 00:00:00")</f>
        <v>2020-08-29 00:00:00</v>
      </c>
      <c r="HV1" s="3" t="str">
        <f ca="1">IFERROR(__xludf.DUMMYFUNCTION("""COMPUTED_VALUE"""),"2020-08-28 00:00:00")</f>
        <v>2020-08-28 00:00:00</v>
      </c>
      <c r="HW1" s="3" t="str">
        <f ca="1">IFERROR(__xludf.DUMMYFUNCTION("""COMPUTED_VALUE"""),"2020-08-27 00:00:00")</f>
        <v>2020-08-27 00:00:00</v>
      </c>
      <c r="HX1" s="3" t="str">
        <f ca="1">IFERROR(__xludf.DUMMYFUNCTION("""COMPUTED_VALUE"""),"2020-08-26 00:00:00")</f>
        <v>2020-08-26 00:00:00</v>
      </c>
      <c r="HY1" s="3" t="str">
        <f ca="1">IFERROR(__xludf.DUMMYFUNCTION("""COMPUTED_VALUE"""),"2020-08-25 00:00:00")</f>
        <v>2020-08-25 00:00:00</v>
      </c>
      <c r="HZ1" s="3" t="str">
        <f ca="1">IFERROR(__xludf.DUMMYFUNCTION("""COMPUTED_VALUE"""),"2020-08-24 00:00:00")</f>
        <v>2020-08-24 00:00:00</v>
      </c>
      <c r="IA1" s="3" t="str">
        <f ca="1">IFERROR(__xludf.DUMMYFUNCTION("""COMPUTED_VALUE"""),"2020-08-23 00:00:00")</f>
        <v>2020-08-23 00:00:00</v>
      </c>
      <c r="IB1" s="3" t="str">
        <f ca="1">IFERROR(__xludf.DUMMYFUNCTION("""COMPUTED_VALUE"""),"2020-08-22 00:00:00")</f>
        <v>2020-08-22 00:00:00</v>
      </c>
      <c r="IC1" s="3" t="str">
        <f ca="1">IFERROR(__xludf.DUMMYFUNCTION("""COMPUTED_VALUE"""),"2020-08-21 00:00:00")</f>
        <v>2020-08-21 00:00:00</v>
      </c>
      <c r="ID1" s="3" t="str">
        <f ca="1">IFERROR(__xludf.DUMMYFUNCTION("""COMPUTED_VALUE"""),"2020-08-20 00:00:00")</f>
        <v>2020-08-20 00:00:00</v>
      </c>
      <c r="IE1" s="3" t="str">
        <f ca="1">IFERROR(__xludf.DUMMYFUNCTION("""COMPUTED_VALUE"""),"2020-08-19 00:00:00")</f>
        <v>2020-08-19 00:00:00</v>
      </c>
      <c r="IF1" s="3" t="str">
        <f ca="1">IFERROR(__xludf.DUMMYFUNCTION("""COMPUTED_VALUE"""),"2020-08-18 00:00:00")</f>
        <v>2020-08-18 00:00:00</v>
      </c>
      <c r="IG1" s="3" t="str">
        <f ca="1">IFERROR(__xludf.DUMMYFUNCTION("""COMPUTED_VALUE"""),"2020-08-17 00:00:00")</f>
        <v>2020-08-17 00:00:00</v>
      </c>
      <c r="IH1" s="3" t="str">
        <f ca="1">IFERROR(__xludf.DUMMYFUNCTION("""COMPUTED_VALUE"""),"2020-08-16 00:00:00")</f>
        <v>2020-08-16 00:00:00</v>
      </c>
      <c r="II1" s="3" t="str">
        <f ca="1">IFERROR(__xludf.DUMMYFUNCTION("""COMPUTED_VALUE"""),"2020-08-15 00:00:00")</f>
        <v>2020-08-15 00:00:00</v>
      </c>
      <c r="IJ1" s="3" t="str">
        <f ca="1">IFERROR(__xludf.DUMMYFUNCTION("""COMPUTED_VALUE"""),"2020-08-14 00:00:00")</f>
        <v>2020-08-14 00:00:00</v>
      </c>
      <c r="IK1" s="3" t="str">
        <f ca="1">IFERROR(__xludf.DUMMYFUNCTION("""COMPUTED_VALUE"""),"2020-08-13 00:00:00")</f>
        <v>2020-08-13 00:00:00</v>
      </c>
      <c r="IL1" s="3" t="str">
        <f ca="1">IFERROR(__xludf.DUMMYFUNCTION("""COMPUTED_VALUE"""),"2020-08-12 00:00:00")</f>
        <v>2020-08-12 00:00:00</v>
      </c>
      <c r="IM1" s="3" t="str">
        <f ca="1">IFERROR(__xludf.DUMMYFUNCTION("""COMPUTED_VALUE"""),"2020-08-11 00:00:00")</f>
        <v>2020-08-11 00:00:00</v>
      </c>
      <c r="IN1" s="3" t="str">
        <f ca="1">IFERROR(__xludf.DUMMYFUNCTION("""COMPUTED_VALUE"""),"2020-08-10 00:00:00")</f>
        <v>2020-08-10 00:00:00</v>
      </c>
      <c r="IO1" s="3" t="str">
        <f ca="1">IFERROR(__xludf.DUMMYFUNCTION("""COMPUTED_VALUE"""),"2020-08-09 00:00:00")</f>
        <v>2020-08-09 00:00:00</v>
      </c>
      <c r="IP1" s="3" t="str">
        <f ca="1">IFERROR(__xludf.DUMMYFUNCTION("""COMPUTED_VALUE"""),"2020-08-08 00:00:00")</f>
        <v>2020-08-08 00:00:00</v>
      </c>
      <c r="IQ1" s="3" t="str">
        <f ca="1">IFERROR(__xludf.DUMMYFUNCTION("""COMPUTED_VALUE"""),"2020-08-07 00:00:00")</f>
        <v>2020-08-07 00:00:00</v>
      </c>
      <c r="IR1" s="3" t="str">
        <f ca="1">IFERROR(__xludf.DUMMYFUNCTION("""COMPUTED_VALUE"""),"2020-08-06 00:00:00")</f>
        <v>2020-08-06 00:00:00</v>
      </c>
      <c r="IS1" s="3" t="str">
        <f ca="1">IFERROR(__xludf.DUMMYFUNCTION("""COMPUTED_VALUE"""),"2020-08-05 00:00:00")</f>
        <v>2020-08-05 00:00:00</v>
      </c>
      <c r="IT1" s="3" t="str">
        <f ca="1">IFERROR(__xludf.DUMMYFUNCTION("""COMPUTED_VALUE"""),"2020-08-04 00:00:00")</f>
        <v>2020-08-04 00:00:00</v>
      </c>
      <c r="IU1" s="3" t="str">
        <f ca="1">IFERROR(__xludf.DUMMYFUNCTION("""COMPUTED_VALUE"""),"2020-08-03 00:00:00")</f>
        <v>2020-08-03 00:00:00</v>
      </c>
      <c r="IV1" s="3" t="str">
        <f ca="1">IFERROR(__xludf.DUMMYFUNCTION("""COMPUTED_VALUE"""),"2020-08-02 00:00:00")</f>
        <v>2020-08-02 00:00:00</v>
      </c>
      <c r="IW1" s="3" t="str">
        <f ca="1">IFERROR(__xludf.DUMMYFUNCTION("""COMPUTED_VALUE"""),"2020-08-01 00:00:00")</f>
        <v>2020-08-01 00:00:00</v>
      </c>
      <c r="IX1" s="3" t="str">
        <f ca="1">IFERROR(__xludf.DUMMYFUNCTION("""COMPUTED_VALUE"""),"2020-07-31 00:00:00")</f>
        <v>2020-07-31 00:00:00</v>
      </c>
      <c r="IY1" s="3" t="str">
        <f ca="1">IFERROR(__xludf.DUMMYFUNCTION("""COMPUTED_VALUE"""),"2020-07-30 00:00:00")</f>
        <v>2020-07-30 00:00:00</v>
      </c>
      <c r="IZ1" s="3" t="str">
        <f ca="1">IFERROR(__xludf.DUMMYFUNCTION("""COMPUTED_VALUE"""),"2020-07-29 00:00:00")</f>
        <v>2020-07-29 00:00:00</v>
      </c>
      <c r="JA1" s="3" t="str">
        <f ca="1">IFERROR(__xludf.DUMMYFUNCTION("""COMPUTED_VALUE"""),"2020-07-28 00:00:00")</f>
        <v>2020-07-28 00:00:00</v>
      </c>
      <c r="JB1" s="3" t="str">
        <f ca="1">IFERROR(__xludf.DUMMYFUNCTION("""COMPUTED_VALUE"""),"2020-07-27 00:00:00")</f>
        <v>2020-07-27 00:00:00</v>
      </c>
      <c r="JC1" s="3" t="str">
        <f ca="1">IFERROR(__xludf.DUMMYFUNCTION("""COMPUTED_VALUE"""),"2020-07-26 00:00:00")</f>
        <v>2020-07-26 00:00:00</v>
      </c>
      <c r="JD1" s="3" t="str">
        <f ca="1">IFERROR(__xludf.DUMMYFUNCTION("""COMPUTED_VALUE"""),"2020-07-25 00:00:00")</f>
        <v>2020-07-25 00:00:00</v>
      </c>
      <c r="JE1" s="3" t="str">
        <f ca="1">IFERROR(__xludf.DUMMYFUNCTION("""COMPUTED_VALUE"""),"2020-07-24 00:00:00")</f>
        <v>2020-07-24 00:00:00</v>
      </c>
      <c r="JF1" s="3" t="str">
        <f ca="1">IFERROR(__xludf.DUMMYFUNCTION("""COMPUTED_VALUE"""),"2020-07-23 00:00:00")</f>
        <v>2020-07-23 00:00:00</v>
      </c>
      <c r="JG1" s="3" t="str">
        <f ca="1">IFERROR(__xludf.DUMMYFUNCTION("""COMPUTED_VALUE"""),"2020-07-22 00:00:00")</f>
        <v>2020-07-22 00:00:00</v>
      </c>
      <c r="JH1" s="3" t="str">
        <f ca="1">IFERROR(__xludf.DUMMYFUNCTION("""COMPUTED_VALUE"""),"2020-07-21 00:00:00")</f>
        <v>2020-07-21 00:00:00</v>
      </c>
      <c r="JI1" s="3" t="str">
        <f ca="1">IFERROR(__xludf.DUMMYFUNCTION("""COMPUTED_VALUE"""),"2020-07-20 00:00:00")</f>
        <v>2020-07-20 00:00:00</v>
      </c>
      <c r="JJ1" s="3" t="str">
        <f ca="1">IFERROR(__xludf.DUMMYFUNCTION("""COMPUTED_VALUE"""),"2020-07-19 00:00:00")</f>
        <v>2020-07-19 00:00:00</v>
      </c>
      <c r="JK1" s="3" t="str">
        <f ca="1">IFERROR(__xludf.DUMMYFUNCTION("""COMPUTED_VALUE"""),"2020-07-18 00:00:00")</f>
        <v>2020-07-18 00:00:00</v>
      </c>
      <c r="JL1" s="3" t="str">
        <f ca="1">IFERROR(__xludf.DUMMYFUNCTION("""COMPUTED_VALUE"""),"2020-07-17 00:00:00")</f>
        <v>2020-07-17 00:00:00</v>
      </c>
      <c r="JM1" s="3" t="str">
        <f ca="1">IFERROR(__xludf.DUMMYFUNCTION("""COMPUTED_VALUE"""),"2020-07-16 00:00:00")</f>
        <v>2020-07-16 00:00:00</v>
      </c>
      <c r="JN1" s="3" t="str">
        <f ca="1">IFERROR(__xludf.DUMMYFUNCTION("""COMPUTED_VALUE"""),"2020-07-15 00:00:00")</f>
        <v>2020-07-15 00:00:00</v>
      </c>
      <c r="JO1" s="3" t="str">
        <f ca="1">IFERROR(__xludf.DUMMYFUNCTION("""COMPUTED_VALUE"""),"2020-07-14 00:00:00")</f>
        <v>2020-07-14 00:00:00</v>
      </c>
      <c r="JP1" s="3" t="str">
        <f ca="1">IFERROR(__xludf.DUMMYFUNCTION("""COMPUTED_VALUE"""),"2020-07-13 00:00:00")</f>
        <v>2020-07-13 00:00:00</v>
      </c>
      <c r="JQ1" s="3" t="str">
        <f ca="1">IFERROR(__xludf.DUMMYFUNCTION("""COMPUTED_VALUE"""),"2020-07-12 00:00:00")</f>
        <v>2020-07-12 00:00:00</v>
      </c>
      <c r="JR1" s="3" t="str">
        <f ca="1">IFERROR(__xludf.DUMMYFUNCTION("""COMPUTED_VALUE"""),"2020-07-11 00:00:00")</f>
        <v>2020-07-11 00:00:00</v>
      </c>
      <c r="JS1" s="3" t="str">
        <f ca="1">IFERROR(__xludf.DUMMYFUNCTION("""COMPUTED_VALUE"""),"2020-07-10 00:00:00")</f>
        <v>2020-07-10 00:00:00</v>
      </c>
      <c r="JT1" s="3" t="str">
        <f ca="1">IFERROR(__xludf.DUMMYFUNCTION("""COMPUTED_VALUE"""),"2020-07-09 00:00:00")</f>
        <v>2020-07-09 00:00:00</v>
      </c>
      <c r="JU1" s="3" t="str">
        <f ca="1">IFERROR(__xludf.DUMMYFUNCTION("""COMPUTED_VALUE"""),"2020-07-08 00:00:00")</f>
        <v>2020-07-08 00:00:00</v>
      </c>
      <c r="JV1" s="3" t="str">
        <f ca="1">IFERROR(__xludf.DUMMYFUNCTION("""COMPUTED_VALUE"""),"2020-07-07 00:00:00")</f>
        <v>2020-07-07 00:00:00</v>
      </c>
      <c r="JW1" s="3" t="str">
        <f ca="1">IFERROR(__xludf.DUMMYFUNCTION("""COMPUTED_VALUE"""),"2020-07-06 00:00:00")</f>
        <v>2020-07-06 00:00:00</v>
      </c>
      <c r="JX1" s="3" t="str">
        <f ca="1">IFERROR(__xludf.DUMMYFUNCTION("""COMPUTED_VALUE"""),"2020-07-05 00:00:00")</f>
        <v>2020-07-05 00:00:00</v>
      </c>
      <c r="JY1" s="3" t="str">
        <f ca="1">IFERROR(__xludf.DUMMYFUNCTION("""COMPUTED_VALUE"""),"2020-07-04 00:00:00")</f>
        <v>2020-07-04 00:00:00</v>
      </c>
      <c r="JZ1" s="3" t="str">
        <f ca="1">IFERROR(__xludf.DUMMYFUNCTION("""COMPUTED_VALUE"""),"2020-07-03 00:00:00")</f>
        <v>2020-07-03 00:00:00</v>
      </c>
      <c r="KA1" s="3" t="str">
        <f ca="1">IFERROR(__xludf.DUMMYFUNCTION("""COMPUTED_VALUE"""),"2020-07-02 00:00:00")</f>
        <v>2020-07-02 00:00:00</v>
      </c>
      <c r="KB1" s="3" t="str">
        <f ca="1">IFERROR(__xludf.DUMMYFUNCTION("""COMPUTED_VALUE"""),"2020-07-01 00:00:00")</f>
        <v>2020-07-01 00:00:00</v>
      </c>
      <c r="KC1" s="3" t="str">
        <f ca="1">IFERROR(__xludf.DUMMYFUNCTION("""COMPUTED_VALUE"""),"2020-06-30 00:00:00")</f>
        <v>2020-06-30 00:00:00</v>
      </c>
      <c r="KD1" s="3" t="str">
        <f ca="1">IFERROR(__xludf.DUMMYFUNCTION("""COMPUTED_VALUE"""),"2020-06-29 00:00:00")</f>
        <v>2020-06-29 00:00:00</v>
      </c>
      <c r="KE1" s="3" t="str">
        <f ca="1">IFERROR(__xludf.DUMMYFUNCTION("""COMPUTED_VALUE"""),"2020-06-28 00:00:00")</f>
        <v>2020-06-28 00:00:00</v>
      </c>
      <c r="KF1" s="3" t="str">
        <f ca="1">IFERROR(__xludf.DUMMYFUNCTION("""COMPUTED_VALUE"""),"2020-06-27 00:00:00")</f>
        <v>2020-06-27 00:00:00</v>
      </c>
      <c r="KG1" s="3" t="str">
        <f ca="1">IFERROR(__xludf.DUMMYFUNCTION("""COMPUTED_VALUE"""),"2020-06-26 00:00:00")</f>
        <v>2020-06-26 00:00:00</v>
      </c>
      <c r="KH1" s="3" t="str">
        <f ca="1">IFERROR(__xludf.DUMMYFUNCTION("""COMPUTED_VALUE"""),"2020-06-25 00:00:00")</f>
        <v>2020-06-25 00:00:00</v>
      </c>
      <c r="KI1" s="3" t="str">
        <f ca="1">IFERROR(__xludf.DUMMYFUNCTION("""COMPUTED_VALUE"""),"2020-06-24 00:00:00")</f>
        <v>2020-06-24 00:00:00</v>
      </c>
      <c r="KJ1" s="3" t="str">
        <f ca="1">IFERROR(__xludf.DUMMYFUNCTION("""COMPUTED_VALUE"""),"2020-06-23 00:00:00")</f>
        <v>2020-06-23 00:00:00</v>
      </c>
      <c r="KK1" s="3" t="str">
        <f ca="1">IFERROR(__xludf.DUMMYFUNCTION("""COMPUTED_VALUE"""),"2020-06-22 00:00:00")</f>
        <v>2020-06-22 00:00:00</v>
      </c>
      <c r="KL1" s="3" t="str">
        <f ca="1">IFERROR(__xludf.DUMMYFUNCTION("""COMPUTED_VALUE"""),"2020-06-21 00:00:00")</f>
        <v>2020-06-21 00:00:00</v>
      </c>
      <c r="KM1" s="3" t="str">
        <f ca="1">IFERROR(__xludf.DUMMYFUNCTION("""COMPUTED_VALUE"""),"2020-06-20 00:00:00")</f>
        <v>2020-06-20 00:00:00</v>
      </c>
      <c r="KN1" s="3" t="str">
        <f ca="1">IFERROR(__xludf.DUMMYFUNCTION("""COMPUTED_VALUE"""),"2020-06-19 00:00:00")</f>
        <v>2020-06-19 00:00:00</v>
      </c>
      <c r="KO1" s="3" t="str">
        <f ca="1">IFERROR(__xludf.DUMMYFUNCTION("""COMPUTED_VALUE"""),"2020-06-18 00:00:00")</f>
        <v>2020-06-18 00:00:00</v>
      </c>
      <c r="KP1" s="3" t="str">
        <f ca="1">IFERROR(__xludf.DUMMYFUNCTION("""COMPUTED_VALUE"""),"2020-06-17 00:00:00")</f>
        <v>2020-06-17 00:00:00</v>
      </c>
      <c r="KQ1" s="3" t="str">
        <f ca="1">IFERROR(__xludf.DUMMYFUNCTION("""COMPUTED_VALUE"""),"2020-06-16 00:00:00")</f>
        <v>2020-06-16 00:00:00</v>
      </c>
      <c r="KR1" s="3" t="str">
        <f ca="1">IFERROR(__xludf.DUMMYFUNCTION("""COMPUTED_VALUE"""),"2020-06-15 00:00:00")</f>
        <v>2020-06-15 00:00:00</v>
      </c>
      <c r="KS1" s="3" t="str">
        <f ca="1">IFERROR(__xludf.DUMMYFUNCTION("""COMPUTED_VALUE"""),"2020-06-14 00:00:00")</f>
        <v>2020-06-14 00:00:00</v>
      </c>
      <c r="KT1" s="3" t="str">
        <f ca="1">IFERROR(__xludf.DUMMYFUNCTION("""COMPUTED_VALUE"""),"2020-06-13 00:00:00")</f>
        <v>2020-06-13 00:00:00</v>
      </c>
      <c r="KU1" s="3" t="str">
        <f ca="1">IFERROR(__xludf.DUMMYFUNCTION("""COMPUTED_VALUE"""),"2020-06-12 00:00:00")</f>
        <v>2020-06-12 00:00:00</v>
      </c>
      <c r="KV1" s="3" t="str">
        <f ca="1">IFERROR(__xludf.DUMMYFUNCTION("""COMPUTED_VALUE"""),"2020-06-11 00:00:00")</f>
        <v>2020-06-11 00:00:00</v>
      </c>
      <c r="KW1" s="3" t="str">
        <f ca="1">IFERROR(__xludf.DUMMYFUNCTION("""COMPUTED_VALUE"""),"2020-06-10 00:00:00")</f>
        <v>2020-06-10 00:00:00</v>
      </c>
      <c r="KX1" s="3" t="str">
        <f ca="1">IFERROR(__xludf.DUMMYFUNCTION("""COMPUTED_VALUE"""),"2020-06-09 00:00:00")</f>
        <v>2020-06-09 00:00:00</v>
      </c>
      <c r="KY1" s="3" t="str">
        <f ca="1">IFERROR(__xludf.DUMMYFUNCTION("""COMPUTED_VALUE"""),"2020-06-08 00:00:00")</f>
        <v>2020-06-08 00:00:00</v>
      </c>
      <c r="KZ1" s="3" t="str">
        <f ca="1">IFERROR(__xludf.DUMMYFUNCTION("""COMPUTED_VALUE"""),"2020-06-07 00:00:00")</f>
        <v>2020-06-07 00:00:00</v>
      </c>
      <c r="LA1" s="3" t="str">
        <f ca="1">IFERROR(__xludf.DUMMYFUNCTION("""COMPUTED_VALUE"""),"2020-06-06 00:00:00")</f>
        <v>2020-06-06 00:00:00</v>
      </c>
      <c r="LB1" s="3" t="str">
        <f ca="1">IFERROR(__xludf.DUMMYFUNCTION("""COMPUTED_VALUE"""),"2020-06-05 00:00:00")</f>
        <v>2020-06-05 00:00:00</v>
      </c>
      <c r="LC1" s="3" t="str">
        <f ca="1">IFERROR(__xludf.DUMMYFUNCTION("""COMPUTED_VALUE"""),"2020-06-04 00:00:00")</f>
        <v>2020-06-04 00:00:00</v>
      </c>
      <c r="LD1" s="3" t="str">
        <f ca="1">IFERROR(__xludf.DUMMYFUNCTION("""COMPUTED_VALUE"""),"2020-06-03 00:00:00")</f>
        <v>2020-06-03 00:00:00</v>
      </c>
      <c r="LE1" s="3" t="str">
        <f ca="1">IFERROR(__xludf.DUMMYFUNCTION("""COMPUTED_VALUE"""),"2020-06-02 00:00:00")</f>
        <v>2020-06-02 00:00:00</v>
      </c>
      <c r="LF1" s="3" t="str">
        <f ca="1">IFERROR(__xludf.DUMMYFUNCTION("""COMPUTED_VALUE"""),"2020-06-01 00:00:00")</f>
        <v>2020-06-01 00:00:00</v>
      </c>
      <c r="LG1" s="3" t="str">
        <f ca="1">IFERROR(__xludf.DUMMYFUNCTION("""COMPUTED_VALUE"""),"2020-05-31 00:00:00")</f>
        <v>2020-05-31 00:00:00</v>
      </c>
      <c r="LH1" s="3" t="str">
        <f ca="1">IFERROR(__xludf.DUMMYFUNCTION("""COMPUTED_VALUE"""),"2020-05-30 00:00:00")</f>
        <v>2020-05-30 00:00:00</v>
      </c>
      <c r="LI1" s="3" t="str">
        <f ca="1">IFERROR(__xludf.DUMMYFUNCTION("""COMPUTED_VALUE"""),"2020-05-29 00:00:00")</f>
        <v>2020-05-29 00:00:00</v>
      </c>
      <c r="LJ1" s="3" t="str">
        <f ca="1">IFERROR(__xludf.DUMMYFUNCTION("""COMPUTED_VALUE"""),"2020-05-28 00:00:00")</f>
        <v>2020-05-28 00:00:00</v>
      </c>
      <c r="LK1" s="3" t="str">
        <f ca="1">IFERROR(__xludf.DUMMYFUNCTION("""COMPUTED_VALUE"""),"2020-05-27 00:00:00")</f>
        <v>2020-05-27 00:00:00</v>
      </c>
      <c r="LL1" s="3" t="str">
        <f ca="1">IFERROR(__xludf.DUMMYFUNCTION("""COMPUTED_VALUE"""),"2020-05-26 00:00:00")</f>
        <v>2020-05-26 00:00:00</v>
      </c>
      <c r="LM1" s="3" t="str">
        <f ca="1">IFERROR(__xludf.DUMMYFUNCTION("""COMPUTED_VALUE"""),"2020-05-25 00:00:00")</f>
        <v>2020-05-25 00:00:00</v>
      </c>
      <c r="LN1" s="3" t="str">
        <f ca="1">IFERROR(__xludf.DUMMYFUNCTION("""COMPUTED_VALUE"""),"2020-05-24 00:00:00")</f>
        <v>2020-05-24 00:00:00</v>
      </c>
      <c r="LO1" s="3" t="str">
        <f ca="1">IFERROR(__xludf.DUMMYFUNCTION("""COMPUTED_VALUE"""),"2020-05-23 00:00:00")</f>
        <v>2020-05-23 00:00:00</v>
      </c>
      <c r="LP1" s="3" t="str">
        <f ca="1">IFERROR(__xludf.DUMMYFUNCTION("""COMPUTED_VALUE"""),"2020-05-22 00:00:00")</f>
        <v>2020-05-22 00:00:00</v>
      </c>
      <c r="LQ1" s="3" t="str">
        <f ca="1">IFERROR(__xludf.DUMMYFUNCTION("""COMPUTED_VALUE"""),"2020-05-21 00:00:00")</f>
        <v>2020-05-21 00:00:00</v>
      </c>
      <c r="LR1" s="3" t="str">
        <f ca="1">IFERROR(__xludf.DUMMYFUNCTION("""COMPUTED_VALUE"""),"2020-05-20 00:00:00")</f>
        <v>2020-05-20 00:00:00</v>
      </c>
      <c r="LS1" s="3" t="str">
        <f ca="1">IFERROR(__xludf.DUMMYFUNCTION("""COMPUTED_VALUE"""),"2020-05-19 00:00:00")</f>
        <v>2020-05-19 00:00:00</v>
      </c>
      <c r="LT1" s="3" t="str">
        <f ca="1">IFERROR(__xludf.DUMMYFUNCTION("""COMPUTED_VALUE"""),"2020-05-18 00:00:00")</f>
        <v>2020-05-18 00:00:00</v>
      </c>
      <c r="LU1" s="3" t="str">
        <f ca="1">IFERROR(__xludf.DUMMYFUNCTION("""COMPUTED_VALUE"""),"2020-05-17 00:00:00")</f>
        <v>2020-05-17 00:00:00</v>
      </c>
      <c r="LV1" s="3" t="str">
        <f ca="1">IFERROR(__xludf.DUMMYFUNCTION("""COMPUTED_VALUE"""),"2020-05-16 00:00:00")</f>
        <v>2020-05-16 00:00:00</v>
      </c>
      <c r="LW1" s="3" t="str">
        <f ca="1">IFERROR(__xludf.DUMMYFUNCTION("""COMPUTED_VALUE"""),"2020-05-15 00:00:00")</f>
        <v>2020-05-15 00:00:00</v>
      </c>
      <c r="LX1" s="3" t="str">
        <f ca="1">IFERROR(__xludf.DUMMYFUNCTION("""COMPUTED_VALUE"""),"2020-05-14 00:00:00")</f>
        <v>2020-05-14 00:00:00</v>
      </c>
      <c r="LY1" s="3" t="str">
        <f ca="1">IFERROR(__xludf.DUMMYFUNCTION("""COMPUTED_VALUE"""),"2020-05-13 00:00:00")</f>
        <v>2020-05-13 00:00:00</v>
      </c>
      <c r="LZ1" s="3" t="str">
        <f ca="1">IFERROR(__xludf.DUMMYFUNCTION("""COMPUTED_VALUE"""),"2020-05-12 00:00:00")</f>
        <v>2020-05-12 00:00:00</v>
      </c>
      <c r="MA1" s="3" t="str">
        <f ca="1">IFERROR(__xludf.DUMMYFUNCTION("""COMPUTED_VALUE"""),"2020-05-11 00:00:00")</f>
        <v>2020-05-11 00:00:00</v>
      </c>
      <c r="MB1" s="3" t="str">
        <f ca="1">IFERROR(__xludf.DUMMYFUNCTION("""COMPUTED_VALUE"""),"2020-05-10 00:00:00")</f>
        <v>2020-05-10 00:00:00</v>
      </c>
      <c r="MC1" s="3" t="str">
        <f ca="1">IFERROR(__xludf.DUMMYFUNCTION("""COMPUTED_VALUE"""),"2020-05-09 00:00:00")</f>
        <v>2020-05-09 00:00:00</v>
      </c>
      <c r="MD1" s="3" t="str">
        <f ca="1">IFERROR(__xludf.DUMMYFUNCTION("""COMPUTED_VALUE"""),"2020-05-08 00:00:00")</f>
        <v>2020-05-08 00:00:00</v>
      </c>
      <c r="ME1" s="3" t="str">
        <f ca="1">IFERROR(__xludf.DUMMYFUNCTION("""COMPUTED_VALUE"""),"2020-05-07 00:00:00")</f>
        <v>2020-05-07 00:00:00</v>
      </c>
      <c r="MF1" s="3" t="str">
        <f ca="1">IFERROR(__xludf.DUMMYFUNCTION("""COMPUTED_VALUE"""),"2020-05-06 00:00:00")</f>
        <v>2020-05-06 00:00:00</v>
      </c>
      <c r="MG1" s="3" t="str">
        <f ca="1">IFERROR(__xludf.DUMMYFUNCTION("""COMPUTED_VALUE"""),"2020-05-05 00:00:00")</f>
        <v>2020-05-05 00:00:00</v>
      </c>
      <c r="MH1" s="3" t="str">
        <f ca="1">IFERROR(__xludf.DUMMYFUNCTION("""COMPUTED_VALUE"""),"2020-05-04 00:00:00")</f>
        <v>2020-05-04 00:00:00</v>
      </c>
      <c r="MI1" s="3" t="str">
        <f ca="1">IFERROR(__xludf.DUMMYFUNCTION("""COMPUTED_VALUE"""),"2020-05-03 00:00:00")</f>
        <v>2020-05-03 00:00:00</v>
      </c>
      <c r="MJ1" s="3" t="str">
        <f ca="1">IFERROR(__xludf.DUMMYFUNCTION("""COMPUTED_VALUE"""),"2020-05-02 00:00:00")</f>
        <v>2020-05-02 00:00:00</v>
      </c>
      <c r="MK1" s="3" t="str">
        <f ca="1">IFERROR(__xludf.DUMMYFUNCTION("""COMPUTED_VALUE"""),"2020-05-01 00:00:00")</f>
        <v>2020-05-01 00:00:00</v>
      </c>
      <c r="ML1" s="3" t="str">
        <f ca="1">IFERROR(__xludf.DUMMYFUNCTION("""COMPUTED_VALUE"""),"2020-04-30 00:00:00")</f>
        <v>2020-04-30 00:00:00</v>
      </c>
      <c r="MM1" s="3" t="str">
        <f ca="1">IFERROR(__xludf.DUMMYFUNCTION("""COMPUTED_VALUE"""),"2020-04-29 00:00:00")</f>
        <v>2020-04-29 00:00:00</v>
      </c>
      <c r="MN1" s="3" t="str">
        <f ca="1">IFERROR(__xludf.DUMMYFUNCTION("""COMPUTED_VALUE"""),"2020-04-28 00:00:00")</f>
        <v>2020-04-28 00:00:00</v>
      </c>
      <c r="MO1" s="3" t="str">
        <f ca="1">IFERROR(__xludf.DUMMYFUNCTION("""COMPUTED_VALUE"""),"2020-04-27 00:00:00")</f>
        <v>2020-04-27 00:00:00</v>
      </c>
      <c r="MP1" s="3" t="str">
        <f ca="1">IFERROR(__xludf.DUMMYFUNCTION("""COMPUTED_VALUE"""),"2020-04-26 00:00:00")</f>
        <v>2020-04-26 00:00:00</v>
      </c>
      <c r="MQ1" s="3" t="str">
        <f ca="1">IFERROR(__xludf.DUMMYFUNCTION("""COMPUTED_VALUE"""),"2020-04-25 00:00:00")</f>
        <v>2020-04-25 00:00:00</v>
      </c>
      <c r="MR1" s="3" t="str">
        <f ca="1">IFERROR(__xludf.DUMMYFUNCTION("""COMPUTED_VALUE"""),"2020-04-24 00:00:00")</f>
        <v>2020-04-24 00:00:00</v>
      </c>
      <c r="MS1" s="3" t="str">
        <f ca="1">IFERROR(__xludf.DUMMYFUNCTION("""COMPUTED_VALUE"""),"2020-04-23 00:00:00")</f>
        <v>2020-04-23 00:00:00</v>
      </c>
      <c r="MT1" s="3" t="str">
        <f ca="1">IFERROR(__xludf.DUMMYFUNCTION("""COMPUTED_VALUE"""),"2020-04-22 00:00:00")</f>
        <v>2020-04-22 00:00:00</v>
      </c>
      <c r="MU1" s="3" t="str">
        <f ca="1">IFERROR(__xludf.DUMMYFUNCTION("""COMPUTED_VALUE"""),"2020-04-21 00:00:00")</f>
        <v>2020-04-21 00:00:00</v>
      </c>
      <c r="MV1" s="3" t="str">
        <f ca="1">IFERROR(__xludf.DUMMYFUNCTION("""COMPUTED_VALUE"""),"2020-04-20 00:00:00")</f>
        <v>2020-04-20 00:00:00</v>
      </c>
      <c r="MW1" s="3" t="str">
        <f ca="1">IFERROR(__xludf.DUMMYFUNCTION("""COMPUTED_VALUE"""),"2020-04-19 00:00:00")</f>
        <v>2020-04-19 00:00:00</v>
      </c>
      <c r="MX1" s="3" t="str">
        <f ca="1">IFERROR(__xludf.DUMMYFUNCTION("""COMPUTED_VALUE"""),"2020-04-18 00:00:00")</f>
        <v>2020-04-18 00:00:00</v>
      </c>
      <c r="MY1" s="3" t="str">
        <f ca="1">IFERROR(__xludf.DUMMYFUNCTION("""COMPUTED_VALUE"""),"2020-04-17 00:00:00")</f>
        <v>2020-04-17 00:00:00</v>
      </c>
      <c r="MZ1" s="3" t="str">
        <f ca="1">IFERROR(__xludf.DUMMYFUNCTION("""COMPUTED_VALUE"""),"2020-04-16 00:00:00")</f>
        <v>2020-04-16 00:00:00</v>
      </c>
      <c r="NA1" s="3" t="str">
        <f ca="1">IFERROR(__xludf.DUMMYFUNCTION("""COMPUTED_VALUE"""),"2020-04-15 00:00:00")</f>
        <v>2020-04-15 00:00:00</v>
      </c>
      <c r="NB1" s="3" t="str">
        <f ca="1">IFERROR(__xludf.DUMMYFUNCTION("""COMPUTED_VALUE"""),"2020-04-14 00:00:00")</f>
        <v>2020-04-14 00:00:00</v>
      </c>
      <c r="NC1" s="3" t="str">
        <f ca="1">IFERROR(__xludf.DUMMYFUNCTION("""COMPUTED_VALUE"""),"2020-04-13 00:00:00")</f>
        <v>2020-04-13 00:00:00</v>
      </c>
      <c r="ND1" s="3" t="str">
        <f ca="1">IFERROR(__xludf.DUMMYFUNCTION("""COMPUTED_VALUE"""),"2020-04-12 00:00:00")</f>
        <v>2020-04-12 00:00:00</v>
      </c>
      <c r="NE1" s="3" t="str">
        <f ca="1">IFERROR(__xludf.DUMMYFUNCTION("""COMPUTED_VALUE"""),"2020-04-11 00:00:00")</f>
        <v>2020-04-11 00:00:00</v>
      </c>
      <c r="NF1" s="3" t="str">
        <f ca="1">IFERROR(__xludf.DUMMYFUNCTION("""COMPUTED_VALUE"""),"2020-04-10 00:00:00")</f>
        <v>2020-04-10 00:00:00</v>
      </c>
      <c r="NG1" s="3" t="str">
        <f ca="1">IFERROR(__xludf.DUMMYFUNCTION("""COMPUTED_VALUE"""),"2020-04-09 00:00:00")</f>
        <v>2020-04-09 00:00:00</v>
      </c>
      <c r="NH1" s="3" t="str">
        <f ca="1">IFERROR(__xludf.DUMMYFUNCTION("""COMPUTED_VALUE"""),"2020-04-08 00:00:00")</f>
        <v>2020-04-08 00:00:00</v>
      </c>
      <c r="NI1" s="3" t="str">
        <f ca="1">IFERROR(__xludf.DUMMYFUNCTION("""COMPUTED_VALUE"""),"2020-04-07 00:00:00")</f>
        <v>2020-04-07 00:00:00</v>
      </c>
      <c r="NJ1" s="3" t="str">
        <f ca="1">IFERROR(__xludf.DUMMYFUNCTION("""COMPUTED_VALUE"""),"2020-04-06 00:00:00")</f>
        <v>2020-04-06 00:00:00</v>
      </c>
      <c r="NK1" s="3" t="str">
        <f ca="1">IFERROR(__xludf.DUMMYFUNCTION("""COMPUTED_VALUE"""),"2020-04-05 00:00:00")</f>
        <v>2020-04-05 00:00:00</v>
      </c>
      <c r="NL1" s="3" t="str">
        <f ca="1">IFERROR(__xludf.DUMMYFUNCTION("""COMPUTED_VALUE"""),"2020-04-04 00:00:00")</f>
        <v>2020-04-04 00:00:00</v>
      </c>
      <c r="NM1" s="3" t="str">
        <f ca="1">IFERROR(__xludf.DUMMYFUNCTION("""COMPUTED_VALUE"""),"2020-04-03 00:00:00")</f>
        <v>2020-04-03 00:00:00</v>
      </c>
      <c r="NN1" s="3" t="str">
        <f ca="1">IFERROR(__xludf.DUMMYFUNCTION("""COMPUTED_VALUE"""),"2020-04-02 00:00:00")</f>
        <v>2020-04-02 00:00:00</v>
      </c>
      <c r="NO1" s="3" t="str">
        <f ca="1">IFERROR(__xludf.DUMMYFUNCTION("""COMPUTED_VALUE"""),"2020-04-01 00:00:00")</f>
        <v>2020-04-01 00:00:00</v>
      </c>
      <c r="NP1" s="3" t="str">
        <f ca="1">IFERROR(__xludf.DUMMYFUNCTION("""COMPUTED_VALUE"""),"2020-03-31 00:00:00")</f>
        <v>2020-03-31 00:00:00</v>
      </c>
      <c r="NQ1" s="3" t="str">
        <f ca="1">IFERROR(__xludf.DUMMYFUNCTION("""COMPUTED_VALUE"""),"2020-03-30 00:00:00")</f>
        <v>2020-03-30 00:00:00</v>
      </c>
      <c r="NR1" s="3" t="str">
        <f ca="1">IFERROR(__xludf.DUMMYFUNCTION("""COMPUTED_VALUE"""),"2020-03-29 00:00:00")</f>
        <v>2020-03-29 00:00:00</v>
      </c>
      <c r="NS1" s="3" t="str">
        <f ca="1">IFERROR(__xludf.DUMMYFUNCTION("""COMPUTED_VALUE"""),"2020-03-28 00:00:00")</f>
        <v>2020-03-28 00:00:00</v>
      </c>
      <c r="NT1" s="3" t="str">
        <f ca="1">IFERROR(__xludf.DUMMYFUNCTION("""COMPUTED_VALUE"""),"2020-03-27 00:00:00")</f>
        <v>2020-03-27 00:00:00</v>
      </c>
      <c r="NU1" s="3" t="str">
        <f ca="1">IFERROR(__xludf.DUMMYFUNCTION("""COMPUTED_VALUE"""),"2020-03-26 00:00:00")</f>
        <v>2020-03-26 00:00:00</v>
      </c>
      <c r="NV1" s="3" t="str">
        <f ca="1">IFERROR(__xludf.DUMMYFUNCTION("""COMPUTED_VALUE"""),"2020-03-25 00:00:00")</f>
        <v>2020-03-25 00:00:00</v>
      </c>
      <c r="NW1" s="3" t="str">
        <f ca="1">IFERROR(__xludf.DUMMYFUNCTION("""COMPUTED_VALUE"""),"2020-03-24 00:00:00")</f>
        <v>2020-03-24 00:00:00</v>
      </c>
      <c r="NX1" s="3" t="str">
        <f ca="1">IFERROR(__xludf.DUMMYFUNCTION("""COMPUTED_VALUE"""),"2020-03-23 00:00:00")</f>
        <v>2020-03-23 00:00:00</v>
      </c>
      <c r="NY1" s="3" t="str">
        <f ca="1">IFERROR(__xludf.DUMMYFUNCTION("""COMPUTED_VALUE"""),"2020-03-22 00:00:00")</f>
        <v>2020-03-22 00:00:00</v>
      </c>
      <c r="NZ1" s="3" t="str">
        <f ca="1">IFERROR(__xludf.DUMMYFUNCTION("""COMPUTED_VALUE"""),"2020-03-21 00:00:00")</f>
        <v>2020-03-21 00:00:00</v>
      </c>
      <c r="OA1" s="3" t="str">
        <f ca="1">IFERROR(__xludf.DUMMYFUNCTION("""COMPUTED_VALUE"""),"2020-03-20 00:00:00")</f>
        <v>2020-03-20 00:00:00</v>
      </c>
      <c r="OB1" s="3" t="str">
        <f ca="1">IFERROR(__xludf.DUMMYFUNCTION("""COMPUTED_VALUE"""),"2020-03-19 00:00:00")</f>
        <v>2020-03-19 00:00:00</v>
      </c>
      <c r="OC1" s="3" t="str">
        <f ca="1">IFERROR(__xludf.DUMMYFUNCTION("""COMPUTED_VALUE"""),"2020-03-18 00:00:00")</f>
        <v>2020-03-18 00:00:00</v>
      </c>
      <c r="OD1" s="3" t="str">
        <f ca="1">IFERROR(__xludf.DUMMYFUNCTION("""COMPUTED_VALUE"""),"2020-03-17 00:00:00")</f>
        <v>2020-03-17 00:00:00</v>
      </c>
      <c r="OE1" s="3" t="str">
        <f ca="1">IFERROR(__xludf.DUMMYFUNCTION("""COMPUTED_VALUE"""),"2020-03-16 00:00:00")</f>
        <v>2020-03-16 00:00:00</v>
      </c>
      <c r="OF1" s="3" t="str">
        <f ca="1">IFERROR(__xludf.DUMMYFUNCTION("""COMPUTED_VALUE"""),"2020-03-15 00:00:00")</f>
        <v>2020-03-15 00:00:00</v>
      </c>
      <c r="OG1" s="3" t="str">
        <f ca="1">IFERROR(__xludf.DUMMYFUNCTION("""COMPUTED_VALUE"""),"2020-03-14 00:00:00")</f>
        <v>2020-03-14 00:00:00</v>
      </c>
      <c r="OH1" s="3" t="str">
        <f ca="1">IFERROR(__xludf.DUMMYFUNCTION("""COMPUTED_VALUE"""),"2020-03-13 00:00:00")</f>
        <v>2020-03-13 00:00:00</v>
      </c>
      <c r="OI1" s="3" t="str">
        <f ca="1">IFERROR(__xludf.DUMMYFUNCTION("""COMPUTED_VALUE"""),"2020-03-12 00:00:00")</f>
        <v>2020-03-12 00:00:00</v>
      </c>
      <c r="OJ1" s="3" t="str">
        <f ca="1">IFERROR(__xludf.DUMMYFUNCTION("""COMPUTED_VALUE"""),"2020-03-11 00:00:00")</f>
        <v>2020-03-11 00:00:00</v>
      </c>
      <c r="OK1" s="3" t="str">
        <f ca="1">IFERROR(__xludf.DUMMYFUNCTION("""COMPUTED_VALUE"""),"2020-03-10 00:00:00")</f>
        <v>2020-03-10 00:00:00</v>
      </c>
      <c r="OL1" s="3" t="str">
        <f ca="1">IFERROR(__xludf.DUMMYFUNCTION("""COMPUTED_VALUE"""),"2020-03-09 00:00:00")</f>
        <v>2020-03-09 00:00:00</v>
      </c>
      <c r="OM1" s="3" t="str">
        <f ca="1">IFERROR(__xludf.DUMMYFUNCTION("""COMPUTED_VALUE"""),"2020-03-08 00:00:00")</f>
        <v>2020-03-08 00:00:00</v>
      </c>
      <c r="ON1" s="3" t="str">
        <f ca="1">IFERROR(__xludf.DUMMYFUNCTION("""COMPUTED_VALUE"""),"2020-03-07 00:00:00")</f>
        <v>2020-03-07 00:00:00</v>
      </c>
      <c r="OO1" s="3" t="str">
        <f ca="1">IFERROR(__xludf.DUMMYFUNCTION("""COMPUTED_VALUE"""),"2020-03-06 00:00:00")</f>
        <v>2020-03-06 00:00:00</v>
      </c>
      <c r="OP1" s="3" t="str">
        <f ca="1">IFERROR(__xludf.DUMMYFUNCTION("""COMPUTED_VALUE"""),"2020-03-05 00:00:00")</f>
        <v>2020-03-05 00:00:00</v>
      </c>
      <c r="OQ1" s="3" t="str">
        <f ca="1">IFERROR(__xludf.DUMMYFUNCTION("""COMPUTED_VALUE"""),"2020-03-04 00:00:00")</f>
        <v>2020-03-04 00:00:00</v>
      </c>
      <c r="OR1" s="3" t="str">
        <f ca="1">IFERROR(__xludf.DUMMYFUNCTION("""COMPUTED_VALUE"""),"2020-03-03 00:00:00")</f>
        <v>2020-03-03 00:00:00</v>
      </c>
      <c r="OS1" s="3" t="str">
        <f ca="1">IFERROR(__xludf.DUMMYFUNCTION("""COMPUTED_VALUE"""),"2020-03-02 00:00:00")</f>
        <v>2020-03-02 00:00:00</v>
      </c>
      <c r="OT1" s="3" t="str">
        <f ca="1">IFERROR(__xludf.DUMMYFUNCTION("""COMPUTED_VALUE"""),"2020-03-01 00:00:00")</f>
        <v>2020-03-01 00:00:00</v>
      </c>
      <c r="OU1" s="3" t="str">
        <f ca="1">IFERROR(__xludf.DUMMYFUNCTION("""COMPUTED_VALUE"""),"2020-02-29 00:00:00")</f>
        <v>2020-02-29 00:00:00</v>
      </c>
      <c r="OV1" s="3" t="str">
        <f ca="1">IFERROR(__xludf.DUMMYFUNCTION("""COMPUTED_VALUE"""),"2020-02-28 00:00:00")</f>
        <v>2020-02-28 00:00:00</v>
      </c>
      <c r="OW1" s="3" t="str">
        <f ca="1">IFERROR(__xludf.DUMMYFUNCTION("""COMPUTED_VALUE"""),"2020-02-27 00:00:00")</f>
        <v>2020-02-27 00:00:00</v>
      </c>
      <c r="OX1" s="3" t="str">
        <f ca="1">IFERROR(__xludf.DUMMYFUNCTION("""COMPUTED_VALUE"""),"2020-02-26 00:00:00")</f>
        <v>2020-02-26 00:00:00</v>
      </c>
      <c r="OY1" s="3" t="str">
        <f ca="1">IFERROR(__xludf.DUMMYFUNCTION("""COMPUTED_VALUE"""),"2020-02-25 00:00:00")</f>
        <v>2020-02-25 00:00:00</v>
      </c>
      <c r="OZ1" s="3" t="str">
        <f ca="1">IFERROR(__xludf.DUMMYFUNCTION("""COMPUTED_VALUE"""),"2020-02-24 00:00:00")</f>
        <v>2020-02-24 00:00:00</v>
      </c>
      <c r="PA1" s="3" t="str">
        <f ca="1">IFERROR(__xludf.DUMMYFUNCTION("""COMPUTED_VALUE"""),"2020-02-23 00:00:00")</f>
        <v>2020-02-23 00:00:00</v>
      </c>
      <c r="PB1" s="3" t="str">
        <f ca="1">IFERROR(__xludf.DUMMYFUNCTION("""COMPUTED_VALUE"""),"2020-02-22 00:00:00")</f>
        <v>2020-02-22 00:00:00</v>
      </c>
      <c r="PC1" s="3" t="str">
        <f ca="1">IFERROR(__xludf.DUMMYFUNCTION("""COMPUTED_VALUE"""),"2020-02-21 00:00:00")</f>
        <v>2020-02-21 00:00:00</v>
      </c>
      <c r="PD1" s="3" t="str">
        <f ca="1">IFERROR(__xludf.DUMMYFUNCTION("""COMPUTED_VALUE"""),"2020-02-20 00:00:00")</f>
        <v>2020-02-20 00:00:00</v>
      </c>
      <c r="PE1" s="3" t="str">
        <f ca="1">IFERROR(__xludf.DUMMYFUNCTION("""COMPUTED_VALUE"""),"2020-02-19 00:00:00")</f>
        <v>2020-02-19 00:00:00</v>
      </c>
      <c r="PF1" s="3" t="str">
        <f ca="1">IFERROR(__xludf.DUMMYFUNCTION("""COMPUTED_VALUE"""),"2020-02-18 00:00:00")</f>
        <v>2020-02-18 00:00:00</v>
      </c>
      <c r="PG1" s="3" t="str">
        <f ca="1">IFERROR(__xludf.DUMMYFUNCTION("""COMPUTED_VALUE"""),"2020-02-17 00:00:00")</f>
        <v>2020-02-17 00:00:00</v>
      </c>
      <c r="PH1" s="3" t="str">
        <f ca="1">IFERROR(__xludf.DUMMYFUNCTION("""COMPUTED_VALUE"""),"2020-02-16 00:00:00")</f>
        <v>2020-02-16 00:00:00</v>
      </c>
      <c r="PI1" s="3" t="str">
        <f ca="1">IFERROR(__xludf.DUMMYFUNCTION("""COMPUTED_VALUE"""),"2020-02-15 00:00:00")</f>
        <v>2020-02-15 00:00:00</v>
      </c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</row>
    <row r="2" spans="1:477" ht="15.75" customHeight="1">
      <c r="A2" s="1" t="str">
        <f ca="1">IFERROR(__xludf.DUMMYFUNCTION("""COMPUTED_VALUE"""),"CDTA")</f>
        <v>CDTA</v>
      </c>
      <c r="B2" s="1" t="str">
        <f ca="1">IFERROR(__xludf.DUMMYFUNCTION("""COMPUTED_VALUE"""),"Albany")</f>
        <v>Albany</v>
      </c>
      <c r="C2" s="1" t="str">
        <f ca="1">IFERROR(__xludf.DUMMYFUNCTION("""COMPUTED_VALUE"""),"United States")</f>
        <v>United States</v>
      </c>
      <c r="D2" s="1" t="str">
        <f ca="1">IFERROR(__xludf.DUMMYFUNCTION("""COMPUTED_VALUE"""),"New York")</f>
        <v>New York</v>
      </c>
      <c r="E2" s="3">
        <f ca="1">IFERROR(__xludf.DUMMYFUNCTION("""COMPUTED_VALUE"""),-0.252945570960213)</f>
        <v>-0.25294557096021297</v>
      </c>
      <c r="F2" s="3">
        <f ca="1">IFERROR(__xludf.DUMMYFUNCTION("""COMPUTED_VALUE"""),-0.378803385225223)</f>
        <v>-0.378803385225223</v>
      </c>
      <c r="G2" s="3">
        <f ca="1">IFERROR(__xludf.DUMMYFUNCTION("""COMPUTED_VALUE"""),-0.380032131188041)</f>
        <v>-0.38003213118804102</v>
      </c>
      <c r="H2" s="3">
        <f ca="1">IFERROR(__xludf.DUMMYFUNCTION("""COMPUTED_VALUE"""),-0.427440126390503)</f>
        <v>-0.42744012639050299</v>
      </c>
      <c r="I2" s="3">
        <f ca="1">IFERROR(__xludf.DUMMYFUNCTION("""COMPUTED_VALUE"""),-0.315252811905341)</f>
        <v>-0.31525281190534099</v>
      </c>
      <c r="J2" s="3">
        <f ca="1">IFERROR(__xludf.DUMMYFUNCTION("""COMPUTED_VALUE"""),-0.416040495715551)</f>
        <v>-0.41604049571555102</v>
      </c>
      <c r="K2" s="3">
        <f ca="1">IFERROR(__xludf.DUMMYFUNCTION("""COMPUTED_VALUE"""),-0.483369004593368)</f>
        <v>-0.48336900459336801</v>
      </c>
      <c r="L2" s="3">
        <f ca="1">IFERROR(__xludf.DUMMYFUNCTION("""COMPUTED_VALUE"""),-0.420523128949287)</f>
        <v>-0.42052312894928701</v>
      </c>
      <c r="M2" s="3">
        <f ca="1">IFERROR(__xludf.DUMMYFUNCTION("""COMPUTED_VALUE"""),-0.465422261213867)</f>
        <v>-0.46542226121386698</v>
      </c>
      <c r="N2" s="3">
        <f ca="1">IFERROR(__xludf.DUMMYFUNCTION("""COMPUTED_VALUE"""),-0.447178239226843)</f>
        <v>-0.44717823922684302</v>
      </c>
      <c r="O2" s="3">
        <f ca="1">IFERROR(__xludf.DUMMYFUNCTION("""COMPUTED_VALUE"""),-0.461917573755835)</f>
        <v>-0.46191757375583498</v>
      </c>
      <c r="P2" s="3">
        <f ca="1">IFERROR(__xludf.DUMMYFUNCTION("""COMPUTED_VALUE"""),-0.368635816995217)</f>
        <v>-0.36863581699521702</v>
      </c>
      <c r="Q2" s="3">
        <f ca="1">IFERROR(__xludf.DUMMYFUNCTION("""COMPUTED_VALUE"""),-0.418225602801813)</f>
        <v>-0.41822560280181298</v>
      </c>
      <c r="R2" s="3">
        <f ca="1">IFERROR(__xludf.DUMMYFUNCTION("""COMPUTED_VALUE"""),-0.456930429731978)</f>
        <v>-0.45693042973197801</v>
      </c>
      <c r="S2" s="3">
        <f ca="1">IFERROR(__xludf.DUMMYFUNCTION("""COMPUTED_VALUE"""),-0.170406441790641)</f>
        <v>-0.17040644179064099</v>
      </c>
      <c r="T2" s="3">
        <f ca="1">IFERROR(__xludf.DUMMYFUNCTION("""COMPUTED_VALUE"""),-0.308538168590765)</f>
        <v>-0.30853816859076499</v>
      </c>
      <c r="U2" s="3">
        <f ca="1">IFERROR(__xludf.DUMMYFUNCTION("""COMPUTED_VALUE"""),-0.246322372039885)</f>
        <v>-0.246322372039885</v>
      </c>
      <c r="V2" s="3">
        <f ca="1">IFERROR(__xludf.DUMMYFUNCTION("""COMPUTED_VALUE"""),-0.326820496969186)</f>
        <v>-0.32682049696918603</v>
      </c>
      <c r="W2" s="3">
        <f ca="1">IFERROR(__xludf.DUMMYFUNCTION("""COMPUTED_VALUE"""),-0.19994382522839)</f>
        <v>-0.19994382522838999</v>
      </c>
      <c r="X2" s="3">
        <f ca="1">IFERROR(__xludf.DUMMYFUNCTION("""COMPUTED_VALUE"""),-0.30773003170883)</f>
        <v>-0.30773003170883001</v>
      </c>
      <c r="Y2" s="3">
        <f ca="1">IFERROR(__xludf.DUMMYFUNCTION("""COMPUTED_VALUE"""),-0.155308230307823)</f>
        <v>-0.15530823030782301</v>
      </c>
      <c r="Z2" s="3">
        <f ca="1">IFERROR(__xludf.DUMMYFUNCTION("""COMPUTED_VALUE"""),-0.035538667558348)</f>
        <v>-3.5538667558348003E-2</v>
      </c>
      <c r="AA2" s="3">
        <f ca="1">IFERROR(__xludf.DUMMYFUNCTION("""COMPUTED_VALUE"""),-0.23859055210746)</f>
        <v>-0.23859055210746</v>
      </c>
      <c r="AB2" s="3">
        <f ca="1">IFERROR(__xludf.DUMMYFUNCTION("""COMPUTED_VALUE"""),-0.318982767595553)</f>
        <v>-0.318982767595553</v>
      </c>
      <c r="AC2" s="3">
        <f ca="1">IFERROR(__xludf.DUMMYFUNCTION("""COMPUTED_VALUE"""),-0.286995470367715)</f>
        <v>-0.286995470367715</v>
      </c>
      <c r="AD2" s="3">
        <f ca="1">IFERROR(__xludf.DUMMYFUNCTION("""COMPUTED_VALUE"""),-0.229444168902648)</f>
        <v>-0.22944416890264799</v>
      </c>
      <c r="AE2" s="3">
        <f ca="1">IFERROR(__xludf.DUMMYFUNCTION("""COMPUTED_VALUE"""),-0.261530752413973)</f>
        <v>-0.261530752413973</v>
      </c>
      <c r="AF2" s="3">
        <f ca="1">IFERROR(__xludf.DUMMYFUNCTION("""COMPUTED_VALUE"""),-0.141628342475303)</f>
        <v>-0.14162834247530301</v>
      </c>
      <c r="AG2" s="3">
        <f ca="1">IFERROR(__xludf.DUMMYFUNCTION("""COMPUTED_VALUE"""),-0.0815859570295062)</f>
        <v>-8.1585957029506204E-2</v>
      </c>
      <c r="AH2" s="3">
        <f ca="1">IFERROR(__xludf.DUMMYFUNCTION("""COMPUTED_VALUE"""),-0.179105256604543)</f>
        <v>-0.17910525660454299</v>
      </c>
      <c r="AI2" s="3">
        <f ca="1">IFERROR(__xludf.DUMMYFUNCTION("""COMPUTED_VALUE"""),-0.248268965557883)</f>
        <v>-0.248268965557883</v>
      </c>
      <c r="AJ2" s="3">
        <f ca="1">IFERROR(__xludf.DUMMYFUNCTION("""COMPUTED_VALUE"""),-0.301513314627231)</f>
        <v>-0.30151331462723102</v>
      </c>
      <c r="AK2" s="3">
        <f ca="1">IFERROR(__xludf.DUMMYFUNCTION("""COMPUTED_VALUE"""),-0.389446086987823)</f>
        <v>-0.38944608698782301</v>
      </c>
      <c r="AL2" s="3">
        <f ca="1">IFERROR(__xludf.DUMMYFUNCTION("""COMPUTED_VALUE"""),-0.403813165122387)</f>
        <v>-0.40381316512238702</v>
      </c>
      <c r="AM2" s="3">
        <f ca="1">IFERROR(__xludf.DUMMYFUNCTION("""COMPUTED_VALUE"""),-0.292704664548543)</f>
        <v>-0.29270466454854299</v>
      </c>
      <c r="AN2" s="3">
        <f ca="1">IFERROR(__xludf.DUMMYFUNCTION("""COMPUTED_VALUE"""),-0.307325368968067)</f>
        <v>-0.307325368968067</v>
      </c>
      <c r="AO2" s="3">
        <f ca="1">IFERROR(__xludf.DUMMYFUNCTION("""COMPUTED_VALUE"""),-0.39437133355161)</f>
        <v>-0.39437133355161003</v>
      </c>
      <c r="AP2" s="3">
        <f ca="1">IFERROR(__xludf.DUMMYFUNCTION("""COMPUTED_VALUE"""),-0.479869625222239)</f>
        <v>-0.47986962522223903</v>
      </c>
      <c r="AQ2" s="3">
        <f ca="1">IFERROR(__xludf.DUMMYFUNCTION("""COMPUTED_VALUE"""),-0.401724526810839)</f>
        <v>-0.40172452681083898</v>
      </c>
      <c r="AR2" s="3">
        <f ca="1">IFERROR(__xludf.DUMMYFUNCTION("""COMPUTED_VALUE"""),-0.450466137672938)</f>
        <v>-0.45046613767293803</v>
      </c>
      <c r="AS2" s="3">
        <f ca="1">IFERROR(__xludf.DUMMYFUNCTION("""COMPUTED_VALUE"""),-0.467274248015427)</f>
        <v>-0.467274248015427</v>
      </c>
      <c r="AT2" s="3">
        <f ca="1">IFERROR(__xludf.DUMMYFUNCTION("""COMPUTED_VALUE"""),-0.411602579824322)</f>
        <v>-0.41160257982432202</v>
      </c>
      <c r="AU2" s="3">
        <f ca="1">IFERROR(__xludf.DUMMYFUNCTION("""COMPUTED_VALUE"""),-0.427839057210487)</f>
        <v>-0.42783905721048698</v>
      </c>
      <c r="AV2" s="3">
        <f ca="1">IFERROR(__xludf.DUMMYFUNCTION("""COMPUTED_VALUE"""),-0.446503834113799)</f>
        <v>-0.44650383411379901</v>
      </c>
      <c r="AW2" s="3">
        <f ca="1">IFERROR(__xludf.DUMMYFUNCTION("""COMPUTED_VALUE"""),-0.492762936566832)</f>
        <v>-0.49276293656683201</v>
      </c>
      <c r="AX2" s="3">
        <f ca="1">IFERROR(__xludf.DUMMYFUNCTION("""COMPUTED_VALUE"""),-0.492395540727414)</f>
        <v>-0.49239554072741398</v>
      </c>
      <c r="AY2" s="3">
        <f ca="1">IFERROR(__xludf.DUMMYFUNCTION("""COMPUTED_VALUE"""),-0.541904203575645)</f>
        <v>-0.54190420357564495</v>
      </c>
      <c r="AZ2" s="3">
        <f ca="1">IFERROR(__xludf.DUMMYFUNCTION("""COMPUTED_VALUE"""),-0.449469225993416)</f>
        <v>-0.44946922599341599</v>
      </c>
      <c r="BA2" s="3">
        <f ca="1">IFERROR(__xludf.DUMMYFUNCTION("""COMPUTED_VALUE"""),-0.373295937216461)</f>
        <v>-0.37329593721646098</v>
      </c>
      <c r="BB2" s="3">
        <f ca="1">IFERROR(__xludf.DUMMYFUNCTION("""COMPUTED_VALUE"""),-0.45990937962857)</f>
        <v>-0.45990937962856998</v>
      </c>
      <c r="BC2" s="3">
        <f ca="1">IFERROR(__xludf.DUMMYFUNCTION("""COMPUTED_VALUE"""),-0.502289816125248)</f>
        <v>-0.50228981612524803</v>
      </c>
      <c r="BD2" s="3">
        <f ca="1">IFERROR(__xludf.DUMMYFUNCTION("""COMPUTED_VALUE"""),-0.566855214756613)</f>
        <v>-0.56685521475661305</v>
      </c>
      <c r="BE2" s="3">
        <f ca="1">IFERROR(__xludf.DUMMYFUNCTION("""COMPUTED_VALUE"""),-0.421079234620379)</f>
        <v>-0.42107923462037899</v>
      </c>
      <c r="BF2" s="3">
        <f ca="1">IFERROR(__xludf.DUMMYFUNCTION("""COMPUTED_VALUE"""),-0.424292030020958)</f>
        <v>-0.424292030020958</v>
      </c>
      <c r="BG2" s="3">
        <f ca="1">IFERROR(__xludf.DUMMYFUNCTION("""COMPUTED_VALUE"""),-0.501297595867645)</f>
        <v>-0.501297595867645</v>
      </c>
      <c r="BH2" s="3">
        <f ca="1">IFERROR(__xludf.DUMMYFUNCTION("""COMPUTED_VALUE"""),-0.358064497460703)</f>
        <v>-0.35806449746070301</v>
      </c>
      <c r="BI2" s="3">
        <f ca="1">IFERROR(__xludf.DUMMYFUNCTION("""COMPUTED_VALUE"""),-0.313455271928937)</f>
        <v>-0.31345527192893702</v>
      </c>
      <c r="BJ2" s="3">
        <f ca="1">IFERROR(__xludf.DUMMYFUNCTION("""COMPUTED_VALUE"""),-0.467945278092303)</f>
        <v>-0.46794527809230302</v>
      </c>
      <c r="BK2" s="3">
        <f ca="1">IFERROR(__xludf.DUMMYFUNCTION("""COMPUTED_VALUE"""),-0.46200501008445)</f>
        <v>-0.46200501008445</v>
      </c>
      <c r="BL2" s="3">
        <f ca="1">IFERROR(__xludf.DUMMYFUNCTION("""COMPUTED_VALUE"""),-0.487479378670979)</f>
        <v>-0.48747937867097901</v>
      </c>
      <c r="BM2" s="3">
        <f ca="1">IFERROR(__xludf.DUMMYFUNCTION("""COMPUTED_VALUE"""),-0.443760306265144)</f>
        <v>-0.44376030626514401</v>
      </c>
      <c r="BN2" s="3">
        <f ca="1">IFERROR(__xludf.DUMMYFUNCTION("""COMPUTED_VALUE"""),-0.488936566849599)</f>
        <v>-0.48893656684959902</v>
      </c>
      <c r="BO2" s="3">
        <f ca="1">IFERROR(__xludf.DUMMYFUNCTION("""COMPUTED_VALUE"""),-0.44596344776632)</f>
        <v>-0.44596344776632002</v>
      </c>
      <c r="BP2" s="3">
        <f ca="1">IFERROR(__xludf.DUMMYFUNCTION("""COMPUTED_VALUE"""),-0.378994095341975)</f>
        <v>-0.37899409534197498</v>
      </c>
      <c r="BQ2" s="3">
        <f ca="1">IFERROR(__xludf.DUMMYFUNCTION("""COMPUTED_VALUE"""),-0.490069190959422)</f>
        <v>-0.49006919095942197</v>
      </c>
      <c r="BR2" s="3">
        <f ca="1">IFERROR(__xludf.DUMMYFUNCTION("""COMPUTED_VALUE"""),-0.489755135326661)</f>
        <v>-0.48975513532666098</v>
      </c>
      <c r="BS2" s="3">
        <f ca="1">IFERROR(__xludf.DUMMYFUNCTION("""COMPUTED_VALUE"""),-0.521872010355401)</f>
        <v>-0.52187201035540098</v>
      </c>
      <c r="BT2" s="3">
        <f ca="1">IFERROR(__xludf.DUMMYFUNCTION("""COMPUTED_VALUE"""),-0.594711971613971)</f>
        <v>-0.59471197161397105</v>
      </c>
      <c r="BU2" s="3">
        <f ca="1">IFERROR(__xludf.DUMMYFUNCTION("""COMPUTED_VALUE"""),-0.590911406899465)</f>
        <v>-0.59091140689946497</v>
      </c>
      <c r="BV2" s="3">
        <f ca="1">IFERROR(__xludf.DUMMYFUNCTION("""COMPUTED_VALUE"""),-0.533141879412335)</f>
        <v>-0.53314187941233504</v>
      </c>
      <c r="BW2" s="3">
        <f ca="1">IFERROR(__xludf.DUMMYFUNCTION("""COMPUTED_VALUE"""),-0.537503616876043)</f>
        <v>-0.53750361687604298</v>
      </c>
      <c r="BX2" s="3">
        <f ca="1">IFERROR(__xludf.DUMMYFUNCTION("""COMPUTED_VALUE"""),-0.599189063313756)</f>
        <v>-0.59918906331375599</v>
      </c>
      <c r="BY2" s="3">
        <f ca="1">IFERROR(__xludf.DUMMYFUNCTION("""COMPUTED_VALUE"""),-0.633899648396623)</f>
        <v>-0.63389964839662305</v>
      </c>
      <c r="BZ2" s="3">
        <f ca="1">IFERROR(__xludf.DUMMYFUNCTION("""COMPUTED_VALUE"""),-0.637979135752972)</f>
        <v>-0.63797913575297205</v>
      </c>
      <c r="CA2" s="3">
        <f ca="1">IFERROR(__xludf.DUMMYFUNCTION("""COMPUTED_VALUE"""),-0.645552175858491)</f>
        <v>-0.64555217585849101</v>
      </c>
      <c r="CB2" s="3">
        <f ca="1">IFERROR(__xludf.DUMMYFUNCTION("""COMPUTED_VALUE"""),-0.623845578534392)</f>
        <v>-0.62384557853439204</v>
      </c>
      <c r="CC2" s="3">
        <f ca="1">IFERROR(__xludf.DUMMYFUNCTION("""COMPUTED_VALUE"""),-0.571893515014483)</f>
        <v>-0.57189351501448304</v>
      </c>
      <c r="CD2" s="3">
        <f ca="1">IFERROR(__xludf.DUMMYFUNCTION("""COMPUTED_VALUE"""),-0.582671738799257)</f>
        <v>-0.58267173879925704</v>
      </c>
      <c r="CE2" s="3">
        <f ca="1">IFERROR(__xludf.DUMMYFUNCTION("""COMPUTED_VALUE"""),-0.566390358061701)</f>
        <v>-0.56639035806170102</v>
      </c>
      <c r="CF2" s="3">
        <f ca="1">IFERROR(__xludf.DUMMYFUNCTION("""COMPUTED_VALUE"""),-0.622098286357124)</f>
        <v>-0.62209828635712405</v>
      </c>
      <c r="CG2" s="3">
        <f ca="1">IFERROR(__xludf.DUMMYFUNCTION("""COMPUTED_VALUE"""),-0.622274093109418)</f>
        <v>-0.62227409310941795</v>
      </c>
      <c r="CH2" s="3">
        <f ca="1">IFERROR(__xludf.DUMMYFUNCTION("""COMPUTED_VALUE"""),-0.635008193234685)</f>
        <v>-0.63500819323468505</v>
      </c>
      <c r="CI2" s="3">
        <f ca="1">IFERROR(__xludf.DUMMYFUNCTION("""COMPUTED_VALUE"""),-0.528757341994076)</f>
        <v>-0.52875734199407598</v>
      </c>
      <c r="CJ2" s="3">
        <f ca="1">IFERROR(__xludf.DUMMYFUNCTION("""COMPUTED_VALUE"""),-0.522393201622111)</f>
        <v>-0.522393201622111</v>
      </c>
      <c r="CK2" s="3">
        <f ca="1">IFERROR(__xludf.DUMMYFUNCTION("""COMPUTED_VALUE"""),-0.519338357327117)</f>
        <v>-0.51933835732711697</v>
      </c>
      <c r="CL2" s="3">
        <f ca="1">IFERROR(__xludf.DUMMYFUNCTION("""COMPUTED_VALUE"""),-0.549611956291671)</f>
        <v>-0.54961195629167103</v>
      </c>
      <c r="CM2" s="3">
        <f ca="1">IFERROR(__xludf.DUMMYFUNCTION("""COMPUTED_VALUE"""),-0.539495039521788)</f>
        <v>-0.53949503952178801</v>
      </c>
      <c r="CN2" s="3">
        <f ca="1">IFERROR(__xludf.DUMMYFUNCTION("""COMPUTED_VALUE"""),-0.531585550932563)</f>
        <v>-0.53158555093256299</v>
      </c>
      <c r="CO2" s="3">
        <f ca="1">IFERROR(__xludf.DUMMYFUNCTION("""COMPUTED_VALUE"""),-0.523584471302643)</f>
        <v>-0.52358447130264296</v>
      </c>
      <c r="CP2" s="3">
        <f ca="1">IFERROR(__xludf.DUMMYFUNCTION("""COMPUTED_VALUE"""),-0.468625660602939)</f>
        <v>-0.46862566060293898</v>
      </c>
      <c r="CQ2" s="3">
        <f ca="1">IFERROR(__xludf.DUMMYFUNCTION("""COMPUTED_VALUE"""),-0.34934246479983)</f>
        <v>-0.34934246479983</v>
      </c>
      <c r="CR2" s="3">
        <f ca="1">IFERROR(__xludf.DUMMYFUNCTION("""COMPUTED_VALUE"""),-0.277298421690755)</f>
        <v>-0.27729842169075503</v>
      </c>
      <c r="CS2" s="3">
        <f ca="1">IFERROR(__xludf.DUMMYFUNCTION("""COMPUTED_VALUE"""),-0.295919336619858)</f>
        <v>-0.29591933661985798</v>
      </c>
      <c r="CT2" s="3">
        <f ca="1">IFERROR(__xludf.DUMMYFUNCTION("""COMPUTED_VALUE"""),-0.28592916926161)</f>
        <v>-0.28592916926160999</v>
      </c>
      <c r="CU2" s="3">
        <f ca="1">IFERROR(__xludf.DUMMYFUNCTION("""COMPUTED_VALUE"""),-0.201846522682519)</f>
        <v>-0.20184652268251899</v>
      </c>
      <c r="CV2" s="3">
        <f ca="1">IFERROR(__xludf.DUMMYFUNCTION("""COMPUTED_VALUE"""),-0.259360477401133)</f>
        <v>-0.25936047740113299</v>
      </c>
      <c r="CW2" s="3">
        <f ca="1">IFERROR(__xludf.DUMMYFUNCTION("""COMPUTED_VALUE"""),-0.265900144389687)</f>
        <v>-0.26590014438968701</v>
      </c>
      <c r="CX2" s="3">
        <f ca="1">IFERROR(__xludf.DUMMYFUNCTION("""COMPUTED_VALUE"""),-0.318537370823566)</f>
        <v>-0.31853737082356598</v>
      </c>
      <c r="CY2" s="3">
        <f ca="1">IFERROR(__xludf.DUMMYFUNCTION("""COMPUTED_VALUE"""),-0.310942690374542)</f>
        <v>-0.31094269037454197</v>
      </c>
      <c r="CZ2" s="3">
        <f ca="1">IFERROR(__xludf.DUMMYFUNCTION("""COMPUTED_VALUE"""),-0.542022855231498)</f>
        <v>-0.54202285523149796</v>
      </c>
      <c r="DA2" s="3">
        <f ca="1">IFERROR(__xludf.DUMMYFUNCTION("""COMPUTED_VALUE"""),-0.137822063923204)</f>
        <v>-0.13782206392320401</v>
      </c>
      <c r="DB2" s="3">
        <f ca="1">IFERROR(__xludf.DUMMYFUNCTION("""COMPUTED_VALUE"""),0.0975007572276909)</f>
        <v>9.7500757227690901E-2</v>
      </c>
      <c r="DC2" s="3">
        <f ca="1">IFERROR(__xludf.DUMMYFUNCTION("""COMPUTED_VALUE"""),-0.217275378363507)</f>
        <v>-0.21727537836350699</v>
      </c>
      <c r="DD2" s="3">
        <f ca="1">IFERROR(__xludf.DUMMYFUNCTION("""COMPUTED_VALUE"""),-0.356469363925126)</f>
        <v>-0.35646936392512601</v>
      </c>
      <c r="DE2" s="3">
        <f ca="1">IFERROR(__xludf.DUMMYFUNCTION("""COMPUTED_VALUE"""),-0.354279306463338)</f>
        <v>-0.354279306463338</v>
      </c>
      <c r="DF2" s="3">
        <f ca="1">IFERROR(__xludf.DUMMYFUNCTION("""COMPUTED_VALUE"""),-0.410933739097148)</f>
        <v>-0.41093373909714798</v>
      </c>
      <c r="DG2" s="3">
        <f ca="1">IFERROR(__xludf.DUMMYFUNCTION("""COMPUTED_VALUE"""),-0.814542277006367)</f>
        <v>-0.81454227700636705</v>
      </c>
      <c r="DH2" s="3">
        <f ca="1">IFERROR(__xludf.DUMMYFUNCTION("""COMPUTED_VALUE"""),-0.287197647127229)</f>
        <v>-0.28719764712722901</v>
      </c>
      <c r="DI2" s="3">
        <f ca="1">IFERROR(__xludf.DUMMYFUNCTION("""COMPUTED_VALUE"""),0.0186224744477605)</f>
        <v>1.8622474447760499E-2</v>
      </c>
      <c r="DJ2" s="3">
        <f ca="1">IFERROR(__xludf.DUMMYFUNCTION("""COMPUTED_VALUE"""),-0.34279510932992)</f>
        <v>-0.34279510932992002</v>
      </c>
      <c r="DK2" s="3">
        <f ca="1">IFERROR(__xludf.DUMMYFUNCTION("""COMPUTED_VALUE"""),-0.352783762484765)</f>
        <v>-0.35278376248476501</v>
      </c>
      <c r="DL2" s="3">
        <f ca="1">IFERROR(__xludf.DUMMYFUNCTION("""COMPUTED_VALUE"""),-0.384734370221645)</f>
        <v>-0.38473437022164497</v>
      </c>
      <c r="DM2" s="3">
        <f ca="1">IFERROR(__xludf.DUMMYFUNCTION("""COMPUTED_VALUE"""),-0.383464045618639)</f>
        <v>-0.383464045618639</v>
      </c>
      <c r="DN2" s="3">
        <f ca="1">IFERROR(__xludf.DUMMYFUNCTION("""COMPUTED_VALUE"""),-0.337094513042731)</f>
        <v>-0.33709451304273103</v>
      </c>
      <c r="DO2" s="3">
        <f ca="1">IFERROR(__xludf.DUMMYFUNCTION("""COMPUTED_VALUE"""),-0.492658538584678)</f>
        <v>-0.49265853858467801</v>
      </c>
      <c r="DP2" s="3">
        <f ca="1">IFERROR(__xludf.DUMMYFUNCTION("""COMPUTED_VALUE"""),-0.470381016544242)</f>
        <v>-0.47038101654424203</v>
      </c>
      <c r="DQ2" s="3">
        <f ca="1">IFERROR(__xludf.DUMMYFUNCTION("""COMPUTED_VALUE"""),-0.594367201524905)</f>
        <v>-0.59436720152490496</v>
      </c>
      <c r="DR2" s="3">
        <f ca="1">IFERROR(__xludf.DUMMYFUNCTION("""COMPUTED_VALUE"""),-0.604863308346639)</f>
        <v>-0.60486330834663904</v>
      </c>
      <c r="DS2" s="3">
        <f ca="1">IFERROR(__xludf.DUMMYFUNCTION("""COMPUTED_VALUE"""),-0.589505234536906)</f>
        <v>-0.58950523453690595</v>
      </c>
      <c r="DT2" s="3">
        <f ca="1">IFERROR(__xludf.DUMMYFUNCTION("""COMPUTED_VALUE"""),-0.637092271793247)</f>
        <v>-0.63709227179324701</v>
      </c>
      <c r="DU2" s="3">
        <f ca="1">IFERROR(__xludf.DUMMYFUNCTION("""COMPUTED_VALUE"""),-0.619669109586435)</f>
        <v>-0.61966910958643495</v>
      </c>
      <c r="DV2" s="3">
        <f ca="1">IFERROR(__xludf.DUMMYFUNCTION("""COMPUTED_VALUE"""),-0.65585677029772)</f>
        <v>-0.65585677029772005</v>
      </c>
      <c r="DW2" s="3">
        <f ca="1">IFERROR(__xludf.DUMMYFUNCTION("""COMPUTED_VALUE"""),-0.684788936939222)</f>
        <v>-0.68478893693922205</v>
      </c>
      <c r="DX2" s="3">
        <f ca="1">IFERROR(__xludf.DUMMYFUNCTION("""COMPUTED_VALUE"""),-0.692597640491994)</f>
        <v>-0.69259764049199402</v>
      </c>
      <c r="DY2" s="3">
        <f ca="1">IFERROR(__xludf.DUMMYFUNCTION("""COMPUTED_VALUE"""),-0.650680427531743)</f>
        <v>-0.65068042753174304</v>
      </c>
      <c r="DZ2" s="3">
        <f ca="1">IFERROR(__xludf.DUMMYFUNCTION("""COMPUTED_VALUE"""),-0.647491421425781)</f>
        <v>-0.64749142142578098</v>
      </c>
      <c r="EA2" s="3">
        <f ca="1">IFERROR(__xludf.DUMMYFUNCTION("""COMPUTED_VALUE"""),-0.66159631651664)</f>
        <v>-0.66159631651663997</v>
      </c>
      <c r="EB2" s="3">
        <f ca="1">IFERROR(__xludf.DUMMYFUNCTION("""COMPUTED_VALUE"""),-0.635529562664078)</f>
        <v>-0.63552956266407801</v>
      </c>
      <c r="EC2" s="3">
        <f ca="1">IFERROR(__xludf.DUMMYFUNCTION("""COMPUTED_VALUE"""),-0.652043605817002)</f>
        <v>-0.65204360581700205</v>
      </c>
      <c r="ED2" s="3">
        <f ca="1">IFERROR(__xludf.DUMMYFUNCTION("""COMPUTED_VALUE"""),-0.712714341999085)</f>
        <v>-0.71271434199908501</v>
      </c>
      <c r="EE2" s="3">
        <f ca="1">IFERROR(__xludf.DUMMYFUNCTION("""COMPUTED_VALUE"""),-0.697061224876958)</f>
        <v>-0.69706122487695799</v>
      </c>
      <c r="EF2" s="3">
        <f ca="1">IFERROR(__xludf.DUMMYFUNCTION("""COMPUTED_VALUE"""),-0.667428780554183)</f>
        <v>-0.66742878055418298</v>
      </c>
      <c r="EG2" s="3">
        <f ca="1">IFERROR(__xludf.DUMMYFUNCTION("""COMPUTED_VALUE"""),-0.633866991448234)</f>
        <v>-0.633866991448234</v>
      </c>
      <c r="EH2" s="3">
        <f ca="1">IFERROR(__xludf.DUMMYFUNCTION("""COMPUTED_VALUE"""),-0.707028290189624)</f>
        <v>-0.70702829018962399</v>
      </c>
      <c r="EI2" s="3">
        <f ca="1">IFERROR(__xludf.DUMMYFUNCTION("""COMPUTED_VALUE"""),-0.701831520433658)</f>
        <v>-0.70183152043365804</v>
      </c>
      <c r="EJ2" s="3">
        <f ca="1">IFERROR(__xludf.DUMMYFUNCTION("""COMPUTED_VALUE"""),-0.80907964474004)</f>
        <v>-0.80907964474004002</v>
      </c>
      <c r="EK2" s="3">
        <f ca="1">IFERROR(__xludf.DUMMYFUNCTION("""COMPUTED_VALUE"""),-0.660036854519643)</f>
        <v>-0.660036854519643</v>
      </c>
      <c r="EL2" s="3">
        <f ca="1">IFERROR(__xludf.DUMMYFUNCTION("""COMPUTED_VALUE"""),-0.688057041586847)</f>
        <v>-0.688057041586847</v>
      </c>
      <c r="EM2" s="3">
        <f ca="1">IFERROR(__xludf.DUMMYFUNCTION("""COMPUTED_VALUE"""),-0.59942836676762)</f>
        <v>-0.59942836676762001</v>
      </c>
      <c r="EN2" s="3">
        <f ca="1">IFERROR(__xludf.DUMMYFUNCTION("""COMPUTED_VALUE"""),-0.566196397702877)</f>
        <v>-0.566196397702877</v>
      </c>
      <c r="EO2" s="3">
        <f ca="1">IFERROR(__xludf.DUMMYFUNCTION("""COMPUTED_VALUE"""),-0.484937191525489)</f>
        <v>-0.48493719152548898</v>
      </c>
      <c r="EP2" s="3">
        <f ca="1">IFERROR(__xludf.DUMMYFUNCTION("""COMPUTED_VALUE"""),-0.543825233817056)</f>
        <v>-0.54382523381705605</v>
      </c>
      <c r="EQ2" s="3">
        <f ca="1">IFERROR(__xludf.DUMMYFUNCTION("""COMPUTED_VALUE"""),-0.541077254294906)</f>
        <v>-0.54107725429490605</v>
      </c>
      <c r="ER2" s="3">
        <f ca="1">IFERROR(__xludf.DUMMYFUNCTION("""COMPUTED_VALUE"""),-0.573574929099397)</f>
        <v>-0.573574929099397</v>
      </c>
      <c r="ES2" s="3">
        <f ca="1">IFERROR(__xludf.DUMMYFUNCTION("""COMPUTED_VALUE"""),-0.592353092992863)</f>
        <v>-0.59235309299286298</v>
      </c>
      <c r="ET2" s="3">
        <f ca="1">IFERROR(__xludf.DUMMYFUNCTION("""COMPUTED_VALUE"""),-0.600633811566555)</f>
        <v>-0.60063381156655504</v>
      </c>
      <c r="EU2" s="3">
        <f ca="1">IFERROR(__xludf.DUMMYFUNCTION("""COMPUTED_VALUE"""),-0.55770058308509)</f>
        <v>-0.55770058308508996</v>
      </c>
      <c r="EV2" s="3">
        <f ca="1">IFERROR(__xludf.DUMMYFUNCTION("""COMPUTED_VALUE"""),-0.57005272119818)</f>
        <v>-0.57005272119817996</v>
      </c>
      <c r="EW2" s="3">
        <f ca="1">IFERROR(__xludf.DUMMYFUNCTION("""COMPUTED_VALUE"""),-0.592622977173367)</f>
        <v>-0.59262297717336698</v>
      </c>
      <c r="EX2" s="3">
        <f ca="1">IFERROR(__xludf.DUMMYFUNCTION("""COMPUTED_VALUE"""),-0.611267911481971)</f>
        <v>-0.61126791148197102</v>
      </c>
      <c r="EY2" s="3">
        <f ca="1">IFERROR(__xludf.DUMMYFUNCTION("""COMPUTED_VALUE"""),-0.619345801048448)</f>
        <v>-0.61934580104844805</v>
      </c>
      <c r="EZ2" s="3">
        <f ca="1">IFERROR(__xludf.DUMMYFUNCTION("""COMPUTED_VALUE"""),-0.596630147974572)</f>
        <v>-0.59663014797457203</v>
      </c>
      <c r="FA2" s="3">
        <f ca="1">IFERROR(__xludf.DUMMYFUNCTION("""COMPUTED_VALUE"""),-0.586111373360971)</f>
        <v>-0.58611137336097097</v>
      </c>
      <c r="FB2" s="3">
        <f ca="1">IFERROR(__xludf.DUMMYFUNCTION("""COMPUTED_VALUE"""),-0.520465494271133)</f>
        <v>-0.52046549427113298</v>
      </c>
      <c r="FC2" s="3">
        <f ca="1">IFERROR(__xludf.DUMMYFUNCTION("""COMPUTED_VALUE"""),-0.532071738643819)</f>
        <v>-0.53207173864381896</v>
      </c>
      <c r="FD2" s="3">
        <f ca="1">IFERROR(__xludf.DUMMYFUNCTION("""COMPUTED_VALUE"""),-0.632396666968919)</f>
        <v>-0.63239666696891905</v>
      </c>
      <c r="FE2" s="3">
        <f ca="1">IFERROR(__xludf.DUMMYFUNCTION("""COMPUTED_VALUE"""),-0.616090560827969)</f>
        <v>-0.61609056082796898</v>
      </c>
      <c r="FF2" s="3">
        <f ca="1">IFERROR(__xludf.DUMMYFUNCTION("""COMPUTED_VALUE"""),-0.554992612883815)</f>
        <v>-0.55499261288381496</v>
      </c>
      <c r="FG2" s="3">
        <f ca="1">IFERROR(__xludf.DUMMYFUNCTION("""COMPUTED_VALUE"""),-0.586911382116385)</f>
        <v>-0.58691138211638505</v>
      </c>
      <c r="FH2" s="3">
        <f ca="1">IFERROR(__xludf.DUMMYFUNCTION("""COMPUTED_VALUE"""),-0.595163430780938)</f>
        <v>-0.59516343078093803</v>
      </c>
      <c r="FI2" s="3">
        <f ca="1">IFERROR(__xludf.DUMMYFUNCTION("""COMPUTED_VALUE"""),-0.508052331013288)</f>
        <v>-0.50805233101328795</v>
      </c>
      <c r="FJ2" s="3">
        <f ca="1">IFERROR(__xludf.DUMMYFUNCTION("""COMPUTED_VALUE"""),-0.498986095477346)</f>
        <v>-0.49898609547734601</v>
      </c>
      <c r="FK2" s="3">
        <f ca="1">IFERROR(__xludf.DUMMYFUNCTION("""COMPUTED_VALUE"""),-0.548746025758984)</f>
        <v>-0.54874602575898401</v>
      </c>
      <c r="FL2" s="3">
        <f ca="1">IFERROR(__xludf.DUMMYFUNCTION("""COMPUTED_VALUE"""),-0.616756173912558)</f>
        <v>-0.61675617391255799</v>
      </c>
      <c r="FM2" s="3">
        <f ca="1">IFERROR(__xludf.DUMMYFUNCTION("""COMPUTED_VALUE"""),-0.543511039240392)</f>
        <v>-0.54351103924039201</v>
      </c>
      <c r="FN2" s="3">
        <f ca="1">IFERROR(__xludf.DUMMYFUNCTION("""COMPUTED_VALUE"""),-0.546301053774573)</f>
        <v>-0.54630105377457305</v>
      </c>
      <c r="FO2" s="3">
        <f ca="1">IFERROR(__xludf.DUMMYFUNCTION("""COMPUTED_VALUE"""),-0.585904010538266)</f>
        <v>-0.58590401053826602</v>
      </c>
      <c r="FP2" s="3">
        <f ca="1">IFERROR(__xludf.DUMMYFUNCTION("""COMPUTED_VALUE"""),-0.457798755098949)</f>
        <v>-0.45779875509894902</v>
      </c>
      <c r="FQ2" s="3">
        <f ca="1">IFERROR(__xludf.DUMMYFUNCTION("""COMPUTED_VALUE"""),-0.530092140759361)</f>
        <v>-0.53009214075936095</v>
      </c>
      <c r="FR2" s="3">
        <f ca="1">IFERROR(__xludf.DUMMYFUNCTION("""COMPUTED_VALUE"""),-0.584914014812409)</f>
        <v>-0.58491401481240901</v>
      </c>
      <c r="FS2" s="3">
        <f ca="1">IFERROR(__xludf.DUMMYFUNCTION("""COMPUTED_VALUE"""),-0.546255195740582)</f>
        <v>-0.54625519574058201</v>
      </c>
      <c r="FT2" s="3">
        <f ca="1">IFERROR(__xludf.DUMMYFUNCTION("""COMPUTED_VALUE"""),-0.548718111299038)</f>
        <v>-0.54871811129903802</v>
      </c>
      <c r="FU2" s="3">
        <f ca="1">IFERROR(__xludf.DUMMYFUNCTION("""COMPUTED_VALUE"""),-0.577173046922404)</f>
        <v>-0.57717304692240401</v>
      </c>
      <c r="FV2" s="3">
        <f ca="1">IFERROR(__xludf.DUMMYFUNCTION("""COMPUTED_VALUE"""),-0.51162697536198)</f>
        <v>-0.51162697536197999</v>
      </c>
      <c r="FW2" s="3">
        <f ca="1">IFERROR(__xludf.DUMMYFUNCTION("""COMPUTED_VALUE"""),-0.411675589012202)</f>
        <v>-0.41167558901220203</v>
      </c>
      <c r="FX2" s="3">
        <f ca="1">IFERROR(__xludf.DUMMYFUNCTION("""COMPUTED_VALUE"""),-0.465903280892998)</f>
        <v>-0.46590328089299798</v>
      </c>
      <c r="FY2" s="3">
        <f ca="1">IFERROR(__xludf.DUMMYFUNCTION("""COMPUTED_VALUE"""),-0.613250315712257)</f>
        <v>-0.61325031571225697</v>
      </c>
      <c r="FZ2" s="3">
        <f ca="1">IFERROR(__xludf.DUMMYFUNCTION("""COMPUTED_VALUE"""),-0.535629655058299)</f>
        <v>-0.53562965505829896</v>
      </c>
      <c r="GA2" s="3">
        <f ca="1">IFERROR(__xludf.DUMMYFUNCTION("""COMPUTED_VALUE"""),-0.498527791694645)</f>
        <v>-0.49852779169464501</v>
      </c>
      <c r="GB2" s="3">
        <f ca="1">IFERROR(__xludf.DUMMYFUNCTION("""COMPUTED_VALUE"""),-0.571407073057743)</f>
        <v>-0.57140707305774296</v>
      </c>
      <c r="GC2" s="3">
        <f ca="1">IFERROR(__xludf.DUMMYFUNCTION("""COMPUTED_VALUE"""),-0.51390306358184)</f>
        <v>-0.51390306358184001</v>
      </c>
      <c r="GD2" s="3">
        <f ca="1">IFERROR(__xludf.DUMMYFUNCTION("""COMPUTED_VALUE"""),-0.413971354701587)</f>
        <v>-0.41397135470158702</v>
      </c>
      <c r="GE2" s="3">
        <f ca="1">IFERROR(__xludf.DUMMYFUNCTION("""COMPUTED_VALUE"""),-0.423452412784707)</f>
        <v>-0.42345241278470702</v>
      </c>
      <c r="GF2" s="3">
        <f ca="1">IFERROR(__xludf.DUMMYFUNCTION("""COMPUTED_VALUE"""),-0.555388440578754)</f>
        <v>-0.55538844057875403</v>
      </c>
      <c r="GG2" s="3">
        <f ca="1">IFERROR(__xludf.DUMMYFUNCTION("""COMPUTED_VALUE"""),-0.562917634593158)</f>
        <v>-0.56291763459315802</v>
      </c>
      <c r="GH2" s="3">
        <f ca="1">IFERROR(__xludf.DUMMYFUNCTION("""COMPUTED_VALUE"""),-0.559666333768842)</f>
        <v>-0.55966633376884201</v>
      </c>
      <c r="GI2" s="3">
        <f ca="1">IFERROR(__xludf.DUMMYFUNCTION("""COMPUTED_VALUE"""),-0.528918071143439)</f>
        <v>-0.52891807114343903</v>
      </c>
      <c r="GJ2" s="3">
        <f ca="1">IFERROR(__xludf.DUMMYFUNCTION("""COMPUTED_VALUE"""),-0.45690028822098)</f>
        <v>-0.45690028822098</v>
      </c>
      <c r="GK2" s="3">
        <f ca="1">IFERROR(__xludf.DUMMYFUNCTION("""COMPUTED_VALUE"""),-0.404317161138367)</f>
        <v>-0.40431716113836702</v>
      </c>
      <c r="GL2" s="3">
        <f ca="1">IFERROR(__xludf.DUMMYFUNCTION("""COMPUTED_VALUE"""),-0.4230961264071)</f>
        <v>-0.42309612640709998</v>
      </c>
      <c r="GM2" s="3">
        <f ca="1">IFERROR(__xludf.DUMMYFUNCTION("""COMPUTED_VALUE"""),-0.544558162191872)</f>
        <v>-0.54455816219187203</v>
      </c>
      <c r="GN2" s="3">
        <f ca="1">IFERROR(__xludf.DUMMYFUNCTION("""COMPUTED_VALUE"""),-0.52018880116879)</f>
        <v>-0.52018880116878996</v>
      </c>
      <c r="GO2" s="3">
        <f ca="1">IFERROR(__xludf.DUMMYFUNCTION("""COMPUTED_VALUE"""),-0.459345086918445)</f>
        <v>-0.459345086918445</v>
      </c>
      <c r="GP2" s="3">
        <f ca="1">IFERROR(__xludf.DUMMYFUNCTION("""COMPUTED_VALUE"""),-0.580870491222984)</f>
        <v>-0.58087049122298395</v>
      </c>
      <c r="GQ2" s="3">
        <f ca="1">IFERROR(__xludf.DUMMYFUNCTION("""COMPUTED_VALUE"""),-0.552494969142096)</f>
        <v>-0.55249496914209595</v>
      </c>
      <c r="GR2" s="3">
        <f ca="1">IFERROR(__xludf.DUMMYFUNCTION("""COMPUTED_VALUE"""),-0.466698026759568)</f>
        <v>-0.46669802675956801</v>
      </c>
      <c r="GS2" s="3">
        <f ca="1">IFERROR(__xludf.DUMMYFUNCTION("""COMPUTED_VALUE"""),-0.429548885918071)</f>
        <v>-0.429548885918071</v>
      </c>
      <c r="GT2" s="3">
        <f ca="1">IFERROR(__xludf.DUMMYFUNCTION("""COMPUTED_VALUE"""),-0.502825214901922)</f>
        <v>-0.502825214901922</v>
      </c>
      <c r="GU2" s="3">
        <f ca="1">IFERROR(__xludf.DUMMYFUNCTION("""COMPUTED_VALUE"""),-0.542495627897352)</f>
        <v>-0.54249562789735195</v>
      </c>
      <c r="GV2" s="3">
        <f ca="1">IFERROR(__xludf.DUMMYFUNCTION("""COMPUTED_VALUE"""),-0.511488191711082)</f>
        <v>-0.51148819171108195</v>
      </c>
      <c r="GW2" s="3">
        <f ca="1">IFERROR(__xludf.DUMMYFUNCTION("""COMPUTED_VALUE"""),-0.539711815417017)</f>
        <v>-0.53971181541701696</v>
      </c>
      <c r="GX2" s="3">
        <f ca="1">IFERROR(__xludf.DUMMYFUNCTION("""COMPUTED_VALUE"""),-0.542539631833549)</f>
        <v>-0.54253963183354903</v>
      </c>
      <c r="GY2" s="3">
        <f ca="1">IFERROR(__xludf.DUMMYFUNCTION("""COMPUTED_VALUE"""),-0.555861756339195)</f>
        <v>-0.55586175633919499</v>
      </c>
      <c r="GZ2" s="3">
        <f ca="1">IFERROR(__xludf.DUMMYFUNCTION("""COMPUTED_VALUE"""),-0.464443304290674)</f>
        <v>-0.46444330429067399</v>
      </c>
      <c r="HA2" s="3">
        <f ca="1">IFERROR(__xludf.DUMMYFUNCTION("""COMPUTED_VALUE"""),-0.546237455719201)</f>
        <v>-0.54623745571920101</v>
      </c>
      <c r="HB2" s="3">
        <f ca="1">IFERROR(__xludf.DUMMYFUNCTION("""COMPUTED_VALUE"""),-0.555262258173439)</f>
        <v>-0.55526225817343899</v>
      </c>
      <c r="HC2" s="3">
        <f ca="1">IFERROR(__xludf.DUMMYFUNCTION("""COMPUTED_VALUE"""),-0.535495238338644)</f>
        <v>-0.53549523833864399</v>
      </c>
      <c r="HD2" s="3">
        <f ca="1">IFERROR(__xludf.DUMMYFUNCTION("""COMPUTED_VALUE"""),-0.520366889777175)</f>
        <v>-0.52036688977717505</v>
      </c>
      <c r="HE2" s="3">
        <f ca="1">IFERROR(__xludf.DUMMYFUNCTION("""COMPUTED_VALUE"""),-0.570808183890253)</f>
        <v>-0.57080818389025301</v>
      </c>
      <c r="HF2" s="3">
        <f ca="1">IFERROR(__xludf.DUMMYFUNCTION("""COMPUTED_VALUE"""),-0.495432896451358)</f>
        <v>-0.49543289645135802</v>
      </c>
      <c r="HG2" s="3">
        <f ca="1">IFERROR(__xludf.DUMMYFUNCTION("""COMPUTED_VALUE"""),-0.466205941351241)</f>
        <v>-0.46620594135124099</v>
      </c>
      <c r="HH2" s="3">
        <f ca="1">IFERROR(__xludf.DUMMYFUNCTION("""COMPUTED_VALUE"""),-0.477908486913176)</f>
        <v>-0.477908486913176</v>
      </c>
      <c r="HI2" s="3">
        <f ca="1">IFERROR(__xludf.DUMMYFUNCTION("""COMPUTED_VALUE"""),-0.539158000657164)</f>
        <v>-0.53915800065716402</v>
      </c>
      <c r="HJ2" s="3">
        <f ca="1">IFERROR(__xludf.DUMMYFUNCTION("""COMPUTED_VALUE"""),-0.477899383095835)</f>
        <v>-0.47789938309583502</v>
      </c>
      <c r="HK2" s="3">
        <f ca="1">IFERROR(__xludf.DUMMYFUNCTION("""COMPUTED_VALUE"""),-0.526667599917648)</f>
        <v>-0.526667599917648</v>
      </c>
      <c r="HL2" s="3">
        <f ca="1">IFERROR(__xludf.DUMMYFUNCTION("""COMPUTED_VALUE"""),-0.530047666044693)</f>
        <v>-0.530047666044693</v>
      </c>
      <c r="HM2" s="3">
        <f ca="1">IFERROR(__xludf.DUMMYFUNCTION("""COMPUTED_VALUE"""),-0.495717532289762)</f>
        <v>-0.49571753228976201</v>
      </c>
      <c r="HN2" s="3">
        <f ca="1">IFERROR(__xludf.DUMMYFUNCTION("""COMPUTED_VALUE"""),-0.426451113101491)</f>
        <v>-0.42645111310149098</v>
      </c>
      <c r="HO2" s="3">
        <f ca="1">IFERROR(__xludf.DUMMYFUNCTION("""COMPUTED_VALUE"""),-0.48968767635545)</f>
        <v>-0.48968767635545002</v>
      </c>
      <c r="HP2" s="3">
        <f ca="1">IFERROR(__xludf.DUMMYFUNCTION("""COMPUTED_VALUE"""),-0.481578058700989)</f>
        <v>-0.48157805870098902</v>
      </c>
      <c r="HQ2" s="3">
        <f ca="1">IFERROR(__xludf.DUMMYFUNCTION("""COMPUTED_VALUE"""),-0.560972413752769)</f>
        <v>-0.56097241375276896</v>
      </c>
      <c r="HR2" s="3">
        <f ca="1">IFERROR(__xludf.DUMMYFUNCTION("""COMPUTED_VALUE"""),-0.461603437979649)</f>
        <v>-0.46160343797964898</v>
      </c>
      <c r="HS2" s="3">
        <f ca="1">IFERROR(__xludf.DUMMYFUNCTION("""COMPUTED_VALUE"""),-0.474916751384074)</f>
        <v>-0.47491675138407402</v>
      </c>
      <c r="HT2" s="3">
        <f ca="1">IFERROR(__xludf.DUMMYFUNCTION("""COMPUTED_VALUE"""),-0.43723105841735)</f>
        <v>-0.43723105841734999</v>
      </c>
      <c r="HU2" s="3">
        <f ca="1">IFERROR(__xludf.DUMMYFUNCTION("""COMPUTED_VALUE"""),-0.488498254667077)</f>
        <v>-0.48849825466707703</v>
      </c>
      <c r="HV2" s="3">
        <f ca="1">IFERROR(__xludf.DUMMYFUNCTION("""COMPUTED_VALUE"""),-0.359779460760909)</f>
        <v>-0.359779460760909</v>
      </c>
      <c r="HW2" s="3">
        <f ca="1">IFERROR(__xludf.DUMMYFUNCTION("""COMPUTED_VALUE"""),-0.437198854471721)</f>
        <v>-0.43719885447172102</v>
      </c>
      <c r="HX2" s="3">
        <f ca="1">IFERROR(__xludf.DUMMYFUNCTION("""COMPUTED_VALUE"""),-0.374088153869407)</f>
        <v>-0.37408815386940703</v>
      </c>
      <c r="HY2" s="3">
        <f ca="1">IFERROR(__xludf.DUMMYFUNCTION("""COMPUTED_VALUE"""),-0.374138792693972)</f>
        <v>-0.37413879269397199</v>
      </c>
      <c r="HZ2" s="3">
        <f ca="1">IFERROR(__xludf.DUMMYFUNCTION("""COMPUTED_VALUE"""),-0.285841840613868)</f>
        <v>-0.28584184061386803</v>
      </c>
      <c r="IA2" s="3">
        <f ca="1">IFERROR(__xludf.DUMMYFUNCTION("""COMPUTED_VALUE"""),-0.304353417592747)</f>
        <v>-0.30435341759274698</v>
      </c>
      <c r="IB2" s="3">
        <f ca="1">IFERROR(__xludf.DUMMYFUNCTION("""COMPUTED_VALUE"""),-0.22066422509035)</f>
        <v>-0.22066422509035</v>
      </c>
      <c r="IC2" s="3">
        <f ca="1">IFERROR(__xludf.DUMMYFUNCTION("""COMPUTED_VALUE"""),-0.274903147352433)</f>
        <v>-0.27490314735243299</v>
      </c>
      <c r="ID2" s="3">
        <f ca="1">IFERROR(__xludf.DUMMYFUNCTION("""COMPUTED_VALUE"""),-0.365809642452485)</f>
        <v>-0.36580964245248498</v>
      </c>
      <c r="IE2" s="3">
        <f ca="1">IFERROR(__xludf.DUMMYFUNCTION("""COMPUTED_VALUE"""),-0.461045054504733)</f>
        <v>-0.46104505450473299</v>
      </c>
      <c r="IF2" s="3">
        <f ca="1">IFERROR(__xludf.DUMMYFUNCTION("""COMPUTED_VALUE"""),-0.408079305433778)</f>
        <v>-0.40807930543377802</v>
      </c>
      <c r="IG2" s="3">
        <f ca="1">IFERROR(__xludf.DUMMYFUNCTION("""COMPUTED_VALUE"""),-0.368080746029043)</f>
        <v>-0.368080746029043</v>
      </c>
      <c r="IH2" s="3">
        <f ca="1">IFERROR(__xludf.DUMMYFUNCTION("""COMPUTED_VALUE"""),-0.432073404075124)</f>
        <v>-0.43207340407512401</v>
      </c>
      <c r="II2" s="3">
        <f ca="1">IFERROR(__xludf.DUMMYFUNCTION("""COMPUTED_VALUE"""),-0.389490615220782)</f>
        <v>-0.38949061522078199</v>
      </c>
      <c r="IJ2" s="3">
        <f ca="1">IFERROR(__xludf.DUMMYFUNCTION("""COMPUTED_VALUE"""),-0.109185914056299)</f>
        <v>-0.109185914056299</v>
      </c>
      <c r="IK2" s="3">
        <f ca="1">IFERROR(__xludf.DUMMYFUNCTION("""COMPUTED_VALUE"""),-0.2221548525372)</f>
        <v>-0.22215485253719999</v>
      </c>
      <c r="IL2" s="3">
        <f ca="1">IFERROR(__xludf.DUMMYFUNCTION("""COMPUTED_VALUE"""),-0.221732287580686)</f>
        <v>-0.221732287580686</v>
      </c>
      <c r="IM2" s="3">
        <f ca="1">IFERROR(__xludf.DUMMYFUNCTION("""COMPUTED_VALUE"""),-0.19661502205791)</f>
        <v>-0.19661502205791001</v>
      </c>
      <c r="IN2" s="3">
        <f ca="1">IFERROR(__xludf.DUMMYFUNCTION("""COMPUTED_VALUE"""),-0.180765938555974)</f>
        <v>-0.180765938555974</v>
      </c>
      <c r="IO2" s="3">
        <f ca="1">IFERROR(__xludf.DUMMYFUNCTION("""COMPUTED_VALUE"""),-0.144880520387519)</f>
        <v>-0.144880520387519</v>
      </c>
      <c r="IP2" s="3">
        <f ca="1">IFERROR(__xludf.DUMMYFUNCTION("""COMPUTED_VALUE"""),-0.110952080303648)</f>
        <v>-0.110952080303648</v>
      </c>
      <c r="IQ2" s="3">
        <f ca="1">IFERROR(__xludf.DUMMYFUNCTION("""COMPUTED_VALUE"""),-0.136021496431616)</f>
        <v>-0.13602149643161601</v>
      </c>
      <c r="IR2" s="3">
        <f ca="1">IFERROR(__xludf.DUMMYFUNCTION("""COMPUTED_VALUE"""),-0.224939910398059)</f>
        <v>-0.224939910398059</v>
      </c>
      <c r="IS2" s="3">
        <f ca="1">IFERROR(__xludf.DUMMYFUNCTION("""COMPUTED_VALUE"""),-0.156601183107162)</f>
        <v>-0.15660118310716201</v>
      </c>
      <c r="IT2" s="3">
        <f ca="1">IFERROR(__xludf.DUMMYFUNCTION("""COMPUTED_VALUE"""),-0.432432802281211)</f>
        <v>-0.432432802281211</v>
      </c>
      <c r="IU2" s="3">
        <f ca="1">IFERROR(__xludf.DUMMYFUNCTION("""COMPUTED_VALUE"""),-0.155914302859958)</f>
        <v>-0.155914302859958</v>
      </c>
      <c r="IV2" s="3">
        <f ca="1">IFERROR(__xludf.DUMMYFUNCTION("""COMPUTED_VALUE"""),-0.155371671600442)</f>
        <v>-0.15537167160044199</v>
      </c>
      <c r="IW2" s="3">
        <f ca="1">IFERROR(__xludf.DUMMYFUNCTION("""COMPUTED_VALUE"""),-0.177510090025462)</f>
        <v>-0.177510090025462</v>
      </c>
      <c r="IX2" s="3">
        <f ca="1">IFERROR(__xludf.DUMMYFUNCTION("""COMPUTED_VALUE"""),-0.231902725387738)</f>
        <v>-0.23190272538773801</v>
      </c>
      <c r="IY2" s="3">
        <f ca="1">IFERROR(__xludf.DUMMYFUNCTION("""COMPUTED_VALUE"""),-0.271760852136102)</f>
        <v>-0.27176085213610202</v>
      </c>
      <c r="IZ2" s="3">
        <f ca="1">IFERROR(__xludf.DUMMYFUNCTION("""COMPUTED_VALUE"""),-0.301003921226369)</f>
        <v>-0.30100392122636899</v>
      </c>
      <c r="JA2" s="3">
        <f ca="1">IFERROR(__xludf.DUMMYFUNCTION("""COMPUTED_VALUE"""),-0.273735320044147)</f>
        <v>-0.27373532004414702</v>
      </c>
      <c r="JB2" s="3">
        <f ca="1">IFERROR(__xludf.DUMMYFUNCTION("""COMPUTED_VALUE"""),-0.172889771800822)</f>
        <v>-0.17288977180082199</v>
      </c>
      <c r="JC2" s="3">
        <f ca="1">IFERROR(__xludf.DUMMYFUNCTION("""COMPUTED_VALUE"""),-0.215834058451531)</f>
        <v>-0.215834058451531</v>
      </c>
      <c r="JD2" s="3">
        <f ca="1">IFERROR(__xludf.DUMMYFUNCTION("""COMPUTED_VALUE"""),-0.115531448904192)</f>
        <v>-0.11553144890419199</v>
      </c>
      <c r="JE2" s="3">
        <f ca="1">IFERROR(__xludf.DUMMYFUNCTION("""COMPUTED_VALUE"""),-0.291713923755259)</f>
        <v>-0.29171392375525901</v>
      </c>
      <c r="JF2" s="3">
        <f ca="1">IFERROR(__xludf.DUMMYFUNCTION("""COMPUTED_VALUE"""),-0.352077977222441)</f>
        <v>-0.352077977222441</v>
      </c>
      <c r="JG2" s="3">
        <f ca="1">IFERROR(__xludf.DUMMYFUNCTION("""COMPUTED_VALUE"""),-0.371000428558291)</f>
        <v>-0.37100042855829102</v>
      </c>
      <c r="JH2" s="3">
        <f ca="1">IFERROR(__xludf.DUMMYFUNCTION("""COMPUTED_VALUE"""),-0.296207712953008)</f>
        <v>-0.29620771295300802</v>
      </c>
      <c r="JI2" s="3">
        <f ca="1">IFERROR(__xludf.DUMMYFUNCTION("""COMPUTED_VALUE"""),-0.205563119592895)</f>
        <v>-0.205563119592895</v>
      </c>
      <c r="JJ2" s="3">
        <f ca="1">IFERROR(__xludf.DUMMYFUNCTION("""COMPUTED_VALUE"""),-0.329634161574483)</f>
        <v>-0.329634161574483</v>
      </c>
      <c r="JK2" s="3">
        <f ca="1">IFERROR(__xludf.DUMMYFUNCTION("""COMPUTED_VALUE"""),-0.378357260256753)</f>
        <v>-0.37835726025675298</v>
      </c>
      <c r="JL2" s="3">
        <f ca="1">IFERROR(__xludf.DUMMYFUNCTION("""COMPUTED_VALUE"""),-0.439206711185818)</f>
        <v>-0.439206711185818</v>
      </c>
      <c r="JM2" s="3">
        <f ca="1">IFERROR(__xludf.DUMMYFUNCTION("""COMPUTED_VALUE"""),-0.387600672937468)</f>
        <v>-0.38760067293746803</v>
      </c>
      <c r="JN2" s="3">
        <f ca="1">IFERROR(__xludf.DUMMYFUNCTION("""COMPUTED_VALUE"""),-0.307416086973447)</f>
        <v>-0.30741608697344702</v>
      </c>
      <c r="JO2" s="3">
        <f ca="1">IFERROR(__xludf.DUMMYFUNCTION("""COMPUTED_VALUE"""),-0.280530854784019)</f>
        <v>-0.28053085478401901</v>
      </c>
      <c r="JP2" s="3">
        <f ca="1">IFERROR(__xludf.DUMMYFUNCTION("""COMPUTED_VALUE"""),-0.195049690874866)</f>
        <v>-0.19504969087486601</v>
      </c>
      <c r="JQ2" s="3">
        <f ca="1">IFERROR(__xludf.DUMMYFUNCTION("""COMPUTED_VALUE"""),-0.227772637806695)</f>
        <v>-0.22777263780669499</v>
      </c>
      <c r="JR2" s="3">
        <f ca="1">IFERROR(__xludf.DUMMYFUNCTION("""COMPUTED_VALUE"""),-0.312928545527707)</f>
        <v>-0.31292854552770699</v>
      </c>
      <c r="JS2" s="3">
        <f ca="1">IFERROR(__xludf.DUMMYFUNCTION("""COMPUTED_VALUE"""),-0.328990597767645)</f>
        <v>-0.328990597767645</v>
      </c>
      <c r="JT2" s="3">
        <f ca="1">IFERROR(__xludf.DUMMYFUNCTION("""COMPUTED_VALUE"""),-0.167612410890848)</f>
        <v>-0.167612410890848</v>
      </c>
      <c r="JU2" s="3">
        <f ca="1">IFERROR(__xludf.DUMMYFUNCTION("""COMPUTED_VALUE"""),-0.27830128238262)</f>
        <v>-0.27830128238261997</v>
      </c>
      <c r="JV2" s="3">
        <f ca="1">IFERROR(__xludf.DUMMYFUNCTION("""COMPUTED_VALUE"""),-0.289345118188597)</f>
        <v>-0.28934511818859698</v>
      </c>
      <c r="JW2" s="3">
        <f ca="1">IFERROR(__xludf.DUMMYFUNCTION("""COMPUTED_VALUE"""),-0.307436488427373)</f>
        <v>-0.30743648842737298</v>
      </c>
      <c r="JX2" s="3">
        <f ca="1">IFERROR(__xludf.DUMMYFUNCTION("""COMPUTED_VALUE"""),-0.226188489554362)</f>
        <v>-0.22618848955436199</v>
      </c>
      <c r="JY2" s="3">
        <f ca="1">IFERROR(__xludf.DUMMYFUNCTION("""COMPUTED_VALUE"""),-0.364595631489317)</f>
        <v>-0.36459563148931701</v>
      </c>
      <c r="JZ2" s="3">
        <f ca="1">IFERROR(__xludf.DUMMYFUNCTION("""COMPUTED_VALUE"""),-0.465174002728634)</f>
        <v>-0.46517400272863402</v>
      </c>
      <c r="KA2" s="3">
        <f ca="1">IFERROR(__xludf.DUMMYFUNCTION("""COMPUTED_VALUE"""),-0.176316251317815)</f>
        <v>-0.176316251317815</v>
      </c>
      <c r="KB2" s="3">
        <f ca="1">IFERROR(__xludf.DUMMYFUNCTION("""COMPUTED_VALUE"""),-0.409192179666596)</f>
        <v>-0.40919217966659599</v>
      </c>
      <c r="KC2" s="3">
        <f ca="1">IFERROR(__xludf.DUMMYFUNCTION("""COMPUTED_VALUE"""),-0.400621292958262)</f>
        <v>-0.40062129295826199</v>
      </c>
      <c r="KD2" s="3">
        <f ca="1">IFERROR(__xludf.DUMMYFUNCTION("""COMPUTED_VALUE"""),-0.461500898585352)</f>
        <v>-0.46150089858535198</v>
      </c>
      <c r="KE2" s="3">
        <f ca="1">IFERROR(__xludf.DUMMYFUNCTION("""COMPUTED_VALUE"""),-0.338597881632945)</f>
        <v>-0.33859788163294502</v>
      </c>
      <c r="KF2" s="3">
        <f ca="1">IFERROR(__xludf.DUMMYFUNCTION("""COMPUTED_VALUE"""),-0.298108198394713)</f>
        <v>-0.29810819839471298</v>
      </c>
      <c r="KG2" s="3">
        <f ca="1">IFERROR(__xludf.DUMMYFUNCTION("""COMPUTED_VALUE"""),-0.401723772614163)</f>
        <v>-0.40172377261416298</v>
      </c>
      <c r="KH2" s="3">
        <f ca="1">IFERROR(__xludf.DUMMYFUNCTION("""COMPUTED_VALUE"""),-0.288497999726676)</f>
        <v>-0.288497999726676</v>
      </c>
      <c r="KI2" s="3">
        <f ca="1">IFERROR(__xludf.DUMMYFUNCTION("""COMPUTED_VALUE"""),-0.405315925077263)</f>
        <v>-0.405315925077263</v>
      </c>
      <c r="KJ2" s="3">
        <f ca="1">IFERROR(__xludf.DUMMYFUNCTION("""COMPUTED_VALUE"""),-0.397138210152139)</f>
        <v>-0.39713821015213902</v>
      </c>
      <c r="KK2" s="3">
        <f ca="1">IFERROR(__xludf.DUMMYFUNCTION("""COMPUTED_VALUE"""),-0.338732180098074)</f>
        <v>-0.33873218009807399</v>
      </c>
      <c r="KL2" s="3">
        <f ca="1">IFERROR(__xludf.DUMMYFUNCTION("""COMPUTED_VALUE"""),-0.0946476110202184)</f>
        <v>-9.4647611020218403E-2</v>
      </c>
      <c r="KM2" s="3">
        <f ca="1">IFERROR(__xludf.DUMMYFUNCTION("""COMPUTED_VALUE"""),-0.247551164204834)</f>
        <v>-0.247551164204834</v>
      </c>
      <c r="KN2" s="3">
        <f ca="1">IFERROR(__xludf.DUMMYFUNCTION("""COMPUTED_VALUE"""),-0.460458792250412)</f>
        <v>-0.46045879225041197</v>
      </c>
      <c r="KO2" s="3">
        <f ca="1">IFERROR(__xludf.DUMMYFUNCTION("""COMPUTED_VALUE"""),-0.339749333845484)</f>
        <v>-0.339749333845484</v>
      </c>
      <c r="KP2" s="3">
        <f ca="1">IFERROR(__xludf.DUMMYFUNCTION("""COMPUTED_VALUE"""),-0.425182764397457)</f>
        <v>-0.425182764397457</v>
      </c>
      <c r="KQ2" s="3">
        <f ca="1">IFERROR(__xludf.DUMMYFUNCTION("""COMPUTED_VALUE"""),-0.419770034642493)</f>
        <v>-0.41977003464249302</v>
      </c>
      <c r="KR2" s="3">
        <f ca="1">IFERROR(__xludf.DUMMYFUNCTION("""COMPUTED_VALUE"""),-0.321436838019807)</f>
        <v>-0.32143683801980699</v>
      </c>
      <c r="KS2" s="3">
        <f ca="1">IFERROR(__xludf.DUMMYFUNCTION("""COMPUTED_VALUE"""),-0.199671177537403)</f>
        <v>-0.19967117753740299</v>
      </c>
      <c r="KT2" s="3">
        <f ca="1">IFERROR(__xludf.DUMMYFUNCTION("""COMPUTED_VALUE"""),-0.335301304111718)</f>
        <v>-0.33530130411171799</v>
      </c>
      <c r="KU2" s="3">
        <f ca="1">IFERROR(__xludf.DUMMYFUNCTION("""COMPUTED_VALUE"""),-0.486675393359394)</f>
        <v>-0.48667539335939403</v>
      </c>
      <c r="KV2" s="3">
        <f ca="1">IFERROR(__xludf.DUMMYFUNCTION("""COMPUTED_VALUE"""),-0.369238341546189)</f>
        <v>-0.36923834154618901</v>
      </c>
      <c r="KW2" s="3">
        <f ca="1">IFERROR(__xludf.DUMMYFUNCTION("""COMPUTED_VALUE"""),-0.420818514444036)</f>
        <v>-0.42081851444403601</v>
      </c>
      <c r="KX2" s="3">
        <f ca="1">IFERROR(__xludf.DUMMYFUNCTION("""COMPUTED_VALUE"""),-0.462478400189082)</f>
        <v>-0.46247840018908198</v>
      </c>
      <c r="KY2" s="3">
        <f ca="1">IFERROR(__xludf.DUMMYFUNCTION("""COMPUTED_VALUE"""),-0.449158671007746)</f>
        <v>-0.44915867100774598</v>
      </c>
      <c r="KZ2" s="3">
        <f ca="1">IFERROR(__xludf.DUMMYFUNCTION("""COMPUTED_VALUE"""),-0.40654501002792)</f>
        <v>-0.40654501002791998</v>
      </c>
      <c r="LA2" s="3">
        <f ca="1">IFERROR(__xludf.DUMMYFUNCTION("""COMPUTED_VALUE"""),-0.40586356387903)</f>
        <v>-0.40586356387903</v>
      </c>
      <c r="LB2" s="3">
        <f ca="1">IFERROR(__xludf.DUMMYFUNCTION("""COMPUTED_VALUE"""),-0.426140772046681)</f>
        <v>-0.42614077204668099</v>
      </c>
      <c r="LC2" s="3">
        <f ca="1">IFERROR(__xludf.DUMMYFUNCTION("""COMPUTED_VALUE"""),-0.475289203615825)</f>
        <v>-0.475289203615825</v>
      </c>
      <c r="LD2" s="3">
        <f ca="1">IFERROR(__xludf.DUMMYFUNCTION("""COMPUTED_VALUE"""),-0.46091808716741)</f>
        <v>-0.46091808716741001</v>
      </c>
      <c r="LE2" s="3">
        <f ca="1">IFERROR(__xludf.DUMMYFUNCTION("""COMPUTED_VALUE"""),-0.497057799644926)</f>
        <v>-0.49705779964492602</v>
      </c>
      <c r="LF2" s="3">
        <f ca="1">IFERROR(__xludf.DUMMYFUNCTION("""COMPUTED_VALUE"""),-0.512947091649313)</f>
        <v>-0.51294709164931296</v>
      </c>
      <c r="LG2" s="3">
        <f ca="1">IFERROR(__xludf.DUMMYFUNCTION("""COMPUTED_VALUE"""),-0.476127887728783)</f>
        <v>-0.47612788772878301</v>
      </c>
      <c r="LH2" s="3">
        <f ca="1">IFERROR(__xludf.DUMMYFUNCTION("""COMPUTED_VALUE"""),-0.392858605245022)</f>
        <v>-0.39285860524502197</v>
      </c>
      <c r="LI2" s="3">
        <f ca="1">IFERROR(__xludf.DUMMYFUNCTION("""COMPUTED_VALUE"""),-0.477345254331128)</f>
        <v>-0.47734525433112801</v>
      </c>
      <c r="LJ2" s="3">
        <f ca="1">IFERROR(__xludf.DUMMYFUNCTION("""COMPUTED_VALUE"""),-0.526675715384111)</f>
        <v>-0.52667571538411095</v>
      </c>
      <c r="LK2" s="3">
        <f ca="1">IFERROR(__xludf.DUMMYFUNCTION("""COMPUTED_VALUE"""),-0.355021251154405)</f>
        <v>-0.35502125115440503</v>
      </c>
      <c r="LL2" s="3">
        <f ca="1">IFERROR(__xludf.DUMMYFUNCTION("""COMPUTED_VALUE"""),-0.474558842379446)</f>
        <v>-0.47455884237944601</v>
      </c>
      <c r="LM2" s="3">
        <f ca="1">IFERROR(__xludf.DUMMYFUNCTION("""COMPUTED_VALUE"""),-0.616420696014235)</f>
        <v>-0.61642069601423499</v>
      </c>
      <c r="LN2" s="3">
        <f ca="1">IFERROR(__xludf.DUMMYFUNCTION("""COMPUTED_VALUE"""),-0.382018775802317)</f>
        <v>-0.38201877580231702</v>
      </c>
      <c r="LO2" s="3">
        <f ca="1">IFERROR(__xludf.DUMMYFUNCTION("""COMPUTED_VALUE"""),-0.531488843070968)</f>
        <v>-0.531488843070968</v>
      </c>
      <c r="LP2" s="3">
        <f ca="1">IFERROR(__xludf.DUMMYFUNCTION("""COMPUTED_VALUE"""),-0.549891049567738)</f>
        <v>-0.54989104956773804</v>
      </c>
      <c r="LQ2" s="3">
        <f ca="1">IFERROR(__xludf.DUMMYFUNCTION("""COMPUTED_VALUE"""),-0.574066703011999)</f>
        <v>-0.57406670301199902</v>
      </c>
      <c r="LR2" s="3">
        <f ca="1">IFERROR(__xludf.DUMMYFUNCTION("""COMPUTED_VALUE"""),-0.577013572733332)</f>
        <v>-0.57701357273333198</v>
      </c>
      <c r="LS2" s="3">
        <f ca="1">IFERROR(__xludf.DUMMYFUNCTION("""COMPUTED_VALUE"""),-0.526697274078009)</f>
        <v>-0.52669727407800904</v>
      </c>
      <c r="LT2" s="3">
        <f ca="1">IFERROR(__xludf.DUMMYFUNCTION("""COMPUTED_VALUE"""),-0.594186901717696)</f>
        <v>-0.59418690171769595</v>
      </c>
      <c r="LU2" s="3">
        <f ca="1">IFERROR(__xludf.DUMMYFUNCTION("""COMPUTED_VALUE"""),-0.608904620147621)</f>
        <v>-0.60890462014762103</v>
      </c>
      <c r="LV2" s="3">
        <f ca="1">IFERROR(__xludf.DUMMYFUNCTION("""COMPUTED_VALUE"""),-0.649050224073767)</f>
        <v>-0.649050224073767</v>
      </c>
      <c r="LW2" s="3">
        <f ca="1">IFERROR(__xludf.DUMMYFUNCTION("""COMPUTED_VALUE"""),-0.699274453497879)</f>
        <v>-0.69927445349787898</v>
      </c>
      <c r="LX2" s="3">
        <f ca="1">IFERROR(__xludf.DUMMYFUNCTION("""COMPUTED_VALUE"""),-0.688718915903491)</f>
        <v>-0.68871891590349099</v>
      </c>
      <c r="LY2" s="3">
        <f ca="1">IFERROR(__xludf.DUMMYFUNCTION("""COMPUTED_VALUE"""),-0.701647881126552)</f>
        <v>-0.70164788112655196</v>
      </c>
      <c r="LZ2" s="3">
        <f ca="1">IFERROR(__xludf.DUMMYFUNCTION("""COMPUTED_VALUE"""),-0.691161936187728)</f>
        <v>-0.69116193618772803</v>
      </c>
      <c r="MA2" s="3">
        <f ca="1">IFERROR(__xludf.DUMMYFUNCTION("""COMPUTED_VALUE"""),-0.755656104891782)</f>
        <v>-0.75565610489178203</v>
      </c>
      <c r="MB2" s="3">
        <f ca="1">IFERROR(__xludf.DUMMYFUNCTION("""COMPUTED_VALUE"""),-0.750527423405651)</f>
        <v>-0.75052742340565104</v>
      </c>
      <c r="MC2" s="3">
        <f ca="1">IFERROR(__xludf.DUMMYFUNCTION("""COMPUTED_VALUE"""),-0.824251458997513)</f>
        <v>-0.82425145899751295</v>
      </c>
      <c r="MD2" s="3">
        <f ca="1">IFERROR(__xludf.DUMMYFUNCTION("""COMPUTED_VALUE"""),-0.796449574587477)</f>
        <v>-0.796449574587477</v>
      </c>
      <c r="ME2" s="3">
        <f ca="1">IFERROR(__xludf.DUMMYFUNCTION("""COMPUTED_VALUE"""),-0.787990508971408)</f>
        <v>-0.78799050897140799</v>
      </c>
      <c r="MF2" s="3">
        <f ca="1">IFERROR(__xludf.DUMMYFUNCTION("""COMPUTED_VALUE"""),-0.794641967199746)</f>
        <v>-0.794641967199746</v>
      </c>
      <c r="MG2" s="3">
        <f ca="1">IFERROR(__xludf.DUMMYFUNCTION("""COMPUTED_VALUE"""),-0.761358291318588)</f>
        <v>-0.76135829131858801</v>
      </c>
      <c r="MH2" s="3">
        <f ca="1">IFERROR(__xludf.DUMMYFUNCTION("""COMPUTED_VALUE"""),-0.764983480054867)</f>
        <v>-0.76498348005486705</v>
      </c>
      <c r="MI2" s="3">
        <f ca="1">IFERROR(__xludf.DUMMYFUNCTION("""COMPUTED_VALUE"""),-0.783643125854568)</f>
        <v>-0.78364312585456797</v>
      </c>
      <c r="MJ2" s="3">
        <f ca="1">IFERROR(__xludf.DUMMYFUNCTION("""COMPUTED_VALUE"""),-0.821832943611843)</f>
        <v>-0.821832943611843</v>
      </c>
      <c r="MK2" s="3">
        <f ca="1">IFERROR(__xludf.DUMMYFUNCTION("""COMPUTED_VALUE"""),-0.840389496617548)</f>
        <v>-0.84038949661754803</v>
      </c>
      <c r="ML2" s="3">
        <f ca="1">IFERROR(__xludf.DUMMYFUNCTION("""COMPUTED_VALUE"""),-0.856753829928583)</f>
        <v>-0.85675382992858296</v>
      </c>
      <c r="MM2" s="3">
        <f ca="1">IFERROR(__xludf.DUMMYFUNCTION("""COMPUTED_VALUE"""),-0.825424822992535)</f>
        <v>-0.82542482299253495</v>
      </c>
      <c r="MN2" s="3">
        <f ca="1">IFERROR(__xludf.DUMMYFUNCTION("""COMPUTED_VALUE"""),-0.775842303452746)</f>
        <v>-0.77584230345274596</v>
      </c>
      <c r="MO2" s="3">
        <f ca="1">IFERROR(__xludf.DUMMYFUNCTION("""COMPUTED_VALUE"""),-0.836433518178893)</f>
        <v>-0.836433518178893</v>
      </c>
      <c r="MP2" s="3">
        <f ca="1">IFERROR(__xludf.DUMMYFUNCTION("""COMPUTED_VALUE"""),-0.834442581184717)</f>
        <v>-0.83444258118471704</v>
      </c>
      <c r="MQ2" s="3">
        <f ca="1">IFERROR(__xludf.DUMMYFUNCTION("""COMPUTED_VALUE"""),-0.806454488785579)</f>
        <v>-0.80645448878557902</v>
      </c>
      <c r="MR2" s="3">
        <f ca="1">IFERROR(__xludf.DUMMYFUNCTION("""COMPUTED_VALUE"""),-0.856806762656345)</f>
        <v>-0.85680676265634503</v>
      </c>
      <c r="MS2" s="3">
        <f ca="1">IFERROR(__xludf.DUMMYFUNCTION("""COMPUTED_VALUE"""),-0.816729164829131)</f>
        <v>-0.81672916482913105</v>
      </c>
      <c r="MT2" s="3">
        <f ca="1">IFERROR(__xludf.DUMMYFUNCTION("""COMPUTED_VALUE"""),-0.820675826580362)</f>
        <v>-0.82067582658036198</v>
      </c>
      <c r="MU2" s="3">
        <f ca="1">IFERROR(__xludf.DUMMYFUNCTION("""COMPUTED_VALUE"""),-0.814609194603952)</f>
        <v>-0.81460919460395198</v>
      </c>
      <c r="MV2" s="3">
        <f ca="1">IFERROR(__xludf.DUMMYFUNCTION("""COMPUTED_VALUE"""),-0.76967500944194)</f>
        <v>-0.76967500944194001</v>
      </c>
      <c r="MW2" s="3">
        <f ca="1">IFERROR(__xludf.DUMMYFUNCTION("""COMPUTED_VALUE"""),-0.793159164455655)</f>
        <v>-0.79315916445565504</v>
      </c>
      <c r="MX2" s="3">
        <f ca="1">IFERROR(__xludf.DUMMYFUNCTION("""COMPUTED_VALUE"""),-0.840187054217683)</f>
        <v>-0.84018705421768303</v>
      </c>
      <c r="MY2" s="3">
        <f ca="1">IFERROR(__xludf.DUMMYFUNCTION("""COMPUTED_VALUE"""),-0.802740004353409)</f>
        <v>-0.80274000435340898</v>
      </c>
      <c r="MZ2" s="3">
        <f ca="1">IFERROR(__xludf.DUMMYFUNCTION("""COMPUTED_VALUE"""),-0.805318604547)</f>
        <v>-0.80531860454699999</v>
      </c>
      <c r="NA2" s="3">
        <f ca="1">IFERROR(__xludf.DUMMYFUNCTION("""COMPUTED_VALUE"""),-0.854886400041184)</f>
        <v>-0.85488640004118399</v>
      </c>
      <c r="NB2" s="3">
        <f ca="1">IFERROR(__xludf.DUMMYFUNCTION("""COMPUTED_VALUE"""),-0.800024373393095)</f>
        <v>-0.80002437339309496</v>
      </c>
      <c r="NC2" s="3">
        <f ca="1">IFERROR(__xludf.DUMMYFUNCTION("""COMPUTED_VALUE"""),-0.828024255864119)</f>
        <v>-0.82802425586411899</v>
      </c>
      <c r="ND2" s="3">
        <f ca="1">IFERROR(__xludf.DUMMYFUNCTION("""COMPUTED_VALUE"""),-0.837212422273173)</f>
        <v>-0.83721242227317305</v>
      </c>
      <c r="NE2" s="3">
        <f ca="1">IFERROR(__xludf.DUMMYFUNCTION("""COMPUTED_VALUE"""),-0.816067148174675)</f>
        <v>-0.81606714817467496</v>
      </c>
      <c r="NF2" s="3">
        <f ca="1">IFERROR(__xludf.DUMMYFUNCTION("""COMPUTED_VALUE"""),-0.81940323627608)</f>
        <v>-0.81940323627608003</v>
      </c>
      <c r="NG2" s="3">
        <f ca="1">IFERROR(__xludf.DUMMYFUNCTION("""COMPUTED_VALUE"""),-0.860476640238948)</f>
        <v>-0.86047664023894799</v>
      </c>
      <c r="NH2" s="3">
        <f ca="1">IFERROR(__xludf.DUMMYFUNCTION("""COMPUTED_VALUE"""),-0.84188529997077)</f>
        <v>-0.84188529997077</v>
      </c>
      <c r="NI2" s="3">
        <f ca="1">IFERROR(__xludf.DUMMYFUNCTION("""COMPUTED_VALUE"""),-0.810414762698154)</f>
        <v>-0.81041476269815405</v>
      </c>
      <c r="NJ2" s="3">
        <f ca="1">IFERROR(__xludf.DUMMYFUNCTION("""COMPUTED_VALUE"""),-0.800768239906406)</f>
        <v>-0.800768239906406</v>
      </c>
      <c r="NK2" s="3">
        <f ca="1">IFERROR(__xludf.DUMMYFUNCTION("""COMPUTED_VALUE"""),-0.859116031406647)</f>
        <v>-0.85911603140664705</v>
      </c>
      <c r="NL2" s="3">
        <f ca="1">IFERROR(__xludf.DUMMYFUNCTION("""COMPUTED_VALUE"""),-0.840870314244629)</f>
        <v>-0.84087031424462899</v>
      </c>
      <c r="NM2" s="3">
        <f ca="1">IFERROR(__xludf.DUMMYFUNCTION("""COMPUTED_VALUE"""),-0.822058446377085)</f>
        <v>-0.82205844637708503</v>
      </c>
      <c r="NN2" s="3">
        <f ca="1">IFERROR(__xludf.DUMMYFUNCTION("""COMPUTED_VALUE"""),-0.825292834564066)</f>
        <v>-0.82529283456406599</v>
      </c>
      <c r="NO2" s="3">
        <f ca="1">IFERROR(__xludf.DUMMYFUNCTION("""COMPUTED_VALUE"""),-0.847255516306308)</f>
        <v>-0.84725551630630802</v>
      </c>
      <c r="NP2" s="3">
        <f ca="1">IFERROR(__xludf.DUMMYFUNCTION("""COMPUTED_VALUE"""),-0.819938026614359)</f>
        <v>-0.81993802661435899</v>
      </c>
      <c r="NQ2" s="3">
        <f ca="1">IFERROR(__xludf.DUMMYFUNCTION("""COMPUTED_VALUE"""),-0.809001421225945)</f>
        <v>-0.80900142122594498</v>
      </c>
      <c r="NR2" s="3">
        <f ca="1">IFERROR(__xludf.DUMMYFUNCTION("""COMPUTED_VALUE"""),-0.818674903322785)</f>
        <v>-0.81867490332278503</v>
      </c>
      <c r="NS2" s="3">
        <f ca="1">IFERROR(__xludf.DUMMYFUNCTION("""COMPUTED_VALUE"""),-0.795407830764533)</f>
        <v>-0.79540783076453303</v>
      </c>
      <c r="NT2" s="3">
        <f ca="1">IFERROR(__xludf.DUMMYFUNCTION("""COMPUTED_VALUE"""),-0.753373854012099)</f>
        <v>-0.753373854012099</v>
      </c>
      <c r="NU2" s="3">
        <f ca="1">IFERROR(__xludf.DUMMYFUNCTION("""COMPUTED_VALUE"""),-0.807450567327191)</f>
        <v>-0.807450567327191</v>
      </c>
      <c r="NV2" s="3">
        <f ca="1">IFERROR(__xludf.DUMMYFUNCTION("""COMPUTED_VALUE"""),-0.781911621197765)</f>
        <v>-0.78191162119776503</v>
      </c>
      <c r="NW2" s="3">
        <f ca="1">IFERROR(__xludf.DUMMYFUNCTION("""COMPUTED_VALUE"""),-0.75900536504004)</f>
        <v>-0.75900536504004001</v>
      </c>
      <c r="NX2" s="3">
        <f ca="1">IFERROR(__xludf.DUMMYFUNCTION("""COMPUTED_VALUE"""),-0.773104572199903)</f>
        <v>-0.77310457219990303</v>
      </c>
      <c r="NY2" s="3">
        <f ca="1">IFERROR(__xludf.DUMMYFUNCTION("""COMPUTED_VALUE"""),-0.739892736548909)</f>
        <v>-0.73989273654890897</v>
      </c>
      <c r="NZ2" s="3">
        <f ca="1">IFERROR(__xludf.DUMMYFUNCTION("""COMPUTED_VALUE"""),-0.726144943827998)</f>
        <v>-0.72614494382799799</v>
      </c>
      <c r="OA2" s="3">
        <f ca="1">IFERROR(__xludf.DUMMYFUNCTION("""COMPUTED_VALUE"""),-0.751929664880692)</f>
        <v>-0.75192966488069202</v>
      </c>
      <c r="OB2" s="3">
        <f ca="1">IFERROR(__xludf.DUMMYFUNCTION("""COMPUTED_VALUE"""),-0.707822522325876)</f>
        <v>-0.70782252232587595</v>
      </c>
      <c r="OC2" s="3">
        <f ca="1">IFERROR(__xludf.DUMMYFUNCTION("""COMPUTED_VALUE"""),-0.730660934910109)</f>
        <v>-0.73066093491010897</v>
      </c>
      <c r="OD2" s="3">
        <f ca="1">IFERROR(__xludf.DUMMYFUNCTION("""COMPUTED_VALUE"""),-0.654569136513661)</f>
        <v>-0.654569136513661</v>
      </c>
      <c r="OE2" s="3">
        <f ca="1">IFERROR(__xludf.DUMMYFUNCTION("""COMPUTED_VALUE"""),-0.563538168341381)</f>
        <v>-0.56353816834138104</v>
      </c>
      <c r="OF2" s="3">
        <f ca="1">IFERROR(__xludf.DUMMYFUNCTION("""COMPUTED_VALUE"""),-0.401223696545917)</f>
        <v>-0.401223696545917</v>
      </c>
      <c r="OG2" s="3">
        <f ca="1">IFERROR(__xludf.DUMMYFUNCTION("""COMPUTED_VALUE"""),-0.312258186403402)</f>
        <v>-0.31225818640340203</v>
      </c>
      <c r="OH2" s="3">
        <f ca="1">IFERROR(__xludf.DUMMYFUNCTION("""COMPUTED_VALUE"""),-0.206615799997533)</f>
        <v>-0.20661579999753299</v>
      </c>
      <c r="OI2" s="3">
        <f ca="1">IFERROR(__xludf.DUMMYFUNCTION("""COMPUTED_VALUE"""),-0.0939062727556419)</f>
        <v>-9.3906272755641895E-2</v>
      </c>
      <c r="OJ2" s="3">
        <f ca="1">IFERROR(__xludf.DUMMYFUNCTION("""COMPUTED_VALUE"""),0.0223753220228863)</f>
        <v>2.23753220228863E-2</v>
      </c>
      <c r="OK2" s="3">
        <f ca="1">IFERROR(__xludf.DUMMYFUNCTION("""COMPUTED_VALUE"""),0.0332040235522359)</f>
        <v>3.3204023552235902E-2</v>
      </c>
      <c r="OL2" s="3">
        <f ca="1">IFERROR(__xludf.DUMMYFUNCTION("""COMPUTED_VALUE"""),0.184092610669899)</f>
        <v>0.18409261066989899</v>
      </c>
      <c r="OM2" s="3">
        <f ca="1">IFERROR(__xludf.DUMMYFUNCTION("""COMPUTED_VALUE"""),0.0952069879239394)</f>
        <v>9.5206987923939404E-2</v>
      </c>
      <c r="ON2" s="3">
        <f ca="1">IFERROR(__xludf.DUMMYFUNCTION("""COMPUTED_VALUE"""),0.208279781765878)</f>
        <v>0.208279781765878</v>
      </c>
      <c r="OO2" s="3">
        <f ca="1">IFERROR(__xludf.DUMMYFUNCTION("""COMPUTED_VALUE"""),0.135442092388214)</f>
        <v>0.135442092388214</v>
      </c>
      <c r="OP2" s="3">
        <f ca="1">IFERROR(__xludf.DUMMYFUNCTION("""COMPUTED_VALUE"""),-0.0942268100655718)</f>
        <v>-9.4226810065571806E-2</v>
      </c>
      <c r="OQ2" s="3">
        <f ca="1">IFERROR(__xludf.DUMMYFUNCTION("""COMPUTED_VALUE"""),-0.105599197595988)</f>
        <v>-0.105599197595988</v>
      </c>
      <c r="OR2" s="3">
        <f ca="1">IFERROR(__xludf.DUMMYFUNCTION("""COMPUTED_VALUE"""),-0.088121691718882)</f>
        <v>-8.8121691718881998E-2</v>
      </c>
      <c r="OS2" s="3">
        <f ca="1">IFERROR(__xludf.DUMMYFUNCTION("""COMPUTED_VALUE"""),-0.0572101202850782)</f>
        <v>-5.72101202850782E-2</v>
      </c>
      <c r="OT2" s="3">
        <f ca="1">IFERROR(__xludf.DUMMYFUNCTION("""COMPUTED_VALUE"""),0.0888169746222766)</f>
        <v>8.8816974622276598E-2</v>
      </c>
      <c r="OU2" s="3">
        <f ca="1">IFERROR(__xludf.DUMMYFUNCTION("""COMPUTED_VALUE"""),0.0536088276152626)</f>
        <v>5.3608827615262603E-2</v>
      </c>
      <c r="OV2" s="3">
        <f ca="1">IFERROR(__xludf.DUMMYFUNCTION("""COMPUTED_VALUE"""),0.0270175296925176)</f>
        <v>2.7017529692517601E-2</v>
      </c>
      <c r="OW2" s="3">
        <f ca="1">IFERROR(__xludf.DUMMYFUNCTION("""COMPUTED_VALUE"""),-0.0350709286818351)</f>
        <v>-3.5070928681835097E-2</v>
      </c>
      <c r="OX2" s="3">
        <f ca="1">IFERROR(__xludf.DUMMYFUNCTION("""COMPUTED_VALUE"""),-0.0374605065447345)</f>
        <v>-3.7460506544734498E-2</v>
      </c>
      <c r="OY2" s="3">
        <f ca="1">IFERROR(__xludf.DUMMYFUNCTION("""COMPUTED_VALUE"""),-0.0132589669642505)</f>
        <v>-1.3258966964250499E-2</v>
      </c>
      <c r="OZ2" s="3">
        <f ca="1">IFERROR(__xludf.DUMMYFUNCTION("""COMPUTED_VALUE"""),0.0601847841269167)</f>
        <v>6.0184784126916697E-2</v>
      </c>
      <c r="PA2" s="3">
        <f ca="1">IFERROR(__xludf.DUMMYFUNCTION("""COMPUTED_VALUE"""),0.0936191418126992)</f>
        <v>9.3619141812699203E-2</v>
      </c>
      <c r="PB2" s="3">
        <f ca="1">IFERROR(__xludf.DUMMYFUNCTION("""COMPUTED_VALUE"""),0.0444018134236647)</f>
        <v>4.4401813423664699E-2</v>
      </c>
      <c r="PC2" s="3">
        <f ca="1">IFERROR(__xludf.DUMMYFUNCTION("""COMPUTED_VALUE"""),-0.0559575017080952)</f>
        <v>-5.59575017080952E-2</v>
      </c>
      <c r="PD2" s="3">
        <f ca="1">IFERROR(__xludf.DUMMYFUNCTION("""COMPUTED_VALUE"""),-0.115048592657839)</f>
        <v>-0.115048592657839</v>
      </c>
      <c r="PE2" s="3">
        <f ca="1">IFERROR(__xludf.DUMMYFUNCTION("""COMPUTED_VALUE"""),-0.0457606958261395)</f>
        <v>-4.5760695826139501E-2</v>
      </c>
      <c r="PF2" s="3">
        <f ca="1">IFERROR(__xludf.DUMMYFUNCTION("""COMPUTED_VALUE"""),0.0527135641846727)</f>
        <v>5.2713564184672698E-2</v>
      </c>
      <c r="PG2" s="3">
        <f ca="1">IFERROR(__xludf.DUMMYFUNCTION("""COMPUTED_VALUE"""),0.133103556950113)</f>
        <v>0.133103556950113</v>
      </c>
      <c r="PH2" s="3">
        <f ca="1">IFERROR(__xludf.DUMMYFUNCTION("""COMPUTED_VALUE"""),0.0936544227397526)</f>
        <v>9.3654422739752594E-2</v>
      </c>
      <c r="PI2" s="3">
        <f ca="1">IFERROR(__xludf.DUMMYFUNCTION("""COMPUTED_VALUE"""),0.00756544479361842)</f>
        <v>7.5654447936184203E-3</v>
      </c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</row>
    <row r="3" spans="1:477" ht="15.75" customHeight="1">
      <c r="A3" s="1" t="str">
        <f ca="1">IFERROR(__xludf.DUMMYFUNCTION("""COMPUTED_VALUE"""),"U-M Transit")</f>
        <v>U-M Transit</v>
      </c>
      <c r="B3" s="1" t="str">
        <f ca="1">IFERROR(__xludf.DUMMYFUNCTION("""COMPUTED_VALUE"""),"Ann Arbor")</f>
        <v>Ann Arbor</v>
      </c>
      <c r="C3" s="1" t="str">
        <f ca="1">IFERROR(__xludf.DUMMYFUNCTION("""COMPUTED_VALUE"""),"United States")</f>
        <v>United States</v>
      </c>
      <c r="D3" s="1" t="str">
        <f ca="1">IFERROR(__xludf.DUMMYFUNCTION("""COMPUTED_VALUE"""),"Michigan")</f>
        <v>Michigan</v>
      </c>
      <c r="E3" s="3">
        <f ca="1">IFERROR(__xludf.DUMMYFUNCTION("""COMPUTED_VALUE"""),-0.86626572442974)</f>
        <v>-0.86626572442974004</v>
      </c>
      <c r="F3" s="3">
        <f ca="1">IFERROR(__xludf.DUMMYFUNCTION("""COMPUTED_VALUE"""),-0.863109133015367)</f>
        <v>-0.86310913301536696</v>
      </c>
      <c r="G3" s="3">
        <f ca="1">IFERROR(__xludf.DUMMYFUNCTION("""COMPUTED_VALUE"""),-0.894713446245113)</f>
        <v>-0.89471344624511295</v>
      </c>
      <c r="H3" s="3">
        <f ca="1">IFERROR(__xludf.DUMMYFUNCTION("""COMPUTED_VALUE"""),-0.858868203181201)</f>
        <v>-0.85886820318120105</v>
      </c>
      <c r="I3" s="3">
        <f ca="1">IFERROR(__xludf.DUMMYFUNCTION("""COMPUTED_VALUE"""),-0.871363950964892)</f>
        <v>-0.87136395096489205</v>
      </c>
      <c r="J3" s="3">
        <f ca="1">IFERROR(__xludf.DUMMYFUNCTION("""COMPUTED_VALUE"""),-0.882224810603774)</f>
        <v>-0.882224810603774</v>
      </c>
      <c r="K3" s="3">
        <f ca="1">IFERROR(__xludf.DUMMYFUNCTION("""COMPUTED_VALUE"""),-0.909416032951022)</f>
        <v>-0.90941603295102202</v>
      </c>
      <c r="L3" s="3">
        <f ca="1">IFERROR(__xludf.DUMMYFUNCTION("""COMPUTED_VALUE"""),-0.839938110407082)</f>
        <v>-0.83993811040708199</v>
      </c>
      <c r="M3" s="3">
        <f ca="1">IFERROR(__xludf.DUMMYFUNCTION("""COMPUTED_VALUE"""),-0.851058328223743)</f>
        <v>-0.85105832822374305</v>
      </c>
      <c r="N3" s="3">
        <f ca="1">IFERROR(__xludf.DUMMYFUNCTION("""COMPUTED_VALUE"""),-0.905293321049252)</f>
        <v>-0.90529332104925198</v>
      </c>
      <c r="O3" s="3">
        <f ca="1">IFERROR(__xludf.DUMMYFUNCTION("""COMPUTED_VALUE"""),-0.905175947266527)</f>
        <v>-0.90517594726652695</v>
      </c>
      <c r="P3" s="3">
        <f ca="1">IFERROR(__xludf.DUMMYFUNCTION("""COMPUTED_VALUE"""),-0.906156555427875)</f>
        <v>-0.90615655542787499</v>
      </c>
      <c r="Q3" s="3">
        <f ca="1">IFERROR(__xludf.DUMMYFUNCTION("""COMPUTED_VALUE"""),-0.906778701525577)</f>
        <v>-0.90677870152557705</v>
      </c>
      <c r="R3" s="3">
        <f ca="1">IFERROR(__xludf.DUMMYFUNCTION("""COMPUTED_VALUE"""),-0.762100995379089)</f>
        <v>-0.76210099537908904</v>
      </c>
      <c r="S3" s="3">
        <f ca="1">IFERROR(__xludf.DUMMYFUNCTION("""COMPUTED_VALUE"""),-0.856624452976561)</f>
        <v>-0.85662445297656098</v>
      </c>
      <c r="T3" s="3">
        <f ca="1">IFERROR(__xludf.DUMMYFUNCTION("""COMPUTED_VALUE"""),-0.881499550160089)</f>
        <v>-0.88149955016008896</v>
      </c>
      <c r="U3" s="3">
        <f ca="1">IFERROR(__xludf.DUMMYFUNCTION("""COMPUTED_VALUE"""),-0.906417316905332)</f>
        <v>-0.906417316905332</v>
      </c>
      <c r="V3" s="3">
        <f ca="1">IFERROR(__xludf.DUMMYFUNCTION("""COMPUTED_VALUE"""),-0.89065259334036)</f>
        <v>-0.89065259334035995</v>
      </c>
      <c r="W3" s="3">
        <f ca="1">IFERROR(__xludf.DUMMYFUNCTION("""COMPUTED_VALUE"""),-0.893545449183059)</f>
        <v>-0.893545449183059</v>
      </c>
      <c r="X3" s="3">
        <f ca="1">IFERROR(__xludf.DUMMYFUNCTION("""COMPUTED_VALUE"""),-0.884208794248892)</f>
        <v>-0.88420879424889198</v>
      </c>
      <c r="Y3" s="3">
        <f ca="1">IFERROR(__xludf.DUMMYFUNCTION("""COMPUTED_VALUE"""),-0.818759482577607)</f>
        <v>-0.818759482577607</v>
      </c>
      <c r="Z3" s="3">
        <f ca="1">IFERROR(__xludf.DUMMYFUNCTION("""COMPUTED_VALUE"""),-0.822292266411185)</f>
        <v>-0.82229226641118502</v>
      </c>
      <c r="AA3" s="3">
        <f ca="1">IFERROR(__xludf.DUMMYFUNCTION("""COMPUTED_VALUE"""),-0.87869205500562)</f>
        <v>-0.87869205500561998</v>
      </c>
      <c r="AB3" s="3">
        <f ca="1">IFERROR(__xludf.DUMMYFUNCTION("""COMPUTED_VALUE"""),-0.900761511696365)</f>
        <v>-0.90076151169636498</v>
      </c>
      <c r="AC3" s="3">
        <f ca="1">IFERROR(__xludf.DUMMYFUNCTION("""COMPUTED_VALUE"""),-0.911405547933593)</f>
        <v>-0.91140554793359296</v>
      </c>
      <c r="AD3" s="3">
        <f ca="1">IFERROR(__xludf.DUMMYFUNCTION("""COMPUTED_VALUE"""),-0.894757881535574)</f>
        <v>-0.89475788153557401</v>
      </c>
      <c r="AE3" s="3">
        <f ca="1">IFERROR(__xludf.DUMMYFUNCTION("""COMPUTED_VALUE"""),-0.892166842371183)</f>
        <v>-0.89216684237118304</v>
      </c>
      <c r="AF3" s="3">
        <f ca="1">IFERROR(__xludf.DUMMYFUNCTION("""COMPUTED_VALUE"""),-0.822130841848356)</f>
        <v>-0.82213084184835605</v>
      </c>
      <c r="AG3" s="3">
        <f ca="1">IFERROR(__xludf.DUMMYFUNCTION("""COMPUTED_VALUE"""),-0.859559905106709)</f>
        <v>-0.85955990510670899</v>
      </c>
      <c r="AH3" s="3">
        <f ca="1">IFERROR(__xludf.DUMMYFUNCTION("""COMPUTED_VALUE"""),-0.880004852070122)</f>
        <v>-0.88000485207012202</v>
      </c>
      <c r="AI3" s="3">
        <f ca="1">IFERROR(__xludf.DUMMYFUNCTION("""COMPUTED_VALUE"""),-0.902646769123857)</f>
        <v>-0.902646769123857</v>
      </c>
      <c r="AJ3" s="3">
        <f ca="1">IFERROR(__xludf.DUMMYFUNCTION("""COMPUTED_VALUE"""),-0.8933877023756)</f>
        <v>-0.89338770237559995</v>
      </c>
      <c r="AK3" s="3">
        <f ca="1">IFERROR(__xludf.DUMMYFUNCTION("""COMPUTED_VALUE"""),-0.898871953058293)</f>
        <v>-0.89887195305829304</v>
      </c>
      <c r="AL3" s="3">
        <f ca="1">IFERROR(__xludf.DUMMYFUNCTION("""COMPUTED_VALUE"""),-0.892092355563749)</f>
        <v>-0.892092355563749</v>
      </c>
      <c r="AM3" s="3">
        <f ca="1">IFERROR(__xludf.DUMMYFUNCTION("""COMPUTED_VALUE"""),-0.785347080069849)</f>
        <v>-0.78534708006984899</v>
      </c>
      <c r="AN3" s="3">
        <f ca="1">IFERROR(__xludf.DUMMYFUNCTION("""COMPUTED_VALUE"""),-0.805639986548601)</f>
        <v>-0.80563998654860103</v>
      </c>
      <c r="AO3" s="3">
        <f ca="1">IFERROR(__xludf.DUMMYFUNCTION("""COMPUTED_VALUE"""),-0.854593879784616)</f>
        <v>-0.85459387978461598</v>
      </c>
      <c r="AP3" s="3">
        <f ca="1">IFERROR(__xludf.DUMMYFUNCTION("""COMPUTED_VALUE"""),-0.882166965839647)</f>
        <v>-0.88216696583964704</v>
      </c>
      <c r="AQ3" s="3">
        <f ca="1">IFERROR(__xludf.DUMMYFUNCTION("""COMPUTED_VALUE"""),-0.872559692312638)</f>
        <v>-0.87255969231263797</v>
      </c>
      <c r="AR3" s="3">
        <f ca="1">IFERROR(__xludf.DUMMYFUNCTION("""COMPUTED_VALUE"""),-0.890801743379684)</f>
        <v>-0.89080174337968399</v>
      </c>
      <c r="AS3" s="3">
        <f ca="1">IFERROR(__xludf.DUMMYFUNCTION("""COMPUTED_VALUE"""),-0.882082096295217)</f>
        <v>-0.88208209629521706</v>
      </c>
      <c r="AT3" s="3">
        <f ca="1">IFERROR(__xludf.DUMMYFUNCTION("""COMPUTED_VALUE"""),-0.796946378850553)</f>
        <v>-0.79694637885055297</v>
      </c>
      <c r="AU3" s="3">
        <f ca="1">IFERROR(__xludf.DUMMYFUNCTION("""COMPUTED_VALUE"""),-0.810443926979116)</f>
        <v>-0.81044392697911605</v>
      </c>
      <c r="AV3" s="3">
        <f ca="1">IFERROR(__xludf.DUMMYFUNCTION("""COMPUTED_VALUE"""),-0.850650269871089)</f>
        <v>-0.85065026987108905</v>
      </c>
      <c r="AW3" s="3">
        <f ca="1">IFERROR(__xludf.DUMMYFUNCTION("""COMPUTED_VALUE"""),-0.892752815612616)</f>
        <v>-0.89275281561261599</v>
      </c>
      <c r="AX3" s="3">
        <f ca="1">IFERROR(__xludf.DUMMYFUNCTION("""COMPUTED_VALUE"""),-0.878591991195533)</f>
        <v>-0.878591991195533</v>
      </c>
      <c r="AY3" s="3">
        <f ca="1">IFERROR(__xludf.DUMMYFUNCTION("""COMPUTED_VALUE"""),-0.892027822521208)</f>
        <v>-0.89202782252120805</v>
      </c>
      <c r="AZ3" s="3">
        <f ca="1">IFERROR(__xludf.DUMMYFUNCTION("""COMPUTED_VALUE"""),-0.903109518106399)</f>
        <v>-0.90310951810639895</v>
      </c>
      <c r="BA3" s="3">
        <f ca="1">IFERROR(__xludf.DUMMYFUNCTION("""COMPUTED_VALUE"""),-0.811522114115317)</f>
        <v>-0.81152211411531705</v>
      </c>
      <c r="BB3" s="3">
        <f ca="1">IFERROR(__xludf.DUMMYFUNCTION("""COMPUTED_VALUE"""),-0.81550809428362)</f>
        <v>-0.81550809428362003</v>
      </c>
      <c r="BC3" s="3">
        <f ca="1">IFERROR(__xludf.DUMMYFUNCTION("""COMPUTED_VALUE"""),-0.879541647611014)</f>
        <v>-0.87954164761101405</v>
      </c>
      <c r="BD3" s="3">
        <f ca="1">IFERROR(__xludf.DUMMYFUNCTION("""COMPUTED_VALUE"""),-0.894356326531337)</f>
        <v>-0.89435632653133701</v>
      </c>
      <c r="BE3" s="3">
        <f ca="1">IFERROR(__xludf.DUMMYFUNCTION("""COMPUTED_VALUE"""),-0.876531310931104)</f>
        <v>-0.87653131093110404</v>
      </c>
      <c r="BF3" s="3">
        <f ca="1">IFERROR(__xludf.DUMMYFUNCTION("""COMPUTED_VALUE"""),-0.898089785989103)</f>
        <v>-0.89808978598910305</v>
      </c>
      <c r="BG3" s="3">
        <f ca="1">IFERROR(__xludf.DUMMYFUNCTION("""COMPUTED_VALUE"""),-0.909728261765967)</f>
        <v>-0.90972826176596699</v>
      </c>
      <c r="BH3" s="3">
        <f ca="1">IFERROR(__xludf.DUMMYFUNCTION("""COMPUTED_VALUE"""),-0.744292809685123)</f>
        <v>-0.74429280968512301</v>
      </c>
      <c r="BI3" s="3">
        <f ca="1">IFERROR(__xludf.DUMMYFUNCTION("""COMPUTED_VALUE"""),-0.806740835261115)</f>
        <v>-0.80674083526111495</v>
      </c>
      <c r="BJ3" s="3">
        <f ca="1">IFERROR(__xludf.DUMMYFUNCTION("""COMPUTED_VALUE"""),-0.891369168879663)</f>
        <v>-0.891369168879663</v>
      </c>
      <c r="BK3" s="3">
        <f ca="1">IFERROR(__xludf.DUMMYFUNCTION("""COMPUTED_VALUE"""),-0.90886056385185)</f>
        <v>-0.90886056385184999</v>
      </c>
      <c r="BL3" s="3">
        <f ca="1">IFERROR(__xludf.DUMMYFUNCTION("""COMPUTED_VALUE"""),-0.89832951378463)</f>
        <v>-0.89832951378463</v>
      </c>
      <c r="BM3" s="3">
        <f ca="1">IFERROR(__xludf.DUMMYFUNCTION("""COMPUTED_VALUE"""),-0.905934911304553)</f>
        <v>-0.90593491130455295</v>
      </c>
      <c r="BN3" s="3">
        <f ca="1">IFERROR(__xludf.DUMMYFUNCTION("""COMPUTED_VALUE"""),-0.887626052680572)</f>
        <v>-0.88762605268057204</v>
      </c>
      <c r="BO3" s="3">
        <f ca="1">IFERROR(__xludf.DUMMYFUNCTION("""COMPUTED_VALUE"""),-0.853868950872942)</f>
        <v>-0.85386895087294201</v>
      </c>
      <c r="BP3" s="3">
        <f ca="1">IFERROR(__xludf.DUMMYFUNCTION("""COMPUTED_VALUE"""),-0.867592399623635)</f>
        <v>-0.86759239962363499</v>
      </c>
      <c r="BQ3" s="3">
        <f ca="1">IFERROR(__xludf.DUMMYFUNCTION("""COMPUTED_VALUE"""),-0.905306957478434)</f>
        <v>-0.90530695747843404</v>
      </c>
      <c r="BR3" s="3">
        <f ca="1">IFERROR(__xludf.DUMMYFUNCTION("""COMPUTED_VALUE"""),-0.902906060474072)</f>
        <v>-0.90290606047407196</v>
      </c>
      <c r="BS3" s="3">
        <f ca="1">IFERROR(__xludf.DUMMYFUNCTION("""COMPUTED_VALUE"""),-0.912229297952041)</f>
        <v>-0.912229297952041</v>
      </c>
      <c r="BT3" s="3">
        <f ca="1">IFERROR(__xludf.DUMMYFUNCTION("""COMPUTED_VALUE"""),-0.901003574595616)</f>
        <v>-0.90100357459561597</v>
      </c>
      <c r="BU3" s="3">
        <f ca="1">IFERROR(__xludf.DUMMYFUNCTION("""COMPUTED_VALUE"""),-0.897570998611974)</f>
        <v>-0.89757099861197398</v>
      </c>
      <c r="BV3" s="3">
        <f ca="1">IFERROR(__xludf.DUMMYFUNCTION("""COMPUTED_VALUE"""),-0.824053796001822)</f>
        <v>-0.82405379600182205</v>
      </c>
      <c r="BW3" s="3">
        <f ca="1">IFERROR(__xludf.DUMMYFUNCTION("""COMPUTED_VALUE"""),-0.856139166804563)</f>
        <v>-0.85613916680456303</v>
      </c>
      <c r="BX3" s="3">
        <f ca="1">IFERROR(__xludf.DUMMYFUNCTION("""COMPUTED_VALUE"""),-0.897679046926996)</f>
        <v>-0.89767904692699596</v>
      </c>
      <c r="BY3" s="3">
        <f ca="1">IFERROR(__xludf.DUMMYFUNCTION("""COMPUTED_VALUE"""),-0.896998840117629)</f>
        <v>-0.89699884011762898</v>
      </c>
      <c r="BZ3" s="3">
        <f ca="1">IFERROR(__xludf.DUMMYFUNCTION("""COMPUTED_VALUE"""),-0.911978465043563)</f>
        <v>-0.91197846504356295</v>
      </c>
      <c r="CA3" s="3">
        <f ca="1">IFERROR(__xludf.DUMMYFUNCTION("""COMPUTED_VALUE"""),-0.901378997367404)</f>
        <v>-0.90137899736740401</v>
      </c>
      <c r="CB3" s="3">
        <f ca="1">IFERROR(__xludf.DUMMYFUNCTION("""COMPUTED_VALUE"""),-0.886606055735993)</f>
        <v>-0.88660605573599305</v>
      </c>
      <c r="CC3" s="3">
        <f ca="1">IFERROR(__xludf.DUMMYFUNCTION("""COMPUTED_VALUE"""),-0.87685053683935)</f>
        <v>-0.87685053683934999</v>
      </c>
      <c r="CD3" s="3">
        <f ca="1">IFERROR(__xludf.DUMMYFUNCTION("""COMPUTED_VALUE"""),-0.860025469462498)</f>
        <v>-0.86002546946249803</v>
      </c>
      <c r="CE3" s="3">
        <f ca="1">IFERROR(__xludf.DUMMYFUNCTION("""COMPUTED_VALUE"""),-0.896447195453328)</f>
        <v>-0.89644719545332796</v>
      </c>
      <c r="CF3" s="3">
        <f ca="1">IFERROR(__xludf.DUMMYFUNCTION("""COMPUTED_VALUE"""),-0.902185964706147)</f>
        <v>-0.90218596470614698</v>
      </c>
      <c r="CG3" s="3">
        <f ca="1">IFERROR(__xludf.DUMMYFUNCTION("""COMPUTED_VALUE"""),-0.900470044743302)</f>
        <v>-0.90047004474330195</v>
      </c>
      <c r="CH3" s="3">
        <f ca="1">IFERROR(__xludf.DUMMYFUNCTION("""COMPUTED_VALUE"""),-0.894142488667444)</f>
        <v>-0.89414248866744395</v>
      </c>
      <c r="CI3" s="3">
        <f ca="1">IFERROR(__xludf.DUMMYFUNCTION("""COMPUTED_VALUE"""),-0.88846202495585)</f>
        <v>-0.88846202495585003</v>
      </c>
      <c r="CJ3" s="3">
        <f ca="1">IFERROR(__xludf.DUMMYFUNCTION("""COMPUTED_VALUE"""),-0.842413254465453)</f>
        <v>-0.84241325446545301</v>
      </c>
      <c r="CK3" s="3">
        <f ca="1">IFERROR(__xludf.DUMMYFUNCTION("""COMPUTED_VALUE"""),-0.857146855516321)</f>
        <v>-0.85714685551632097</v>
      </c>
      <c r="CL3" s="3">
        <f ca="1">IFERROR(__xludf.DUMMYFUNCTION("""COMPUTED_VALUE"""),-0.930525925384987)</f>
        <v>-0.93052592538498702</v>
      </c>
      <c r="CM3" s="3">
        <f ca="1">IFERROR(__xludf.DUMMYFUNCTION("""COMPUTED_VALUE"""),-0.925785998916487)</f>
        <v>-0.92578599891648705</v>
      </c>
      <c r="CN3" s="3">
        <f ca="1">IFERROR(__xludf.DUMMYFUNCTION("""COMPUTED_VALUE"""),-0.923570955108817)</f>
        <v>-0.92357095510881704</v>
      </c>
      <c r="CO3" s="3">
        <f ca="1">IFERROR(__xludf.DUMMYFUNCTION("""COMPUTED_VALUE"""),-0.922918469958501)</f>
        <v>-0.92291846995850102</v>
      </c>
      <c r="CP3" s="3">
        <f ca="1">IFERROR(__xludf.DUMMYFUNCTION("""COMPUTED_VALUE"""),-0.893382845583529)</f>
        <v>-0.89338284558352898</v>
      </c>
      <c r="CQ3" s="3">
        <f ca="1">IFERROR(__xludf.DUMMYFUNCTION("""COMPUTED_VALUE"""),-0.822693992502408)</f>
        <v>-0.82269399250240804</v>
      </c>
      <c r="CR3" s="3">
        <f ca="1">IFERROR(__xludf.DUMMYFUNCTION("""COMPUTED_VALUE"""),-0.825165978967152)</f>
        <v>-0.82516597896715205</v>
      </c>
      <c r="CS3" s="3">
        <f ca="1">IFERROR(__xludf.DUMMYFUNCTION("""COMPUTED_VALUE"""),-0.892864154250944)</f>
        <v>-0.89286415425094401</v>
      </c>
      <c r="CT3" s="3">
        <f ca="1">IFERROR(__xludf.DUMMYFUNCTION("""COMPUTED_VALUE"""),-0.91641219799625)</f>
        <v>-0.91641219799624996</v>
      </c>
      <c r="CU3" s="3">
        <f ca="1">IFERROR(__xludf.DUMMYFUNCTION("""COMPUTED_VALUE"""),-0.91981669225179)</f>
        <v>-0.91981669225178997</v>
      </c>
      <c r="CV3" s="3">
        <f ca="1">IFERROR(__xludf.DUMMYFUNCTION("""COMPUTED_VALUE"""),-0.91390852391416)</f>
        <v>-0.91390852391416</v>
      </c>
      <c r="CW3" s="3">
        <f ca="1">IFERROR(__xludf.DUMMYFUNCTION("""COMPUTED_VALUE"""),-0.902437436912445)</f>
        <v>-0.90243743691244505</v>
      </c>
      <c r="CX3" s="3">
        <f ca="1">IFERROR(__xludf.DUMMYFUNCTION("""COMPUTED_VALUE"""),-0.867738642440621)</f>
        <v>-0.86773864244062104</v>
      </c>
      <c r="CY3" s="3">
        <f ca="1">IFERROR(__xludf.DUMMYFUNCTION("""COMPUTED_VALUE"""),-0.893675634957529)</f>
        <v>-0.893675634957529</v>
      </c>
      <c r="CZ3" s="3">
        <f ca="1">IFERROR(__xludf.DUMMYFUNCTION("""COMPUTED_VALUE"""),-0.976045670113303)</f>
        <v>-0.97604567011330301</v>
      </c>
      <c r="DA3" s="3">
        <f ca="1">IFERROR(__xludf.DUMMYFUNCTION("""COMPUTED_VALUE"""),-0.868361241851647)</f>
        <v>-0.86836124185164698</v>
      </c>
      <c r="DB3" s="3">
        <f ca="1">IFERROR(__xludf.DUMMYFUNCTION("""COMPUTED_VALUE"""),-0.864718770813923)</f>
        <v>-0.86471877081392301</v>
      </c>
      <c r="DC3" s="3">
        <f ca="1">IFERROR(__xludf.DUMMYFUNCTION("""COMPUTED_VALUE"""),-0.771407420995488)</f>
        <v>-0.77140742099548798</v>
      </c>
      <c r="DD3" s="3">
        <f ca="1">IFERROR(__xludf.DUMMYFUNCTION("""COMPUTED_VALUE"""),-0.871627661456738)</f>
        <v>-0.87162766145673798</v>
      </c>
      <c r="DE3" s="3">
        <f ca="1">IFERROR(__xludf.DUMMYFUNCTION("""COMPUTED_VALUE"""),-0.850080857792832)</f>
        <v>-0.85008085779283205</v>
      </c>
      <c r="DF3" s="3">
        <f ca="1">IFERROR(__xludf.DUMMYFUNCTION("""COMPUTED_VALUE"""),-0.867730481488073)</f>
        <v>-0.86773048148807297</v>
      </c>
      <c r="DG3" s="3">
        <f ca="1">IFERROR(__xludf.DUMMYFUNCTION("""COMPUTED_VALUE"""),-0.983990648771361)</f>
        <v>-0.983990648771361</v>
      </c>
      <c r="DH3" s="3">
        <f ca="1">IFERROR(__xludf.DUMMYFUNCTION("""COMPUTED_VALUE"""),-0.911098157097688)</f>
        <v>-0.91109815709768804</v>
      </c>
      <c r="DI3" s="3">
        <f ca="1">IFERROR(__xludf.DUMMYFUNCTION("""COMPUTED_VALUE"""),-0.7298635929858)</f>
        <v>-0.72986359298579995</v>
      </c>
      <c r="DJ3" s="3">
        <f ca="1">IFERROR(__xludf.DUMMYFUNCTION("""COMPUTED_VALUE"""),-0.829416745861239)</f>
        <v>-0.82941674586123904</v>
      </c>
      <c r="DK3" s="3">
        <f ca="1">IFERROR(__xludf.DUMMYFUNCTION("""COMPUTED_VALUE"""),-0.904543743954711)</f>
        <v>-0.90454374395471104</v>
      </c>
      <c r="DL3" s="3">
        <f ca="1">IFERROR(__xludf.DUMMYFUNCTION("""COMPUTED_VALUE"""),-0.876064898374649)</f>
        <v>-0.87606489837464896</v>
      </c>
      <c r="DM3" s="3">
        <f ca="1">IFERROR(__xludf.DUMMYFUNCTION("""COMPUTED_VALUE"""),-0.84298721831301)</f>
        <v>-0.84298721831301004</v>
      </c>
      <c r="DN3" s="3">
        <f ca="1">IFERROR(__xludf.DUMMYFUNCTION("""COMPUTED_VALUE"""),-0.859231440986593)</f>
        <v>-0.85923144098659299</v>
      </c>
      <c r="DO3" s="3">
        <f ca="1">IFERROR(__xludf.DUMMYFUNCTION("""COMPUTED_VALUE"""),-0.897732432668661)</f>
        <v>-0.89773243266866098</v>
      </c>
      <c r="DP3" s="3">
        <f ca="1">IFERROR(__xludf.DUMMYFUNCTION("""COMPUTED_VALUE"""),-0.898855368173636)</f>
        <v>-0.89885536817363598</v>
      </c>
      <c r="DQ3" s="3">
        <f ca="1">IFERROR(__xludf.DUMMYFUNCTION("""COMPUTED_VALUE"""),-0.891182466620796)</f>
        <v>-0.89118246662079603</v>
      </c>
      <c r="DR3" s="3">
        <f ca="1">IFERROR(__xludf.DUMMYFUNCTION("""COMPUTED_VALUE"""),-0.931238372014509)</f>
        <v>-0.93123837201450899</v>
      </c>
      <c r="DS3" s="3">
        <f ca="1">IFERROR(__xludf.DUMMYFUNCTION("""COMPUTED_VALUE"""),-0.887443488817057)</f>
        <v>-0.88744348881705704</v>
      </c>
      <c r="DT3" s="3">
        <f ca="1">IFERROR(__xludf.DUMMYFUNCTION("""COMPUTED_VALUE"""),-0.90673451895209)</f>
        <v>-0.90673451895209001</v>
      </c>
      <c r="DU3" s="3">
        <f ca="1">IFERROR(__xludf.DUMMYFUNCTION("""COMPUTED_VALUE"""),-0.928352829521348)</f>
        <v>-0.92835282952134801</v>
      </c>
      <c r="DV3" s="3">
        <f ca="1">IFERROR(__xludf.DUMMYFUNCTION("""COMPUTED_VALUE"""),-0.916091249675408)</f>
        <v>-0.916091249675408</v>
      </c>
      <c r="DW3" s="3">
        <f ca="1">IFERROR(__xludf.DUMMYFUNCTION("""COMPUTED_VALUE"""),-0.938666363241566)</f>
        <v>-0.93866636324156605</v>
      </c>
      <c r="DX3" s="3">
        <f ca="1">IFERROR(__xludf.DUMMYFUNCTION("""COMPUTED_VALUE"""),-0.945845399443751)</f>
        <v>-0.94584539944375101</v>
      </c>
      <c r="DY3" s="3">
        <f ca="1">IFERROR(__xludf.DUMMYFUNCTION("""COMPUTED_VALUE"""),-0.931696124095185)</f>
        <v>-0.93169612409518499</v>
      </c>
      <c r="DZ3" s="3">
        <f ca="1">IFERROR(__xludf.DUMMYFUNCTION("""COMPUTED_VALUE"""),-0.901837045976018)</f>
        <v>-0.90183704597601799</v>
      </c>
      <c r="EA3" s="3">
        <f ca="1">IFERROR(__xludf.DUMMYFUNCTION("""COMPUTED_VALUE"""),-0.890894744824894)</f>
        <v>-0.89089474482489395</v>
      </c>
      <c r="EB3" s="3">
        <f ca="1">IFERROR(__xludf.DUMMYFUNCTION("""COMPUTED_VALUE"""),-0.907295567982163)</f>
        <v>-0.90729556798216304</v>
      </c>
      <c r="EC3" s="3">
        <f ca="1">IFERROR(__xludf.DUMMYFUNCTION("""COMPUTED_VALUE"""),-0.907848298915416)</f>
        <v>-0.90784829891541596</v>
      </c>
      <c r="ED3" s="3">
        <f ca="1">IFERROR(__xludf.DUMMYFUNCTION("""COMPUTED_VALUE"""),-0.933634829669273)</f>
        <v>-0.93363482966927303</v>
      </c>
      <c r="EE3" s="3">
        <f ca="1">IFERROR(__xludf.DUMMYFUNCTION("""COMPUTED_VALUE"""),-0.942570421321588)</f>
        <v>-0.94257042132158797</v>
      </c>
      <c r="EF3" s="3">
        <f ca="1">IFERROR(__xludf.DUMMYFUNCTION("""COMPUTED_VALUE"""),-0.927749767210936)</f>
        <v>-0.92774976721093605</v>
      </c>
      <c r="EG3" s="3">
        <f ca="1">IFERROR(__xludf.DUMMYFUNCTION("""COMPUTED_VALUE"""),-0.883436892676763)</f>
        <v>-0.88343689267676295</v>
      </c>
      <c r="EH3" s="3">
        <f ca="1">IFERROR(__xludf.DUMMYFUNCTION("""COMPUTED_VALUE"""),-0.907588583838507)</f>
        <v>-0.90758858383850705</v>
      </c>
      <c r="EI3" s="3">
        <f ca="1">IFERROR(__xludf.DUMMYFUNCTION("""COMPUTED_VALUE"""),-0.945034654101277)</f>
        <v>-0.94503465410127696</v>
      </c>
      <c r="EJ3" s="3">
        <f ca="1">IFERROR(__xludf.DUMMYFUNCTION("""COMPUTED_VALUE"""),-0.978248030949909)</f>
        <v>-0.97824803094990898</v>
      </c>
      <c r="EK3" s="3">
        <f ca="1">IFERROR(__xludf.DUMMYFUNCTION("""COMPUTED_VALUE"""),-0.919033965918265)</f>
        <v>-0.91903396591826503</v>
      </c>
      <c r="EL3" s="3">
        <f ca="1">IFERROR(__xludf.DUMMYFUNCTION("""COMPUTED_VALUE"""),-0.926956452545037)</f>
        <v>-0.926956452545037</v>
      </c>
      <c r="EM3" s="3">
        <f ca="1">IFERROR(__xludf.DUMMYFUNCTION("""COMPUTED_VALUE"""),-0.936289131845393)</f>
        <v>-0.93628913184539297</v>
      </c>
      <c r="EN3" s="3">
        <f ca="1">IFERROR(__xludf.DUMMYFUNCTION("""COMPUTED_VALUE"""),-0.886346997192879)</f>
        <v>-0.88634699719287902</v>
      </c>
      <c r="EO3" s="3">
        <f ca="1">IFERROR(__xludf.DUMMYFUNCTION("""COMPUTED_VALUE"""),-0.873822321138108)</f>
        <v>-0.87382232113810798</v>
      </c>
      <c r="EP3" s="3">
        <f ca="1">IFERROR(__xludf.DUMMYFUNCTION("""COMPUTED_VALUE"""),-0.914940737655473)</f>
        <v>-0.91494073765547301</v>
      </c>
      <c r="EQ3" s="3">
        <f ca="1">IFERROR(__xludf.DUMMYFUNCTION("""COMPUTED_VALUE"""),-0.936868227468316)</f>
        <v>-0.93686822746831599</v>
      </c>
      <c r="ER3" s="3">
        <f ca="1">IFERROR(__xludf.DUMMYFUNCTION("""COMPUTED_VALUE"""),-0.926886747223619)</f>
        <v>-0.92688674722361897</v>
      </c>
      <c r="ES3" s="3">
        <f ca="1">IFERROR(__xludf.DUMMYFUNCTION("""COMPUTED_VALUE"""),-0.931327380179487)</f>
        <v>-0.93132738017948702</v>
      </c>
      <c r="ET3" s="3">
        <f ca="1">IFERROR(__xludf.DUMMYFUNCTION("""COMPUTED_VALUE"""),-0.943452257982555)</f>
        <v>-0.94345225798255505</v>
      </c>
      <c r="EU3" s="3">
        <f ca="1">IFERROR(__xludf.DUMMYFUNCTION("""COMPUTED_VALUE"""),-0.922650469815673)</f>
        <v>-0.922650469815673</v>
      </c>
      <c r="EV3" s="3">
        <f ca="1">IFERROR(__xludf.DUMMYFUNCTION("""COMPUTED_VALUE"""),-0.896621316672251)</f>
        <v>-0.89662131667225098</v>
      </c>
      <c r="EW3" s="3">
        <f ca="1">IFERROR(__xludf.DUMMYFUNCTION("""COMPUTED_VALUE"""),-0.940438816730747)</f>
        <v>-0.94043881673074703</v>
      </c>
      <c r="EX3" s="3">
        <f ca="1">IFERROR(__xludf.DUMMYFUNCTION("""COMPUTED_VALUE"""),-0.948099532659833)</f>
        <v>-0.94809953265983304</v>
      </c>
      <c r="EY3" s="3">
        <f ca="1">IFERROR(__xludf.DUMMYFUNCTION("""COMPUTED_VALUE"""),-0.950507142123087)</f>
        <v>-0.95050714212308696</v>
      </c>
      <c r="EZ3" s="3">
        <f ca="1">IFERROR(__xludf.DUMMYFUNCTION("""COMPUTED_VALUE"""),-0.945248944429972)</f>
        <v>-0.94524894442997198</v>
      </c>
      <c r="FA3" s="3">
        <f ca="1">IFERROR(__xludf.DUMMYFUNCTION("""COMPUTED_VALUE"""),-0.941794677499777)</f>
        <v>-0.94179467749977697</v>
      </c>
      <c r="FB3" s="3">
        <f ca="1">IFERROR(__xludf.DUMMYFUNCTION("""COMPUTED_VALUE"""),-0.926104887643707)</f>
        <v>-0.92610488764370702</v>
      </c>
      <c r="FC3" s="3">
        <f ca="1">IFERROR(__xludf.DUMMYFUNCTION("""COMPUTED_VALUE"""),-0.920944439230612)</f>
        <v>-0.92094443923061198</v>
      </c>
      <c r="FD3" s="3">
        <f ca="1">IFERROR(__xludf.DUMMYFUNCTION("""COMPUTED_VALUE"""),-0.942655040204819)</f>
        <v>-0.94265504020481905</v>
      </c>
      <c r="FE3" s="3">
        <f ca="1">IFERROR(__xludf.DUMMYFUNCTION("""COMPUTED_VALUE"""),-0.942450066005757)</f>
        <v>-0.94245006600575698</v>
      </c>
      <c r="FF3" s="3">
        <f ca="1">IFERROR(__xludf.DUMMYFUNCTION("""COMPUTED_VALUE"""),-0.945997706286475)</f>
        <v>-0.94599770628647495</v>
      </c>
      <c r="FG3" s="3">
        <f ca="1">IFERROR(__xludf.DUMMYFUNCTION("""COMPUTED_VALUE"""),-0.932796160638783)</f>
        <v>-0.93279616063878301</v>
      </c>
      <c r="FH3" s="3">
        <f ca="1">IFERROR(__xludf.DUMMYFUNCTION("""COMPUTED_VALUE"""),-0.93834047364401)</f>
        <v>-0.93834047364400996</v>
      </c>
      <c r="FI3" s="3">
        <f ca="1">IFERROR(__xludf.DUMMYFUNCTION("""COMPUTED_VALUE"""),-0.924868616029338)</f>
        <v>-0.92486861602933801</v>
      </c>
      <c r="FJ3" s="3">
        <f ca="1">IFERROR(__xludf.DUMMYFUNCTION("""COMPUTED_VALUE"""),-0.909699371616485)</f>
        <v>-0.90969937161648495</v>
      </c>
      <c r="FK3" s="3">
        <f ca="1">IFERROR(__xludf.DUMMYFUNCTION("""COMPUTED_VALUE"""),-0.930646001022469)</f>
        <v>-0.93064600102246897</v>
      </c>
      <c r="FL3" s="3">
        <f ca="1">IFERROR(__xludf.DUMMYFUNCTION("""COMPUTED_VALUE"""),-0.935772728489138)</f>
        <v>-0.93577272848913795</v>
      </c>
      <c r="FM3" s="3">
        <f ca="1">IFERROR(__xludf.DUMMYFUNCTION("""COMPUTED_VALUE"""),-0.941056602221031)</f>
        <v>-0.94105660222103105</v>
      </c>
      <c r="FN3" s="3">
        <f ca="1">IFERROR(__xludf.DUMMYFUNCTION("""COMPUTED_VALUE"""),-0.940037580188804)</f>
        <v>-0.94003758018880401</v>
      </c>
      <c r="FO3" s="3">
        <f ca="1">IFERROR(__xludf.DUMMYFUNCTION("""COMPUTED_VALUE"""),-0.934727877091082)</f>
        <v>-0.93472787709108196</v>
      </c>
      <c r="FP3" s="3">
        <f ca="1">IFERROR(__xludf.DUMMYFUNCTION("""COMPUTED_VALUE"""),-0.927593364539698)</f>
        <v>-0.92759336453969798</v>
      </c>
      <c r="FQ3" s="3">
        <f ca="1">IFERROR(__xludf.DUMMYFUNCTION("""COMPUTED_VALUE"""),-0.901483789228574)</f>
        <v>-0.90148378922857397</v>
      </c>
      <c r="FR3" s="3">
        <f ca="1">IFERROR(__xludf.DUMMYFUNCTION("""COMPUTED_VALUE"""),-0.949465552876909)</f>
        <v>-0.94946555287690904</v>
      </c>
      <c r="FS3" s="3">
        <f ca="1">IFERROR(__xludf.DUMMYFUNCTION("""COMPUTED_VALUE"""),-0.941265976876061)</f>
        <v>-0.94126597687606095</v>
      </c>
      <c r="FT3" s="3">
        <f ca="1">IFERROR(__xludf.DUMMYFUNCTION("""COMPUTED_VALUE"""),-0.945209361144855)</f>
        <v>-0.94520936114485499</v>
      </c>
      <c r="FU3" s="3">
        <f ca="1">IFERROR(__xludf.DUMMYFUNCTION("""COMPUTED_VALUE"""),-0.934044966667512)</f>
        <v>-0.93404496666751202</v>
      </c>
      <c r="FV3" s="3">
        <f ca="1">IFERROR(__xludf.DUMMYFUNCTION("""COMPUTED_VALUE"""),-0.921198759680119)</f>
        <v>-0.92119875968011899</v>
      </c>
      <c r="FW3" s="3">
        <f ca="1">IFERROR(__xludf.DUMMYFUNCTION("""COMPUTED_VALUE"""),-0.946846177780105)</f>
        <v>-0.94684617778010505</v>
      </c>
      <c r="FX3" s="3">
        <f ca="1">IFERROR(__xludf.DUMMYFUNCTION("""COMPUTED_VALUE"""),-0.90780510807318)</f>
        <v>-0.90780510807318004</v>
      </c>
      <c r="FY3" s="3">
        <f ca="1">IFERROR(__xludf.DUMMYFUNCTION("""COMPUTED_VALUE"""),-0.929534923680483)</f>
        <v>-0.92953492368048296</v>
      </c>
      <c r="FZ3" s="3">
        <f ca="1">IFERROR(__xludf.DUMMYFUNCTION("""COMPUTED_VALUE"""),-0.94916976833156)</f>
        <v>-0.94916976833155997</v>
      </c>
      <c r="GA3" s="3">
        <f ca="1">IFERROR(__xludf.DUMMYFUNCTION("""COMPUTED_VALUE"""),-0.949861355304072)</f>
        <v>-0.94986135530407201</v>
      </c>
      <c r="GB3" s="3">
        <f ca="1">IFERROR(__xludf.DUMMYFUNCTION("""COMPUTED_VALUE"""),-0.95448716790244)</f>
        <v>-0.95448716790244004</v>
      </c>
      <c r="GC3" s="3">
        <f ca="1">IFERROR(__xludf.DUMMYFUNCTION("""COMPUTED_VALUE"""),-0.954190396787473)</f>
        <v>-0.95419039678747297</v>
      </c>
      <c r="GD3" s="3">
        <f ca="1">IFERROR(__xludf.DUMMYFUNCTION("""COMPUTED_VALUE"""),-0.908102047210979)</f>
        <v>-0.90810204721097898</v>
      </c>
      <c r="GE3" s="3">
        <f ca="1">IFERROR(__xludf.DUMMYFUNCTION("""COMPUTED_VALUE"""),-0.956833782466124)</f>
        <v>-0.95683378246612405</v>
      </c>
      <c r="GF3" s="3">
        <f ca="1">IFERROR(__xludf.DUMMYFUNCTION("""COMPUTED_VALUE"""),-0.94186800865561)</f>
        <v>-0.94186800865561005</v>
      </c>
      <c r="GG3" s="3">
        <f ca="1">IFERROR(__xludf.DUMMYFUNCTION("""COMPUTED_VALUE"""),-0.950315471709223)</f>
        <v>-0.95031547170922304</v>
      </c>
      <c r="GH3" s="3">
        <f ca="1">IFERROR(__xludf.DUMMYFUNCTION("""COMPUTED_VALUE"""),-0.948117725019759)</f>
        <v>-0.94811772501975899</v>
      </c>
      <c r="GI3" s="3">
        <f ca="1">IFERROR(__xludf.DUMMYFUNCTION("""COMPUTED_VALUE"""),-0.94824611445484)</f>
        <v>-0.94824611445483997</v>
      </c>
      <c r="GJ3" s="3">
        <f ca="1">IFERROR(__xludf.DUMMYFUNCTION("""COMPUTED_VALUE"""),-0.932747413261746)</f>
        <v>-0.93274741326174604</v>
      </c>
      <c r="GK3" s="3">
        <f ca="1">IFERROR(__xludf.DUMMYFUNCTION("""COMPUTED_VALUE"""),-0.862464927062159)</f>
        <v>-0.86246492706215905</v>
      </c>
      <c r="GL3" s="3">
        <f ca="1">IFERROR(__xludf.DUMMYFUNCTION("""COMPUTED_VALUE"""),-0.916300256620915)</f>
        <v>-0.91630025662091497</v>
      </c>
      <c r="GM3" s="3">
        <f ca="1">IFERROR(__xludf.DUMMYFUNCTION("""COMPUTED_VALUE"""),-0.930459224285608)</f>
        <v>-0.93045922428560801</v>
      </c>
      <c r="GN3" s="3">
        <f ca="1">IFERROR(__xludf.DUMMYFUNCTION("""COMPUTED_VALUE"""),-0.941694508236601)</f>
        <v>-0.94169450823660095</v>
      </c>
      <c r="GO3" s="3">
        <f ca="1">IFERROR(__xludf.DUMMYFUNCTION("""COMPUTED_VALUE"""),-0.941042052662162)</f>
        <v>-0.94104205266216201</v>
      </c>
      <c r="GP3" s="3">
        <f ca="1">IFERROR(__xludf.DUMMYFUNCTION("""COMPUTED_VALUE"""),-0.94765808459931)</f>
        <v>-0.94765808459931</v>
      </c>
      <c r="GQ3" s="3">
        <f ca="1">IFERROR(__xludf.DUMMYFUNCTION("""COMPUTED_VALUE"""),-0.936811708879789)</f>
        <v>-0.93681170887978904</v>
      </c>
      <c r="GR3" s="3">
        <f ca="1">IFERROR(__xludf.DUMMYFUNCTION("""COMPUTED_VALUE"""),-0.913772104690673)</f>
        <v>-0.91377210469067305</v>
      </c>
      <c r="GS3" s="3">
        <f ca="1">IFERROR(__xludf.DUMMYFUNCTION("""COMPUTED_VALUE"""),-0.91890933880922)</f>
        <v>-0.91890933880921999</v>
      </c>
      <c r="GT3" s="3">
        <f ca="1">IFERROR(__xludf.DUMMYFUNCTION("""COMPUTED_VALUE"""),-0.93212014399121)</f>
        <v>-0.93212014399121002</v>
      </c>
      <c r="GU3" s="3">
        <f ca="1">IFERROR(__xludf.DUMMYFUNCTION("""COMPUTED_VALUE"""),-0.951704211694356)</f>
        <v>-0.95170421169435604</v>
      </c>
      <c r="GV3" s="3">
        <f ca="1">IFERROR(__xludf.DUMMYFUNCTION("""COMPUTED_VALUE"""),-0.949797701328304)</f>
        <v>-0.94979770132830399</v>
      </c>
      <c r="GW3" s="3">
        <f ca="1">IFERROR(__xludf.DUMMYFUNCTION("""COMPUTED_VALUE"""),-0.933837951970432)</f>
        <v>-0.93383795197043196</v>
      </c>
      <c r="GX3" s="3">
        <f ca="1">IFERROR(__xludf.DUMMYFUNCTION("""COMPUTED_VALUE"""),-0.93035807994)</f>
        <v>-0.93035807993999997</v>
      </c>
      <c r="GY3" s="3">
        <f ca="1">IFERROR(__xludf.DUMMYFUNCTION("""COMPUTED_VALUE"""),-0.906725790674833)</f>
        <v>-0.90672579067483305</v>
      </c>
      <c r="GZ3" s="3">
        <f ca="1">IFERROR(__xludf.DUMMYFUNCTION("""COMPUTED_VALUE"""),-0.905891121276875)</f>
        <v>-0.90589112127687499</v>
      </c>
      <c r="HA3" s="3">
        <f ca="1">IFERROR(__xludf.DUMMYFUNCTION("""COMPUTED_VALUE"""),-0.941439250148306)</f>
        <v>-0.94143925014830598</v>
      </c>
      <c r="HB3" s="3">
        <f ca="1">IFERROR(__xludf.DUMMYFUNCTION("""COMPUTED_VALUE"""),-0.945893476805955)</f>
        <v>-0.94589347680595504</v>
      </c>
      <c r="HC3" s="3">
        <f ca="1">IFERROR(__xludf.DUMMYFUNCTION("""COMPUTED_VALUE"""),-0.942538839044965)</f>
        <v>-0.94253883904496505</v>
      </c>
      <c r="HD3" s="3">
        <f ca="1">IFERROR(__xludf.DUMMYFUNCTION("""COMPUTED_VALUE"""),-0.949520826348134)</f>
        <v>-0.94952082634813395</v>
      </c>
      <c r="HE3" s="3">
        <f ca="1">IFERROR(__xludf.DUMMYFUNCTION("""COMPUTED_VALUE"""),-0.928534179405061)</f>
        <v>-0.928534179405061</v>
      </c>
      <c r="HF3" s="3">
        <f ca="1">IFERROR(__xludf.DUMMYFUNCTION("""COMPUTED_VALUE"""),-0.918384423987291)</f>
        <v>-0.91838442398729103</v>
      </c>
      <c r="HG3" s="3">
        <f ca="1">IFERROR(__xludf.DUMMYFUNCTION("""COMPUTED_VALUE"""),-0.896972838473872)</f>
        <v>-0.89697283847387199</v>
      </c>
      <c r="HH3" s="3">
        <f ca="1">IFERROR(__xludf.DUMMYFUNCTION("""COMPUTED_VALUE"""),-0.936685814155132)</f>
        <v>-0.93668581415513197</v>
      </c>
      <c r="HI3" s="3">
        <f ca="1">IFERROR(__xludf.DUMMYFUNCTION("""COMPUTED_VALUE"""),-0.942173229844117)</f>
        <v>-0.942173229844117</v>
      </c>
      <c r="HJ3" s="3">
        <f ca="1">IFERROR(__xludf.DUMMYFUNCTION("""COMPUTED_VALUE"""),-0.923146540037119)</f>
        <v>-0.92314654003711905</v>
      </c>
      <c r="HK3" s="3">
        <f ca="1">IFERROR(__xludf.DUMMYFUNCTION("""COMPUTED_VALUE"""),-0.939775655006773)</f>
        <v>-0.93977565500677296</v>
      </c>
      <c r="HL3" s="3">
        <f ca="1">IFERROR(__xludf.DUMMYFUNCTION("""COMPUTED_VALUE"""),-0.960348962967199)</f>
        <v>-0.96034896296719896</v>
      </c>
      <c r="HM3" s="3">
        <f ca="1">IFERROR(__xludf.DUMMYFUNCTION("""COMPUTED_VALUE"""),-0.866324277511491)</f>
        <v>-0.86632427751149099</v>
      </c>
      <c r="HN3" s="3">
        <f ca="1">IFERROR(__xludf.DUMMYFUNCTION("""COMPUTED_VALUE"""),-0.893202570833504)</f>
        <v>-0.89320257083350396</v>
      </c>
      <c r="HO3" s="3">
        <f ca="1">IFERROR(__xludf.DUMMYFUNCTION("""COMPUTED_VALUE"""),-0.910769809101415)</f>
        <v>-0.91076980910141503</v>
      </c>
      <c r="HP3" s="3">
        <f ca="1">IFERROR(__xludf.DUMMYFUNCTION("""COMPUTED_VALUE"""),-0.919892585477888)</f>
        <v>-0.91989258547788799</v>
      </c>
      <c r="HQ3" s="3">
        <f ca="1">IFERROR(__xludf.DUMMYFUNCTION("""COMPUTED_VALUE"""),-0.915974129115225)</f>
        <v>-0.91597412911522502</v>
      </c>
      <c r="HR3" s="3">
        <f ca="1">IFERROR(__xludf.DUMMYFUNCTION("""COMPUTED_VALUE"""),-0.909498040698339)</f>
        <v>-0.90949804069833895</v>
      </c>
      <c r="HS3" s="3">
        <f ca="1">IFERROR(__xludf.DUMMYFUNCTION("""COMPUTED_VALUE"""),-0.84590027168441)</f>
        <v>-0.84590027168440995</v>
      </c>
      <c r="HT3" s="3">
        <f ca="1">IFERROR(__xludf.DUMMYFUNCTION("""COMPUTED_VALUE"""),-0.793546778244031)</f>
        <v>-0.79354677824403097</v>
      </c>
      <c r="HU3" s="3">
        <f ca="1">IFERROR(__xludf.DUMMYFUNCTION("""COMPUTED_VALUE"""),-0.860013931521792)</f>
        <v>-0.86001393152179195</v>
      </c>
      <c r="HV3" s="3">
        <f ca="1">IFERROR(__xludf.DUMMYFUNCTION("""COMPUTED_VALUE"""),-0.896362259380025)</f>
        <v>-0.89636225938002501</v>
      </c>
      <c r="HW3" s="3">
        <f ca="1">IFERROR(__xludf.DUMMYFUNCTION("""COMPUTED_VALUE"""),-0.921790511457213)</f>
        <v>-0.92179051145721302</v>
      </c>
      <c r="HX3" s="3">
        <f ca="1">IFERROR(__xludf.DUMMYFUNCTION("""COMPUTED_VALUE"""),-0.923014858001598)</f>
        <v>-0.92301485800159799</v>
      </c>
      <c r="HY3" s="3">
        <f ca="1">IFERROR(__xludf.DUMMYFUNCTION("""COMPUTED_VALUE"""),-0.915516011392896)</f>
        <v>-0.91551601139289596</v>
      </c>
      <c r="HZ3" s="3">
        <f ca="1">IFERROR(__xludf.DUMMYFUNCTION("""COMPUTED_VALUE"""),-0.80905843434828)</f>
        <v>-0.80905843434827995</v>
      </c>
      <c r="IA3" s="3">
        <f ca="1">IFERROR(__xludf.DUMMYFUNCTION("""COMPUTED_VALUE"""),-0.818428492345836)</f>
        <v>-0.81842849234583603</v>
      </c>
      <c r="IB3" s="3">
        <f ca="1">IFERROR(__xludf.DUMMYFUNCTION("""COMPUTED_VALUE"""),-0.870065814703877)</f>
        <v>-0.87006581470387701</v>
      </c>
      <c r="IC3" s="3">
        <f ca="1">IFERROR(__xludf.DUMMYFUNCTION("""COMPUTED_VALUE"""),-0.889450971664151)</f>
        <v>-0.88945097166415099</v>
      </c>
      <c r="ID3" s="3">
        <f ca="1">IFERROR(__xludf.DUMMYFUNCTION("""COMPUTED_VALUE"""),-0.891696346585128)</f>
        <v>-0.89169634658512797</v>
      </c>
      <c r="IE3" s="3">
        <f ca="1">IFERROR(__xludf.DUMMYFUNCTION("""COMPUTED_VALUE"""),-0.915606408731909)</f>
        <v>-0.91560640873190902</v>
      </c>
      <c r="IF3" s="3">
        <f ca="1">IFERROR(__xludf.DUMMYFUNCTION("""COMPUTED_VALUE"""),-0.867278200711397)</f>
        <v>-0.86727820071139705</v>
      </c>
      <c r="IG3" s="3">
        <f ca="1">IFERROR(__xludf.DUMMYFUNCTION("""COMPUTED_VALUE"""),-0.867220798790081)</f>
        <v>-0.86722079879008096</v>
      </c>
      <c r="IH3" s="3">
        <f ca="1">IFERROR(__xludf.DUMMYFUNCTION("""COMPUTED_VALUE"""),-0.759518523176254)</f>
        <v>-0.75951852317625401</v>
      </c>
      <c r="II3" s="3">
        <f ca="1">IFERROR(__xludf.DUMMYFUNCTION("""COMPUTED_VALUE"""),-0.843798696077754)</f>
        <v>-0.84379869607775404</v>
      </c>
      <c r="IJ3" s="3">
        <f ca="1">IFERROR(__xludf.DUMMYFUNCTION("""COMPUTED_VALUE"""),-0.829613814005116)</f>
        <v>-0.82961381400511602</v>
      </c>
      <c r="IK3" s="3">
        <f ca="1">IFERROR(__xludf.DUMMYFUNCTION("""COMPUTED_VALUE"""),-0.865066365450321)</f>
        <v>-0.86506636545032101</v>
      </c>
      <c r="IL3" s="3">
        <f ca="1">IFERROR(__xludf.DUMMYFUNCTION("""COMPUTED_VALUE"""),-0.83890731136175)</f>
        <v>-0.83890731136175001</v>
      </c>
      <c r="IM3" s="3">
        <f ca="1">IFERROR(__xludf.DUMMYFUNCTION("""COMPUTED_VALUE"""),-0.859331827070995)</f>
        <v>-0.85933182707099498</v>
      </c>
      <c r="IN3" s="3">
        <f ca="1">IFERROR(__xludf.DUMMYFUNCTION("""COMPUTED_VALUE"""),-0.823034705011527)</f>
        <v>-0.82303470501152698</v>
      </c>
      <c r="IO3" s="3">
        <f ca="1">IFERROR(__xludf.DUMMYFUNCTION("""COMPUTED_VALUE"""),-0.679463188830478)</f>
        <v>-0.67946318883047796</v>
      </c>
      <c r="IP3" s="3">
        <f ca="1">IFERROR(__xludf.DUMMYFUNCTION("""COMPUTED_VALUE"""),-0.797777550820393)</f>
        <v>-0.79777755082039303</v>
      </c>
      <c r="IQ3" s="3">
        <f ca="1">IFERROR(__xludf.DUMMYFUNCTION("""COMPUTED_VALUE"""),-0.827505702263724)</f>
        <v>-0.827505702263724</v>
      </c>
      <c r="IR3" s="3">
        <f ca="1">IFERROR(__xludf.DUMMYFUNCTION("""COMPUTED_VALUE"""),-0.831073736927815)</f>
        <v>-0.83107373692781505</v>
      </c>
      <c r="IS3" s="3">
        <f ca="1">IFERROR(__xludf.DUMMYFUNCTION("""COMPUTED_VALUE"""),-0.830786905290152)</f>
        <v>-0.83078690529015198</v>
      </c>
      <c r="IT3" s="3">
        <f ca="1">IFERROR(__xludf.DUMMYFUNCTION("""COMPUTED_VALUE"""),-0.736345412159208)</f>
        <v>-0.73634541215920801</v>
      </c>
      <c r="IU3" s="3">
        <f ca="1">IFERROR(__xludf.DUMMYFUNCTION("""COMPUTED_VALUE"""),-0.783629026820677)</f>
        <v>-0.78362902682067703</v>
      </c>
      <c r="IV3" s="3">
        <f ca="1">IFERROR(__xludf.DUMMYFUNCTION("""COMPUTED_VALUE"""),-0.801247113828864)</f>
        <v>-0.80124711382886404</v>
      </c>
      <c r="IW3" s="3">
        <f ca="1">IFERROR(__xludf.DUMMYFUNCTION("""COMPUTED_VALUE"""),-0.695193739024136)</f>
        <v>-0.69519373902413595</v>
      </c>
      <c r="IX3" s="3">
        <f ca="1">IFERROR(__xludf.DUMMYFUNCTION("""COMPUTED_VALUE"""),-0.81149178050328)</f>
        <v>-0.81149178050327997</v>
      </c>
      <c r="IY3" s="3">
        <f ca="1">IFERROR(__xludf.DUMMYFUNCTION("""COMPUTED_VALUE"""),-0.840752643183487)</f>
        <v>-0.84075264318348697</v>
      </c>
      <c r="IZ3" s="3">
        <f ca="1">IFERROR(__xludf.DUMMYFUNCTION("""COMPUTED_VALUE"""),-0.838186065373569)</f>
        <v>-0.83818606537356899</v>
      </c>
      <c r="JA3" s="3">
        <f ca="1">IFERROR(__xludf.DUMMYFUNCTION("""COMPUTED_VALUE"""),-0.838661034179053)</f>
        <v>-0.83866103417905302</v>
      </c>
      <c r="JB3" s="3">
        <f ca="1">IFERROR(__xludf.DUMMYFUNCTION("""COMPUTED_VALUE"""),-0.805874872470477)</f>
        <v>-0.80587487247047696</v>
      </c>
      <c r="JC3" s="3">
        <f ca="1">IFERROR(__xludf.DUMMYFUNCTION("""COMPUTED_VALUE"""),-0.741082771848712)</f>
        <v>-0.74108277184871196</v>
      </c>
      <c r="JD3" s="3">
        <f ca="1">IFERROR(__xludf.DUMMYFUNCTION("""COMPUTED_VALUE"""),-0.715764512669424)</f>
        <v>-0.71576451266942398</v>
      </c>
      <c r="JE3" s="3">
        <f ca="1">IFERROR(__xludf.DUMMYFUNCTION("""COMPUTED_VALUE"""),-0.828582331408658)</f>
        <v>-0.828582331408658</v>
      </c>
      <c r="JF3" s="3">
        <f ca="1">IFERROR(__xludf.DUMMYFUNCTION("""COMPUTED_VALUE"""),-0.8535443509532)</f>
        <v>-0.85354435095320003</v>
      </c>
      <c r="JG3" s="3">
        <f ca="1">IFERROR(__xludf.DUMMYFUNCTION("""COMPUTED_VALUE"""),-0.864378665738286)</f>
        <v>-0.86437866573828603</v>
      </c>
      <c r="JH3" s="3">
        <f ca="1">IFERROR(__xludf.DUMMYFUNCTION("""COMPUTED_VALUE"""),-0.823524103431314)</f>
        <v>-0.82352410343131399</v>
      </c>
      <c r="JI3" s="3">
        <f ca="1">IFERROR(__xludf.DUMMYFUNCTION("""COMPUTED_VALUE"""),-0.812304471393514)</f>
        <v>-0.81230447139351403</v>
      </c>
      <c r="JJ3" s="3">
        <f ca="1">IFERROR(__xludf.DUMMYFUNCTION("""COMPUTED_VALUE"""),-0.727035940569654)</f>
        <v>-0.72703594056965404</v>
      </c>
      <c r="JK3" s="3">
        <f ca="1">IFERROR(__xludf.DUMMYFUNCTION("""COMPUTED_VALUE"""),-0.735066074715605)</f>
        <v>-0.73506607471560503</v>
      </c>
      <c r="JL3" s="3">
        <f ca="1">IFERROR(__xludf.DUMMYFUNCTION("""COMPUTED_VALUE"""),-0.86651478862108)</f>
        <v>-0.86651478862108</v>
      </c>
      <c r="JM3" s="3">
        <f ca="1">IFERROR(__xludf.DUMMYFUNCTION("""COMPUTED_VALUE"""),-0.855315339807919)</f>
        <v>-0.85531533980791896</v>
      </c>
      <c r="JN3" s="3">
        <f ca="1">IFERROR(__xludf.DUMMYFUNCTION("""COMPUTED_VALUE"""),-0.850973008903154)</f>
        <v>-0.85097300890315397</v>
      </c>
      <c r="JO3" s="3">
        <f ca="1">IFERROR(__xludf.DUMMYFUNCTION("""COMPUTED_VALUE"""),-0.802727836242784)</f>
        <v>-0.80272783624278399</v>
      </c>
      <c r="JP3" s="3">
        <f ca="1">IFERROR(__xludf.DUMMYFUNCTION("""COMPUTED_VALUE"""),-0.788130835677028)</f>
        <v>-0.78813083567702802</v>
      </c>
      <c r="JQ3" s="3">
        <f ca="1">IFERROR(__xludf.DUMMYFUNCTION("""COMPUTED_VALUE"""),-0.703325776255697)</f>
        <v>-0.70332577625569703</v>
      </c>
      <c r="JR3" s="3">
        <f ca="1">IFERROR(__xludf.DUMMYFUNCTION("""COMPUTED_VALUE"""),-0.74434769083664)</f>
        <v>-0.74434769083663999</v>
      </c>
      <c r="JS3" s="3">
        <f ca="1">IFERROR(__xludf.DUMMYFUNCTION("""COMPUTED_VALUE"""),-0.822996294088042)</f>
        <v>-0.82299629408804198</v>
      </c>
      <c r="JT3" s="3">
        <f ca="1">IFERROR(__xludf.DUMMYFUNCTION("""COMPUTED_VALUE"""),-0.705334053487087)</f>
        <v>-0.705334053487087</v>
      </c>
      <c r="JU3" s="3">
        <f ca="1">IFERROR(__xludf.DUMMYFUNCTION("""COMPUTED_VALUE"""),-0.856655473325448)</f>
        <v>-0.856655473325448</v>
      </c>
      <c r="JV3" s="3">
        <f ca="1">IFERROR(__xludf.DUMMYFUNCTION("""COMPUTED_VALUE"""),-0.843698797943977)</f>
        <v>-0.84369879794397695</v>
      </c>
      <c r="JW3" s="3">
        <f ca="1">IFERROR(__xludf.DUMMYFUNCTION("""COMPUTED_VALUE"""),-0.809280781410018)</f>
        <v>-0.80928078141001802</v>
      </c>
      <c r="JX3" s="3">
        <f ca="1">IFERROR(__xludf.DUMMYFUNCTION("""COMPUTED_VALUE"""),-0.802838068475054)</f>
        <v>-0.80283806847505401</v>
      </c>
      <c r="JY3" s="3">
        <f ca="1">IFERROR(__xludf.DUMMYFUNCTION("""COMPUTED_VALUE"""),-0.969734872689473)</f>
        <v>-0.969734872689473</v>
      </c>
      <c r="JZ3" s="3">
        <f ca="1">IFERROR(__xludf.DUMMYFUNCTION("""COMPUTED_VALUE"""),-0.897183655443996)</f>
        <v>-0.89718365544399603</v>
      </c>
      <c r="KA3" s="3">
        <f ca="1">IFERROR(__xludf.DUMMYFUNCTION("""COMPUTED_VALUE"""),-0.741746180123587)</f>
        <v>-0.74174618012358695</v>
      </c>
      <c r="KB3" s="3">
        <f ca="1">IFERROR(__xludf.DUMMYFUNCTION("""COMPUTED_VALUE"""),-0.823210989866471)</f>
        <v>-0.82321098986647101</v>
      </c>
      <c r="KC3" s="3">
        <f ca="1">IFERROR(__xludf.DUMMYFUNCTION("""COMPUTED_VALUE"""),-0.819991094741763)</f>
        <v>-0.81999109474176302</v>
      </c>
      <c r="KD3" s="3">
        <f ca="1">IFERROR(__xludf.DUMMYFUNCTION("""COMPUTED_VALUE"""),-0.834814458208293)</f>
        <v>-0.83481445820829303</v>
      </c>
      <c r="KE3" s="3">
        <f ca="1">IFERROR(__xludf.DUMMYFUNCTION("""COMPUTED_VALUE"""),-0.686480532807613)</f>
        <v>-0.68648053280761301</v>
      </c>
      <c r="KF3" s="3">
        <f ca="1">IFERROR(__xludf.DUMMYFUNCTION("""COMPUTED_VALUE"""),-0.695392525404442)</f>
        <v>-0.69539252540444196</v>
      </c>
      <c r="KG3" s="3">
        <f ca="1">IFERROR(__xludf.DUMMYFUNCTION("""COMPUTED_VALUE"""),-0.788769478648802)</f>
        <v>-0.78876947864880198</v>
      </c>
      <c r="KH3" s="3">
        <f ca="1">IFERROR(__xludf.DUMMYFUNCTION("""COMPUTED_VALUE"""),-0.810485145477152)</f>
        <v>-0.810485145477152</v>
      </c>
      <c r="KI3" s="3">
        <f ca="1">IFERROR(__xludf.DUMMYFUNCTION("""COMPUTED_VALUE"""),-0.851018690880706)</f>
        <v>-0.85101869088070603</v>
      </c>
      <c r="KJ3" s="3">
        <f ca="1">IFERROR(__xludf.DUMMYFUNCTION("""COMPUTED_VALUE"""),-0.822485064362378)</f>
        <v>-0.822485064362378</v>
      </c>
      <c r="KK3" s="3">
        <f ca="1">IFERROR(__xludf.DUMMYFUNCTION("""COMPUTED_VALUE"""),-0.808527145093432)</f>
        <v>-0.80852714509343204</v>
      </c>
      <c r="KL3" s="3">
        <f ca="1">IFERROR(__xludf.DUMMYFUNCTION("""COMPUTED_VALUE"""),-0.682431236869977)</f>
        <v>-0.68243123686997698</v>
      </c>
      <c r="KM3" s="3">
        <f ca="1">IFERROR(__xludf.DUMMYFUNCTION("""COMPUTED_VALUE"""),-0.694638596732826)</f>
        <v>-0.69463859673282602</v>
      </c>
      <c r="KN3" s="3">
        <f ca="1">IFERROR(__xludf.DUMMYFUNCTION("""COMPUTED_VALUE"""),-0.849454492609525)</f>
        <v>-0.84945449260952499</v>
      </c>
      <c r="KO3" s="3">
        <f ca="1">IFERROR(__xludf.DUMMYFUNCTION("""COMPUTED_VALUE"""),-0.833413679992135)</f>
        <v>-0.833413679992135</v>
      </c>
      <c r="KP3" s="3">
        <f ca="1">IFERROR(__xludf.DUMMYFUNCTION("""COMPUTED_VALUE"""),-0.926228375653192)</f>
        <v>-0.92622837565319205</v>
      </c>
      <c r="KQ3" s="3">
        <f ca="1">IFERROR(__xludf.DUMMYFUNCTION("""COMPUTED_VALUE"""),-0.874807323220986)</f>
        <v>-0.87480732322098598</v>
      </c>
      <c r="KR3" s="3">
        <f ca="1">IFERROR(__xludf.DUMMYFUNCTION("""COMPUTED_VALUE"""),-0.899362026678431)</f>
        <v>-0.89936202667843101</v>
      </c>
      <c r="KS3" s="3">
        <f ca="1">IFERROR(__xludf.DUMMYFUNCTION("""COMPUTED_VALUE"""),-0.735825851377658)</f>
        <v>-0.73582585137765799</v>
      </c>
      <c r="KT3" s="3">
        <f ca="1">IFERROR(__xludf.DUMMYFUNCTION("""COMPUTED_VALUE"""),-0.786957164326712)</f>
        <v>-0.78695716432671203</v>
      </c>
      <c r="KU3" s="3">
        <f ca="1">IFERROR(__xludf.DUMMYFUNCTION("""COMPUTED_VALUE"""),-0.894353001549177)</f>
        <v>-0.89435300154917696</v>
      </c>
      <c r="KV3" s="3">
        <f ca="1">IFERROR(__xludf.DUMMYFUNCTION("""COMPUTED_VALUE"""),-0.895703555903269)</f>
        <v>-0.895703555903269</v>
      </c>
      <c r="KW3" s="3">
        <f ca="1">IFERROR(__xludf.DUMMYFUNCTION("""COMPUTED_VALUE"""),-0.89340873515696)</f>
        <v>-0.89340873515695995</v>
      </c>
      <c r="KX3" s="3">
        <f ca="1">IFERROR(__xludf.DUMMYFUNCTION("""COMPUTED_VALUE"""),-0.873928750709717)</f>
        <v>-0.87392875070971698</v>
      </c>
      <c r="KY3" s="3">
        <f ca="1">IFERROR(__xludf.DUMMYFUNCTION("""COMPUTED_VALUE"""),-0.851278594264303)</f>
        <v>-0.85127859426430297</v>
      </c>
      <c r="KZ3" s="3">
        <f ca="1">IFERROR(__xludf.DUMMYFUNCTION("""COMPUTED_VALUE"""),-0.768878269833135)</f>
        <v>-0.76887826983313501</v>
      </c>
      <c r="LA3" s="3">
        <f ca="1">IFERROR(__xludf.DUMMYFUNCTION("""COMPUTED_VALUE"""),-0.877270266535172)</f>
        <v>-0.87727026653517204</v>
      </c>
      <c r="LB3" s="3">
        <f ca="1">IFERROR(__xludf.DUMMYFUNCTION("""COMPUTED_VALUE"""),-0.919478273931296)</f>
        <v>-0.919478273931296</v>
      </c>
      <c r="LC3" s="3">
        <f ca="1">IFERROR(__xludf.DUMMYFUNCTION("""COMPUTED_VALUE"""),-0.924667162747521)</f>
        <v>-0.92466716274752103</v>
      </c>
      <c r="LD3" s="3">
        <f ca="1">IFERROR(__xludf.DUMMYFUNCTION("""COMPUTED_VALUE"""),-0.930963863293629)</f>
        <v>-0.93096386329362901</v>
      </c>
      <c r="LE3" s="3">
        <f ca="1">IFERROR(__xludf.DUMMYFUNCTION("""COMPUTED_VALUE"""),-0.923083011958215)</f>
        <v>-0.92308301195821496</v>
      </c>
      <c r="LF3" s="3">
        <f ca="1">IFERROR(__xludf.DUMMYFUNCTION("""COMPUTED_VALUE"""),-0.870047760195847)</f>
        <v>-0.87004776019584695</v>
      </c>
      <c r="LG3" s="3">
        <f ca="1">IFERROR(__xludf.DUMMYFUNCTION("""COMPUTED_VALUE"""),-0.771579149159714)</f>
        <v>-0.77157914915971404</v>
      </c>
      <c r="LH3" s="3">
        <f ca="1">IFERROR(__xludf.DUMMYFUNCTION("""COMPUTED_VALUE"""),-0.8728695594198)</f>
        <v>-0.87286955941980005</v>
      </c>
      <c r="LI3" s="3">
        <f ca="1">IFERROR(__xludf.DUMMYFUNCTION("""COMPUTED_VALUE"""),-0.896911261970068)</f>
        <v>-0.89691126197006799</v>
      </c>
      <c r="LJ3" s="3">
        <f ca="1">IFERROR(__xludf.DUMMYFUNCTION("""COMPUTED_VALUE"""),-0.936124572823964)</f>
        <v>-0.936124572823964</v>
      </c>
      <c r="LK3" s="3">
        <f ca="1">IFERROR(__xludf.DUMMYFUNCTION("""COMPUTED_VALUE"""),-0.952641413515442)</f>
        <v>-0.95264141351544196</v>
      </c>
      <c r="LL3" s="3">
        <f ca="1">IFERROR(__xludf.DUMMYFUNCTION("""COMPUTED_VALUE"""),-0.93405914992236)</f>
        <v>-0.93405914992236005</v>
      </c>
      <c r="LM3" s="3">
        <f ca="1">IFERROR(__xludf.DUMMYFUNCTION("""COMPUTED_VALUE"""),-0.961457152088229)</f>
        <v>-0.96145715208822902</v>
      </c>
      <c r="LN3" s="3">
        <f ca="1">IFERROR(__xludf.DUMMYFUNCTION("""COMPUTED_VALUE"""),-0.870060751285051)</f>
        <v>-0.870060751285051</v>
      </c>
      <c r="LO3" s="3">
        <f ca="1">IFERROR(__xludf.DUMMYFUNCTION("""COMPUTED_VALUE"""),-0.868885693604125)</f>
        <v>-0.86888569360412504</v>
      </c>
      <c r="LP3" s="3">
        <f ca="1">IFERROR(__xludf.DUMMYFUNCTION("""COMPUTED_VALUE"""),-0.902324595295489)</f>
        <v>-0.90232459529548903</v>
      </c>
      <c r="LQ3" s="3">
        <f ca="1">IFERROR(__xludf.DUMMYFUNCTION("""COMPUTED_VALUE"""),-0.942117675531527)</f>
        <v>-0.94211767553152703</v>
      </c>
      <c r="LR3" s="3">
        <f ca="1">IFERROR(__xludf.DUMMYFUNCTION("""COMPUTED_VALUE"""),-0.950355145338032)</f>
        <v>-0.950355145338032</v>
      </c>
      <c r="LS3" s="3">
        <f ca="1">IFERROR(__xludf.DUMMYFUNCTION("""COMPUTED_VALUE"""),-0.939950432603304)</f>
        <v>-0.93995043260330402</v>
      </c>
      <c r="LT3" s="3">
        <f ca="1">IFERROR(__xludf.DUMMYFUNCTION("""COMPUTED_VALUE"""),-0.911836151574202)</f>
        <v>-0.91183615157420195</v>
      </c>
      <c r="LU3" s="3">
        <f ca="1">IFERROR(__xludf.DUMMYFUNCTION("""COMPUTED_VALUE"""),-0.864095521405374)</f>
        <v>-0.86409552140537405</v>
      </c>
      <c r="LV3" s="3">
        <f ca="1">IFERROR(__xludf.DUMMYFUNCTION("""COMPUTED_VALUE"""),-0.884653489634358)</f>
        <v>-0.88465348963435797</v>
      </c>
      <c r="LW3" s="3">
        <f ca="1">IFERROR(__xludf.DUMMYFUNCTION("""COMPUTED_VALUE"""),-0.940342050459687)</f>
        <v>-0.940342050459687</v>
      </c>
      <c r="LX3" s="3">
        <f ca="1">IFERROR(__xludf.DUMMYFUNCTION("""COMPUTED_VALUE"""),-0.969152490311793)</f>
        <v>-0.96915249031179296</v>
      </c>
      <c r="LY3" s="3">
        <f ca="1">IFERROR(__xludf.DUMMYFUNCTION("""COMPUTED_VALUE"""),-0.928847933527279)</f>
        <v>-0.92884793352727901</v>
      </c>
      <c r="LZ3" s="3">
        <f ca="1">IFERROR(__xludf.DUMMYFUNCTION("""COMPUTED_VALUE"""),-0.936367734898326)</f>
        <v>-0.93636773489832603</v>
      </c>
      <c r="MA3" s="3">
        <f ca="1">IFERROR(__xludf.DUMMYFUNCTION("""COMPUTED_VALUE"""),-0.962636314687465)</f>
        <v>-0.96263631468746502</v>
      </c>
      <c r="MB3" s="3">
        <f ca="1">IFERROR(__xludf.DUMMYFUNCTION("""COMPUTED_VALUE"""),-0.884983798624895)</f>
        <v>-0.88498379862489496</v>
      </c>
      <c r="MC3" s="3">
        <f ca="1">IFERROR(__xludf.DUMMYFUNCTION("""COMPUTED_VALUE"""),-0.917016011651894)</f>
        <v>-0.91701601165189395</v>
      </c>
      <c r="MD3" s="3">
        <f ca="1">IFERROR(__xludf.DUMMYFUNCTION("""COMPUTED_VALUE"""),-0.959990809835103)</f>
        <v>-0.95999080983510299</v>
      </c>
      <c r="ME3" s="3">
        <f ca="1">IFERROR(__xludf.DUMMYFUNCTION("""COMPUTED_VALUE"""),-0.949531728786852)</f>
        <v>-0.94953172878685199</v>
      </c>
      <c r="MF3" s="3">
        <f ca="1">IFERROR(__xludf.DUMMYFUNCTION("""COMPUTED_VALUE"""),-0.930236108894688)</f>
        <v>-0.930236108894688</v>
      </c>
      <c r="MG3" s="3">
        <f ca="1">IFERROR(__xludf.DUMMYFUNCTION("""COMPUTED_VALUE"""),-0.95483717339611)</f>
        <v>-0.95483717339610996</v>
      </c>
      <c r="MH3" s="3">
        <f ca="1">IFERROR(__xludf.DUMMYFUNCTION("""COMPUTED_VALUE"""),-0.954528701130872)</f>
        <v>-0.95452870113087196</v>
      </c>
      <c r="MI3" s="3">
        <f ca="1">IFERROR(__xludf.DUMMYFUNCTION("""COMPUTED_VALUE"""),-0.902746781242407)</f>
        <v>-0.90274678124240704</v>
      </c>
      <c r="MJ3" s="3">
        <f ca="1">IFERROR(__xludf.DUMMYFUNCTION("""COMPUTED_VALUE"""),-0.969254470453434)</f>
        <v>-0.96925447045343405</v>
      </c>
      <c r="MK3" s="3">
        <f ca="1">IFERROR(__xludf.DUMMYFUNCTION("""COMPUTED_VALUE"""),-0.970055455135374)</f>
        <v>-0.97005545513537395</v>
      </c>
      <c r="ML3" s="3">
        <f ca="1">IFERROR(__xludf.DUMMYFUNCTION("""COMPUTED_VALUE"""),-0.940363687938533)</f>
        <v>-0.94036368793853298</v>
      </c>
      <c r="MM3" s="3">
        <f ca="1">IFERROR(__xludf.DUMMYFUNCTION("""COMPUTED_VALUE"""),-0.966259496399196)</f>
        <v>-0.96625949639919595</v>
      </c>
      <c r="MN3" s="3">
        <f ca="1">IFERROR(__xludf.DUMMYFUNCTION("""COMPUTED_VALUE"""),-0.9777269349019)</f>
        <v>-0.97772693490189999</v>
      </c>
      <c r="MO3" s="3">
        <f ca="1">IFERROR(__xludf.DUMMYFUNCTION("""COMPUTED_VALUE"""),-0.967782784533828)</f>
        <v>-0.96778278453382804</v>
      </c>
      <c r="MP3" s="3">
        <f ca="1">IFERROR(__xludf.DUMMYFUNCTION("""COMPUTED_VALUE"""),-0.865883860824413)</f>
        <v>-0.86588386082441304</v>
      </c>
      <c r="MQ3" s="3">
        <f ca="1">IFERROR(__xludf.DUMMYFUNCTION("""COMPUTED_VALUE"""),-0.947521183950543)</f>
        <v>-0.94752118395054297</v>
      </c>
      <c r="MR3" s="3">
        <f ca="1">IFERROR(__xludf.DUMMYFUNCTION("""COMPUTED_VALUE"""),-0.961084324851033)</f>
        <v>-0.96108432485103301</v>
      </c>
      <c r="MS3" s="3">
        <f ca="1">IFERROR(__xludf.DUMMYFUNCTION("""COMPUTED_VALUE"""),-0.972964622049017)</f>
        <v>-0.97296462204901701</v>
      </c>
      <c r="MT3" s="3">
        <f ca="1">IFERROR(__xludf.DUMMYFUNCTION("""COMPUTED_VALUE"""),-0.983986904465791)</f>
        <v>-0.98398690446579096</v>
      </c>
      <c r="MU3" s="3">
        <f ca="1">IFERROR(__xludf.DUMMYFUNCTION("""COMPUTED_VALUE"""),-0.966072961130593)</f>
        <v>-0.96607296113059304</v>
      </c>
      <c r="MV3" s="3">
        <f ca="1">IFERROR(__xludf.DUMMYFUNCTION("""COMPUTED_VALUE"""),-0.969312534774967)</f>
        <v>-0.96931253477496704</v>
      </c>
      <c r="MW3" s="3">
        <f ca="1">IFERROR(__xludf.DUMMYFUNCTION("""COMPUTED_VALUE"""),-0.909607513988578)</f>
        <v>-0.90960751398857798</v>
      </c>
      <c r="MX3" s="3">
        <f ca="1">IFERROR(__xludf.DUMMYFUNCTION("""COMPUTED_VALUE"""),-0.941265956002414)</f>
        <v>-0.94126595600241403</v>
      </c>
      <c r="MY3" s="3">
        <f ca="1">IFERROR(__xludf.DUMMYFUNCTION("""COMPUTED_VALUE"""),-0.965642139614627)</f>
        <v>-0.96564213961462697</v>
      </c>
      <c r="MZ3" s="3">
        <f ca="1">IFERROR(__xludf.DUMMYFUNCTION("""COMPUTED_VALUE"""),-0.972249505027658)</f>
        <v>-0.97224950502765795</v>
      </c>
      <c r="NA3" s="3">
        <f ca="1">IFERROR(__xludf.DUMMYFUNCTION("""COMPUTED_VALUE"""),-0.983394989501167)</f>
        <v>-0.98339498950116699</v>
      </c>
      <c r="NB3" s="3">
        <f ca="1">IFERROR(__xludf.DUMMYFUNCTION("""COMPUTED_VALUE"""),-0.95798568675412)</f>
        <v>-0.95798568675411999</v>
      </c>
      <c r="NC3" s="3">
        <f ca="1">IFERROR(__xludf.DUMMYFUNCTION("""COMPUTED_VALUE"""),-0.971850029196094)</f>
        <v>-0.97185002919609398</v>
      </c>
      <c r="ND3" s="3">
        <f ca="1">IFERROR(__xludf.DUMMYFUNCTION("""COMPUTED_VALUE"""),-0.934255209423177)</f>
        <v>-0.93425520942317697</v>
      </c>
      <c r="NE3" s="3">
        <f ca="1">IFERROR(__xludf.DUMMYFUNCTION("""COMPUTED_VALUE"""),-0.956181222730147)</f>
        <v>-0.95618122273014705</v>
      </c>
      <c r="NF3" s="3">
        <f ca="1">IFERROR(__xludf.DUMMYFUNCTION("""COMPUTED_VALUE"""),-0.937034774766624)</f>
        <v>-0.937034774766624</v>
      </c>
      <c r="NG3" s="3">
        <f ca="1">IFERROR(__xludf.DUMMYFUNCTION("""COMPUTED_VALUE"""),-0.967039291436073)</f>
        <v>-0.96703929143607303</v>
      </c>
      <c r="NH3" s="3">
        <f ca="1">IFERROR(__xludf.DUMMYFUNCTION("""COMPUTED_VALUE"""),-0.955151451233137)</f>
        <v>-0.95515145123313705</v>
      </c>
      <c r="NI3" s="3">
        <f ca="1">IFERROR(__xludf.DUMMYFUNCTION("""COMPUTED_VALUE"""),-0.960035402241519)</f>
        <v>-0.96003540224151895</v>
      </c>
      <c r="NJ3" s="3">
        <f ca="1">IFERROR(__xludf.DUMMYFUNCTION("""COMPUTED_VALUE"""),-0.955108111665115)</f>
        <v>-0.955108111665115</v>
      </c>
      <c r="NK3" s="3">
        <f ca="1">IFERROR(__xludf.DUMMYFUNCTION("""COMPUTED_VALUE"""),-0.867326512908063)</f>
        <v>-0.86732651290806295</v>
      </c>
      <c r="NL3" s="3">
        <f ca="1">IFERROR(__xludf.DUMMYFUNCTION("""COMPUTED_VALUE"""),-0.935762890080454)</f>
        <v>-0.93576289008045399</v>
      </c>
      <c r="NM3" s="3">
        <f ca="1">IFERROR(__xludf.DUMMYFUNCTION("""COMPUTED_VALUE"""),-0.951593956672716)</f>
        <v>-0.95159395667271596</v>
      </c>
      <c r="NN3" s="3">
        <f ca="1">IFERROR(__xludf.DUMMYFUNCTION("""COMPUTED_VALUE"""),-0.930199432599114)</f>
        <v>-0.93019943259911397</v>
      </c>
      <c r="NO3" s="3">
        <f ca="1">IFERROR(__xludf.DUMMYFUNCTION("""COMPUTED_VALUE"""),-0.950322819161047)</f>
        <v>-0.95032281916104699</v>
      </c>
      <c r="NP3" s="3">
        <f ca="1">IFERROR(__xludf.DUMMYFUNCTION("""COMPUTED_VALUE"""),-0.951219991682806)</f>
        <v>-0.95121999168280602</v>
      </c>
      <c r="NQ3" s="3">
        <f ca="1">IFERROR(__xludf.DUMMYFUNCTION("""COMPUTED_VALUE"""),-0.973194608314131)</f>
        <v>-0.97319460831413096</v>
      </c>
      <c r="NR3" s="3">
        <f ca="1">IFERROR(__xludf.DUMMYFUNCTION("""COMPUTED_VALUE"""),-0.923739691898523)</f>
        <v>-0.92373969189852301</v>
      </c>
      <c r="NS3" s="3">
        <f ca="1">IFERROR(__xludf.DUMMYFUNCTION("""COMPUTED_VALUE"""),-0.940324772319974)</f>
        <v>-0.94032477231997402</v>
      </c>
      <c r="NT3" s="3">
        <f ca="1">IFERROR(__xludf.DUMMYFUNCTION("""COMPUTED_VALUE"""),-0.955223112465071)</f>
        <v>-0.95522311246507097</v>
      </c>
      <c r="NU3" s="3">
        <f ca="1">IFERROR(__xludf.DUMMYFUNCTION("""COMPUTED_VALUE"""),-0.942251192394113)</f>
        <v>-0.94225119239411304</v>
      </c>
      <c r="NV3" s="3">
        <f ca="1">IFERROR(__xludf.DUMMYFUNCTION("""COMPUTED_VALUE"""),-0.947801237973176)</f>
        <v>-0.94780123797317595</v>
      </c>
      <c r="NW3" s="3">
        <f ca="1">IFERROR(__xludf.DUMMYFUNCTION("""COMPUTED_VALUE"""),-0.943384849919137)</f>
        <v>-0.94338484991913696</v>
      </c>
      <c r="NX3" s="3">
        <f ca="1">IFERROR(__xludf.DUMMYFUNCTION("""COMPUTED_VALUE"""),-0.920548402330552)</f>
        <v>-0.92054840233055202</v>
      </c>
      <c r="NY3" s="3">
        <f ca="1">IFERROR(__xludf.DUMMYFUNCTION("""COMPUTED_VALUE"""),-0.841995446349708)</f>
        <v>-0.84199544634970802</v>
      </c>
      <c r="NZ3" s="3">
        <f ca="1">IFERROR(__xludf.DUMMYFUNCTION("""COMPUTED_VALUE"""),-0.864683842670128)</f>
        <v>-0.86468384267012799</v>
      </c>
      <c r="OA3" s="3">
        <f ca="1">IFERROR(__xludf.DUMMYFUNCTION("""COMPUTED_VALUE"""),-0.897443580391196)</f>
        <v>-0.89744358039119598</v>
      </c>
      <c r="OB3" s="3">
        <f ca="1">IFERROR(__xludf.DUMMYFUNCTION("""COMPUTED_VALUE"""),-0.898921140301291)</f>
        <v>-0.898921140301291</v>
      </c>
      <c r="OC3" s="3">
        <f ca="1">IFERROR(__xludf.DUMMYFUNCTION("""COMPUTED_VALUE"""),-0.875262537637845)</f>
        <v>-0.87526253763784501</v>
      </c>
      <c r="OD3" s="3">
        <f ca="1">IFERROR(__xludf.DUMMYFUNCTION("""COMPUTED_VALUE"""),-0.839436435075078)</f>
        <v>-0.83943643507507804</v>
      </c>
      <c r="OE3" s="3">
        <f ca="1">IFERROR(__xludf.DUMMYFUNCTION("""COMPUTED_VALUE"""),-0.814740127445841)</f>
        <v>-0.81474012744584101</v>
      </c>
      <c r="OF3" s="3">
        <f ca="1">IFERROR(__xludf.DUMMYFUNCTION("""COMPUTED_VALUE"""),-0.651288613401468)</f>
        <v>-0.65128861340146804</v>
      </c>
      <c r="OG3" s="3">
        <f ca="1">IFERROR(__xludf.DUMMYFUNCTION("""COMPUTED_VALUE"""),-0.648899762766774)</f>
        <v>-0.64889976276677397</v>
      </c>
      <c r="OH3" s="3">
        <f ca="1">IFERROR(__xludf.DUMMYFUNCTION("""COMPUTED_VALUE"""),-0.616118969668858)</f>
        <v>-0.61611896966885804</v>
      </c>
      <c r="OI3" s="3">
        <f ca="1">IFERROR(__xludf.DUMMYFUNCTION("""COMPUTED_VALUE"""),-0.533647562289714)</f>
        <v>-0.53364756228971399</v>
      </c>
      <c r="OJ3" s="3">
        <f ca="1">IFERROR(__xludf.DUMMYFUNCTION("""COMPUTED_VALUE"""),-0.158566861687758)</f>
        <v>-0.15856686168775799</v>
      </c>
      <c r="OK3" s="3">
        <f ca="1">IFERROR(__xludf.DUMMYFUNCTION("""COMPUTED_VALUE"""),-0.00332648137513191)</f>
        <v>-3.32648137513191E-3</v>
      </c>
      <c r="OL3" s="3">
        <f ca="1">IFERROR(__xludf.DUMMYFUNCTION("""COMPUTED_VALUE"""),-0.153788036640521)</f>
        <v>-0.15378803664052099</v>
      </c>
      <c r="OM3" s="3">
        <f ca="1">IFERROR(__xludf.DUMMYFUNCTION("""COMPUTED_VALUE"""),-0.145803888625981)</f>
        <v>-0.14580388862598101</v>
      </c>
      <c r="ON3" s="3">
        <f ca="1">IFERROR(__xludf.DUMMYFUNCTION("""COMPUTED_VALUE"""),-0.142382540966461)</f>
        <v>-0.142382540966461</v>
      </c>
      <c r="OO3" s="3">
        <f ca="1">IFERROR(__xludf.DUMMYFUNCTION("""COMPUTED_VALUE"""),-0.373085088251706)</f>
        <v>-0.373085088251706</v>
      </c>
      <c r="OP3" s="3">
        <f ca="1">IFERROR(__xludf.DUMMYFUNCTION("""COMPUTED_VALUE"""),-0.411860738699635)</f>
        <v>-0.41186073869963502</v>
      </c>
      <c r="OQ3" s="3">
        <f ca="1">IFERROR(__xludf.DUMMYFUNCTION("""COMPUTED_VALUE"""),-0.352903096495703)</f>
        <v>-0.35290309649570301</v>
      </c>
      <c r="OR3" s="3">
        <f ca="1">IFERROR(__xludf.DUMMYFUNCTION("""COMPUTED_VALUE"""),-0.325234302228524)</f>
        <v>-0.32523430222852401</v>
      </c>
      <c r="OS3" s="3">
        <f ca="1">IFERROR(__xludf.DUMMYFUNCTION("""COMPUTED_VALUE"""),-0.350207669879975)</f>
        <v>-0.35020766987997498</v>
      </c>
      <c r="OT3" s="3">
        <f ca="1">IFERROR(__xludf.DUMMYFUNCTION("""COMPUTED_VALUE"""),0.119447635838159)</f>
        <v>0.119447635838159</v>
      </c>
      <c r="OU3" s="3">
        <f ca="1">IFERROR(__xludf.DUMMYFUNCTION("""COMPUTED_VALUE"""),0.0101302139162431)</f>
        <v>1.01302139162431E-2</v>
      </c>
      <c r="OV3" s="3">
        <f ca="1">IFERROR(__xludf.DUMMYFUNCTION("""COMPUTED_VALUE"""),0.0857564789264149)</f>
        <v>8.57564789264149E-2</v>
      </c>
      <c r="OW3" s="3">
        <f ca="1">IFERROR(__xludf.DUMMYFUNCTION("""COMPUTED_VALUE"""),0.150737278845151)</f>
        <v>0.15073727884515101</v>
      </c>
      <c r="OX3" s="3">
        <f ca="1">IFERROR(__xludf.DUMMYFUNCTION("""COMPUTED_VALUE"""),0.213789638262838)</f>
        <v>0.21378963826283801</v>
      </c>
      <c r="OY3" s="3">
        <f ca="1">IFERROR(__xludf.DUMMYFUNCTION("""COMPUTED_VALUE"""),0.135749562613616)</f>
        <v>0.13574956261361601</v>
      </c>
      <c r="OZ3" s="3">
        <f ca="1">IFERROR(__xludf.DUMMYFUNCTION("""COMPUTED_VALUE"""),-0.0316534086101728)</f>
        <v>-3.1653408610172802E-2</v>
      </c>
      <c r="PA3" s="3">
        <f ca="1">IFERROR(__xludf.DUMMYFUNCTION("""COMPUTED_VALUE"""),0.29511214333815)</f>
        <v>0.29511214333815</v>
      </c>
      <c r="PB3" s="3">
        <f ca="1">IFERROR(__xludf.DUMMYFUNCTION("""COMPUTED_VALUE"""),0.126637076967224)</f>
        <v>0.12663707696722401</v>
      </c>
      <c r="PC3" s="3">
        <f ca="1">IFERROR(__xludf.DUMMYFUNCTION("""COMPUTED_VALUE"""),0.0892304002693358)</f>
        <v>8.9230400269335805E-2</v>
      </c>
      <c r="PD3" s="3">
        <f ca="1">IFERROR(__xludf.DUMMYFUNCTION("""COMPUTED_VALUE"""),-0.0115985724111242)</f>
        <v>-1.15985724111242E-2</v>
      </c>
      <c r="PE3" s="3">
        <f ca="1">IFERROR(__xludf.DUMMYFUNCTION("""COMPUTED_VALUE"""),-0.0873524331783494)</f>
        <v>-8.7352433178349398E-2</v>
      </c>
      <c r="PF3" s="3">
        <f ca="1">IFERROR(__xludf.DUMMYFUNCTION("""COMPUTED_VALUE"""),-0.0304571424178392)</f>
        <v>-3.04571424178392E-2</v>
      </c>
      <c r="PG3" s="3">
        <f ca="1">IFERROR(__xludf.DUMMYFUNCTION("""COMPUTED_VALUE"""),-0.0532658196777939)</f>
        <v>-5.3265819677793903E-2</v>
      </c>
      <c r="PH3" s="3">
        <f ca="1">IFERROR(__xludf.DUMMYFUNCTION("""COMPUTED_VALUE"""),0.178782047660338)</f>
        <v>0.17878204766033801</v>
      </c>
      <c r="PI3" s="3">
        <f ca="1">IFERROR(__xludf.DUMMYFUNCTION("""COMPUTED_VALUE"""),0.166668822718175)</f>
        <v>0.16666882271817501</v>
      </c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</row>
    <row r="4" spans="1:477" ht="15.75" customHeight="1">
      <c r="A4" s="1" t="str">
        <f ca="1">IFERROR(__xludf.DUMMYFUNCTION("""COMPUTED_VALUE"""),"The Ride")</f>
        <v>The Ride</v>
      </c>
      <c r="B4" s="1" t="str">
        <f ca="1">IFERROR(__xludf.DUMMYFUNCTION("""COMPUTED_VALUE"""),"Ann Arbor")</f>
        <v>Ann Arbor</v>
      </c>
      <c r="C4" s="1" t="str">
        <f ca="1">IFERROR(__xludf.DUMMYFUNCTION("""COMPUTED_VALUE"""),"United States")</f>
        <v>United States</v>
      </c>
      <c r="D4" s="1" t="str">
        <f ca="1">IFERROR(__xludf.DUMMYFUNCTION("""COMPUTED_VALUE"""),"Michigan")</f>
        <v>Michigan</v>
      </c>
      <c r="E4" s="3">
        <f ca="1">IFERROR(__xludf.DUMMYFUNCTION("""COMPUTED_VALUE"""),-0.848047628931647)</f>
        <v>-0.84804762893164698</v>
      </c>
      <c r="F4" s="3">
        <f ca="1">IFERROR(__xludf.DUMMYFUNCTION("""COMPUTED_VALUE"""),-0.872742731154864)</f>
        <v>-0.872742731154864</v>
      </c>
      <c r="G4" s="3">
        <f ca="1">IFERROR(__xludf.DUMMYFUNCTION("""COMPUTED_VALUE"""),-0.898553493652818)</f>
        <v>-0.898553493652818</v>
      </c>
      <c r="H4" s="3">
        <f ca="1">IFERROR(__xludf.DUMMYFUNCTION("""COMPUTED_VALUE"""),-0.880471051962953)</f>
        <v>-0.88047105196295306</v>
      </c>
      <c r="I4" s="3">
        <f ca="1">IFERROR(__xludf.DUMMYFUNCTION("""COMPUTED_VALUE"""),-0.883255350457891)</f>
        <v>-0.88325535045789105</v>
      </c>
      <c r="J4" s="3">
        <f ca="1">IFERROR(__xludf.DUMMYFUNCTION("""COMPUTED_VALUE"""),-0.900187201320872)</f>
        <v>-0.90018720132087204</v>
      </c>
      <c r="K4" s="3">
        <f ca="1">IFERROR(__xludf.DUMMYFUNCTION("""COMPUTED_VALUE"""),-0.95694811471366)</f>
        <v>-0.95694811471366004</v>
      </c>
      <c r="L4" s="3">
        <f ca="1">IFERROR(__xludf.DUMMYFUNCTION("""COMPUTED_VALUE"""),-0.837096516037615)</f>
        <v>-0.83709651603761503</v>
      </c>
      <c r="M4" s="3">
        <f ca="1">IFERROR(__xludf.DUMMYFUNCTION("""COMPUTED_VALUE"""),-0.864906216012843)</f>
        <v>-0.86490621601284301</v>
      </c>
      <c r="N4" s="3">
        <f ca="1">IFERROR(__xludf.DUMMYFUNCTION("""COMPUTED_VALUE"""),-0.910559784824121)</f>
        <v>-0.91055978482412103</v>
      </c>
      <c r="O4" s="3">
        <f ca="1">IFERROR(__xludf.DUMMYFUNCTION("""COMPUTED_VALUE"""),-0.904925888261117)</f>
        <v>-0.90492588826111697</v>
      </c>
      <c r="P4" s="3">
        <f ca="1">IFERROR(__xludf.DUMMYFUNCTION("""COMPUTED_VALUE"""),-0.909095719285731)</f>
        <v>-0.90909571928573096</v>
      </c>
      <c r="Q4" s="3">
        <f ca="1">IFERROR(__xludf.DUMMYFUNCTION("""COMPUTED_VALUE"""),-0.909480049862891)</f>
        <v>-0.90948004986289099</v>
      </c>
      <c r="R4" s="3">
        <f ca="1">IFERROR(__xludf.DUMMYFUNCTION("""COMPUTED_VALUE"""),-0.784737884201961)</f>
        <v>-0.784737884201961</v>
      </c>
      <c r="S4" s="3">
        <f ca="1">IFERROR(__xludf.DUMMYFUNCTION("""COMPUTED_VALUE"""),-0.853075570492675)</f>
        <v>-0.85307557049267502</v>
      </c>
      <c r="T4" s="3">
        <f ca="1">IFERROR(__xludf.DUMMYFUNCTION("""COMPUTED_VALUE"""),-0.891378062678388)</f>
        <v>-0.89137806267838804</v>
      </c>
      <c r="U4" s="3">
        <f ca="1">IFERROR(__xludf.DUMMYFUNCTION("""COMPUTED_VALUE"""),-0.907817746652907)</f>
        <v>-0.90781774665290704</v>
      </c>
      <c r="V4" s="3">
        <f ca="1">IFERROR(__xludf.DUMMYFUNCTION("""COMPUTED_VALUE"""),-0.896456195877768)</f>
        <v>-0.89645619587776804</v>
      </c>
      <c r="W4" s="3">
        <f ca="1">IFERROR(__xludf.DUMMYFUNCTION("""COMPUTED_VALUE"""),-0.89991032603549)</f>
        <v>-0.89991032603549004</v>
      </c>
      <c r="X4" s="3">
        <f ca="1">IFERROR(__xludf.DUMMYFUNCTION("""COMPUTED_VALUE"""),-0.907383570989136)</f>
        <v>-0.90738357098913602</v>
      </c>
      <c r="Y4" s="3">
        <f ca="1">IFERROR(__xludf.DUMMYFUNCTION("""COMPUTED_VALUE"""),-0.797636822758887)</f>
        <v>-0.79763682275888703</v>
      </c>
      <c r="Z4" s="3">
        <f ca="1">IFERROR(__xludf.DUMMYFUNCTION("""COMPUTED_VALUE"""),-0.810524047861384)</f>
        <v>-0.81052404786138399</v>
      </c>
      <c r="AA4" s="3">
        <f ca="1">IFERROR(__xludf.DUMMYFUNCTION("""COMPUTED_VALUE"""),-0.890945306504305)</f>
        <v>-0.89094530650430503</v>
      </c>
      <c r="AB4" s="3">
        <f ca="1">IFERROR(__xludf.DUMMYFUNCTION("""COMPUTED_VALUE"""),-0.90706906159184)</f>
        <v>-0.90706906159183998</v>
      </c>
      <c r="AC4" s="3">
        <f ca="1">IFERROR(__xludf.DUMMYFUNCTION("""COMPUTED_VALUE"""),-0.912606741420442)</f>
        <v>-0.91260674142044196</v>
      </c>
      <c r="AD4" s="3">
        <f ca="1">IFERROR(__xludf.DUMMYFUNCTION("""COMPUTED_VALUE"""),-0.909696334278501)</f>
        <v>-0.90969633427850105</v>
      </c>
      <c r="AE4" s="3">
        <f ca="1">IFERROR(__xludf.DUMMYFUNCTION("""COMPUTED_VALUE"""),-0.901925333997749)</f>
        <v>-0.90192533399774899</v>
      </c>
      <c r="AF4" s="3">
        <f ca="1">IFERROR(__xludf.DUMMYFUNCTION("""COMPUTED_VALUE"""),-0.79785195674731)</f>
        <v>-0.79785195674731002</v>
      </c>
      <c r="AG4" s="3">
        <f ca="1">IFERROR(__xludf.DUMMYFUNCTION("""COMPUTED_VALUE"""),-0.839245253736585)</f>
        <v>-0.83924525373658498</v>
      </c>
      <c r="AH4" s="3">
        <f ca="1">IFERROR(__xludf.DUMMYFUNCTION("""COMPUTED_VALUE"""),-0.898876458374457)</f>
        <v>-0.89887645837445695</v>
      </c>
      <c r="AI4" s="3">
        <f ca="1">IFERROR(__xludf.DUMMYFUNCTION("""COMPUTED_VALUE"""),-0.910751210034542)</f>
        <v>-0.91075121003454196</v>
      </c>
      <c r="AJ4" s="3">
        <f ca="1">IFERROR(__xludf.DUMMYFUNCTION("""COMPUTED_VALUE"""),-0.907774417440746)</f>
        <v>-0.90777441744074605</v>
      </c>
      <c r="AK4" s="3">
        <f ca="1">IFERROR(__xludf.DUMMYFUNCTION("""COMPUTED_VALUE"""),-0.897809333523481)</f>
        <v>-0.89780933352348102</v>
      </c>
      <c r="AL4" s="3">
        <f ca="1">IFERROR(__xludf.DUMMYFUNCTION("""COMPUTED_VALUE"""),-0.905194259249818)</f>
        <v>-0.905194259249818</v>
      </c>
      <c r="AM4" s="3">
        <f ca="1">IFERROR(__xludf.DUMMYFUNCTION("""COMPUTED_VALUE"""),-0.779002308889881)</f>
        <v>-0.77900230888988098</v>
      </c>
      <c r="AN4" s="3">
        <f ca="1">IFERROR(__xludf.DUMMYFUNCTION("""COMPUTED_VALUE"""),-0.819790028779841)</f>
        <v>-0.81979002877984097</v>
      </c>
      <c r="AO4" s="3">
        <f ca="1">IFERROR(__xludf.DUMMYFUNCTION("""COMPUTED_VALUE"""),-0.875872664542322)</f>
        <v>-0.87587266454232204</v>
      </c>
      <c r="AP4" s="3">
        <f ca="1">IFERROR(__xludf.DUMMYFUNCTION("""COMPUTED_VALUE"""),-0.89986196787407)</f>
        <v>-0.89986196787407002</v>
      </c>
      <c r="AQ4" s="3">
        <f ca="1">IFERROR(__xludf.DUMMYFUNCTION("""COMPUTED_VALUE"""),-0.891417653390063)</f>
        <v>-0.89141765339006296</v>
      </c>
      <c r="AR4" s="3">
        <f ca="1">IFERROR(__xludf.DUMMYFUNCTION("""COMPUTED_VALUE"""),-0.905297546396432)</f>
        <v>-0.90529754639643201</v>
      </c>
      <c r="AS4" s="3">
        <f ca="1">IFERROR(__xludf.DUMMYFUNCTION("""COMPUTED_VALUE"""),-0.907765675090641)</f>
        <v>-0.90776567509064099</v>
      </c>
      <c r="AT4" s="3">
        <f ca="1">IFERROR(__xludf.DUMMYFUNCTION("""COMPUTED_VALUE"""),-0.792943362584143)</f>
        <v>-0.792943362584143</v>
      </c>
      <c r="AU4" s="3">
        <f ca="1">IFERROR(__xludf.DUMMYFUNCTION("""COMPUTED_VALUE"""),-0.793751068262602)</f>
        <v>-0.793751068262602</v>
      </c>
      <c r="AV4" s="3">
        <f ca="1">IFERROR(__xludf.DUMMYFUNCTION("""COMPUTED_VALUE"""),-0.866705973435345)</f>
        <v>-0.86670597343534495</v>
      </c>
      <c r="AW4" s="3">
        <f ca="1">IFERROR(__xludf.DUMMYFUNCTION("""COMPUTED_VALUE"""),-0.907575267691125)</f>
        <v>-0.90757526769112495</v>
      </c>
      <c r="AX4" s="3">
        <f ca="1">IFERROR(__xludf.DUMMYFUNCTION("""COMPUTED_VALUE"""),-0.884749064259236)</f>
        <v>-0.88474906425923605</v>
      </c>
      <c r="AY4" s="3">
        <f ca="1">IFERROR(__xludf.DUMMYFUNCTION("""COMPUTED_VALUE"""),-0.909062346546875)</f>
        <v>-0.90906234654687501</v>
      </c>
      <c r="AZ4" s="3">
        <f ca="1">IFERROR(__xludf.DUMMYFUNCTION("""COMPUTED_VALUE"""),-0.915289016208637)</f>
        <v>-0.91528901620863701</v>
      </c>
      <c r="BA4" s="3">
        <f ca="1">IFERROR(__xludf.DUMMYFUNCTION("""COMPUTED_VALUE"""),-0.797863339355626)</f>
        <v>-0.79786333935562603</v>
      </c>
      <c r="BB4" s="3">
        <f ca="1">IFERROR(__xludf.DUMMYFUNCTION("""COMPUTED_VALUE"""),-0.806547855717143)</f>
        <v>-0.80654785571714305</v>
      </c>
      <c r="BC4" s="3">
        <f ca="1">IFERROR(__xludf.DUMMYFUNCTION("""COMPUTED_VALUE"""),-0.89201506729144)</f>
        <v>-0.89201506729143998</v>
      </c>
      <c r="BD4" s="3">
        <f ca="1">IFERROR(__xludf.DUMMYFUNCTION("""COMPUTED_VALUE"""),-0.905734113435776)</f>
        <v>-0.90573411343577603</v>
      </c>
      <c r="BE4" s="3">
        <f ca="1">IFERROR(__xludf.DUMMYFUNCTION("""COMPUTED_VALUE"""),-0.886618642969261)</f>
        <v>-0.88661864296926096</v>
      </c>
      <c r="BF4" s="3">
        <f ca="1">IFERROR(__xludf.DUMMYFUNCTION("""COMPUTED_VALUE"""),-0.915698740580814)</f>
        <v>-0.91569874058081402</v>
      </c>
      <c r="BG4" s="3">
        <f ca="1">IFERROR(__xludf.DUMMYFUNCTION("""COMPUTED_VALUE"""),-0.923126297753391)</f>
        <v>-0.92312629775339095</v>
      </c>
      <c r="BH4" s="3">
        <f ca="1">IFERROR(__xludf.DUMMYFUNCTION("""COMPUTED_VALUE"""),-0.727722131663319)</f>
        <v>-0.72772213166331901</v>
      </c>
      <c r="BI4" s="3">
        <f ca="1">IFERROR(__xludf.DUMMYFUNCTION("""COMPUTED_VALUE"""),-0.817179709281264)</f>
        <v>-0.81717970928126404</v>
      </c>
      <c r="BJ4" s="3">
        <f ca="1">IFERROR(__xludf.DUMMYFUNCTION("""COMPUTED_VALUE"""),-0.902208849876368)</f>
        <v>-0.90220884987636796</v>
      </c>
      <c r="BK4" s="3">
        <f ca="1">IFERROR(__xludf.DUMMYFUNCTION("""COMPUTED_VALUE"""),-0.920166503487056)</f>
        <v>-0.92016650348705598</v>
      </c>
      <c r="BL4" s="3">
        <f ca="1">IFERROR(__xludf.DUMMYFUNCTION("""COMPUTED_VALUE"""),-0.91225833767406)</f>
        <v>-0.91225833767405995</v>
      </c>
      <c r="BM4" s="3">
        <f ca="1">IFERROR(__xludf.DUMMYFUNCTION("""COMPUTED_VALUE"""),-0.920330037650019)</f>
        <v>-0.92033003765001897</v>
      </c>
      <c r="BN4" s="3">
        <f ca="1">IFERROR(__xludf.DUMMYFUNCTION("""COMPUTED_VALUE"""),-0.90509314256731)</f>
        <v>-0.90509314256730999</v>
      </c>
      <c r="BO4" s="3">
        <f ca="1">IFERROR(__xludf.DUMMYFUNCTION("""COMPUTED_VALUE"""),-0.86331337206293)</f>
        <v>-0.86331337206293002</v>
      </c>
      <c r="BP4" s="3">
        <f ca="1">IFERROR(__xludf.DUMMYFUNCTION("""COMPUTED_VALUE"""),-0.883995601340658)</f>
        <v>-0.88399560134065802</v>
      </c>
      <c r="BQ4" s="3">
        <f ca="1">IFERROR(__xludf.DUMMYFUNCTION("""COMPUTED_VALUE"""),-0.917416822753849)</f>
        <v>-0.91741682275384895</v>
      </c>
      <c r="BR4" s="3">
        <f ca="1">IFERROR(__xludf.DUMMYFUNCTION("""COMPUTED_VALUE"""),-0.916017726648277)</f>
        <v>-0.91601772664827696</v>
      </c>
      <c r="BS4" s="3">
        <f ca="1">IFERROR(__xludf.DUMMYFUNCTION("""COMPUTED_VALUE"""),-0.91920891773824)</f>
        <v>-0.91920891773823998</v>
      </c>
      <c r="BT4" s="3">
        <f ca="1">IFERROR(__xludf.DUMMYFUNCTION("""COMPUTED_VALUE"""),-0.912383059229292)</f>
        <v>-0.91238305922929197</v>
      </c>
      <c r="BU4" s="3">
        <f ca="1">IFERROR(__xludf.DUMMYFUNCTION("""COMPUTED_VALUE"""),-0.913312728661466)</f>
        <v>-0.91331272866146596</v>
      </c>
      <c r="BV4" s="3">
        <f ca="1">IFERROR(__xludf.DUMMYFUNCTION("""COMPUTED_VALUE"""),-0.79907663199141)</f>
        <v>-0.79907663199140999</v>
      </c>
      <c r="BW4" s="3">
        <f ca="1">IFERROR(__xludf.DUMMYFUNCTION("""COMPUTED_VALUE"""),-0.860738425232423)</f>
        <v>-0.86073842523242305</v>
      </c>
      <c r="BX4" s="3">
        <f ca="1">IFERROR(__xludf.DUMMYFUNCTION("""COMPUTED_VALUE"""),-0.911533563705344)</f>
        <v>-0.911533563705344</v>
      </c>
      <c r="BY4" s="3">
        <f ca="1">IFERROR(__xludf.DUMMYFUNCTION("""COMPUTED_VALUE"""),-0.910275193514817)</f>
        <v>-0.910275193514817</v>
      </c>
      <c r="BZ4" s="3">
        <f ca="1">IFERROR(__xludf.DUMMYFUNCTION("""COMPUTED_VALUE"""),-0.92094848422071)</f>
        <v>-0.92094848422070996</v>
      </c>
      <c r="CA4" s="3">
        <f ca="1">IFERROR(__xludf.DUMMYFUNCTION("""COMPUTED_VALUE"""),-0.925323057059895)</f>
        <v>-0.92532305705989504</v>
      </c>
      <c r="CB4" s="3">
        <f ca="1">IFERROR(__xludf.DUMMYFUNCTION("""COMPUTED_VALUE"""),-0.902030231117536)</f>
        <v>-0.902030231117536</v>
      </c>
      <c r="CC4" s="3">
        <f ca="1">IFERROR(__xludf.DUMMYFUNCTION("""COMPUTED_VALUE"""),-0.857443849560339)</f>
        <v>-0.85744384956033903</v>
      </c>
      <c r="CD4" s="3">
        <f ca="1">IFERROR(__xludf.DUMMYFUNCTION("""COMPUTED_VALUE"""),-0.854402092036763)</f>
        <v>-0.85440209203676298</v>
      </c>
      <c r="CE4" s="3">
        <f ca="1">IFERROR(__xludf.DUMMYFUNCTION("""COMPUTED_VALUE"""),-0.919139226785498)</f>
        <v>-0.91913922678549798</v>
      </c>
      <c r="CF4" s="3">
        <f ca="1">IFERROR(__xludf.DUMMYFUNCTION("""COMPUTED_VALUE"""),-0.926296708400417)</f>
        <v>-0.926296708400417</v>
      </c>
      <c r="CG4" s="3">
        <f ca="1">IFERROR(__xludf.DUMMYFUNCTION("""COMPUTED_VALUE"""),-0.910993911767573)</f>
        <v>-0.91099391176757305</v>
      </c>
      <c r="CH4" s="3">
        <f ca="1">IFERROR(__xludf.DUMMYFUNCTION("""COMPUTED_VALUE"""),-0.915457259718482)</f>
        <v>-0.91545725971848202</v>
      </c>
      <c r="CI4" s="3">
        <f ca="1">IFERROR(__xludf.DUMMYFUNCTION("""COMPUTED_VALUE"""),-0.910899593764179)</f>
        <v>-0.91089959376417895</v>
      </c>
      <c r="CJ4" s="3">
        <f ca="1">IFERROR(__xludf.DUMMYFUNCTION("""COMPUTED_VALUE"""),-0.831690239360627)</f>
        <v>-0.83169023936062703</v>
      </c>
      <c r="CK4" s="3">
        <f ca="1">IFERROR(__xludf.DUMMYFUNCTION("""COMPUTED_VALUE"""),-0.838177330576464)</f>
        <v>-0.83817733057646404</v>
      </c>
      <c r="CL4" s="3">
        <f ca="1">IFERROR(__xludf.DUMMYFUNCTION("""COMPUTED_VALUE"""),-0.938129251064489)</f>
        <v>-0.93812925106448897</v>
      </c>
      <c r="CM4" s="3">
        <f ca="1">IFERROR(__xludf.DUMMYFUNCTION("""COMPUTED_VALUE"""),-0.930205505890006)</f>
        <v>-0.93020550589000595</v>
      </c>
      <c r="CN4" s="3">
        <f ca="1">IFERROR(__xludf.DUMMYFUNCTION("""COMPUTED_VALUE"""),-0.935021411041045)</f>
        <v>-0.93502141104104497</v>
      </c>
      <c r="CO4" s="3">
        <f ca="1">IFERROR(__xludf.DUMMYFUNCTION("""COMPUTED_VALUE"""),-0.932878030217348)</f>
        <v>-0.93287803021734805</v>
      </c>
      <c r="CP4" s="3">
        <f ca="1">IFERROR(__xludf.DUMMYFUNCTION("""COMPUTED_VALUE"""),-0.91349785254133)</f>
        <v>-0.91349785254132998</v>
      </c>
      <c r="CQ4" s="3">
        <f ca="1">IFERROR(__xludf.DUMMYFUNCTION("""COMPUTED_VALUE"""),-0.82681319848146)</f>
        <v>-0.82681319848145995</v>
      </c>
      <c r="CR4" s="3">
        <f ca="1">IFERROR(__xludf.DUMMYFUNCTION("""COMPUTED_VALUE"""),-0.855065573622173)</f>
        <v>-0.85506557362217295</v>
      </c>
      <c r="CS4" s="3">
        <f ca="1">IFERROR(__xludf.DUMMYFUNCTION("""COMPUTED_VALUE"""),-0.920428037948996)</f>
        <v>-0.92042803794899597</v>
      </c>
      <c r="CT4" s="3">
        <f ca="1">IFERROR(__xludf.DUMMYFUNCTION("""COMPUTED_VALUE"""),-0.936498245798469)</f>
        <v>-0.93649824579846896</v>
      </c>
      <c r="CU4" s="3">
        <f ca="1">IFERROR(__xludf.DUMMYFUNCTION("""COMPUTED_VALUE"""),-0.932032572762638)</f>
        <v>-0.93203257276263796</v>
      </c>
      <c r="CV4" s="3">
        <f ca="1">IFERROR(__xludf.DUMMYFUNCTION("""COMPUTED_VALUE"""),-0.923205838131758)</f>
        <v>-0.92320583813175805</v>
      </c>
      <c r="CW4" s="3">
        <f ca="1">IFERROR(__xludf.DUMMYFUNCTION("""COMPUTED_VALUE"""),-0.911897273367301)</f>
        <v>-0.91189727336730098</v>
      </c>
      <c r="CX4" s="3">
        <f ca="1">IFERROR(__xludf.DUMMYFUNCTION("""COMPUTED_VALUE"""),-0.863157735943324)</f>
        <v>-0.86315773594332401</v>
      </c>
      <c r="CY4" s="3">
        <f ca="1">IFERROR(__xludf.DUMMYFUNCTION("""COMPUTED_VALUE"""),-0.905721113189392)</f>
        <v>-0.90572111318939197</v>
      </c>
      <c r="CZ4" s="3">
        <f ca="1">IFERROR(__xludf.DUMMYFUNCTION("""COMPUTED_VALUE"""),-0.98051856565837)</f>
        <v>-0.98051856565837003</v>
      </c>
      <c r="DA4" s="3">
        <f ca="1">IFERROR(__xludf.DUMMYFUNCTION("""COMPUTED_VALUE"""),-0.902560750740959)</f>
        <v>-0.90256075074095898</v>
      </c>
      <c r="DB4" s="3">
        <f ca="1">IFERROR(__xludf.DUMMYFUNCTION("""COMPUTED_VALUE"""),-0.87370647404721)</f>
        <v>-0.87370647404721002</v>
      </c>
      <c r="DC4" s="3">
        <f ca="1">IFERROR(__xludf.DUMMYFUNCTION("""COMPUTED_VALUE"""),-0.844923723095364)</f>
        <v>-0.84492372309536401</v>
      </c>
      <c r="DD4" s="3">
        <f ca="1">IFERROR(__xludf.DUMMYFUNCTION("""COMPUTED_VALUE"""),-0.883771286268846)</f>
        <v>-0.88377128626884605</v>
      </c>
      <c r="DE4" s="3">
        <f ca="1">IFERROR(__xludf.DUMMYFUNCTION("""COMPUTED_VALUE"""),-0.863479711105091)</f>
        <v>-0.86347971110509103</v>
      </c>
      <c r="DF4" s="3">
        <f ca="1">IFERROR(__xludf.DUMMYFUNCTION("""COMPUTED_VALUE"""),-0.901329361684053)</f>
        <v>-0.90132936168405298</v>
      </c>
      <c r="DG4" s="3">
        <f ca="1">IFERROR(__xludf.DUMMYFUNCTION("""COMPUTED_VALUE"""),-0.990828953122768)</f>
        <v>-0.99082895312276797</v>
      </c>
      <c r="DH4" s="3">
        <f ca="1">IFERROR(__xludf.DUMMYFUNCTION("""COMPUTED_VALUE"""),-0.932385461184394)</f>
        <v>-0.93238546118439403</v>
      </c>
      <c r="DI4" s="3">
        <f ca="1">IFERROR(__xludf.DUMMYFUNCTION("""COMPUTED_VALUE"""),-0.798827535077891)</f>
        <v>-0.79882753507789095</v>
      </c>
      <c r="DJ4" s="3">
        <f ca="1">IFERROR(__xludf.DUMMYFUNCTION("""COMPUTED_VALUE"""),-0.872412593696072)</f>
        <v>-0.87241259369607205</v>
      </c>
      <c r="DK4" s="3">
        <f ca="1">IFERROR(__xludf.DUMMYFUNCTION("""COMPUTED_VALUE"""),-0.904640642220401)</f>
        <v>-0.90464064222040097</v>
      </c>
      <c r="DL4" s="3">
        <f ca="1">IFERROR(__xludf.DUMMYFUNCTION("""COMPUTED_VALUE"""),-0.845323760390161)</f>
        <v>-0.84532376039016099</v>
      </c>
      <c r="DM4" s="3">
        <f ca="1">IFERROR(__xludf.DUMMYFUNCTION("""COMPUTED_VALUE"""),-0.870170841070351)</f>
        <v>-0.87017084107035103</v>
      </c>
      <c r="DN4" s="3">
        <f ca="1">IFERROR(__xludf.DUMMYFUNCTION("""COMPUTED_VALUE"""),-0.90274496380393)</f>
        <v>-0.90274496380392999</v>
      </c>
      <c r="DO4" s="3">
        <f ca="1">IFERROR(__xludf.DUMMYFUNCTION("""COMPUTED_VALUE"""),-0.930195015346151)</f>
        <v>-0.93019501534615101</v>
      </c>
      <c r="DP4" s="3">
        <f ca="1">IFERROR(__xludf.DUMMYFUNCTION("""COMPUTED_VALUE"""),-0.924190612108077)</f>
        <v>-0.92419061210807696</v>
      </c>
      <c r="DQ4" s="3">
        <f ca="1">IFERROR(__xludf.DUMMYFUNCTION("""COMPUTED_VALUE"""),-0.922975626788918)</f>
        <v>-0.92297562678891798</v>
      </c>
      <c r="DR4" s="3">
        <f ca="1">IFERROR(__xludf.DUMMYFUNCTION("""COMPUTED_VALUE"""),-0.945263039891508)</f>
        <v>-0.94526303989150795</v>
      </c>
      <c r="DS4" s="3">
        <f ca="1">IFERROR(__xludf.DUMMYFUNCTION("""COMPUTED_VALUE"""),-0.894614930121861)</f>
        <v>-0.894614930121861</v>
      </c>
      <c r="DT4" s="3">
        <f ca="1">IFERROR(__xludf.DUMMYFUNCTION("""COMPUTED_VALUE"""),-0.927046205096431)</f>
        <v>-0.92704620509643099</v>
      </c>
      <c r="DU4" s="3">
        <f ca="1">IFERROR(__xludf.DUMMYFUNCTION("""COMPUTED_VALUE"""),-0.940332108806445)</f>
        <v>-0.94033210880644502</v>
      </c>
      <c r="DV4" s="3">
        <f ca="1">IFERROR(__xludf.DUMMYFUNCTION("""COMPUTED_VALUE"""),-0.931434330593427)</f>
        <v>-0.93143433059342695</v>
      </c>
      <c r="DW4" s="3">
        <f ca="1">IFERROR(__xludf.DUMMYFUNCTION("""COMPUTED_VALUE"""),-0.952670135278888)</f>
        <v>-0.952670135278888</v>
      </c>
      <c r="DX4" s="3">
        <f ca="1">IFERROR(__xludf.DUMMYFUNCTION("""COMPUTED_VALUE"""),-0.959479439205431)</f>
        <v>-0.959479439205431</v>
      </c>
      <c r="DY4" s="3">
        <f ca="1">IFERROR(__xludf.DUMMYFUNCTION("""COMPUTED_VALUE"""),-0.948585910373219)</f>
        <v>-0.94858591037321904</v>
      </c>
      <c r="DZ4" s="3">
        <f ca="1">IFERROR(__xludf.DUMMYFUNCTION("""COMPUTED_VALUE"""),-0.906750872852119)</f>
        <v>-0.90675087285211897</v>
      </c>
      <c r="EA4" s="3">
        <f ca="1">IFERROR(__xludf.DUMMYFUNCTION("""COMPUTED_VALUE"""),-0.88184256625758)</f>
        <v>-0.88184256625757995</v>
      </c>
      <c r="EB4" s="3">
        <f ca="1">IFERROR(__xludf.DUMMYFUNCTION("""COMPUTED_VALUE"""),-0.920233842145454)</f>
        <v>-0.92023384214545401</v>
      </c>
      <c r="EC4" s="3">
        <f ca="1">IFERROR(__xludf.DUMMYFUNCTION("""COMPUTED_VALUE"""),-0.92325602163442)</f>
        <v>-0.92325602163442</v>
      </c>
      <c r="ED4" s="3">
        <f ca="1">IFERROR(__xludf.DUMMYFUNCTION("""COMPUTED_VALUE"""),-0.945611740116391)</f>
        <v>-0.94561174011639104</v>
      </c>
      <c r="EE4" s="3">
        <f ca="1">IFERROR(__xludf.DUMMYFUNCTION("""COMPUTED_VALUE"""),-0.955389524452134)</f>
        <v>-0.95538952445213399</v>
      </c>
      <c r="EF4" s="3">
        <f ca="1">IFERROR(__xludf.DUMMYFUNCTION("""COMPUTED_VALUE"""),-0.945331026592568)</f>
        <v>-0.94533102659256796</v>
      </c>
      <c r="EG4" s="3">
        <f ca="1">IFERROR(__xludf.DUMMYFUNCTION("""COMPUTED_VALUE"""),-0.901732735711504)</f>
        <v>-0.90173273571150403</v>
      </c>
      <c r="EH4" s="3">
        <f ca="1">IFERROR(__xludf.DUMMYFUNCTION("""COMPUTED_VALUE"""),-0.911999937754225)</f>
        <v>-0.91199993775422505</v>
      </c>
      <c r="EI4" s="3">
        <f ca="1">IFERROR(__xludf.DUMMYFUNCTION("""COMPUTED_VALUE"""),-0.954175677563534)</f>
        <v>-0.95417567756353405</v>
      </c>
      <c r="EJ4" s="3">
        <f ca="1">IFERROR(__xludf.DUMMYFUNCTION("""COMPUTED_VALUE"""),-0.987404681635668)</f>
        <v>-0.98740468163566797</v>
      </c>
      <c r="EK4" s="3">
        <f ca="1">IFERROR(__xludf.DUMMYFUNCTION("""COMPUTED_VALUE"""),-0.933367407609442)</f>
        <v>-0.93336740760944203</v>
      </c>
      <c r="EL4" s="3">
        <f ca="1">IFERROR(__xludf.DUMMYFUNCTION("""COMPUTED_VALUE"""),-0.937185229529452)</f>
        <v>-0.93718522952945205</v>
      </c>
      <c r="EM4" s="3">
        <f ca="1">IFERROR(__xludf.DUMMYFUNCTION("""COMPUTED_VALUE"""),-0.93880989776759)</f>
        <v>-0.93880989776759005</v>
      </c>
      <c r="EN4" s="3">
        <f ca="1">IFERROR(__xludf.DUMMYFUNCTION("""COMPUTED_VALUE"""),-0.874685565890484)</f>
        <v>-0.87468556589048396</v>
      </c>
      <c r="EO4" s="3">
        <f ca="1">IFERROR(__xludf.DUMMYFUNCTION("""COMPUTED_VALUE"""),-0.866356545211978)</f>
        <v>-0.86635654521197802</v>
      </c>
      <c r="EP4" s="3">
        <f ca="1">IFERROR(__xludf.DUMMYFUNCTION("""COMPUTED_VALUE"""),-0.922828503148367)</f>
        <v>-0.92282850314836695</v>
      </c>
      <c r="EQ4" s="3">
        <f ca="1">IFERROR(__xludf.DUMMYFUNCTION("""COMPUTED_VALUE"""),-0.946404762949224)</f>
        <v>-0.94640476294922404</v>
      </c>
      <c r="ER4" s="3">
        <f ca="1">IFERROR(__xludf.DUMMYFUNCTION("""COMPUTED_VALUE"""),-0.933148836353103)</f>
        <v>-0.93314883635310297</v>
      </c>
      <c r="ES4" s="3">
        <f ca="1">IFERROR(__xludf.DUMMYFUNCTION("""COMPUTED_VALUE"""),-0.937157909538471)</f>
        <v>-0.937157909538471</v>
      </c>
      <c r="ET4" s="3">
        <f ca="1">IFERROR(__xludf.DUMMYFUNCTION("""COMPUTED_VALUE"""),-0.950106800096847)</f>
        <v>-0.950106800096847</v>
      </c>
      <c r="EU4" s="3">
        <f ca="1">IFERROR(__xludf.DUMMYFUNCTION("""COMPUTED_VALUE"""),-0.89943417445516)</f>
        <v>-0.89943417445516005</v>
      </c>
      <c r="EV4" s="3">
        <f ca="1">IFERROR(__xludf.DUMMYFUNCTION("""COMPUTED_VALUE"""),-0.901805443297476)</f>
        <v>-0.90180544329747603</v>
      </c>
      <c r="EW4" s="3">
        <f ca="1">IFERROR(__xludf.DUMMYFUNCTION("""COMPUTED_VALUE"""),-0.936238722004119)</f>
        <v>-0.93623872200411895</v>
      </c>
      <c r="EX4" s="3">
        <f ca="1">IFERROR(__xludf.DUMMYFUNCTION("""COMPUTED_VALUE"""),-0.95246177567911)</f>
        <v>-0.95246177567910995</v>
      </c>
      <c r="EY4" s="3">
        <f ca="1">IFERROR(__xludf.DUMMYFUNCTION("""COMPUTED_VALUE"""),-0.955334099046105)</f>
        <v>-0.955334099046105</v>
      </c>
      <c r="EZ4" s="3">
        <f ca="1">IFERROR(__xludf.DUMMYFUNCTION("""COMPUTED_VALUE"""),-0.949234603966197)</f>
        <v>-0.94923460396619697</v>
      </c>
      <c r="FA4" s="3">
        <f ca="1">IFERROR(__xludf.DUMMYFUNCTION("""COMPUTED_VALUE"""),-0.945337497599547)</f>
        <v>-0.94533749759954699</v>
      </c>
      <c r="FB4" s="3">
        <f ca="1">IFERROR(__xludf.DUMMYFUNCTION("""COMPUTED_VALUE"""),-0.90720490259385)</f>
        <v>-0.90720490259385</v>
      </c>
      <c r="FC4" s="3">
        <f ca="1">IFERROR(__xludf.DUMMYFUNCTION("""COMPUTED_VALUE"""),-0.904924432724089)</f>
        <v>-0.90492443272408896</v>
      </c>
      <c r="FD4" s="3">
        <f ca="1">IFERROR(__xludf.DUMMYFUNCTION("""COMPUTED_VALUE"""),-0.936781532621413)</f>
        <v>-0.93678153262141295</v>
      </c>
      <c r="FE4" s="3">
        <f ca="1">IFERROR(__xludf.DUMMYFUNCTION("""COMPUTED_VALUE"""),-0.948797192638471)</f>
        <v>-0.94879719263847095</v>
      </c>
      <c r="FF4" s="3">
        <f ca="1">IFERROR(__xludf.DUMMYFUNCTION("""COMPUTED_VALUE"""),-0.951081900621048)</f>
        <v>-0.95108190062104803</v>
      </c>
      <c r="FG4" s="3">
        <f ca="1">IFERROR(__xludf.DUMMYFUNCTION("""COMPUTED_VALUE"""),-0.937808406807996)</f>
        <v>-0.93780840680799604</v>
      </c>
      <c r="FH4" s="3">
        <f ca="1">IFERROR(__xludf.DUMMYFUNCTION("""COMPUTED_VALUE"""),-0.946141920312547)</f>
        <v>-0.94614192031254696</v>
      </c>
      <c r="FI4" s="3">
        <f ca="1">IFERROR(__xludf.DUMMYFUNCTION("""COMPUTED_VALUE"""),-0.903707483494871)</f>
        <v>-0.90370748349487096</v>
      </c>
      <c r="FJ4" s="3">
        <f ca="1">IFERROR(__xludf.DUMMYFUNCTION("""COMPUTED_VALUE"""),-0.899509737792776)</f>
        <v>-0.89950973779277599</v>
      </c>
      <c r="FK4" s="3">
        <f ca="1">IFERROR(__xludf.DUMMYFUNCTION("""COMPUTED_VALUE"""),-0.934687438413968)</f>
        <v>-0.93468743841396795</v>
      </c>
      <c r="FL4" s="3">
        <f ca="1">IFERROR(__xludf.DUMMYFUNCTION("""COMPUTED_VALUE"""),-0.94172699741444)</f>
        <v>-0.94172699741443999</v>
      </c>
      <c r="FM4" s="3">
        <f ca="1">IFERROR(__xludf.DUMMYFUNCTION("""COMPUTED_VALUE"""),-0.946911436255939)</f>
        <v>-0.94691143625593899</v>
      </c>
      <c r="FN4" s="3">
        <f ca="1">IFERROR(__xludf.DUMMYFUNCTION("""COMPUTED_VALUE"""),-0.939747389647513)</f>
        <v>-0.93974738964751303</v>
      </c>
      <c r="FO4" s="3">
        <f ca="1">IFERROR(__xludf.DUMMYFUNCTION("""COMPUTED_VALUE"""),-0.942172697312744)</f>
        <v>-0.942172697312744</v>
      </c>
      <c r="FP4" s="3">
        <f ca="1">IFERROR(__xludf.DUMMYFUNCTION("""COMPUTED_VALUE"""),-0.923515588356835)</f>
        <v>-0.923515588356835</v>
      </c>
      <c r="FQ4" s="3">
        <f ca="1">IFERROR(__xludf.DUMMYFUNCTION("""COMPUTED_VALUE"""),-0.894097544420721)</f>
        <v>-0.89409754442072098</v>
      </c>
      <c r="FR4" s="3">
        <f ca="1">IFERROR(__xludf.DUMMYFUNCTION("""COMPUTED_VALUE"""),-0.953638334814748)</f>
        <v>-0.95363833481474802</v>
      </c>
      <c r="FS4" s="3">
        <f ca="1">IFERROR(__xludf.DUMMYFUNCTION("""COMPUTED_VALUE"""),-0.94020530463096)</f>
        <v>-0.94020530463095997</v>
      </c>
      <c r="FT4" s="3">
        <f ca="1">IFERROR(__xludf.DUMMYFUNCTION("""COMPUTED_VALUE"""),-0.944061613680723)</f>
        <v>-0.94406161368072306</v>
      </c>
      <c r="FU4" s="3">
        <f ca="1">IFERROR(__xludf.DUMMYFUNCTION("""COMPUTED_VALUE"""),-0.937945754569578)</f>
        <v>-0.93794575456957796</v>
      </c>
      <c r="FV4" s="3">
        <f ca="1">IFERROR(__xludf.DUMMYFUNCTION("""COMPUTED_VALUE"""),-0.932005271803491)</f>
        <v>-0.93200527180349102</v>
      </c>
      <c r="FW4" s="3">
        <f ca="1">IFERROR(__xludf.DUMMYFUNCTION("""COMPUTED_VALUE"""),-0.918662586606554)</f>
        <v>-0.91866258660655398</v>
      </c>
      <c r="FX4" s="3">
        <f ca="1">IFERROR(__xludf.DUMMYFUNCTION("""COMPUTED_VALUE"""),-0.900500355796576)</f>
        <v>-0.90050035579657595</v>
      </c>
      <c r="FY4" s="3">
        <f ca="1">IFERROR(__xludf.DUMMYFUNCTION("""COMPUTED_VALUE"""),-0.935074513282955)</f>
        <v>-0.93507451328295499</v>
      </c>
      <c r="FZ4" s="3">
        <f ca="1">IFERROR(__xludf.DUMMYFUNCTION("""COMPUTED_VALUE"""),-0.950357154144472)</f>
        <v>-0.95035715414447197</v>
      </c>
      <c r="GA4" s="3">
        <f ca="1">IFERROR(__xludf.DUMMYFUNCTION("""COMPUTED_VALUE"""),-0.950187117740033)</f>
        <v>-0.95018711774003295</v>
      </c>
      <c r="GB4" s="3">
        <f ca="1">IFERROR(__xludf.DUMMYFUNCTION("""COMPUTED_VALUE"""),-0.953298999903602)</f>
        <v>-0.95329899990360201</v>
      </c>
      <c r="GC4" s="3">
        <f ca="1">IFERROR(__xludf.DUMMYFUNCTION("""COMPUTED_VALUE"""),-0.958974197433734)</f>
        <v>-0.95897419743373402</v>
      </c>
      <c r="GD4" s="3">
        <f ca="1">IFERROR(__xludf.DUMMYFUNCTION("""COMPUTED_VALUE"""),-0.883293523010308)</f>
        <v>-0.88329352301030795</v>
      </c>
      <c r="GE4" s="3">
        <f ca="1">IFERROR(__xludf.DUMMYFUNCTION("""COMPUTED_VALUE"""),-0.942840526812641)</f>
        <v>-0.94284052681264097</v>
      </c>
      <c r="GF4" s="3">
        <f ca="1">IFERROR(__xludf.DUMMYFUNCTION("""COMPUTED_VALUE"""),-0.940678502289131)</f>
        <v>-0.94067850228913097</v>
      </c>
      <c r="GG4" s="3">
        <f ca="1">IFERROR(__xludf.DUMMYFUNCTION("""COMPUTED_VALUE"""),-0.955565311055118)</f>
        <v>-0.95556531105511799</v>
      </c>
      <c r="GH4" s="3">
        <f ca="1">IFERROR(__xludf.DUMMYFUNCTION("""COMPUTED_VALUE"""),-0.944447184520464)</f>
        <v>-0.94444718452046394</v>
      </c>
      <c r="GI4" s="3">
        <f ca="1">IFERROR(__xludf.DUMMYFUNCTION("""COMPUTED_VALUE"""),-0.942992746933833)</f>
        <v>-0.94299274693383295</v>
      </c>
      <c r="GJ4" s="3">
        <f ca="1">IFERROR(__xludf.DUMMYFUNCTION("""COMPUTED_VALUE"""),-0.939519347188468)</f>
        <v>-0.93951934718846797</v>
      </c>
      <c r="GK4" s="3">
        <f ca="1">IFERROR(__xludf.DUMMYFUNCTION("""COMPUTED_VALUE"""),-0.854487558069052)</f>
        <v>-0.85448755806905197</v>
      </c>
      <c r="GL4" s="3">
        <f ca="1">IFERROR(__xludf.DUMMYFUNCTION("""COMPUTED_VALUE"""),-0.901298224091394)</f>
        <v>-0.90129822409139404</v>
      </c>
      <c r="GM4" s="3">
        <f ca="1">IFERROR(__xludf.DUMMYFUNCTION("""COMPUTED_VALUE"""),-0.936236717844944)</f>
        <v>-0.936236717844944</v>
      </c>
      <c r="GN4" s="3">
        <f ca="1">IFERROR(__xludf.DUMMYFUNCTION("""COMPUTED_VALUE"""),-0.937631492827191)</f>
        <v>-0.93763149282719105</v>
      </c>
      <c r="GO4" s="3">
        <f ca="1">IFERROR(__xludf.DUMMYFUNCTION("""COMPUTED_VALUE"""),-0.94003834580353)</f>
        <v>-0.94003834580352996</v>
      </c>
      <c r="GP4" s="3">
        <f ca="1">IFERROR(__xludf.DUMMYFUNCTION("""COMPUTED_VALUE"""),-0.946530806502939)</f>
        <v>-0.94653080650293897</v>
      </c>
      <c r="GQ4" s="3">
        <f ca="1">IFERROR(__xludf.DUMMYFUNCTION("""COMPUTED_VALUE"""),-0.942472809347368)</f>
        <v>-0.94247280934736799</v>
      </c>
      <c r="GR4" s="3">
        <f ca="1">IFERROR(__xludf.DUMMYFUNCTION("""COMPUTED_VALUE"""),-0.877654381128463)</f>
        <v>-0.87765438112846295</v>
      </c>
      <c r="GS4" s="3">
        <f ca="1">IFERROR(__xludf.DUMMYFUNCTION("""COMPUTED_VALUE"""),-0.923028403939995)</f>
        <v>-0.92302840393999497</v>
      </c>
      <c r="GT4" s="3">
        <f ca="1">IFERROR(__xludf.DUMMYFUNCTION("""COMPUTED_VALUE"""),-0.934207711597149)</f>
        <v>-0.93420771159714899</v>
      </c>
      <c r="GU4" s="3">
        <f ca="1">IFERROR(__xludf.DUMMYFUNCTION("""COMPUTED_VALUE"""),-0.947876673287687)</f>
        <v>-0.94787667328768699</v>
      </c>
      <c r="GV4" s="3">
        <f ca="1">IFERROR(__xludf.DUMMYFUNCTION("""COMPUTED_VALUE"""),-0.947742431046869)</f>
        <v>-0.94774243104686895</v>
      </c>
      <c r="GW4" s="3">
        <f ca="1">IFERROR(__xludf.DUMMYFUNCTION("""COMPUTED_VALUE"""),-0.939236961894966)</f>
        <v>-0.93923696189496597</v>
      </c>
      <c r="GX4" s="3">
        <f ca="1">IFERROR(__xludf.DUMMYFUNCTION("""COMPUTED_VALUE"""),-0.933018972897947)</f>
        <v>-0.933018972897947</v>
      </c>
      <c r="GY4" s="3">
        <f ca="1">IFERROR(__xludf.DUMMYFUNCTION("""COMPUTED_VALUE"""),-0.898793617867054)</f>
        <v>-0.89879361786705403</v>
      </c>
      <c r="GZ4" s="3">
        <f ca="1">IFERROR(__xludf.DUMMYFUNCTION("""COMPUTED_VALUE"""),-0.897703617958193)</f>
        <v>-0.89770361795819298</v>
      </c>
      <c r="HA4" s="3">
        <f ca="1">IFERROR(__xludf.DUMMYFUNCTION("""COMPUTED_VALUE"""),-0.938660261241736)</f>
        <v>-0.93866026124173596</v>
      </c>
      <c r="HB4" s="3">
        <f ca="1">IFERROR(__xludf.DUMMYFUNCTION("""COMPUTED_VALUE"""),-0.947461652284096)</f>
        <v>-0.94746165228409596</v>
      </c>
      <c r="HC4" s="3">
        <f ca="1">IFERROR(__xludf.DUMMYFUNCTION("""COMPUTED_VALUE"""),-0.942613137547311)</f>
        <v>-0.94261313754731102</v>
      </c>
      <c r="HD4" s="3">
        <f ca="1">IFERROR(__xludf.DUMMYFUNCTION("""COMPUTED_VALUE"""),-0.940640301433008)</f>
        <v>-0.94064030143300803</v>
      </c>
      <c r="HE4" s="3">
        <f ca="1">IFERROR(__xludf.DUMMYFUNCTION("""COMPUTED_VALUE"""),-0.927520346917217)</f>
        <v>-0.92752034691721696</v>
      </c>
      <c r="HF4" s="3">
        <f ca="1">IFERROR(__xludf.DUMMYFUNCTION("""COMPUTED_VALUE"""),-0.879631216381865)</f>
        <v>-0.87963121638186503</v>
      </c>
      <c r="HG4" s="3">
        <f ca="1">IFERROR(__xludf.DUMMYFUNCTION("""COMPUTED_VALUE"""),-0.891905950311725)</f>
        <v>-0.89190595031172504</v>
      </c>
      <c r="HH4" s="3">
        <f ca="1">IFERROR(__xludf.DUMMYFUNCTION("""COMPUTED_VALUE"""),-0.935947347597213)</f>
        <v>-0.93594734759721299</v>
      </c>
      <c r="HI4" s="3">
        <f ca="1">IFERROR(__xludf.DUMMYFUNCTION("""COMPUTED_VALUE"""),-0.938513692827634)</f>
        <v>-0.93851369282763397</v>
      </c>
      <c r="HJ4" s="3">
        <f ca="1">IFERROR(__xludf.DUMMYFUNCTION("""COMPUTED_VALUE"""),-0.924301994363758)</f>
        <v>-0.92430199436375804</v>
      </c>
      <c r="HK4" s="3">
        <f ca="1">IFERROR(__xludf.DUMMYFUNCTION("""COMPUTED_VALUE"""),-0.935431867346671)</f>
        <v>-0.93543186734667105</v>
      </c>
      <c r="HL4" s="3">
        <f ca="1">IFERROR(__xludf.DUMMYFUNCTION("""COMPUTED_VALUE"""),-0.957356714802065)</f>
        <v>-0.95735671480206497</v>
      </c>
      <c r="HM4" s="3">
        <f ca="1">IFERROR(__xludf.DUMMYFUNCTION("""COMPUTED_VALUE"""),-0.850590516570908)</f>
        <v>-0.85059051657090801</v>
      </c>
      <c r="HN4" s="3">
        <f ca="1">IFERROR(__xludf.DUMMYFUNCTION("""COMPUTED_VALUE"""),-0.87508642844414)</f>
        <v>-0.87508642844413997</v>
      </c>
      <c r="HO4" s="3">
        <f ca="1">IFERROR(__xludf.DUMMYFUNCTION("""COMPUTED_VALUE"""),-0.917054462131745)</f>
        <v>-0.91705446213174502</v>
      </c>
      <c r="HP4" s="3">
        <f ca="1">IFERROR(__xludf.DUMMYFUNCTION("""COMPUTED_VALUE"""),-0.923128209162339)</f>
        <v>-0.92312820916233895</v>
      </c>
      <c r="HQ4" s="3">
        <f ca="1">IFERROR(__xludf.DUMMYFUNCTION("""COMPUTED_VALUE"""),-0.904327656933284)</f>
        <v>-0.90432765693328399</v>
      </c>
      <c r="HR4" s="3">
        <f ca="1">IFERROR(__xludf.DUMMYFUNCTION("""COMPUTED_VALUE"""),-0.910814352785871)</f>
        <v>-0.91081435278587097</v>
      </c>
      <c r="HS4" s="3">
        <f ca="1">IFERROR(__xludf.DUMMYFUNCTION("""COMPUTED_VALUE"""),-0.844166064928737)</f>
        <v>-0.84416606492873703</v>
      </c>
      <c r="HT4" s="3">
        <f ca="1">IFERROR(__xludf.DUMMYFUNCTION("""COMPUTED_VALUE"""),-0.786130893370325)</f>
        <v>-0.78613089337032505</v>
      </c>
      <c r="HU4" s="3">
        <f ca="1">IFERROR(__xludf.DUMMYFUNCTION("""COMPUTED_VALUE"""),-0.853491883224379)</f>
        <v>-0.85349188322437897</v>
      </c>
      <c r="HV4" s="3">
        <f ca="1">IFERROR(__xludf.DUMMYFUNCTION("""COMPUTED_VALUE"""),-0.906446324843058)</f>
        <v>-0.90644632484305798</v>
      </c>
      <c r="HW4" s="3">
        <f ca="1">IFERROR(__xludf.DUMMYFUNCTION("""COMPUTED_VALUE"""),-0.909464775273805)</f>
        <v>-0.90946477527380498</v>
      </c>
      <c r="HX4" s="3">
        <f ca="1">IFERROR(__xludf.DUMMYFUNCTION("""COMPUTED_VALUE"""),-0.923613234268198)</f>
        <v>-0.92361323426819797</v>
      </c>
      <c r="HY4" s="3">
        <f ca="1">IFERROR(__xludf.DUMMYFUNCTION("""COMPUTED_VALUE"""),-0.92201327094962)</f>
        <v>-0.92201327094962005</v>
      </c>
      <c r="HZ4" s="3">
        <f ca="1">IFERROR(__xludf.DUMMYFUNCTION("""COMPUTED_VALUE"""),-0.814939226419982)</f>
        <v>-0.81493922641998195</v>
      </c>
      <c r="IA4" s="3">
        <f ca="1">IFERROR(__xludf.DUMMYFUNCTION("""COMPUTED_VALUE"""),-0.798639531491279)</f>
        <v>-0.79863953149127898</v>
      </c>
      <c r="IB4" s="3">
        <f ca="1">IFERROR(__xludf.DUMMYFUNCTION("""COMPUTED_VALUE"""),-0.866363826016874)</f>
        <v>-0.86636382601687401</v>
      </c>
      <c r="IC4" s="3">
        <f ca="1">IFERROR(__xludf.DUMMYFUNCTION("""COMPUTED_VALUE"""),-0.895276809563112)</f>
        <v>-0.89527680956311195</v>
      </c>
      <c r="ID4" s="3">
        <f ca="1">IFERROR(__xludf.DUMMYFUNCTION("""COMPUTED_VALUE"""),-0.894763712084784)</f>
        <v>-0.894763712084784</v>
      </c>
      <c r="IE4" s="3">
        <f ca="1">IFERROR(__xludf.DUMMYFUNCTION("""COMPUTED_VALUE"""),-0.914191535441273)</f>
        <v>-0.91419153544127296</v>
      </c>
      <c r="IF4" s="3">
        <f ca="1">IFERROR(__xludf.DUMMYFUNCTION("""COMPUTED_VALUE"""),-0.879945339881988)</f>
        <v>-0.87994533988198798</v>
      </c>
      <c r="IG4" s="3">
        <f ca="1">IFERROR(__xludf.DUMMYFUNCTION("""COMPUTED_VALUE"""),-0.884418989011665)</f>
        <v>-0.88441898901166505</v>
      </c>
      <c r="IH4" s="3">
        <f ca="1">IFERROR(__xludf.DUMMYFUNCTION("""COMPUTED_VALUE"""),-0.742342829507052)</f>
        <v>-0.74234282950705199</v>
      </c>
      <c r="II4" s="3">
        <f ca="1">IFERROR(__xludf.DUMMYFUNCTION("""COMPUTED_VALUE"""),-0.839825200938478)</f>
        <v>-0.83982520093847801</v>
      </c>
      <c r="IJ4" s="3">
        <f ca="1">IFERROR(__xludf.DUMMYFUNCTION("""COMPUTED_VALUE"""),-0.861745869979048)</f>
        <v>-0.86174586997904801</v>
      </c>
      <c r="IK4" s="3">
        <f ca="1">IFERROR(__xludf.DUMMYFUNCTION("""COMPUTED_VALUE"""),-0.889242756048407)</f>
        <v>-0.88924275604840697</v>
      </c>
      <c r="IL4" s="3">
        <f ca="1">IFERROR(__xludf.DUMMYFUNCTION("""COMPUTED_VALUE"""),-0.868610474261644)</f>
        <v>-0.86861047426164395</v>
      </c>
      <c r="IM4" s="3">
        <f ca="1">IFERROR(__xludf.DUMMYFUNCTION("""COMPUTED_VALUE"""),-0.878429924248732)</f>
        <v>-0.87842992424873201</v>
      </c>
      <c r="IN4" s="3">
        <f ca="1">IFERROR(__xludf.DUMMYFUNCTION("""COMPUTED_VALUE"""),-0.848914348883798)</f>
        <v>-0.84891434888379802</v>
      </c>
      <c r="IO4" s="3">
        <f ca="1">IFERROR(__xludf.DUMMYFUNCTION("""COMPUTED_VALUE"""),-0.726521290397776)</f>
        <v>-0.72652129039777602</v>
      </c>
      <c r="IP4" s="3">
        <f ca="1">IFERROR(__xludf.DUMMYFUNCTION("""COMPUTED_VALUE"""),-0.837670870545857)</f>
        <v>-0.83767087054585698</v>
      </c>
      <c r="IQ4" s="3">
        <f ca="1">IFERROR(__xludf.DUMMYFUNCTION("""COMPUTED_VALUE"""),-0.852737443757163)</f>
        <v>-0.85273744375716298</v>
      </c>
      <c r="IR4" s="3">
        <f ca="1">IFERROR(__xludf.DUMMYFUNCTION("""COMPUTED_VALUE"""),-0.839913383407059)</f>
        <v>-0.83991338340705901</v>
      </c>
      <c r="IS4" s="3">
        <f ca="1">IFERROR(__xludf.DUMMYFUNCTION("""COMPUTED_VALUE"""),-0.850781909665346)</f>
        <v>-0.85078190966534595</v>
      </c>
      <c r="IT4" s="3">
        <f ca="1">IFERROR(__xludf.DUMMYFUNCTION("""COMPUTED_VALUE"""),-0.798213433492625)</f>
        <v>-0.79821343349262497</v>
      </c>
      <c r="IU4" s="3">
        <f ca="1">IFERROR(__xludf.DUMMYFUNCTION("""COMPUTED_VALUE"""),-0.831398395970256)</f>
        <v>-0.831398395970256</v>
      </c>
      <c r="IV4" s="3">
        <f ca="1">IFERROR(__xludf.DUMMYFUNCTION("""COMPUTED_VALUE"""),-0.775753107556129)</f>
        <v>-0.77575310755612903</v>
      </c>
      <c r="IW4" s="3">
        <f ca="1">IFERROR(__xludf.DUMMYFUNCTION("""COMPUTED_VALUE"""),-0.73815639060717)</f>
        <v>-0.73815639060716998</v>
      </c>
      <c r="IX4" s="3">
        <f ca="1">IFERROR(__xludf.DUMMYFUNCTION("""COMPUTED_VALUE"""),-0.821780630700147)</f>
        <v>-0.82178063070014695</v>
      </c>
      <c r="IY4" s="3">
        <f ca="1">IFERROR(__xludf.DUMMYFUNCTION("""COMPUTED_VALUE"""),-0.838089538538065)</f>
        <v>-0.838089538538065</v>
      </c>
      <c r="IZ4" s="3">
        <f ca="1">IFERROR(__xludf.DUMMYFUNCTION("""COMPUTED_VALUE"""),-0.852804183513874)</f>
        <v>-0.85280418351387399</v>
      </c>
      <c r="JA4" s="3">
        <f ca="1">IFERROR(__xludf.DUMMYFUNCTION("""COMPUTED_VALUE"""),-0.848090050512112)</f>
        <v>-0.84809005051211195</v>
      </c>
      <c r="JB4" s="3">
        <f ca="1">IFERROR(__xludf.DUMMYFUNCTION("""COMPUTED_VALUE"""),-0.852906864477663)</f>
        <v>-0.85290686447766295</v>
      </c>
      <c r="JC4" s="3">
        <f ca="1">IFERROR(__xludf.DUMMYFUNCTION("""COMPUTED_VALUE"""),-0.76410883123049)</f>
        <v>-0.76410883123049</v>
      </c>
      <c r="JD4" s="3">
        <f ca="1">IFERROR(__xludf.DUMMYFUNCTION("""COMPUTED_VALUE"""),-0.753062483457116)</f>
        <v>-0.75306248345711602</v>
      </c>
      <c r="JE4" s="3">
        <f ca="1">IFERROR(__xludf.DUMMYFUNCTION("""COMPUTED_VALUE"""),-0.856016340221382)</f>
        <v>-0.85601634022138196</v>
      </c>
      <c r="JF4" s="3">
        <f ca="1">IFERROR(__xludf.DUMMYFUNCTION("""COMPUTED_VALUE"""),-0.868882481902063)</f>
        <v>-0.86888248190206296</v>
      </c>
      <c r="JG4" s="3">
        <f ca="1">IFERROR(__xludf.DUMMYFUNCTION("""COMPUTED_VALUE"""),-0.881307053051067)</f>
        <v>-0.88130705305106705</v>
      </c>
      <c r="JH4" s="3">
        <f ca="1">IFERROR(__xludf.DUMMYFUNCTION("""COMPUTED_VALUE"""),-0.838318526928987)</f>
        <v>-0.83831852692898701</v>
      </c>
      <c r="JI4" s="3">
        <f ca="1">IFERROR(__xludf.DUMMYFUNCTION("""COMPUTED_VALUE"""),-0.8485274467027)</f>
        <v>-0.84852744670269997</v>
      </c>
      <c r="JJ4" s="3">
        <f ca="1">IFERROR(__xludf.DUMMYFUNCTION("""COMPUTED_VALUE"""),-0.727688557685106)</f>
        <v>-0.72768855768510599</v>
      </c>
      <c r="JK4" s="3">
        <f ca="1">IFERROR(__xludf.DUMMYFUNCTION("""COMPUTED_VALUE"""),-0.739712872324283)</f>
        <v>-0.73971287232428296</v>
      </c>
      <c r="JL4" s="3">
        <f ca="1">IFERROR(__xludf.DUMMYFUNCTION("""COMPUTED_VALUE"""),-0.86758452096017)</f>
        <v>-0.86758452096017002</v>
      </c>
      <c r="JM4" s="3">
        <f ca="1">IFERROR(__xludf.DUMMYFUNCTION("""COMPUTED_VALUE"""),-0.878110149845725)</f>
        <v>-0.878110149845725</v>
      </c>
      <c r="JN4" s="3">
        <f ca="1">IFERROR(__xludf.DUMMYFUNCTION("""COMPUTED_VALUE"""),-0.861013845540474)</f>
        <v>-0.861013845540474</v>
      </c>
      <c r="JO4" s="3">
        <f ca="1">IFERROR(__xludf.DUMMYFUNCTION("""COMPUTED_VALUE"""),-0.83321937907176)</f>
        <v>-0.83321937907176002</v>
      </c>
      <c r="JP4" s="3">
        <f ca="1">IFERROR(__xludf.DUMMYFUNCTION("""COMPUTED_VALUE"""),-0.813629092213239)</f>
        <v>-0.81362909221323898</v>
      </c>
      <c r="JQ4" s="3">
        <f ca="1">IFERROR(__xludf.DUMMYFUNCTION("""COMPUTED_VALUE"""),-0.734668419978894)</f>
        <v>-0.73466841997889398</v>
      </c>
      <c r="JR4" s="3">
        <f ca="1">IFERROR(__xludf.DUMMYFUNCTION("""COMPUTED_VALUE"""),-0.777497822168338)</f>
        <v>-0.77749782216833796</v>
      </c>
      <c r="JS4" s="3">
        <f ca="1">IFERROR(__xludf.DUMMYFUNCTION("""COMPUTED_VALUE"""),-0.844794705125808)</f>
        <v>-0.84479470512580801</v>
      </c>
      <c r="JT4" s="3">
        <f ca="1">IFERROR(__xludf.DUMMYFUNCTION("""COMPUTED_VALUE"""),-0.754180166506804)</f>
        <v>-0.75418016650680397</v>
      </c>
      <c r="JU4" s="3">
        <f ca="1">IFERROR(__xludf.DUMMYFUNCTION("""COMPUTED_VALUE"""),-0.857530059419908)</f>
        <v>-0.85753005941990801</v>
      </c>
      <c r="JV4" s="3">
        <f ca="1">IFERROR(__xludf.DUMMYFUNCTION("""COMPUTED_VALUE"""),-0.848311349988334)</f>
        <v>-0.84831134998833402</v>
      </c>
      <c r="JW4" s="3">
        <f ca="1">IFERROR(__xludf.DUMMYFUNCTION("""COMPUTED_VALUE"""),-0.824081199035452)</f>
        <v>-0.82408119903545196</v>
      </c>
      <c r="JX4" s="3">
        <f ca="1">IFERROR(__xludf.DUMMYFUNCTION("""COMPUTED_VALUE"""),-0.751039115276998)</f>
        <v>-0.75103911527699796</v>
      </c>
      <c r="JY4" s="3">
        <f ca="1">IFERROR(__xludf.DUMMYFUNCTION("""COMPUTED_VALUE"""),-0.95990189685357)</f>
        <v>-0.95990189685356997</v>
      </c>
      <c r="JZ4" s="3">
        <f ca="1">IFERROR(__xludf.DUMMYFUNCTION("""COMPUTED_VALUE"""),-0.832634585061103)</f>
        <v>-0.83263458506110299</v>
      </c>
      <c r="KA4" s="3">
        <f ca="1">IFERROR(__xludf.DUMMYFUNCTION("""COMPUTED_VALUE"""),-0.752588137069585)</f>
        <v>-0.75258813706958505</v>
      </c>
      <c r="KB4" s="3">
        <f ca="1">IFERROR(__xludf.DUMMYFUNCTION("""COMPUTED_VALUE"""),-0.844985546029759)</f>
        <v>-0.84498554602975895</v>
      </c>
      <c r="KC4" s="3">
        <f ca="1">IFERROR(__xludf.DUMMYFUNCTION("""COMPUTED_VALUE"""),-0.824583920764454)</f>
        <v>-0.82458392076445397</v>
      </c>
      <c r="KD4" s="3">
        <f ca="1">IFERROR(__xludf.DUMMYFUNCTION("""COMPUTED_VALUE"""),-0.853743835171306)</f>
        <v>-0.85374383517130603</v>
      </c>
      <c r="KE4" s="3">
        <f ca="1">IFERROR(__xludf.DUMMYFUNCTION("""COMPUTED_VALUE"""),-0.6463340160868)</f>
        <v>-0.64633401608679997</v>
      </c>
      <c r="KF4" s="3">
        <f ca="1">IFERROR(__xludf.DUMMYFUNCTION("""COMPUTED_VALUE"""),-0.745196890409461)</f>
        <v>-0.74519689040946102</v>
      </c>
      <c r="KG4" s="3">
        <f ca="1">IFERROR(__xludf.DUMMYFUNCTION("""COMPUTED_VALUE"""),-0.805575179788208)</f>
        <v>-0.80557517978820803</v>
      </c>
      <c r="KH4" s="3">
        <f ca="1">IFERROR(__xludf.DUMMYFUNCTION("""COMPUTED_VALUE"""),-0.814043806279144)</f>
        <v>-0.81404380627914397</v>
      </c>
      <c r="KI4" s="3">
        <f ca="1">IFERROR(__xludf.DUMMYFUNCTION("""COMPUTED_VALUE"""),-0.857938999155271)</f>
        <v>-0.85793899915527105</v>
      </c>
      <c r="KJ4" s="3">
        <f ca="1">IFERROR(__xludf.DUMMYFUNCTION("""COMPUTED_VALUE"""),-0.834069053081911)</f>
        <v>-0.83406905308191104</v>
      </c>
      <c r="KK4" s="3">
        <f ca="1">IFERROR(__xludf.DUMMYFUNCTION("""COMPUTED_VALUE"""),-0.836161112238605)</f>
        <v>-0.83616111223860501</v>
      </c>
      <c r="KL4" s="3">
        <f ca="1">IFERROR(__xludf.DUMMYFUNCTION("""COMPUTED_VALUE"""),-0.694636930939096)</f>
        <v>-0.69463693093909595</v>
      </c>
      <c r="KM4" s="3">
        <f ca="1">IFERROR(__xludf.DUMMYFUNCTION("""COMPUTED_VALUE"""),-0.714985115807533)</f>
        <v>-0.71498511580753299</v>
      </c>
      <c r="KN4" s="3">
        <f ca="1">IFERROR(__xludf.DUMMYFUNCTION("""COMPUTED_VALUE"""),-0.85227460161918)</f>
        <v>-0.85227460161918001</v>
      </c>
      <c r="KO4" s="3">
        <f ca="1">IFERROR(__xludf.DUMMYFUNCTION("""COMPUTED_VALUE"""),-0.861723845959083)</f>
        <v>-0.86172384595908302</v>
      </c>
      <c r="KP4" s="3">
        <f ca="1">IFERROR(__xludf.DUMMYFUNCTION("""COMPUTED_VALUE"""),-0.869587727369345)</f>
        <v>-0.86958772736934498</v>
      </c>
      <c r="KQ4" s="3">
        <f ca="1">IFERROR(__xludf.DUMMYFUNCTION("""COMPUTED_VALUE"""),-0.881893335181391)</f>
        <v>-0.88189333518139101</v>
      </c>
      <c r="KR4" s="3">
        <f ca="1">IFERROR(__xludf.DUMMYFUNCTION("""COMPUTED_VALUE"""),-0.89348689312692)</f>
        <v>-0.89348689312691998</v>
      </c>
      <c r="KS4" s="3">
        <f ca="1">IFERROR(__xludf.DUMMYFUNCTION("""COMPUTED_VALUE"""),-0.748245174197968)</f>
        <v>-0.74824517419796799</v>
      </c>
      <c r="KT4" s="3">
        <f ca="1">IFERROR(__xludf.DUMMYFUNCTION("""COMPUTED_VALUE"""),-0.776694980772089)</f>
        <v>-0.77669498077208898</v>
      </c>
      <c r="KU4" s="3">
        <f ca="1">IFERROR(__xludf.DUMMYFUNCTION("""COMPUTED_VALUE"""),-0.876185471748154)</f>
        <v>-0.87618547174815398</v>
      </c>
      <c r="KV4" s="3">
        <f ca="1">IFERROR(__xludf.DUMMYFUNCTION("""COMPUTED_VALUE"""),-0.906333540678874)</f>
        <v>-0.90633354067887395</v>
      </c>
      <c r="KW4" s="3">
        <f ca="1">IFERROR(__xludf.DUMMYFUNCTION("""COMPUTED_VALUE"""),-0.884414893043662)</f>
        <v>-0.88441489304366205</v>
      </c>
      <c r="KX4" s="3">
        <f ca="1">IFERROR(__xludf.DUMMYFUNCTION("""COMPUTED_VALUE"""),-0.881890652694833)</f>
        <v>-0.88189065269483302</v>
      </c>
      <c r="KY4" s="3">
        <f ca="1">IFERROR(__xludf.DUMMYFUNCTION("""COMPUTED_VALUE"""),-0.855789394940386)</f>
        <v>-0.85578939494038597</v>
      </c>
      <c r="KZ4" s="3">
        <f ca="1">IFERROR(__xludf.DUMMYFUNCTION("""COMPUTED_VALUE"""),-0.762837139701318)</f>
        <v>-0.76283713970131795</v>
      </c>
      <c r="LA4" s="3">
        <f ca="1">IFERROR(__xludf.DUMMYFUNCTION("""COMPUTED_VALUE"""),-0.818583959860375)</f>
        <v>-0.81858395986037502</v>
      </c>
      <c r="LB4" s="3">
        <f ca="1">IFERROR(__xludf.DUMMYFUNCTION("""COMPUTED_VALUE"""),-0.915719499247975)</f>
        <v>-0.91571949924797502</v>
      </c>
      <c r="LC4" s="3">
        <f ca="1">IFERROR(__xludf.DUMMYFUNCTION("""COMPUTED_VALUE"""),-0.904106686572366)</f>
        <v>-0.90410668657236604</v>
      </c>
      <c r="LD4" s="3">
        <f ca="1">IFERROR(__xludf.DUMMYFUNCTION("""COMPUTED_VALUE"""),-0.93142594743151)</f>
        <v>-0.93142594743150997</v>
      </c>
      <c r="LE4" s="3">
        <f ca="1">IFERROR(__xludf.DUMMYFUNCTION("""COMPUTED_VALUE"""),-0.913291981654123)</f>
        <v>-0.91329198165412295</v>
      </c>
      <c r="LF4" s="3">
        <f ca="1">IFERROR(__xludf.DUMMYFUNCTION("""COMPUTED_VALUE"""),-0.870377220646153)</f>
        <v>-0.87037722064615297</v>
      </c>
      <c r="LG4" s="3">
        <f ca="1">IFERROR(__xludf.DUMMYFUNCTION("""COMPUTED_VALUE"""),-0.73570179996204)</f>
        <v>-0.73570179996203999</v>
      </c>
      <c r="LH4" s="3">
        <f ca="1">IFERROR(__xludf.DUMMYFUNCTION("""COMPUTED_VALUE"""),-0.860397335756948)</f>
        <v>-0.86039733575694799</v>
      </c>
      <c r="LI4" s="3">
        <f ca="1">IFERROR(__xludf.DUMMYFUNCTION("""COMPUTED_VALUE"""),-0.897785472355133)</f>
        <v>-0.89778547235513295</v>
      </c>
      <c r="LJ4" s="3">
        <f ca="1">IFERROR(__xludf.DUMMYFUNCTION("""COMPUTED_VALUE"""),-0.915586204224116)</f>
        <v>-0.91558620422411596</v>
      </c>
      <c r="LK4" s="3">
        <f ca="1">IFERROR(__xludf.DUMMYFUNCTION("""COMPUTED_VALUE"""),-0.934224706315285)</f>
        <v>-0.93422470631528498</v>
      </c>
      <c r="LL4" s="3">
        <f ca="1">IFERROR(__xludf.DUMMYFUNCTION("""COMPUTED_VALUE"""),-0.933906429853782)</f>
        <v>-0.93390642985378203</v>
      </c>
      <c r="LM4" s="3">
        <f ca="1">IFERROR(__xludf.DUMMYFUNCTION("""COMPUTED_VALUE"""),-0.977277314987183)</f>
        <v>-0.97727731498718295</v>
      </c>
      <c r="LN4" s="3">
        <f ca="1">IFERROR(__xludf.DUMMYFUNCTION("""COMPUTED_VALUE"""),-0.816213101306312)</f>
        <v>-0.81621310130631197</v>
      </c>
      <c r="LO4" s="3">
        <f ca="1">IFERROR(__xludf.DUMMYFUNCTION("""COMPUTED_VALUE"""),-0.855633146837427)</f>
        <v>-0.85563314683742697</v>
      </c>
      <c r="LP4" s="3">
        <f ca="1">IFERROR(__xludf.DUMMYFUNCTION("""COMPUTED_VALUE"""),-0.914234407248791)</f>
        <v>-0.91423440724879101</v>
      </c>
      <c r="LQ4" s="3">
        <f ca="1">IFERROR(__xludf.DUMMYFUNCTION("""COMPUTED_VALUE"""),-0.931667370526429)</f>
        <v>-0.93166737052642901</v>
      </c>
      <c r="LR4" s="3">
        <f ca="1">IFERROR(__xludf.DUMMYFUNCTION("""COMPUTED_VALUE"""),-0.943476948434593)</f>
        <v>-0.94347694843459295</v>
      </c>
      <c r="LS4" s="3">
        <f ca="1">IFERROR(__xludf.DUMMYFUNCTION("""COMPUTED_VALUE"""),-0.930068286135779)</f>
        <v>-0.93006828613577897</v>
      </c>
      <c r="LT4" s="3">
        <f ca="1">IFERROR(__xludf.DUMMYFUNCTION("""COMPUTED_VALUE"""),-0.921280054053361)</f>
        <v>-0.921280054053361</v>
      </c>
      <c r="LU4" s="3">
        <f ca="1">IFERROR(__xludf.DUMMYFUNCTION("""COMPUTED_VALUE"""),-0.850609392057997)</f>
        <v>-0.85060939205799702</v>
      </c>
      <c r="LV4" s="3">
        <f ca="1">IFERROR(__xludf.DUMMYFUNCTION("""COMPUTED_VALUE"""),-0.883244214176718)</f>
        <v>-0.88324421417671795</v>
      </c>
      <c r="LW4" s="3">
        <f ca="1">IFERROR(__xludf.DUMMYFUNCTION("""COMPUTED_VALUE"""),-0.936852795296681)</f>
        <v>-0.93685279529668097</v>
      </c>
      <c r="LX4" s="3">
        <f ca="1">IFERROR(__xludf.DUMMYFUNCTION("""COMPUTED_VALUE"""),-0.956145114018232)</f>
        <v>-0.95614511401823199</v>
      </c>
      <c r="LY4" s="3">
        <f ca="1">IFERROR(__xludf.DUMMYFUNCTION("""COMPUTED_VALUE"""),-0.92856285369927)</f>
        <v>-0.92856285369927005</v>
      </c>
      <c r="LZ4" s="3">
        <f ca="1">IFERROR(__xludf.DUMMYFUNCTION("""COMPUTED_VALUE"""),-0.919751306515597)</f>
        <v>-0.919751306515597</v>
      </c>
      <c r="MA4" s="3">
        <f ca="1">IFERROR(__xludf.DUMMYFUNCTION("""COMPUTED_VALUE"""),-0.949432369233598)</f>
        <v>-0.94943236923359797</v>
      </c>
      <c r="MB4" s="3">
        <f ca="1">IFERROR(__xludf.DUMMYFUNCTION("""COMPUTED_VALUE"""),-0.863098200366751)</f>
        <v>-0.863098200366751</v>
      </c>
      <c r="MC4" s="3">
        <f ca="1">IFERROR(__xludf.DUMMYFUNCTION("""COMPUTED_VALUE"""),-0.873686275530537)</f>
        <v>-0.87368627553053702</v>
      </c>
      <c r="MD4" s="3">
        <f ca="1">IFERROR(__xludf.DUMMYFUNCTION("""COMPUTED_VALUE"""),-0.9457967822668)</f>
        <v>-0.94579678226679997</v>
      </c>
      <c r="ME4" s="3">
        <f ca="1">IFERROR(__xludf.DUMMYFUNCTION("""COMPUTED_VALUE"""),-0.930285664977088)</f>
        <v>-0.93028566497708798</v>
      </c>
      <c r="MF4" s="3">
        <f ca="1">IFERROR(__xludf.DUMMYFUNCTION("""COMPUTED_VALUE"""),-0.920307904906278)</f>
        <v>-0.92030790490627801</v>
      </c>
      <c r="MG4" s="3">
        <f ca="1">IFERROR(__xludf.DUMMYFUNCTION("""COMPUTED_VALUE"""),-0.950127989867037)</f>
        <v>-0.95012798986703695</v>
      </c>
      <c r="MH4" s="3">
        <f ca="1">IFERROR(__xludf.DUMMYFUNCTION("""COMPUTED_VALUE"""),-0.934209839131937)</f>
        <v>-0.934209839131937</v>
      </c>
      <c r="MI4" s="3">
        <f ca="1">IFERROR(__xludf.DUMMYFUNCTION("""COMPUTED_VALUE"""),-0.818060896456442)</f>
        <v>-0.81806089645644198</v>
      </c>
      <c r="MJ4" s="3">
        <f ca="1">IFERROR(__xludf.DUMMYFUNCTION("""COMPUTED_VALUE"""),-0.873005183868542)</f>
        <v>-0.87300518386854198</v>
      </c>
      <c r="MK4" s="3">
        <f ca="1">IFERROR(__xludf.DUMMYFUNCTION("""COMPUTED_VALUE"""),-0.898219301242398)</f>
        <v>-0.89821930124239802</v>
      </c>
      <c r="ML4" s="3">
        <f ca="1">IFERROR(__xludf.DUMMYFUNCTION("""COMPUTED_VALUE"""),-0.941290011629373)</f>
        <v>-0.94129001162937298</v>
      </c>
      <c r="MM4" s="3">
        <f ca="1">IFERROR(__xludf.DUMMYFUNCTION("""COMPUTED_VALUE"""),-0.929572998768078)</f>
        <v>-0.92957299876807797</v>
      </c>
      <c r="MN4" s="3">
        <f ca="1">IFERROR(__xludf.DUMMYFUNCTION("""COMPUTED_VALUE"""),-0.957005329935826)</f>
        <v>-0.95700532993582599</v>
      </c>
      <c r="MO4" s="3">
        <f ca="1">IFERROR(__xludf.DUMMYFUNCTION("""COMPUTED_VALUE"""),-0.962733935520931)</f>
        <v>-0.96273393552093101</v>
      </c>
      <c r="MP4" s="3">
        <f ca="1">IFERROR(__xludf.DUMMYFUNCTION("""COMPUTED_VALUE"""),-0.820803706258007)</f>
        <v>-0.82080370625800703</v>
      </c>
      <c r="MQ4" s="3">
        <f ca="1">IFERROR(__xludf.DUMMYFUNCTION("""COMPUTED_VALUE"""),-0.921138363095738)</f>
        <v>-0.92113836309573804</v>
      </c>
      <c r="MR4" s="3">
        <f ca="1">IFERROR(__xludf.DUMMYFUNCTION("""COMPUTED_VALUE"""),-0.945264052774709)</f>
        <v>-0.94526405277470904</v>
      </c>
      <c r="MS4" s="3">
        <f ca="1">IFERROR(__xludf.DUMMYFUNCTION("""COMPUTED_VALUE"""),-0.970041388329656)</f>
        <v>-0.97004138832965603</v>
      </c>
      <c r="MT4" s="3">
        <f ca="1">IFERROR(__xludf.DUMMYFUNCTION("""COMPUTED_VALUE"""),-0.964589532049667)</f>
        <v>-0.96458953204966702</v>
      </c>
      <c r="MU4" s="3">
        <f ca="1">IFERROR(__xludf.DUMMYFUNCTION("""COMPUTED_VALUE"""),-0.95546006272739)</f>
        <v>-0.95546006272739004</v>
      </c>
      <c r="MV4" s="3">
        <f ca="1">IFERROR(__xludf.DUMMYFUNCTION("""COMPUTED_VALUE"""),-0.9667587398267)</f>
        <v>-0.96675873982670002</v>
      </c>
      <c r="MW4" s="3">
        <f ca="1">IFERROR(__xludf.DUMMYFUNCTION("""COMPUTED_VALUE"""),-0.869615378033305)</f>
        <v>-0.86961537803330502</v>
      </c>
      <c r="MX4" s="3">
        <f ca="1">IFERROR(__xludf.DUMMYFUNCTION("""COMPUTED_VALUE"""),-0.917764332139659)</f>
        <v>-0.91776433213965902</v>
      </c>
      <c r="MY4" s="3">
        <f ca="1">IFERROR(__xludf.DUMMYFUNCTION("""COMPUTED_VALUE"""),-0.9569997358617)</f>
        <v>-0.95699973586169995</v>
      </c>
      <c r="MZ4" s="3">
        <f ca="1">IFERROR(__xludf.DUMMYFUNCTION("""COMPUTED_VALUE"""),-0.965802704813747)</f>
        <v>-0.96580270481374697</v>
      </c>
      <c r="NA4" s="3">
        <f ca="1">IFERROR(__xludf.DUMMYFUNCTION("""COMPUTED_VALUE"""),-0.978181478451498)</f>
        <v>-0.97818147845149805</v>
      </c>
      <c r="NB4" s="3">
        <f ca="1">IFERROR(__xludf.DUMMYFUNCTION("""COMPUTED_VALUE"""),-0.953204013684026)</f>
        <v>-0.95320401368402596</v>
      </c>
      <c r="NC4" s="3">
        <f ca="1">IFERROR(__xludf.DUMMYFUNCTION("""COMPUTED_VALUE"""),-0.969775835511513)</f>
        <v>-0.96977583551151303</v>
      </c>
      <c r="ND4" s="3">
        <f ca="1">IFERROR(__xludf.DUMMYFUNCTION("""COMPUTED_VALUE"""),-0.942612282158442)</f>
        <v>-0.94261228215844195</v>
      </c>
      <c r="NE4" s="3">
        <f ca="1">IFERROR(__xludf.DUMMYFUNCTION("""COMPUTED_VALUE"""),-0.923325746341625)</f>
        <v>-0.92332574634162501</v>
      </c>
      <c r="NF4" s="3">
        <f ca="1">IFERROR(__xludf.DUMMYFUNCTION("""COMPUTED_VALUE"""),-0.943307341456467)</f>
        <v>-0.943307341456467</v>
      </c>
      <c r="NG4" s="3">
        <f ca="1">IFERROR(__xludf.DUMMYFUNCTION("""COMPUTED_VALUE"""),-0.960801485655762)</f>
        <v>-0.96080148565576196</v>
      </c>
      <c r="NH4" s="3">
        <f ca="1">IFERROR(__xludf.DUMMYFUNCTION("""COMPUTED_VALUE"""),-0.95746113887961)</f>
        <v>-0.95746113887961004</v>
      </c>
      <c r="NI4" s="3">
        <f ca="1">IFERROR(__xludf.DUMMYFUNCTION("""COMPUTED_VALUE"""),-0.959361694180647)</f>
        <v>-0.95936169418064698</v>
      </c>
      <c r="NJ4" s="3">
        <f ca="1">IFERROR(__xludf.DUMMYFUNCTION("""COMPUTED_VALUE"""),-0.951766139449113)</f>
        <v>-0.95176613944911304</v>
      </c>
      <c r="NK4" s="3">
        <f ca="1">IFERROR(__xludf.DUMMYFUNCTION("""COMPUTED_VALUE"""),-0.857835860817051)</f>
        <v>-0.85783586081705099</v>
      </c>
      <c r="NL4" s="3">
        <f ca="1">IFERROR(__xludf.DUMMYFUNCTION("""COMPUTED_VALUE"""),-0.913862980825199)</f>
        <v>-0.91386298082519901</v>
      </c>
      <c r="NM4" s="3">
        <f ca="1">IFERROR(__xludf.DUMMYFUNCTION("""COMPUTED_VALUE"""),-0.939729059394797)</f>
        <v>-0.93972905939479701</v>
      </c>
      <c r="NN4" s="3">
        <f ca="1">IFERROR(__xludf.DUMMYFUNCTION("""COMPUTED_VALUE"""),-0.933210916241444)</f>
        <v>-0.93321091624144403</v>
      </c>
      <c r="NO4" s="3">
        <f ca="1">IFERROR(__xludf.DUMMYFUNCTION("""COMPUTED_VALUE"""),-0.939488742141882)</f>
        <v>-0.93948874214188205</v>
      </c>
      <c r="NP4" s="3">
        <f ca="1">IFERROR(__xludf.DUMMYFUNCTION("""COMPUTED_VALUE"""),-0.933672781605539)</f>
        <v>-0.93367278160553902</v>
      </c>
      <c r="NQ4" s="3">
        <f ca="1">IFERROR(__xludf.DUMMYFUNCTION("""COMPUTED_VALUE"""),-0.950308978421237)</f>
        <v>-0.95030897842123696</v>
      </c>
      <c r="NR4" s="3">
        <f ca="1">IFERROR(__xludf.DUMMYFUNCTION("""COMPUTED_VALUE"""),-0.886420909953929)</f>
        <v>-0.88642090995392897</v>
      </c>
      <c r="NS4" s="3">
        <f ca="1">IFERROR(__xludf.DUMMYFUNCTION("""COMPUTED_VALUE"""),-0.902224667907937)</f>
        <v>-0.90222466790793698</v>
      </c>
      <c r="NT4" s="3">
        <f ca="1">IFERROR(__xludf.DUMMYFUNCTION("""COMPUTED_VALUE"""),-0.912223664948952)</f>
        <v>-0.91222366494895202</v>
      </c>
      <c r="NU4" s="3">
        <f ca="1">IFERROR(__xludf.DUMMYFUNCTION("""COMPUTED_VALUE"""),-0.877328262415317)</f>
        <v>-0.87732826241531703</v>
      </c>
      <c r="NV4" s="3">
        <f ca="1">IFERROR(__xludf.DUMMYFUNCTION("""COMPUTED_VALUE"""),-0.914249645712365)</f>
        <v>-0.914249645712365</v>
      </c>
      <c r="NW4" s="3">
        <f ca="1">IFERROR(__xludf.DUMMYFUNCTION("""COMPUTED_VALUE"""),-0.907002508521997)</f>
        <v>-0.90700250852199704</v>
      </c>
      <c r="NX4" s="3">
        <f ca="1">IFERROR(__xludf.DUMMYFUNCTION("""COMPUTED_VALUE"""),-0.888717484525493)</f>
        <v>-0.88871748452549304</v>
      </c>
      <c r="NY4" s="3">
        <f ca="1">IFERROR(__xludf.DUMMYFUNCTION("""COMPUTED_VALUE"""),-0.81504747693619)</f>
        <v>-0.81504747693618995</v>
      </c>
      <c r="NZ4" s="3">
        <f ca="1">IFERROR(__xludf.DUMMYFUNCTION("""COMPUTED_VALUE"""),-0.771733695455053)</f>
        <v>-0.77173369545505299</v>
      </c>
      <c r="OA4" s="3">
        <f ca="1">IFERROR(__xludf.DUMMYFUNCTION("""COMPUTED_VALUE"""),-0.843074799215799)</f>
        <v>-0.84307479921579898</v>
      </c>
      <c r="OB4" s="3">
        <f ca="1">IFERROR(__xludf.DUMMYFUNCTION("""COMPUTED_VALUE"""),-0.83763790071218)</f>
        <v>-0.83763790071218003</v>
      </c>
      <c r="OC4" s="3">
        <f ca="1">IFERROR(__xludf.DUMMYFUNCTION("""COMPUTED_VALUE"""),-0.816682472355251)</f>
        <v>-0.81668247235525104</v>
      </c>
      <c r="OD4" s="3">
        <f ca="1">IFERROR(__xludf.DUMMYFUNCTION("""COMPUTED_VALUE"""),-0.790860552898189)</f>
        <v>-0.79086055289818902</v>
      </c>
      <c r="OE4" s="3">
        <f ca="1">IFERROR(__xludf.DUMMYFUNCTION("""COMPUTED_VALUE"""),-0.782869041706498)</f>
        <v>-0.78286904170649796</v>
      </c>
      <c r="OF4" s="3">
        <f ca="1">IFERROR(__xludf.DUMMYFUNCTION("""COMPUTED_VALUE"""),-0.574394017280573)</f>
        <v>-0.57439401728057304</v>
      </c>
      <c r="OG4" s="3">
        <f ca="1">IFERROR(__xludf.DUMMYFUNCTION("""COMPUTED_VALUE"""),-0.565168334489949)</f>
        <v>-0.56516833448994896</v>
      </c>
      <c r="OH4" s="3">
        <f ca="1">IFERROR(__xludf.DUMMYFUNCTION("""COMPUTED_VALUE"""),-0.479930005013576)</f>
        <v>-0.47993000501357602</v>
      </c>
      <c r="OI4" s="3">
        <f ca="1">IFERROR(__xludf.DUMMYFUNCTION("""COMPUTED_VALUE"""),-0.441131204292185)</f>
        <v>-0.441131204292185</v>
      </c>
      <c r="OJ4" s="3">
        <f ca="1">IFERROR(__xludf.DUMMYFUNCTION("""COMPUTED_VALUE"""),-0.128082423571481)</f>
        <v>-0.128082423571481</v>
      </c>
      <c r="OK4" s="3">
        <f ca="1">IFERROR(__xludf.DUMMYFUNCTION("""COMPUTED_VALUE"""),0.0286232604985319)</f>
        <v>2.8623260498531901E-2</v>
      </c>
      <c r="OL4" s="3">
        <f ca="1">IFERROR(__xludf.DUMMYFUNCTION("""COMPUTED_VALUE"""),-0.0881029244608598)</f>
        <v>-8.8102924460859794E-2</v>
      </c>
      <c r="OM4" s="3">
        <f ca="1">IFERROR(__xludf.DUMMYFUNCTION("""COMPUTED_VALUE"""),-0.00274980751117981)</f>
        <v>-2.7498075111798098E-3</v>
      </c>
      <c r="ON4" s="3">
        <f ca="1">IFERROR(__xludf.DUMMYFUNCTION("""COMPUTED_VALUE"""),-0.0905252763735198)</f>
        <v>-9.05252763735198E-2</v>
      </c>
      <c r="OO4" s="3">
        <f ca="1">IFERROR(__xludf.DUMMYFUNCTION("""COMPUTED_VALUE"""),-0.299505926411123)</f>
        <v>-0.299505926411123</v>
      </c>
      <c r="OP4" s="3">
        <f ca="1">IFERROR(__xludf.DUMMYFUNCTION("""COMPUTED_VALUE"""),-0.336400187895989)</f>
        <v>-0.33640018789598902</v>
      </c>
      <c r="OQ4" s="3">
        <f ca="1">IFERROR(__xludf.DUMMYFUNCTION("""COMPUTED_VALUE"""),-0.248779223871015)</f>
        <v>-0.248779223871015</v>
      </c>
      <c r="OR4" s="3">
        <f ca="1">IFERROR(__xludf.DUMMYFUNCTION("""COMPUTED_VALUE"""),-0.239090706993654)</f>
        <v>-0.23909070699365401</v>
      </c>
      <c r="OS4" s="3">
        <f ca="1">IFERROR(__xludf.DUMMYFUNCTION("""COMPUTED_VALUE"""),-0.267450476128394)</f>
        <v>-0.26745047612839401</v>
      </c>
      <c r="OT4" s="3">
        <f ca="1">IFERROR(__xludf.DUMMYFUNCTION("""COMPUTED_VALUE"""),0.0660795856822735)</f>
        <v>6.6079585682273498E-2</v>
      </c>
      <c r="OU4" s="3">
        <f ca="1">IFERROR(__xludf.DUMMYFUNCTION("""COMPUTED_VALUE"""),0.0909594417978147)</f>
        <v>9.0959441797814705E-2</v>
      </c>
      <c r="OV4" s="3">
        <f ca="1">IFERROR(__xludf.DUMMYFUNCTION("""COMPUTED_VALUE"""),0.0675540439042932)</f>
        <v>6.7554043904293204E-2</v>
      </c>
      <c r="OW4" s="3">
        <f ca="1">IFERROR(__xludf.DUMMYFUNCTION("""COMPUTED_VALUE"""),0.067221504459753)</f>
        <v>6.7221504459753001E-2</v>
      </c>
      <c r="OX4" s="3">
        <f ca="1">IFERROR(__xludf.DUMMYFUNCTION("""COMPUTED_VALUE"""),0.192532506594057)</f>
        <v>0.19253250659405699</v>
      </c>
      <c r="OY4" s="3">
        <f ca="1">IFERROR(__xludf.DUMMYFUNCTION("""COMPUTED_VALUE"""),0.0880701971100019)</f>
        <v>8.8070197110001899E-2</v>
      </c>
      <c r="OZ4" s="3">
        <f ca="1">IFERROR(__xludf.DUMMYFUNCTION("""COMPUTED_VALUE"""),0.00634987638992545)</f>
        <v>6.3498763899254504E-3</v>
      </c>
      <c r="PA4" s="3">
        <f ca="1">IFERROR(__xludf.DUMMYFUNCTION("""COMPUTED_VALUE"""),0.272187762156368)</f>
        <v>0.27218776215636797</v>
      </c>
      <c r="PB4" s="3">
        <f ca="1">IFERROR(__xludf.DUMMYFUNCTION("""COMPUTED_VALUE"""),0.142323700304899)</f>
        <v>0.14232370030489899</v>
      </c>
      <c r="PC4" s="3">
        <f ca="1">IFERROR(__xludf.DUMMYFUNCTION("""COMPUTED_VALUE"""),0.0754494765141551)</f>
        <v>7.5449476514155095E-2</v>
      </c>
      <c r="PD4" s="3">
        <f ca="1">IFERROR(__xludf.DUMMYFUNCTION("""COMPUTED_VALUE"""),-0.0323773870907111)</f>
        <v>-3.2377387090711099E-2</v>
      </c>
      <c r="PE4" s="3">
        <f ca="1">IFERROR(__xludf.DUMMYFUNCTION("""COMPUTED_VALUE"""),-0.018931071268847)</f>
        <v>-1.8931071268847001E-2</v>
      </c>
      <c r="PF4" s="3">
        <f ca="1">IFERROR(__xludf.DUMMYFUNCTION("""COMPUTED_VALUE"""),-0.0271368856372656)</f>
        <v>-2.7136885637265601E-2</v>
      </c>
      <c r="PG4" s="3">
        <f ca="1">IFERROR(__xludf.DUMMYFUNCTION("""COMPUTED_VALUE"""),-0.0617347770212853)</f>
        <v>-6.1734777021285298E-2</v>
      </c>
      <c r="PH4" s="3">
        <f ca="1">IFERROR(__xludf.DUMMYFUNCTION("""COMPUTED_VALUE"""),0.206483591823631)</f>
        <v>0.20648359182363099</v>
      </c>
      <c r="PI4" s="3">
        <f ca="1">IFERROR(__xludf.DUMMYFUNCTION("""COMPUTED_VALUE"""),0.110352620933196)</f>
        <v>0.11035262093319601</v>
      </c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</row>
    <row r="5" spans="1:477" ht="15.75" customHeight="1">
      <c r="A5" s="1" t="str">
        <f ca="1">IFERROR(__xludf.DUMMYFUNCTION("""COMPUTED_VALUE"""),"MARTA")</f>
        <v>MARTA</v>
      </c>
      <c r="B5" s="1" t="str">
        <f ca="1">IFERROR(__xludf.DUMMYFUNCTION("""COMPUTED_VALUE"""),"Atlanta")</f>
        <v>Atlanta</v>
      </c>
      <c r="C5" s="1" t="str">
        <f ca="1">IFERROR(__xludf.DUMMYFUNCTION("""COMPUTED_VALUE"""),"United States")</f>
        <v>United States</v>
      </c>
      <c r="D5" s="1" t="str">
        <f ca="1">IFERROR(__xludf.DUMMYFUNCTION("""COMPUTED_VALUE"""),"Georgia")</f>
        <v>Georgia</v>
      </c>
      <c r="E5" s="3">
        <f ca="1">IFERROR(__xludf.DUMMYFUNCTION("""COMPUTED_VALUE"""),-0.476312034377197)</f>
        <v>-0.47631203437719699</v>
      </c>
      <c r="F5" s="3">
        <f ca="1">IFERROR(__xludf.DUMMYFUNCTION("""COMPUTED_VALUE"""),-0.524038032920655)</f>
        <v>-0.52403803292065498</v>
      </c>
      <c r="G5" s="3">
        <f ca="1">IFERROR(__xludf.DUMMYFUNCTION("""COMPUTED_VALUE"""),-0.611180002691346)</f>
        <v>-0.61118000269134598</v>
      </c>
      <c r="H5" s="3">
        <f ca="1">IFERROR(__xludf.DUMMYFUNCTION("""COMPUTED_VALUE"""),-0.607076447966453)</f>
        <v>-0.60707644796645299</v>
      </c>
      <c r="I5" s="3">
        <f ca="1">IFERROR(__xludf.DUMMYFUNCTION("""COMPUTED_VALUE"""),-0.530055042475919)</f>
        <v>-0.53005504247591895</v>
      </c>
      <c r="J5" s="3">
        <f ca="1">IFERROR(__xludf.DUMMYFUNCTION("""COMPUTED_VALUE"""),-0.554170900231208)</f>
        <v>-0.55417090023120796</v>
      </c>
      <c r="K5" s="3">
        <f ca="1">IFERROR(__xludf.DUMMYFUNCTION("""COMPUTED_VALUE"""),-0.552923073812423)</f>
        <v>-0.552923073812423</v>
      </c>
      <c r="L5" s="3">
        <f ca="1">IFERROR(__xludf.DUMMYFUNCTION("""COMPUTED_VALUE"""),-0.515163930100084)</f>
        <v>-0.51516393010008399</v>
      </c>
      <c r="M5" s="3">
        <f ca="1">IFERROR(__xludf.DUMMYFUNCTION("""COMPUTED_VALUE"""),-0.56169802537038)</f>
        <v>-0.56169802537038005</v>
      </c>
      <c r="N5" s="3">
        <f ca="1">IFERROR(__xludf.DUMMYFUNCTION("""COMPUTED_VALUE"""),-0.535898819459648)</f>
        <v>-0.53589881945964801</v>
      </c>
      <c r="O5" s="3">
        <f ca="1">IFERROR(__xludf.DUMMYFUNCTION("""COMPUTED_VALUE"""),-0.660323908415082)</f>
        <v>-0.66032390841508204</v>
      </c>
      <c r="P5" s="3">
        <f ca="1">IFERROR(__xludf.DUMMYFUNCTION("""COMPUTED_VALUE"""),-0.575861705829746)</f>
        <v>-0.57586170582974605</v>
      </c>
      <c r="Q5" s="3">
        <f ca="1">IFERROR(__xludf.DUMMYFUNCTION("""COMPUTED_VALUE"""),-0.602479425950935)</f>
        <v>-0.60247942595093495</v>
      </c>
      <c r="R5" s="3">
        <f ca="1">IFERROR(__xludf.DUMMYFUNCTION("""COMPUTED_VALUE"""),-0.600094552388861)</f>
        <v>-0.600094552388861</v>
      </c>
      <c r="S5" s="3">
        <f ca="1">IFERROR(__xludf.DUMMYFUNCTION("""COMPUTED_VALUE"""),-0.548178932370358)</f>
        <v>-0.54817893237035797</v>
      </c>
      <c r="T5" s="3">
        <f ca="1">IFERROR(__xludf.DUMMYFUNCTION("""COMPUTED_VALUE"""),-0.548637578224785)</f>
        <v>-0.54863757822478498</v>
      </c>
      <c r="U5" s="3">
        <f ca="1">IFERROR(__xludf.DUMMYFUNCTION("""COMPUTED_VALUE"""),-0.606168943439597)</f>
        <v>-0.60616894343959704</v>
      </c>
      <c r="V5" s="3">
        <f ca="1">IFERROR(__xludf.DUMMYFUNCTION("""COMPUTED_VALUE"""),-0.602047796600093)</f>
        <v>-0.602047796600093</v>
      </c>
      <c r="W5" s="3">
        <f ca="1">IFERROR(__xludf.DUMMYFUNCTION("""COMPUTED_VALUE"""),-0.600538018516421)</f>
        <v>-0.60053801851642097</v>
      </c>
      <c r="X5" s="3">
        <f ca="1">IFERROR(__xludf.DUMMYFUNCTION("""COMPUTED_VALUE"""),-0.563220486698892)</f>
        <v>-0.56322048669889202</v>
      </c>
      <c r="Y5" s="3">
        <f ca="1">IFERROR(__xludf.DUMMYFUNCTION("""COMPUTED_VALUE"""),-0.476252011085348)</f>
        <v>-0.47625201108534798</v>
      </c>
      <c r="Z5" s="3">
        <f ca="1">IFERROR(__xludf.DUMMYFUNCTION("""COMPUTED_VALUE"""),-0.539867521136126)</f>
        <v>-0.53986752113612602</v>
      </c>
      <c r="AA5" s="3">
        <f ca="1">IFERROR(__xludf.DUMMYFUNCTION("""COMPUTED_VALUE"""),-0.539581284490737)</f>
        <v>-0.53958128449073695</v>
      </c>
      <c r="AB5" s="3">
        <f ca="1">IFERROR(__xludf.DUMMYFUNCTION("""COMPUTED_VALUE"""),-0.586303473885232)</f>
        <v>-0.58630347388523196</v>
      </c>
      <c r="AC5" s="3">
        <f ca="1">IFERROR(__xludf.DUMMYFUNCTION("""COMPUTED_VALUE"""),-0.602650825534784)</f>
        <v>-0.602650825534784</v>
      </c>
      <c r="AD5" s="3">
        <f ca="1">IFERROR(__xludf.DUMMYFUNCTION("""COMPUTED_VALUE"""),-0.674716113282325)</f>
        <v>-0.67471611328232495</v>
      </c>
      <c r="AE5" s="3">
        <f ca="1">IFERROR(__xludf.DUMMYFUNCTION("""COMPUTED_VALUE"""),-0.580997548656993)</f>
        <v>-0.58099754865699305</v>
      </c>
      <c r="AF5" s="3">
        <f ca="1">IFERROR(__xludf.DUMMYFUNCTION("""COMPUTED_VALUE"""),-0.608410298983675)</f>
        <v>-0.60841029898367505</v>
      </c>
      <c r="AG5" s="3">
        <f ca="1">IFERROR(__xludf.DUMMYFUNCTION("""COMPUTED_VALUE"""),-0.510315102973506)</f>
        <v>-0.51031510297350602</v>
      </c>
      <c r="AH5" s="3">
        <f ca="1">IFERROR(__xludf.DUMMYFUNCTION("""COMPUTED_VALUE"""),-0.546958168984515)</f>
        <v>-0.54695816898451499</v>
      </c>
      <c r="AI5" s="3">
        <f ca="1">IFERROR(__xludf.DUMMYFUNCTION("""COMPUTED_VALUE"""),-0.545868878076478)</f>
        <v>-0.54586887807647799</v>
      </c>
      <c r="AJ5" s="3">
        <f ca="1">IFERROR(__xludf.DUMMYFUNCTION("""COMPUTED_VALUE"""),-0.600212464467676)</f>
        <v>-0.60021246446767595</v>
      </c>
      <c r="AK5" s="3">
        <f ca="1">IFERROR(__xludf.DUMMYFUNCTION("""COMPUTED_VALUE"""),-0.627040518146548)</f>
        <v>-0.62704051814654804</v>
      </c>
      <c r="AL5" s="3">
        <f ca="1">IFERROR(__xludf.DUMMYFUNCTION("""COMPUTED_VALUE"""),-0.604557052227798)</f>
        <v>-0.60455705222779799</v>
      </c>
      <c r="AM5" s="3">
        <f ca="1">IFERROR(__xludf.DUMMYFUNCTION("""COMPUTED_VALUE"""),-0.498421143260314)</f>
        <v>-0.498421143260314</v>
      </c>
      <c r="AN5" s="3">
        <f ca="1">IFERROR(__xludf.DUMMYFUNCTION("""COMPUTED_VALUE"""),-0.58232140101966)</f>
        <v>-0.58232140101966001</v>
      </c>
      <c r="AO5" s="3">
        <f ca="1">IFERROR(__xludf.DUMMYFUNCTION("""COMPUTED_VALUE"""),-0.6024974108917)</f>
        <v>-0.60249741089169995</v>
      </c>
      <c r="AP5" s="3">
        <f ca="1">IFERROR(__xludf.DUMMYFUNCTION("""COMPUTED_VALUE"""),-0.554264336694626)</f>
        <v>-0.55426433669462605</v>
      </c>
      <c r="AQ5" s="3">
        <f ca="1">IFERROR(__xludf.DUMMYFUNCTION("""COMPUTED_VALUE"""),-0.598049515351142)</f>
        <v>-0.59804951535114204</v>
      </c>
      <c r="AR5" s="3">
        <f ca="1">IFERROR(__xludf.DUMMYFUNCTION("""COMPUTED_VALUE"""),-0.617849864224412)</f>
        <v>-0.61784986422441202</v>
      </c>
      <c r="AS5" s="3">
        <f ca="1">IFERROR(__xludf.DUMMYFUNCTION("""COMPUTED_VALUE"""),-0.640488472981376)</f>
        <v>-0.64048847298137601</v>
      </c>
      <c r="AT5" s="3">
        <f ca="1">IFERROR(__xludf.DUMMYFUNCTION("""COMPUTED_VALUE"""),-0.542488913848235)</f>
        <v>-0.54248891384823505</v>
      </c>
      <c r="AU5" s="3">
        <f ca="1">IFERROR(__xludf.DUMMYFUNCTION("""COMPUTED_VALUE"""),-0.608757932958598)</f>
        <v>-0.60875793295859804</v>
      </c>
      <c r="AV5" s="3">
        <f ca="1">IFERROR(__xludf.DUMMYFUNCTION("""COMPUTED_VALUE"""),-0.736948151445402)</f>
        <v>-0.73694815144540204</v>
      </c>
      <c r="AW5" s="3">
        <f ca="1">IFERROR(__xludf.DUMMYFUNCTION("""COMPUTED_VALUE"""),-0.641352818641357)</f>
        <v>-0.64135281864135696</v>
      </c>
      <c r="AX5" s="3">
        <f ca="1">IFERROR(__xludf.DUMMYFUNCTION("""COMPUTED_VALUE"""),-0.630888590420352)</f>
        <v>-0.63088859042035195</v>
      </c>
      <c r="AY5" s="3">
        <f ca="1">IFERROR(__xludf.DUMMYFUNCTION("""COMPUTED_VALUE"""),-0.639930005114834)</f>
        <v>-0.639930005114834</v>
      </c>
      <c r="AZ5" s="3">
        <f ca="1">IFERROR(__xludf.DUMMYFUNCTION("""COMPUTED_VALUE"""),-0.660484342888023)</f>
        <v>-0.66048434288802305</v>
      </c>
      <c r="BA5" s="3">
        <f ca="1">IFERROR(__xludf.DUMMYFUNCTION("""COMPUTED_VALUE"""),-0.5945650374645)</f>
        <v>-0.59456503746449996</v>
      </c>
      <c r="BB5" s="3">
        <f ca="1">IFERROR(__xludf.DUMMYFUNCTION("""COMPUTED_VALUE"""),-0.593292517436886)</f>
        <v>-0.59329251743688605</v>
      </c>
      <c r="BC5" s="3">
        <f ca="1">IFERROR(__xludf.DUMMYFUNCTION("""COMPUTED_VALUE"""),-0.64606513067052)</f>
        <v>-0.64606513067051996</v>
      </c>
      <c r="BD5" s="3">
        <f ca="1">IFERROR(__xludf.DUMMYFUNCTION("""COMPUTED_VALUE"""),-0.656503538598295)</f>
        <v>-0.65650353859829502</v>
      </c>
      <c r="BE5" s="3">
        <f ca="1">IFERROR(__xludf.DUMMYFUNCTION("""COMPUTED_VALUE"""),-0.653132921617168)</f>
        <v>-0.65313292161716796</v>
      </c>
      <c r="BF5" s="3">
        <f ca="1">IFERROR(__xludf.DUMMYFUNCTION("""COMPUTED_VALUE"""),-0.673240102540218)</f>
        <v>-0.67324010254021804</v>
      </c>
      <c r="BG5" s="3">
        <f ca="1">IFERROR(__xludf.DUMMYFUNCTION("""COMPUTED_VALUE"""),-0.704025822775071)</f>
        <v>-0.70402582277507098</v>
      </c>
      <c r="BH5" s="3">
        <f ca="1">IFERROR(__xludf.DUMMYFUNCTION("""COMPUTED_VALUE"""),-0.551109670191527)</f>
        <v>-0.55110967019152701</v>
      </c>
      <c r="BI5" s="3">
        <f ca="1">IFERROR(__xludf.DUMMYFUNCTION("""COMPUTED_VALUE"""),-0.610874382907414)</f>
        <v>-0.61087438290741403</v>
      </c>
      <c r="BJ5" s="3">
        <f ca="1">IFERROR(__xludf.DUMMYFUNCTION("""COMPUTED_VALUE"""),-0.635592184675354)</f>
        <v>-0.63559218467535405</v>
      </c>
      <c r="BK5" s="3">
        <f ca="1">IFERROR(__xludf.DUMMYFUNCTION("""COMPUTED_VALUE"""),-0.672521079013261)</f>
        <v>-0.67252107901326097</v>
      </c>
      <c r="BL5" s="3">
        <f ca="1">IFERROR(__xludf.DUMMYFUNCTION("""COMPUTED_VALUE"""),-0.690301271609722)</f>
        <v>-0.69030127160972199</v>
      </c>
      <c r="BM5" s="3">
        <f ca="1">IFERROR(__xludf.DUMMYFUNCTION("""COMPUTED_VALUE"""),-0.712692174618335)</f>
        <v>-0.71269217461833501</v>
      </c>
      <c r="BN5" s="3">
        <f ca="1">IFERROR(__xludf.DUMMYFUNCTION("""COMPUTED_VALUE"""),-0.611022556301008)</f>
        <v>-0.61102255630100799</v>
      </c>
      <c r="BO5" s="3">
        <f ca="1">IFERROR(__xludf.DUMMYFUNCTION("""COMPUTED_VALUE"""),-0.651849500259148)</f>
        <v>-0.65184950025914801</v>
      </c>
      <c r="BP5" s="3">
        <f ca="1">IFERROR(__xludf.DUMMYFUNCTION("""COMPUTED_VALUE"""),-0.638570548929941)</f>
        <v>-0.63857054892994103</v>
      </c>
      <c r="BQ5" s="3">
        <f ca="1">IFERROR(__xludf.DUMMYFUNCTION("""COMPUTED_VALUE"""),-0.625593984344951)</f>
        <v>-0.62559398434495095</v>
      </c>
      <c r="BR5" s="3">
        <f ca="1">IFERROR(__xludf.DUMMYFUNCTION("""COMPUTED_VALUE"""),-0.623142517662738)</f>
        <v>-0.62314251766273798</v>
      </c>
      <c r="BS5" s="3">
        <f ca="1">IFERROR(__xludf.DUMMYFUNCTION("""COMPUTED_VALUE"""),-0.682558628574111)</f>
        <v>-0.68255862857411098</v>
      </c>
      <c r="BT5" s="3">
        <f ca="1">IFERROR(__xludf.DUMMYFUNCTION("""COMPUTED_VALUE"""),-0.663318255791244)</f>
        <v>-0.66331825579124404</v>
      </c>
      <c r="BU5" s="3">
        <f ca="1">IFERROR(__xludf.DUMMYFUNCTION("""COMPUTED_VALUE"""),-0.658408513202979)</f>
        <v>-0.658408513202979</v>
      </c>
      <c r="BV5" s="3">
        <f ca="1">IFERROR(__xludf.DUMMYFUNCTION("""COMPUTED_VALUE"""),-0.614594104092867)</f>
        <v>-0.61459410409286697</v>
      </c>
      <c r="BW5" s="3">
        <f ca="1">IFERROR(__xludf.DUMMYFUNCTION("""COMPUTED_VALUE"""),-0.616300570672725)</f>
        <v>-0.61630057067272503</v>
      </c>
      <c r="BX5" s="3">
        <f ca="1">IFERROR(__xludf.DUMMYFUNCTION("""COMPUTED_VALUE"""),-0.695214074588507)</f>
        <v>-0.69521407458850704</v>
      </c>
      <c r="BY5" s="3">
        <f ca="1">IFERROR(__xludf.DUMMYFUNCTION("""COMPUTED_VALUE"""),-0.701769597803803)</f>
        <v>-0.70176959780380299</v>
      </c>
      <c r="BZ5" s="3">
        <f ca="1">IFERROR(__xludf.DUMMYFUNCTION("""COMPUTED_VALUE"""),-0.665750435883911)</f>
        <v>-0.66575043588391103</v>
      </c>
      <c r="CA5" s="3">
        <f ca="1">IFERROR(__xludf.DUMMYFUNCTION("""COMPUTED_VALUE"""),-0.684008901836014)</f>
        <v>-0.68400890183601404</v>
      </c>
      <c r="CB5" s="3">
        <f ca="1">IFERROR(__xludf.DUMMYFUNCTION("""COMPUTED_VALUE"""),-0.648455341661254)</f>
        <v>-0.64845534166125396</v>
      </c>
      <c r="CC5" s="3">
        <f ca="1">IFERROR(__xludf.DUMMYFUNCTION("""COMPUTED_VALUE"""),-0.656062432466963)</f>
        <v>-0.65606243246696305</v>
      </c>
      <c r="CD5" s="3">
        <f ca="1">IFERROR(__xludf.DUMMYFUNCTION("""COMPUTED_VALUE"""),-0.606597840208667)</f>
        <v>-0.60659784020866703</v>
      </c>
      <c r="CE5" s="3">
        <f ca="1">IFERROR(__xludf.DUMMYFUNCTION("""COMPUTED_VALUE"""),-0.623733659340446)</f>
        <v>-0.623733659340446</v>
      </c>
      <c r="CF5" s="3">
        <f ca="1">IFERROR(__xludf.DUMMYFUNCTION("""COMPUTED_VALUE"""),-0.693657573485461)</f>
        <v>-0.69365757348546098</v>
      </c>
      <c r="CG5" s="3">
        <f ca="1">IFERROR(__xludf.DUMMYFUNCTION("""COMPUTED_VALUE"""),-0.684894440803731)</f>
        <v>-0.68489444080373096</v>
      </c>
      <c r="CH5" s="3">
        <f ca="1">IFERROR(__xludf.DUMMYFUNCTION("""COMPUTED_VALUE"""),-0.694227797711337)</f>
        <v>-0.69422779771133702</v>
      </c>
      <c r="CI5" s="3">
        <f ca="1">IFERROR(__xludf.DUMMYFUNCTION("""COMPUTED_VALUE"""),-0.68824223934793)</f>
        <v>-0.68824223934793005</v>
      </c>
      <c r="CJ5" s="3">
        <f ca="1">IFERROR(__xludf.DUMMYFUNCTION("""COMPUTED_VALUE"""),-0.617723850607699)</f>
        <v>-0.61772385060769897</v>
      </c>
      <c r="CK5" s="3">
        <f ca="1">IFERROR(__xludf.DUMMYFUNCTION("""COMPUTED_VALUE"""),-0.649105160816582)</f>
        <v>-0.64910516081658198</v>
      </c>
      <c r="CL5" s="3">
        <f ca="1">IFERROR(__xludf.DUMMYFUNCTION("""COMPUTED_VALUE"""),-0.67120943026296)</f>
        <v>-0.67120943026295998</v>
      </c>
      <c r="CM5" s="3">
        <f ca="1">IFERROR(__xludf.DUMMYFUNCTION("""COMPUTED_VALUE"""),-0.685850747882825)</f>
        <v>-0.68585074788282496</v>
      </c>
      <c r="CN5" s="3">
        <f ca="1">IFERROR(__xludf.DUMMYFUNCTION("""COMPUTED_VALUE"""),-0.670235375240394)</f>
        <v>-0.670235375240394</v>
      </c>
      <c r="CO5" s="3">
        <f ca="1">IFERROR(__xludf.DUMMYFUNCTION("""COMPUTED_VALUE"""),-0.611160823682843)</f>
        <v>-0.61116082368284297</v>
      </c>
      <c r="CP5" s="3">
        <f ca="1">IFERROR(__xludf.DUMMYFUNCTION("""COMPUTED_VALUE"""),-0.649266995541755)</f>
        <v>-0.64926699554175504</v>
      </c>
      <c r="CQ5" s="3">
        <f ca="1">IFERROR(__xludf.DUMMYFUNCTION("""COMPUTED_VALUE"""),-0.616787198570915)</f>
        <v>-0.61678719857091502</v>
      </c>
      <c r="CR5" s="3">
        <f ca="1">IFERROR(__xludf.DUMMYFUNCTION("""COMPUTED_VALUE"""),-0.636067005221164)</f>
        <v>-0.63606700522116399</v>
      </c>
      <c r="CS5" s="3">
        <f ca="1">IFERROR(__xludf.DUMMYFUNCTION("""COMPUTED_VALUE"""),-0.70443572336621)</f>
        <v>-0.70443572336620996</v>
      </c>
      <c r="CT5" s="3">
        <f ca="1">IFERROR(__xludf.DUMMYFUNCTION("""COMPUTED_VALUE"""),-0.717049110438748)</f>
        <v>-0.71704911043874797</v>
      </c>
      <c r="CU5" s="3">
        <f ca="1">IFERROR(__xludf.DUMMYFUNCTION("""COMPUTED_VALUE"""),-0.693260386386412)</f>
        <v>-0.69326038638641196</v>
      </c>
      <c r="CV5" s="3">
        <f ca="1">IFERROR(__xludf.DUMMYFUNCTION("""COMPUTED_VALUE"""),-0.681127258537775)</f>
        <v>-0.681127258537775</v>
      </c>
      <c r="CW5" s="3">
        <f ca="1">IFERROR(__xludf.DUMMYFUNCTION("""COMPUTED_VALUE"""),-0.653034787625026)</f>
        <v>-0.65303478762502598</v>
      </c>
      <c r="CX5" s="3">
        <f ca="1">IFERROR(__xludf.DUMMYFUNCTION("""COMPUTED_VALUE"""),-0.610597926005518)</f>
        <v>-0.61059792600551799</v>
      </c>
      <c r="CY5" s="3">
        <f ca="1">IFERROR(__xludf.DUMMYFUNCTION("""COMPUTED_VALUE"""),-0.636154276638149)</f>
        <v>-0.63615427663814905</v>
      </c>
      <c r="CZ5" s="3">
        <f ca="1">IFERROR(__xludf.DUMMYFUNCTION("""COMPUTED_VALUE"""),-0.833322872651082)</f>
        <v>-0.83332287265108196</v>
      </c>
      <c r="DA5" s="3">
        <f ca="1">IFERROR(__xludf.DUMMYFUNCTION("""COMPUTED_VALUE"""),-0.672293530879399)</f>
        <v>-0.67229353087939903</v>
      </c>
      <c r="DB5" s="3">
        <f ca="1">IFERROR(__xludf.DUMMYFUNCTION("""COMPUTED_VALUE"""),-0.506738047248366)</f>
        <v>-0.50673804724836602</v>
      </c>
      <c r="DC5" s="3">
        <f ca="1">IFERROR(__xludf.DUMMYFUNCTION("""COMPUTED_VALUE"""),-0.680553156233806)</f>
        <v>-0.68055315623380597</v>
      </c>
      <c r="DD5" s="3">
        <f ca="1">IFERROR(__xludf.DUMMYFUNCTION("""COMPUTED_VALUE"""),-0.648740923745419)</f>
        <v>-0.64874092374541903</v>
      </c>
      <c r="DE5" s="3">
        <f ca="1">IFERROR(__xludf.DUMMYFUNCTION("""COMPUTED_VALUE"""),-0.662583373012975)</f>
        <v>-0.66258337301297499</v>
      </c>
      <c r="DF5" s="3">
        <f ca="1">IFERROR(__xludf.DUMMYFUNCTION("""COMPUTED_VALUE"""),-0.709567954249452)</f>
        <v>-0.70956795424945196</v>
      </c>
      <c r="DG5" s="3">
        <f ca="1">IFERROR(__xludf.DUMMYFUNCTION("""COMPUTED_VALUE"""),-0.906583523683761)</f>
        <v>-0.90658352368376105</v>
      </c>
      <c r="DH5" s="3">
        <f ca="1">IFERROR(__xludf.DUMMYFUNCTION("""COMPUTED_VALUE"""),-0.713750050804636)</f>
        <v>-0.71375005080463605</v>
      </c>
      <c r="DI5" s="3">
        <f ca="1">IFERROR(__xludf.DUMMYFUNCTION("""COMPUTED_VALUE"""),-0.558570072603224)</f>
        <v>-0.558570072603224</v>
      </c>
      <c r="DJ5" s="3">
        <f ca="1">IFERROR(__xludf.DUMMYFUNCTION("""COMPUTED_VALUE"""),-0.663265613200226)</f>
        <v>-0.66326561320022603</v>
      </c>
      <c r="DK5" s="3">
        <f ca="1">IFERROR(__xludf.DUMMYFUNCTION("""COMPUTED_VALUE"""),-0.638043331224326)</f>
        <v>-0.63804333122432599</v>
      </c>
      <c r="DL5" s="3">
        <f ca="1">IFERROR(__xludf.DUMMYFUNCTION("""COMPUTED_VALUE"""),-0.627037388964167)</f>
        <v>-0.62703738896416705</v>
      </c>
      <c r="DM5" s="3">
        <f ca="1">IFERROR(__xludf.DUMMYFUNCTION("""COMPUTED_VALUE"""),-0.666925122761675)</f>
        <v>-0.66692512276167504</v>
      </c>
      <c r="DN5" s="3">
        <f ca="1">IFERROR(__xludf.DUMMYFUNCTION("""COMPUTED_VALUE"""),-0.65322991019869)</f>
        <v>-0.65322991019869003</v>
      </c>
      <c r="DO5" s="3">
        <f ca="1">IFERROR(__xludf.DUMMYFUNCTION("""COMPUTED_VALUE"""),-0.620583827323147)</f>
        <v>-0.62058382732314699</v>
      </c>
      <c r="DP5" s="3">
        <f ca="1">IFERROR(__xludf.DUMMYFUNCTION("""COMPUTED_VALUE"""),-0.614087626477268)</f>
        <v>-0.614087626477268</v>
      </c>
      <c r="DQ5" s="3">
        <f ca="1">IFERROR(__xludf.DUMMYFUNCTION("""COMPUTED_VALUE"""),-0.612828972883901)</f>
        <v>-0.61282897288390104</v>
      </c>
      <c r="DR5" s="3">
        <f ca="1">IFERROR(__xludf.DUMMYFUNCTION("""COMPUTED_VALUE"""),-0.575174369853396)</f>
        <v>-0.57517436985339598</v>
      </c>
      <c r="DS5" s="3">
        <f ca="1">IFERROR(__xludf.DUMMYFUNCTION("""COMPUTED_VALUE"""),-0.603821453392643)</f>
        <v>-0.60382145339264304</v>
      </c>
      <c r="DT5" s="3">
        <f ca="1">IFERROR(__xludf.DUMMYFUNCTION("""COMPUTED_VALUE"""),-0.592528417177467)</f>
        <v>-0.59252841717746696</v>
      </c>
      <c r="DU5" s="3">
        <f ca="1">IFERROR(__xludf.DUMMYFUNCTION("""COMPUTED_VALUE"""),-0.616939008451997)</f>
        <v>-0.61693900845199701</v>
      </c>
      <c r="DV5" s="3">
        <f ca="1">IFERROR(__xludf.DUMMYFUNCTION("""COMPUTED_VALUE"""),-0.602707793591065)</f>
        <v>-0.60270779359106497</v>
      </c>
      <c r="DW5" s="3">
        <f ca="1">IFERROR(__xludf.DUMMYFUNCTION("""COMPUTED_VALUE"""),-0.657780031641295)</f>
        <v>-0.65778003164129495</v>
      </c>
      <c r="DX5" s="3">
        <f ca="1">IFERROR(__xludf.DUMMYFUNCTION("""COMPUTED_VALUE"""),-0.636355582547268)</f>
        <v>-0.63635558254726798</v>
      </c>
      <c r="DY5" s="3">
        <f ca="1">IFERROR(__xludf.DUMMYFUNCTION("""COMPUTED_VALUE"""),-0.668359103329642)</f>
        <v>-0.66835910332964199</v>
      </c>
      <c r="DZ5" s="3">
        <f ca="1">IFERROR(__xludf.DUMMYFUNCTION("""COMPUTED_VALUE"""),-0.655976274848889)</f>
        <v>-0.65597627484888898</v>
      </c>
      <c r="EA5" s="3">
        <f ca="1">IFERROR(__xludf.DUMMYFUNCTION("""COMPUTED_VALUE"""),-0.558319239624338)</f>
        <v>-0.55831923962433805</v>
      </c>
      <c r="EB5" s="3">
        <f ca="1">IFERROR(__xludf.DUMMYFUNCTION("""COMPUTED_VALUE"""),-0.632531915674387)</f>
        <v>-0.63253191567438705</v>
      </c>
      <c r="EC5" s="3">
        <f ca="1">IFERROR(__xludf.DUMMYFUNCTION("""COMPUTED_VALUE"""),-0.575660202826157)</f>
        <v>-0.57566020282615704</v>
      </c>
      <c r="ED5" s="3">
        <f ca="1">IFERROR(__xludf.DUMMYFUNCTION("""COMPUTED_VALUE"""),-0.677400773519054)</f>
        <v>-0.67740077351905403</v>
      </c>
      <c r="EE5" s="3">
        <f ca="1">IFERROR(__xludf.DUMMYFUNCTION("""COMPUTED_VALUE"""),-0.609263374328711)</f>
        <v>-0.60926337432871103</v>
      </c>
      <c r="EF5" s="3">
        <f ca="1">IFERROR(__xludf.DUMMYFUNCTION("""COMPUTED_VALUE"""),-0.619247600216851)</f>
        <v>-0.61924760021685099</v>
      </c>
      <c r="EG5" s="3">
        <f ca="1">IFERROR(__xludf.DUMMYFUNCTION("""COMPUTED_VALUE"""),-0.664312266506746)</f>
        <v>-0.66431226650674602</v>
      </c>
      <c r="EH5" s="3">
        <f ca="1">IFERROR(__xludf.DUMMYFUNCTION("""COMPUTED_VALUE"""),-0.558116544214174)</f>
        <v>-0.558116544214174</v>
      </c>
      <c r="EI5" s="3">
        <f ca="1">IFERROR(__xludf.DUMMYFUNCTION("""COMPUTED_VALUE"""),-0.614367342030725)</f>
        <v>-0.61436734203072496</v>
      </c>
      <c r="EJ5" s="3">
        <f ca="1">IFERROR(__xludf.DUMMYFUNCTION("""COMPUTED_VALUE"""),-0.75020561536912)</f>
        <v>-0.75020561536912</v>
      </c>
      <c r="EK5" s="3">
        <f ca="1">IFERROR(__xludf.DUMMYFUNCTION("""COMPUTED_VALUE"""),-0.644716294254518)</f>
        <v>-0.64471629425451804</v>
      </c>
      <c r="EL5" s="3">
        <f ca="1">IFERROR(__xludf.DUMMYFUNCTION("""COMPUTED_VALUE"""),-0.63724393926072)</f>
        <v>-0.63724393926071998</v>
      </c>
      <c r="EM5" s="3">
        <f ca="1">IFERROR(__xludf.DUMMYFUNCTION("""COMPUTED_VALUE"""),-0.61853809909747)</f>
        <v>-0.61853809909747004</v>
      </c>
      <c r="EN5" s="3">
        <f ca="1">IFERROR(__xludf.DUMMYFUNCTION("""COMPUTED_VALUE"""),-0.596715798333297)</f>
        <v>-0.59671579833329702</v>
      </c>
      <c r="EO5" s="3">
        <f ca="1">IFERROR(__xludf.DUMMYFUNCTION("""COMPUTED_VALUE"""),-0.631193949661935)</f>
        <v>-0.63119394966193498</v>
      </c>
      <c r="EP5" s="3">
        <f ca="1">IFERROR(__xludf.DUMMYFUNCTION("""COMPUTED_VALUE"""),-0.611007654644152)</f>
        <v>-0.61100765464415197</v>
      </c>
      <c r="EQ5" s="3">
        <f ca="1">IFERROR(__xludf.DUMMYFUNCTION("""COMPUTED_VALUE"""),-0.608763970476718)</f>
        <v>-0.60876397047671804</v>
      </c>
      <c r="ER5" s="3">
        <f ca="1">IFERROR(__xludf.DUMMYFUNCTION("""COMPUTED_VALUE"""),-0.606545321970366)</f>
        <v>-0.60654532197036604</v>
      </c>
      <c r="ES5" s="3">
        <f ca="1">IFERROR(__xludf.DUMMYFUNCTION("""COMPUTED_VALUE"""),-0.583793644060221)</f>
        <v>-0.58379364406022105</v>
      </c>
      <c r="ET5" s="3">
        <f ca="1">IFERROR(__xludf.DUMMYFUNCTION("""COMPUTED_VALUE"""),-0.646659144617755)</f>
        <v>-0.64665914461775498</v>
      </c>
      <c r="EU5" s="3">
        <f ca="1">IFERROR(__xludf.DUMMYFUNCTION("""COMPUTED_VALUE"""),-0.64584010156034)</f>
        <v>-0.64584010156034</v>
      </c>
      <c r="EV5" s="3">
        <f ca="1">IFERROR(__xludf.DUMMYFUNCTION("""COMPUTED_VALUE"""),-0.663227323772535)</f>
        <v>-0.66322732377253502</v>
      </c>
      <c r="EW5" s="3">
        <f ca="1">IFERROR(__xludf.DUMMYFUNCTION("""COMPUTED_VALUE"""),-0.6732487390102)</f>
        <v>-0.67324873901019999</v>
      </c>
      <c r="EX5" s="3">
        <f ca="1">IFERROR(__xludf.DUMMYFUNCTION("""COMPUTED_VALUE"""),-0.680091342795797)</f>
        <v>-0.68009134279579697</v>
      </c>
      <c r="EY5" s="3">
        <f ca="1">IFERROR(__xludf.DUMMYFUNCTION("""COMPUTED_VALUE"""),-0.62471812362279)</f>
        <v>-0.62471812362279</v>
      </c>
      <c r="EZ5" s="3">
        <f ca="1">IFERROR(__xludf.DUMMYFUNCTION("""COMPUTED_VALUE"""),-0.614092356875174)</f>
        <v>-0.61409235687517405</v>
      </c>
      <c r="FA5" s="3">
        <f ca="1">IFERROR(__xludf.DUMMYFUNCTION("""COMPUTED_VALUE"""),-0.643821303929485)</f>
        <v>-0.643821303929485</v>
      </c>
      <c r="FB5" s="3">
        <f ca="1">IFERROR(__xludf.DUMMYFUNCTION("""COMPUTED_VALUE"""),-0.656669788290613)</f>
        <v>-0.65666978829061295</v>
      </c>
      <c r="FC5" s="3">
        <f ca="1">IFERROR(__xludf.DUMMYFUNCTION("""COMPUTED_VALUE"""),-0.631756992937854)</f>
        <v>-0.63175699293785403</v>
      </c>
      <c r="FD5" s="3">
        <f ca="1">IFERROR(__xludf.DUMMYFUNCTION("""COMPUTED_VALUE"""),-0.68470827998565)</f>
        <v>-0.68470827998564998</v>
      </c>
      <c r="FE5" s="3">
        <f ca="1">IFERROR(__xludf.DUMMYFUNCTION("""COMPUTED_VALUE"""),-0.672892374657932)</f>
        <v>-0.67289237465793195</v>
      </c>
      <c r="FF5" s="3">
        <f ca="1">IFERROR(__xludf.DUMMYFUNCTION("""COMPUTED_VALUE"""),-0.631116007299767)</f>
        <v>-0.63111600729976702</v>
      </c>
      <c r="FG5" s="3">
        <f ca="1">IFERROR(__xludf.DUMMYFUNCTION("""COMPUTED_VALUE"""),-0.666965288728594)</f>
        <v>-0.66696528872859395</v>
      </c>
      <c r="FH5" s="3">
        <f ca="1">IFERROR(__xludf.DUMMYFUNCTION("""COMPUTED_VALUE"""),-0.648323753774628)</f>
        <v>-0.64832375377462803</v>
      </c>
      <c r="FI5" s="3">
        <f ca="1">IFERROR(__xludf.DUMMYFUNCTION("""COMPUTED_VALUE"""),-0.635221456762882)</f>
        <v>-0.635221456762882</v>
      </c>
      <c r="FJ5" s="3">
        <f ca="1">IFERROR(__xludf.DUMMYFUNCTION("""COMPUTED_VALUE"""),-0.589583821658103)</f>
        <v>-0.58958382165810297</v>
      </c>
      <c r="FK5" s="3">
        <f ca="1">IFERROR(__xludf.DUMMYFUNCTION("""COMPUTED_VALUE"""),-0.659367698165788)</f>
        <v>-0.659367698165788</v>
      </c>
      <c r="FL5" s="3">
        <f ca="1">IFERROR(__xludf.DUMMYFUNCTION("""COMPUTED_VALUE"""),-0.650768785872127)</f>
        <v>-0.65076878587212705</v>
      </c>
      <c r="FM5" s="3">
        <f ca="1">IFERROR(__xludf.DUMMYFUNCTION("""COMPUTED_VALUE"""),-0.643747928390453)</f>
        <v>-0.64374792839045303</v>
      </c>
      <c r="FN5" s="3">
        <f ca="1">IFERROR(__xludf.DUMMYFUNCTION("""COMPUTED_VALUE"""),-0.626406180306395)</f>
        <v>-0.62640618030639506</v>
      </c>
      <c r="FO5" s="3">
        <f ca="1">IFERROR(__xludf.DUMMYFUNCTION("""COMPUTED_VALUE"""),-0.670088420803015)</f>
        <v>-0.67008842080301501</v>
      </c>
      <c r="FP5" s="3">
        <f ca="1">IFERROR(__xludf.DUMMYFUNCTION("""COMPUTED_VALUE"""),-0.6673065178373)</f>
        <v>-0.6673065178373</v>
      </c>
      <c r="FQ5" s="3">
        <f ca="1">IFERROR(__xludf.DUMMYFUNCTION("""COMPUTED_VALUE"""),-0.609031391759864)</f>
        <v>-0.60903139175986398</v>
      </c>
      <c r="FR5" s="3">
        <f ca="1">IFERROR(__xludf.DUMMYFUNCTION("""COMPUTED_VALUE"""),-0.643950321905351)</f>
        <v>-0.64395032190535095</v>
      </c>
      <c r="FS5" s="3">
        <f ca="1">IFERROR(__xludf.DUMMYFUNCTION("""COMPUTED_VALUE"""),-0.664026403232198)</f>
        <v>-0.66402640323219797</v>
      </c>
      <c r="FT5" s="3">
        <f ca="1">IFERROR(__xludf.DUMMYFUNCTION("""COMPUTED_VALUE"""),-0.650744352693289)</f>
        <v>-0.65074435269328901</v>
      </c>
      <c r="FU5" s="3">
        <f ca="1">IFERROR(__xludf.DUMMYFUNCTION("""COMPUTED_VALUE"""),-0.636048821202557)</f>
        <v>-0.63604882120255701</v>
      </c>
      <c r="FV5" s="3">
        <f ca="1">IFERROR(__xludf.DUMMYFUNCTION("""COMPUTED_VALUE"""),-0.685605787931095)</f>
        <v>-0.68560578793109495</v>
      </c>
      <c r="FW5" s="3">
        <f ca="1">IFERROR(__xludf.DUMMYFUNCTION("""COMPUTED_VALUE"""),-0.684020480856236)</f>
        <v>-0.68402048085623601</v>
      </c>
      <c r="FX5" s="3">
        <f ca="1">IFERROR(__xludf.DUMMYFUNCTION("""COMPUTED_VALUE"""),-0.622795693781919)</f>
        <v>-0.62279569378191901</v>
      </c>
      <c r="FY5" s="3">
        <f ca="1">IFERROR(__xludf.DUMMYFUNCTION("""COMPUTED_VALUE"""),-0.689881976680991)</f>
        <v>-0.68988197668099105</v>
      </c>
      <c r="FZ5" s="3">
        <f ca="1">IFERROR(__xludf.DUMMYFUNCTION("""COMPUTED_VALUE"""),-0.67342692933154)</f>
        <v>-0.67342692933154003</v>
      </c>
      <c r="GA5" s="3">
        <f ca="1">IFERROR(__xludf.DUMMYFUNCTION("""COMPUTED_VALUE"""),-0.675871068516811)</f>
        <v>-0.675871068516811</v>
      </c>
      <c r="GB5" s="3">
        <f ca="1">IFERROR(__xludf.DUMMYFUNCTION("""COMPUTED_VALUE"""),-0.670057505767771)</f>
        <v>-0.67005750576777101</v>
      </c>
      <c r="GC5" s="3">
        <f ca="1">IFERROR(__xludf.DUMMYFUNCTION("""COMPUTED_VALUE"""),-0.687855500925371)</f>
        <v>-0.68785550092537096</v>
      </c>
      <c r="GD5" s="3">
        <f ca="1">IFERROR(__xludf.DUMMYFUNCTION("""COMPUTED_VALUE"""),-0.700776190783654)</f>
        <v>-0.70077619078365405</v>
      </c>
      <c r="GE5" s="3">
        <f ca="1">IFERROR(__xludf.DUMMYFUNCTION("""COMPUTED_VALUE"""),-0.67237115423161)</f>
        <v>-0.67237115423160998</v>
      </c>
      <c r="GF5" s="3">
        <f ca="1">IFERROR(__xludf.DUMMYFUNCTION("""COMPUTED_VALUE"""),-0.657728451811857)</f>
        <v>-0.65772845181185702</v>
      </c>
      <c r="GG5" s="3">
        <f ca="1">IFERROR(__xludf.DUMMYFUNCTION("""COMPUTED_VALUE"""),-0.693411928322134)</f>
        <v>-0.69341192832213405</v>
      </c>
      <c r="GH5" s="3">
        <f ca="1">IFERROR(__xludf.DUMMYFUNCTION("""COMPUTED_VALUE"""),-0.691765321205857)</f>
        <v>-0.69176532120585699</v>
      </c>
      <c r="GI5" s="3">
        <f ca="1">IFERROR(__xludf.DUMMYFUNCTION("""COMPUTED_VALUE"""),-0.702283207758917)</f>
        <v>-0.70228320775891695</v>
      </c>
      <c r="GJ5" s="3">
        <f ca="1">IFERROR(__xludf.DUMMYFUNCTION("""COMPUTED_VALUE"""),-0.618388606350216)</f>
        <v>-0.61838860635021597</v>
      </c>
      <c r="GK5" s="3">
        <f ca="1">IFERROR(__xludf.DUMMYFUNCTION("""COMPUTED_VALUE"""),-0.599865788929515)</f>
        <v>-0.59986578892951503</v>
      </c>
      <c r="GL5" s="3">
        <f ca="1">IFERROR(__xludf.DUMMYFUNCTION("""COMPUTED_VALUE"""),-0.664268924590445)</f>
        <v>-0.66426892459044495</v>
      </c>
      <c r="GM5" s="3">
        <f ca="1">IFERROR(__xludf.DUMMYFUNCTION("""COMPUTED_VALUE"""),-0.702856180253752)</f>
        <v>-0.70285618025375196</v>
      </c>
      <c r="GN5" s="3">
        <f ca="1">IFERROR(__xludf.DUMMYFUNCTION("""COMPUTED_VALUE"""),-0.695813159482317)</f>
        <v>-0.69581315948231703</v>
      </c>
      <c r="GO5" s="3">
        <f ca="1">IFERROR(__xludf.DUMMYFUNCTION("""COMPUTED_VALUE"""),-0.708353406709776)</f>
        <v>-0.70835340670977598</v>
      </c>
      <c r="GP5" s="3">
        <f ca="1">IFERROR(__xludf.DUMMYFUNCTION("""COMPUTED_VALUE"""),-0.74259491456639)</f>
        <v>-0.74259491456639004</v>
      </c>
      <c r="GQ5" s="3">
        <f ca="1">IFERROR(__xludf.DUMMYFUNCTION("""COMPUTED_VALUE"""),-0.70194857792437)</f>
        <v>-0.70194857792437004</v>
      </c>
      <c r="GR5" s="3">
        <f ca="1">IFERROR(__xludf.DUMMYFUNCTION("""COMPUTED_VALUE"""),-0.67794666985018)</f>
        <v>-0.67794666985018004</v>
      </c>
      <c r="GS5" s="3">
        <f ca="1">IFERROR(__xludf.DUMMYFUNCTION("""COMPUTED_VALUE"""),-0.608069869769876)</f>
        <v>-0.60806986976987598</v>
      </c>
      <c r="GT5" s="3">
        <f ca="1">IFERROR(__xludf.DUMMYFUNCTION("""COMPUTED_VALUE"""),-0.699207418674556)</f>
        <v>-0.69920741867455605</v>
      </c>
      <c r="GU5" s="3">
        <f ca="1">IFERROR(__xludf.DUMMYFUNCTION("""COMPUTED_VALUE"""),-0.7543188100167)</f>
        <v>-0.75431881001669998</v>
      </c>
      <c r="GV5" s="3">
        <f ca="1">IFERROR(__xludf.DUMMYFUNCTION("""COMPUTED_VALUE"""),-0.752845245267772)</f>
        <v>-0.75284524526777197</v>
      </c>
      <c r="GW5" s="3">
        <f ca="1">IFERROR(__xludf.DUMMYFUNCTION("""COMPUTED_VALUE"""),-0.711942377120035)</f>
        <v>-0.71194237712003505</v>
      </c>
      <c r="GX5" s="3">
        <f ca="1">IFERROR(__xludf.DUMMYFUNCTION("""COMPUTED_VALUE"""),-0.680677672834284)</f>
        <v>-0.68067767283428404</v>
      </c>
      <c r="GY5" s="3">
        <f ca="1">IFERROR(__xludf.DUMMYFUNCTION("""COMPUTED_VALUE"""),-0.667110122083137)</f>
        <v>-0.66711012208313702</v>
      </c>
      <c r="GZ5" s="3">
        <f ca="1">IFERROR(__xludf.DUMMYFUNCTION("""COMPUTED_VALUE"""),-0.639321254154536)</f>
        <v>-0.639321254154536</v>
      </c>
      <c r="HA5" s="3">
        <f ca="1">IFERROR(__xludf.DUMMYFUNCTION("""COMPUTED_VALUE"""),-0.731165501828343)</f>
        <v>-0.73116550182834295</v>
      </c>
      <c r="HB5" s="3">
        <f ca="1">IFERROR(__xludf.DUMMYFUNCTION("""COMPUTED_VALUE"""),-0.749538056351986)</f>
        <v>-0.749538056351986</v>
      </c>
      <c r="HC5" s="3">
        <f ca="1">IFERROR(__xludf.DUMMYFUNCTION("""COMPUTED_VALUE"""),-0.772946769374675)</f>
        <v>-0.77294676937467499</v>
      </c>
      <c r="HD5" s="3">
        <f ca="1">IFERROR(__xludf.DUMMYFUNCTION("""COMPUTED_VALUE"""),-0.723370408502469)</f>
        <v>-0.72337040850246903</v>
      </c>
      <c r="HE5" s="3">
        <f ca="1">IFERROR(__xludf.DUMMYFUNCTION("""COMPUTED_VALUE"""),-0.716320951752394)</f>
        <v>-0.71632095175239396</v>
      </c>
      <c r="HF5" s="3">
        <f ca="1">IFERROR(__xludf.DUMMYFUNCTION("""COMPUTED_VALUE"""),-0.664310678051966)</f>
        <v>-0.66431067805196597</v>
      </c>
      <c r="HG5" s="3">
        <f ca="1">IFERROR(__xludf.DUMMYFUNCTION("""COMPUTED_VALUE"""),-0.672657428596699)</f>
        <v>-0.67265742859669897</v>
      </c>
      <c r="HH5" s="3">
        <f ca="1">IFERROR(__xludf.DUMMYFUNCTION("""COMPUTED_VALUE"""),-0.713231465140581)</f>
        <v>-0.713231465140581</v>
      </c>
      <c r="HI5" s="3">
        <f ca="1">IFERROR(__xludf.DUMMYFUNCTION("""COMPUTED_VALUE"""),-0.72591657017792)</f>
        <v>-0.72591657017792</v>
      </c>
      <c r="HJ5" s="3">
        <f ca="1">IFERROR(__xludf.DUMMYFUNCTION("""COMPUTED_VALUE"""),-0.730009171261856)</f>
        <v>-0.73000917126185605</v>
      </c>
      <c r="HK5" s="3">
        <f ca="1">IFERROR(__xludf.DUMMYFUNCTION("""COMPUTED_VALUE"""),-0.694642105601132)</f>
        <v>-0.69464210560113204</v>
      </c>
      <c r="HL5" s="3">
        <f ca="1">IFERROR(__xludf.DUMMYFUNCTION("""COMPUTED_VALUE"""),-0.696555863382944)</f>
        <v>-0.69655586338294395</v>
      </c>
      <c r="HM5" s="3">
        <f ca="1">IFERROR(__xludf.DUMMYFUNCTION("""COMPUTED_VALUE"""),-0.567001491839634)</f>
        <v>-0.567001491839634</v>
      </c>
      <c r="HN5" s="3">
        <f ca="1">IFERROR(__xludf.DUMMYFUNCTION("""COMPUTED_VALUE"""),-0.612423714862804)</f>
        <v>-0.612423714862804</v>
      </c>
      <c r="HO5" s="3">
        <f ca="1">IFERROR(__xludf.DUMMYFUNCTION("""COMPUTED_VALUE"""),-0.681873560629064)</f>
        <v>-0.68187356062906401</v>
      </c>
      <c r="HP5" s="3">
        <f ca="1">IFERROR(__xludf.DUMMYFUNCTION("""COMPUTED_VALUE"""),-0.667088939326834)</f>
        <v>-0.667088939326834</v>
      </c>
      <c r="HQ5" s="3">
        <f ca="1">IFERROR(__xludf.DUMMYFUNCTION("""COMPUTED_VALUE"""),-0.66420027139574)</f>
        <v>-0.66420027139574001</v>
      </c>
      <c r="HR5" s="3">
        <f ca="1">IFERROR(__xludf.DUMMYFUNCTION("""COMPUTED_VALUE"""),-0.657884686568741)</f>
        <v>-0.657884686568741</v>
      </c>
      <c r="HS5" s="3">
        <f ca="1">IFERROR(__xludf.DUMMYFUNCTION("""COMPUTED_VALUE"""),-0.620350649284183)</f>
        <v>-0.62035064928418304</v>
      </c>
      <c r="HT5" s="3">
        <f ca="1">IFERROR(__xludf.DUMMYFUNCTION("""COMPUTED_VALUE"""),-0.604660178651919)</f>
        <v>-0.60466017865191901</v>
      </c>
      <c r="HU5" s="3">
        <f ca="1">IFERROR(__xludf.DUMMYFUNCTION("""COMPUTED_VALUE"""),-0.592805095434881)</f>
        <v>-0.59280509543488102</v>
      </c>
      <c r="HV5" s="3">
        <f ca="1">IFERROR(__xludf.DUMMYFUNCTION("""COMPUTED_VALUE"""),-0.646566231226405)</f>
        <v>-0.646566231226405</v>
      </c>
      <c r="HW5" s="3">
        <f ca="1">IFERROR(__xludf.DUMMYFUNCTION("""COMPUTED_VALUE"""),-0.643509123520594)</f>
        <v>-0.64350912352059397</v>
      </c>
      <c r="HX5" s="3">
        <f ca="1">IFERROR(__xludf.DUMMYFUNCTION("""COMPUTED_VALUE"""),-0.661703811090915)</f>
        <v>-0.66170381109091503</v>
      </c>
      <c r="HY5" s="3">
        <f ca="1">IFERROR(__xludf.DUMMYFUNCTION("""COMPUTED_VALUE"""),-0.694583404121509)</f>
        <v>-0.69458340412150898</v>
      </c>
      <c r="HZ5" s="3">
        <f ca="1">IFERROR(__xludf.DUMMYFUNCTION("""COMPUTED_VALUE"""),-0.665364140372346)</f>
        <v>-0.66536414037234604</v>
      </c>
      <c r="IA5" s="3">
        <f ca="1">IFERROR(__xludf.DUMMYFUNCTION("""COMPUTED_VALUE"""),-0.626136197393554)</f>
        <v>-0.62613619739355397</v>
      </c>
      <c r="IB5" s="3">
        <f ca="1">IFERROR(__xludf.DUMMYFUNCTION("""COMPUTED_VALUE"""),-0.556879035904347)</f>
        <v>-0.55687903590434695</v>
      </c>
      <c r="IC5" s="3">
        <f ca="1">IFERROR(__xludf.DUMMYFUNCTION("""COMPUTED_VALUE"""),-0.626890315877266)</f>
        <v>-0.62689031587726596</v>
      </c>
      <c r="ID5" s="3">
        <f ca="1">IFERROR(__xludf.DUMMYFUNCTION("""COMPUTED_VALUE"""),-0.664230384852991)</f>
        <v>-0.66423038485299102</v>
      </c>
      <c r="IE5" s="3">
        <f ca="1">IFERROR(__xludf.DUMMYFUNCTION("""COMPUTED_VALUE"""),-0.647687582759728)</f>
        <v>-0.64768758275972804</v>
      </c>
      <c r="IF5" s="3">
        <f ca="1">IFERROR(__xludf.DUMMYFUNCTION("""COMPUTED_VALUE"""),-0.669817804427549)</f>
        <v>-0.66981780442754901</v>
      </c>
      <c r="IG5" s="3">
        <f ca="1">IFERROR(__xludf.DUMMYFUNCTION("""COMPUTED_VALUE"""),-0.642434434175347)</f>
        <v>-0.64243443417534696</v>
      </c>
      <c r="IH5" s="3">
        <f ca="1">IFERROR(__xludf.DUMMYFUNCTION("""COMPUTED_VALUE"""),-0.584615042061559)</f>
        <v>-0.58461504206155901</v>
      </c>
      <c r="II5" s="3">
        <f ca="1">IFERROR(__xludf.DUMMYFUNCTION("""COMPUTED_VALUE"""),-0.632274011616847)</f>
        <v>-0.63227401161684704</v>
      </c>
      <c r="IJ5" s="3">
        <f ca="1">IFERROR(__xludf.DUMMYFUNCTION("""COMPUTED_VALUE"""),-0.647955560026123)</f>
        <v>-0.64795556002612298</v>
      </c>
      <c r="IK5" s="3">
        <f ca="1">IFERROR(__xludf.DUMMYFUNCTION("""COMPUTED_VALUE"""),-0.631462177215944)</f>
        <v>-0.631462177215944</v>
      </c>
      <c r="IL5" s="3">
        <f ca="1">IFERROR(__xludf.DUMMYFUNCTION("""COMPUTED_VALUE"""),-0.616061727806585)</f>
        <v>-0.61606172780658497</v>
      </c>
      <c r="IM5" s="3">
        <f ca="1">IFERROR(__xludf.DUMMYFUNCTION("""COMPUTED_VALUE"""),-0.597629546133979)</f>
        <v>-0.59762954613397901</v>
      </c>
      <c r="IN5" s="3">
        <f ca="1">IFERROR(__xludf.DUMMYFUNCTION("""COMPUTED_VALUE"""),-0.605189213429812)</f>
        <v>-0.60518921342981202</v>
      </c>
      <c r="IO5" s="3">
        <f ca="1">IFERROR(__xludf.DUMMYFUNCTION("""COMPUTED_VALUE"""),-0.571351770576171)</f>
        <v>-0.57135177057617104</v>
      </c>
      <c r="IP5" s="3">
        <f ca="1">IFERROR(__xludf.DUMMYFUNCTION("""COMPUTED_VALUE"""),-0.537281094739525)</f>
        <v>-0.53728109473952501</v>
      </c>
      <c r="IQ5" s="3">
        <f ca="1">IFERROR(__xludf.DUMMYFUNCTION("""COMPUTED_VALUE"""),-0.62136563279374)</f>
        <v>-0.62136563279374002</v>
      </c>
      <c r="IR5" s="3">
        <f ca="1">IFERROR(__xludf.DUMMYFUNCTION("""COMPUTED_VALUE"""),-0.606359872023647)</f>
        <v>-0.60635987202364705</v>
      </c>
      <c r="IS5" s="3">
        <f ca="1">IFERROR(__xludf.DUMMYFUNCTION("""COMPUTED_VALUE"""),-0.624501220561924)</f>
        <v>-0.62450122056192403</v>
      </c>
      <c r="IT5" s="3">
        <f ca="1">IFERROR(__xludf.DUMMYFUNCTION("""COMPUTED_VALUE"""),-0.61047409789621)</f>
        <v>-0.61047409789620999</v>
      </c>
      <c r="IU5" s="3">
        <f ca="1">IFERROR(__xludf.DUMMYFUNCTION("""COMPUTED_VALUE"""),-0.597945918197685)</f>
        <v>-0.59794591819768494</v>
      </c>
      <c r="IV5" s="3">
        <f ca="1">IFERROR(__xludf.DUMMYFUNCTION("""COMPUTED_VALUE"""),-0.584542329948722)</f>
        <v>-0.58454232994872202</v>
      </c>
      <c r="IW5" s="3">
        <f ca="1">IFERROR(__xludf.DUMMYFUNCTION("""COMPUTED_VALUE"""),-0.548946064884808)</f>
        <v>-0.54894606488480802</v>
      </c>
      <c r="IX5" s="3">
        <f ca="1">IFERROR(__xludf.DUMMYFUNCTION("""COMPUTED_VALUE"""),-0.640354143803293)</f>
        <v>-0.64035414380329303</v>
      </c>
      <c r="IY5" s="3">
        <f ca="1">IFERROR(__xludf.DUMMYFUNCTION("""COMPUTED_VALUE"""),-0.651525014902315)</f>
        <v>-0.65152501490231496</v>
      </c>
      <c r="IZ5" s="3">
        <f ca="1">IFERROR(__xludf.DUMMYFUNCTION("""COMPUTED_VALUE"""),-0.677766850225588)</f>
        <v>-0.67776685022558802</v>
      </c>
      <c r="JA5" s="3">
        <f ca="1">IFERROR(__xludf.DUMMYFUNCTION("""COMPUTED_VALUE"""),-0.643625056465164)</f>
        <v>-0.64362505646516399</v>
      </c>
      <c r="JB5" s="3">
        <f ca="1">IFERROR(__xludf.DUMMYFUNCTION("""COMPUTED_VALUE"""),-0.618911011087495)</f>
        <v>-0.61891101108749502</v>
      </c>
      <c r="JC5" s="3">
        <f ca="1">IFERROR(__xludf.DUMMYFUNCTION("""COMPUTED_VALUE"""),-0.62172480409996)</f>
        <v>-0.62172480409996</v>
      </c>
      <c r="JD5" s="3">
        <f ca="1">IFERROR(__xludf.DUMMYFUNCTION("""COMPUTED_VALUE"""),-0.612505480287705)</f>
        <v>-0.61250548028770502</v>
      </c>
      <c r="JE5" s="3">
        <f ca="1">IFERROR(__xludf.DUMMYFUNCTION("""COMPUTED_VALUE"""),-0.621243177119717)</f>
        <v>-0.62124317711971699</v>
      </c>
      <c r="JF5" s="3">
        <f ca="1">IFERROR(__xludf.DUMMYFUNCTION("""COMPUTED_VALUE"""),-0.592150461291963)</f>
        <v>-0.59215046129196303</v>
      </c>
      <c r="JG5" s="3">
        <f ca="1">IFERROR(__xludf.DUMMYFUNCTION("""COMPUTED_VALUE"""),-0.648925382436814)</f>
        <v>-0.64892538243681397</v>
      </c>
      <c r="JH5" s="3">
        <f ca="1">IFERROR(__xludf.DUMMYFUNCTION("""COMPUTED_VALUE"""),-0.624274636549363)</f>
        <v>-0.62427463654936299</v>
      </c>
      <c r="JI5" s="3">
        <f ca="1">IFERROR(__xludf.DUMMYFUNCTION("""COMPUTED_VALUE"""),-0.595139063605627)</f>
        <v>-0.59513906360562696</v>
      </c>
      <c r="JJ5" s="3">
        <f ca="1">IFERROR(__xludf.DUMMYFUNCTION("""COMPUTED_VALUE"""),-0.581762075826392)</f>
        <v>-0.58176207582639194</v>
      </c>
      <c r="JK5" s="3">
        <f ca="1">IFERROR(__xludf.DUMMYFUNCTION("""COMPUTED_VALUE"""),-0.563302423676394)</f>
        <v>-0.56330242367639405</v>
      </c>
      <c r="JL5" s="3">
        <f ca="1">IFERROR(__xludf.DUMMYFUNCTION("""COMPUTED_VALUE"""),-0.62070801340927)</f>
        <v>-0.62070801340926995</v>
      </c>
      <c r="JM5" s="3">
        <f ca="1">IFERROR(__xludf.DUMMYFUNCTION("""COMPUTED_VALUE"""),-0.634828770939373)</f>
        <v>-0.63482877093937295</v>
      </c>
      <c r="JN5" s="3">
        <f ca="1">IFERROR(__xludf.DUMMYFUNCTION("""COMPUTED_VALUE"""),-0.620856029440126)</f>
        <v>-0.62085602944012597</v>
      </c>
      <c r="JO5" s="3">
        <f ca="1">IFERROR(__xludf.DUMMYFUNCTION("""COMPUTED_VALUE"""),-0.609650395341238)</f>
        <v>-0.60965039534123799</v>
      </c>
      <c r="JP5" s="3">
        <f ca="1">IFERROR(__xludf.DUMMYFUNCTION("""COMPUTED_VALUE"""),-0.553616172877395)</f>
        <v>-0.55361617287739495</v>
      </c>
      <c r="JQ5" s="3">
        <f ca="1">IFERROR(__xludf.DUMMYFUNCTION("""COMPUTED_VALUE"""),-0.557655719425904)</f>
        <v>-0.55765571942590397</v>
      </c>
      <c r="JR5" s="3">
        <f ca="1">IFERROR(__xludf.DUMMYFUNCTION("""COMPUTED_VALUE"""),-0.537549668004024)</f>
        <v>-0.53754966800402404</v>
      </c>
      <c r="JS5" s="3">
        <f ca="1">IFERROR(__xludf.DUMMYFUNCTION("""COMPUTED_VALUE"""),-0.576315592703253)</f>
        <v>-0.57631559270325305</v>
      </c>
      <c r="JT5" s="3">
        <f ca="1">IFERROR(__xludf.DUMMYFUNCTION("""COMPUTED_VALUE"""),-0.649555005147535)</f>
        <v>-0.64955500514753495</v>
      </c>
      <c r="JU5" s="3">
        <f ca="1">IFERROR(__xludf.DUMMYFUNCTION("""COMPUTED_VALUE"""),-0.633530485046695)</f>
        <v>-0.63353048504669496</v>
      </c>
      <c r="JV5" s="3">
        <f ca="1">IFERROR(__xludf.DUMMYFUNCTION("""COMPUTED_VALUE"""),-0.633905609692242)</f>
        <v>-0.63390560969224197</v>
      </c>
      <c r="JW5" s="3">
        <f ca="1">IFERROR(__xludf.DUMMYFUNCTION("""COMPUTED_VALUE"""),-0.614594037615177)</f>
        <v>-0.61459403761517695</v>
      </c>
      <c r="JX5" s="3">
        <f ca="1">IFERROR(__xludf.DUMMYFUNCTION("""COMPUTED_VALUE"""),-0.576028750207939)</f>
        <v>-0.57602875020793898</v>
      </c>
      <c r="JY5" s="3">
        <f ca="1">IFERROR(__xludf.DUMMYFUNCTION("""COMPUTED_VALUE"""),-0.6929783356841)</f>
        <v>-0.69297833568410006</v>
      </c>
      <c r="JZ5" s="3">
        <f ca="1">IFERROR(__xludf.DUMMYFUNCTION("""COMPUTED_VALUE"""),-0.55347807973639)</f>
        <v>-0.55347807973638996</v>
      </c>
      <c r="KA5" s="3">
        <f ca="1">IFERROR(__xludf.DUMMYFUNCTION("""COMPUTED_VALUE"""),-0.568571328165515)</f>
        <v>-0.56857132816551503</v>
      </c>
      <c r="KB5" s="3">
        <f ca="1">IFERROR(__xludf.DUMMYFUNCTION("""COMPUTED_VALUE"""),-0.617362869093622)</f>
        <v>-0.61736286909362204</v>
      </c>
      <c r="KC5" s="3">
        <f ca="1">IFERROR(__xludf.DUMMYFUNCTION("""COMPUTED_VALUE"""),-0.626231956805783)</f>
        <v>-0.62623195680578303</v>
      </c>
      <c r="KD5" s="3">
        <f ca="1">IFERROR(__xludf.DUMMYFUNCTION("""COMPUTED_VALUE"""),-0.586086346134982)</f>
        <v>-0.58608634613498201</v>
      </c>
      <c r="KE5" s="3">
        <f ca="1">IFERROR(__xludf.DUMMYFUNCTION("""COMPUTED_VALUE"""),-0.503897521606727)</f>
        <v>-0.50389752160672696</v>
      </c>
      <c r="KF5" s="3">
        <f ca="1">IFERROR(__xludf.DUMMYFUNCTION("""COMPUTED_VALUE"""),-0.508001753340309)</f>
        <v>-0.50800175334030895</v>
      </c>
      <c r="KG5" s="3">
        <f ca="1">IFERROR(__xludf.DUMMYFUNCTION("""COMPUTED_VALUE"""),-0.580975234438383)</f>
        <v>-0.58097523443838295</v>
      </c>
      <c r="KH5" s="3">
        <f ca="1">IFERROR(__xludf.DUMMYFUNCTION("""COMPUTED_VALUE"""),-0.608713971459196)</f>
        <v>-0.60871397145919603</v>
      </c>
      <c r="KI5" s="3">
        <f ca="1">IFERROR(__xludf.DUMMYFUNCTION("""COMPUTED_VALUE"""),-0.653758910447652)</f>
        <v>-0.653758910447652</v>
      </c>
      <c r="KJ5" s="3">
        <f ca="1">IFERROR(__xludf.DUMMYFUNCTION("""COMPUTED_VALUE"""),-0.60799333357866)</f>
        <v>-0.60799333357866003</v>
      </c>
      <c r="KK5" s="3">
        <f ca="1">IFERROR(__xludf.DUMMYFUNCTION("""COMPUTED_VALUE"""),-0.626292106391441)</f>
        <v>-0.62629210639144095</v>
      </c>
      <c r="KL5" s="3">
        <f ca="1">IFERROR(__xludf.DUMMYFUNCTION("""COMPUTED_VALUE"""),-0.618261521238463)</f>
        <v>-0.61826152123846301</v>
      </c>
      <c r="KM5" s="3">
        <f ca="1">IFERROR(__xludf.DUMMYFUNCTION("""COMPUTED_VALUE"""),-0.514996918801316)</f>
        <v>-0.51499691880131604</v>
      </c>
      <c r="KN5" s="3">
        <f ca="1">IFERROR(__xludf.DUMMYFUNCTION("""COMPUTED_VALUE"""),-0.62905953591619)</f>
        <v>-0.62905953591619002</v>
      </c>
      <c r="KO5" s="3">
        <f ca="1">IFERROR(__xludf.DUMMYFUNCTION("""COMPUTED_VALUE"""),-0.670017787509334)</f>
        <v>-0.67001778750933405</v>
      </c>
      <c r="KP5" s="3">
        <f ca="1">IFERROR(__xludf.DUMMYFUNCTION("""COMPUTED_VALUE"""),-0.661485368649238)</f>
        <v>-0.66148536864923801</v>
      </c>
      <c r="KQ5" s="3">
        <f ca="1">IFERROR(__xludf.DUMMYFUNCTION("""COMPUTED_VALUE"""),-0.674096288913994)</f>
        <v>-0.67409628891399398</v>
      </c>
      <c r="KR5" s="3">
        <f ca="1">IFERROR(__xludf.DUMMYFUNCTION("""COMPUTED_VALUE"""),-0.677140332450596)</f>
        <v>-0.67714033245059602</v>
      </c>
      <c r="KS5" s="3">
        <f ca="1">IFERROR(__xludf.DUMMYFUNCTION("""COMPUTED_VALUE"""),-0.522202275805747)</f>
        <v>-0.52220227580574696</v>
      </c>
      <c r="KT5" s="3">
        <f ca="1">IFERROR(__xludf.DUMMYFUNCTION("""COMPUTED_VALUE"""),-0.541582650354974)</f>
        <v>-0.54158265035497399</v>
      </c>
      <c r="KU5" s="3">
        <f ca="1">IFERROR(__xludf.DUMMYFUNCTION("""COMPUTED_VALUE"""),-0.647449682583043)</f>
        <v>-0.64744968258304303</v>
      </c>
      <c r="KV5" s="3">
        <f ca="1">IFERROR(__xludf.DUMMYFUNCTION("""COMPUTED_VALUE"""),-0.656071468982998)</f>
        <v>-0.65607146898299795</v>
      </c>
      <c r="KW5" s="3">
        <f ca="1">IFERROR(__xludf.DUMMYFUNCTION("""COMPUTED_VALUE"""),-0.637015818509136)</f>
        <v>-0.63701581850913602</v>
      </c>
      <c r="KX5" s="3">
        <f ca="1">IFERROR(__xludf.DUMMYFUNCTION("""COMPUTED_VALUE"""),-0.693348338086761)</f>
        <v>-0.693348338086761</v>
      </c>
      <c r="KY5" s="3">
        <f ca="1">IFERROR(__xludf.DUMMYFUNCTION("""COMPUTED_VALUE"""),-0.615062317355108)</f>
        <v>-0.61506231735510797</v>
      </c>
      <c r="KZ5" s="3">
        <f ca="1">IFERROR(__xludf.DUMMYFUNCTION("""COMPUTED_VALUE"""),-0.57742439557165)</f>
        <v>-0.57742439557165004</v>
      </c>
      <c r="LA5" s="3">
        <f ca="1">IFERROR(__xludf.DUMMYFUNCTION("""COMPUTED_VALUE"""),-0.541455608615029)</f>
        <v>-0.54145560861502895</v>
      </c>
      <c r="LB5" s="3">
        <f ca="1">IFERROR(__xludf.DUMMYFUNCTION("""COMPUTED_VALUE"""),-0.623718512633486)</f>
        <v>-0.62371851263348599</v>
      </c>
      <c r="LC5" s="3">
        <f ca="1">IFERROR(__xludf.DUMMYFUNCTION("""COMPUTED_VALUE"""),-0.646504654106525)</f>
        <v>-0.64650465410652502</v>
      </c>
      <c r="LD5" s="3">
        <f ca="1">IFERROR(__xludf.DUMMYFUNCTION("""COMPUTED_VALUE"""),-0.620663659937787)</f>
        <v>-0.62066365993778705</v>
      </c>
      <c r="LE5" s="3">
        <f ca="1">IFERROR(__xludf.DUMMYFUNCTION("""COMPUTED_VALUE"""),-0.605971767270938)</f>
        <v>-0.60597176727093804</v>
      </c>
      <c r="LF5" s="3">
        <f ca="1">IFERROR(__xludf.DUMMYFUNCTION("""COMPUTED_VALUE"""),-0.538403509321072)</f>
        <v>-0.53840350932107195</v>
      </c>
      <c r="LG5" s="3">
        <f ca="1">IFERROR(__xludf.DUMMYFUNCTION("""COMPUTED_VALUE"""),-0.549268493006307)</f>
        <v>-0.54926849300630698</v>
      </c>
      <c r="LH5" s="3">
        <f ca="1">IFERROR(__xludf.DUMMYFUNCTION("""COMPUTED_VALUE"""),-0.534844736357204)</f>
        <v>-0.53484473635720398</v>
      </c>
      <c r="LI5" s="3">
        <f ca="1">IFERROR(__xludf.DUMMYFUNCTION("""COMPUTED_VALUE"""),-0.585761473786156)</f>
        <v>-0.58576147378615595</v>
      </c>
      <c r="LJ5" s="3">
        <f ca="1">IFERROR(__xludf.DUMMYFUNCTION("""COMPUTED_VALUE"""),-0.587984494269121)</f>
        <v>-0.58798449426912103</v>
      </c>
      <c r="LK5" s="3">
        <f ca="1">IFERROR(__xludf.DUMMYFUNCTION("""COMPUTED_VALUE"""),-0.692993139200086)</f>
        <v>-0.69299313920008598</v>
      </c>
      <c r="LL5" s="3">
        <f ca="1">IFERROR(__xludf.DUMMYFUNCTION("""COMPUTED_VALUE"""),-0.683449067014411)</f>
        <v>-0.68344906701441099</v>
      </c>
      <c r="LM5" s="3">
        <f ca="1">IFERROR(__xludf.DUMMYFUNCTION("""COMPUTED_VALUE"""),-0.727649567393245)</f>
        <v>-0.72764956739324504</v>
      </c>
      <c r="LN5" s="3">
        <f ca="1">IFERROR(__xludf.DUMMYFUNCTION("""COMPUTED_VALUE"""),-0.558684904418159)</f>
        <v>-0.55868490441815899</v>
      </c>
      <c r="LO5" s="3">
        <f ca="1">IFERROR(__xludf.DUMMYFUNCTION("""COMPUTED_VALUE"""),-0.637349101411362)</f>
        <v>-0.63734910141136203</v>
      </c>
      <c r="LP5" s="3">
        <f ca="1">IFERROR(__xludf.DUMMYFUNCTION("""COMPUTED_VALUE"""),-0.660117306203094)</f>
        <v>-0.66011730620309395</v>
      </c>
      <c r="LQ5" s="3">
        <f ca="1">IFERROR(__xludf.DUMMYFUNCTION("""COMPUTED_VALUE"""),-0.703690954154867)</f>
        <v>-0.70369095415486704</v>
      </c>
      <c r="LR5" s="3">
        <f ca="1">IFERROR(__xludf.DUMMYFUNCTION("""COMPUTED_VALUE"""),-0.654116254200536)</f>
        <v>-0.65411625420053598</v>
      </c>
      <c r="LS5" s="3">
        <f ca="1">IFERROR(__xludf.DUMMYFUNCTION("""COMPUTED_VALUE"""),-0.647261907340242)</f>
        <v>-0.64726190734024203</v>
      </c>
      <c r="LT5" s="3">
        <f ca="1">IFERROR(__xludf.DUMMYFUNCTION("""COMPUTED_VALUE"""),-0.639215392849983)</f>
        <v>-0.63921539284998297</v>
      </c>
      <c r="LU5" s="3">
        <f ca="1">IFERROR(__xludf.DUMMYFUNCTION("""COMPUTED_VALUE"""),-0.569349765660804)</f>
        <v>-0.56934976566080397</v>
      </c>
      <c r="LV5" s="3">
        <f ca="1">IFERROR(__xludf.DUMMYFUNCTION("""COMPUTED_VALUE"""),-0.600458698731459)</f>
        <v>-0.60045869873145896</v>
      </c>
      <c r="LW5" s="3">
        <f ca="1">IFERROR(__xludf.DUMMYFUNCTION("""COMPUTED_VALUE"""),-0.60610366243747)</f>
        <v>-0.60610366243747005</v>
      </c>
      <c r="LX5" s="3">
        <f ca="1">IFERROR(__xludf.DUMMYFUNCTION("""COMPUTED_VALUE"""),-0.63301683215444)</f>
        <v>-0.63301683215444005</v>
      </c>
      <c r="LY5" s="3">
        <f ca="1">IFERROR(__xludf.DUMMYFUNCTION("""COMPUTED_VALUE"""),-0.617047340786847)</f>
        <v>-0.61704734078684698</v>
      </c>
      <c r="LZ5" s="3">
        <f ca="1">IFERROR(__xludf.DUMMYFUNCTION("""COMPUTED_VALUE"""),-0.686778786146365)</f>
        <v>-0.68677878614636501</v>
      </c>
      <c r="MA5" s="3">
        <f ca="1">IFERROR(__xludf.DUMMYFUNCTION("""COMPUTED_VALUE"""),-0.654044816072674)</f>
        <v>-0.65404481607267395</v>
      </c>
      <c r="MB5" s="3">
        <f ca="1">IFERROR(__xludf.DUMMYFUNCTION("""COMPUTED_VALUE"""),-0.505497731570961)</f>
        <v>-0.50549773157096101</v>
      </c>
      <c r="MC5" s="3">
        <f ca="1">IFERROR(__xludf.DUMMYFUNCTION("""COMPUTED_VALUE"""),-0.59797689053909)</f>
        <v>-0.59797689053908998</v>
      </c>
      <c r="MD5" s="3">
        <f ca="1">IFERROR(__xludf.DUMMYFUNCTION("""COMPUTED_VALUE"""),-0.662448911439024)</f>
        <v>-0.66244891143902396</v>
      </c>
      <c r="ME5" s="3">
        <f ca="1">IFERROR(__xludf.DUMMYFUNCTION("""COMPUTED_VALUE"""),-0.63540462072841)</f>
        <v>-0.63540462072840997</v>
      </c>
      <c r="MF5" s="3">
        <f ca="1">IFERROR(__xludf.DUMMYFUNCTION("""COMPUTED_VALUE"""),-0.62917995581658)</f>
        <v>-0.62917995581658004</v>
      </c>
      <c r="MG5" s="3">
        <f ca="1">IFERROR(__xludf.DUMMYFUNCTION("""COMPUTED_VALUE"""),-0.628792390632813)</f>
        <v>-0.628792390632813</v>
      </c>
      <c r="MH5" s="3">
        <f ca="1">IFERROR(__xludf.DUMMYFUNCTION("""COMPUTED_VALUE"""),-0.630186205753506)</f>
        <v>-0.63018620575350603</v>
      </c>
      <c r="MI5" s="3">
        <f ca="1">IFERROR(__xludf.DUMMYFUNCTION("""COMPUTED_VALUE"""),-0.508738327545379)</f>
        <v>-0.50873832754537895</v>
      </c>
      <c r="MJ5" s="3">
        <f ca="1">IFERROR(__xludf.DUMMYFUNCTION("""COMPUTED_VALUE"""),-0.57289418148322)</f>
        <v>-0.57289418148322002</v>
      </c>
      <c r="MK5" s="3">
        <f ca="1">IFERROR(__xludf.DUMMYFUNCTION("""COMPUTED_VALUE"""),-0.581829135624618)</f>
        <v>-0.58182913562461802</v>
      </c>
      <c r="ML5" s="3">
        <f ca="1">IFERROR(__xludf.DUMMYFUNCTION("""COMPUTED_VALUE"""),-0.668629183202177)</f>
        <v>-0.66862918320217701</v>
      </c>
      <c r="MM5" s="3">
        <f ca="1">IFERROR(__xludf.DUMMYFUNCTION("""COMPUTED_VALUE"""),-0.642286265039781)</f>
        <v>-0.64228626503978103</v>
      </c>
      <c r="MN5" s="3">
        <f ca="1">IFERROR(__xludf.DUMMYFUNCTION("""COMPUTED_VALUE"""),-0.616965255296808)</f>
        <v>-0.61696525529680801</v>
      </c>
      <c r="MO5" s="3">
        <f ca="1">IFERROR(__xludf.DUMMYFUNCTION("""COMPUTED_VALUE"""),-0.549712020895618)</f>
        <v>-0.54971202089561799</v>
      </c>
      <c r="MP5" s="3">
        <f ca="1">IFERROR(__xludf.DUMMYFUNCTION("""COMPUTED_VALUE"""),-0.447046754765376)</f>
        <v>-0.44704675476537598</v>
      </c>
      <c r="MQ5" s="3">
        <f ca="1">IFERROR(__xludf.DUMMYFUNCTION("""COMPUTED_VALUE"""),-0.582918746654543)</f>
        <v>-0.58291874665454302</v>
      </c>
      <c r="MR5" s="3">
        <f ca="1">IFERROR(__xludf.DUMMYFUNCTION("""COMPUTED_VALUE"""),-0.49534611385421)</f>
        <v>-0.49534611385421001</v>
      </c>
      <c r="MS5" s="3">
        <f ca="1">IFERROR(__xludf.DUMMYFUNCTION("""COMPUTED_VALUE"""),-0.706093260470277)</f>
        <v>-0.70609326047027698</v>
      </c>
      <c r="MT5" s="3">
        <f ca="1">IFERROR(__xludf.DUMMYFUNCTION("""COMPUTED_VALUE"""),-0.57534422830782)</f>
        <v>-0.57534422830781995</v>
      </c>
      <c r="MU5" s="3">
        <f ca="1">IFERROR(__xludf.DUMMYFUNCTION("""COMPUTED_VALUE"""),-0.570400358402842)</f>
        <v>-0.57040035840284198</v>
      </c>
      <c r="MV5" s="3">
        <f ca="1">IFERROR(__xludf.DUMMYFUNCTION("""COMPUTED_VALUE"""),-0.424507814772589)</f>
        <v>-0.42450781477258898</v>
      </c>
      <c r="MW5" s="3">
        <f ca="1">IFERROR(__xludf.DUMMYFUNCTION("""COMPUTED_VALUE"""),-0.476454411980837)</f>
        <v>-0.47645441198083699</v>
      </c>
      <c r="MX5" s="3">
        <f ca="1">IFERROR(__xludf.DUMMYFUNCTION("""COMPUTED_VALUE"""),-0.310453215808542)</f>
        <v>-0.31045321580854202</v>
      </c>
      <c r="MY5" s="3">
        <f ca="1">IFERROR(__xludf.DUMMYFUNCTION("""COMPUTED_VALUE"""),-0.441059116581804)</f>
        <v>-0.44105911658180402</v>
      </c>
      <c r="MZ5" s="3">
        <f ca="1">IFERROR(__xludf.DUMMYFUNCTION("""COMPUTED_VALUE"""),-0.535465822899272)</f>
        <v>-0.53546582289927203</v>
      </c>
      <c r="NA5" s="3">
        <f ca="1">IFERROR(__xludf.DUMMYFUNCTION("""COMPUTED_VALUE"""),-0.401572771627267)</f>
        <v>-0.40157277162726701</v>
      </c>
      <c r="NB5" s="3">
        <f ca="1">IFERROR(__xludf.DUMMYFUNCTION("""COMPUTED_VALUE"""),-0.445236704957779)</f>
        <v>-0.44523670495777901</v>
      </c>
      <c r="NC5" s="3">
        <f ca="1">IFERROR(__xludf.DUMMYFUNCTION("""COMPUTED_VALUE"""),-0.362450400559799)</f>
        <v>-0.36245040055979899</v>
      </c>
      <c r="ND5" s="3">
        <f ca="1">IFERROR(__xludf.DUMMYFUNCTION("""COMPUTED_VALUE"""),-0.49226103700405)</f>
        <v>-0.49226103700404999</v>
      </c>
      <c r="NE5" s="3">
        <f ca="1">IFERROR(__xludf.DUMMYFUNCTION("""COMPUTED_VALUE"""),-0.399121898072685)</f>
        <v>-0.399121898072685</v>
      </c>
      <c r="NF5" s="3">
        <f ca="1">IFERROR(__xludf.DUMMYFUNCTION("""COMPUTED_VALUE"""),-0.394380426641386)</f>
        <v>-0.39438042664138601</v>
      </c>
      <c r="NG5" s="3">
        <f ca="1">IFERROR(__xludf.DUMMYFUNCTION("""COMPUTED_VALUE"""),-0.534467835914052)</f>
        <v>-0.534467835914052</v>
      </c>
      <c r="NH5" s="3">
        <f ca="1">IFERROR(__xludf.DUMMYFUNCTION("""COMPUTED_VALUE"""),-0.503476958988627)</f>
        <v>-0.50347695898862699</v>
      </c>
      <c r="NI5" s="3">
        <f ca="1">IFERROR(__xludf.DUMMYFUNCTION("""COMPUTED_VALUE"""),-0.465127409686142)</f>
        <v>-0.46512740968614202</v>
      </c>
      <c r="NJ5" s="3">
        <f ca="1">IFERROR(__xludf.DUMMYFUNCTION("""COMPUTED_VALUE"""),-0.456204452499419)</f>
        <v>-0.45620445249941899</v>
      </c>
      <c r="NK5" s="3">
        <f ca="1">IFERROR(__xludf.DUMMYFUNCTION("""COMPUTED_VALUE"""),-0.466213213624257)</f>
        <v>-0.46621321362425699</v>
      </c>
      <c r="NL5" s="3">
        <f ca="1">IFERROR(__xludf.DUMMYFUNCTION("""COMPUTED_VALUE"""),-0.429953586335694)</f>
        <v>-0.42995358633569403</v>
      </c>
      <c r="NM5" s="3">
        <f ca="1">IFERROR(__xludf.DUMMYFUNCTION("""COMPUTED_VALUE"""),-0.492645475470191)</f>
        <v>-0.492645475470191</v>
      </c>
      <c r="NN5" s="3">
        <f ca="1">IFERROR(__xludf.DUMMYFUNCTION("""COMPUTED_VALUE"""),-0.42694399685527)</f>
        <v>-0.42694399685527001</v>
      </c>
      <c r="NO5" s="3">
        <f ca="1">IFERROR(__xludf.DUMMYFUNCTION("""COMPUTED_VALUE"""),-0.446530387526271)</f>
        <v>-0.446530387526271</v>
      </c>
      <c r="NP5" s="3">
        <f ca="1">IFERROR(__xludf.DUMMYFUNCTION("""COMPUTED_VALUE"""),-0.352427569819532)</f>
        <v>-0.35242756981953199</v>
      </c>
      <c r="NQ5" s="3">
        <f ca="1">IFERROR(__xludf.DUMMYFUNCTION("""COMPUTED_VALUE"""),-0.388382459159872)</f>
        <v>-0.38838245915987202</v>
      </c>
      <c r="NR5" s="3">
        <f ca="1">IFERROR(__xludf.DUMMYFUNCTION("""COMPUTED_VALUE"""),-0.462845141759761)</f>
        <v>-0.46284514175976099</v>
      </c>
      <c r="NS5" s="3">
        <f ca="1">IFERROR(__xludf.DUMMYFUNCTION("""COMPUTED_VALUE"""),-0.467502564287135)</f>
        <v>-0.46750256428713499</v>
      </c>
      <c r="NT5" s="3">
        <f ca="1">IFERROR(__xludf.DUMMYFUNCTION("""COMPUTED_VALUE"""),-0.509755063672908)</f>
        <v>-0.50975506367290802</v>
      </c>
      <c r="NU5" s="3">
        <f ca="1">IFERROR(__xludf.DUMMYFUNCTION("""COMPUTED_VALUE"""),-0.551279039985628)</f>
        <v>-0.55127903998562799</v>
      </c>
      <c r="NV5" s="3">
        <f ca="1">IFERROR(__xludf.DUMMYFUNCTION("""COMPUTED_VALUE"""),-0.595986860367033)</f>
        <v>-0.59598686036703297</v>
      </c>
      <c r="NW5" s="3">
        <f ca="1">IFERROR(__xludf.DUMMYFUNCTION("""COMPUTED_VALUE"""),-0.508645137418421)</f>
        <v>-0.50864513741842099</v>
      </c>
      <c r="NX5" s="3">
        <f ca="1">IFERROR(__xludf.DUMMYFUNCTION("""COMPUTED_VALUE"""),-0.620299627641651)</f>
        <v>-0.62029962764165103</v>
      </c>
      <c r="NY5" s="3">
        <f ca="1">IFERROR(__xludf.DUMMYFUNCTION("""COMPUTED_VALUE"""),-0.470072093812019)</f>
        <v>-0.47007209381201898</v>
      </c>
      <c r="NZ5" s="3">
        <f ca="1">IFERROR(__xludf.DUMMYFUNCTION("""COMPUTED_VALUE"""),-0.49168951839693)</f>
        <v>-0.49168951839692998</v>
      </c>
      <c r="OA5" s="3">
        <f ca="1">IFERROR(__xludf.DUMMYFUNCTION("""COMPUTED_VALUE"""),-0.418776888395703)</f>
        <v>-0.41877688839570298</v>
      </c>
      <c r="OB5" s="3">
        <f ca="1">IFERROR(__xludf.DUMMYFUNCTION("""COMPUTED_VALUE"""),-0.366777677900251)</f>
        <v>-0.36677767790025101</v>
      </c>
      <c r="OC5" s="3">
        <f ca="1">IFERROR(__xludf.DUMMYFUNCTION("""COMPUTED_VALUE"""),-0.446666002838655)</f>
        <v>-0.44666600283865499</v>
      </c>
      <c r="OD5" s="3">
        <f ca="1">IFERROR(__xludf.DUMMYFUNCTION("""COMPUTED_VALUE"""),-0.386184119004735)</f>
        <v>-0.38618411900473498</v>
      </c>
      <c r="OE5" s="3">
        <f ca="1">IFERROR(__xludf.DUMMYFUNCTION("""COMPUTED_VALUE"""),-0.335354072380173)</f>
        <v>-0.33535407238017301</v>
      </c>
      <c r="OF5" s="3">
        <f ca="1">IFERROR(__xludf.DUMMYFUNCTION("""COMPUTED_VALUE"""),-0.271438094030554)</f>
        <v>-0.27143809403055402</v>
      </c>
      <c r="OG5" s="3">
        <f ca="1">IFERROR(__xludf.DUMMYFUNCTION("""COMPUTED_VALUE"""),-0.184070489759752)</f>
        <v>-0.18407048975975199</v>
      </c>
      <c r="OH5" s="3">
        <f ca="1">IFERROR(__xludf.DUMMYFUNCTION("""COMPUTED_VALUE"""),-0.180114855735208)</f>
        <v>-0.180114855735208</v>
      </c>
      <c r="OI5" s="3">
        <f ca="1">IFERROR(__xludf.DUMMYFUNCTION("""COMPUTED_VALUE"""),-0.0933101843868593)</f>
        <v>-9.3310184386859299E-2</v>
      </c>
      <c r="OJ5" s="3">
        <f ca="1">IFERROR(__xludf.DUMMYFUNCTION("""COMPUTED_VALUE"""),-0.0356378869633824)</f>
        <v>-3.5637886963382402E-2</v>
      </c>
      <c r="OK5" s="3">
        <f ca="1">IFERROR(__xludf.DUMMYFUNCTION("""COMPUTED_VALUE"""),-0.0560238488626014)</f>
        <v>-5.6023848862601401E-2</v>
      </c>
      <c r="OL5" s="3">
        <f ca="1">IFERROR(__xludf.DUMMYFUNCTION("""COMPUTED_VALUE"""),0.00745004874972088)</f>
        <v>7.4500487497208799E-3</v>
      </c>
      <c r="OM5" s="3">
        <f ca="1">IFERROR(__xludf.DUMMYFUNCTION("""COMPUTED_VALUE"""),-0.0397872234470177)</f>
        <v>-3.9787223447017697E-2</v>
      </c>
      <c r="ON5" s="3">
        <f ca="1">IFERROR(__xludf.DUMMYFUNCTION("""COMPUTED_VALUE"""),0.132779991784355)</f>
        <v>0.13277999178435501</v>
      </c>
      <c r="OO5" s="3">
        <f ca="1">IFERROR(__xludf.DUMMYFUNCTION("""COMPUTED_VALUE"""),0.0804972163225956)</f>
        <v>8.0497216322595599E-2</v>
      </c>
      <c r="OP5" s="3">
        <f ca="1">IFERROR(__xludf.DUMMYFUNCTION("""COMPUTED_VALUE"""),0.149242421748629)</f>
        <v>0.14924242174862901</v>
      </c>
      <c r="OQ5" s="3">
        <f ca="1">IFERROR(__xludf.DUMMYFUNCTION("""COMPUTED_VALUE"""),0.00571392578113139)</f>
        <v>5.7139257811313904E-3</v>
      </c>
      <c r="OR5" s="3">
        <f ca="1">IFERROR(__xludf.DUMMYFUNCTION("""COMPUTED_VALUE"""),0.057438460889394)</f>
        <v>5.7438460889394E-2</v>
      </c>
      <c r="OS5" s="3">
        <f ca="1">IFERROR(__xludf.DUMMYFUNCTION("""COMPUTED_VALUE"""),-0.00253607899342933)</f>
        <v>-2.5360789934293299E-3</v>
      </c>
      <c r="OT5" s="3">
        <f ca="1">IFERROR(__xludf.DUMMYFUNCTION("""COMPUTED_VALUE"""),0.0485464419692069)</f>
        <v>4.8546441969206898E-2</v>
      </c>
      <c r="OU5" s="3">
        <f ca="1">IFERROR(__xludf.DUMMYFUNCTION("""COMPUTED_VALUE"""),0.070357325905038)</f>
        <v>7.0357325905038001E-2</v>
      </c>
      <c r="OV5" s="3">
        <f ca="1">IFERROR(__xludf.DUMMYFUNCTION("""COMPUTED_VALUE"""),-0.0442862456752624)</f>
        <v>-4.4286245675262403E-2</v>
      </c>
      <c r="OW5" s="3">
        <f ca="1">IFERROR(__xludf.DUMMYFUNCTION("""COMPUTED_VALUE"""),0.0528769255132546)</f>
        <v>5.2876925513254597E-2</v>
      </c>
      <c r="OX5" s="3">
        <f ca="1">IFERROR(__xludf.DUMMYFUNCTION("""COMPUTED_VALUE"""),0.013976885533441)</f>
        <v>1.3976885533440999E-2</v>
      </c>
      <c r="OY5" s="3">
        <f ca="1">IFERROR(__xludf.DUMMYFUNCTION("""COMPUTED_VALUE"""),0.0572545676305586)</f>
        <v>5.7254567630558598E-2</v>
      </c>
      <c r="OZ5" s="3">
        <f ca="1">IFERROR(__xludf.DUMMYFUNCTION("""COMPUTED_VALUE"""),-0.118404499200842)</f>
        <v>-0.11840449920084201</v>
      </c>
      <c r="PA5" s="3">
        <f ca="1">IFERROR(__xludf.DUMMYFUNCTION("""COMPUTED_VALUE"""),0.161651776241994)</f>
        <v>0.16165177624199401</v>
      </c>
      <c r="PB5" s="3">
        <f ca="1">IFERROR(__xludf.DUMMYFUNCTION("""COMPUTED_VALUE"""),-0.0727844626131207)</f>
        <v>-7.2784462613120701E-2</v>
      </c>
      <c r="PC5" s="3">
        <f ca="1">IFERROR(__xludf.DUMMYFUNCTION("""COMPUTED_VALUE"""),-0.088458764183956)</f>
        <v>-8.8458764183955998E-2</v>
      </c>
      <c r="PD5" s="3">
        <f ca="1">IFERROR(__xludf.DUMMYFUNCTION("""COMPUTED_VALUE"""),-0.012208789067535)</f>
        <v>-1.2208789067535E-2</v>
      </c>
      <c r="PE5" s="3">
        <f ca="1">IFERROR(__xludf.DUMMYFUNCTION("""COMPUTED_VALUE"""),0.0518549835461585)</f>
        <v>5.1854983546158501E-2</v>
      </c>
      <c r="PF5" s="3">
        <f ca="1">IFERROR(__xludf.DUMMYFUNCTION("""COMPUTED_VALUE"""),0.0795169238866051)</f>
        <v>7.9516923886605098E-2</v>
      </c>
      <c r="PG5" s="3">
        <f ca="1">IFERROR(__xludf.DUMMYFUNCTION("""COMPUTED_VALUE"""),-0.0237269676610556)</f>
        <v>-2.3726967661055601E-2</v>
      </c>
      <c r="PH5" s="3">
        <f ca="1">IFERROR(__xludf.DUMMYFUNCTION("""COMPUTED_VALUE"""),-0.0283777154982048)</f>
        <v>-2.8377715498204802E-2</v>
      </c>
      <c r="PI5" s="3">
        <f ca="1">IFERROR(__xludf.DUMMYFUNCTION("""COMPUTED_VALUE"""),0.0577759678608493)</f>
        <v>5.7775967860849299E-2</v>
      </c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</row>
    <row r="6" spans="1:477" ht="15.75" customHeight="1">
      <c r="A6" s="1" t="str">
        <f ca="1">IFERROR(__xludf.DUMMYFUNCTION("""COMPUTED_VALUE"""),"Capital Metro")</f>
        <v>Capital Metro</v>
      </c>
      <c r="B6" s="1" t="str">
        <f ca="1">IFERROR(__xludf.DUMMYFUNCTION("""COMPUTED_VALUE"""),"Austin")</f>
        <v>Austin</v>
      </c>
      <c r="C6" s="1" t="str">
        <f ca="1">IFERROR(__xludf.DUMMYFUNCTION("""COMPUTED_VALUE"""),"United States")</f>
        <v>United States</v>
      </c>
      <c r="D6" s="1" t="str">
        <f ca="1">IFERROR(__xludf.DUMMYFUNCTION("""COMPUTED_VALUE"""),"Texas")</f>
        <v>Texas</v>
      </c>
      <c r="E6" s="3">
        <f ca="1">IFERROR(__xludf.DUMMYFUNCTION("""COMPUTED_VALUE"""),-0.541217028063628)</f>
        <v>-0.54121702806362804</v>
      </c>
      <c r="F6" s="3">
        <f ca="1">IFERROR(__xludf.DUMMYFUNCTION("""COMPUTED_VALUE"""),-0.687497500191089)</f>
        <v>-0.68749750019108902</v>
      </c>
      <c r="G6" s="3">
        <f ca="1">IFERROR(__xludf.DUMMYFUNCTION("""COMPUTED_VALUE"""),-0.695323729390348)</f>
        <v>-0.69532372939034803</v>
      </c>
      <c r="H6" s="3">
        <f ca="1">IFERROR(__xludf.DUMMYFUNCTION("""COMPUTED_VALUE"""),-0.696125070302484)</f>
        <v>-0.69612507030248405</v>
      </c>
      <c r="I6" s="3">
        <f ca="1">IFERROR(__xludf.DUMMYFUNCTION("""COMPUTED_VALUE"""),-0.707879859710674)</f>
        <v>-0.70787985971067402</v>
      </c>
      <c r="J6" s="3">
        <f ca="1">IFERROR(__xludf.DUMMYFUNCTION("""COMPUTED_VALUE"""),-0.738965312299791)</f>
        <v>-0.73896531229979101</v>
      </c>
      <c r="K6" s="3">
        <f ca="1">IFERROR(__xludf.DUMMYFUNCTION("""COMPUTED_VALUE"""),-0.610616336711651)</f>
        <v>-0.61061633671165105</v>
      </c>
      <c r="L6" s="3">
        <f ca="1">IFERROR(__xludf.DUMMYFUNCTION("""COMPUTED_VALUE"""),-0.583342001841156)</f>
        <v>-0.58334200184115603</v>
      </c>
      <c r="M6" s="3">
        <f ca="1">IFERROR(__xludf.DUMMYFUNCTION("""COMPUTED_VALUE"""),-0.711493577604642)</f>
        <v>-0.71149357760464205</v>
      </c>
      <c r="N6" s="3">
        <f ca="1">IFERROR(__xludf.DUMMYFUNCTION("""COMPUTED_VALUE"""),-0.718205037796191)</f>
        <v>-0.71820503779619105</v>
      </c>
      <c r="O6" s="3">
        <f ca="1">IFERROR(__xludf.DUMMYFUNCTION("""COMPUTED_VALUE"""),-0.728129385026095)</f>
        <v>-0.72812938502609503</v>
      </c>
      <c r="P6" s="3">
        <f ca="1">IFERROR(__xludf.DUMMYFUNCTION("""COMPUTED_VALUE"""),-0.718037709270226)</f>
        <v>-0.71803770927022603</v>
      </c>
      <c r="Q6" s="3">
        <f ca="1">IFERROR(__xludf.DUMMYFUNCTION("""COMPUTED_VALUE"""),-0.726226927800837)</f>
        <v>-0.72622692780083697</v>
      </c>
      <c r="R6" s="3">
        <f ca="1">IFERROR(__xludf.DUMMYFUNCTION("""COMPUTED_VALUE"""),-0.494157519916878)</f>
        <v>-0.49415751991687801</v>
      </c>
      <c r="S6" s="3">
        <f ca="1">IFERROR(__xludf.DUMMYFUNCTION("""COMPUTED_VALUE"""),-0.586587231657038)</f>
        <v>-0.58658723165703797</v>
      </c>
      <c r="T6" s="3">
        <f ca="1">IFERROR(__xludf.DUMMYFUNCTION("""COMPUTED_VALUE"""),-0.668038100092599)</f>
        <v>-0.66803810009259901</v>
      </c>
      <c r="U6" s="3">
        <f ca="1">IFERROR(__xludf.DUMMYFUNCTION("""COMPUTED_VALUE"""),-0.712831595254009)</f>
        <v>-0.71283159525400897</v>
      </c>
      <c r="V6" s="3">
        <f ca="1">IFERROR(__xludf.DUMMYFUNCTION("""COMPUTED_VALUE"""),-0.702515969453221)</f>
        <v>-0.70251596945322103</v>
      </c>
      <c r="W6" s="3">
        <f ca="1">IFERROR(__xludf.DUMMYFUNCTION("""COMPUTED_VALUE"""),-0.688432930492843)</f>
        <v>-0.68843293049284304</v>
      </c>
      <c r="X6" s="3">
        <f ca="1">IFERROR(__xludf.DUMMYFUNCTION("""COMPUTED_VALUE"""),-0.705803744724429)</f>
        <v>-0.70580374472442897</v>
      </c>
      <c r="Y6" s="3">
        <f ca="1">IFERROR(__xludf.DUMMYFUNCTION("""COMPUTED_VALUE"""),-0.495671062641208)</f>
        <v>-0.49567106264120803</v>
      </c>
      <c r="Z6" s="3">
        <f ca="1">IFERROR(__xludf.DUMMYFUNCTION("""COMPUTED_VALUE"""),-0.581607158518133)</f>
        <v>-0.58160715851813305</v>
      </c>
      <c r="AA6" s="3">
        <f ca="1">IFERROR(__xludf.DUMMYFUNCTION("""COMPUTED_VALUE"""),-0.717979763599343)</f>
        <v>-0.71797976359934301</v>
      </c>
      <c r="AB6" s="3">
        <f ca="1">IFERROR(__xludf.DUMMYFUNCTION("""COMPUTED_VALUE"""),-0.723862842533068)</f>
        <v>-0.72386284253306798</v>
      </c>
      <c r="AC6" s="3">
        <f ca="1">IFERROR(__xludf.DUMMYFUNCTION("""COMPUTED_VALUE"""),-0.72894347572466)</f>
        <v>-0.72894347572466001</v>
      </c>
      <c r="AD6" s="3">
        <f ca="1">IFERROR(__xludf.DUMMYFUNCTION("""COMPUTED_VALUE"""),-0.712263405639853)</f>
        <v>-0.71226340563985302</v>
      </c>
      <c r="AE6" s="3">
        <f ca="1">IFERROR(__xludf.DUMMYFUNCTION("""COMPUTED_VALUE"""),-0.697764949616904)</f>
        <v>-0.69776494961690405</v>
      </c>
      <c r="AF6" s="3">
        <f ca="1">IFERROR(__xludf.DUMMYFUNCTION("""COMPUTED_VALUE"""),-0.567595232859206)</f>
        <v>-0.56759523285920599</v>
      </c>
      <c r="AG6" s="3">
        <f ca="1">IFERROR(__xludf.DUMMYFUNCTION("""COMPUTED_VALUE"""),-0.638589739309179)</f>
        <v>-0.63858973930917895</v>
      </c>
      <c r="AH6" s="3">
        <f ca="1">IFERROR(__xludf.DUMMYFUNCTION("""COMPUTED_VALUE"""),-0.724754286773797)</f>
        <v>-0.72475428677379705</v>
      </c>
      <c r="AI6" s="3">
        <f ca="1">IFERROR(__xludf.DUMMYFUNCTION("""COMPUTED_VALUE"""),-0.707624534036392)</f>
        <v>-0.70762453403639203</v>
      </c>
      <c r="AJ6" s="3">
        <f ca="1">IFERROR(__xludf.DUMMYFUNCTION("""COMPUTED_VALUE"""),-0.716871555973003)</f>
        <v>-0.71687155597300301</v>
      </c>
      <c r="AK6" s="3">
        <f ca="1">IFERROR(__xludf.DUMMYFUNCTION("""COMPUTED_VALUE"""),-0.701064563522616)</f>
        <v>-0.70106456352261604</v>
      </c>
      <c r="AL6" s="3">
        <f ca="1">IFERROR(__xludf.DUMMYFUNCTION("""COMPUTED_VALUE"""),-0.705453165714604)</f>
        <v>-0.70545316571460404</v>
      </c>
      <c r="AM6" s="3">
        <f ca="1">IFERROR(__xludf.DUMMYFUNCTION("""COMPUTED_VALUE"""),-0.583129039766811)</f>
        <v>-0.58312903976681096</v>
      </c>
      <c r="AN6" s="3">
        <f ca="1">IFERROR(__xludf.DUMMYFUNCTION("""COMPUTED_VALUE"""),-0.623322812948519)</f>
        <v>-0.62332281294851899</v>
      </c>
      <c r="AO6" s="3">
        <f ca="1">IFERROR(__xludf.DUMMYFUNCTION("""COMPUTED_VALUE"""),-0.729228371634622)</f>
        <v>-0.72922837163462195</v>
      </c>
      <c r="AP6" s="3">
        <f ca="1">IFERROR(__xludf.DUMMYFUNCTION("""COMPUTED_VALUE"""),-0.744363061012576)</f>
        <v>-0.74436306101257599</v>
      </c>
      <c r="AQ6" s="3">
        <f ca="1">IFERROR(__xludf.DUMMYFUNCTION("""COMPUTED_VALUE"""),-0.743560716150816)</f>
        <v>-0.74356071615081598</v>
      </c>
      <c r="AR6" s="3">
        <f ca="1">IFERROR(__xludf.DUMMYFUNCTION("""COMPUTED_VALUE"""),-0.731481817275022)</f>
        <v>-0.73148181727502204</v>
      </c>
      <c r="AS6" s="3">
        <f ca="1">IFERROR(__xludf.DUMMYFUNCTION("""COMPUTED_VALUE"""),-0.753463358358844)</f>
        <v>-0.75346335835884404</v>
      </c>
      <c r="AT6" s="3">
        <f ca="1">IFERROR(__xludf.DUMMYFUNCTION("""COMPUTED_VALUE"""),-0.614940509663553)</f>
        <v>-0.61494050966355296</v>
      </c>
      <c r="AU6" s="3">
        <f ca="1">IFERROR(__xludf.DUMMYFUNCTION("""COMPUTED_VALUE"""),-0.625430073569352)</f>
        <v>-0.62543007356935199</v>
      </c>
      <c r="AV6" s="3">
        <f ca="1">IFERROR(__xludf.DUMMYFUNCTION("""COMPUTED_VALUE"""),-0.732613507527431)</f>
        <v>-0.73261350752743104</v>
      </c>
      <c r="AW6" s="3">
        <f ca="1">IFERROR(__xludf.DUMMYFUNCTION("""COMPUTED_VALUE"""),-0.747059858260702)</f>
        <v>-0.74705985826070198</v>
      </c>
      <c r="AX6" s="3">
        <f ca="1">IFERROR(__xludf.DUMMYFUNCTION("""COMPUTED_VALUE"""),-0.732327395037373)</f>
        <v>-0.73232739503737299</v>
      </c>
      <c r="AY6" s="3">
        <f ca="1">IFERROR(__xludf.DUMMYFUNCTION("""COMPUTED_VALUE"""),-0.72388211650688)</f>
        <v>-0.72388211650687995</v>
      </c>
      <c r="AZ6" s="3">
        <f ca="1">IFERROR(__xludf.DUMMYFUNCTION("""COMPUTED_VALUE"""),-0.721109056649716)</f>
        <v>-0.72110905664971603</v>
      </c>
      <c r="BA6" s="3">
        <f ca="1">IFERROR(__xludf.DUMMYFUNCTION("""COMPUTED_VALUE"""),-0.55496460865637)</f>
        <v>-0.55496460865636998</v>
      </c>
      <c r="BB6" s="3">
        <f ca="1">IFERROR(__xludf.DUMMYFUNCTION("""COMPUTED_VALUE"""),-0.576694549890426)</f>
        <v>-0.57669454989042601</v>
      </c>
      <c r="BC6" s="3">
        <f ca="1">IFERROR(__xludf.DUMMYFUNCTION("""COMPUTED_VALUE"""),-0.730792385281607)</f>
        <v>-0.73079238528160695</v>
      </c>
      <c r="BD6" s="3">
        <f ca="1">IFERROR(__xludf.DUMMYFUNCTION("""COMPUTED_VALUE"""),-0.8631432338361)</f>
        <v>-0.86314323383610003</v>
      </c>
      <c r="BE6" s="3">
        <f ca="1">IFERROR(__xludf.DUMMYFUNCTION("""COMPUTED_VALUE"""),-0.959352504637888)</f>
        <v>-0.95935250463788802</v>
      </c>
      <c r="BF6" s="3">
        <f ca="1">IFERROR(__xludf.DUMMYFUNCTION("""COMPUTED_VALUE"""),-0.940793112254983)</f>
        <v>-0.94079311225498297</v>
      </c>
      <c r="BG6" s="3">
        <f ca="1">IFERROR(__xludf.DUMMYFUNCTION("""COMPUTED_VALUE"""),-0.941978542311186)</f>
        <v>-0.94197854231118605</v>
      </c>
      <c r="BH6" s="3">
        <f ca="1">IFERROR(__xludf.DUMMYFUNCTION("""COMPUTED_VALUE"""),-0.541503622379519)</f>
        <v>-0.54150362237951899</v>
      </c>
      <c r="BI6" s="3">
        <f ca="1">IFERROR(__xludf.DUMMYFUNCTION("""COMPUTED_VALUE"""),-0.637820265559485)</f>
        <v>-0.63782026555948501</v>
      </c>
      <c r="BJ6" s="3">
        <f ca="1">IFERROR(__xludf.DUMMYFUNCTION("""COMPUTED_VALUE"""),-0.755553165181814)</f>
        <v>-0.75555316518181403</v>
      </c>
      <c r="BK6" s="3">
        <f ca="1">IFERROR(__xludf.DUMMYFUNCTION("""COMPUTED_VALUE"""),-0.809873394535956)</f>
        <v>-0.80987339453595597</v>
      </c>
      <c r="BL6" s="3">
        <f ca="1">IFERROR(__xludf.DUMMYFUNCTION("""COMPUTED_VALUE"""),-0.755145870535006)</f>
        <v>-0.75514587053500604</v>
      </c>
      <c r="BM6" s="3">
        <f ca="1">IFERROR(__xludf.DUMMYFUNCTION("""COMPUTED_VALUE"""),-0.750602009680509)</f>
        <v>-0.75060200968050905</v>
      </c>
      <c r="BN6" s="3">
        <f ca="1">IFERROR(__xludf.DUMMYFUNCTION("""COMPUTED_VALUE"""),-0.73644452995556)</f>
        <v>-0.73644452995555998</v>
      </c>
      <c r="BO6" s="3">
        <f ca="1">IFERROR(__xludf.DUMMYFUNCTION("""COMPUTED_VALUE"""),-0.606633286378897)</f>
        <v>-0.60663328637889702</v>
      </c>
      <c r="BP6" s="3">
        <f ca="1">IFERROR(__xludf.DUMMYFUNCTION("""COMPUTED_VALUE"""),-0.617964937720267)</f>
        <v>-0.61796493772026695</v>
      </c>
      <c r="BQ6" s="3">
        <f ca="1">IFERROR(__xludf.DUMMYFUNCTION("""COMPUTED_VALUE"""),-0.728767040990505)</f>
        <v>-0.72876704099050504</v>
      </c>
      <c r="BR6" s="3">
        <f ca="1">IFERROR(__xludf.DUMMYFUNCTION("""COMPUTED_VALUE"""),-0.755894047071367)</f>
        <v>-0.75589404707136698</v>
      </c>
      <c r="BS6" s="3">
        <f ca="1">IFERROR(__xludf.DUMMYFUNCTION("""COMPUTED_VALUE"""),-0.740023065106781)</f>
        <v>-0.74002306510678095</v>
      </c>
      <c r="BT6" s="3">
        <f ca="1">IFERROR(__xludf.DUMMYFUNCTION("""COMPUTED_VALUE"""),-0.756724549828425)</f>
        <v>-0.75672454982842496</v>
      </c>
      <c r="BU6" s="3">
        <f ca="1">IFERROR(__xludf.DUMMYFUNCTION("""COMPUTED_VALUE"""),-0.72933151291119)</f>
        <v>-0.72933151291119003</v>
      </c>
      <c r="BV6" s="3">
        <f ca="1">IFERROR(__xludf.DUMMYFUNCTION("""COMPUTED_VALUE"""),-0.579477425731848)</f>
        <v>-0.57947742573184802</v>
      </c>
      <c r="BW6" s="3">
        <f ca="1">IFERROR(__xludf.DUMMYFUNCTION("""COMPUTED_VALUE"""),-0.597573928992734)</f>
        <v>-0.59757392899273398</v>
      </c>
      <c r="BX6" s="3">
        <f ca="1">IFERROR(__xludf.DUMMYFUNCTION("""COMPUTED_VALUE"""),-0.727734719628524)</f>
        <v>-0.72773471962852398</v>
      </c>
      <c r="BY6" s="3">
        <f ca="1">IFERROR(__xludf.DUMMYFUNCTION("""COMPUTED_VALUE"""),-0.769774290438243)</f>
        <v>-0.76977429043824297</v>
      </c>
      <c r="BZ6" s="3">
        <f ca="1">IFERROR(__xludf.DUMMYFUNCTION("""COMPUTED_VALUE"""),-0.73286147825805)</f>
        <v>-0.73286147825805004</v>
      </c>
      <c r="CA6" s="3">
        <f ca="1">IFERROR(__xludf.DUMMYFUNCTION("""COMPUTED_VALUE"""),-0.758494048242134)</f>
        <v>-0.75849404824213396</v>
      </c>
      <c r="CB6" s="3">
        <f ca="1">IFERROR(__xludf.DUMMYFUNCTION("""COMPUTED_VALUE"""),-0.723460191493108)</f>
        <v>-0.72346019149310803</v>
      </c>
      <c r="CC6" s="3">
        <f ca="1">IFERROR(__xludf.DUMMYFUNCTION("""COMPUTED_VALUE"""),-0.615756795831611)</f>
        <v>-0.61575679583161103</v>
      </c>
      <c r="CD6" s="3">
        <f ca="1">IFERROR(__xludf.DUMMYFUNCTION("""COMPUTED_VALUE"""),-0.564774445084591)</f>
        <v>-0.56477444508459096</v>
      </c>
      <c r="CE6" s="3">
        <f ca="1">IFERROR(__xludf.DUMMYFUNCTION("""COMPUTED_VALUE"""),-0.694282944381447)</f>
        <v>-0.694282944381447</v>
      </c>
      <c r="CF6" s="3">
        <f ca="1">IFERROR(__xludf.DUMMYFUNCTION("""COMPUTED_VALUE"""),-0.750198818903549)</f>
        <v>-0.750198818903549</v>
      </c>
      <c r="CG6" s="3">
        <f ca="1">IFERROR(__xludf.DUMMYFUNCTION("""COMPUTED_VALUE"""),-0.756632033001685)</f>
        <v>-0.75663203300168502</v>
      </c>
      <c r="CH6" s="3">
        <f ca="1">IFERROR(__xludf.DUMMYFUNCTION("""COMPUTED_VALUE"""),-0.756705587064791)</f>
        <v>-0.75670558706479096</v>
      </c>
      <c r="CI6" s="3">
        <f ca="1">IFERROR(__xludf.DUMMYFUNCTION("""COMPUTED_VALUE"""),-0.728345239427101)</f>
        <v>-0.72834523942710105</v>
      </c>
      <c r="CJ6" s="3">
        <f ca="1">IFERROR(__xludf.DUMMYFUNCTION("""COMPUTED_VALUE"""),-0.557414217575402)</f>
        <v>-0.55741421757540199</v>
      </c>
      <c r="CK6" s="3">
        <f ca="1">IFERROR(__xludf.DUMMYFUNCTION("""COMPUTED_VALUE"""),-0.540660109410767)</f>
        <v>-0.54066010941076703</v>
      </c>
      <c r="CL6" s="3">
        <f ca="1">IFERROR(__xludf.DUMMYFUNCTION("""COMPUTED_VALUE"""),-0.689199239261657)</f>
        <v>-0.68919923926165705</v>
      </c>
      <c r="CM6" s="3">
        <f ca="1">IFERROR(__xludf.DUMMYFUNCTION("""COMPUTED_VALUE"""),-0.700809412857809)</f>
        <v>-0.70080941285780896</v>
      </c>
      <c r="CN6" s="3">
        <f ca="1">IFERROR(__xludf.DUMMYFUNCTION("""COMPUTED_VALUE"""),-0.6975033521815)</f>
        <v>-0.69750335218149995</v>
      </c>
      <c r="CO6" s="3">
        <f ca="1">IFERROR(__xludf.DUMMYFUNCTION("""COMPUTED_VALUE"""),-0.704045078128468)</f>
        <v>-0.70404507812846795</v>
      </c>
      <c r="CP6" s="3">
        <f ca="1">IFERROR(__xludf.DUMMYFUNCTION("""COMPUTED_VALUE"""),-0.67634769572141)</f>
        <v>-0.67634769572140996</v>
      </c>
      <c r="CQ6" s="3">
        <f ca="1">IFERROR(__xludf.DUMMYFUNCTION("""COMPUTED_VALUE"""),-0.62957056482252)</f>
        <v>-0.62957056482252005</v>
      </c>
      <c r="CR6" s="3">
        <f ca="1">IFERROR(__xludf.DUMMYFUNCTION("""COMPUTED_VALUE"""),-0.519215583971347)</f>
        <v>-0.51921558397134704</v>
      </c>
      <c r="CS6" s="3">
        <f ca="1">IFERROR(__xludf.DUMMYFUNCTION("""COMPUTED_VALUE"""),-0.63894425485178)</f>
        <v>-0.63894425485177997</v>
      </c>
      <c r="CT6" s="3">
        <f ca="1">IFERROR(__xludf.DUMMYFUNCTION("""COMPUTED_VALUE"""),-0.657795921805435)</f>
        <v>-0.657795921805435</v>
      </c>
      <c r="CU6" s="3">
        <f ca="1">IFERROR(__xludf.DUMMYFUNCTION("""COMPUTED_VALUE"""),-0.654121966997859)</f>
        <v>-0.65412196699785896</v>
      </c>
      <c r="CV6" s="3">
        <f ca="1">IFERROR(__xludf.DUMMYFUNCTION("""COMPUTED_VALUE"""),-0.624037829934876)</f>
        <v>-0.624037829934876</v>
      </c>
      <c r="CW6" s="3">
        <f ca="1">IFERROR(__xludf.DUMMYFUNCTION("""COMPUTED_VALUE"""),-0.65280530881121)</f>
        <v>-0.65280530881121002</v>
      </c>
      <c r="CX6" s="3">
        <f ca="1">IFERROR(__xludf.DUMMYFUNCTION("""COMPUTED_VALUE"""),-0.523228691639564)</f>
        <v>-0.52322869163956398</v>
      </c>
      <c r="CY6" s="3">
        <f ca="1">IFERROR(__xludf.DUMMYFUNCTION("""COMPUTED_VALUE"""),-0.568082624568386)</f>
        <v>-0.56808262456838599</v>
      </c>
      <c r="CZ6" s="3">
        <f ca="1">IFERROR(__xludf.DUMMYFUNCTION("""COMPUTED_VALUE"""),-0.69357190681838)</f>
        <v>-0.69357190681837999</v>
      </c>
      <c r="DA6" s="3">
        <f ca="1">IFERROR(__xludf.DUMMYFUNCTION("""COMPUTED_VALUE"""),-0.693034357571088)</f>
        <v>-0.693034357571088</v>
      </c>
      <c r="DB6" s="3">
        <f ca="1">IFERROR(__xludf.DUMMYFUNCTION("""COMPUTED_VALUE"""),-0.537688801470184)</f>
        <v>-0.53768880147018405</v>
      </c>
      <c r="DC6" s="3">
        <f ca="1">IFERROR(__xludf.DUMMYFUNCTION("""COMPUTED_VALUE"""),-0.580181762271182)</f>
        <v>-0.58018176227118201</v>
      </c>
      <c r="DD6" s="3">
        <f ca="1">IFERROR(__xludf.DUMMYFUNCTION("""COMPUTED_VALUE"""),-0.572144119297014)</f>
        <v>-0.57214411929701403</v>
      </c>
      <c r="DE6" s="3">
        <f ca="1">IFERROR(__xludf.DUMMYFUNCTION("""COMPUTED_VALUE"""),-0.507225136415961)</f>
        <v>-0.50722513641596101</v>
      </c>
      <c r="DF6" s="3">
        <f ca="1">IFERROR(__xludf.DUMMYFUNCTION("""COMPUTED_VALUE"""),-0.581693547807)</f>
        <v>-0.581693547807</v>
      </c>
      <c r="DG6" s="3">
        <f ca="1">IFERROR(__xludf.DUMMYFUNCTION("""COMPUTED_VALUE"""),-0.826962130280243)</f>
        <v>-0.82696213028024301</v>
      </c>
      <c r="DH6" s="3">
        <f ca="1">IFERROR(__xludf.DUMMYFUNCTION("""COMPUTED_VALUE"""),-0.715741103348279)</f>
        <v>-0.71574110334827901</v>
      </c>
      <c r="DI6" s="3">
        <f ca="1">IFERROR(__xludf.DUMMYFUNCTION("""COMPUTED_VALUE"""),-0.541850648747201)</f>
        <v>-0.54185064874720101</v>
      </c>
      <c r="DJ6" s="3">
        <f ca="1">IFERROR(__xludf.DUMMYFUNCTION("""COMPUTED_VALUE"""),-0.63751029858914)</f>
        <v>-0.63751029858913999</v>
      </c>
      <c r="DK6" s="3">
        <f ca="1">IFERROR(__xludf.DUMMYFUNCTION("""COMPUTED_VALUE"""),-0.628414512787049)</f>
        <v>-0.62841451278704896</v>
      </c>
      <c r="DL6" s="3">
        <f ca="1">IFERROR(__xludf.DUMMYFUNCTION("""COMPUTED_VALUE"""),-0.508720860924037)</f>
        <v>-0.50872086092403701</v>
      </c>
      <c r="DM6" s="3">
        <f ca="1">IFERROR(__xludf.DUMMYFUNCTION("""COMPUTED_VALUE"""),-0.651914971841936)</f>
        <v>-0.65191497184193603</v>
      </c>
      <c r="DN6" s="3">
        <f ca="1">IFERROR(__xludf.DUMMYFUNCTION("""COMPUTED_VALUE"""),-0.652053554140279)</f>
        <v>-0.65205355414027899</v>
      </c>
      <c r="DO6" s="3">
        <f ca="1">IFERROR(__xludf.DUMMYFUNCTION("""COMPUTED_VALUE"""),-0.671548032153781)</f>
        <v>-0.671548032153781</v>
      </c>
      <c r="DP6" s="3">
        <f ca="1">IFERROR(__xludf.DUMMYFUNCTION("""COMPUTED_VALUE"""),-0.669190978956416)</f>
        <v>-0.66919097895641599</v>
      </c>
      <c r="DQ6" s="3">
        <f ca="1">IFERROR(__xludf.DUMMYFUNCTION("""COMPUTED_VALUE"""),-0.700682063336184)</f>
        <v>-0.70068206333618399</v>
      </c>
      <c r="DR6" s="3">
        <f ca="1">IFERROR(__xludf.DUMMYFUNCTION("""COMPUTED_VALUE"""),-0.726059120598794)</f>
        <v>-0.72605912059879396</v>
      </c>
      <c r="DS6" s="3">
        <f ca="1">IFERROR(__xludf.DUMMYFUNCTION("""COMPUTED_VALUE"""),-0.631671114940924)</f>
        <v>-0.63167111494092398</v>
      </c>
      <c r="DT6" s="3">
        <f ca="1">IFERROR(__xludf.DUMMYFUNCTION("""COMPUTED_VALUE"""),-0.626197503149357)</f>
        <v>-0.62619750314935696</v>
      </c>
      <c r="DU6" s="3">
        <f ca="1">IFERROR(__xludf.DUMMYFUNCTION("""COMPUTED_VALUE"""),-0.719171627562332)</f>
        <v>-0.71917162756233199</v>
      </c>
      <c r="DV6" s="3">
        <f ca="1">IFERROR(__xludf.DUMMYFUNCTION("""COMPUTED_VALUE"""),-0.738493231077925)</f>
        <v>-0.73849323107792497</v>
      </c>
      <c r="DW6" s="3">
        <f ca="1">IFERROR(__xludf.DUMMYFUNCTION("""COMPUTED_VALUE"""),-0.714570330061953)</f>
        <v>-0.71457033006195303</v>
      </c>
      <c r="DX6" s="3">
        <f ca="1">IFERROR(__xludf.DUMMYFUNCTION("""COMPUTED_VALUE"""),-0.741576024433286)</f>
        <v>-0.74157602443328596</v>
      </c>
      <c r="DY6" s="3">
        <f ca="1">IFERROR(__xludf.DUMMYFUNCTION("""COMPUTED_VALUE"""),-0.780384090174362)</f>
        <v>-0.78038409017436206</v>
      </c>
      <c r="DZ6" s="3">
        <f ca="1">IFERROR(__xludf.DUMMYFUNCTION("""COMPUTED_VALUE"""),-0.634492231936189)</f>
        <v>-0.63449223193618898</v>
      </c>
      <c r="EA6" s="3">
        <f ca="1">IFERROR(__xludf.DUMMYFUNCTION("""COMPUTED_VALUE"""),-0.660794574864679)</f>
        <v>-0.66079457486467896</v>
      </c>
      <c r="EB6" s="3">
        <f ca="1">IFERROR(__xludf.DUMMYFUNCTION("""COMPUTED_VALUE"""),-0.716120001527911)</f>
        <v>-0.716120001527911</v>
      </c>
      <c r="EC6" s="3">
        <f ca="1">IFERROR(__xludf.DUMMYFUNCTION("""COMPUTED_VALUE"""),-0.678974655872145)</f>
        <v>-0.67897465587214501</v>
      </c>
      <c r="ED6" s="3">
        <f ca="1">IFERROR(__xludf.DUMMYFUNCTION("""COMPUTED_VALUE"""),-0.715804810967371)</f>
        <v>-0.71580481096737103</v>
      </c>
      <c r="EE6" s="3">
        <f ca="1">IFERROR(__xludf.DUMMYFUNCTION("""COMPUTED_VALUE"""),-0.752931203552704)</f>
        <v>-0.75293120355270404</v>
      </c>
      <c r="EF6" s="3">
        <f ca="1">IFERROR(__xludf.DUMMYFUNCTION("""COMPUTED_VALUE"""),-0.766294506806717)</f>
        <v>-0.76629450680671696</v>
      </c>
      <c r="EG6" s="3">
        <f ca="1">IFERROR(__xludf.DUMMYFUNCTION("""COMPUTED_VALUE"""),-0.63554558105018)</f>
        <v>-0.63554558105018</v>
      </c>
      <c r="EH6" s="3">
        <f ca="1">IFERROR(__xludf.DUMMYFUNCTION("""COMPUTED_VALUE"""),-0.703150849169734)</f>
        <v>-0.70315084916973403</v>
      </c>
      <c r="EI6" s="3">
        <f ca="1">IFERROR(__xludf.DUMMYFUNCTION("""COMPUTED_VALUE"""),-0.746342907012333)</f>
        <v>-0.74634290701233297</v>
      </c>
      <c r="EJ6" s="3">
        <f ca="1">IFERROR(__xludf.DUMMYFUNCTION("""COMPUTED_VALUE"""),-0.830983694305104)</f>
        <v>-0.83098369430510399</v>
      </c>
      <c r="EK6" s="3">
        <f ca="1">IFERROR(__xludf.DUMMYFUNCTION("""COMPUTED_VALUE"""),-0.699847952371113)</f>
        <v>-0.69984795237111297</v>
      </c>
      <c r="EL6" s="3">
        <f ca="1">IFERROR(__xludf.DUMMYFUNCTION("""COMPUTED_VALUE"""),-0.758726665786416)</f>
        <v>-0.75872666578641601</v>
      </c>
      <c r="EM6" s="3">
        <f ca="1">IFERROR(__xludf.DUMMYFUNCTION("""COMPUTED_VALUE"""),-0.767831886534014)</f>
        <v>-0.76783188653401402</v>
      </c>
      <c r="EN6" s="3">
        <f ca="1">IFERROR(__xludf.DUMMYFUNCTION("""COMPUTED_VALUE"""),-0.578801746179209)</f>
        <v>-0.57880174617920899</v>
      </c>
      <c r="EO6" s="3">
        <f ca="1">IFERROR(__xludf.DUMMYFUNCTION("""COMPUTED_VALUE"""),-0.587711039159305)</f>
        <v>-0.587711039159305</v>
      </c>
      <c r="EP6" s="3">
        <f ca="1">IFERROR(__xludf.DUMMYFUNCTION("""COMPUTED_VALUE"""),-0.68077479850289)</f>
        <v>-0.68077479850289002</v>
      </c>
      <c r="EQ6" s="3">
        <f ca="1">IFERROR(__xludf.DUMMYFUNCTION("""COMPUTED_VALUE"""),-0.693746415807516)</f>
        <v>-0.69374641580751595</v>
      </c>
      <c r="ER6" s="3">
        <f ca="1">IFERROR(__xludf.DUMMYFUNCTION("""COMPUTED_VALUE"""),-0.721233811671654)</f>
        <v>-0.72123381167165401</v>
      </c>
      <c r="ES6" s="3">
        <f ca="1">IFERROR(__xludf.DUMMYFUNCTION("""COMPUTED_VALUE"""),-0.743180827800927)</f>
        <v>-0.74318082780092698</v>
      </c>
      <c r="ET6" s="3">
        <f ca="1">IFERROR(__xludf.DUMMYFUNCTION("""COMPUTED_VALUE"""),-0.745908438827237)</f>
        <v>-0.74590843882723701</v>
      </c>
      <c r="EU6" s="3">
        <f ca="1">IFERROR(__xludf.DUMMYFUNCTION("""COMPUTED_VALUE"""),-0.608250356775411)</f>
        <v>-0.60825035677541095</v>
      </c>
      <c r="EV6" s="3">
        <f ca="1">IFERROR(__xludf.DUMMYFUNCTION("""COMPUTED_VALUE"""),-0.631561748785565)</f>
        <v>-0.63156174878556504</v>
      </c>
      <c r="EW6" s="3">
        <f ca="1">IFERROR(__xludf.DUMMYFUNCTION("""COMPUTED_VALUE"""),-0.733652124655205)</f>
        <v>-0.73365212465520502</v>
      </c>
      <c r="EX6" s="3">
        <f ca="1">IFERROR(__xludf.DUMMYFUNCTION("""COMPUTED_VALUE"""),-0.784779331606406)</f>
        <v>-0.78477933160640601</v>
      </c>
      <c r="EY6" s="3">
        <f ca="1">IFERROR(__xludf.DUMMYFUNCTION("""COMPUTED_VALUE"""),-0.749953401721152)</f>
        <v>-0.74995340172115199</v>
      </c>
      <c r="EZ6" s="3">
        <f ca="1">IFERROR(__xludf.DUMMYFUNCTION("""COMPUTED_VALUE"""),-0.765464927458364)</f>
        <v>-0.76546492745836403</v>
      </c>
      <c r="FA6" s="3">
        <f ca="1">IFERROR(__xludf.DUMMYFUNCTION("""COMPUTED_VALUE"""),-0.757108675882867)</f>
        <v>-0.75710867588286701</v>
      </c>
      <c r="FB6" s="3">
        <f ca="1">IFERROR(__xludf.DUMMYFUNCTION("""COMPUTED_VALUE"""),-0.634946082744707)</f>
        <v>-0.63494608274470699</v>
      </c>
      <c r="FC6" s="3">
        <f ca="1">IFERROR(__xludf.DUMMYFUNCTION("""COMPUTED_VALUE"""),-0.659453998775174)</f>
        <v>-0.65945399877517397</v>
      </c>
      <c r="FD6" s="3">
        <f ca="1">IFERROR(__xludf.DUMMYFUNCTION("""COMPUTED_VALUE"""),-0.747041300486103)</f>
        <v>-0.74704130048610295</v>
      </c>
      <c r="FE6" s="3">
        <f ca="1">IFERROR(__xludf.DUMMYFUNCTION("""COMPUTED_VALUE"""),-0.761511773837545)</f>
        <v>-0.76151177383754498</v>
      </c>
      <c r="FF6" s="3">
        <f ca="1">IFERROR(__xludf.DUMMYFUNCTION("""COMPUTED_VALUE"""),-0.772317662671272)</f>
        <v>-0.772317662671272</v>
      </c>
      <c r="FG6" s="3">
        <f ca="1">IFERROR(__xludf.DUMMYFUNCTION("""COMPUTED_VALUE"""),-0.759305998801423)</f>
        <v>-0.75930599880142302</v>
      </c>
      <c r="FH6" s="3">
        <f ca="1">IFERROR(__xludf.DUMMYFUNCTION("""COMPUTED_VALUE"""),-0.749000146983351)</f>
        <v>-0.74900014698335105</v>
      </c>
      <c r="FI6" s="3">
        <f ca="1">IFERROR(__xludf.DUMMYFUNCTION("""COMPUTED_VALUE"""),-0.635586907007021)</f>
        <v>-0.63558690700702103</v>
      </c>
      <c r="FJ6" s="3">
        <f ca="1">IFERROR(__xludf.DUMMYFUNCTION("""COMPUTED_VALUE"""),-0.633412323806568)</f>
        <v>-0.63341232380656798</v>
      </c>
      <c r="FK6" s="3">
        <f ca="1">IFERROR(__xludf.DUMMYFUNCTION("""COMPUTED_VALUE"""),-0.709583580453384)</f>
        <v>-0.70958358045338399</v>
      </c>
      <c r="FL6" s="3">
        <f ca="1">IFERROR(__xludf.DUMMYFUNCTION("""COMPUTED_VALUE"""),-0.757975583865604)</f>
        <v>-0.75797558386560404</v>
      </c>
      <c r="FM6" s="3">
        <f ca="1">IFERROR(__xludf.DUMMYFUNCTION("""COMPUTED_VALUE"""),-0.783470840721725)</f>
        <v>-0.78347084072172501</v>
      </c>
      <c r="FN6" s="3">
        <f ca="1">IFERROR(__xludf.DUMMYFUNCTION("""COMPUTED_VALUE"""),-0.783396242336382)</f>
        <v>-0.78339624233638205</v>
      </c>
      <c r="FO6" s="3">
        <f ca="1">IFERROR(__xludf.DUMMYFUNCTION("""COMPUTED_VALUE"""),-0.759674054220686)</f>
        <v>-0.75967405422068601</v>
      </c>
      <c r="FP6" s="3">
        <f ca="1">IFERROR(__xludf.DUMMYFUNCTION("""COMPUTED_VALUE"""),-0.632509197539568)</f>
        <v>-0.63250919753956802</v>
      </c>
      <c r="FQ6" s="3">
        <f ca="1">IFERROR(__xludf.DUMMYFUNCTION("""COMPUTED_VALUE"""),-0.644528100115299)</f>
        <v>-0.64452810011529904</v>
      </c>
      <c r="FR6" s="3">
        <f ca="1">IFERROR(__xludf.DUMMYFUNCTION("""COMPUTED_VALUE"""),-0.725461947470018)</f>
        <v>-0.72546194747001802</v>
      </c>
      <c r="FS6" s="3">
        <f ca="1">IFERROR(__xludf.DUMMYFUNCTION("""COMPUTED_VALUE"""),-0.751121438746281)</f>
        <v>-0.75112143874628101</v>
      </c>
      <c r="FT6" s="3">
        <f ca="1">IFERROR(__xludf.DUMMYFUNCTION("""COMPUTED_VALUE"""),-0.746960107396764)</f>
        <v>-0.74696010739676399</v>
      </c>
      <c r="FU6" s="3">
        <f ca="1">IFERROR(__xludf.DUMMYFUNCTION("""COMPUTED_VALUE"""),-0.768507272362408)</f>
        <v>-0.76850727236240801</v>
      </c>
      <c r="FV6" s="3">
        <f ca="1">IFERROR(__xludf.DUMMYFUNCTION("""COMPUTED_VALUE"""),-0.735698670820218)</f>
        <v>-0.735698670820218</v>
      </c>
      <c r="FW6" s="3">
        <f ca="1">IFERROR(__xludf.DUMMYFUNCTION("""COMPUTED_VALUE"""),-0.615093740795979)</f>
        <v>-0.615093740795979</v>
      </c>
      <c r="FX6" s="3">
        <f ca="1">IFERROR(__xludf.DUMMYFUNCTION("""COMPUTED_VALUE"""),-0.667115382619938)</f>
        <v>-0.66711538261993797</v>
      </c>
      <c r="FY6" s="3">
        <f ca="1">IFERROR(__xludf.DUMMYFUNCTION("""COMPUTED_VALUE"""),-0.761483933466033)</f>
        <v>-0.76148393346603305</v>
      </c>
      <c r="FZ6" s="3">
        <f ca="1">IFERROR(__xludf.DUMMYFUNCTION("""COMPUTED_VALUE"""),-0.761789112722715)</f>
        <v>-0.76178911272271499</v>
      </c>
      <c r="GA6" s="3">
        <f ca="1">IFERROR(__xludf.DUMMYFUNCTION("""COMPUTED_VALUE"""),-0.735427381280403)</f>
        <v>-0.73542738128040297</v>
      </c>
      <c r="GB6" s="3">
        <f ca="1">IFERROR(__xludf.DUMMYFUNCTION("""COMPUTED_VALUE"""),-0.77262833171347)</f>
        <v>-0.77262833171347001</v>
      </c>
      <c r="GC6" s="3">
        <f ca="1">IFERROR(__xludf.DUMMYFUNCTION("""COMPUTED_VALUE"""),-0.759762271342933)</f>
        <v>-0.75976227134293295</v>
      </c>
      <c r="GD6" s="3">
        <f ca="1">IFERROR(__xludf.DUMMYFUNCTION("""COMPUTED_VALUE"""),-0.645050475701981)</f>
        <v>-0.64505047570198104</v>
      </c>
      <c r="GE6" s="3">
        <f ca="1">IFERROR(__xludf.DUMMYFUNCTION("""COMPUTED_VALUE"""),-0.658560314483978)</f>
        <v>-0.658560314483978</v>
      </c>
      <c r="GF6" s="3">
        <f ca="1">IFERROR(__xludf.DUMMYFUNCTION("""COMPUTED_VALUE"""),-0.728961452538034)</f>
        <v>-0.72896145253803402</v>
      </c>
      <c r="GG6" s="3">
        <f ca="1">IFERROR(__xludf.DUMMYFUNCTION("""COMPUTED_VALUE"""),-0.784054959741097)</f>
        <v>-0.78405495974109696</v>
      </c>
      <c r="GH6" s="3">
        <f ca="1">IFERROR(__xludf.DUMMYFUNCTION("""COMPUTED_VALUE"""),-0.754422807619155)</f>
        <v>-0.75442280761915503</v>
      </c>
      <c r="GI6" s="3">
        <f ca="1">IFERROR(__xludf.DUMMYFUNCTION("""COMPUTED_VALUE"""),-0.756463517906962)</f>
        <v>-0.75646351790696198</v>
      </c>
      <c r="GJ6" s="3">
        <f ca="1">IFERROR(__xludf.DUMMYFUNCTION("""COMPUTED_VALUE"""),-0.74762747128509)</f>
        <v>-0.74762747128509</v>
      </c>
      <c r="GK6" s="3">
        <f ca="1">IFERROR(__xludf.DUMMYFUNCTION("""COMPUTED_VALUE"""),-0.6413806219321)</f>
        <v>-0.64138062193209999</v>
      </c>
      <c r="GL6" s="3">
        <f ca="1">IFERROR(__xludf.DUMMYFUNCTION("""COMPUTED_VALUE"""),-0.650592673498274)</f>
        <v>-0.65059267349827399</v>
      </c>
      <c r="GM6" s="3">
        <f ca="1">IFERROR(__xludf.DUMMYFUNCTION("""COMPUTED_VALUE"""),-0.738738901891656)</f>
        <v>-0.73873890189165603</v>
      </c>
      <c r="GN6" s="3">
        <f ca="1">IFERROR(__xludf.DUMMYFUNCTION("""COMPUTED_VALUE"""),-0.77156733679038)</f>
        <v>-0.77156733679038003</v>
      </c>
      <c r="GO6" s="3">
        <f ca="1">IFERROR(__xludf.DUMMYFUNCTION("""COMPUTED_VALUE"""),-0.776970132490719)</f>
        <v>-0.776970132490719</v>
      </c>
      <c r="GP6" s="3">
        <f ca="1">IFERROR(__xludf.DUMMYFUNCTION("""COMPUTED_VALUE"""),-0.776362461493001)</f>
        <v>-0.77636246149300103</v>
      </c>
      <c r="GQ6" s="3">
        <f ca="1">IFERROR(__xludf.DUMMYFUNCTION("""COMPUTED_VALUE"""),-0.766629101340838)</f>
        <v>-0.76662910134083795</v>
      </c>
      <c r="GR6" s="3">
        <f ca="1">IFERROR(__xludf.DUMMYFUNCTION("""COMPUTED_VALUE"""),-0.659801773742992)</f>
        <v>-0.65980177374299198</v>
      </c>
      <c r="GS6" s="3">
        <f ca="1">IFERROR(__xludf.DUMMYFUNCTION("""COMPUTED_VALUE"""),-0.628952570772492)</f>
        <v>-0.628952570772492</v>
      </c>
      <c r="GT6" s="3">
        <f ca="1">IFERROR(__xludf.DUMMYFUNCTION("""COMPUTED_VALUE"""),-0.741691797250378)</f>
        <v>-0.74169179725037804</v>
      </c>
      <c r="GU6" s="3">
        <f ca="1">IFERROR(__xludf.DUMMYFUNCTION("""COMPUTED_VALUE"""),-0.763487431574566)</f>
        <v>-0.763487431574566</v>
      </c>
      <c r="GV6" s="3">
        <f ca="1">IFERROR(__xludf.DUMMYFUNCTION("""COMPUTED_VALUE"""),-0.757200009786728)</f>
        <v>-0.75720000978672797</v>
      </c>
      <c r="GW6" s="3">
        <f ca="1">IFERROR(__xludf.DUMMYFUNCTION("""COMPUTED_VALUE"""),-0.78072242956023)</f>
        <v>-0.78072242956022997</v>
      </c>
      <c r="GX6" s="3">
        <f ca="1">IFERROR(__xludf.DUMMYFUNCTION("""COMPUTED_VALUE"""),-0.78856405895656)</f>
        <v>-0.78856405895656001</v>
      </c>
      <c r="GY6" s="3">
        <f ca="1">IFERROR(__xludf.DUMMYFUNCTION("""COMPUTED_VALUE"""),-0.660188711700352)</f>
        <v>-0.66018871170035198</v>
      </c>
      <c r="GZ6" s="3">
        <f ca="1">IFERROR(__xludf.DUMMYFUNCTION("""COMPUTED_VALUE"""),-0.662956427175322)</f>
        <v>-0.66295642717532199</v>
      </c>
      <c r="HA6" s="3">
        <f ca="1">IFERROR(__xludf.DUMMYFUNCTION("""COMPUTED_VALUE"""),-0.74173876577832)</f>
        <v>-0.74173876577831999</v>
      </c>
      <c r="HB6" s="3">
        <f ca="1">IFERROR(__xludf.DUMMYFUNCTION("""COMPUTED_VALUE"""),-0.787923485422313)</f>
        <v>-0.78792348542231305</v>
      </c>
      <c r="HC6" s="3">
        <f ca="1">IFERROR(__xludf.DUMMYFUNCTION("""COMPUTED_VALUE"""),-0.762912939335015)</f>
        <v>-0.76291293933501503</v>
      </c>
      <c r="HD6" s="3">
        <f ca="1">IFERROR(__xludf.DUMMYFUNCTION("""COMPUTED_VALUE"""),-0.766926386335189)</f>
        <v>-0.76692638633518895</v>
      </c>
      <c r="HE6" s="3">
        <f ca="1">IFERROR(__xludf.DUMMYFUNCTION("""COMPUTED_VALUE"""),-0.755841465637268)</f>
        <v>-0.75584146563726795</v>
      </c>
      <c r="HF6" s="3">
        <f ca="1">IFERROR(__xludf.DUMMYFUNCTION("""COMPUTED_VALUE"""),-0.662069380149633)</f>
        <v>-0.66206938014963301</v>
      </c>
      <c r="HG6" s="3">
        <f ca="1">IFERROR(__xludf.DUMMYFUNCTION("""COMPUTED_VALUE"""),-0.647247800410823)</f>
        <v>-0.64724780041082297</v>
      </c>
      <c r="HH6" s="3">
        <f ca="1">IFERROR(__xludf.DUMMYFUNCTION("""COMPUTED_VALUE"""),-0.730510175612798)</f>
        <v>-0.73051017561279796</v>
      </c>
      <c r="HI6" s="3">
        <f ca="1">IFERROR(__xludf.DUMMYFUNCTION("""COMPUTED_VALUE"""),-0.779425572141766)</f>
        <v>-0.779425572141766</v>
      </c>
      <c r="HJ6" s="3">
        <f ca="1">IFERROR(__xludf.DUMMYFUNCTION("""COMPUTED_VALUE"""),-0.822708465713979)</f>
        <v>-0.82270846571397904</v>
      </c>
      <c r="HK6" s="3">
        <f ca="1">IFERROR(__xludf.DUMMYFUNCTION("""COMPUTED_VALUE"""),-0.769712395277067)</f>
        <v>-0.76971239527706703</v>
      </c>
      <c r="HL6" s="3">
        <f ca="1">IFERROR(__xludf.DUMMYFUNCTION("""COMPUTED_VALUE"""),-0.774396750937959)</f>
        <v>-0.77439675093795901</v>
      </c>
      <c r="HM6" s="3">
        <f ca="1">IFERROR(__xludf.DUMMYFUNCTION("""COMPUTED_VALUE"""),-0.68315702110168)</f>
        <v>-0.68315702110167997</v>
      </c>
      <c r="HN6" s="3">
        <f ca="1">IFERROR(__xludf.DUMMYFUNCTION("""COMPUTED_VALUE"""),-0.686369976670801)</f>
        <v>-0.68636997667080102</v>
      </c>
      <c r="HO6" s="3">
        <f ca="1">IFERROR(__xludf.DUMMYFUNCTION("""COMPUTED_VALUE"""),-0.783840917196254)</f>
        <v>-0.78384091719625404</v>
      </c>
      <c r="HP6" s="3">
        <f ca="1">IFERROR(__xludf.DUMMYFUNCTION("""COMPUTED_VALUE"""),-0.777802796413165)</f>
        <v>-0.77780279641316497</v>
      </c>
      <c r="HQ6" s="3">
        <f ca="1">IFERROR(__xludf.DUMMYFUNCTION("""COMPUTED_VALUE"""),-0.78356173654829)</f>
        <v>-0.78356173654828998</v>
      </c>
      <c r="HR6" s="3">
        <f ca="1">IFERROR(__xludf.DUMMYFUNCTION("""COMPUTED_VALUE"""),-0.759895637487332)</f>
        <v>-0.75989563748733202</v>
      </c>
      <c r="HS6" s="3">
        <f ca="1">IFERROR(__xludf.DUMMYFUNCTION("""COMPUTED_VALUE"""),-0.717945648954479)</f>
        <v>-0.71794564895447899</v>
      </c>
      <c r="HT6" s="3">
        <f ca="1">IFERROR(__xludf.DUMMYFUNCTION("""COMPUTED_VALUE"""),-0.655341265371147)</f>
        <v>-0.65534126537114701</v>
      </c>
      <c r="HU6" s="3">
        <f ca="1">IFERROR(__xludf.DUMMYFUNCTION("""COMPUTED_VALUE"""),-0.661183528909075)</f>
        <v>-0.66118352890907495</v>
      </c>
      <c r="HV6" s="3">
        <f ca="1">IFERROR(__xludf.DUMMYFUNCTION("""COMPUTED_VALUE"""),-0.74064534091759)</f>
        <v>-0.74064534091759004</v>
      </c>
      <c r="HW6" s="3">
        <f ca="1">IFERROR(__xludf.DUMMYFUNCTION("""COMPUTED_VALUE"""),-0.742212504146724)</f>
        <v>-0.74221250414672402</v>
      </c>
      <c r="HX6" s="3">
        <f ca="1">IFERROR(__xludf.DUMMYFUNCTION("""COMPUTED_VALUE"""),-0.736556251476246)</f>
        <v>-0.73655625147624604</v>
      </c>
      <c r="HY6" s="3">
        <f ca="1">IFERROR(__xludf.DUMMYFUNCTION("""COMPUTED_VALUE"""),-0.758827750410864)</f>
        <v>-0.75882775041086403</v>
      </c>
      <c r="HZ6" s="3">
        <f ca="1">IFERROR(__xludf.DUMMYFUNCTION("""COMPUTED_VALUE"""),-0.700189874960579)</f>
        <v>-0.70018987496057905</v>
      </c>
      <c r="IA6" s="3">
        <f ca="1">IFERROR(__xludf.DUMMYFUNCTION("""COMPUTED_VALUE"""),-0.660718778896738)</f>
        <v>-0.66071877889673802</v>
      </c>
      <c r="IB6" s="3">
        <f ca="1">IFERROR(__xludf.DUMMYFUNCTION("""COMPUTED_VALUE"""),-0.63174693428303)</f>
        <v>-0.63174693428302997</v>
      </c>
      <c r="IC6" s="3">
        <f ca="1">IFERROR(__xludf.DUMMYFUNCTION("""COMPUTED_VALUE"""),-0.724332857920834)</f>
        <v>-0.72433285792083402</v>
      </c>
      <c r="ID6" s="3">
        <f ca="1">IFERROR(__xludf.DUMMYFUNCTION("""COMPUTED_VALUE"""),-0.770121632345767)</f>
        <v>-0.77012163234576703</v>
      </c>
      <c r="IE6" s="3">
        <f ca="1">IFERROR(__xludf.DUMMYFUNCTION("""COMPUTED_VALUE"""),-0.756911192303683)</f>
        <v>-0.75691119230368298</v>
      </c>
      <c r="IF6" s="3">
        <f ca="1">IFERROR(__xludf.DUMMYFUNCTION("""COMPUTED_VALUE"""),-0.706637041899184)</f>
        <v>-0.70663704189918397</v>
      </c>
      <c r="IG6" s="3">
        <f ca="1">IFERROR(__xludf.DUMMYFUNCTION("""COMPUTED_VALUE"""),-0.741671351479933)</f>
        <v>-0.74167135147993302</v>
      </c>
      <c r="IH6" s="3">
        <f ca="1">IFERROR(__xludf.DUMMYFUNCTION("""COMPUTED_VALUE"""),-0.651747329607696)</f>
        <v>-0.65174732960769599</v>
      </c>
      <c r="II6" s="3">
        <f ca="1">IFERROR(__xludf.DUMMYFUNCTION("""COMPUTED_VALUE"""),-0.643326034749679)</f>
        <v>-0.64332603474967898</v>
      </c>
      <c r="IJ6" s="3">
        <f ca="1">IFERROR(__xludf.DUMMYFUNCTION("""COMPUTED_VALUE"""),-0.713083634622441)</f>
        <v>-0.71308363462244095</v>
      </c>
      <c r="IK6" s="3">
        <f ca="1">IFERROR(__xludf.DUMMYFUNCTION("""COMPUTED_VALUE"""),-0.723488219004612)</f>
        <v>-0.72348821900461202</v>
      </c>
      <c r="IL6" s="3">
        <f ca="1">IFERROR(__xludf.DUMMYFUNCTION("""COMPUTED_VALUE"""),-0.702664826474223)</f>
        <v>-0.70266482647422301</v>
      </c>
      <c r="IM6" s="3">
        <f ca="1">IFERROR(__xludf.DUMMYFUNCTION("""COMPUTED_VALUE"""),-0.711482246168602)</f>
        <v>-0.71148224616860201</v>
      </c>
      <c r="IN6" s="3">
        <f ca="1">IFERROR(__xludf.DUMMYFUNCTION("""COMPUTED_VALUE"""),-0.703206564557254)</f>
        <v>-0.70320656455725405</v>
      </c>
      <c r="IO6" s="3">
        <f ca="1">IFERROR(__xludf.DUMMYFUNCTION("""COMPUTED_VALUE"""),-0.613716810929956)</f>
        <v>-0.613716810929956</v>
      </c>
      <c r="IP6" s="3">
        <f ca="1">IFERROR(__xludf.DUMMYFUNCTION("""COMPUTED_VALUE"""),-0.601366954268908)</f>
        <v>-0.60136695426890796</v>
      </c>
      <c r="IQ6" s="3">
        <f ca="1">IFERROR(__xludf.DUMMYFUNCTION("""COMPUTED_VALUE"""),-0.692670039348385)</f>
        <v>-0.692670039348385</v>
      </c>
      <c r="IR6" s="3">
        <f ca="1">IFERROR(__xludf.DUMMYFUNCTION("""COMPUTED_VALUE"""),-0.698285254594871)</f>
        <v>-0.69828525459487101</v>
      </c>
      <c r="IS6" s="3">
        <f ca="1">IFERROR(__xludf.DUMMYFUNCTION("""COMPUTED_VALUE"""),-0.695096048145076)</f>
        <v>-0.69509604814507597</v>
      </c>
      <c r="IT6" s="3">
        <f ca="1">IFERROR(__xludf.DUMMYFUNCTION("""COMPUTED_VALUE"""),-0.716774014952038)</f>
        <v>-0.71677401495203796</v>
      </c>
      <c r="IU6" s="3">
        <f ca="1">IFERROR(__xludf.DUMMYFUNCTION("""COMPUTED_VALUE"""),-0.7100501456073)</f>
        <v>-0.71005014560729995</v>
      </c>
      <c r="IV6" s="3">
        <f ca="1">IFERROR(__xludf.DUMMYFUNCTION("""COMPUTED_VALUE"""),-0.596540554200159)</f>
        <v>-0.59654055420015895</v>
      </c>
      <c r="IW6" s="3">
        <f ca="1">IFERROR(__xludf.DUMMYFUNCTION("""COMPUTED_VALUE"""),-0.620218604764411)</f>
        <v>-0.62021860476441104</v>
      </c>
      <c r="IX6" s="3">
        <f ca="1">IFERROR(__xludf.DUMMYFUNCTION("""COMPUTED_VALUE"""),-0.71648005479088)</f>
        <v>-0.71648005479087995</v>
      </c>
      <c r="IY6" s="3">
        <f ca="1">IFERROR(__xludf.DUMMYFUNCTION("""COMPUTED_VALUE"""),-0.708534197571984)</f>
        <v>-0.70853419757198399</v>
      </c>
      <c r="IZ6" s="3">
        <f ca="1">IFERROR(__xludf.DUMMYFUNCTION("""COMPUTED_VALUE"""),-0.725585330934258)</f>
        <v>-0.72558533093425803</v>
      </c>
      <c r="JA6" s="3">
        <f ca="1">IFERROR(__xludf.DUMMYFUNCTION("""COMPUTED_VALUE"""),-0.711463126884459)</f>
        <v>-0.71146312688445901</v>
      </c>
      <c r="JB6" s="3">
        <f ca="1">IFERROR(__xludf.DUMMYFUNCTION("""COMPUTED_VALUE"""),-0.718319223464864)</f>
        <v>-0.71831922346486399</v>
      </c>
      <c r="JC6" s="3">
        <f ca="1">IFERROR(__xludf.DUMMYFUNCTION("""COMPUTED_VALUE"""),-0.601119888312961)</f>
        <v>-0.60111988831296104</v>
      </c>
      <c r="JD6" s="3">
        <f ca="1">IFERROR(__xludf.DUMMYFUNCTION("""COMPUTED_VALUE"""),-0.604679548283338)</f>
        <v>-0.60467954828333803</v>
      </c>
      <c r="JE6" s="3">
        <f ca="1">IFERROR(__xludf.DUMMYFUNCTION("""COMPUTED_VALUE"""),-0.669687942509475)</f>
        <v>-0.66968794250947505</v>
      </c>
      <c r="JF6" s="3">
        <f ca="1">IFERROR(__xludf.DUMMYFUNCTION("""COMPUTED_VALUE"""),-0.682699113765959)</f>
        <v>-0.68269911376595904</v>
      </c>
      <c r="JG6" s="3">
        <f ca="1">IFERROR(__xludf.DUMMYFUNCTION("""COMPUTED_VALUE"""),-0.714549142450851)</f>
        <v>-0.71454914245085099</v>
      </c>
      <c r="JH6" s="3">
        <f ca="1">IFERROR(__xludf.DUMMYFUNCTION("""COMPUTED_VALUE"""),-0.68356718219835)</f>
        <v>-0.68356718219835</v>
      </c>
      <c r="JI6" s="3">
        <f ca="1">IFERROR(__xludf.DUMMYFUNCTION("""COMPUTED_VALUE"""),-0.670969858880008)</f>
        <v>-0.67096985888000804</v>
      </c>
      <c r="JJ6" s="3">
        <f ca="1">IFERROR(__xludf.DUMMYFUNCTION("""COMPUTED_VALUE"""),-0.609752964198349)</f>
        <v>-0.60975296419834901</v>
      </c>
      <c r="JK6" s="3">
        <f ca="1">IFERROR(__xludf.DUMMYFUNCTION("""COMPUTED_VALUE"""),-0.590026237542746)</f>
        <v>-0.59002623754274597</v>
      </c>
      <c r="JL6" s="3">
        <f ca="1">IFERROR(__xludf.DUMMYFUNCTION("""COMPUTED_VALUE"""),-0.667432412202505)</f>
        <v>-0.66743241220250504</v>
      </c>
      <c r="JM6" s="3">
        <f ca="1">IFERROR(__xludf.DUMMYFUNCTION("""COMPUTED_VALUE"""),-0.707615904194344)</f>
        <v>-0.70761590419434395</v>
      </c>
      <c r="JN6" s="3">
        <f ca="1">IFERROR(__xludf.DUMMYFUNCTION("""COMPUTED_VALUE"""),-0.699853722292253)</f>
        <v>-0.69985372229225296</v>
      </c>
      <c r="JO6" s="3">
        <f ca="1">IFERROR(__xludf.DUMMYFUNCTION("""COMPUTED_VALUE"""),-0.698457625833497)</f>
        <v>-0.69845762583349702</v>
      </c>
      <c r="JP6" s="3">
        <f ca="1">IFERROR(__xludf.DUMMYFUNCTION("""COMPUTED_VALUE"""),-0.685145389885935)</f>
        <v>-0.68514538988593499</v>
      </c>
      <c r="JQ6" s="3">
        <f ca="1">IFERROR(__xludf.DUMMYFUNCTION("""COMPUTED_VALUE"""),-0.590033695795963)</f>
        <v>-0.59003369579596299</v>
      </c>
      <c r="JR6" s="3">
        <f ca="1">IFERROR(__xludf.DUMMYFUNCTION("""COMPUTED_VALUE"""),-0.574560047886699)</f>
        <v>-0.57456004788669901</v>
      </c>
      <c r="JS6" s="3">
        <f ca="1">IFERROR(__xludf.DUMMYFUNCTION("""COMPUTED_VALUE"""),-0.657142004691579)</f>
        <v>-0.65714200469157902</v>
      </c>
      <c r="JT6" s="3">
        <f ca="1">IFERROR(__xludf.DUMMYFUNCTION("""COMPUTED_VALUE"""),-0.657125560953215)</f>
        <v>-0.65712556095321495</v>
      </c>
      <c r="JU6" s="3">
        <f ca="1">IFERROR(__xludf.DUMMYFUNCTION("""COMPUTED_VALUE"""),-0.713277944081)</f>
        <v>-0.71327794408099998</v>
      </c>
      <c r="JV6" s="3">
        <f ca="1">IFERROR(__xludf.DUMMYFUNCTION("""COMPUTED_VALUE"""),-0.700673094487944)</f>
        <v>-0.70067309448794401</v>
      </c>
      <c r="JW6" s="3">
        <f ca="1">IFERROR(__xludf.DUMMYFUNCTION("""COMPUTED_VALUE"""),-0.714031124657814)</f>
        <v>-0.71403112465781404</v>
      </c>
      <c r="JX6" s="3">
        <f ca="1">IFERROR(__xludf.DUMMYFUNCTION("""COMPUTED_VALUE"""),-0.558406735827749)</f>
        <v>-0.55840673582774902</v>
      </c>
      <c r="JY6" s="3">
        <f ca="1">IFERROR(__xludf.DUMMYFUNCTION("""COMPUTED_VALUE"""),-0.629033956313775)</f>
        <v>-0.62903395631377501</v>
      </c>
      <c r="JZ6" s="3">
        <f ca="1">IFERROR(__xludf.DUMMYFUNCTION("""COMPUTED_VALUE"""),-0.638440474062227)</f>
        <v>-0.63844047406222704</v>
      </c>
      <c r="KA6" s="3">
        <f ca="1">IFERROR(__xludf.DUMMYFUNCTION("""COMPUTED_VALUE"""),-0.624973810310895)</f>
        <v>-0.62497381031089505</v>
      </c>
      <c r="KB6" s="3">
        <f ca="1">IFERROR(__xludf.DUMMYFUNCTION("""COMPUTED_VALUE"""),-0.689310098259269)</f>
        <v>-0.68931009825926903</v>
      </c>
      <c r="KC6" s="3">
        <f ca="1">IFERROR(__xludf.DUMMYFUNCTION("""COMPUTED_VALUE"""),-0.708072463289682)</f>
        <v>-0.70807246328968199</v>
      </c>
      <c r="KD6" s="3">
        <f ca="1">IFERROR(__xludf.DUMMYFUNCTION("""COMPUTED_VALUE"""),-0.683048567935449)</f>
        <v>-0.68304856793544899</v>
      </c>
      <c r="KE6" s="3">
        <f ca="1">IFERROR(__xludf.DUMMYFUNCTION("""COMPUTED_VALUE"""),-0.638551881839125)</f>
        <v>-0.63855188183912504</v>
      </c>
      <c r="KF6" s="3">
        <f ca="1">IFERROR(__xludf.DUMMYFUNCTION("""COMPUTED_VALUE"""),-0.604194636513173)</f>
        <v>-0.60419463651317296</v>
      </c>
      <c r="KG6" s="3">
        <f ca="1">IFERROR(__xludf.DUMMYFUNCTION("""COMPUTED_VALUE"""),-0.682419146018489)</f>
        <v>-0.68241914601848896</v>
      </c>
      <c r="KH6" s="3">
        <f ca="1">IFERROR(__xludf.DUMMYFUNCTION("""COMPUTED_VALUE"""),-0.616717657387547)</f>
        <v>-0.61671765738754702</v>
      </c>
      <c r="KI6" s="3">
        <f ca="1">IFERROR(__xludf.DUMMYFUNCTION("""COMPUTED_VALUE"""),-0.671803071577338)</f>
        <v>-0.67180307157733798</v>
      </c>
      <c r="KJ6" s="3">
        <f ca="1">IFERROR(__xludf.DUMMYFUNCTION("""COMPUTED_VALUE"""),-0.71270310148166)</f>
        <v>-0.71270310148166005</v>
      </c>
      <c r="KK6" s="3">
        <f ca="1">IFERROR(__xludf.DUMMYFUNCTION("""COMPUTED_VALUE"""),-0.690025553798729)</f>
        <v>-0.69002555379872899</v>
      </c>
      <c r="KL6" s="3">
        <f ca="1">IFERROR(__xludf.DUMMYFUNCTION("""COMPUTED_VALUE"""),-0.507596363792049)</f>
        <v>-0.50759636379204898</v>
      </c>
      <c r="KM6" s="3">
        <f ca="1">IFERROR(__xludf.DUMMYFUNCTION("""COMPUTED_VALUE"""),-0.582808132234001)</f>
        <v>-0.58280813223400096</v>
      </c>
      <c r="KN6" s="3">
        <f ca="1">IFERROR(__xludf.DUMMYFUNCTION("""COMPUTED_VALUE"""),-0.640420921075779)</f>
        <v>-0.64042092107577897</v>
      </c>
      <c r="KO6" s="3">
        <f ca="1">IFERROR(__xludf.DUMMYFUNCTION("""COMPUTED_VALUE"""),-0.656066223265892)</f>
        <v>-0.65606622326589203</v>
      </c>
      <c r="KP6" s="3">
        <f ca="1">IFERROR(__xludf.DUMMYFUNCTION("""COMPUTED_VALUE"""),-0.693381800172593)</f>
        <v>-0.69338180017259299</v>
      </c>
      <c r="KQ6" s="3">
        <f ca="1">IFERROR(__xludf.DUMMYFUNCTION("""COMPUTED_VALUE"""),-0.641438610818663)</f>
        <v>-0.64143861081866305</v>
      </c>
      <c r="KR6" s="3">
        <f ca="1">IFERROR(__xludf.DUMMYFUNCTION("""COMPUTED_VALUE"""),-0.65112503455107)</f>
        <v>-0.65112503455106996</v>
      </c>
      <c r="KS6" s="3">
        <f ca="1">IFERROR(__xludf.DUMMYFUNCTION("""COMPUTED_VALUE"""),-0.562900869767126)</f>
        <v>-0.56290086976712606</v>
      </c>
      <c r="KT6" s="3">
        <f ca="1">IFERROR(__xludf.DUMMYFUNCTION("""COMPUTED_VALUE"""),-0.526330781553736)</f>
        <v>-0.52633078155373603</v>
      </c>
      <c r="KU6" s="3">
        <f ca="1">IFERROR(__xludf.DUMMYFUNCTION("""COMPUTED_VALUE"""),-0.631054296103577)</f>
        <v>-0.63105429610357699</v>
      </c>
      <c r="KV6" s="3">
        <f ca="1">IFERROR(__xludf.DUMMYFUNCTION("""COMPUTED_VALUE"""),-0.690720923226489)</f>
        <v>-0.69072092322648904</v>
      </c>
      <c r="KW6" s="3">
        <f ca="1">IFERROR(__xludf.DUMMYFUNCTION("""COMPUTED_VALUE"""),-0.705978947183054)</f>
        <v>-0.70597894718305398</v>
      </c>
      <c r="KX6" s="3">
        <f ca="1">IFERROR(__xludf.DUMMYFUNCTION("""COMPUTED_VALUE"""),-0.737728094439135)</f>
        <v>-0.73772809443913501</v>
      </c>
      <c r="KY6" s="3">
        <f ca="1">IFERROR(__xludf.DUMMYFUNCTION("""COMPUTED_VALUE"""),-0.6829435168773)</f>
        <v>-0.68294351687730004</v>
      </c>
      <c r="KZ6" s="3">
        <f ca="1">IFERROR(__xludf.DUMMYFUNCTION("""COMPUTED_VALUE"""),-0.542431647623387)</f>
        <v>-0.54243164762338703</v>
      </c>
      <c r="LA6" s="3">
        <f ca="1">IFERROR(__xludf.DUMMYFUNCTION("""COMPUTED_VALUE"""),-0.615655082639008)</f>
        <v>-0.61565508263900803</v>
      </c>
      <c r="LB6" s="3">
        <f ca="1">IFERROR(__xludf.DUMMYFUNCTION("""COMPUTED_VALUE"""),-0.678537757719997)</f>
        <v>-0.67853775771999703</v>
      </c>
      <c r="LC6" s="3">
        <f ca="1">IFERROR(__xludf.DUMMYFUNCTION("""COMPUTED_VALUE"""),-0.734349324737443)</f>
        <v>-0.73434932473744297</v>
      </c>
      <c r="LD6" s="3">
        <f ca="1">IFERROR(__xludf.DUMMYFUNCTION("""COMPUTED_VALUE"""),-0.718497753259522)</f>
        <v>-0.71849775325952203</v>
      </c>
      <c r="LE6" s="3">
        <f ca="1">IFERROR(__xludf.DUMMYFUNCTION("""COMPUTED_VALUE"""),-0.710704361214224)</f>
        <v>-0.71070436121422398</v>
      </c>
      <c r="LF6" s="3">
        <f ca="1">IFERROR(__xludf.DUMMYFUNCTION("""COMPUTED_VALUE"""),-0.657823864890835)</f>
        <v>-0.657823864890835</v>
      </c>
      <c r="LG6" s="3">
        <f ca="1">IFERROR(__xludf.DUMMYFUNCTION("""COMPUTED_VALUE"""),-0.522589526074215)</f>
        <v>-0.52258952607421505</v>
      </c>
      <c r="LH6" s="3">
        <f ca="1">IFERROR(__xludf.DUMMYFUNCTION("""COMPUTED_VALUE"""),-0.579893731316684)</f>
        <v>-0.57989373131668398</v>
      </c>
      <c r="LI6" s="3">
        <f ca="1">IFERROR(__xludf.DUMMYFUNCTION("""COMPUTED_VALUE"""),-0.684238855895639)</f>
        <v>-0.68423885589563904</v>
      </c>
      <c r="LJ6" s="3">
        <f ca="1">IFERROR(__xludf.DUMMYFUNCTION("""COMPUTED_VALUE"""),-0.687925169118728)</f>
        <v>-0.68792516911872803</v>
      </c>
      <c r="LK6" s="3">
        <f ca="1">IFERROR(__xludf.DUMMYFUNCTION("""COMPUTED_VALUE"""),-0.70413847686929)</f>
        <v>-0.70413847686928999</v>
      </c>
      <c r="LL6" s="3">
        <f ca="1">IFERROR(__xludf.DUMMYFUNCTION("""COMPUTED_VALUE"""),-0.714891969462845)</f>
        <v>-0.71489196946284495</v>
      </c>
      <c r="LM6" s="3">
        <f ca="1">IFERROR(__xludf.DUMMYFUNCTION("""COMPUTED_VALUE"""),-0.779108424414527)</f>
        <v>-0.77910842441452699</v>
      </c>
      <c r="LN6" s="3">
        <f ca="1">IFERROR(__xludf.DUMMYFUNCTION("""COMPUTED_VALUE"""),-0.582570652373085)</f>
        <v>-0.58257065237308503</v>
      </c>
      <c r="LO6" s="3">
        <f ca="1">IFERROR(__xludf.DUMMYFUNCTION("""COMPUTED_VALUE"""),-0.643092779572062)</f>
        <v>-0.64309277957206201</v>
      </c>
      <c r="LP6" s="3">
        <f ca="1">IFERROR(__xludf.DUMMYFUNCTION("""COMPUTED_VALUE"""),-0.705243887135576)</f>
        <v>-0.70524388713557595</v>
      </c>
      <c r="LQ6" s="3">
        <f ca="1">IFERROR(__xludf.DUMMYFUNCTION("""COMPUTED_VALUE"""),-0.689012510689665)</f>
        <v>-0.68901251068966496</v>
      </c>
      <c r="LR6" s="3">
        <f ca="1">IFERROR(__xludf.DUMMYFUNCTION("""COMPUTED_VALUE"""),-0.715909852039455)</f>
        <v>-0.71590985203945501</v>
      </c>
      <c r="LS6" s="3">
        <f ca="1">IFERROR(__xludf.DUMMYFUNCTION("""COMPUTED_VALUE"""),-0.744037206685828)</f>
        <v>-0.74403720668582796</v>
      </c>
      <c r="LT6" s="3">
        <f ca="1">IFERROR(__xludf.DUMMYFUNCTION("""COMPUTED_VALUE"""),-0.66878805852872)</f>
        <v>-0.66878805852872003</v>
      </c>
      <c r="LU6" s="3">
        <f ca="1">IFERROR(__xludf.DUMMYFUNCTION("""COMPUTED_VALUE"""),-0.647701723153999)</f>
        <v>-0.64770172315399899</v>
      </c>
      <c r="LV6" s="3">
        <f ca="1">IFERROR(__xludf.DUMMYFUNCTION("""COMPUTED_VALUE"""),-0.638335263485461)</f>
        <v>-0.63833526348546099</v>
      </c>
      <c r="LW6" s="3">
        <f ca="1">IFERROR(__xludf.DUMMYFUNCTION("""COMPUTED_VALUE"""),-0.702666783066572)</f>
        <v>-0.70266678306657204</v>
      </c>
      <c r="LX6" s="3">
        <f ca="1">IFERROR(__xludf.DUMMYFUNCTION("""COMPUTED_VALUE"""),-0.74230745146123)</f>
        <v>-0.74230745146123001</v>
      </c>
      <c r="LY6" s="3">
        <f ca="1">IFERROR(__xludf.DUMMYFUNCTION("""COMPUTED_VALUE"""),-0.742819854211271)</f>
        <v>-0.74281985421127095</v>
      </c>
      <c r="LZ6" s="3">
        <f ca="1">IFERROR(__xludf.DUMMYFUNCTION("""COMPUTED_VALUE"""),-0.836401101913788)</f>
        <v>-0.83640110191378803</v>
      </c>
      <c r="MA6" s="3">
        <f ca="1">IFERROR(__xludf.DUMMYFUNCTION("""COMPUTED_VALUE"""),-0.745531399695145)</f>
        <v>-0.74553139969514504</v>
      </c>
      <c r="MB6" s="3">
        <f ca="1">IFERROR(__xludf.DUMMYFUNCTION("""COMPUTED_VALUE"""),-0.631450431754293)</f>
        <v>-0.63145043175429305</v>
      </c>
      <c r="MC6" s="3">
        <f ca="1">IFERROR(__xludf.DUMMYFUNCTION("""COMPUTED_VALUE"""),-0.685556799815297)</f>
        <v>-0.68555679981529705</v>
      </c>
      <c r="MD6" s="3">
        <f ca="1">IFERROR(__xludf.DUMMYFUNCTION("""COMPUTED_VALUE"""),-0.726790854508896)</f>
        <v>-0.72679085450889602</v>
      </c>
      <c r="ME6" s="3">
        <f ca="1">IFERROR(__xludf.DUMMYFUNCTION("""COMPUTED_VALUE"""),-0.80210383797962)</f>
        <v>-0.80210383797962004</v>
      </c>
      <c r="MF6" s="3">
        <f ca="1">IFERROR(__xludf.DUMMYFUNCTION("""COMPUTED_VALUE"""),-0.7903813555943)</f>
        <v>-0.79038135559430001</v>
      </c>
      <c r="MG6" s="3">
        <f ca="1">IFERROR(__xludf.DUMMYFUNCTION("""COMPUTED_VALUE"""),-0.80526552915544)</f>
        <v>-0.80526552915544003</v>
      </c>
      <c r="MH6" s="3">
        <f ca="1">IFERROR(__xludf.DUMMYFUNCTION("""COMPUTED_VALUE"""),-0.746187984619585)</f>
        <v>-0.74618798461958502</v>
      </c>
      <c r="MI6" s="3">
        <f ca="1">IFERROR(__xludf.DUMMYFUNCTION("""COMPUTED_VALUE"""),-0.720168546036425)</f>
        <v>-0.72016854603642499</v>
      </c>
      <c r="MJ6" s="3">
        <f ca="1">IFERROR(__xludf.DUMMYFUNCTION("""COMPUTED_VALUE"""),-0.747737560523127)</f>
        <v>-0.74773756052312701</v>
      </c>
      <c r="MK6" s="3">
        <f ca="1">IFERROR(__xludf.DUMMYFUNCTION("""COMPUTED_VALUE"""),-0.785903164748932)</f>
        <v>-0.78590316474893196</v>
      </c>
      <c r="ML6" s="3">
        <f ca="1">IFERROR(__xludf.DUMMYFUNCTION("""COMPUTED_VALUE"""),-0.824365025350606)</f>
        <v>-0.82436502535060596</v>
      </c>
      <c r="MM6" s="3">
        <f ca="1">IFERROR(__xludf.DUMMYFUNCTION("""COMPUTED_VALUE"""),-0.813122721963017)</f>
        <v>-0.81312272196301705</v>
      </c>
      <c r="MN6" s="3">
        <f ca="1">IFERROR(__xludf.DUMMYFUNCTION("""COMPUTED_VALUE"""),-0.795418600862403)</f>
        <v>-0.79541860086240301</v>
      </c>
      <c r="MO6" s="3">
        <f ca="1">IFERROR(__xludf.DUMMYFUNCTION("""COMPUTED_VALUE"""),-0.807991429148484)</f>
        <v>-0.80799142914848399</v>
      </c>
      <c r="MP6" s="3">
        <f ca="1">IFERROR(__xludf.DUMMYFUNCTION("""COMPUTED_VALUE"""),-0.701716477498996)</f>
        <v>-0.70171647749899602</v>
      </c>
      <c r="MQ6" s="3">
        <f ca="1">IFERROR(__xludf.DUMMYFUNCTION("""COMPUTED_VALUE"""),-0.773171616143549)</f>
        <v>-0.77317161614354901</v>
      </c>
      <c r="MR6" s="3">
        <f ca="1">IFERROR(__xludf.DUMMYFUNCTION("""COMPUTED_VALUE"""),-0.798955312746687)</f>
        <v>-0.79895531274668696</v>
      </c>
      <c r="MS6" s="3">
        <f ca="1">IFERROR(__xludf.DUMMYFUNCTION("""COMPUTED_VALUE"""),-0.787894427690499)</f>
        <v>-0.787894427690499</v>
      </c>
      <c r="MT6" s="3">
        <f ca="1">IFERROR(__xludf.DUMMYFUNCTION("""COMPUTED_VALUE"""),-0.837480025175118)</f>
        <v>-0.83748002517511799</v>
      </c>
      <c r="MU6" s="3">
        <f ca="1">IFERROR(__xludf.DUMMYFUNCTION("""COMPUTED_VALUE"""),-0.793730768770518)</f>
        <v>-0.79373076877051796</v>
      </c>
      <c r="MV6" s="3">
        <f ca="1">IFERROR(__xludf.DUMMYFUNCTION("""COMPUTED_VALUE"""),-0.816570839728001)</f>
        <v>-0.81657083972800104</v>
      </c>
      <c r="MW6" s="3">
        <f ca="1">IFERROR(__xludf.DUMMYFUNCTION("""COMPUTED_VALUE"""),-0.75561594986782)</f>
        <v>-0.75561594986781999</v>
      </c>
      <c r="MX6" s="3">
        <f ca="1">IFERROR(__xludf.DUMMYFUNCTION("""COMPUTED_VALUE"""),-0.725338966506177)</f>
        <v>-0.72533896650617702</v>
      </c>
      <c r="MY6" s="3">
        <f ca="1">IFERROR(__xludf.DUMMYFUNCTION("""COMPUTED_VALUE"""),-0.792675346711241)</f>
        <v>-0.79267534671124096</v>
      </c>
      <c r="MZ6" s="3">
        <f ca="1">IFERROR(__xludf.DUMMYFUNCTION("""COMPUTED_VALUE"""),-0.833031851547311)</f>
        <v>-0.83303185154731096</v>
      </c>
      <c r="NA6" s="3">
        <f ca="1">IFERROR(__xludf.DUMMYFUNCTION("""COMPUTED_VALUE"""),-0.774395688494221)</f>
        <v>-0.77439568849422102</v>
      </c>
      <c r="NB6" s="3">
        <f ca="1">IFERROR(__xludf.DUMMYFUNCTION("""COMPUTED_VALUE"""),-0.821133045009576)</f>
        <v>-0.82113304500957596</v>
      </c>
      <c r="NC6" s="3">
        <f ca="1">IFERROR(__xludf.DUMMYFUNCTION("""COMPUTED_VALUE"""),-0.828512521547859)</f>
        <v>-0.82851252154785904</v>
      </c>
      <c r="ND6" s="3">
        <f ca="1">IFERROR(__xludf.DUMMYFUNCTION("""COMPUTED_VALUE"""),-0.640328915082224)</f>
        <v>-0.640328915082224</v>
      </c>
      <c r="NE6" s="3">
        <f ca="1">IFERROR(__xludf.DUMMYFUNCTION("""COMPUTED_VALUE"""),-0.735373623030418)</f>
        <v>-0.73537362303041798</v>
      </c>
      <c r="NF6" s="3">
        <f ca="1">IFERROR(__xludf.DUMMYFUNCTION("""COMPUTED_VALUE"""),-0.818153105036751)</f>
        <v>-0.81815310503675098</v>
      </c>
      <c r="NG6" s="3">
        <f ca="1">IFERROR(__xludf.DUMMYFUNCTION("""COMPUTED_VALUE"""),-0.848647772903171)</f>
        <v>-0.84864777290317095</v>
      </c>
      <c r="NH6" s="3">
        <f ca="1">IFERROR(__xludf.DUMMYFUNCTION("""COMPUTED_VALUE"""),-0.811559984693178)</f>
        <v>-0.81155998469317803</v>
      </c>
      <c r="NI6" s="3">
        <f ca="1">IFERROR(__xludf.DUMMYFUNCTION("""COMPUTED_VALUE"""),-0.818756722578005)</f>
        <v>-0.81875672257800503</v>
      </c>
      <c r="NJ6" s="3">
        <f ca="1">IFERROR(__xludf.DUMMYFUNCTION("""COMPUTED_VALUE"""),-0.796623090186241)</f>
        <v>-0.796623090186241</v>
      </c>
      <c r="NK6" s="3">
        <f ca="1">IFERROR(__xludf.DUMMYFUNCTION("""COMPUTED_VALUE"""),-0.66166604456508)</f>
        <v>-0.66166604456508005</v>
      </c>
      <c r="NL6" s="3">
        <f ca="1">IFERROR(__xludf.DUMMYFUNCTION("""COMPUTED_VALUE"""),-0.778539848095277)</f>
        <v>-0.77853984809527699</v>
      </c>
      <c r="NM6" s="3">
        <f ca="1">IFERROR(__xludf.DUMMYFUNCTION("""COMPUTED_VALUE"""),-0.823922338256978)</f>
        <v>-0.82392233825697803</v>
      </c>
      <c r="NN6" s="3">
        <f ca="1">IFERROR(__xludf.DUMMYFUNCTION("""COMPUTED_VALUE"""),-0.833183379239693)</f>
        <v>-0.83318337923969299</v>
      </c>
      <c r="NO6" s="3">
        <f ca="1">IFERROR(__xludf.DUMMYFUNCTION("""COMPUTED_VALUE"""),-0.782102831778608)</f>
        <v>-0.78210283177860795</v>
      </c>
      <c r="NP6" s="3">
        <f ca="1">IFERROR(__xludf.DUMMYFUNCTION("""COMPUTED_VALUE"""),-0.753771782385969)</f>
        <v>-0.75377178238596898</v>
      </c>
      <c r="NQ6" s="3">
        <f ca="1">IFERROR(__xludf.DUMMYFUNCTION("""COMPUTED_VALUE"""),-0.790274479451932)</f>
        <v>-0.79027447945193197</v>
      </c>
      <c r="NR6" s="3">
        <f ca="1">IFERROR(__xludf.DUMMYFUNCTION("""COMPUTED_VALUE"""),-0.641375482910502)</f>
        <v>-0.64137548291050195</v>
      </c>
      <c r="NS6" s="3">
        <f ca="1">IFERROR(__xludf.DUMMYFUNCTION("""COMPUTED_VALUE"""),-0.645352859323576)</f>
        <v>-0.645352859323576</v>
      </c>
      <c r="NT6" s="3">
        <f ca="1">IFERROR(__xludf.DUMMYFUNCTION("""COMPUTED_VALUE"""),-0.765208748005349)</f>
        <v>-0.76520874800534899</v>
      </c>
      <c r="NU6" s="3">
        <f ca="1">IFERROR(__xludf.DUMMYFUNCTION("""COMPUTED_VALUE"""),-0.792129596475765)</f>
        <v>-0.79212959647576497</v>
      </c>
      <c r="NV6" s="3">
        <f ca="1">IFERROR(__xludf.DUMMYFUNCTION("""COMPUTED_VALUE"""),-0.750136675472546)</f>
        <v>-0.75013667547254603</v>
      </c>
      <c r="NW6" s="3">
        <f ca="1">IFERROR(__xludf.DUMMYFUNCTION("""COMPUTED_VALUE"""),-0.698882840749759)</f>
        <v>-0.69888284074975904</v>
      </c>
      <c r="NX6" s="3">
        <f ca="1">IFERROR(__xludf.DUMMYFUNCTION("""COMPUTED_VALUE"""),-0.71152609751583)</f>
        <v>-0.71152609751582996</v>
      </c>
      <c r="NY6" s="3">
        <f ca="1">IFERROR(__xludf.DUMMYFUNCTION("""COMPUTED_VALUE"""),-0.586655136167107)</f>
        <v>-0.58665513616710696</v>
      </c>
      <c r="NZ6" s="3">
        <f ca="1">IFERROR(__xludf.DUMMYFUNCTION("""COMPUTED_VALUE"""),-0.698899553846233)</f>
        <v>-0.69889955384623303</v>
      </c>
      <c r="OA6" s="3">
        <f ca="1">IFERROR(__xludf.DUMMYFUNCTION("""COMPUTED_VALUE"""),-0.709106939906598)</f>
        <v>-0.70910693990659801</v>
      </c>
      <c r="OB6" s="3">
        <f ca="1">IFERROR(__xludf.DUMMYFUNCTION("""COMPUTED_VALUE"""),-0.690955305632864)</f>
        <v>-0.690955305632864</v>
      </c>
      <c r="OC6" s="3">
        <f ca="1">IFERROR(__xludf.DUMMYFUNCTION("""COMPUTED_VALUE"""),-0.610813706734367)</f>
        <v>-0.61081370673436697</v>
      </c>
      <c r="OD6" s="3">
        <f ca="1">IFERROR(__xludf.DUMMYFUNCTION("""COMPUTED_VALUE"""),-0.579778574419183)</f>
        <v>-0.57977857441918301</v>
      </c>
      <c r="OE6" s="3">
        <f ca="1">IFERROR(__xludf.DUMMYFUNCTION("""COMPUTED_VALUE"""),-0.542050447437953)</f>
        <v>-0.54205044743795305</v>
      </c>
      <c r="OF6" s="3">
        <f ca="1">IFERROR(__xludf.DUMMYFUNCTION("""COMPUTED_VALUE"""),-0.329563133864567)</f>
        <v>-0.32956313386456698</v>
      </c>
      <c r="OG6" s="3">
        <f ca="1">IFERROR(__xludf.DUMMYFUNCTION("""COMPUTED_VALUE"""),-0.400547964461605)</f>
        <v>-0.40054796446160501</v>
      </c>
      <c r="OH6" s="3">
        <f ca="1">IFERROR(__xludf.DUMMYFUNCTION("""COMPUTED_VALUE"""),-0.391917565916146)</f>
        <v>-0.39191756591614602</v>
      </c>
      <c r="OI6" s="3">
        <f ca="1">IFERROR(__xludf.DUMMYFUNCTION("""COMPUTED_VALUE"""),-0.135267620946685)</f>
        <v>-0.13526762094668501</v>
      </c>
      <c r="OJ6" s="3">
        <f ca="1">IFERROR(__xludf.DUMMYFUNCTION("""COMPUTED_VALUE"""),-0.0525098857722773)</f>
        <v>-5.2509885772277297E-2</v>
      </c>
      <c r="OK6" s="3">
        <f ca="1">IFERROR(__xludf.DUMMYFUNCTION("""COMPUTED_VALUE"""),0.0283683741427527)</f>
        <v>2.83683741427527E-2</v>
      </c>
      <c r="OL6" s="3">
        <f ca="1">IFERROR(__xludf.DUMMYFUNCTION("""COMPUTED_VALUE"""),0.0573446548109661)</f>
        <v>5.7344654810966102E-2</v>
      </c>
      <c r="OM6" s="3">
        <f ca="1">IFERROR(__xludf.DUMMYFUNCTION("""COMPUTED_VALUE"""),-0.0316641735646978)</f>
        <v>-3.1664173564697799E-2</v>
      </c>
      <c r="ON6" s="3">
        <f ca="1">IFERROR(__xludf.DUMMYFUNCTION("""COMPUTED_VALUE"""),-0.189590966961883)</f>
        <v>-0.18959096696188299</v>
      </c>
      <c r="OO6" s="3">
        <f ca="1">IFERROR(__xludf.DUMMYFUNCTION("""COMPUTED_VALUE"""),-0.120968612123464)</f>
        <v>-0.12096861212346401</v>
      </c>
      <c r="OP6" s="3">
        <f ca="1">IFERROR(__xludf.DUMMYFUNCTION("""COMPUTED_VALUE"""),-0.0512062204900831)</f>
        <v>-5.1206220490083103E-2</v>
      </c>
      <c r="OQ6" s="3">
        <f ca="1">IFERROR(__xludf.DUMMYFUNCTION("""COMPUTED_VALUE"""),-0.0910519201088653)</f>
        <v>-9.10519201088653E-2</v>
      </c>
      <c r="OR6" s="3">
        <f ca="1">IFERROR(__xludf.DUMMYFUNCTION("""COMPUTED_VALUE"""),0.0334272857205488)</f>
        <v>3.3427285720548802E-2</v>
      </c>
      <c r="OS6" s="3">
        <f ca="1">IFERROR(__xludf.DUMMYFUNCTION("""COMPUTED_VALUE"""),-0.00570720204567587)</f>
        <v>-5.70720204567587E-3</v>
      </c>
      <c r="OT6" s="3">
        <f ca="1">IFERROR(__xludf.DUMMYFUNCTION("""COMPUTED_VALUE"""),-0.0374027664683702)</f>
        <v>-3.7402766468370201E-2</v>
      </c>
      <c r="OU6" s="3">
        <f ca="1">IFERROR(__xludf.DUMMYFUNCTION("""COMPUTED_VALUE"""),-0.123895751818143)</f>
        <v>-0.123895751818143</v>
      </c>
      <c r="OV6" s="3">
        <f ca="1">IFERROR(__xludf.DUMMYFUNCTION("""COMPUTED_VALUE"""),-0.0339283758930956)</f>
        <v>-3.3928375893095601E-2</v>
      </c>
      <c r="OW6" s="3">
        <f ca="1">IFERROR(__xludf.DUMMYFUNCTION("""COMPUTED_VALUE"""),-0.013969550909394)</f>
        <v>-1.3969550909394E-2</v>
      </c>
      <c r="OX6" s="3">
        <f ca="1">IFERROR(__xludf.DUMMYFUNCTION("""COMPUTED_VALUE"""),0.033784858284515)</f>
        <v>3.3784858284515003E-2</v>
      </c>
      <c r="OY6" s="3">
        <f ca="1">IFERROR(__xludf.DUMMYFUNCTION("""COMPUTED_VALUE"""),0.0620626086699682)</f>
        <v>6.2062608669968197E-2</v>
      </c>
      <c r="OZ6" s="3">
        <f ca="1">IFERROR(__xludf.DUMMYFUNCTION("""COMPUTED_VALUE"""),0.053775243301932)</f>
        <v>5.3775243301932001E-2</v>
      </c>
      <c r="PA6" s="3">
        <f ca="1">IFERROR(__xludf.DUMMYFUNCTION("""COMPUTED_VALUE"""),0.00125082087507522)</f>
        <v>1.2508208750752199E-3</v>
      </c>
      <c r="PB6" s="3">
        <f ca="1">IFERROR(__xludf.DUMMYFUNCTION("""COMPUTED_VALUE"""),0.0122218058253869)</f>
        <v>1.22218058253869E-2</v>
      </c>
      <c r="PC6" s="3">
        <f ca="1">IFERROR(__xludf.DUMMYFUNCTION("""COMPUTED_VALUE"""),0.0715172099227432)</f>
        <v>7.15172099227432E-2</v>
      </c>
      <c r="PD6" s="3">
        <f ca="1">IFERROR(__xludf.DUMMYFUNCTION("""COMPUTED_VALUE"""),-0.0501290234777633)</f>
        <v>-5.0129023477763303E-2</v>
      </c>
      <c r="PE6" s="3">
        <f ca="1">IFERROR(__xludf.DUMMYFUNCTION("""COMPUTED_VALUE"""),-0.00922867385277892)</f>
        <v>-9.2286738527789201E-3</v>
      </c>
      <c r="PF6" s="3">
        <f ca="1">IFERROR(__xludf.DUMMYFUNCTION("""COMPUTED_VALUE"""),-0.0107668394063886)</f>
        <v>-1.07668394063886E-2</v>
      </c>
      <c r="PG6" s="3">
        <f ca="1">IFERROR(__xludf.DUMMYFUNCTION("""COMPUTED_VALUE"""),-0.085233698078171)</f>
        <v>-8.5233698078170994E-2</v>
      </c>
      <c r="PH6" s="3">
        <f ca="1">IFERROR(__xludf.DUMMYFUNCTION("""COMPUTED_VALUE"""),0.151489300022132)</f>
        <v>0.15148930002213201</v>
      </c>
      <c r="PI6" s="3">
        <f ca="1">IFERROR(__xludf.DUMMYFUNCTION("""COMPUTED_VALUE"""),0.00164599957415623)</f>
        <v>1.6459995741562299E-3</v>
      </c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</row>
    <row r="7" spans="1:477" ht="15.75" customHeight="1">
      <c r="A7" s="1" t="str">
        <f ca="1">IFERROR(__xludf.DUMMYFUNCTION("""COMPUTED_VALUE"""),"MDOT MTA")</f>
        <v>MDOT MTA</v>
      </c>
      <c r="B7" s="1" t="str">
        <f ca="1">IFERROR(__xludf.DUMMYFUNCTION("""COMPUTED_VALUE"""),"Baltimore")</f>
        <v>Baltimore</v>
      </c>
      <c r="C7" s="1" t="str">
        <f ca="1">IFERROR(__xludf.DUMMYFUNCTION("""COMPUTED_VALUE"""),"United States")</f>
        <v>United States</v>
      </c>
      <c r="D7" s="1" t="str">
        <f ca="1">IFERROR(__xludf.DUMMYFUNCTION("""COMPUTED_VALUE"""),"Maryland")</f>
        <v>Maryland</v>
      </c>
      <c r="E7" s="3">
        <f ca="1">IFERROR(__xludf.DUMMYFUNCTION("""COMPUTED_VALUE"""),-0.419456381691354)</f>
        <v>-0.41945638169135402</v>
      </c>
      <c r="F7" s="3">
        <f ca="1">IFERROR(__xludf.DUMMYFUNCTION("""COMPUTED_VALUE"""),-0.560332970638422)</f>
        <v>-0.56033297063842202</v>
      </c>
      <c r="G7" s="3">
        <f ca="1">IFERROR(__xludf.DUMMYFUNCTION("""COMPUTED_VALUE"""),-0.570773239391451)</f>
        <v>-0.57077323939145097</v>
      </c>
      <c r="H7" s="3">
        <f ca="1">IFERROR(__xludf.DUMMYFUNCTION("""COMPUTED_VALUE"""),-0.569888980067693)</f>
        <v>-0.56988898006769295</v>
      </c>
      <c r="I7" s="3">
        <f ca="1">IFERROR(__xludf.DUMMYFUNCTION("""COMPUTED_VALUE"""),-0.573571764965141)</f>
        <v>-0.57357176496514095</v>
      </c>
      <c r="J7" s="3">
        <f ca="1">IFERROR(__xludf.DUMMYFUNCTION("""COMPUTED_VALUE"""),-0.54498421899752)</f>
        <v>-0.54498421899752003</v>
      </c>
      <c r="K7" s="3">
        <f ca="1">IFERROR(__xludf.DUMMYFUNCTION("""COMPUTED_VALUE"""),-0.419774699241235)</f>
        <v>-0.41977469924123501</v>
      </c>
      <c r="L7" s="3">
        <f ca="1">IFERROR(__xludf.DUMMYFUNCTION("""COMPUTED_VALUE"""),-0.448857070157473)</f>
        <v>-0.448857070157473</v>
      </c>
      <c r="M7" s="3">
        <f ca="1">IFERROR(__xludf.DUMMYFUNCTION("""COMPUTED_VALUE"""),-0.601950939828383)</f>
        <v>-0.60195093982838299</v>
      </c>
      <c r="N7" s="3">
        <f ca="1">IFERROR(__xludf.DUMMYFUNCTION("""COMPUTED_VALUE"""),-0.621745511233566)</f>
        <v>-0.62174551123356603</v>
      </c>
      <c r="O7" s="3">
        <f ca="1">IFERROR(__xludf.DUMMYFUNCTION("""COMPUTED_VALUE"""),-0.663827792045586)</f>
        <v>-0.66382779204558595</v>
      </c>
      <c r="P7" s="3">
        <f ca="1">IFERROR(__xludf.DUMMYFUNCTION("""COMPUTED_VALUE"""),-0.625581932374588)</f>
        <v>-0.62558193237458803</v>
      </c>
      <c r="Q7" s="3">
        <f ca="1">IFERROR(__xludf.DUMMYFUNCTION("""COMPUTED_VALUE"""),-0.607567169602811)</f>
        <v>-0.60756716960281099</v>
      </c>
      <c r="R7" s="3">
        <f ca="1">IFERROR(__xludf.DUMMYFUNCTION("""COMPUTED_VALUE"""),-0.504446032170384)</f>
        <v>-0.50444603217038397</v>
      </c>
      <c r="S7" s="3">
        <f ca="1">IFERROR(__xludf.DUMMYFUNCTION("""COMPUTED_VALUE"""),-0.428645736875494)</f>
        <v>-0.42864573687549401</v>
      </c>
      <c r="T7" s="3">
        <f ca="1">IFERROR(__xludf.DUMMYFUNCTION("""COMPUTED_VALUE"""),-0.547576318785839)</f>
        <v>-0.54757631878583901</v>
      </c>
      <c r="U7" s="3">
        <f ca="1">IFERROR(__xludf.DUMMYFUNCTION("""COMPUTED_VALUE"""),-0.606606650031093)</f>
        <v>-0.60660665003109304</v>
      </c>
      <c r="V7" s="3">
        <f ca="1">IFERROR(__xludf.DUMMYFUNCTION("""COMPUTED_VALUE"""),-0.692864050927622)</f>
        <v>-0.69286405092762204</v>
      </c>
      <c r="W7" s="3">
        <f ca="1">IFERROR(__xludf.DUMMYFUNCTION("""COMPUTED_VALUE"""),-0.610569519495957)</f>
        <v>-0.61056951949595695</v>
      </c>
      <c r="X7" s="3">
        <f ca="1">IFERROR(__xludf.DUMMYFUNCTION("""COMPUTED_VALUE"""),-0.595452247260439)</f>
        <v>-0.59545224726043899</v>
      </c>
      <c r="Y7" s="3">
        <f ca="1">IFERROR(__xludf.DUMMYFUNCTION("""COMPUTED_VALUE"""),-0.405018372396889)</f>
        <v>-0.40501837239688898</v>
      </c>
      <c r="Z7" s="3">
        <f ca="1">IFERROR(__xludf.DUMMYFUNCTION("""COMPUTED_VALUE"""),-0.460319257576152)</f>
        <v>-0.460319257576152</v>
      </c>
      <c r="AA7" s="3">
        <f ca="1">IFERROR(__xludf.DUMMYFUNCTION("""COMPUTED_VALUE"""),-0.579728313646641)</f>
        <v>-0.57972831364664101</v>
      </c>
      <c r="AB7" s="3">
        <f ca="1">IFERROR(__xludf.DUMMYFUNCTION("""COMPUTED_VALUE"""),-0.650043348534162)</f>
        <v>-0.65004334853416201</v>
      </c>
      <c r="AC7" s="3">
        <f ca="1">IFERROR(__xludf.DUMMYFUNCTION("""COMPUTED_VALUE"""),-0.623801196549501)</f>
        <v>-0.62380119654950095</v>
      </c>
      <c r="AD7" s="3">
        <f ca="1">IFERROR(__xludf.DUMMYFUNCTION("""COMPUTED_VALUE"""),-0.648031180015629)</f>
        <v>-0.64803118001562898</v>
      </c>
      <c r="AE7" s="3">
        <f ca="1">IFERROR(__xludf.DUMMYFUNCTION("""COMPUTED_VALUE"""),-0.61650902155634)</f>
        <v>-0.61650902155634002</v>
      </c>
      <c r="AF7" s="3">
        <f ca="1">IFERROR(__xludf.DUMMYFUNCTION("""COMPUTED_VALUE"""),-0.421330078771956)</f>
        <v>-0.421330078771956</v>
      </c>
      <c r="AG7" s="3">
        <f ca="1">IFERROR(__xludf.DUMMYFUNCTION("""COMPUTED_VALUE"""),-0.426337207137815)</f>
        <v>-0.42633720713781498</v>
      </c>
      <c r="AH7" s="3">
        <f ca="1">IFERROR(__xludf.DUMMYFUNCTION("""COMPUTED_VALUE"""),-0.561417700581957)</f>
        <v>-0.56141770058195695</v>
      </c>
      <c r="AI7" s="3">
        <f ca="1">IFERROR(__xludf.DUMMYFUNCTION("""COMPUTED_VALUE"""),-0.586758964576492)</f>
        <v>-0.58675896457649201</v>
      </c>
      <c r="AJ7" s="3">
        <f ca="1">IFERROR(__xludf.DUMMYFUNCTION("""COMPUTED_VALUE"""),-0.610883717202127)</f>
        <v>-0.61088371720212697</v>
      </c>
      <c r="AK7" s="3">
        <f ca="1">IFERROR(__xludf.DUMMYFUNCTION("""COMPUTED_VALUE"""),-0.607928524703633)</f>
        <v>-0.60792852470363301</v>
      </c>
      <c r="AL7" s="3">
        <f ca="1">IFERROR(__xludf.DUMMYFUNCTION("""COMPUTED_VALUE"""),-0.589910442449303)</f>
        <v>-0.58991044244930302</v>
      </c>
      <c r="AM7" s="3">
        <f ca="1">IFERROR(__xludf.DUMMYFUNCTION("""COMPUTED_VALUE"""),-0.411055410054815)</f>
        <v>-0.411055410054815</v>
      </c>
      <c r="AN7" s="3">
        <f ca="1">IFERROR(__xludf.DUMMYFUNCTION("""COMPUTED_VALUE"""),-0.471617004743153)</f>
        <v>-0.47161700474315299</v>
      </c>
      <c r="AO7" s="3">
        <f ca="1">IFERROR(__xludf.DUMMYFUNCTION("""COMPUTED_VALUE"""),-0.582178835785226)</f>
        <v>-0.582178835785226</v>
      </c>
      <c r="AP7" s="3">
        <f ca="1">IFERROR(__xludf.DUMMYFUNCTION("""COMPUTED_VALUE"""),-0.625868829634356)</f>
        <v>-0.62586882963435597</v>
      </c>
      <c r="AQ7" s="3">
        <f ca="1">IFERROR(__xludf.DUMMYFUNCTION("""COMPUTED_VALUE"""),-0.602553728170848)</f>
        <v>-0.60255372817084796</v>
      </c>
      <c r="AR7" s="3">
        <f ca="1">IFERROR(__xludf.DUMMYFUNCTION("""COMPUTED_VALUE"""),-0.636303286853042)</f>
        <v>-0.63630328685304205</v>
      </c>
      <c r="AS7" s="3">
        <f ca="1">IFERROR(__xludf.DUMMYFUNCTION("""COMPUTED_VALUE"""),-0.607550140719836)</f>
        <v>-0.60755014071983604</v>
      </c>
      <c r="AT7" s="3">
        <f ca="1">IFERROR(__xludf.DUMMYFUNCTION("""COMPUTED_VALUE"""),-0.495926800118818)</f>
        <v>-0.49592680011881801</v>
      </c>
      <c r="AU7" s="3">
        <f ca="1">IFERROR(__xludf.DUMMYFUNCTION("""COMPUTED_VALUE"""),-0.480824204562969)</f>
        <v>-0.48082420456296898</v>
      </c>
      <c r="AV7" s="3">
        <f ca="1">IFERROR(__xludf.DUMMYFUNCTION("""COMPUTED_VALUE"""),-0.605220993963155)</f>
        <v>-0.60522099396315499</v>
      </c>
      <c r="AW7" s="3">
        <f ca="1">IFERROR(__xludf.DUMMYFUNCTION("""COMPUTED_VALUE"""),-0.626245104436577)</f>
        <v>-0.62624510443657699</v>
      </c>
      <c r="AX7" s="3">
        <f ca="1">IFERROR(__xludf.DUMMYFUNCTION("""COMPUTED_VALUE"""),-0.525977245272682)</f>
        <v>-0.52597724527268197</v>
      </c>
      <c r="AY7" s="3">
        <f ca="1">IFERROR(__xludf.DUMMYFUNCTION("""COMPUTED_VALUE"""),-0.6260119688549)</f>
        <v>-0.62601196885489996</v>
      </c>
      <c r="AZ7" s="3">
        <f ca="1">IFERROR(__xludf.DUMMYFUNCTION("""COMPUTED_VALUE"""),-0.606997406070306)</f>
        <v>-0.60699740607030594</v>
      </c>
      <c r="BA7" s="3">
        <f ca="1">IFERROR(__xludf.DUMMYFUNCTION("""COMPUTED_VALUE"""),-0.41686030499715)</f>
        <v>-0.41686030499714999</v>
      </c>
      <c r="BB7" s="3">
        <f ca="1">IFERROR(__xludf.DUMMYFUNCTION("""COMPUTED_VALUE"""),-0.497329504781407)</f>
        <v>-0.49732950478140697</v>
      </c>
      <c r="BC7" s="3">
        <f ca="1">IFERROR(__xludf.DUMMYFUNCTION("""COMPUTED_VALUE"""),-0.629776154906679)</f>
        <v>-0.62977615490667904</v>
      </c>
      <c r="BD7" s="3">
        <f ca="1">IFERROR(__xludf.DUMMYFUNCTION("""COMPUTED_VALUE"""),-0.722948255491034)</f>
        <v>-0.72294825549103403</v>
      </c>
      <c r="BE7" s="3">
        <f ca="1">IFERROR(__xludf.DUMMYFUNCTION("""COMPUTED_VALUE"""),-0.548672527885258)</f>
        <v>-0.548672527885258</v>
      </c>
      <c r="BF7" s="3">
        <f ca="1">IFERROR(__xludf.DUMMYFUNCTION("""COMPUTED_VALUE"""),-0.579370767411868)</f>
        <v>-0.57937076741186799</v>
      </c>
      <c r="BG7" s="3">
        <f ca="1">IFERROR(__xludf.DUMMYFUNCTION("""COMPUTED_VALUE"""),-0.540695753345252)</f>
        <v>-0.54069575334525199</v>
      </c>
      <c r="BH7" s="3">
        <f ca="1">IFERROR(__xludf.DUMMYFUNCTION("""COMPUTED_VALUE"""),-0.392206126127075)</f>
        <v>-0.39220612612707501</v>
      </c>
      <c r="BI7" s="3">
        <f ca="1">IFERROR(__xludf.DUMMYFUNCTION("""COMPUTED_VALUE"""),-0.486944299118265)</f>
        <v>-0.48694429911826498</v>
      </c>
      <c r="BJ7" s="3">
        <f ca="1">IFERROR(__xludf.DUMMYFUNCTION("""COMPUTED_VALUE"""),-0.620869263901561)</f>
        <v>-0.62086926390156105</v>
      </c>
      <c r="BK7" s="3">
        <f ca="1">IFERROR(__xludf.DUMMYFUNCTION("""COMPUTED_VALUE"""),-0.657720368802138)</f>
        <v>-0.65772036880213802</v>
      </c>
      <c r="BL7" s="3">
        <f ca="1">IFERROR(__xludf.DUMMYFUNCTION("""COMPUTED_VALUE"""),-0.628138077638039)</f>
        <v>-0.62813807763803897</v>
      </c>
      <c r="BM7" s="3">
        <f ca="1">IFERROR(__xludf.DUMMYFUNCTION("""COMPUTED_VALUE"""),-0.614520627785832)</f>
        <v>-0.61452062778583205</v>
      </c>
      <c r="BN7" s="3">
        <f ca="1">IFERROR(__xludf.DUMMYFUNCTION("""COMPUTED_VALUE"""),-0.580001971265983)</f>
        <v>-0.58000197126598296</v>
      </c>
      <c r="BO7" s="3">
        <f ca="1">IFERROR(__xludf.DUMMYFUNCTION("""COMPUTED_VALUE"""),-0.464426696303984)</f>
        <v>-0.46442669630398398</v>
      </c>
      <c r="BP7" s="3">
        <f ca="1">IFERROR(__xludf.DUMMYFUNCTION("""COMPUTED_VALUE"""),-0.430820035820988)</f>
        <v>-0.43082003582098799</v>
      </c>
      <c r="BQ7" s="3">
        <f ca="1">IFERROR(__xludf.DUMMYFUNCTION("""COMPUTED_VALUE"""),-0.607377756090814)</f>
        <v>-0.60737775609081401</v>
      </c>
      <c r="BR7" s="3">
        <f ca="1">IFERROR(__xludf.DUMMYFUNCTION("""COMPUTED_VALUE"""),-0.62152508296208)</f>
        <v>-0.62152508296207998</v>
      </c>
      <c r="BS7" s="3">
        <f ca="1">IFERROR(__xludf.DUMMYFUNCTION("""COMPUTED_VALUE"""),-0.623593387702518)</f>
        <v>-0.62359338770251804</v>
      </c>
      <c r="BT7" s="3">
        <f ca="1">IFERROR(__xludf.DUMMYFUNCTION("""COMPUTED_VALUE"""),-0.648396902088877)</f>
        <v>-0.64839690208887701</v>
      </c>
      <c r="BU7" s="3">
        <f ca="1">IFERROR(__xludf.DUMMYFUNCTION("""COMPUTED_VALUE"""),-0.710606607888544)</f>
        <v>-0.71060660788854402</v>
      </c>
      <c r="BV7" s="3">
        <f ca="1">IFERROR(__xludf.DUMMYFUNCTION("""COMPUTED_VALUE"""),-0.517650171047675)</f>
        <v>-0.51765017104767497</v>
      </c>
      <c r="BW7" s="3">
        <f ca="1">IFERROR(__xludf.DUMMYFUNCTION("""COMPUTED_VALUE"""),-0.480025953083456)</f>
        <v>-0.48002595308345603</v>
      </c>
      <c r="BX7" s="3">
        <f ca="1">IFERROR(__xludf.DUMMYFUNCTION("""COMPUTED_VALUE"""),-0.625988746919774)</f>
        <v>-0.62598874691977402</v>
      </c>
      <c r="BY7" s="3">
        <f ca="1">IFERROR(__xludf.DUMMYFUNCTION("""COMPUTED_VALUE"""),-0.653241283242513)</f>
        <v>-0.65324128324251296</v>
      </c>
      <c r="BZ7" s="3">
        <f ca="1">IFERROR(__xludf.DUMMYFUNCTION("""COMPUTED_VALUE"""),-0.644358769856538)</f>
        <v>-0.64435876985653795</v>
      </c>
      <c r="CA7" s="3">
        <f ca="1">IFERROR(__xludf.DUMMYFUNCTION("""COMPUTED_VALUE"""),-0.654036653933704)</f>
        <v>-0.65403665393370403</v>
      </c>
      <c r="CB7" s="3">
        <f ca="1">IFERROR(__xludf.DUMMYFUNCTION("""COMPUTED_VALUE"""),-0.58371834338241)</f>
        <v>-0.58371834338241002</v>
      </c>
      <c r="CC7" s="3">
        <f ca="1">IFERROR(__xludf.DUMMYFUNCTION("""COMPUTED_VALUE"""),-0.479597117594929)</f>
        <v>-0.47959711759492901</v>
      </c>
      <c r="CD7" s="3">
        <f ca="1">IFERROR(__xludf.DUMMYFUNCTION("""COMPUTED_VALUE"""),-0.469576846994485)</f>
        <v>-0.46957684699448499</v>
      </c>
      <c r="CE7" s="3">
        <f ca="1">IFERROR(__xludf.DUMMYFUNCTION("""COMPUTED_VALUE"""),-0.604826452663247)</f>
        <v>-0.60482645266324697</v>
      </c>
      <c r="CF7" s="3">
        <f ca="1">IFERROR(__xludf.DUMMYFUNCTION("""COMPUTED_VALUE"""),-0.639291131677583)</f>
        <v>-0.639291131677583</v>
      </c>
      <c r="CG7" s="3">
        <f ca="1">IFERROR(__xludf.DUMMYFUNCTION("""COMPUTED_VALUE"""),-0.654324935559839)</f>
        <v>-0.65432493555983895</v>
      </c>
      <c r="CH7" s="3">
        <f ca="1">IFERROR(__xludf.DUMMYFUNCTION("""COMPUTED_VALUE"""),-0.63559144290532)</f>
        <v>-0.63559144290531999</v>
      </c>
      <c r="CI7" s="3">
        <f ca="1">IFERROR(__xludf.DUMMYFUNCTION("""COMPUTED_VALUE"""),-0.625796293105021)</f>
        <v>-0.62579629310502105</v>
      </c>
      <c r="CJ7" s="3">
        <f ca="1">IFERROR(__xludf.DUMMYFUNCTION("""COMPUTED_VALUE"""),-0.456979888902911)</f>
        <v>-0.45697988890291102</v>
      </c>
      <c r="CK7" s="3">
        <f ca="1">IFERROR(__xludf.DUMMYFUNCTION("""COMPUTED_VALUE"""),-0.43862717913162)</f>
        <v>-0.43862717913162003</v>
      </c>
      <c r="CL7" s="3">
        <f ca="1">IFERROR(__xludf.DUMMYFUNCTION("""COMPUTED_VALUE"""),-0.603084084502689)</f>
        <v>-0.60308408450268902</v>
      </c>
      <c r="CM7" s="3">
        <f ca="1">IFERROR(__xludf.DUMMYFUNCTION("""COMPUTED_VALUE"""),-0.631972019577551)</f>
        <v>-0.631972019577551</v>
      </c>
      <c r="CN7" s="3">
        <f ca="1">IFERROR(__xludf.DUMMYFUNCTION("""COMPUTED_VALUE"""),-0.619333733473838)</f>
        <v>-0.61933373347383802</v>
      </c>
      <c r="CO7" s="3">
        <f ca="1">IFERROR(__xludf.DUMMYFUNCTION("""COMPUTED_VALUE"""),-0.633327283443331)</f>
        <v>-0.633327283443331</v>
      </c>
      <c r="CP7" s="3">
        <f ca="1">IFERROR(__xludf.DUMMYFUNCTION("""COMPUTED_VALUE"""),-0.577839529592536)</f>
        <v>-0.57783952959253604</v>
      </c>
      <c r="CQ7" s="3">
        <f ca="1">IFERROR(__xludf.DUMMYFUNCTION("""COMPUTED_VALUE"""),-0.481657320883519)</f>
        <v>-0.48165732088351898</v>
      </c>
      <c r="CR7" s="3">
        <f ca="1">IFERROR(__xludf.DUMMYFUNCTION("""COMPUTED_VALUE"""),-0.478307387864971)</f>
        <v>-0.47830738786497101</v>
      </c>
      <c r="CS7" s="3">
        <f ca="1">IFERROR(__xludf.DUMMYFUNCTION("""COMPUTED_VALUE"""),-0.630510720927087)</f>
        <v>-0.63051072092708704</v>
      </c>
      <c r="CT7" s="3">
        <f ca="1">IFERROR(__xludf.DUMMYFUNCTION("""COMPUTED_VALUE"""),-0.624045064000181)</f>
        <v>-0.624045064000181</v>
      </c>
      <c r="CU7" s="3">
        <f ca="1">IFERROR(__xludf.DUMMYFUNCTION("""COMPUTED_VALUE"""),-0.52945320579695)</f>
        <v>-0.52945320579694999</v>
      </c>
      <c r="CV7" s="3">
        <f ca="1">IFERROR(__xludf.DUMMYFUNCTION("""COMPUTED_VALUE"""),-0.586845786961888)</f>
        <v>-0.58684578696188805</v>
      </c>
      <c r="CW7" s="3">
        <f ca="1">IFERROR(__xludf.DUMMYFUNCTION("""COMPUTED_VALUE"""),-0.564999428291518)</f>
        <v>-0.56499942829151795</v>
      </c>
      <c r="CX7" s="3">
        <f ca="1">IFERROR(__xludf.DUMMYFUNCTION("""COMPUTED_VALUE"""),-0.497232463814396)</f>
        <v>-0.49723246381439601</v>
      </c>
      <c r="CY7" s="3">
        <f ca="1">IFERROR(__xludf.DUMMYFUNCTION("""COMPUTED_VALUE"""),-0.483498744533232)</f>
        <v>-0.48349874453323199</v>
      </c>
      <c r="CZ7" s="3">
        <f ca="1">IFERROR(__xludf.DUMMYFUNCTION("""COMPUTED_VALUE"""),-0.751691133025108)</f>
        <v>-0.75169113302510804</v>
      </c>
      <c r="DA7" s="3">
        <f ca="1">IFERROR(__xludf.DUMMYFUNCTION("""COMPUTED_VALUE"""),-0.566779617090968)</f>
        <v>-0.56677961709096802</v>
      </c>
      <c r="DB7" s="3">
        <f ca="1">IFERROR(__xludf.DUMMYFUNCTION("""COMPUTED_VALUE"""),-0.299386820695254)</f>
        <v>-0.29938682069525402</v>
      </c>
      <c r="DC7" s="3">
        <f ca="1">IFERROR(__xludf.DUMMYFUNCTION("""COMPUTED_VALUE"""),-0.551280120835613)</f>
        <v>-0.55128012083561295</v>
      </c>
      <c r="DD7" s="3">
        <f ca="1">IFERROR(__xludf.DUMMYFUNCTION("""COMPUTED_VALUE"""),-0.546722983086228)</f>
        <v>-0.54672298308622802</v>
      </c>
      <c r="DE7" s="3">
        <f ca="1">IFERROR(__xludf.DUMMYFUNCTION("""COMPUTED_VALUE"""),-0.474274276069747)</f>
        <v>-0.47427427606974698</v>
      </c>
      <c r="DF7" s="3">
        <f ca="1">IFERROR(__xludf.DUMMYFUNCTION("""COMPUTED_VALUE"""),-0.55496469839005)</f>
        <v>-0.55496469839005003</v>
      </c>
      <c r="DG7" s="3">
        <f ca="1">IFERROR(__xludf.DUMMYFUNCTION("""COMPUTED_VALUE"""),-0.820476051646144)</f>
        <v>-0.82047605164614401</v>
      </c>
      <c r="DH7" s="3">
        <f ca="1">IFERROR(__xludf.DUMMYFUNCTION("""COMPUTED_VALUE"""),-0.617297737193999)</f>
        <v>-0.61729773719399905</v>
      </c>
      <c r="DI7" s="3">
        <f ca="1">IFERROR(__xludf.DUMMYFUNCTION("""COMPUTED_VALUE"""),-0.321008690811333)</f>
        <v>-0.32100869081133299</v>
      </c>
      <c r="DJ7" s="3">
        <f ca="1">IFERROR(__xludf.DUMMYFUNCTION("""COMPUTED_VALUE"""),-0.515834561183325)</f>
        <v>-0.51583456118332505</v>
      </c>
      <c r="DK7" s="3">
        <f ca="1">IFERROR(__xludf.DUMMYFUNCTION("""COMPUTED_VALUE"""),-0.504599609756699)</f>
        <v>-0.50459960975669904</v>
      </c>
      <c r="DL7" s="3">
        <f ca="1">IFERROR(__xludf.DUMMYFUNCTION("""COMPUTED_VALUE"""),-0.461345467358575)</f>
        <v>-0.46134546735857501</v>
      </c>
      <c r="DM7" s="3">
        <f ca="1">IFERROR(__xludf.DUMMYFUNCTION("""COMPUTED_VALUE"""),-0.493599619700147)</f>
        <v>-0.49359961970014699</v>
      </c>
      <c r="DN7" s="3">
        <f ca="1">IFERROR(__xludf.DUMMYFUNCTION("""COMPUTED_VALUE"""),-0.588784221652)</f>
        <v>-0.58878422165199995</v>
      </c>
      <c r="DO7" s="3">
        <f ca="1">IFERROR(__xludf.DUMMYFUNCTION("""COMPUTED_VALUE"""),-0.595434652720895)</f>
        <v>-0.59543465272089502</v>
      </c>
      <c r="DP7" s="3">
        <f ca="1">IFERROR(__xludf.DUMMYFUNCTION("""COMPUTED_VALUE"""),-0.543405614818383)</f>
        <v>-0.54340561481838301</v>
      </c>
      <c r="DQ7" s="3">
        <f ca="1">IFERROR(__xludf.DUMMYFUNCTION("""COMPUTED_VALUE"""),-0.55574294770096)</f>
        <v>-0.55574294770096</v>
      </c>
      <c r="DR7" s="3">
        <f ca="1">IFERROR(__xludf.DUMMYFUNCTION("""COMPUTED_VALUE"""),-0.591165547451438)</f>
        <v>-0.59116554745143801</v>
      </c>
      <c r="DS7" s="3">
        <f ca="1">IFERROR(__xludf.DUMMYFUNCTION("""COMPUTED_VALUE"""),-0.444097664645377)</f>
        <v>-0.44409766464537698</v>
      </c>
      <c r="DT7" s="3">
        <f ca="1">IFERROR(__xludf.DUMMYFUNCTION("""COMPUTED_VALUE"""),-0.467663900320622)</f>
        <v>-0.46766390032062199</v>
      </c>
      <c r="DU7" s="3">
        <f ca="1">IFERROR(__xludf.DUMMYFUNCTION("""COMPUTED_VALUE"""),-0.59016283053313)</f>
        <v>-0.59016283053313001</v>
      </c>
      <c r="DV7" s="3">
        <f ca="1">IFERROR(__xludf.DUMMYFUNCTION("""COMPUTED_VALUE"""),-0.627066119588302)</f>
        <v>-0.62706611958830205</v>
      </c>
      <c r="DW7" s="3">
        <f ca="1">IFERROR(__xludf.DUMMYFUNCTION("""COMPUTED_VALUE"""),-0.637235472059654)</f>
        <v>-0.63723547205965403</v>
      </c>
      <c r="DX7" s="3">
        <f ca="1">IFERROR(__xludf.DUMMYFUNCTION("""COMPUTED_VALUE"""),-0.626722778352909)</f>
        <v>-0.62672277835290902</v>
      </c>
      <c r="DY7" s="3">
        <f ca="1">IFERROR(__xludf.DUMMYFUNCTION("""COMPUTED_VALUE"""),-0.579131211550238)</f>
        <v>-0.57913121155023795</v>
      </c>
      <c r="DZ7" s="3">
        <f ca="1">IFERROR(__xludf.DUMMYFUNCTION("""COMPUTED_VALUE"""),-0.414940837385032)</f>
        <v>-0.41494083738503201</v>
      </c>
      <c r="EA7" s="3">
        <f ca="1">IFERROR(__xludf.DUMMYFUNCTION("""COMPUTED_VALUE"""),-0.445007590146643)</f>
        <v>-0.44500759014664298</v>
      </c>
      <c r="EB7" s="3">
        <f ca="1">IFERROR(__xludf.DUMMYFUNCTION("""COMPUTED_VALUE"""),-0.554014781165141)</f>
        <v>-0.55401478116514102</v>
      </c>
      <c r="EC7" s="3">
        <f ca="1">IFERROR(__xludf.DUMMYFUNCTION("""COMPUTED_VALUE"""),-0.529858459571192)</f>
        <v>-0.52985845957119204</v>
      </c>
      <c r="ED7" s="3">
        <f ca="1">IFERROR(__xludf.DUMMYFUNCTION("""COMPUTED_VALUE"""),-0.631512513643828)</f>
        <v>-0.63151251364382799</v>
      </c>
      <c r="EE7" s="3">
        <f ca="1">IFERROR(__xludf.DUMMYFUNCTION("""COMPUTED_VALUE"""),-0.624617207941454)</f>
        <v>-0.62461720794145403</v>
      </c>
      <c r="EF7" s="3">
        <f ca="1">IFERROR(__xludf.DUMMYFUNCTION("""COMPUTED_VALUE"""),-0.639349626677229)</f>
        <v>-0.63934962667722905</v>
      </c>
      <c r="EG7" s="3">
        <f ca="1">IFERROR(__xludf.DUMMYFUNCTION("""COMPUTED_VALUE"""),-0.411907601476685)</f>
        <v>-0.41190760147668498</v>
      </c>
      <c r="EH7" s="3">
        <f ca="1">IFERROR(__xludf.DUMMYFUNCTION("""COMPUTED_VALUE"""),-0.461329196876178)</f>
        <v>-0.46132919687617802</v>
      </c>
      <c r="EI7" s="3">
        <f ca="1">IFERROR(__xludf.DUMMYFUNCTION("""COMPUTED_VALUE"""),-0.607051896539519)</f>
        <v>-0.60705189653951896</v>
      </c>
      <c r="EJ7" s="3">
        <f ca="1">IFERROR(__xludf.DUMMYFUNCTION("""COMPUTED_VALUE"""),-0.722667992758996)</f>
        <v>-0.72266799275899596</v>
      </c>
      <c r="EK7" s="3">
        <f ca="1">IFERROR(__xludf.DUMMYFUNCTION("""COMPUTED_VALUE"""),-0.619314505146916)</f>
        <v>-0.61931450514691599</v>
      </c>
      <c r="EL7" s="3">
        <f ca="1">IFERROR(__xludf.DUMMYFUNCTION("""COMPUTED_VALUE"""),-0.623502522449597)</f>
        <v>-0.62350252244959703</v>
      </c>
      <c r="EM7" s="3">
        <f ca="1">IFERROR(__xludf.DUMMYFUNCTION("""COMPUTED_VALUE"""),-0.609342605906432)</f>
        <v>-0.60934260590643197</v>
      </c>
      <c r="EN7" s="3">
        <f ca="1">IFERROR(__xludf.DUMMYFUNCTION("""COMPUTED_VALUE"""),-0.423767769553134)</f>
        <v>-0.423767769553134</v>
      </c>
      <c r="EO7" s="3">
        <f ca="1">IFERROR(__xludf.DUMMYFUNCTION("""COMPUTED_VALUE"""),-0.435971023117923)</f>
        <v>-0.43597102311792302</v>
      </c>
      <c r="EP7" s="3">
        <f ca="1">IFERROR(__xludf.DUMMYFUNCTION("""COMPUTED_VALUE"""),-0.540978186787811)</f>
        <v>-0.54097818678781096</v>
      </c>
      <c r="EQ7" s="3">
        <f ca="1">IFERROR(__xludf.DUMMYFUNCTION("""COMPUTED_VALUE"""),-0.54102392338622)</f>
        <v>-0.54102392338621996</v>
      </c>
      <c r="ER7" s="3">
        <f ca="1">IFERROR(__xludf.DUMMYFUNCTION("""COMPUTED_VALUE"""),-0.618249202900544)</f>
        <v>-0.61824920290054397</v>
      </c>
      <c r="ES7" s="3">
        <f ca="1">IFERROR(__xludf.DUMMYFUNCTION("""COMPUTED_VALUE"""),-0.627194371468555)</f>
        <v>-0.62719437146855495</v>
      </c>
      <c r="ET7" s="3">
        <f ca="1">IFERROR(__xludf.DUMMYFUNCTION("""COMPUTED_VALUE"""),-0.597029068969854)</f>
        <v>-0.59702906896985397</v>
      </c>
      <c r="EU7" s="3">
        <f ca="1">IFERROR(__xludf.DUMMYFUNCTION("""COMPUTED_VALUE"""),-0.445391615289852)</f>
        <v>-0.44539161528985199</v>
      </c>
      <c r="EV7" s="3">
        <f ca="1">IFERROR(__xludf.DUMMYFUNCTION("""COMPUTED_VALUE"""),-0.44064811024252)</f>
        <v>-0.44064811024251999</v>
      </c>
      <c r="EW7" s="3">
        <f ca="1">IFERROR(__xludf.DUMMYFUNCTION("""COMPUTED_VALUE"""),-0.602881817729375)</f>
        <v>-0.60288181772937499</v>
      </c>
      <c r="EX7" s="3">
        <f ca="1">IFERROR(__xludf.DUMMYFUNCTION("""COMPUTED_VALUE"""),-0.642536242079692)</f>
        <v>-0.64253624207969195</v>
      </c>
      <c r="EY7" s="3">
        <f ca="1">IFERROR(__xludf.DUMMYFUNCTION("""COMPUTED_VALUE"""),-0.669608621794298)</f>
        <v>-0.66960862179429803</v>
      </c>
      <c r="EZ7" s="3">
        <f ca="1">IFERROR(__xludf.DUMMYFUNCTION("""COMPUTED_VALUE"""),-0.602012268834192)</f>
        <v>-0.60201226883419201</v>
      </c>
      <c r="FA7" s="3">
        <f ca="1">IFERROR(__xludf.DUMMYFUNCTION("""COMPUTED_VALUE"""),-0.559470698452674)</f>
        <v>-0.55947069845267405</v>
      </c>
      <c r="FB7" s="3">
        <f ca="1">IFERROR(__xludf.DUMMYFUNCTION("""COMPUTED_VALUE"""),-0.393558281502175)</f>
        <v>-0.39355828150217498</v>
      </c>
      <c r="FC7" s="3">
        <f ca="1">IFERROR(__xludf.DUMMYFUNCTION("""COMPUTED_VALUE"""),-0.431311859513963)</f>
        <v>-0.431311859513963</v>
      </c>
      <c r="FD7" s="3">
        <f ca="1">IFERROR(__xludf.DUMMYFUNCTION("""COMPUTED_VALUE"""),-0.609943232722632)</f>
        <v>-0.60994323272263196</v>
      </c>
      <c r="FE7" s="3">
        <f ca="1">IFERROR(__xludf.DUMMYFUNCTION("""COMPUTED_VALUE"""),-0.610506656148661)</f>
        <v>-0.61050665614866095</v>
      </c>
      <c r="FF7" s="3">
        <f ca="1">IFERROR(__xludf.DUMMYFUNCTION("""COMPUTED_VALUE"""),-0.607370411464644)</f>
        <v>-0.60737041146464399</v>
      </c>
      <c r="FG7" s="3">
        <f ca="1">IFERROR(__xludf.DUMMYFUNCTION("""COMPUTED_VALUE"""),-0.604265482974904)</f>
        <v>-0.60426548297490401</v>
      </c>
      <c r="FH7" s="3">
        <f ca="1">IFERROR(__xludf.DUMMYFUNCTION("""COMPUTED_VALUE"""),-0.581736702821708)</f>
        <v>-0.58173670282170797</v>
      </c>
      <c r="FI7" s="3">
        <f ca="1">IFERROR(__xludf.DUMMYFUNCTION("""COMPUTED_VALUE"""),-0.434838569178319)</f>
        <v>-0.43483856917831898</v>
      </c>
      <c r="FJ7" s="3">
        <f ca="1">IFERROR(__xludf.DUMMYFUNCTION("""COMPUTED_VALUE"""),-0.446566881253598)</f>
        <v>-0.446566881253598</v>
      </c>
      <c r="FK7" s="3">
        <f ca="1">IFERROR(__xludf.DUMMYFUNCTION("""COMPUTED_VALUE"""),-0.622129616745145)</f>
        <v>-0.622129616745145</v>
      </c>
      <c r="FL7" s="3">
        <f ca="1">IFERROR(__xludf.DUMMYFUNCTION("""COMPUTED_VALUE"""),-0.686067020844541)</f>
        <v>-0.68606702084454096</v>
      </c>
      <c r="FM7" s="3">
        <f ca="1">IFERROR(__xludf.DUMMYFUNCTION("""COMPUTED_VALUE"""),-0.618723680364901)</f>
        <v>-0.618723680364901</v>
      </c>
      <c r="FN7" s="3">
        <f ca="1">IFERROR(__xludf.DUMMYFUNCTION("""COMPUTED_VALUE"""),-0.617252020844595)</f>
        <v>-0.61725202084459496</v>
      </c>
      <c r="FO7" s="3">
        <f ca="1">IFERROR(__xludf.DUMMYFUNCTION("""COMPUTED_VALUE"""),-0.582512274489658)</f>
        <v>-0.58251227448965803</v>
      </c>
      <c r="FP7" s="3">
        <f ca="1">IFERROR(__xludf.DUMMYFUNCTION("""COMPUTED_VALUE"""),-0.423344257167866)</f>
        <v>-0.423344257167866</v>
      </c>
      <c r="FQ7" s="3">
        <f ca="1">IFERROR(__xludf.DUMMYFUNCTION("""COMPUTED_VALUE"""),-0.482650078186513)</f>
        <v>-0.48265007818651301</v>
      </c>
      <c r="FR7" s="3">
        <f ca="1">IFERROR(__xludf.DUMMYFUNCTION("""COMPUTED_VALUE"""),-0.601955604100625)</f>
        <v>-0.60195560410062499</v>
      </c>
      <c r="FS7" s="3">
        <f ca="1">IFERROR(__xludf.DUMMYFUNCTION("""COMPUTED_VALUE"""),-0.604509135933633)</f>
        <v>-0.60450913593363298</v>
      </c>
      <c r="FT7" s="3">
        <f ca="1">IFERROR(__xludf.DUMMYFUNCTION("""COMPUTED_VALUE"""),-0.613772889975517)</f>
        <v>-0.61377288997551704</v>
      </c>
      <c r="FU7" s="3">
        <f ca="1">IFERROR(__xludf.DUMMYFUNCTION("""COMPUTED_VALUE"""),-0.6122950778806)</f>
        <v>-0.6122950778806</v>
      </c>
      <c r="FV7" s="3">
        <f ca="1">IFERROR(__xludf.DUMMYFUNCTION("""COMPUTED_VALUE"""),-0.594811063164336)</f>
        <v>-0.59481106316433596</v>
      </c>
      <c r="FW7" s="3">
        <f ca="1">IFERROR(__xludf.DUMMYFUNCTION("""COMPUTED_VALUE"""),-0.369198228154058)</f>
        <v>-0.36919822815405801</v>
      </c>
      <c r="FX7" s="3">
        <f ca="1">IFERROR(__xludf.DUMMYFUNCTION("""COMPUTED_VALUE"""),-0.405608665872178)</f>
        <v>-0.40560866587217798</v>
      </c>
      <c r="FY7" s="3">
        <f ca="1">IFERROR(__xludf.DUMMYFUNCTION("""COMPUTED_VALUE"""),-0.599924784836193)</f>
        <v>-0.59992478483619305</v>
      </c>
      <c r="FZ7" s="3">
        <f ca="1">IFERROR(__xludf.DUMMYFUNCTION("""COMPUTED_VALUE"""),-0.589210668926077)</f>
        <v>-0.58921066892607699</v>
      </c>
      <c r="GA7" s="3">
        <f ca="1">IFERROR(__xludf.DUMMYFUNCTION("""COMPUTED_VALUE"""),-0.602070187615427)</f>
        <v>-0.60207018761542697</v>
      </c>
      <c r="GB7" s="3">
        <f ca="1">IFERROR(__xludf.DUMMYFUNCTION("""COMPUTED_VALUE"""),-0.60918071694643)</f>
        <v>-0.60918071694642995</v>
      </c>
      <c r="GC7" s="3">
        <f ca="1">IFERROR(__xludf.DUMMYFUNCTION("""COMPUTED_VALUE"""),-0.636854359141664)</f>
        <v>-0.63685435914166399</v>
      </c>
      <c r="GD7" s="3">
        <f ca="1">IFERROR(__xludf.DUMMYFUNCTION("""COMPUTED_VALUE"""),-0.429892250740197)</f>
        <v>-0.42989225074019699</v>
      </c>
      <c r="GE7" s="3">
        <f ca="1">IFERROR(__xludf.DUMMYFUNCTION("""COMPUTED_VALUE"""),-0.48293246873686)</f>
        <v>-0.48293246873686002</v>
      </c>
      <c r="GF7" s="3">
        <f ca="1">IFERROR(__xludf.DUMMYFUNCTION("""COMPUTED_VALUE"""),-0.585376757890746)</f>
        <v>-0.58537675789074595</v>
      </c>
      <c r="GG7" s="3">
        <f ca="1">IFERROR(__xludf.DUMMYFUNCTION("""COMPUTED_VALUE"""),-0.612201813837356)</f>
        <v>-0.61220181383735595</v>
      </c>
      <c r="GH7" s="3">
        <f ca="1">IFERROR(__xludf.DUMMYFUNCTION("""COMPUTED_VALUE"""),-0.619793884901324)</f>
        <v>-0.61979388490132403</v>
      </c>
      <c r="GI7" s="3">
        <f ca="1">IFERROR(__xludf.DUMMYFUNCTION("""COMPUTED_VALUE"""),-0.628466829273025)</f>
        <v>-0.628466829273025</v>
      </c>
      <c r="GJ7" s="3">
        <f ca="1">IFERROR(__xludf.DUMMYFUNCTION("""COMPUTED_VALUE"""),-0.587409497567588)</f>
        <v>-0.58740949756758798</v>
      </c>
      <c r="GK7" s="3">
        <f ca="1">IFERROR(__xludf.DUMMYFUNCTION("""COMPUTED_VALUE"""),-0.416067378129434)</f>
        <v>-0.41606737812943401</v>
      </c>
      <c r="GL7" s="3">
        <f ca="1">IFERROR(__xludf.DUMMYFUNCTION("""COMPUTED_VALUE"""),-0.44962334232153)</f>
        <v>-0.44962334232153001</v>
      </c>
      <c r="GM7" s="3">
        <f ca="1">IFERROR(__xludf.DUMMYFUNCTION("""COMPUTED_VALUE"""),-0.610380351038183)</f>
        <v>-0.610380351038183</v>
      </c>
      <c r="GN7" s="3">
        <f ca="1">IFERROR(__xludf.DUMMYFUNCTION("""COMPUTED_VALUE"""),-0.626527555526768)</f>
        <v>-0.62652755552676798</v>
      </c>
      <c r="GO7" s="3">
        <f ca="1">IFERROR(__xludf.DUMMYFUNCTION("""COMPUTED_VALUE"""),-0.632486174121861)</f>
        <v>-0.63248617412186103</v>
      </c>
      <c r="GP7" s="3">
        <f ca="1">IFERROR(__xludf.DUMMYFUNCTION("""COMPUTED_VALUE"""),-0.632092181281696)</f>
        <v>-0.63209218128169598</v>
      </c>
      <c r="GQ7" s="3">
        <f ca="1">IFERROR(__xludf.DUMMYFUNCTION("""COMPUTED_VALUE"""),-0.603300956608667)</f>
        <v>-0.60330095660866701</v>
      </c>
      <c r="GR7" s="3">
        <f ca="1">IFERROR(__xludf.DUMMYFUNCTION("""COMPUTED_VALUE"""),-0.410607740483354)</f>
        <v>-0.41060774048335402</v>
      </c>
      <c r="GS7" s="3">
        <f ca="1">IFERROR(__xludf.DUMMYFUNCTION("""COMPUTED_VALUE"""),-0.484430129032325)</f>
        <v>-0.48443012903232502</v>
      </c>
      <c r="GT7" s="3">
        <f ca="1">IFERROR(__xludf.DUMMYFUNCTION("""COMPUTED_VALUE"""),-0.630439396920709)</f>
        <v>-0.63043939692070905</v>
      </c>
      <c r="GU7" s="3">
        <f ca="1">IFERROR(__xludf.DUMMYFUNCTION("""COMPUTED_VALUE"""),-0.644665587884953)</f>
        <v>-0.64466558788495298</v>
      </c>
      <c r="GV7" s="3">
        <f ca="1">IFERROR(__xludf.DUMMYFUNCTION("""COMPUTED_VALUE"""),-0.633687391289812)</f>
        <v>-0.633687391289812</v>
      </c>
      <c r="GW7" s="3">
        <f ca="1">IFERROR(__xludf.DUMMYFUNCTION("""COMPUTED_VALUE"""),-0.63612863990255)</f>
        <v>-0.63612863990254997</v>
      </c>
      <c r="GX7" s="3">
        <f ca="1">IFERROR(__xludf.DUMMYFUNCTION("""COMPUTED_VALUE"""),-0.615394248922472)</f>
        <v>-0.61539424892247196</v>
      </c>
      <c r="GY7" s="3">
        <f ca="1">IFERROR(__xludf.DUMMYFUNCTION("""COMPUTED_VALUE"""),-0.449298739567564)</f>
        <v>-0.449298739567564</v>
      </c>
      <c r="GZ7" s="3">
        <f ca="1">IFERROR(__xludf.DUMMYFUNCTION("""COMPUTED_VALUE"""),-0.463352401369018)</f>
        <v>-0.46335240136901801</v>
      </c>
      <c r="HA7" s="3">
        <f ca="1">IFERROR(__xludf.DUMMYFUNCTION("""COMPUTED_VALUE"""),-0.62072055519619)</f>
        <v>-0.62072055519618996</v>
      </c>
      <c r="HB7" s="3">
        <f ca="1">IFERROR(__xludf.DUMMYFUNCTION("""COMPUTED_VALUE"""),-0.65423110446963)</f>
        <v>-0.65423110446962995</v>
      </c>
      <c r="HC7" s="3">
        <f ca="1">IFERROR(__xludf.DUMMYFUNCTION("""COMPUTED_VALUE"""),-0.640786302185466)</f>
        <v>-0.64078630218546595</v>
      </c>
      <c r="HD7" s="3">
        <f ca="1">IFERROR(__xludf.DUMMYFUNCTION("""COMPUTED_VALUE"""),-0.645031095092012)</f>
        <v>-0.64503109509201195</v>
      </c>
      <c r="HE7" s="3">
        <f ca="1">IFERROR(__xludf.DUMMYFUNCTION("""COMPUTED_VALUE"""),-0.634232338533322)</f>
        <v>-0.63423233853332195</v>
      </c>
      <c r="HF7" s="3">
        <f ca="1">IFERROR(__xludf.DUMMYFUNCTION("""COMPUTED_VALUE"""),-0.436034109054559)</f>
        <v>-0.43603410905455903</v>
      </c>
      <c r="HG7" s="3">
        <f ca="1">IFERROR(__xludf.DUMMYFUNCTION("""COMPUTED_VALUE"""),-0.471039720269247)</f>
        <v>-0.47103972026924701</v>
      </c>
      <c r="HH7" s="3">
        <f ca="1">IFERROR(__xludf.DUMMYFUNCTION("""COMPUTED_VALUE"""),-0.643420789046352)</f>
        <v>-0.64342078904635203</v>
      </c>
      <c r="HI7" s="3">
        <f ca="1">IFERROR(__xludf.DUMMYFUNCTION("""COMPUTED_VALUE"""),-0.667431539182421)</f>
        <v>-0.66743153918242104</v>
      </c>
      <c r="HJ7" s="3">
        <f ca="1">IFERROR(__xludf.DUMMYFUNCTION("""COMPUTED_VALUE"""),-0.663512230925049)</f>
        <v>-0.66351223092504896</v>
      </c>
      <c r="HK7" s="3">
        <f ca="1">IFERROR(__xludf.DUMMYFUNCTION("""COMPUTED_VALUE"""),-0.640155210599671)</f>
        <v>-0.64015521059967095</v>
      </c>
      <c r="HL7" s="3">
        <f ca="1">IFERROR(__xludf.DUMMYFUNCTION("""COMPUTED_VALUE"""),-0.631473870041097)</f>
        <v>-0.63147387004109701</v>
      </c>
      <c r="HM7" s="3">
        <f ca="1">IFERROR(__xludf.DUMMYFUNCTION("""COMPUTED_VALUE"""),-0.436353177134187)</f>
        <v>-0.43635317713418698</v>
      </c>
      <c r="HN7" s="3">
        <f ca="1">IFERROR(__xludf.DUMMYFUNCTION("""COMPUTED_VALUE"""),-0.417499790020763)</f>
        <v>-0.41749979002076298</v>
      </c>
      <c r="HO7" s="3">
        <f ca="1">IFERROR(__xludf.DUMMYFUNCTION("""COMPUTED_VALUE"""),-0.580284859882108)</f>
        <v>-0.58028485988210798</v>
      </c>
      <c r="HP7" s="3">
        <f ca="1">IFERROR(__xludf.DUMMYFUNCTION("""COMPUTED_VALUE"""),-0.617129013407161)</f>
        <v>-0.61712901340716098</v>
      </c>
      <c r="HQ7" s="3">
        <f ca="1">IFERROR(__xludf.DUMMYFUNCTION("""COMPUTED_VALUE"""),-0.62513016936684)</f>
        <v>-0.62513016936683996</v>
      </c>
      <c r="HR7" s="3">
        <f ca="1">IFERROR(__xludf.DUMMYFUNCTION("""COMPUTED_VALUE"""),-0.612954121299781)</f>
        <v>-0.612954121299781</v>
      </c>
      <c r="HS7" s="3">
        <f ca="1">IFERROR(__xludf.DUMMYFUNCTION("""COMPUTED_VALUE"""),-0.544385387748286)</f>
        <v>-0.54438538774828604</v>
      </c>
      <c r="HT7" s="3">
        <f ca="1">IFERROR(__xludf.DUMMYFUNCTION("""COMPUTED_VALUE"""),-0.411804973379959)</f>
        <v>-0.41180497337995903</v>
      </c>
      <c r="HU7" s="3">
        <f ca="1">IFERROR(__xludf.DUMMYFUNCTION("""COMPUTED_VALUE"""),-0.495081884022545)</f>
        <v>-0.49508188402254499</v>
      </c>
      <c r="HV7" s="3">
        <f ca="1">IFERROR(__xludf.DUMMYFUNCTION("""COMPUTED_VALUE"""),-0.564872970122785)</f>
        <v>-0.56487297012278503</v>
      </c>
      <c r="HW7" s="3">
        <f ca="1">IFERROR(__xludf.DUMMYFUNCTION("""COMPUTED_VALUE"""),-0.583780067136611)</f>
        <v>-0.58378006713661101</v>
      </c>
      <c r="HX7" s="3">
        <f ca="1">IFERROR(__xludf.DUMMYFUNCTION("""COMPUTED_VALUE"""),-0.580380303103989)</f>
        <v>-0.58038030310398903</v>
      </c>
      <c r="HY7" s="3">
        <f ca="1">IFERROR(__xludf.DUMMYFUNCTION("""COMPUTED_VALUE"""),-0.573859865476214)</f>
        <v>-0.57385986547621404</v>
      </c>
      <c r="HZ7" s="3">
        <f ca="1">IFERROR(__xludf.DUMMYFUNCTION("""COMPUTED_VALUE"""),-0.443960302369931)</f>
        <v>-0.443960302369931</v>
      </c>
      <c r="IA7" s="3">
        <f ca="1">IFERROR(__xludf.DUMMYFUNCTION("""COMPUTED_VALUE"""),-0.401574002385441)</f>
        <v>-0.401574002385441</v>
      </c>
      <c r="IB7" s="3">
        <f ca="1">IFERROR(__xludf.DUMMYFUNCTION("""COMPUTED_VALUE"""),-0.461139070028445)</f>
        <v>-0.46113907002844501</v>
      </c>
      <c r="IC7" s="3">
        <f ca="1">IFERROR(__xludf.DUMMYFUNCTION("""COMPUTED_VALUE"""),-0.530405858744394)</f>
        <v>-0.53040585874439405</v>
      </c>
      <c r="ID7" s="3">
        <f ca="1">IFERROR(__xludf.DUMMYFUNCTION("""COMPUTED_VALUE"""),-0.541720802590088)</f>
        <v>-0.54172080259008804</v>
      </c>
      <c r="IE7" s="3">
        <f ca="1">IFERROR(__xludf.DUMMYFUNCTION("""COMPUTED_VALUE"""),-0.550514241905983)</f>
        <v>-0.55051424190598297</v>
      </c>
      <c r="IF7" s="3">
        <f ca="1">IFERROR(__xludf.DUMMYFUNCTION("""COMPUTED_VALUE"""),-0.52290670280109)</f>
        <v>-0.52290670280108997</v>
      </c>
      <c r="IG7" s="3">
        <f ca="1">IFERROR(__xludf.DUMMYFUNCTION("""COMPUTED_VALUE"""),-0.505218048910026)</f>
        <v>-0.50521804891002597</v>
      </c>
      <c r="IH7" s="3">
        <f ca="1">IFERROR(__xludf.DUMMYFUNCTION("""COMPUTED_VALUE"""),-0.435271596198048)</f>
        <v>-0.43527159619804801</v>
      </c>
      <c r="II7" s="3">
        <f ca="1">IFERROR(__xludf.DUMMYFUNCTION("""COMPUTED_VALUE"""),-0.468602686943532)</f>
        <v>-0.46860268694353202</v>
      </c>
      <c r="IJ7" s="3">
        <f ca="1">IFERROR(__xludf.DUMMYFUNCTION("""COMPUTED_VALUE"""),-0.532130167122198)</f>
        <v>-0.53213016712219796</v>
      </c>
      <c r="IK7" s="3">
        <f ca="1">IFERROR(__xludf.DUMMYFUNCTION("""COMPUTED_VALUE"""),-0.582226254910119)</f>
        <v>-0.58222625491011903</v>
      </c>
      <c r="IL7" s="3">
        <f ca="1">IFERROR(__xludf.DUMMYFUNCTION("""COMPUTED_VALUE"""),-0.547576526541437)</f>
        <v>-0.54757652654143696</v>
      </c>
      <c r="IM7" s="3">
        <f ca="1">IFERROR(__xludf.DUMMYFUNCTION("""COMPUTED_VALUE"""),-0.529865090803488)</f>
        <v>-0.52986509080348798</v>
      </c>
      <c r="IN7" s="3">
        <f ca="1">IFERROR(__xludf.DUMMYFUNCTION("""COMPUTED_VALUE"""),-0.505828249123668)</f>
        <v>-0.50582824912366797</v>
      </c>
      <c r="IO7" s="3">
        <f ca="1">IFERROR(__xludf.DUMMYFUNCTION("""COMPUTED_VALUE"""),-0.40161786485052)</f>
        <v>-0.40161786485051998</v>
      </c>
      <c r="IP7" s="3">
        <f ca="1">IFERROR(__xludf.DUMMYFUNCTION("""COMPUTED_VALUE"""),-0.46112123499627)</f>
        <v>-0.46112123499627</v>
      </c>
      <c r="IQ7" s="3">
        <f ca="1">IFERROR(__xludf.DUMMYFUNCTION("""COMPUTED_VALUE"""),-0.556878978125022)</f>
        <v>-0.55687897812502196</v>
      </c>
      <c r="IR7" s="3">
        <f ca="1">IFERROR(__xludf.DUMMYFUNCTION("""COMPUTED_VALUE"""),-0.580445536987578)</f>
        <v>-0.58044553698757795</v>
      </c>
      <c r="IS7" s="3">
        <f ca="1">IFERROR(__xludf.DUMMYFUNCTION("""COMPUTED_VALUE"""),-0.520469785711098)</f>
        <v>-0.52046978571109803</v>
      </c>
      <c r="IT7" s="3">
        <f ca="1">IFERROR(__xludf.DUMMYFUNCTION("""COMPUTED_VALUE"""),-0.616691097694781)</f>
        <v>-0.61669109769478103</v>
      </c>
      <c r="IU7" s="3">
        <f ca="1">IFERROR(__xludf.DUMMYFUNCTION("""COMPUTED_VALUE"""),-0.513603433331913)</f>
        <v>-0.51360343333191305</v>
      </c>
      <c r="IV7" s="3">
        <f ca="1">IFERROR(__xludf.DUMMYFUNCTION("""COMPUTED_VALUE"""),-0.42616138839082)</f>
        <v>-0.42616138839082002</v>
      </c>
      <c r="IW7" s="3">
        <f ca="1">IFERROR(__xludf.DUMMYFUNCTION("""COMPUTED_VALUE"""),-0.459083961201021)</f>
        <v>-0.45908396120102102</v>
      </c>
      <c r="IX7" s="3">
        <f ca="1">IFERROR(__xludf.DUMMYFUNCTION("""COMPUTED_VALUE"""),-0.578218446952483)</f>
        <v>-0.57821844695248303</v>
      </c>
      <c r="IY7" s="3">
        <f ca="1">IFERROR(__xludf.DUMMYFUNCTION("""COMPUTED_VALUE"""),-0.590924273168376)</f>
        <v>-0.59092427316837604</v>
      </c>
      <c r="IZ7" s="3">
        <f ca="1">IFERROR(__xludf.DUMMYFUNCTION("""COMPUTED_VALUE"""),-0.563226528539828)</f>
        <v>-0.56322652853982802</v>
      </c>
      <c r="JA7" s="3">
        <f ca="1">IFERROR(__xludf.DUMMYFUNCTION("""COMPUTED_VALUE"""),-0.573507308960816)</f>
        <v>-0.57350730896081603</v>
      </c>
      <c r="JB7" s="3">
        <f ca="1">IFERROR(__xludf.DUMMYFUNCTION("""COMPUTED_VALUE"""),-0.545058590937645)</f>
        <v>-0.54505859093764497</v>
      </c>
      <c r="JC7" s="3">
        <f ca="1">IFERROR(__xludf.DUMMYFUNCTION("""COMPUTED_VALUE"""),-0.4186957278913)</f>
        <v>-0.4186957278913</v>
      </c>
      <c r="JD7" s="3">
        <f ca="1">IFERROR(__xludf.DUMMYFUNCTION("""COMPUTED_VALUE"""),-0.458572717754937)</f>
        <v>-0.45857271775493702</v>
      </c>
      <c r="JE7" s="3">
        <f ca="1">IFERROR(__xludf.DUMMYFUNCTION("""COMPUTED_VALUE"""),-0.593135221603627)</f>
        <v>-0.59313522160362697</v>
      </c>
      <c r="JF7" s="3">
        <f ca="1">IFERROR(__xludf.DUMMYFUNCTION("""COMPUTED_VALUE"""),-0.584402844852751)</f>
        <v>-0.58440284485275096</v>
      </c>
      <c r="JG7" s="3">
        <f ca="1">IFERROR(__xludf.DUMMYFUNCTION("""COMPUTED_VALUE"""),-0.602666251561366)</f>
        <v>-0.602666251561366</v>
      </c>
      <c r="JH7" s="3">
        <f ca="1">IFERROR(__xludf.DUMMYFUNCTION("""COMPUTED_VALUE"""),-0.584186300522056)</f>
        <v>-0.584186300522056</v>
      </c>
      <c r="JI7" s="3">
        <f ca="1">IFERROR(__xludf.DUMMYFUNCTION("""COMPUTED_VALUE"""),-0.571052297668436)</f>
        <v>-0.57105229766843602</v>
      </c>
      <c r="JJ7" s="3">
        <f ca="1">IFERROR(__xludf.DUMMYFUNCTION("""COMPUTED_VALUE"""),-0.411864340164233)</f>
        <v>-0.41186434016423301</v>
      </c>
      <c r="JK7" s="3">
        <f ca="1">IFERROR(__xludf.DUMMYFUNCTION("""COMPUTED_VALUE"""),-0.444540540865202)</f>
        <v>-0.44454054086520201</v>
      </c>
      <c r="JL7" s="3">
        <f ca="1">IFERROR(__xludf.DUMMYFUNCTION("""COMPUTED_VALUE"""),-0.574337658033144)</f>
        <v>-0.57433765803314396</v>
      </c>
      <c r="JM7" s="3">
        <f ca="1">IFERROR(__xludf.DUMMYFUNCTION("""COMPUTED_VALUE"""),-0.572755560037505)</f>
        <v>-0.57275556003750505</v>
      </c>
      <c r="JN7" s="3">
        <f ca="1">IFERROR(__xludf.DUMMYFUNCTION("""COMPUTED_VALUE"""),-0.571662761464468)</f>
        <v>-0.57166276146446804</v>
      </c>
      <c r="JO7" s="3">
        <f ca="1">IFERROR(__xludf.DUMMYFUNCTION("""COMPUTED_VALUE"""),-0.559621389255934)</f>
        <v>-0.55962138925593397</v>
      </c>
      <c r="JP7" s="3">
        <f ca="1">IFERROR(__xludf.DUMMYFUNCTION("""COMPUTED_VALUE"""),-0.515680332139437)</f>
        <v>-0.51568033213943698</v>
      </c>
      <c r="JQ7" s="3">
        <f ca="1">IFERROR(__xludf.DUMMYFUNCTION("""COMPUTED_VALUE"""),-0.313491848159938)</f>
        <v>-0.31349184815993802</v>
      </c>
      <c r="JR7" s="3">
        <f ca="1">IFERROR(__xludf.DUMMYFUNCTION("""COMPUTED_VALUE"""),-0.370976768233062)</f>
        <v>-0.37097676823306203</v>
      </c>
      <c r="JS7" s="3">
        <f ca="1">IFERROR(__xludf.DUMMYFUNCTION("""COMPUTED_VALUE"""),-0.49599056649642)</f>
        <v>-0.49599056649641998</v>
      </c>
      <c r="JT7" s="3">
        <f ca="1">IFERROR(__xludf.DUMMYFUNCTION("""COMPUTED_VALUE"""),-0.447856775128023)</f>
        <v>-0.44785677512802302</v>
      </c>
      <c r="JU7" s="3">
        <f ca="1">IFERROR(__xludf.DUMMYFUNCTION("""COMPUTED_VALUE"""),-0.533475735318785)</f>
        <v>-0.533475735318785</v>
      </c>
      <c r="JV7" s="3">
        <f ca="1">IFERROR(__xludf.DUMMYFUNCTION("""COMPUTED_VALUE"""),-0.545274093406578)</f>
        <v>-0.54527409340657795</v>
      </c>
      <c r="JW7" s="3">
        <f ca="1">IFERROR(__xludf.DUMMYFUNCTION("""COMPUTED_VALUE"""),-0.497205082049297)</f>
        <v>-0.49720508204929698</v>
      </c>
      <c r="JX7" s="3">
        <f ca="1">IFERROR(__xludf.DUMMYFUNCTION("""COMPUTED_VALUE"""),-0.324838341768404)</f>
        <v>-0.32483834176840398</v>
      </c>
      <c r="JY7" s="3">
        <f ca="1">IFERROR(__xludf.DUMMYFUNCTION("""COMPUTED_VALUE"""),-0.431877865709385)</f>
        <v>-0.43187786570938502</v>
      </c>
      <c r="JZ7" s="3">
        <f ca="1">IFERROR(__xludf.DUMMYFUNCTION("""COMPUTED_VALUE"""),-0.460338925392313)</f>
        <v>-0.46033892539231303</v>
      </c>
      <c r="KA7" s="3">
        <f ca="1">IFERROR(__xludf.DUMMYFUNCTION("""COMPUTED_VALUE"""),-0.416924207056363)</f>
        <v>-0.41692420705636302</v>
      </c>
      <c r="KB7" s="3">
        <f ca="1">IFERROR(__xludf.DUMMYFUNCTION("""COMPUTED_VALUE"""),-0.520357603999921)</f>
        <v>-0.52035760399992104</v>
      </c>
      <c r="KC7" s="3">
        <f ca="1">IFERROR(__xludf.DUMMYFUNCTION("""COMPUTED_VALUE"""),-0.513063688720394)</f>
        <v>-0.51306368872039398</v>
      </c>
      <c r="KD7" s="3">
        <f ca="1">IFERROR(__xludf.DUMMYFUNCTION("""COMPUTED_VALUE"""),-0.438820969383172)</f>
        <v>-0.438820969383172</v>
      </c>
      <c r="KE7" s="3">
        <f ca="1">IFERROR(__xludf.DUMMYFUNCTION("""COMPUTED_VALUE"""),-0.287191585196568)</f>
        <v>-0.28719158519656801</v>
      </c>
      <c r="KF7" s="3">
        <f ca="1">IFERROR(__xludf.DUMMYFUNCTION("""COMPUTED_VALUE"""),-0.380641886921692)</f>
        <v>-0.38064188692169199</v>
      </c>
      <c r="KG7" s="3">
        <f ca="1">IFERROR(__xludf.DUMMYFUNCTION("""COMPUTED_VALUE"""),-0.420539224160517)</f>
        <v>-0.42053922416051698</v>
      </c>
      <c r="KH7" s="3">
        <f ca="1">IFERROR(__xludf.DUMMYFUNCTION("""COMPUTED_VALUE"""),-0.409832358262961)</f>
        <v>-0.40983235826296099</v>
      </c>
      <c r="KI7" s="3">
        <f ca="1">IFERROR(__xludf.DUMMYFUNCTION("""COMPUTED_VALUE"""),-0.476211071067467)</f>
        <v>-0.47621107106746702</v>
      </c>
      <c r="KJ7" s="3">
        <f ca="1">IFERROR(__xludf.DUMMYFUNCTION("""COMPUTED_VALUE"""),-0.494573486179776)</f>
        <v>-0.49457348617977598</v>
      </c>
      <c r="KK7" s="3">
        <f ca="1">IFERROR(__xludf.DUMMYFUNCTION("""COMPUTED_VALUE"""),-0.467543143123298)</f>
        <v>-0.46754314312329798</v>
      </c>
      <c r="KL7" s="3">
        <f ca="1">IFERROR(__xludf.DUMMYFUNCTION("""COMPUTED_VALUE"""),-0.282607045032332)</f>
        <v>-0.28260704503233203</v>
      </c>
      <c r="KM7" s="3">
        <f ca="1">IFERROR(__xludf.DUMMYFUNCTION("""COMPUTED_VALUE"""),-0.461368073201445)</f>
        <v>-0.46136807320144502</v>
      </c>
      <c r="KN7" s="3">
        <f ca="1">IFERROR(__xludf.DUMMYFUNCTION("""COMPUTED_VALUE"""),-0.511823608333904)</f>
        <v>-0.51182360833390395</v>
      </c>
      <c r="KO7" s="3">
        <f ca="1">IFERROR(__xludf.DUMMYFUNCTION("""COMPUTED_VALUE"""),-0.504778411404821)</f>
        <v>-0.50477841140482105</v>
      </c>
      <c r="KP7" s="3">
        <f ca="1">IFERROR(__xludf.DUMMYFUNCTION("""COMPUTED_VALUE"""),-0.528851433642062)</f>
        <v>-0.528851433642062</v>
      </c>
      <c r="KQ7" s="3">
        <f ca="1">IFERROR(__xludf.DUMMYFUNCTION("""COMPUTED_VALUE"""),-0.510762439122571)</f>
        <v>-0.51076243912257102</v>
      </c>
      <c r="KR7" s="3">
        <f ca="1">IFERROR(__xludf.DUMMYFUNCTION("""COMPUTED_VALUE"""),-0.459019559374105)</f>
        <v>-0.45901955937410499</v>
      </c>
      <c r="KS7" s="3">
        <f ca="1">IFERROR(__xludf.DUMMYFUNCTION("""COMPUTED_VALUE"""),-0.334427952155726)</f>
        <v>-0.33442795215572602</v>
      </c>
      <c r="KT7" s="3">
        <f ca="1">IFERROR(__xludf.DUMMYFUNCTION("""COMPUTED_VALUE"""),-0.395621921861607)</f>
        <v>-0.395621921861607</v>
      </c>
      <c r="KU7" s="3">
        <f ca="1">IFERROR(__xludf.DUMMYFUNCTION("""COMPUTED_VALUE"""),-0.481141993782059)</f>
        <v>-0.48114199378205902</v>
      </c>
      <c r="KV7" s="3">
        <f ca="1">IFERROR(__xludf.DUMMYFUNCTION("""COMPUTED_VALUE"""),-0.52645611687479)</f>
        <v>-0.52645611687478999</v>
      </c>
      <c r="KW7" s="3">
        <f ca="1">IFERROR(__xludf.DUMMYFUNCTION("""COMPUTED_VALUE"""),-0.489565710023984)</f>
        <v>-0.48956571002398402</v>
      </c>
      <c r="KX7" s="3">
        <f ca="1">IFERROR(__xludf.DUMMYFUNCTION("""COMPUTED_VALUE"""),-0.509600717209539)</f>
        <v>-0.50960071720953903</v>
      </c>
      <c r="KY7" s="3">
        <f ca="1">IFERROR(__xludf.DUMMYFUNCTION("""COMPUTED_VALUE"""),-0.487273062928318)</f>
        <v>-0.48727306292831801</v>
      </c>
      <c r="KZ7" s="3">
        <f ca="1">IFERROR(__xludf.DUMMYFUNCTION("""COMPUTED_VALUE"""),-0.33184599132298)</f>
        <v>-0.33184599132297998</v>
      </c>
      <c r="LA7" s="3">
        <f ca="1">IFERROR(__xludf.DUMMYFUNCTION("""COMPUTED_VALUE"""),-0.426424494347168)</f>
        <v>-0.426424494347168</v>
      </c>
      <c r="LB7" s="3">
        <f ca="1">IFERROR(__xludf.DUMMYFUNCTION("""COMPUTED_VALUE"""),-0.556205378335603)</f>
        <v>-0.55620537833560302</v>
      </c>
      <c r="LC7" s="3">
        <f ca="1">IFERROR(__xludf.DUMMYFUNCTION("""COMPUTED_VALUE"""),-0.538378336086731)</f>
        <v>-0.53837833608673102</v>
      </c>
      <c r="LD7" s="3">
        <f ca="1">IFERROR(__xludf.DUMMYFUNCTION("""COMPUTED_VALUE"""),-0.509012939734649)</f>
        <v>-0.50901293973464901</v>
      </c>
      <c r="LE7" s="3">
        <f ca="1">IFERROR(__xludf.DUMMYFUNCTION("""COMPUTED_VALUE"""),-0.554518158336002)</f>
        <v>-0.55451815833600204</v>
      </c>
      <c r="LF7" s="3">
        <f ca="1">IFERROR(__xludf.DUMMYFUNCTION("""COMPUTED_VALUE"""),-0.399870597430291)</f>
        <v>-0.39987059743029102</v>
      </c>
      <c r="LG7" s="3">
        <f ca="1">IFERROR(__xludf.DUMMYFUNCTION("""COMPUTED_VALUE"""),-0.348131575816878)</f>
        <v>-0.34813157581687798</v>
      </c>
      <c r="LH7" s="3">
        <f ca="1">IFERROR(__xludf.DUMMYFUNCTION("""COMPUTED_VALUE"""),-0.486666506984343)</f>
        <v>-0.48666650698434299</v>
      </c>
      <c r="LI7" s="3">
        <f ca="1">IFERROR(__xludf.DUMMYFUNCTION("""COMPUTED_VALUE"""),-0.60935250949954)</f>
        <v>-0.60935250949954001</v>
      </c>
      <c r="LJ7" s="3">
        <f ca="1">IFERROR(__xludf.DUMMYFUNCTION("""COMPUTED_VALUE"""),-0.619071999774345)</f>
        <v>-0.61907199977434502</v>
      </c>
      <c r="LK7" s="3">
        <f ca="1">IFERROR(__xludf.DUMMYFUNCTION("""COMPUTED_VALUE"""),-0.568949809653004)</f>
        <v>-0.56894980965300401</v>
      </c>
      <c r="LL7" s="3">
        <f ca="1">IFERROR(__xludf.DUMMYFUNCTION("""COMPUTED_VALUE"""),-0.572625099349372)</f>
        <v>-0.572625099349372</v>
      </c>
      <c r="LM7" s="3">
        <f ca="1">IFERROR(__xludf.DUMMYFUNCTION("""COMPUTED_VALUE"""),-0.604766541849868)</f>
        <v>-0.604766541849868</v>
      </c>
      <c r="LN7" s="3">
        <f ca="1">IFERROR(__xludf.DUMMYFUNCTION("""COMPUTED_VALUE"""),-0.426186773458598)</f>
        <v>-0.42618677345859801</v>
      </c>
      <c r="LO7" s="3">
        <f ca="1">IFERROR(__xludf.DUMMYFUNCTION("""COMPUTED_VALUE"""),-0.472377894994897)</f>
        <v>-0.47237789499489702</v>
      </c>
      <c r="LP7" s="3">
        <f ca="1">IFERROR(__xludf.DUMMYFUNCTION("""COMPUTED_VALUE"""),-0.647202100801278)</f>
        <v>-0.64720210080127805</v>
      </c>
      <c r="LQ7" s="3">
        <f ca="1">IFERROR(__xludf.DUMMYFUNCTION("""COMPUTED_VALUE"""),-0.605140631033304)</f>
        <v>-0.60514063103330396</v>
      </c>
      <c r="LR7" s="3">
        <f ca="1">IFERROR(__xludf.DUMMYFUNCTION("""COMPUTED_VALUE"""),-0.60671670033729)</f>
        <v>-0.60671670033728997</v>
      </c>
      <c r="LS7" s="3">
        <f ca="1">IFERROR(__xludf.DUMMYFUNCTION("""COMPUTED_VALUE"""),-0.597832712988765)</f>
        <v>-0.59783271298876495</v>
      </c>
      <c r="LT7" s="3">
        <f ca="1">IFERROR(__xludf.DUMMYFUNCTION("""COMPUTED_VALUE"""),-0.524155332514058)</f>
        <v>-0.52415533251405799</v>
      </c>
      <c r="LU7" s="3">
        <f ca="1">IFERROR(__xludf.DUMMYFUNCTION("""COMPUTED_VALUE"""),-0.425491789050284)</f>
        <v>-0.42549178905028401</v>
      </c>
      <c r="LV7" s="3">
        <f ca="1">IFERROR(__xludf.DUMMYFUNCTION("""COMPUTED_VALUE"""),-0.479895125784361)</f>
        <v>-0.479895125784361</v>
      </c>
      <c r="LW7" s="3">
        <f ca="1">IFERROR(__xludf.DUMMYFUNCTION("""COMPUTED_VALUE"""),-0.574483587050529)</f>
        <v>-0.57448358705052904</v>
      </c>
      <c r="LX7" s="3">
        <f ca="1">IFERROR(__xludf.DUMMYFUNCTION("""COMPUTED_VALUE"""),-0.616103628974412)</f>
        <v>-0.61610362897441195</v>
      </c>
      <c r="LY7" s="3">
        <f ca="1">IFERROR(__xludf.DUMMYFUNCTION("""COMPUTED_VALUE"""),-0.614032312302771)</f>
        <v>-0.614032312302771</v>
      </c>
      <c r="LZ7" s="3">
        <f ca="1">IFERROR(__xludf.DUMMYFUNCTION("""COMPUTED_VALUE"""),-0.62864719426503)</f>
        <v>-0.62864719426503002</v>
      </c>
      <c r="MA7" s="3">
        <f ca="1">IFERROR(__xludf.DUMMYFUNCTION("""COMPUTED_VALUE"""),-0.601881760728568)</f>
        <v>-0.60188176072856803</v>
      </c>
      <c r="MB7" s="3">
        <f ca="1">IFERROR(__xludf.DUMMYFUNCTION("""COMPUTED_VALUE"""),-0.393613262625573)</f>
        <v>-0.393613262625573</v>
      </c>
      <c r="MC7" s="3">
        <f ca="1">IFERROR(__xludf.DUMMYFUNCTION("""COMPUTED_VALUE"""),-0.554257292880717)</f>
        <v>-0.55425729288071701</v>
      </c>
      <c r="MD7" s="3">
        <f ca="1">IFERROR(__xludf.DUMMYFUNCTION("""COMPUTED_VALUE"""),-0.656471736661194)</f>
        <v>-0.65647173666119396</v>
      </c>
      <c r="ME7" s="3">
        <f ca="1">IFERROR(__xludf.DUMMYFUNCTION("""COMPUTED_VALUE"""),-0.608623397157164)</f>
        <v>-0.60862339715716396</v>
      </c>
      <c r="MF7" s="3">
        <f ca="1">IFERROR(__xludf.DUMMYFUNCTION("""COMPUTED_VALUE"""),-0.678394845687308)</f>
        <v>-0.67839484568730801</v>
      </c>
      <c r="MG7" s="3">
        <f ca="1">IFERROR(__xludf.DUMMYFUNCTION("""COMPUTED_VALUE"""),-0.623407862581755)</f>
        <v>-0.62340786258175496</v>
      </c>
      <c r="MH7" s="3">
        <f ca="1">IFERROR(__xludf.DUMMYFUNCTION("""COMPUTED_VALUE"""),-0.575882074835406)</f>
        <v>-0.57588207483540599</v>
      </c>
      <c r="MI7" s="3">
        <f ca="1">IFERROR(__xludf.DUMMYFUNCTION("""COMPUTED_VALUE"""),-0.415842855719287)</f>
        <v>-0.41584285571928697</v>
      </c>
      <c r="MJ7" s="3">
        <f ca="1">IFERROR(__xludf.DUMMYFUNCTION("""COMPUTED_VALUE"""),-0.506153624151703)</f>
        <v>-0.50615362415170295</v>
      </c>
      <c r="MK7" s="3">
        <f ca="1">IFERROR(__xludf.DUMMYFUNCTION("""COMPUTED_VALUE"""),-0.621881778463175)</f>
        <v>-0.62188177846317505</v>
      </c>
      <c r="ML7" s="3">
        <f ca="1">IFERROR(__xludf.DUMMYFUNCTION("""COMPUTED_VALUE"""),-0.715816834320705)</f>
        <v>-0.71581683432070498</v>
      </c>
      <c r="MM7" s="3">
        <f ca="1">IFERROR(__xludf.DUMMYFUNCTION("""COMPUTED_VALUE"""),-0.631977528328711)</f>
        <v>-0.63197752832871101</v>
      </c>
      <c r="MN7" s="3">
        <f ca="1">IFERROR(__xludf.DUMMYFUNCTION("""COMPUTED_VALUE"""),-0.644204177450766)</f>
        <v>-0.64420417745076597</v>
      </c>
      <c r="MO7" s="3">
        <f ca="1">IFERROR(__xludf.DUMMYFUNCTION("""COMPUTED_VALUE"""),-0.585292880852144)</f>
        <v>-0.58529288085214404</v>
      </c>
      <c r="MP7" s="3">
        <f ca="1">IFERROR(__xludf.DUMMYFUNCTION("""COMPUTED_VALUE"""),-0.485680468578784)</f>
        <v>-0.485680468578784</v>
      </c>
      <c r="MQ7" s="3">
        <f ca="1">IFERROR(__xludf.DUMMYFUNCTION("""COMPUTED_VALUE"""),-0.532366773676074)</f>
        <v>-0.53236677367607399</v>
      </c>
      <c r="MR7" s="3">
        <f ca="1">IFERROR(__xludf.DUMMYFUNCTION("""COMPUTED_VALUE"""),-0.595200642540879)</f>
        <v>-0.59520064254087901</v>
      </c>
      <c r="MS7" s="3">
        <f ca="1">IFERROR(__xludf.DUMMYFUNCTION("""COMPUTED_VALUE"""),-0.601370720016715)</f>
        <v>-0.60137072001671499</v>
      </c>
      <c r="MT7" s="3">
        <f ca="1">IFERROR(__xludf.DUMMYFUNCTION("""COMPUTED_VALUE"""),-0.578207259940983)</f>
        <v>-0.57820725994098299</v>
      </c>
      <c r="MU7" s="3">
        <f ca="1">IFERROR(__xludf.DUMMYFUNCTION("""COMPUTED_VALUE"""),-0.593176031239167)</f>
        <v>-0.59317603123916696</v>
      </c>
      <c r="MV7" s="3">
        <f ca="1">IFERROR(__xludf.DUMMYFUNCTION("""COMPUTED_VALUE"""),-0.491064345653562)</f>
        <v>-0.491064345653562</v>
      </c>
      <c r="MW7" s="3">
        <f ca="1">IFERROR(__xludf.DUMMYFUNCTION("""COMPUTED_VALUE"""),-0.484564374343719)</f>
        <v>-0.48456437434371902</v>
      </c>
      <c r="MX7" s="3">
        <f ca="1">IFERROR(__xludf.DUMMYFUNCTION("""COMPUTED_VALUE"""),-0.575982440409235)</f>
        <v>-0.57598244040923496</v>
      </c>
      <c r="MY7" s="3">
        <f ca="1">IFERROR(__xludf.DUMMYFUNCTION("""COMPUTED_VALUE"""),-0.57301489297466)</f>
        <v>-0.57301489297466002</v>
      </c>
      <c r="MZ7" s="3">
        <f ca="1">IFERROR(__xludf.DUMMYFUNCTION("""COMPUTED_VALUE"""),-0.617439307133466)</f>
        <v>-0.61743930713346595</v>
      </c>
      <c r="NA7" s="3">
        <f ca="1">IFERROR(__xludf.DUMMYFUNCTION("""COMPUTED_VALUE"""),-0.575921866383477)</f>
        <v>-0.57592186638347698</v>
      </c>
      <c r="NB7" s="3">
        <f ca="1">IFERROR(__xludf.DUMMYFUNCTION("""COMPUTED_VALUE"""),-0.577585684403549)</f>
        <v>-0.57758568440354896</v>
      </c>
      <c r="NC7" s="3">
        <f ca="1">IFERROR(__xludf.DUMMYFUNCTION("""COMPUTED_VALUE"""),-0.580505484814576)</f>
        <v>-0.58050548481457598</v>
      </c>
      <c r="ND7" s="3">
        <f ca="1">IFERROR(__xludf.DUMMYFUNCTION("""COMPUTED_VALUE"""),-0.47209722990123)</f>
        <v>-0.47209722990122999</v>
      </c>
      <c r="NE7" s="3">
        <f ca="1">IFERROR(__xludf.DUMMYFUNCTION("""COMPUTED_VALUE"""),-0.558642948638828)</f>
        <v>-0.55864294863882802</v>
      </c>
      <c r="NF7" s="3">
        <f ca="1">IFERROR(__xludf.DUMMYFUNCTION("""COMPUTED_VALUE"""),-0.604551586304964)</f>
        <v>-0.60455158630496397</v>
      </c>
      <c r="NG7" s="3">
        <f ca="1">IFERROR(__xludf.DUMMYFUNCTION("""COMPUTED_VALUE"""),-0.636399248435507)</f>
        <v>-0.63639924843550699</v>
      </c>
      <c r="NH7" s="3">
        <f ca="1">IFERROR(__xludf.DUMMYFUNCTION("""COMPUTED_VALUE"""),-0.626470650014518)</f>
        <v>-0.62647065001451796</v>
      </c>
      <c r="NI7" s="3">
        <f ca="1">IFERROR(__xludf.DUMMYFUNCTION("""COMPUTED_VALUE"""),-0.619933030844201)</f>
        <v>-0.61993303084420104</v>
      </c>
      <c r="NJ7" s="3">
        <f ca="1">IFERROR(__xludf.DUMMYFUNCTION("""COMPUTED_VALUE"""),-0.581506561302366)</f>
        <v>-0.581506561302366</v>
      </c>
      <c r="NK7" s="3">
        <f ca="1">IFERROR(__xludf.DUMMYFUNCTION("""COMPUTED_VALUE"""),-0.457577498389884)</f>
        <v>-0.45757749838988399</v>
      </c>
      <c r="NL7" s="3">
        <f ca="1">IFERROR(__xludf.DUMMYFUNCTION("""COMPUTED_VALUE"""),-0.571550634706679)</f>
        <v>-0.57155063470667899</v>
      </c>
      <c r="NM7" s="3">
        <f ca="1">IFERROR(__xludf.DUMMYFUNCTION("""COMPUTED_VALUE"""),-0.631958638501749)</f>
        <v>-0.63195863850174905</v>
      </c>
      <c r="NN7" s="3">
        <f ca="1">IFERROR(__xludf.DUMMYFUNCTION("""COMPUTED_VALUE"""),-0.647128054165683)</f>
        <v>-0.64712805416568298</v>
      </c>
      <c r="NO7" s="3">
        <f ca="1">IFERROR(__xludf.DUMMYFUNCTION("""COMPUTED_VALUE"""),-0.651164813610993)</f>
        <v>-0.65116481361099299</v>
      </c>
      <c r="NP7" s="3">
        <f ca="1">IFERROR(__xludf.DUMMYFUNCTION("""COMPUTED_VALUE"""),-0.663038621910191)</f>
        <v>-0.66303862191019103</v>
      </c>
      <c r="NQ7" s="3">
        <f ca="1">IFERROR(__xludf.DUMMYFUNCTION("""COMPUTED_VALUE"""),-0.586858884527408)</f>
        <v>-0.58685888452740798</v>
      </c>
      <c r="NR7" s="3">
        <f ca="1">IFERROR(__xludf.DUMMYFUNCTION("""COMPUTED_VALUE"""),-0.421776471799332)</f>
        <v>-0.42177647179933198</v>
      </c>
      <c r="NS7" s="3">
        <f ca="1">IFERROR(__xludf.DUMMYFUNCTION("""COMPUTED_VALUE"""),-0.538792066522356)</f>
        <v>-0.53879206652235601</v>
      </c>
      <c r="NT7" s="3">
        <f ca="1">IFERROR(__xludf.DUMMYFUNCTION("""COMPUTED_VALUE"""),-0.529245536328956)</f>
        <v>-0.52924553632895599</v>
      </c>
      <c r="NU7" s="3">
        <f ca="1">IFERROR(__xludf.DUMMYFUNCTION("""COMPUTED_VALUE"""),-0.574684261785535)</f>
        <v>-0.574684261785535</v>
      </c>
      <c r="NV7" s="3">
        <f ca="1">IFERROR(__xludf.DUMMYFUNCTION("""COMPUTED_VALUE"""),-0.606894496981205)</f>
        <v>-0.60689449698120501</v>
      </c>
      <c r="NW7" s="3">
        <f ca="1">IFERROR(__xludf.DUMMYFUNCTION("""COMPUTED_VALUE"""),-0.557221129260818)</f>
        <v>-0.55722112926081802</v>
      </c>
      <c r="NX7" s="3">
        <f ca="1">IFERROR(__xludf.DUMMYFUNCTION("""COMPUTED_VALUE"""),-0.610465876774118)</f>
        <v>-0.61046587677411801</v>
      </c>
      <c r="NY7" s="3">
        <f ca="1">IFERROR(__xludf.DUMMYFUNCTION("""COMPUTED_VALUE"""),-0.396142966434189)</f>
        <v>-0.396142966434189</v>
      </c>
      <c r="NZ7" s="3">
        <f ca="1">IFERROR(__xludf.DUMMYFUNCTION("""COMPUTED_VALUE"""),-0.443484866139347)</f>
        <v>-0.44348486613934701</v>
      </c>
      <c r="OA7" s="3">
        <f ca="1">IFERROR(__xludf.DUMMYFUNCTION("""COMPUTED_VALUE"""),-0.477475018769053)</f>
        <v>-0.47747501876905302</v>
      </c>
      <c r="OB7" s="3">
        <f ca="1">IFERROR(__xludf.DUMMYFUNCTION("""COMPUTED_VALUE"""),-0.462124227989514)</f>
        <v>-0.46212422798951402</v>
      </c>
      <c r="OC7" s="3">
        <f ca="1">IFERROR(__xludf.DUMMYFUNCTION("""COMPUTED_VALUE"""),-0.427538176045936)</f>
        <v>-0.42753817604593602</v>
      </c>
      <c r="OD7" s="3">
        <f ca="1">IFERROR(__xludf.DUMMYFUNCTION("""COMPUTED_VALUE"""),-0.421385336113154)</f>
        <v>-0.42138533611315399</v>
      </c>
      <c r="OE7" s="3">
        <f ca="1">IFERROR(__xludf.DUMMYFUNCTION("""COMPUTED_VALUE"""),-0.391322651992613)</f>
        <v>-0.39132265199261301</v>
      </c>
      <c r="OF7" s="3">
        <f ca="1">IFERROR(__xludf.DUMMYFUNCTION("""COMPUTED_VALUE"""),-0.170156038787106)</f>
        <v>-0.170156038787106</v>
      </c>
      <c r="OG7" s="3">
        <f ca="1">IFERROR(__xludf.DUMMYFUNCTION("""COMPUTED_VALUE"""),-0.144463668292957)</f>
        <v>-0.14446366829295701</v>
      </c>
      <c r="OH7" s="3">
        <f ca="1">IFERROR(__xludf.DUMMYFUNCTION("""COMPUTED_VALUE"""),-0.231045579847684)</f>
        <v>-0.23104557984768401</v>
      </c>
      <c r="OI7" s="3">
        <f ca="1">IFERROR(__xludf.DUMMYFUNCTION("""COMPUTED_VALUE"""),-0.0782334485174525)</f>
        <v>-7.8233448517452495E-2</v>
      </c>
      <c r="OJ7" s="3">
        <f ca="1">IFERROR(__xludf.DUMMYFUNCTION("""COMPUTED_VALUE"""),-0.0686995358003916)</f>
        <v>-6.8699535800391606E-2</v>
      </c>
      <c r="OK7" s="3">
        <f ca="1">IFERROR(__xludf.DUMMYFUNCTION("""COMPUTED_VALUE"""),-0.0699656984619924)</f>
        <v>-6.9965698461992396E-2</v>
      </c>
      <c r="OL7" s="3">
        <f ca="1">IFERROR(__xludf.DUMMYFUNCTION("""COMPUTED_VALUE"""),-0.00851611935793184)</f>
        <v>-8.5161193579318395E-3</v>
      </c>
      <c r="OM7" s="3">
        <f ca="1">IFERROR(__xludf.DUMMYFUNCTION("""COMPUTED_VALUE"""),-0.0217793102002077)</f>
        <v>-2.1779310200207701E-2</v>
      </c>
      <c r="ON7" s="3">
        <f ca="1">IFERROR(__xludf.DUMMYFUNCTION("""COMPUTED_VALUE"""),-0.0548677818604673)</f>
        <v>-5.4867781860467299E-2</v>
      </c>
      <c r="OO7" s="3">
        <f ca="1">IFERROR(__xludf.DUMMYFUNCTION("""COMPUTED_VALUE"""),0.0204546033051242)</f>
        <v>2.0454603305124198E-2</v>
      </c>
      <c r="OP7" s="3">
        <f ca="1">IFERROR(__xludf.DUMMYFUNCTION("""COMPUTED_VALUE"""),-0.0322993412984116)</f>
        <v>-3.2299341298411603E-2</v>
      </c>
      <c r="OQ7" s="3">
        <f ca="1">IFERROR(__xludf.DUMMYFUNCTION("""COMPUTED_VALUE"""),0.0137900366032208)</f>
        <v>1.37900366032208E-2</v>
      </c>
      <c r="OR7" s="3">
        <f ca="1">IFERROR(__xludf.DUMMYFUNCTION("""COMPUTED_VALUE"""),-0.058315824905487)</f>
        <v>-5.8315824905487E-2</v>
      </c>
      <c r="OS7" s="3">
        <f ca="1">IFERROR(__xludf.DUMMYFUNCTION("""COMPUTED_VALUE"""),-0.0267457128819597)</f>
        <v>-2.6745712881959701E-2</v>
      </c>
      <c r="OT7" s="3">
        <f ca="1">IFERROR(__xludf.DUMMYFUNCTION("""COMPUTED_VALUE"""),-0.0324878886176077)</f>
        <v>-3.2487888617607701E-2</v>
      </c>
      <c r="OU7" s="3">
        <f ca="1">IFERROR(__xludf.DUMMYFUNCTION("""COMPUTED_VALUE"""),-0.0838588863452806)</f>
        <v>-8.3858886345280603E-2</v>
      </c>
      <c r="OV7" s="3">
        <f ca="1">IFERROR(__xludf.DUMMYFUNCTION("""COMPUTED_VALUE"""),0.00848285650628333)</f>
        <v>8.4828565062833299E-3</v>
      </c>
      <c r="OW7" s="3">
        <f ca="1">IFERROR(__xludf.DUMMYFUNCTION("""COMPUTED_VALUE"""),-0.0641207164392273)</f>
        <v>-6.4120716439227302E-2</v>
      </c>
      <c r="OX7" s="3">
        <f ca="1">IFERROR(__xludf.DUMMYFUNCTION("""COMPUTED_VALUE"""),0.158114141721687)</f>
        <v>0.158114141721687</v>
      </c>
      <c r="OY7" s="3">
        <f ca="1">IFERROR(__xludf.DUMMYFUNCTION("""COMPUTED_VALUE"""),-0.0786079446809384)</f>
        <v>-7.8607944680938402E-2</v>
      </c>
      <c r="OZ7" s="3">
        <f ca="1">IFERROR(__xludf.DUMMYFUNCTION("""COMPUTED_VALUE"""),0.10818016602708)</f>
        <v>0.10818016602708</v>
      </c>
      <c r="PA7" s="3">
        <f ca="1">IFERROR(__xludf.DUMMYFUNCTION("""COMPUTED_VALUE"""),0.0305994355589829)</f>
        <v>3.0599435558982899E-2</v>
      </c>
      <c r="PB7" s="3">
        <f ca="1">IFERROR(__xludf.DUMMYFUNCTION("""COMPUTED_VALUE"""),-0.0389801188028456)</f>
        <v>-3.8980118802845597E-2</v>
      </c>
      <c r="PC7" s="3">
        <f ca="1">IFERROR(__xludf.DUMMYFUNCTION("""COMPUTED_VALUE"""),-0.0538250294247288)</f>
        <v>-5.3825029424728797E-2</v>
      </c>
      <c r="PD7" s="3">
        <f ca="1">IFERROR(__xludf.DUMMYFUNCTION("""COMPUTED_VALUE"""),-0.0394378629300855)</f>
        <v>-3.9437862930085499E-2</v>
      </c>
      <c r="PE7" s="3">
        <f ca="1">IFERROR(__xludf.DUMMYFUNCTION("""COMPUTED_VALUE"""),0.187131775316526)</f>
        <v>0.187131775316526</v>
      </c>
      <c r="PF7" s="3">
        <f ca="1">IFERROR(__xludf.DUMMYFUNCTION("""COMPUTED_VALUE"""),0.066413676964343)</f>
        <v>6.6413676964342999E-2</v>
      </c>
      <c r="PG7" s="3">
        <f ca="1">IFERROR(__xludf.DUMMYFUNCTION("""COMPUTED_VALUE"""),-0.102960619621198)</f>
        <v>-0.102960619621198</v>
      </c>
      <c r="PH7" s="3">
        <f ca="1">IFERROR(__xludf.DUMMYFUNCTION("""COMPUTED_VALUE"""),-0.0423049058272202)</f>
        <v>-4.2304905827220199E-2</v>
      </c>
      <c r="PI7" s="3">
        <f ca="1">IFERROR(__xludf.DUMMYFUNCTION("""COMPUTED_VALUE"""),-0.0662129982309852)</f>
        <v>-6.6212998230985198E-2</v>
      </c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</row>
    <row r="8" spans="1:477" ht="15.75" customHeight="1">
      <c r="A8" s="1" t="str">
        <f ca="1">IFERROR(__xludf.DUMMYFUNCTION("""COMPUTED_VALUE"""),"Brockton Area Transit")</f>
        <v>Brockton Area Transit</v>
      </c>
      <c r="B8" s="1" t="str">
        <f ca="1">IFERROR(__xludf.DUMMYFUNCTION("""COMPUTED_VALUE"""),"Boston")</f>
        <v>Boston</v>
      </c>
      <c r="C8" s="1" t="str">
        <f ca="1">IFERROR(__xludf.DUMMYFUNCTION("""COMPUTED_VALUE"""),"United States")</f>
        <v>United States</v>
      </c>
      <c r="D8" s="1" t="str">
        <f ca="1">IFERROR(__xludf.DUMMYFUNCTION("""COMPUTED_VALUE"""),"Massachusetts")</f>
        <v>Massachusetts</v>
      </c>
      <c r="E8" s="3">
        <f ca="1">IFERROR(__xludf.DUMMYFUNCTION("""COMPUTED_VALUE"""),-0.519802193528121)</f>
        <v>-0.51980219352812096</v>
      </c>
      <c r="F8" s="3">
        <f ca="1">IFERROR(__xludf.DUMMYFUNCTION("""COMPUTED_VALUE"""),-0.56912059651237)</f>
        <v>-0.56912059651237001</v>
      </c>
      <c r="G8" s="3">
        <f ca="1">IFERROR(__xludf.DUMMYFUNCTION("""COMPUTED_VALUE"""),-0.613645489490921)</f>
        <v>-0.61364548949092101</v>
      </c>
      <c r="H8" s="3">
        <f ca="1">IFERROR(__xludf.DUMMYFUNCTION("""COMPUTED_VALUE"""),-0.627432325601348)</f>
        <v>-0.62743232560134798</v>
      </c>
      <c r="I8" s="3">
        <f ca="1">IFERROR(__xludf.DUMMYFUNCTION("""COMPUTED_VALUE"""),-0.555906573074734)</f>
        <v>-0.55590657307473401</v>
      </c>
      <c r="J8" s="3">
        <f ca="1">IFERROR(__xludf.DUMMYFUNCTION("""COMPUTED_VALUE"""),-0.475963715406726)</f>
        <v>-0.475963715406726</v>
      </c>
      <c r="K8" s="3">
        <f ca="1">IFERROR(__xludf.DUMMYFUNCTION("""COMPUTED_VALUE"""),-0.609542501205268)</f>
        <v>-0.60954250120526798</v>
      </c>
      <c r="L8" s="3">
        <f ca="1">IFERROR(__xludf.DUMMYFUNCTION("""COMPUTED_VALUE"""),-0.545325556012836)</f>
        <v>-0.54532555601283605</v>
      </c>
      <c r="M8" s="3">
        <f ca="1">IFERROR(__xludf.DUMMYFUNCTION("""COMPUTED_VALUE"""),-0.659282766479492)</f>
        <v>-0.65928276647949202</v>
      </c>
      <c r="N8" s="3">
        <f ca="1">IFERROR(__xludf.DUMMYFUNCTION("""COMPUTED_VALUE"""),-0.653616478498449)</f>
        <v>-0.65361647849844895</v>
      </c>
      <c r="O8" s="3">
        <f ca="1">IFERROR(__xludf.DUMMYFUNCTION("""COMPUTED_VALUE"""),-0.663953945756435)</f>
        <v>-0.66395394575643496</v>
      </c>
      <c r="P8" s="3">
        <f ca="1">IFERROR(__xludf.DUMMYFUNCTION("""COMPUTED_VALUE"""),-0.633184646594326)</f>
        <v>-0.63318464659432605</v>
      </c>
      <c r="Q8" s="3">
        <f ca="1">IFERROR(__xludf.DUMMYFUNCTION("""COMPUTED_VALUE"""),-0.606831128589702)</f>
        <v>-0.60683112858970201</v>
      </c>
      <c r="R8" s="3">
        <f ca="1">IFERROR(__xludf.DUMMYFUNCTION("""COMPUTED_VALUE"""),-0.603348194537573)</f>
        <v>-0.60334819453757305</v>
      </c>
      <c r="S8" s="3">
        <f ca="1">IFERROR(__xludf.DUMMYFUNCTION("""COMPUTED_VALUE"""),-0.572034292485119)</f>
        <v>-0.57203429248511894</v>
      </c>
      <c r="T8" s="3">
        <f ca="1">IFERROR(__xludf.DUMMYFUNCTION("""COMPUTED_VALUE"""),-0.640860225954943)</f>
        <v>-0.64086022595494296</v>
      </c>
      <c r="U8" s="3">
        <f ca="1">IFERROR(__xludf.DUMMYFUNCTION("""COMPUTED_VALUE"""),-0.618237886914387)</f>
        <v>-0.61823788691438697</v>
      </c>
      <c r="V8" s="3">
        <f ca="1">IFERROR(__xludf.DUMMYFUNCTION("""COMPUTED_VALUE"""),-0.653419904800013)</f>
        <v>-0.653419904800013</v>
      </c>
      <c r="W8" s="3">
        <f ca="1">IFERROR(__xludf.DUMMYFUNCTION("""COMPUTED_VALUE"""),-0.630749828783701)</f>
        <v>-0.63074982878370101</v>
      </c>
      <c r="X8" s="3">
        <f ca="1">IFERROR(__xludf.DUMMYFUNCTION("""COMPUTED_VALUE"""),-0.606455772786659)</f>
        <v>-0.60645577278665896</v>
      </c>
      <c r="Y8" s="3">
        <f ca="1">IFERROR(__xludf.DUMMYFUNCTION("""COMPUTED_VALUE"""),-0.454578769774953)</f>
        <v>-0.45457876977495298</v>
      </c>
      <c r="Z8" s="3">
        <f ca="1">IFERROR(__xludf.DUMMYFUNCTION("""COMPUTED_VALUE"""),-0.545558059133759)</f>
        <v>-0.54555805913375899</v>
      </c>
      <c r="AA8" s="3">
        <f ca="1">IFERROR(__xludf.DUMMYFUNCTION("""COMPUTED_VALUE"""),-0.644055776095686)</f>
        <v>-0.64405577609568598</v>
      </c>
      <c r="AB8" s="3">
        <f ca="1">IFERROR(__xludf.DUMMYFUNCTION("""COMPUTED_VALUE"""),-0.64736808253879)</f>
        <v>-0.64736808253878997</v>
      </c>
      <c r="AC8" s="3">
        <f ca="1">IFERROR(__xludf.DUMMYFUNCTION("""COMPUTED_VALUE"""),-0.655104140328272)</f>
        <v>-0.65510414032827202</v>
      </c>
      <c r="AD8" s="3">
        <f ca="1">IFERROR(__xludf.DUMMYFUNCTION("""COMPUTED_VALUE"""),-0.624743549661314)</f>
        <v>-0.62474354966131396</v>
      </c>
      <c r="AE8" s="3">
        <f ca="1">IFERROR(__xludf.DUMMYFUNCTION("""COMPUTED_VALUE"""),-0.62342797797634)</f>
        <v>-0.62342797797633998</v>
      </c>
      <c r="AF8" s="3">
        <f ca="1">IFERROR(__xludf.DUMMYFUNCTION("""COMPUTED_VALUE"""),-0.54599356249172)</f>
        <v>-0.54599356249172004</v>
      </c>
      <c r="AG8" s="3">
        <f ca="1">IFERROR(__xludf.DUMMYFUNCTION("""COMPUTED_VALUE"""),-0.570352505375647)</f>
        <v>-0.57035250537564697</v>
      </c>
      <c r="AH8" s="3">
        <f ca="1">IFERROR(__xludf.DUMMYFUNCTION("""COMPUTED_VALUE"""),-0.635361987285391)</f>
        <v>-0.63536198728539095</v>
      </c>
      <c r="AI8" s="3">
        <f ca="1">IFERROR(__xludf.DUMMYFUNCTION("""COMPUTED_VALUE"""),-0.658882072987831)</f>
        <v>-0.65888207298783097</v>
      </c>
      <c r="AJ8" s="3">
        <f ca="1">IFERROR(__xludf.DUMMYFUNCTION("""COMPUTED_VALUE"""),-0.685422955126002)</f>
        <v>-0.68542295512600204</v>
      </c>
      <c r="AK8" s="3">
        <f ca="1">IFERROR(__xludf.DUMMYFUNCTION("""COMPUTED_VALUE"""),-0.651471149540614)</f>
        <v>-0.65147114954061403</v>
      </c>
      <c r="AL8" s="3">
        <f ca="1">IFERROR(__xludf.DUMMYFUNCTION("""COMPUTED_VALUE"""),-0.595914659302658)</f>
        <v>-0.59591465930265797</v>
      </c>
      <c r="AM8" s="3">
        <f ca="1">IFERROR(__xludf.DUMMYFUNCTION("""COMPUTED_VALUE"""),-0.506487680220603)</f>
        <v>-0.50648768022060298</v>
      </c>
      <c r="AN8" s="3">
        <f ca="1">IFERROR(__xludf.DUMMYFUNCTION("""COMPUTED_VALUE"""),-0.52784990788125)</f>
        <v>-0.52784990788124997</v>
      </c>
      <c r="AO8" s="3">
        <f ca="1">IFERROR(__xludf.DUMMYFUNCTION("""COMPUTED_VALUE"""),-0.693830241636531)</f>
        <v>-0.69383024163653095</v>
      </c>
      <c r="AP8" s="3">
        <f ca="1">IFERROR(__xludf.DUMMYFUNCTION("""COMPUTED_VALUE"""),-0.656736875585345)</f>
        <v>-0.65673687558534499</v>
      </c>
      <c r="AQ8" s="3">
        <f ca="1">IFERROR(__xludf.DUMMYFUNCTION("""COMPUTED_VALUE"""),-0.664543760611985)</f>
        <v>-0.66454376061198495</v>
      </c>
      <c r="AR8" s="3">
        <f ca="1">IFERROR(__xludf.DUMMYFUNCTION("""COMPUTED_VALUE"""),-0.675495720251056)</f>
        <v>-0.67549572025105598</v>
      </c>
      <c r="AS8" s="3">
        <f ca="1">IFERROR(__xludf.DUMMYFUNCTION("""COMPUTED_VALUE"""),-0.58160529450583)</f>
        <v>-0.58160529450582998</v>
      </c>
      <c r="AT8" s="3">
        <f ca="1">IFERROR(__xludf.DUMMYFUNCTION("""COMPUTED_VALUE"""),-0.457000680079276)</f>
        <v>-0.45700068007927602</v>
      </c>
      <c r="AU8" s="3">
        <f ca="1">IFERROR(__xludf.DUMMYFUNCTION("""COMPUTED_VALUE"""),-0.552216512410727)</f>
        <v>-0.552216512410727</v>
      </c>
      <c r="AV8" s="3">
        <f ca="1">IFERROR(__xludf.DUMMYFUNCTION("""COMPUTED_VALUE"""),-0.658798612035778)</f>
        <v>-0.65879861203577805</v>
      </c>
      <c r="AW8" s="3">
        <f ca="1">IFERROR(__xludf.DUMMYFUNCTION("""COMPUTED_VALUE"""),-0.622397248299847)</f>
        <v>-0.62239724829984699</v>
      </c>
      <c r="AX8" s="3">
        <f ca="1">IFERROR(__xludf.DUMMYFUNCTION("""COMPUTED_VALUE"""),-0.649197443121918)</f>
        <v>-0.64919744312191796</v>
      </c>
      <c r="AY8" s="3">
        <f ca="1">IFERROR(__xludf.DUMMYFUNCTION("""COMPUTED_VALUE"""),-0.632924691567856)</f>
        <v>-0.63292469156785602</v>
      </c>
      <c r="AZ8" s="3">
        <f ca="1">IFERROR(__xludf.DUMMYFUNCTION("""COMPUTED_VALUE"""),-0.572086509626392)</f>
        <v>-0.57208650962639196</v>
      </c>
      <c r="BA8" s="3">
        <f ca="1">IFERROR(__xludf.DUMMYFUNCTION("""COMPUTED_VALUE"""),-0.488240497195557)</f>
        <v>-0.48824049719555701</v>
      </c>
      <c r="BB8" s="3">
        <f ca="1">IFERROR(__xludf.DUMMYFUNCTION("""COMPUTED_VALUE"""),-0.509419920302098)</f>
        <v>-0.50941992030209804</v>
      </c>
      <c r="BC8" s="3">
        <f ca="1">IFERROR(__xludf.DUMMYFUNCTION("""COMPUTED_VALUE"""),-0.695816164758442)</f>
        <v>-0.69581616475844199</v>
      </c>
      <c r="BD8" s="3">
        <f ca="1">IFERROR(__xludf.DUMMYFUNCTION("""COMPUTED_VALUE"""),-0.655394972148732)</f>
        <v>-0.65539497214873199</v>
      </c>
      <c r="BE8" s="3">
        <f ca="1">IFERROR(__xludf.DUMMYFUNCTION("""COMPUTED_VALUE"""),-0.631140455516512)</f>
        <v>-0.63114045551651199</v>
      </c>
      <c r="BF8" s="3">
        <f ca="1">IFERROR(__xludf.DUMMYFUNCTION("""COMPUTED_VALUE"""),-0.654258611565132)</f>
        <v>-0.65425861156513199</v>
      </c>
      <c r="BG8" s="3">
        <f ca="1">IFERROR(__xludf.DUMMYFUNCTION("""COMPUTED_VALUE"""),-0.617789924165117)</f>
        <v>-0.61778992416511702</v>
      </c>
      <c r="BH8" s="3">
        <f ca="1">IFERROR(__xludf.DUMMYFUNCTION("""COMPUTED_VALUE"""),-0.535693659047227)</f>
        <v>-0.53569365904722699</v>
      </c>
      <c r="BI8" s="3">
        <f ca="1">IFERROR(__xludf.DUMMYFUNCTION("""COMPUTED_VALUE"""),-0.555964234509743)</f>
        <v>-0.55596423450974297</v>
      </c>
      <c r="BJ8" s="3">
        <f ca="1">IFERROR(__xludf.DUMMYFUNCTION("""COMPUTED_VALUE"""),-0.661831676267657)</f>
        <v>-0.66183167626765704</v>
      </c>
      <c r="BK8" s="3">
        <f ca="1">IFERROR(__xludf.DUMMYFUNCTION("""COMPUTED_VALUE"""),-0.653908531699594)</f>
        <v>-0.65390853169959395</v>
      </c>
      <c r="BL8" s="3">
        <f ca="1">IFERROR(__xludf.DUMMYFUNCTION("""COMPUTED_VALUE"""),-0.689987617807124)</f>
        <v>-0.68998761780712403</v>
      </c>
      <c r="BM8" s="3">
        <f ca="1">IFERROR(__xludf.DUMMYFUNCTION("""COMPUTED_VALUE"""),-0.705084303607715)</f>
        <v>-0.70508430360771501</v>
      </c>
      <c r="BN8" s="3">
        <f ca="1">IFERROR(__xludf.DUMMYFUNCTION("""COMPUTED_VALUE"""),-0.614126196104058)</f>
        <v>-0.61412619610405805</v>
      </c>
      <c r="BO8" s="3">
        <f ca="1">IFERROR(__xludf.DUMMYFUNCTION("""COMPUTED_VALUE"""),-0.601710075463168)</f>
        <v>-0.60171007546316801</v>
      </c>
      <c r="BP8" s="3">
        <f ca="1">IFERROR(__xludf.DUMMYFUNCTION("""COMPUTED_VALUE"""),-0.568635848102211)</f>
        <v>-0.56863584810221102</v>
      </c>
      <c r="BQ8" s="3">
        <f ca="1">IFERROR(__xludf.DUMMYFUNCTION("""COMPUTED_VALUE"""),-0.685197665929212)</f>
        <v>-0.68519766592921205</v>
      </c>
      <c r="BR8" s="3">
        <f ca="1">IFERROR(__xludf.DUMMYFUNCTION("""COMPUTED_VALUE"""),-0.653931879775012)</f>
        <v>-0.65393187977501199</v>
      </c>
      <c r="BS8" s="3">
        <f ca="1">IFERROR(__xludf.DUMMYFUNCTION("""COMPUTED_VALUE"""),-0.694024126968871)</f>
        <v>-0.69402412696887095</v>
      </c>
      <c r="BT8" s="3">
        <f ca="1">IFERROR(__xludf.DUMMYFUNCTION("""COMPUTED_VALUE"""),-0.772626083152193)</f>
        <v>-0.77262608315219305</v>
      </c>
      <c r="BU8" s="3">
        <f ca="1">IFERROR(__xludf.DUMMYFUNCTION("""COMPUTED_VALUE"""),-0.728418658879162)</f>
        <v>-0.72841865887916202</v>
      </c>
      <c r="BV8" s="3">
        <f ca="1">IFERROR(__xludf.DUMMYFUNCTION("""COMPUTED_VALUE"""),-0.625019803951578)</f>
        <v>-0.62501980395157797</v>
      </c>
      <c r="BW8" s="3">
        <f ca="1">IFERROR(__xludf.DUMMYFUNCTION("""COMPUTED_VALUE"""),-0.657005961715956)</f>
        <v>-0.65700596171595604</v>
      </c>
      <c r="BX8" s="3">
        <f ca="1">IFERROR(__xludf.DUMMYFUNCTION("""COMPUTED_VALUE"""),-0.763405773077778)</f>
        <v>-0.76340577307777802</v>
      </c>
      <c r="BY8" s="3">
        <f ca="1">IFERROR(__xludf.DUMMYFUNCTION("""COMPUTED_VALUE"""),-0.716776434851514)</f>
        <v>-0.71677643485151399</v>
      </c>
      <c r="BZ8" s="3">
        <f ca="1">IFERROR(__xludf.DUMMYFUNCTION("""COMPUTED_VALUE"""),-0.751025789953443)</f>
        <v>-0.75102578995344305</v>
      </c>
      <c r="CA8" s="3">
        <f ca="1">IFERROR(__xludf.DUMMYFUNCTION("""COMPUTED_VALUE"""),-0.701811913520522)</f>
        <v>-0.70181191352052197</v>
      </c>
      <c r="CB8" s="3">
        <f ca="1">IFERROR(__xludf.DUMMYFUNCTION("""COMPUTED_VALUE"""),-0.646669946051885)</f>
        <v>-0.64666994605188499</v>
      </c>
      <c r="CC8" s="3">
        <f ca="1">IFERROR(__xludf.DUMMYFUNCTION("""COMPUTED_VALUE"""),-0.565101415079853)</f>
        <v>-0.56510141507985301</v>
      </c>
      <c r="CD8" s="3">
        <f ca="1">IFERROR(__xludf.DUMMYFUNCTION("""COMPUTED_VALUE"""),-0.603003134900394)</f>
        <v>-0.60300313490039403</v>
      </c>
      <c r="CE8" s="3">
        <f ca="1">IFERROR(__xludf.DUMMYFUNCTION("""COMPUTED_VALUE"""),-0.695089540777073)</f>
        <v>-0.69508954077707297</v>
      </c>
      <c r="CF8" s="3">
        <f ca="1">IFERROR(__xludf.DUMMYFUNCTION("""COMPUTED_VALUE"""),-0.703829106084326)</f>
        <v>-0.70382910608432603</v>
      </c>
      <c r="CG8" s="3">
        <f ca="1">IFERROR(__xludf.DUMMYFUNCTION("""COMPUTED_VALUE"""),-0.723926536340211)</f>
        <v>-0.72392653634021098</v>
      </c>
      <c r="CH8" s="3">
        <f ca="1">IFERROR(__xludf.DUMMYFUNCTION("""COMPUTED_VALUE"""),-0.670461134438048)</f>
        <v>-0.670461134438048</v>
      </c>
      <c r="CI8" s="3">
        <f ca="1">IFERROR(__xludf.DUMMYFUNCTION("""COMPUTED_VALUE"""),-0.603248176373589)</f>
        <v>-0.60324817637358896</v>
      </c>
      <c r="CJ8" s="3">
        <f ca="1">IFERROR(__xludf.DUMMYFUNCTION("""COMPUTED_VALUE"""),-0.584675208849933)</f>
        <v>-0.58467520884993296</v>
      </c>
      <c r="CK8" s="3">
        <f ca="1">IFERROR(__xludf.DUMMYFUNCTION("""COMPUTED_VALUE"""),-0.656344271087804)</f>
        <v>-0.65634427108780402</v>
      </c>
      <c r="CL8" s="3">
        <f ca="1">IFERROR(__xludf.DUMMYFUNCTION("""COMPUTED_VALUE"""),-0.705507655189032)</f>
        <v>-0.70550765518903202</v>
      </c>
      <c r="CM8" s="3">
        <f ca="1">IFERROR(__xludf.DUMMYFUNCTION("""COMPUTED_VALUE"""),-0.699150292914342)</f>
        <v>-0.69915029291434205</v>
      </c>
      <c r="CN8" s="3">
        <f ca="1">IFERROR(__xludf.DUMMYFUNCTION("""COMPUTED_VALUE"""),-0.718625099711783)</f>
        <v>-0.71862509971178301</v>
      </c>
      <c r="CO8" s="3">
        <f ca="1">IFERROR(__xludf.DUMMYFUNCTION("""COMPUTED_VALUE"""),-0.700322368614736)</f>
        <v>-0.70032236861473596</v>
      </c>
      <c r="CP8" s="3">
        <f ca="1">IFERROR(__xludf.DUMMYFUNCTION("""COMPUTED_VALUE"""),-0.640696719436187)</f>
        <v>-0.640696719436187</v>
      </c>
      <c r="CQ8" s="3">
        <f ca="1">IFERROR(__xludf.DUMMYFUNCTION("""COMPUTED_VALUE"""),-0.552868930765447)</f>
        <v>-0.55286893076544696</v>
      </c>
      <c r="CR8" s="3">
        <f ca="1">IFERROR(__xludf.DUMMYFUNCTION("""COMPUTED_VALUE"""),-0.607351697042341)</f>
        <v>-0.60735169704234104</v>
      </c>
      <c r="CS8" s="3">
        <f ca="1">IFERROR(__xludf.DUMMYFUNCTION("""COMPUTED_VALUE"""),-0.648631527374128)</f>
        <v>-0.64863152737412799</v>
      </c>
      <c r="CT8" s="3">
        <f ca="1">IFERROR(__xludf.DUMMYFUNCTION("""COMPUTED_VALUE"""),-0.643523352034806)</f>
        <v>-0.64352335203480604</v>
      </c>
      <c r="CU8" s="3">
        <f ca="1">IFERROR(__xludf.DUMMYFUNCTION("""COMPUTED_VALUE"""),-0.611266183161634)</f>
        <v>-0.61126618316163395</v>
      </c>
      <c r="CV8" s="3">
        <f ca="1">IFERROR(__xludf.DUMMYFUNCTION("""COMPUTED_VALUE"""),-0.674238958330023)</f>
        <v>-0.67423895833002301</v>
      </c>
      <c r="CW8" s="3">
        <f ca="1">IFERROR(__xludf.DUMMYFUNCTION("""COMPUTED_VALUE"""),-0.654029942818969)</f>
        <v>-0.65402994281896898</v>
      </c>
      <c r="CX8" s="3">
        <f ca="1">IFERROR(__xludf.DUMMYFUNCTION("""COMPUTED_VALUE"""),-0.606552293718388)</f>
        <v>-0.60655229371838804</v>
      </c>
      <c r="CY8" s="3">
        <f ca="1">IFERROR(__xludf.DUMMYFUNCTION("""COMPUTED_VALUE"""),-0.704404225936092)</f>
        <v>-0.70440422593609198</v>
      </c>
      <c r="CZ8" s="3">
        <f ca="1">IFERROR(__xludf.DUMMYFUNCTION("""COMPUTED_VALUE"""),-0.831158271685886)</f>
        <v>-0.83115827168588596</v>
      </c>
      <c r="DA8" s="3">
        <f ca="1">IFERROR(__xludf.DUMMYFUNCTION("""COMPUTED_VALUE"""),-0.546642017817846)</f>
        <v>-0.54664201781784605</v>
      </c>
      <c r="DB8" s="3">
        <f ca="1">IFERROR(__xludf.DUMMYFUNCTION("""COMPUTED_VALUE"""),-0.390592757126624)</f>
        <v>-0.390592757126624</v>
      </c>
      <c r="DC8" s="3">
        <f ca="1">IFERROR(__xludf.DUMMYFUNCTION("""COMPUTED_VALUE"""),-0.620144819785312)</f>
        <v>-0.620144819785312</v>
      </c>
      <c r="DD8" s="3">
        <f ca="1">IFERROR(__xludf.DUMMYFUNCTION("""COMPUTED_VALUE"""),-0.606023641787366)</f>
        <v>-0.60602364178736601</v>
      </c>
      <c r="DE8" s="3">
        <f ca="1">IFERROR(__xludf.DUMMYFUNCTION("""COMPUTED_VALUE"""),-0.573786636061766)</f>
        <v>-0.57378663606176605</v>
      </c>
      <c r="DF8" s="3">
        <f ca="1">IFERROR(__xludf.DUMMYFUNCTION("""COMPUTED_VALUE"""),-0.708030044843413)</f>
        <v>-0.70803004484341303</v>
      </c>
      <c r="DG8" s="3">
        <f ca="1">IFERROR(__xludf.DUMMYFUNCTION("""COMPUTED_VALUE"""),-0.907630165095864)</f>
        <v>-0.90763016509586403</v>
      </c>
      <c r="DH8" s="3">
        <f ca="1">IFERROR(__xludf.DUMMYFUNCTION("""COMPUTED_VALUE"""),-0.541328270693046)</f>
        <v>-0.54132827069304601</v>
      </c>
      <c r="DI8" s="3">
        <f ca="1">IFERROR(__xludf.DUMMYFUNCTION("""COMPUTED_VALUE"""),-0.338266402797107)</f>
        <v>-0.33826640279710701</v>
      </c>
      <c r="DJ8" s="3">
        <f ca="1">IFERROR(__xludf.DUMMYFUNCTION("""COMPUTED_VALUE"""),-0.561878358850925)</f>
        <v>-0.56187835885092496</v>
      </c>
      <c r="DK8" s="3">
        <f ca="1">IFERROR(__xludf.DUMMYFUNCTION("""COMPUTED_VALUE"""),-0.605349656849814)</f>
        <v>-0.60534965684981401</v>
      </c>
      <c r="DL8" s="3">
        <f ca="1">IFERROR(__xludf.DUMMYFUNCTION("""COMPUTED_VALUE"""),-0.584506358904527)</f>
        <v>-0.58450635890452696</v>
      </c>
      <c r="DM8" s="3">
        <f ca="1">IFERROR(__xludf.DUMMYFUNCTION("""COMPUTED_VALUE"""),-0.575678476729011)</f>
        <v>-0.57567847672901096</v>
      </c>
      <c r="DN8" s="3">
        <f ca="1">IFERROR(__xludf.DUMMYFUNCTION("""COMPUTED_VALUE"""),-0.715648704378281)</f>
        <v>-0.71564870437828099</v>
      </c>
      <c r="DO8" s="3">
        <f ca="1">IFERROR(__xludf.DUMMYFUNCTION("""COMPUTED_VALUE"""),-0.78631094883995)</f>
        <v>-0.78631094883995001</v>
      </c>
      <c r="DP8" s="3">
        <f ca="1">IFERROR(__xludf.DUMMYFUNCTION("""COMPUTED_VALUE"""),-0.60838603174691)</f>
        <v>-0.60838603174690997</v>
      </c>
      <c r="DQ8" s="3">
        <f ca="1">IFERROR(__xludf.DUMMYFUNCTION("""COMPUTED_VALUE"""),-0.657345217170016)</f>
        <v>-0.65734521717001604</v>
      </c>
      <c r="DR8" s="3">
        <f ca="1">IFERROR(__xludf.DUMMYFUNCTION("""COMPUTED_VALUE"""),-0.668300110420484)</f>
        <v>-0.66830011042048398</v>
      </c>
      <c r="DS8" s="3">
        <f ca="1">IFERROR(__xludf.DUMMYFUNCTION("""COMPUTED_VALUE"""),-0.552662798761225)</f>
        <v>-0.55266279876122504</v>
      </c>
      <c r="DT8" s="3">
        <f ca="1">IFERROR(__xludf.DUMMYFUNCTION("""COMPUTED_VALUE"""),-0.63689720053143)</f>
        <v>-0.63689720053142995</v>
      </c>
      <c r="DU8" s="3">
        <f ca="1">IFERROR(__xludf.DUMMYFUNCTION("""COMPUTED_VALUE"""),-0.68930214862635)</f>
        <v>-0.68930214862634998</v>
      </c>
      <c r="DV8" s="3">
        <f ca="1">IFERROR(__xludf.DUMMYFUNCTION("""COMPUTED_VALUE"""),-0.682724419706758)</f>
        <v>-0.68272441970675801</v>
      </c>
      <c r="DW8" s="3">
        <f ca="1">IFERROR(__xludf.DUMMYFUNCTION("""COMPUTED_VALUE"""),-0.714434229012794)</f>
        <v>-0.71443422901279396</v>
      </c>
      <c r="DX8" s="3">
        <f ca="1">IFERROR(__xludf.DUMMYFUNCTION("""COMPUTED_VALUE"""),-0.644581597697873)</f>
        <v>-0.64458159769787304</v>
      </c>
      <c r="DY8" s="3">
        <f ca="1">IFERROR(__xludf.DUMMYFUNCTION("""COMPUTED_VALUE"""),-0.671432602755389)</f>
        <v>-0.67143260275538896</v>
      </c>
      <c r="DZ8" s="3">
        <f ca="1">IFERROR(__xludf.DUMMYFUNCTION("""COMPUTED_VALUE"""),-0.60490750579738)</f>
        <v>-0.60490750579737995</v>
      </c>
      <c r="EA8" s="3">
        <f ca="1">IFERROR(__xludf.DUMMYFUNCTION("""COMPUTED_VALUE"""),-0.6650951339502)</f>
        <v>-0.66509513395020003</v>
      </c>
      <c r="EB8" s="3">
        <f ca="1">IFERROR(__xludf.DUMMYFUNCTION("""COMPUTED_VALUE"""),-0.63739817163321)</f>
        <v>-0.63739817163321</v>
      </c>
      <c r="EC8" s="3">
        <f ca="1">IFERROR(__xludf.DUMMYFUNCTION("""COMPUTED_VALUE"""),-0.598766255846497)</f>
        <v>-0.59876625584649701</v>
      </c>
      <c r="ED8" s="3">
        <f ca="1">IFERROR(__xludf.DUMMYFUNCTION("""COMPUTED_VALUE"""),-0.712046574782442)</f>
        <v>-0.71204657478244204</v>
      </c>
      <c r="EE8" s="3">
        <f ca="1">IFERROR(__xludf.DUMMYFUNCTION("""COMPUTED_VALUE"""),-0.640211359970818)</f>
        <v>-0.64021135997081802</v>
      </c>
      <c r="EF8" s="3">
        <f ca="1">IFERROR(__xludf.DUMMYFUNCTION("""COMPUTED_VALUE"""),-0.670311382842959)</f>
        <v>-0.67031138284295899</v>
      </c>
      <c r="EG8" s="3">
        <f ca="1">IFERROR(__xludf.DUMMYFUNCTION("""COMPUTED_VALUE"""),-0.457269384685445)</f>
        <v>-0.45726938468544498</v>
      </c>
      <c r="EH8" s="3">
        <f ca="1">IFERROR(__xludf.DUMMYFUNCTION("""COMPUTED_VALUE"""),-0.587978117114682)</f>
        <v>-0.58797811711468195</v>
      </c>
      <c r="EI8" s="3">
        <f ca="1">IFERROR(__xludf.DUMMYFUNCTION("""COMPUTED_VALUE"""),-0.70969306464457)</f>
        <v>-0.70969306464457005</v>
      </c>
      <c r="EJ8" s="3">
        <f ca="1">IFERROR(__xludf.DUMMYFUNCTION("""COMPUTED_VALUE"""),-0.859227003914862)</f>
        <v>-0.85922700391486195</v>
      </c>
      <c r="EK8" s="3">
        <f ca="1">IFERROR(__xludf.DUMMYFUNCTION("""COMPUTED_VALUE"""),-0.65896940396638)</f>
        <v>-0.65896940396638004</v>
      </c>
      <c r="EL8" s="3">
        <f ca="1">IFERROR(__xludf.DUMMYFUNCTION("""COMPUTED_VALUE"""),-0.57187168105282)</f>
        <v>-0.57187168105282005</v>
      </c>
      <c r="EM8" s="3">
        <f ca="1">IFERROR(__xludf.DUMMYFUNCTION("""COMPUTED_VALUE"""),-0.657869254250854)</f>
        <v>-0.65786925425085396</v>
      </c>
      <c r="EN8" s="3">
        <f ca="1">IFERROR(__xludf.DUMMYFUNCTION("""COMPUTED_VALUE"""),-0.47569716144758)</f>
        <v>-0.47569716144758001</v>
      </c>
      <c r="EO8" s="3">
        <f ca="1">IFERROR(__xludf.DUMMYFUNCTION("""COMPUTED_VALUE"""),-0.549630676017432)</f>
        <v>-0.54963067601743198</v>
      </c>
      <c r="EP8" s="3">
        <f ca="1">IFERROR(__xludf.DUMMYFUNCTION("""COMPUTED_VALUE"""),-0.592683845114109)</f>
        <v>-0.59268384511410899</v>
      </c>
      <c r="EQ8" s="3">
        <f ca="1">IFERROR(__xludf.DUMMYFUNCTION("""COMPUTED_VALUE"""),-0.55836841207066)</f>
        <v>-0.55836841207066001</v>
      </c>
      <c r="ER8" s="3">
        <f ca="1">IFERROR(__xludf.DUMMYFUNCTION("""COMPUTED_VALUE"""),-0.67651895527788)</f>
        <v>-0.67651895527787997</v>
      </c>
      <c r="ES8" s="3">
        <f ca="1">IFERROR(__xludf.DUMMYFUNCTION("""COMPUTED_VALUE"""),-0.640376115141164)</f>
        <v>-0.64037611514116399</v>
      </c>
      <c r="ET8" s="3">
        <f ca="1">IFERROR(__xludf.DUMMYFUNCTION("""COMPUTED_VALUE"""),-0.524039859681989)</f>
        <v>-0.52403985968198896</v>
      </c>
      <c r="EU8" s="3">
        <f ca="1">IFERROR(__xludf.DUMMYFUNCTION("""COMPUTED_VALUE"""),-0.518061614009773)</f>
        <v>-0.51806161400977302</v>
      </c>
      <c r="EV8" s="3">
        <f ca="1">IFERROR(__xludf.DUMMYFUNCTION("""COMPUTED_VALUE"""),-0.570029026136715)</f>
        <v>-0.57002902613671502</v>
      </c>
      <c r="EW8" s="3">
        <f ca="1">IFERROR(__xludf.DUMMYFUNCTION("""COMPUTED_VALUE"""),-0.666463093877562)</f>
        <v>-0.66646309387756197</v>
      </c>
      <c r="EX8" s="3">
        <f ca="1">IFERROR(__xludf.DUMMYFUNCTION("""COMPUTED_VALUE"""),-0.677293657760097)</f>
        <v>-0.67729365776009698</v>
      </c>
      <c r="EY8" s="3">
        <f ca="1">IFERROR(__xludf.DUMMYFUNCTION("""COMPUTED_VALUE"""),-0.666932882522107)</f>
        <v>-0.66693288252210703</v>
      </c>
      <c r="EZ8" s="3">
        <f ca="1">IFERROR(__xludf.DUMMYFUNCTION("""COMPUTED_VALUE"""),-0.617854542564926)</f>
        <v>-0.617854542564926</v>
      </c>
      <c r="FA8" s="3">
        <f ca="1">IFERROR(__xludf.DUMMYFUNCTION("""COMPUTED_VALUE"""),-0.527797997976234)</f>
        <v>-0.52779799797623395</v>
      </c>
      <c r="FB8" s="3">
        <f ca="1">IFERROR(__xludf.DUMMYFUNCTION("""COMPUTED_VALUE"""),-0.558652538774454)</f>
        <v>-0.55865253877445398</v>
      </c>
      <c r="FC8" s="3">
        <f ca="1">IFERROR(__xludf.DUMMYFUNCTION("""COMPUTED_VALUE"""),-0.550158353485069)</f>
        <v>-0.55015835348506903</v>
      </c>
      <c r="FD8" s="3">
        <f ca="1">IFERROR(__xludf.DUMMYFUNCTION("""COMPUTED_VALUE"""),-0.677821632659579)</f>
        <v>-0.67782163265957895</v>
      </c>
      <c r="FE8" s="3">
        <f ca="1">IFERROR(__xludf.DUMMYFUNCTION("""COMPUTED_VALUE"""),-0.657412878363167)</f>
        <v>-0.65741287836316697</v>
      </c>
      <c r="FF8" s="3">
        <f ca="1">IFERROR(__xludf.DUMMYFUNCTION("""COMPUTED_VALUE"""),-0.681140085035556)</f>
        <v>-0.68114008503555601</v>
      </c>
      <c r="FG8" s="3">
        <f ca="1">IFERROR(__xludf.DUMMYFUNCTION("""COMPUTED_VALUE"""),-0.610785175210237)</f>
        <v>-0.61078517521023701</v>
      </c>
      <c r="FH8" s="3">
        <f ca="1">IFERROR(__xludf.DUMMYFUNCTION("""COMPUTED_VALUE"""),-0.544658081630313)</f>
        <v>-0.54465808163031304</v>
      </c>
      <c r="FI8" s="3">
        <f ca="1">IFERROR(__xludf.DUMMYFUNCTION("""COMPUTED_VALUE"""),-0.546662052462778)</f>
        <v>-0.54666205246277799</v>
      </c>
      <c r="FJ8" s="3">
        <f ca="1">IFERROR(__xludf.DUMMYFUNCTION("""COMPUTED_VALUE"""),-0.627690153283502)</f>
        <v>-0.62769015328350197</v>
      </c>
      <c r="FK8" s="3">
        <f ca="1">IFERROR(__xludf.DUMMYFUNCTION("""COMPUTED_VALUE"""),-0.76448963119238)</f>
        <v>-0.76448963119238</v>
      </c>
      <c r="FL8" s="3">
        <f ca="1">IFERROR(__xludf.DUMMYFUNCTION("""COMPUTED_VALUE"""),-0.750423017540064)</f>
        <v>-0.75042301754006402</v>
      </c>
      <c r="FM8" s="3">
        <f ca="1">IFERROR(__xludf.DUMMYFUNCTION("""COMPUTED_VALUE"""),-0.742204993306384)</f>
        <v>-0.74220499330638401</v>
      </c>
      <c r="FN8" s="3">
        <f ca="1">IFERROR(__xludf.DUMMYFUNCTION("""COMPUTED_VALUE"""),-0.697894077820809)</f>
        <v>-0.69789407782080903</v>
      </c>
      <c r="FO8" s="3">
        <f ca="1">IFERROR(__xludf.DUMMYFUNCTION("""COMPUTED_VALUE"""),-0.686761867508839)</f>
        <v>-0.68676186750883905</v>
      </c>
      <c r="FP8" s="3">
        <f ca="1">IFERROR(__xludf.DUMMYFUNCTION("""COMPUTED_VALUE"""),-0.550338672253275)</f>
        <v>-0.55033867225327504</v>
      </c>
      <c r="FQ8" s="3">
        <f ca="1">IFERROR(__xludf.DUMMYFUNCTION("""COMPUTED_VALUE"""),-0.59894605685668)</f>
        <v>-0.59894605685668001</v>
      </c>
      <c r="FR8" s="3">
        <f ca="1">IFERROR(__xludf.DUMMYFUNCTION("""COMPUTED_VALUE"""),-0.701741833327414)</f>
        <v>-0.70174183332741402</v>
      </c>
      <c r="FS8" s="3">
        <f ca="1">IFERROR(__xludf.DUMMYFUNCTION("""COMPUTED_VALUE"""),-0.694202568605384)</f>
        <v>-0.69420256860538399</v>
      </c>
      <c r="FT8" s="3">
        <f ca="1">IFERROR(__xludf.DUMMYFUNCTION("""COMPUTED_VALUE"""),-0.708403621255527)</f>
        <v>-0.70840362125552703</v>
      </c>
      <c r="FU8" s="3">
        <f ca="1">IFERROR(__xludf.DUMMYFUNCTION("""COMPUTED_VALUE"""),-0.655553436878892)</f>
        <v>-0.655553436878892</v>
      </c>
      <c r="FV8" s="3">
        <f ca="1">IFERROR(__xludf.DUMMYFUNCTION("""COMPUTED_VALUE"""),-0.580668174182702)</f>
        <v>-0.580668174182702</v>
      </c>
      <c r="FW8" s="3">
        <f ca="1">IFERROR(__xludf.DUMMYFUNCTION("""COMPUTED_VALUE"""),-0.553285152065988)</f>
        <v>-0.55328515206598805</v>
      </c>
      <c r="FX8" s="3">
        <f ca="1">IFERROR(__xludf.DUMMYFUNCTION("""COMPUTED_VALUE"""),-0.635723424142301)</f>
        <v>-0.63572342414230099</v>
      </c>
      <c r="FY8" s="3">
        <f ca="1">IFERROR(__xludf.DUMMYFUNCTION("""COMPUTED_VALUE"""),-0.711305475875661)</f>
        <v>-0.71130547587566095</v>
      </c>
      <c r="FZ8" s="3">
        <f ca="1">IFERROR(__xludf.DUMMYFUNCTION("""COMPUTED_VALUE"""),-0.685635814181347)</f>
        <v>-0.685635814181347</v>
      </c>
      <c r="GA8" s="3">
        <f ca="1">IFERROR(__xludf.DUMMYFUNCTION("""COMPUTED_VALUE"""),-0.686796760241918)</f>
        <v>-0.68679676024191805</v>
      </c>
      <c r="GB8" s="3">
        <f ca="1">IFERROR(__xludf.DUMMYFUNCTION("""COMPUTED_VALUE"""),-0.712352224284678)</f>
        <v>-0.71235222428467804</v>
      </c>
      <c r="GC8" s="3">
        <f ca="1">IFERROR(__xludf.DUMMYFUNCTION("""COMPUTED_VALUE"""),-0.583979749853052)</f>
        <v>-0.58397974985305201</v>
      </c>
      <c r="GD8" s="3">
        <f ca="1">IFERROR(__xludf.DUMMYFUNCTION("""COMPUTED_VALUE"""),-0.556320172037405)</f>
        <v>-0.55632017203740503</v>
      </c>
      <c r="GE8" s="3">
        <f ca="1">IFERROR(__xludf.DUMMYFUNCTION("""COMPUTED_VALUE"""),-0.585752782337026)</f>
        <v>-0.58575278233702599</v>
      </c>
      <c r="GF8" s="3">
        <f ca="1">IFERROR(__xludf.DUMMYFUNCTION("""COMPUTED_VALUE"""),-0.683681508830151)</f>
        <v>-0.683681508830151</v>
      </c>
      <c r="GG8" s="3">
        <f ca="1">IFERROR(__xludf.DUMMYFUNCTION("""COMPUTED_VALUE"""),-0.677398592448054)</f>
        <v>-0.677398592448054</v>
      </c>
      <c r="GH8" s="3">
        <f ca="1">IFERROR(__xludf.DUMMYFUNCTION("""COMPUTED_VALUE"""),-0.67414545631131)</f>
        <v>-0.67414545631130995</v>
      </c>
      <c r="GI8" s="3">
        <f ca="1">IFERROR(__xludf.DUMMYFUNCTION("""COMPUTED_VALUE"""),-0.625159390083161)</f>
        <v>-0.62515939008316102</v>
      </c>
      <c r="GJ8" s="3">
        <f ca="1">IFERROR(__xludf.DUMMYFUNCTION("""COMPUTED_VALUE"""),-0.571276900512083)</f>
        <v>-0.57127690051208302</v>
      </c>
      <c r="GK8" s="3">
        <f ca="1">IFERROR(__xludf.DUMMYFUNCTION("""COMPUTED_VALUE"""),-0.580974645670933)</f>
        <v>-0.58097464567093304</v>
      </c>
      <c r="GL8" s="3">
        <f ca="1">IFERROR(__xludf.DUMMYFUNCTION("""COMPUTED_VALUE"""),-0.62203545049494)</f>
        <v>-0.62203545049494002</v>
      </c>
      <c r="GM8" s="3">
        <f ca="1">IFERROR(__xludf.DUMMYFUNCTION("""COMPUTED_VALUE"""),-0.669876483112964)</f>
        <v>-0.66987648311296399</v>
      </c>
      <c r="GN8" s="3">
        <f ca="1">IFERROR(__xludf.DUMMYFUNCTION("""COMPUTED_VALUE"""),-0.682522295488474)</f>
        <v>-0.68252229548847398</v>
      </c>
      <c r="GO8" s="3">
        <f ca="1">IFERROR(__xludf.DUMMYFUNCTION("""COMPUTED_VALUE"""),-0.694998623589139)</f>
        <v>-0.694998623589139</v>
      </c>
      <c r="GP8" s="3">
        <f ca="1">IFERROR(__xludf.DUMMYFUNCTION("""COMPUTED_VALUE"""),-0.686993876774446)</f>
        <v>-0.68699387677444601</v>
      </c>
      <c r="GQ8" s="3">
        <f ca="1">IFERROR(__xludf.DUMMYFUNCTION("""COMPUTED_VALUE"""),-0.642193839138086)</f>
        <v>-0.64219383913808603</v>
      </c>
      <c r="GR8" s="3">
        <f ca="1">IFERROR(__xludf.DUMMYFUNCTION("""COMPUTED_VALUE"""),-0.544319206346295)</f>
        <v>-0.54431920634629505</v>
      </c>
      <c r="GS8" s="3">
        <f ca="1">IFERROR(__xludf.DUMMYFUNCTION("""COMPUTED_VALUE"""),-0.562633723359038)</f>
        <v>-0.56263372335903805</v>
      </c>
      <c r="GT8" s="3">
        <f ca="1">IFERROR(__xludf.DUMMYFUNCTION("""COMPUTED_VALUE"""),-0.707940388059171)</f>
        <v>-0.70794038805917103</v>
      </c>
      <c r="GU8" s="3">
        <f ca="1">IFERROR(__xludf.DUMMYFUNCTION("""COMPUTED_VALUE"""),-0.679544425889699)</f>
        <v>-0.67954442588969899</v>
      </c>
      <c r="GV8" s="3">
        <f ca="1">IFERROR(__xludf.DUMMYFUNCTION("""COMPUTED_VALUE"""),-0.692877487454533)</f>
        <v>-0.69287748745453304</v>
      </c>
      <c r="GW8" s="3">
        <f ca="1">IFERROR(__xludf.DUMMYFUNCTION("""COMPUTED_VALUE"""),-0.699349461326311)</f>
        <v>-0.69934946132631104</v>
      </c>
      <c r="GX8" s="3">
        <f ca="1">IFERROR(__xludf.DUMMYFUNCTION("""COMPUTED_VALUE"""),-0.665794639709128)</f>
        <v>-0.665794639709128</v>
      </c>
      <c r="GY8" s="3">
        <f ca="1">IFERROR(__xludf.DUMMYFUNCTION("""COMPUTED_VALUE"""),-0.531887610196679)</f>
        <v>-0.53188761019667896</v>
      </c>
      <c r="GZ8" s="3">
        <f ca="1">IFERROR(__xludf.DUMMYFUNCTION("""COMPUTED_VALUE"""),-0.569591524942342)</f>
        <v>-0.569591524942342</v>
      </c>
      <c r="HA8" s="3">
        <f ca="1">IFERROR(__xludf.DUMMYFUNCTION("""COMPUTED_VALUE"""),-0.67085566459112)</f>
        <v>-0.67085566459112</v>
      </c>
      <c r="HB8" s="3">
        <f ca="1">IFERROR(__xludf.DUMMYFUNCTION("""COMPUTED_VALUE"""),-0.664462282269893)</f>
        <v>-0.66446228226989301</v>
      </c>
      <c r="HC8" s="3">
        <f ca="1">IFERROR(__xludf.DUMMYFUNCTION("""COMPUTED_VALUE"""),-0.676321328483734)</f>
        <v>-0.67632132848373405</v>
      </c>
      <c r="HD8" s="3">
        <f ca="1">IFERROR(__xludf.DUMMYFUNCTION("""COMPUTED_VALUE"""),-0.680111871191126)</f>
        <v>-0.68011187119112604</v>
      </c>
      <c r="HE8" s="3">
        <f ca="1">IFERROR(__xludf.DUMMYFUNCTION("""COMPUTED_VALUE"""),-0.640034672582773)</f>
        <v>-0.64003467258277302</v>
      </c>
      <c r="HF8" s="3">
        <f ca="1">IFERROR(__xludf.DUMMYFUNCTION("""COMPUTED_VALUE"""),-0.541171952803049)</f>
        <v>-0.54117195280304897</v>
      </c>
      <c r="HG8" s="3">
        <f ca="1">IFERROR(__xludf.DUMMYFUNCTION("""COMPUTED_VALUE"""),-0.528466574512922)</f>
        <v>-0.528466574512922</v>
      </c>
      <c r="HH8" s="3">
        <f ca="1">IFERROR(__xludf.DUMMYFUNCTION("""COMPUTED_VALUE"""),-0.674987051688774)</f>
        <v>-0.67498705168877404</v>
      </c>
      <c r="HI8" s="3">
        <f ca="1">IFERROR(__xludf.DUMMYFUNCTION("""COMPUTED_VALUE"""),-0.673505012761995)</f>
        <v>-0.67350501276199504</v>
      </c>
      <c r="HJ8" s="3">
        <f ca="1">IFERROR(__xludf.DUMMYFUNCTION("""COMPUTED_VALUE"""),-0.653268957519562)</f>
        <v>-0.65326895751956204</v>
      </c>
      <c r="HK8" s="3">
        <f ca="1">IFERROR(__xludf.DUMMYFUNCTION("""COMPUTED_VALUE"""),-0.691287292043078)</f>
        <v>-0.69128729204307804</v>
      </c>
      <c r="HL8" s="3">
        <f ca="1">IFERROR(__xludf.DUMMYFUNCTION("""COMPUTED_VALUE"""),-0.754872577509671)</f>
        <v>-0.75487257750967096</v>
      </c>
      <c r="HM8" s="3">
        <f ca="1">IFERROR(__xludf.DUMMYFUNCTION("""COMPUTED_VALUE"""),-0.469771685904608)</f>
        <v>-0.46977168590460799</v>
      </c>
      <c r="HN8" s="3">
        <f ca="1">IFERROR(__xludf.DUMMYFUNCTION("""COMPUTED_VALUE"""),-0.508418432852)</f>
        <v>-0.50841843285199995</v>
      </c>
      <c r="HO8" s="3">
        <f ca="1">IFERROR(__xludf.DUMMYFUNCTION("""COMPUTED_VALUE"""),-0.599921108155107)</f>
        <v>-0.59992110815510702</v>
      </c>
      <c r="HP8" s="3">
        <f ca="1">IFERROR(__xludf.DUMMYFUNCTION("""COMPUTED_VALUE"""),-0.608387176508975)</f>
        <v>-0.608387176508975</v>
      </c>
      <c r="HQ8" s="3">
        <f ca="1">IFERROR(__xludf.DUMMYFUNCTION("""COMPUTED_VALUE"""),-0.606979679952222)</f>
        <v>-0.60697967995222202</v>
      </c>
      <c r="HR8" s="3">
        <f ca="1">IFERROR(__xludf.DUMMYFUNCTION("""COMPUTED_VALUE"""),-0.522070579061881)</f>
        <v>-0.52207057906188103</v>
      </c>
      <c r="HS8" s="3">
        <f ca="1">IFERROR(__xludf.DUMMYFUNCTION("""COMPUTED_VALUE"""),-0.541785457320631)</f>
        <v>-0.54178545732063099</v>
      </c>
      <c r="HT8" s="3">
        <f ca="1">IFERROR(__xludf.DUMMYFUNCTION("""COMPUTED_VALUE"""),-0.827019841914362)</f>
        <v>-0.82701984191436195</v>
      </c>
      <c r="HU8" s="3">
        <f ca="1">IFERROR(__xludf.DUMMYFUNCTION("""COMPUTED_VALUE"""),-0.709356833173115)</f>
        <v>-0.70935683317311504</v>
      </c>
      <c r="HV8" s="3">
        <f ca="1">IFERROR(__xludf.DUMMYFUNCTION("""COMPUTED_VALUE"""),-0.587728057514353)</f>
        <v>-0.58772805751435298</v>
      </c>
      <c r="HW8" s="3">
        <f ca="1">IFERROR(__xludf.DUMMYFUNCTION("""COMPUTED_VALUE"""),-0.625179027800791)</f>
        <v>-0.62517902780079104</v>
      </c>
      <c r="HX8" s="3">
        <f ca="1">IFERROR(__xludf.DUMMYFUNCTION("""COMPUTED_VALUE"""),-0.554998695493823)</f>
        <v>-0.55499869549382297</v>
      </c>
      <c r="HY8" s="3">
        <f ca="1">IFERROR(__xludf.DUMMYFUNCTION("""COMPUTED_VALUE"""),-0.498193407997231)</f>
        <v>-0.498193407997231</v>
      </c>
      <c r="HZ8" s="3">
        <f ca="1">IFERROR(__xludf.DUMMYFUNCTION("""COMPUTED_VALUE"""),-0.430180169203471)</f>
        <v>-0.43018016920347102</v>
      </c>
      <c r="IA8" s="3">
        <f ca="1">IFERROR(__xludf.DUMMYFUNCTION("""COMPUTED_VALUE"""),-0.821217522052256)</f>
        <v>-0.82121752205225595</v>
      </c>
      <c r="IB8" s="3">
        <f ca="1">IFERROR(__xludf.DUMMYFUNCTION("""COMPUTED_VALUE"""),-0.680176880043843)</f>
        <v>-0.68017688004384302</v>
      </c>
      <c r="IC8" s="3">
        <f ca="1">IFERROR(__xludf.DUMMYFUNCTION("""COMPUTED_VALUE"""),-0.520728858782022)</f>
        <v>-0.52072885878202202</v>
      </c>
      <c r="ID8" s="3">
        <f ca="1">IFERROR(__xludf.DUMMYFUNCTION("""COMPUTED_VALUE"""),-0.535915210123642)</f>
        <v>-0.53591521012364196</v>
      </c>
      <c r="IE8" s="3">
        <f ca="1">IFERROR(__xludf.DUMMYFUNCTION("""COMPUTED_VALUE"""),-0.520134527179942)</f>
        <v>-0.52013452717994202</v>
      </c>
      <c r="IF8" s="3">
        <f ca="1">IFERROR(__xludf.DUMMYFUNCTION("""COMPUTED_VALUE"""),-0.545147183996757)</f>
        <v>-0.54514718399675699</v>
      </c>
      <c r="IG8" s="3">
        <f ca="1">IFERROR(__xludf.DUMMYFUNCTION("""COMPUTED_VALUE"""),-0.639565227153045)</f>
        <v>-0.63956522715304498</v>
      </c>
      <c r="IH8" s="3">
        <f ca="1">IFERROR(__xludf.DUMMYFUNCTION("""COMPUTED_VALUE"""),-0.8451521206909)</f>
        <v>-0.84515212069089996</v>
      </c>
      <c r="II8" s="3">
        <f ca="1">IFERROR(__xludf.DUMMYFUNCTION("""COMPUTED_VALUE"""),-0.666254392318353)</f>
        <v>-0.66625439231835304</v>
      </c>
      <c r="IJ8" s="3">
        <f ca="1">IFERROR(__xludf.DUMMYFUNCTION("""COMPUTED_VALUE"""),-0.527875662526451)</f>
        <v>-0.52787566252645102</v>
      </c>
      <c r="IK8" s="3">
        <f ca="1">IFERROR(__xludf.DUMMYFUNCTION("""COMPUTED_VALUE"""),-0.523494114398019)</f>
        <v>-0.52349411439801896</v>
      </c>
      <c r="IL8" s="3">
        <f ca="1">IFERROR(__xludf.DUMMYFUNCTION("""COMPUTED_VALUE"""),-0.54969210205555)</f>
        <v>-0.54969210205554997</v>
      </c>
      <c r="IM8" s="3">
        <f ca="1">IFERROR(__xludf.DUMMYFUNCTION("""COMPUTED_VALUE"""),-0.525604176961786)</f>
        <v>-0.52560417696178596</v>
      </c>
      <c r="IN8" s="3">
        <f ca="1">IFERROR(__xludf.DUMMYFUNCTION("""COMPUTED_VALUE"""),-0.542033657842124)</f>
        <v>-0.54203365784212398</v>
      </c>
      <c r="IO8" s="3">
        <f ca="1">IFERROR(__xludf.DUMMYFUNCTION("""COMPUTED_VALUE"""),-0.826679255578241)</f>
        <v>-0.82667925557824096</v>
      </c>
      <c r="IP8" s="3">
        <f ca="1">IFERROR(__xludf.DUMMYFUNCTION("""COMPUTED_VALUE"""),-0.672758613161303)</f>
        <v>-0.67275861316130303</v>
      </c>
      <c r="IQ8" s="3">
        <f ca="1">IFERROR(__xludf.DUMMYFUNCTION("""COMPUTED_VALUE"""),-0.548095486314668)</f>
        <v>-0.54809548631466798</v>
      </c>
      <c r="IR8" s="3">
        <f ca="1">IFERROR(__xludf.DUMMYFUNCTION("""COMPUTED_VALUE"""),-0.516957958851393)</f>
        <v>-0.51695795885139295</v>
      </c>
      <c r="IS8" s="3">
        <f ca="1">IFERROR(__xludf.DUMMYFUNCTION("""COMPUTED_VALUE"""),-0.552181519702253)</f>
        <v>-0.55218151970225304</v>
      </c>
      <c r="IT8" s="3">
        <f ca="1">IFERROR(__xludf.DUMMYFUNCTION("""COMPUTED_VALUE"""),-0.59977385678045)</f>
        <v>-0.59977385678045003</v>
      </c>
      <c r="IU8" s="3">
        <f ca="1">IFERROR(__xludf.DUMMYFUNCTION("""COMPUTED_VALUE"""),-0.597239462003769)</f>
        <v>-0.59723946200376898</v>
      </c>
      <c r="IV8" s="3">
        <f ca="1">IFERROR(__xludf.DUMMYFUNCTION("""COMPUTED_VALUE"""),-0.818066528495508)</f>
        <v>-0.81806652849550798</v>
      </c>
      <c r="IW8" s="3">
        <f ca="1">IFERROR(__xludf.DUMMYFUNCTION("""COMPUTED_VALUE"""),-0.674906106553421)</f>
        <v>-0.67490610655342098</v>
      </c>
      <c r="IX8" s="3">
        <f ca="1">IFERROR(__xludf.DUMMYFUNCTION("""COMPUTED_VALUE"""),-0.57601332520874)</f>
        <v>-0.57601332520874005</v>
      </c>
      <c r="IY8" s="3">
        <f ca="1">IFERROR(__xludf.DUMMYFUNCTION("""COMPUTED_VALUE"""),-0.548175462370825)</f>
        <v>-0.54817546237082504</v>
      </c>
      <c r="IZ8" s="3">
        <f ca="1">IFERROR(__xludf.DUMMYFUNCTION("""COMPUTED_VALUE"""),-0.587399673396773)</f>
        <v>-0.58739967339677301</v>
      </c>
      <c r="JA8" s="3">
        <f ca="1">IFERROR(__xludf.DUMMYFUNCTION("""COMPUTED_VALUE"""),-0.599439276378785)</f>
        <v>-0.59943927637878502</v>
      </c>
      <c r="JB8" s="3">
        <f ca="1">IFERROR(__xludf.DUMMYFUNCTION("""COMPUTED_VALUE"""),-0.616718102303793)</f>
        <v>-0.61671810230379298</v>
      </c>
      <c r="JC8" s="3">
        <f ca="1">IFERROR(__xludf.DUMMYFUNCTION("""COMPUTED_VALUE"""),-0.822478025854399)</f>
        <v>-0.822478025854399</v>
      </c>
      <c r="JD8" s="3">
        <f ca="1">IFERROR(__xludf.DUMMYFUNCTION("""COMPUTED_VALUE"""),-0.681866459999059)</f>
        <v>-0.68186645999905904</v>
      </c>
      <c r="JE8" s="3">
        <f ca="1">IFERROR(__xludf.DUMMYFUNCTION("""COMPUTED_VALUE"""),-0.558402876704713)</f>
        <v>-0.558402876704713</v>
      </c>
      <c r="JF8" s="3">
        <f ca="1">IFERROR(__xludf.DUMMYFUNCTION("""COMPUTED_VALUE"""),-0.592112893188807)</f>
        <v>-0.592112893188807</v>
      </c>
      <c r="JG8" s="3">
        <f ca="1">IFERROR(__xludf.DUMMYFUNCTION("""COMPUTED_VALUE"""),-0.590910150844843)</f>
        <v>-0.590910150844843</v>
      </c>
      <c r="JH8" s="3">
        <f ca="1">IFERROR(__xludf.DUMMYFUNCTION("""COMPUTED_VALUE"""),-0.581868346872892)</f>
        <v>-0.58186834687289202</v>
      </c>
      <c r="JI8" s="3">
        <f ca="1">IFERROR(__xludf.DUMMYFUNCTION("""COMPUTED_VALUE"""),-0.607309837576859)</f>
        <v>-0.60730983757685897</v>
      </c>
      <c r="JJ8" s="3">
        <f ca="1">IFERROR(__xludf.DUMMYFUNCTION("""COMPUTED_VALUE"""),-0.81670745357709)</f>
        <v>-0.81670745357708996</v>
      </c>
      <c r="JK8" s="3">
        <f ca="1">IFERROR(__xludf.DUMMYFUNCTION("""COMPUTED_VALUE"""),-0.648616568584712)</f>
        <v>-0.64861656858471195</v>
      </c>
      <c r="JL8" s="3">
        <f ca="1">IFERROR(__xludf.DUMMYFUNCTION("""COMPUTED_VALUE"""),-0.568634367689221)</f>
        <v>-0.56863436768922104</v>
      </c>
      <c r="JM8" s="3">
        <f ca="1">IFERROR(__xludf.DUMMYFUNCTION("""COMPUTED_VALUE"""),-0.544767414286598)</f>
        <v>-0.54476741428659803</v>
      </c>
      <c r="JN8" s="3">
        <f ca="1">IFERROR(__xludf.DUMMYFUNCTION("""COMPUTED_VALUE"""),-0.566548046491003)</f>
        <v>-0.56654804649100299</v>
      </c>
      <c r="JO8" s="3">
        <f ca="1">IFERROR(__xludf.DUMMYFUNCTION("""COMPUTED_VALUE"""),-0.574342605653325)</f>
        <v>-0.57434260565332496</v>
      </c>
      <c r="JP8" s="3">
        <f ca="1">IFERROR(__xludf.DUMMYFUNCTION("""COMPUTED_VALUE"""),-0.627816819305446)</f>
        <v>-0.62781681930544597</v>
      </c>
      <c r="JQ8" s="3">
        <f ca="1">IFERROR(__xludf.DUMMYFUNCTION("""COMPUTED_VALUE"""),-0.772222671369132)</f>
        <v>-0.77222267136913203</v>
      </c>
      <c r="JR8" s="3">
        <f ca="1">IFERROR(__xludf.DUMMYFUNCTION("""COMPUTED_VALUE"""),-0.665252929912426)</f>
        <v>-0.66525292991242602</v>
      </c>
      <c r="JS8" s="3">
        <f ca="1">IFERROR(__xludf.DUMMYFUNCTION("""COMPUTED_VALUE"""),-0.508075172062022)</f>
        <v>-0.50807517206202202</v>
      </c>
      <c r="JT8" s="3">
        <f ca="1">IFERROR(__xludf.DUMMYFUNCTION("""COMPUTED_VALUE"""),-0.443670349368888)</f>
        <v>-0.443670349368888</v>
      </c>
      <c r="JU8" s="3">
        <f ca="1">IFERROR(__xludf.DUMMYFUNCTION("""COMPUTED_VALUE"""),-0.596211953855734)</f>
        <v>-0.596211953855734</v>
      </c>
      <c r="JV8" s="3">
        <f ca="1">IFERROR(__xludf.DUMMYFUNCTION("""COMPUTED_VALUE"""),-0.598528416753337)</f>
        <v>-0.59852841675333701</v>
      </c>
      <c r="JW8" s="3">
        <f ca="1">IFERROR(__xludf.DUMMYFUNCTION("""COMPUTED_VALUE"""),-0.621113237761428)</f>
        <v>-0.62111323776142802</v>
      </c>
      <c r="JX8" s="3">
        <f ca="1">IFERROR(__xludf.DUMMYFUNCTION("""COMPUTED_VALUE"""),-0.829284436568773)</f>
        <v>-0.82928443656877304</v>
      </c>
      <c r="JY8" s="3">
        <f ca="1">IFERROR(__xludf.DUMMYFUNCTION("""COMPUTED_VALUE"""),-0.657072330152761)</f>
        <v>-0.65707233015276101</v>
      </c>
      <c r="JZ8" s="3">
        <f ca="1">IFERROR(__xludf.DUMMYFUNCTION("""COMPUTED_VALUE"""),-0.551232123220255)</f>
        <v>-0.55123212322025505</v>
      </c>
      <c r="KA8" s="3">
        <f ca="1">IFERROR(__xludf.DUMMYFUNCTION("""COMPUTED_VALUE"""),-0.44629139071689)</f>
        <v>-0.44629139071689</v>
      </c>
      <c r="KB8" s="3">
        <f ca="1">IFERROR(__xludf.DUMMYFUNCTION("""COMPUTED_VALUE"""),-0.618152476802129)</f>
        <v>-0.61815247680212904</v>
      </c>
      <c r="KC8" s="3">
        <f ca="1">IFERROR(__xludf.DUMMYFUNCTION("""COMPUTED_VALUE"""),-0.624011511710781)</f>
        <v>-0.62401151171078095</v>
      </c>
      <c r="KD8" s="3">
        <f ca="1">IFERROR(__xludf.DUMMYFUNCTION("""COMPUTED_VALUE"""),-0.687454143530976)</f>
        <v>-0.687454143530976</v>
      </c>
      <c r="KE8" s="3">
        <f ca="1">IFERROR(__xludf.DUMMYFUNCTION("""COMPUTED_VALUE"""),-0.843681254904119)</f>
        <v>-0.84368125490411905</v>
      </c>
      <c r="KF8" s="3">
        <f ca="1">IFERROR(__xludf.DUMMYFUNCTION("""COMPUTED_VALUE"""),-0.643629024379959)</f>
        <v>-0.64362902437995895</v>
      </c>
      <c r="KG8" s="3">
        <f ca="1">IFERROR(__xludf.DUMMYFUNCTION("""COMPUTED_VALUE"""),-0.460274924940739)</f>
        <v>-0.46027492494073902</v>
      </c>
      <c r="KH8" s="3">
        <f ca="1">IFERROR(__xludf.DUMMYFUNCTION("""COMPUTED_VALUE"""),-0.474262064530451)</f>
        <v>-0.474262064530451</v>
      </c>
      <c r="KI8" s="3">
        <f ca="1">IFERROR(__xludf.DUMMYFUNCTION("""COMPUTED_VALUE"""),-0.544635832075018)</f>
        <v>-0.54463583207501798</v>
      </c>
      <c r="KJ8" s="3">
        <f ca="1">IFERROR(__xludf.DUMMYFUNCTION("""COMPUTED_VALUE"""),-0.541484276946483)</f>
        <v>-0.54148427694648305</v>
      </c>
      <c r="KK8" s="3">
        <f ca="1">IFERROR(__xludf.DUMMYFUNCTION("""COMPUTED_VALUE"""),-0.618248539905287)</f>
        <v>-0.61824853990528705</v>
      </c>
      <c r="KL8" s="3">
        <f ca="1">IFERROR(__xludf.DUMMYFUNCTION("""COMPUTED_VALUE"""),-0.84925713847946)</f>
        <v>-0.84925713847946005</v>
      </c>
      <c r="KM8" s="3">
        <f ca="1">IFERROR(__xludf.DUMMYFUNCTION("""COMPUTED_VALUE"""),-0.710765114936508)</f>
        <v>-0.71076511493650796</v>
      </c>
      <c r="KN8" s="3">
        <f ca="1">IFERROR(__xludf.DUMMYFUNCTION("""COMPUTED_VALUE"""),-0.591105241104553)</f>
        <v>-0.59110524110455298</v>
      </c>
      <c r="KO8" s="3">
        <f ca="1">IFERROR(__xludf.DUMMYFUNCTION("""COMPUTED_VALUE"""),-0.613247698319309)</f>
        <v>-0.61324769831930903</v>
      </c>
      <c r="KP8" s="3">
        <f ca="1">IFERROR(__xludf.DUMMYFUNCTION("""COMPUTED_VALUE"""),-0.63786640457941)</f>
        <v>-0.63786640457941002</v>
      </c>
      <c r="KQ8" s="3">
        <f ca="1">IFERROR(__xludf.DUMMYFUNCTION("""COMPUTED_VALUE"""),-0.662863416557185)</f>
        <v>-0.66286341655718495</v>
      </c>
      <c r="KR8" s="3">
        <f ca="1">IFERROR(__xludf.DUMMYFUNCTION("""COMPUTED_VALUE"""),-0.682878024256537)</f>
        <v>-0.68287802425653699</v>
      </c>
      <c r="KS8" s="3">
        <f ca="1">IFERROR(__xludf.DUMMYFUNCTION("""COMPUTED_VALUE"""),-0.839474670808731)</f>
        <v>-0.83947467080873095</v>
      </c>
      <c r="KT8" s="3">
        <f ca="1">IFERROR(__xludf.DUMMYFUNCTION("""COMPUTED_VALUE"""),-0.72734499220184)</f>
        <v>-0.72734499220184001</v>
      </c>
      <c r="KU8" s="3">
        <f ca="1">IFERROR(__xludf.DUMMYFUNCTION("""COMPUTED_VALUE"""),-0.661933084610129)</f>
        <v>-0.66193308461012901</v>
      </c>
      <c r="KV8" s="3">
        <f ca="1">IFERROR(__xludf.DUMMYFUNCTION("""COMPUTED_VALUE"""),-0.74050882831058)</f>
        <v>-0.74050882831057996</v>
      </c>
      <c r="KW8" s="3">
        <f ca="1">IFERROR(__xludf.DUMMYFUNCTION("""COMPUTED_VALUE"""),-0.715574376070571)</f>
        <v>-0.71557437607057095</v>
      </c>
      <c r="KX8" s="3">
        <f ca="1">IFERROR(__xludf.DUMMYFUNCTION("""COMPUTED_VALUE"""),-0.727886910588333)</f>
        <v>-0.72788691058833299</v>
      </c>
      <c r="KY8" s="3">
        <f ca="1">IFERROR(__xludf.DUMMYFUNCTION("""COMPUTED_VALUE"""),-0.730155311304617)</f>
        <v>-0.73015531130461697</v>
      </c>
      <c r="KZ8" s="3">
        <f ca="1">IFERROR(__xludf.DUMMYFUNCTION("""COMPUTED_VALUE"""),-0.865677359580641)</f>
        <v>-0.86567735958064096</v>
      </c>
      <c r="LA8" s="3">
        <f ca="1">IFERROR(__xludf.DUMMYFUNCTION("""COMPUTED_VALUE"""),-0.777830757125145)</f>
        <v>-0.77783075712514504</v>
      </c>
      <c r="LB8" s="3">
        <f ca="1">IFERROR(__xludf.DUMMYFUNCTION("""COMPUTED_VALUE"""),-0.704326359482053)</f>
        <v>-0.70432635948205302</v>
      </c>
      <c r="LC8" s="3">
        <f ca="1">IFERROR(__xludf.DUMMYFUNCTION("""COMPUTED_VALUE"""),-0.697488097101965)</f>
        <v>-0.69748809710196502</v>
      </c>
      <c r="LD8" s="3">
        <f ca="1">IFERROR(__xludf.DUMMYFUNCTION("""COMPUTED_VALUE"""),-0.761454991432982)</f>
        <v>-0.76145499143298201</v>
      </c>
      <c r="LE8" s="3">
        <f ca="1">IFERROR(__xludf.DUMMYFUNCTION("""COMPUTED_VALUE"""),-0.730495370376602)</f>
        <v>-0.73049537037660195</v>
      </c>
      <c r="LF8" s="3">
        <f ca="1">IFERROR(__xludf.DUMMYFUNCTION("""COMPUTED_VALUE"""),-0.681025325077758)</f>
        <v>-0.68102532507775804</v>
      </c>
      <c r="LG8" s="3">
        <f ca="1">IFERROR(__xludf.DUMMYFUNCTION("""COMPUTED_VALUE"""),-0.884838829924413)</f>
        <v>-0.88483882992441298</v>
      </c>
      <c r="LH8" s="3">
        <f ca="1">IFERROR(__xludf.DUMMYFUNCTION("""COMPUTED_VALUE"""),-0.759870102546572)</f>
        <v>-0.75987010254657195</v>
      </c>
      <c r="LI8" s="3">
        <f ca="1">IFERROR(__xludf.DUMMYFUNCTION("""COMPUTED_VALUE"""),-0.750206670158854)</f>
        <v>-0.75020667015885401</v>
      </c>
      <c r="LJ8" s="3">
        <f ca="1">IFERROR(__xludf.DUMMYFUNCTION("""COMPUTED_VALUE"""),-0.727210705291077)</f>
        <v>-0.72721070529107701</v>
      </c>
      <c r="LK8" s="3">
        <f ca="1">IFERROR(__xludf.DUMMYFUNCTION("""COMPUTED_VALUE"""),-0.728521619118786)</f>
        <v>-0.72852161911878599</v>
      </c>
      <c r="LL8" s="3">
        <f ca="1">IFERROR(__xludf.DUMMYFUNCTION("""COMPUTED_VALUE"""),-0.786924367277428)</f>
        <v>-0.78692436727742798</v>
      </c>
      <c r="LM8" s="3">
        <f ca="1">IFERROR(__xludf.DUMMYFUNCTION("""COMPUTED_VALUE"""),-0.902529429319875)</f>
        <v>-0.90252942931987501</v>
      </c>
      <c r="LN8" s="3">
        <f ca="1">IFERROR(__xludf.DUMMYFUNCTION("""COMPUTED_VALUE"""),-0.887764751461872)</f>
        <v>-0.88776475146187195</v>
      </c>
      <c r="LO8" s="3">
        <f ca="1">IFERROR(__xludf.DUMMYFUNCTION("""COMPUTED_VALUE"""),-0.816705943642937)</f>
        <v>-0.81670594364293703</v>
      </c>
      <c r="LP8" s="3">
        <f ca="1">IFERROR(__xludf.DUMMYFUNCTION("""COMPUTED_VALUE"""),-0.730210016915781)</f>
        <v>-0.73021001691578102</v>
      </c>
      <c r="LQ8" s="3">
        <f ca="1">IFERROR(__xludf.DUMMYFUNCTION("""COMPUTED_VALUE"""),-0.748501041017015)</f>
        <v>-0.74850104101701498</v>
      </c>
      <c r="LR8" s="3">
        <f ca="1">IFERROR(__xludf.DUMMYFUNCTION("""COMPUTED_VALUE"""),-0.797010542842005)</f>
        <v>-0.79701054284200501</v>
      </c>
      <c r="LS8" s="3">
        <f ca="1">IFERROR(__xludf.DUMMYFUNCTION("""COMPUTED_VALUE"""),-0.777304632810209)</f>
        <v>-0.77730463281020901</v>
      </c>
      <c r="LT8" s="3">
        <f ca="1">IFERROR(__xludf.DUMMYFUNCTION("""COMPUTED_VALUE"""),-0.727693760754673)</f>
        <v>-0.72769376075467296</v>
      </c>
      <c r="LU8" s="3">
        <f ca="1">IFERROR(__xludf.DUMMYFUNCTION("""COMPUTED_VALUE"""),-0.904276185060256)</f>
        <v>-0.90427618506025598</v>
      </c>
      <c r="LV8" s="3">
        <f ca="1">IFERROR(__xludf.DUMMYFUNCTION("""COMPUTED_VALUE"""),-0.826749241622987)</f>
        <v>-0.82674924162298702</v>
      </c>
      <c r="LW8" s="3">
        <f ca="1">IFERROR(__xludf.DUMMYFUNCTION("""COMPUTED_VALUE"""),-0.780765048246451)</f>
        <v>-0.78076504824645099</v>
      </c>
      <c r="LX8" s="3">
        <f ca="1">IFERROR(__xludf.DUMMYFUNCTION("""COMPUTED_VALUE"""),-0.792946764410129)</f>
        <v>-0.79294676441012901</v>
      </c>
      <c r="LY8" s="3">
        <f ca="1">IFERROR(__xludf.DUMMYFUNCTION("""COMPUTED_VALUE"""),-0.80023830553736)</f>
        <v>-0.80023830553735997</v>
      </c>
      <c r="LZ8" s="3">
        <f ca="1">IFERROR(__xludf.DUMMYFUNCTION("""COMPUTED_VALUE"""),-0.816765828632141)</f>
        <v>-0.81676582863214098</v>
      </c>
      <c r="MA8" s="3">
        <f ca="1">IFERROR(__xludf.DUMMYFUNCTION("""COMPUTED_VALUE"""),-0.823941190728198)</f>
        <v>-0.82394119072819805</v>
      </c>
      <c r="MB8" s="3">
        <f ca="1">IFERROR(__xludf.DUMMYFUNCTION("""COMPUTED_VALUE"""),-0.899752395836529)</f>
        <v>-0.899752395836529</v>
      </c>
      <c r="MC8" s="3">
        <f ca="1">IFERROR(__xludf.DUMMYFUNCTION("""COMPUTED_VALUE"""),-0.847019414595381)</f>
        <v>-0.84701941459538099</v>
      </c>
      <c r="MD8" s="3">
        <f ca="1">IFERROR(__xludf.DUMMYFUNCTION("""COMPUTED_VALUE"""),-0.797177638792811)</f>
        <v>-0.79717763879281101</v>
      </c>
      <c r="ME8" s="3">
        <f ca="1">IFERROR(__xludf.DUMMYFUNCTION("""COMPUTED_VALUE"""),-0.79592536085815)</f>
        <v>-0.79592536085815002</v>
      </c>
      <c r="MF8" s="3">
        <f ca="1">IFERROR(__xludf.DUMMYFUNCTION("""COMPUTED_VALUE"""),-0.779312518927377)</f>
        <v>-0.77931251892737696</v>
      </c>
      <c r="MG8" s="3">
        <f ca="1">IFERROR(__xludf.DUMMYFUNCTION("""COMPUTED_VALUE"""),-0.764546654930153)</f>
        <v>-0.76454665493015295</v>
      </c>
      <c r="MH8" s="3">
        <f ca="1">IFERROR(__xludf.DUMMYFUNCTION("""COMPUTED_VALUE"""),-0.792825266816536)</f>
        <v>-0.79282526681653598</v>
      </c>
      <c r="MI8" s="3">
        <f ca="1">IFERROR(__xludf.DUMMYFUNCTION("""COMPUTED_VALUE"""),-0.90787742133037)</f>
        <v>-0.90787742133036997</v>
      </c>
      <c r="MJ8" s="3">
        <f ca="1">IFERROR(__xludf.DUMMYFUNCTION("""COMPUTED_VALUE"""),-0.828091377480253)</f>
        <v>-0.82809137748025297</v>
      </c>
      <c r="MK8" s="3">
        <f ca="1">IFERROR(__xludf.DUMMYFUNCTION("""COMPUTED_VALUE"""),-0.798715296819644)</f>
        <v>-0.79871529681964404</v>
      </c>
      <c r="ML8" s="3">
        <f ca="1">IFERROR(__xludf.DUMMYFUNCTION("""COMPUTED_VALUE"""),-0.823182781685692)</f>
        <v>-0.82318278168569203</v>
      </c>
      <c r="MM8" s="3">
        <f ca="1">IFERROR(__xludf.DUMMYFUNCTION("""COMPUTED_VALUE"""),-0.784197506809579)</f>
        <v>-0.784197506809579</v>
      </c>
      <c r="MN8" s="3">
        <f ca="1">IFERROR(__xludf.DUMMYFUNCTION("""COMPUTED_VALUE"""),-0.791072302975317)</f>
        <v>-0.79107230297531705</v>
      </c>
      <c r="MO8" s="3">
        <f ca="1">IFERROR(__xludf.DUMMYFUNCTION("""COMPUTED_VALUE"""),-0.807427242980846)</f>
        <v>-0.807427242980846</v>
      </c>
      <c r="MP8" s="3">
        <f ca="1">IFERROR(__xludf.DUMMYFUNCTION("""COMPUTED_VALUE"""),-0.902940153069904)</f>
        <v>-0.90294015306990405</v>
      </c>
      <c r="MQ8" s="3">
        <f ca="1">IFERROR(__xludf.DUMMYFUNCTION("""COMPUTED_VALUE"""),-0.811443932465599)</f>
        <v>-0.81144393246559898</v>
      </c>
      <c r="MR8" s="3">
        <f ca="1">IFERROR(__xludf.DUMMYFUNCTION("""COMPUTED_VALUE"""),-0.789538834454778)</f>
        <v>-0.78953883445477802</v>
      </c>
      <c r="MS8" s="3">
        <f ca="1">IFERROR(__xludf.DUMMYFUNCTION("""COMPUTED_VALUE"""),-0.784279157642294)</f>
        <v>-0.78427915764229394</v>
      </c>
      <c r="MT8" s="3">
        <f ca="1">IFERROR(__xludf.DUMMYFUNCTION("""COMPUTED_VALUE"""),-0.796838020619198)</f>
        <v>-0.79683802061919795</v>
      </c>
      <c r="MU8" s="3">
        <f ca="1">IFERROR(__xludf.DUMMYFUNCTION("""COMPUTED_VALUE"""),-0.835743748264908)</f>
        <v>-0.83574374826490805</v>
      </c>
      <c r="MV8" s="3">
        <f ca="1">IFERROR(__xludf.DUMMYFUNCTION("""COMPUTED_VALUE"""),-0.918906847777651)</f>
        <v>-0.91890684777765097</v>
      </c>
      <c r="MW8" s="3">
        <f ca="1">IFERROR(__xludf.DUMMYFUNCTION("""COMPUTED_VALUE"""),-0.908431676193816)</f>
        <v>-0.90843167619381604</v>
      </c>
      <c r="MX8" s="3">
        <f ca="1">IFERROR(__xludf.DUMMYFUNCTION("""COMPUTED_VALUE"""),-0.838479985485993)</f>
        <v>-0.83847998548599301</v>
      </c>
      <c r="MY8" s="3">
        <f ca="1">IFERROR(__xludf.DUMMYFUNCTION("""COMPUTED_VALUE"""),-0.769818059581187)</f>
        <v>-0.76981805958118699</v>
      </c>
      <c r="MZ8" s="3">
        <f ca="1">IFERROR(__xludf.DUMMYFUNCTION("""COMPUTED_VALUE"""),-0.789006998563642)</f>
        <v>-0.78900699856364198</v>
      </c>
      <c r="NA8" s="3">
        <f ca="1">IFERROR(__xludf.DUMMYFUNCTION("""COMPUTED_VALUE"""),-0.807542928883065)</f>
        <v>-0.807542928883065</v>
      </c>
      <c r="NB8" s="3">
        <f ca="1">IFERROR(__xludf.DUMMYFUNCTION("""COMPUTED_VALUE"""),-0.762453985127638)</f>
        <v>-0.76245398512763796</v>
      </c>
      <c r="NC8" s="3">
        <f ca="1">IFERROR(__xludf.DUMMYFUNCTION("""COMPUTED_VALUE"""),-0.787291352767414)</f>
        <v>-0.78729135276741402</v>
      </c>
      <c r="ND8" s="3">
        <f ca="1">IFERROR(__xludf.DUMMYFUNCTION("""COMPUTED_VALUE"""),-0.903145807314678)</f>
        <v>-0.90314580731467797</v>
      </c>
      <c r="NE8" s="3">
        <f ca="1">IFERROR(__xludf.DUMMYFUNCTION("""COMPUTED_VALUE"""),-0.83510555141918)</f>
        <v>-0.83510555141917997</v>
      </c>
      <c r="NF8" s="3">
        <f ca="1">IFERROR(__xludf.DUMMYFUNCTION("""COMPUTED_VALUE"""),-0.775999097788008)</f>
        <v>-0.77599909778800802</v>
      </c>
      <c r="NG8" s="3">
        <f ca="1">IFERROR(__xludf.DUMMYFUNCTION("""COMPUTED_VALUE"""),-0.791724092846354)</f>
        <v>-0.79172409284635403</v>
      </c>
      <c r="NH8" s="3">
        <f ca="1">IFERROR(__xludf.DUMMYFUNCTION("""COMPUTED_VALUE"""),-0.777194424064925)</f>
        <v>-0.777194424064925</v>
      </c>
      <c r="NI8" s="3">
        <f ca="1">IFERROR(__xludf.DUMMYFUNCTION("""COMPUTED_VALUE"""),-0.736727338401161)</f>
        <v>-0.736727338401161</v>
      </c>
      <c r="NJ8" s="3">
        <f ca="1">IFERROR(__xludf.DUMMYFUNCTION("""COMPUTED_VALUE"""),-0.675908966752011)</f>
        <v>-0.67590896675201095</v>
      </c>
      <c r="NK8" s="3">
        <f ca="1">IFERROR(__xludf.DUMMYFUNCTION("""COMPUTED_VALUE"""),-0.681099595634591)</f>
        <v>-0.68109959563459099</v>
      </c>
      <c r="NL8" s="3">
        <f ca="1">IFERROR(__xludf.DUMMYFUNCTION("""COMPUTED_VALUE"""),-0.73253268584092)</f>
        <v>-0.73253268584092002</v>
      </c>
      <c r="NM8" s="3">
        <f ca="1">IFERROR(__xludf.DUMMYFUNCTION("""COMPUTED_VALUE"""),-0.796001149817575)</f>
        <v>-0.79600114981757497</v>
      </c>
      <c r="NN8" s="3">
        <f ca="1">IFERROR(__xludf.DUMMYFUNCTION("""COMPUTED_VALUE"""),-0.795293696989706)</f>
        <v>-0.79529369698970598</v>
      </c>
      <c r="NO8" s="3">
        <f ca="1">IFERROR(__xludf.DUMMYFUNCTION("""COMPUTED_VALUE"""),-0.757422478578268)</f>
        <v>-0.75742247857826805</v>
      </c>
      <c r="NP8" s="3">
        <f ca="1">IFERROR(__xludf.DUMMYFUNCTION("""COMPUTED_VALUE"""),-0.753618754723645)</f>
        <v>-0.75361875472364503</v>
      </c>
      <c r="NQ8" s="3">
        <f ca="1">IFERROR(__xludf.DUMMYFUNCTION("""COMPUTED_VALUE"""),-0.750758384103257)</f>
        <v>-0.75075838410325701</v>
      </c>
      <c r="NR8" s="3">
        <f ca="1">IFERROR(__xludf.DUMMYFUNCTION("""COMPUTED_VALUE"""),-0.719215533393979)</f>
        <v>-0.71921553339397903</v>
      </c>
      <c r="NS8" s="3">
        <f ca="1">IFERROR(__xludf.DUMMYFUNCTION("""COMPUTED_VALUE"""),-0.704423932637797)</f>
        <v>-0.70442393263779701</v>
      </c>
      <c r="NT8" s="3">
        <f ca="1">IFERROR(__xludf.DUMMYFUNCTION("""COMPUTED_VALUE"""),-0.741060550098245)</f>
        <v>-0.74106055009824501</v>
      </c>
      <c r="NU8" s="3">
        <f ca="1">IFERROR(__xludf.DUMMYFUNCTION("""COMPUTED_VALUE"""),-0.732498355694374)</f>
        <v>-0.73249835569437405</v>
      </c>
      <c r="NV8" s="3">
        <f ca="1">IFERROR(__xludf.DUMMYFUNCTION("""COMPUTED_VALUE"""),-0.721999605734367)</f>
        <v>-0.72199960573436694</v>
      </c>
      <c r="NW8" s="3">
        <f ca="1">IFERROR(__xludf.DUMMYFUNCTION("""COMPUTED_VALUE"""),-0.658949501749744)</f>
        <v>-0.65894950174974398</v>
      </c>
      <c r="NX8" s="3">
        <f ca="1">IFERROR(__xludf.DUMMYFUNCTION("""COMPUTED_VALUE"""),-0.639455817890844)</f>
        <v>-0.63945581789084405</v>
      </c>
      <c r="NY8" s="3">
        <f ca="1">IFERROR(__xludf.DUMMYFUNCTION("""COMPUTED_VALUE"""),-0.587351198515934)</f>
        <v>-0.58735119851593398</v>
      </c>
      <c r="NZ8" s="3">
        <f ca="1">IFERROR(__xludf.DUMMYFUNCTION("""COMPUTED_VALUE"""),-0.576816691062068)</f>
        <v>-0.57681669106206801</v>
      </c>
      <c r="OA8" s="3">
        <f ca="1">IFERROR(__xludf.DUMMYFUNCTION("""COMPUTED_VALUE"""),-0.57767166512982)</f>
        <v>-0.57767166512982004</v>
      </c>
      <c r="OB8" s="3">
        <f ca="1">IFERROR(__xludf.DUMMYFUNCTION("""COMPUTED_VALUE"""),-0.591981166576248)</f>
        <v>-0.591981166576248</v>
      </c>
      <c r="OC8" s="3">
        <f ca="1">IFERROR(__xludf.DUMMYFUNCTION("""COMPUTED_VALUE"""),-0.476395091565341)</f>
        <v>-0.47639509156534099</v>
      </c>
      <c r="OD8" s="3">
        <f ca="1">IFERROR(__xludf.DUMMYFUNCTION("""COMPUTED_VALUE"""),-0.473089049889347)</f>
        <v>-0.47308904988934702</v>
      </c>
      <c r="OE8" s="3">
        <f ca="1">IFERROR(__xludf.DUMMYFUNCTION("""COMPUTED_VALUE"""),-0.270298284364067)</f>
        <v>-0.270298284364067</v>
      </c>
      <c r="OF8" s="3">
        <f ca="1">IFERROR(__xludf.DUMMYFUNCTION("""COMPUTED_VALUE"""),-0.251840476907734)</f>
        <v>-0.25184047690773398</v>
      </c>
      <c r="OG8" s="3">
        <f ca="1">IFERROR(__xludf.DUMMYFUNCTION("""COMPUTED_VALUE"""),-0.302641943614104)</f>
        <v>-0.30264194361410401</v>
      </c>
      <c r="OH8" s="3">
        <f ca="1">IFERROR(__xludf.DUMMYFUNCTION("""COMPUTED_VALUE"""),-0.203413653133264)</f>
        <v>-0.20341365313326401</v>
      </c>
      <c r="OI8" s="3">
        <f ca="1">IFERROR(__xludf.DUMMYFUNCTION("""COMPUTED_VALUE"""),-0.0869444062823034)</f>
        <v>-8.6944406282303405E-2</v>
      </c>
      <c r="OJ8" s="3">
        <f ca="1">IFERROR(__xludf.DUMMYFUNCTION("""COMPUTED_VALUE"""),-0.0203341664116432)</f>
        <v>-2.0334166411643199E-2</v>
      </c>
      <c r="OK8" s="3">
        <f ca="1">IFERROR(__xludf.DUMMYFUNCTION("""COMPUTED_VALUE"""),0.00626987026944392)</f>
        <v>6.2698702694439197E-3</v>
      </c>
      <c r="OL8" s="3">
        <f ca="1">IFERROR(__xludf.DUMMYFUNCTION("""COMPUTED_VALUE"""),0.119006694887788)</f>
        <v>0.11900669488778801</v>
      </c>
      <c r="OM8" s="3">
        <f ca="1">IFERROR(__xludf.DUMMYFUNCTION("""COMPUTED_VALUE"""),0.00520425031986726)</f>
        <v>5.20425031986726E-3</v>
      </c>
      <c r="ON8" s="3">
        <f ca="1">IFERROR(__xludf.DUMMYFUNCTION("""COMPUTED_VALUE"""),0.107531395406177)</f>
        <v>0.107531395406177</v>
      </c>
      <c r="OO8" s="3">
        <f ca="1">IFERROR(__xludf.DUMMYFUNCTION("""COMPUTED_VALUE"""),-0.0930741035579103)</f>
        <v>-9.3074103557910307E-2</v>
      </c>
      <c r="OP8" s="3">
        <f ca="1">IFERROR(__xludf.DUMMYFUNCTION("""COMPUTED_VALUE"""),0.0232575612492806)</f>
        <v>2.3257561249280599E-2</v>
      </c>
      <c r="OQ8" s="3">
        <f ca="1">IFERROR(__xludf.DUMMYFUNCTION("""COMPUTED_VALUE"""),-0.0544134241530146)</f>
        <v>-5.4413424153014603E-2</v>
      </c>
      <c r="OR8" s="3">
        <f ca="1">IFERROR(__xludf.DUMMYFUNCTION("""COMPUTED_VALUE"""),-0.0226954555799143)</f>
        <v>-2.26954555799143E-2</v>
      </c>
      <c r="OS8" s="3">
        <f ca="1">IFERROR(__xludf.DUMMYFUNCTION("""COMPUTED_VALUE"""),0.0216170215542674)</f>
        <v>2.1617021554267399E-2</v>
      </c>
      <c r="OT8" s="3">
        <f ca="1">IFERROR(__xludf.DUMMYFUNCTION("""COMPUTED_VALUE"""),0.15455609587613)</f>
        <v>0.15455609587613001</v>
      </c>
      <c r="OU8" s="3">
        <f ca="1">IFERROR(__xludf.DUMMYFUNCTION("""COMPUTED_VALUE"""),0.0951029136523753)</f>
        <v>9.5102913652375304E-2</v>
      </c>
      <c r="OV8" s="3">
        <f ca="1">IFERROR(__xludf.DUMMYFUNCTION("""COMPUTED_VALUE"""),-0.0327745463579839)</f>
        <v>-3.2774546357983901E-2</v>
      </c>
      <c r="OW8" s="3">
        <f ca="1">IFERROR(__xludf.DUMMYFUNCTION("""COMPUTED_VALUE"""),-0.00475462060165687)</f>
        <v>-4.7546206016568704E-3</v>
      </c>
      <c r="OX8" s="3">
        <f ca="1">IFERROR(__xludf.DUMMYFUNCTION("""COMPUTED_VALUE"""),0.0415291452718635)</f>
        <v>4.15291452718635E-2</v>
      </c>
      <c r="OY8" s="3">
        <f ca="1">IFERROR(__xludf.DUMMYFUNCTION("""COMPUTED_VALUE"""),0.0965122423050373)</f>
        <v>9.6512242305037299E-2</v>
      </c>
      <c r="OZ8" s="3">
        <f ca="1">IFERROR(__xludf.DUMMYFUNCTION("""COMPUTED_VALUE"""),0.194815983795411)</f>
        <v>0.19481598379541101</v>
      </c>
      <c r="PA8" s="3">
        <f ca="1">IFERROR(__xludf.DUMMYFUNCTION("""COMPUTED_VALUE"""),0.0461495550746593)</f>
        <v>4.6149555074659301E-2</v>
      </c>
      <c r="PB8" s="3">
        <f ca="1">IFERROR(__xludf.DUMMYFUNCTION("""COMPUTED_VALUE"""),0.135112914386643)</f>
        <v>0.135112914386643</v>
      </c>
      <c r="PC8" s="3">
        <f ca="1">IFERROR(__xludf.DUMMYFUNCTION("""COMPUTED_VALUE"""),-0.196091314346775)</f>
        <v>-0.19609131434677499</v>
      </c>
      <c r="PD8" s="3">
        <f ca="1">IFERROR(__xludf.DUMMYFUNCTION("""COMPUTED_VALUE"""),-0.0980539000623434)</f>
        <v>-9.8053900062343394E-2</v>
      </c>
      <c r="PE8" s="3">
        <f ca="1">IFERROR(__xludf.DUMMYFUNCTION("""COMPUTED_VALUE"""),-0.131005914532589)</f>
        <v>-0.131005914532589</v>
      </c>
      <c r="PF8" s="3">
        <f ca="1">IFERROR(__xludf.DUMMYFUNCTION("""COMPUTED_VALUE"""),-0.158402002335212)</f>
        <v>-0.15840200233521201</v>
      </c>
      <c r="PG8" s="3">
        <f ca="1">IFERROR(__xludf.DUMMYFUNCTION("""COMPUTED_VALUE"""),-0.127471087579032)</f>
        <v>-0.127471087579032</v>
      </c>
      <c r="PH8" s="3">
        <f ca="1">IFERROR(__xludf.DUMMYFUNCTION("""COMPUTED_VALUE"""),0.0155966546410022)</f>
        <v>1.5596654641002201E-2</v>
      </c>
      <c r="PI8" s="3">
        <f ca="1">IFERROR(__xludf.DUMMYFUNCTION("""COMPUTED_VALUE"""),-0.00932466245157437)</f>
        <v>-9.3246624515743708E-3</v>
      </c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</row>
    <row r="9" spans="1:477" ht="15.75" customHeight="1">
      <c r="A9" s="1" t="str">
        <f ca="1">IFERROR(__xludf.DUMMYFUNCTION("""COMPUTED_VALUE"""),"MBTA")</f>
        <v>MBTA</v>
      </c>
      <c r="B9" s="1" t="str">
        <f ca="1">IFERROR(__xludf.DUMMYFUNCTION("""COMPUTED_VALUE"""),"Boston")</f>
        <v>Boston</v>
      </c>
      <c r="C9" s="1" t="str">
        <f ca="1">IFERROR(__xludf.DUMMYFUNCTION("""COMPUTED_VALUE"""),"United States")</f>
        <v>United States</v>
      </c>
      <c r="D9" s="1" t="str">
        <f ca="1">IFERROR(__xludf.DUMMYFUNCTION("""COMPUTED_VALUE"""),"Massachusetts")</f>
        <v>Massachusetts</v>
      </c>
      <c r="E9" s="3">
        <f ca="1">IFERROR(__xludf.DUMMYFUNCTION("""COMPUTED_VALUE"""),-0.419522268637136)</f>
        <v>-0.41952226863713599</v>
      </c>
      <c r="F9" s="3">
        <f ca="1">IFERROR(__xludf.DUMMYFUNCTION("""COMPUTED_VALUE"""),-0.540680098721082)</f>
        <v>-0.54068009872108203</v>
      </c>
      <c r="G9" s="3">
        <f ca="1">IFERROR(__xludf.DUMMYFUNCTION("""COMPUTED_VALUE"""),-0.585198884885834)</f>
        <v>-0.58519888488583405</v>
      </c>
      <c r="H9" s="3">
        <f ca="1">IFERROR(__xludf.DUMMYFUNCTION("""COMPUTED_VALUE"""),-0.601492940234259)</f>
        <v>-0.60149294023425903</v>
      </c>
      <c r="I9" s="3">
        <f ca="1">IFERROR(__xludf.DUMMYFUNCTION("""COMPUTED_VALUE"""),-0.594417605683719)</f>
        <v>-0.59441760568371904</v>
      </c>
      <c r="J9" s="3">
        <f ca="1">IFERROR(__xludf.DUMMYFUNCTION("""COMPUTED_VALUE"""),-0.561779497917028)</f>
        <v>-0.56177949791702797</v>
      </c>
      <c r="K9" s="3">
        <f ca="1">IFERROR(__xludf.DUMMYFUNCTION("""COMPUTED_VALUE"""),-0.517370148635189)</f>
        <v>-0.51737014863518904</v>
      </c>
      <c r="L9" s="3">
        <f ca="1">IFERROR(__xludf.DUMMYFUNCTION("""COMPUTED_VALUE"""),-0.492817456739703)</f>
        <v>-0.49281745673970301</v>
      </c>
      <c r="M9" s="3">
        <f ca="1">IFERROR(__xludf.DUMMYFUNCTION("""COMPUTED_VALUE"""),-0.595542533425122)</f>
        <v>-0.59554253342512198</v>
      </c>
      <c r="N9" s="3">
        <f ca="1">IFERROR(__xludf.DUMMYFUNCTION("""COMPUTED_VALUE"""),-0.615343435161811)</f>
        <v>-0.615343435161811</v>
      </c>
      <c r="O9" s="3">
        <f ca="1">IFERROR(__xludf.DUMMYFUNCTION("""COMPUTED_VALUE"""),-0.621876777581426)</f>
        <v>-0.62187677758142601</v>
      </c>
      <c r="P9" s="3">
        <f ca="1">IFERROR(__xludf.DUMMYFUNCTION("""COMPUTED_VALUE"""),-0.621447830219847)</f>
        <v>-0.62144783021984695</v>
      </c>
      <c r="Q9" s="3">
        <f ca="1">IFERROR(__xludf.DUMMYFUNCTION("""COMPUTED_VALUE"""),-0.616355928464985)</f>
        <v>-0.61635592846498499</v>
      </c>
      <c r="R9" s="3">
        <f ca="1">IFERROR(__xludf.DUMMYFUNCTION("""COMPUTED_VALUE"""),-0.538468479053697)</f>
        <v>-0.53846847905369699</v>
      </c>
      <c r="S9" s="3">
        <f ca="1">IFERROR(__xludf.DUMMYFUNCTION("""COMPUTED_VALUE"""),-0.502176035464565)</f>
        <v>-0.50217603546456502</v>
      </c>
      <c r="T9" s="3">
        <f ca="1">IFERROR(__xludf.DUMMYFUNCTION("""COMPUTED_VALUE"""),-0.603438885633153)</f>
        <v>-0.60343888563315295</v>
      </c>
      <c r="U9" s="3">
        <f ca="1">IFERROR(__xludf.DUMMYFUNCTION("""COMPUTED_VALUE"""),-0.616439571546294)</f>
        <v>-0.61643957154629403</v>
      </c>
      <c r="V9" s="3">
        <f ca="1">IFERROR(__xludf.DUMMYFUNCTION("""COMPUTED_VALUE"""),-0.633094175826024)</f>
        <v>-0.63309417582602401</v>
      </c>
      <c r="W9" s="3">
        <f ca="1">IFERROR(__xludf.DUMMYFUNCTION("""COMPUTED_VALUE"""),-0.62152531649793)</f>
        <v>-0.62152531649792997</v>
      </c>
      <c r="X9" s="3">
        <f ca="1">IFERROR(__xludf.DUMMYFUNCTION("""COMPUTED_VALUE"""),-0.615344935442574)</f>
        <v>-0.61534493544257396</v>
      </c>
      <c r="Y9" s="3">
        <f ca="1">IFERROR(__xludf.DUMMYFUNCTION("""COMPUTED_VALUE"""),-0.457053662355735)</f>
        <v>-0.45705366235573502</v>
      </c>
      <c r="Z9" s="3">
        <f ca="1">IFERROR(__xludf.DUMMYFUNCTION("""COMPUTED_VALUE"""),-0.513815167169562)</f>
        <v>-0.51381516716956199</v>
      </c>
      <c r="AA9" s="3">
        <f ca="1">IFERROR(__xludf.DUMMYFUNCTION("""COMPUTED_VALUE"""),-0.599616429470303)</f>
        <v>-0.59961642947030303</v>
      </c>
      <c r="AB9" s="3">
        <f ca="1">IFERROR(__xludf.DUMMYFUNCTION("""COMPUTED_VALUE"""),-0.630397381193591)</f>
        <v>-0.63039738119359101</v>
      </c>
      <c r="AC9" s="3">
        <f ca="1">IFERROR(__xludf.DUMMYFUNCTION("""COMPUTED_VALUE"""),-0.614471535117085)</f>
        <v>-0.61447153511708497</v>
      </c>
      <c r="AD9" s="3">
        <f ca="1">IFERROR(__xludf.DUMMYFUNCTION("""COMPUTED_VALUE"""),-0.627116678556128)</f>
        <v>-0.62711667855612796</v>
      </c>
      <c r="AE9" s="3">
        <f ca="1">IFERROR(__xludf.DUMMYFUNCTION("""COMPUTED_VALUE"""),-0.645143258488212)</f>
        <v>-0.64514325848821197</v>
      </c>
      <c r="AF9" s="3">
        <f ca="1">IFERROR(__xludf.DUMMYFUNCTION("""COMPUTED_VALUE"""),-0.484373472364961)</f>
        <v>-0.48437347236496098</v>
      </c>
      <c r="AG9" s="3">
        <f ca="1">IFERROR(__xludf.DUMMYFUNCTION("""COMPUTED_VALUE"""),-0.528478102103658)</f>
        <v>-0.52847810210365798</v>
      </c>
      <c r="AH9" s="3">
        <f ca="1">IFERROR(__xludf.DUMMYFUNCTION("""COMPUTED_VALUE"""),-0.611978620958472)</f>
        <v>-0.611978620958472</v>
      </c>
      <c r="AI9" s="3">
        <f ca="1">IFERROR(__xludf.DUMMYFUNCTION("""COMPUTED_VALUE"""),-0.628633660894473)</f>
        <v>-0.62863366089447303</v>
      </c>
      <c r="AJ9" s="3">
        <f ca="1">IFERROR(__xludf.DUMMYFUNCTION("""COMPUTED_VALUE"""),-0.654588582479967)</f>
        <v>-0.65458858247996698</v>
      </c>
      <c r="AK9" s="3">
        <f ca="1">IFERROR(__xludf.DUMMYFUNCTION("""COMPUTED_VALUE"""),-0.655821301347364)</f>
        <v>-0.65582130134736405</v>
      </c>
      <c r="AL9" s="3">
        <f ca="1">IFERROR(__xludf.DUMMYFUNCTION("""COMPUTED_VALUE"""),-0.630726257044112)</f>
        <v>-0.630726257044112</v>
      </c>
      <c r="AM9" s="3">
        <f ca="1">IFERROR(__xludf.DUMMYFUNCTION("""COMPUTED_VALUE"""),-0.492769066650835)</f>
        <v>-0.49276906665083497</v>
      </c>
      <c r="AN9" s="3">
        <f ca="1">IFERROR(__xludf.DUMMYFUNCTION("""COMPUTED_VALUE"""),-0.516904469807588)</f>
        <v>-0.51690446980758797</v>
      </c>
      <c r="AO9" s="3">
        <f ca="1">IFERROR(__xludf.DUMMYFUNCTION("""COMPUTED_VALUE"""),-0.646767887690113)</f>
        <v>-0.64676788769011295</v>
      </c>
      <c r="AP9" s="3">
        <f ca="1">IFERROR(__xludf.DUMMYFUNCTION("""COMPUTED_VALUE"""),-0.650863039192348)</f>
        <v>-0.650863039192348</v>
      </c>
      <c r="AQ9" s="3">
        <f ca="1">IFERROR(__xludf.DUMMYFUNCTION("""COMPUTED_VALUE"""),-0.658482470881584)</f>
        <v>-0.65848247088158396</v>
      </c>
      <c r="AR9" s="3">
        <f ca="1">IFERROR(__xludf.DUMMYFUNCTION("""COMPUTED_VALUE"""),-0.689883449996415)</f>
        <v>-0.68988344999641504</v>
      </c>
      <c r="AS9" s="3">
        <f ca="1">IFERROR(__xludf.DUMMYFUNCTION("""COMPUTED_VALUE"""),-0.641633219240179)</f>
        <v>-0.64163321924017902</v>
      </c>
      <c r="AT9" s="3">
        <f ca="1">IFERROR(__xludf.DUMMYFUNCTION("""COMPUTED_VALUE"""),-0.46392723615824)</f>
        <v>-0.46392723615824</v>
      </c>
      <c r="AU9" s="3">
        <f ca="1">IFERROR(__xludf.DUMMYFUNCTION("""COMPUTED_VALUE"""),-0.534776106713143)</f>
        <v>-0.53477610671314302</v>
      </c>
      <c r="AV9" s="3">
        <f ca="1">IFERROR(__xludf.DUMMYFUNCTION("""COMPUTED_VALUE"""),-0.64114801131083)</f>
        <v>-0.64114801131082999</v>
      </c>
      <c r="AW9" s="3">
        <f ca="1">IFERROR(__xludf.DUMMYFUNCTION("""COMPUTED_VALUE"""),-0.644649769315042)</f>
        <v>-0.64464976931504203</v>
      </c>
      <c r="AX9" s="3">
        <f ca="1">IFERROR(__xludf.DUMMYFUNCTION("""COMPUTED_VALUE"""),-0.653508723679761)</f>
        <v>-0.65350872367976098</v>
      </c>
      <c r="AY9" s="3">
        <f ca="1">IFERROR(__xludf.DUMMYFUNCTION("""COMPUTED_VALUE"""),-0.662986120896899)</f>
        <v>-0.66298612089689901</v>
      </c>
      <c r="AZ9" s="3">
        <f ca="1">IFERROR(__xludf.DUMMYFUNCTION("""COMPUTED_VALUE"""),-0.582492264569847)</f>
        <v>-0.58249226456984704</v>
      </c>
      <c r="BA9" s="3">
        <f ca="1">IFERROR(__xludf.DUMMYFUNCTION("""COMPUTED_VALUE"""),-0.488392254621121)</f>
        <v>-0.48839225462112101</v>
      </c>
      <c r="BB9" s="3">
        <f ca="1">IFERROR(__xludf.DUMMYFUNCTION("""COMPUTED_VALUE"""),-0.484440152806766)</f>
        <v>-0.484440152806766</v>
      </c>
      <c r="BC9" s="3">
        <f ca="1">IFERROR(__xludf.DUMMYFUNCTION("""COMPUTED_VALUE"""),-0.659286769841193)</f>
        <v>-0.65928676984119305</v>
      </c>
      <c r="BD9" s="3">
        <f ca="1">IFERROR(__xludf.DUMMYFUNCTION("""COMPUTED_VALUE"""),-0.659165196480132)</f>
        <v>-0.65916519648013205</v>
      </c>
      <c r="BE9" s="3">
        <f ca="1">IFERROR(__xludf.DUMMYFUNCTION("""COMPUTED_VALUE"""),-0.644720650439564)</f>
        <v>-0.64472065043956395</v>
      </c>
      <c r="BF9" s="3">
        <f ca="1">IFERROR(__xludf.DUMMYFUNCTION("""COMPUTED_VALUE"""),-0.678957687231077)</f>
        <v>-0.67895768723107697</v>
      </c>
      <c r="BG9" s="3">
        <f ca="1">IFERROR(__xludf.DUMMYFUNCTION("""COMPUTED_VALUE"""),-0.654514774015295)</f>
        <v>-0.65451477401529501</v>
      </c>
      <c r="BH9" s="3">
        <f ca="1">IFERROR(__xludf.DUMMYFUNCTION("""COMPUTED_VALUE"""),-0.502265005867256)</f>
        <v>-0.50226500586725598</v>
      </c>
      <c r="BI9" s="3">
        <f ca="1">IFERROR(__xludf.DUMMYFUNCTION("""COMPUTED_VALUE"""),-0.516477913500982)</f>
        <v>-0.51647791350098204</v>
      </c>
      <c r="BJ9" s="3">
        <f ca="1">IFERROR(__xludf.DUMMYFUNCTION("""COMPUTED_VALUE"""),-0.654813965470554)</f>
        <v>-0.65481396547055404</v>
      </c>
      <c r="BK9" s="3">
        <f ca="1">IFERROR(__xludf.DUMMYFUNCTION("""COMPUTED_VALUE"""),-0.656980182890604)</f>
        <v>-0.656980182890604</v>
      </c>
      <c r="BL9" s="3">
        <f ca="1">IFERROR(__xludf.DUMMYFUNCTION("""COMPUTED_VALUE"""),-0.668057220530652)</f>
        <v>-0.66805722053065197</v>
      </c>
      <c r="BM9" s="3">
        <f ca="1">IFERROR(__xludf.DUMMYFUNCTION("""COMPUTED_VALUE"""),-0.690011338109908)</f>
        <v>-0.690011338109908</v>
      </c>
      <c r="BN9" s="3">
        <f ca="1">IFERROR(__xludf.DUMMYFUNCTION("""COMPUTED_VALUE"""),-0.625696401949302)</f>
        <v>-0.62569640194930198</v>
      </c>
      <c r="BO9" s="3">
        <f ca="1">IFERROR(__xludf.DUMMYFUNCTION("""COMPUTED_VALUE"""),-0.554030473680353)</f>
        <v>-0.55403047368035296</v>
      </c>
      <c r="BP9" s="3">
        <f ca="1">IFERROR(__xludf.DUMMYFUNCTION("""COMPUTED_VALUE"""),-0.546453858273003)</f>
        <v>-0.54645385827300297</v>
      </c>
      <c r="BQ9" s="3">
        <f ca="1">IFERROR(__xludf.DUMMYFUNCTION("""COMPUTED_VALUE"""),-0.672429334082454)</f>
        <v>-0.67242933408245398</v>
      </c>
      <c r="BR9" s="3">
        <f ca="1">IFERROR(__xludf.DUMMYFUNCTION("""COMPUTED_VALUE"""),-0.669313748679461)</f>
        <v>-0.66931374867946103</v>
      </c>
      <c r="BS9" s="3">
        <f ca="1">IFERROR(__xludf.DUMMYFUNCTION("""COMPUTED_VALUE"""),-0.680676202955107)</f>
        <v>-0.680676202955107</v>
      </c>
      <c r="BT9" s="3">
        <f ca="1">IFERROR(__xludf.DUMMYFUNCTION("""COMPUTED_VALUE"""),-0.741150968089272)</f>
        <v>-0.74115096808927206</v>
      </c>
      <c r="BU9" s="3">
        <f ca="1">IFERROR(__xludf.DUMMYFUNCTION("""COMPUTED_VALUE"""),-0.714024292279993)</f>
        <v>-0.71402429227999298</v>
      </c>
      <c r="BV9" s="3">
        <f ca="1">IFERROR(__xludf.DUMMYFUNCTION("""COMPUTED_VALUE"""),-0.582245816761035)</f>
        <v>-0.58224581676103504</v>
      </c>
      <c r="BW9" s="3">
        <f ca="1">IFERROR(__xludf.DUMMYFUNCTION("""COMPUTED_VALUE"""),-0.618303018550385)</f>
        <v>-0.61830301855038505</v>
      </c>
      <c r="BX9" s="3">
        <f ca="1">IFERROR(__xludf.DUMMYFUNCTION("""COMPUTED_VALUE"""),-0.71774286987792)</f>
        <v>-0.71774286987792002</v>
      </c>
      <c r="BY9" s="3">
        <f ca="1">IFERROR(__xludf.DUMMYFUNCTION("""COMPUTED_VALUE"""),-0.697442965316383)</f>
        <v>-0.69744296531638295</v>
      </c>
      <c r="BZ9" s="3">
        <f ca="1">IFERROR(__xludf.DUMMYFUNCTION("""COMPUTED_VALUE"""),-0.706554773703036)</f>
        <v>-0.70655477370303599</v>
      </c>
      <c r="CA9" s="3">
        <f ca="1">IFERROR(__xludf.DUMMYFUNCTION("""COMPUTED_VALUE"""),-0.690999513947509)</f>
        <v>-0.69099951394750903</v>
      </c>
      <c r="CB9" s="3">
        <f ca="1">IFERROR(__xludf.DUMMYFUNCTION("""COMPUTED_VALUE"""),-0.650226477032255)</f>
        <v>-0.650226477032255</v>
      </c>
      <c r="CC9" s="3">
        <f ca="1">IFERROR(__xludf.DUMMYFUNCTION("""COMPUTED_VALUE"""),-0.589901752053361)</f>
        <v>-0.58990175205336104</v>
      </c>
      <c r="CD9" s="3">
        <f ca="1">IFERROR(__xludf.DUMMYFUNCTION("""COMPUTED_VALUE"""),-0.57684411050759)</f>
        <v>-0.57684411050758999</v>
      </c>
      <c r="CE9" s="3">
        <f ca="1">IFERROR(__xludf.DUMMYFUNCTION("""COMPUTED_VALUE"""),-0.67034545502116)</f>
        <v>-0.67034545502116005</v>
      </c>
      <c r="CF9" s="3">
        <f ca="1">IFERROR(__xludf.DUMMYFUNCTION("""COMPUTED_VALUE"""),-0.695441874731077)</f>
        <v>-0.69544187473107699</v>
      </c>
      <c r="CG9" s="3">
        <f ca="1">IFERROR(__xludf.DUMMYFUNCTION("""COMPUTED_VALUE"""),-0.702658274851036)</f>
        <v>-0.70265827485103605</v>
      </c>
      <c r="CH9" s="3">
        <f ca="1">IFERROR(__xludf.DUMMYFUNCTION("""COMPUTED_VALUE"""),-0.688770450744619)</f>
        <v>-0.68877045074461896</v>
      </c>
      <c r="CI9" s="3">
        <f ca="1">IFERROR(__xludf.DUMMYFUNCTION("""COMPUTED_VALUE"""),-0.661251410915404)</f>
        <v>-0.66125141091540396</v>
      </c>
      <c r="CJ9" s="3">
        <f ca="1">IFERROR(__xludf.DUMMYFUNCTION("""COMPUTED_VALUE"""),-0.571060013195135)</f>
        <v>-0.571060013195135</v>
      </c>
      <c r="CK9" s="3">
        <f ca="1">IFERROR(__xludf.DUMMYFUNCTION("""COMPUTED_VALUE"""),-0.620575070072231)</f>
        <v>-0.62057507007223101</v>
      </c>
      <c r="CL9" s="3">
        <f ca="1">IFERROR(__xludf.DUMMYFUNCTION("""COMPUTED_VALUE"""),-0.676430247118008)</f>
        <v>-0.67643024711800803</v>
      </c>
      <c r="CM9" s="3">
        <f ca="1">IFERROR(__xludf.DUMMYFUNCTION("""COMPUTED_VALUE"""),-0.69557538664338)</f>
        <v>-0.69557538664338003</v>
      </c>
      <c r="CN9" s="3">
        <f ca="1">IFERROR(__xludf.DUMMYFUNCTION("""COMPUTED_VALUE"""),-0.700228371080934)</f>
        <v>-0.70022837108093405</v>
      </c>
      <c r="CO9" s="3">
        <f ca="1">IFERROR(__xludf.DUMMYFUNCTION("""COMPUTED_VALUE"""),-0.696870722774339)</f>
        <v>-0.69687072277433904</v>
      </c>
      <c r="CP9" s="3">
        <f ca="1">IFERROR(__xludf.DUMMYFUNCTION("""COMPUTED_VALUE"""),-0.662692181558246)</f>
        <v>-0.66269218155824605</v>
      </c>
      <c r="CQ9" s="3">
        <f ca="1">IFERROR(__xludf.DUMMYFUNCTION("""COMPUTED_VALUE"""),-0.576718094376031)</f>
        <v>-0.57671809437603105</v>
      </c>
      <c r="CR9" s="3">
        <f ca="1">IFERROR(__xludf.DUMMYFUNCTION("""COMPUTED_VALUE"""),-0.56882792599674)</f>
        <v>-0.56882792599674004</v>
      </c>
      <c r="CS9" s="3">
        <f ca="1">IFERROR(__xludf.DUMMYFUNCTION("""COMPUTED_VALUE"""),-0.660966299652263)</f>
        <v>-0.66096629965226295</v>
      </c>
      <c r="CT9" s="3">
        <f ca="1">IFERROR(__xludf.DUMMYFUNCTION("""COMPUTED_VALUE"""),-0.673037408916259)</f>
        <v>-0.67303740891625896</v>
      </c>
      <c r="CU9" s="3">
        <f ca="1">IFERROR(__xludf.DUMMYFUNCTION("""COMPUTED_VALUE"""),-0.624022368295564)</f>
        <v>-0.62402236829556401</v>
      </c>
      <c r="CV9" s="3">
        <f ca="1">IFERROR(__xludf.DUMMYFUNCTION("""COMPUTED_VALUE"""),-0.663449971540183)</f>
        <v>-0.66344997154018304</v>
      </c>
      <c r="CW9" s="3">
        <f ca="1">IFERROR(__xludf.DUMMYFUNCTION("""COMPUTED_VALUE"""),-0.654686115674995)</f>
        <v>-0.65468611567499502</v>
      </c>
      <c r="CX9" s="3">
        <f ca="1">IFERROR(__xludf.DUMMYFUNCTION("""COMPUTED_VALUE"""),-0.580575472754855)</f>
        <v>-0.58057547275485499</v>
      </c>
      <c r="CY9" s="3">
        <f ca="1">IFERROR(__xludf.DUMMYFUNCTION("""COMPUTED_VALUE"""),-0.571803135623653)</f>
        <v>-0.57180313562365304</v>
      </c>
      <c r="CZ9" s="3">
        <f ca="1">IFERROR(__xludf.DUMMYFUNCTION("""COMPUTED_VALUE"""),-0.759310767645309)</f>
        <v>-0.75931076764530903</v>
      </c>
      <c r="DA9" s="3">
        <f ca="1">IFERROR(__xludf.DUMMYFUNCTION("""COMPUTED_VALUE"""),-0.640956439730538)</f>
        <v>-0.64095643973053795</v>
      </c>
      <c r="DB9" s="3">
        <f ca="1">IFERROR(__xludf.DUMMYFUNCTION("""COMPUTED_VALUE"""),-0.462331487931103)</f>
        <v>-0.46233148793110301</v>
      </c>
      <c r="DC9" s="3">
        <f ca="1">IFERROR(__xludf.DUMMYFUNCTION("""COMPUTED_VALUE"""),-0.601159410492292)</f>
        <v>-0.60115941049229205</v>
      </c>
      <c r="DD9" s="3">
        <f ca="1">IFERROR(__xludf.DUMMYFUNCTION("""COMPUTED_VALUE"""),-0.636364009219892)</f>
        <v>-0.636364009219892</v>
      </c>
      <c r="DE9" s="3">
        <f ca="1">IFERROR(__xludf.DUMMYFUNCTION("""COMPUTED_VALUE"""),-0.562536204953757)</f>
        <v>-0.562536204953757</v>
      </c>
      <c r="DF9" s="3">
        <f ca="1">IFERROR(__xludf.DUMMYFUNCTION("""COMPUTED_VALUE"""),-0.56632774068783)</f>
        <v>-0.56632774068782998</v>
      </c>
      <c r="DG9" s="3">
        <f ca="1">IFERROR(__xludf.DUMMYFUNCTION("""COMPUTED_VALUE"""),-0.874246937466823)</f>
        <v>-0.87424693746682303</v>
      </c>
      <c r="DH9" s="3">
        <f ca="1">IFERROR(__xludf.DUMMYFUNCTION("""COMPUTED_VALUE"""),-0.640661395807859)</f>
        <v>-0.64066139580785897</v>
      </c>
      <c r="DI9" s="3">
        <f ca="1">IFERROR(__xludf.DUMMYFUNCTION("""COMPUTED_VALUE"""),-0.389638208662442)</f>
        <v>-0.38963820866244198</v>
      </c>
      <c r="DJ9" s="3">
        <f ca="1">IFERROR(__xludf.DUMMYFUNCTION("""COMPUTED_VALUE"""),-0.548522884233243)</f>
        <v>-0.54852288423324302</v>
      </c>
      <c r="DK9" s="3">
        <f ca="1">IFERROR(__xludf.DUMMYFUNCTION("""COMPUTED_VALUE"""),-0.595461000460962)</f>
        <v>-0.59546100046096195</v>
      </c>
      <c r="DL9" s="3">
        <f ca="1">IFERROR(__xludf.DUMMYFUNCTION("""COMPUTED_VALUE"""),-0.529591915479538)</f>
        <v>-0.52959191547953799</v>
      </c>
      <c r="DM9" s="3">
        <f ca="1">IFERROR(__xludf.DUMMYFUNCTION("""COMPUTED_VALUE"""),-0.504911524216894)</f>
        <v>-0.504911524216894</v>
      </c>
      <c r="DN9" s="3">
        <f ca="1">IFERROR(__xludf.DUMMYFUNCTION("""COMPUTED_VALUE"""),-0.598174041523233)</f>
        <v>-0.59817404152323295</v>
      </c>
      <c r="DO9" s="3">
        <f ca="1">IFERROR(__xludf.DUMMYFUNCTION("""COMPUTED_VALUE"""),-0.721774502398774)</f>
        <v>-0.72177450239877405</v>
      </c>
      <c r="DP9" s="3">
        <f ca="1">IFERROR(__xludf.DUMMYFUNCTION("""COMPUTED_VALUE"""),-0.581635192036671)</f>
        <v>-0.58163519203667102</v>
      </c>
      <c r="DQ9" s="3">
        <f ca="1">IFERROR(__xludf.DUMMYFUNCTION("""COMPUTED_VALUE"""),-0.635374059600335)</f>
        <v>-0.63537405960033499</v>
      </c>
      <c r="DR9" s="3">
        <f ca="1">IFERROR(__xludf.DUMMYFUNCTION("""COMPUTED_VALUE"""),-0.676698043120187)</f>
        <v>-0.676698043120187</v>
      </c>
      <c r="DS9" s="3">
        <f ca="1">IFERROR(__xludf.DUMMYFUNCTION("""COMPUTED_VALUE"""),-0.534839264848672)</f>
        <v>-0.53483926484867195</v>
      </c>
      <c r="DT9" s="3">
        <f ca="1">IFERROR(__xludf.DUMMYFUNCTION("""COMPUTED_VALUE"""),-0.582168845798587)</f>
        <v>-0.58216884579858696</v>
      </c>
      <c r="DU9" s="3">
        <f ca="1">IFERROR(__xludf.DUMMYFUNCTION("""COMPUTED_VALUE"""),-0.669077458992211)</f>
        <v>-0.66907745899221105</v>
      </c>
      <c r="DV9" s="3">
        <f ca="1">IFERROR(__xludf.DUMMYFUNCTION("""COMPUTED_VALUE"""),-0.694848057993229)</f>
        <v>-0.69484805799322902</v>
      </c>
      <c r="DW9" s="3">
        <f ca="1">IFERROR(__xludf.DUMMYFUNCTION("""COMPUTED_VALUE"""),-0.710008320483323)</f>
        <v>-0.71000832048332296</v>
      </c>
      <c r="DX9" s="3">
        <f ca="1">IFERROR(__xludf.DUMMYFUNCTION("""COMPUTED_VALUE"""),-0.669945987433475)</f>
        <v>-0.669945987433475</v>
      </c>
      <c r="DY9" s="3">
        <f ca="1">IFERROR(__xludf.DUMMYFUNCTION("""COMPUTED_VALUE"""),-0.692450388999764)</f>
        <v>-0.69245038899976397</v>
      </c>
      <c r="DZ9" s="3">
        <f ca="1">IFERROR(__xludf.DUMMYFUNCTION("""COMPUTED_VALUE"""),-0.557081482075077)</f>
        <v>-0.55708148207507702</v>
      </c>
      <c r="EA9" s="3">
        <f ca="1">IFERROR(__xludf.DUMMYFUNCTION("""COMPUTED_VALUE"""),-0.65039615881836)</f>
        <v>-0.65039615881835999</v>
      </c>
      <c r="EB9" s="3">
        <f ca="1">IFERROR(__xludf.DUMMYFUNCTION("""COMPUTED_VALUE"""),-0.627140232647247)</f>
        <v>-0.62714023264724705</v>
      </c>
      <c r="EC9" s="3">
        <f ca="1">IFERROR(__xludf.DUMMYFUNCTION("""COMPUTED_VALUE"""),-0.599757727575107)</f>
        <v>-0.59975772757510704</v>
      </c>
      <c r="ED9" s="3">
        <f ca="1">IFERROR(__xludf.DUMMYFUNCTION("""COMPUTED_VALUE"""),-0.698358332919093)</f>
        <v>-0.69835833291909299</v>
      </c>
      <c r="EE9" s="3">
        <f ca="1">IFERROR(__xludf.DUMMYFUNCTION("""COMPUTED_VALUE"""),-0.66507917516381)</f>
        <v>-0.66507917516380999</v>
      </c>
      <c r="EF9" s="3">
        <f ca="1">IFERROR(__xludf.DUMMYFUNCTION("""COMPUTED_VALUE"""),-0.708439658858165)</f>
        <v>-0.70843965885816496</v>
      </c>
      <c r="EG9" s="3">
        <f ca="1">IFERROR(__xludf.DUMMYFUNCTION("""COMPUTED_VALUE"""),-0.522839478437362)</f>
        <v>-0.522839478437362</v>
      </c>
      <c r="EH9" s="3">
        <f ca="1">IFERROR(__xludf.DUMMYFUNCTION("""COMPUTED_VALUE"""),-0.586779673304386)</f>
        <v>-0.58677967330438596</v>
      </c>
      <c r="EI9" s="3">
        <f ca="1">IFERROR(__xludf.DUMMYFUNCTION("""COMPUTED_VALUE"""),-0.681733101237339)</f>
        <v>-0.68173310123733899</v>
      </c>
      <c r="EJ9" s="3">
        <f ca="1">IFERROR(__xludf.DUMMYFUNCTION("""COMPUTED_VALUE"""),-0.817709002915293)</f>
        <v>-0.81770900291529303</v>
      </c>
      <c r="EK9" s="3">
        <f ca="1">IFERROR(__xludf.DUMMYFUNCTION("""COMPUTED_VALUE"""),-0.683536805551783)</f>
        <v>-0.68353680555178298</v>
      </c>
      <c r="EL9" s="3">
        <f ca="1">IFERROR(__xludf.DUMMYFUNCTION("""COMPUTED_VALUE"""),-0.647446328769205)</f>
        <v>-0.64744632876920505</v>
      </c>
      <c r="EM9" s="3">
        <f ca="1">IFERROR(__xludf.DUMMYFUNCTION("""COMPUTED_VALUE"""),-0.701293053542582)</f>
        <v>-0.70129305354258198</v>
      </c>
      <c r="EN9" s="3">
        <f ca="1">IFERROR(__xludf.DUMMYFUNCTION("""COMPUTED_VALUE"""),-0.524574452167233)</f>
        <v>-0.52457445216723297</v>
      </c>
      <c r="EO9" s="3">
        <f ca="1">IFERROR(__xludf.DUMMYFUNCTION("""COMPUTED_VALUE"""),-0.536065153153542)</f>
        <v>-0.53606515315354197</v>
      </c>
      <c r="EP9" s="3">
        <f ca="1">IFERROR(__xludf.DUMMYFUNCTION("""COMPUTED_VALUE"""),-0.621356014663312)</f>
        <v>-0.62135601466331203</v>
      </c>
      <c r="EQ9" s="3">
        <f ca="1">IFERROR(__xludf.DUMMYFUNCTION("""COMPUTED_VALUE"""),-0.594459356539604)</f>
        <v>-0.59445935653960402</v>
      </c>
      <c r="ER9" s="3">
        <f ca="1">IFERROR(__xludf.DUMMYFUNCTION("""COMPUTED_VALUE"""),-0.671832761910112)</f>
        <v>-0.67183276191011199</v>
      </c>
      <c r="ES9" s="3">
        <f ca="1">IFERROR(__xludf.DUMMYFUNCTION("""COMPUTED_VALUE"""),-0.689606226290701)</f>
        <v>-0.68960622629070101</v>
      </c>
      <c r="ET9" s="3">
        <f ca="1">IFERROR(__xludf.DUMMYFUNCTION("""COMPUTED_VALUE"""),-0.653054582565564)</f>
        <v>-0.65305458256556403</v>
      </c>
      <c r="EU9" s="3">
        <f ca="1">IFERROR(__xludf.DUMMYFUNCTION("""COMPUTED_VALUE"""),-0.516187032872065)</f>
        <v>-0.51618703287206502</v>
      </c>
      <c r="EV9" s="3">
        <f ca="1">IFERROR(__xludf.DUMMYFUNCTION("""COMPUTED_VALUE"""),-0.550635789652575)</f>
        <v>-0.55063578965257498</v>
      </c>
      <c r="EW9" s="3">
        <f ca="1">IFERROR(__xludf.DUMMYFUNCTION("""COMPUTED_VALUE"""),-0.682548434256097)</f>
        <v>-0.68254843425609701</v>
      </c>
      <c r="EX9" s="3">
        <f ca="1">IFERROR(__xludf.DUMMYFUNCTION("""COMPUTED_VALUE"""),-0.684612928923211)</f>
        <v>-0.68461292892321102</v>
      </c>
      <c r="EY9" s="3">
        <f ca="1">IFERROR(__xludf.DUMMYFUNCTION("""COMPUTED_VALUE"""),-0.690675284590608)</f>
        <v>-0.69067528459060801</v>
      </c>
      <c r="EZ9" s="3">
        <f ca="1">IFERROR(__xludf.DUMMYFUNCTION("""COMPUTED_VALUE"""),-0.679599148316826)</f>
        <v>-0.679599148316826</v>
      </c>
      <c r="FA9" s="3">
        <f ca="1">IFERROR(__xludf.DUMMYFUNCTION("""COMPUTED_VALUE"""),-0.65163115327937)</f>
        <v>-0.65163115327937005</v>
      </c>
      <c r="FB9" s="3">
        <f ca="1">IFERROR(__xludf.DUMMYFUNCTION("""COMPUTED_VALUE"""),-0.546858617738146)</f>
        <v>-0.54685861773814604</v>
      </c>
      <c r="FC9" s="3">
        <f ca="1">IFERROR(__xludf.DUMMYFUNCTION("""COMPUTED_VALUE"""),-0.550889164300996)</f>
        <v>-0.55088916430099599</v>
      </c>
      <c r="FD9" s="3">
        <f ca="1">IFERROR(__xludf.DUMMYFUNCTION("""COMPUTED_VALUE"""),-0.667762197310837)</f>
        <v>-0.66776219731083697</v>
      </c>
      <c r="FE9" s="3">
        <f ca="1">IFERROR(__xludf.DUMMYFUNCTION("""COMPUTED_VALUE"""),-0.676263333970132)</f>
        <v>-0.67626333397013205</v>
      </c>
      <c r="FF9" s="3">
        <f ca="1">IFERROR(__xludf.DUMMYFUNCTION("""COMPUTED_VALUE"""),-0.681599209942255)</f>
        <v>-0.68159920994225498</v>
      </c>
      <c r="FG9" s="3">
        <f ca="1">IFERROR(__xludf.DUMMYFUNCTION("""COMPUTED_VALUE"""),-0.668890818427166)</f>
        <v>-0.66889081842716602</v>
      </c>
      <c r="FH9" s="3">
        <f ca="1">IFERROR(__xludf.DUMMYFUNCTION("""COMPUTED_VALUE"""),-0.634471181845053)</f>
        <v>-0.63447118184505302</v>
      </c>
      <c r="FI9" s="3">
        <f ca="1">IFERROR(__xludf.DUMMYFUNCTION("""COMPUTED_VALUE"""),-0.523923738263271)</f>
        <v>-0.52392373826327099</v>
      </c>
      <c r="FJ9" s="3">
        <f ca="1">IFERROR(__xludf.DUMMYFUNCTION("""COMPUTED_VALUE"""),-0.549649443795273)</f>
        <v>-0.54964944379527303</v>
      </c>
      <c r="FK9" s="3">
        <f ca="1">IFERROR(__xludf.DUMMYFUNCTION("""COMPUTED_VALUE"""),-0.703791278617811)</f>
        <v>-0.70379127861781099</v>
      </c>
      <c r="FL9" s="3">
        <f ca="1">IFERROR(__xludf.DUMMYFUNCTION("""COMPUTED_VALUE"""),-0.702094681195467)</f>
        <v>-0.70209468119546703</v>
      </c>
      <c r="FM9" s="3">
        <f ca="1">IFERROR(__xludf.DUMMYFUNCTION("""COMPUTED_VALUE"""),-0.696294068114613)</f>
        <v>-0.69629406811461303</v>
      </c>
      <c r="FN9" s="3">
        <f ca="1">IFERROR(__xludf.DUMMYFUNCTION("""COMPUTED_VALUE"""),-0.680561862905998)</f>
        <v>-0.68056186290599796</v>
      </c>
      <c r="FO9" s="3">
        <f ca="1">IFERROR(__xludf.DUMMYFUNCTION("""COMPUTED_VALUE"""),-0.700963768734351)</f>
        <v>-0.70096376873435096</v>
      </c>
      <c r="FP9" s="3">
        <f ca="1">IFERROR(__xludf.DUMMYFUNCTION("""COMPUTED_VALUE"""),-0.51950902450857)</f>
        <v>-0.51950902450856995</v>
      </c>
      <c r="FQ9" s="3">
        <f ca="1">IFERROR(__xludf.DUMMYFUNCTION("""COMPUTED_VALUE"""),-0.537089060861746)</f>
        <v>-0.53708906086174601</v>
      </c>
      <c r="FR9" s="3">
        <f ca="1">IFERROR(__xludf.DUMMYFUNCTION("""COMPUTED_VALUE"""),-0.670190680035533)</f>
        <v>-0.67019068003553295</v>
      </c>
      <c r="FS9" s="3">
        <f ca="1">IFERROR(__xludf.DUMMYFUNCTION("""COMPUTED_VALUE"""),-0.673589586099016)</f>
        <v>-0.67358958609901598</v>
      </c>
      <c r="FT9" s="3">
        <f ca="1">IFERROR(__xludf.DUMMYFUNCTION("""COMPUTED_VALUE"""),-0.673593029106143)</f>
        <v>-0.67359302910614305</v>
      </c>
      <c r="FU9" s="3">
        <f ca="1">IFERROR(__xludf.DUMMYFUNCTION("""COMPUTED_VALUE"""),-0.671139608787421)</f>
        <v>-0.67113960878742096</v>
      </c>
      <c r="FV9" s="3">
        <f ca="1">IFERROR(__xludf.DUMMYFUNCTION("""COMPUTED_VALUE"""),-0.644069239832074)</f>
        <v>-0.64406923983207398</v>
      </c>
      <c r="FW9" s="3">
        <f ca="1">IFERROR(__xludf.DUMMYFUNCTION("""COMPUTED_VALUE"""),-0.50244651454331)</f>
        <v>-0.50244651454331002</v>
      </c>
      <c r="FX9" s="3">
        <f ca="1">IFERROR(__xludf.DUMMYFUNCTION("""COMPUTED_VALUE"""),-0.549924033467837)</f>
        <v>-0.54992403346783703</v>
      </c>
      <c r="FY9" s="3">
        <f ca="1">IFERROR(__xludf.DUMMYFUNCTION("""COMPUTED_VALUE"""),-0.679283552790309)</f>
        <v>-0.67928355279030905</v>
      </c>
      <c r="FZ9" s="3">
        <f ca="1">IFERROR(__xludf.DUMMYFUNCTION("""COMPUTED_VALUE"""),-0.668612240823411)</f>
        <v>-0.66861224082341097</v>
      </c>
      <c r="GA9" s="3">
        <f ca="1">IFERROR(__xludf.DUMMYFUNCTION("""COMPUTED_VALUE"""),-0.653105746982953)</f>
        <v>-0.65310574698295298</v>
      </c>
      <c r="GB9" s="3">
        <f ca="1">IFERROR(__xludf.DUMMYFUNCTION("""COMPUTED_VALUE"""),-0.706113737261403)</f>
        <v>-0.70611373726140303</v>
      </c>
      <c r="GC9" s="3">
        <f ca="1">IFERROR(__xludf.DUMMYFUNCTION("""COMPUTED_VALUE"""),-0.673073395253982)</f>
        <v>-0.67307339525398202</v>
      </c>
      <c r="GD9" s="3">
        <f ca="1">IFERROR(__xludf.DUMMYFUNCTION("""COMPUTED_VALUE"""),-0.524130369639323)</f>
        <v>-0.52413036963932302</v>
      </c>
      <c r="GE9" s="3">
        <f ca="1">IFERROR(__xludf.DUMMYFUNCTION("""COMPUTED_VALUE"""),-0.531517885419996)</f>
        <v>-0.53151788541999601</v>
      </c>
      <c r="GF9" s="3">
        <f ca="1">IFERROR(__xludf.DUMMYFUNCTION("""COMPUTED_VALUE"""),-0.663162241504041)</f>
        <v>-0.66316224150404102</v>
      </c>
      <c r="GG9" s="3">
        <f ca="1">IFERROR(__xludf.DUMMYFUNCTION("""COMPUTED_VALUE"""),-0.668375362778134)</f>
        <v>-0.66837536277813403</v>
      </c>
      <c r="GH9" s="3">
        <f ca="1">IFERROR(__xludf.DUMMYFUNCTION("""COMPUTED_VALUE"""),-0.661288323497526)</f>
        <v>-0.66128832349752598</v>
      </c>
      <c r="GI9" s="3">
        <f ca="1">IFERROR(__xludf.DUMMYFUNCTION("""COMPUTED_VALUE"""),-0.666082962746224)</f>
        <v>-0.66608296274622403</v>
      </c>
      <c r="GJ9" s="3">
        <f ca="1">IFERROR(__xludf.DUMMYFUNCTION("""COMPUTED_VALUE"""),-0.619902537015879)</f>
        <v>-0.61990253701587905</v>
      </c>
      <c r="GK9" s="3">
        <f ca="1">IFERROR(__xludf.DUMMYFUNCTION("""COMPUTED_VALUE"""),-0.530908535086559)</f>
        <v>-0.530908535086559</v>
      </c>
      <c r="GL9" s="3">
        <f ca="1">IFERROR(__xludf.DUMMYFUNCTION("""COMPUTED_VALUE"""),-0.529064290734452)</f>
        <v>-0.52906429073445205</v>
      </c>
      <c r="GM9" s="3">
        <f ca="1">IFERROR(__xludf.DUMMYFUNCTION("""COMPUTED_VALUE"""),-0.650885945494483)</f>
        <v>-0.65088594549448298</v>
      </c>
      <c r="GN9" s="3">
        <f ca="1">IFERROR(__xludf.DUMMYFUNCTION("""COMPUTED_VALUE"""),-0.662297902210144)</f>
        <v>-0.66229790221014395</v>
      </c>
      <c r="GO9" s="3">
        <f ca="1">IFERROR(__xludf.DUMMYFUNCTION("""COMPUTED_VALUE"""),-0.671523233172358)</f>
        <v>-0.67152323317235796</v>
      </c>
      <c r="GP9" s="3">
        <f ca="1">IFERROR(__xludf.DUMMYFUNCTION("""COMPUTED_VALUE"""),-0.665393900256927)</f>
        <v>-0.66539390025692702</v>
      </c>
      <c r="GQ9" s="3">
        <f ca="1">IFERROR(__xludf.DUMMYFUNCTION("""COMPUTED_VALUE"""),-0.671262240337208)</f>
        <v>-0.67126224033720805</v>
      </c>
      <c r="GR9" s="3">
        <f ca="1">IFERROR(__xludf.DUMMYFUNCTION("""COMPUTED_VALUE"""),-0.522796474620785)</f>
        <v>-0.52279647462078505</v>
      </c>
      <c r="GS9" s="3">
        <f ca="1">IFERROR(__xludf.DUMMYFUNCTION("""COMPUTED_VALUE"""),-0.531219628846222)</f>
        <v>-0.53121962884622198</v>
      </c>
      <c r="GT9" s="3">
        <f ca="1">IFERROR(__xludf.DUMMYFUNCTION("""COMPUTED_VALUE"""),-0.647998047557873)</f>
        <v>-0.64799804755787305</v>
      </c>
      <c r="GU9" s="3">
        <f ca="1">IFERROR(__xludf.DUMMYFUNCTION("""COMPUTED_VALUE"""),-0.664680695542327)</f>
        <v>-0.664680695542327</v>
      </c>
      <c r="GV9" s="3">
        <f ca="1">IFERROR(__xludf.DUMMYFUNCTION("""COMPUTED_VALUE"""),-0.667662590145874)</f>
        <v>-0.66766259014587404</v>
      </c>
      <c r="GW9" s="3">
        <f ca="1">IFERROR(__xludf.DUMMYFUNCTION("""COMPUTED_VALUE"""),-0.671547312447966)</f>
        <v>-0.67154731244796595</v>
      </c>
      <c r="GX9" s="3">
        <f ca="1">IFERROR(__xludf.DUMMYFUNCTION("""COMPUTED_VALUE"""),-0.661349247773613)</f>
        <v>-0.66134924777361304</v>
      </c>
      <c r="GY9" s="3">
        <f ca="1">IFERROR(__xludf.DUMMYFUNCTION("""COMPUTED_VALUE"""),-0.523388669598487)</f>
        <v>-0.52338866959848696</v>
      </c>
      <c r="GZ9" s="3">
        <f ca="1">IFERROR(__xludf.DUMMYFUNCTION("""COMPUTED_VALUE"""),-0.529728258331838)</f>
        <v>-0.52972825833183801</v>
      </c>
      <c r="HA9" s="3">
        <f ca="1">IFERROR(__xludf.DUMMYFUNCTION("""COMPUTED_VALUE"""),-0.642344520334176)</f>
        <v>-0.64234452033417599</v>
      </c>
      <c r="HB9" s="3">
        <f ca="1">IFERROR(__xludf.DUMMYFUNCTION("""COMPUTED_VALUE"""),-0.652625531583194)</f>
        <v>-0.65262553158319403</v>
      </c>
      <c r="HC9" s="3">
        <f ca="1">IFERROR(__xludf.DUMMYFUNCTION("""COMPUTED_VALUE"""),-0.655736407360446)</f>
        <v>-0.65573640736044603</v>
      </c>
      <c r="HD9" s="3">
        <f ca="1">IFERROR(__xludf.DUMMYFUNCTION("""COMPUTED_VALUE"""),-0.652812744356338)</f>
        <v>-0.65281274435633796</v>
      </c>
      <c r="HE9" s="3">
        <f ca="1">IFERROR(__xludf.DUMMYFUNCTION("""COMPUTED_VALUE"""),-0.654991481507105)</f>
        <v>-0.65499148150710496</v>
      </c>
      <c r="HF9" s="3">
        <f ca="1">IFERROR(__xludf.DUMMYFUNCTION("""COMPUTED_VALUE"""),-0.51483489012585)</f>
        <v>-0.51483489012585004</v>
      </c>
      <c r="HG9" s="3">
        <f ca="1">IFERROR(__xludf.DUMMYFUNCTION("""COMPUTED_VALUE"""),-0.503003494889918)</f>
        <v>-0.50300349488991802</v>
      </c>
      <c r="HH9" s="3">
        <f ca="1">IFERROR(__xludf.DUMMYFUNCTION("""COMPUTED_VALUE"""),-0.646675944295352)</f>
        <v>-0.64667594429535202</v>
      </c>
      <c r="HI9" s="3">
        <f ca="1">IFERROR(__xludf.DUMMYFUNCTION("""COMPUTED_VALUE"""),-0.669823278753488)</f>
        <v>-0.66982327875348802</v>
      </c>
      <c r="HJ9" s="3">
        <f ca="1">IFERROR(__xludf.DUMMYFUNCTION("""COMPUTED_VALUE"""),-0.637647803077968)</f>
        <v>-0.63764780307796798</v>
      </c>
      <c r="HK9" s="3">
        <f ca="1">IFERROR(__xludf.DUMMYFUNCTION("""COMPUTED_VALUE"""),-0.637525411241626)</f>
        <v>-0.63752541124162598</v>
      </c>
      <c r="HL9" s="3">
        <f ca="1">IFERROR(__xludf.DUMMYFUNCTION("""COMPUTED_VALUE"""),-0.651915012078102)</f>
        <v>-0.65191501207810199</v>
      </c>
      <c r="HM9" s="3">
        <f ca="1">IFERROR(__xludf.DUMMYFUNCTION("""COMPUTED_VALUE"""),-0.493694178501223)</f>
        <v>-0.49369417850122299</v>
      </c>
      <c r="HN9" s="3">
        <f ca="1">IFERROR(__xludf.DUMMYFUNCTION("""COMPUTED_VALUE"""),-0.482337325971273)</f>
        <v>-0.48233732597127299</v>
      </c>
      <c r="HO9" s="3">
        <f ca="1">IFERROR(__xludf.DUMMYFUNCTION("""COMPUTED_VALUE"""),-0.600764536185712)</f>
        <v>-0.60076453618571202</v>
      </c>
      <c r="HP9" s="3">
        <f ca="1">IFERROR(__xludf.DUMMYFUNCTION("""COMPUTED_VALUE"""),-0.629486596231901)</f>
        <v>-0.62948659623190095</v>
      </c>
      <c r="HQ9" s="3">
        <f ca="1">IFERROR(__xludf.DUMMYFUNCTION("""COMPUTED_VALUE"""),-0.645134212451752)</f>
        <v>-0.64513421245175195</v>
      </c>
      <c r="HR9" s="3">
        <f ca="1">IFERROR(__xludf.DUMMYFUNCTION("""COMPUTED_VALUE"""),-0.601148129275295)</f>
        <v>-0.60114812927529504</v>
      </c>
      <c r="HS9" s="3">
        <f ca="1">IFERROR(__xludf.DUMMYFUNCTION("""COMPUTED_VALUE"""),-0.538725852964548)</f>
        <v>-0.538725852964548</v>
      </c>
      <c r="HT9" s="3">
        <f ca="1">IFERROR(__xludf.DUMMYFUNCTION("""COMPUTED_VALUE"""),-0.463611681811307)</f>
        <v>-0.46361168181130702</v>
      </c>
      <c r="HU9" s="3">
        <f ca="1">IFERROR(__xludf.DUMMYFUNCTION("""COMPUTED_VALUE"""),-0.538002963557919)</f>
        <v>-0.53800296355791899</v>
      </c>
      <c r="HV9" s="3">
        <f ca="1">IFERROR(__xludf.DUMMYFUNCTION("""COMPUTED_VALUE"""),-0.606295860257366)</f>
        <v>-0.60629586025736604</v>
      </c>
      <c r="HW9" s="3">
        <f ca="1">IFERROR(__xludf.DUMMYFUNCTION("""COMPUTED_VALUE"""),-0.660834300610834)</f>
        <v>-0.66083430061083404</v>
      </c>
      <c r="HX9" s="3">
        <f ca="1">IFERROR(__xludf.DUMMYFUNCTION("""COMPUTED_VALUE"""),-0.610852474054496)</f>
        <v>-0.61085247405449605</v>
      </c>
      <c r="HY9" s="3">
        <f ca="1">IFERROR(__xludf.DUMMYFUNCTION("""COMPUTED_VALUE"""),-0.606956100334996)</f>
        <v>-0.60695610033499603</v>
      </c>
      <c r="HZ9" s="3">
        <f ca="1">IFERROR(__xludf.DUMMYFUNCTION("""COMPUTED_VALUE"""),-0.515052971321462)</f>
        <v>-0.51505297132146199</v>
      </c>
      <c r="IA9" s="3">
        <f ca="1">IFERROR(__xludf.DUMMYFUNCTION("""COMPUTED_VALUE"""),-0.495131305382895)</f>
        <v>-0.49513130538289502</v>
      </c>
      <c r="IB9" s="3">
        <f ca="1">IFERROR(__xludf.DUMMYFUNCTION("""COMPUTED_VALUE"""),-0.496915100895185)</f>
        <v>-0.49691510089518498</v>
      </c>
      <c r="IC9" s="3">
        <f ca="1">IFERROR(__xludf.DUMMYFUNCTION("""COMPUTED_VALUE"""),-0.565792870246504)</f>
        <v>-0.56579287024650404</v>
      </c>
      <c r="ID9" s="3">
        <f ca="1">IFERROR(__xludf.DUMMYFUNCTION("""COMPUTED_VALUE"""),-0.593058491194207)</f>
        <v>-0.59305849119420695</v>
      </c>
      <c r="IE9" s="3">
        <f ca="1">IFERROR(__xludf.DUMMYFUNCTION("""COMPUTED_VALUE"""),-0.59883605264695)</f>
        <v>-0.59883605264694995</v>
      </c>
      <c r="IF9" s="3">
        <f ca="1">IFERROR(__xludf.DUMMYFUNCTION("""COMPUTED_VALUE"""),-0.596128882267761)</f>
        <v>-0.59612888226776095</v>
      </c>
      <c r="IG9" s="3">
        <f ca="1">IFERROR(__xludf.DUMMYFUNCTION("""COMPUTED_VALUE"""),-0.594340012446932)</f>
        <v>-0.59434001244693202</v>
      </c>
      <c r="IH9" s="3">
        <f ca="1">IFERROR(__xludf.DUMMYFUNCTION("""COMPUTED_VALUE"""),-0.522100840662133)</f>
        <v>-0.52210084066213303</v>
      </c>
      <c r="II9" s="3">
        <f ca="1">IFERROR(__xludf.DUMMYFUNCTION("""COMPUTED_VALUE"""),-0.514161089971154)</f>
        <v>-0.51416108997115395</v>
      </c>
      <c r="IJ9" s="3">
        <f ca="1">IFERROR(__xludf.DUMMYFUNCTION("""COMPUTED_VALUE"""),-0.578098924708753)</f>
        <v>-0.57809892470875301</v>
      </c>
      <c r="IK9" s="3">
        <f ca="1">IFERROR(__xludf.DUMMYFUNCTION("""COMPUTED_VALUE"""),-0.598737828678053)</f>
        <v>-0.59873782867805303</v>
      </c>
      <c r="IL9" s="3">
        <f ca="1">IFERROR(__xludf.DUMMYFUNCTION("""COMPUTED_VALUE"""),-0.598023469769654)</f>
        <v>-0.59802346976965404</v>
      </c>
      <c r="IM9" s="3">
        <f ca="1">IFERROR(__xludf.DUMMYFUNCTION("""COMPUTED_VALUE"""),-0.586601467393528)</f>
        <v>-0.58660146739352803</v>
      </c>
      <c r="IN9" s="3">
        <f ca="1">IFERROR(__xludf.DUMMYFUNCTION("""COMPUTED_VALUE"""),-0.575426621634226)</f>
        <v>-0.57542662163422598</v>
      </c>
      <c r="IO9" s="3">
        <f ca="1">IFERROR(__xludf.DUMMYFUNCTION("""COMPUTED_VALUE"""),-0.480809370593692)</f>
        <v>-0.480809370593692</v>
      </c>
      <c r="IP9" s="3">
        <f ca="1">IFERROR(__xludf.DUMMYFUNCTION("""COMPUTED_VALUE"""),-0.495738833565305)</f>
        <v>-0.49573883356530501</v>
      </c>
      <c r="IQ9" s="3">
        <f ca="1">IFERROR(__xludf.DUMMYFUNCTION("""COMPUTED_VALUE"""),-0.590441318980699)</f>
        <v>-0.59044131898069896</v>
      </c>
      <c r="IR9" s="3">
        <f ca="1">IFERROR(__xludf.DUMMYFUNCTION("""COMPUTED_VALUE"""),-0.606356250606292)</f>
        <v>-0.60635625060629195</v>
      </c>
      <c r="IS9" s="3">
        <f ca="1">IFERROR(__xludf.DUMMYFUNCTION("""COMPUTED_VALUE"""),-0.600137983665716)</f>
        <v>-0.60013798366571602</v>
      </c>
      <c r="IT9" s="3">
        <f ca="1">IFERROR(__xludf.DUMMYFUNCTION("""COMPUTED_VALUE"""),-0.628219935157527)</f>
        <v>-0.62821993515752705</v>
      </c>
      <c r="IU9" s="3">
        <f ca="1">IFERROR(__xludf.DUMMYFUNCTION("""COMPUTED_VALUE"""),-0.587854779790456)</f>
        <v>-0.58785477979045597</v>
      </c>
      <c r="IV9" s="3">
        <f ca="1">IFERROR(__xludf.DUMMYFUNCTION("""COMPUTED_VALUE"""),-0.480940354308093)</f>
        <v>-0.48094035430809301</v>
      </c>
      <c r="IW9" s="3">
        <f ca="1">IFERROR(__xludf.DUMMYFUNCTION("""COMPUTED_VALUE"""),-0.481678607498462)</f>
        <v>-0.48167860749846197</v>
      </c>
      <c r="IX9" s="3">
        <f ca="1">IFERROR(__xludf.DUMMYFUNCTION("""COMPUTED_VALUE"""),-0.589653739119873)</f>
        <v>-0.58965373911987295</v>
      </c>
      <c r="IY9" s="3">
        <f ca="1">IFERROR(__xludf.DUMMYFUNCTION("""COMPUTED_VALUE"""),-0.618599050535401)</f>
        <v>-0.61859905053540098</v>
      </c>
      <c r="IZ9" s="3">
        <f ca="1">IFERROR(__xludf.DUMMYFUNCTION("""COMPUTED_VALUE"""),-0.613105471802247)</f>
        <v>-0.61310547180224695</v>
      </c>
      <c r="JA9" s="3">
        <f ca="1">IFERROR(__xludf.DUMMYFUNCTION("""COMPUTED_VALUE"""),-0.626047247906005)</f>
        <v>-0.62604724790600497</v>
      </c>
      <c r="JB9" s="3">
        <f ca="1">IFERROR(__xludf.DUMMYFUNCTION("""COMPUTED_VALUE"""),-0.613820566461893)</f>
        <v>-0.61382056646189298</v>
      </c>
      <c r="JC9" s="3">
        <f ca="1">IFERROR(__xludf.DUMMYFUNCTION("""COMPUTED_VALUE"""),-0.511491236517766)</f>
        <v>-0.51149123651776596</v>
      </c>
      <c r="JD9" s="3">
        <f ca="1">IFERROR(__xludf.DUMMYFUNCTION("""COMPUTED_VALUE"""),-0.494605705724932)</f>
        <v>-0.49460570572493201</v>
      </c>
      <c r="JE9" s="3">
        <f ca="1">IFERROR(__xludf.DUMMYFUNCTION("""COMPUTED_VALUE"""),-0.593334900515473)</f>
        <v>-0.593334900515473</v>
      </c>
      <c r="JF9" s="3">
        <f ca="1">IFERROR(__xludf.DUMMYFUNCTION("""COMPUTED_VALUE"""),-0.633532640430577)</f>
        <v>-0.633532640430577</v>
      </c>
      <c r="JG9" s="3">
        <f ca="1">IFERROR(__xludf.DUMMYFUNCTION("""COMPUTED_VALUE"""),-0.632739538999873)</f>
        <v>-0.63273953899987301</v>
      </c>
      <c r="JH9" s="3">
        <f ca="1">IFERROR(__xludf.DUMMYFUNCTION("""COMPUTED_VALUE"""),-0.620919078396744)</f>
        <v>-0.62091907839674398</v>
      </c>
      <c r="JI9" s="3">
        <f ca="1">IFERROR(__xludf.DUMMYFUNCTION("""COMPUTED_VALUE"""),-0.614326600221098)</f>
        <v>-0.61432660022109797</v>
      </c>
      <c r="JJ9" s="3">
        <f ca="1">IFERROR(__xludf.DUMMYFUNCTION("""COMPUTED_VALUE"""),-0.45177196861426)</f>
        <v>-0.45177196861426</v>
      </c>
      <c r="JK9" s="3">
        <f ca="1">IFERROR(__xludf.DUMMYFUNCTION("""COMPUTED_VALUE"""),-0.442831431731246)</f>
        <v>-0.44283143173124601</v>
      </c>
      <c r="JL9" s="3">
        <f ca="1">IFERROR(__xludf.DUMMYFUNCTION("""COMPUTED_VALUE"""),-0.592318833574746)</f>
        <v>-0.59231883357474602</v>
      </c>
      <c r="JM9" s="3">
        <f ca="1">IFERROR(__xludf.DUMMYFUNCTION("""COMPUTED_VALUE"""),-0.591317392162041)</f>
        <v>-0.59131739216204104</v>
      </c>
      <c r="JN9" s="3">
        <f ca="1">IFERROR(__xludf.DUMMYFUNCTION("""COMPUTED_VALUE"""),-0.596474208267576)</f>
        <v>-0.59647420826757602</v>
      </c>
      <c r="JO9" s="3">
        <f ca="1">IFERROR(__xludf.DUMMYFUNCTION("""COMPUTED_VALUE"""),-0.613278789140529)</f>
        <v>-0.61327878914052902</v>
      </c>
      <c r="JP9" s="3">
        <f ca="1">IFERROR(__xludf.DUMMYFUNCTION("""COMPUTED_VALUE"""),-0.60981544574926)</f>
        <v>-0.60981544574926005</v>
      </c>
      <c r="JQ9" s="3">
        <f ca="1">IFERROR(__xludf.DUMMYFUNCTION("""COMPUTED_VALUE"""),-0.427975766602059)</f>
        <v>-0.42797576660205899</v>
      </c>
      <c r="JR9" s="3">
        <f ca="1">IFERROR(__xludf.DUMMYFUNCTION("""COMPUTED_VALUE"""),-0.441144894659004)</f>
        <v>-0.44114489465900403</v>
      </c>
      <c r="JS9" s="3">
        <f ca="1">IFERROR(__xludf.DUMMYFUNCTION("""COMPUTED_VALUE"""),-0.563139337041923)</f>
        <v>-0.56313933704192298</v>
      </c>
      <c r="JT9" s="3">
        <f ca="1">IFERROR(__xludf.DUMMYFUNCTION("""COMPUTED_VALUE"""),-0.528061275260017)</f>
        <v>-0.528061275260017</v>
      </c>
      <c r="JU9" s="3">
        <f ca="1">IFERROR(__xludf.DUMMYFUNCTION("""COMPUTED_VALUE"""),-0.624036894952744)</f>
        <v>-0.62403689495274395</v>
      </c>
      <c r="JV9" s="3">
        <f ca="1">IFERROR(__xludf.DUMMYFUNCTION("""COMPUTED_VALUE"""),-0.61075706389853)</f>
        <v>-0.61075706389853002</v>
      </c>
      <c r="JW9" s="3">
        <f ca="1">IFERROR(__xludf.DUMMYFUNCTION("""COMPUTED_VALUE"""),-0.613036162102474)</f>
        <v>-0.61303616210247402</v>
      </c>
      <c r="JX9" s="3">
        <f ca="1">IFERROR(__xludf.DUMMYFUNCTION("""COMPUTED_VALUE"""),-0.495078101935274)</f>
        <v>-0.49507810193527402</v>
      </c>
      <c r="JY9" s="3">
        <f ca="1">IFERROR(__xludf.DUMMYFUNCTION("""COMPUTED_VALUE"""),-0.496191463508858)</f>
        <v>-0.49619146350885801</v>
      </c>
      <c r="JZ9" s="3">
        <f ca="1">IFERROR(__xludf.DUMMYFUNCTION("""COMPUTED_VALUE"""),-0.606615924208936)</f>
        <v>-0.60661592420893595</v>
      </c>
      <c r="KA9" s="3">
        <f ca="1">IFERROR(__xludf.DUMMYFUNCTION("""COMPUTED_VALUE"""),-0.527620722229681)</f>
        <v>-0.52762072222968104</v>
      </c>
      <c r="KB9" s="3">
        <f ca="1">IFERROR(__xludf.DUMMYFUNCTION("""COMPUTED_VALUE"""),-0.626640176524423)</f>
        <v>-0.62664017652442305</v>
      </c>
      <c r="KC9" s="3">
        <f ca="1">IFERROR(__xludf.DUMMYFUNCTION("""COMPUTED_VALUE"""),-0.640318991668059)</f>
        <v>-0.64031899166805895</v>
      </c>
      <c r="KD9" s="3">
        <f ca="1">IFERROR(__xludf.DUMMYFUNCTION("""COMPUTED_VALUE"""),-0.656605298682509)</f>
        <v>-0.65660529868250905</v>
      </c>
      <c r="KE9" s="3">
        <f ca="1">IFERROR(__xludf.DUMMYFUNCTION("""COMPUTED_VALUE"""),-0.535276824602446)</f>
        <v>-0.53527682460244597</v>
      </c>
      <c r="KF9" s="3">
        <f ca="1">IFERROR(__xludf.DUMMYFUNCTION("""COMPUTED_VALUE"""),-0.510150005156258)</f>
        <v>-0.51015000515625797</v>
      </c>
      <c r="KG9" s="3">
        <f ca="1">IFERROR(__xludf.DUMMYFUNCTION("""COMPUTED_VALUE"""),-0.548153133419741)</f>
        <v>-0.54815313341974103</v>
      </c>
      <c r="KH9" s="3">
        <f ca="1">IFERROR(__xludf.DUMMYFUNCTION("""COMPUTED_VALUE"""),-0.535199155135212)</f>
        <v>-0.53519915513521199</v>
      </c>
      <c r="KI9" s="3">
        <f ca="1">IFERROR(__xludf.DUMMYFUNCTION("""COMPUTED_VALUE"""),-0.629416647119889)</f>
        <v>-0.62941664711988898</v>
      </c>
      <c r="KJ9" s="3">
        <f ca="1">IFERROR(__xludf.DUMMYFUNCTION("""COMPUTED_VALUE"""),-0.600132250420248)</f>
        <v>-0.60013225042024798</v>
      </c>
      <c r="KK9" s="3">
        <f ca="1">IFERROR(__xludf.DUMMYFUNCTION("""COMPUTED_VALUE"""),-0.617201175415307)</f>
        <v>-0.61720117541530695</v>
      </c>
      <c r="KL9" s="3">
        <f ca="1">IFERROR(__xludf.DUMMYFUNCTION("""COMPUTED_VALUE"""),-0.507075956185758)</f>
        <v>-0.50707595618575796</v>
      </c>
      <c r="KM9" s="3">
        <f ca="1">IFERROR(__xludf.DUMMYFUNCTION("""COMPUTED_VALUE"""),-0.529427852514544)</f>
        <v>-0.52942785251454405</v>
      </c>
      <c r="KN9" s="3">
        <f ca="1">IFERROR(__xludf.DUMMYFUNCTION("""COMPUTED_VALUE"""),-0.60290561051235)</f>
        <v>-0.60290561051235003</v>
      </c>
      <c r="KO9" s="3">
        <f ca="1">IFERROR(__xludf.DUMMYFUNCTION("""COMPUTED_VALUE"""),-0.670680903339727)</f>
        <v>-0.67068090333972696</v>
      </c>
      <c r="KP9" s="3">
        <f ca="1">IFERROR(__xludf.DUMMYFUNCTION("""COMPUTED_VALUE"""),-0.681924086526344)</f>
        <v>-0.68192408652634395</v>
      </c>
      <c r="KQ9" s="3">
        <f ca="1">IFERROR(__xludf.DUMMYFUNCTION("""COMPUTED_VALUE"""),-0.703772969887512)</f>
        <v>-0.70377296988751203</v>
      </c>
      <c r="KR9" s="3">
        <f ca="1">IFERROR(__xludf.DUMMYFUNCTION("""COMPUTED_VALUE"""),-0.686454786357275)</f>
        <v>-0.68645478635727497</v>
      </c>
      <c r="KS9" s="3">
        <f ca="1">IFERROR(__xludf.DUMMYFUNCTION("""COMPUTED_VALUE"""),-0.586864669009905)</f>
        <v>-0.58686466900990497</v>
      </c>
      <c r="KT9" s="3">
        <f ca="1">IFERROR(__xludf.DUMMYFUNCTION("""COMPUTED_VALUE"""),-0.606369360361612)</f>
        <v>-0.60636936036161204</v>
      </c>
      <c r="KU9" s="3">
        <f ca="1">IFERROR(__xludf.DUMMYFUNCTION("""COMPUTED_VALUE"""),-0.672152055437364)</f>
        <v>-0.672152055437364</v>
      </c>
      <c r="KV9" s="3">
        <f ca="1">IFERROR(__xludf.DUMMYFUNCTION("""COMPUTED_VALUE"""),-0.736905919359545)</f>
        <v>-0.73690591935954497</v>
      </c>
      <c r="KW9" s="3">
        <f ca="1">IFERROR(__xludf.DUMMYFUNCTION("""COMPUTED_VALUE"""),-0.728489532366458)</f>
        <v>-0.72848953236645797</v>
      </c>
      <c r="KX9" s="3">
        <f ca="1">IFERROR(__xludf.DUMMYFUNCTION("""COMPUTED_VALUE"""),-0.740811219474702)</f>
        <v>-0.74081121947470197</v>
      </c>
      <c r="KY9" s="3">
        <f ca="1">IFERROR(__xludf.DUMMYFUNCTION("""COMPUTED_VALUE"""),-0.715061408677042)</f>
        <v>-0.71506140867704204</v>
      </c>
      <c r="KZ9" s="3">
        <f ca="1">IFERROR(__xludf.DUMMYFUNCTION("""COMPUTED_VALUE"""),-0.643886119165271)</f>
        <v>-0.64388611916527105</v>
      </c>
      <c r="LA9" s="3">
        <f ca="1">IFERROR(__xludf.DUMMYFUNCTION("""COMPUTED_VALUE"""),-0.681148780857722)</f>
        <v>-0.68114878085772201</v>
      </c>
      <c r="LB9" s="3">
        <f ca="1">IFERROR(__xludf.DUMMYFUNCTION("""COMPUTED_VALUE"""),-0.739065264939369)</f>
        <v>-0.73906526493936897</v>
      </c>
      <c r="LC9" s="3">
        <f ca="1">IFERROR(__xludf.DUMMYFUNCTION("""COMPUTED_VALUE"""),-0.746175659195451)</f>
        <v>-0.74617565919545104</v>
      </c>
      <c r="LD9" s="3">
        <f ca="1">IFERROR(__xludf.DUMMYFUNCTION("""COMPUTED_VALUE"""),-0.762701681589192)</f>
        <v>-0.76270168158919205</v>
      </c>
      <c r="LE9" s="3">
        <f ca="1">IFERROR(__xludf.DUMMYFUNCTION("""COMPUTED_VALUE"""),-0.770721987185912)</f>
        <v>-0.77072198718591201</v>
      </c>
      <c r="LF9" s="3">
        <f ca="1">IFERROR(__xludf.DUMMYFUNCTION("""COMPUTED_VALUE"""),-0.70895475151274)</f>
        <v>-0.70895475151274001</v>
      </c>
      <c r="LG9" s="3">
        <f ca="1">IFERROR(__xludf.DUMMYFUNCTION("""COMPUTED_VALUE"""),-0.626556320984665)</f>
        <v>-0.62655632098466496</v>
      </c>
      <c r="LH9" s="3">
        <f ca="1">IFERROR(__xludf.DUMMYFUNCTION("""COMPUTED_VALUE"""),-0.665338130222079)</f>
        <v>-0.66533813022207899</v>
      </c>
      <c r="LI9" s="3">
        <f ca="1">IFERROR(__xludf.DUMMYFUNCTION("""COMPUTED_VALUE"""),-0.747434727214542)</f>
        <v>-0.74743472721454196</v>
      </c>
      <c r="LJ9" s="3">
        <f ca="1">IFERROR(__xludf.DUMMYFUNCTION("""COMPUTED_VALUE"""),-0.76004517648395)</f>
        <v>-0.76004517648394998</v>
      </c>
      <c r="LK9" s="3">
        <f ca="1">IFERROR(__xludf.DUMMYFUNCTION("""COMPUTED_VALUE"""),-0.752215950441551)</f>
        <v>-0.75221595044155098</v>
      </c>
      <c r="LL9" s="3">
        <f ca="1">IFERROR(__xludf.DUMMYFUNCTION("""COMPUTED_VALUE"""),-0.761991447350794)</f>
        <v>-0.76199144735079405</v>
      </c>
      <c r="LM9" s="3">
        <f ca="1">IFERROR(__xludf.DUMMYFUNCTION("""COMPUTED_VALUE"""),-0.780012045594026)</f>
        <v>-0.78001204559402604</v>
      </c>
      <c r="LN9" s="3">
        <f ca="1">IFERROR(__xludf.DUMMYFUNCTION("""COMPUTED_VALUE"""),-0.698460486021084)</f>
        <v>-0.69846048602108401</v>
      </c>
      <c r="LO9" s="3">
        <f ca="1">IFERROR(__xludf.DUMMYFUNCTION("""COMPUTED_VALUE"""),-0.721283273680973)</f>
        <v>-0.721283273680973</v>
      </c>
      <c r="LP9" s="3">
        <f ca="1">IFERROR(__xludf.DUMMYFUNCTION("""COMPUTED_VALUE"""),-0.760329407017386)</f>
        <v>-0.76032940701738605</v>
      </c>
      <c r="LQ9" s="3">
        <f ca="1">IFERROR(__xludf.DUMMYFUNCTION("""COMPUTED_VALUE"""),-0.785120238366058)</f>
        <v>-0.78512023836605804</v>
      </c>
      <c r="LR9" s="3">
        <f ca="1">IFERROR(__xludf.DUMMYFUNCTION("""COMPUTED_VALUE"""),-0.793920900111293)</f>
        <v>-0.79392090011129302</v>
      </c>
      <c r="LS9" s="3">
        <f ca="1">IFERROR(__xludf.DUMMYFUNCTION("""COMPUTED_VALUE"""),-0.802307295974176)</f>
        <v>-0.80230729597417605</v>
      </c>
      <c r="LT9" s="3">
        <f ca="1">IFERROR(__xludf.DUMMYFUNCTION("""COMPUTED_VALUE"""),-0.75447423097071)</f>
        <v>-0.75447423097070998</v>
      </c>
      <c r="LU9" s="3">
        <f ca="1">IFERROR(__xludf.DUMMYFUNCTION("""COMPUTED_VALUE"""),-0.706177448883972)</f>
        <v>-0.70617744888397205</v>
      </c>
      <c r="LV9" s="3">
        <f ca="1">IFERROR(__xludf.DUMMYFUNCTION("""COMPUTED_VALUE"""),-0.726065913751732)</f>
        <v>-0.72606591375173202</v>
      </c>
      <c r="LW9" s="3">
        <f ca="1">IFERROR(__xludf.DUMMYFUNCTION("""COMPUTED_VALUE"""),-0.795760369036796)</f>
        <v>-0.79576036903679603</v>
      </c>
      <c r="LX9" s="3">
        <f ca="1">IFERROR(__xludf.DUMMYFUNCTION("""COMPUTED_VALUE"""),-0.808231131940541)</f>
        <v>-0.80823113194054097</v>
      </c>
      <c r="LY9" s="3">
        <f ca="1">IFERROR(__xludf.DUMMYFUNCTION("""COMPUTED_VALUE"""),-0.812113753024702)</f>
        <v>-0.81211375302470201</v>
      </c>
      <c r="LZ9" s="3">
        <f ca="1">IFERROR(__xludf.DUMMYFUNCTION("""COMPUTED_VALUE"""),-0.815553027503561)</f>
        <v>-0.81555302750356096</v>
      </c>
      <c r="MA9" s="3">
        <f ca="1">IFERROR(__xludf.DUMMYFUNCTION("""COMPUTED_VALUE"""),-0.816234702914811)</f>
        <v>-0.81623470291481104</v>
      </c>
      <c r="MB9" s="3">
        <f ca="1">IFERROR(__xludf.DUMMYFUNCTION("""COMPUTED_VALUE"""),-0.714087363043894)</f>
        <v>-0.71408736304389397</v>
      </c>
      <c r="MC9" s="3">
        <f ca="1">IFERROR(__xludf.DUMMYFUNCTION("""COMPUTED_VALUE"""),-0.767469409672584)</f>
        <v>-0.76746940967258404</v>
      </c>
      <c r="MD9" s="3">
        <f ca="1">IFERROR(__xludf.DUMMYFUNCTION("""COMPUTED_VALUE"""),-0.810484406038836)</f>
        <v>-0.81048440603883598</v>
      </c>
      <c r="ME9" s="3">
        <f ca="1">IFERROR(__xludf.DUMMYFUNCTION("""COMPUTED_VALUE"""),-0.824411745529374)</f>
        <v>-0.82441174552937402</v>
      </c>
      <c r="MF9" s="3">
        <f ca="1">IFERROR(__xludf.DUMMYFUNCTION("""COMPUTED_VALUE"""),-0.824206262300037)</f>
        <v>-0.82420626230003702</v>
      </c>
      <c r="MG9" s="3">
        <f ca="1">IFERROR(__xludf.DUMMYFUNCTION("""COMPUTED_VALUE"""),-0.815989140298278)</f>
        <v>-0.81598914029827796</v>
      </c>
      <c r="MH9" s="3">
        <f ca="1">IFERROR(__xludf.DUMMYFUNCTION("""COMPUTED_VALUE"""),-0.795585629565374)</f>
        <v>-0.79558562956537404</v>
      </c>
      <c r="MI9" s="3">
        <f ca="1">IFERROR(__xludf.DUMMYFUNCTION("""COMPUTED_VALUE"""),-0.712562570942883)</f>
        <v>-0.712562570942883</v>
      </c>
      <c r="MJ9" s="3">
        <f ca="1">IFERROR(__xludf.DUMMYFUNCTION("""COMPUTED_VALUE"""),-0.758587471942185)</f>
        <v>-0.75858747194218501</v>
      </c>
      <c r="MK9" s="3">
        <f ca="1">IFERROR(__xludf.DUMMYFUNCTION("""COMPUTED_VALUE"""),-0.825760902964321)</f>
        <v>-0.82576090296432103</v>
      </c>
      <c r="ML9" s="3">
        <f ca="1">IFERROR(__xludf.DUMMYFUNCTION("""COMPUTED_VALUE"""),-0.840645643225428)</f>
        <v>-0.84064564322542801</v>
      </c>
      <c r="MM9" s="3">
        <f ca="1">IFERROR(__xludf.DUMMYFUNCTION("""COMPUTED_VALUE"""),-0.829292830041904)</f>
        <v>-0.82929283004190402</v>
      </c>
      <c r="MN9" s="3">
        <f ca="1">IFERROR(__xludf.DUMMYFUNCTION("""COMPUTED_VALUE"""),-0.83091212041196)</f>
        <v>-0.83091212041196005</v>
      </c>
      <c r="MO9" s="3">
        <f ca="1">IFERROR(__xludf.DUMMYFUNCTION("""COMPUTED_VALUE"""),-0.840102274947808)</f>
        <v>-0.84010227494780798</v>
      </c>
      <c r="MP9" s="3">
        <f ca="1">IFERROR(__xludf.DUMMYFUNCTION("""COMPUTED_VALUE"""),-0.763250711261117)</f>
        <v>-0.76325071126111699</v>
      </c>
      <c r="MQ9" s="3">
        <f ca="1">IFERROR(__xludf.DUMMYFUNCTION("""COMPUTED_VALUE"""),-0.770340721947874)</f>
        <v>-0.77034072194787395</v>
      </c>
      <c r="MR9" s="3">
        <f ca="1">IFERROR(__xludf.DUMMYFUNCTION("""COMPUTED_VALUE"""),-0.835344022210901)</f>
        <v>-0.83534402221090098</v>
      </c>
      <c r="MS9" s="3">
        <f ca="1">IFERROR(__xludf.DUMMYFUNCTION("""COMPUTED_VALUE"""),-0.83355446730698)</f>
        <v>-0.83355446730698002</v>
      </c>
      <c r="MT9" s="3">
        <f ca="1">IFERROR(__xludf.DUMMYFUNCTION("""COMPUTED_VALUE"""),-0.83736397934392)</f>
        <v>-0.83736397934392004</v>
      </c>
      <c r="MU9" s="3">
        <f ca="1">IFERROR(__xludf.DUMMYFUNCTION("""COMPUTED_VALUE"""),-0.841556196650176)</f>
        <v>-0.841556196650176</v>
      </c>
      <c r="MV9" s="3">
        <f ca="1">IFERROR(__xludf.DUMMYFUNCTION("""COMPUTED_VALUE"""),-0.819617911013992)</f>
        <v>-0.81961791101399195</v>
      </c>
      <c r="MW9" s="3">
        <f ca="1">IFERROR(__xludf.DUMMYFUNCTION("""COMPUTED_VALUE"""),-0.753600410410416)</f>
        <v>-0.75360041041041603</v>
      </c>
      <c r="MX9" s="3">
        <f ca="1">IFERROR(__xludf.DUMMYFUNCTION("""COMPUTED_VALUE"""),-0.807172966118305)</f>
        <v>-0.80717296611830502</v>
      </c>
      <c r="MY9" s="3">
        <f ca="1">IFERROR(__xludf.DUMMYFUNCTION("""COMPUTED_VALUE"""),-0.826940037400608)</f>
        <v>-0.82694003740060795</v>
      </c>
      <c r="MZ9" s="3">
        <f ca="1">IFERROR(__xludf.DUMMYFUNCTION("""COMPUTED_VALUE"""),-0.842167933204439)</f>
        <v>-0.84216793320443895</v>
      </c>
      <c r="NA9" s="3">
        <f ca="1">IFERROR(__xludf.DUMMYFUNCTION("""COMPUTED_VALUE"""),-0.84154254295553)</f>
        <v>-0.84154254295552999</v>
      </c>
      <c r="NB9" s="3">
        <f ca="1">IFERROR(__xludf.DUMMYFUNCTION("""COMPUTED_VALUE"""),-0.834709454795855)</f>
        <v>-0.83470945479585501</v>
      </c>
      <c r="NC9" s="3">
        <f ca="1">IFERROR(__xludf.DUMMYFUNCTION("""COMPUTED_VALUE"""),-0.838140379176071)</f>
        <v>-0.83814037917607098</v>
      </c>
      <c r="ND9" s="3">
        <f ca="1">IFERROR(__xludf.DUMMYFUNCTION("""COMPUTED_VALUE"""),-0.770341601730923)</f>
        <v>-0.77034160173092303</v>
      </c>
      <c r="NE9" s="3">
        <f ca="1">IFERROR(__xludf.DUMMYFUNCTION("""COMPUTED_VALUE"""),-0.773827163931225)</f>
        <v>-0.77382716393122497</v>
      </c>
      <c r="NF9" s="3">
        <f ca="1">IFERROR(__xludf.DUMMYFUNCTION("""COMPUTED_VALUE"""),-0.827283102050696)</f>
        <v>-0.827283102050696</v>
      </c>
      <c r="NG9" s="3">
        <f ca="1">IFERROR(__xludf.DUMMYFUNCTION("""COMPUTED_VALUE"""),-0.844335712005869)</f>
        <v>-0.84433571200586899</v>
      </c>
      <c r="NH9" s="3">
        <f ca="1">IFERROR(__xludf.DUMMYFUNCTION("""COMPUTED_VALUE"""),-0.832844913247974)</f>
        <v>-0.83284491324797405</v>
      </c>
      <c r="NI9" s="3">
        <f ca="1">IFERROR(__xludf.DUMMYFUNCTION("""COMPUTED_VALUE"""),-0.828572386721703)</f>
        <v>-0.82857238672170297</v>
      </c>
      <c r="NJ9" s="3">
        <f ca="1">IFERROR(__xludf.DUMMYFUNCTION("""COMPUTED_VALUE"""),-0.801924396392023)</f>
        <v>-0.80192439639202295</v>
      </c>
      <c r="NK9" s="3">
        <f ca="1">IFERROR(__xludf.DUMMYFUNCTION("""COMPUTED_VALUE"""),-0.752279917923894)</f>
        <v>-0.75227991792389404</v>
      </c>
      <c r="NL9" s="3">
        <f ca="1">IFERROR(__xludf.DUMMYFUNCTION("""COMPUTED_VALUE"""),-0.766636136729227)</f>
        <v>-0.76663613672922704</v>
      </c>
      <c r="NM9" s="3">
        <f ca="1">IFERROR(__xludf.DUMMYFUNCTION("""COMPUTED_VALUE"""),-0.824369230044183)</f>
        <v>-0.82436923004418305</v>
      </c>
      <c r="NN9" s="3">
        <f ca="1">IFERROR(__xludf.DUMMYFUNCTION("""COMPUTED_VALUE"""),-0.828344703152193)</f>
        <v>-0.828344703152193</v>
      </c>
      <c r="NO9" s="3">
        <f ca="1">IFERROR(__xludf.DUMMYFUNCTION("""COMPUTED_VALUE"""),-0.812617979640199)</f>
        <v>-0.812617979640199</v>
      </c>
      <c r="NP9" s="3">
        <f ca="1">IFERROR(__xludf.DUMMYFUNCTION("""COMPUTED_VALUE"""),-0.810615043602493)</f>
        <v>-0.81061504360249304</v>
      </c>
      <c r="NQ9" s="3">
        <f ca="1">IFERROR(__xludf.DUMMYFUNCTION("""COMPUTED_VALUE"""),-0.805485292541261)</f>
        <v>-0.805485292541261</v>
      </c>
      <c r="NR9" s="3">
        <f ca="1">IFERROR(__xludf.DUMMYFUNCTION("""COMPUTED_VALUE"""),-0.747427530431559)</f>
        <v>-0.74742753043155896</v>
      </c>
      <c r="NS9" s="3">
        <f ca="1">IFERROR(__xludf.DUMMYFUNCTION("""COMPUTED_VALUE"""),-0.750091553708046)</f>
        <v>-0.75009155370804603</v>
      </c>
      <c r="NT9" s="3">
        <f ca="1">IFERROR(__xludf.DUMMYFUNCTION("""COMPUTED_VALUE"""),-0.790747677378758)</f>
        <v>-0.79074767737875795</v>
      </c>
      <c r="NU9" s="3">
        <f ca="1">IFERROR(__xludf.DUMMYFUNCTION("""COMPUTED_VALUE"""),-0.796154082743939)</f>
        <v>-0.79615408274393895</v>
      </c>
      <c r="NV9" s="3">
        <f ca="1">IFERROR(__xludf.DUMMYFUNCTION("""COMPUTED_VALUE"""),-0.795978560009228)</f>
        <v>-0.79597856000922795</v>
      </c>
      <c r="NW9" s="3">
        <f ca="1">IFERROR(__xludf.DUMMYFUNCTION("""COMPUTED_VALUE"""),-0.744281020415337)</f>
        <v>-0.74428102041533695</v>
      </c>
      <c r="NX9" s="3">
        <f ca="1">IFERROR(__xludf.DUMMYFUNCTION("""COMPUTED_VALUE"""),-0.746602513593941)</f>
        <v>-0.74660251359394103</v>
      </c>
      <c r="NY9" s="3">
        <f ca="1">IFERROR(__xludf.DUMMYFUNCTION("""COMPUTED_VALUE"""),-0.636724909627633)</f>
        <v>-0.63672490962763295</v>
      </c>
      <c r="NZ9" s="3">
        <f ca="1">IFERROR(__xludf.DUMMYFUNCTION("""COMPUTED_VALUE"""),-0.653707083008468)</f>
        <v>-0.65370708300846803</v>
      </c>
      <c r="OA9" s="3">
        <f ca="1">IFERROR(__xludf.DUMMYFUNCTION("""COMPUTED_VALUE"""),-0.669452276639543)</f>
        <v>-0.66945227663954299</v>
      </c>
      <c r="OB9" s="3">
        <f ca="1">IFERROR(__xludf.DUMMYFUNCTION("""COMPUTED_VALUE"""),-0.691292955321951)</f>
        <v>-0.69129295532195101</v>
      </c>
      <c r="OC9" s="3">
        <f ca="1">IFERROR(__xludf.DUMMYFUNCTION("""COMPUTED_VALUE"""),-0.622820367005986)</f>
        <v>-0.62282036700598598</v>
      </c>
      <c r="OD9" s="3">
        <f ca="1">IFERROR(__xludf.DUMMYFUNCTION("""COMPUTED_VALUE"""),-0.589978287184377)</f>
        <v>-0.58997828718437695</v>
      </c>
      <c r="OE9" s="3">
        <f ca="1">IFERROR(__xludf.DUMMYFUNCTION("""COMPUTED_VALUE"""),-0.422792401267683)</f>
        <v>-0.42279240126768303</v>
      </c>
      <c r="OF9" s="3">
        <f ca="1">IFERROR(__xludf.DUMMYFUNCTION("""COMPUTED_VALUE"""),-0.309110427364976)</f>
        <v>-0.30911042736497601</v>
      </c>
      <c r="OG9" s="3">
        <f ca="1">IFERROR(__xludf.DUMMYFUNCTION("""COMPUTED_VALUE"""),-0.329595935828144)</f>
        <v>-0.329595935828144</v>
      </c>
      <c r="OH9" s="3">
        <f ca="1">IFERROR(__xludf.DUMMYFUNCTION("""COMPUTED_VALUE"""),-0.320599887908685)</f>
        <v>-0.32059988790868499</v>
      </c>
      <c r="OI9" s="3">
        <f ca="1">IFERROR(__xludf.DUMMYFUNCTION("""COMPUTED_VALUE"""),-0.215063893076744)</f>
        <v>-0.21506389307674401</v>
      </c>
      <c r="OJ9" s="3">
        <f ca="1">IFERROR(__xludf.DUMMYFUNCTION("""COMPUTED_VALUE"""),-0.124934653379304)</f>
        <v>-0.124934653379304</v>
      </c>
      <c r="OK9" s="3">
        <f ca="1">IFERROR(__xludf.DUMMYFUNCTION("""COMPUTED_VALUE"""),-0.128211460218522)</f>
        <v>-0.12821146021852201</v>
      </c>
      <c r="OL9" s="3">
        <f ca="1">IFERROR(__xludf.DUMMYFUNCTION("""COMPUTED_VALUE"""),-0.0219542133149348)</f>
        <v>-2.1954213314934801E-2</v>
      </c>
      <c r="OM9" s="3">
        <f ca="1">IFERROR(__xludf.DUMMYFUNCTION("""COMPUTED_VALUE"""),-0.014684171273995)</f>
        <v>-1.4684171273995E-2</v>
      </c>
      <c r="ON9" s="3">
        <f ca="1">IFERROR(__xludf.DUMMYFUNCTION("""COMPUTED_VALUE"""),0.000168526875564234)</f>
        <v>1.68526875564234E-4</v>
      </c>
      <c r="OO9" s="3">
        <f ca="1">IFERROR(__xludf.DUMMYFUNCTION("""COMPUTED_VALUE"""),-0.057703796783167)</f>
        <v>-5.7703796783166998E-2</v>
      </c>
      <c r="OP9" s="3">
        <f ca="1">IFERROR(__xludf.DUMMYFUNCTION("""COMPUTED_VALUE"""),-0.0351308295888099)</f>
        <v>-3.5130829588809899E-2</v>
      </c>
      <c r="OQ9" s="3">
        <f ca="1">IFERROR(__xludf.DUMMYFUNCTION("""COMPUTED_VALUE"""),-0.0441203413263358)</f>
        <v>-4.4120341326335799E-2</v>
      </c>
      <c r="OR9" s="3">
        <f ca="1">IFERROR(__xludf.DUMMYFUNCTION("""COMPUTED_VALUE"""),-0.0443906594127915)</f>
        <v>-4.4390659412791501E-2</v>
      </c>
      <c r="OS9" s="3">
        <f ca="1">IFERROR(__xludf.DUMMYFUNCTION("""COMPUTED_VALUE"""),0.0107989466573485)</f>
        <v>1.0798946657348501E-2</v>
      </c>
      <c r="OT9" s="3">
        <f ca="1">IFERROR(__xludf.DUMMYFUNCTION("""COMPUTED_VALUE"""),0.0978818941469377)</f>
        <v>9.7881894146937695E-2</v>
      </c>
      <c r="OU9" s="3">
        <f ca="1">IFERROR(__xludf.DUMMYFUNCTION("""COMPUTED_VALUE"""),0.101491572519194)</f>
        <v>0.101491572519194</v>
      </c>
      <c r="OV9" s="3">
        <f ca="1">IFERROR(__xludf.DUMMYFUNCTION("""COMPUTED_VALUE"""),0.00222223896821471)</f>
        <v>2.2222389682147099E-3</v>
      </c>
      <c r="OW9" s="3">
        <f ca="1">IFERROR(__xludf.DUMMYFUNCTION("""COMPUTED_VALUE"""),0.0152958224697288)</f>
        <v>1.52958224697288E-2</v>
      </c>
      <c r="OX9" s="3">
        <f ca="1">IFERROR(__xludf.DUMMYFUNCTION("""COMPUTED_VALUE"""),-0.00833470085851939)</f>
        <v>-8.3347008585193897E-3</v>
      </c>
      <c r="OY9" s="3">
        <f ca="1">IFERROR(__xludf.DUMMYFUNCTION("""COMPUTED_VALUE"""),-0.0321006974819996)</f>
        <v>-3.2100697481999597E-2</v>
      </c>
      <c r="OZ9" s="3">
        <f ca="1">IFERROR(__xludf.DUMMYFUNCTION("""COMPUTED_VALUE"""),0.199232725106205)</f>
        <v>0.19923272510620499</v>
      </c>
      <c r="PA9" s="3">
        <f ca="1">IFERROR(__xludf.DUMMYFUNCTION("""COMPUTED_VALUE"""),0.040257935575334)</f>
        <v>4.0257935575333997E-2</v>
      </c>
      <c r="PB9" s="3">
        <f ca="1">IFERROR(__xludf.DUMMYFUNCTION("""COMPUTED_VALUE"""),0.0855454464040403)</f>
        <v>8.5545446404040298E-2</v>
      </c>
      <c r="PC9" s="3">
        <f ca="1">IFERROR(__xludf.DUMMYFUNCTION("""COMPUTED_VALUE"""),-0.0954236714869221)</f>
        <v>-9.5423671486922101E-2</v>
      </c>
      <c r="PD9" s="3">
        <f ca="1">IFERROR(__xludf.DUMMYFUNCTION("""COMPUTED_VALUE"""),-0.0800372832711071)</f>
        <v>-8.0037283271107096E-2</v>
      </c>
      <c r="PE9" s="3">
        <f ca="1">IFERROR(__xludf.DUMMYFUNCTION("""COMPUTED_VALUE"""),-0.0650500534883805)</f>
        <v>-6.5050053488380499E-2</v>
      </c>
      <c r="PF9" s="3">
        <f ca="1">IFERROR(__xludf.DUMMYFUNCTION("""COMPUTED_VALUE"""),-0.1037254005741)</f>
        <v>-0.1037254005741</v>
      </c>
      <c r="PG9" s="3">
        <f ca="1">IFERROR(__xludf.DUMMYFUNCTION("""COMPUTED_VALUE"""),-0.22886714969558)</f>
        <v>-0.22886714969558</v>
      </c>
      <c r="PH9" s="3">
        <f ca="1">IFERROR(__xludf.DUMMYFUNCTION("""COMPUTED_VALUE"""),0.0592460305813546)</f>
        <v>5.9246030581354601E-2</v>
      </c>
      <c r="PI9" s="3">
        <f ca="1">IFERROR(__xludf.DUMMYFUNCTION("""COMPUTED_VALUE"""),-0.012666804758996)</f>
        <v>-1.2666804758996E-2</v>
      </c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</row>
    <row r="10" spans="1:477" ht="15.75" customHeight="1">
      <c r="A10" s="1" t="str">
        <f ca="1">IFERROR(__xludf.DUMMYFUNCTION("""COMPUTED_VALUE"""),"TransLink Brisbane")</f>
        <v>TransLink Brisbane</v>
      </c>
      <c r="B10" s="1" t="str">
        <f ca="1">IFERROR(__xludf.DUMMYFUNCTION("""COMPUTED_VALUE"""),"Brisbane")</f>
        <v>Brisbane</v>
      </c>
      <c r="C10" s="1" t="str">
        <f ca="1">IFERROR(__xludf.DUMMYFUNCTION("""COMPUTED_VALUE"""),"Australia")</f>
        <v>Australia</v>
      </c>
      <c r="D10" s="1" t="str">
        <f ca="1">IFERROR(__xludf.DUMMYFUNCTION("""COMPUTED_VALUE"""),"Queensland")</f>
        <v>Queensland</v>
      </c>
      <c r="E10" s="3">
        <f ca="1">IFERROR(__xludf.DUMMYFUNCTION("""COMPUTED_VALUE"""),0.297010524602468)</f>
        <v>0.29701052460246802</v>
      </c>
      <c r="F10" s="3">
        <f ca="1">IFERROR(__xludf.DUMMYFUNCTION("""COMPUTED_VALUE"""),0.183182789921939)</f>
        <v>0.18318278992193901</v>
      </c>
      <c r="G10" s="3">
        <f ca="1">IFERROR(__xludf.DUMMYFUNCTION("""COMPUTED_VALUE"""),0.125179201881838)</f>
        <v>0.12517920188183801</v>
      </c>
      <c r="H10" s="3">
        <f ca="1">IFERROR(__xludf.DUMMYFUNCTION("""COMPUTED_VALUE"""),0.128250587103008)</f>
        <v>0.12825058710300799</v>
      </c>
      <c r="I10" s="3">
        <f ca="1">IFERROR(__xludf.DUMMYFUNCTION("""COMPUTED_VALUE"""),0.109197896143873)</f>
        <v>0.109197896143873</v>
      </c>
      <c r="J10" s="3">
        <f ca="1">IFERROR(__xludf.DUMMYFUNCTION("""COMPUTED_VALUE"""),-0.0942486649051941)</f>
        <v>-9.4248664905194096E-2</v>
      </c>
      <c r="K10" s="3">
        <f ca="1">IFERROR(__xludf.DUMMYFUNCTION("""COMPUTED_VALUE"""),-0.365214534480932)</f>
        <v>-0.365214534480932</v>
      </c>
      <c r="L10" s="3">
        <f ca="1">IFERROR(__xludf.DUMMYFUNCTION("""COMPUTED_VALUE"""),-0.282226486175568)</f>
        <v>-0.282226486175568</v>
      </c>
      <c r="M10" s="3">
        <f ca="1">IFERROR(__xludf.DUMMYFUNCTION("""COMPUTED_VALUE"""),-0.393851810750013)</f>
        <v>-0.39385181075001302</v>
      </c>
      <c r="N10" s="3">
        <f ca="1">IFERROR(__xludf.DUMMYFUNCTION("""COMPUTED_VALUE"""),-0.520870082131419)</f>
        <v>-0.52087008213141905</v>
      </c>
      <c r="O10" s="3">
        <f ca="1">IFERROR(__xludf.DUMMYFUNCTION("""COMPUTED_VALUE"""),-0.486935039275773)</f>
        <v>-0.48693503927577297</v>
      </c>
      <c r="P10" s="3">
        <f ca="1">IFERROR(__xludf.DUMMYFUNCTION("""COMPUTED_VALUE"""),-0.519141451417034)</f>
        <v>-0.51914145141703405</v>
      </c>
      <c r="Q10" s="3">
        <f ca="1">IFERROR(__xludf.DUMMYFUNCTION("""COMPUTED_VALUE"""),-0.295919056436888)</f>
        <v>-0.29591905643688798</v>
      </c>
      <c r="R10" s="3">
        <f ca="1">IFERROR(__xludf.DUMMYFUNCTION("""COMPUTED_VALUE"""),0.169893735313776)</f>
        <v>0.169893735313776</v>
      </c>
      <c r="S10" s="3">
        <f ca="1">IFERROR(__xludf.DUMMYFUNCTION("""COMPUTED_VALUE"""),0.259171710713849)</f>
        <v>0.25917171071384898</v>
      </c>
      <c r="T10" s="3">
        <f ca="1">IFERROR(__xludf.DUMMYFUNCTION("""COMPUTED_VALUE"""),0.188473706275895)</f>
        <v>0.18847370627589499</v>
      </c>
      <c r="U10" s="3">
        <f ca="1">IFERROR(__xludf.DUMMYFUNCTION("""COMPUTED_VALUE"""),0.243802831601113)</f>
        <v>0.24380283160111299</v>
      </c>
      <c r="V10" s="3">
        <f ca="1">IFERROR(__xludf.DUMMYFUNCTION("""COMPUTED_VALUE"""),0.271990217640132)</f>
        <v>0.27199021764013198</v>
      </c>
      <c r="W10" s="3">
        <f ca="1">IFERROR(__xludf.DUMMYFUNCTION("""COMPUTED_VALUE"""),0.300571331770093)</f>
        <v>0.30057133177009299</v>
      </c>
      <c r="X10" s="3">
        <f ca="1">IFERROR(__xludf.DUMMYFUNCTION("""COMPUTED_VALUE"""),0.0353178509890002)</f>
        <v>3.5317850989000199E-2</v>
      </c>
      <c r="Y10" s="3">
        <f ca="1">IFERROR(__xludf.DUMMYFUNCTION("""COMPUTED_VALUE"""),-0.0841116644337039)</f>
        <v>-8.4111664433703895E-2</v>
      </c>
      <c r="Z10" s="3">
        <f ca="1">IFERROR(__xludf.DUMMYFUNCTION("""COMPUTED_VALUE"""),0.124462597764364)</f>
        <v>0.124462597764364</v>
      </c>
      <c r="AA10" s="3">
        <f ca="1">IFERROR(__xludf.DUMMYFUNCTION("""COMPUTED_VALUE"""),0.142872594479244)</f>
        <v>0.142872594479244</v>
      </c>
      <c r="AB10" s="3">
        <f ca="1">IFERROR(__xludf.DUMMYFUNCTION("""COMPUTED_VALUE"""),0.0578213063289279)</f>
        <v>5.7821306328927902E-2</v>
      </c>
      <c r="AC10" s="3">
        <f ca="1">IFERROR(__xludf.DUMMYFUNCTION("""COMPUTED_VALUE"""),0.0808237228549462)</f>
        <v>8.0823722854946198E-2</v>
      </c>
      <c r="AD10" s="3">
        <f ca="1">IFERROR(__xludf.DUMMYFUNCTION("""COMPUTED_VALUE"""),0.215341977997016)</f>
        <v>0.21534197799701599</v>
      </c>
      <c r="AE10" s="3">
        <f ca="1">IFERROR(__xludf.DUMMYFUNCTION("""COMPUTED_VALUE"""),0.1657376015811)</f>
        <v>0.16573760158110001</v>
      </c>
      <c r="AF10" s="3">
        <f ca="1">IFERROR(__xludf.DUMMYFUNCTION("""COMPUTED_VALUE"""),-0.0220503778201569)</f>
        <v>-2.20503778201569E-2</v>
      </c>
      <c r="AG10" s="3">
        <f ca="1">IFERROR(__xludf.DUMMYFUNCTION("""COMPUTED_VALUE"""),0.180920820389582)</f>
        <v>0.18092082038958199</v>
      </c>
      <c r="AH10" s="3">
        <f ca="1">IFERROR(__xludf.DUMMYFUNCTION("""COMPUTED_VALUE"""),0.125442148312589)</f>
        <v>0.12544214831258901</v>
      </c>
      <c r="AI10" s="3">
        <f ca="1">IFERROR(__xludf.DUMMYFUNCTION("""COMPUTED_VALUE"""),0.0862940341270135)</f>
        <v>8.6294034127013503E-2</v>
      </c>
      <c r="AJ10" s="3">
        <f ca="1">IFERROR(__xludf.DUMMYFUNCTION("""COMPUTED_VALUE"""),0.101620070025593)</f>
        <v>0.10162007002559301</v>
      </c>
      <c r="AK10" s="3">
        <f ca="1">IFERROR(__xludf.DUMMYFUNCTION("""COMPUTED_VALUE"""),0.205617663159559)</f>
        <v>0.20561766315955901</v>
      </c>
      <c r="AL10" s="3">
        <f ca="1">IFERROR(__xludf.DUMMYFUNCTION("""COMPUTED_VALUE"""),0.171124953804545)</f>
        <v>0.17112495380454501</v>
      </c>
      <c r="AM10" s="3">
        <f ca="1">IFERROR(__xludf.DUMMYFUNCTION("""COMPUTED_VALUE"""),0.120075414307288)</f>
        <v>0.12007541430728801</v>
      </c>
      <c r="AN10" s="3">
        <f ca="1">IFERROR(__xludf.DUMMYFUNCTION("""COMPUTED_VALUE"""),0.161731375757752)</f>
        <v>0.16173137575775201</v>
      </c>
      <c r="AO10" s="3">
        <f ca="1">IFERROR(__xludf.DUMMYFUNCTION("""COMPUTED_VALUE"""),0.180773909208381)</f>
        <v>0.18077390920838099</v>
      </c>
      <c r="AP10" s="3">
        <f ca="1">IFERROR(__xludf.DUMMYFUNCTION("""COMPUTED_VALUE"""),0.0320818433823641)</f>
        <v>3.2081843382364097E-2</v>
      </c>
      <c r="AQ10" s="3">
        <f ca="1">IFERROR(__xludf.DUMMYFUNCTION("""COMPUTED_VALUE"""),-0.0336527973867533)</f>
        <v>-3.3652797386753301E-2</v>
      </c>
      <c r="AR10" s="3">
        <f ca="1">IFERROR(__xludf.DUMMYFUNCTION("""COMPUTED_VALUE"""),0.0864924315700401)</f>
        <v>8.6492431570040093E-2</v>
      </c>
      <c r="AS10" s="3">
        <f ca="1">IFERROR(__xludf.DUMMYFUNCTION("""COMPUTED_VALUE"""),0.117890827993496)</f>
        <v>0.117890827993496</v>
      </c>
      <c r="AT10" s="3">
        <f ca="1">IFERROR(__xludf.DUMMYFUNCTION("""COMPUTED_VALUE"""),-0.051049289761907)</f>
        <v>-5.1049289761907E-2</v>
      </c>
      <c r="AU10" s="3">
        <f ca="1">IFERROR(__xludf.DUMMYFUNCTION("""COMPUTED_VALUE"""),0.12486066632756)</f>
        <v>0.12486066632756</v>
      </c>
      <c r="AV10" s="3">
        <f ca="1">IFERROR(__xludf.DUMMYFUNCTION("""COMPUTED_VALUE"""),0.193179893137372)</f>
        <v>0.19317989313737199</v>
      </c>
      <c r="AW10" s="3">
        <f ca="1">IFERROR(__xludf.DUMMYFUNCTION("""COMPUTED_VALUE"""),0.0251091209308838)</f>
        <v>2.5109120930883799E-2</v>
      </c>
      <c r="AX10" s="3">
        <f ca="1">IFERROR(__xludf.DUMMYFUNCTION("""COMPUTED_VALUE"""),-0.0212533838791659)</f>
        <v>-2.12533838791659E-2</v>
      </c>
      <c r="AY10" s="3">
        <f ca="1">IFERROR(__xludf.DUMMYFUNCTION("""COMPUTED_VALUE"""),0.0248721666372964)</f>
        <v>2.4872166637296401E-2</v>
      </c>
      <c r="AZ10" s="3">
        <f ca="1">IFERROR(__xludf.DUMMYFUNCTION("""COMPUTED_VALUE"""),0.0900808613958115)</f>
        <v>9.0080861395811507E-2</v>
      </c>
      <c r="BA10" s="3">
        <f ca="1">IFERROR(__xludf.DUMMYFUNCTION("""COMPUTED_VALUE"""),0.0516171707071257)</f>
        <v>5.1617170707125702E-2</v>
      </c>
      <c r="BB10" s="3">
        <f ca="1">IFERROR(__xludf.DUMMYFUNCTION("""COMPUTED_VALUE"""),0.161390462029491)</f>
        <v>0.16139046202949101</v>
      </c>
      <c r="BC10" s="3">
        <f ca="1">IFERROR(__xludf.DUMMYFUNCTION("""COMPUTED_VALUE"""),0.0805811077721732)</f>
        <v>8.0581107772173199E-2</v>
      </c>
      <c r="BD10" s="3">
        <f ca="1">IFERROR(__xludf.DUMMYFUNCTION("""COMPUTED_VALUE"""),-0.0596386619919832)</f>
        <v>-5.96386619919832E-2</v>
      </c>
      <c r="BE10" s="3">
        <f ca="1">IFERROR(__xludf.DUMMYFUNCTION("""COMPUTED_VALUE"""),-0.0552377145789624)</f>
        <v>-5.5237714578962399E-2</v>
      </c>
      <c r="BF10" s="3">
        <f ca="1">IFERROR(__xludf.DUMMYFUNCTION("""COMPUTED_VALUE"""),0.0585040818222835)</f>
        <v>5.8504081822283498E-2</v>
      </c>
      <c r="BG10" s="3">
        <f ca="1">IFERROR(__xludf.DUMMYFUNCTION("""COMPUTED_VALUE"""),-0.046947114789011)</f>
        <v>-4.6947114789011E-2</v>
      </c>
      <c r="BH10" s="3">
        <f ca="1">IFERROR(__xludf.DUMMYFUNCTION("""COMPUTED_VALUE"""),0.0559621534094112)</f>
        <v>5.59621534094112E-2</v>
      </c>
      <c r="BI10" s="3">
        <f ca="1">IFERROR(__xludf.DUMMYFUNCTION("""COMPUTED_VALUE"""),0.194532305343756)</f>
        <v>0.19453230534375601</v>
      </c>
      <c r="BJ10" s="3">
        <f ca="1">IFERROR(__xludf.DUMMYFUNCTION("""COMPUTED_VALUE"""),0.0804480065147539)</f>
        <v>8.0448006514753895E-2</v>
      </c>
      <c r="BK10" s="3">
        <f ca="1">IFERROR(__xludf.DUMMYFUNCTION("""COMPUTED_VALUE"""),0.131478309921125)</f>
        <v>0.131478309921125</v>
      </c>
      <c r="BL10" s="3">
        <f ca="1">IFERROR(__xludf.DUMMYFUNCTION("""COMPUTED_VALUE"""),0.112306868533634)</f>
        <v>0.112306868533634</v>
      </c>
      <c r="BM10" s="3">
        <f ca="1">IFERROR(__xludf.DUMMYFUNCTION("""COMPUTED_VALUE"""),0.0444064363033398)</f>
        <v>4.4406436303339798E-2</v>
      </c>
      <c r="BN10" s="3">
        <f ca="1">IFERROR(__xludf.DUMMYFUNCTION("""COMPUTED_VALUE"""),0.0325174115829292)</f>
        <v>3.2517411582929201E-2</v>
      </c>
      <c r="BO10" s="3">
        <f ca="1">IFERROR(__xludf.DUMMYFUNCTION("""COMPUTED_VALUE"""),0.0300034958975059)</f>
        <v>3.0003495897505901E-2</v>
      </c>
      <c r="BP10" s="3">
        <f ca="1">IFERROR(__xludf.DUMMYFUNCTION("""COMPUTED_VALUE"""),0.143849115455257)</f>
        <v>0.143849115455257</v>
      </c>
      <c r="BQ10" s="3">
        <f ca="1">IFERROR(__xludf.DUMMYFUNCTION("""COMPUTED_VALUE"""),0.0304276914440677)</f>
        <v>3.0427691444067699E-2</v>
      </c>
      <c r="BR10" s="3">
        <f ca="1">IFERROR(__xludf.DUMMYFUNCTION("""COMPUTED_VALUE"""),0.0763689567153707)</f>
        <v>7.6368956715370695E-2</v>
      </c>
      <c r="BS10" s="3">
        <f ca="1">IFERROR(__xludf.DUMMYFUNCTION("""COMPUTED_VALUE"""),0.125522175031426)</f>
        <v>0.12552217503142599</v>
      </c>
      <c r="BT10" s="3">
        <f ca="1">IFERROR(__xludf.DUMMYFUNCTION("""COMPUTED_VALUE"""),0.0438722829154025)</f>
        <v>4.3872282915402502E-2</v>
      </c>
      <c r="BU10" s="3">
        <f ca="1">IFERROR(__xludf.DUMMYFUNCTION("""COMPUTED_VALUE"""),0.15073574461895)</f>
        <v>0.15073574461895001</v>
      </c>
      <c r="BV10" s="3">
        <f ca="1">IFERROR(__xludf.DUMMYFUNCTION("""COMPUTED_VALUE"""),0.0481668055620627)</f>
        <v>4.8166805562062702E-2</v>
      </c>
      <c r="BW10" s="3">
        <f ca="1">IFERROR(__xludf.DUMMYFUNCTION("""COMPUTED_VALUE"""),0.0654012089867073)</f>
        <v>6.5401208986707302E-2</v>
      </c>
      <c r="BX10" s="3">
        <f ca="1">IFERROR(__xludf.DUMMYFUNCTION("""COMPUTED_VALUE"""),0.0687347311171748)</f>
        <v>6.8734731117174805E-2</v>
      </c>
      <c r="BY10" s="3">
        <f ca="1">IFERROR(__xludf.DUMMYFUNCTION("""COMPUTED_VALUE"""),-0.00710396218887166)</f>
        <v>-7.1039621888716598E-3</v>
      </c>
      <c r="BZ10" s="3">
        <f ca="1">IFERROR(__xludf.DUMMYFUNCTION("""COMPUTED_VALUE"""),0.0188052899943123)</f>
        <v>1.8805289994312299E-2</v>
      </c>
      <c r="CA10" s="3">
        <f ca="1">IFERROR(__xludf.DUMMYFUNCTION("""COMPUTED_VALUE"""),-0.174458573382789)</f>
        <v>-0.174458573382789</v>
      </c>
      <c r="CB10" s="3">
        <f ca="1">IFERROR(__xludf.DUMMYFUNCTION("""COMPUTED_VALUE"""),-0.289567553768012)</f>
        <v>-0.28956755376801202</v>
      </c>
      <c r="CC10" s="3">
        <f ca="1">IFERROR(__xludf.DUMMYFUNCTION("""COMPUTED_VALUE"""),0.0926833503465383)</f>
        <v>9.2683350346538296E-2</v>
      </c>
      <c r="CD10" s="3">
        <f ca="1">IFERROR(__xludf.DUMMYFUNCTION("""COMPUTED_VALUE"""),-0.0680429611021504)</f>
        <v>-6.8042961102150398E-2</v>
      </c>
      <c r="CE10" s="3">
        <f ca="1">IFERROR(__xludf.DUMMYFUNCTION("""COMPUTED_VALUE"""),-0.0303935985811685)</f>
        <v>-3.03935985811685E-2</v>
      </c>
      <c r="CF10" s="3">
        <f ca="1">IFERROR(__xludf.DUMMYFUNCTION("""COMPUTED_VALUE"""),-0.129097525147641)</f>
        <v>-0.129097525147641</v>
      </c>
      <c r="CG10" s="3">
        <f ca="1">IFERROR(__xludf.DUMMYFUNCTION("""COMPUTED_VALUE"""),-0.0423464498805219)</f>
        <v>-4.23464498805219E-2</v>
      </c>
      <c r="CH10" s="3">
        <f ca="1">IFERROR(__xludf.DUMMYFUNCTION("""COMPUTED_VALUE"""),-0.0631702145531875)</f>
        <v>-6.3170214553187498E-2</v>
      </c>
      <c r="CI10" s="3">
        <f ca="1">IFERROR(__xludf.DUMMYFUNCTION("""COMPUTED_VALUE"""),-0.0201248897653191)</f>
        <v>-2.01248897653191E-2</v>
      </c>
      <c r="CJ10" s="3">
        <f ca="1">IFERROR(__xludf.DUMMYFUNCTION("""COMPUTED_VALUE"""),-0.00751926634576027)</f>
        <v>-7.5192663457602704E-3</v>
      </c>
      <c r="CK10" s="3">
        <f ca="1">IFERROR(__xludf.DUMMYFUNCTION("""COMPUTED_VALUE"""),-0.0828680989249572)</f>
        <v>-8.2868098924957195E-2</v>
      </c>
      <c r="CL10" s="3">
        <f ca="1">IFERROR(__xludf.DUMMYFUNCTION("""COMPUTED_VALUE"""),-0.0149750858863734)</f>
        <v>-1.4975085886373401E-2</v>
      </c>
      <c r="CM10" s="3">
        <f ca="1">IFERROR(__xludf.DUMMYFUNCTION("""COMPUTED_VALUE"""),-0.107908072919)</f>
        <v>-0.10790807291899999</v>
      </c>
      <c r="CN10" s="3">
        <f ca="1">IFERROR(__xludf.DUMMYFUNCTION("""COMPUTED_VALUE"""),-0.145821289358593)</f>
        <v>-0.14582128935859301</v>
      </c>
      <c r="CO10" s="3">
        <f ca="1">IFERROR(__xludf.DUMMYFUNCTION("""COMPUTED_VALUE"""),-0.217132040579715)</f>
        <v>-0.217132040579715</v>
      </c>
      <c r="CP10" s="3">
        <f ca="1">IFERROR(__xludf.DUMMYFUNCTION("""COMPUTED_VALUE"""),-0.32437105943031)</f>
        <v>-0.32437105943031003</v>
      </c>
      <c r="CQ10" s="3">
        <f ca="1">IFERROR(__xludf.DUMMYFUNCTION("""COMPUTED_VALUE"""),-0.620747102839764)</f>
        <v>-0.62074710283976398</v>
      </c>
      <c r="CR10" s="3">
        <f ca="1">IFERROR(__xludf.DUMMYFUNCTION("""COMPUTED_VALUE"""),-0.639351016302275)</f>
        <v>-0.63935101630227498</v>
      </c>
      <c r="CS10" s="3">
        <f ca="1">IFERROR(__xludf.DUMMYFUNCTION("""COMPUTED_VALUE"""),-0.634390508185516)</f>
        <v>-0.63439050818551601</v>
      </c>
      <c r="CT10" s="3">
        <f ca="1">IFERROR(__xludf.DUMMYFUNCTION("""COMPUTED_VALUE"""),-0.154550091532809)</f>
        <v>-0.15455009153280899</v>
      </c>
      <c r="CU10" s="3">
        <f ca="1">IFERROR(__xludf.DUMMYFUNCTION("""COMPUTED_VALUE"""),-0.00237133435477676)</f>
        <v>-2.3713343547767602E-3</v>
      </c>
      <c r="CV10" s="3">
        <f ca="1">IFERROR(__xludf.DUMMYFUNCTION("""COMPUTED_VALUE"""),-0.0956666273209085)</f>
        <v>-9.5666627320908498E-2</v>
      </c>
      <c r="CW10" s="3">
        <f ca="1">IFERROR(__xludf.DUMMYFUNCTION("""COMPUTED_VALUE"""),0.0113216644586939)</f>
        <v>1.1321664458693899E-2</v>
      </c>
      <c r="CX10" s="3">
        <f ca="1">IFERROR(__xludf.DUMMYFUNCTION("""COMPUTED_VALUE"""),-0.0310873734569477)</f>
        <v>-3.10873734569477E-2</v>
      </c>
      <c r="CY10" s="3">
        <f ca="1">IFERROR(__xludf.DUMMYFUNCTION("""COMPUTED_VALUE"""),0.098800062720932)</f>
        <v>9.8800062720932003E-2</v>
      </c>
      <c r="CZ10" s="3">
        <f ca="1">IFERROR(__xludf.DUMMYFUNCTION("""COMPUTED_VALUE"""),-0.337890778718149)</f>
        <v>-0.33789077871814899</v>
      </c>
      <c r="DA10" s="3">
        <f ca="1">IFERROR(__xludf.DUMMYFUNCTION("""COMPUTED_VALUE"""),0.00355605075614806)</f>
        <v>3.5560507561480598E-3</v>
      </c>
      <c r="DB10" s="3">
        <f ca="1">IFERROR(__xludf.DUMMYFUNCTION("""COMPUTED_VALUE"""),-0.0255762372282788)</f>
        <v>-2.55762372282788E-2</v>
      </c>
      <c r="DC10" s="3">
        <f ca="1">IFERROR(__xludf.DUMMYFUNCTION("""COMPUTED_VALUE"""),-0.146104118103175)</f>
        <v>-0.146104118103175</v>
      </c>
      <c r="DD10" s="3">
        <f ca="1">IFERROR(__xludf.DUMMYFUNCTION("""COMPUTED_VALUE"""),-0.175041557232293)</f>
        <v>-0.175041557232293</v>
      </c>
      <c r="DE10" s="3">
        <f ca="1">IFERROR(__xludf.DUMMYFUNCTION("""COMPUTED_VALUE"""),-0.142476958789744)</f>
        <v>-0.14247695878974401</v>
      </c>
      <c r="DF10" s="3">
        <f ca="1">IFERROR(__xludf.DUMMYFUNCTION("""COMPUTED_VALUE"""),-0.0252532475848258)</f>
        <v>-2.5253247584825798E-2</v>
      </c>
      <c r="DG10" s="3">
        <f ca="1">IFERROR(__xludf.DUMMYFUNCTION("""COMPUTED_VALUE"""),-0.296676960028379)</f>
        <v>-0.29667696002837901</v>
      </c>
      <c r="DH10" s="3">
        <f ca="1">IFERROR(__xludf.DUMMYFUNCTION("""COMPUTED_VALUE"""),-0.571046180440284)</f>
        <v>-0.57104618044028399</v>
      </c>
      <c r="DI10" s="3">
        <f ca="1">IFERROR(__xludf.DUMMYFUNCTION("""COMPUTED_VALUE"""),0.047701591888366)</f>
        <v>4.7701591888366E-2</v>
      </c>
      <c r="DJ10" s="3">
        <f ca="1">IFERROR(__xludf.DUMMYFUNCTION("""COMPUTED_VALUE"""),0.232107119896237)</f>
        <v>0.232107119896237</v>
      </c>
      <c r="DK10" s="3">
        <f ca="1">IFERROR(__xludf.DUMMYFUNCTION("""COMPUTED_VALUE"""),0.178071969752619)</f>
        <v>0.17807196975261899</v>
      </c>
      <c r="DL10" s="3">
        <f ca="1">IFERROR(__xludf.DUMMYFUNCTION("""COMPUTED_VALUE"""),-0.0320081426896831)</f>
        <v>-3.2008142689683099E-2</v>
      </c>
      <c r="DM10" s="3">
        <f ca="1">IFERROR(__xludf.DUMMYFUNCTION("""COMPUTED_VALUE"""),0.0248245617045419)</f>
        <v>2.4824561704541899E-2</v>
      </c>
      <c r="DN10" s="3">
        <f ca="1">IFERROR(__xludf.DUMMYFUNCTION("""COMPUTED_VALUE"""),0.0334571737487747)</f>
        <v>3.3457173748774702E-2</v>
      </c>
      <c r="DO10" s="3">
        <f ca="1">IFERROR(__xludf.DUMMYFUNCTION("""COMPUTED_VALUE"""),0.045950755975028)</f>
        <v>4.5950755975027999E-2</v>
      </c>
      <c r="DP10" s="3">
        <f ca="1">IFERROR(__xludf.DUMMYFUNCTION("""COMPUTED_VALUE"""),-0.0469950679927397)</f>
        <v>-4.6995067992739697E-2</v>
      </c>
      <c r="DQ10" s="3">
        <f ca="1">IFERROR(__xludf.DUMMYFUNCTION("""COMPUTED_VALUE"""),0.0765575050108324)</f>
        <v>7.6557505010832402E-2</v>
      </c>
      <c r="DR10" s="3">
        <f ca="1">IFERROR(__xludf.DUMMYFUNCTION("""COMPUTED_VALUE"""),-0.056818856361926)</f>
        <v>-5.6818856361925997E-2</v>
      </c>
      <c r="DS10" s="3">
        <f ca="1">IFERROR(__xludf.DUMMYFUNCTION("""COMPUTED_VALUE"""),-0.168663182531383)</f>
        <v>-0.16866318253138299</v>
      </c>
      <c r="DT10" s="3">
        <f ca="1">IFERROR(__xludf.DUMMYFUNCTION("""COMPUTED_VALUE"""),-0.268418174075259)</f>
        <v>-0.26841817407525898</v>
      </c>
      <c r="DU10" s="3">
        <f ca="1">IFERROR(__xludf.DUMMYFUNCTION("""COMPUTED_VALUE"""),-0.127864007393122)</f>
        <v>-0.12786400739312201</v>
      </c>
      <c r="DV10" s="3">
        <f ca="1">IFERROR(__xludf.DUMMYFUNCTION("""COMPUTED_VALUE"""),-0.109098249120383)</f>
        <v>-0.109098249120383</v>
      </c>
      <c r="DW10" s="3">
        <f ca="1">IFERROR(__xludf.DUMMYFUNCTION("""COMPUTED_VALUE"""),-0.0760432348917871)</f>
        <v>-7.6043234891787104E-2</v>
      </c>
      <c r="DX10" s="3">
        <f ca="1">IFERROR(__xludf.DUMMYFUNCTION("""COMPUTED_VALUE"""),-0.154456968788039)</f>
        <v>-0.154456968788039</v>
      </c>
      <c r="DY10" s="3">
        <f ca="1">IFERROR(__xludf.DUMMYFUNCTION("""COMPUTED_VALUE"""),-0.124483230497045)</f>
        <v>-0.124483230497045</v>
      </c>
      <c r="DZ10" s="3">
        <f ca="1">IFERROR(__xludf.DUMMYFUNCTION("""COMPUTED_VALUE"""),-0.0660573140922431)</f>
        <v>-6.6057314092243094E-2</v>
      </c>
      <c r="EA10" s="3">
        <f ca="1">IFERROR(__xludf.DUMMYFUNCTION("""COMPUTED_VALUE"""),-0.129571095471036)</f>
        <v>-0.12957109547103601</v>
      </c>
      <c r="EB10" s="3">
        <f ca="1">IFERROR(__xludf.DUMMYFUNCTION("""COMPUTED_VALUE"""),-0.144425151682461)</f>
        <v>-0.14442515168246101</v>
      </c>
      <c r="EC10" s="3">
        <f ca="1">IFERROR(__xludf.DUMMYFUNCTION("""COMPUTED_VALUE"""),-0.109384333982881)</f>
        <v>-0.109384333982881</v>
      </c>
      <c r="ED10" s="3">
        <f ca="1">IFERROR(__xludf.DUMMYFUNCTION("""COMPUTED_VALUE"""),-0.0800859278441992)</f>
        <v>-8.0085927844199198E-2</v>
      </c>
      <c r="EE10" s="3">
        <f ca="1">IFERROR(__xludf.DUMMYFUNCTION("""COMPUTED_VALUE"""),-0.0803770784807381)</f>
        <v>-8.0377078480738107E-2</v>
      </c>
      <c r="EF10" s="3">
        <f ca="1">IFERROR(__xludf.DUMMYFUNCTION("""COMPUTED_VALUE"""),-0.0125740001011754)</f>
        <v>-1.25740001011754E-2</v>
      </c>
      <c r="EG10" s="3">
        <f ca="1">IFERROR(__xludf.DUMMYFUNCTION("""COMPUTED_VALUE"""),-0.0290920651431181)</f>
        <v>-2.9092065143118101E-2</v>
      </c>
      <c r="EH10" s="3">
        <f ca="1">IFERROR(__xludf.DUMMYFUNCTION("""COMPUTED_VALUE"""),0.0530033075663058)</f>
        <v>5.30033075663058E-2</v>
      </c>
      <c r="EI10" s="3">
        <f ca="1">IFERROR(__xludf.DUMMYFUNCTION("""COMPUTED_VALUE"""),-0.108968633198567)</f>
        <v>-0.10896863319856701</v>
      </c>
      <c r="EJ10" s="3">
        <f ca="1">IFERROR(__xludf.DUMMYFUNCTION("""COMPUTED_VALUE"""),-0.105809052004915)</f>
        <v>-0.105809052004915</v>
      </c>
      <c r="EK10" s="3">
        <f ca="1">IFERROR(__xludf.DUMMYFUNCTION("""COMPUTED_VALUE"""),-0.158136438512588)</f>
        <v>-0.15813643851258799</v>
      </c>
      <c r="EL10" s="3">
        <f ca="1">IFERROR(__xludf.DUMMYFUNCTION("""COMPUTED_VALUE"""),-0.18960643901126)</f>
        <v>-0.18960643901126001</v>
      </c>
      <c r="EM10" s="3">
        <f ca="1">IFERROR(__xludf.DUMMYFUNCTION("""COMPUTED_VALUE"""),-0.163674707514616)</f>
        <v>-0.16367470751461599</v>
      </c>
      <c r="EN10" s="3">
        <f ca="1">IFERROR(__xludf.DUMMYFUNCTION("""COMPUTED_VALUE"""),-0.127437344468418)</f>
        <v>-0.12743734446841801</v>
      </c>
      <c r="EO10" s="3">
        <f ca="1">IFERROR(__xludf.DUMMYFUNCTION("""COMPUTED_VALUE"""),-0.171247209105507)</f>
        <v>-0.171247209105507</v>
      </c>
      <c r="EP10" s="3">
        <f ca="1">IFERROR(__xludf.DUMMYFUNCTION("""COMPUTED_VALUE"""),-0.288516672319016)</f>
        <v>-0.28851667231901601</v>
      </c>
      <c r="EQ10" s="3">
        <f ca="1">IFERROR(__xludf.DUMMYFUNCTION("""COMPUTED_VALUE"""),-0.296268500249672)</f>
        <v>-0.296268500249672</v>
      </c>
      <c r="ER10" s="3">
        <f ca="1">IFERROR(__xludf.DUMMYFUNCTION("""COMPUTED_VALUE"""),-0.214602347227891)</f>
        <v>-0.21460234722789101</v>
      </c>
      <c r="ES10" s="3">
        <f ca="1">IFERROR(__xludf.DUMMYFUNCTION("""COMPUTED_VALUE"""),-0.232963658611901)</f>
        <v>-0.23296365861190099</v>
      </c>
      <c r="ET10" s="3">
        <f ca="1">IFERROR(__xludf.DUMMYFUNCTION("""COMPUTED_VALUE"""),-0.22781613514423)</f>
        <v>-0.22781613514422999</v>
      </c>
      <c r="EU10" s="3">
        <f ca="1">IFERROR(__xludf.DUMMYFUNCTION("""COMPUTED_VALUE"""),-0.177547712209848)</f>
        <v>-0.177547712209848</v>
      </c>
      <c r="EV10" s="3">
        <f ca="1">IFERROR(__xludf.DUMMYFUNCTION("""COMPUTED_VALUE"""),-0.125310692091673)</f>
        <v>-0.125310692091673</v>
      </c>
      <c r="EW10" s="3">
        <f ca="1">IFERROR(__xludf.DUMMYFUNCTION("""COMPUTED_VALUE"""),-0.268905126653217)</f>
        <v>-0.26890512665321697</v>
      </c>
      <c r="EX10" s="3">
        <f ca="1">IFERROR(__xludf.DUMMYFUNCTION("""COMPUTED_VALUE"""),-0.232065222475842)</f>
        <v>-0.23206522247584199</v>
      </c>
      <c r="EY10" s="3">
        <f ca="1">IFERROR(__xludf.DUMMYFUNCTION("""COMPUTED_VALUE"""),-0.264834371314002)</f>
        <v>-0.264834371314002</v>
      </c>
      <c r="EZ10" s="3">
        <f ca="1">IFERROR(__xludf.DUMMYFUNCTION("""COMPUTED_VALUE"""),-0.23714856512232)</f>
        <v>-0.23714856512231999</v>
      </c>
      <c r="FA10" s="3">
        <f ca="1">IFERROR(__xludf.DUMMYFUNCTION("""COMPUTED_VALUE"""),-0.268700451705648)</f>
        <v>-0.26870045170564799</v>
      </c>
      <c r="FB10" s="3">
        <f ca="1">IFERROR(__xludf.DUMMYFUNCTION("""COMPUTED_VALUE"""),-0.256920235697861)</f>
        <v>-0.25692023569786099</v>
      </c>
      <c r="FC10" s="3">
        <f ca="1">IFERROR(__xludf.DUMMYFUNCTION("""COMPUTED_VALUE"""),-0.214266812721389)</f>
        <v>-0.21426681272138901</v>
      </c>
      <c r="FD10" s="3">
        <f ca="1">IFERROR(__xludf.DUMMYFUNCTION("""COMPUTED_VALUE"""),-0.309457551025609)</f>
        <v>-0.30945755102560901</v>
      </c>
      <c r="FE10" s="3">
        <f ca="1">IFERROR(__xludf.DUMMYFUNCTION("""COMPUTED_VALUE"""),-0.252514838098488)</f>
        <v>-0.25251483809848801</v>
      </c>
      <c r="FF10" s="3">
        <f ca="1">IFERROR(__xludf.DUMMYFUNCTION("""COMPUTED_VALUE"""),-0.272541566186216)</f>
        <v>-0.272541566186216</v>
      </c>
      <c r="FG10" s="3">
        <f ca="1">IFERROR(__xludf.DUMMYFUNCTION("""COMPUTED_VALUE"""),-0.220807014534242)</f>
        <v>-0.22080701453424201</v>
      </c>
      <c r="FH10" s="3">
        <f ca="1">IFERROR(__xludf.DUMMYFUNCTION("""COMPUTED_VALUE"""),-0.215588085014437)</f>
        <v>-0.21558808501443699</v>
      </c>
      <c r="FI10" s="3">
        <f ca="1">IFERROR(__xludf.DUMMYFUNCTION("""COMPUTED_VALUE"""),-0.234029234967595)</f>
        <v>-0.23402923496759501</v>
      </c>
      <c r="FJ10" s="3">
        <f ca="1">IFERROR(__xludf.DUMMYFUNCTION("""COMPUTED_VALUE"""),-0.196738828710708)</f>
        <v>-0.196738828710708</v>
      </c>
      <c r="FK10" s="3">
        <f ca="1">IFERROR(__xludf.DUMMYFUNCTION("""COMPUTED_VALUE"""),-0.263852462051435)</f>
        <v>-0.26385246205143498</v>
      </c>
      <c r="FL10" s="3">
        <f ca="1">IFERROR(__xludf.DUMMYFUNCTION("""COMPUTED_VALUE"""),-0.16352733399271)</f>
        <v>-0.16352733399270999</v>
      </c>
      <c r="FM10" s="3">
        <f ca="1">IFERROR(__xludf.DUMMYFUNCTION("""COMPUTED_VALUE"""),-0.290933136312849)</f>
        <v>-0.29093313631284901</v>
      </c>
      <c r="FN10" s="3">
        <f ca="1">IFERROR(__xludf.DUMMYFUNCTION("""COMPUTED_VALUE"""),-0.282020108230772)</f>
        <v>-0.282020108230772</v>
      </c>
      <c r="FO10" s="3">
        <f ca="1">IFERROR(__xludf.DUMMYFUNCTION("""COMPUTED_VALUE"""),-0.312528259884531)</f>
        <v>-0.31252825988453098</v>
      </c>
      <c r="FP10" s="3">
        <f ca="1">IFERROR(__xludf.DUMMYFUNCTION("""COMPUTED_VALUE"""),-0.368855993285533)</f>
        <v>-0.36885599328553298</v>
      </c>
      <c r="FQ10" s="3">
        <f ca="1">IFERROR(__xludf.DUMMYFUNCTION("""COMPUTED_VALUE"""),-0.290630730572994)</f>
        <v>-0.29063073057299399</v>
      </c>
      <c r="FR10" s="3">
        <f ca="1">IFERROR(__xludf.DUMMYFUNCTION("""COMPUTED_VALUE"""),-0.33914415177341)</f>
        <v>-0.33914415177341001</v>
      </c>
      <c r="FS10" s="3">
        <f ca="1">IFERROR(__xludf.DUMMYFUNCTION("""COMPUTED_VALUE"""),-0.288038702601626)</f>
        <v>-0.28803870260162601</v>
      </c>
      <c r="FT10" s="3">
        <f ca="1">IFERROR(__xludf.DUMMYFUNCTION("""COMPUTED_VALUE"""),-0.211092514448345)</f>
        <v>-0.21109251444834501</v>
      </c>
      <c r="FU10" s="3">
        <f ca="1">IFERROR(__xludf.DUMMYFUNCTION("""COMPUTED_VALUE"""),-0.209697995416566)</f>
        <v>-0.209697995416566</v>
      </c>
      <c r="FV10" s="3">
        <f ca="1">IFERROR(__xludf.DUMMYFUNCTION("""COMPUTED_VALUE"""),-0.175034850868407)</f>
        <v>-0.175034850868407</v>
      </c>
      <c r="FW10" s="3">
        <f ca="1">IFERROR(__xludf.DUMMYFUNCTION("""COMPUTED_VALUE"""),-0.235317915597313)</f>
        <v>-0.23531791559731299</v>
      </c>
      <c r="FX10" s="3">
        <f ca="1">IFERROR(__xludf.DUMMYFUNCTION("""COMPUTED_VALUE"""),-0.116573953464522)</f>
        <v>-0.116573953464522</v>
      </c>
      <c r="FY10" s="3">
        <f ca="1">IFERROR(__xludf.DUMMYFUNCTION("""COMPUTED_VALUE"""),-0.23174763001027)</f>
        <v>-0.23174763001026999</v>
      </c>
      <c r="FZ10" s="3">
        <f ca="1">IFERROR(__xludf.DUMMYFUNCTION("""COMPUTED_VALUE"""),-0.226035517785716)</f>
        <v>-0.22603551778571601</v>
      </c>
      <c r="GA10" s="3">
        <f ca="1">IFERROR(__xludf.DUMMYFUNCTION("""COMPUTED_VALUE"""),-0.246274454496233)</f>
        <v>-0.246274454496233</v>
      </c>
      <c r="GB10" s="3">
        <f ca="1">IFERROR(__xludf.DUMMYFUNCTION("""COMPUTED_VALUE"""),-0.236797974419426)</f>
        <v>-0.23679797441942599</v>
      </c>
      <c r="GC10" s="3">
        <f ca="1">IFERROR(__xludf.DUMMYFUNCTION("""COMPUTED_VALUE"""),-0.232315758224289)</f>
        <v>-0.23231575822428899</v>
      </c>
      <c r="GD10" s="3">
        <f ca="1">IFERROR(__xludf.DUMMYFUNCTION("""COMPUTED_VALUE"""),-0.287419061557093)</f>
        <v>-0.28741906155709301</v>
      </c>
      <c r="GE10" s="3">
        <f ca="1">IFERROR(__xludf.DUMMYFUNCTION("""COMPUTED_VALUE"""),-0.182066198506555)</f>
        <v>-0.182066198506555</v>
      </c>
      <c r="GF10" s="3">
        <f ca="1">IFERROR(__xludf.DUMMYFUNCTION("""COMPUTED_VALUE"""),-0.252570690633274)</f>
        <v>-0.25257069063327398</v>
      </c>
      <c r="GG10" s="3">
        <f ca="1">IFERROR(__xludf.DUMMYFUNCTION("""COMPUTED_VALUE"""),-0.23840703595644)</f>
        <v>-0.23840703595644</v>
      </c>
      <c r="GH10" s="3">
        <f ca="1">IFERROR(__xludf.DUMMYFUNCTION("""COMPUTED_VALUE"""),-0.293115002345628)</f>
        <v>-0.29311500234562798</v>
      </c>
      <c r="GI10" s="3">
        <f ca="1">IFERROR(__xludf.DUMMYFUNCTION("""COMPUTED_VALUE"""),-0.285398199221277)</f>
        <v>-0.28539819922127702</v>
      </c>
      <c r="GJ10" s="3">
        <f ca="1">IFERROR(__xludf.DUMMYFUNCTION("""COMPUTED_VALUE"""),-0.342104096960998)</f>
        <v>-0.34210409696099803</v>
      </c>
      <c r="GK10" s="3">
        <f ca="1">IFERROR(__xludf.DUMMYFUNCTION("""COMPUTED_VALUE"""),-0.359042903041731)</f>
        <v>-0.35904290304173098</v>
      </c>
      <c r="GL10" s="3">
        <f ca="1">IFERROR(__xludf.DUMMYFUNCTION("""COMPUTED_VALUE"""),-0.243177893916569)</f>
        <v>-0.24317789391656899</v>
      </c>
      <c r="GM10" s="3">
        <f ca="1">IFERROR(__xludf.DUMMYFUNCTION("""COMPUTED_VALUE"""),-0.3104237554379)</f>
        <v>-0.31042375543790002</v>
      </c>
      <c r="GN10" s="3">
        <f ca="1">IFERROR(__xludf.DUMMYFUNCTION("""COMPUTED_VALUE"""),-0.295135539454474)</f>
        <v>-0.29513553945447402</v>
      </c>
      <c r="GO10" s="3">
        <f ca="1">IFERROR(__xludf.DUMMYFUNCTION("""COMPUTED_VALUE"""),-0.36348671913051)</f>
        <v>-0.36348671913051001</v>
      </c>
      <c r="GP10" s="3">
        <f ca="1">IFERROR(__xludf.DUMMYFUNCTION("""COMPUTED_VALUE"""),-0.327115912096914)</f>
        <v>-0.32711591209691399</v>
      </c>
      <c r="GQ10" s="3">
        <f ca="1">IFERROR(__xludf.DUMMYFUNCTION("""COMPUTED_VALUE"""),-0.241213190176809)</f>
        <v>-0.24121319017680901</v>
      </c>
      <c r="GR10" s="3">
        <f ca="1">IFERROR(__xludf.DUMMYFUNCTION("""COMPUTED_VALUE"""),-0.193381242774062)</f>
        <v>-0.19338124277406199</v>
      </c>
      <c r="GS10" s="3">
        <f ca="1">IFERROR(__xludf.DUMMYFUNCTION("""COMPUTED_VALUE"""),-0.339109806360762)</f>
        <v>-0.33910980636076199</v>
      </c>
      <c r="GT10" s="3">
        <f ca="1">IFERROR(__xludf.DUMMYFUNCTION("""COMPUTED_VALUE"""),-0.330777545913394)</f>
        <v>-0.33077754591339398</v>
      </c>
      <c r="GU10" s="3">
        <f ca="1">IFERROR(__xludf.DUMMYFUNCTION("""COMPUTED_VALUE"""),-0.24280124102731)</f>
        <v>-0.24280124102730999</v>
      </c>
      <c r="GV10" s="3">
        <f ca="1">IFERROR(__xludf.DUMMYFUNCTION("""COMPUTED_VALUE"""),-0.282364100178978)</f>
        <v>-0.28236410017897801</v>
      </c>
      <c r="GW10" s="3">
        <f ca="1">IFERROR(__xludf.DUMMYFUNCTION("""COMPUTED_VALUE"""),-0.239958218306517)</f>
        <v>-0.23995821830651701</v>
      </c>
      <c r="GX10" s="3">
        <f ca="1">IFERROR(__xludf.DUMMYFUNCTION("""COMPUTED_VALUE"""),-0.213106927059329)</f>
        <v>-0.21310692705932899</v>
      </c>
      <c r="GY10" s="3">
        <f ca="1">IFERROR(__xludf.DUMMYFUNCTION("""COMPUTED_VALUE"""),-0.293566193822418)</f>
        <v>-0.293566193822418</v>
      </c>
      <c r="GZ10" s="3">
        <f ca="1">IFERROR(__xludf.DUMMYFUNCTION("""COMPUTED_VALUE"""),-0.305189609101837)</f>
        <v>-0.30518960910183701</v>
      </c>
      <c r="HA10" s="3">
        <f ca="1">IFERROR(__xludf.DUMMYFUNCTION("""COMPUTED_VALUE"""),-0.293691293055609)</f>
        <v>-0.29369129305560898</v>
      </c>
      <c r="HB10" s="3">
        <f ca="1">IFERROR(__xludf.DUMMYFUNCTION("""COMPUTED_VALUE"""),-0.173822133148184)</f>
        <v>-0.17382213314818401</v>
      </c>
      <c r="HC10" s="3">
        <f ca="1">IFERROR(__xludf.DUMMYFUNCTION("""COMPUTED_VALUE"""),-0.119990612335743)</f>
        <v>-0.119990612335743</v>
      </c>
      <c r="HD10" s="3">
        <f ca="1">IFERROR(__xludf.DUMMYFUNCTION("""COMPUTED_VALUE"""),-0.210416269790316)</f>
        <v>-0.210416269790316</v>
      </c>
      <c r="HE10" s="3">
        <f ca="1">IFERROR(__xludf.DUMMYFUNCTION("""COMPUTED_VALUE"""),-0.282470317637801)</f>
        <v>-0.282470317637801</v>
      </c>
      <c r="HF10" s="3">
        <f ca="1">IFERROR(__xludf.DUMMYFUNCTION("""COMPUTED_VALUE"""),-0.275576127874414)</f>
        <v>-0.27557612787441399</v>
      </c>
      <c r="HG10" s="3">
        <f ca="1">IFERROR(__xludf.DUMMYFUNCTION("""COMPUTED_VALUE"""),-0.19422247337955)</f>
        <v>-0.19422247337955001</v>
      </c>
      <c r="HH10" s="3">
        <f ca="1">IFERROR(__xludf.DUMMYFUNCTION("""COMPUTED_VALUE"""),-0.295947353521948)</f>
        <v>-0.29594735352194801</v>
      </c>
      <c r="HI10" s="3">
        <f ca="1">IFERROR(__xludf.DUMMYFUNCTION("""COMPUTED_VALUE"""),-0.265880535113753)</f>
        <v>-0.26588053511375298</v>
      </c>
      <c r="HJ10" s="3">
        <f ca="1">IFERROR(__xludf.DUMMYFUNCTION("""COMPUTED_VALUE"""),-0.19237641837349)</f>
        <v>-0.19237641837349001</v>
      </c>
      <c r="HK10" s="3">
        <f ca="1">IFERROR(__xludf.DUMMYFUNCTION("""COMPUTED_VALUE"""),-0.216883930202043)</f>
        <v>-0.216883930202043</v>
      </c>
      <c r="HL10" s="3">
        <f ca="1">IFERROR(__xludf.DUMMYFUNCTION("""COMPUTED_VALUE"""),-0.257542323735819)</f>
        <v>-0.25754232373581898</v>
      </c>
      <c r="HM10" s="3">
        <f ca="1">IFERROR(__xludf.DUMMYFUNCTION("""COMPUTED_VALUE"""),-0.281004002011526)</f>
        <v>-0.28100400201152598</v>
      </c>
      <c r="HN10" s="3">
        <f ca="1">IFERROR(__xludf.DUMMYFUNCTION("""COMPUTED_VALUE"""),-0.30820077542712)</f>
        <v>-0.30820077542711999</v>
      </c>
      <c r="HO10" s="3">
        <f ca="1">IFERROR(__xludf.DUMMYFUNCTION("""COMPUTED_VALUE"""),-0.29127649818868)</f>
        <v>-0.29127649818868001</v>
      </c>
      <c r="HP10" s="3">
        <f ca="1">IFERROR(__xludf.DUMMYFUNCTION("""COMPUTED_VALUE"""),-0.238148348513791)</f>
        <v>-0.23814834851379099</v>
      </c>
      <c r="HQ10" s="3">
        <f ca="1">IFERROR(__xludf.DUMMYFUNCTION("""COMPUTED_VALUE"""),-0.240063794934862)</f>
        <v>-0.24006379493486199</v>
      </c>
      <c r="HR10" s="3">
        <f ca="1">IFERROR(__xludf.DUMMYFUNCTION("""COMPUTED_VALUE"""),-0.173262732081837)</f>
        <v>-0.17326273208183701</v>
      </c>
      <c r="HS10" s="3">
        <f ca="1">IFERROR(__xludf.DUMMYFUNCTION("""COMPUTED_VALUE"""),-0.238881221076659)</f>
        <v>-0.23888122107665899</v>
      </c>
      <c r="HT10" s="3">
        <f ca="1">IFERROR(__xludf.DUMMYFUNCTION("""COMPUTED_VALUE"""),-0.148793060539075)</f>
        <v>-0.14879306053907501</v>
      </c>
      <c r="HU10" s="3">
        <f ca="1">IFERROR(__xludf.DUMMYFUNCTION("""COMPUTED_VALUE"""),-0.158638708089035)</f>
        <v>-0.15863870808903499</v>
      </c>
      <c r="HV10" s="3">
        <f ca="1">IFERROR(__xludf.DUMMYFUNCTION("""COMPUTED_VALUE"""),-0.217871211237066)</f>
        <v>-0.21787121123706599</v>
      </c>
      <c r="HW10" s="3">
        <f ca="1">IFERROR(__xludf.DUMMYFUNCTION("""COMPUTED_VALUE"""),-0.275904189850399)</f>
        <v>-0.275904189850399</v>
      </c>
      <c r="HX10" s="3">
        <f ca="1">IFERROR(__xludf.DUMMYFUNCTION("""COMPUTED_VALUE"""),-0.234902304389199)</f>
        <v>-0.23490230438919901</v>
      </c>
      <c r="HY10" s="3">
        <f ca="1">IFERROR(__xludf.DUMMYFUNCTION("""COMPUTED_VALUE"""),-0.271471461391353)</f>
        <v>-0.27147146139135298</v>
      </c>
      <c r="HZ10" s="3">
        <f ca="1">IFERROR(__xludf.DUMMYFUNCTION("""COMPUTED_VALUE"""),-0.277179067443658)</f>
        <v>-0.277179067443658</v>
      </c>
      <c r="IA10" s="3">
        <f ca="1">IFERROR(__xludf.DUMMYFUNCTION("""COMPUTED_VALUE"""),-0.130602100848596)</f>
        <v>-0.130602100848596</v>
      </c>
      <c r="IB10" s="3">
        <f ca="1">IFERROR(__xludf.DUMMYFUNCTION("""COMPUTED_VALUE"""),-0.108728349871441)</f>
        <v>-0.108728349871441</v>
      </c>
      <c r="IC10" s="3">
        <f ca="1">IFERROR(__xludf.DUMMYFUNCTION("""COMPUTED_VALUE"""),-0.167821734250611)</f>
        <v>-0.167821734250611</v>
      </c>
      <c r="ID10" s="3">
        <f ca="1">IFERROR(__xludf.DUMMYFUNCTION("""COMPUTED_VALUE"""),-0.0987192891559036)</f>
        <v>-9.8719289155903597E-2</v>
      </c>
      <c r="IE10" s="3">
        <f ca="1">IFERROR(__xludf.DUMMYFUNCTION("""COMPUTED_VALUE"""),-0.171955801955252)</f>
        <v>-0.17195580195525201</v>
      </c>
      <c r="IF10" s="3">
        <f ca="1">IFERROR(__xludf.DUMMYFUNCTION("""COMPUTED_VALUE"""),-0.151293237250542)</f>
        <v>-0.151293237250542</v>
      </c>
      <c r="IG10" s="3">
        <f ca="1">IFERROR(__xludf.DUMMYFUNCTION("""COMPUTED_VALUE"""),-0.132297561125492)</f>
        <v>-0.13229756112549201</v>
      </c>
      <c r="IH10" s="3">
        <f ca="1">IFERROR(__xludf.DUMMYFUNCTION("""COMPUTED_VALUE"""),-0.165057378475359)</f>
        <v>-0.16505737847535901</v>
      </c>
      <c r="II10" s="3">
        <f ca="1">IFERROR(__xludf.DUMMYFUNCTION("""COMPUTED_VALUE"""),-0.173078685368998)</f>
        <v>-0.17307868536899801</v>
      </c>
      <c r="IJ10" s="3">
        <f ca="1">IFERROR(__xludf.DUMMYFUNCTION("""COMPUTED_VALUE"""),-0.400500103264764)</f>
        <v>-0.40050010326476398</v>
      </c>
      <c r="IK10" s="3">
        <f ca="1">IFERROR(__xludf.DUMMYFUNCTION("""COMPUTED_VALUE"""),-0.330476434033421)</f>
        <v>-0.33047643403342097</v>
      </c>
      <c r="IL10" s="3">
        <f ca="1">IFERROR(__xludf.DUMMYFUNCTION("""COMPUTED_VALUE"""),-0.222010436275907)</f>
        <v>-0.222010436275907</v>
      </c>
      <c r="IM10" s="3">
        <f ca="1">IFERROR(__xludf.DUMMYFUNCTION("""COMPUTED_VALUE"""),-0.246697362491935)</f>
        <v>-0.246697362491935</v>
      </c>
      <c r="IN10" s="3">
        <f ca="1">IFERROR(__xludf.DUMMYFUNCTION("""COMPUTED_VALUE"""),-0.180818298655417)</f>
        <v>-0.18081829865541699</v>
      </c>
      <c r="IO10" s="3">
        <f ca="1">IFERROR(__xludf.DUMMYFUNCTION("""COMPUTED_VALUE"""),-0.226816959782509)</f>
        <v>-0.22681695978250899</v>
      </c>
      <c r="IP10" s="3">
        <f ca="1">IFERROR(__xludf.DUMMYFUNCTION("""COMPUTED_VALUE"""),-0.0548332274456768)</f>
        <v>-5.4833227445676799E-2</v>
      </c>
      <c r="IQ10" s="3">
        <f ca="1">IFERROR(__xludf.DUMMYFUNCTION("""COMPUTED_VALUE"""),-0.283577954053987)</f>
        <v>-0.283577954053987</v>
      </c>
      <c r="IR10" s="3">
        <f ca="1">IFERROR(__xludf.DUMMYFUNCTION("""COMPUTED_VALUE"""),-0.297264556060096)</f>
        <v>-0.297264556060096</v>
      </c>
      <c r="IS10" s="3">
        <f ca="1">IFERROR(__xludf.DUMMYFUNCTION("""COMPUTED_VALUE"""),-0.273649355471941)</f>
        <v>-0.27364935547194102</v>
      </c>
      <c r="IT10" s="3">
        <f ca="1">IFERROR(__xludf.DUMMYFUNCTION("""COMPUTED_VALUE"""),-0.271672600898869)</f>
        <v>-0.27167260089886902</v>
      </c>
      <c r="IU10" s="3">
        <f ca="1">IFERROR(__xludf.DUMMYFUNCTION("""COMPUTED_VALUE"""),-0.307459630082243)</f>
        <v>-0.30745963008224297</v>
      </c>
      <c r="IV10" s="3">
        <f ca="1">IFERROR(__xludf.DUMMYFUNCTION("""COMPUTED_VALUE"""),-0.207772721771013)</f>
        <v>-0.207772721771013</v>
      </c>
      <c r="IW10" s="3">
        <f ca="1">IFERROR(__xludf.DUMMYFUNCTION("""COMPUTED_VALUE"""),-0.107768983119851)</f>
        <v>-0.107768983119851</v>
      </c>
      <c r="IX10" s="3">
        <f ca="1">IFERROR(__xludf.DUMMYFUNCTION("""COMPUTED_VALUE"""),-0.214992255545446)</f>
        <v>-0.21499225554544599</v>
      </c>
      <c r="IY10" s="3">
        <f ca="1">IFERROR(__xludf.DUMMYFUNCTION("""COMPUTED_VALUE"""),-0.299643979807505)</f>
        <v>-0.29964397980750501</v>
      </c>
      <c r="IZ10" s="3">
        <f ca="1">IFERROR(__xludf.DUMMYFUNCTION("""COMPUTED_VALUE"""),-0.232346860259144)</f>
        <v>-0.232346860259144</v>
      </c>
      <c r="JA10" s="3">
        <f ca="1">IFERROR(__xludf.DUMMYFUNCTION("""COMPUTED_VALUE"""),-0.263804547913266)</f>
        <v>-0.26380454791326602</v>
      </c>
      <c r="JB10" s="3">
        <f ca="1">IFERROR(__xludf.DUMMYFUNCTION("""COMPUTED_VALUE"""),-0.295823726952959)</f>
        <v>-0.295823726952959</v>
      </c>
      <c r="JC10" s="3">
        <f ca="1">IFERROR(__xludf.DUMMYFUNCTION("""COMPUTED_VALUE"""),-0.225176038120249)</f>
        <v>-0.225176038120249</v>
      </c>
      <c r="JD10" s="3">
        <f ca="1">IFERROR(__xludf.DUMMYFUNCTION("""COMPUTED_VALUE"""),-0.328510903213377)</f>
        <v>-0.328510903213377</v>
      </c>
      <c r="JE10" s="3">
        <f ca="1">IFERROR(__xludf.DUMMYFUNCTION("""COMPUTED_VALUE"""),-0.354685408534488)</f>
        <v>-0.35468540853448799</v>
      </c>
      <c r="JF10" s="3">
        <f ca="1">IFERROR(__xludf.DUMMYFUNCTION("""COMPUTED_VALUE"""),-0.330769413920348)</f>
        <v>-0.33076941392034798</v>
      </c>
      <c r="JG10" s="3">
        <f ca="1">IFERROR(__xludf.DUMMYFUNCTION("""COMPUTED_VALUE"""),-0.296268708014279)</f>
        <v>-0.29626870801427901</v>
      </c>
      <c r="JH10" s="3">
        <f ca="1">IFERROR(__xludf.DUMMYFUNCTION("""COMPUTED_VALUE"""),-0.321410327470526)</f>
        <v>-0.321410327470526</v>
      </c>
      <c r="JI10" s="3">
        <f ca="1">IFERROR(__xludf.DUMMYFUNCTION("""COMPUTED_VALUE"""),-0.28632419706115)</f>
        <v>-0.28632419706114998</v>
      </c>
      <c r="JJ10" s="3">
        <f ca="1">IFERROR(__xludf.DUMMYFUNCTION("""COMPUTED_VALUE"""),-0.253268015600991)</f>
        <v>-0.25326801560099099</v>
      </c>
      <c r="JK10" s="3">
        <f ca="1">IFERROR(__xludf.DUMMYFUNCTION("""COMPUTED_VALUE"""),-0.188800930568757)</f>
        <v>-0.18880093056875699</v>
      </c>
      <c r="JL10" s="3">
        <f ca="1">IFERROR(__xludf.DUMMYFUNCTION("""COMPUTED_VALUE"""),-0.302249664875175)</f>
        <v>-0.30224966487517502</v>
      </c>
      <c r="JM10" s="3">
        <f ca="1">IFERROR(__xludf.DUMMYFUNCTION("""COMPUTED_VALUE"""),-0.268105175674557)</f>
        <v>-0.26810517567455699</v>
      </c>
      <c r="JN10" s="3">
        <f ca="1">IFERROR(__xludf.DUMMYFUNCTION("""COMPUTED_VALUE"""),-0.270422382316848)</f>
        <v>-0.27042238231684801</v>
      </c>
      <c r="JO10" s="3">
        <f ca="1">IFERROR(__xludf.DUMMYFUNCTION("""COMPUTED_VALUE"""),-0.312073046350623)</f>
        <v>-0.312073046350623</v>
      </c>
      <c r="JP10" s="3">
        <f ca="1">IFERROR(__xludf.DUMMYFUNCTION("""COMPUTED_VALUE"""),-0.273791302168897)</f>
        <v>-0.27379130216889702</v>
      </c>
      <c r="JQ10" s="3">
        <f ca="1">IFERROR(__xludf.DUMMYFUNCTION("""COMPUTED_VALUE"""),-0.363236550000213)</f>
        <v>-0.36323655000021299</v>
      </c>
      <c r="JR10" s="3">
        <f ca="1">IFERROR(__xludf.DUMMYFUNCTION("""COMPUTED_VALUE"""),-0.274199761452544)</f>
        <v>-0.27419976145254399</v>
      </c>
      <c r="JS10" s="3">
        <f ca="1">IFERROR(__xludf.DUMMYFUNCTION("""COMPUTED_VALUE"""),-0.190869521650015)</f>
        <v>-0.190869521650015</v>
      </c>
      <c r="JT10" s="3">
        <f ca="1">IFERROR(__xludf.DUMMYFUNCTION("""COMPUTED_VALUE"""),-0.323757167638106)</f>
        <v>-0.32375716763810602</v>
      </c>
      <c r="JU10" s="3">
        <f ca="1">IFERROR(__xludf.DUMMYFUNCTION("""COMPUTED_VALUE"""),-0.182809478025719)</f>
        <v>-0.18280947802571901</v>
      </c>
      <c r="JV10" s="3">
        <f ca="1">IFERROR(__xludf.DUMMYFUNCTION("""COMPUTED_VALUE"""),-0.339558921476807)</f>
        <v>-0.339558921476807</v>
      </c>
      <c r="JW10" s="3">
        <f ca="1">IFERROR(__xludf.DUMMYFUNCTION("""COMPUTED_VALUE"""),-0.293513173607942)</f>
        <v>-0.29351317360794199</v>
      </c>
      <c r="JX10" s="3">
        <f ca="1">IFERROR(__xludf.DUMMYFUNCTION("""COMPUTED_VALUE"""),-0.351262493542991)</f>
        <v>-0.35126249354299099</v>
      </c>
      <c r="JY10" s="3">
        <f ca="1">IFERROR(__xludf.DUMMYFUNCTION("""COMPUTED_VALUE"""),-0.325249493144592)</f>
        <v>-0.32524949314459201</v>
      </c>
      <c r="JZ10" s="3">
        <f ca="1">IFERROR(__xludf.DUMMYFUNCTION("""COMPUTED_VALUE"""),-0.313468660922236)</f>
        <v>-0.31346866092223602</v>
      </c>
      <c r="KA10" s="3">
        <f ca="1">IFERROR(__xludf.DUMMYFUNCTION("""COMPUTED_VALUE"""),-0.24908954904468)</f>
        <v>-0.24908954904468</v>
      </c>
      <c r="KB10" s="3">
        <f ca="1">IFERROR(__xludf.DUMMYFUNCTION("""COMPUTED_VALUE"""),-0.25584966133998)</f>
        <v>-0.25584966133997999</v>
      </c>
      <c r="KC10" s="3">
        <f ca="1">IFERROR(__xludf.DUMMYFUNCTION("""COMPUTED_VALUE"""),-0.258133226383807)</f>
        <v>-0.25813322638380698</v>
      </c>
      <c r="KD10" s="3">
        <f ca="1">IFERROR(__xludf.DUMMYFUNCTION("""COMPUTED_VALUE"""),-0.336969115822203)</f>
        <v>-0.33696911582220301</v>
      </c>
      <c r="KE10" s="3">
        <f ca="1">IFERROR(__xludf.DUMMYFUNCTION("""COMPUTED_VALUE"""),-0.286515229742947)</f>
        <v>-0.28651522974294702</v>
      </c>
      <c r="KF10" s="3">
        <f ca="1">IFERROR(__xludf.DUMMYFUNCTION("""COMPUTED_VALUE"""),-0.204640964509547)</f>
        <v>-0.204640964509547</v>
      </c>
      <c r="KG10" s="3">
        <f ca="1">IFERROR(__xludf.DUMMYFUNCTION("""COMPUTED_VALUE"""),-0.286584777878787)</f>
        <v>-0.286584777878787</v>
      </c>
      <c r="KH10" s="3">
        <f ca="1">IFERROR(__xludf.DUMMYFUNCTION("""COMPUTED_VALUE"""),-0.30294803519866)</f>
        <v>-0.30294803519865998</v>
      </c>
      <c r="KI10" s="3">
        <f ca="1">IFERROR(__xludf.DUMMYFUNCTION("""COMPUTED_VALUE"""),-0.236625953990082)</f>
        <v>-0.23662595399008199</v>
      </c>
      <c r="KJ10" s="3">
        <f ca="1">IFERROR(__xludf.DUMMYFUNCTION("""COMPUTED_VALUE"""),-0.320936644605076)</f>
        <v>-0.32093664460507598</v>
      </c>
      <c r="KK10" s="3">
        <f ca="1">IFERROR(__xludf.DUMMYFUNCTION("""COMPUTED_VALUE"""),-0.331146609092627)</f>
        <v>-0.331146609092627</v>
      </c>
      <c r="KL10" s="3">
        <f ca="1">IFERROR(__xludf.DUMMYFUNCTION("""COMPUTED_VALUE"""),-0.328591478669755)</f>
        <v>-0.32859147866975502</v>
      </c>
      <c r="KM10" s="3">
        <f ca="1">IFERROR(__xludf.DUMMYFUNCTION("""COMPUTED_VALUE"""),-0.311416509068031)</f>
        <v>-0.31141650906803098</v>
      </c>
      <c r="KN10" s="3">
        <f ca="1">IFERROR(__xludf.DUMMYFUNCTION("""COMPUTED_VALUE"""),-0.394441317008572)</f>
        <v>-0.39444131700857199</v>
      </c>
      <c r="KO10" s="3">
        <f ca="1">IFERROR(__xludf.DUMMYFUNCTION("""COMPUTED_VALUE"""),-0.333973953222686)</f>
        <v>-0.33397395322268603</v>
      </c>
      <c r="KP10" s="3">
        <f ca="1">IFERROR(__xludf.DUMMYFUNCTION("""COMPUTED_VALUE"""),-0.401520123641336)</f>
        <v>-0.40152012364133599</v>
      </c>
      <c r="KQ10" s="3">
        <f ca="1">IFERROR(__xludf.DUMMYFUNCTION("""COMPUTED_VALUE"""),-0.32234387293316)</f>
        <v>-0.32234387293316002</v>
      </c>
      <c r="KR10" s="3">
        <f ca="1">IFERROR(__xludf.DUMMYFUNCTION("""COMPUTED_VALUE"""),-0.350997810480361)</f>
        <v>-0.35099781048036099</v>
      </c>
      <c r="KS10" s="3">
        <f ca="1">IFERROR(__xludf.DUMMYFUNCTION("""COMPUTED_VALUE"""),-0.340704426160975)</f>
        <v>-0.34070442616097502</v>
      </c>
      <c r="KT10" s="3">
        <f ca="1">IFERROR(__xludf.DUMMYFUNCTION("""COMPUTED_VALUE"""),-0.293711654895889)</f>
        <v>-0.29371165489588902</v>
      </c>
      <c r="KU10" s="3">
        <f ca="1">IFERROR(__xludf.DUMMYFUNCTION("""COMPUTED_VALUE"""),-0.387149957422951)</f>
        <v>-0.387149957422951</v>
      </c>
      <c r="KV10" s="3">
        <f ca="1">IFERROR(__xludf.DUMMYFUNCTION("""COMPUTED_VALUE"""),-0.378262130633245)</f>
        <v>-0.37826213063324499</v>
      </c>
      <c r="KW10" s="3">
        <f ca="1">IFERROR(__xludf.DUMMYFUNCTION("""COMPUTED_VALUE"""),-0.510260041972423)</f>
        <v>-0.51026004197242303</v>
      </c>
      <c r="KX10" s="3">
        <f ca="1">IFERROR(__xludf.DUMMYFUNCTION("""COMPUTED_VALUE"""),-0.453281956668996)</f>
        <v>-0.45328195666899601</v>
      </c>
      <c r="KY10" s="3">
        <f ca="1">IFERROR(__xludf.DUMMYFUNCTION("""COMPUTED_VALUE"""),-0.447653805471234)</f>
        <v>-0.44765380547123401</v>
      </c>
      <c r="KZ10" s="3">
        <f ca="1">IFERROR(__xludf.DUMMYFUNCTION("""COMPUTED_VALUE"""),-0.477938539524316)</f>
        <v>-0.47793853952431598</v>
      </c>
      <c r="LA10" s="3">
        <f ca="1">IFERROR(__xludf.DUMMYFUNCTION("""COMPUTED_VALUE"""),-0.280786875858085)</f>
        <v>-0.28078687585808498</v>
      </c>
      <c r="LB10" s="3">
        <f ca="1">IFERROR(__xludf.DUMMYFUNCTION("""COMPUTED_VALUE"""),-0.345760815153984)</f>
        <v>-0.34576081515398399</v>
      </c>
      <c r="LC10" s="3">
        <f ca="1">IFERROR(__xludf.DUMMYFUNCTION("""COMPUTED_VALUE"""),-0.483282494377846)</f>
        <v>-0.48328249437784598</v>
      </c>
      <c r="LD10" s="3">
        <f ca="1">IFERROR(__xludf.DUMMYFUNCTION("""COMPUTED_VALUE"""),-0.51638346444931)</f>
        <v>-0.51638346444931005</v>
      </c>
      <c r="LE10" s="3">
        <f ca="1">IFERROR(__xludf.DUMMYFUNCTION("""COMPUTED_VALUE"""),-0.546956471644745)</f>
        <v>-0.54695647164474503</v>
      </c>
      <c r="LF10" s="3">
        <f ca="1">IFERROR(__xludf.DUMMYFUNCTION("""COMPUTED_VALUE"""),-0.533629508516273)</f>
        <v>-0.533629508516273</v>
      </c>
      <c r="LG10" s="3">
        <f ca="1">IFERROR(__xludf.DUMMYFUNCTION("""COMPUTED_VALUE"""),-0.498323598530816)</f>
        <v>-0.49832359853081598</v>
      </c>
      <c r="LH10" s="3">
        <f ca="1">IFERROR(__xludf.DUMMYFUNCTION("""COMPUTED_VALUE"""),-0.504642384858587)</f>
        <v>-0.50464238485858703</v>
      </c>
      <c r="LI10" s="3">
        <f ca="1">IFERROR(__xludf.DUMMYFUNCTION("""COMPUTED_VALUE"""),-0.558500500009144)</f>
        <v>-0.55850050000914397</v>
      </c>
      <c r="LJ10" s="3">
        <f ca="1">IFERROR(__xludf.DUMMYFUNCTION("""COMPUTED_VALUE"""),-0.499388101156875)</f>
        <v>-0.49938810115687499</v>
      </c>
      <c r="LK10" s="3">
        <f ca="1">IFERROR(__xludf.DUMMYFUNCTION("""COMPUTED_VALUE"""),-0.507233290109327)</f>
        <v>-0.50723329010932705</v>
      </c>
      <c r="LL10" s="3">
        <f ca="1">IFERROR(__xludf.DUMMYFUNCTION("""COMPUTED_VALUE"""),-0.571487647589042)</f>
        <v>-0.57148764758904202</v>
      </c>
      <c r="LM10" s="3">
        <f ca="1">IFERROR(__xludf.DUMMYFUNCTION("""COMPUTED_VALUE"""),-0.556892396428994)</f>
        <v>-0.55689239642899402</v>
      </c>
      <c r="LN10" s="3">
        <f ca="1">IFERROR(__xludf.DUMMYFUNCTION("""COMPUTED_VALUE"""),-0.560074744869268)</f>
        <v>-0.560074744869268</v>
      </c>
      <c r="LO10" s="3">
        <f ca="1">IFERROR(__xludf.DUMMYFUNCTION("""COMPUTED_VALUE"""),-0.545922284948944)</f>
        <v>-0.54592228494894401</v>
      </c>
      <c r="LP10" s="3">
        <f ca="1">IFERROR(__xludf.DUMMYFUNCTION("""COMPUTED_VALUE"""),-0.635407789072725)</f>
        <v>-0.63540778907272499</v>
      </c>
      <c r="LQ10" s="3">
        <f ca="1">IFERROR(__xludf.DUMMYFUNCTION("""COMPUTED_VALUE"""),-0.660784128156371)</f>
        <v>-0.660784128156371</v>
      </c>
      <c r="LR10" s="3">
        <f ca="1">IFERROR(__xludf.DUMMYFUNCTION("""COMPUTED_VALUE"""),-0.649838378356933)</f>
        <v>-0.64983837835693303</v>
      </c>
      <c r="LS10" s="3">
        <f ca="1">IFERROR(__xludf.DUMMYFUNCTION("""COMPUTED_VALUE"""),-0.601110054931357)</f>
        <v>-0.60111005493135705</v>
      </c>
      <c r="LT10" s="3">
        <f ca="1">IFERROR(__xludf.DUMMYFUNCTION("""COMPUTED_VALUE"""),-0.679235069176469)</f>
        <v>-0.67923506917646903</v>
      </c>
      <c r="LU10" s="3">
        <f ca="1">IFERROR(__xludf.DUMMYFUNCTION("""COMPUTED_VALUE"""),-0.623361261613825)</f>
        <v>-0.62336126161382499</v>
      </c>
      <c r="LV10" s="3">
        <f ca="1">IFERROR(__xludf.DUMMYFUNCTION("""COMPUTED_VALUE"""),-0.649692601046844)</f>
        <v>-0.64969260104684401</v>
      </c>
      <c r="LW10" s="3">
        <f ca="1">IFERROR(__xludf.DUMMYFUNCTION("""COMPUTED_VALUE"""),-0.660758896132111)</f>
        <v>-0.66075889613211103</v>
      </c>
      <c r="LX10" s="3">
        <f ca="1">IFERROR(__xludf.DUMMYFUNCTION("""COMPUTED_VALUE"""),-0.666972262855855)</f>
        <v>-0.66697226285585498</v>
      </c>
      <c r="LY10" s="3">
        <f ca="1">IFERROR(__xludf.DUMMYFUNCTION("""COMPUTED_VALUE"""),-0.64964559751587)</f>
        <v>-0.64964559751587003</v>
      </c>
      <c r="LZ10" s="3">
        <f ca="1">IFERROR(__xludf.DUMMYFUNCTION("""COMPUTED_VALUE"""),-0.661416000950062)</f>
        <v>-0.66141600095006203</v>
      </c>
      <c r="MA10" s="3">
        <f ca="1">IFERROR(__xludf.DUMMYFUNCTION("""COMPUTED_VALUE"""),-0.675393926069747)</f>
        <v>-0.67539392606974702</v>
      </c>
      <c r="MB10" s="3">
        <f ca="1">IFERROR(__xludf.DUMMYFUNCTION("""COMPUTED_VALUE"""),-0.631717304788038)</f>
        <v>-0.631717304788038</v>
      </c>
      <c r="MC10" s="3">
        <f ca="1">IFERROR(__xludf.DUMMYFUNCTION("""COMPUTED_VALUE"""),-0.725774249211597)</f>
        <v>-0.72577424921159694</v>
      </c>
      <c r="MD10" s="3">
        <f ca="1">IFERROR(__xludf.DUMMYFUNCTION("""COMPUTED_VALUE"""),-0.720799981257751)</f>
        <v>-0.72079998125775102</v>
      </c>
      <c r="ME10" s="3">
        <f ca="1">IFERROR(__xludf.DUMMYFUNCTION("""COMPUTED_VALUE"""),-0.747045268083153)</f>
        <v>-0.74704526808315297</v>
      </c>
      <c r="MF10" s="3">
        <f ca="1">IFERROR(__xludf.DUMMYFUNCTION("""COMPUTED_VALUE"""),-0.799706705086181)</f>
        <v>-0.79970670508618102</v>
      </c>
      <c r="MG10" s="3">
        <f ca="1">IFERROR(__xludf.DUMMYFUNCTION("""COMPUTED_VALUE"""),-0.713520233773659)</f>
        <v>-0.71352023377365903</v>
      </c>
      <c r="MH10" s="3">
        <f ca="1">IFERROR(__xludf.DUMMYFUNCTION("""COMPUTED_VALUE"""),-0.789917887312403)</f>
        <v>-0.78991788731240298</v>
      </c>
      <c r="MI10" s="3">
        <f ca="1">IFERROR(__xludf.DUMMYFUNCTION("""COMPUTED_VALUE"""),-0.758991076237838)</f>
        <v>-0.75899107623783801</v>
      </c>
      <c r="MJ10" s="3">
        <f ca="1">IFERROR(__xludf.DUMMYFUNCTION("""COMPUTED_VALUE"""),-0.727550586242549)</f>
        <v>-0.72755058624254898</v>
      </c>
      <c r="MK10" s="3">
        <f ca="1">IFERROR(__xludf.DUMMYFUNCTION("""COMPUTED_VALUE"""),-0.768775674961761)</f>
        <v>-0.76877567496176102</v>
      </c>
      <c r="ML10" s="3">
        <f ca="1">IFERROR(__xludf.DUMMYFUNCTION("""COMPUTED_VALUE"""),-0.774112527397572)</f>
        <v>-0.77411252739757197</v>
      </c>
      <c r="MM10" s="3">
        <f ca="1">IFERROR(__xludf.DUMMYFUNCTION("""COMPUTED_VALUE"""),-0.744823714164278)</f>
        <v>-0.74482371416427795</v>
      </c>
      <c r="MN10" s="3">
        <f ca="1">IFERROR(__xludf.DUMMYFUNCTION("""COMPUTED_VALUE"""),-0.783195312766428)</f>
        <v>-0.78319531276642795</v>
      </c>
      <c r="MO10" s="3">
        <f ca="1">IFERROR(__xludf.DUMMYFUNCTION("""COMPUTED_VALUE"""),-0.725488004210445)</f>
        <v>-0.72548800421044501</v>
      </c>
      <c r="MP10" s="3">
        <f ca="1">IFERROR(__xludf.DUMMYFUNCTION("""COMPUTED_VALUE"""),-0.643525404899746)</f>
        <v>-0.64352540489974597</v>
      </c>
      <c r="MQ10" s="3">
        <f ca="1">IFERROR(__xludf.DUMMYFUNCTION("""COMPUTED_VALUE"""),-0.810803071440389)</f>
        <v>-0.81080307144038899</v>
      </c>
      <c r="MR10" s="3">
        <f ca="1">IFERROR(__xludf.DUMMYFUNCTION("""COMPUTED_VALUE"""),-0.798356288705228)</f>
        <v>-0.79835628870522801</v>
      </c>
      <c r="MS10" s="3">
        <f ca="1">IFERROR(__xludf.DUMMYFUNCTION("""COMPUTED_VALUE"""),-0.71805588725001)</f>
        <v>-0.71805588725001002</v>
      </c>
      <c r="MT10" s="3">
        <f ca="1">IFERROR(__xludf.DUMMYFUNCTION("""COMPUTED_VALUE"""),-0.747483168085821)</f>
        <v>-0.74748316808582105</v>
      </c>
      <c r="MU10" s="3">
        <f ca="1">IFERROR(__xludf.DUMMYFUNCTION("""COMPUTED_VALUE"""),-0.796217841088901)</f>
        <v>-0.79621784108890103</v>
      </c>
      <c r="MV10" s="3">
        <f ca="1">IFERROR(__xludf.DUMMYFUNCTION("""COMPUTED_VALUE"""),-0.755294324584265)</f>
        <v>-0.75529432458426504</v>
      </c>
      <c r="MW10" s="3">
        <f ca="1">IFERROR(__xludf.DUMMYFUNCTION("""COMPUTED_VALUE"""),-0.728966865891487)</f>
        <v>-0.72896686589148696</v>
      </c>
      <c r="MX10" s="3">
        <f ca="1">IFERROR(__xludf.DUMMYFUNCTION("""COMPUTED_VALUE"""),-0.799987311902858)</f>
        <v>-0.79998731190285799</v>
      </c>
      <c r="MY10" s="3">
        <f ca="1">IFERROR(__xludf.DUMMYFUNCTION("""COMPUTED_VALUE"""),-0.770748413912264)</f>
        <v>-0.77074841391226401</v>
      </c>
      <c r="MZ10" s="3">
        <f ca="1">IFERROR(__xludf.DUMMYFUNCTION("""COMPUTED_VALUE"""),-0.76080825640095)</f>
        <v>-0.76080825640094996</v>
      </c>
      <c r="NA10" s="3">
        <f ca="1">IFERROR(__xludf.DUMMYFUNCTION("""COMPUTED_VALUE"""),-0.748165264467183)</f>
        <v>-0.74816526446718301</v>
      </c>
      <c r="NB10" s="3">
        <f ca="1">IFERROR(__xludf.DUMMYFUNCTION("""COMPUTED_VALUE"""),-0.811169057037697)</f>
        <v>-0.81116905703769704</v>
      </c>
      <c r="NC10" s="3">
        <f ca="1">IFERROR(__xludf.DUMMYFUNCTION("""COMPUTED_VALUE"""),-0.819815847480624)</f>
        <v>-0.81981584748062397</v>
      </c>
      <c r="ND10" s="3">
        <f ca="1">IFERROR(__xludf.DUMMYFUNCTION("""COMPUTED_VALUE"""),-0.842723402690813)</f>
        <v>-0.84272340269081303</v>
      </c>
      <c r="NE10" s="3">
        <f ca="1">IFERROR(__xludf.DUMMYFUNCTION("""COMPUTED_VALUE"""),-0.809682527424175)</f>
        <v>-0.80968252742417501</v>
      </c>
      <c r="NF10" s="3">
        <f ca="1">IFERROR(__xludf.DUMMYFUNCTION("""COMPUTED_VALUE"""),-0.854829901452318)</f>
        <v>-0.85482990145231796</v>
      </c>
      <c r="NG10" s="3">
        <f ca="1">IFERROR(__xludf.DUMMYFUNCTION("""COMPUTED_VALUE"""),-0.831354638502153)</f>
        <v>-0.83135463850215296</v>
      </c>
      <c r="NH10" s="3">
        <f ca="1">IFERROR(__xludf.DUMMYFUNCTION("""COMPUTED_VALUE"""),-0.828956361088903)</f>
        <v>-0.82895636108890303</v>
      </c>
      <c r="NI10" s="3">
        <f ca="1">IFERROR(__xludf.DUMMYFUNCTION("""COMPUTED_VALUE"""),-0.802760014471918)</f>
        <v>-0.80276001447191803</v>
      </c>
      <c r="NJ10" s="3">
        <f ca="1">IFERROR(__xludf.DUMMYFUNCTION("""COMPUTED_VALUE"""),-0.811983886749051)</f>
        <v>-0.81198388674905098</v>
      </c>
      <c r="NK10" s="3">
        <f ca="1">IFERROR(__xludf.DUMMYFUNCTION("""COMPUTED_VALUE"""),-0.760937255301383)</f>
        <v>-0.76093725530138301</v>
      </c>
      <c r="NL10" s="3">
        <f ca="1">IFERROR(__xludf.DUMMYFUNCTION("""COMPUTED_VALUE"""),-0.779623175163645)</f>
        <v>-0.77962317516364499</v>
      </c>
      <c r="NM10" s="3">
        <f ca="1">IFERROR(__xludf.DUMMYFUNCTION("""COMPUTED_VALUE"""),-0.78954800214549)</f>
        <v>-0.78954800214549004</v>
      </c>
      <c r="NN10" s="3">
        <f ca="1">IFERROR(__xludf.DUMMYFUNCTION("""COMPUTED_VALUE"""),-0.832616552570947)</f>
        <v>-0.83261655257094702</v>
      </c>
      <c r="NO10" s="3">
        <f ca="1">IFERROR(__xludf.DUMMYFUNCTION("""COMPUTED_VALUE"""),-0.773440633762571)</f>
        <v>-0.77344063376257099</v>
      </c>
      <c r="NP10" s="3">
        <f ca="1">IFERROR(__xludf.DUMMYFUNCTION("""COMPUTED_VALUE"""),-0.758796645623869)</f>
        <v>-0.75879664562386895</v>
      </c>
      <c r="NQ10" s="3">
        <f ca="1">IFERROR(__xludf.DUMMYFUNCTION("""COMPUTED_VALUE"""),-0.812959366731712)</f>
        <v>-0.81295936673171199</v>
      </c>
      <c r="NR10" s="3">
        <f ca="1">IFERROR(__xludf.DUMMYFUNCTION("""COMPUTED_VALUE"""),-0.783661944273741)</f>
        <v>-0.78366194427374103</v>
      </c>
      <c r="NS10" s="3">
        <f ca="1">IFERROR(__xludf.DUMMYFUNCTION("""COMPUTED_VALUE"""),-0.738821578194014)</f>
        <v>-0.73882157819401395</v>
      </c>
      <c r="NT10" s="3">
        <f ca="1">IFERROR(__xludf.DUMMYFUNCTION("""COMPUTED_VALUE"""),-0.692471700769743)</f>
        <v>-0.69247170076974296</v>
      </c>
      <c r="NU10" s="3">
        <f ca="1">IFERROR(__xludf.DUMMYFUNCTION("""COMPUTED_VALUE"""),-0.687651837422103)</f>
        <v>-0.68765183742210301</v>
      </c>
      <c r="NV10" s="3">
        <f ca="1">IFERROR(__xludf.DUMMYFUNCTION("""COMPUTED_VALUE"""),-0.682822026915766)</f>
        <v>-0.68282202691576599</v>
      </c>
      <c r="NW10" s="3">
        <f ca="1">IFERROR(__xludf.DUMMYFUNCTION("""COMPUTED_VALUE"""),-0.577676985028445)</f>
        <v>-0.577676985028445</v>
      </c>
      <c r="NX10" s="3">
        <f ca="1">IFERROR(__xludf.DUMMYFUNCTION("""COMPUTED_VALUE"""),-0.529721521070556)</f>
        <v>-0.52972152107055603</v>
      </c>
      <c r="NY10" s="3">
        <f ca="1">IFERROR(__xludf.DUMMYFUNCTION("""COMPUTED_VALUE"""),-0.435306237506739)</f>
        <v>-0.43530623750673902</v>
      </c>
      <c r="NZ10" s="3">
        <f ca="1">IFERROR(__xludf.DUMMYFUNCTION("""COMPUTED_VALUE"""),-0.248658567858156)</f>
        <v>-0.24865856785815599</v>
      </c>
      <c r="OA10" s="3">
        <f ca="1">IFERROR(__xludf.DUMMYFUNCTION("""COMPUTED_VALUE"""),-0.31827334194684)</f>
        <v>-0.31827334194683998</v>
      </c>
      <c r="OB10" s="3">
        <f ca="1">IFERROR(__xludf.DUMMYFUNCTION("""COMPUTED_VALUE"""),-0.291717326863377)</f>
        <v>-0.29171732686337698</v>
      </c>
      <c r="OC10" s="3">
        <f ca="1">IFERROR(__xludf.DUMMYFUNCTION("""COMPUTED_VALUE"""),-0.339503798896708)</f>
        <v>-0.33950379889670801</v>
      </c>
      <c r="OD10" s="3">
        <f ca="1">IFERROR(__xludf.DUMMYFUNCTION("""COMPUTED_VALUE"""),-0.175283946129863)</f>
        <v>-0.17528394612986301</v>
      </c>
      <c r="OE10" s="3">
        <f ca="1">IFERROR(__xludf.DUMMYFUNCTION("""COMPUTED_VALUE"""),-0.160357686239826)</f>
        <v>-0.16035768623982599</v>
      </c>
      <c r="OF10" s="3">
        <f ca="1">IFERROR(__xludf.DUMMYFUNCTION("""COMPUTED_VALUE"""),-0.103632601515612)</f>
        <v>-0.103632601515612</v>
      </c>
      <c r="OG10" s="3">
        <f ca="1">IFERROR(__xludf.DUMMYFUNCTION("""COMPUTED_VALUE"""),-0.0969822298134389)</f>
        <v>-9.6982229813438903E-2</v>
      </c>
      <c r="OH10" s="3">
        <f ca="1">IFERROR(__xludf.DUMMYFUNCTION("""COMPUTED_VALUE"""),-0.0970864441130167)</f>
        <v>-9.7086444113016701E-2</v>
      </c>
      <c r="OI10" s="3">
        <f ca="1">IFERROR(__xludf.DUMMYFUNCTION("""COMPUTED_VALUE"""),-0.0266721694581975)</f>
        <v>-2.66721694581975E-2</v>
      </c>
      <c r="OJ10" s="3">
        <f ca="1">IFERROR(__xludf.DUMMYFUNCTION("""COMPUTED_VALUE"""),-0.0310922005618081)</f>
        <v>-3.10922005618081E-2</v>
      </c>
      <c r="OK10" s="3">
        <f ca="1">IFERROR(__xludf.DUMMYFUNCTION("""COMPUTED_VALUE"""),0.0733821319341379)</f>
        <v>7.3382131934137895E-2</v>
      </c>
      <c r="OL10" s="3">
        <f ca="1">IFERROR(__xludf.DUMMYFUNCTION("""COMPUTED_VALUE"""),0.0842107504030369)</f>
        <v>8.4210750403036896E-2</v>
      </c>
      <c r="OM10" s="3">
        <f ca="1">IFERROR(__xludf.DUMMYFUNCTION("""COMPUTED_VALUE"""),-0.0614455977421043)</f>
        <v>-6.1445597742104299E-2</v>
      </c>
      <c r="ON10" s="3">
        <f ca="1">IFERROR(__xludf.DUMMYFUNCTION("""COMPUTED_VALUE"""),-0.106393881028049)</f>
        <v>-0.106393881028049</v>
      </c>
      <c r="OO10" s="3">
        <f ca="1">IFERROR(__xludf.DUMMYFUNCTION("""COMPUTED_VALUE"""),0.0648697218014233)</f>
        <v>6.4869721801423294E-2</v>
      </c>
      <c r="OP10" s="3">
        <f ca="1">IFERROR(__xludf.DUMMYFUNCTION("""COMPUTED_VALUE"""),0.0275117392788262)</f>
        <v>2.7511739278826199E-2</v>
      </c>
      <c r="OQ10" s="3">
        <f ca="1">IFERROR(__xludf.DUMMYFUNCTION("""COMPUTED_VALUE"""),-0.051817218488506)</f>
        <v>-5.1817218488505998E-2</v>
      </c>
      <c r="OR10" s="3">
        <f ca="1">IFERROR(__xludf.DUMMYFUNCTION("""COMPUTED_VALUE"""),-0.0196633842843376)</f>
        <v>-1.9663384284337601E-2</v>
      </c>
      <c r="OS10" s="3">
        <f ca="1">IFERROR(__xludf.DUMMYFUNCTION("""COMPUTED_VALUE"""),0.163393387734641)</f>
        <v>0.16339338773464099</v>
      </c>
      <c r="OT10" s="3">
        <f ca="1">IFERROR(__xludf.DUMMYFUNCTION("""COMPUTED_VALUE"""),0.0621177082382833)</f>
        <v>6.2117708238283303E-2</v>
      </c>
      <c r="OU10" s="3">
        <f ca="1">IFERROR(__xludf.DUMMYFUNCTION("""COMPUTED_VALUE"""),0.102586197687411)</f>
        <v>0.10258619768741099</v>
      </c>
      <c r="OV10" s="3">
        <f ca="1">IFERROR(__xludf.DUMMYFUNCTION("""COMPUTED_VALUE"""),0.0511271600881155)</f>
        <v>5.1127160088115499E-2</v>
      </c>
      <c r="OW10" s="3">
        <f ca="1">IFERROR(__xludf.DUMMYFUNCTION("""COMPUTED_VALUE"""),0.0939231211142794)</f>
        <v>9.3923121114279404E-2</v>
      </c>
      <c r="OX10" s="3">
        <f ca="1">IFERROR(__xludf.DUMMYFUNCTION("""COMPUTED_VALUE"""),0.0142945990515004)</f>
        <v>1.4294599051500399E-2</v>
      </c>
      <c r="OY10" s="3">
        <f ca="1">IFERROR(__xludf.DUMMYFUNCTION("""COMPUTED_VALUE"""),0.0354492288763921)</f>
        <v>3.5449228876392097E-2</v>
      </c>
      <c r="OZ10" s="3">
        <f ca="1">IFERROR(__xludf.DUMMYFUNCTION("""COMPUTED_VALUE"""),0.044483478657189)</f>
        <v>4.4483478657188998E-2</v>
      </c>
      <c r="PA10" s="3">
        <f ca="1">IFERROR(__xludf.DUMMYFUNCTION("""COMPUTED_VALUE"""),0.00164115171620893)</f>
        <v>1.64115171620893E-3</v>
      </c>
      <c r="PB10" s="3">
        <f ca="1">IFERROR(__xludf.DUMMYFUNCTION("""COMPUTED_VALUE"""),-0.0313752976905541)</f>
        <v>-3.1375297690554103E-2</v>
      </c>
      <c r="PC10" s="3">
        <f ca="1">IFERROR(__xludf.DUMMYFUNCTION("""COMPUTED_VALUE"""),0.0173632327625141)</f>
        <v>1.73632327625141E-2</v>
      </c>
      <c r="PD10" s="3">
        <f ca="1">IFERROR(__xludf.DUMMYFUNCTION("""COMPUTED_VALUE"""),-0.0135101420398856)</f>
        <v>-1.3510142039885599E-2</v>
      </c>
      <c r="PE10" s="3">
        <f ca="1">IFERROR(__xludf.DUMMYFUNCTION("""COMPUTED_VALUE"""),-0.0577301381228548)</f>
        <v>-5.7730138122854803E-2</v>
      </c>
      <c r="PF10" s="3">
        <f ca="1">IFERROR(__xludf.DUMMYFUNCTION("""COMPUTED_VALUE"""),0.044241049588257)</f>
        <v>4.4241049588257003E-2</v>
      </c>
      <c r="PG10" s="3">
        <f ca="1">IFERROR(__xludf.DUMMYFUNCTION("""COMPUTED_VALUE"""),0.0470997054895119)</f>
        <v>4.7099705489511902E-2</v>
      </c>
      <c r="PH10" s="3">
        <f ca="1">IFERROR(__xludf.DUMMYFUNCTION("""COMPUTED_VALUE"""),-0.00325230051471459)</f>
        <v>-3.25230051471459E-3</v>
      </c>
      <c r="PI10" s="3">
        <f ca="1">IFERROR(__xludf.DUMMYFUNCTION("""COMPUTED_VALUE"""),0.117382999379116)</f>
        <v>0.117382999379116</v>
      </c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</row>
    <row r="11" spans="1:477" ht="15.75" customHeight="1">
      <c r="A11" s="1" t="str">
        <f ca="1">IFERROR(__xludf.DUMMYFUNCTION("""COMPUTED_VALUE"""),"NFTA")</f>
        <v>NFTA</v>
      </c>
      <c r="B11" s="1" t="str">
        <f ca="1">IFERROR(__xludf.DUMMYFUNCTION("""COMPUTED_VALUE"""),"Buffalo")</f>
        <v>Buffalo</v>
      </c>
      <c r="C11" s="1" t="str">
        <f ca="1">IFERROR(__xludf.DUMMYFUNCTION("""COMPUTED_VALUE"""),"United States")</f>
        <v>United States</v>
      </c>
      <c r="D11" s="1" t="str">
        <f ca="1">IFERROR(__xludf.DUMMYFUNCTION("""COMPUTED_VALUE"""),"New York")</f>
        <v>New York</v>
      </c>
      <c r="E11" s="3">
        <f ca="1">IFERROR(__xludf.DUMMYFUNCTION("""COMPUTED_VALUE"""),-0.415572425090578)</f>
        <v>-0.41557242509057801</v>
      </c>
      <c r="F11" s="3">
        <f ca="1">IFERROR(__xludf.DUMMYFUNCTION("""COMPUTED_VALUE"""),-0.53728755558044)</f>
        <v>-0.53728755558043995</v>
      </c>
      <c r="G11" s="3">
        <f ca="1">IFERROR(__xludf.DUMMYFUNCTION("""COMPUTED_VALUE"""),-0.50112545335483)</f>
        <v>-0.50112545335483005</v>
      </c>
      <c r="H11" s="3">
        <f ca="1">IFERROR(__xludf.DUMMYFUNCTION("""COMPUTED_VALUE"""),-0.551836093688629)</f>
        <v>-0.55183609368862896</v>
      </c>
      <c r="I11" s="3">
        <f ca="1">IFERROR(__xludf.DUMMYFUNCTION("""COMPUTED_VALUE"""),-0.565326428132128)</f>
        <v>-0.56532642813212797</v>
      </c>
      <c r="J11" s="3">
        <f ca="1">IFERROR(__xludf.DUMMYFUNCTION("""COMPUTED_VALUE"""),-0.610777327765298)</f>
        <v>-0.61077732776529803</v>
      </c>
      <c r="K11" s="3">
        <f ca="1">IFERROR(__xludf.DUMMYFUNCTION("""COMPUTED_VALUE"""),-0.493295095579477)</f>
        <v>-0.49329509557947698</v>
      </c>
      <c r="L11" s="3">
        <f ca="1">IFERROR(__xludf.DUMMYFUNCTION("""COMPUTED_VALUE"""),-0.506050004508906)</f>
        <v>-0.50605000450890603</v>
      </c>
      <c r="M11" s="3">
        <f ca="1">IFERROR(__xludf.DUMMYFUNCTION("""COMPUTED_VALUE"""),-0.597546408161092)</f>
        <v>-0.59754640816109195</v>
      </c>
      <c r="N11" s="3">
        <f ca="1">IFERROR(__xludf.DUMMYFUNCTION("""COMPUTED_VALUE"""),-0.476357277844514)</f>
        <v>-0.47635727784451398</v>
      </c>
      <c r="O11" s="3">
        <f ca="1">IFERROR(__xludf.DUMMYFUNCTION("""COMPUTED_VALUE"""),-0.551365075316047)</f>
        <v>-0.55136507531604695</v>
      </c>
      <c r="P11" s="3">
        <f ca="1">IFERROR(__xludf.DUMMYFUNCTION("""COMPUTED_VALUE"""),-0.496511895685973)</f>
        <v>-0.49651189568597298</v>
      </c>
      <c r="Q11" s="3">
        <f ca="1">IFERROR(__xludf.DUMMYFUNCTION("""COMPUTED_VALUE"""),-0.544490383498)</f>
        <v>-0.54449038349800005</v>
      </c>
      <c r="R11" s="3">
        <f ca="1">IFERROR(__xludf.DUMMYFUNCTION("""COMPUTED_VALUE"""),-0.509709505012957)</f>
        <v>-0.50970950501295698</v>
      </c>
      <c r="S11" s="3">
        <f ca="1">IFERROR(__xludf.DUMMYFUNCTION("""COMPUTED_VALUE"""),-0.407407033953494)</f>
        <v>-0.40740703395349398</v>
      </c>
      <c r="T11" s="3">
        <f ca="1">IFERROR(__xludf.DUMMYFUNCTION("""COMPUTED_VALUE"""),-0.583474965584527)</f>
        <v>-0.58347496558452705</v>
      </c>
      <c r="U11" s="3">
        <f ca="1">IFERROR(__xludf.DUMMYFUNCTION("""COMPUTED_VALUE"""),-0.527600864825213)</f>
        <v>-0.52760086482521296</v>
      </c>
      <c r="V11" s="3">
        <f ca="1">IFERROR(__xludf.DUMMYFUNCTION("""COMPUTED_VALUE"""),-0.523643837800078)</f>
        <v>-0.52364383780007795</v>
      </c>
      <c r="W11" s="3">
        <f ca="1">IFERROR(__xludf.DUMMYFUNCTION("""COMPUTED_VALUE"""),-0.527824623764572)</f>
        <v>-0.52782462376457195</v>
      </c>
      <c r="X11" s="3">
        <f ca="1">IFERROR(__xludf.DUMMYFUNCTION("""COMPUTED_VALUE"""),-0.530536527360006)</f>
        <v>-0.530536527360006</v>
      </c>
      <c r="Y11" s="3">
        <f ca="1">IFERROR(__xludf.DUMMYFUNCTION("""COMPUTED_VALUE"""),-0.401729160020746)</f>
        <v>-0.40172916002074599</v>
      </c>
      <c r="Z11" s="3">
        <f ca="1">IFERROR(__xludf.DUMMYFUNCTION("""COMPUTED_VALUE"""),-0.445419812274041)</f>
        <v>-0.44541981227404098</v>
      </c>
      <c r="AA11" s="3">
        <f ca="1">IFERROR(__xludf.DUMMYFUNCTION("""COMPUTED_VALUE"""),-0.551094342950489)</f>
        <v>-0.55109434295048898</v>
      </c>
      <c r="AB11" s="3">
        <f ca="1">IFERROR(__xludf.DUMMYFUNCTION("""COMPUTED_VALUE"""),-0.590360074479547)</f>
        <v>-0.59036007447954697</v>
      </c>
      <c r="AC11" s="3">
        <f ca="1">IFERROR(__xludf.DUMMYFUNCTION("""COMPUTED_VALUE"""),-0.564495349314512)</f>
        <v>-0.56449534931451195</v>
      </c>
      <c r="AD11" s="3">
        <f ca="1">IFERROR(__xludf.DUMMYFUNCTION("""COMPUTED_VALUE"""),-0.600916529242245)</f>
        <v>-0.60091652924224503</v>
      </c>
      <c r="AE11" s="3">
        <f ca="1">IFERROR(__xludf.DUMMYFUNCTION("""COMPUTED_VALUE"""),-0.595181331882455)</f>
        <v>-0.59518133188245503</v>
      </c>
      <c r="AF11" s="3">
        <f ca="1">IFERROR(__xludf.DUMMYFUNCTION("""COMPUTED_VALUE"""),-0.489759303047353)</f>
        <v>-0.48975930304735299</v>
      </c>
      <c r="AG11" s="3">
        <f ca="1">IFERROR(__xludf.DUMMYFUNCTION("""COMPUTED_VALUE"""),-0.488617639359256)</f>
        <v>-0.48861763935925601</v>
      </c>
      <c r="AH11" s="3">
        <f ca="1">IFERROR(__xludf.DUMMYFUNCTION("""COMPUTED_VALUE"""),-0.559195401750804)</f>
        <v>-0.55919540175080396</v>
      </c>
      <c r="AI11" s="3">
        <f ca="1">IFERROR(__xludf.DUMMYFUNCTION("""COMPUTED_VALUE"""),-0.560946708030567)</f>
        <v>-0.56094670803056701</v>
      </c>
      <c r="AJ11" s="3">
        <f ca="1">IFERROR(__xludf.DUMMYFUNCTION("""COMPUTED_VALUE"""),-0.562713595452879)</f>
        <v>-0.56271359545287902</v>
      </c>
      <c r="AK11" s="3">
        <f ca="1">IFERROR(__xludf.DUMMYFUNCTION("""COMPUTED_VALUE"""),-0.57343477878211)</f>
        <v>-0.57343477878211002</v>
      </c>
      <c r="AL11" s="3">
        <f ca="1">IFERROR(__xludf.DUMMYFUNCTION("""COMPUTED_VALUE"""),-0.590830013823749)</f>
        <v>-0.590830013823749</v>
      </c>
      <c r="AM11" s="3">
        <f ca="1">IFERROR(__xludf.DUMMYFUNCTION("""COMPUTED_VALUE"""),-0.48445357513023)</f>
        <v>-0.48445357513023002</v>
      </c>
      <c r="AN11" s="3">
        <f ca="1">IFERROR(__xludf.DUMMYFUNCTION("""COMPUTED_VALUE"""),-0.529702756464594)</f>
        <v>-0.52970275646459397</v>
      </c>
      <c r="AO11" s="3">
        <f ca="1">IFERROR(__xludf.DUMMYFUNCTION("""COMPUTED_VALUE"""),-0.578175827698115)</f>
        <v>-0.57817582769811504</v>
      </c>
      <c r="AP11" s="3">
        <f ca="1">IFERROR(__xludf.DUMMYFUNCTION("""COMPUTED_VALUE"""),-0.59451044846304)</f>
        <v>-0.59451044846304002</v>
      </c>
      <c r="AQ11" s="3">
        <f ca="1">IFERROR(__xludf.DUMMYFUNCTION("""COMPUTED_VALUE"""),-0.590728774863251)</f>
        <v>-0.59072877486325104</v>
      </c>
      <c r="AR11" s="3">
        <f ca="1">IFERROR(__xludf.DUMMYFUNCTION("""COMPUTED_VALUE"""),-0.580551573094177)</f>
        <v>-0.58055157309417704</v>
      </c>
      <c r="AS11" s="3">
        <f ca="1">IFERROR(__xludf.DUMMYFUNCTION("""COMPUTED_VALUE"""),-0.574507563706774)</f>
        <v>-0.57450756370677403</v>
      </c>
      <c r="AT11" s="3">
        <f ca="1">IFERROR(__xludf.DUMMYFUNCTION("""COMPUTED_VALUE"""),-0.40427821724541)</f>
        <v>-0.40427821724541002</v>
      </c>
      <c r="AU11" s="3">
        <f ca="1">IFERROR(__xludf.DUMMYFUNCTION("""COMPUTED_VALUE"""),-0.534956274944875)</f>
        <v>-0.53495627494487497</v>
      </c>
      <c r="AV11" s="3">
        <f ca="1">IFERROR(__xludf.DUMMYFUNCTION("""COMPUTED_VALUE"""),-0.539574149120267)</f>
        <v>-0.53957414912026702</v>
      </c>
      <c r="AW11" s="3">
        <f ca="1">IFERROR(__xludf.DUMMYFUNCTION("""COMPUTED_VALUE"""),-0.566256171458758)</f>
        <v>-0.56625617145875795</v>
      </c>
      <c r="AX11" s="3">
        <f ca="1">IFERROR(__xludf.DUMMYFUNCTION("""COMPUTED_VALUE"""),-0.567939166883676)</f>
        <v>-0.56793916688367596</v>
      </c>
      <c r="AY11" s="3">
        <f ca="1">IFERROR(__xludf.DUMMYFUNCTION("""COMPUTED_VALUE"""),-0.587076706424969)</f>
        <v>-0.58707670642496901</v>
      </c>
      <c r="AZ11" s="3">
        <f ca="1">IFERROR(__xludf.DUMMYFUNCTION("""COMPUTED_VALUE"""),-0.484117527042753)</f>
        <v>-0.48411752704275302</v>
      </c>
      <c r="BA11" s="3">
        <f ca="1">IFERROR(__xludf.DUMMYFUNCTION("""COMPUTED_VALUE"""),-0.509153699521082)</f>
        <v>-0.50915369952108203</v>
      </c>
      <c r="BB11" s="3">
        <f ca="1">IFERROR(__xludf.DUMMYFUNCTION("""COMPUTED_VALUE"""),-0.546428432500841)</f>
        <v>-0.54642843250084105</v>
      </c>
      <c r="BC11" s="3">
        <f ca="1">IFERROR(__xludf.DUMMYFUNCTION("""COMPUTED_VALUE"""),-0.603572153877773)</f>
        <v>-0.60357215387777297</v>
      </c>
      <c r="BD11" s="3">
        <f ca="1">IFERROR(__xludf.DUMMYFUNCTION("""COMPUTED_VALUE"""),-0.655929941797834)</f>
        <v>-0.65592994179783404</v>
      </c>
      <c r="BE11" s="3">
        <f ca="1">IFERROR(__xludf.DUMMYFUNCTION("""COMPUTED_VALUE"""),-0.599080544665578)</f>
        <v>-0.59908054466557803</v>
      </c>
      <c r="BF11" s="3">
        <f ca="1">IFERROR(__xludf.DUMMYFUNCTION("""COMPUTED_VALUE"""),-0.64778088746269)</f>
        <v>-0.64778088746269002</v>
      </c>
      <c r="BG11" s="3">
        <f ca="1">IFERROR(__xludf.DUMMYFUNCTION("""COMPUTED_VALUE"""),-0.572632594897884)</f>
        <v>-0.57263259489788398</v>
      </c>
      <c r="BH11" s="3">
        <f ca="1">IFERROR(__xludf.DUMMYFUNCTION("""COMPUTED_VALUE"""),-0.440385255047427)</f>
        <v>-0.44038525504742698</v>
      </c>
      <c r="BI11" s="3">
        <f ca="1">IFERROR(__xludf.DUMMYFUNCTION("""COMPUTED_VALUE"""),-0.553404441932656)</f>
        <v>-0.55340444193265603</v>
      </c>
      <c r="BJ11" s="3">
        <f ca="1">IFERROR(__xludf.DUMMYFUNCTION("""COMPUTED_VALUE"""),-0.494551737990387)</f>
        <v>-0.49455173799038699</v>
      </c>
      <c r="BK11" s="3">
        <f ca="1">IFERROR(__xludf.DUMMYFUNCTION("""COMPUTED_VALUE"""),-0.59120201511076)</f>
        <v>-0.59120201511075998</v>
      </c>
      <c r="BL11" s="3">
        <f ca="1">IFERROR(__xludf.DUMMYFUNCTION("""COMPUTED_VALUE"""),-0.606173015481812)</f>
        <v>-0.60617301548181202</v>
      </c>
      <c r="BM11" s="3">
        <f ca="1">IFERROR(__xludf.DUMMYFUNCTION("""COMPUTED_VALUE"""),-0.586293573309548)</f>
        <v>-0.58629357330954801</v>
      </c>
      <c r="BN11" s="3">
        <f ca="1">IFERROR(__xludf.DUMMYFUNCTION("""COMPUTED_VALUE"""),-0.592584989129318)</f>
        <v>-0.59258498912931801</v>
      </c>
      <c r="BO11" s="3">
        <f ca="1">IFERROR(__xludf.DUMMYFUNCTION("""COMPUTED_VALUE"""),-0.53628539978975)</f>
        <v>-0.53628539978974998</v>
      </c>
      <c r="BP11" s="3">
        <f ca="1">IFERROR(__xludf.DUMMYFUNCTION("""COMPUTED_VALUE"""),-0.649137292077052)</f>
        <v>-0.64913729207705195</v>
      </c>
      <c r="BQ11" s="3">
        <f ca="1">IFERROR(__xludf.DUMMYFUNCTION("""COMPUTED_VALUE"""),-0.592677183793949)</f>
        <v>-0.59267718379394896</v>
      </c>
      <c r="BR11" s="3">
        <f ca="1">IFERROR(__xludf.DUMMYFUNCTION("""COMPUTED_VALUE"""),-0.636253801103403)</f>
        <v>-0.63625380110340302</v>
      </c>
      <c r="BS11" s="3">
        <f ca="1">IFERROR(__xludf.DUMMYFUNCTION("""COMPUTED_VALUE"""),-0.665288440357848)</f>
        <v>-0.66528844035784795</v>
      </c>
      <c r="BT11" s="3">
        <f ca="1">IFERROR(__xludf.DUMMYFUNCTION("""COMPUTED_VALUE"""),-0.640960730396451)</f>
        <v>-0.64096073039645096</v>
      </c>
      <c r="BU11" s="3">
        <f ca="1">IFERROR(__xludf.DUMMYFUNCTION("""COMPUTED_VALUE"""),-0.656278812156502)</f>
        <v>-0.65627881215650197</v>
      </c>
      <c r="BV11" s="3">
        <f ca="1">IFERROR(__xludf.DUMMYFUNCTION("""COMPUTED_VALUE"""),-0.511740176580488)</f>
        <v>-0.51174017658048798</v>
      </c>
      <c r="BW11" s="3">
        <f ca="1">IFERROR(__xludf.DUMMYFUNCTION("""COMPUTED_VALUE"""),-0.594890390485498)</f>
        <v>-0.59489039048549797</v>
      </c>
      <c r="BX11" s="3">
        <f ca="1">IFERROR(__xludf.DUMMYFUNCTION("""COMPUTED_VALUE"""),-0.662849184564168)</f>
        <v>-0.66284918456416797</v>
      </c>
      <c r="BY11" s="3">
        <f ca="1">IFERROR(__xludf.DUMMYFUNCTION("""COMPUTED_VALUE"""),-0.729887098747566)</f>
        <v>-0.72988709874756597</v>
      </c>
      <c r="BZ11" s="3">
        <f ca="1">IFERROR(__xludf.DUMMYFUNCTION("""COMPUTED_VALUE"""),-0.719071828504301)</f>
        <v>-0.71907182850430096</v>
      </c>
      <c r="CA11" s="3">
        <f ca="1">IFERROR(__xludf.DUMMYFUNCTION("""COMPUTED_VALUE"""),-0.698331082265144)</f>
        <v>-0.69833108226514395</v>
      </c>
      <c r="CB11" s="3">
        <f ca="1">IFERROR(__xludf.DUMMYFUNCTION("""COMPUTED_VALUE"""),-0.659250343409756)</f>
        <v>-0.65925034340975597</v>
      </c>
      <c r="CC11" s="3">
        <f ca="1">IFERROR(__xludf.DUMMYFUNCTION("""COMPUTED_VALUE"""),-0.477671434429566)</f>
        <v>-0.477671434429566</v>
      </c>
      <c r="CD11" s="3">
        <f ca="1">IFERROR(__xludf.DUMMYFUNCTION("""COMPUTED_VALUE"""),-0.582094568390047)</f>
        <v>-0.58209456839004703</v>
      </c>
      <c r="CE11" s="3">
        <f ca="1">IFERROR(__xludf.DUMMYFUNCTION("""COMPUTED_VALUE"""),-0.692740515040455)</f>
        <v>-0.69274051504045497</v>
      </c>
      <c r="CF11" s="3">
        <f ca="1">IFERROR(__xludf.DUMMYFUNCTION("""COMPUTED_VALUE"""),-0.693884649373946)</f>
        <v>-0.69388464937394601</v>
      </c>
      <c r="CG11" s="3">
        <f ca="1">IFERROR(__xludf.DUMMYFUNCTION("""COMPUTED_VALUE"""),-0.700550201526004)</f>
        <v>-0.700550201526004</v>
      </c>
      <c r="CH11" s="3">
        <f ca="1">IFERROR(__xludf.DUMMYFUNCTION("""COMPUTED_VALUE"""),-0.697204100837373)</f>
        <v>-0.69720410083737305</v>
      </c>
      <c r="CI11" s="3">
        <f ca="1">IFERROR(__xludf.DUMMYFUNCTION("""COMPUTED_VALUE"""),-0.662985740233371)</f>
        <v>-0.66298574023337098</v>
      </c>
      <c r="CJ11" s="3">
        <f ca="1">IFERROR(__xludf.DUMMYFUNCTION("""COMPUTED_VALUE"""),-0.463025625892733)</f>
        <v>-0.46302562589273299</v>
      </c>
      <c r="CK11" s="3">
        <f ca="1">IFERROR(__xludf.DUMMYFUNCTION("""COMPUTED_VALUE"""),-0.518962875775366)</f>
        <v>-0.51896287577536604</v>
      </c>
      <c r="CL11" s="3">
        <f ca="1">IFERROR(__xludf.DUMMYFUNCTION("""COMPUTED_VALUE"""),-0.666108600163829)</f>
        <v>-0.666108600163829</v>
      </c>
      <c r="CM11" s="3">
        <f ca="1">IFERROR(__xludf.DUMMYFUNCTION("""COMPUTED_VALUE"""),-0.702027826890745)</f>
        <v>-0.70202782689074505</v>
      </c>
      <c r="CN11" s="3">
        <f ca="1">IFERROR(__xludf.DUMMYFUNCTION("""COMPUTED_VALUE"""),-0.716133977756276)</f>
        <v>-0.71613397775627596</v>
      </c>
      <c r="CO11" s="3">
        <f ca="1">IFERROR(__xludf.DUMMYFUNCTION("""COMPUTED_VALUE"""),-0.705355841454941)</f>
        <v>-0.70535584145494101</v>
      </c>
      <c r="CP11" s="3">
        <f ca="1">IFERROR(__xludf.DUMMYFUNCTION("""COMPUTED_VALUE"""),-0.662814978860658)</f>
        <v>-0.66281497886065799</v>
      </c>
      <c r="CQ11" s="3">
        <f ca="1">IFERROR(__xludf.DUMMYFUNCTION("""COMPUTED_VALUE"""),-0.526461555716686)</f>
        <v>-0.52646155571668596</v>
      </c>
      <c r="CR11" s="3">
        <f ca="1">IFERROR(__xludf.DUMMYFUNCTION("""COMPUTED_VALUE"""),-0.561627592288158)</f>
        <v>-0.56162759228815795</v>
      </c>
      <c r="CS11" s="3">
        <f ca="1">IFERROR(__xludf.DUMMYFUNCTION("""COMPUTED_VALUE"""),-0.697342322520177)</f>
        <v>-0.69734232252017703</v>
      </c>
      <c r="CT11" s="3">
        <f ca="1">IFERROR(__xludf.DUMMYFUNCTION("""COMPUTED_VALUE"""),-0.673455033349013)</f>
        <v>-0.67345503334901302</v>
      </c>
      <c r="CU11" s="3">
        <f ca="1">IFERROR(__xludf.DUMMYFUNCTION("""COMPUTED_VALUE"""),-0.654578261793204)</f>
        <v>-0.654578261793204</v>
      </c>
      <c r="CV11" s="3">
        <f ca="1">IFERROR(__xludf.DUMMYFUNCTION("""COMPUTED_VALUE"""),-0.650483663190886)</f>
        <v>-0.65048366319088602</v>
      </c>
      <c r="CW11" s="3">
        <f ca="1">IFERROR(__xludf.DUMMYFUNCTION("""COMPUTED_VALUE"""),-0.657701586303111)</f>
        <v>-0.65770158630311104</v>
      </c>
      <c r="CX11" s="3">
        <f ca="1">IFERROR(__xludf.DUMMYFUNCTION("""COMPUTED_VALUE"""),-0.512915677496792)</f>
        <v>-0.51291567749679201</v>
      </c>
      <c r="CY11" s="3">
        <f ca="1">IFERROR(__xludf.DUMMYFUNCTION("""COMPUTED_VALUE"""),-0.59906953681302)</f>
        <v>-0.59906953681302</v>
      </c>
      <c r="CZ11" s="3">
        <f ca="1">IFERROR(__xludf.DUMMYFUNCTION("""COMPUTED_VALUE"""),-0.722300700232431)</f>
        <v>-0.72230070023243098</v>
      </c>
      <c r="DA11" s="3">
        <f ca="1">IFERROR(__xludf.DUMMYFUNCTION("""COMPUTED_VALUE"""),-0.641613934602043)</f>
        <v>-0.64161393460204297</v>
      </c>
      <c r="DB11" s="3">
        <f ca="1">IFERROR(__xludf.DUMMYFUNCTION("""COMPUTED_VALUE"""),-0.566313684041543)</f>
        <v>-0.56631368404154303</v>
      </c>
      <c r="DC11" s="3">
        <f ca="1">IFERROR(__xludf.DUMMYFUNCTION("""COMPUTED_VALUE"""),-0.600559215063756)</f>
        <v>-0.60055921506375598</v>
      </c>
      <c r="DD11" s="3">
        <f ca="1">IFERROR(__xludf.DUMMYFUNCTION("""COMPUTED_VALUE"""),-0.654189183642643)</f>
        <v>-0.654189183642643</v>
      </c>
      <c r="DE11" s="3">
        <f ca="1">IFERROR(__xludf.DUMMYFUNCTION("""COMPUTED_VALUE"""),-0.52746706017647)</f>
        <v>-0.52746706017647005</v>
      </c>
      <c r="DF11" s="3">
        <f ca="1">IFERROR(__xludf.DUMMYFUNCTION("""COMPUTED_VALUE"""),-0.599005752865723)</f>
        <v>-0.599005752865723</v>
      </c>
      <c r="DG11" s="3">
        <f ca="1">IFERROR(__xludf.DUMMYFUNCTION("""COMPUTED_VALUE"""),-0.831048465331156)</f>
        <v>-0.83104846533115595</v>
      </c>
      <c r="DH11" s="3">
        <f ca="1">IFERROR(__xludf.DUMMYFUNCTION("""COMPUTED_VALUE"""),-0.694881647069294)</f>
        <v>-0.69488164706929401</v>
      </c>
      <c r="DI11" s="3">
        <f ca="1">IFERROR(__xludf.DUMMYFUNCTION("""COMPUTED_VALUE"""),-0.51031465481927)</f>
        <v>-0.51031465481926996</v>
      </c>
      <c r="DJ11" s="3">
        <f ca="1">IFERROR(__xludf.DUMMYFUNCTION("""COMPUTED_VALUE"""),-0.596815182335094)</f>
        <v>-0.59681518233509401</v>
      </c>
      <c r="DK11" s="3">
        <f ca="1">IFERROR(__xludf.DUMMYFUNCTION("""COMPUTED_VALUE"""),-0.620424514715928)</f>
        <v>-0.62042451471592797</v>
      </c>
      <c r="DL11" s="3">
        <f ca="1">IFERROR(__xludf.DUMMYFUNCTION("""COMPUTED_VALUE"""),-0.540301103835923)</f>
        <v>-0.540301103835923</v>
      </c>
      <c r="DM11" s="3">
        <f ca="1">IFERROR(__xludf.DUMMYFUNCTION("""COMPUTED_VALUE"""),-0.52180968898178)</f>
        <v>-0.52180968898178004</v>
      </c>
      <c r="DN11" s="3">
        <f ca="1">IFERROR(__xludf.DUMMYFUNCTION("""COMPUTED_VALUE"""),-0.661825194788909)</f>
        <v>-0.661825194788909</v>
      </c>
      <c r="DO11" s="3">
        <f ca="1">IFERROR(__xludf.DUMMYFUNCTION("""COMPUTED_VALUE"""),-0.698905642050318)</f>
        <v>-0.69890564205031802</v>
      </c>
      <c r="DP11" s="3">
        <f ca="1">IFERROR(__xludf.DUMMYFUNCTION("""COMPUTED_VALUE"""),-0.609537503240077)</f>
        <v>-0.60953750324007705</v>
      </c>
      <c r="DQ11" s="3">
        <f ca="1">IFERROR(__xludf.DUMMYFUNCTION("""COMPUTED_VALUE"""),-0.670062550090852)</f>
        <v>-0.67006255009085203</v>
      </c>
      <c r="DR11" s="3">
        <f ca="1">IFERROR(__xludf.DUMMYFUNCTION("""COMPUTED_VALUE"""),-0.693324503694841)</f>
        <v>-0.693324503694841</v>
      </c>
      <c r="DS11" s="3">
        <f ca="1">IFERROR(__xludf.DUMMYFUNCTION("""COMPUTED_VALUE"""),-0.545161137785016)</f>
        <v>-0.54516113778501596</v>
      </c>
      <c r="DT11" s="3">
        <f ca="1">IFERROR(__xludf.DUMMYFUNCTION("""COMPUTED_VALUE"""),-0.59109997070131)</f>
        <v>-0.59109997070131004</v>
      </c>
      <c r="DU11" s="3">
        <f ca="1">IFERROR(__xludf.DUMMYFUNCTION("""COMPUTED_VALUE"""),-0.704094730972352)</f>
        <v>-0.70409473097235198</v>
      </c>
      <c r="DV11" s="3">
        <f ca="1">IFERROR(__xludf.DUMMYFUNCTION("""COMPUTED_VALUE"""),-0.73205112665419)</f>
        <v>-0.73205112665419003</v>
      </c>
      <c r="DW11" s="3">
        <f ca="1">IFERROR(__xludf.DUMMYFUNCTION("""COMPUTED_VALUE"""),-0.74602694261656)</f>
        <v>-0.74602694261656</v>
      </c>
      <c r="DX11" s="3">
        <f ca="1">IFERROR(__xludf.DUMMYFUNCTION("""COMPUTED_VALUE"""),-0.719102170860081)</f>
        <v>-0.71910217086008099</v>
      </c>
      <c r="DY11" s="3">
        <f ca="1">IFERROR(__xludf.DUMMYFUNCTION("""COMPUTED_VALUE"""),-0.732748363246907)</f>
        <v>-0.73274836324690695</v>
      </c>
      <c r="DZ11" s="3">
        <f ca="1">IFERROR(__xludf.DUMMYFUNCTION("""COMPUTED_VALUE"""),-0.529132454039051)</f>
        <v>-0.52913245403905096</v>
      </c>
      <c r="EA11" s="3">
        <f ca="1">IFERROR(__xludf.DUMMYFUNCTION("""COMPUTED_VALUE"""),-0.548863109255959)</f>
        <v>-0.54886310925595905</v>
      </c>
      <c r="EB11" s="3">
        <f ca="1">IFERROR(__xludf.DUMMYFUNCTION("""COMPUTED_VALUE"""),-0.675394334309641)</f>
        <v>-0.67539433430964102</v>
      </c>
      <c r="EC11" s="3">
        <f ca="1">IFERROR(__xludf.DUMMYFUNCTION("""COMPUTED_VALUE"""),-0.639822680215887)</f>
        <v>-0.63982268021588695</v>
      </c>
      <c r="ED11" s="3">
        <f ca="1">IFERROR(__xludf.DUMMYFUNCTION("""COMPUTED_VALUE"""),-0.701020727464024)</f>
        <v>-0.701020727464024</v>
      </c>
      <c r="EE11" s="3">
        <f ca="1">IFERROR(__xludf.DUMMYFUNCTION("""COMPUTED_VALUE"""),-0.700297500582092)</f>
        <v>-0.70029750058209195</v>
      </c>
      <c r="EF11" s="3">
        <f ca="1">IFERROR(__xludf.DUMMYFUNCTION("""COMPUTED_VALUE"""),-0.731383310687612)</f>
        <v>-0.73138331068761198</v>
      </c>
      <c r="EG11" s="3">
        <f ca="1">IFERROR(__xludf.DUMMYFUNCTION("""COMPUTED_VALUE"""),-0.497955820716447)</f>
        <v>-0.49795582071644701</v>
      </c>
      <c r="EH11" s="3">
        <f ca="1">IFERROR(__xludf.DUMMYFUNCTION("""COMPUTED_VALUE"""),-0.575202798818749)</f>
        <v>-0.57520279881874903</v>
      </c>
      <c r="EI11" s="3">
        <f ca="1">IFERROR(__xludf.DUMMYFUNCTION("""COMPUTED_VALUE"""),-0.689340344787484)</f>
        <v>-0.68934034478748396</v>
      </c>
      <c r="EJ11" s="3">
        <f ca="1">IFERROR(__xludf.DUMMYFUNCTION("""COMPUTED_VALUE"""),-0.762472480457235)</f>
        <v>-0.76247248045723504</v>
      </c>
      <c r="EK11" s="3">
        <f ca="1">IFERROR(__xludf.DUMMYFUNCTION("""COMPUTED_VALUE"""),-0.674287012398681)</f>
        <v>-0.67428701239868105</v>
      </c>
      <c r="EL11" s="3">
        <f ca="1">IFERROR(__xludf.DUMMYFUNCTION("""COMPUTED_VALUE"""),-0.708778650017911)</f>
        <v>-0.70877865001791096</v>
      </c>
      <c r="EM11" s="3">
        <f ca="1">IFERROR(__xludf.DUMMYFUNCTION("""COMPUTED_VALUE"""),-0.723930721799615)</f>
        <v>-0.72393072179961504</v>
      </c>
      <c r="EN11" s="3">
        <f ca="1">IFERROR(__xludf.DUMMYFUNCTION("""COMPUTED_VALUE"""),-0.54035337692602)</f>
        <v>-0.54035337692602003</v>
      </c>
      <c r="EO11" s="3">
        <f ca="1">IFERROR(__xludf.DUMMYFUNCTION("""COMPUTED_VALUE"""),-0.577134308791698)</f>
        <v>-0.57713430879169803</v>
      </c>
      <c r="EP11" s="3">
        <f ca="1">IFERROR(__xludf.DUMMYFUNCTION("""COMPUTED_VALUE"""),-0.619095351054491)</f>
        <v>-0.61909535105449098</v>
      </c>
      <c r="EQ11" s="3">
        <f ca="1">IFERROR(__xludf.DUMMYFUNCTION("""COMPUTED_VALUE"""),-0.611015288730722)</f>
        <v>-0.61101528873072197</v>
      </c>
      <c r="ER11" s="3">
        <f ca="1">IFERROR(__xludf.DUMMYFUNCTION("""COMPUTED_VALUE"""),-0.668469212414149)</f>
        <v>-0.66846921241414903</v>
      </c>
      <c r="ES11" s="3">
        <f ca="1">IFERROR(__xludf.DUMMYFUNCTION("""COMPUTED_VALUE"""),-0.654296986036193)</f>
        <v>-0.65429698603619302</v>
      </c>
      <c r="ET11" s="3">
        <f ca="1">IFERROR(__xludf.DUMMYFUNCTION("""COMPUTED_VALUE"""),-0.641934762941925)</f>
        <v>-0.64193476294192497</v>
      </c>
      <c r="EU11" s="3">
        <f ca="1">IFERROR(__xludf.DUMMYFUNCTION("""COMPUTED_VALUE"""),-0.564605660427509)</f>
        <v>-0.56460566042750904</v>
      </c>
      <c r="EV11" s="3">
        <f ca="1">IFERROR(__xludf.DUMMYFUNCTION("""COMPUTED_VALUE"""),-0.520526726818503)</f>
        <v>-0.52052672681850298</v>
      </c>
      <c r="EW11" s="3">
        <f ca="1">IFERROR(__xludf.DUMMYFUNCTION("""COMPUTED_VALUE"""),-0.654985523577996)</f>
        <v>-0.654985523577996</v>
      </c>
      <c r="EX11" s="3">
        <f ca="1">IFERROR(__xludf.DUMMYFUNCTION("""COMPUTED_VALUE"""),-0.636882149246034)</f>
        <v>-0.63688214924603403</v>
      </c>
      <c r="EY11" s="3">
        <f ca="1">IFERROR(__xludf.DUMMYFUNCTION("""COMPUTED_VALUE"""),-0.669566115440567)</f>
        <v>-0.66956611544056699</v>
      </c>
      <c r="EZ11" s="3">
        <f ca="1">IFERROR(__xludf.DUMMYFUNCTION("""COMPUTED_VALUE"""),-0.575659914263792)</f>
        <v>-0.57565991426379204</v>
      </c>
      <c r="FA11" s="3">
        <f ca="1">IFERROR(__xludf.DUMMYFUNCTION("""COMPUTED_VALUE"""),-0.591665984319487)</f>
        <v>-0.59166598431948703</v>
      </c>
      <c r="FB11" s="3">
        <f ca="1">IFERROR(__xludf.DUMMYFUNCTION("""COMPUTED_VALUE"""),-0.426967732627734)</f>
        <v>-0.42696773262773402</v>
      </c>
      <c r="FC11" s="3">
        <f ca="1">IFERROR(__xludf.DUMMYFUNCTION("""COMPUTED_VALUE"""),-0.50312329034973)</f>
        <v>-0.50312329034973002</v>
      </c>
      <c r="FD11" s="3">
        <f ca="1">IFERROR(__xludf.DUMMYFUNCTION("""COMPUTED_VALUE"""),-0.636430151816777)</f>
        <v>-0.63643015181677698</v>
      </c>
      <c r="FE11" s="3">
        <f ca="1">IFERROR(__xludf.DUMMYFUNCTION("""COMPUTED_VALUE"""),-0.64127421852874)</f>
        <v>-0.64127421852874</v>
      </c>
      <c r="FF11" s="3">
        <f ca="1">IFERROR(__xludf.DUMMYFUNCTION("""COMPUTED_VALUE"""),-0.651130227623198)</f>
        <v>-0.65113022762319805</v>
      </c>
      <c r="FG11" s="3">
        <f ca="1">IFERROR(__xludf.DUMMYFUNCTION("""COMPUTED_VALUE"""),-0.632154016089557)</f>
        <v>-0.63215401608955701</v>
      </c>
      <c r="FH11" s="3">
        <f ca="1">IFERROR(__xludf.DUMMYFUNCTION("""COMPUTED_VALUE"""),-0.613090543517567)</f>
        <v>-0.61309054351756698</v>
      </c>
      <c r="FI11" s="3">
        <f ca="1">IFERROR(__xludf.DUMMYFUNCTION("""COMPUTED_VALUE"""),-0.540938456421309)</f>
        <v>-0.540938456421309</v>
      </c>
      <c r="FJ11" s="3">
        <f ca="1">IFERROR(__xludf.DUMMYFUNCTION("""COMPUTED_VALUE"""),-0.475833595136876)</f>
        <v>-0.47583359513687601</v>
      </c>
      <c r="FK11" s="3">
        <f ca="1">IFERROR(__xludf.DUMMYFUNCTION("""COMPUTED_VALUE"""),-0.620648445495237)</f>
        <v>-0.62064844549523701</v>
      </c>
      <c r="FL11" s="3">
        <f ca="1">IFERROR(__xludf.DUMMYFUNCTION("""COMPUTED_VALUE"""),-0.648066099401389)</f>
        <v>-0.64806609940138904</v>
      </c>
      <c r="FM11" s="3">
        <f ca="1">IFERROR(__xludf.DUMMYFUNCTION("""COMPUTED_VALUE"""),-0.66318132669746)</f>
        <v>-0.66318132669745999</v>
      </c>
      <c r="FN11" s="3">
        <f ca="1">IFERROR(__xludf.DUMMYFUNCTION("""COMPUTED_VALUE"""),-0.604152070879817)</f>
        <v>-0.60415207087981704</v>
      </c>
      <c r="FO11" s="3">
        <f ca="1">IFERROR(__xludf.DUMMYFUNCTION("""COMPUTED_VALUE"""),-0.671360852320959)</f>
        <v>-0.67136085232095899</v>
      </c>
      <c r="FP11" s="3">
        <f ca="1">IFERROR(__xludf.DUMMYFUNCTION("""COMPUTED_VALUE"""),-0.497654854971544)</f>
        <v>-0.49765485497154399</v>
      </c>
      <c r="FQ11" s="3">
        <f ca="1">IFERROR(__xludf.DUMMYFUNCTION("""COMPUTED_VALUE"""),-0.573147837799221)</f>
        <v>-0.57314783779922096</v>
      </c>
      <c r="FR11" s="3">
        <f ca="1">IFERROR(__xludf.DUMMYFUNCTION("""COMPUTED_VALUE"""),-0.641630322758292)</f>
        <v>-0.64163032275829202</v>
      </c>
      <c r="FS11" s="3">
        <f ca="1">IFERROR(__xludf.DUMMYFUNCTION("""COMPUTED_VALUE"""),-0.662113310255634)</f>
        <v>-0.66211331025563402</v>
      </c>
      <c r="FT11" s="3">
        <f ca="1">IFERROR(__xludf.DUMMYFUNCTION("""COMPUTED_VALUE"""),-0.666583530447755)</f>
        <v>-0.66658353044775498</v>
      </c>
      <c r="FU11" s="3">
        <f ca="1">IFERROR(__xludf.DUMMYFUNCTION("""COMPUTED_VALUE"""),-0.665259581190111)</f>
        <v>-0.66525958119011097</v>
      </c>
      <c r="FV11" s="3">
        <f ca="1">IFERROR(__xludf.DUMMYFUNCTION("""COMPUTED_VALUE"""),-0.639391207619314)</f>
        <v>-0.63939120761931401</v>
      </c>
      <c r="FW11" s="3">
        <f ca="1">IFERROR(__xludf.DUMMYFUNCTION("""COMPUTED_VALUE"""),-0.489186207855467)</f>
        <v>-0.48918620785546701</v>
      </c>
      <c r="FX11" s="3">
        <f ca="1">IFERROR(__xludf.DUMMYFUNCTION("""COMPUTED_VALUE"""),-0.545599980957457)</f>
        <v>-0.54559998095745699</v>
      </c>
      <c r="FY11" s="3">
        <f ca="1">IFERROR(__xludf.DUMMYFUNCTION("""COMPUTED_VALUE"""),-0.651847533824938)</f>
        <v>-0.65184753382493799</v>
      </c>
      <c r="FZ11" s="3">
        <f ca="1">IFERROR(__xludf.DUMMYFUNCTION("""COMPUTED_VALUE"""),-0.694549872342724)</f>
        <v>-0.69454987234272403</v>
      </c>
      <c r="GA11" s="3">
        <f ca="1">IFERROR(__xludf.DUMMYFUNCTION("""COMPUTED_VALUE"""),-0.651670972855887)</f>
        <v>-0.65167097285588704</v>
      </c>
      <c r="GB11" s="3">
        <f ca="1">IFERROR(__xludf.DUMMYFUNCTION("""COMPUTED_VALUE"""),-0.647933717549102)</f>
        <v>-0.64793371754910201</v>
      </c>
      <c r="GC11" s="3">
        <f ca="1">IFERROR(__xludf.DUMMYFUNCTION("""COMPUTED_VALUE"""),-0.637785418278592)</f>
        <v>-0.63778541827859203</v>
      </c>
      <c r="GD11" s="3">
        <f ca="1">IFERROR(__xludf.DUMMYFUNCTION("""COMPUTED_VALUE"""),-0.520981623164649)</f>
        <v>-0.52098162316464902</v>
      </c>
      <c r="GE11" s="3">
        <f ca="1">IFERROR(__xludf.DUMMYFUNCTION("""COMPUTED_VALUE"""),-0.551820897995346)</f>
        <v>-0.55182089799534595</v>
      </c>
      <c r="GF11" s="3">
        <f ca="1">IFERROR(__xludf.DUMMYFUNCTION("""COMPUTED_VALUE"""),-0.668248072649997)</f>
        <v>-0.66824807264999697</v>
      </c>
      <c r="GG11" s="3">
        <f ca="1">IFERROR(__xludf.DUMMYFUNCTION("""COMPUTED_VALUE"""),-0.646911982370664)</f>
        <v>-0.64691198237066405</v>
      </c>
      <c r="GH11" s="3">
        <f ca="1">IFERROR(__xludf.DUMMYFUNCTION("""COMPUTED_VALUE"""),-0.675713966473843)</f>
        <v>-0.67571396647384296</v>
      </c>
      <c r="GI11" s="3">
        <f ca="1">IFERROR(__xludf.DUMMYFUNCTION("""COMPUTED_VALUE"""),-0.667128176982241)</f>
        <v>-0.66712817698224103</v>
      </c>
      <c r="GJ11" s="3">
        <f ca="1">IFERROR(__xludf.DUMMYFUNCTION("""COMPUTED_VALUE"""),-0.623317109351675)</f>
        <v>-0.62331710935167495</v>
      </c>
      <c r="GK11" s="3">
        <f ca="1">IFERROR(__xludf.DUMMYFUNCTION("""COMPUTED_VALUE"""),-0.496556519109084)</f>
        <v>-0.49655651910908399</v>
      </c>
      <c r="GL11" s="3">
        <f ca="1">IFERROR(__xludf.DUMMYFUNCTION("""COMPUTED_VALUE"""),-0.492544875315955)</f>
        <v>-0.49254487531595498</v>
      </c>
      <c r="GM11" s="3">
        <f ca="1">IFERROR(__xludf.DUMMYFUNCTION("""COMPUTED_VALUE"""),-0.649975343409102)</f>
        <v>-0.64997534340910201</v>
      </c>
      <c r="GN11" s="3">
        <f ca="1">IFERROR(__xludf.DUMMYFUNCTION("""COMPUTED_VALUE"""),-0.625175049152522)</f>
        <v>-0.62517504915252198</v>
      </c>
      <c r="GO11" s="3">
        <f ca="1">IFERROR(__xludf.DUMMYFUNCTION("""COMPUTED_VALUE"""),-0.694559407576694)</f>
        <v>-0.69455940757669399</v>
      </c>
      <c r="GP11" s="3">
        <f ca="1">IFERROR(__xludf.DUMMYFUNCTION("""COMPUTED_VALUE"""),-0.664908106852379)</f>
        <v>-0.664908106852379</v>
      </c>
      <c r="GQ11" s="3">
        <f ca="1">IFERROR(__xludf.DUMMYFUNCTION("""COMPUTED_VALUE"""),-0.641581157878693)</f>
        <v>-0.64158115787869296</v>
      </c>
      <c r="GR11" s="3">
        <f ca="1">IFERROR(__xludf.DUMMYFUNCTION("""COMPUTED_VALUE"""),-0.462112529140175)</f>
        <v>-0.46211252914017498</v>
      </c>
      <c r="GS11" s="3">
        <f ca="1">IFERROR(__xludf.DUMMYFUNCTION("""COMPUTED_VALUE"""),-0.485397981513842)</f>
        <v>-0.485397981513842</v>
      </c>
      <c r="GT11" s="3">
        <f ca="1">IFERROR(__xludf.DUMMYFUNCTION("""COMPUTED_VALUE"""),-0.632198341338763)</f>
        <v>-0.63219834133876296</v>
      </c>
      <c r="GU11" s="3">
        <f ca="1">IFERROR(__xludf.DUMMYFUNCTION("""COMPUTED_VALUE"""),-0.639199657055662)</f>
        <v>-0.63919965705566195</v>
      </c>
      <c r="GV11" s="3">
        <f ca="1">IFERROR(__xludf.DUMMYFUNCTION("""COMPUTED_VALUE"""),-0.619494010746478)</f>
        <v>-0.61949401074647803</v>
      </c>
      <c r="GW11" s="3">
        <f ca="1">IFERROR(__xludf.DUMMYFUNCTION("""COMPUTED_VALUE"""),-0.619776358589147)</f>
        <v>-0.61977635858914704</v>
      </c>
      <c r="GX11" s="3">
        <f ca="1">IFERROR(__xludf.DUMMYFUNCTION("""COMPUTED_VALUE"""),-0.610952637422689)</f>
        <v>-0.61095263742268902</v>
      </c>
      <c r="GY11" s="3">
        <f ca="1">IFERROR(__xludf.DUMMYFUNCTION("""COMPUTED_VALUE"""),-0.401586039620941)</f>
        <v>-0.40158603962094103</v>
      </c>
      <c r="GZ11" s="3">
        <f ca="1">IFERROR(__xludf.DUMMYFUNCTION("""COMPUTED_VALUE"""),-0.478546640062136)</f>
        <v>-0.47854664006213599</v>
      </c>
      <c r="HA11" s="3">
        <f ca="1">IFERROR(__xludf.DUMMYFUNCTION("""COMPUTED_VALUE"""),-0.671390128765467)</f>
        <v>-0.671390128765467</v>
      </c>
      <c r="HB11" s="3">
        <f ca="1">IFERROR(__xludf.DUMMYFUNCTION("""COMPUTED_VALUE"""),-0.668402304318061)</f>
        <v>-0.66840230431806102</v>
      </c>
      <c r="HC11" s="3">
        <f ca="1">IFERROR(__xludf.DUMMYFUNCTION("""COMPUTED_VALUE"""),-0.657781823681448)</f>
        <v>-0.657781823681448</v>
      </c>
      <c r="HD11" s="3">
        <f ca="1">IFERROR(__xludf.DUMMYFUNCTION("""COMPUTED_VALUE"""),-0.673056214996069)</f>
        <v>-0.67305621499606905</v>
      </c>
      <c r="HE11" s="3">
        <f ca="1">IFERROR(__xludf.DUMMYFUNCTION("""COMPUTED_VALUE"""),-0.664685887027286)</f>
        <v>-0.66468588702728604</v>
      </c>
      <c r="HF11" s="3">
        <f ca="1">IFERROR(__xludf.DUMMYFUNCTION("""COMPUTED_VALUE"""),-0.508809807128256)</f>
        <v>-0.50880980712825596</v>
      </c>
      <c r="HG11" s="3">
        <f ca="1">IFERROR(__xludf.DUMMYFUNCTION("""COMPUTED_VALUE"""),-0.499381227559638)</f>
        <v>-0.49938122755963799</v>
      </c>
      <c r="HH11" s="3">
        <f ca="1">IFERROR(__xludf.DUMMYFUNCTION("""COMPUTED_VALUE"""),-0.677371300314877)</f>
        <v>-0.67737130031487702</v>
      </c>
      <c r="HI11" s="3">
        <f ca="1">IFERROR(__xludf.DUMMYFUNCTION("""COMPUTED_VALUE"""),-0.663299608855006)</f>
        <v>-0.66329960885500605</v>
      </c>
      <c r="HJ11" s="3">
        <f ca="1">IFERROR(__xludf.DUMMYFUNCTION("""COMPUTED_VALUE"""),-0.648650649853108)</f>
        <v>-0.64865064985310805</v>
      </c>
      <c r="HK11" s="3">
        <f ca="1">IFERROR(__xludf.DUMMYFUNCTION("""COMPUTED_VALUE"""),-0.663871204538046)</f>
        <v>-0.66387120453804604</v>
      </c>
      <c r="HL11" s="3">
        <f ca="1">IFERROR(__xludf.DUMMYFUNCTION("""COMPUTED_VALUE"""),-0.654246737889173)</f>
        <v>-0.65424673788917298</v>
      </c>
      <c r="HM11" s="3">
        <f ca="1">IFERROR(__xludf.DUMMYFUNCTION("""COMPUTED_VALUE"""),-0.365463033600792)</f>
        <v>-0.36546303360079202</v>
      </c>
      <c r="HN11" s="3">
        <f ca="1">IFERROR(__xludf.DUMMYFUNCTION("""COMPUTED_VALUE"""),-0.488241352523238)</f>
        <v>-0.48824135252323803</v>
      </c>
      <c r="HO11" s="3">
        <f ca="1">IFERROR(__xludf.DUMMYFUNCTION("""COMPUTED_VALUE"""),-0.617354046535119)</f>
        <v>-0.61735404653511905</v>
      </c>
      <c r="HP11" s="3">
        <f ca="1">IFERROR(__xludf.DUMMYFUNCTION("""COMPUTED_VALUE"""),-0.600676559404428)</f>
        <v>-0.60067655940442799</v>
      </c>
      <c r="HQ11" s="3">
        <f ca="1">IFERROR(__xludf.DUMMYFUNCTION("""COMPUTED_VALUE"""),-0.638368941889258)</f>
        <v>-0.63836894188925797</v>
      </c>
      <c r="HR11" s="3">
        <f ca="1">IFERROR(__xludf.DUMMYFUNCTION("""COMPUTED_VALUE"""),-0.597892185395944)</f>
        <v>-0.59789218539594402</v>
      </c>
      <c r="HS11" s="3">
        <f ca="1">IFERROR(__xludf.DUMMYFUNCTION("""COMPUTED_VALUE"""),-0.5596444337854)</f>
        <v>-0.55964443378539996</v>
      </c>
      <c r="HT11" s="3">
        <f ca="1">IFERROR(__xludf.DUMMYFUNCTION("""COMPUTED_VALUE"""),-0.46961542152807)</f>
        <v>-0.46961542152807001</v>
      </c>
      <c r="HU11" s="3">
        <f ca="1">IFERROR(__xludf.DUMMYFUNCTION("""COMPUTED_VALUE"""),-0.513019220139847)</f>
        <v>-0.51301922013984702</v>
      </c>
      <c r="HV11" s="3">
        <f ca="1">IFERROR(__xludf.DUMMYFUNCTION("""COMPUTED_VALUE"""),-0.630493480321279)</f>
        <v>-0.63049348032127905</v>
      </c>
      <c r="HW11" s="3">
        <f ca="1">IFERROR(__xludf.DUMMYFUNCTION("""COMPUTED_VALUE"""),-0.640700930268646)</f>
        <v>-0.64070093026864605</v>
      </c>
      <c r="HX11" s="3">
        <f ca="1">IFERROR(__xludf.DUMMYFUNCTION("""COMPUTED_VALUE"""),-0.613926465767543)</f>
        <v>-0.61392646576754295</v>
      </c>
      <c r="HY11" s="3">
        <f ca="1">IFERROR(__xludf.DUMMYFUNCTION("""COMPUTED_VALUE"""),-0.60935546854169)</f>
        <v>-0.60935546854168998</v>
      </c>
      <c r="HZ11" s="3">
        <f ca="1">IFERROR(__xludf.DUMMYFUNCTION("""COMPUTED_VALUE"""),-0.497046026473226)</f>
        <v>-0.49704602647322599</v>
      </c>
      <c r="IA11" s="3">
        <f ca="1">IFERROR(__xludf.DUMMYFUNCTION("""COMPUTED_VALUE"""),-0.419066093559126)</f>
        <v>-0.419066093559126</v>
      </c>
      <c r="IB11" s="3">
        <f ca="1">IFERROR(__xludf.DUMMYFUNCTION("""COMPUTED_VALUE"""),-0.406046657804832)</f>
        <v>-0.40604665780483201</v>
      </c>
      <c r="IC11" s="3">
        <f ca="1">IFERROR(__xludf.DUMMYFUNCTION("""COMPUTED_VALUE"""),-0.517703286946853)</f>
        <v>-0.51770328694685297</v>
      </c>
      <c r="ID11" s="3">
        <f ca="1">IFERROR(__xludf.DUMMYFUNCTION("""COMPUTED_VALUE"""),-0.551734841972376)</f>
        <v>-0.55173484197237599</v>
      </c>
      <c r="IE11" s="3">
        <f ca="1">IFERROR(__xludf.DUMMYFUNCTION("""COMPUTED_VALUE"""),-0.555616420651696)</f>
        <v>-0.55561642065169603</v>
      </c>
      <c r="IF11" s="3">
        <f ca="1">IFERROR(__xludf.DUMMYFUNCTION("""COMPUTED_VALUE"""),-0.549623893909027)</f>
        <v>-0.54962389390902699</v>
      </c>
      <c r="IG11" s="3">
        <f ca="1">IFERROR(__xludf.DUMMYFUNCTION("""COMPUTED_VALUE"""),-0.560369533372829)</f>
        <v>-0.56036953337282902</v>
      </c>
      <c r="IH11" s="3">
        <f ca="1">IFERROR(__xludf.DUMMYFUNCTION("""COMPUTED_VALUE"""),-0.398260237461254)</f>
        <v>-0.398260237461254</v>
      </c>
      <c r="II11" s="3">
        <f ca="1">IFERROR(__xludf.DUMMYFUNCTION("""COMPUTED_VALUE"""),-0.447937289493072)</f>
        <v>-0.44793728949307199</v>
      </c>
      <c r="IJ11" s="3">
        <f ca="1">IFERROR(__xludf.DUMMYFUNCTION("""COMPUTED_VALUE"""),-0.514008450605953)</f>
        <v>-0.51400845060595302</v>
      </c>
      <c r="IK11" s="3">
        <f ca="1">IFERROR(__xludf.DUMMYFUNCTION("""COMPUTED_VALUE"""),-0.493546870121249)</f>
        <v>-0.49354687012124898</v>
      </c>
      <c r="IL11" s="3">
        <f ca="1">IFERROR(__xludf.DUMMYFUNCTION("""COMPUTED_VALUE"""),-0.538197266546996)</f>
        <v>-0.53819726654699596</v>
      </c>
      <c r="IM11" s="3">
        <f ca="1">IFERROR(__xludf.DUMMYFUNCTION("""COMPUTED_VALUE"""),-0.541803162952946)</f>
        <v>-0.54180316295294595</v>
      </c>
      <c r="IN11" s="3">
        <f ca="1">IFERROR(__xludf.DUMMYFUNCTION("""COMPUTED_VALUE"""),-0.542543973707833)</f>
        <v>-0.54254397370783303</v>
      </c>
      <c r="IO11" s="3">
        <f ca="1">IFERROR(__xludf.DUMMYFUNCTION("""COMPUTED_VALUE"""),-0.392578566287467)</f>
        <v>-0.39257856628746701</v>
      </c>
      <c r="IP11" s="3">
        <f ca="1">IFERROR(__xludf.DUMMYFUNCTION("""COMPUTED_VALUE"""),-0.38462090886747)</f>
        <v>-0.38462090886747002</v>
      </c>
      <c r="IQ11" s="3">
        <f ca="1">IFERROR(__xludf.DUMMYFUNCTION("""COMPUTED_VALUE"""),-0.529335466596131)</f>
        <v>-0.52933546659613095</v>
      </c>
      <c r="IR11" s="3">
        <f ca="1">IFERROR(__xludf.DUMMYFUNCTION("""COMPUTED_VALUE"""),-0.548824286604044)</f>
        <v>-0.54882428660404403</v>
      </c>
      <c r="IS11" s="3">
        <f ca="1">IFERROR(__xludf.DUMMYFUNCTION("""COMPUTED_VALUE"""),-0.578612265663671)</f>
        <v>-0.57861226566367097</v>
      </c>
      <c r="IT11" s="3">
        <f ca="1">IFERROR(__xludf.DUMMYFUNCTION("""COMPUTED_VALUE"""),-0.582019111325562)</f>
        <v>-0.58201911132556206</v>
      </c>
      <c r="IU11" s="3">
        <f ca="1">IFERROR(__xludf.DUMMYFUNCTION("""COMPUTED_VALUE"""),-0.549367000058969)</f>
        <v>-0.54936700005896899</v>
      </c>
      <c r="IV11" s="3">
        <f ca="1">IFERROR(__xludf.DUMMYFUNCTION("""COMPUTED_VALUE"""),-0.441373807339411)</f>
        <v>-0.44137380733941101</v>
      </c>
      <c r="IW11" s="3">
        <f ca="1">IFERROR(__xludf.DUMMYFUNCTION("""COMPUTED_VALUE"""),-0.407313033877921)</f>
        <v>-0.407313033877921</v>
      </c>
      <c r="IX11" s="3">
        <f ca="1">IFERROR(__xludf.DUMMYFUNCTION("""COMPUTED_VALUE"""),-0.557240258105891)</f>
        <v>-0.55724025810589095</v>
      </c>
      <c r="IY11" s="3">
        <f ca="1">IFERROR(__xludf.DUMMYFUNCTION("""COMPUTED_VALUE"""),-0.577636687859947)</f>
        <v>-0.57763668785994704</v>
      </c>
      <c r="IZ11" s="3">
        <f ca="1">IFERROR(__xludf.DUMMYFUNCTION("""COMPUTED_VALUE"""),-0.597795570651056)</f>
        <v>-0.59779557065105604</v>
      </c>
      <c r="JA11" s="3">
        <f ca="1">IFERROR(__xludf.DUMMYFUNCTION("""COMPUTED_VALUE"""),-0.590637887395776)</f>
        <v>-0.59063788739577605</v>
      </c>
      <c r="JB11" s="3">
        <f ca="1">IFERROR(__xludf.DUMMYFUNCTION("""COMPUTED_VALUE"""),-0.614599918878334)</f>
        <v>-0.61459991887833398</v>
      </c>
      <c r="JC11" s="3">
        <f ca="1">IFERROR(__xludf.DUMMYFUNCTION("""COMPUTED_VALUE"""),-0.463059725263674)</f>
        <v>-0.463059725263674</v>
      </c>
      <c r="JD11" s="3">
        <f ca="1">IFERROR(__xludf.DUMMYFUNCTION("""COMPUTED_VALUE"""),-0.422272058021856)</f>
        <v>-0.42227205802185602</v>
      </c>
      <c r="JE11" s="3">
        <f ca="1">IFERROR(__xludf.DUMMYFUNCTION("""COMPUTED_VALUE"""),-0.580962342039434)</f>
        <v>-0.58096234203943398</v>
      </c>
      <c r="JF11" s="3">
        <f ca="1">IFERROR(__xludf.DUMMYFUNCTION("""COMPUTED_VALUE"""),-0.591131527500236)</f>
        <v>-0.59113152750023601</v>
      </c>
      <c r="JG11" s="3">
        <f ca="1">IFERROR(__xludf.DUMMYFUNCTION("""COMPUTED_VALUE"""),-0.621864597390146)</f>
        <v>-0.62186459739014599</v>
      </c>
      <c r="JH11" s="3">
        <f ca="1">IFERROR(__xludf.DUMMYFUNCTION("""COMPUTED_VALUE"""),-0.588760993532863)</f>
        <v>-0.58876099353286304</v>
      </c>
      <c r="JI11" s="3">
        <f ca="1">IFERROR(__xludf.DUMMYFUNCTION("""COMPUTED_VALUE"""),-0.583632401309856)</f>
        <v>-0.58363240130985605</v>
      </c>
      <c r="JJ11" s="3">
        <f ca="1">IFERROR(__xludf.DUMMYFUNCTION("""COMPUTED_VALUE"""),-0.471762903608639)</f>
        <v>-0.47176290360863898</v>
      </c>
      <c r="JK11" s="3">
        <f ca="1">IFERROR(__xludf.DUMMYFUNCTION("""COMPUTED_VALUE"""),-0.427589076446255)</f>
        <v>-0.42758907644625499</v>
      </c>
      <c r="JL11" s="3">
        <f ca="1">IFERROR(__xludf.DUMMYFUNCTION("""COMPUTED_VALUE"""),-0.543967557544766)</f>
        <v>-0.543967557544766</v>
      </c>
      <c r="JM11" s="3">
        <f ca="1">IFERROR(__xludf.DUMMYFUNCTION("""COMPUTED_VALUE"""),-0.654496366792008)</f>
        <v>-0.65449636679200796</v>
      </c>
      <c r="JN11" s="3">
        <f ca="1">IFERROR(__xludf.DUMMYFUNCTION("""COMPUTED_VALUE"""),-0.568567213216761)</f>
        <v>-0.56856721321676096</v>
      </c>
      <c r="JO11" s="3">
        <f ca="1">IFERROR(__xludf.DUMMYFUNCTION("""COMPUTED_VALUE"""),-0.59073606606928)</f>
        <v>-0.59073606606927997</v>
      </c>
      <c r="JP11" s="3">
        <f ca="1">IFERROR(__xludf.DUMMYFUNCTION("""COMPUTED_VALUE"""),-0.568367560170395)</f>
        <v>-0.56836756017039503</v>
      </c>
      <c r="JQ11" s="3">
        <f ca="1">IFERROR(__xludf.DUMMYFUNCTION("""COMPUTED_VALUE"""),-0.447747199973072)</f>
        <v>-0.447747199973072</v>
      </c>
      <c r="JR11" s="3">
        <f ca="1">IFERROR(__xludf.DUMMYFUNCTION("""COMPUTED_VALUE"""),-0.524703885093266)</f>
        <v>-0.52470388509326604</v>
      </c>
      <c r="JS11" s="3">
        <f ca="1">IFERROR(__xludf.DUMMYFUNCTION("""COMPUTED_VALUE"""),-0.48436484262325)</f>
        <v>-0.48436484262325002</v>
      </c>
      <c r="JT11" s="3">
        <f ca="1">IFERROR(__xludf.DUMMYFUNCTION("""COMPUTED_VALUE"""),-0.50904624497825)</f>
        <v>-0.50904624497825002</v>
      </c>
      <c r="JU11" s="3">
        <f ca="1">IFERROR(__xludf.DUMMYFUNCTION("""COMPUTED_VALUE"""),-0.53937873370439)</f>
        <v>-0.53937873370439005</v>
      </c>
      <c r="JV11" s="3">
        <f ca="1">IFERROR(__xludf.DUMMYFUNCTION("""COMPUTED_VALUE"""),-0.511994053503025)</f>
        <v>-0.51199405350302496</v>
      </c>
      <c r="JW11" s="3">
        <f ca="1">IFERROR(__xludf.DUMMYFUNCTION("""COMPUTED_VALUE"""),-0.5607017822986)</f>
        <v>-0.56070178229860002</v>
      </c>
      <c r="JX11" s="3">
        <f ca="1">IFERROR(__xludf.DUMMYFUNCTION("""COMPUTED_VALUE"""),-0.472110588136882)</f>
        <v>-0.472110588136882</v>
      </c>
      <c r="JY11" s="3">
        <f ca="1">IFERROR(__xludf.DUMMYFUNCTION("""COMPUTED_VALUE"""),-0.413592745714948)</f>
        <v>-0.41359274571494797</v>
      </c>
      <c r="JZ11" s="3">
        <f ca="1">IFERROR(__xludf.DUMMYFUNCTION("""COMPUTED_VALUE"""),-0.312267320797821)</f>
        <v>-0.31226732079782099</v>
      </c>
      <c r="KA11" s="3">
        <f ca="1">IFERROR(__xludf.DUMMYFUNCTION("""COMPUTED_VALUE"""),-0.401416097607528)</f>
        <v>-0.401416097607528</v>
      </c>
      <c r="KB11" s="3">
        <f ca="1">IFERROR(__xludf.DUMMYFUNCTION("""COMPUTED_VALUE"""),-0.454296776699001)</f>
        <v>-0.45429677669900098</v>
      </c>
      <c r="KC11" s="3">
        <f ca="1">IFERROR(__xludf.DUMMYFUNCTION("""COMPUTED_VALUE"""),-0.513742121964205)</f>
        <v>-0.51374212196420499</v>
      </c>
      <c r="KD11" s="3">
        <f ca="1">IFERROR(__xludf.DUMMYFUNCTION("""COMPUTED_VALUE"""),-0.511399403116156)</f>
        <v>-0.51139940311615595</v>
      </c>
      <c r="KE11" s="3">
        <f ca="1">IFERROR(__xludf.DUMMYFUNCTION("""COMPUTED_VALUE"""),-0.0509747308187444)</f>
        <v>-5.0974730818744401E-2</v>
      </c>
      <c r="KF11" s="3">
        <f ca="1">IFERROR(__xludf.DUMMYFUNCTION("""COMPUTED_VALUE"""),-0.19051059619849)</f>
        <v>-0.19051059619849001</v>
      </c>
      <c r="KG11" s="3">
        <f ca="1">IFERROR(__xludf.DUMMYFUNCTION("""COMPUTED_VALUE"""),-0.231673915199275)</f>
        <v>-0.23167391519927499</v>
      </c>
      <c r="KH11" s="3">
        <f ca="1">IFERROR(__xludf.DUMMYFUNCTION("""COMPUTED_VALUE"""),-0.172861674942918)</f>
        <v>-0.17286167494291799</v>
      </c>
      <c r="KI11" s="3">
        <f ca="1">IFERROR(__xludf.DUMMYFUNCTION("""COMPUTED_VALUE"""),-0.303846147140459)</f>
        <v>-0.30384614714045899</v>
      </c>
      <c r="KJ11" s="3">
        <f ca="1">IFERROR(__xludf.DUMMYFUNCTION("""COMPUTED_VALUE"""),-0.372945700962863)</f>
        <v>-0.372945700962863</v>
      </c>
      <c r="KK11" s="3">
        <f ca="1">IFERROR(__xludf.DUMMYFUNCTION("""COMPUTED_VALUE"""),-0.354796658681196)</f>
        <v>-0.35479665868119598</v>
      </c>
      <c r="KL11" s="3">
        <f ca="1">IFERROR(__xludf.DUMMYFUNCTION("""COMPUTED_VALUE"""),0.0450342016025726)</f>
        <v>4.5034201602572599E-2</v>
      </c>
      <c r="KM11" s="3">
        <f ca="1">IFERROR(__xludf.DUMMYFUNCTION("""COMPUTED_VALUE"""),0.0153102844550463)</f>
        <v>1.53102844550463E-2</v>
      </c>
      <c r="KN11" s="3">
        <f ca="1">IFERROR(__xludf.DUMMYFUNCTION("""COMPUTED_VALUE"""),-0.355798718579707)</f>
        <v>-0.35579871857970702</v>
      </c>
      <c r="KO11" s="3">
        <f ca="1">IFERROR(__xludf.DUMMYFUNCTION("""COMPUTED_VALUE"""),-0.271661553707129)</f>
        <v>-0.27166155370712902</v>
      </c>
      <c r="KP11" s="3">
        <f ca="1">IFERROR(__xludf.DUMMYFUNCTION("""COMPUTED_VALUE"""),-0.35802350544401)</f>
        <v>-0.35802350544401002</v>
      </c>
      <c r="KQ11" s="3">
        <f ca="1">IFERROR(__xludf.DUMMYFUNCTION("""COMPUTED_VALUE"""),-0.370466357720969)</f>
        <v>-0.37046635772096898</v>
      </c>
      <c r="KR11" s="3">
        <f ca="1">IFERROR(__xludf.DUMMYFUNCTION("""COMPUTED_VALUE"""),-0.395129624045401)</f>
        <v>-0.39512962404540097</v>
      </c>
      <c r="KS11" s="3">
        <f ca="1">IFERROR(__xludf.DUMMYFUNCTION("""COMPUTED_VALUE"""),-0.131724298508707)</f>
        <v>-0.13172429850870701</v>
      </c>
      <c r="KT11" s="3">
        <f ca="1">IFERROR(__xludf.DUMMYFUNCTION("""COMPUTED_VALUE"""),-0.135346223279159)</f>
        <v>-0.13534622327915899</v>
      </c>
      <c r="KU11" s="3">
        <f ca="1">IFERROR(__xludf.DUMMYFUNCTION("""COMPUTED_VALUE"""),-0.41546010545099)</f>
        <v>-0.41546010545098999</v>
      </c>
      <c r="KV11" s="3">
        <f ca="1">IFERROR(__xludf.DUMMYFUNCTION("""COMPUTED_VALUE"""),-0.449306284739884)</f>
        <v>-0.44930628473988399</v>
      </c>
      <c r="KW11" s="3">
        <f ca="1">IFERROR(__xludf.DUMMYFUNCTION("""COMPUTED_VALUE"""),-0.460492550910351)</f>
        <v>-0.46049255091035102</v>
      </c>
      <c r="KX11" s="3">
        <f ca="1">IFERROR(__xludf.DUMMYFUNCTION("""COMPUTED_VALUE"""),-0.426461820275304)</f>
        <v>-0.42646182027530399</v>
      </c>
      <c r="KY11" s="3">
        <f ca="1">IFERROR(__xludf.DUMMYFUNCTION("""COMPUTED_VALUE"""),-0.449788607351214)</f>
        <v>-0.44978860735121401</v>
      </c>
      <c r="KZ11" s="3">
        <f ca="1">IFERROR(__xludf.DUMMYFUNCTION("""COMPUTED_VALUE"""),-0.109301432215543)</f>
        <v>-0.109301432215543</v>
      </c>
      <c r="LA11" s="3">
        <f ca="1">IFERROR(__xludf.DUMMYFUNCTION("""COMPUTED_VALUE"""),-0.23791051676761)</f>
        <v>-0.23791051676760999</v>
      </c>
      <c r="LB11" s="3">
        <f ca="1">IFERROR(__xludf.DUMMYFUNCTION("""COMPUTED_VALUE"""),-0.425222750830504)</f>
        <v>-0.42522275083050398</v>
      </c>
      <c r="LC11" s="3">
        <f ca="1">IFERROR(__xludf.DUMMYFUNCTION("""COMPUTED_VALUE"""),-0.435966152184818)</f>
        <v>-0.43596615218481799</v>
      </c>
      <c r="LD11" s="3">
        <f ca="1">IFERROR(__xludf.DUMMYFUNCTION("""COMPUTED_VALUE"""),-0.526611771905727)</f>
        <v>-0.52661177190572706</v>
      </c>
      <c r="LE11" s="3">
        <f ca="1">IFERROR(__xludf.DUMMYFUNCTION("""COMPUTED_VALUE"""),-0.526012872053025)</f>
        <v>-0.52601287205302505</v>
      </c>
      <c r="LF11" s="3">
        <f ca="1">IFERROR(__xludf.DUMMYFUNCTION("""COMPUTED_VALUE"""),-0.415997947581244)</f>
        <v>-0.41599794758124398</v>
      </c>
      <c r="LG11" s="3">
        <f ca="1">IFERROR(__xludf.DUMMYFUNCTION("""COMPUTED_VALUE"""),-0.293011419219451)</f>
        <v>-0.29301141921945101</v>
      </c>
      <c r="LH11" s="3">
        <f ca="1">IFERROR(__xludf.DUMMYFUNCTION("""COMPUTED_VALUE"""),-0.267956619672294)</f>
        <v>-0.26795661967229401</v>
      </c>
      <c r="LI11" s="3">
        <f ca="1">IFERROR(__xludf.DUMMYFUNCTION("""COMPUTED_VALUE"""),-0.588168162587769)</f>
        <v>-0.58816816258776905</v>
      </c>
      <c r="LJ11" s="3">
        <f ca="1">IFERROR(__xludf.DUMMYFUNCTION("""COMPUTED_VALUE"""),-0.525689296717123)</f>
        <v>-0.52568929671712294</v>
      </c>
      <c r="LK11" s="3">
        <f ca="1">IFERROR(__xludf.DUMMYFUNCTION("""COMPUTED_VALUE"""),-0.452548119279624)</f>
        <v>-0.45254811927962402</v>
      </c>
      <c r="LL11" s="3">
        <f ca="1">IFERROR(__xludf.DUMMYFUNCTION("""COMPUTED_VALUE"""),-0.456235390886318)</f>
        <v>-0.45623539088631798</v>
      </c>
      <c r="LM11" s="3">
        <f ca="1">IFERROR(__xludf.DUMMYFUNCTION("""COMPUTED_VALUE"""),-0.51169424351625)</f>
        <v>-0.51169424351625004</v>
      </c>
      <c r="LN11" s="3">
        <f ca="1">IFERROR(__xludf.DUMMYFUNCTION("""COMPUTED_VALUE"""),-0.201489675586434)</f>
        <v>-0.20148967558643399</v>
      </c>
      <c r="LO11" s="3">
        <f ca="1">IFERROR(__xludf.DUMMYFUNCTION("""COMPUTED_VALUE"""),-0.335034810968835)</f>
        <v>-0.33503481096883497</v>
      </c>
      <c r="LP11" s="3">
        <f ca="1">IFERROR(__xludf.DUMMYFUNCTION("""COMPUTED_VALUE"""),-0.498202325277318)</f>
        <v>-0.498202325277318</v>
      </c>
      <c r="LQ11" s="3">
        <f ca="1">IFERROR(__xludf.DUMMYFUNCTION("""COMPUTED_VALUE"""),-0.464071231015043)</f>
        <v>-0.464071231015043</v>
      </c>
      <c r="LR11" s="3">
        <f ca="1">IFERROR(__xludf.DUMMYFUNCTION("""COMPUTED_VALUE"""),-0.476562501917984)</f>
        <v>-0.47656250191798399</v>
      </c>
      <c r="LS11" s="3">
        <f ca="1">IFERROR(__xludf.DUMMYFUNCTION("""COMPUTED_VALUE"""),-0.495605703652359)</f>
        <v>-0.49560570365235901</v>
      </c>
      <c r="LT11" s="3">
        <f ca="1">IFERROR(__xludf.DUMMYFUNCTION("""COMPUTED_VALUE"""),-0.507346477128893)</f>
        <v>-0.50734647712889303</v>
      </c>
      <c r="LU11" s="3">
        <f ca="1">IFERROR(__xludf.DUMMYFUNCTION("""COMPUTED_VALUE"""),-0.366969704193175)</f>
        <v>-0.36696970419317498</v>
      </c>
      <c r="LV11" s="3">
        <f ca="1">IFERROR(__xludf.DUMMYFUNCTION("""COMPUTED_VALUE"""),-0.31170392604483)</f>
        <v>-0.31170392604482999</v>
      </c>
      <c r="LW11" s="3">
        <f ca="1">IFERROR(__xludf.DUMMYFUNCTION("""COMPUTED_VALUE"""),-0.553646272757792)</f>
        <v>-0.55364627275779199</v>
      </c>
      <c r="LX11" s="3">
        <f ca="1">IFERROR(__xludf.DUMMYFUNCTION("""COMPUTED_VALUE"""),-0.55386866848375)</f>
        <v>-0.55386866848375005</v>
      </c>
      <c r="LY11" s="3">
        <f ca="1">IFERROR(__xludf.DUMMYFUNCTION("""COMPUTED_VALUE"""),-0.567718612277914)</f>
        <v>-0.56771861227791398</v>
      </c>
      <c r="LZ11" s="3">
        <f ca="1">IFERROR(__xludf.DUMMYFUNCTION("""COMPUTED_VALUE"""),-0.577639786661276)</f>
        <v>-0.57763978666127602</v>
      </c>
      <c r="MA11" s="3">
        <f ca="1">IFERROR(__xludf.DUMMYFUNCTION("""COMPUTED_VALUE"""),-0.617446538837346)</f>
        <v>-0.61744653883734602</v>
      </c>
      <c r="MB11" s="3">
        <f ca="1">IFERROR(__xludf.DUMMYFUNCTION("""COMPUTED_VALUE"""),-0.396452730196199)</f>
        <v>-0.39645273019619898</v>
      </c>
      <c r="MC11" s="3">
        <f ca="1">IFERROR(__xludf.DUMMYFUNCTION("""COMPUTED_VALUE"""),-0.472880890027194)</f>
        <v>-0.47288089002719402</v>
      </c>
      <c r="MD11" s="3">
        <f ca="1">IFERROR(__xludf.DUMMYFUNCTION("""COMPUTED_VALUE"""),-0.584642411746864)</f>
        <v>-0.58464241174686404</v>
      </c>
      <c r="ME11" s="3">
        <f ca="1">IFERROR(__xludf.DUMMYFUNCTION("""COMPUTED_VALUE"""),-0.604076970101399)</f>
        <v>-0.60407697010139905</v>
      </c>
      <c r="MF11" s="3">
        <f ca="1">IFERROR(__xludf.DUMMYFUNCTION("""COMPUTED_VALUE"""),-0.588969361540419)</f>
        <v>-0.58896936154041901</v>
      </c>
      <c r="MG11" s="3">
        <f ca="1">IFERROR(__xludf.DUMMYFUNCTION("""COMPUTED_VALUE"""),-0.577037848150353)</f>
        <v>-0.57703784815035297</v>
      </c>
      <c r="MH11" s="3">
        <f ca="1">IFERROR(__xludf.DUMMYFUNCTION("""COMPUTED_VALUE"""),-0.61997882369565)</f>
        <v>-0.61997882369565005</v>
      </c>
      <c r="MI11" s="3">
        <f ca="1">IFERROR(__xludf.DUMMYFUNCTION("""COMPUTED_VALUE"""),-0.204167678861909)</f>
        <v>-0.20416767886190901</v>
      </c>
      <c r="MJ11" s="3">
        <f ca="1">IFERROR(__xludf.DUMMYFUNCTION("""COMPUTED_VALUE"""),-0.391524788139528)</f>
        <v>-0.39152478813952801</v>
      </c>
      <c r="MK11" s="3">
        <f ca="1">IFERROR(__xludf.DUMMYFUNCTION("""COMPUTED_VALUE"""),-0.52515206640531)</f>
        <v>-0.52515206640530998</v>
      </c>
      <c r="ML11" s="3">
        <f ca="1">IFERROR(__xludf.DUMMYFUNCTION("""COMPUTED_VALUE"""),-0.592032447625408)</f>
        <v>-0.59203244762540796</v>
      </c>
      <c r="MM11" s="3">
        <f ca="1">IFERROR(__xludf.DUMMYFUNCTION("""COMPUTED_VALUE"""),-0.610534243023923)</f>
        <v>-0.61053424302392301</v>
      </c>
      <c r="MN11" s="3">
        <f ca="1">IFERROR(__xludf.DUMMYFUNCTION("""COMPUTED_VALUE"""),-0.598897588528585)</f>
        <v>-0.59889758852858499</v>
      </c>
      <c r="MO11" s="3">
        <f ca="1">IFERROR(__xludf.DUMMYFUNCTION("""COMPUTED_VALUE"""),-0.57131688242724)</f>
        <v>-0.57131688242723999</v>
      </c>
      <c r="MP11" s="3">
        <f ca="1">IFERROR(__xludf.DUMMYFUNCTION("""COMPUTED_VALUE"""),-0.44518594023243)</f>
        <v>-0.44518594023243002</v>
      </c>
      <c r="MQ11" s="3">
        <f ca="1">IFERROR(__xludf.DUMMYFUNCTION("""COMPUTED_VALUE"""),-0.397397928272721)</f>
        <v>-0.39739792827272102</v>
      </c>
      <c r="MR11" s="3">
        <f ca="1">IFERROR(__xludf.DUMMYFUNCTION("""COMPUTED_VALUE"""),-0.493051526083318)</f>
        <v>-0.49305152608331798</v>
      </c>
      <c r="MS11" s="3">
        <f ca="1">IFERROR(__xludf.DUMMYFUNCTION("""COMPUTED_VALUE"""),-0.651935285908098)</f>
        <v>-0.65193528590809802</v>
      </c>
      <c r="MT11" s="3">
        <f ca="1">IFERROR(__xludf.DUMMYFUNCTION("""COMPUTED_VALUE"""),-0.590231169599638)</f>
        <v>-0.59023116959963795</v>
      </c>
      <c r="MU11" s="3">
        <f ca="1">IFERROR(__xludf.DUMMYFUNCTION("""COMPUTED_VALUE"""),-0.617951465638036)</f>
        <v>-0.61795146563803605</v>
      </c>
      <c r="MV11" s="3">
        <f ca="1">IFERROR(__xludf.DUMMYFUNCTION("""COMPUTED_VALUE"""),-0.52904029776211)</f>
        <v>-0.52904029776211003</v>
      </c>
      <c r="MW11" s="3">
        <f ca="1">IFERROR(__xludf.DUMMYFUNCTION("""COMPUTED_VALUE"""),-0.324269072126464)</f>
        <v>-0.324269072126464</v>
      </c>
      <c r="MX11" s="3">
        <f ca="1">IFERROR(__xludf.DUMMYFUNCTION("""COMPUTED_VALUE"""),-0.432018947122626)</f>
        <v>-0.43201894712262601</v>
      </c>
      <c r="MY11" s="3">
        <f ca="1">IFERROR(__xludf.DUMMYFUNCTION("""COMPUTED_VALUE"""),-0.51435713182744)</f>
        <v>-0.51435713182744003</v>
      </c>
      <c r="MZ11" s="3">
        <f ca="1">IFERROR(__xludf.DUMMYFUNCTION("""COMPUTED_VALUE"""),-0.517777032121169)</f>
        <v>-0.51777703212116899</v>
      </c>
      <c r="NA11" s="3">
        <f ca="1">IFERROR(__xludf.DUMMYFUNCTION("""COMPUTED_VALUE"""),-0.573099988739873)</f>
        <v>-0.573099988739873</v>
      </c>
      <c r="NB11" s="3">
        <f ca="1">IFERROR(__xludf.DUMMYFUNCTION("""COMPUTED_VALUE"""),-0.542200160625455)</f>
        <v>-0.54220016062545495</v>
      </c>
      <c r="NC11" s="3">
        <f ca="1">IFERROR(__xludf.DUMMYFUNCTION("""COMPUTED_VALUE"""),-0.647613274580382)</f>
        <v>-0.64761327458038198</v>
      </c>
      <c r="ND11" s="3">
        <f ca="1">IFERROR(__xludf.DUMMYFUNCTION("""COMPUTED_VALUE"""),-0.353519202311606)</f>
        <v>-0.353519202311606</v>
      </c>
      <c r="NE11" s="3">
        <f ca="1">IFERROR(__xludf.DUMMYFUNCTION("""COMPUTED_VALUE"""),-0.514722896452563)</f>
        <v>-0.51472289645256297</v>
      </c>
      <c r="NF11" s="3">
        <f ca="1">IFERROR(__xludf.DUMMYFUNCTION("""COMPUTED_VALUE"""),-0.610977775472867)</f>
        <v>-0.61097777547286702</v>
      </c>
      <c r="NG11" s="3">
        <f ca="1">IFERROR(__xludf.DUMMYFUNCTION("""COMPUTED_VALUE"""),-0.631531727315533)</f>
        <v>-0.63153172731553298</v>
      </c>
      <c r="NH11" s="3">
        <f ca="1">IFERROR(__xludf.DUMMYFUNCTION("""COMPUTED_VALUE"""),-0.644104319010502)</f>
        <v>-0.64410431901050202</v>
      </c>
      <c r="NI11" s="3">
        <f ca="1">IFERROR(__xludf.DUMMYFUNCTION("""COMPUTED_VALUE"""),-0.60364930801892)</f>
        <v>-0.60364930801892003</v>
      </c>
      <c r="NJ11" s="3">
        <f ca="1">IFERROR(__xludf.DUMMYFUNCTION("""COMPUTED_VALUE"""),-0.626789739954497)</f>
        <v>-0.62678973995449705</v>
      </c>
      <c r="NK11" s="3">
        <f ca="1">IFERROR(__xludf.DUMMYFUNCTION("""COMPUTED_VALUE"""),-0.332309758559262)</f>
        <v>-0.33230975855926198</v>
      </c>
      <c r="NL11" s="3">
        <f ca="1">IFERROR(__xludf.DUMMYFUNCTION("""COMPUTED_VALUE"""),-0.493065789369274)</f>
        <v>-0.49306578936927398</v>
      </c>
      <c r="NM11" s="3">
        <f ca="1">IFERROR(__xludf.DUMMYFUNCTION("""COMPUTED_VALUE"""),-0.638313857292994)</f>
        <v>-0.63831385729299395</v>
      </c>
      <c r="NN11" s="3">
        <f ca="1">IFERROR(__xludf.DUMMYFUNCTION("""COMPUTED_VALUE"""),-0.599766693213858)</f>
        <v>-0.599766693213858</v>
      </c>
      <c r="NO11" s="3">
        <f ca="1">IFERROR(__xludf.DUMMYFUNCTION("""COMPUTED_VALUE"""),-0.604926335241259)</f>
        <v>-0.60492633524125905</v>
      </c>
      <c r="NP11" s="3">
        <f ca="1">IFERROR(__xludf.DUMMYFUNCTION("""COMPUTED_VALUE"""),-0.645933985666051)</f>
        <v>-0.64593398566605098</v>
      </c>
      <c r="NQ11" s="3">
        <f ca="1">IFERROR(__xludf.DUMMYFUNCTION("""COMPUTED_VALUE"""),-0.684323671721141)</f>
        <v>-0.68432367172114095</v>
      </c>
      <c r="NR11" s="3">
        <f ca="1">IFERROR(__xludf.DUMMYFUNCTION("""COMPUTED_VALUE"""),-0.382675173396192)</f>
        <v>-0.382675173396192</v>
      </c>
      <c r="NS11" s="3">
        <f ca="1">IFERROR(__xludf.DUMMYFUNCTION("""COMPUTED_VALUE"""),-0.547975995203321)</f>
        <v>-0.54797599520332096</v>
      </c>
      <c r="NT11" s="3">
        <f ca="1">IFERROR(__xludf.DUMMYFUNCTION("""COMPUTED_VALUE"""),-0.641824557210073)</f>
        <v>-0.64182455721007303</v>
      </c>
      <c r="NU11" s="3">
        <f ca="1">IFERROR(__xludf.DUMMYFUNCTION("""COMPUTED_VALUE"""),-0.767425992389964)</f>
        <v>-0.76742599238996401</v>
      </c>
      <c r="NV11" s="3">
        <f ca="1">IFERROR(__xludf.DUMMYFUNCTION("""COMPUTED_VALUE"""),-0.759896401899934)</f>
        <v>-0.75989640189993402</v>
      </c>
      <c r="NW11" s="3">
        <f ca="1">IFERROR(__xludf.DUMMYFUNCTION("""COMPUTED_VALUE"""),-0.771874130591828)</f>
        <v>-0.77187413059182797</v>
      </c>
      <c r="NX11" s="3">
        <f ca="1">IFERROR(__xludf.DUMMYFUNCTION("""COMPUTED_VALUE"""),-0.786974934933255)</f>
        <v>-0.78697493493325499</v>
      </c>
      <c r="NY11" s="3">
        <f ca="1">IFERROR(__xludf.DUMMYFUNCTION("""COMPUTED_VALUE"""),-0.589307916837499)</f>
        <v>-0.58930791683749895</v>
      </c>
      <c r="NZ11" s="3">
        <f ca="1">IFERROR(__xludf.DUMMYFUNCTION("""COMPUTED_VALUE"""),-0.587418823583075)</f>
        <v>-0.58741882358307496</v>
      </c>
      <c r="OA11" s="3">
        <f ca="1">IFERROR(__xludf.DUMMYFUNCTION("""COMPUTED_VALUE"""),-0.676199653950848)</f>
        <v>-0.67619965395084802</v>
      </c>
      <c r="OB11" s="3">
        <f ca="1">IFERROR(__xludf.DUMMYFUNCTION("""COMPUTED_VALUE"""),-0.667344661537154)</f>
        <v>-0.66734466153715399</v>
      </c>
      <c r="OC11" s="3">
        <f ca="1">IFERROR(__xludf.DUMMYFUNCTION("""COMPUTED_VALUE"""),-0.657328965605661)</f>
        <v>-0.65732896560566101</v>
      </c>
      <c r="OD11" s="3">
        <f ca="1">IFERROR(__xludf.DUMMYFUNCTION("""COMPUTED_VALUE"""),-0.322898284473811)</f>
        <v>-0.32289828447381103</v>
      </c>
      <c r="OE11" s="3">
        <f ca="1">IFERROR(__xludf.DUMMYFUNCTION("""COMPUTED_VALUE"""),-0.500123256476937)</f>
        <v>-0.50012325647693701</v>
      </c>
      <c r="OF11" s="3">
        <f ca="1">IFERROR(__xludf.DUMMYFUNCTION("""COMPUTED_VALUE"""),-0.240895772662253)</f>
        <v>-0.24089577266225301</v>
      </c>
      <c r="OG11" s="3">
        <f ca="1">IFERROR(__xludf.DUMMYFUNCTION("""COMPUTED_VALUE"""),-0.257063772196789)</f>
        <v>-0.257063772196789</v>
      </c>
      <c r="OH11" s="3">
        <f ca="1">IFERROR(__xludf.DUMMYFUNCTION("""COMPUTED_VALUE"""),-0.00915632676864175)</f>
        <v>-9.1563267686417503E-3</v>
      </c>
      <c r="OI11" s="3">
        <f ca="1">IFERROR(__xludf.DUMMYFUNCTION("""COMPUTED_VALUE"""),0.0639255494634596)</f>
        <v>6.3925549463459602E-2</v>
      </c>
      <c r="OJ11" s="3">
        <f ca="1">IFERROR(__xludf.DUMMYFUNCTION("""COMPUTED_VALUE"""),0.0910447737118227)</f>
        <v>9.1044773711822694E-2</v>
      </c>
      <c r="OK11" s="3">
        <f ca="1">IFERROR(__xludf.DUMMYFUNCTION("""COMPUTED_VALUE"""),0.0408865127295818)</f>
        <v>4.0886512729581798E-2</v>
      </c>
      <c r="OL11" s="3">
        <f ca="1">IFERROR(__xludf.DUMMYFUNCTION("""COMPUTED_VALUE"""),0.114416544132177)</f>
        <v>0.114416544132177</v>
      </c>
      <c r="OM11" s="3">
        <f ca="1">IFERROR(__xludf.DUMMYFUNCTION("""COMPUTED_VALUE"""),-0.0527115498840179)</f>
        <v>-5.2711549884017897E-2</v>
      </c>
      <c r="ON11" s="3">
        <f ca="1">IFERROR(__xludf.DUMMYFUNCTION("""COMPUTED_VALUE"""),-0.0111305178513703)</f>
        <v>-1.11305178513703E-2</v>
      </c>
      <c r="OO11" s="3">
        <f ca="1">IFERROR(__xludf.DUMMYFUNCTION("""COMPUTED_VALUE"""),0.0723868339986717)</f>
        <v>7.2386833998671699E-2</v>
      </c>
      <c r="OP11" s="3">
        <f ca="1">IFERROR(__xludf.DUMMYFUNCTION("""COMPUTED_VALUE"""),0.140827126930041)</f>
        <v>0.14082712693004101</v>
      </c>
      <c r="OQ11" s="3">
        <f ca="1">IFERROR(__xludf.DUMMYFUNCTION("""COMPUTED_VALUE"""),0.118746819874175)</f>
        <v>0.118746819874175</v>
      </c>
      <c r="OR11" s="3">
        <f ca="1">IFERROR(__xludf.DUMMYFUNCTION("""COMPUTED_VALUE"""),0.124640958162121)</f>
        <v>0.12464095816212099</v>
      </c>
      <c r="OS11" s="3">
        <f ca="1">IFERROR(__xludf.DUMMYFUNCTION("""COMPUTED_VALUE"""),0.225235686068463)</f>
        <v>0.225235686068463</v>
      </c>
      <c r="OT11" s="3">
        <f ca="1">IFERROR(__xludf.DUMMYFUNCTION("""COMPUTED_VALUE"""),0.0165305927806793)</f>
        <v>1.6530592780679299E-2</v>
      </c>
      <c r="OU11" s="3">
        <f ca="1">IFERROR(__xludf.DUMMYFUNCTION("""COMPUTED_VALUE"""),-0.0858705485609215)</f>
        <v>-8.5870548560921495E-2</v>
      </c>
      <c r="OV11" s="3">
        <f ca="1">IFERROR(__xludf.DUMMYFUNCTION("""COMPUTED_VALUE"""),0.0823621841590183)</f>
        <v>8.2362184159018303E-2</v>
      </c>
      <c r="OW11" s="3">
        <f ca="1">IFERROR(__xludf.DUMMYFUNCTION("""COMPUTED_VALUE"""),-0.433867632763617)</f>
        <v>-0.43386763276361701</v>
      </c>
      <c r="OX11" s="3">
        <f ca="1">IFERROR(__xludf.DUMMYFUNCTION("""COMPUTED_VALUE"""),0.228243330920579)</f>
        <v>0.228243330920579</v>
      </c>
      <c r="OY11" s="3">
        <f ca="1">IFERROR(__xludf.DUMMYFUNCTION("""COMPUTED_VALUE"""),0.159964857000538)</f>
        <v>0.159964857000538</v>
      </c>
      <c r="OZ11" s="3">
        <f ca="1">IFERROR(__xludf.DUMMYFUNCTION("""COMPUTED_VALUE"""),0.55343876944808)</f>
        <v>0.55343876944808001</v>
      </c>
      <c r="PA11" s="3">
        <f ca="1">IFERROR(__xludf.DUMMYFUNCTION("""COMPUTED_VALUE"""),0.0202373913208797)</f>
        <v>2.0237391320879702E-2</v>
      </c>
      <c r="PB11" s="3">
        <f ca="1">IFERROR(__xludf.DUMMYFUNCTION("""COMPUTED_VALUE"""),-0.0868126397654811)</f>
        <v>-8.6812639765481106E-2</v>
      </c>
      <c r="PC11" s="3">
        <f ca="1">IFERROR(__xludf.DUMMYFUNCTION("""COMPUTED_VALUE"""),-0.198113813306123)</f>
        <v>-0.19811381330612299</v>
      </c>
      <c r="PD11" s="3">
        <f ca="1">IFERROR(__xludf.DUMMYFUNCTION("""COMPUTED_VALUE"""),-0.246321440029745)</f>
        <v>-0.24632144002974499</v>
      </c>
      <c r="PE11" s="3">
        <f ca="1">IFERROR(__xludf.DUMMYFUNCTION("""COMPUTED_VALUE"""),-0.177585535068502)</f>
        <v>-0.177585535068502</v>
      </c>
      <c r="PF11" s="3">
        <f ca="1">IFERROR(__xludf.DUMMYFUNCTION("""COMPUTED_VALUE"""),-0.224362728063555)</f>
        <v>-0.22436272806355501</v>
      </c>
      <c r="PG11" s="3">
        <f ca="1">IFERROR(__xludf.DUMMYFUNCTION("""COMPUTED_VALUE"""),-0.146247991187299)</f>
        <v>-0.146247991187299</v>
      </c>
      <c r="PH11" s="3">
        <f ca="1">IFERROR(__xludf.DUMMYFUNCTION("""COMPUTED_VALUE"""),0.0883963631926587)</f>
        <v>8.83963631926587E-2</v>
      </c>
      <c r="PI11" s="3">
        <f ca="1">IFERROR(__xludf.DUMMYFUNCTION("""COMPUTED_VALUE"""),-0.10544640337545)</f>
        <v>-0.10544640337545</v>
      </c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</row>
    <row r="12" spans="1:477" ht="15.75" customHeight="1">
      <c r="A12" s="1" t="str">
        <f ca="1">IFERROR(__xludf.DUMMYFUNCTION("""COMPUTED_VALUE"""),"Airdrie Transit")</f>
        <v>Airdrie Transit</v>
      </c>
      <c r="B12" s="1" t="str">
        <f ca="1">IFERROR(__xludf.DUMMYFUNCTION("""COMPUTED_VALUE"""),"Calgary")</f>
        <v>Calgary</v>
      </c>
      <c r="C12" s="1" t="str">
        <f ca="1">IFERROR(__xludf.DUMMYFUNCTION("""COMPUTED_VALUE"""),"Canada")</f>
        <v>Canada</v>
      </c>
      <c r="D12" s="1" t="str">
        <f ca="1">IFERROR(__xludf.DUMMYFUNCTION("""COMPUTED_VALUE"""),"Alberta")</f>
        <v>Alberta</v>
      </c>
      <c r="E12" s="3">
        <f ca="1">IFERROR(__xludf.DUMMYFUNCTION("""COMPUTED_VALUE"""),-0.707159798358527)</f>
        <v>-0.70715979835852705</v>
      </c>
      <c r="F12" s="3">
        <f ca="1">IFERROR(__xludf.DUMMYFUNCTION("""COMPUTED_VALUE"""),-0.711682760350811)</f>
        <v>-0.71168276035081102</v>
      </c>
      <c r="G12" s="3">
        <f ca="1">IFERROR(__xludf.DUMMYFUNCTION("""COMPUTED_VALUE"""),-0.73899163574881)</f>
        <v>-0.73899163574880999</v>
      </c>
      <c r="H12" s="3">
        <f ca="1">IFERROR(__xludf.DUMMYFUNCTION("""COMPUTED_VALUE"""),-0.698950785652978)</f>
        <v>-0.69895078565297797</v>
      </c>
      <c r="I12" s="3">
        <f ca="1">IFERROR(__xludf.DUMMYFUNCTION("""COMPUTED_VALUE"""),-0.706067779010055)</f>
        <v>-0.70606777901005502</v>
      </c>
      <c r="J12" s="3">
        <f ca="1">IFERROR(__xludf.DUMMYFUNCTION("""COMPUTED_VALUE"""),-0.711914214190145)</f>
        <v>-0.711914214190145</v>
      </c>
      <c r="K12" s="3">
        <f ca="1">IFERROR(__xludf.DUMMYFUNCTION("""COMPUTED_VALUE"""),-0.670265546186571)</f>
        <v>-0.67026554618657097</v>
      </c>
      <c r="L12" s="3">
        <f ca="1">IFERROR(__xludf.DUMMYFUNCTION("""COMPUTED_VALUE"""),-0.652929058807129)</f>
        <v>-0.65292905880712904</v>
      </c>
      <c r="M12" s="3">
        <f ca="1">IFERROR(__xludf.DUMMYFUNCTION("""COMPUTED_VALUE"""),-0.738612347316936)</f>
        <v>-0.73861234731693604</v>
      </c>
      <c r="N12" s="3">
        <f ca="1">IFERROR(__xludf.DUMMYFUNCTION("""COMPUTED_VALUE"""),-0.707579979860986)</f>
        <v>-0.70757997986098597</v>
      </c>
      <c r="O12" s="3">
        <f ca="1">IFERROR(__xludf.DUMMYFUNCTION("""COMPUTED_VALUE"""),-0.70935835827894)</f>
        <v>-0.70935835827894</v>
      </c>
      <c r="P12" s="3">
        <f ca="1">IFERROR(__xludf.DUMMYFUNCTION("""COMPUTED_VALUE"""),-0.721377327289936)</f>
        <v>-0.72137732728993598</v>
      </c>
      <c r="Q12" s="3">
        <f ca="1">IFERROR(__xludf.DUMMYFUNCTION("""COMPUTED_VALUE"""),-0.737739053917046)</f>
        <v>-0.73773905391704597</v>
      </c>
      <c r="R12" s="3">
        <f ca="1">IFERROR(__xludf.DUMMYFUNCTION("""COMPUTED_VALUE"""),-0.604710724967299)</f>
        <v>-0.60471072496729905</v>
      </c>
      <c r="S12" s="3">
        <f ca="1">IFERROR(__xludf.DUMMYFUNCTION("""COMPUTED_VALUE"""),-0.627961106841809)</f>
        <v>-0.62796110684180895</v>
      </c>
      <c r="T12" s="3">
        <f ca="1">IFERROR(__xludf.DUMMYFUNCTION("""COMPUTED_VALUE"""),-0.708324807993942)</f>
        <v>-0.70832480799394204</v>
      </c>
      <c r="U12" s="3">
        <f ca="1">IFERROR(__xludf.DUMMYFUNCTION("""COMPUTED_VALUE"""),-0.718850183561024)</f>
        <v>-0.71885018356102404</v>
      </c>
      <c r="V12" s="3">
        <f ca="1">IFERROR(__xludf.DUMMYFUNCTION("""COMPUTED_VALUE"""),-0.708142973901839)</f>
        <v>-0.708142973901839</v>
      </c>
      <c r="W12" s="3">
        <f ca="1">IFERROR(__xludf.DUMMYFUNCTION("""COMPUTED_VALUE"""),-0.681489552045019)</f>
        <v>-0.68148955204501904</v>
      </c>
      <c r="X12" s="3">
        <f ca="1">IFERROR(__xludf.DUMMYFUNCTION("""COMPUTED_VALUE"""),-0.644201175109986)</f>
        <v>-0.64420117510998598</v>
      </c>
      <c r="Y12" s="3">
        <f ca="1">IFERROR(__xludf.DUMMYFUNCTION("""COMPUTED_VALUE"""),-0.52551251167378)</f>
        <v>-0.52551251167377999</v>
      </c>
      <c r="Z12" s="3">
        <f ca="1">IFERROR(__xludf.DUMMYFUNCTION("""COMPUTED_VALUE"""),-0.545252251065731)</f>
        <v>-0.54525225106573105</v>
      </c>
      <c r="AA12" s="3">
        <f ca="1">IFERROR(__xludf.DUMMYFUNCTION("""COMPUTED_VALUE"""),-0.653305224835169)</f>
        <v>-0.65330522483516895</v>
      </c>
      <c r="AB12" s="3">
        <f ca="1">IFERROR(__xludf.DUMMYFUNCTION("""COMPUTED_VALUE"""),-0.676400587127905)</f>
        <v>-0.67640058712790496</v>
      </c>
      <c r="AC12" s="3">
        <f ca="1">IFERROR(__xludf.DUMMYFUNCTION("""COMPUTED_VALUE"""),-0.674649597526961)</f>
        <v>-0.67464959752696096</v>
      </c>
      <c r="AD12" s="3">
        <f ca="1">IFERROR(__xludf.DUMMYFUNCTION("""COMPUTED_VALUE"""),-0.616236579530542)</f>
        <v>-0.61623657953054201</v>
      </c>
      <c r="AE12" s="3">
        <f ca="1">IFERROR(__xludf.DUMMYFUNCTION("""COMPUTED_VALUE"""),-0.56157956663205)</f>
        <v>-0.56157956663205</v>
      </c>
      <c r="AF12" s="3">
        <f ca="1">IFERROR(__xludf.DUMMYFUNCTION("""COMPUTED_VALUE"""),-0.518668720819789)</f>
        <v>-0.51866872081978899</v>
      </c>
      <c r="AG12" s="3">
        <f ca="1">IFERROR(__xludf.DUMMYFUNCTION("""COMPUTED_VALUE"""),-0.590626934213341)</f>
        <v>-0.590626934213341</v>
      </c>
      <c r="AH12" s="3">
        <f ca="1">IFERROR(__xludf.DUMMYFUNCTION("""COMPUTED_VALUE"""),-0.688405601202537)</f>
        <v>-0.68840560120253702</v>
      </c>
      <c r="AI12" s="3">
        <f ca="1">IFERROR(__xludf.DUMMYFUNCTION("""COMPUTED_VALUE"""),-0.689668762527883)</f>
        <v>-0.68966876252788301</v>
      </c>
      <c r="AJ12" s="3">
        <f ca="1">IFERROR(__xludf.DUMMYFUNCTION("""COMPUTED_VALUE"""),-0.692595887611379)</f>
        <v>-0.69259588761137902</v>
      </c>
      <c r="AK12" s="3">
        <f ca="1">IFERROR(__xludf.DUMMYFUNCTION("""COMPUTED_VALUE"""),-0.652982825765786)</f>
        <v>-0.65298282576578603</v>
      </c>
      <c r="AL12" s="3">
        <f ca="1">IFERROR(__xludf.DUMMYFUNCTION("""COMPUTED_VALUE"""),-0.600141470456237)</f>
        <v>-0.600141470456237</v>
      </c>
      <c r="AM12" s="3">
        <f ca="1">IFERROR(__xludf.DUMMYFUNCTION("""COMPUTED_VALUE"""),-0.495737424451812)</f>
        <v>-0.49573742445181201</v>
      </c>
      <c r="AN12" s="3">
        <f ca="1">IFERROR(__xludf.DUMMYFUNCTION("""COMPUTED_VALUE"""),-0.54055858115973)</f>
        <v>-0.54055858115972999</v>
      </c>
      <c r="AO12" s="3">
        <f ca="1">IFERROR(__xludf.DUMMYFUNCTION("""COMPUTED_VALUE"""),-0.600809613198187)</f>
        <v>-0.60080961319818704</v>
      </c>
      <c r="AP12" s="3">
        <f ca="1">IFERROR(__xludf.DUMMYFUNCTION("""COMPUTED_VALUE"""),-0.631878192431541)</f>
        <v>-0.63187819243154097</v>
      </c>
      <c r="AQ12" s="3">
        <f ca="1">IFERROR(__xludf.DUMMYFUNCTION("""COMPUTED_VALUE"""),-0.635359967674239)</f>
        <v>-0.63535996767423897</v>
      </c>
      <c r="AR12" s="3">
        <f ca="1">IFERROR(__xludf.DUMMYFUNCTION("""COMPUTED_VALUE"""),-0.620271378696613)</f>
        <v>-0.62027137869661297</v>
      </c>
      <c r="AS12" s="3">
        <f ca="1">IFERROR(__xludf.DUMMYFUNCTION("""COMPUTED_VALUE"""),-0.594376343172738)</f>
        <v>-0.59437634317273802</v>
      </c>
      <c r="AT12" s="3">
        <f ca="1">IFERROR(__xludf.DUMMYFUNCTION("""COMPUTED_VALUE"""),-0.514079949168915)</f>
        <v>-0.51407994916891497</v>
      </c>
      <c r="AU12" s="3">
        <f ca="1">IFERROR(__xludf.DUMMYFUNCTION("""COMPUTED_VALUE"""),-0.547777576009778)</f>
        <v>-0.54777757600977806</v>
      </c>
      <c r="AV12" s="3">
        <f ca="1">IFERROR(__xludf.DUMMYFUNCTION("""COMPUTED_VALUE"""),-0.593719351307484)</f>
        <v>-0.59371935130748399</v>
      </c>
      <c r="AW12" s="3">
        <f ca="1">IFERROR(__xludf.DUMMYFUNCTION("""COMPUTED_VALUE"""),-0.629608974522687)</f>
        <v>-0.62960897452268705</v>
      </c>
      <c r="AX12" s="3">
        <f ca="1">IFERROR(__xludf.DUMMYFUNCTION("""COMPUTED_VALUE"""),-0.629572230241561)</f>
        <v>-0.62957223024156095</v>
      </c>
      <c r="AY12" s="3">
        <f ca="1">IFERROR(__xludf.DUMMYFUNCTION("""COMPUTED_VALUE"""),-0.639189066559305)</f>
        <v>-0.63918906655930496</v>
      </c>
      <c r="AZ12" s="3">
        <f ca="1">IFERROR(__xludf.DUMMYFUNCTION("""COMPUTED_VALUE"""),-0.555713933755723)</f>
        <v>-0.55571393375572298</v>
      </c>
      <c r="BA12" s="3">
        <f ca="1">IFERROR(__xludf.DUMMYFUNCTION("""COMPUTED_VALUE"""),-0.525296678664657)</f>
        <v>-0.52529667866465701</v>
      </c>
      <c r="BB12" s="3">
        <f ca="1">IFERROR(__xludf.DUMMYFUNCTION("""COMPUTED_VALUE"""),-0.512688314330106)</f>
        <v>-0.51268831433010598</v>
      </c>
      <c r="BC12" s="3">
        <f ca="1">IFERROR(__xludf.DUMMYFUNCTION("""COMPUTED_VALUE"""),-0.567961675080636)</f>
        <v>-0.567961675080636</v>
      </c>
      <c r="BD12" s="3">
        <f ca="1">IFERROR(__xludf.DUMMYFUNCTION("""COMPUTED_VALUE"""),-0.598048432273413)</f>
        <v>-0.59804843227341298</v>
      </c>
      <c r="BE12" s="3">
        <f ca="1">IFERROR(__xludf.DUMMYFUNCTION("""COMPUTED_VALUE"""),-0.582306639954511)</f>
        <v>-0.58230663995451104</v>
      </c>
      <c r="BF12" s="3">
        <f ca="1">IFERROR(__xludf.DUMMYFUNCTION("""COMPUTED_VALUE"""),-0.628823966082542)</f>
        <v>-0.62882396608254199</v>
      </c>
      <c r="BG12" s="3">
        <f ca="1">IFERROR(__xludf.DUMMYFUNCTION("""COMPUTED_VALUE"""),-0.641951233348479)</f>
        <v>-0.64195123334847903</v>
      </c>
      <c r="BH12" s="3">
        <f ca="1">IFERROR(__xludf.DUMMYFUNCTION("""COMPUTED_VALUE"""),-0.420536798993735)</f>
        <v>-0.42053679899373497</v>
      </c>
      <c r="BI12" s="3">
        <f ca="1">IFERROR(__xludf.DUMMYFUNCTION("""COMPUTED_VALUE"""),-0.507398757746016)</f>
        <v>-0.50739875774601595</v>
      </c>
      <c r="BJ12" s="3">
        <f ca="1">IFERROR(__xludf.DUMMYFUNCTION("""COMPUTED_VALUE"""),-0.753660006497736)</f>
        <v>-0.75366000649773601</v>
      </c>
      <c r="BK12" s="3">
        <f ca="1">IFERROR(__xludf.DUMMYFUNCTION("""COMPUTED_VALUE"""),-0.762794001486561)</f>
        <v>-0.76279400148656096</v>
      </c>
      <c r="BL12" s="3">
        <f ca="1">IFERROR(__xludf.DUMMYFUNCTION("""COMPUTED_VALUE"""),-0.710254272182966)</f>
        <v>-0.710254272182966</v>
      </c>
      <c r="BM12" s="3">
        <f ca="1">IFERROR(__xludf.DUMMYFUNCTION("""COMPUTED_VALUE"""),-0.692145723714611)</f>
        <v>-0.69214572371461103</v>
      </c>
      <c r="BN12" s="3">
        <f ca="1">IFERROR(__xludf.DUMMYFUNCTION("""COMPUTED_VALUE"""),-0.66079394677616)</f>
        <v>-0.66079394677615999</v>
      </c>
      <c r="BO12" s="3">
        <f ca="1">IFERROR(__xludf.DUMMYFUNCTION("""COMPUTED_VALUE"""),-0.614805544605071)</f>
        <v>-0.61480554460507097</v>
      </c>
      <c r="BP12" s="3">
        <f ca="1">IFERROR(__xludf.DUMMYFUNCTION("""COMPUTED_VALUE"""),-0.691670875760551)</f>
        <v>-0.69167087576055097</v>
      </c>
      <c r="BQ12" s="3">
        <f ca="1">IFERROR(__xludf.DUMMYFUNCTION("""COMPUTED_VALUE"""),-0.647442012678816)</f>
        <v>-0.64744201267881596</v>
      </c>
      <c r="BR12" s="3">
        <f ca="1">IFERROR(__xludf.DUMMYFUNCTION("""COMPUTED_VALUE"""),-0.647278516425305)</f>
        <v>-0.64727851642530498</v>
      </c>
      <c r="BS12" s="3">
        <f ca="1">IFERROR(__xludf.DUMMYFUNCTION("""COMPUTED_VALUE"""),-0.652585879405362)</f>
        <v>-0.65258587940536195</v>
      </c>
      <c r="BT12" s="3">
        <f ca="1">IFERROR(__xludf.DUMMYFUNCTION("""COMPUTED_VALUE"""),-0.677069116288411)</f>
        <v>-0.67706911628841104</v>
      </c>
      <c r="BU12" s="3">
        <f ca="1">IFERROR(__xludf.DUMMYFUNCTION("""COMPUTED_VALUE"""),-0.640571495356997)</f>
        <v>-0.64057149535699698</v>
      </c>
      <c r="BV12" s="3">
        <f ca="1">IFERROR(__xludf.DUMMYFUNCTION("""COMPUTED_VALUE"""),-0.59085271692012)</f>
        <v>-0.59085271692011998</v>
      </c>
      <c r="BW12" s="3">
        <f ca="1">IFERROR(__xludf.DUMMYFUNCTION("""COMPUTED_VALUE"""),-0.664998637822436)</f>
        <v>-0.66499863782243596</v>
      </c>
      <c r="BX12" s="3">
        <f ca="1">IFERROR(__xludf.DUMMYFUNCTION("""COMPUTED_VALUE"""),-0.744423157115421)</f>
        <v>-0.74442315711542095</v>
      </c>
      <c r="BY12" s="3">
        <f ca="1">IFERROR(__xludf.DUMMYFUNCTION("""COMPUTED_VALUE"""),-0.741736505887058)</f>
        <v>-0.74173650588705797</v>
      </c>
      <c r="BZ12" s="3">
        <f ca="1">IFERROR(__xludf.DUMMYFUNCTION("""COMPUTED_VALUE"""),-0.749989724682867)</f>
        <v>-0.74998972468286695</v>
      </c>
      <c r="CA12" s="3">
        <f ca="1">IFERROR(__xludf.DUMMYFUNCTION("""COMPUTED_VALUE"""),-0.755547387355238)</f>
        <v>-0.75554738735523796</v>
      </c>
      <c r="CB12" s="3">
        <f ca="1">IFERROR(__xludf.DUMMYFUNCTION("""COMPUTED_VALUE"""),-0.744345754523904)</f>
        <v>-0.74434575452390395</v>
      </c>
      <c r="CC12" s="3">
        <f ca="1">IFERROR(__xludf.DUMMYFUNCTION("""COMPUTED_VALUE"""),-0.619451725251825)</f>
        <v>-0.61945172525182501</v>
      </c>
      <c r="CD12" s="3">
        <f ca="1">IFERROR(__xludf.DUMMYFUNCTION("""COMPUTED_VALUE"""),-0.605575218939182)</f>
        <v>-0.60557521893918198</v>
      </c>
      <c r="CE12" s="3">
        <f ca="1">IFERROR(__xludf.DUMMYFUNCTION("""COMPUTED_VALUE"""),-0.665713017875763)</f>
        <v>-0.66571301787576298</v>
      </c>
      <c r="CF12" s="3">
        <f ca="1">IFERROR(__xludf.DUMMYFUNCTION("""COMPUTED_VALUE"""),-0.667871240043984)</f>
        <v>-0.66787124004398402</v>
      </c>
      <c r="CG12" s="3">
        <f ca="1">IFERROR(__xludf.DUMMYFUNCTION("""COMPUTED_VALUE"""),-0.671590043173558)</f>
        <v>-0.67159004317355797</v>
      </c>
      <c r="CH12" s="3">
        <f ca="1">IFERROR(__xludf.DUMMYFUNCTION("""COMPUTED_VALUE"""),-0.66638261878248)</f>
        <v>-0.66638261878247995</v>
      </c>
      <c r="CI12" s="3">
        <f ca="1">IFERROR(__xludf.DUMMYFUNCTION("""COMPUTED_VALUE"""),-0.648891264755332)</f>
        <v>-0.64889126475533199</v>
      </c>
      <c r="CJ12" s="3">
        <f ca="1">IFERROR(__xludf.DUMMYFUNCTION("""COMPUTED_VALUE"""),-0.606501232386077)</f>
        <v>-0.606501232386077</v>
      </c>
      <c r="CK12" s="3">
        <f ca="1">IFERROR(__xludf.DUMMYFUNCTION("""COMPUTED_VALUE"""),-0.595588761822991)</f>
        <v>-0.59558876182299103</v>
      </c>
      <c r="CL12" s="3">
        <f ca="1">IFERROR(__xludf.DUMMYFUNCTION("""COMPUTED_VALUE"""),-0.635603098719464)</f>
        <v>-0.63560309871946397</v>
      </c>
      <c r="CM12" s="3">
        <f ca="1">IFERROR(__xludf.DUMMYFUNCTION("""COMPUTED_VALUE"""),-0.66232119737999)</f>
        <v>-0.66232119737998996</v>
      </c>
      <c r="CN12" s="3">
        <f ca="1">IFERROR(__xludf.DUMMYFUNCTION("""COMPUTED_VALUE"""),-0.686114642241508)</f>
        <v>-0.68611464224150798</v>
      </c>
      <c r="CO12" s="3">
        <f ca="1">IFERROR(__xludf.DUMMYFUNCTION("""COMPUTED_VALUE"""),-0.63408637355804)</f>
        <v>-0.63408637355803998</v>
      </c>
      <c r="CP12" s="3">
        <f ca="1">IFERROR(__xludf.DUMMYFUNCTION("""COMPUTED_VALUE"""),-0.584905758935737)</f>
        <v>-0.58490575893573704</v>
      </c>
      <c r="CQ12" s="3">
        <f ca="1">IFERROR(__xludf.DUMMYFUNCTION("""COMPUTED_VALUE"""),-0.587476134911951)</f>
        <v>-0.58747613491195105</v>
      </c>
      <c r="CR12" s="3">
        <f ca="1">IFERROR(__xludf.DUMMYFUNCTION("""COMPUTED_VALUE"""),-0.643682253044406)</f>
        <v>-0.64368225304440596</v>
      </c>
      <c r="CS12" s="3">
        <f ca="1">IFERROR(__xludf.DUMMYFUNCTION("""COMPUTED_VALUE"""),-0.712566256093369)</f>
        <v>-0.71256625609336899</v>
      </c>
      <c r="CT12" s="3">
        <f ca="1">IFERROR(__xludf.DUMMYFUNCTION("""COMPUTED_VALUE"""),-0.679335813102728)</f>
        <v>-0.67933581310272795</v>
      </c>
      <c r="CU12" s="3">
        <f ca="1">IFERROR(__xludf.DUMMYFUNCTION("""COMPUTED_VALUE"""),-0.684686902722965)</f>
        <v>-0.68468690272296495</v>
      </c>
      <c r="CV12" s="3">
        <f ca="1">IFERROR(__xludf.DUMMYFUNCTION("""COMPUTED_VALUE"""),-0.698649454063414)</f>
        <v>-0.69864945406341405</v>
      </c>
      <c r="CW12" s="3">
        <f ca="1">IFERROR(__xludf.DUMMYFUNCTION("""COMPUTED_VALUE"""),-0.67255814160805)</f>
        <v>-0.67255814160805005</v>
      </c>
      <c r="CX12" s="3">
        <f ca="1">IFERROR(__xludf.DUMMYFUNCTION("""COMPUTED_VALUE"""),-0.592030346732535)</f>
        <v>-0.59203034673253496</v>
      </c>
      <c r="CY12" s="3">
        <f ca="1">IFERROR(__xludf.DUMMYFUNCTION("""COMPUTED_VALUE"""),-0.642181127803919)</f>
        <v>-0.64218112780391901</v>
      </c>
      <c r="CZ12" s="3">
        <f ca="1">IFERROR(__xludf.DUMMYFUNCTION("""COMPUTED_VALUE"""),-0.790281674421984)</f>
        <v>-0.79028167442198405</v>
      </c>
      <c r="DA12" s="3">
        <f ca="1">IFERROR(__xludf.DUMMYFUNCTION("""COMPUTED_VALUE"""),-0.635542548713987)</f>
        <v>-0.63554254871398697</v>
      </c>
      <c r="DB12" s="3">
        <f ca="1">IFERROR(__xludf.DUMMYFUNCTION("""COMPUTED_VALUE"""),-0.527948059064473)</f>
        <v>-0.52794805906447295</v>
      </c>
      <c r="DC12" s="3">
        <f ca="1">IFERROR(__xludf.DUMMYFUNCTION("""COMPUTED_VALUE"""),-0.656257914879743)</f>
        <v>-0.65625791487974305</v>
      </c>
      <c r="DD12" s="3">
        <f ca="1">IFERROR(__xludf.DUMMYFUNCTION("""COMPUTED_VALUE"""),-0.67396559080075)</f>
        <v>-0.67396559080075003</v>
      </c>
      <c r="DE12" s="3">
        <f ca="1">IFERROR(__xludf.DUMMYFUNCTION("""COMPUTED_VALUE"""),-0.633690066597233)</f>
        <v>-0.63369006659723304</v>
      </c>
      <c r="DF12" s="3">
        <f ca="1">IFERROR(__xludf.DUMMYFUNCTION("""COMPUTED_VALUE"""),-0.761189952397815)</f>
        <v>-0.76118995239781495</v>
      </c>
      <c r="DG12" s="3">
        <f ca="1">IFERROR(__xludf.DUMMYFUNCTION("""COMPUTED_VALUE"""),-0.888752315667732)</f>
        <v>-0.88875231566773205</v>
      </c>
      <c r="DH12" s="3">
        <f ca="1">IFERROR(__xludf.DUMMYFUNCTION("""COMPUTED_VALUE"""),-0.540265628030506)</f>
        <v>-0.54026562803050604</v>
      </c>
      <c r="DI12" s="3">
        <f ca="1">IFERROR(__xludf.DUMMYFUNCTION("""COMPUTED_VALUE"""),-0.209081299812027)</f>
        <v>-0.209081299812027</v>
      </c>
      <c r="DJ12" s="3">
        <f ca="1">IFERROR(__xludf.DUMMYFUNCTION("""COMPUTED_VALUE"""),-0.363079291877959)</f>
        <v>-0.36307929187795901</v>
      </c>
      <c r="DK12" s="3">
        <f ca="1">IFERROR(__xludf.DUMMYFUNCTION("""COMPUTED_VALUE"""),-0.64144728693106)</f>
        <v>-0.64144728693106001</v>
      </c>
      <c r="DL12" s="3">
        <f ca="1">IFERROR(__xludf.DUMMYFUNCTION("""COMPUTED_VALUE"""),-0.63006825196475)</f>
        <v>-0.63006825196475003</v>
      </c>
      <c r="DM12" s="3">
        <f ca="1">IFERROR(__xludf.DUMMYFUNCTION("""COMPUTED_VALUE"""),-0.66991752986525)</f>
        <v>-0.66991752986524999</v>
      </c>
      <c r="DN12" s="3">
        <f ca="1">IFERROR(__xludf.DUMMYFUNCTION("""COMPUTED_VALUE"""),-0.6785307961453)</f>
        <v>-0.67853079614529999</v>
      </c>
      <c r="DO12" s="3">
        <f ca="1">IFERROR(__xludf.DUMMYFUNCTION("""COMPUTED_VALUE"""),-0.670453851391955)</f>
        <v>-0.67045385139195501</v>
      </c>
      <c r="DP12" s="3">
        <f ca="1">IFERROR(__xludf.DUMMYFUNCTION("""COMPUTED_VALUE"""),-0.648156353077972)</f>
        <v>-0.64815635307797204</v>
      </c>
      <c r="DQ12" s="3">
        <f ca="1">IFERROR(__xludf.DUMMYFUNCTION("""COMPUTED_VALUE"""),-0.72272130203182)</f>
        <v>-0.72272130203181995</v>
      </c>
      <c r="DR12" s="3">
        <f ca="1">IFERROR(__xludf.DUMMYFUNCTION("""COMPUTED_VALUE"""),-0.728307226985806)</f>
        <v>-0.72830722698580597</v>
      </c>
      <c r="DS12" s="3">
        <f ca="1">IFERROR(__xludf.DUMMYFUNCTION("""COMPUTED_VALUE"""),-0.70288556862812)</f>
        <v>-0.70288556862812002</v>
      </c>
      <c r="DT12" s="3">
        <f ca="1">IFERROR(__xludf.DUMMYFUNCTION("""COMPUTED_VALUE"""),-0.65373146349059)</f>
        <v>-0.65373146349058997</v>
      </c>
      <c r="DU12" s="3">
        <f ca="1">IFERROR(__xludf.DUMMYFUNCTION("""COMPUTED_VALUE"""),-0.712448856797519)</f>
        <v>-0.71244885679751901</v>
      </c>
      <c r="DV12" s="3">
        <f ca="1">IFERROR(__xludf.DUMMYFUNCTION("""COMPUTED_VALUE"""),-0.719824813031837)</f>
        <v>-0.71982481303183699</v>
      </c>
      <c r="DW12" s="3">
        <f ca="1">IFERROR(__xludf.DUMMYFUNCTION("""COMPUTED_VALUE"""),-0.73693439251551)</f>
        <v>-0.73693439251550996</v>
      </c>
      <c r="DX12" s="3">
        <f ca="1">IFERROR(__xludf.DUMMYFUNCTION("""COMPUTED_VALUE"""),-0.712694091827934)</f>
        <v>-0.71269409182793397</v>
      </c>
      <c r="DY12" s="3">
        <f ca="1">IFERROR(__xludf.DUMMYFUNCTION("""COMPUTED_VALUE"""),-0.72858279604891)</f>
        <v>-0.72858279604890996</v>
      </c>
      <c r="DZ12" s="3">
        <f ca="1">IFERROR(__xludf.DUMMYFUNCTION("""COMPUTED_VALUE"""),-0.664736900356788)</f>
        <v>-0.66473690035678801</v>
      </c>
      <c r="EA12" s="3">
        <f ca="1">IFERROR(__xludf.DUMMYFUNCTION("""COMPUTED_VALUE"""),-0.68751215681767)</f>
        <v>-0.68751215681766997</v>
      </c>
      <c r="EB12" s="3">
        <f ca="1">IFERROR(__xludf.DUMMYFUNCTION("""COMPUTED_VALUE"""),-0.736701913542564)</f>
        <v>-0.73670191354256398</v>
      </c>
      <c r="EC12" s="3">
        <f ca="1">IFERROR(__xludf.DUMMYFUNCTION("""COMPUTED_VALUE"""),-0.759446638489773)</f>
        <v>-0.75944663848977301</v>
      </c>
      <c r="ED12" s="3">
        <f ca="1">IFERROR(__xludf.DUMMYFUNCTION("""COMPUTED_VALUE"""),-0.753933160782104)</f>
        <v>-0.75393316078210404</v>
      </c>
      <c r="EE12" s="3">
        <f ca="1">IFERROR(__xludf.DUMMYFUNCTION("""COMPUTED_VALUE"""),-0.731453712773189)</f>
        <v>-0.73145371277318905</v>
      </c>
      <c r="EF12" s="3">
        <f ca="1">IFERROR(__xludf.DUMMYFUNCTION("""COMPUTED_VALUE"""),-0.709328225600328)</f>
        <v>-0.70932822560032804</v>
      </c>
      <c r="EG12" s="3">
        <f ca="1">IFERROR(__xludf.DUMMYFUNCTION("""COMPUTED_VALUE"""),-0.640023978694072)</f>
        <v>-0.64002397869407202</v>
      </c>
      <c r="EH12" s="3">
        <f ca="1">IFERROR(__xludf.DUMMYFUNCTION("""COMPUTED_VALUE"""),-0.644568629522327)</f>
        <v>-0.64456862952232696</v>
      </c>
      <c r="EI12" s="3">
        <f ca="1">IFERROR(__xludf.DUMMYFUNCTION("""COMPUTED_VALUE"""),-0.68046175454383)</f>
        <v>-0.68046175454382996</v>
      </c>
      <c r="EJ12" s="3">
        <f ca="1">IFERROR(__xludf.DUMMYFUNCTION("""COMPUTED_VALUE"""),-0.716442626815279)</f>
        <v>-0.71644262681527904</v>
      </c>
      <c r="EK12" s="3">
        <f ca="1">IFERROR(__xludf.DUMMYFUNCTION("""COMPUTED_VALUE"""),-0.693325251360341)</f>
        <v>-0.69332525136034096</v>
      </c>
      <c r="EL12" s="3">
        <f ca="1">IFERROR(__xludf.DUMMYFUNCTION("""COMPUTED_VALUE"""),-0.69300684073326)</f>
        <v>-0.69300684073326002</v>
      </c>
      <c r="EM12" s="3">
        <f ca="1">IFERROR(__xludf.DUMMYFUNCTION("""COMPUTED_VALUE"""),-0.674621277828911)</f>
        <v>-0.67462127782891101</v>
      </c>
      <c r="EN12" s="3">
        <f ca="1">IFERROR(__xludf.DUMMYFUNCTION("""COMPUTED_VALUE"""),-0.652640984413624)</f>
        <v>-0.65264098441362395</v>
      </c>
      <c r="EO12" s="3">
        <f ca="1">IFERROR(__xludf.DUMMYFUNCTION("""COMPUTED_VALUE"""),-0.656096166725778)</f>
        <v>-0.65609616672577797</v>
      </c>
      <c r="EP12" s="3">
        <f ca="1">IFERROR(__xludf.DUMMYFUNCTION("""COMPUTED_VALUE"""),-0.714387206970882)</f>
        <v>-0.71438720697088198</v>
      </c>
      <c r="EQ12" s="3">
        <f ca="1">IFERROR(__xludf.DUMMYFUNCTION("""COMPUTED_VALUE"""),-0.720058869839632)</f>
        <v>-0.72005886983963197</v>
      </c>
      <c r="ER12" s="3">
        <f ca="1">IFERROR(__xludf.DUMMYFUNCTION("""COMPUTED_VALUE"""),-0.675190868955964)</f>
        <v>-0.67519086895596403</v>
      </c>
      <c r="ES12" s="3">
        <f ca="1">IFERROR(__xludf.DUMMYFUNCTION("""COMPUTED_VALUE"""),-0.659933158926779)</f>
        <v>-0.65993315892677895</v>
      </c>
      <c r="ET12" s="3">
        <f ca="1">IFERROR(__xludf.DUMMYFUNCTION("""COMPUTED_VALUE"""),-0.641923284178758)</f>
        <v>-0.64192328417875799</v>
      </c>
      <c r="EU12" s="3">
        <f ca="1">IFERROR(__xludf.DUMMYFUNCTION("""COMPUTED_VALUE"""),-0.615831454979491)</f>
        <v>-0.61583145497949099</v>
      </c>
      <c r="EV12" s="3">
        <f ca="1">IFERROR(__xludf.DUMMYFUNCTION("""COMPUTED_VALUE"""),-0.658875249962698)</f>
        <v>-0.65887524996269797</v>
      </c>
      <c r="EW12" s="3">
        <f ca="1">IFERROR(__xludf.DUMMYFUNCTION("""COMPUTED_VALUE"""),-0.666845594998244)</f>
        <v>-0.66684559499824403</v>
      </c>
      <c r="EX12" s="3">
        <f ca="1">IFERROR(__xludf.DUMMYFUNCTION("""COMPUTED_VALUE"""),-0.725266079971691)</f>
        <v>-0.72526607997169101</v>
      </c>
      <c r="EY12" s="3">
        <f ca="1">IFERROR(__xludf.DUMMYFUNCTION("""COMPUTED_VALUE"""),-0.71381054768851)</f>
        <v>-0.71381054768851004</v>
      </c>
      <c r="EZ12" s="3">
        <f ca="1">IFERROR(__xludf.DUMMYFUNCTION("""COMPUTED_VALUE"""),-0.634465429138551)</f>
        <v>-0.63446542913855097</v>
      </c>
      <c r="FA12" s="3">
        <f ca="1">IFERROR(__xludf.DUMMYFUNCTION("""COMPUTED_VALUE"""),-0.664142264718023)</f>
        <v>-0.66414226471802296</v>
      </c>
      <c r="FB12" s="3">
        <f ca="1">IFERROR(__xludf.DUMMYFUNCTION("""COMPUTED_VALUE"""),-0.691120758072005)</f>
        <v>-0.69112075807200501</v>
      </c>
      <c r="FC12" s="3">
        <f ca="1">IFERROR(__xludf.DUMMYFUNCTION("""COMPUTED_VALUE"""),-0.641572471631185)</f>
        <v>-0.64157247163118503</v>
      </c>
      <c r="FD12" s="3">
        <f ca="1">IFERROR(__xludf.DUMMYFUNCTION("""COMPUTED_VALUE"""),-0.666016461960951)</f>
        <v>-0.66601646196095099</v>
      </c>
      <c r="FE12" s="3">
        <f ca="1">IFERROR(__xludf.DUMMYFUNCTION("""COMPUTED_VALUE"""),-0.672118245013336)</f>
        <v>-0.67211824501333595</v>
      </c>
      <c r="FF12" s="3">
        <f ca="1">IFERROR(__xludf.DUMMYFUNCTION("""COMPUTED_VALUE"""),-0.67084458143616)</f>
        <v>-0.67084458143615999</v>
      </c>
      <c r="FG12" s="3">
        <f ca="1">IFERROR(__xludf.DUMMYFUNCTION("""COMPUTED_VALUE"""),-0.630990957545956)</f>
        <v>-0.63099095754595602</v>
      </c>
      <c r="FH12" s="3">
        <f ca="1">IFERROR(__xludf.DUMMYFUNCTION("""COMPUTED_VALUE"""),-0.643340241999299)</f>
        <v>-0.64334024199929896</v>
      </c>
      <c r="FI12" s="3">
        <f ca="1">IFERROR(__xludf.DUMMYFUNCTION("""COMPUTED_VALUE"""),-0.633747168173126)</f>
        <v>-0.63374716817312604</v>
      </c>
      <c r="FJ12" s="3">
        <f ca="1">IFERROR(__xludf.DUMMYFUNCTION("""COMPUTED_VALUE"""),-0.581273960415823)</f>
        <v>-0.58127396041582302</v>
      </c>
      <c r="FK12" s="3">
        <f ca="1">IFERROR(__xludf.DUMMYFUNCTION("""COMPUTED_VALUE"""),-0.687191219041894)</f>
        <v>-0.68719121904189395</v>
      </c>
      <c r="FL12" s="3">
        <f ca="1">IFERROR(__xludf.DUMMYFUNCTION("""COMPUTED_VALUE"""),-0.677205936628611)</f>
        <v>-0.67720593662861095</v>
      </c>
      <c r="FM12" s="3">
        <f ca="1">IFERROR(__xludf.DUMMYFUNCTION("""COMPUTED_VALUE"""),-0.66843901649042)</f>
        <v>-0.66843901649042003</v>
      </c>
      <c r="FN12" s="3">
        <f ca="1">IFERROR(__xludf.DUMMYFUNCTION("""COMPUTED_VALUE"""),-0.671533830365087)</f>
        <v>-0.67153383036508696</v>
      </c>
      <c r="FO12" s="3">
        <f ca="1">IFERROR(__xludf.DUMMYFUNCTION("""COMPUTED_VALUE"""),-0.671558808042605)</f>
        <v>-0.67155880804260504</v>
      </c>
      <c r="FP12" s="3">
        <f ca="1">IFERROR(__xludf.DUMMYFUNCTION("""COMPUTED_VALUE"""),-0.651020846155434)</f>
        <v>-0.65102084615543399</v>
      </c>
      <c r="FQ12" s="3">
        <f ca="1">IFERROR(__xludf.DUMMYFUNCTION("""COMPUTED_VALUE"""),-0.656990011465368)</f>
        <v>-0.65699001146536795</v>
      </c>
      <c r="FR12" s="3">
        <f ca="1">IFERROR(__xludf.DUMMYFUNCTION("""COMPUTED_VALUE"""),-0.666595357805198)</f>
        <v>-0.66659535780519796</v>
      </c>
      <c r="FS12" s="3">
        <f ca="1">IFERROR(__xludf.DUMMYFUNCTION("""COMPUTED_VALUE"""),-0.675529205232436)</f>
        <v>-0.67552920523243598</v>
      </c>
      <c r="FT12" s="3">
        <f ca="1">IFERROR(__xludf.DUMMYFUNCTION("""COMPUTED_VALUE"""),-0.666072607996274)</f>
        <v>-0.66607260799627399</v>
      </c>
      <c r="FU12" s="3">
        <f ca="1">IFERROR(__xludf.DUMMYFUNCTION("""COMPUTED_VALUE"""),-0.62372134072446)</f>
        <v>-0.62372134072445995</v>
      </c>
      <c r="FV12" s="3">
        <f ca="1">IFERROR(__xludf.DUMMYFUNCTION("""COMPUTED_VALUE"""),-0.620137368071194)</f>
        <v>-0.62013736807119402</v>
      </c>
      <c r="FW12" s="3">
        <f ca="1">IFERROR(__xludf.DUMMYFUNCTION("""COMPUTED_VALUE"""),-0.615687239459537)</f>
        <v>-0.61568723945953696</v>
      </c>
      <c r="FX12" s="3">
        <f ca="1">IFERROR(__xludf.DUMMYFUNCTION("""COMPUTED_VALUE"""),-0.662998538347039)</f>
        <v>-0.66299853834703903</v>
      </c>
      <c r="FY12" s="3">
        <f ca="1">IFERROR(__xludf.DUMMYFUNCTION("""COMPUTED_VALUE"""),-0.67851899610981)</f>
        <v>-0.67851899610981004</v>
      </c>
      <c r="FZ12" s="3">
        <f ca="1">IFERROR(__xludf.DUMMYFUNCTION("""COMPUTED_VALUE"""),-0.656353353717275)</f>
        <v>-0.65635335371727499</v>
      </c>
      <c r="GA12" s="3">
        <f ca="1">IFERROR(__xludf.DUMMYFUNCTION("""COMPUTED_VALUE"""),-0.676411571031748)</f>
        <v>-0.67641157103174798</v>
      </c>
      <c r="GB12" s="3">
        <f ca="1">IFERROR(__xludf.DUMMYFUNCTION("""COMPUTED_VALUE"""),-0.729818970203297)</f>
        <v>-0.729818970203297</v>
      </c>
      <c r="GC12" s="3">
        <f ca="1">IFERROR(__xludf.DUMMYFUNCTION("""COMPUTED_VALUE"""),-0.752460718077805)</f>
        <v>-0.75246071807780501</v>
      </c>
      <c r="GD12" s="3">
        <f ca="1">IFERROR(__xludf.DUMMYFUNCTION("""COMPUTED_VALUE"""),-0.615647664030302)</f>
        <v>-0.61564766403030202</v>
      </c>
      <c r="GE12" s="3">
        <f ca="1">IFERROR(__xludf.DUMMYFUNCTION("""COMPUTED_VALUE"""),-0.643326757704965)</f>
        <v>-0.64332675770496495</v>
      </c>
      <c r="GF12" s="3">
        <f ca="1">IFERROR(__xludf.DUMMYFUNCTION("""COMPUTED_VALUE"""),-0.683529638046327)</f>
        <v>-0.68352963804632705</v>
      </c>
      <c r="GG12" s="3">
        <f ca="1">IFERROR(__xludf.DUMMYFUNCTION("""COMPUTED_VALUE"""),-0.685187358202607)</f>
        <v>-0.68518735820260701</v>
      </c>
      <c r="GH12" s="3">
        <f ca="1">IFERROR(__xludf.DUMMYFUNCTION("""COMPUTED_VALUE"""),-0.682842467328321)</f>
        <v>-0.68284246732832099</v>
      </c>
      <c r="GI12" s="3">
        <f ca="1">IFERROR(__xludf.DUMMYFUNCTION("""COMPUTED_VALUE"""),-0.653331926489919)</f>
        <v>-0.653331926489919</v>
      </c>
      <c r="GJ12" s="3">
        <f ca="1">IFERROR(__xludf.DUMMYFUNCTION("""COMPUTED_VALUE"""),-0.660226380469851)</f>
        <v>-0.66022638046985105</v>
      </c>
      <c r="GK12" s="3">
        <f ca="1">IFERROR(__xludf.DUMMYFUNCTION("""COMPUTED_VALUE"""),-0.633070457805146)</f>
        <v>-0.63307045780514604</v>
      </c>
      <c r="GL12" s="3">
        <f ca="1">IFERROR(__xludf.DUMMYFUNCTION("""COMPUTED_VALUE"""),-0.616729629943605)</f>
        <v>-0.61672962994360503</v>
      </c>
      <c r="GM12" s="3">
        <f ca="1">IFERROR(__xludf.DUMMYFUNCTION("""COMPUTED_VALUE"""),-0.658041655928648)</f>
        <v>-0.65804165592864805</v>
      </c>
      <c r="GN12" s="3">
        <f ca="1">IFERROR(__xludf.DUMMYFUNCTION("""COMPUTED_VALUE"""),-0.679273156600147)</f>
        <v>-0.67927315660014698</v>
      </c>
      <c r="GO12" s="3">
        <f ca="1">IFERROR(__xludf.DUMMYFUNCTION("""COMPUTED_VALUE"""),-0.678096456590194)</f>
        <v>-0.67809645659019402</v>
      </c>
      <c r="GP12" s="3">
        <f ca="1">IFERROR(__xludf.DUMMYFUNCTION("""COMPUTED_VALUE"""),-0.690138054756382)</f>
        <v>-0.69013805475638201</v>
      </c>
      <c r="GQ12" s="3">
        <f ca="1">IFERROR(__xludf.DUMMYFUNCTION("""COMPUTED_VALUE"""),-0.690557894371761)</f>
        <v>-0.69055789437176096</v>
      </c>
      <c r="GR12" s="3">
        <f ca="1">IFERROR(__xludf.DUMMYFUNCTION("""COMPUTED_VALUE"""),-0.585204225486177)</f>
        <v>-0.58520422548617701</v>
      </c>
      <c r="GS12" s="3">
        <f ca="1">IFERROR(__xludf.DUMMYFUNCTION("""COMPUTED_VALUE"""),-0.610854939863058)</f>
        <v>-0.61085493986305806</v>
      </c>
      <c r="GT12" s="3">
        <f ca="1">IFERROR(__xludf.DUMMYFUNCTION("""COMPUTED_VALUE"""),-0.691555825899322)</f>
        <v>-0.69155582589932196</v>
      </c>
      <c r="GU12" s="3">
        <f ca="1">IFERROR(__xludf.DUMMYFUNCTION("""COMPUTED_VALUE"""),-0.677450135904202)</f>
        <v>-0.677450135904202</v>
      </c>
      <c r="GV12" s="3">
        <f ca="1">IFERROR(__xludf.DUMMYFUNCTION("""COMPUTED_VALUE"""),-0.691814989691635)</f>
        <v>-0.69181498969163502</v>
      </c>
      <c r="GW12" s="3">
        <f ca="1">IFERROR(__xludf.DUMMYFUNCTION("""COMPUTED_VALUE"""),-0.698460561029127)</f>
        <v>-0.69846056102912701</v>
      </c>
      <c r="GX12" s="3">
        <f ca="1">IFERROR(__xludf.DUMMYFUNCTION("""COMPUTED_VALUE"""),-0.690612151230658)</f>
        <v>-0.690612151230658</v>
      </c>
      <c r="GY12" s="3">
        <f ca="1">IFERROR(__xludf.DUMMYFUNCTION("""COMPUTED_VALUE"""),-0.59700584687819)</f>
        <v>-0.59700584687819003</v>
      </c>
      <c r="GZ12" s="3">
        <f ca="1">IFERROR(__xludf.DUMMYFUNCTION("""COMPUTED_VALUE"""),-0.619873472185675)</f>
        <v>-0.61987347218567501</v>
      </c>
      <c r="HA12" s="3">
        <f ca="1">IFERROR(__xludf.DUMMYFUNCTION("""COMPUTED_VALUE"""),-0.689579051606617)</f>
        <v>-0.68957905160661703</v>
      </c>
      <c r="HB12" s="3">
        <f ca="1">IFERROR(__xludf.DUMMYFUNCTION("""COMPUTED_VALUE"""),-0.674550681911052)</f>
        <v>-0.67455068191105205</v>
      </c>
      <c r="HC12" s="3">
        <f ca="1">IFERROR(__xludf.DUMMYFUNCTION("""COMPUTED_VALUE"""),-0.675406999340525)</f>
        <v>-0.67540699934052495</v>
      </c>
      <c r="HD12" s="3">
        <f ca="1">IFERROR(__xludf.DUMMYFUNCTION("""COMPUTED_VALUE"""),-0.689586381606519)</f>
        <v>-0.68958638160651897</v>
      </c>
      <c r="HE12" s="3">
        <f ca="1">IFERROR(__xludf.DUMMYFUNCTION("""COMPUTED_VALUE"""),-0.68561419406074)</f>
        <v>-0.68561419406073998</v>
      </c>
      <c r="HF12" s="3">
        <f ca="1">IFERROR(__xludf.DUMMYFUNCTION("""COMPUTED_VALUE"""),-0.559863062345708)</f>
        <v>-0.55986306234570804</v>
      </c>
      <c r="HG12" s="3">
        <f ca="1">IFERROR(__xludf.DUMMYFUNCTION("""COMPUTED_VALUE"""),-0.53544693181547)</f>
        <v>-0.53544693181546998</v>
      </c>
      <c r="HH12" s="3">
        <f ca="1">IFERROR(__xludf.DUMMYFUNCTION("""COMPUTED_VALUE"""),-0.658483060504925)</f>
        <v>-0.658483060504925</v>
      </c>
      <c r="HI12" s="3">
        <f ca="1">IFERROR(__xludf.DUMMYFUNCTION("""COMPUTED_VALUE"""),-0.672348973789571)</f>
        <v>-0.67234897378957104</v>
      </c>
      <c r="HJ12" s="3">
        <f ca="1">IFERROR(__xludf.DUMMYFUNCTION("""COMPUTED_VALUE"""),-0.660504323843118)</f>
        <v>-0.66050432384311797</v>
      </c>
      <c r="HK12" s="3">
        <f ca="1">IFERROR(__xludf.DUMMYFUNCTION("""COMPUTED_VALUE"""),-0.718663491932775)</f>
        <v>-0.71866349193277501</v>
      </c>
      <c r="HL12" s="3">
        <f ca="1">IFERROR(__xludf.DUMMYFUNCTION("""COMPUTED_VALUE"""),-0.757887343539386)</f>
        <v>-0.75788734353938603</v>
      </c>
      <c r="HM12" s="3">
        <f ca="1">IFERROR(__xludf.DUMMYFUNCTION("""COMPUTED_VALUE"""),-0.5836870226319)</f>
        <v>-0.58368702263189998</v>
      </c>
      <c r="HN12" s="3">
        <f ca="1">IFERROR(__xludf.DUMMYFUNCTION("""COMPUTED_VALUE"""),-0.588545050063503)</f>
        <v>-0.58854505006350299</v>
      </c>
      <c r="HO12" s="3">
        <f ca="1">IFERROR(__xludf.DUMMYFUNCTION("""COMPUTED_VALUE"""),-0.664033133986293)</f>
        <v>-0.66403313398629304</v>
      </c>
      <c r="HP12" s="3">
        <f ca="1">IFERROR(__xludf.DUMMYFUNCTION("""COMPUTED_VALUE"""),-0.713804002650893)</f>
        <v>-0.71380400265089305</v>
      </c>
      <c r="HQ12" s="3">
        <f ca="1">IFERROR(__xludf.DUMMYFUNCTION("""COMPUTED_VALUE"""),-0.704223436309494)</f>
        <v>-0.70422343630949402</v>
      </c>
      <c r="HR12" s="3">
        <f ca="1">IFERROR(__xludf.DUMMYFUNCTION("""COMPUTED_VALUE"""),-0.68579719954675)</f>
        <v>-0.68579719954675</v>
      </c>
      <c r="HS12" s="3">
        <f ca="1">IFERROR(__xludf.DUMMYFUNCTION("""COMPUTED_VALUE"""),-0.617333953696989)</f>
        <v>-0.61733395369698896</v>
      </c>
      <c r="HT12" s="3">
        <f ca="1">IFERROR(__xludf.DUMMYFUNCTION("""COMPUTED_VALUE"""),-0.548276835972994)</f>
        <v>-0.54827683597299404</v>
      </c>
      <c r="HU12" s="3">
        <f ca="1">IFERROR(__xludf.DUMMYFUNCTION("""COMPUTED_VALUE"""),-0.625480785747983)</f>
        <v>-0.62548078574798305</v>
      </c>
      <c r="HV12" s="3">
        <f ca="1">IFERROR(__xludf.DUMMYFUNCTION("""COMPUTED_VALUE"""),-0.732533599494798)</f>
        <v>-0.73253359949479802</v>
      </c>
      <c r="HW12" s="3">
        <f ca="1">IFERROR(__xludf.DUMMYFUNCTION("""COMPUTED_VALUE"""),-0.739740499470864)</f>
        <v>-0.73974049947086395</v>
      </c>
      <c r="HX12" s="3">
        <f ca="1">IFERROR(__xludf.DUMMYFUNCTION("""COMPUTED_VALUE"""),-0.737452436337837)</f>
        <v>-0.73745243633783697</v>
      </c>
      <c r="HY12" s="3">
        <f ca="1">IFERROR(__xludf.DUMMYFUNCTION("""COMPUTED_VALUE"""),-0.730777352341472)</f>
        <v>-0.73077735234147201</v>
      </c>
      <c r="HZ12" s="3">
        <f ca="1">IFERROR(__xludf.DUMMYFUNCTION("""COMPUTED_VALUE"""),-0.626648736385431)</f>
        <v>-0.62664873638543095</v>
      </c>
      <c r="IA12" s="3">
        <f ca="1">IFERROR(__xludf.DUMMYFUNCTION("""COMPUTED_VALUE"""),-0.630595518842531)</f>
        <v>-0.63059551884253096</v>
      </c>
      <c r="IB12" s="3">
        <f ca="1">IFERROR(__xludf.DUMMYFUNCTION("""COMPUTED_VALUE"""),-0.632216147345931)</f>
        <v>-0.63221614734593101</v>
      </c>
      <c r="IC12" s="3">
        <f ca="1">IFERROR(__xludf.DUMMYFUNCTION("""COMPUTED_VALUE"""),-0.692884011050655)</f>
        <v>-0.692884011050655</v>
      </c>
      <c r="ID12" s="3">
        <f ca="1">IFERROR(__xludf.DUMMYFUNCTION("""COMPUTED_VALUE"""),-0.715378920558336)</f>
        <v>-0.71537892055833596</v>
      </c>
      <c r="IE12" s="3">
        <f ca="1">IFERROR(__xludf.DUMMYFUNCTION("""COMPUTED_VALUE"""),-0.712820736252357)</f>
        <v>-0.71282073625235698</v>
      </c>
      <c r="IF12" s="3">
        <f ca="1">IFERROR(__xludf.DUMMYFUNCTION("""COMPUTED_VALUE"""),-0.683836590160351)</f>
        <v>-0.68383659016035103</v>
      </c>
      <c r="IG12" s="3">
        <f ca="1">IFERROR(__xludf.DUMMYFUNCTION("""COMPUTED_VALUE"""),-0.657221567704982)</f>
        <v>-0.65722156770498197</v>
      </c>
      <c r="IH12" s="3">
        <f ca="1">IFERROR(__xludf.DUMMYFUNCTION("""COMPUTED_VALUE"""),-0.598611781420231)</f>
        <v>-0.59861178142023097</v>
      </c>
      <c r="II12" s="3">
        <f ca="1">IFERROR(__xludf.DUMMYFUNCTION("""COMPUTED_VALUE"""),-0.623058489945183)</f>
        <v>-0.62305848994518298</v>
      </c>
      <c r="IJ12" s="3">
        <f ca="1">IFERROR(__xludf.DUMMYFUNCTION("""COMPUTED_VALUE"""),-0.697995008620132)</f>
        <v>-0.69799500862013197</v>
      </c>
      <c r="IK12" s="3">
        <f ca="1">IFERROR(__xludf.DUMMYFUNCTION("""COMPUTED_VALUE"""),-0.706719949088669)</f>
        <v>-0.70671994908866898</v>
      </c>
      <c r="IL12" s="3">
        <f ca="1">IFERROR(__xludf.DUMMYFUNCTION("""COMPUTED_VALUE"""),-0.716954258478883)</f>
        <v>-0.71695425847888306</v>
      </c>
      <c r="IM12" s="3">
        <f ca="1">IFERROR(__xludf.DUMMYFUNCTION("""COMPUTED_VALUE"""),-0.696441675194581)</f>
        <v>-0.696441675194581</v>
      </c>
      <c r="IN12" s="3">
        <f ca="1">IFERROR(__xludf.DUMMYFUNCTION("""COMPUTED_VALUE"""),-0.629070878455103)</f>
        <v>-0.62907087845510301</v>
      </c>
      <c r="IO12" s="3">
        <f ca="1">IFERROR(__xludf.DUMMYFUNCTION("""COMPUTED_VALUE"""),-0.640013843037238)</f>
        <v>-0.64001384303723796</v>
      </c>
      <c r="IP12" s="3">
        <f ca="1">IFERROR(__xludf.DUMMYFUNCTION("""COMPUTED_VALUE"""),-0.657375445840512)</f>
        <v>-0.657375445840512</v>
      </c>
      <c r="IQ12" s="3">
        <f ca="1">IFERROR(__xludf.DUMMYFUNCTION("""COMPUTED_VALUE"""),-0.719234695702754)</f>
        <v>-0.719234695702754</v>
      </c>
      <c r="IR12" s="3">
        <f ca="1">IFERROR(__xludf.DUMMYFUNCTION("""COMPUTED_VALUE"""),-0.719025652758283)</f>
        <v>-0.71902565275828301</v>
      </c>
      <c r="IS12" s="3">
        <f ca="1">IFERROR(__xludf.DUMMYFUNCTION("""COMPUTED_VALUE"""),-0.738779387250172)</f>
        <v>-0.738779387250172</v>
      </c>
      <c r="IT12" s="3">
        <f ca="1">IFERROR(__xludf.DUMMYFUNCTION("""COMPUTED_VALUE"""),-0.740631193956488)</f>
        <v>-0.74063119395648802</v>
      </c>
      <c r="IU12" s="3">
        <f ca="1">IFERROR(__xludf.DUMMYFUNCTION("""COMPUTED_VALUE"""),-0.705321040080072)</f>
        <v>-0.70532104008007201</v>
      </c>
      <c r="IV12" s="3">
        <f ca="1">IFERROR(__xludf.DUMMYFUNCTION("""COMPUTED_VALUE"""),-0.638981514662085)</f>
        <v>-0.63898151466208497</v>
      </c>
      <c r="IW12" s="3">
        <f ca="1">IFERROR(__xludf.DUMMYFUNCTION("""COMPUTED_VALUE"""),-0.671888970446869)</f>
        <v>-0.67188897044686902</v>
      </c>
      <c r="IX12" s="3">
        <f ca="1">IFERROR(__xludf.DUMMYFUNCTION("""COMPUTED_VALUE"""),-0.710982806218786)</f>
        <v>-0.71098280621878596</v>
      </c>
      <c r="IY12" s="3">
        <f ca="1">IFERROR(__xludf.DUMMYFUNCTION("""COMPUTED_VALUE"""),-0.744861826638196)</f>
        <v>-0.744861826638196</v>
      </c>
      <c r="IZ12" s="3">
        <f ca="1">IFERROR(__xludf.DUMMYFUNCTION("""COMPUTED_VALUE"""),-0.732946014377652)</f>
        <v>-0.73294601437765206</v>
      </c>
      <c r="JA12" s="3">
        <f ca="1">IFERROR(__xludf.DUMMYFUNCTION("""COMPUTED_VALUE"""),-0.740755131680167)</f>
        <v>-0.74075513168016704</v>
      </c>
      <c r="JB12" s="3">
        <f ca="1">IFERROR(__xludf.DUMMYFUNCTION("""COMPUTED_VALUE"""),-0.679922089325855)</f>
        <v>-0.67992208932585496</v>
      </c>
      <c r="JC12" s="3">
        <f ca="1">IFERROR(__xludf.DUMMYFUNCTION("""COMPUTED_VALUE"""),-0.697958393073778)</f>
        <v>-0.69795839307377805</v>
      </c>
      <c r="JD12" s="3">
        <f ca="1">IFERROR(__xludf.DUMMYFUNCTION("""COMPUTED_VALUE"""),-0.68932458935126)</f>
        <v>-0.68932458935125995</v>
      </c>
      <c r="JE12" s="3">
        <f ca="1">IFERROR(__xludf.DUMMYFUNCTION("""COMPUTED_VALUE"""),-0.763172325143401)</f>
        <v>-0.76317232514340105</v>
      </c>
      <c r="JF12" s="3">
        <f ca="1">IFERROR(__xludf.DUMMYFUNCTION("""COMPUTED_VALUE"""),-0.752809223084477)</f>
        <v>-0.75280922308447695</v>
      </c>
      <c r="JG12" s="3">
        <f ca="1">IFERROR(__xludf.DUMMYFUNCTION("""COMPUTED_VALUE"""),-0.752708898661821)</f>
        <v>-0.752708898661821</v>
      </c>
      <c r="JH12" s="3">
        <f ca="1">IFERROR(__xludf.DUMMYFUNCTION("""COMPUTED_VALUE"""),-0.783458786160019)</f>
        <v>-0.78345878616001896</v>
      </c>
      <c r="JI12" s="3">
        <f ca="1">IFERROR(__xludf.DUMMYFUNCTION("""COMPUTED_VALUE"""),-0.735740566212508)</f>
        <v>-0.73574056621250805</v>
      </c>
      <c r="JJ12" s="3">
        <f ca="1">IFERROR(__xludf.DUMMYFUNCTION("""COMPUTED_VALUE"""),-0.722858357110806)</f>
        <v>-0.72285835711080604</v>
      </c>
      <c r="JK12" s="3">
        <f ca="1">IFERROR(__xludf.DUMMYFUNCTION("""COMPUTED_VALUE"""),-0.708110298314788)</f>
        <v>-0.708110298314788</v>
      </c>
      <c r="JL12" s="3">
        <f ca="1">IFERROR(__xludf.DUMMYFUNCTION("""COMPUTED_VALUE"""),-0.772860246359146)</f>
        <v>-0.77286024635914596</v>
      </c>
      <c r="JM12" s="3">
        <f ca="1">IFERROR(__xludf.DUMMYFUNCTION("""COMPUTED_VALUE"""),-0.770605449713149)</f>
        <v>-0.77060544971314904</v>
      </c>
      <c r="JN12" s="3">
        <f ca="1">IFERROR(__xludf.DUMMYFUNCTION("""COMPUTED_VALUE"""),-0.795275767460433)</f>
        <v>-0.79527576746043305</v>
      </c>
      <c r="JO12" s="3">
        <f ca="1">IFERROR(__xludf.DUMMYFUNCTION("""COMPUTED_VALUE"""),-0.772786942402635)</f>
        <v>-0.77278694240263501</v>
      </c>
      <c r="JP12" s="3">
        <f ca="1">IFERROR(__xludf.DUMMYFUNCTION("""COMPUTED_VALUE"""),-0.76463421893547)</f>
        <v>-0.76463421893547001</v>
      </c>
      <c r="JQ12" s="3">
        <f ca="1">IFERROR(__xludf.DUMMYFUNCTION("""COMPUTED_VALUE"""),-0.717908345327396)</f>
        <v>-0.717908345327396</v>
      </c>
      <c r="JR12" s="3">
        <f ca="1">IFERROR(__xludf.DUMMYFUNCTION("""COMPUTED_VALUE"""),-0.720179212336544)</f>
        <v>-0.72017921233654403</v>
      </c>
      <c r="JS12" s="3">
        <f ca="1">IFERROR(__xludf.DUMMYFUNCTION("""COMPUTED_VALUE"""),-0.796973215061169)</f>
        <v>-0.79697321506116903</v>
      </c>
      <c r="JT12" s="3">
        <f ca="1">IFERROR(__xludf.DUMMYFUNCTION("""COMPUTED_VALUE"""),-0.796728516044493)</f>
        <v>-0.79672851604449302</v>
      </c>
      <c r="JU12" s="3">
        <f ca="1">IFERROR(__xludf.DUMMYFUNCTION("""COMPUTED_VALUE"""),-0.816233739762443)</f>
        <v>-0.81623373976244296</v>
      </c>
      <c r="JV12" s="3">
        <f ca="1">IFERROR(__xludf.DUMMYFUNCTION("""COMPUTED_VALUE"""),-0.776660674203251)</f>
        <v>-0.77666067420325102</v>
      </c>
      <c r="JW12" s="3">
        <f ca="1">IFERROR(__xludf.DUMMYFUNCTION("""COMPUTED_VALUE"""),-0.768952449088814)</f>
        <v>-0.76895244908881399</v>
      </c>
      <c r="JX12" s="3">
        <f ca="1">IFERROR(__xludf.DUMMYFUNCTION("""COMPUTED_VALUE"""),-0.741712113978331)</f>
        <v>-0.74171211397833103</v>
      </c>
      <c r="JY12" s="3">
        <f ca="1">IFERROR(__xludf.DUMMYFUNCTION("""COMPUTED_VALUE"""),-0.756102266769722)</f>
        <v>-0.75610226676972203</v>
      </c>
      <c r="JZ12" s="3">
        <f ca="1">IFERROR(__xludf.DUMMYFUNCTION("""COMPUTED_VALUE"""),-0.815273621373643)</f>
        <v>-0.81527362137364301</v>
      </c>
      <c r="KA12" s="3">
        <f ca="1">IFERROR(__xludf.DUMMYFUNCTION("""COMPUTED_VALUE"""),-0.824206080743785)</f>
        <v>-0.82420608074378499</v>
      </c>
      <c r="KB12" s="3">
        <f ca="1">IFERROR(__xludf.DUMMYFUNCTION("""COMPUTED_VALUE"""),-0.848325640424417)</f>
        <v>-0.84832564042441705</v>
      </c>
      <c r="KC12" s="3">
        <f ca="1">IFERROR(__xludf.DUMMYFUNCTION("""COMPUTED_VALUE"""),-0.841409642429822)</f>
        <v>-0.84140964242982197</v>
      </c>
      <c r="KD12" s="3">
        <f ca="1">IFERROR(__xludf.DUMMYFUNCTION("""COMPUTED_VALUE"""),-0.808858665431631)</f>
        <v>-0.80885866543163099</v>
      </c>
      <c r="KE12" s="3">
        <f ca="1">IFERROR(__xludf.DUMMYFUNCTION("""COMPUTED_VALUE"""),-0.745830242708571)</f>
        <v>-0.74583024270857101</v>
      </c>
      <c r="KF12" s="3">
        <f ca="1">IFERROR(__xludf.DUMMYFUNCTION("""COMPUTED_VALUE"""),-0.75377693019954)</f>
        <v>-0.75377693019953995</v>
      </c>
      <c r="KG12" s="3">
        <f ca="1">IFERROR(__xludf.DUMMYFUNCTION("""COMPUTED_VALUE"""),-0.818463592573839)</f>
        <v>-0.81846359257383905</v>
      </c>
      <c r="KH12" s="3">
        <f ca="1">IFERROR(__xludf.DUMMYFUNCTION("""COMPUTED_VALUE"""),-0.825074150814904)</f>
        <v>-0.82507415081490398</v>
      </c>
      <c r="KI12" s="3">
        <f ca="1">IFERROR(__xludf.DUMMYFUNCTION("""COMPUTED_VALUE"""),-0.831571703944448)</f>
        <v>-0.83157170394444802</v>
      </c>
      <c r="KJ12" s="3">
        <f ca="1">IFERROR(__xludf.DUMMYFUNCTION("""COMPUTED_VALUE"""),-0.820981101138935)</f>
        <v>-0.82098110113893497</v>
      </c>
      <c r="KK12" s="3">
        <f ca="1">IFERROR(__xludf.DUMMYFUNCTION("""COMPUTED_VALUE"""),-0.798609709933318)</f>
        <v>-0.79860970993331803</v>
      </c>
      <c r="KL12" s="3">
        <f ca="1">IFERROR(__xludf.DUMMYFUNCTION("""COMPUTED_VALUE"""),-0.761583251106514)</f>
        <v>-0.76158325110651404</v>
      </c>
      <c r="KM12" s="3">
        <f ca="1">IFERROR(__xludf.DUMMYFUNCTION("""COMPUTED_VALUE"""),-0.74818898401747)</f>
        <v>-0.74818898401747003</v>
      </c>
      <c r="KN12" s="3">
        <f ca="1">IFERROR(__xludf.DUMMYFUNCTION("""COMPUTED_VALUE"""),-0.816800302834864)</f>
        <v>-0.81680030283486404</v>
      </c>
      <c r="KO12" s="3">
        <f ca="1">IFERROR(__xludf.DUMMYFUNCTION("""COMPUTED_VALUE"""),-0.846568598904144)</f>
        <v>-0.84656859890414404</v>
      </c>
      <c r="KP12" s="3">
        <f ca="1">IFERROR(__xludf.DUMMYFUNCTION("""COMPUTED_VALUE"""),-0.861588228666015)</f>
        <v>-0.86158822866601503</v>
      </c>
      <c r="KQ12" s="3">
        <f ca="1">IFERROR(__xludf.DUMMYFUNCTION("""COMPUTED_VALUE"""),-0.841641782683847)</f>
        <v>-0.84164178268384704</v>
      </c>
      <c r="KR12" s="3">
        <f ca="1">IFERROR(__xludf.DUMMYFUNCTION("""COMPUTED_VALUE"""),-0.8276645905087)</f>
        <v>-0.8276645905087</v>
      </c>
      <c r="KS12" s="3">
        <f ca="1">IFERROR(__xludf.DUMMYFUNCTION("""COMPUTED_VALUE"""),-0.767122779546918)</f>
        <v>-0.76712277954691799</v>
      </c>
      <c r="KT12" s="3">
        <f ca="1">IFERROR(__xludf.DUMMYFUNCTION("""COMPUTED_VALUE"""),-0.796811830658876)</f>
        <v>-0.79681183065887595</v>
      </c>
      <c r="KU12" s="3">
        <f ca="1">IFERROR(__xludf.DUMMYFUNCTION("""COMPUTED_VALUE"""),-0.845331541272528)</f>
        <v>-0.84533154127252796</v>
      </c>
      <c r="KV12" s="3">
        <f ca="1">IFERROR(__xludf.DUMMYFUNCTION("""COMPUTED_VALUE"""),-0.860917376615059)</f>
        <v>-0.86091737661505896</v>
      </c>
      <c r="KW12" s="3">
        <f ca="1">IFERROR(__xludf.DUMMYFUNCTION("""COMPUTED_VALUE"""),-0.866262598455471)</f>
        <v>-0.86626259845547104</v>
      </c>
      <c r="KX12" s="3">
        <f ca="1">IFERROR(__xludf.DUMMYFUNCTION("""COMPUTED_VALUE"""),-0.861832688475914)</f>
        <v>-0.86183268847591399</v>
      </c>
      <c r="KY12" s="3">
        <f ca="1">IFERROR(__xludf.DUMMYFUNCTION("""COMPUTED_VALUE"""),-0.834153185249802)</f>
        <v>-0.83415318524980198</v>
      </c>
      <c r="KZ12" s="3">
        <f ca="1">IFERROR(__xludf.DUMMYFUNCTION("""COMPUTED_VALUE"""),-0.819216987618382)</f>
        <v>-0.81921698761838202</v>
      </c>
      <c r="LA12" s="3">
        <f ca="1">IFERROR(__xludf.DUMMYFUNCTION("""COMPUTED_VALUE"""),-0.78696528014937)</f>
        <v>-0.78696528014936995</v>
      </c>
      <c r="LB12" s="3">
        <f ca="1">IFERROR(__xludf.DUMMYFUNCTION("""COMPUTED_VALUE"""),-0.851638272280995)</f>
        <v>-0.85163827228099498</v>
      </c>
      <c r="LC12" s="3">
        <f ca="1">IFERROR(__xludf.DUMMYFUNCTION("""COMPUTED_VALUE"""),-0.868552304624696)</f>
        <v>-0.86855230462469601</v>
      </c>
      <c r="LD12" s="3">
        <f ca="1">IFERROR(__xludf.DUMMYFUNCTION("""COMPUTED_VALUE"""),-0.860340920931073)</f>
        <v>-0.86034092093107295</v>
      </c>
      <c r="LE12" s="3">
        <f ca="1">IFERROR(__xludf.DUMMYFUNCTION("""COMPUTED_VALUE"""),-0.85338860309746)</f>
        <v>-0.85338860309746001</v>
      </c>
      <c r="LF12" s="3">
        <f ca="1">IFERROR(__xludf.DUMMYFUNCTION("""COMPUTED_VALUE"""),-0.813736258714209)</f>
        <v>-0.81373625871420896</v>
      </c>
      <c r="LG12" s="3">
        <f ca="1">IFERROR(__xludf.DUMMYFUNCTION("""COMPUTED_VALUE"""),-0.787775558567704)</f>
        <v>-0.78777555856770398</v>
      </c>
      <c r="LH12" s="3">
        <f ca="1">IFERROR(__xludf.DUMMYFUNCTION("""COMPUTED_VALUE"""),-0.795944930387425)</f>
        <v>-0.79594493038742498</v>
      </c>
      <c r="LI12" s="3">
        <f ca="1">IFERROR(__xludf.DUMMYFUNCTION("""COMPUTED_VALUE"""),-0.862501460800344)</f>
        <v>-0.86250146080034396</v>
      </c>
      <c r="LJ12" s="3">
        <f ca="1">IFERROR(__xludf.DUMMYFUNCTION("""COMPUTED_VALUE"""),-0.865274409403139)</f>
        <v>-0.86527440940313904</v>
      </c>
      <c r="LK12" s="3">
        <f ca="1">IFERROR(__xludf.DUMMYFUNCTION("""COMPUTED_VALUE"""),-0.856004221104536)</f>
        <v>-0.856004221104536</v>
      </c>
      <c r="LL12" s="3">
        <f ca="1">IFERROR(__xludf.DUMMYFUNCTION("""COMPUTED_VALUE"""),-0.850502076916659)</f>
        <v>-0.85050207691665902</v>
      </c>
      <c r="LM12" s="3">
        <f ca="1">IFERROR(__xludf.DUMMYFUNCTION("""COMPUTED_VALUE"""),-0.820982945863821)</f>
        <v>-0.82098294586382103</v>
      </c>
      <c r="LN12" s="3">
        <f ca="1">IFERROR(__xludf.DUMMYFUNCTION("""COMPUTED_VALUE"""),-0.786704659355683)</f>
        <v>-0.78670465935568301</v>
      </c>
      <c r="LO12" s="3">
        <f ca="1">IFERROR(__xludf.DUMMYFUNCTION("""COMPUTED_VALUE"""),-0.821378450638598)</f>
        <v>-0.82137845063859805</v>
      </c>
      <c r="LP12" s="3">
        <f ca="1">IFERROR(__xludf.DUMMYFUNCTION("""COMPUTED_VALUE"""),-0.881857283032372)</f>
        <v>-0.88185728303237199</v>
      </c>
      <c r="LQ12" s="3">
        <f ca="1">IFERROR(__xludf.DUMMYFUNCTION("""COMPUTED_VALUE"""),-0.899305599476835)</f>
        <v>-0.89930559947683497</v>
      </c>
      <c r="LR12" s="3">
        <f ca="1">IFERROR(__xludf.DUMMYFUNCTION("""COMPUTED_VALUE"""),-0.877502549097255)</f>
        <v>-0.877502549097255</v>
      </c>
      <c r="LS12" s="3">
        <f ca="1">IFERROR(__xludf.DUMMYFUNCTION("""COMPUTED_VALUE"""),-0.858643153143076)</f>
        <v>-0.85864315314307604</v>
      </c>
      <c r="LT12" s="3">
        <f ca="1">IFERROR(__xludf.DUMMYFUNCTION("""COMPUTED_VALUE"""),-0.788661565012365)</f>
        <v>-0.78866156501236495</v>
      </c>
      <c r="LU12" s="3">
        <f ca="1">IFERROR(__xludf.DUMMYFUNCTION("""COMPUTED_VALUE"""),-0.765019398224206)</f>
        <v>-0.76501939822420595</v>
      </c>
      <c r="LV12" s="3">
        <f ca="1">IFERROR(__xludf.DUMMYFUNCTION("""COMPUTED_VALUE"""),-0.808978119419535)</f>
        <v>-0.80897811941953501</v>
      </c>
      <c r="LW12" s="3">
        <f ca="1">IFERROR(__xludf.DUMMYFUNCTION("""COMPUTED_VALUE"""),-0.875585705892586)</f>
        <v>-0.875585705892586</v>
      </c>
      <c r="LX12" s="3">
        <f ca="1">IFERROR(__xludf.DUMMYFUNCTION("""COMPUTED_VALUE"""),-0.88889171597114)</f>
        <v>-0.88889171597114003</v>
      </c>
      <c r="LY12" s="3">
        <f ca="1">IFERROR(__xludf.DUMMYFUNCTION("""COMPUTED_VALUE"""),-0.88594930121823)</f>
        <v>-0.88594930121823001</v>
      </c>
      <c r="LZ12" s="3">
        <f ca="1">IFERROR(__xludf.DUMMYFUNCTION("""COMPUTED_VALUE"""),-0.883519735432754)</f>
        <v>-0.88351973543275397</v>
      </c>
      <c r="MA12" s="3">
        <f ca="1">IFERROR(__xludf.DUMMYFUNCTION("""COMPUTED_VALUE"""),-0.860286951613311)</f>
        <v>-0.86028695161331104</v>
      </c>
      <c r="MB12" s="3">
        <f ca="1">IFERROR(__xludf.DUMMYFUNCTION("""COMPUTED_VALUE"""),-0.834653043635202)</f>
        <v>-0.83465304363520199</v>
      </c>
      <c r="MC12" s="3">
        <f ca="1">IFERROR(__xludf.DUMMYFUNCTION("""COMPUTED_VALUE"""),-0.851877298483626)</f>
        <v>-0.85187729848362603</v>
      </c>
      <c r="MD12" s="3">
        <f ca="1">IFERROR(__xludf.DUMMYFUNCTION("""COMPUTED_VALUE"""),-0.893303782633173)</f>
        <v>-0.893303782633173</v>
      </c>
      <c r="ME12" s="3">
        <f ca="1">IFERROR(__xludf.DUMMYFUNCTION("""COMPUTED_VALUE"""),-0.892947601112743)</f>
        <v>-0.89294760111274296</v>
      </c>
      <c r="MF12" s="3">
        <f ca="1">IFERROR(__xludf.DUMMYFUNCTION("""COMPUTED_VALUE"""),-0.890777953539078)</f>
        <v>-0.89077795353907796</v>
      </c>
      <c r="MG12" s="3">
        <f ca="1">IFERROR(__xludf.DUMMYFUNCTION("""COMPUTED_VALUE"""),-0.891243394343544)</f>
        <v>-0.89124339434354405</v>
      </c>
      <c r="MH12" s="3">
        <f ca="1">IFERROR(__xludf.DUMMYFUNCTION("""COMPUTED_VALUE"""),-0.862561677601163)</f>
        <v>-0.86256167760116298</v>
      </c>
      <c r="MI12" s="3">
        <f ca="1">IFERROR(__xludf.DUMMYFUNCTION("""COMPUTED_VALUE"""),-0.796813977627074)</f>
        <v>-0.79681397762707395</v>
      </c>
      <c r="MJ12" s="3">
        <f ca="1">IFERROR(__xludf.DUMMYFUNCTION("""COMPUTED_VALUE"""),-0.835029818700446)</f>
        <v>-0.83502981870044601</v>
      </c>
      <c r="MK12" s="3">
        <f ca="1">IFERROR(__xludf.DUMMYFUNCTION("""COMPUTED_VALUE"""),-0.900574557268575)</f>
        <v>-0.90057455726857505</v>
      </c>
      <c r="ML12" s="3">
        <f ca="1">IFERROR(__xludf.DUMMYFUNCTION("""COMPUTED_VALUE"""),-0.902202855343211)</f>
        <v>-0.90220285534321099</v>
      </c>
      <c r="MM12" s="3">
        <f ca="1">IFERROR(__xludf.DUMMYFUNCTION("""COMPUTED_VALUE"""),-0.908090895024187)</f>
        <v>-0.90809089502418705</v>
      </c>
      <c r="MN12" s="3">
        <f ca="1">IFERROR(__xludf.DUMMYFUNCTION("""COMPUTED_VALUE"""),-0.901386913218454)</f>
        <v>-0.90138691321845399</v>
      </c>
      <c r="MO12" s="3">
        <f ca="1">IFERROR(__xludf.DUMMYFUNCTION("""COMPUTED_VALUE"""),-0.876296237711513)</f>
        <v>-0.87629623771151299</v>
      </c>
      <c r="MP12" s="3">
        <f ca="1">IFERROR(__xludf.DUMMYFUNCTION("""COMPUTED_VALUE"""),-0.840600420733514)</f>
        <v>-0.84060042073351404</v>
      </c>
      <c r="MQ12" s="3">
        <f ca="1">IFERROR(__xludf.DUMMYFUNCTION("""COMPUTED_VALUE"""),-0.85837104477516)</f>
        <v>-0.85837104477516002</v>
      </c>
      <c r="MR12" s="3">
        <f ca="1">IFERROR(__xludf.DUMMYFUNCTION("""COMPUTED_VALUE"""),-0.899671407500632)</f>
        <v>-0.89967140750063201</v>
      </c>
      <c r="MS12" s="3">
        <f ca="1">IFERROR(__xludf.DUMMYFUNCTION("""COMPUTED_VALUE"""),-0.896828961818872)</f>
        <v>-0.89682896181887195</v>
      </c>
      <c r="MT12" s="3">
        <f ca="1">IFERROR(__xludf.DUMMYFUNCTION("""COMPUTED_VALUE"""),-0.878283442150061)</f>
        <v>-0.87828344215006104</v>
      </c>
      <c r="MU12" s="3">
        <f ca="1">IFERROR(__xludf.DUMMYFUNCTION("""COMPUTED_VALUE"""),-0.878889800015338)</f>
        <v>-0.87888980001533801</v>
      </c>
      <c r="MV12" s="3">
        <f ca="1">IFERROR(__xludf.DUMMYFUNCTION("""COMPUTED_VALUE"""),-0.86675739846635)</f>
        <v>-0.86675739846635003</v>
      </c>
      <c r="MW12" s="3">
        <f ca="1">IFERROR(__xludf.DUMMYFUNCTION("""COMPUTED_VALUE"""),-0.841723284357151)</f>
        <v>-0.84172328435715105</v>
      </c>
      <c r="MX12" s="3">
        <f ca="1">IFERROR(__xludf.DUMMYFUNCTION("""COMPUTED_VALUE"""),-0.862756136373391)</f>
        <v>-0.86275613637339099</v>
      </c>
      <c r="MY12" s="3">
        <f ca="1">IFERROR(__xludf.DUMMYFUNCTION("""COMPUTED_VALUE"""),-0.890473940381963)</f>
        <v>-0.89047394038196304</v>
      </c>
      <c r="MZ12" s="3">
        <f ca="1">IFERROR(__xludf.DUMMYFUNCTION("""COMPUTED_VALUE"""),-0.899188271224287)</f>
        <v>-0.89918827122428702</v>
      </c>
      <c r="NA12" s="3">
        <f ca="1">IFERROR(__xludf.DUMMYFUNCTION("""COMPUTED_VALUE"""),-0.900323595080234)</f>
        <v>-0.90032359508023396</v>
      </c>
      <c r="NB12" s="3">
        <f ca="1">IFERROR(__xludf.DUMMYFUNCTION("""COMPUTED_VALUE"""),-0.901778349392162)</f>
        <v>-0.90177834939216195</v>
      </c>
      <c r="NC12" s="3">
        <f ca="1">IFERROR(__xludf.DUMMYFUNCTION("""COMPUTED_VALUE"""),-0.885269329652138)</f>
        <v>-0.885269329652138</v>
      </c>
      <c r="ND12" s="3">
        <f ca="1">IFERROR(__xludf.DUMMYFUNCTION("""COMPUTED_VALUE"""),-0.833654066760074)</f>
        <v>-0.83365406676007403</v>
      </c>
      <c r="NE12" s="3">
        <f ca="1">IFERROR(__xludf.DUMMYFUNCTION("""COMPUTED_VALUE"""),-0.833359180365202)</f>
        <v>-0.83335918036520196</v>
      </c>
      <c r="NF12" s="3">
        <f ca="1">IFERROR(__xludf.DUMMYFUNCTION("""COMPUTED_VALUE"""),-0.888230428935841)</f>
        <v>-0.88823042893584103</v>
      </c>
      <c r="NG12" s="3">
        <f ca="1">IFERROR(__xludf.DUMMYFUNCTION("""COMPUTED_VALUE"""),-0.873503719121348)</f>
        <v>-0.87350371912134805</v>
      </c>
      <c r="NH12" s="3">
        <f ca="1">IFERROR(__xludf.DUMMYFUNCTION("""COMPUTED_VALUE"""),-0.881996374806926)</f>
        <v>-0.88199637480692605</v>
      </c>
      <c r="NI12" s="3">
        <f ca="1">IFERROR(__xludf.DUMMYFUNCTION("""COMPUTED_VALUE"""),-0.881778364766523)</f>
        <v>-0.88177836476652305</v>
      </c>
      <c r="NJ12" s="3">
        <f ca="1">IFERROR(__xludf.DUMMYFUNCTION("""COMPUTED_VALUE"""),-0.875842868147883)</f>
        <v>-0.87584286814788304</v>
      </c>
      <c r="NK12" s="3">
        <f ca="1">IFERROR(__xludf.DUMMYFUNCTION("""COMPUTED_VALUE"""),-0.844224072986339)</f>
        <v>-0.84422407298633895</v>
      </c>
      <c r="NL12" s="3">
        <f ca="1">IFERROR(__xludf.DUMMYFUNCTION("""COMPUTED_VALUE"""),-0.847816840024014)</f>
        <v>-0.84781684002401403</v>
      </c>
      <c r="NM12" s="3">
        <f ca="1">IFERROR(__xludf.DUMMYFUNCTION("""COMPUTED_VALUE"""),-0.874839627350526)</f>
        <v>-0.87483962735052601</v>
      </c>
      <c r="NN12" s="3">
        <f ca="1">IFERROR(__xludf.DUMMYFUNCTION("""COMPUTED_VALUE"""),-0.849592116884452)</f>
        <v>-0.84959211688445202</v>
      </c>
      <c r="NO12" s="3">
        <f ca="1">IFERROR(__xludf.DUMMYFUNCTION("""COMPUTED_VALUE"""),-0.867657273402251)</f>
        <v>-0.86765727340225096</v>
      </c>
      <c r="NP12" s="3">
        <f ca="1">IFERROR(__xludf.DUMMYFUNCTION("""COMPUTED_VALUE"""),-0.857010883858132)</f>
        <v>-0.85701088385813196</v>
      </c>
      <c r="NQ12" s="3">
        <f ca="1">IFERROR(__xludf.DUMMYFUNCTION("""COMPUTED_VALUE"""),-0.86276353494242)</f>
        <v>-0.86276353494241997</v>
      </c>
      <c r="NR12" s="3">
        <f ca="1">IFERROR(__xludf.DUMMYFUNCTION("""COMPUTED_VALUE"""),-0.77107700654057)</f>
        <v>-0.77107700654056999</v>
      </c>
      <c r="NS12" s="3">
        <f ca="1">IFERROR(__xludf.DUMMYFUNCTION("""COMPUTED_VALUE"""),-0.809177985953286)</f>
        <v>-0.80917798595328605</v>
      </c>
      <c r="NT12" s="3">
        <f ca="1">IFERROR(__xludf.DUMMYFUNCTION("""COMPUTED_VALUE"""),-0.870927699310375)</f>
        <v>-0.87092769931037495</v>
      </c>
      <c r="NU12" s="3">
        <f ca="1">IFERROR(__xludf.DUMMYFUNCTION("""COMPUTED_VALUE"""),-0.874990916789698)</f>
        <v>-0.87499091678969798</v>
      </c>
      <c r="NV12" s="3">
        <f ca="1">IFERROR(__xludf.DUMMYFUNCTION("""COMPUTED_VALUE"""),-0.877321434345611)</f>
        <v>-0.87732143434561105</v>
      </c>
      <c r="NW12" s="3">
        <f ca="1">IFERROR(__xludf.DUMMYFUNCTION("""COMPUTED_VALUE"""),-0.850018749799081)</f>
        <v>-0.85001874979908099</v>
      </c>
      <c r="NX12" s="3">
        <f ca="1">IFERROR(__xludf.DUMMYFUNCTION("""COMPUTED_VALUE"""),-0.816582433943605)</f>
        <v>-0.81658243394360497</v>
      </c>
      <c r="NY12" s="3">
        <f ca="1">IFERROR(__xludf.DUMMYFUNCTION("""COMPUTED_VALUE"""),-0.733598362783286)</f>
        <v>-0.73359836278328605</v>
      </c>
      <c r="NZ12" s="3">
        <f ca="1">IFERROR(__xludf.DUMMYFUNCTION("""COMPUTED_VALUE"""),-0.734052979368678)</f>
        <v>-0.73405297936867797</v>
      </c>
      <c r="OA12" s="3">
        <f ca="1">IFERROR(__xludf.DUMMYFUNCTION("""COMPUTED_VALUE"""),-0.797358173421689)</f>
        <v>-0.79735817342168902</v>
      </c>
      <c r="OB12" s="3">
        <f ca="1">IFERROR(__xludf.DUMMYFUNCTION("""COMPUTED_VALUE"""),-0.785706253423688)</f>
        <v>-0.78570625342368805</v>
      </c>
      <c r="OC12" s="3">
        <f ca="1">IFERROR(__xludf.DUMMYFUNCTION("""COMPUTED_VALUE"""),-0.770113140684725)</f>
        <v>-0.77011314068472503</v>
      </c>
      <c r="OD12" s="3">
        <f ca="1">IFERROR(__xludf.DUMMYFUNCTION("""COMPUTED_VALUE"""),-0.712051222901924)</f>
        <v>-0.71205122290192402</v>
      </c>
      <c r="OE12" s="3">
        <f ca="1">IFERROR(__xludf.DUMMYFUNCTION("""COMPUTED_VALUE"""),-0.627569637480963)</f>
        <v>-0.62756963748096295</v>
      </c>
      <c r="OF12" s="3">
        <f ca="1">IFERROR(__xludf.DUMMYFUNCTION("""COMPUTED_VALUE"""),-0.443359824692968)</f>
        <v>-0.44335982469296797</v>
      </c>
      <c r="OG12" s="3">
        <f ca="1">IFERROR(__xludf.DUMMYFUNCTION("""COMPUTED_VALUE"""),-0.429003538016565)</f>
        <v>-0.42900353801656499</v>
      </c>
      <c r="OH12" s="3">
        <f ca="1">IFERROR(__xludf.DUMMYFUNCTION("""COMPUTED_VALUE"""),-0.376813855354179)</f>
        <v>-0.37681385535417899</v>
      </c>
      <c r="OI12" s="3">
        <f ca="1">IFERROR(__xludf.DUMMYFUNCTION("""COMPUTED_VALUE"""),-0.285546756513491)</f>
        <v>-0.28554675651349098</v>
      </c>
      <c r="OJ12" s="3">
        <f ca="1">IFERROR(__xludf.DUMMYFUNCTION("""COMPUTED_VALUE"""),-0.266766083977713)</f>
        <v>-0.26676608397771301</v>
      </c>
      <c r="OK12" s="3">
        <f ca="1">IFERROR(__xludf.DUMMYFUNCTION("""COMPUTED_VALUE"""),-0.203967030410551)</f>
        <v>-0.203967030410551</v>
      </c>
      <c r="OL12" s="3">
        <f ca="1">IFERROR(__xludf.DUMMYFUNCTION("""COMPUTED_VALUE"""),-0.203761571935407)</f>
        <v>-0.203761571935407</v>
      </c>
      <c r="OM12" s="3">
        <f ca="1">IFERROR(__xludf.DUMMYFUNCTION("""COMPUTED_VALUE"""),-0.129639267995197)</f>
        <v>-0.12963926799519701</v>
      </c>
      <c r="ON12" s="3">
        <f ca="1">IFERROR(__xludf.DUMMYFUNCTION("""COMPUTED_VALUE"""),-0.0292771626362452)</f>
        <v>-2.9277162636245201E-2</v>
      </c>
      <c r="OO12" s="3">
        <f ca="1">IFERROR(__xludf.DUMMYFUNCTION("""COMPUTED_VALUE"""),-0.0602352754016881)</f>
        <v>-6.0235275401688097E-2</v>
      </c>
      <c r="OP12" s="3">
        <f ca="1">IFERROR(__xludf.DUMMYFUNCTION("""COMPUTED_VALUE"""),-0.0905743396584207)</f>
        <v>-9.0574339658420697E-2</v>
      </c>
      <c r="OQ12" s="3">
        <f ca="1">IFERROR(__xludf.DUMMYFUNCTION("""COMPUTED_VALUE"""),-0.11837072122046)</f>
        <v>-0.11837072122046</v>
      </c>
      <c r="OR12" s="3">
        <f ca="1">IFERROR(__xludf.DUMMYFUNCTION("""COMPUTED_VALUE"""),-0.138821188312191)</f>
        <v>-0.13882118831219101</v>
      </c>
      <c r="OS12" s="3">
        <f ca="1">IFERROR(__xludf.DUMMYFUNCTION("""COMPUTED_VALUE"""),-0.0504026361103955)</f>
        <v>-5.0402636110395499E-2</v>
      </c>
      <c r="OT12" s="3">
        <f ca="1">IFERROR(__xludf.DUMMYFUNCTION("""COMPUTED_VALUE"""),0.0552882855009526)</f>
        <v>5.5288285500952598E-2</v>
      </c>
      <c r="OU12" s="3">
        <f ca="1">IFERROR(__xludf.DUMMYFUNCTION("""COMPUTED_VALUE"""),0.0629850662444682)</f>
        <v>6.2985066244468202E-2</v>
      </c>
      <c r="OV12" s="3">
        <f ca="1">IFERROR(__xludf.DUMMYFUNCTION("""COMPUTED_VALUE"""),-0.0208186609334709)</f>
        <v>-2.0818660933470901E-2</v>
      </c>
      <c r="OW12" s="3">
        <f ca="1">IFERROR(__xludf.DUMMYFUNCTION("""COMPUTED_VALUE"""),-0.0406090123017047)</f>
        <v>-4.0609012301704703E-2</v>
      </c>
      <c r="OX12" s="3">
        <f ca="1">IFERROR(__xludf.DUMMYFUNCTION("""COMPUTED_VALUE"""),-0.00238999247207771)</f>
        <v>-2.3899924720777099E-3</v>
      </c>
      <c r="OY12" s="3">
        <f ca="1">IFERROR(__xludf.DUMMYFUNCTION("""COMPUTED_VALUE"""),0.0313458711399767)</f>
        <v>3.1345871139976701E-2</v>
      </c>
      <c r="OZ12" s="3">
        <f ca="1">IFERROR(__xludf.DUMMYFUNCTION("""COMPUTED_VALUE"""),0.108804913626845)</f>
        <v>0.108804913626845</v>
      </c>
      <c r="PA12" s="3">
        <f ca="1">IFERROR(__xludf.DUMMYFUNCTION("""COMPUTED_VALUE"""),0.134348372941206)</f>
        <v>0.134348372941206</v>
      </c>
      <c r="PB12" s="3">
        <f ca="1">IFERROR(__xludf.DUMMYFUNCTION("""COMPUTED_VALUE"""),0.192851006965175)</f>
        <v>0.19285100696517499</v>
      </c>
      <c r="PC12" s="3">
        <f ca="1">IFERROR(__xludf.DUMMYFUNCTION("""COMPUTED_VALUE"""),0.0870245044645257)</f>
        <v>8.7024504464525698E-2</v>
      </c>
      <c r="PD12" s="3">
        <f ca="1">IFERROR(__xludf.DUMMYFUNCTION("""COMPUTED_VALUE"""),-0.0665142154453125)</f>
        <v>-6.6514215445312497E-2</v>
      </c>
      <c r="PE12" s="3">
        <f ca="1">IFERROR(__xludf.DUMMYFUNCTION("""COMPUTED_VALUE"""),-0.103007023493333)</f>
        <v>-0.103007023493333</v>
      </c>
      <c r="PF12" s="3">
        <f ca="1">IFERROR(__xludf.DUMMYFUNCTION("""COMPUTED_VALUE"""),-0.244752486822337)</f>
        <v>-0.244752486822337</v>
      </c>
      <c r="PG12" s="3">
        <f ca="1">IFERROR(__xludf.DUMMYFUNCTION("""COMPUTED_VALUE"""),-0.267016445871376)</f>
        <v>-0.26701644587137602</v>
      </c>
      <c r="PH12" s="3">
        <f ca="1">IFERROR(__xludf.DUMMYFUNCTION("""COMPUTED_VALUE"""),0.0352678255577807)</f>
        <v>3.5267825557780699E-2</v>
      </c>
      <c r="PI12" s="3">
        <f ca="1">IFERROR(__xludf.DUMMYFUNCTION("""COMPUTED_VALUE"""),0.11074488016684)</f>
        <v>0.11074488016684</v>
      </c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</row>
    <row r="13" spans="1:477" ht="15.75" customHeight="1">
      <c r="A13" s="1" t="str">
        <f ca="1">IFERROR(__xludf.DUMMYFUNCTION("""COMPUTED_VALUE"""),"Calgary Transit")</f>
        <v>Calgary Transit</v>
      </c>
      <c r="B13" s="1" t="str">
        <f ca="1">IFERROR(__xludf.DUMMYFUNCTION("""COMPUTED_VALUE"""),"Calgary")</f>
        <v>Calgary</v>
      </c>
      <c r="C13" s="1" t="str">
        <f ca="1">IFERROR(__xludf.DUMMYFUNCTION("""COMPUTED_VALUE"""),"Canada")</f>
        <v>Canada</v>
      </c>
      <c r="D13" s="1" t="str">
        <f ca="1">IFERROR(__xludf.DUMMYFUNCTION("""COMPUTED_VALUE"""),"Alberta")</f>
        <v>Alberta</v>
      </c>
      <c r="E13" s="3">
        <f ca="1">IFERROR(__xludf.DUMMYFUNCTION("""COMPUTED_VALUE"""),-0.607484810380809)</f>
        <v>-0.60748481038080904</v>
      </c>
      <c r="F13" s="3">
        <f ca="1">IFERROR(__xludf.DUMMYFUNCTION("""COMPUTED_VALUE"""),-0.600328957330121)</f>
        <v>-0.60032895733012104</v>
      </c>
      <c r="G13" s="3">
        <f ca="1">IFERROR(__xludf.DUMMYFUNCTION("""COMPUTED_VALUE"""),-0.658503791089145)</f>
        <v>-0.65850379108914503</v>
      </c>
      <c r="H13" s="3">
        <f ca="1">IFERROR(__xludf.DUMMYFUNCTION("""COMPUTED_VALUE"""),-0.624071013270944)</f>
        <v>-0.62407101327094405</v>
      </c>
      <c r="I13" s="3">
        <f ca="1">IFERROR(__xludf.DUMMYFUNCTION("""COMPUTED_VALUE"""),-0.606142223035382)</f>
        <v>-0.60614222303538201</v>
      </c>
      <c r="J13" s="3">
        <f ca="1">IFERROR(__xludf.DUMMYFUNCTION("""COMPUTED_VALUE"""),-0.687302797926442)</f>
        <v>-0.687302797926442</v>
      </c>
      <c r="K13" s="3">
        <f ca="1">IFERROR(__xludf.DUMMYFUNCTION("""COMPUTED_VALUE"""),-0.600068376914105)</f>
        <v>-0.60006837691410497</v>
      </c>
      <c r="L13" s="3">
        <f ca="1">IFERROR(__xludf.DUMMYFUNCTION("""COMPUTED_VALUE"""),-0.585969198948378)</f>
        <v>-0.58596919894837796</v>
      </c>
      <c r="M13" s="3">
        <f ca="1">IFERROR(__xludf.DUMMYFUNCTION("""COMPUTED_VALUE"""),-0.718350690589587)</f>
        <v>-0.718350690589587</v>
      </c>
      <c r="N13" s="3">
        <f ca="1">IFERROR(__xludf.DUMMYFUNCTION("""COMPUTED_VALUE"""),-0.629213449378648)</f>
        <v>-0.62921344937864798</v>
      </c>
      <c r="O13" s="3">
        <f ca="1">IFERROR(__xludf.DUMMYFUNCTION("""COMPUTED_VALUE"""),-0.634382610659393)</f>
        <v>-0.63438261065939305</v>
      </c>
      <c r="P13" s="3">
        <f ca="1">IFERROR(__xludf.DUMMYFUNCTION("""COMPUTED_VALUE"""),-0.646088459370993)</f>
        <v>-0.64608845937099302</v>
      </c>
      <c r="Q13" s="3">
        <f ca="1">IFERROR(__xludf.DUMMYFUNCTION("""COMPUTED_VALUE"""),-0.693982742551824)</f>
        <v>-0.69398274255182402</v>
      </c>
      <c r="R13" s="3">
        <f ca="1">IFERROR(__xludf.DUMMYFUNCTION("""COMPUTED_VALUE"""),-0.53859100612553)</f>
        <v>-0.53859100612553001</v>
      </c>
      <c r="S13" s="3">
        <f ca="1">IFERROR(__xludf.DUMMYFUNCTION("""COMPUTED_VALUE"""),-0.553479357839681)</f>
        <v>-0.55347935783968105</v>
      </c>
      <c r="T13" s="3">
        <f ca="1">IFERROR(__xludf.DUMMYFUNCTION("""COMPUTED_VALUE"""),-0.612295913152023)</f>
        <v>-0.61229591315202303</v>
      </c>
      <c r="U13" s="3">
        <f ca="1">IFERROR(__xludf.DUMMYFUNCTION("""COMPUTED_VALUE"""),-0.63475054290786)</f>
        <v>-0.63475054290786004</v>
      </c>
      <c r="V13" s="3">
        <f ca="1">IFERROR(__xludf.DUMMYFUNCTION("""COMPUTED_VALUE"""),-0.631175064858708)</f>
        <v>-0.631175064858708</v>
      </c>
      <c r="W13" s="3">
        <f ca="1">IFERROR(__xludf.DUMMYFUNCTION("""COMPUTED_VALUE"""),-0.616190270638032)</f>
        <v>-0.616190270638032</v>
      </c>
      <c r="X13" s="3">
        <f ca="1">IFERROR(__xludf.DUMMYFUNCTION("""COMPUTED_VALUE"""),-0.614142149099489)</f>
        <v>-0.61414214909948905</v>
      </c>
      <c r="Y13" s="3">
        <f ca="1">IFERROR(__xludf.DUMMYFUNCTION("""COMPUTED_VALUE"""),-0.537179362657837)</f>
        <v>-0.53717936265783695</v>
      </c>
      <c r="Z13" s="3">
        <f ca="1">IFERROR(__xludf.DUMMYFUNCTION("""COMPUTED_VALUE"""),-0.531218000701714)</f>
        <v>-0.53121800070171399</v>
      </c>
      <c r="AA13" s="3">
        <f ca="1">IFERROR(__xludf.DUMMYFUNCTION("""COMPUTED_VALUE"""),-0.599534682454847)</f>
        <v>-0.59953468245484698</v>
      </c>
      <c r="AB13" s="3">
        <f ca="1">IFERROR(__xludf.DUMMYFUNCTION("""COMPUTED_VALUE"""),-0.620630411202593)</f>
        <v>-0.62063041120259299</v>
      </c>
      <c r="AC13" s="3">
        <f ca="1">IFERROR(__xludf.DUMMYFUNCTION("""COMPUTED_VALUE"""),-0.618591171009056)</f>
        <v>-0.61859117100905603</v>
      </c>
      <c r="AD13" s="3">
        <f ca="1">IFERROR(__xludf.DUMMYFUNCTION("""COMPUTED_VALUE"""),-0.616038027950515)</f>
        <v>-0.61603802795051499</v>
      </c>
      <c r="AE13" s="3">
        <f ca="1">IFERROR(__xludf.DUMMYFUNCTION("""COMPUTED_VALUE"""),-0.609286961324653)</f>
        <v>-0.60928696132465299</v>
      </c>
      <c r="AF13" s="3">
        <f ca="1">IFERROR(__xludf.DUMMYFUNCTION("""COMPUTED_VALUE"""),-0.501278026924559)</f>
        <v>-0.50127802692455903</v>
      </c>
      <c r="AG13" s="3">
        <f ca="1">IFERROR(__xludf.DUMMYFUNCTION("""COMPUTED_VALUE"""),-0.540511058424247)</f>
        <v>-0.54051105842424696</v>
      </c>
      <c r="AH13" s="3">
        <f ca="1">IFERROR(__xludf.DUMMYFUNCTION("""COMPUTED_VALUE"""),-0.660083004060228)</f>
        <v>-0.66008300406022802</v>
      </c>
      <c r="AI13" s="3">
        <f ca="1">IFERROR(__xludf.DUMMYFUNCTION("""COMPUTED_VALUE"""),-0.643958680253041)</f>
        <v>-0.64395868025304104</v>
      </c>
      <c r="AJ13" s="3">
        <f ca="1">IFERROR(__xludf.DUMMYFUNCTION("""COMPUTED_VALUE"""),-0.650463026390865)</f>
        <v>-0.65046302639086495</v>
      </c>
      <c r="AK13" s="3">
        <f ca="1">IFERROR(__xludf.DUMMYFUNCTION("""COMPUTED_VALUE"""),-0.64956626941693)</f>
        <v>-0.64956626941692996</v>
      </c>
      <c r="AL13" s="3">
        <f ca="1">IFERROR(__xludf.DUMMYFUNCTION("""COMPUTED_VALUE"""),-0.638698728782145)</f>
        <v>-0.63869872878214495</v>
      </c>
      <c r="AM13" s="3">
        <f ca="1">IFERROR(__xludf.DUMMYFUNCTION("""COMPUTED_VALUE"""),-0.514369558843634)</f>
        <v>-0.514369558843634</v>
      </c>
      <c r="AN13" s="3">
        <f ca="1">IFERROR(__xludf.DUMMYFUNCTION("""COMPUTED_VALUE"""),-0.546243095055416)</f>
        <v>-0.54624309505541602</v>
      </c>
      <c r="AO13" s="3">
        <f ca="1">IFERROR(__xludf.DUMMYFUNCTION("""COMPUTED_VALUE"""),-0.589173488780356)</f>
        <v>-0.58917348878035602</v>
      </c>
      <c r="AP13" s="3">
        <f ca="1">IFERROR(__xludf.DUMMYFUNCTION("""COMPUTED_VALUE"""),-0.643616232351835)</f>
        <v>-0.64361623235183496</v>
      </c>
      <c r="AQ13" s="3">
        <f ca="1">IFERROR(__xludf.DUMMYFUNCTION("""COMPUTED_VALUE"""),-0.644304178240679)</f>
        <v>-0.64430417824067898</v>
      </c>
      <c r="AR13" s="3">
        <f ca="1">IFERROR(__xludf.DUMMYFUNCTION("""COMPUTED_VALUE"""),-0.644688362894103)</f>
        <v>-0.64468836289410303</v>
      </c>
      <c r="AS13" s="3">
        <f ca="1">IFERROR(__xludf.DUMMYFUNCTION("""COMPUTED_VALUE"""),-0.630940991457259)</f>
        <v>-0.63094099145725902</v>
      </c>
      <c r="AT13" s="3">
        <f ca="1">IFERROR(__xludf.DUMMYFUNCTION("""COMPUTED_VALUE"""),-0.53117439663777)</f>
        <v>-0.53117439663777</v>
      </c>
      <c r="AU13" s="3">
        <f ca="1">IFERROR(__xludf.DUMMYFUNCTION("""COMPUTED_VALUE"""),-0.56062300903872)</f>
        <v>-0.56062300903871998</v>
      </c>
      <c r="AV13" s="3">
        <f ca="1">IFERROR(__xludf.DUMMYFUNCTION("""COMPUTED_VALUE"""),-0.596545680647166)</f>
        <v>-0.59654568064716595</v>
      </c>
      <c r="AW13" s="3">
        <f ca="1">IFERROR(__xludf.DUMMYFUNCTION("""COMPUTED_VALUE"""),-0.637996792994189)</f>
        <v>-0.63799679299418899</v>
      </c>
      <c r="AX13" s="3">
        <f ca="1">IFERROR(__xludf.DUMMYFUNCTION("""COMPUTED_VALUE"""),-0.635853244007776)</f>
        <v>-0.63585324400777599</v>
      </c>
      <c r="AY13" s="3">
        <f ca="1">IFERROR(__xludf.DUMMYFUNCTION("""COMPUTED_VALUE"""),-0.66162749965783)</f>
        <v>-0.66162749965782996</v>
      </c>
      <c r="AZ13" s="3">
        <f ca="1">IFERROR(__xludf.DUMMYFUNCTION("""COMPUTED_VALUE"""),-0.568804963190645)</f>
        <v>-0.568804963190645</v>
      </c>
      <c r="BA13" s="3">
        <f ca="1">IFERROR(__xludf.DUMMYFUNCTION("""COMPUTED_VALUE"""),-0.553219897571897)</f>
        <v>-0.55321989757189705</v>
      </c>
      <c r="BB13" s="3">
        <f ca="1">IFERROR(__xludf.DUMMYFUNCTION("""COMPUTED_VALUE"""),-0.528902756832625)</f>
        <v>-0.528902756832625</v>
      </c>
      <c r="BC13" s="3">
        <f ca="1">IFERROR(__xludf.DUMMYFUNCTION("""COMPUTED_VALUE"""),-0.576464928860038)</f>
        <v>-0.57646492886003797</v>
      </c>
      <c r="BD13" s="3">
        <f ca="1">IFERROR(__xludf.DUMMYFUNCTION("""COMPUTED_VALUE"""),-0.645826112831021)</f>
        <v>-0.64582611283102098</v>
      </c>
      <c r="BE13" s="3">
        <f ca="1">IFERROR(__xludf.DUMMYFUNCTION("""COMPUTED_VALUE"""),-0.63745027666051)</f>
        <v>-0.63745027666051002</v>
      </c>
      <c r="BF13" s="3">
        <f ca="1">IFERROR(__xludf.DUMMYFUNCTION("""COMPUTED_VALUE"""),-0.621143678956057)</f>
        <v>-0.62114367895605704</v>
      </c>
      <c r="BG13" s="3">
        <f ca="1">IFERROR(__xludf.DUMMYFUNCTION("""COMPUTED_VALUE"""),-0.757206747887996)</f>
        <v>-0.75720674788799602</v>
      </c>
      <c r="BH13" s="3">
        <f ca="1">IFERROR(__xludf.DUMMYFUNCTION("""COMPUTED_VALUE"""),-0.542499251666166)</f>
        <v>-0.54249925166616597</v>
      </c>
      <c r="BI13" s="3">
        <f ca="1">IFERROR(__xludf.DUMMYFUNCTION("""COMPUTED_VALUE"""),-0.562761863417401)</f>
        <v>-0.56276186341740098</v>
      </c>
      <c r="BJ13" s="3">
        <f ca="1">IFERROR(__xludf.DUMMYFUNCTION("""COMPUTED_VALUE"""),-0.760553924487415)</f>
        <v>-0.76055392448741499</v>
      </c>
      <c r="BK13" s="3">
        <f ca="1">IFERROR(__xludf.DUMMYFUNCTION("""COMPUTED_VALUE"""),-0.77391116213505)</f>
        <v>-0.77391116213504996</v>
      </c>
      <c r="BL13" s="3">
        <f ca="1">IFERROR(__xludf.DUMMYFUNCTION("""COMPUTED_VALUE"""),-0.69261362349772)</f>
        <v>-0.69261362349772004</v>
      </c>
      <c r="BM13" s="3">
        <f ca="1">IFERROR(__xludf.DUMMYFUNCTION("""COMPUTED_VALUE"""),-0.69414500570938)</f>
        <v>-0.69414500570937998</v>
      </c>
      <c r="BN13" s="3">
        <f ca="1">IFERROR(__xludf.DUMMYFUNCTION("""COMPUTED_VALUE"""),-0.631800537061245)</f>
        <v>-0.63180053706124495</v>
      </c>
      <c r="BO13" s="3">
        <f ca="1">IFERROR(__xludf.DUMMYFUNCTION("""COMPUTED_VALUE"""),-0.676878283788385)</f>
        <v>-0.67687828378838499</v>
      </c>
      <c r="BP13" s="3">
        <f ca="1">IFERROR(__xludf.DUMMYFUNCTION("""COMPUTED_VALUE"""),-0.690031224904097)</f>
        <v>-0.69003122490409696</v>
      </c>
      <c r="BQ13" s="3">
        <f ca="1">IFERROR(__xludf.DUMMYFUNCTION("""COMPUTED_VALUE"""),-0.630325103917964)</f>
        <v>-0.63032510391796404</v>
      </c>
      <c r="BR13" s="3">
        <f ca="1">IFERROR(__xludf.DUMMYFUNCTION("""COMPUTED_VALUE"""),-0.631285604981074)</f>
        <v>-0.631285604981074</v>
      </c>
      <c r="BS13" s="3">
        <f ca="1">IFERROR(__xludf.DUMMYFUNCTION("""COMPUTED_VALUE"""),-0.63592250370217)</f>
        <v>-0.63592250370216996</v>
      </c>
      <c r="BT13" s="3">
        <f ca="1">IFERROR(__xludf.DUMMYFUNCTION("""COMPUTED_VALUE"""),-0.662111431507055)</f>
        <v>-0.66211143150705498</v>
      </c>
      <c r="BU13" s="3">
        <f ca="1">IFERROR(__xludf.DUMMYFUNCTION("""COMPUTED_VALUE"""),-0.639379551095157)</f>
        <v>-0.63937955109515698</v>
      </c>
      <c r="BV13" s="3">
        <f ca="1">IFERROR(__xludf.DUMMYFUNCTION("""COMPUTED_VALUE"""),-0.611892187700623)</f>
        <v>-0.61189218770062304</v>
      </c>
      <c r="BW13" s="3">
        <f ca="1">IFERROR(__xludf.DUMMYFUNCTION("""COMPUTED_VALUE"""),-0.632177312346517)</f>
        <v>-0.63217731234651697</v>
      </c>
      <c r="BX13" s="3">
        <f ca="1">IFERROR(__xludf.DUMMYFUNCTION("""COMPUTED_VALUE"""),-0.746854947047522)</f>
        <v>-0.74685494704752198</v>
      </c>
      <c r="BY13" s="3">
        <f ca="1">IFERROR(__xludf.DUMMYFUNCTION("""COMPUTED_VALUE"""),-0.753789646412278)</f>
        <v>-0.75378964641227797</v>
      </c>
      <c r="BZ13" s="3">
        <f ca="1">IFERROR(__xludf.DUMMYFUNCTION("""COMPUTED_VALUE"""),-0.753420797659926)</f>
        <v>-0.75342079765992598</v>
      </c>
      <c r="CA13" s="3">
        <f ca="1">IFERROR(__xludf.DUMMYFUNCTION("""COMPUTED_VALUE"""),-0.764748257144021)</f>
        <v>-0.76474825714402095</v>
      </c>
      <c r="CB13" s="3">
        <f ca="1">IFERROR(__xludf.DUMMYFUNCTION("""COMPUTED_VALUE"""),-0.760986239966864)</f>
        <v>-0.76098623996686399</v>
      </c>
      <c r="CC13" s="3">
        <f ca="1">IFERROR(__xludf.DUMMYFUNCTION("""COMPUTED_VALUE"""),-0.665441836508411)</f>
        <v>-0.66544183650841104</v>
      </c>
      <c r="CD13" s="3">
        <f ca="1">IFERROR(__xludf.DUMMYFUNCTION("""COMPUTED_VALUE"""),-0.622665124398454)</f>
        <v>-0.62266512439845401</v>
      </c>
      <c r="CE13" s="3">
        <f ca="1">IFERROR(__xludf.DUMMYFUNCTION("""COMPUTED_VALUE"""),-0.674453919793042)</f>
        <v>-0.67445391979304203</v>
      </c>
      <c r="CF13" s="3">
        <f ca="1">IFERROR(__xludf.DUMMYFUNCTION("""COMPUTED_VALUE"""),-0.673641271666064)</f>
        <v>-0.67364127166606402</v>
      </c>
      <c r="CG13" s="3">
        <f ca="1">IFERROR(__xludf.DUMMYFUNCTION("""COMPUTED_VALUE"""),-0.659460810474672)</f>
        <v>-0.65946081047467198</v>
      </c>
      <c r="CH13" s="3">
        <f ca="1">IFERROR(__xludf.DUMMYFUNCTION("""COMPUTED_VALUE"""),-0.673228282009972)</f>
        <v>-0.67322828200997198</v>
      </c>
      <c r="CI13" s="3">
        <f ca="1">IFERROR(__xludf.DUMMYFUNCTION("""COMPUTED_VALUE"""),-0.661929374001719)</f>
        <v>-0.66192937400171903</v>
      </c>
      <c r="CJ13" s="3">
        <f ca="1">IFERROR(__xludf.DUMMYFUNCTION("""COMPUTED_VALUE"""),-0.613181439218373)</f>
        <v>-0.61318143921837298</v>
      </c>
      <c r="CK13" s="3">
        <f ca="1">IFERROR(__xludf.DUMMYFUNCTION("""COMPUTED_VALUE"""),-0.62818122296326)</f>
        <v>-0.62818122296325996</v>
      </c>
      <c r="CL13" s="3">
        <f ca="1">IFERROR(__xludf.DUMMYFUNCTION("""COMPUTED_VALUE"""),-0.638615235103093)</f>
        <v>-0.63861523510309304</v>
      </c>
      <c r="CM13" s="3">
        <f ca="1">IFERROR(__xludf.DUMMYFUNCTION("""COMPUTED_VALUE"""),-0.662240395041578)</f>
        <v>-0.66224039504157795</v>
      </c>
      <c r="CN13" s="3">
        <f ca="1">IFERROR(__xludf.DUMMYFUNCTION("""COMPUTED_VALUE"""),-0.674529701054282)</f>
        <v>-0.674529701054282</v>
      </c>
      <c r="CO13" s="3">
        <f ca="1">IFERROR(__xludf.DUMMYFUNCTION("""COMPUTED_VALUE"""),-0.658521106548519)</f>
        <v>-0.65852110654851903</v>
      </c>
      <c r="CP13" s="3">
        <f ca="1">IFERROR(__xludf.DUMMYFUNCTION("""COMPUTED_VALUE"""),-0.636597334755111)</f>
        <v>-0.63659733475511104</v>
      </c>
      <c r="CQ13" s="3">
        <f ca="1">IFERROR(__xludf.DUMMYFUNCTION("""COMPUTED_VALUE"""),-0.604034712171217)</f>
        <v>-0.60403471217121696</v>
      </c>
      <c r="CR13" s="3">
        <f ca="1">IFERROR(__xludf.DUMMYFUNCTION("""COMPUTED_VALUE"""),-0.609096922613156)</f>
        <v>-0.60909692261315596</v>
      </c>
      <c r="CS13" s="3">
        <f ca="1">IFERROR(__xludf.DUMMYFUNCTION("""COMPUTED_VALUE"""),-0.735518550882823)</f>
        <v>-0.73551855088282303</v>
      </c>
      <c r="CT13" s="3">
        <f ca="1">IFERROR(__xludf.DUMMYFUNCTION("""COMPUTED_VALUE"""),-0.743350606251452)</f>
        <v>-0.743350606251452</v>
      </c>
      <c r="CU13" s="3">
        <f ca="1">IFERROR(__xludf.DUMMYFUNCTION("""COMPUTED_VALUE"""),-0.72257606922235)</f>
        <v>-0.72257606922234996</v>
      </c>
      <c r="CV13" s="3">
        <f ca="1">IFERROR(__xludf.DUMMYFUNCTION("""COMPUTED_VALUE"""),-0.729852615063169)</f>
        <v>-0.72985261506316901</v>
      </c>
      <c r="CW13" s="3">
        <f ca="1">IFERROR(__xludf.DUMMYFUNCTION("""COMPUTED_VALUE"""),-0.721857889817985)</f>
        <v>-0.72185788981798504</v>
      </c>
      <c r="CX13" s="3">
        <f ca="1">IFERROR(__xludf.DUMMYFUNCTION("""COMPUTED_VALUE"""),-0.622069000802329)</f>
        <v>-0.62206900080232896</v>
      </c>
      <c r="CY13" s="3">
        <f ca="1">IFERROR(__xludf.DUMMYFUNCTION("""COMPUTED_VALUE"""),-0.638814479825301)</f>
        <v>-0.63881447982530104</v>
      </c>
      <c r="CZ13" s="3">
        <f ca="1">IFERROR(__xludf.DUMMYFUNCTION("""COMPUTED_VALUE"""),-0.815307939836325)</f>
        <v>-0.81530793983632499</v>
      </c>
      <c r="DA13" s="3">
        <f ca="1">IFERROR(__xludf.DUMMYFUNCTION("""COMPUTED_VALUE"""),-0.71154139677192)</f>
        <v>-0.71154139677191997</v>
      </c>
      <c r="DB13" s="3">
        <f ca="1">IFERROR(__xludf.DUMMYFUNCTION("""COMPUTED_VALUE"""),-0.576948542327253)</f>
        <v>-0.57694854232725301</v>
      </c>
      <c r="DC13" s="3">
        <f ca="1">IFERROR(__xludf.DUMMYFUNCTION("""COMPUTED_VALUE"""),-0.67665886896613)</f>
        <v>-0.67665886896613003</v>
      </c>
      <c r="DD13" s="3">
        <f ca="1">IFERROR(__xludf.DUMMYFUNCTION("""COMPUTED_VALUE"""),-0.714426936704234)</f>
        <v>-0.71442693670423396</v>
      </c>
      <c r="DE13" s="3">
        <f ca="1">IFERROR(__xludf.DUMMYFUNCTION("""COMPUTED_VALUE"""),-0.631525411228759)</f>
        <v>-0.63152541122875905</v>
      </c>
      <c r="DF13" s="3">
        <f ca="1">IFERROR(__xludf.DUMMYFUNCTION("""COMPUTED_VALUE"""),-0.653783022293582)</f>
        <v>-0.65378302229358198</v>
      </c>
      <c r="DG13" s="3">
        <f ca="1">IFERROR(__xludf.DUMMYFUNCTION("""COMPUTED_VALUE"""),-0.890310968744597)</f>
        <v>-0.89031096874459703</v>
      </c>
      <c r="DH13" s="3">
        <f ca="1">IFERROR(__xludf.DUMMYFUNCTION("""COMPUTED_VALUE"""),-0.670319383177838)</f>
        <v>-0.67031938317783801</v>
      </c>
      <c r="DI13" s="3">
        <f ca="1">IFERROR(__xludf.DUMMYFUNCTION("""COMPUTED_VALUE"""),-0.33230263809197)</f>
        <v>-0.33230263809197003</v>
      </c>
      <c r="DJ13" s="3">
        <f ca="1">IFERROR(__xludf.DUMMYFUNCTION("""COMPUTED_VALUE"""),-0.400463937472092)</f>
        <v>-0.40046393747209202</v>
      </c>
      <c r="DK13" s="3">
        <f ca="1">IFERROR(__xludf.DUMMYFUNCTION("""COMPUTED_VALUE"""),-0.667878739466282)</f>
        <v>-0.66787873946628196</v>
      </c>
      <c r="DL13" s="3">
        <f ca="1">IFERROR(__xludf.DUMMYFUNCTION("""COMPUTED_VALUE"""),-0.610563722588817)</f>
        <v>-0.61056372258881697</v>
      </c>
      <c r="DM13" s="3">
        <f ca="1">IFERROR(__xludf.DUMMYFUNCTION("""COMPUTED_VALUE"""),-0.649026925008645)</f>
        <v>-0.64902692500864501</v>
      </c>
      <c r="DN13" s="3">
        <f ca="1">IFERROR(__xludf.DUMMYFUNCTION("""COMPUTED_VALUE"""),-0.698092877624818)</f>
        <v>-0.69809287762481798</v>
      </c>
      <c r="DO13" s="3">
        <f ca="1">IFERROR(__xludf.DUMMYFUNCTION("""COMPUTED_VALUE"""),-0.714945553743311)</f>
        <v>-0.71494555374331104</v>
      </c>
      <c r="DP13" s="3">
        <f ca="1">IFERROR(__xludf.DUMMYFUNCTION("""COMPUTED_VALUE"""),-0.662705238147009)</f>
        <v>-0.66270523814700899</v>
      </c>
      <c r="DQ13" s="3">
        <f ca="1">IFERROR(__xludf.DUMMYFUNCTION("""COMPUTED_VALUE"""),-0.707958037396326)</f>
        <v>-0.70795803739632601</v>
      </c>
      <c r="DR13" s="3">
        <f ca="1">IFERROR(__xludf.DUMMYFUNCTION("""COMPUTED_VALUE"""),-0.745616953696121)</f>
        <v>-0.74561695369612102</v>
      </c>
      <c r="DS13" s="3">
        <f ca="1">IFERROR(__xludf.DUMMYFUNCTION("""COMPUTED_VALUE"""),-0.68564588178266)</f>
        <v>-0.68564588178265995</v>
      </c>
      <c r="DT13" s="3">
        <f ca="1">IFERROR(__xludf.DUMMYFUNCTION("""COMPUTED_VALUE"""),-0.627129318255306)</f>
        <v>-0.62712931825530605</v>
      </c>
      <c r="DU13" s="3">
        <f ca="1">IFERROR(__xludf.DUMMYFUNCTION("""COMPUTED_VALUE"""),-0.719985106862014)</f>
        <v>-0.719985106862014</v>
      </c>
      <c r="DV13" s="3">
        <f ca="1">IFERROR(__xludf.DUMMYFUNCTION("""COMPUTED_VALUE"""),-0.730260735470158)</f>
        <v>-0.73026073547015802</v>
      </c>
      <c r="DW13" s="3">
        <f ca="1">IFERROR(__xludf.DUMMYFUNCTION("""COMPUTED_VALUE"""),-0.744357342455027)</f>
        <v>-0.74435734245502705</v>
      </c>
      <c r="DX13" s="3">
        <f ca="1">IFERROR(__xludf.DUMMYFUNCTION("""COMPUTED_VALUE"""),-0.718948582913778)</f>
        <v>-0.71894858291377794</v>
      </c>
      <c r="DY13" s="3">
        <f ca="1">IFERROR(__xludf.DUMMYFUNCTION("""COMPUTED_VALUE"""),-0.727622186747413)</f>
        <v>-0.72762218674741297</v>
      </c>
      <c r="DZ13" s="3">
        <f ca="1">IFERROR(__xludf.DUMMYFUNCTION("""COMPUTED_VALUE"""),-0.600773980574737)</f>
        <v>-0.60077398057473697</v>
      </c>
      <c r="EA13" s="3">
        <f ca="1">IFERROR(__xludf.DUMMYFUNCTION("""COMPUTED_VALUE"""),-0.618072533495723)</f>
        <v>-0.618072533495723</v>
      </c>
      <c r="EB13" s="3">
        <f ca="1">IFERROR(__xludf.DUMMYFUNCTION("""COMPUTED_VALUE"""),-0.723917478245837)</f>
        <v>-0.72391747824583697</v>
      </c>
      <c r="EC13" s="3">
        <f ca="1">IFERROR(__xludf.DUMMYFUNCTION("""COMPUTED_VALUE"""),-0.744495228199778)</f>
        <v>-0.74449522819977798</v>
      </c>
      <c r="ED13" s="3">
        <f ca="1">IFERROR(__xludf.DUMMYFUNCTION("""COMPUTED_VALUE"""),-0.742773061667794)</f>
        <v>-0.742773061667794</v>
      </c>
      <c r="EE13" s="3">
        <f ca="1">IFERROR(__xludf.DUMMYFUNCTION("""COMPUTED_VALUE"""),-0.727075176158666)</f>
        <v>-0.72707517615866601</v>
      </c>
      <c r="EF13" s="3">
        <f ca="1">IFERROR(__xludf.DUMMYFUNCTION("""COMPUTED_VALUE"""),-0.717343254849076)</f>
        <v>-0.71734325484907602</v>
      </c>
      <c r="EG13" s="3">
        <f ca="1">IFERROR(__xludf.DUMMYFUNCTION("""COMPUTED_VALUE"""),-0.58478417405131)</f>
        <v>-0.58478417405131</v>
      </c>
      <c r="EH13" s="3">
        <f ca="1">IFERROR(__xludf.DUMMYFUNCTION("""COMPUTED_VALUE"""),-0.607527447131172)</f>
        <v>-0.60752744713117202</v>
      </c>
      <c r="EI13" s="3">
        <f ca="1">IFERROR(__xludf.DUMMYFUNCTION("""COMPUTED_VALUE"""),-0.618553120432799)</f>
        <v>-0.61855312043279898</v>
      </c>
      <c r="EJ13" s="3">
        <f ca="1">IFERROR(__xludf.DUMMYFUNCTION("""COMPUTED_VALUE"""),-0.649318687755349)</f>
        <v>-0.64931868775534896</v>
      </c>
      <c r="EK13" s="3">
        <f ca="1">IFERROR(__xludf.DUMMYFUNCTION("""COMPUTED_VALUE"""),-0.658534640842121)</f>
        <v>-0.65853464084212099</v>
      </c>
      <c r="EL13" s="3">
        <f ca="1">IFERROR(__xludf.DUMMYFUNCTION("""COMPUTED_VALUE"""),-0.66091823668621)</f>
        <v>-0.66091823668620997</v>
      </c>
      <c r="EM13" s="3">
        <f ca="1">IFERROR(__xludf.DUMMYFUNCTION("""COMPUTED_VALUE"""),-0.627581173061565)</f>
        <v>-0.62758117306156502</v>
      </c>
      <c r="EN13" s="3">
        <f ca="1">IFERROR(__xludf.DUMMYFUNCTION("""COMPUTED_VALUE"""),-0.595518338303814)</f>
        <v>-0.59551833830381395</v>
      </c>
      <c r="EO13" s="3">
        <f ca="1">IFERROR(__xludf.DUMMYFUNCTION("""COMPUTED_VALUE"""),-0.577382827468543)</f>
        <v>-0.57738282746854297</v>
      </c>
      <c r="EP13" s="3">
        <f ca="1">IFERROR(__xludf.DUMMYFUNCTION("""COMPUTED_VALUE"""),-0.659522444799386)</f>
        <v>-0.65952244479938604</v>
      </c>
      <c r="EQ13" s="3">
        <f ca="1">IFERROR(__xludf.DUMMYFUNCTION("""COMPUTED_VALUE"""),-0.641911816333231)</f>
        <v>-0.64191181633323102</v>
      </c>
      <c r="ER13" s="3">
        <f ca="1">IFERROR(__xludf.DUMMYFUNCTION("""COMPUTED_VALUE"""),-0.626858249545979)</f>
        <v>-0.62685824954597902</v>
      </c>
      <c r="ES13" s="3">
        <f ca="1">IFERROR(__xludf.DUMMYFUNCTION("""COMPUTED_VALUE"""),-0.640809339600294)</f>
        <v>-0.64080933960029396</v>
      </c>
      <c r="ET13" s="3">
        <f ca="1">IFERROR(__xludf.DUMMYFUNCTION("""COMPUTED_VALUE"""),-0.585539891056955)</f>
        <v>-0.58553989105695503</v>
      </c>
      <c r="EU13" s="3">
        <f ca="1">IFERROR(__xludf.DUMMYFUNCTION("""COMPUTED_VALUE"""),-0.54860010887202)</f>
        <v>-0.54860010887202004</v>
      </c>
      <c r="EV13" s="3">
        <f ca="1">IFERROR(__xludf.DUMMYFUNCTION("""COMPUTED_VALUE"""),-0.576498527046547)</f>
        <v>-0.57649852704654703</v>
      </c>
      <c r="EW13" s="3">
        <f ca="1">IFERROR(__xludf.DUMMYFUNCTION("""COMPUTED_VALUE"""),-0.600715844875036)</f>
        <v>-0.60071584487503604</v>
      </c>
      <c r="EX13" s="3">
        <f ca="1">IFERROR(__xludf.DUMMYFUNCTION("""COMPUTED_VALUE"""),-0.582166381571642)</f>
        <v>-0.58216638157164202</v>
      </c>
      <c r="EY13" s="3">
        <f ca="1">IFERROR(__xludf.DUMMYFUNCTION("""COMPUTED_VALUE"""),-0.716985870553991)</f>
        <v>-0.71698587055399099</v>
      </c>
      <c r="EZ13" s="3">
        <f ca="1">IFERROR(__xludf.DUMMYFUNCTION("""COMPUTED_VALUE"""),-0.567790536771482)</f>
        <v>-0.56779053677148195</v>
      </c>
      <c r="FA13" s="3">
        <f ca="1">IFERROR(__xludf.DUMMYFUNCTION("""COMPUTED_VALUE"""),-0.537132082716856)</f>
        <v>-0.53713208271685597</v>
      </c>
      <c r="FB13" s="3">
        <f ca="1">IFERROR(__xludf.DUMMYFUNCTION("""COMPUTED_VALUE"""),-0.603896252073247)</f>
        <v>-0.60389625207324704</v>
      </c>
      <c r="FC13" s="3">
        <f ca="1">IFERROR(__xludf.DUMMYFUNCTION("""COMPUTED_VALUE"""),-0.573624325186083)</f>
        <v>-0.57362432518608297</v>
      </c>
      <c r="FD13" s="3">
        <f ca="1">IFERROR(__xludf.DUMMYFUNCTION("""COMPUTED_VALUE"""),-0.552427439233237)</f>
        <v>-0.55242743923323701</v>
      </c>
      <c r="FE13" s="3">
        <f ca="1">IFERROR(__xludf.DUMMYFUNCTION("""COMPUTED_VALUE"""),-0.593989396959956)</f>
        <v>-0.59398939695995601</v>
      </c>
      <c r="FF13" s="3">
        <f ca="1">IFERROR(__xludf.DUMMYFUNCTION("""COMPUTED_VALUE"""),-0.591788728116367)</f>
        <v>-0.59178872811636696</v>
      </c>
      <c r="FG13" s="3">
        <f ca="1">IFERROR(__xludf.DUMMYFUNCTION("""COMPUTED_VALUE"""),-0.589679528647701)</f>
        <v>-0.58967952864770101</v>
      </c>
      <c r="FH13" s="3">
        <f ca="1">IFERROR(__xludf.DUMMYFUNCTION("""COMPUTED_VALUE"""),-0.519633470291849)</f>
        <v>-0.51963347029184903</v>
      </c>
      <c r="FI13" s="3">
        <f ca="1">IFERROR(__xludf.DUMMYFUNCTION("""COMPUTED_VALUE"""),-0.50427964592745)</f>
        <v>-0.50427964592745</v>
      </c>
      <c r="FJ13" s="3">
        <f ca="1">IFERROR(__xludf.DUMMYFUNCTION("""COMPUTED_VALUE"""),-0.474485520020197)</f>
        <v>-0.474485520020197</v>
      </c>
      <c r="FK13" s="3">
        <f ca="1">IFERROR(__xludf.DUMMYFUNCTION("""COMPUTED_VALUE"""),-0.62789567937382)</f>
        <v>-0.62789567937381996</v>
      </c>
      <c r="FL13" s="3">
        <f ca="1">IFERROR(__xludf.DUMMYFUNCTION("""COMPUTED_VALUE"""),-0.622492963781596)</f>
        <v>-0.62249296378159602</v>
      </c>
      <c r="FM13" s="3">
        <f ca="1">IFERROR(__xludf.DUMMYFUNCTION("""COMPUTED_VALUE"""),-0.590243722983274)</f>
        <v>-0.59024372298327399</v>
      </c>
      <c r="FN13" s="3">
        <f ca="1">IFERROR(__xludf.DUMMYFUNCTION("""COMPUTED_VALUE"""),-0.575168698247448)</f>
        <v>-0.57516869824744798</v>
      </c>
      <c r="FO13" s="3">
        <f ca="1">IFERROR(__xludf.DUMMYFUNCTION("""COMPUTED_VALUE"""),-0.578411809389885)</f>
        <v>-0.57841180938988501</v>
      </c>
      <c r="FP13" s="3">
        <f ca="1">IFERROR(__xludf.DUMMYFUNCTION("""COMPUTED_VALUE"""),-0.521380063260998)</f>
        <v>-0.52138006326099795</v>
      </c>
      <c r="FQ13" s="3">
        <f ca="1">IFERROR(__xludf.DUMMYFUNCTION("""COMPUTED_VALUE"""),-0.542457899672663)</f>
        <v>-0.542457899672663</v>
      </c>
      <c r="FR13" s="3">
        <f ca="1">IFERROR(__xludf.DUMMYFUNCTION("""COMPUTED_VALUE"""),-0.543569122597111)</f>
        <v>-0.54356912259711099</v>
      </c>
      <c r="FS13" s="3">
        <f ca="1">IFERROR(__xludf.DUMMYFUNCTION("""COMPUTED_VALUE"""),-0.571726932614455)</f>
        <v>-0.57172693261445495</v>
      </c>
      <c r="FT13" s="3">
        <f ca="1">IFERROR(__xludf.DUMMYFUNCTION("""COMPUTED_VALUE"""),-0.562908950664106)</f>
        <v>-0.56290895066410596</v>
      </c>
      <c r="FU13" s="3">
        <f ca="1">IFERROR(__xludf.DUMMYFUNCTION("""COMPUTED_VALUE"""),-0.541261738727283)</f>
        <v>-0.541261738727283</v>
      </c>
      <c r="FV13" s="3">
        <f ca="1">IFERROR(__xludf.DUMMYFUNCTION("""COMPUTED_VALUE"""),-0.469511018179299)</f>
        <v>-0.46951101817929902</v>
      </c>
      <c r="FW13" s="3">
        <f ca="1">IFERROR(__xludf.DUMMYFUNCTION("""COMPUTED_VALUE"""),-0.501804937056906)</f>
        <v>-0.50180493705690599</v>
      </c>
      <c r="FX13" s="3">
        <f ca="1">IFERROR(__xludf.DUMMYFUNCTION("""COMPUTED_VALUE"""),-0.518162841594461)</f>
        <v>-0.51816284159446102</v>
      </c>
      <c r="FY13" s="3">
        <f ca="1">IFERROR(__xludf.DUMMYFUNCTION("""COMPUTED_VALUE"""),-0.541256132293802)</f>
        <v>-0.54125613229380198</v>
      </c>
      <c r="FZ13" s="3">
        <f ca="1">IFERROR(__xludf.DUMMYFUNCTION("""COMPUTED_VALUE"""),-0.552883808386741)</f>
        <v>-0.552883808386741</v>
      </c>
      <c r="GA13" s="3">
        <f ca="1">IFERROR(__xludf.DUMMYFUNCTION("""COMPUTED_VALUE"""),-0.590971847970611)</f>
        <v>-0.59097184797061098</v>
      </c>
      <c r="GB13" s="3">
        <f ca="1">IFERROR(__xludf.DUMMYFUNCTION("""COMPUTED_VALUE"""),-0.573223434276485)</f>
        <v>-0.57322343427648503</v>
      </c>
      <c r="GC13" s="3">
        <f ca="1">IFERROR(__xludf.DUMMYFUNCTION("""COMPUTED_VALUE"""),-0.726679037596568)</f>
        <v>-0.72667903759656804</v>
      </c>
      <c r="GD13" s="3">
        <f ca="1">IFERROR(__xludf.DUMMYFUNCTION("""COMPUTED_VALUE"""),-0.514717382873401)</f>
        <v>-0.51471738287340096</v>
      </c>
      <c r="GE13" s="3">
        <f ca="1">IFERROR(__xludf.DUMMYFUNCTION("""COMPUTED_VALUE"""),-0.523415788446305)</f>
        <v>-0.52341578844630499</v>
      </c>
      <c r="GF13" s="3">
        <f ca="1">IFERROR(__xludf.DUMMYFUNCTION("""COMPUTED_VALUE"""),-0.598513917354787)</f>
        <v>-0.59851391735478698</v>
      </c>
      <c r="GG13" s="3">
        <f ca="1">IFERROR(__xludf.DUMMYFUNCTION("""COMPUTED_VALUE"""),-0.568434499162763)</f>
        <v>-0.56843449916276301</v>
      </c>
      <c r="GH13" s="3">
        <f ca="1">IFERROR(__xludf.DUMMYFUNCTION("""COMPUTED_VALUE"""),-0.567601331374227)</f>
        <v>-0.56760133137422697</v>
      </c>
      <c r="GI13" s="3">
        <f ca="1">IFERROR(__xludf.DUMMYFUNCTION("""COMPUTED_VALUE"""),-0.563789683629947)</f>
        <v>-0.56378968362994697</v>
      </c>
      <c r="GJ13" s="3">
        <f ca="1">IFERROR(__xludf.DUMMYFUNCTION("""COMPUTED_VALUE"""),-0.505178667978083)</f>
        <v>-0.50517866797808297</v>
      </c>
      <c r="GK13" s="3">
        <f ca="1">IFERROR(__xludf.DUMMYFUNCTION("""COMPUTED_VALUE"""),-0.479128076012912)</f>
        <v>-0.47912807601291202</v>
      </c>
      <c r="GL13" s="3">
        <f ca="1">IFERROR(__xludf.DUMMYFUNCTION("""COMPUTED_VALUE"""),-0.482123697349855)</f>
        <v>-0.482123697349855</v>
      </c>
      <c r="GM13" s="3">
        <f ca="1">IFERROR(__xludf.DUMMYFUNCTION("""COMPUTED_VALUE"""),-0.519377219120895)</f>
        <v>-0.51937721912089496</v>
      </c>
      <c r="GN13" s="3">
        <f ca="1">IFERROR(__xludf.DUMMYFUNCTION("""COMPUTED_VALUE"""),-0.55889726695771)</f>
        <v>-0.55889726695771003</v>
      </c>
      <c r="GO13" s="3">
        <f ca="1">IFERROR(__xludf.DUMMYFUNCTION("""COMPUTED_VALUE"""),-0.56111236497415)</f>
        <v>-0.56111236497414996</v>
      </c>
      <c r="GP13" s="3">
        <f ca="1">IFERROR(__xludf.DUMMYFUNCTION("""COMPUTED_VALUE"""),-0.569269351609238)</f>
        <v>-0.56926935160923797</v>
      </c>
      <c r="GQ13" s="3">
        <f ca="1">IFERROR(__xludf.DUMMYFUNCTION("""COMPUTED_VALUE"""),-0.577196861637636)</f>
        <v>-0.57719686163763595</v>
      </c>
      <c r="GR13" s="3">
        <f ca="1">IFERROR(__xludf.DUMMYFUNCTION("""COMPUTED_VALUE"""),-0.46788807850673)</f>
        <v>-0.46788807850672998</v>
      </c>
      <c r="GS13" s="3">
        <f ca="1">IFERROR(__xludf.DUMMYFUNCTION("""COMPUTED_VALUE"""),-0.482298313782083)</f>
        <v>-0.48229831378208299</v>
      </c>
      <c r="GT13" s="3">
        <f ca="1">IFERROR(__xludf.DUMMYFUNCTION("""COMPUTED_VALUE"""),-0.590788744559734)</f>
        <v>-0.59078874455973396</v>
      </c>
      <c r="GU13" s="3">
        <f ca="1">IFERROR(__xludf.DUMMYFUNCTION("""COMPUTED_VALUE"""),-0.541960123054233)</f>
        <v>-0.54196012305423302</v>
      </c>
      <c r="GV13" s="3">
        <f ca="1">IFERROR(__xludf.DUMMYFUNCTION("""COMPUTED_VALUE"""),-0.559801179149207)</f>
        <v>-0.55980117914920702</v>
      </c>
      <c r="GW13" s="3">
        <f ca="1">IFERROR(__xludf.DUMMYFUNCTION("""COMPUTED_VALUE"""),-0.553803267891178)</f>
        <v>-0.55380326789117795</v>
      </c>
      <c r="GX13" s="3">
        <f ca="1">IFERROR(__xludf.DUMMYFUNCTION("""COMPUTED_VALUE"""),-0.569781228986505)</f>
        <v>-0.56978122898650496</v>
      </c>
      <c r="GY13" s="3">
        <f ca="1">IFERROR(__xludf.DUMMYFUNCTION("""COMPUTED_VALUE"""),-0.460678265595214)</f>
        <v>-0.46067826559521402</v>
      </c>
      <c r="GZ13" s="3">
        <f ca="1">IFERROR(__xludf.DUMMYFUNCTION("""COMPUTED_VALUE"""),-0.512460377421692)</f>
        <v>-0.51246037742169204</v>
      </c>
      <c r="HA13" s="3">
        <f ca="1">IFERROR(__xludf.DUMMYFUNCTION("""COMPUTED_VALUE"""),-0.553393920876437)</f>
        <v>-0.55339392087643702</v>
      </c>
      <c r="HB13" s="3">
        <f ca="1">IFERROR(__xludf.DUMMYFUNCTION("""COMPUTED_VALUE"""),-0.540347161610508)</f>
        <v>-0.540347161610508</v>
      </c>
      <c r="HC13" s="3">
        <f ca="1">IFERROR(__xludf.DUMMYFUNCTION("""COMPUTED_VALUE"""),-0.529247487154837)</f>
        <v>-0.52924748715483705</v>
      </c>
      <c r="HD13" s="3">
        <f ca="1">IFERROR(__xludf.DUMMYFUNCTION("""COMPUTED_VALUE"""),-0.526397754539764)</f>
        <v>-0.52639775453976401</v>
      </c>
      <c r="HE13" s="3">
        <f ca="1">IFERROR(__xludf.DUMMYFUNCTION("""COMPUTED_VALUE"""),-0.544080624592252)</f>
        <v>-0.54408062459225204</v>
      </c>
      <c r="HF13" s="3">
        <f ca="1">IFERROR(__xludf.DUMMYFUNCTION("""COMPUTED_VALUE"""),-0.464372785435446)</f>
        <v>-0.46437278543544602</v>
      </c>
      <c r="HG13" s="3">
        <f ca="1">IFERROR(__xludf.DUMMYFUNCTION("""COMPUTED_VALUE"""),-0.465882083012962)</f>
        <v>-0.46588208301296202</v>
      </c>
      <c r="HH13" s="3">
        <f ca="1">IFERROR(__xludf.DUMMYFUNCTION("""COMPUTED_VALUE"""),-0.483151491350768)</f>
        <v>-0.48315149135076801</v>
      </c>
      <c r="HI13" s="3">
        <f ca="1">IFERROR(__xludf.DUMMYFUNCTION("""COMPUTED_VALUE"""),-0.509568474427498)</f>
        <v>-0.50956847442749797</v>
      </c>
      <c r="HJ13" s="3">
        <f ca="1">IFERROR(__xludf.DUMMYFUNCTION("""COMPUTED_VALUE"""),-0.483830906919758)</f>
        <v>-0.483830906919758</v>
      </c>
      <c r="HK13" s="3">
        <f ca="1">IFERROR(__xludf.DUMMYFUNCTION("""COMPUTED_VALUE"""),-0.46943196766712)</f>
        <v>-0.46943196766711998</v>
      </c>
      <c r="HL13" s="3">
        <f ca="1">IFERROR(__xludf.DUMMYFUNCTION("""COMPUTED_VALUE"""),-0.714061316339045)</f>
        <v>-0.71406131633904502</v>
      </c>
      <c r="HM13" s="3">
        <f ca="1">IFERROR(__xludf.DUMMYFUNCTION("""COMPUTED_VALUE"""),-0.480827714635776)</f>
        <v>-0.480827714635776</v>
      </c>
      <c r="HN13" s="3">
        <f ca="1">IFERROR(__xludf.DUMMYFUNCTION("""COMPUTED_VALUE"""),-0.441825201497759)</f>
        <v>-0.441825201497759</v>
      </c>
      <c r="HO13" s="3">
        <f ca="1">IFERROR(__xludf.DUMMYFUNCTION("""COMPUTED_VALUE"""),-0.462680757766322)</f>
        <v>-0.462680757766322</v>
      </c>
      <c r="HP13" s="3">
        <f ca="1">IFERROR(__xludf.DUMMYFUNCTION("""COMPUTED_VALUE"""),-0.503180192903484)</f>
        <v>-0.50318019290348404</v>
      </c>
      <c r="HQ13" s="3">
        <f ca="1">IFERROR(__xludf.DUMMYFUNCTION("""COMPUTED_VALUE"""),-0.496751782457443)</f>
        <v>-0.496751782457443</v>
      </c>
      <c r="HR13" s="3">
        <f ca="1">IFERROR(__xludf.DUMMYFUNCTION("""COMPUTED_VALUE"""),-0.528135872976527)</f>
        <v>-0.52813587297652698</v>
      </c>
      <c r="HS13" s="3">
        <f ca="1">IFERROR(__xludf.DUMMYFUNCTION("""COMPUTED_VALUE"""),-0.482263365764215)</f>
        <v>-0.48226336576421502</v>
      </c>
      <c r="HT13" s="3">
        <f ca="1">IFERROR(__xludf.DUMMYFUNCTION("""COMPUTED_VALUE"""),-0.395216604348802)</f>
        <v>-0.39521660434880201</v>
      </c>
      <c r="HU13" s="3">
        <f ca="1">IFERROR(__xludf.DUMMYFUNCTION("""COMPUTED_VALUE"""),-0.436288794286004)</f>
        <v>-0.43628879428600398</v>
      </c>
      <c r="HV13" s="3">
        <f ca="1">IFERROR(__xludf.DUMMYFUNCTION("""COMPUTED_VALUE"""),-0.561354388485626)</f>
        <v>-0.56135438848562602</v>
      </c>
      <c r="HW13" s="3">
        <f ca="1">IFERROR(__xludf.DUMMYFUNCTION("""COMPUTED_VALUE"""),-0.579584141535723)</f>
        <v>-0.57958414153572302</v>
      </c>
      <c r="HX13" s="3">
        <f ca="1">IFERROR(__xludf.DUMMYFUNCTION("""COMPUTED_VALUE"""),-0.560812613354362)</f>
        <v>-0.56081261335436206</v>
      </c>
      <c r="HY13" s="3">
        <f ca="1">IFERROR(__xludf.DUMMYFUNCTION("""COMPUTED_VALUE"""),-0.597327282048874)</f>
        <v>-0.59732728204887398</v>
      </c>
      <c r="HZ13" s="3">
        <f ca="1">IFERROR(__xludf.DUMMYFUNCTION("""COMPUTED_VALUE"""),-0.444630822174437)</f>
        <v>-0.444630822174437</v>
      </c>
      <c r="IA13" s="3">
        <f ca="1">IFERROR(__xludf.DUMMYFUNCTION("""COMPUTED_VALUE"""),-0.43130619266601)</f>
        <v>-0.43130619266601</v>
      </c>
      <c r="IB13" s="3">
        <f ca="1">IFERROR(__xludf.DUMMYFUNCTION("""COMPUTED_VALUE"""),-0.395568661515311)</f>
        <v>-0.395568661515311</v>
      </c>
      <c r="IC13" s="3">
        <f ca="1">IFERROR(__xludf.DUMMYFUNCTION("""COMPUTED_VALUE"""),-0.484796792647222)</f>
        <v>-0.48479679264722197</v>
      </c>
      <c r="ID13" s="3">
        <f ca="1">IFERROR(__xludf.DUMMYFUNCTION("""COMPUTED_VALUE"""),-0.527475897807713)</f>
        <v>-0.52747589780771298</v>
      </c>
      <c r="IE13" s="3">
        <f ca="1">IFERROR(__xludf.DUMMYFUNCTION("""COMPUTED_VALUE"""),-0.511643092991073)</f>
        <v>-0.51164309299107302</v>
      </c>
      <c r="IF13" s="3">
        <f ca="1">IFERROR(__xludf.DUMMYFUNCTION("""COMPUTED_VALUE"""),-0.503644229225236)</f>
        <v>-0.503644229225236</v>
      </c>
      <c r="IG13" s="3">
        <f ca="1">IFERROR(__xludf.DUMMYFUNCTION("""COMPUTED_VALUE"""),-0.492816028751167)</f>
        <v>-0.49281602875116698</v>
      </c>
      <c r="IH13" s="3">
        <f ca="1">IFERROR(__xludf.DUMMYFUNCTION("""COMPUTED_VALUE"""),-0.389096393295637)</f>
        <v>-0.389096393295637</v>
      </c>
      <c r="II13" s="3">
        <f ca="1">IFERROR(__xludf.DUMMYFUNCTION("""COMPUTED_VALUE"""),-0.408034912439404)</f>
        <v>-0.40803491243940399</v>
      </c>
      <c r="IJ13" s="3">
        <f ca="1">IFERROR(__xludf.DUMMYFUNCTION("""COMPUTED_VALUE"""),-0.492353212283466)</f>
        <v>-0.49235321228346601</v>
      </c>
      <c r="IK13" s="3">
        <f ca="1">IFERROR(__xludf.DUMMYFUNCTION("""COMPUTED_VALUE"""),-0.508107779668892)</f>
        <v>-0.50810777966889198</v>
      </c>
      <c r="IL13" s="3">
        <f ca="1">IFERROR(__xludf.DUMMYFUNCTION("""COMPUTED_VALUE"""),-0.511705448111155)</f>
        <v>-0.51170544811115504</v>
      </c>
      <c r="IM13" s="3">
        <f ca="1">IFERROR(__xludf.DUMMYFUNCTION("""COMPUTED_VALUE"""),-0.503992202788009)</f>
        <v>-0.50399220278800905</v>
      </c>
      <c r="IN13" s="3">
        <f ca="1">IFERROR(__xludf.DUMMYFUNCTION("""COMPUTED_VALUE"""),-0.430954637701882)</f>
        <v>-0.43095463770188203</v>
      </c>
      <c r="IO13" s="3">
        <f ca="1">IFERROR(__xludf.DUMMYFUNCTION("""COMPUTED_VALUE"""),-0.425520597481763)</f>
        <v>-0.42552059748176302</v>
      </c>
      <c r="IP13" s="3">
        <f ca="1">IFERROR(__xludf.DUMMYFUNCTION("""COMPUTED_VALUE"""),-0.4457511301925)</f>
        <v>-0.44575113019250001</v>
      </c>
      <c r="IQ13" s="3">
        <f ca="1">IFERROR(__xludf.DUMMYFUNCTION("""COMPUTED_VALUE"""),-0.491945444562165)</f>
        <v>-0.49194544456216499</v>
      </c>
      <c r="IR13" s="3">
        <f ca="1">IFERROR(__xludf.DUMMYFUNCTION("""COMPUTED_VALUE"""),-0.516987564997827)</f>
        <v>-0.51698756499782705</v>
      </c>
      <c r="IS13" s="3">
        <f ca="1">IFERROR(__xludf.DUMMYFUNCTION("""COMPUTED_VALUE"""),-0.506784500313786)</f>
        <v>-0.50678450031378597</v>
      </c>
      <c r="IT13" s="3">
        <f ca="1">IFERROR(__xludf.DUMMYFUNCTION("""COMPUTED_VALUE"""),-0.5155458257631)</f>
        <v>-0.51554582576310004</v>
      </c>
      <c r="IU13" s="3">
        <f ca="1">IFERROR(__xludf.DUMMYFUNCTION("""COMPUTED_VALUE"""),-0.549961973450613)</f>
        <v>-0.54996197345061304</v>
      </c>
      <c r="IV13" s="3">
        <f ca="1">IFERROR(__xludf.DUMMYFUNCTION("""COMPUTED_VALUE"""),-0.422797347871958)</f>
        <v>-0.422797347871958</v>
      </c>
      <c r="IW13" s="3">
        <f ca="1">IFERROR(__xludf.DUMMYFUNCTION("""COMPUTED_VALUE"""),-0.429487261581209)</f>
        <v>-0.42948726158120898</v>
      </c>
      <c r="IX13" s="3">
        <f ca="1">IFERROR(__xludf.DUMMYFUNCTION("""COMPUTED_VALUE"""),-0.481584495756383)</f>
        <v>-0.48158449575638301</v>
      </c>
      <c r="IY13" s="3">
        <f ca="1">IFERROR(__xludf.DUMMYFUNCTION("""COMPUTED_VALUE"""),-0.537415245492399)</f>
        <v>-0.53741524549239905</v>
      </c>
      <c r="IZ13" s="3">
        <f ca="1">IFERROR(__xludf.DUMMYFUNCTION("""COMPUTED_VALUE"""),-0.519200563019203)</f>
        <v>-0.51920056301920303</v>
      </c>
      <c r="JA13" s="3">
        <f ca="1">IFERROR(__xludf.DUMMYFUNCTION("""COMPUTED_VALUE"""),-0.552620894692255)</f>
        <v>-0.55262089469225495</v>
      </c>
      <c r="JB13" s="3">
        <f ca="1">IFERROR(__xludf.DUMMYFUNCTION("""COMPUTED_VALUE"""),-0.47678766487083)</f>
        <v>-0.47678766487083002</v>
      </c>
      <c r="JC13" s="3">
        <f ca="1">IFERROR(__xludf.DUMMYFUNCTION("""COMPUTED_VALUE"""),-0.466249070452515)</f>
        <v>-0.46624907045251501</v>
      </c>
      <c r="JD13" s="3">
        <f ca="1">IFERROR(__xludf.DUMMYFUNCTION("""COMPUTED_VALUE"""),-0.451464382210338)</f>
        <v>-0.45146438221033802</v>
      </c>
      <c r="JE13" s="3">
        <f ca="1">IFERROR(__xludf.DUMMYFUNCTION("""COMPUTED_VALUE"""),-0.569838577331698)</f>
        <v>-0.56983857733169796</v>
      </c>
      <c r="JF13" s="3">
        <f ca="1">IFERROR(__xludf.DUMMYFUNCTION("""COMPUTED_VALUE"""),-0.559290642350051)</f>
        <v>-0.55929064235005099</v>
      </c>
      <c r="JG13" s="3">
        <f ca="1">IFERROR(__xludf.DUMMYFUNCTION("""COMPUTED_VALUE"""),-0.540144503093023)</f>
        <v>-0.54014450309302298</v>
      </c>
      <c r="JH13" s="3">
        <f ca="1">IFERROR(__xludf.DUMMYFUNCTION("""COMPUTED_VALUE"""),-0.574047601692641)</f>
        <v>-0.57404760169264102</v>
      </c>
      <c r="JI13" s="3">
        <f ca="1">IFERROR(__xludf.DUMMYFUNCTION("""COMPUTED_VALUE"""),-0.548775024236908)</f>
        <v>-0.54877502423690805</v>
      </c>
      <c r="JJ13" s="3">
        <f ca="1">IFERROR(__xludf.DUMMYFUNCTION("""COMPUTED_VALUE"""),-0.516150930605185)</f>
        <v>-0.51615093060518502</v>
      </c>
      <c r="JK13" s="3">
        <f ca="1">IFERROR(__xludf.DUMMYFUNCTION("""COMPUTED_VALUE"""),-0.478056408935371)</f>
        <v>-0.47805640893537099</v>
      </c>
      <c r="JL13" s="3">
        <f ca="1">IFERROR(__xludf.DUMMYFUNCTION("""COMPUTED_VALUE"""),-0.575368942848557)</f>
        <v>-0.575368942848557</v>
      </c>
      <c r="JM13" s="3">
        <f ca="1">IFERROR(__xludf.DUMMYFUNCTION("""COMPUTED_VALUE"""),-0.57855424942739)</f>
        <v>-0.57855424942738998</v>
      </c>
      <c r="JN13" s="3">
        <f ca="1">IFERROR(__xludf.DUMMYFUNCTION("""COMPUTED_VALUE"""),-0.579414205988867)</f>
        <v>-0.57941420598886695</v>
      </c>
      <c r="JO13" s="3">
        <f ca="1">IFERROR(__xludf.DUMMYFUNCTION("""COMPUTED_VALUE"""),-0.588656668602647)</f>
        <v>-0.58865666860264698</v>
      </c>
      <c r="JP13" s="3">
        <f ca="1">IFERROR(__xludf.DUMMYFUNCTION("""COMPUTED_VALUE"""),-0.575715743433681)</f>
        <v>-0.57571574343368104</v>
      </c>
      <c r="JQ13" s="3">
        <f ca="1">IFERROR(__xludf.DUMMYFUNCTION("""COMPUTED_VALUE"""),-0.524536420693977)</f>
        <v>-0.52453642069397699</v>
      </c>
      <c r="JR13" s="3">
        <f ca="1">IFERROR(__xludf.DUMMYFUNCTION("""COMPUTED_VALUE"""),-0.486471010292098)</f>
        <v>-0.48647101029209799</v>
      </c>
      <c r="JS13" s="3">
        <f ca="1">IFERROR(__xludf.DUMMYFUNCTION("""COMPUTED_VALUE"""),-0.603275426719337)</f>
        <v>-0.60327542671933698</v>
      </c>
      <c r="JT13" s="3">
        <f ca="1">IFERROR(__xludf.DUMMYFUNCTION("""COMPUTED_VALUE"""),-0.600357040923187)</f>
        <v>-0.60035704092318698</v>
      </c>
      <c r="JU13" s="3">
        <f ca="1">IFERROR(__xludf.DUMMYFUNCTION("""COMPUTED_VALUE"""),-0.646035477314732)</f>
        <v>-0.64603547731473199</v>
      </c>
      <c r="JV13" s="3">
        <f ca="1">IFERROR(__xludf.DUMMYFUNCTION("""COMPUTED_VALUE"""),-0.62504583267687)</f>
        <v>-0.62504583267686997</v>
      </c>
      <c r="JW13" s="3">
        <f ca="1">IFERROR(__xludf.DUMMYFUNCTION("""COMPUTED_VALUE"""),-0.558006757996824)</f>
        <v>-0.55800675799682398</v>
      </c>
      <c r="JX13" s="3">
        <f ca="1">IFERROR(__xludf.DUMMYFUNCTION("""COMPUTED_VALUE"""),-0.536583311192749)</f>
        <v>-0.53658331119274905</v>
      </c>
      <c r="JY13" s="3">
        <f ca="1">IFERROR(__xludf.DUMMYFUNCTION("""COMPUTED_VALUE"""),-0.532512905957963)</f>
        <v>-0.53251290595796297</v>
      </c>
      <c r="JZ13" s="3">
        <f ca="1">IFERROR(__xludf.DUMMYFUNCTION("""COMPUTED_VALUE"""),-0.597444069624599)</f>
        <v>-0.59744406962459895</v>
      </c>
      <c r="KA13" s="3">
        <f ca="1">IFERROR(__xludf.DUMMYFUNCTION("""COMPUTED_VALUE"""),-0.589174501951048)</f>
        <v>-0.58917450195104804</v>
      </c>
      <c r="KB13" s="3">
        <f ca="1">IFERROR(__xludf.DUMMYFUNCTION("""COMPUTED_VALUE"""),-0.663799002880875)</f>
        <v>-0.66379900288087501</v>
      </c>
      <c r="KC13" s="3">
        <f ca="1">IFERROR(__xludf.DUMMYFUNCTION("""COMPUTED_VALUE"""),-0.674385911712003)</f>
        <v>-0.67438591171200302</v>
      </c>
      <c r="KD13" s="3">
        <f ca="1">IFERROR(__xludf.DUMMYFUNCTION("""COMPUTED_VALUE"""),-0.593631454133084)</f>
        <v>-0.59363145413308405</v>
      </c>
      <c r="KE13" s="3">
        <f ca="1">IFERROR(__xludf.DUMMYFUNCTION("""COMPUTED_VALUE"""),-0.539942163730813)</f>
        <v>-0.53994216373081305</v>
      </c>
      <c r="KF13" s="3">
        <f ca="1">IFERROR(__xludf.DUMMYFUNCTION("""COMPUTED_VALUE"""),-0.513741158064306)</f>
        <v>-0.51374115806430598</v>
      </c>
      <c r="KG13" s="3">
        <f ca="1">IFERROR(__xludf.DUMMYFUNCTION("""COMPUTED_VALUE"""),-0.597927349212815)</f>
        <v>-0.59792734921281498</v>
      </c>
      <c r="KH13" s="3">
        <f ca="1">IFERROR(__xludf.DUMMYFUNCTION("""COMPUTED_VALUE"""),-0.616715170962038)</f>
        <v>-0.61671517096203798</v>
      </c>
      <c r="KI13" s="3">
        <f ca="1">IFERROR(__xludf.DUMMYFUNCTION("""COMPUTED_VALUE"""),-0.652055348546)</f>
        <v>-0.652055348546</v>
      </c>
      <c r="KJ13" s="3">
        <f ca="1">IFERROR(__xludf.DUMMYFUNCTION("""COMPUTED_VALUE"""),-0.64735803229594)</f>
        <v>-0.64735803229594002</v>
      </c>
      <c r="KK13" s="3">
        <f ca="1">IFERROR(__xludf.DUMMYFUNCTION("""COMPUTED_VALUE"""),-0.598584175152345)</f>
        <v>-0.59858417515234497</v>
      </c>
      <c r="KL13" s="3">
        <f ca="1">IFERROR(__xludf.DUMMYFUNCTION("""COMPUTED_VALUE"""),-0.527137345313426)</f>
        <v>-0.52713734531342604</v>
      </c>
      <c r="KM13" s="3">
        <f ca="1">IFERROR(__xludf.DUMMYFUNCTION("""COMPUTED_VALUE"""),-0.503588784661114)</f>
        <v>-0.50358878466111401</v>
      </c>
      <c r="KN13" s="3">
        <f ca="1">IFERROR(__xludf.DUMMYFUNCTION("""COMPUTED_VALUE"""),-0.6364880310488)</f>
        <v>-0.63648803104880003</v>
      </c>
      <c r="KO13" s="3">
        <f ca="1">IFERROR(__xludf.DUMMYFUNCTION("""COMPUTED_VALUE"""),-0.685050590476691)</f>
        <v>-0.68505059047669103</v>
      </c>
      <c r="KP13" s="3">
        <f ca="1">IFERROR(__xludf.DUMMYFUNCTION("""COMPUTED_VALUE"""),-0.703445038938802)</f>
        <v>-0.70344503893880195</v>
      </c>
      <c r="KQ13" s="3">
        <f ca="1">IFERROR(__xludf.DUMMYFUNCTION("""COMPUTED_VALUE"""),-0.675809753399314)</f>
        <v>-0.67580975339931404</v>
      </c>
      <c r="KR13" s="3">
        <f ca="1">IFERROR(__xludf.DUMMYFUNCTION("""COMPUTED_VALUE"""),-0.672709514955811)</f>
        <v>-0.67270951495581099</v>
      </c>
      <c r="KS13" s="3">
        <f ca="1">IFERROR(__xludf.DUMMYFUNCTION("""COMPUTED_VALUE"""),-0.547508121942975)</f>
        <v>-0.54750812194297505</v>
      </c>
      <c r="KT13" s="3">
        <f ca="1">IFERROR(__xludf.DUMMYFUNCTION("""COMPUTED_VALUE"""),-0.584439111201068)</f>
        <v>-0.58443911120106795</v>
      </c>
      <c r="KU13" s="3">
        <f ca="1">IFERROR(__xludf.DUMMYFUNCTION("""COMPUTED_VALUE"""),-0.694618468435437)</f>
        <v>-0.69461846843543695</v>
      </c>
      <c r="KV13" s="3">
        <f ca="1">IFERROR(__xludf.DUMMYFUNCTION("""COMPUTED_VALUE"""),-0.706322022813179)</f>
        <v>-0.70632202281317902</v>
      </c>
      <c r="KW13" s="3">
        <f ca="1">IFERROR(__xludf.DUMMYFUNCTION("""COMPUTED_VALUE"""),-0.688648737556504)</f>
        <v>-0.68864873755650402</v>
      </c>
      <c r="KX13" s="3">
        <f ca="1">IFERROR(__xludf.DUMMYFUNCTION("""COMPUTED_VALUE"""),-0.712079950331106)</f>
        <v>-0.71207995033110605</v>
      </c>
      <c r="KY13" s="3">
        <f ca="1">IFERROR(__xludf.DUMMYFUNCTION("""COMPUTED_VALUE"""),-0.701126541223376)</f>
        <v>-0.70112654122337603</v>
      </c>
      <c r="KZ13" s="3">
        <f ca="1">IFERROR(__xludf.DUMMYFUNCTION("""COMPUTED_VALUE"""),-0.650668264857978)</f>
        <v>-0.65066826485797802</v>
      </c>
      <c r="LA13" s="3">
        <f ca="1">IFERROR(__xludf.DUMMYFUNCTION("""COMPUTED_VALUE"""),-0.596093505069887)</f>
        <v>-0.59609350506988701</v>
      </c>
      <c r="LB13" s="3">
        <f ca="1">IFERROR(__xludf.DUMMYFUNCTION("""COMPUTED_VALUE"""),-0.718931697066435)</f>
        <v>-0.718931697066435</v>
      </c>
      <c r="LC13" s="3">
        <f ca="1">IFERROR(__xludf.DUMMYFUNCTION("""COMPUTED_VALUE"""),-0.724339227921507)</f>
        <v>-0.72433922792150696</v>
      </c>
      <c r="LD13" s="3">
        <f ca="1">IFERROR(__xludf.DUMMYFUNCTION("""COMPUTED_VALUE"""),-0.707446299499194)</f>
        <v>-0.70744629949919402</v>
      </c>
      <c r="LE13" s="3">
        <f ca="1">IFERROR(__xludf.DUMMYFUNCTION("""COMPUTED_VALUE"""),-0.719900609060102)</f>
        <v>-0.719900609060102</v>
      </c>
      <c r="LF13" s="3">
        <f ca="1">IFERROR(__xludf.DUMMYFUNCTION("""COMPUTED_VALUE"""),-0.686987672500365)</f>
        <v>-0.68698767250036497</v>
      </c>
      <c r="LG13" s="3">
        <f ca="1">IFERROR(__xludf.DUMMYFUNCTION("""COMPUTED_VALUE"""),-0.653753903880179)</f>
        <v>-0.65375390388017895</v>
      </c>
      <c r="LH13" s="3">
        <f ca="1">IFERROR(__xludf.DUMMYFUNCTION("""COMPUTED_VALUE"""),-0.598594240237159)</f>
        <v>-0.59859424023715901</v>
      </c>
      <c r="LI13" s="3">
        <f ca="1">IFERROR(__xludf.DUMMYFUNCTION("""COMPUTED_VALUE"""),-0.727705582784864)</f>
        <v>-0.72770558278486397</v>
      </c>
      <c r="LJ13" s="3">
        <f ca="1">IFERROR(__xludf.DUMMYFUNCTION("""COMPUTED_VALUE"""),-0.740372642955453)</f>
        <v>-0.74037264295545302</v>
      </c>
      <c r="LK13" s="3">
        <f ca="1">IFERROR(__xludf.DUMMYFUNCTION("""COMPUTED_VALUE"""),-0.737671015338931)</f>
        <v>-0.73767101533893098</v>
      </c>
      <c r="LL13" s="3">
        <f ca="1">IFERROR(__xludf.DUMMYFUNCTION("""COMPUTED_VALUE"""),-0.750399425591666)</f>
        <v>-0.75039942559166595</v>
      </c>
      <c r="LM13" s="3">
        <f ca="1">IFERROR(__xludf.DUMMYFUNCTION("""COMPUTED_VALUE"""),-0.701836867540812)</f>
        <v>-0.70183686754081198</v>
      </c>
      <c r="LN13" s="3">
        <f ca="1">IFERROR(__xludf.DUMMYFUNCTION("""COMPUTED_VALUE"""),-0.651492376410212)</f>
        <v>-0.65149237641021196</v>
      </c>
      <c r="LO13" s="3">
        <f ca="1">IFERROR(__xludf.DUMMYFUNCTION("""COMPUTED_VALUE"""),-0.675800402760381)</f>
        <v>-0.675800402760381</v>
      </c>
      <c r="LP13" s="3">
        <f ca="1">IFERROR(__xludf.DUMMYFUNCTION("""COMPUTED_VALUE"""),-0.778018290305017)</f>
        <v>-0.77801829030501701</v>
      </c>
      <c r="LQ13" s="3">
        <f ca="1">IFERROR(__xludf.DUMMYFUNCTION("""COMPUTED_VALUE"""),-0.813215139506838)</f>
        <v>-0.81321513950683799</v>
      </c>
      <c r="LR13" s="3">
        <f ca="1">IFERROR(__xludf.DUMMYFUNCTION("""COMPUTED_VALUE"""),-0.787084867729293)</f>
        <v>-0.78708486772929298</v>
      </c>
      <c r="LS13" s="3">
        <f ca="1">IFERROR(__xludf.DUMMYFUNCTION("""COMPUTED_VALUE"""),-0.773283502968008)</f>
        <v>-0.77328350296800796</v>
      </c>
      <c r="LT13" s="3">
        <f ca="1">IFERROR(__xludf.DUMMYFUNCTION("""COMPUTED_VALUE"""),-0.755910122296998)</f>
        <v>-0.75591012229699805</v>
      </c>
      <c r="LU13" s="3">
        <f ca="1">IFERROR(__xludf.DUMMYFUNCTION("""COMPUTED_VALUE"""),-0.653702057648613)</f>
        <v>-0.653702057648613</v>
      </c>
      <c r="LV13" s="3">
        <f ca="1">IFERROR(__xludf.DUMMYFUNCTION("""COMPUTED_VALUE"""),-0.673091656567641)</f>
        <v>-0.67309165656764103</v>
      </c>
      <c r="LW13" s="3">
        <f ca="1">IFERROR(__xludf.DUMMYFUNCTION("""COMPUTED_VALUE"""),-0.783659158501986)</f>
        <v>-0.78365915850198598</v>
      </c>
      <c r="LX13" s="3">
        <f ca="1">IFERROR(__xludf.DUMMYFUNCTION("""COMPUTED_VALUE"""),-0.798631749099741)</f>
        <v>-0.798631749099741</v>
      </c>
      <c r="LY13" s="3">
        <f ca="1">IFERROR(__xludf.DUMMYFUNCTION("""COMPUTED_VALUE"""),-0.802415702313972)</f>
        <v>-0.80241570231397197</v>
      </c>
      <c r="LZ13" s="3">
        <f ca="1">IFERROR(__xludf.DUMMYFUNCTION("""COMPUTED_VALUE"""),-0.806459796852186)</f>
        <v>-0.80645979685218605</v>
      </c>
      <c r="MA13" s="3">
        <f ca="1">IFERROR(__xludf.DUMMYFUNCTION("""COMPUTED_VALUE"""),-0.762901555209219)</f>
        <v>-0.76290155520921898</v>
      </c>
      <c r="MB13" s="3">
        <f ca="1">IFERROR(__xludf.DUMMYFUNCTION("""COMPUTED_VALUE"""),-0.721899294293329)</f>
        <v>-0.721899294293329</v>
      </c>
      <c r="MC13" s="3">
        <f ca="1">IFERROR(__xludf.DUMMYFUNCTION("""COMPUTED_VALUE"""),-0.739089838331137)</f>
        <v>-0.73908983833113695</v>
      </c>
      <c r="MD13" s="3">
        <f ca="1">IFERROR(__xludf.DUMMYFUNCTION("""COMPUTED_VALUE"""),-0.809824806678911)</f>
        <v>-0.80982480667891099</v>
      </c>
      <c r="ME13" s="3">
        <f ca="1">IFERROR(__xludf.DUMMYFUNCTION("""COMPUTED_VALUE"""),-0.814626571211386)</f>
        <v>-0.81462657121138604</v>
      </c>
      <c r="MF13" s="3">
        <f ca="1">IFERROR(__xludf.DUMMYFUNCTION("""COMPUTED_VALUE"""),-0.811317825848253)</f>
        <v>-0.81131782584825296</v>
      </c>
      <c r="MG13" s="3">
        <f ca="1">IFERROR(__xludf.DUMMYFUNCTION("""COMPUTED_VALUE"""),-0.806775539030331)</f>
        <v>-0.80677553903033095</v>
      </c>
      <c r="MH13" s="3">
        <f ca="1">IFERROR(__xludf.DUMMYFUNCTION("""COMPUTED_VALUE"""),-0.812646298507012)</f>
        <v>-0.81264629850701198</v>
      </c>
      <c r="MI13" s="3">
        <f ca="1">IFERROR(__xludf.DUMMYFUNCTION("""COMPUTED_VALUE"""),-0.69996198163704)</f>
        <v>-0.69996198163704004</v>
      </c>
      <c r="MJ13" s="3">
        <f ca="1">IFERROR(__xludf.DUMMYFUNCTION("""COMPUTED_VALUE"""),-0.73511025381198)</f>
        <v>-0.73511025381198003</v>
      </c>
      <c r="MK13" s="3">
        <f ca="1">IFERROR(__xludf.DUMMYFUNCTION("""COMPUTED_VALUE"""),-0.826293871337166)</f>
        <v>-0.82629387133716603</v>
      </c>
      <c r="ML13" s="3">
        <f ca="1">IFERROR(__xludf.DUMMYFUNCTION("""COMPUTED_VALUE"""),-0.812307893148362)</f>
        <v>-0.81230789314836205</v>
      </c>
      <c r="MM13" s="3">
        <f ca="1">IFERROR(__xludf.DUMMYFUNCTION("""COMPUTED_VALUE"""),-0.81594463175695)</f>
        <v>-0.81594463175694998</v>
      </c>
      <c r="MN13" s="3">
        <f ca="1">IFERROR(__xludf.DUMMYFUNCTION("""COMPUTED_VALUE"""),-0.817760126817021)</f>
        <v>-0.81776012681702104</v>
      </c>
      <c r="MO13" s="3">
        <f ca="1">IFERROR(__xludf.DUMMYFUNCTION("""COMPUTED_VALUE"""),-0.804489848168185)</f>
        <v>-0.80448984816818503</v>
      </c>
      <c r="MP13" s="3">
        <f ca="1">IFERROR(__xludf.DUMMYFUNCTION("""COMPUTED_VALUE"""),-0.729512437206882)</f>
        <v>-0.72951243720688197</v>
      </c>
      <c r="MQ13" s="3">
        <f ca="1">IFERROR(__xludf.DUMMYFUNCTION("""COMPUTED_VALUE"""),-0.754028402410945)</f>
        <v>-0.75402840241094504</v>
      </c>
      <c r="MR13" s="3">
        <f ca="1">IFERROR(__xludf.DUMMYFUNCTION("""COMPUTED_VALUE"""),-0.805857489204144)</f>
        <v>-0.80585748920414402</v>
      </c>
      <c r="MS13" s="3">
        <f ca="1">IFERROR(__xludf.DUMMYFUNCTION("""COMPUTED_VALUE"""),-0.822527921013627)</f>
        <v>-0.82252792101362704</v>
      </c>
      <c r="MT13" s="3">
        <f ca="1">IFERROR(__xludf.DUMMYFUNCTION("""COMPUTED_VALUE"""),-0.822075749495241)</f>
        <v>-0.82207574949524098</v>
      </c>
      <c r="MU13" s="3">
        <f ca="1">IFERROR(__xludf.DUMMYFUNCTION("""COMPUTED_VALUE"""),-0.818511304868565)</f>
        <v>-0.81851130486856505</v>
      </c>
      <c r="MV13" s="3">
        <f ca="1">IFERROR(__xludf.DUMMYFUNCTION("""COMPUTED_VALUE"""),-0.796438545202905)</f>
        <v>-0.79643854520290502</v>
      </c>
      <c r="MW13" s="3">
        <f ca="1">IFERROR(__xludf.DUMMYFUNCTION("""COMPUTED_VALUE"""),-0.737782401045156)</f>
        <v>-0.73778240104515602</v>
      </c>
      <c r="MX13" s="3">
        <f ca="1">IFERROR(__xludf.DUMMYFUNCTION("""COMPUTED_VALUE"""),-0.768732227266993)</f>
        <v>-0.76873222726699297</v>
      </c>
      <c r="MY13" s="3">
        <f ca="1">IFERROR(__xludf.DUMMYFUNCTION("""COMPUTED_VALUE"""),-0.817519360543596)</f>
        <v>-0.81751936054359597</v>
      </c>
      <c r="MZ13" s="3">
        <f ca="1">IFERROR(__xludf.DUMMYFUNCTION("""COMPUTED_VALUE"""),-0.834541093696006)</f>
        <v>-0.83454109369600604</v>
      </c>
      <c r="NA13" s="3">
        <f ca="1">IFERROR(__xludf.DUMMYFUNCTION("""COMPUTED_VALUE"""),-0.837456902409407)</f>
        <v>-0.83745690240940696</v>
      </c>
      <c r="NB13" s="3">
        <f ca="1">IFERROR(__xludf.DUMMYFUNCTION("""COMPUTED_VALUE"""),-0.828727371718309)</f>
        <v>-0.82872737171830901</v>
      </c>
      <c r="NC13" s="3">
        <f ca="1">IFERROR(__xludf.DUMMYFUNCTION("""COMPUTED_VALUE"""),-0.817711461927715)</f>
        <v>-0.81771146192771504</v>
      </c>
      <c r="ND13" s="3">
        <f ca="1">IFERROR(__xludf.DUMMYFUNCTION("""COMPUTED_VALUE"""),-0.75369809399453)</f>
        <v>-0.75369809399453003</v>
      </c>
      <c r="NE13" s="3">
        <f ca="1">IFERROR(__xludf.DUMMYFUNCTION("""COMPUTED_VALUE"""),-0.774537002914078)</f>
        <v>-0.77453700291407801</v>
      </c>
      <c r="NF13" s="3">
        <f ca="1">IFERROR(__xludf.DUMMYFUNCTION("""COMPUTED_VALUE"""),-0.840689786254829)</f>
        <v>-0.84068978625482904</v>
      </c>
      <c r="NG13" s="3">
        <f ca="1">IFERROR(__xludf.DUMMYFUNCTION("""COMPUTED_VALUE"""),-0.811011785944927)</f>
        <v>-0.81101178594492696</v>
      </c>
      <c r="NH13" s="3">
        <f ca="1">IFERROR(__xludf.DUMMYFUNCTION("""COMPUTED_VALUE"""),-0.835104435162673)</f>
        <v>-0.83510443516267296</v>
      </c>
      <c r="NI13" s="3">
        <f ca="1">IFERROR(__xludf.DUMMYFUNCTION("""COMPUTED_VALUE"""),-0.834020952975351)</f>
        <v>-0.83402095297535095</v>
      </c>
      <c r="NJ13" s="3">
        <f ca="1">IFERROR(__xludf.DUMMYFUNCTION("""COMPUTED_VALUE"""),-0.811917016531814)</f>
        <v>-0.81191701653181403</v>
      </c>
      <c r="NK13" s="3">
        <f ca="1">IFERROR(__xludf.DUMMYFUNCTION("""COMPUTED_VALUE"""),-0.761631971310559)</f>
        <v>-0.76163197131055904</v>
      </c>
      <c r="NL13" s="3">
        <f ca="1">IFERROR(__xludf.DUMMYFUNCTION("""COMPUTED_VALUE"""),-0.761185764943623)</f>
        <v>-0.761185764943623</v>
      </c>
      <c r="NM13" s="3">
        <f ca="1">IFERROR(__xludf.DUMMYFUNCTION("""COMPUTED_VALUE"""),-0.830342719787899)</f>
        <v>-0.83034271978789898</v>
      </c>
      <c r="NN13" s="3">
        <f ca="1">IFERROR(__xludf.DUMMYFUNCTION("""COMPUTED_VALUE"""),-0.815340361177647)</f>
        <v>-0.81534036117764697</v>
      </c>
      <c r="NO13" s="3">
        <f ca="1">IFERROR(__xludf.DUMMYFUNCTION("""COMPUTED_VALUE"""),-0.826269545893072)</f>
        <v>-0.826269545893072</v>
      </c>
      <c r="NP13" s="3">
        <f ca="1">IFERROR(__xludf.DUMMYFUNCTION("""COMPUTED_VALUE"""),-0.8218304223438)</f>
        <v>-0.82183042234379999</v>
      </c>
      <c r="NQ13" s="3">
        <f ca="1">IFERROR(__xludf.DUMMYFUNCTION("""COMPUTED_VALUE"""),-0.81512002731157)</f>
        <v>-0.81512002731156996</v>
      </c>
      <c r="NR13" s="3">
        <f ca="1">IFERROR(__xludf.DUMMYFUNCTION("""COMPUTED_VALUE"""),-0.725504837871996)</f>
        <v>-0.72550483787199604</v>
      </c>
      <c r="NS13" s="3">
        <f ca="1">IFERROR(__xludf.DUMMYFUNCTION("""COMPUTED_VALUE"""),-0.75936018275524)</f>
        <v>-0.75936018275523998</v>
      </c>
      <c r="NT13" s="3">
        <f ca="1">IFERROR(__xludf.DUMMYFUNCTION("""COMPUTED_VALUE"""),-0.819740445580177)</f>
        <v>-0.819740445580177</v>
      </c>
      <c r="NU13" s="3">
        <f ca="1">IFERROR(__xludf.DUMMYFUNCTION("""COMPUTED_VALUE"""),-0.821580025929081)</f>
        <v>-0.82158002592908097</v>
      </c>
      <c r="NV13" s="3">
        <f ca="1">IFERROR(__xludf.DUMMYFUNCTION("""COMPUTED_VALUE"""),-0.818256995447857)</f>
        <v>-0.81825699544785702</v>
      </c>
      <c r="NW13" s="3">
        <f ca="1">IFERROR(__xludf.DUMMYFUNCTION("""COMPUTED_VALUE"""),-0.812044694041098)</f>
        <v>-0.81204469404109803</v>
      </c>
      <c r="NX13" s="3">
        <f ca="1">IFERROR(__xludf.DUMMYFUNCTION("""COMPUTED_VALUE"""),-0.781201222935782)</f>
        <v>-0.78120122293578198</v>
      </c>
      <c r="NY13" s="3">
        <f ca="1">IFERROR(__xludf.DUMMYFUNCTION("""COMPUTED_VALUE"""),-0.66122344889527)</f>
        <v>-0.66122344889526996</v>
      </c>
      <c r="NZ13" s="3">
        <f ca="1">IFERROR(__xludf.DUMMYFUNCTION("""COMPUTED_VALUE"""),-0.672752531030864)</f>
        <v>-0.67275253103086397</v>
      </c>
      <c r="OA13" s="3">
        <f ca="1">IFERROR(__xludf.DUMMYFUNCTION("""COMPUTED_VALUE"""),-0.737255758436695)</f>
        <v>-0.737255758436695</v>
      </c>
      <c r="OB13" s="3">
        <f ca="1">IFERROR(__xludf.DUMMYFUNCTION("""COMPUTED_VALUE"""),-0.736726309665513)</f>
        <v>-0.736726309665513</v>
      </c>
      <c r="OC13" s="3">
        <f ca="1">IFERROR(__xludf.DUMMYFUNCTION("""COMPUTED_VALUE"""),-0.714797274737577)</f>
        <v>-0.71479727473757704</v>
      </c>
      <c r="OD13" s="3">
        <f ca="1">IFERROR(__xludf.DUMMYFUNCTION("""COMPUTED_VALUE"""),-0.657553034865781)</f>
        <v>-0.65755303486578098</v>
      </c>
      <c r="OE13" s="3">
        <f ca="1">IFERROR(__xludf.DUMMYFUNCTION("""COMPUTED_VALUE"""),-0.586222036970977)</f>
        <v>-0.58622203697097697</v>
      </c>
      <c r="OF13" s="3">
        <f ca="1">IFERROR(__xludf.DUMMYFUNCTION("""COMPUTED_VALUE"""),-0.311785807791636)</f>
        <v>-0.311785807791636</v>
      </c>
      <c r="OG13" s="3">
        <f ca="1">IFERROR(__xludf.DUMMYFUNCTION("""COMPUTED_VALUE"""),-0.378025527467309)</f>
        <v>-0.378025527467309</v>
      </c>
      <c r="OH13" s="3">
        <f ca="1">IFERROR(__xludf.DUMMYFUNCTION("""COMPUTED_VALUE"""),-0.239693574478291)</f>
        <v>-0.23969357447829101</v>
      </c>
      <c r="OI13" s="3">
        <f ca="1">IFERROR(__xludf.DUMMYFUNCTION("""COMPUTED_VALUE"""),-0.135027785668755)</f>
        <v>-0.13502778566875501</v>
      </c>
      <c r="OJ13" s="3">
        <f ca="1">IFERROR(__xludf.DUMMYFUNCTION("""COMPUTED_VALUE"""),-0.0809681537535039)</f>
        <v>-8.0968153753503899E-2</v>
      </c>
      <c r="OK13" s="3">
        <f ca="1">IFERROR(__xludf.DUMMYFUNCTION("""COMPUTED_VALUE"""),-0.0778207271676137)</f>
        <v>-7.7820727167613707E-2</v>
      </c>
      <c r="OL13" s="3">
        <f ca="1">IFERROR(__xludf.DUMMYFUNCTION("""COMPUTED_VALUE"""),-0.0646273423944825)</f>
        <v>-6.4627342394482507E-2</v>
      </c>
      <c r="OM13" s="3">
        <f ca="1">IFERROR(__xludf.DUMMYFUNCTION("""COMPUTED_VALUE"""),-0.010980364008548)</f>
        <v>-1.0980364008548E-2</v>
      </c>
      <c r="ON13" s="3">
        <f ca="1">IFERROR(__xludf.DUMMYFUNCTION("""COMPUTED_VALUE"""),-0.0187920014590483)</f>
        <v>-1.8792001459048299E-2</v>
      </c>
      <c r="OO13" s="3">
        <f ca="1">IFERROR(__xludf.DUMMYFUNCTION("""COMPUTED_VALUE"""),0.0284869550717703)</f>
        <v>2.8486955071770299E-2</v>
      </c>
      <c r="OP13" s="3">
        <f ca="1">IFERROR(__xludf.DUMMYFUNCTION("""COMPUTED_VALUE"""),-0.0398682250886741)</f>
        <v>-3.9868225088674103E-2</v>
      </c>
      <c r="OQ13" s="3">
        <f ca="1">IFERROR(__xludf.DUMMYFUNCTION("""COMPUTED_VALUE"""),-0.0140849105747768)</f>
        <v>-1.40849105747768E-2</v>
      </c>
      <c r="OR13" s="3">
        <f ca="1">IFERROR(__xludf.DUMMYFUNCTION("""COMPUTED_VALUE"""),-0.05873283480181)</f>
        <v>-5.8732834801809998E-2</v>
      </c>
      <c r="OS13" s="3">
        <f ca="1">IFERROR(__xludf.DUMMYFUNCTION("""COMPUTED_VALUE"""),-0.0530467594652983)</f>
        <v>-5.3046759465298299E-2</v>
      </c>
      <c r="OT13" s="3">
        <f ca="1">IFERROR(__xludf.DUMMYFUNCTION("""COMPUTED_VALUE"""),0.0945882618852016)</f>
        <v>9.4588261885201599E-2</v>
      </c>
      <c r="OU13" s="3">
        <f ca="1">IFERROR(__xludf.DUMMYFUNCTION("""COMPUTED_VALUE"""),0.0988004123952004)</f>
        <v>9.8800412395200404E-2</v>
      </c>
      <c r="OV13" s="3">
        <f ca="1">IFERROR(__xludf.DUMMYFUNCTION("""COMPUTED_VALUE"""),0.035055009437088)</f>
        <v>3.5055009437088003E-2</v>
      </c>
      <c r="OW13" s="3">
        <f ca="1">IFERROR(__xludf.DUMMYFUNCTION("""COMPUTED_VALUE"""),-0.0171233392648528)</f>
        <v>-1.7123339264852801E-2</v>
      </c>
      <c r="OX13" s="3">
        <f ca="1">IFERROR(__xludf.DUMMYFUNCTION("""COMPUTED_VALUE"""),-0.00203952703004517)</f>
        <v>-2.0395270300451701E-3</v>
      </c>
      <c r="OY13" s="3">
        <f ca="1">IFERROR(__xludf.DUMMYFUNCTION("""COMPUTED_VALUE"""),-0.00943265301147278)</f>
        <v>-9.4326530114727802E-3</v>
      </c>
      <c r="OZ13" s="3">
        <f ca="1">IFERROR(__xludf.DUMMYFUNCTION("""COMPUTED_VALUE"""),0.163225575693666)</f>
        <v>0.163225575693666</v>
      </c>
      <c r="PA13" s="3">
        <f ca="1">IFERROR(__xludf.DUMMYFUNCTION("""COMPUTED_VALUE"""),0.0817891141096005)</f>
        <v>8.1789114109600505E-2</v>
      </c>
      <c r="PB13" s="3">
        <f ca="1">IFERROR(__xludf.DUMMYFUNCTION("""COMPUTED_VALUE"""),0.173415420692759)</f>
        <v>0.173415420692759</v>
      </c>
      <c r="PC13" s="3">
        <f ca="1">IFERROR(__xludf.DUMMYFUNCTION("""COMPUTED_VALUE"""),0.00808586671143185)</f>
        <v>8.0858667114318498E-3</v>
      </c>
      <c r="PD13" s="3">
        <f ca="1">IFERROR(__xludf.DUMMYFUNCTION("""COMPUTED_VALUE"""),-0.120458228325029)</f>
        <v>-0.120458228325029</v>
      </c>
      <c r="PE13" s="3">
        <f ca="1">IFERROR(__xludf.DUMMYFUNCTION("""COMPUTED_VALUE"""),-0.1528661742771)</f>
        <v>-0.1528661742771</v>
      </c>
      <c r="PF13" s="3">
        <f ca="1">IFERROR(__xludf.DUMMYFUNCTION("""COMPUTED_VALUE"""),-0.147099006150231)</f>
        <v>-0.147099006150231</v>
      </c>
      <c r="PG13" s="3">
        <f ca="1">IFERROR(__xludf.DUMMYFUNCTION("""COMPUTED_VALUE"""),-0.410935032455901)</f>
        <v>-0.41093503245590102</v>
      </c>
      <c r="PH13" s="3">
        <f ca="1">IFERROR(__xludf.DUMMYFUNCTION("""COMPUTED_VALUE"""),0.144101108047053)</f>
        <v>0.14410110804705301</v>
      </c>
      <c r="PI13" s="3">
        <f ca="1">IFERROR(__xludf.DUMMYFUNCTION("""COMPUTED_VALUE"""),0.159777015373811)</f>
        <v>0.159777015373811</v>
      </c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</row>
    <row r="14" spans="1:477" ht="15.75" customHeight="1">
      <c r="A14" s="1" t="str">
        <f ca="1">IFERROR(__xludf.DUMMYFUNCTION("""COMPUTED_VALUE"""),"Pacific Surfliner")</f>
        <v>Pacific Surfliner</v>
      </c>
      <c r="B14" s="1" t="str">
        <f ca="1">IFERROR(__xludf.DUMMYFUNCTION("""COMPUTED_VALUE"""),"California")</f>
        <v>California</v>
      </c>
      <c r="C14" s="1" t="str">
        <f ca="1">IFERROR(__xludf.DUMMYFUNCTION("""COMPUTED_VALUE"""),"United States")</f>
        <v>United States</v>
      </c>
      <c r="D14" s="1" t="str">
        <f ca="1">IFERROR(__xludf.DUMMYFUNCTION("""COMPUTED_VALUE"""),"California")</f>
        <v>California</v>
      </c>
      <c r="E14" s="3">
        <f ca="1">IFERROR(__xludf.DUMMYFUNCTION("""COMPUTED_VALUE"""),-0.333939113992962)</f>
        <v>-0.333939113992962</v>
      </c>
      <c r="F14" s="3">
        <f ca="1">IFERROR(__xludf.DUMMYFUNCTION("""COMPUTED_VALUE"""),-0.525867352186266)</f>
        <v>-0.52586735218626601</v>
      </c>
      <c r="G14" s="3">
        <f ca="1">IFERROR(__xludf.DUMMYFUNCTION("""COMPUTED_VALUE"""),-0.269729420232704)</f>
        <v>-0.26972942023270402</v>
      </c>
      <c r="H14" s="3">
        <f ca="1">IFERROR(__xludf.DUMMYFUNCTION("""COMPUTED_VALUE"""),-0.258666356677586)</f>
        <v>-0.25866635667758597</v>
      </c>
      <c r="I14" s="3">
        <f ca="1">IFERROR(__xludf.DUMMYFUNCTION("""COMPUTED_VALUE"""),-0.217307543609249)</f>
        <v>-0.217307543609249</v>
      </c>
      <c r="J14" s="3">
        <f ca="1">IFERROR(__xludf.DUMMYFUNCTION("""COMPUTED_VALUE"""),-0.245791234956032)</f>
        <v>-0.245791234956032</v>
      </c>
      <c r="K14" s="3">
        <f ca="1">IFERROR(__xludf.DUMMYFUNCTION("""COMPUTED_VALUE"""),-0.254039899238549)</f>
        <v>-0.25403989923854903</v>
      </c>
      <c r="L14" s="3">
        <f ca="1">IFERROR(__xludf.DUMMYFUNCTION("""COMPUTED_VALUE"""),-0.155197687818746)</f>
        <v>-0.15519768781874599</v>
      </c>
      <c r="M14" s="3">
        <f ca="1">IFERROR(__xludf.DUMMYFUNCTION("""COMPUTED_VALUE"""),-0.258374858118279)</f>
        <v>-0.25837485811827898</v>
      </c>
      <c r="N14" s="3">
        <f ca="1">IFERROR(__xludf.DUMMYFUNCTION("""COMPUTED_VALUE"""),-0.277962151861847)</f>
        <v>-0.27796215186184697</v>
      </c>
      <c r="O14" s="3">
        <f ca="1">IFERROR(__xludf.DUMMYFUNCTION("""COMPUTED_VALUE"""),-0.292702177371729)</f>
        <v>-0.29270217737172899</v>
      </c>
      <c r="P14" s="3">
        <f ca="1">IFERROR(__xludf.DUMMYFUNCTION("""COMPUTED_VALUE"""),-0.293528117630795)</f>
        <v>-0.293528117630795</v>
      </c>
      <c r="Q14" s="3">
        <f ca="1">IFERROR(__xludf.DUMMYFUNCTION("""COMPUTED_VALUE"""),-0.381563037837518)</f>
        <v>-0.38156303783751799</v>
      </c>
      <c r="R14" s="3">
        <f ca="1">IFERROR(__xludf.DUMMYFUNCTION("""COMPUTED_VALUE"""),-0.29766759367706)</f>
        <v>-0.29766759367706003</v>
      </c>
      <c r="S14" s="3">
        <f ca="1">IFERROR(__xludf.DUMMYFUNCTION("""COMPUTED_VALUE"""),-0.34886555768775)</f>
        <v>-0.34886555768775002</v>
      </c>
      <c r="T14" s="3">
        <f ca="1">IFERROR(__xludf.DUMMYFUNCTION("""COMPUTED_VALUE"""),-0.455634809449939)</f>
        <v>-0.455634809449939</v>
      </c>
      <c r="U14" s="3">
        <f ca="1">IFERROR(__xludf.DUMMYFUNCTION("""COMPUTED_VALUE"""),-0.522236599999906)</f>
        <v>-0.52223659999990601</v>
      </c>
      <c r="V14" s="3">
        <f ca="1">IFERROR(__xludf.DUMMYFUNCTION("""COMPUTED_VALUE"""),-0.530550732618104)</f>
        <v>-0.53055073261810404</v>
      </c>
      <c r="W14" s="3">
        <f ca="1">IFERROR(__xludf.DUMMYFUNCTION("""COMPUTED_VALUE"""),-0.514897446225677)</f>
        <v>-0.51489744622567701</v>
      </c>
      <c r="X14" s="3">
        <f ca="1">IFERROR(__xludf.DUMMYFUNCTION("""COMPUTED_VALUE"""),-0.526845289388953)</f>
        <v>-0.52684528938895303</v>
      </c>
      <c r="Y14" s="3">
        <f ca="1">IFERROR(__xludf.DUMMYFUNCTION("""COMPUTED_VALUE"""),-0.490675385546232)</f>
        <v>-0.49067538554623202</v>
      </c>
      <c r="Z14" s="3">
        <f ca="1">IFERROR(__xludf.DUMMYFUNCTION("""COMPUTED_VALUE"""),-0.59588661514884)</f>
        <v>-0.59588661514884</v>
      </c>
      <c r="AA14" s="3">
        <f ca="1">IFERROR(__xludf.DUMMYFUNCTION("""COMPUTED_VALUE"""),-0.703081116208569)</f>
        <v>-0.70308111620856895</v>
      </c>
      <c r="AB14" s="3">
        <f ca="1">IFERROR(__xludf.DUMMYFUNCTION("""COMPUTED_VALUE"""),-0.591405534389286)</f>
        <v>-0.591405534389286</v>
      </c>
      <c r="AC14" s="3">
        <f ca="1">IFERROR(__xludf.DUMMYFUNCTION("""COMPUTED_VALUE"""),-0.578496654283164)</f>
        <v>-0.57849665428316399</v>
      </c>
      <c r="AD14" s="3">
        <f ca="1">IFERROR(__xludf.DUMMYFUNCTION("""COMPUTED_VALUE"""),-0.60497232530399)</f>
        <v>-0.60497232530399003</v>
      </c>
      <c r="AE14" s="3">
        <f ca="1">IFERROR(__xludf.DUMMYFUNCTION("""COMPUTED_VALUE"""),-0.663141779463363)</f>
        <v>-0.66314177946336295</v>
      </c>
      <c r="AF14" s="3">
        <f ca="1">IFERROR(__xludf.DUMMYFUNCTION("""COMPUTED_VALUE"""),-0.558344807594095)</f>
        <v>-0.55834480759409499</v>
      </c>
      <c r="AG14" s="3">
        <f ca="1">IFERROR(__xludf.DUMMYFUNCTION("""COMPUTED_VALUE"""),-0.674910986769213)</f>
        <v>-0.67491098676921302</v>
      </c>
      <c r="AH14" s="3">
        <f ca="1">IFERROR(__xludf.DUMMYFUNCTION("""COMPUTED_VALUE"""),-0.719611547219093)</f>
        <v>-0.71961154721909304</v>
      </c>
      <c r="AI14" s="3">
        <f ca="1">IFERROR(__xludf.DUMMYFUNCTION("""COMPUTED_VALUE"""),-0.640876027131565)</f>
        <v>-0.640876027131565</v>
      </c>
      <c r="AJ14" s="3">
        <f ca="1">IFERROR(__xludf.DUMMYFUNCTION("""COMPUTED_VALUE"""),-0.621227166683039)</f>
        <v>-0.62122716668303901</v>
      </c>
      <c r="AK14" s="3">
        <f ca="1">IFERROR(__xludf.DUMMYFUNCTION("""COMPUTED_VALUE"""),-0.561711552419746)</f>
        <v>-0.56171155241974602</v>
      </c>
      <c r="AL14" s="3">
        <f ca="1">IFERROR(__xludf.DUMMYFUNCTION("""COMPUTED_VALUE"""),-0.59551943306902)</f>
        <v>-0.59551943306902</v>
      </c>
      <c r="AM14" s="3">
        <f ca="1">IFERROR(__xludf.DUMMYFUNCTION("""COMPUTED_VALUE"""),-0.414885017803746)</f>
        <v>-0.41488501780374598</v>
      </c>
      <c r="AN14" s="3">
        <f ca="1">IFERROR(__xludf.DUMMYFUNCTION("""COMPUTED_VALUE"""),-0.408179250468384)</f>
        <v>-0.40817925046838399</v>
      </c>
      <c r="AO14" s="3">
        <f ca="1">IFERROR(__xludf.DUMMYFUNCTION("""COMPUTED_VALUE"""),-0.570728400935607)</f>
        <v>-0.57072840093560695</v>
      </c>
      <c r="AP14" s="3">
        <f ca="1">IFERROR(__xludf.DUMMYFUNCTION("""COMPUTED_VALUE"""),-0.573430556524405)</f>
        <v>-0.573430556524405</v>
      </c>
      <c r="AQ14" s="3">
        <f ca="1">IFERROR(__xludf.DUMMYFUNCTION("""COMPUTED_VALUE"""),-0.600357923934369)</f>
        <v>-0.60035792393436904</v>
      </c>
      <c r="AR14" s="3">
        <f ca="1">IFERROR(__xludf.DUMMYFUNCTION("""COMPUTED_VALUE"""),-0.598092527140443)</f>
        <v>-0.59809252714044303</v>
      </c>
      <c r="AS14" s="3">
        <f ca="1">IFERROR(__xludf.DUMMYFUNCTION("""COMPUTED_VALUE"""),-0.567575671923963)</f>
        <v>-0.56757567192396297</v>
      </c>
      <c r="AT14" s="3">
        <f ca="1">IFERROR(__xludf.DUMMYFUNCTION("""COMPUTED_VALUE"""),-0.401705427485669)</f>
        <v>-0.40170542748566901</v>
      </c>
      <c r="AU14" s="3">
        <f ca="1">IFERROR(__xludf.DUMMYFUNCTION("""COMPUTED_VALUE"""),-0.467103292004285)</f>
        <v>-0.46710329200428502</v>
      </c>
      <c r="AV14" s="3">
        <f ca="1">IFERROR(__xludf.DUMMYFUNCTION("""COMPUTED_VALUE"""),-0.604110386395006)</f>
        <v>-0.60411038639500603</v>
      </c>
      <c r="AW14" s="3">
        <f ca="1">IFERROR(__xludf.DUMMYFUNCTION("""COMPUTED_VALUE"""),-0.618052160912935)</f>
        <v>-0.61805216091293502</v>
      </c>
      <c r="AX14" s="3">
        <f ca="1">IFERROR(__xludf.DUMMYFUNCTION("""COMPUTED_VALUE"""),-0.581111180222204)</f>
        <v>-0.58111118022220398</v>
      </c>
      <c r="AY14" s="3">
        <f ca="1">IFERROR(__xludf.DUMMYFUNCTION("""COMPUTED_VALUE"""),-0.577712287328397)</f>
        <v>-0.57771228732839697</v>
      </c>
      <c r="AZ14" s="3">
        <f ca="1">IFERROR(__xludf.DUMMYFUNCTION("""COMPUTED_VALUE"""),-0.566093697498203)</f>
        <v>-0.56609369749820304</v>
      </c>
      <c r="BA14" s="3">
        <f ca="1">IFERROR(__xludf.DUMMYFUNCTION("""COMPUTED_VALUE"""),-0.509967380583955)</f>
        <v>-0.50996738058395497</v>
      </c>
      <c r="BB14" s="3">
        <f ca="1">IFERROR(__xludf.DUMMYFUNCTION("""COMPUTED_VALUE"""),-0.569589873984757)</f>
        <v>-0.56958987398475702</v>
      </c>
      <c r="BC14" s="3">
        <f ca="1">IFERROR(__xludf.DUMMYFUNCTION("""COMPUTED_VALUE"""),-0.629289844022566)</f>
        <v>-0.62928984402256605</v>
      </c>
      <c r="BD14" s="3">
        <f ca="1">IFERROR(__xludf.DUMMYFUNCTION("""COMPUTED_VALUE"""),-0.480859458847852)</f>
        <v>-0.48085945884785197</v>
      </c>
      <c r="BE14" s="3">
        <f ca="1">IFERROR(__xludf.DUMMYFUNCTION("""COMPUTED_VALUE"""),-0.492748064240086)</f>
        <v>-0.49274806424008599</v>
      </c>
      <c r="BF14" s="3">
        <f ca="1">IFERROR(__xludf.DUMMYFUNCTION("""COMPUTED_VALUE"""),-0.558260104495351)</f>
        <v>-0.55826010449535102</v>
      </c>
      <c r="BG14" s="3">
        <f ca="1">IFERROR(__xludf.DUMMYFUNCTION("""COMPUTED_VALUE"""),-0.535585194207577)</f>
        <v>-0.535585194207577</v>
      </c>
      <c r="BH14" s="3">
        <f ca="1">IFERROR(__xludf.DUMMYFUNCTION("""COMPUTED_VALUE"""),-0.353862906416803)</f>
        <v>-0.35386290641680301</v>
      </c>
      <c r="BI14" s="3">
        <f ca="1">IFERROR(__xludf.DUMMYFUNCTION("""COMPUTED_VALUE"""),-0.424491904262074)</f>
        <v>-0.424491904262074</v>
      </c>
      <c r="BJ14" s="3">
        <f ca="1">IFERROR(__xludf.DUMMYFUNCTION("""COMPUTED_VALUE"""),-0.539336419240773)</f>
        <v>-0.53933641924077302</v>
      </c>
      <c r="BK14" s="3">
        <f ca="1">IFERROR(__xludf.DUMMYFUNCTION("""COMPUTED_VALUE"""),-0.537481468265067)</f>
        <v>-0.53748146826506704</v>
      </c>
      <c r="BL14" s="3">
        <f ca="1">IFERROR(__xludf.DUMMYFUNCTION("""COMPUTED_VALUE"""),-0.505094013416654)</f>
        <v>-0.50509401341665405</v>
      </c>
      <c r="BM14" s="3">
        <f ca="1">IFERROR(__xludf.DUMMYFUNCTION("""COMPUTED_VALUE"""),-0.514505729942591)</f>
        <v>-0.51450572994259103</v>
      </c>
      <c r="BN14" s="3">
        <f ca="1">IFERROR(__xludf.DUMMYFUNCTION("""COMPUTED_VALUE"""),-0.430771363543476)</f>
        <v>-0.430771363543476</v>
      </c>
      <c r="BO14" s="3">
        <f ca="1">IFERROR(__xludf.DUMMYFUNCTION("""COMPUTED_VALUE"""),-0.421368014519227)</f>
        <v>-0.42136801451922701</v>
      </c>
      <c r="BP14" s="3">
        <f ca="1">IFERROR(__xludf.DUMMYFUNCTION("""COMPUTED_VALUE"""),-0.45409271374868)</f>
        <v>-0.45409271374867999</v>
      </c>
      <c r="BQ14" s="3">
        <f ca="1">IFERROR(__xludf.DUMMYFUNCTION("""COMPUTED_VALUE"""),-0.541039838317504)</f>
        <v>-0.54103983831750402</v>
      </c>
      <c r="BR14" s="3">
        <f ca="1">IFERROR(__xludf.DUMMYFUNCTION("""COMPUTED_VALUE"""),-0.5642192137845)</f>
        <v>-0.56421921378450002</v>
      </c>
      <c r="BS14" s="3">
        <f ca="1">IFERROR(__xludf.DUMMYFUNCTION("""COMPUTED_VALUE"""),-0.547629694901552)</f>
        <v>-0.547629694901552</v>
      </c>
      <c r="BT14" s="3">
        <f ca="1">IFERROR(__xludf.DUMMYFUNCTION("""COMPUTED_VALUE"""),-0.539509779099324)</f>
        <v>-0.53950977909932396</v>
      </c>
      <c r="BU14" s="3">
        <f ca="1">IFERROR(__xludf.DUMMYFUNCTION("""COMPUTED_VALUE"""),-0.516431550257879)</f>
        <v>-0.51643155025787901</v>
      </c>
      <c r="BV14" s="3">
        <f ca="1">IFERROR(__xludf.DUMMYFUNCTION("""COMPUTED_VALUE"""),-0.464114713064433)</f>
        <v>-0.46411471306443303</v>
      </c>
      <c r="BW14" s="3">
        <f ca="1">IFERROR(__xludf.DUMMYFUNCTION("""COMPUTED_VALUE"""),-0.497476451924787)</f>
        <v>-0.49747645192478701</v>
      </c>
      <c r="BX14" s="3">
        <f ca="1">IFERROR(__xludf.DUMMYFUNCTION("""COMPUTED_VALUE"""),-0.650156592429054)</f>
        <v>-0.65015659242905399</v>
      </c>
      <c r="BY14" s="3">
        <f ca="1">IFERROR(__xludf.DUMMYFUNCTION("""COMPUTED_VALUE"""),-0.588932391991831)</f>
        <v>-0.58893239199183101</v>
      </c>
      <c r="BZ14" s="3">
        <f ca="1">IFERROR(__xludf.DUMMYFUNCTION("""COMPUTED_VALUE"""),-0.593597898056326)</f>
        <v>-0.59359789805632601</v>
      </c>
      <c r="CA14" s="3">
        <f ca="1">IFERROR(__xludf.DUMMYFUNCTION("""COMPUTED_VALUE"""),-0.53161352701757)</f>
        <v>-0.53161352701757003</v>
      </c>
      <c r="CB14" s="3">
        <f ca="1">IFERROR(__xludf.DUMMYFUNCTION("""COMPUTED_VALUE"""),-0.485300724120636)</f>
        <v>-0.48530072412063602</v>
      </c>
      <c r="CC14" s="3">
        <f ca="1">IFERROR(__xludf.DUMMYFUNCTION("""COMPUTED_VALUE"""),-0.505964806974399)</f>
        <v>-0.50596480697439905</v>
      </c>
      <c r="CD14" s="3">
        <f ca="1">IFERROR(__xludf.DUMMYFUNCTION("""COMPUTED_VALUE"""),-0.621829914349462)</f>
        <v>-0.621829914349462</v>
      </c>
      <c r="CE14" s="3">
        <f ca="1">IFERROR(__xludf.DUMMYFUNCTION("""COMPUTED_VALUE"""),-0.536292197339008)</f>
        <v>-0.53629219733900801</v>
      </c>
      <c r="CF14" s="3">
        <f ca="1">IFERROR(__xludf.DUMMYFUNCTION("""COMPUTED_VALUE"""),-0.556755829826794)</f>
        <v>-0.55675582982679395</v>
      </c>
      <c r="CG14" s="3">
        <f ca="1">IFERROR(__xludf.DUMMYFUNCTION("""COMPUTED_VALUE"""),-0.575219086883117)</f>
        <v>-0.57521908688311696</v>
      </c>
      <c r="CH14" s="3">
        <f ca="1">IFERROR(__xludf.DUMMYFUNCTION("""COMPUTED_VALUE"""),-0.540125837699725)</f>
        <v>-0.540125837699725</v>
      </c>
      <c r="CI14" s="3">
        <f ca="1">IFERROR(__xludf.DUMMYFUNCTION("""COMPUTED_VALUE"""),-0.45484484360601)</f>
        <v>-0.45484484360601002</v>
      </c>
      <c r="CJ14" s="3">
        <f ca="1">IFERROR(__xludf.DUMMYFUNCTION("""COMPUTED_VALUE"""),-0.475402177606643)</f>
        <v>-0.47540217760664299</v>
      </c>
      <c r="CK14" s="3">
        <f ca="1">IFERROR(__xludf.DUMMYFUNCTION("""COMPUTED_VALUE"""),-0.467894565110923)</f>
        <v>-0.46789456511092298</v>
      </c>
      <c r="CL14" s="3">
        <f ca="1">IFERROR(__xludf.DUMMYFUNCTION("""COMPUTED_VALUE"""),-0.538012383155409)</f>
        <v>-0.538012383155409</v>
      </c>
      <c r="CM14" s="3">
        <f ca="1">IFERROR(__xludf.DUMMYFUNCTION("""COMPUTED_VALUE"""),-0.518342245052294)</f>
        <v>-0.51834224505229398</v>
      </c>
      <c r="CN14" s="3">
        <f ca="1">IFERROR(__xludf.DUMMYFUNCTION("""COMPUTED_VALUE"""),-0.557467059165301)</f>
        <v>-0.55746705916530104</v>
      </c>
      <c r="CO14" s="3">
        <f ca="1">IFERROR(__xludf.DUMMYFUNCTION("""COMPUTED_VALUE"""),-0.51406313696184)</f>
        <v>-0.51406313696184003</v>
      </c>
      <c r="CP14" s="3">
        <f ca="1">IFERROR(__xludf.DUMMYFUNCTION("""COMPUTED_VALUE"""),-0.452357708586119)</f>
        <v>-0.45235770858611901</v>
      </c>
      <c r="CQ14" s="3">
        <f ca="1">IFERROR(__xludf.DUMMYFUNCTION("""COMPUTED_VALUE"""),-0.47372080720849)</f>
        <v>-0.47372080720849002</v>
      </c>
      <c r="CR14" s="3">
        <f ca="1">IFERROR(__xludf.DUMMYFUNCTION("""COMPUTED_VALUE"""),-0.46332120548292)</f>
        <v>-0.46332120548292</v>
      </c>
      <c r="CS14" s="3">
        <f ca="1">IFERROR(__xludf.DUMMYFUNCTION("""COMPUTED_VALUE"""),-0.517349792940734)</f>
        <v>-0.51734979294073402</v>
      </c>
      <c r="CT14" s="3">
        <f ca="1">IFERROR(__xludf.DUMMYFUNCTION("""COMPUTED_VALUE"""),-0.516256761873238)</f>
        <v>-0.51625676187323799</v>
      </c>
      <c r="CU14" s="3">
        <f ca="1">IFERROR(__xludf.DUMMYFUNCTION("""COMPUTED_VALUE"""),-0.470116657238747)</f>
        <v>-0.47011665723874702</v>
      </c>
      <c r="CV14" s="3">
        <f ca="1">IFERROR(__xludf.DUMMYFUNCTION("""COMPUTED_VALUE"""),-0.457667329690622)</f>
        <v>-0.45766732969062202</v>
      </c>
      <c r="CW14" s="3">
        <f ca="1">IFERROR(__xludf.DUMMYFUNCTION("""COMPUTED_VALUE"""),-0.487946405007113)</f>
        <v>-0.487946405007113</v>
      </c>
      <c r="CX14" s="3">
        <f ca="1">IFERROR(__xludf.DUMMYFUNCTION("""COMPUTED_VALUE"""),-0.466447829735926)</f>
        <v>-0.46644782973592602</v>
      </c>
      <c r="CY14" s="3">
        <f ca="1">IFERROR(__xludf.DUMMYFUNCTION("""COMPUTED_VALUE"""),-0.565539962943907)</f>
        <v>-0.56553996294390696</v>
      </c>
      <c r="CZ14" s="3">
        <f ca="1">IFERROR(__xludf.DUMMYFUNCTION("""COMPUTED_VALUE"""),-0.633382075967949)</f>
        <v>-0.63338207596794904</v>
      </c>
      <c r="DA14" s="3">
        <f ca="1">IFERROR(__xludf.DUMMYFUNCTION("""COMPUTED_VALUE"""),-0.446743757157638)</f>
        <v>-0.44674375715763798</v>
      </c>
      <c r="DB14" s="3">
        <f ca="1">IFERROR(__xludf.DUMMYFUNCTION("""COMPUTED_VALUE"""),-0.295198113032862)</f>
        <v>-0.29519811303286198</v>
      </c>
      <c r="DC14" s="3">
        <f ca="1">IFERROR(__xludf.DUMMYFUNCTION("""COMPUTED_VALUE"""),-0.488817478570154)</f>
        <v>-0.48881747857015401</v>
      </c>
      <c r="DD14" s="3">
        <f ca="1">IFERROR(__xludf.DUMMYFUNCTION("""COMPUTED_VALUE"""),-0.631650377335187)</f>
        <v>-0.63165037733518703</v>
      </c>
      <c r="DE14" s="3">
        <f ca="1">IFERROR(__xludf.DUMMYFUNCTION("""COMPUTED_VALUE"""),-0.546772718334599)</f>
        <v>-0.54677271833459895</v>
      </c>
      <c r="DF14" s="3">
        <f ca="1">IFERROR(__xludf.DUMMYFUNCTION("""COMPUTED_VALUE"""),-0.602166258649264)</f>
        <v>-0.60216625864926399</v>
      </c>
      <c r="DG14" s="3">
        <f ca="1">IFERROR(__xludf.DUMMYFUNCTION("""COMPUTED_VALUE"""),-0.746098653014743)</f>
        <v>-0.74609865301474299</v>
      </c>
      <c r="DH14" s="3">
        <f ca="1">IFERROR(__xludf.DUMMYFUNCTION("""COMPUTED_VALUE"""),-0.558255036448044)</f>
        <v>-0.55825503644804397</v>
      </c>
      <c r="DI14" s="3">
        <f ca="1">IFERROR(__xludf.DUMMYFUNCTION("""COMPUTED_VALUE"""),-0.269461461842296)</f>
        <v>-0.26946146184229602</v>
      </c>
      <c r="DJ14" s="3">
        <f ca="1">IFERROR(__xludf.DUMMYFUNCTION("""COMPUTED_VALUE"""),-0.393967313790634)</f>
        <v>-0.39396731379063399</v>
      </c>
      <c r="DK14" s="3">
        <f ca="1">IFERROR(__xludf.DUMMYFUNCTION("""COMPUTED_VALUE"""),-0.418130810193962)</f>
        <v>-0.41813081019396198</v>
      </c>
      <c r="DL14" s="3">
        <f ca="1">IFERROR(__xludf.DUMMYFUNCTION("""COMPUTED_VALUE"""),-0.466710591134739)</f>
        <v>-0.46671059113473901</v>
      </c>
      <c r="DM14" s="3">
        <f ca="1">IFERROR(__xludf.DUMMYFUNCTION("""COMPUTED_VALUE"""),-0.470934081585474)</f>
        <v>-0.47093408158547401</v>
      </c>
      <c r="DN14" s="3">
        <f ca="1">IFERROR(__xludf.DUMMYFUNCTION("""COMPUTED_VALUE"""),-0.470193340009673)</f>
        <v>-0.470193340009673</v>
      </c>
      <c r="DO14" s="3">
        <f ca="1">IFERROR(__xludf.DUMMYFUNCTION("""COMPUTED_VALUE"""),-0.441260384482754)</f>
        <v>-0.44126038448275401</v>
      </c>
      <c r="DP14" s="3">
        <f ca="1">IFERROR(__xludf.DUMMYFUNCTION("""COMPUTED_VALUE"""),-0.314884647758816)</f>
        <v>-0.31488464775881603</v>
      </c>
      <c r="DQ14" s="3">
        <f ca="1">IFERROR(__xludf.DUMMYFUNCTION("""COMPUTED_VALUE"""),-0.119741884995068)</f>
        <v>-0.11974188499506799</v>
      </c>
      <c r="DR14" s="3">
        <f ca="1">IFERROR(__xludf.DUMMYFUNCTION("""COMPUTED_VALUE"""),0.202911505964833)</f>
        <v>0.20291150596483301</v>
      </c>
      <c r="DS14" s="3">
        <f ca="1">IFERROR(__xludf.DUMMYFUNCTION("""COMPUTED_VALUE"""),0.404170842364922)</f>
        <v>0.40417084236492201</v>
      </c>
      <c r="DT14" s="3">
        <f ca="1">IFERROR(__xludf.DUMMYFUNCTION("""COMPUTED_VALUE"""),-0.50847156303645)</f>
        <v>-0.50847156303645002</v>
      </c>
      <c r="DU14" s="3">
        <f ca="1">IFERROR(__xludf.DUMMYFUNCTION("""COMPUTED_VALUE"""),-0.571323773959511)</f>
        <v>-0.57132377395951095</v>
      </c>
      <c r="DV14" s="3">
        <f ca="1">IFERROR(__xludf.DUMMYFUNCTION("""COMPUTED_VALUE"""),-0.510876092391452)</f>
        <v>-0.51087609239145204</v>
      </c>
      <c r="DW14" s="3">
        <f ca="1">IFERROR(__xludf.DUMMYFUNCTION("""COMPUTED_VALUE"""),-0.490884551896554)</f>
        <v>-0.490884551896554</v>
      </c>
      <c r="DX14" s="3">
        <f ca="1">IFERROR(__xludf.DUMMYFUNCTION("""COMPUTED_VALUE"""),-0.554326205732787)</f>
        <v>-0.55432620573278701</v>
      </c>
      <c r="DY14" s="3">
        <f ca="1">IFERROR(__xludf.DUMMYFUNCTION("""COMPUTED_VALUE"""),-0.538192299185539)</f>
        <v>-0.53819229918553901</v>
      </c>
      <c r="DZ14" s="3">
        <f ca="1">IFERROR(__xludf.DUMMYFUNCTION("""COMPUTED_VALUE"""),-0.488122112955021)</f>
        <v>-0.488122112955021</v>
      </c>
      <c r="EA14" s="3">
        <f ca="1">IFERROR(__xludf.DUMMYFUNCTION("""COMPUTED_VALUE"""),-0.450635523406497)</f>
        <v>-0.45063552340649699</v>
      </c>
      <c r="EB14" s="3">
        <f ca="1">IFERROR(__xludf.DUMMYFUNCTION("""COMPUTED_VALUE"""),-0.489671095266853)</f>
        <v>-0.48967109526685298</v>
      </c>
      <c r="EC14" s="3">
        <f ca="1">IFERROR(__xludf.DUMMYFUNCTION("""COMPUTED_VALUE"""),-0.40758019094764)</f>
        <v>-0.40758019094763998</v>
      </c>
      <c r="ED14" s="3">
        <f ca="1">IFERROR(__xludf.DUMMYFUNCTION("""COMPUTED_VALUE"""),-0.401007569779706)</f>
        <v>-0.40100756977970597</v>
      </c>
      <c r="EE14" s="3">
        <f ca="1">IFERROR(__xludf.DUMMYFUNCTION("""COMPUTED_VALUE"""),-0.493608787300105)</f>
        <v>-0.49360878730010499</v>
      </c>
      <c r="EF14" s="3">
        <f ca="1">IFERROR(__xludf.DUMMYFUNCTION("""COMPUTED_VALUE"""),-0.497902230890286)</f>
        <v>-0.49790223089028601</v>
      </c>
      <c r="EG14" s="3">
        <f ca="1">IFERROR(__xludf.DUMMYFUNCTION("""COMPUTED_VALUE"""),-0.430633658155313)</f>
        <v>-0.43063365815531301</v>
      </c>
      <c r="EH14" s="3">
        <f ca="1">IFERROR(__xludf.DUMMYFUNCTION("""COMPUTED_VALUE"""),-0.464325866208121)</f>
        <v>-0.464325866208121</v>
      </c>
      <c r="EI14" s="3">
        <f ca="1">IFERROR(__xludf.DUMMYFUNCTION("""COMPUTED_VALUE"""),-0.542015017542649)</f>
        <v>-0.54201501754264902</v>
      </c>
      <c r="EJ14" s="3">
        <f ca="1">IFERROR(__xludf.DUMMYFUNCTION("""COMPUTED_VALUE"""),-0.53849220740503)</f>
        <v>-0.53849220740503001</v>
      </c>
      <c r="EK14" s="3">
        <f ca="1">IFERROR(__xludf.DUMMYFUNCTION("""COMPUTED_VALUE"""),-0.419448933194045)</f>
        <v>-0.41944893319404503</v>
      </c>
      <c r="EL14" s="3">
        <f ca="1">IFERROR(__xludf.DUMMYFUNCTION("""COMPUTED_VALUE"""),-0.520986552220959)</f>
        <v>-0.52098655222095902</v>
      </c>
      <c r="EM14" s="3">
        <f ca="1">IFERROR(__xludf.DUMMYFUNCTION("""COMPUTED_VALUE"""),-0.449942591929119)</f>
        <v>-0.44994259192911901</v>
      </c>
      <c r="EN14" s="3">
        <f ca="1">IFERROR(__xludf.DUMMYFUNCTION("""COMPUTED_VALUE"""),-0.372866617116693)</f>
        <v>-0.372866617116693</v>
      </c>
      <c r="EO14" s="3">
        <f ca="1">IFERROR(__xludf.DUMMYFUNCTION("""COMPUTED_VALUE"""),-0.379831849376442)</f>
        <v>-0.37983184937644199</v>
      </c>
      <c r="EP14" s="3">
        <f ca="1">IFERROR(__xludf.DUMMYFUNCTION("""COMPUTED_VALUE"""),-0.445044229989413)</f>
        <v>-0.44504422998941301</v>
      </c>
      <c r="EQ14" s="3">
        <f ca="1">IFERROR(__xludf.DUMMYFUNCTION("""COMPUTED_VALUE"""),-0.390934697233637)</f>
        <v>-0.390934697233637</v>
      </c>
      <c r="ER14" s="3">
        <f ca="1">IFERROR(__xludf.DUMMYFUNCTION("""COMPUTED_VALUE"""),-0.422042594632144)</f>
        <v>-0.422042594632144</v>
      </c>
      <c r="ES14" s="3">
        <f ca="1">IFERROR(__xludf.DUMMYFUNCTION("""COMPUTED_VALUE"""),-0.499877964760004)</f>
        <v>-0.49987796476000401</v>
      </c>
      <c r="ET14" s="3">
        <f ca="1">IFERROR(__xludf.DUMMYFUNCTION("""COMPUTED_VALUE"""),-0.462266097545481)</f>
        <v>-0.46226609754548098</v>
      </c>
      <c r="EU14" s="3">
        <f ca="1">IFERROR(__xludf.DUMMYFUNCTION("""COMPUTED_VALUE"""),-0.428332983588766)</f>
        <v>-0.42833298358876598</v>
      </c>
      <c r="EV14" s="3">
        <f ca="1">IFERROR(__xludf.DUMMYFUNCTION("""COMPUTED_VALUE"""),-0.406510749288221)</f>
        <v>-0.40651074928822101</v>
      </c>
      <c r="EW14" s="3">
        <f ca="1">IFERROR(__xludf.DUMMYFUNCTION("""COMPUTED_VALUE"""),-0.519124412727578)</f>
        <v>-0.51912441272757803</v>
      </c>
      <c r="EX14" s="3">
        <f ca="1">IFERROR(__xludf.DUMMYFUNCTION("""COMPUTED_VALUE"""),-0.52239931811265)</f>
        <v>-0.52239931811264995</v>
      </c>
      <c r="EY14" s="3">
        <f ca="1">IFERROR(__xludf.DUMMYFUNCTION("""COMPUTED_VALUE"""),-0.492117954532007)</f>
        <v>-0.49211795453200702</v>
      </c>
      <c r="EZ14" s="3">
        <f ca="1">IFERROR(__xludf.DUMMYFUNCTION("""COMPUTED_VALUE"""),-0.475199756685444)</f>
        <v>-0.47519975668544401</v>
      </c>
      <c r="FA14" s="3">
        <f ca="1">IFERROR(__xludf.DUMMYFUNCTION("""COMPUTED_VALUE"""),-0.482204636824212)</f>
        <v>-0.482204636824212</v>
      </c>
      <c r="FB14" s="3">
        <f ca="1">IFERROR(__xludf.DUMMYFUNCTION("""COMPUTED_VALUE"""),-0.525976202354585)</f>
        <v>-0.52597620235458498</v>
      </c>
      <c r="FC14" s="3">
        <f ca="1">IFERROR(__xludf.DUMMYFUNCTION("""COMPUTED_VALUE"""),-0.539469340810782)</f>
        <v>-0.53946934081078202</v>
      </c>
      <c r="FD14" s="3">
        <f ca="1">IFERROR(__xludf.DUMMYFUNCTION("""COMPUTED_VALUE"""),-0.485509912180548)</f>
        <v>-0.48550991218054801</v>
      </c>
      <c r="FE14" s="3">
        <f ca="1">IFERROR(__xludf.DUMMYFUNCTION("""COMPUTED_VALUE"""),-0.519225850081015)</f>
        <v>-0.51922585008101496</v>
      </c>
      <c r="FF14" s="3">
        <f ca="1">IFERROR(__xludf.DUMMYFUNCTION("""COMPUTED_VALUE"""),-0.494567683948859)</f>
        <v>-0.49456768394885903</v>
      </c>
      <c r="FG14" s="3">
        <f ca="1">IFERROR(__xludf.DUMMYFUNCTION("""COMPUTED_VALUE"""),-0.516671962438868)</f>
        <v>-0.51667196243886804</v>
      </c>
      <c r="FH14" s="3">
        <f ca="1">IFERROR(__xludf.DUMMYFUNCTION("""COMPUTED_VALUE"""),-0.354735435952697)</f>
        <v>-0.35473543595269702</v>
      </c>
      <c r="FI14" s="3">
        <f ca="1">IFERROR(__xludf.DUMMYFUNCTION("""COMPUTED_VALUE"""),-0.288109774654522)</f>
        <v>-0.28810977465452198</v>
      </c>
      <c r="FJ14" s="3">
        <f ca="1">IFERROR(__xludf.DUMMYFUNCTION("""COMPUTED_VALUE"""),-0.346774503215614)</f>
        <v>-0.34677450321561398</v>
      </c>
      <c r="FK14" s="3">
        <f ca="1">IFERROR(__xludf.DUMMYFUNCTION("""COMPUTED_VALUE"""),-0.450825898223415)</f>
        <v>-0.45082589822341501</v>
      </c>
      <c r="FL14" s="3">
        <f ca="1">IFERROR(__xludf.DUMMYFUNCTION("""COMPUTED_VALUE"""),-0.453121752836013)</f>
        <v>-0.45312175283601303</v>
      </c>
      <c r="FM14" s="3">
        <f ca="1">IFERROR(__xludf.DUMMYFUNCTION("""COMPUTED_VALUE"""),-0.480144560169078)</f>
        <v>-0.48014456016907803</v>
      </c>
      <c r="FN14" s="3">
        <f ca="1">IFERROR(__xludf.DUMMYFUNCTION("""COMPUTED_VALUE"""),-0.49817981039531)</f>
        <v>-0.49817981039531001</v>
      </c>
      <c r="FO14" s="3">
        <f ca="1">IFERROR(__xludf.DUMMYFUNCTION("""COMPUTED_VALUE"""),-0.460959138632815)</f>
        <v>-0.46095913863281501</v>
      </c>
      <c r="FP14" s="3">
        <f ca="1">IFERROR(__xludf.DUMMYFUNCTION("""COMPUTED_VALUE"""),-0.275241613189634)</f>
        <v>-0.27524161318963403</v>
      </c>
      <c r="FQ14" s="3">
        <f ca="1">IFERROR(__xludf.DUMMYFUNCTION("""COMPUTED_VALUE"""),-0.0729801925171733)</f>
        <v>-7.2980192517173303E-2</v>
      </c>
      <c r="FR14" s="3">
        <f ca="1">IFERROR(__xludf.DUMMYFUNCTION("""COMPUTED_VALUE"""),0.0305499261606805)</f>
        <v>3.0549926160680502E-2</v>
      </c>
      <c r="FS14" s="3">
        <f ca="1">IFERROR(__xludf.DUMMYFUNCTION("""COMPUTED_VALUE"""),-0.4695816411775)</f>
        <v>-0.46958164117750001</v>
      </c>
      <c r="FT14" s="3">
        <f ca="1">IFERROR(__xludf.DUMMYFUNCTION("""COMPUTED_VALUE"""),-0.478316447148125)</f>
        <v>-0.47831644714812499</v>
      </c>
      <c r="FU14" s="3">
        <f ca="1">IFERROR(__xludf.DUMMYFUNCTION("""COMPUTED_VALUE"""),-0.481431870417201)</f>
        <v>-0.48143187041720098</v>
      </c>
      <c r="FV14" s="3">
        <f ca="1">IFERROR(__xludf.DUMMYFUNCTION("""COMPUTED_VALUE"""),-0.363678972463104)</f>
        <v>-0.36367897246310399</v>
      </c>
      <c r="FW14" s="3">
        <f ca="1">IFERROR(__xludf.DUMMYFUNCTION("""COMPUTED_VALUE"""),-0.169630165055514)</f>
        <v>-0.16963016505551401</v>
      </c>
      <c r="FX14" s="3">
        <f ca="1">IFERROR(__xludf.DUMMYFUNCTION("""COMPUTED_VALUE"""),-0.294919686933425)</f>
        <v>-0.29491968693342502</v>
      </c>
      <c r="FY14" s="3">
        <f ca="1">IFERROR(__xludf.DUMMYFUNCTION("""COMPUTED_VALUE"""),-0.419418083363679)</f>
        <v>-0.41941808336367897</v>
      </c>
      <c r="FZ14" s="3">
        <f ca="1">IFERROR(__xludf.DUMMYFUNCTION("""COMPUTED_VALUE"""),-0.470618727960113)</f>
        <v>-0.470618727960113</v>
      </c>
      <c r="GA14" s="3">
        <f ca="1">IFERROR(__xludf.DUMMYFUNCTION("""COMPUTED_VALUE"""),-0.453987531391952)</f>
        <v>-0.45398753139195203</v>
      </c>
      <c r="GB14" s="3">
        <f ca="1">IFERROR(__xludf.DUMMYFUNCTION("""COMPUTED_VALUE"""),-0.454792555831327)</f>
        <v>-0.45479255583132699</v>
      </c>
      <c r="GC14" s="3">
        <f ca="1">IFERROR(__xludf.DUMMYFUNCTION("""COMPUTED_VALUE"""),-0.437117344417405)</f>
        <v>-0.43711734441740502</v>
      </c>
      <c r="GD14" s="3">
        <f ca="1">IFERROR(__xludf.DUMMYFUNCTION("""COMPUTED_VALUE"""),-0.277109099786273)</f>
        <v>-0.27710909978627302</v>
      </c>
      <c r="GE14" s="3">
        <f ca="1">IFERROR(__xludf.DUMMYFUNCTION("""COMPUTED_VALUE"""),-0.376896610320724)</f>
        <v>-0.37689661032072402</v>
      </c>
      <c r="GF14" s="3">
        <f ca="1">IFERROR(__xludf.DUMMYFUNCTION("""COMPUTED_VALUE"""),-0.527907552610717)</f>
        <v>-0.52790755261071698</v>
      </c>
      <c r="GG14" s="3">
        <f ca="1">IFERROR(__xludf.DUMMYFUNCTION("""COMPUTED_VALUE"""),-0.528793329711494)</f>
        <v>-0.52879332971149395</v>
      </c>
      <c r="GH14" s="3">
        <f ca="1">IFERROR(__xludf.DUMMYFUNCTION("""COMPUTED_VALUE"""),-0.490031741679695)</f>
        <v>-0.49003174167969499</v>
      </c>
      <c r="GI14" s="3">
        <f ca="1">IFERROR(__xludf.DUMMYFUNCTION("""COMPUTED_VALUE"""),-0.46091782399324)</f>
        <v>-0.46091782399323999</v>
      </c>
      <c r="GJ14" s="3">
        <f ca="1">IFERROR(__xludf.DUMMYFUNCTION("""COMPUTED_VALUE"""),-0.440608938966286)</f>
        <v>-0.440608938966286</v>
      </c>
      <c r="GK14" s="3">
        <f ca="1">IFERROR(__xludf.DUMMYFUNCTION("""COMPUTED_VALUE"""),-0.372047595902108)</f>
        <v>-0.37204759590210801</v>
      </c>
      <c r="GL14" s="3">
        <f ca="1">IFERROR(__xludf.DUMMYFUNCTION("""COMPUTED_VALUE"""),-0.363153009422585)</f>
        <v>-0.36315300942258499</v>
      </c>
      <c r="GM14" s="3">
        <f ca="1">IFERROR(__xludf.DUMMYFUNCTION("""COMPUTED_VALUE"""),-0.401819324655745)</f>
        <v>-0.40181932465574499</v>
      </c>
      <c r="GN14" s="3">
        <f ca="1">IFERROR(__xludf.DUMMYFUNCTION("""COMPUTED_VALUE"""),-0.439656291223876)</f>
        <v>-0.43965629122387601</v>
      </c>
      <c r="GO14" s="3">
        <f ca="1">IFERROR(__xludf.DUMMYFUNCTION("""COMPUTED_VALUE"""),-0.492624068100672)</f>
        <v>-0.492624068100672</v>
      </c>
      <c r="GP14" s="3">
        <f ca="1">IFERROR(__xludf.DUMMYFUNCTION("""COMPUTED_VALUE"""),-0.429884796043808)</f>
        <v>-0.42988479604380803</v>
      </c>
      <c r="GQ14" s="3">
        <f ca="1">IFERROR(__xludf.DUMMYFUNCTION("""COMPUTED_VALUE"""),-0.451920905719071)</f>
        <v>-0.45192090571907101</v>
      </c>
      <c r="GR14" s="3">
        <f ca="1">IFERROR(__xludf.DUMMYFUNCTION("""COMPUTED_VALUE"""),-0.417849037612029)</f>
        <v>-0.41784903761202902</v>
      </c>
      <c r="GS14" s="3">
        <f ca="1">IFERROR(__xludf.DUMMYFUNCTION("""COMPUTED_VALUE"""),-0.364924640332054)</f>
        <v>-0.36492464033205402</v>
      </c>
      <c r="GT14" s="3">
        <f ca="1">IFERROR(__xludf.DUMMYFUNCTION("""COMPUTED_VALUE"""),-0.407001366922099)</f>
        <v>-0.40700136692209898</v>
      </c>
      <c r="GU14" s="3">
        <f ca="1">IFERROR(__xludf.DUMMYFUNCTION("""COMPUTED_VALUE"""),-0.466697743026067)</f>
        <v>-0.46669774302606698</v>
      </c>
      <c r="GV14" s="3">
        <f ca="1">IFERROR(__xludf.DUMMYFUNCTION("""COMPUTED_VALUE"""),-0.52402301630511)</f>
        <v>-0.52402301630510995</v>
      </c>
      <c r="GW14" s="3">
        <f ca="1">IFERROR(__xludf.DUMMYFUNCTION("""COMPUTED_VALUE"""),-0.439036796289508)</f>
        <v>-0.43903679628950798</v>
      </c>
      <c r="GX14" s="3">
        <f ca="1">IFERROR(__xludf.DUMMYFUNCTION("""COMPUTED_VALUE"""),-0.49254317391137)</f>
        <v>-0.49254317391136998</v>
      </c>
      <c r="GY14" s="3">
        <f ca="1">IFERROR(__xludf.DUMMYFUNCTION("""COMPUTED_VALUE"""),-0.405637375514795)</f>
        <v>-0.40563737551479501</v>
      </c>
      <c r="GZ14" s="3">
        <f ca="1">IFERROR(__xludf.DUMMYFUNCTION("""COMPUTED_VALUE"""),-0.358858913505855)</f>
        <v>-0.35885891350585503</v>
      </c>
      <c r="HA14" s="3">
        <f ca="1">IFERROR(__xludf.DUMMYFUNCTION("""COMPUTED_VALUE"""),-0.457996911821371)</f>
        <v>-0.45799691182137098</v>
      </c>
      <c r="HB14" s="3">
        <f ca="1">IFERROR(__xludf.DUMMYFUNCTION("""COMPUTED_VALUE"""),-0.489651445874054)</f>
        <v>-0.48965144587405401</v>
      </c>
      <c r="HC14" s="3">
        <f ca="1">IFERROR(__xludf.DUMMYFUNCTION("""COMPUTED_VALUE"""),-0.48531720176725)</f>
        <v>-0.48531720176725002</v>
      </c>
      <c r="HD14" s="3">
        <f ca="1">IFERROR(__xludf.DUMMYFUNCTION("""COMPUTED_VALUE"""),-0.455477158821784)</f>
        <v>-0.45547715882178402</v>
      </c>
      <c r="HE14" s="3">
        <f ca="1">IFERROR(__xludf.DUMMYFUNCTION("""COMPUTED_VALUE"""),-0.460673286176818)</f>
        <v>-0.46067328617681802</v>
      </c>
      <c r="HF14" s="3">
        <f ca="1">IFERROR(__xludf.DUMMYFUNCTION("""COMPUTED_VALUE"""),-0.307007528951477)</f>
        <v>-0.30700752895147698</v>
      </c>
      <c r="HG14" s="3">
        <f ca="1">IFERROR(__xludf.DUMMYFUNCTION("""COMPUTED_VALUE"""),-0.344594729991858)</f>
        <v>-0.34459472999185797</v>
      </c>
      <c r="HH14" s="3">
        <f ca="1">IFERROR(__xludf.DUMMYFUNCTION("""COMPUTED_VALUE"""),-0.477732031036691)</f>
        <v>-0.47773203103669099</v>
      </c>
      <c r="HI14" s="3">
        <f ca="1">IFERROR(__xludf.DUMMYFUNCTION("""COMPUTED_VALUE"""),-0.520190115748847)</f>
        <v>-0.52019011574884699</v>
      </c>
      <c r="HJ14" s="3">
        <f ca="1">IFERROR(__xludf.DUMMYFUNCTION("""COMPUTED_VALUE"""),-0.469425451798248)</f>
        <v>-0.46942545179824802</v>
      </c>
      <c r="HK14" s="3">
        <f ca="1">IFERROR(__xludf.DUMMYFUNCTION("""COMPUTED_VALUE"""),-0.400954979307882)</f>
        <v>-0.40095497930788199</v>
      </c>
      <c r="HL14" s="3">
        <f ca="1">IFERROR(__xludf.DUMMYFUNCTION("""COMPUTED_VALUE"""),-0.253785285312236)</f>
        <v>-0.25378528531223599</v>
      </c>
      <c r="HM14" s="3">
        <f ca="1">IFERROR(__xludf.DUMMYFUNCTION("""COMPUTED_VALUE"""),-0.154658692612072)</f>
        <v>-0.15465869261207199</v>
      </c>
      <c r="HN14" s="3">
        <f ca="1">IFERROR(__xludf.DUMMYFUNCTION("""COMPUTED_VALUE"""),-0.299161489398911)</f>
        <v>-0.29916148939891102</v>
      </c>
      <c r="HO14" s="3">
        <f ca="1">IFERROR(__xludf.DUMMYFUNCTION("""COMPUTED_VALUE"""),-0.424030931506258)</f>
        <v>-0.42403093150625798</v>
      </c>
      <c r="HP14" s="3">
        <f ca="1">IFERROR(__xludf.DUMMYFUNCTION("""COMPUTED_VALUE"""),-0.513033504037307)</f>
        <v>-0.51303350403730696</v>
      </c>
      <c r="HQ14" s="3">
        <f ca="1">IFERROR(__xludf.DUMMYFUNCTION("""COMPUTED_VALUE"""),-0.466594487961689)</f>
        <v>-0.46659448796168901</v>
      </c>
      <c r="HR14" s="3">
        <f ca="1">IFERROR(__xludf.DUMMYFUNCTION("""COMPUTED_VALUE"""),-0.470567369838614)</f>
        <v>-0.47056736983861402</v>
      </c>
      <c r="HS14" s="3">
        <f ca="1">IFERROR(__xludf.DUMMYFUNCTION("""COMPUTED_VALUE"""),-0.44971113103598)</f>
        <v>-0.44971113103597998</v>
      </c>
      <c r="HT14" s="3">
        <f ca="1">IFERROR(__xludf.DUMMYFUNCTION("""COMPUTED_VALUE"""),-0.341771505634528)</f>
        <v>-0.34177150563452802</v>
      </c>
      <c r="HU14" s="3">
        <f ca="1">IFERROR(__xludf.DUMMYFUNCTION("""COMPUTED_VALUE"""),-0.327529888222185)</f>
        <v>-0.32752988822218498</v>
      </c>
      <c r="HV14" s="3">
        <f ca="1">IFERROR(__xludf.DUMMYFUNCTION("""COMPUTED_VALUE"""),-0.428491470277077)</f>
        <v>-0.42849147027707701</v>
      </c>
      <c r="HW14" s="3">
        <f ca="1">IFERROR(__xludf.DUMMYFUNCTION("""COMPUTED_VALUE"""),-0.46632631687961)</f>
        <v>-0.46632631687961001</v>
      </c>
      <c r="HX14" s="3">
        <f ca="1">IFERROR(__xludf.DUMMYFUNCTION("""COMPUTED_VALUE"""),-0.502153313038969)</f>
        <v>-0.50215331303896904</v>
      </c>
      <c r="HY14" s="3">
        <f ca="1">IFERROR(__xludf.DUMMYFUNCTION("""COMPUTED_VALUE"""),-0.467980356546001)</f>
        <v>-0.46798035654600101</v>
      </c>
      <c r="HZ14" s="3">
        <f ca="1">IFERROR(__xludf.DUMMYFUNCTION("""COMPUTED_VALUE"""),-0.435437990338166)</f>
        <v>-0.43543799033816599</v>
      </c>
      <c r="IA14" s="3">
        <f ca="1">IFERROR(__xludf.DUMMYFUNCTION("""COMPUTED_VALUE"""),-0.344641105507902)</f>
        <v>-0.344641105507902</v>
      </c>
      <c r="IB14" s="3">
        <f ca="1">IFERROR(__xludf.DUMMYFUNCTION("""COMPUTED_VALUE"""),-0.337694660294381)</f>
        <v>-0.337694660294381</v>
      </c>
      <c r="IC14" s="3">
        <f ca="1">IFERROR(__xludf.DUMMYFUNCTION("""COMPUTED_VALUE"""),-0.424716694722161)</f>
        <v>-0.424716694722161</v>
      </c>
      <c r="ID14" s="3">
        <f ca="1">IFERROR(__xludf.DUMMYFUNCTION("""COMPUTED_VALUE"""),-0.471360965198879)</f>
        <v>-0.47136096519887899</v>
      </c>
      <c r="IE14" s="3">
        <f ca="1">IFERROR(__xludf.DUMMYFUNCTION("""COMPUTED_VALUE"""),-0.474564523313989)</f>
        <v>-0.47456452331398902</v>
      </c>
      <c r="IF14" s="3">
        <f ca="1">IFERROR(__xludf.DUMMYFUNCTION("""COMPUTED_VALUE"""),-0.454227530306329)</f>
        <v>-0.45422753030632901</v>
      </c>
      <c r="IG14" s="3">
        <f ca="1">IFERROR(__xludf.DUMMYFUNCTION("""COMPUTED_VALUE"""),-0.434349253731025)</f>
        <v>-0.43434925373102501</v>
      </c>
      <c r="IH14" s="3">
        <f ca="1">IFERROR(__xludf.DUMMYFUNCTION("""COMPUTED_VALUE"""),-0.361643749913113)</f>
        <v>-0.36164374991311299</v>
      </c>
      <c r="II14" s="3">
        <f ca="1">IFERROR(__xludf.DUMMYFUNCTION("""COMPUTED_VALUE"""),-0.389315028495847)</f>
        <v>-0.38931502849584698</v>
      </c>
      <c r="IJ14" s="3">
        <f ca="1">IFERROR(__xludf.DUMMYFUNCTION("""COMPUTED_VALUE"""),-0.398796423392895)</f>
        <v>-0.39879642339289501</v>
      </c>
      <c r="IK14" s="3">
        <f ca="1">IFERROR(__xludf.DUMMYFUNCTION("""COMPUTED_VALUE"""),-0.398978571780555)</f>
        <v>-0.39897857178055501</v>
      </c>
      <c r="IL14" s="3">
        <f ca="1">IFERROR(__xludf.DUMMYFUNCTION("""COMPUTED_VALUE"""),-0.39938230102283)</f>
        <v>-0.39938230102283001</v>
      </c>
      <c r="IM14" s="3">
        <f ca="1">IFERROR(__xludf.DUMMYFUNCTION("""COMPUTED_VALUE"""),-0.339886038047162)</f>
        <v>-0.339886038047162</v>
      </c>
      <c r="IN14" s="3">
        <f ca="1">IFERROR(__xludf.DUMMYFUNCTION("""COMPUTED_VALUE"""),-0.359945391841907)</f>
        <v>-0.35994539184190699</v>
      </c>
      <c r="IO14" s="3">
        <f ca="1">IFERROR(__xludf.DUMMYFUNCTION("""COMPUTED_VALUE"""),-0.396375751321235)</f>
        <v>-0.39637575132123498</v>
      </c>
      <c r="IP14" s="3">
        <f ca="1">IFERROR(__xludf.DUMMYFUNCTION("""COMPUTED_VALUE"""),-0.407924847072002)</f>
        <v>-0.40792484707200199</v>
      </c>
      <c r="IQ14" s="3">
        <f ca="1">IFERROR(__xludf.DUMMYFUNCTION("""COMPUTED_VALUE"""),-0.431314851583941)</f>
        <v>-0.43131485158394101</v>
      </c>
      <c r="IR14" s="3">
        <f ca="1">IFERROR(__xludf.DUMMYFUNCTION("""COMPUTED_VALUE"""),-0.492371321097822)</f>
        <v>-0.492371321097822</v>
      </c>
      <c r="IS14" s="3">
        <f ca="1">IFERROR(__xludf.DUMMYFUNCTION("""COMPUTED_VALUE"""),-0.452748525717768)</f>
        <v>-0.45274852571776802</v>
      </c>
      <c r="IT14" s="3">
        <f ca="1">IFERROR(__xludf.DUMMYFUNCTION("""COMPUTED_VALUE"""),-0.402827556643456)</f>
        <v>-0.40282755664345599</v>
      </c>
      <c r="IU14" s="3">
        <f ca="1">IFERROR(__xludf.DUMMYFUNCTION("""COMPUTED_VALUE"""),-0.407396583340966)</f>
        <v>-0.40739658334096601</v>
      </c>
      <c r="IV14" s="3">
        <f ca="1">IFERROR(__xludf.DUMMYFUNCTION("""COMPUTED_VALUE"""),-0.455122098096868)</f>
        <v>-0.45512209809686799</v>
      </c>
      <c r="IW14" s="3">
        <f ca="1">IFERROR(__xludf.DUMMYFUNCTION("""COMPUTED_VALUE"""),-0.411418999054272)</f>
        <v>-0.41141899905427198</v>
      </c>
      <c r="IX14" s="3">
        <f ca="1">IFERROR(__xludf.DUMMYFUNCTION("""COMPUTED_VALUE"""),-0.399587224030984)</f>
        <v>-0.39958722403098401</v>
      </c>
      <c r="IY14" s="3">
        <f ca="1">IFERROR(__xludf.DUMMYFUNCTION("""COMPUTED_VALUE"""),-0.487446581425647)</f>
        <v>-0.48744658142564701</v>
      </c>
      <c r="IZ14" s="3">
        <f ca="1">IFERROR(__xludf.DUMMYFUNCTION("""COMPUTED_VALUE"""),-0.513076944787438)</f>
        <v>-0.51307694478743804</v>
      </c>
      <c r="JA14" s="3">
        <f ca="1">IFERROR(__xludf.DUMMYFUNCTION("""COMPUTED_VALUE"""),-0.463388833913863)</f>
        <v>-0.46338883391386299</v>
      </c>
      <c r="JB14" s="3">
        <f ca="1">IFERROR(__xludf.DUMMYFUNCTION("""COMPUTED_VALUE"""),-0.438842304890906)</f>
        <v>-0.43884230489090598</v>
      </c>
      <c r="JC14" s="3">
        <f ca="1">IFERROR(__xludf.DUMMYFUNCTION("""COMPUTED_VALUE"""),-0.460777613502827)</f>
        <v>-0.46077761350282698</v>
      </c>
      <c r="JD14" s="3">
        <f ca="1">IFERROR(__xludf.DUMMYFUNCTION("""COMPUTED_VALUE"""),-0.439684176207821)</f>
        <v>-0.43968417620782102</v>
      </c>
      <c r="JE14" s="3">
        <f ca="1">IFERROR(__xludf.DUMMYFUNCTION("""COMPUTED_VALUE"""),-0.462238484129179)</f>
        <v>-0.46223848412917901</v>
      </c>
      <c r="JF14" s="3">
        <f ca="1">IFERROR(__xludf.DUMMYFUNCTION("""COMPUTED_VALUE"""),-0.492236998896624)</f>
        <v>-0.49223699889662398</v>
      </c>
      <c r="JG14" s="3">
        <f ca="1">IFERROR(__xludf.DUMMYFUNCTION("""COMPUTED_VALUE"""),-0.474601824048815)</f>
        <v>-0.47460182404881501</v>
      </c>
      <c r="JH14" s="3">
        <f ca="1">IFERROR(__xludf.DUMMYFUNCTION("""COMPUTED_VALUE"""),-0.486600213830616)</f>
        <v>-0.48660021383061602</v>
      </c>
      <c r="JI14" s="3">
        <f ca="1">IFERROR(__xludf.DUMMYFUNCTION("""COMPUTED_VALUE"""),-0.488195690921775)</f>
        <v>-0.48819569092177501</v>
      </c>
      <c r="JJ14" s="3">
        <f ca="1">IFERROR(__xludf.DUMMYFUNCTION("""COMPUTED_VALUE"""),-0.43524465279527)</f>
        <v>-0.43524465279527003</v>
      </c>
      <c r="JK14" s="3">
        <f ca="1">IFERROR(__xludf.DUMMYFUNCTION("""COMPUTED_VALUE"""),-0.455046310394119)</f>
        <v>-0.45504631039411902</v>
      </c>
      <c r="JL14" s="3">
        <f ca="1">IFERROR(__xludf.DUMMYFUNCTION("""COMPUTED_VALUE"""),-0.497715522636088)</f>
        <v>-0.49771552263608798</v>
      </c>
      <c r="JM14" s="3">
        <f ca="1">IFERROR(__xludf.DUMMYFUNCTION("""COMPUTED_VALUE"""),-0.542389736138689)</f>
        <v>-0.54238973613868902</v>
      </c>
      <c r="JN14" s="3">
        <f ca="1">IFERROR(__xludf.DUMMYFUNCTION("""COMPUTED_VALUE"""),-0.56623964708863)</f>
        <v>-0.56623964708862995</v>
      </c>
      <c r="JO14" s="3">
        <f ca="1">IFERROR(__xludf.DUMMYFUNCTION("""COMPUTED_VALUE"""),-0.533201905797505)</f>
        <v>-0.53320190579750504</v>
      </c>
      <c r="JP14" s="3">
        <f ca="1">IFERROR(__xludf.DUMMYFUNCTION("""COMPUTED_VALUE"""),-0.477359474097549)</f>
        <v>-0.47735947409754897</v>
      </c>
      <c r="JQ14" s="3">
        <f ca="1">IFERROR(__xludf.DUMMYFUNCTION("""COMPUTED_VALUE"""),-0.422697958257978)</f>
        <v>-0.42269795825797801</v>
      </c>
      <c r="JR14" s="3">
        <f ca="1">IFERROR(__xludf.DUMMYFUNCTION("""COMPUTED_VALUE"""),-0.41309409823942)</f>
        <v>-0.41309409823942</v>
      </c>
      <c r="JS14" s="3">
        <f ca="1">IFERROR(__xludf.DUMMYFUNCTION("""COMPUTED_VALUE"""),-0.452627140232427)</f>
        <v>-0.45262714023242701</v>
      </c>
      <c r="JT14" s="3">
        <f ca="1">IFERROR(__xludf.DUMMYFUNCTION("""COMPUTED_VALUE"""),-0.496741797416891)</f>
        <v>-0.49674179741689101</v>
      </c>
      <c r="JU14" s="3">
        <f ca="1">IFERROR(__xludf.DUMMYFUNCTION("""COMPUTED_VALUE"""),-0.518211694006434)</f>
        <v>-0.51821169400643396</v>
      </c>
      <c r="JV14" s="3">
        <f ca="1">IFERROR(__xludf.DUMMYFUNCTION("""COMPUTED_VALUE"""),-0.534623414453301)</f>
        <v>-0.53462341445330097</v>
      </c>
      <c r="JW14" s="3">
        <f ca="1">IFERROR(__xludf.DUMMYFUNCTION("""COMPUTED_VALUE"""),-0.496021552270815)</f>
        <v>-0.49602155227081501</v>
      </c>
      <c r="JX14" s="3">
        <f ca="1">IFERROR(__xludf.DUMMYFUNCTION("""COMPUTED_VALUE"""),-0.49607206294953)</f>
        <v>-0.49607206294952999</v>
      </c>
      <c r="JY14" s="3">
        <f ca="1">IFERROR(__xludf.DUMMYFUNCTION("""COMPUTED_VALUE"""),-0.521883520511371)</f>
        <v>-0.52188352051137099</v>
      </c>
      <c r="JZ14" s="3">
        <f ca="1">IFERROR(__xludf.DUMMYFUNCTION("""COMPUTED_VALUE"""),-0.480658338977624)</f>
        <v>-0.480658338977624</v>
      </c>
      <c r="KA14" s="3">
        <f ca="1">IFERROR(__xludf.DUMMYFUNCTION("""COMPUTED_VALUE"""),-0.504015364582113)</f>
        <v>-0.50401536458211305</v>
      </c>
      <c r="KB14" s="3">
        <f ca="1">IFERROR(__xludf.DUMMYFUNCTION("""COMPUTED_VALUE"""),-0.56755476601113)</f>
        <v>-0.56755476601112997</v>
      </c>
      <c r="KC14" s="3">
        <f ca="1">IFERROR(__xludf.DUMMYFUNCTION("""COMPUTED_VALUE"""),-0.500249274134581)</f>
        <v>-0.50024927413458098</v>
      </c>
      <c r="KD14" s="3">
        <f ca="1">IFERROR(__xludf.DUMMYFUNCTION("""COMPUTED_VALUE"""),-0.546551797979714)</f>
        <v>-0.54655179797971398</v>
      </c>
      <c r="KE14" s="3">
        <f ca="1">IFERROR(__xludf.DUMMYFUNCTION("""COMPUTED_VALUE"""),-0.599452782225722)</f>
        <v>-0.59945278222572196</v>
      </c>
      <c r="KF14" s="3">
        <f ca="1">IFERROR(__xludf.DUMMYFUNCTION("""COMPUTED_VALUE"""),-0.360257888403881)</f>
        <v>-0.36025788840388101</v>
      </c>
      <c r="KG14" s="3">
        <f ca="1">IFERROR(__xludf.DUMMYFUNCTION("""COMPUTED_VALUE"""),-0.34982484597983)</f>
        <v>-0.34982484597982999</v>
      </c>
      <c r="KH14" s="3">
        <f ca="1">IFERROR(__xludf.DUMMYFUNCTION("""COMPUTED_VALUE"""),-0.494374907994892)</f>
        <v>-0.49437490799489198</v>
      </c>
      <c r="KI14" s="3">
        <f ca="1">IFERROR(__xludf.DUMMYFUNCTION("""COMPUTED_VALUE"""),-0.478140902478903)</f>
        <v>-0.47814090247890301</v>
      </c>
      <c r="KJ14" s="3">
        <f ca="1">IFERROR(__xludf.DUMMYFUNCTION("""COMPUTED_VALUE"""),-0.536945859288932)</f>
        <v>-0.53694585928893201</v>
      </c>
      <c r="KK14" s="3">
        <f ca="1">IFERROR(__xludf.DUMMYFUNCTION("""COMPUTED_VALUE"""),-0.594562192355234)</f>
        <v>-0.594562192355234</v>
      </c>
      <c r="KL14" s="3">
        <f ca="1">IFERROR(__xludf.DUMMYFUNCTION("""COMPUTED_VALUE"""),-0.552679409579809)</f>
        <v>-0.55267940957980899</v>
      </c>
      <c r="KM14" s="3">
        <f ca="1">IFERROR(__xludf.DUMMYFUNCTION("""COMPUTED_VALUE"""),-0.388300611745272)</f>
        <v>-0.38830061174527197</v>
      </c>
      <c r="KN14" s="3">
        <f ca="1">IFERROR(__xludf.DUMMYFUNCTION("""COMPUTED_VALUE"""),-0.345646404521207)</f>
        <v>-0.34564640452120698</v>
      </c>
      <c r="KO14" s="3">
        <f ca="1">IFERROR(__xludf.DUMMYFUNCTION("""COMPUTED_VALUE"""),-0.498338541246544)</f>
        <v>-0.49833854124654398</v>
      </c>
      <c r="KP14" s="3">
        <f ca="1">IFERROR(__xludf.DUMMYFUNCTION("""COMPUTED_VALUE"""),-0.416269283268295)</f>
        <v>-0.41626928326829499</v>
      </c>
      <c r="KQ14" s="3">
        <f ca="1">IFERROR(__xludf.DUMMYFUNCTION("""COMPUTED_VALUE"""),-0.493193327159755)</f>
        <v>-0.493193327159755</v>
      </c>
      <c r="KR14" s="3">
        <f ca="1">IFERROR(__xludf.DUMMYFUNCTION("""COMPUTED_VALUE"""),-0.541071504875572)</f>
        <v>-0.54107150487557198</v>
      </c>
      <c r="KS14" s="3">
        <f ca="1">IFERROR(__xludf.DUMMYFUNCTION("""COMPUTED_VALUE"""),-0.582719387327181)</f>
        <v>-0.58271938732718098</v>
      </c>
      <c r="KT14" s="3">
        <f ca="1">IFERROR(__xludf.DUMMYFUNCTION("""COMPUTED_VALUE"""),-0.350893268469671)</f>
        <v>-0.350893268469671</v>
      </c>
      <c r="KU14" s="3">
        <f ca="1">IFERROR(__xludf.DUMMYFUNCTION("""COMPUTED_VALUE"""),-0.418062233320738)</f>
        <v>-0.418062233320738</v>
      </c>
      <c r="KV14" s="3">
        <f ca="1">IFERROR(__xludf.DUMMYFUNCTION("""COMPUTED_VALUE"""),-0.481669341621401)</f>
        <v>-0.48166934162140101</v>
      </c>
      <c r="KW14" s="3">
        <f ca="1">IFERROR(__xludf.DUMMYFUNCTION("""COMPUTED_VALUE"""),-0.526377671170074)</f>
        <v>-0.52637767117007395</v>
      </c>
      <c r="KX14" s="3">
        <f ca="1">IFERROR(__xludf.DUMMYFUNCTION("""COMPUTED_VALUE"""),-0.469022175912733)</f>
        <v>-0.46902217591273299</v>
      </c>
      <c r="KY14" s="3">
        <f ca="1">IFERROR(__xludf.DUMMYFUNCTION("""COMPUTED_VALUE"""),-0.542528624181981)</f>
        <v>-0.542528624181981</v>
      </c>
      <c r="KZ14" s="3">
        <f ca="1">IFERROR(__xludf.DUMMYFUNCTION("""COMPUTED_VALUE"""),-0.530124380321662)</f>
        <v>-0.53012438032166198</v>
      </c>
      <c r="LA14" s="3">
        <f ca="1">IFERROR(__xludf.DUMMYFUNCTION("""COMPUTED_VALUE"""),-0.506121164878092)</f>
        <v>-0.506121164878092</v>
      </c>
      <c r="LB14" s="3">
        <f ca="1">IFERROR(__xludf.DUMMYFUNCTION("""COMPUTED_VALUE"""),-0.517449371330472)</f>
        <v>-0.51744937133047197</v>
      </c>
      <c r="LC14" s="3">
        <f ca="1">IFERROR(__xludf.DUMMYFUNCTION("""COMPUTED_VALUE"""),-0.545257370088469)</f>
        <v>-0.54525737008846897</v>
      </c>
      <c r="LD14" s="3">
        <f ca="1">IFERROR(__xludf.DUMMYFUNCTION("""COMPUTED_VALUE"""),-0.481234563987398)</f>
        <v>-0.481234563987398</v>
      </c>
      <c r="LE14" s="3">
        <f ca="1">IFERROR(__xludf.DUMMYFUNCTION("""COMPUTED_VALUE"""),-0.540068880056004)</f>
        <v>-0.54006888005600395</v>
      </c>
      <c r="LF14" s="3">
        <f ca="1">IFERROR(__xludf.DUMMYFUNCTION("""COMPUTED_VALUE"""),-0.574675481045268)</f>
        <v>-0.574675481045268</v>
      </c>
      <c r="LG14" s="3">
        <f ca="1">IFERROR(__xludf.DUMMYFUNCTION("""COMPUTED_VALUE"""),-0.517003466329682)</f>
        <v>-0.51700346632968197</v>
      </c>
      <c r="LH14" s="3">
        <f ca="1">IFERROR(__xludf.DUMMYFUNCTION("""COMPUTED_VALUE"""),-0.556218947234934)</f>
        <v>-0.55621894723493404</v>
      </c>
      <c r="LI14" s="3">
        <f ca="1">IFERROR(__xludf.DUMMYFUNCTION("""COMPUTED_VALUE"""),-0.528907636483404)</f>
        <v>-0.528907636483404</v>
      </c>
      <c r="LJ14" s="3">
        <f ca="1">IFERROR(__xludf.DUMMYFUNCTION("""COMPUTED_VALUE"""),-0.530626040287802)</f>
        <v>-0.53062604028780203</v>
      </c>
      <c r="LK14" s="3">
        <f ca="1">IFERROR(__xludf.DUMMYFUNCTION("""COMPUTED_VALUE"""),-0.543328639230735)</f>
        <v>-0.54332863923073504</v>
      </c>
      <c r="LL14" s="3">
        <f ca="1">IFERROR(__xludf.DUMMYFUNCTION("""COMPUTED_VALUE"""),-0.601781550254346)</f>
        <v>-0.60178155025434599</v>
      </c>
      <c r="LM14" s="3">
        <f ca="1">IFERROR(__xludf.DUMMYFUNCTION("""COMPUTED_VALUE"""),-0.607756261637899)</f>
        <v>-0.60775626163789898</v>
      </c>
      <c r="LN14" s="3">
        <f ca="1">IFERROR(__xludf.DUMMYFUNCTION("""COMPUTED_VALUE"""),-0.578446384970057)</f>
        <v>-0.57844638497005696</v>
      </c>
      <c r="LO14" s="3">
        <f ca="1">IFERROR(__xludf.DUMMYFUNCTION("""COMPUTED_VALUE"""),-0.572395192472116)</f>
        <v>-0.57239519247211601</v>
      </c>
      <c r="LP14" s="3">
        <f ca="1">IFERROR(__xludf.DUMMYFUNCTION("""COMPUTED_VALUE"""),-0.544539462594218)</f>
        <v>-0.54453946259421804</v>
      </c>
      <c r="LQ14" s="3">
        <f ca="1">IFERROR(__xludf.DUMMYFUNCTION("""COMPUTED_VALUE"""),-0.540719581018199)</f>
        <v>-0.54071958101819895</v>
      </c>
      <c r="LR14" s="3">
        <f ca="1">IFERROR(__xludf.DUMMYFUNCTION("""COMPUTED_VALUE"""),-0.559089898227758)</f>
        <v>-0.55908989822775801</v>
      </c>
      <c r="LS14" s="3">
        <f ca="1">IFERROR(__xludf.DUMMYFUNCTION("""COMPUTED_VALUE"""),-0.556798977672823)</f>
        <v>-0.55679897767282305</v>
      </c>
      <c r="LT14" s="3">
        <f ca="1">IFERROR(__xludf.DUMMYFUNCTION("""COMPUTED_VALUE"""),-0.637275624082743)</f>
        <v>-0.63727562408274296</v>
      </c>
      <c r="LU14" s="3">
        <f ca="1">IFERROR(__xludf.DUMMYFUNCTION("""COMPUTED_VALUE"""),-0.548933361777797)</f>
        <v>-0.54893336177779695</v>
      </c>
      <c r="LV14" s="3">
        <f ca="1">IFERROR(__xludf.DUMMYFUNCTION("""COMPUTED_VALUE"""),-0.542614343023392)</f>
        <v>-0.54261434302339195</v>
      </c>
      <c r="LW14" s="3">
        <f ca="1">IFERROR(__xludf.DUMMYFUNCTION("""COMPUTED_VALUE"""),-0.590780260920898)</f>
        <v>-0.59078026092089797</v>
      </c>
      <c r="LX14" s="3">
        <f ca="1">IFERROR(__xludf.DUMMYFUNCTION("""COMPUTED_VALUE"""),-0.559635679448576)</f>
        <v>-0.55963567944857595</v>
      </c>
      <c r="LY14" s="3">
        <f ca="1">IFERROR(__xludf.DUMMYFUNCTION("""COMPUTED_VALUE"""),-0.57585586561661)</f>
        <v>-0.57585586561660995</v>
      </c>
      <c r="LZ14" s="3">
        <f ca="1">IFERROR(__xludf.DUMMYFUNCTION("""COMPUTED_VALUE"""),-0.579528504172245)</f>
        <v>-0.579528504172245</v>
      </c>
      <c r="MA14" s="3">
        <f ca="1">IFERROR(__xludf.DUMMYFUNCTION("""COMPUTED_VALUE"""),-0.556270336525841)</f>
        <v>-0.55627033652584101</v>
      </c>
      <c r="MB14" s="3">
        <f ca="1">IFERROR(__xludf.DUMMYFUNCTION("""COMPUTED_VALUE"""),-0.606063782128184)</f>
        <v>-0.60606378212818401</v>
      </c>
      <c r="MC14" s="3">
        <f ca="1">IFERROR(__xludf.DUMMYFUNCTION("""COMPUTED_VALUE"""),-0.611415080907468)</f>
        <v>-0.61141508090746799</v>
      </c>
      <c r="MD14" s="3">
        <f ca="1">IFERROR(__xludf.DUMMYFUNCTION("""COMPUTED_VALUE"""),-0.554925796734545)</f>
        <v>-0.55492579673454501</v>
      </c>
      <c r="ME14" s="3">
        <f ca="1">IFERROR(__xludf.DUMMYFUNCTION("""COMPUTED_VALUE"""),-0.584334247407657)</f>
        <v>-0.58433424740765705</v>
      </c>
      <c r="MF14" s="3">
        <f ca="1">IFERROR(__xludf.DUMMYFUNCTION("""COMPUTED_VALUE"""),-0.591990170738532)</f>
        <v>-0.591990170738532</v>
      </c>
      <c r="MG14" s="3">
        <f ca="1">IFERROR(__xludf.DUMMYFUNCTION("""COMPUTED_VALUE"""),-0.56172111038115)</f>
        <v>-0.56172111038115002</v>
      </c>
      <c r="MH14" s="3">
        <f ca="1">IFERROR(__xludf.DUMMYFUNCTION("""COMPUTED_VALUE"""),-0.596698977767131)</f>
        <v>-0.59669897776713099</v>
      </c>
      <c r="MI14" s="3">
        <f ca="1">IFERROR(__xludf.DUMMYFUNCTION("""COMPUTED_VALUE"""),-0.663807601951595)</f>
        <v>-0.66380760195159505</v>
      </c>
      <c r="MJ14" s="3">
        <f ca="1">IFERROR(__xludf.DUMMYFUNCTION("""COMPUTED_VALUE"""),-0.610150149546486)</f>
        <v>-0.61015014954648605</v>
      </c>
      <c r="MK14" s="3">
        <f ca="1">IFERROR(__xludf.DUMMYFUNCTION("""COMPUTED_VALUE"""),-0.60264037649346)</f>
        <v>-0.60264037649346003</v>
      </c>
      <c r="ML14" s="3">
        <f ca="1">IFERROR(__xludf.DUMMYFUNCTION("""COMPUTED_VALUE"""),-0.658379901114937)</f>
        <v>-0.65837990111493705</v>
      </c>
      <c r="MM14" s="3">
        <f ca="1">IFERROR(__xludf.DUMMYFUNCTION("""COMPUTED_VALUE"""),-0.592305707887117)</f>
        <v>-0.59230570788711701</v>
      </c>
      <c r="MN14" s="3">
        <f ca="1">IFERROR(__xludf.DUMMYFUNCTION("""COMPUTED_VALUE"""),-0.608732919741044)</f>
        <v>-0.60873291974104404</v>
      </c>
      <c r="MO14" s="3">
        <f ca="1">IFERROR(__xludf.DUMMYFUNCTION("""COMPUTED_VALUE"""),-0.656831964374529)</f>
        <v>-0.65683196437452895</v>
      </c>
      <c r="MP14" s="3">
        <f ca="1">IFERROR(__xludf.DUMMYFUNCTION("""COMPUTED_VALUE"""),-0.661134592921043)</f>
        <v>-0.66113459292104304</v>
      </c>
      <c r="MQ14" s="3">
        <f ca="1">IFERROR(__xludf.DUMMYFUNCTION("""COMPUTED_VALUE"""),-0.675882819414574)</f>
        <v>-0.67588281941457395</v>
      </c>
      <c r="MR14" s="3">
        <f ca="1">IFERROR(__xludf.DUMMYFUNCTION("""COMPUTED_VALUE"""),-0.628853621728916)</f>
        <v>-0.62885362172891601</v>
      </c>
      <c r="MS14" s="3">
        <f ca="1">IFERROR(__xludf.DUMMYFUNCTION("""COMPUTED_VALUE"""),-0.622773790464588)</f>
        <v>-0.62277379046458803</v>
      </c>
      <c r="MT14" s="3">
        <f ca="1">IFERROR(__xludf.DUMMYFUNCTION("""COMPUTED_VALUE"""),-0.550247431074645)</f>
        <v>-0.55024743107464502</v>
      </c>
      <c r="MU14" s="3">
        <f ca="1">IFERROR(__xludf.DUMMYFUNCTION("""COMPUTED_VALUE"""),-0.634829955671838)</f>
        <v>-0.63482995567183798</v>
      </c>
      <c r="MV14" s="3">
        <f ca="1">IFERROR(__xludf.DUMMYFUNCTION("""COMPUTED_VALUE"""),-0.607822381402731)</f>
        <v>-0.60782238140273104</v>
      </c>
      <c r="MW14" s="3">
        <f ca="1">IFERROR(__xludf.DUMMYFUNCTION("""COMPUTED_VALUE"""),-0.638548268747595)</f>
        <v>-0.63854826874759496</v>
      </c>
      <c r="MX14" s="3">
        <f ca="1">IFERROR(__xludf.DUMMYFUNCTION("""COMPUTED_VALUE"""),-0.621486682622525)</f>
        <v>-0.62148668262252504</v>
      </c>
      <c r="MY14" s="3">
        <f ca="1">IFERROR(__xludf.DUMMYFUNCTION("""COMPUTED_VALUE"""),-0.617727538183132)</f>
        <v>-0.61772753818313197</v>
      </c>
      <c r="MZ14" s="3">
        <f ca="1">IFERROR(__xludf.DUMMYFUNCTION("""COMPUTED_VALUE"""),-0.671210386230694)</f>
        <v>-0.67121038623069396</v>
      </c>
      <c r="NA14" s="3">
        <f ca="1">IFERROR(__xludf.DUMMYFUNCTION("""COMPUTED_VALUE"""),-0.634886986415208)</f>
        <v>-0.63488698641520802</v>
      </c>
      <c r="NB14" s="3">
        <f ca="1">IFERROR(__xludf.DUMMYFUNCTION("""COMPUTED_VALUE"""),-0.667197476439744)</f>
        <v>-0.66719747643974403</v>
      </c>
      <c r="NC14" s="3">
        <f ca="1">IFERROR(__xludf.DUMMYFUNCTION("""COMPUTED_VALUE"""),-0.675513292375036)</f>
        <v>-0.67551329237503599</v>
      </c>
      <c r="ND14" s="3">
        <f ca="1">IFERROR(__xludf.DUMMYFUNCTION("""COMPUTED_VALUE"""),-0.664037842631595)</f>
        <v>-0.66403784263159504</v>
      </c>
      <c r="NE14" s="3">
        <f ca="1">IFERROR(__xludf.DUMMYFUNCTION("""COMPUTED_VALUE"""),-0.651968455199925)</f>
        <v>-0.65196845519992497</v>
      </c>
      <c r="NF14" s="3">
        <f ca="1">IFERROR(__xludf.DUMMYFUNCTION("""COMPUTED_VALUE"""),-0.76484221102916)</f>
        <v>-0.76484221102915995</v>
      </c>
      <c r="NG14" s="3">
        <f ca="1">IFERROR(__xludf.DUMMYFUNCTION("""COMPUTED_VALUE"""),-0.712540040212523)</f>
        <v>-0.71254004021252304</v>
      </c>
      <c r="NH14" s="3">
        <f ca="1">IFERROR(__xludf.DUMMYFUNCTION("""COMPUTED_VALUE"""),-0.762076345991329)</f>
        <v>-0.76207634599132901</v>
      </c>
      <c r="NI14" s="3">
        <f ca="1">IFERROR(__xludf.DUMMYFUNCTION("""COMPUTED_VALUE"""),-0.728369966768708)</f>
        <v>-0.72836996676870802</v>
      </c>
      <c r="NJ14" s="3">
        <f ca="1">IFERROR(__xludf.DUMMYFUNCTION("""COMPUTED_VALUE"""),-0.760690207296677)</f>
        <v>-0.76069020729667702</v>
      </c>
      <c r="NK14" s="3">
        <f ca="1">IFERROR(__xludf.DUMMYFUNCTION("""COMPUTED_VALUE"""),-0.703853304106827)</f>
        <v>-0.703853304106827</v>
      </c>
      <c r="NL14" s="3">
        <f ca="1">IFERROR(__xludf.DUMMYFUNCTION("""COMPUTED_VALUE"""),-0.664732272967325)</f>
        <v>-0.66473227296732496</v>
      </c>
      <c r="NM14" s="3">
        <f ca="1">IFERROR(__xludf.DUMMYFUNCTION("""COMPUTED_VALUE"""),-0.652701385896382)</f>
        <v>-0.65270138589638205</v>
      </c>
      <c r="NN14" s="3">
        <f ca="1">IFERROR(__xludf.DUMMYFUNCTION("""COMPUTED_VALUE"""),-0.610439447051594)</f>
        <v>-0.61043944705159403</v>
      </c>
      <c r="NO14" s="3">
        <f ca="1">IFERROR(__xludf.DUMMYFUNCTION("""COMPUTED_VALUE"""),-0.626737298537654)</f>
        <v>-0.62673729853765403</v>
      </c>
      <c r="NP14" s="3">
        <f ca="1">IFERROR(__xludf.DUMMYFUNCTION("""COMPUTED_VALUE"""),-0.649483122153531)</f>
        <v>-0.64948312215353099</v>
      </c>
      <c r="NQ14" s="3">
        <f ca="1">IFERROR(__xludf.DUMMYFUNCTION("""COMPUTED_VALUE"""),-0.650504377101617)</f>
        <v>-0.65050437710161702</v>
      </c>
      <c r="NR14" s="3">
        <f ca="1">IFERROR(__xludf.DUMMYFUNCTION("""COMPUTED_VALUE"""),-0.725641961391658)</f>
        <v>-0.72564196139165804</v>
      </c>
      <c r="NS14" s="3">
        <f ca="1">IFERROR(__xludf.DUMMYFUNCTION("""COMPUTED_VALUE"""),-0.663722611783351)</f>
        <v>-0.66372261178335101</v>
      </c>
      <c r="NT14" s="3">
        <f ca="1">IFERROR(__xludf.DUMMYFUNCTION("""COMPUTED_VALUE"""),-0.679414590924649)</f>
        <v>-0.67941459092464895</v>
      </c>
      <c r="NU14" s="3">
        <f ca="1">IFERROR(__xludf.DUMMYFUNCTION("""COMPUTED_VALUE"""),-0.661970600885191)</f>
        <v>-0.661970600885191</v>
      </c>
      <c r="NV14" s="3">
        <f ca="1">IFERROR(__xludf.DUMMYFUNCTION("""COMPUTED_VALUE"""),-0.690259737890772)</f>
        <v>-0.690259737890772</v>
      </c>
      <c r="NW14" s="3">
        <f ca="1">IFERROR(__xludf.DUMMYFUNCTION("""COMPUTED_VALUE"""),-0.590618753265405)</f>
        <v>-0.59061875326540503</v>
      </c>
      <c r="NX14" s="3">
        <f ca="1">IFERROR(__xludf.DUMMYFUNCTION("""COMPUTED_VALUE"""),-0.655583673121518)</f>
        <v>-0.655583673121518</v>
      </c>
      <c r="NY14" s="3">
        <f ca="1">IFERROR(__xludf.DUMMYFUNCTION("""COMPUTED_VALUE"""),-0.636859259633187)</f>
        <v>-0.63685925963318701</v>
      </c>
      <c r="NZ14" s="3">
        <f ca="1">IFERROR(__xludf.DUMMYFUNCTION("""COMPUTED_VALUE"""),-0.590970008033304)</f>
        <v>-0.59097000803330402</v>
      </c>
      <c r="OA14" s="3">
        <f ca="1">IFERROR(__xludf.DUMMYFUNCTION("""COMPUTED_VALUE"""),-0.653223444791153)</f>
        <v>-0.65322344479115302</v>
      </c>
      <c r="OB14" s="3">
        <f ca="1">IFERROR(__xludf.DUMMYFUNCTION("""COMPUTED_VALUE"""),-0.630082284972409)</f>
        <v>-0.63008228497240903</v>
      </c>
      <c r="OC14" s="3">
        <f ca="1">IFERROR(__xludf.DUMMYFUNCTION("""COMPUTED_VALUE"""),-0.591234667219618)</f>
        <v>-0.59123466721961804</v>
      </c>
      <c r="OD14" s="3">
        <f ca="1">IFERROR(__xludf.DUMMYFUNCTION("""COMPUTED_VALUE"""),-0.618685823501479)</f>
        <v>-0.61868582350147905</v>
      </c>
      <c r="OE14" s="3">
        <f ca="1">IFERROR(__xludf.DUMMYFUNCTION("""COMPUTED_VALUE"""),-0.515293909776649)</f>
        <v>-0.51529390977664902</v>
      </c>
      <c r="OF14" s="3">
        <f ca="1">IFERROR(__xludf.DUMMYFUNCTION("""COMPUTED_VALUE"""),-0.238939876933549)</f>
        <v>-0.23893987693354901</v>
      </c>
      <c r="OG14" s="3">
        <f ca="1">IFERROR(__xludf.DUMMYFUNCTION("""COMPUTED_VALUE"""),-0.420936846252329)</f>
        <v>-0.42093684625232902</v>
      </c>
      <c r="OH14" s="3">
        <f ca="1">IFERROR(__xludf.DUMMYFUNCTION("""COMPUTED_VALUE"""),-0.381435600094436)</f>
        <v>-0.381435600094436</v>
      </c>
      <c r="OI14" s="3">
        <f ca="1">IFERROR(__xludf.DUMMYFUNCTION("""COMPUTED_VALUE"""),-0.21252846717671)</f>
        <v>-0.21252846717671001</v>
      </c>
      <c r="OJ14" s="3">
        <f ca="1">IFERROR(__xludf.DUMMYFUNCTION("""COMPUTED_VALUE"""),-0.0857616834546169)</f>
        <v>-8.5761683454616905E-2</v>
      </c>
      <c r="OK14" s="3">
        <f ca="1">IFERROR(__xludf.DUMMYFUNCTION("""COMPUTED_VALUE"""),-0.17317168773719)</f>
        <v>-0.17317168773718999</v>
      </c>
      <c r="OL14" s="3">
        <f ca="1">IFERROR(__xludf.DUMMYFUNCTION("""COMPUTED_VALUE"""),-0.0970003851085844)</f>
        <v>-9.70003851085844E-2</v>
      </c>
      <c r="OM14" s="3">
        <f ca="1">IFERROR(__xludf.DUMMYFUNCTION("""COMPUTED_VALUE"""),-0.0188172259772207)</f>
        <v>-1.88172259772207E-2</v>
      </c>
      <c r="ON14" s="3">
        <f ca="1">IFERROR(__xludf.DUMMYFUNCTION("""COMPUTED_VALUE"""),-0.00105162481630882)</f>
        <v>-1.0516248163088199E-3</v>
      </c>
      <c r="OO14" s="3">
        <f ca="1">IFERROR(__xludf.DUMMYFUNCTION("""COMPUTED_VALUE"""),-0.0587858444783653)</f>
        <v>-5.8785844478365303E-2</v>
      </c>
      <c r="OP14" s="3">
        <f ca="1">IFERROR(__xludf.DUMMYFUNCTION("""COMPUTED_VALUE"""),0.051365058132605)</f>
        <v>5.1365058132605002E-2</v>
      </c>
      <c r="OQ14" s="3">
        <f ca="1">IFERROR(__xludf.DUMMYFUNCTION("""COMPUTED_VALUE"""),0.119291397612648)</f>
        <v>0.119291397612648</v>
      </c>
      <c r="OR14" s="3">
        <f ca="1">IFERROR(__xludf.DUMMYFUNCTION("""COMPUTED_VALUE"""),0.0803027279598129)</f>
        <v>8.03027279598129E-2</v>
      </c>
      <c r="OS14" s="3">
        <f ca="1">IFERROR(__xludf.DUMMYFUNCTION("""COMPUTED_VALUE"""),-0.0403534304417126)</f>
        <v>-4.03534304417126E-2</v>
      </c>
      <c r="OT14" s="3">
        <f ca="1">IFERROR(__xludf.DUMMYFUNCTION("""COMPUTED_VALUE"""),0.122278910731616)</f>
        <v>0.12227891073161599</v>
      </c>
      <c r="OU14" s="3">
        <f ca="1">IFERROR(__xludf.DUMMYFUNCTION("""COMPUTED_VALUE"""),0.249338982875697)</f>
        <v>0.249338982875697</v>
      </c>
      <c r="OV14" s="3">
        <f ca="1">IFERROR(__xludf.DUMMYFUNCTION("""COMPUTED_VALUE"""),-0.0719965411803498)</f>
        <v>-7.1996541180349802E-2</v>
      </c>
      <c r="OW14" s="3">
        <f ca="1">IFERROR(__xludf.DUMMYFUNCTION("""COMPUTED_VALUE"""),0.0262158930462106)</f>
        <v>2.6215893046210598E-2</v>
      </c>
      <c r="OX14" s="3">
        <f ca="1">IFERROR(__xludf.DUMMYFUNCTION("""COMPUTED_VALUE"""),0.188909031130981)</f>
        <v>0.18890903113098101</v>
      </c>
      <c r="OY14" s="3">
        <f ca="1">IFERROR(__xludf.DUMMYFUNCTION("""COMPUTED_VALUE"""),0.0113748582489183)</f>
        <v>1.1374858248918301E-2</v>
      </c>
      <c r="OZ14" s="3">
        <f ca="1">IFERROR(__xludf.DUMMYFUNCTION("""COMPUTED_VALUE"""),-0.169324728412756)</f>
        <v>-0.169324728412756</v>
      </c>
      <c r="PA14" s="3">
        <f ca="1">IFERROR(__xludf.DUMMYFUNCTION("""COMPUTED_VALUE"""),-0.131912798737044)</f>
        <v>-0.13191279873704401</v>
      </c>
      <c r="PB14" s="3">
        <f ca="1">IFERROR(__xludf.DUMMYFUNCTION("""COMPUTED_VALUE"""),-0.0655156018024049)</f>
        <v>-6.5515601802404899E-2</v>
      </c>
      <c r="PC14" s="3">
        <f ca="1">IFERROR(__xludf.DUMMYFUNCTION("""COMPUTED_VALUE"""),0.0847015742041332)</f>
        <v>8.4701574204133198E-2</v>
      </c>
      <c r="PD14" s="3">
        <f ca="1">IFERROR(__xludf.DUMMYFUNCTION("""COMPUTED_VALUE"""),0.130716619499408)</f>
        <v>0.13071661949940799</v>
      </c>
      <c r="PE14" s="3">
        <f ca="1">IFERROR(__xludf.DUMMYFUNCTION("""COMPUTED_VALUE"""),0.0492804080204525)</f>
        <v>4.9280408020452499E-2</v>
      </c>
      <c r="PF14" s="3">
        <f ca="1">IFERROR(__xludf.DUMMYFUNCTION("""COMPUTED_VALUE"""),-0.116012917725071)</f>
        <v>-0.116012917725071</v>
      </c>
      <c r="PG14" s="3">
        <f ca="1">IFERROR(__xludf.DUMMYFUNCTION("""COMPUTED_VALUE"""),-0.163972344047719)</f>
        <v>-0.16397234404771899</v>
      </c>
      <c r="PH14" s="3">
        <f ca="1">IFERROR(__xludf.DUMMYFUNCTION("""COMPUTED_VALUE"""),0.18506191048197)</f>
        <v>0.18506191048196999</v>
      </c>
      <c r="PI14" s="3">
        <f ca="1">IFERROR(__xludf.DUMMYFUNCTION("""COMPUTED_VALUE"""),0.237017242850774)</f>
        <v>0.237017242850774</v>
      </c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</row>
    <row r="15" spans="1:477" ht="15.75" customHeight="1">
      <c r="A15" s="1" t="str">
        <f ca="1">IFERROR(__xludf.DUMMYFUNCTION("""COMPUTED_VALUE"""),"BC Transit")</f>
        <v>BC Transit</v>
      </c>
      <c r="B15" s="1" t="str">
        <f ca="1">IFERROR(__xludf.DUMMYFUNCTION("""COMPUTED_VALUE"""),"Central Fraser Valley")</f>
        <v>Central Fraser Valley</v>
      </c>
      <c r="C15" s="1" t="str">
        <f ca="1">IFERROR(__xludf.DUMMYFUNCTION("""COMPUTED_VALUE"""),"Canada")</f>
        <v>Canada</v>
      </c>
      <c r="D15" s="1" t="str">
        <f ca="1">IFERROR(__xludf.DUMMYFUNCTION("""COMPUTED_VALUE"""),"British Columbia")</f>
        <v>British Columbia</v>
      </c>
      <c r="E15" s="3">
        <f ca="1">IFERROR(__xludf.DUMMYFUNCTION("""COMPUTED_VALUE"""),-0.565767910998121)</f>
        <v>-0.56576791099812096</v>
      </c>
      <c r="F15" s="3">
        <f ca="1">IFERROR(__xludf.DUMMYFUNCTION("""COMPUTED_VALUE"""),-0.532399852512262)</f>
        <v>-0.53239985251226196</v>
      </c>
      <c r="G15" s="3">
        <f ca="1">IFERROR(__xludf.DUMMYFUNCTION("""COMPUTED_VALUE"""),-0.516471361023691)</f>
        <v>-0.51647136102369096</v>
      </c>
      <c r="H15" s="3">
        <f ca="1">IFERROR(__xludf.DUMMYFUNCTION("""COMPUTED_VALUE"""),-0.567987316969337)</f>
        <v>-0.56798731696933702</v>
      </c>
      <c r="I15" s="3">
        <f ca="1">IFERROR(__xludf.DUMMYFUNCTION("""COMPUTED_VALUE"""),-0.527502590283932)</f>
        <v>-0.52750259028393198</v>
      </c>
      <c r="J15" s="3">
        <f ca="1">IFERROR(__xludf.DUMMYFUNCTION("""COMPUTED_VALUE"""),-0.501556842669852)</f>
        <v>-0.50155684266985201</v>
      </c>
      <c r="K15" s="3">
        <f ca="1">IFERROR(__xludf.DUMMYFUNCTION("""COMPUTED_VALUE"""),-0.567955955052329)</f>
        <v>-0.56795595505232899</v>
      </c>
      <c r="L15" s="3">
        <f ca="1">IFERROR(__xludf.DUMMYFUNCTION("""COMPUTED_VALUE"""),-0.489481800665739)</f>
        <v>-0.48948180066573899</v>
      </c>
      <c r="M15" s="3">
        <f ca="1">IFERROR(__xludf.DUMMYFUNCTION("""COMPUTED_VALUE"""),-0.524842970529348)</f>
        <v>-0.52484297052934803</v>
      </c>
      <c r="N15" s="3">
        <f ca="1">IFERROR(__xludf.DUMMYFUNCTION("""COMPUTED_VALUE"""),-0.537038102051873)</f>
        <v>-0.53703810205187297</v>
      </c>
      <c r="O15" s="3">
        <f ca="1">IFERROR(__xludf.DUMMYFUNCTION("""COMPUTED_VALUE"""),-0.522733191023991)</f>
        <v>-0.52273319102399096</v>
      </c>
      <c r="P15" s="3">
        <f ca="1">IFERROR(__xludf.DUMMYFUNCTION("""COMPUTED_VALUE"""),-0.509901580233852)</f>
        <v>-0.50990158023385201</v>
      </c>
      <c r="Q15" s="3">
        <f ca="1">IFERROR(__xludf.DUMMYFUNCTION("""COMPUTED_VALUE"""),-0.553878374560837)</f>
        <v>-0.55387837456083699</v>
      </c>
      <c r="R15" s="3">
        <f ca="1">IFERROR(__xludf.DUMMYFUNCTION("""COMPUTED_VALUE"""),-0.570975115095565)</f>
        <v>-0.57097511509556498</v>
      </c>
      <c r="S15" s="3">
        <f ca="1">IFERROR(__xludf.DUMMYFUNCTION("""COMPUTED_VALUE"""),-0.512586201307741)</f>
        <v>-0.51258620130774102</v>
      </c>
      <c r="T15" s="3">
        <f ca="1">IFERROR(__xludf.DUMMYFUNCTION("""COMPUTED_VALUE"""),-0.532228009191544)</f>
        <v>-0.532228009191544</v>
      </c>
      <c r="U15" s="3">
        <f ca="1">IFERROR(__xludf.DUMMYFUNCTION("""COMPUTED_VALUE"""),-0.515248971648455)</f>
        <v>-0.51524897164845496</v>
      </c>
      <c r="V15" s="3">
        <f ca="1">IFERROR(__xludf.DUMMYFUNCTION("""COMPUTED_VALUE"""),-0.56828791508171)</f>
        <v>-0.56828791508170995</v>
      </c>
      <c r="W15" s="3">
        <f ca="1">IFERROR(__xludf.DUMMYFUNCTION("""COMPUTED_VALUE"""),-0.564928186758727)</f>
        <v>-0.56492818675872702</v>
      </c>
      <c r="X15" s="3">
        <f ca="1">IFERROR(__xludf.DUMMYFUNCTION("""COMPUTED_VALUE"""),-0.585699417728895)</f>
        <v>-0.585699417728895</v>
      </c>
      <c r="Y15" s="3">
        <f ca="1">IFERROR(__xludf.DUMMYFUNCTION("""COMPUTED_VALUE"""),-0.618662309410784)</f>
        <v>-0.61866230941078404</v>
      </c>
      <c r="Z15" s="3">
        <f ca="1">IFERROR(__xludf.DUMMYFUNCTION("""COMPUTED_VALUE"""),-0.582695777402017)</f>
        <v>-0.58269577740201695</v>
      </c>
      <c r="AA15" s="3">
        <f ca="1">IFERROR(__xludf.DUMMYFUNCTION("""COMPUTED_VALUE"""),-0.531176227383647)</f>
        <v>-0.531176227383647</v>
      </c>
      <c r="AB15" s="3">
        <f ca="1">IFERROR(__xludf.DUMMYFUNCTION("""COMPUTED_VALUE"""),-0.57725664303395)</f>
        <v>-0.57725664303394997</v>
      </c>
      <c r="AC15" s="3">
        <f ca="1">IFERROR(__xludf.DUMMYFUNCTION("""COMPUTED_VALUE"""),-0.508444717617992)</f>
        <v>-0.50844471761799204</v>
      </c>
      <c r="AD15" s="3">
        <f ca="1">IFERROR(__xludf.DUMMYFUNCTION("""COMPUTED_VALUE"""),-0.500184064232018)</f>
        <v>-0.500184064232018</v>
      </c>
      <c r="AE15" s="3">
        <f ca="1">IFERROR(__xludf.DUMMYFUNCTION("""COMPUTED_VALUE"""),-0.547876764417687)</f>
        <v>-0.54787676441768696</v>
      </c>
      <c r="AF15" s="3">
        <f ca="1">IFERROR(__xludf.DUMMYFUNCTION("""COMPUTED_VALUE"""),-0.623495141446471)</f>
        <v>-0.623495141446471</v>
      </c>
      <c r="AG15" s="3">
        <f ca="1">IFERROR(__xludf.DUMMYFUNCTION("""COMPUTED_VALUE"""),-0.555577230472945)</f>
        <v>-0.55557723047294505</v>
      </c>
      <c r="AH15" s="3">
        <f ca="1">IFERROR(__xludf.DUMMYFUNCTION("""COMPUTED_VALUE"""),-0.56397921345483)</f>
        <v>-0.56397921345483004</v>
      </c>
      <c r="AI15" s="3">
        <f ca="1">IFERROR(__xludf.DUMMYFUNCTION("""COMPUTED_VALUE"""),-0.533345058013244)</f>
        <v>-0.53334505801324394</v>
      </c>
      <c r="AJ15" s="3">
        <f ca="1">IFERROR(__xludf.DUMMYFUNCTION("""COMPUTED_VALUE"""),-0.540901411566448)</f>
        <v>-0.540901411566448</v>
      </c>
      <c r="AK15" s="3">
        <f ca="1">IFERROR(__xludf.DUMMYFUNCTION("""COMPUTED_VALUE"""),-0.551136675868089)</f>
        <v>-0.55113667586808901</v>
      </c>
      <c r="AL15" s="3">
        <f ca="1">IFERROR(__xludf.DUMMYFUNCTION("""COMPUTED_VALUE"""),-0.551597691502558)</f>
        <v>-0.551597691502558</v>
      </c>
      <c r="AM15" s="3">
        <f ca="1">IFERROR(__xludf.DUMMYFUNCTION("""COMPUTED_VALUE"""),-0.590716305160539)</f>
        <v>-0.59071630516053897</v>
      </c>
      <c r="AN15" s="3">
        <f ca="1">IFERROR(__xludf.DUMMYFUNCTION("""COMPUTED_VALUE"""),-0.573995972363741)</f>
        <v>-0.573995972363741</v>
      </c>
      <c r="AO15" s="3">
        <f ca="1">IFERROR(__xludf.DUMMYFUNCTION("""COMPUTED_VALUE"""),-0.544641811622674)</f>
        <v>-0.544641811622674</v>
      </c>
      <c r="AP15" s="3">
        <f ca="1">IFERROR(__xludf.DUMMYFUNCTION("""COMPUTED_VALUE"""),-0.53524458906108)</f>
        <v>-0.53524458906107997</v>
      </c>
      <c r="AQ15" s="3">
        <f ca="1">IFERROR(__xludf.DUMMYFUNCTION("""COMPUTED_VALUE"""),-0.562459880868978)</f>
        <v>-0.56245988086897802</v>
      </c>
      <c r="AR15" s="3">
        <f ca="1">IFERROR(__xludf.DUMMYFUNCTION("""COMPUTED_VALUE"""),-0.535969887970656)</f>
        <v>-0.53596988797065603</v>
      </c>
      <c r="AS15" s="3">
        <f ca="1">IFERROR(__xludf.DUMMYFUNCTION("""COMPUTED_VALUE"""),-0.521635545912479)</f>
        <v>-0.52163554591247896</v>
      </c>
      <c r="AT15" s="3">
        <f ca="1">IFERROR(__xludf.DUMMYFUNCTION("""COMPUTED_VALUE"""),-0.541818783375333)</f>
        <v>-0.54181878337533296</v>
      </c>
      <c r="AU15" s="3">
        <f ca="1">IFERROR(__xludf.DUMMYFUNCTION("""COMPUTED_VALUE"""),-0.52980785681807)</f>
        <v>-0.52980785681806997</v>
      </c>
      <c r="AV15" s="3">
        <f ca="1">IFERROR(__xludf.DUMMYFUNCTION("""COMPUTED_VALUE"""),-0.529717697075777)</f>
        <v>-0.52971769707577698</v>
      </c>
      <c r="AW15" s="3">
        <f ca="1">IFERROR(__xludf.DUMMYFUNCTION("""COMPUTED_VALUE"""),-0.540253241476988)</f>
        <v>-0.54025324147698806</v>
      </c>
      <c r="AX15" s="3">
        <f ca="1">IFERROR(__xludf.DUMMYFUNCTION("""COMPUTED_VALUE"""),-0.544073787922402)</f>
        <v>-0.54407378792240202</v>
      </c>
      <c r="AY15" s="3">
        <f ca="1">IFERROR(__xludf.DUMMYFUNCTION("""COMPUTED_VALUE"""),-0.520704429655682)</f>
        <v>-0.52070442965568198</v>
      </c>
      <c r="AZ15" s="3">
        <f ca="1">IFERROR(__xludf.DUMMYFUNCTION("""COMPUTED_VALUE"""),-0.599521114136963)</f>
        <v>-0.59952111413696296</v>
      </c>
      <c r="BA15" s="3">
        <f ca="1">IFERROR(__xludf.DUMMYFUNCTION("""COMPUTED_VALUE"""),-0.612370461871116)</f>
        <v>-0.61237046187111599</v>
      </c>
      <c r="BB15" s="3">
        <f ca="1">IFERROR(__xludf.DUMMYFUNCTION("""COMPUTED_VALUE"""),-0.543825488601149)</f>
        <v>-0.54382548860114899</v>
      </c>
      <c r="BC15" s="3">
        <f ca="1">IFERROR(__xludf.DUMMYFUNCTION("""COMPUTED_VALUE"""),-0.530656728373563)</f>
        <v>-0.53065672837356304</v>
      </c>
      <c r="BD15" s="3">
        <f ca="1">IFERROR(__xludf.DUMMYFUNCTION("""COMPUTED_VALUE"""),-0.55928976431054)</f>
        <v>-0.55928976431054001</v>
      </c>
      <c r="BE15" s="3">
        <f ca="1">IFERROR(__xludf.DUMMYFUNCTION("""COMPUTED_VALUE"""),-0.473182513187892)</f>
        <v>-0.47318251318789201</v>
      </c>
      <c r="BF15" s="3">
        <f ca="1">IFERROR(__xludf.DUMMYFUNCTION("""COMPUTED_VALUE"""),-0.441978836780164)</f>
        <v>-0.44197883678016398</v>
      </c>
      <c r="BG15" s="3">
        <f ca="1">IFERROR(__xludf.DUMMYFUNCTION("""COMPUTED_VALUE"""),-0.55518460739542)</f>
        <v>-0.55518460739541997</v>
      </c>
      <c r="BH15" s="3">
        <f ca="1">IFERROR(__xludf.DUMMYFUNCTION("""COMPUTED_VALUE"""),-0.554596678158161)</f>
        <v>-0.55459667815816105</v>
      </c>
      <c r="BI15" s="3">
        <f ca="1">IFERROR(__xludf.DUMMYFUNCTION("""COMPUTED_VALUE"""),-0.595744885464348)</f>
        <v>-0.59574488546434801</v>
      </c>
      <c r="BJ15" s="3">
        <f ca="1">IFERROR(__xludf.DUMMYFUNCTION("""COMPUTED_VALUE"""),-0.653416713482793)</f>
        <v>-0.65341671348279295</v>
      </c>
      <c r="BK15" s="3">
        <f ca="1">IFERROR(__xludf.DUMMYFUNCTION("""COMPUTED_VALUE"""),-0.674682425716919)</f>
        <v>-0.67468242571691905</v>
      </c>
      <c r="BL15" s="3">
        <f ca="1">IFERROR(__xludf.DUMMYFUNCTION("""COMPUTED_VALUE"""),-0.634443871109387)</f>
        <v>-0.63444387110938705</v>
      </c>
      <c r="BM15" s="3">
        <f ca="1">IFERROR(__xludf.DUMMYFUNCTION("""COMPUTED_VALUE"""),-0.644888681999153)</f>
        <v>-0.64488868199915295</v>
      </c>
      <c r="BN15" s="3">
        <f ca="1">IFERROR(__xludf.DUMMYFUNCTION("""COMPUTED_VALUE"""),-0.540208636822621)</f>
        <v>-0.54020863682262099</v>
      </c>
      <c r="BO15" s="3">
        <f ca="1">IFERROR(__xludf.DUMMYFUNCTION("""COMPUTED_VALUE"""),-0.566980534972616)</f>
        <v>-0.56698053497261602</v>
      </c>
      <c r="BP15" s="3">
        <f ca="1">IFERROR(__xludf.DUMMYFUNCTION("""COMPUTED_VALUE"""),-0.534681804619391)</f>
        <v>-0.53468180461939097</v>
      </c>
      <c r="BQ15" s="3">
        <f ca="1">IFERROR(__xludf.DUMMYFUNCTION("""COMPUTED_VALUE"""),-0.643091929405703)</f>
        <v>-0.64309192940570303</v>
      </c>
      <c r="BR15" s="3">
        <f ca="1">IFERROR(__xludf.DUMMYFUNCTION("""COMPUTED_VALUE"""),-0.66389167999108)</f>
        <v>-0.66389167999108001</v>
      </c>
      <c r="BS15" s="3">
        <f ca="1">IFERROR(__xludf.DUMMYFUNCTION("""COMPUTED_VALUE"""),-0.604903677010361)</f>
        <v>-0.60490367701036096</v>
      </c>
      <c r="BT15" s="3">
        <f ca="1">IFERROR(__xludf.DUMMYFUNCTION("""COMPUTED_VALUE"""),-0.607885273653441)</f>
        <v>-0.60788527365344103</v>
      </c>
      <c r="BU15" s="3">
        <f ca="1">IFERROR(__xludf.DUMMYFUNCTION("""COMPUTED_VALUE"""),-0.587114890331576)</f>
        <v>-0.58711489033157604</v>
      </c>
      <c r="BV15" s="3">
        <f ca="1">IFERROR(__xludf.DUMMYFUNCTION("""COMPUTED_VALUE"""),-0.56148443000334)</f>
        <v>-0.56148443000334003</v>
      </c>
      <c r="BW15" s="3">
        <f ca="1">IFERROR(__xludf.DUMMYFUNCTION("""COMPUTED_VALUE"""),-0.525165999502778)</f>
        <v>-0.52516599950277798</v>
      </c>
      <c r="BX15" s="3">
        <f ca="1">IFERROR(__xludf.DUMMYFUNCTION("""COMPUTED_VALUE"""),-0.611204383876988)</f>
        <v>-0.61120438387698806</v>
      </c>
      <c r="BY15" s="3">
        <f ca="1">IFERROR(__xludf.DUMMYFUNCTION("""COMPUTED_VALUE"""),-0.632004095892058)</f>
        <v>-0.63200409589205797</v>
      </c>
      <c r="BZ15" s="3">
        <f ca="1">IFERROR(__xludf.DUMMYFUNCTION("""COMPUTED_VALUE"""),-0.637433231320914)</f>
        <v>-0.63743323132091401</v>
      </c>
      <c r="CA15" s="3">
        <f ca="1">IFERROR(__xludf.DUMMYFUNCTION("""COMPUTED_VALUE"""),-0.629457018333001)</f>
        <v>-0.62945701833300105</v>
      </c>
      <c r="CB15" s="3">
        <f ca="1">IFERROR(__xludf.DUMMYFUNCTION("""COMPUTED_VALUE"""),-0.616860455875101)</f>
        <v>-0.61686045587510097</v>
      </c>
      <c r="CC15" s="3">
        <f ca="1">IFERROR(__xludf.DUMMYFUNCTION("""COMPUTED_VALUE"""),-0.594916663652877)</f>
        <v>-0.59491666365287699</v>
      </c>
      <c r="CD15" s="3">
        <f ca="1">IFERROR(__xludf.DUMMYFUNCTION("""COMPUTED_VALUE"""),-0.47975766994159)</f>
        <v>-0.47975766994159003</v>
      </c>
      <c r="CE15" s="3">
        <f ca="1">IFERROR(__xludf.DUMMYFUNCTION("""COMPUTED_VALUE"""),-0.566544314374672)</f>
        <v>-0.56654431437467201</v>
      </c>
      <c r="CF15" s="3">
        <f ca="1">IFERROR(__xludf.DUMMYFUNCTION("""COMPUTED_VALUE"""),-0.538753760234372)</f>
        <v>-0.53875376023437205</v>
      </c>
      <c r="CG15" s="3">
        <f ca="1">IFERROR(__xludf.DUMMYFUNCTION("""COMPUTED_VALUE"""),-0.596354662331844)</f>
        <v>-0.59635466233184398</v>
      </c>
      <c r="CH15" s="3">
        <f ca="1">IFERROR(__xludf.DUMMYFUNCTION("""COMPUTED_VALUE"""),-0.650539491529964)</f>
        <v>-0.65053949152996404</v>
      </c>
      <c r="CI15" s="3">
        <f ca="1">IFERROR(__xludf.DUMMYFUNCTION("""COMPUTED_VALUE"""),-0.599835106006678)</f>
        <v>-0.599835106006678</v>
      </c>
      <c r="CJ15" s="3">
        <f ca="1">IFERROR(__xludf.DUMMYFUNCTION("""COMPUTED_VALUE"""),-0.520604962774518)</f>
        <v>-0.52060496277451795</v>
      </c>
      <c r="CK15" s="3">
        <f ca="1">IFERROR(__xludf.DUMMYFUNCTION("""COMPUTED_VALUE"""),-0.522166569366879)</f>
        <v>-0.522166569366879</v>
      </c>
      <c r="CL15" s="3">
        <f ca="1">IFERROR(__xludf.DUMMYFUNCTION("""COMPUTED_VALUE"""),-0.595262847057805)</f>
        <v>-0.59526284705780497</v>
      </c>
      <c r="CM15" s="3">
        <f ca="1">IFERROR(__xludf.DUMMYFUNCTION("""COMPUTED_VALUE"""),-0.597578955567212)</f>
        <v>-0.59757895556721197</v>
      </c>
      <c r="CN15" s="3">
        <f ca="1">IFERROR(__xludf.DUMMYFUNCTION("""COMPUTED_VALUE"""),-0.58806631699262)</f>
        <v>-0.58806631699262002</v>
      </c>
      <c r="CO15" s="3">
        <f ca="1">IFERROR(__xludf.DUMMYFUNCTION("""COMPUTED_VALUE"""),-0.67073291166762)</f>
        <v>-0.67073291166761995</v>
      </c>
      <c r="CP15" s="3">
        <f ca="1">IFERROR(__xludf.DUMMYFUNCTION("""COMPUTED_VALUE"""),-0.622496658142473)</f>
        <v>-0.62249665814247301</v>
      </c>
      <c r="CQ15" s="3">
        <f ca="1">IFERROR(__xludf.DUMMYFUNCTION("""COMPUTED_VALUE"""),-0.544962346244706)</f>
        <v>-0.54496234624470596</v>
      </c>
      <c r="CR15" s="3">
        <f ca="1">IFERROR(__xludf.DUMMYFUNCTION("""COMPUTED_VALUE"""),-0.509025669305887)</f>
        <v>-0.509025669305887</v>
      </c>
      <c r="CS15" s="3">
        <f ca="1">IFERROR(__xludf.DUMMYFUNCTION("""COMPUTED_VALUE"""),-0.601733197080401)</f>
        <v>-0.60173319708040096</v>
      </c>
      <c r="CT15" s="3">
        <f ca="1">IFERROR(__xludf.DUMMYFUNCTION("""COMPUTED_VALUE"""),-0.560549314851178)</f>
        <v>-0.56054931485117798</v>
      </c>
      <c r="CU15" s="3">
        <f ca="1">IFERROR(__xludf.DUMMYFUNCTION("""COMPUTED_VALUE"""),-0.496439072783714)</f>
        <v>-0.49643907278371402</v>
      </c>
      <c r="CV15" s="3">
        <f ca="1">IFERROR(__xludf.DUMMYFUNCTION("""COMPUTED_VALUE"""),-0.528301390385462)</f>
        <v>-0.52830139038546198</v>
      </c>
      <c r="CW15" s="3">
        <f ca="1">IFERROR(__xludf.DUMMYFUNCTION("""COMPUTED_VALUE"""),-0.550661571451685)</f>
        <v>-0.55066157145168504</v>
      </c>
      <c r="CX15" s="3">
        <f ca="1">IFERROR(__xludf.DUMMYFUNCTION("""COMPUTED_VALUE"""),-0.57132529325876)</f>
        <v>-0.57132529325876003</v>
      </c>
      <c r="CY15" s="3">
        <f ca="1">IFERROR(__xludf.DUMMYFUNCTION("""COMPUTED_VALUE"""),-0.593752164730978)</f>
        <v>-0.59375216473097803</v>
      </c>
      <c r="CZ15" s="3">
        <f ca="1">IFERROR(__xludf.DUMMYFUNCTION("""COMPUTED_VALUE"""),-0.659605621791758)</f>
        <v>-0.65960562179175797</v>
      </c>
      <c r="DA15" s="3">
        <f ca="1">IFERROR(__xludf.DUMMYFUNCTION("""COMPUTED_VALUE"""),-0.586954350810292)</f>
        <v>-0.58695435081029201</v>
      </c>
      <c r="DB15" s="3">
        <f ca="1">IFERROR(__xludf.DUMMYFUNCTION("""COMPUTED_VALUE"""),-0.528916583325075)</f>
        <v>-0.52891658332507496</v>
      </c>
      <c r="DC15" s="3">
        <f ca="1">IFERROR(__xludf.DUMMYFUNCTION("""COMPUTED_VALUE"""),-0.553683261387864)</f>
        <v>-0.55368326138786395</v>
      </c>
      <c r="DD15" s="3">
        <f ca="1">IFERROR(__xludf.DUMMYFUNCTION("""COMPUTED_VALUE"""),-0.593342223031693)</f>
        <v>-0.59334222303169304</v>
      </c>
      <c r="DE15" s="3">
        <f ca="1">IFERROR(__xludf.DUMMYFUNCTION("""COMPUTED_VALUE"""),-0.521916242557239)</f>
        <v>-0.52191624255723901</v>
      </c>
      <c r="DF15" s="3">
        <f ca="1">IFERROR(__xludf.DUMMYFUNCTION("""COMPUTED_VALUE"""),-0.532548712524871)</f>
        <v>-0.53254871252487102</v>
      </c>
      <c r="DG15" s="3">
        <f ca="1">IFERROR(__xludf.DUMMYFUNCTION("""COMPUTED_VALUE"""),-0.743461660459683)</f>
        <v>-0.74346166045968298</v>
      </c>
      <c r="DH15" s="3">
        <f ca="1">IFERROR(__xludf.DUMMYFUNCTION("""COMPUTED_VALUE"""),-0.575759055660088)</f>
        <v>-0.575759055660088</v>
      </c>
      <c r="DI15" s="3">
        <f ca="1">IFERROR(__xludf.DUMMYFUNCTION("""COMPUTED_VALUE"""),-0.350410055822057)</f>
        <v>-0.35041005582205698</v>
      </c>
      <c r="DJ15" s="3">
        <f ca="1">IFERROR(__xludf.DUMMYFUNCTION("""COMPUTED_VALUE"""),-0.454377652402482)</f>
        <v>-0.45437765240248201</v>
      </c>
      <c r="DK15" s="3">
        <f ca="1">IFERROR(__xludf.DUMMYFUNCTION("""COMPUTED_VALUE"""),-0.517934777937189)</f>
        <v>-0.51793477793718901</v>
      </c>
      <c r="DL15" s="3">
        <f ca="1">IFERROR(__xludf.DUMMYFUNCTION("""COMPUTED_VALUE"""),-0.582911033429052)</f>
        <v>-0.58291103342905204</v>
      </c>
      <c r="DM15" s="3">
        <f ca="1">IFERROR(__xludf.DUMMYFUNCTION("""COMPUTED_VALUE"""),-0.546490028056314)</f>
        <v>-0.54649002805631397</v>
      </c>
      <c r="DN15" s="3">
        <f ca="1">IFERROR(__xludf.DUMMYFUNCTION("""COMPUTED_VALUE"""),-0.529566442281293)</f>
        <v>-0.52956644228129301</v>
      </c>
      <c r="DO15" s="3">
        <f ca="1">IFERROR(__xludf.DUMMYFUNCTION("""COMPUTED_VALUE"""),-0.511203121116791)</f>
        <v>-0.511203121116791</v>
      </c>
      <c r="DP15" s="3">
        <f ca="1">IFERROR(__xludf.DUMMYFUNCTION("""COMPUTED_VALUE"""),-0.45472286430912)</f>
        <v>-0.45472286430912001</v>
      </c>
      <c r="DQ15" s="3">
        <f ca="1">IFERROR(__xludf.DUMMYFUNCTION("""COMPUTED_VALUE"""),-0.529942336699051)</f>
        <v>-0.529942336699051</v>
      </c>
      <c r="DR15" s="3">
        <f ca="1">IFERROR(__xludf.DUMMYFUNCTION("""COMPUTED_VALUE"""),-0.605379329057157)</f>
        <v>-0.60537932905715697</v>
      </c>
      <c r="DS15" s="3">
        <f ca="1">IFERROR(__xludf.DUMMYFUNCTION("""COMPUTED_VALUE"""),-0.583271934804449)</f>
        <v>-0.58327193480444905</v>
      </c>
      <c r="DT15" s="3">
        <f ca="1">IFERROR(__xludf.DUMMYFUNCTION("""COMPUTED_VALUE"""),-0.566121739631977)</f>
        <v>-0.56612173963197698</v>
      </c>
      <c r="DU15" s="3">
        <f ca="1">IFERROR(__xludf.DUMMYFUNCTION("""COMPUTED_VALUE"""),-0.549330837195527)</f>
        <v>-0.549330837195527</v>
      </c>
      <c r="DV15" s="3">
        <f ca="1">IFERROR(__xludf.DUMMYFUNCTION("""COMPUTED_VALUE"""),-0.482642356499022)</f>
        <v>-0.48264235649902198</v>
      </c>
      <c r="DW15" s="3">
        <f ca="1">IFERROR(__xludf.DUMMYFUNCTION("""COMPUTED_VALUE"""),-0.555164773919385)</f>
        <v>-0.55516477391938501</v>
      </c>
      <c r="DX15" s="3">
        <f ca="1">IFERROR(__xludf.DUMMYFUNCTION("""COMPUTED_VALUE"""),-0.587280422703155)</f>
        <v>-0.58728042270315495</v>
      </c>
      <c r="DY15" s="3">
        <f ca="1">IFERROR(__xludf.DUMMYFUNCTION("""COMPUTED_VALUE"""),-0.548273532020073)</f>
        <v>-0.54827353202007301</v>
      </c>
      <c r="DZ15" s="3">
        <f ca="1">IFERROR(__xludf.DUMMYFUNCTION("""COMPUTED_VALUE"""),-0.546525689179684)</f>
        <v>-0.54652568917968403</v>
      </c>
      <c r="EA15" s="3">
        <f ca="1">IFERROR(__xludf.DUMMYFUNCTION("""COMPUTED_VALUE"""),-0.513858327693546)</f>
        <v>-0.513858327693546</v>
      </c>
      <c r="EB15" s="3">
        <f ca="1">IFERROR(__xludf.DUMMYFUNCTION("""COMPUTED_VALUE"""),-0.545446668809126)</f>
        <v>-0.54544666880912596</v>
      </c>
      <c r="EC15" s="3">
        <f ca="1">IFERROR(__xludf.DUMMYFUNCTION("""COMPUTED_VALUE"""),-0.485619025781384)</f>
        <v>-0.48561902578138399</v>
      </c>
      <c r="ED15" s="3">
        <f ca="1">IFERROR(__xludf.DUMMYFUNCTION("""COMPUTED_VALUE"""),-0.554952048696399)</f>
        <v>-0.55495204869639903</v>
      </c>
      <c r="EE15" s="3">
        <f ca="1">IFERROR(__xludf.DUMMYFUNCTION("""COMPUTED_VALUE"""),-0.566160852193642)</f>
        <v>-0.56616085219364198</v>
      </c>
      <c r="EF15" s="3">
        <f ca="1">IFERROR(__xludf.DUMMYFUNCTION("""COMPUTED_VALUE"""),-0.573531989252715)</f>
        <v>-0.57353198925271498</v>
      </c>
      <c r="EG15" s="3">
        <f ca="1">IFERROR(__xludf.DUMMYFUNCTION("""COMPUTED_VALUE"""),-0.610381429080182)</f>
        <v>-0.610381429080182</v>
      </c>
      <c r="EH15" s="3">
        <f ca="1">IFERROR(__xludf.DUMMYFUNCTION("""COMPUTED_VALUE"""),-0.559493090251514)</f>
        <v>-0.55949309025151395</v>
      </c>
      <c r="EI15" s="3">
        <f ca="1">IFERROR(__xludf.DUMMYFUNCTION("""COMPUTED_VALUE"""),-0.503748931641038)</f>
        <v>-0.50374893164103796</v>
      </c>
      <c r="EJ15" s="3">
        <f ca="1">IFERROR(__xludf.DUMMYFUNCTION("""COMPUTED_VALUE"""),-0.470091342225556)</f>
        <v>-0.47009134222555599</v>
      </c>
      <c r="EK15" s="3">
        <f ca="1">IFERROR(__xludf.DUMMYFUNCTION("""COMPUTED_VALUE"""),-0.593739215912185)</f>
        <v>-0.59373921591218504</v>
      </c>
      <c r="EL15" s="3">
        <f ca="1">IFERROR(__xludf.DUMMYFUNCTION("""COMPUTED_VALUE"""),-0.63474883103355)</f>
        <v>-0.63474883103354995</v>
      </c>
      <c r="EM15" s="3">
        <f ca="1">IFERROR(__xludf.DUMMYFUNCTION("""COMPUTED_VALUE"""),-0.579610326128452)</f>
        <v>-0.57961032612845198</v>
      </c>
      <c r="EN15" s="3">
        <f ca="1">IFERROR(__xludf.DUMMYFUNCTION("""COMPUTED_VALUE"""),-0.549065164548584)</f>
        <v>-0.54906516454858401</v>
      </c>
      <c r="EO15" s="3">
        <f ca="1">IFERROR(__xludf.DUMMYFUNCTION("""COMPUTED_VALUE"""),-0.563499762298629)</f>
        <v>-0.56349976229862897</v>
      </c>
      <c r="EP15" s="3">
        <f ca="1">IFERROR(__xludf.DUMMYFUNCTION("""COMPUTED_VALUE"""),-0.594050785678841)</f>
        <v>-0.59405078567884095</v>
      </c>
      <c r="EQ15" s="3">
        <f ca="1">IFERROR(__xludf.DUMMYFUNCTION("""COMPUTED_VALUE"""),-0.593270146910698)</f>
        <v>-0.59327014691069802</v>
      </c>
      <c r="ER15" s="3">
        <f ca="1">IFERROR(__xludf.DUMMYFUNCTION("""COMPUTED_VALUE"""),-0.555127402692944)</f>
        <v>-0.55512740269294403</v>
      </c>
      <c r="ES15" s="3">
        <f ca="1">IFERROR(__xludf.DUMMYFUNCTION("""COMPUTED_VALUE"""),-0.587858524861059)</f>
        <v>-0.58785852486105905</v>
      </c>
      <c r="ET15" s="3">
        <f ca="1">IFERROR(__xludf.DUMMYFUNCTION("""COMPUTED_VALUE"""),-0.603515989389603)</f>
        <v>-0.60351598938960305</v>
      </c>
      <c r="EU15" s="3">
        <f ca="1">IFERROR(__xludf.DUMMYFUNCTION("""COMPUTED_VALUE"""),-0.588638161171894)</f>
        <v>-0.58863816117189405</v>
      </c>
      <c r="EV15" s="3">
        <f ca="1">IFERROR(__xludf.DUMMYFUNCTION("""COMPUTED_VALUE"""),-0.592886655822244)</f>
        <v>-0.59288665582224398</v>
      </c>
      <c r="EW15" s="3">
        <f ca="1">IFERROR(__xludf.DUMMYFUNCTION("""COMPUTED_VALUE"""),-0.589848907551652)</f>
        <v>-0.58984890755165198</v>
      </c>
      <c r="EX15" s="3">
        <f ca="1">IFERROR(__xludf.DUMMYFUNCTION("""COMPUTED_VALUE"""),-0.574382926751209)</f>
        <v>-0.57438292675120906</v>
      </c>
      <c r="EY15" s="3">
        <f ca="1">IFERROR(__xludf.DUMMYFUNCTION("""COMPUTED_VALUE"""),-0.614340557213925)</f>
        <v>-0.614340557213925</v>
      </c>
      <c r="EZ15" s="3">
        <f ca="1">IFERROR(__xludf.DUMMYFUNCTION("""COMPUTED_VALUE"""),-0.591500205177188)</f>
        <v>-0.59150020517718804</v>
      </c>
      <c r="FA15" s="3">
        <f ca="1">IFERROR(__xludf.DUMMYFUNCTION("""COMPUTED_VALUE"""),-0.566653769412593)</f>
        <v>-0.56665376941259304</v>
      </c>
      <c r="FB15" s="3">
        <f ca="1">IFERROR(__xludf.DUMMYFUNCTION("""COMPUTED_VALUE"""),-0.531884770512822)</f>
        <v>-0.53188477051282201</v>
      </c>
      <c r="FC15" s="3">
        <f ca="1">IFERROR(__xludf.DUMMYFUNCTION("""COMPUTED_VALUE"""),-0.516703575256342)</f>
        <v>-0.51670357525634203</v>
      </c>
      <c r="FD15" s="3">
        <f ca="1">IFERROR(__xludf.DUMMYFUNCTION("""COMPUTED_VALUE"""),-0.516962119008599)</f>
        <v>-0.51696211900859901</v>
      </c>
      <c r="FE15" s="3">
        <f ca="1">IFERROR(__xludf.DUMMYFUNCTION("""COMPUTED_VALUE"""),-0.542255346957803)</f>
        <v>-0.54225534695780298</v>
      </c>
      <c r="FF15" s="3">
        <f ca="1">IFERROR(__xludf.DUMMYFUNCTION("""COMPUTED_VALUE"""),-0.586579012154823)</f>
        <v>-0.586579012154823</v>
      </c>
      <c r="FG15" s="3">
        <f ca="1">IFERROR(__xludf.DUMMYFUNCTION("""COMPUTED_VALUE"""),-0.578187060373299)</f>
        <v>-0.57818706037329903</v>
      </c>
      <c r="FH15" s="3">
        <f ca="1">IFERROR(__xludf.DUMMYFUNCTION("""COMPUTED_VALUE"""),-0.516094887751019)</f>
        <v>-0.51609488775101897</v>
      </c>
      <c r="FI15" s="3">
        <f ca="1">IFERROR(__xludf.DUMMYFUNCTION("""COMPUTED_VALUE"""),-0.483631716070138)</f>
        <v>-0.483631716070138</v>
      </c>
      <c r="FJ15" s="3">
        <f ca="1">IFERROR(__xludf.DUMMYFUNCTION("""COMPUTED_VALUE"""),-0.518330556031971)</f>
        <v>-0.51833055603197098</v>
      </c>
      <c r="FK15" s="3">
        <f ca="1">IFERROR(__xludf.DUMMYFUNCTION("""COMPUTED_VALUE"""),-0.497858249712874)</f>
        <v>-0.49785824971287401</v>
      </c>
      <c r="FL15" s="3">
        <f ca="1">IFERROR(__xludf.DUMMYFUNCTION("""COMPUTED_VALUE"""),-0.568120865031822)</f>
        <v>-0.56812086503182202</v>
      </c>
      <c r="FM15" s="3">
        <f ca="1">IFERROR(__xludf.DUMMYFUNCTION("""COMPUTED_VALUE"""),-0.536572468011096)</f>
        <v>-0.53657246801109604</v>
      </c>
      <c r="FN15" s="3">
        <f ca="1">IFERROR(__xludf.DUMMYFUNCTION("""COMPUTED_VALUE"""),-0.500385202144601)</f>
        <v>-0.50038520214460103</v>
      </c>
      <c r="FO15" s="3">
        <f ca="1">IFERROR(__xludf.DUMMYFUNCTION("""COMPUTED_VALUE"""),-0.515163667325875)</f>
        <v>-0.51516366732587504</v>
      </c>
      <c r="FP15" s="3">
        <f ca="1">IFERROR(__xludf.DUMMYFUNCTION("""COMPUTED_VALUE"""),-0.437137327075998)</f>
        <v>-0.43713732707599801</v>
      </c>
      <c r="FQ15" s="3">
        <f ca="1">IFERROR(__xludf.DUMMYFUNCTION("""COMPUTED_VALUE"""),-0.471635574068751)</f>
        <v>-0.47163557406875101</v>
      </c>
      <c r="FR15" s="3">
        <f ca="1">IFERROR(__xludf.DUMMYFUNCTION("""COMPUTED_VALUE"""),-0.570494140641406)</f>
        <v>-0.57049414064140602</v>
      </c>
      <c r="FS15" s="3">
        <f ca="1">IFERROR(__xludf.DUMMYFUNCTION("""COMPUTED_VALUE"""),-0.495032103513997)</f>
        <v>-0.49503210351399701</v>
      </c>
      <c r="FT15" s="3">
        <f ca="1">IFERROR(__xludf.DUMMYFUNCTION("""COMPUTED_VALUE"""),-0.520731964942599)</f>
        <v>-0.52073196494259899</v>
      </c>
      <c r="FU15" s="3">
        <f ca="1">IFERROR(__xludf.DUMMYFUNCTION("""COMPUTED_VALUE"""),-0.479519015225981)</f>
        <v>-0.479519015225981</v>
      </c>
      <c r="FV15" s="3">
        <f ca="1">IFERROR(__xludf.DUMMYFUNCTION("""COMPUTED_VALUE"""),-0.427259957583658)</f>
        <v>-0.42725995758365798</v>
      </c>
      <c r="FW15" s="3">
        <f ca="1">IFERROR(__xludf.DUMMYFUNCTION("""COMPUTED_VALUE"""),-0.465102184079503)</f>
        <v>-0.46510218407950299</v>
      </c>
      <c r="FX15" s="3">
        <f ca="1">IFERROR(__xludf.DUMMYFUNCTION("""COMPUTED_VALUE"""),-0.444014924644689)</f>
        <v>-0.444014924644689</v>
      </c>
      <c r="FY15" s="3">
        <f ca="1">IFERROR(__xludf.DUMMYFUNCTION("""COMPUTED_VALUE"""),-0.554279364509415)</f>
        <v>-0.55427936450941495</v>
      </c>
      <c r="FZ15" s="3">
        <f ca="1">IFERROR(__xludf.DUMMYFUNCTION("""COMPUTED_VALUE"""),-0.490384910904165)</f>
        <v>-0.49038491090416497</v>
      </c>
      <c r="GA15" s="3">
        <f ca="1">IFERROR(__xludf.DUMMYFUNCTION("""COMPUTED_VALUE"""),-0.565723786917674)</f>
        <v>-0.565723786917674</v>
      </c>
      <c r="GB15" s="3">
        <f ca="1">IFERROR(__xludf.DUMMYFUNCTION("""COMPUTED_VALUE"""),-0.529411155545261)</f>
        <v>-0.52941115554526097</v>
      </c>
      <c r="GC15" s="3">
        <f ca="1">IFERROR(__xludf.DUMMYFUNCTION("""COMPUTED_VALUE"""),-0.467550411024411)</f>
        <v>-0.46755041102441097</v>
      </c>
      <c r="GD15" s="3">
        <f ca="1">IFERROR(__xludf.DUMMYFUNCTION("""COMPUTED_VALUE"""),-0.420331981064635)</f>
        <v>-0.42033198106463499</v>
      </c>
      <c r="GE15" s="3">
        <f ca="1">IFERROR(__xludf.DUMMYFUNCTION("""COMPUTED_VALUE"""),-0.529513022332768)</f>
        <v>-0.52951302233276798</v>
      </c>
      <c r="GF15" s="3">
        <f ca="1">IFERROR(__xludf.DUMMYFUNCTION("""COMPUTED_VALUE"""),-0.516396720979631)</f>
        <v>-0.51639672097963096</v>
      </c>
      <c r="GG15" s="3">
        <f ca="1">IFERROR(__xludf.DUMMYFUNCTION("""COMPUTED_VALUE"""),-0.481462097816136)</f>
        <v>-0.48146209781613603</v>
      </c>
      <c r="GH15" s="3">
        <f ca="1">IFERROR(__xludf.DUMMYFUNCTION("""COMPUTED_VALUE"""),-0.488209927250869)</f>
        <v>-0.48820992725086898</v>
      </c>
      <c r="GI15" s="3">
        <f ca="1">IFERROR(__xludf.DUMMYFUNCTION("""COMPUTED_VALUE"""),-0.511070629002423)</f>
        <v>-0.51107062900242295</v>
      </c>
      <c r="GJ15" s="3">
        <f ca="1">IFERROR(__xludf.DUMMYFUNCTION("""COMPUTED_VALUE"""),-0.50085895534554)</f>
        <v>-0.50085895534554004</v>
      </c>
      <c r="GK15" s="3">
        <f ca="1">IFERROR(__xludf.DUMMYFUNCTION("""COMPUTED_VALUE"""),-0.486096301242312)</f>
        <v>-0.48609630124231201</v>
      </c>
      <c r="GL15" s="3">
        <f ca="1">IFERROR(__xludf.DUMMYFUNCTION("""COMPUTED_VALUE"""),-0.524408072505285)</f>
        <v>-0.52440807250528498</v>
      </c>
      <c r="GM15" s="3">
        <f ca="1">IFERROR(__xludf.DUMMYFUNCTION("""COMPUTED_VALUE"""),-0.55745085889869)</f>
        <v>-0.55745085889868995</v>
      </c>
      <c r="GN15" s="3">
        <f ca="1">IFERROR(__xludf.DUMMYFUNCTION("""COMPUTED_VALUE"""),-0.482224338861903)</f>
        <v>-0.48222433886190302</v>
      </c>
      <c r="GO15" s="3">
        <f ca="1">IFERROR(__xludf.DUMMYFUNCTION("""COMPUTED_VALUE"""),-0.455375331797185)</f>
        <v>-0.45537533179718498</v>
      </c>
      <c r="GP15" s="3">
        <f ca="1">IFERROR(__xludf.DUMMYFUNCTION("""COMPUTED_VALUE"""),-0.481843740946436)</f>
        <v>-0.48184374094643601</v>
      </c>
      <c r="GQ15" s="3">
        <f ca="1">IFERROR(__xludf.DUMMYFUNCTION("""COMPUTED_VALUE"""),-0.465709758725623)</f>
        <v>-0.46570975872562298</v>
      </c>
      <c r="GR15" s="3">
        <f ca="1">IFERROR(__xludf.DUMMYFUNCTION("""COMPUTED_VALUE"""),-0.431813039180311)</f>
        <v>-0.431813039180311</v>
      </c>
      <c r="GS15" s="3">
        <f ca="1">IFERROR(__xludf.DUMMYFUNCTION("""COMPUTED_VALUE"""),-0.525307780186851)</f>
        <v>-0.52530778018685098</v>
      </c>
      <c r="GT15" s="3">
        <f ca="1">IFERROR(__xludf.DUMMYFUNCTION("""COMPUTED_VALUE"""),-0.513619238383683)</f>
        <v>-0.51361923838368295</v>
      </c>
      <c r="GU15" s="3">
        <f ca="1">IFERROR(__xludf.DUMMYFUNCTION("""COMPUTED_VALUE"""),-0.548137505800162)</f>
        <v>-0.54813750580016196</v>
      </c>
      <c r="GV15" s="3">
        <f ca="1">IFERROR(__xludf.DUMMYFUNCTION("""COMPUTED_VALUE"""),-0.498886940259274)</f>
        <v>-0.49888694025927399</v>
      </c>
      <c r="GW15" s="3">
        <f ca="1">IFERROR(__xludf.DUMMYFUNCTION("""COMPUTED_VALUE"""),-0.506434430611967)</f>
        <v>-0.50643443061196702</v>
      </c>
      <c r="GX15" s="3">
        <f ca="1">IFERROR(__xludf.DUMMYFUNCTION("""COMPUTED_VALUE"""),-0.527753988609294)</f>
        <v>-0.52775398860929401</v>
      </c>
      <c r="GY15" s="3">
        <f ca="1">IFERROR(__xludf.DUMMYFUNCTION("""COMPUTED_VALUE"""),-0.415462129652768)</f>
        <v>-0.41546212965276802</v>
      </c>
      <c r="GZ15" s="3">
        <f ca="1">IFERROR(__xludf.DUMMYFUNCTION("""COMPUTED_VALUE"""),-0.456943413590686)</f>
        <v>-0.45694341359068602</v>
      </c>
      <c r="HA15" s="3">
        <f ca="1">IFERROR(__xludf.DUMMYFUNCTION("""COMPUTED_VALUE"""),-0.548100160759392)</f>
        <v>-0.54810016075939205</v>
      </c>
      <c r="HB15" s="3">
        <f ca="1">IFERROR(__xludf.DUMMYFUNCTION("""COMPUTED_VALUE"""),-0.522016633882834)</f>
        <v>-0.52201663388283404</v>
      </c>
      <c r="HC15" s="3">
        <f ca="1">IFERROR(__xludf.DUMMYFUNCTION("""COMPUTED_VALUE"""),-0.494169550520774)</f>
        <v>-0.49416955052077399</v>
      </c>
      <c r="HD15" s="3">
        <f ca="1">IFERROR(__xludf.DUMMYFUNCTION("""COMPUTED_VALUE"""),-0.533842862047628)</f>
        <v>-0.53384286204762799</v>
      </c>
      <c r="HE15" s="3">
        <f ca="1">IFERROR(__xludf.DUMMYFUNCTION("""COMPUTED_VALUE"""),-0.53360703965164)</f>
        <v>-0.53360703965164002</v>
      </c>
      <c r="HF15" s="3">
        <f ca="1">IFERROR(__xludf.DUMMYFUNCTION("""COMPUTED_VALUE"""),-0.475193451437565)</f>
        <v>-0.47519345143756497</v>
      </c>
      <c r="HG15" s="3">
        <f ca="1">IFERROR(__xludf.DUMMYFUNCTION("""COMPUTED_VALUE"""),-0.524426433601974)</f>
        <v>-0.52442643360197405</v>
      </c>
      <c r="HH15" s="3">
        <f ca="1">IFERROR(__xludf.DUMMYFUNCTION("""COMPUTED_VALUE"""),-0.507594750354893)</f>
        <v>-0.50759475035489299</v>
      </c>
      <c r="HI15" s="3">
        <f ca="1">IFERROR(__xludf.DUMMYFUNCTION("""COMPUTED_VALUE"""),-0.499532520632913)</f>
        <v>-0.49953252063291298</v>
      </c>
      <c r="HJ15" s="3">
        <f ca="1">IFERROR(__xludf.DUMMYFUNCTION("""COMPUTED_VALUE"""),-0.477420471723233)</f>
        <v>-0.47742047172323299</v>
      </c>
      <c r="HK15" s="3">
        <f ca="1">IFERROR(__xludf.DUMMYFUNCTION("""COMPUTED_VALUE"""),-0.461567658252641)</f>
        <v>-0.46156765825264101</v>
      </c>
      <c r="HL15" s="3">
        <f ca="1">IFERROR(__xludf.DUMMYFUNCTION("""COMPUTED_VALUE"""),-0.436496974549766)</f>
        <v>-0.43649697454976599</v>
      </c>
      <c r="HM15" s="3">
        <f ca="1">IFERROR(__xludf.DUMMYFUNCTION("""COMPUTED_VALUE"""),-0.34205204617847)</f>
        <v>-0.34205204617847002</v>
      </c>
      <c r="HN15" s="3">
        <f ca="1">IFERROR(__xludf.DUMMYFUNCTION("""COMPUTED_VALUE"""),-0.418746789126281)</f>
        <v>-0.41874678912628099</v>
      </c>
      <c r="HO15" s="3">
        <f ca="1">IFERROR(__xludf.DUMMYFUNCTION("""COMPUTED_VALUE"""),-0.46622877408485)</f>
        <v>-0.46622877408484997</v>
      </c>
      <c r="HP15" s="3">
        <f ca="1">IFERROR(__xludf.DUMMYFUNCTION("""COMPUTED_VALUE"""),-0.513069206534546)</f>
        <v>-0.51306920653454602</v>
      </c>
      <c r="HQ15" s="3">
        <f ca="1">IFERROR(__xludf.DUMMYFUNCTION("""COMPUTED_VALUE"""),-0.517434327557188)</f>
        <v>-0.51743432755718799</v>
      </c>
      <c r="HR15" s="3">
        <f ca="1">IFERROR(__xludf.DUMMYFUNCTION("""COMPUTED_VALUE"""),-0.451742181673273)</f>
        <v>-0.45174218167327301</v>
      </c>
      <c r="HS15" s="3">
        <f ca="1">IFERROR(__xludf.DUMMYFUNCTION("""COMPUTED_VALUE"""),-0.450005995608073)</f>
        <v>-0.45000599560807297</v>
      </c>
      <c r="HT15" s="3">
        <f ca="1">IFERROR(__xludf.DUMMYFUNCTION("""COMPUTED_VALUE"""),-0.410321141301339)</f>
        <v>-0.41032114130133901</v>
      </c>
      <c r="HU15" s="3">
        <f ca="1">IFERROR(__xludf.DUMMYFUNCTION("""COMPUTED_VALUE"""),-0.412973545174543)</f>
        <v>-0.41297354517454299</v>
      </c>
      <c r="HV15" s="3">
        <f ca="1">IFERROR(__xludf.DUMMYFUNCTION("""COMPUTED_VALUE"""),-0.450947673541672)</f>
        <v>-0.45094767354167198</v>
      </c>
      <c r="HW15" s="3">
        <f ca="1">IFERROR(__xludf.DUMMYFUNCTION("""COMPUTED_VALUE"""),-0.486839014314823)</f>
        <v>-0.48683901431482302</v>
      </c>
      <c r="HX15" s="3">
        <f ca="1">IFERROR(__xludf.DUMMYFUNCTION("""COMPUTED_VALUE"""),-0.424653906794757)</f>
        <v>-0.42465390679475701</v>
      </c>
      <c r="HY15" s="3">
        <f ca="1">IFERROR(__xludf.DUMMYFUNCTION("""COMPUTED_VALUE"""),-0.482936888589102)</f>
        <v>-0.482936888589102</v>
      </c>
      <c r="HZ15" s="3">
        <f ca="1">IFERROR(__xludf.DUMMYFUNCTION("""COMPUTED_VALUE"""),-0.425488132922301)</f>
        <v>-0.42548813292230098</v>
      </c>
      <c r="IA15" s="3">
        <f ca="1">IFERROR(__xludf.DUMMYFUNCTION("""COMPUTED_VALUE"""),-0.387778650329424)</f>
        <v>-0.38777865032942399</v>
      </c>
      <c r="IB15" s="3">
        <f ca="1">IFERROR(__xludf.DUMMYFUNCTION("""COMPUTED_VALUE"""),-0.329694017206527)</f>
        <v>-0.32969401720652702</v>
      </c>
      <c r="IC15" s="3">
        <f ca="1">IFERROR(__xludf.DUMMYFUNCTION("""COMPUTED_VALUE"""),-0.388847487937911)</f>
        <v>-0.38884748793791102</v>
      </c>
      <c r="ID15" s="3">
        <f ca="1">IFERROR(__xludf.DUMMYFUNCTION("""COMPUTED_VALUE"""),-0.45032587473014)</f>
        <v>-0.45032587473014002</v>
      </c>
      <c r="IE15" s="3">
        <f ca="1">IFERROR(__xludf.DUMMYFUNCTION("""COMPUTED_VALUE"""),-0.368278364010352)</f>
        <v>-0.36827836401035202</v>
      </c>
      <c r="IF15" s="3">
        <f ca="1">IFERROR(__xludf.DUMMYFUNCTION("""COMPUTED_VALUE"""),-0.388087242284818)</f>
        <v>-0.388087242284818</v>
      </c>
      <c r="IG15" s="3">
        <f ca="1">IFERROR(__xludf.DUMMYFUNCTION("""COMPUTED_VALUE"""),-0.347578600037265)</f>
        <v>-0.34757860003726498</v>
      </c>
      <c r="IH15" s="3">
        <f ca="1">IFERROR(__xludf.DUMMYFUNCTION("""COMPUTED_VALUE"""),-0.267461874049423)</f>
        <v>-0.26746187404942301</v>
      </c>
      <c r="II15" s="3">
        <f ca="1">IFERROR(__xludf.DUMMYFUNCTION("""COMPUTED_VALUE"""),-0.250285468464918)</f>
        <v>-0.250285468464918</v>
      </c>
      <c r="IJ15" s="3">
        <f ca="1">IFERROR(__xludf.DUMMYFUNCTION("""COMPUTED_VALUE"""),-0.331824654059913)</f>
        <v>-0.33182465405991302</v>
      </c>
      <c r="IK15" s="3">
        <f ca="1">IFERROR(__xludf.DUMMYFUNCTION("""COMPUTED_VALUE"""),-0.413679613342693)</f>
        <v>-0.41367961334269299</v>
      </c>
      <c r="IL15" s="3">
        <f ca="1">IFERROR(__xludf.DUMMYFUNCTION("""COMPUTED_VALUE"""),-0.359802102460263)</f>
        <v>-0.35980210246026301</v>
      </c>
      <c r="IM15" s="3">
        <f ca="1">IFERROR(__xludf.DUMMYFUNCTION("""COMPUTED_VALUE"""),-0.35280880535821)</f>
        <v>-0.35280880535821002</v>
      </c>
      <c r="IN15" s="3">
        <f ca="1">IFERROR(__xludf.DUMMYFUNCTION("""COMPUTED_VALUE"""),-0.316570519442394)</f>
        <v>-0.316570519442394</v>
      </c>
      <c r="IO15" s="3">
        <f ca="1">IFERROR(__xludf.DUMMYFUNCTION("""COMPUTED_VALUE"""),-0.329578711883436)</f>
        <v>-0.32957871188343602</v>
      </c>
      <c r="IP15" s="3">
        <f ca="1">IFERROR(__xludf.DUMMYFUNCTION("""COMPUTED_VALUE"""),-0.320757271818287)</f>
        <v>-0.320757271818287</v>
      </c>
      <c r="IQ15" s="3">
        <f ca="1">IFERROR(__xludf.DUMMYFUNCTION("""COMPUTED_VALUE"""),-0.384846176793677)</f>
        <v>-0.384846176793677</v>
      </c>
      <c r="IR15" s="3">
        <f ca="1">IFERROR(__xludf.DUMMYFUNCTION("""COMPUTED_VALUE"""),-0.428316998613484)</f>
        <v>-0.42831699861348399</v>
      </c>
      <c r="IS15" s="3">
        <f ca="1">IFERROR(__xludf.DUMMYFUNCTION("""COMPUTED_VALUE"""),-0.27868092690581)</f>
        <v>-0.27868092690580998</v>
      </c>
      <c r="IT15" s="3">
        <f ca="1">IFERROR(__xludf.DUMMYFUNCTION("""COMPUTED_VALUE"""),-0.318327901379853)</f>
        <v>-0.31832790137985301</v>
      </c>
      <c r="IU15" s="3">
        <f ca="1">IFERROR(__xludf.DUMMYFUNCTION("""COMPUTED_VALUE"""),-0.330911262967499)</f>
        <v>-0.33091126296749901</v>
      </c>
      <c r="IV15" s="3">
        <f ca="1">IFERROR(__xludf.DUMMYFUNCTION("""COMPUTED_VALUE"""),-0.315955552575177)</f>
        <v>-0.31595555257517699</v>
      </c>
      <c r="IW15" s="3">
        <f ca="1">IFERROR(__xludf.DUMMYFUNCTION("""COMPUTED_VALUE"""),-0.342279140719605)</f>
        <v>-0.34227914071960502</v>
      </c>
      <c r="IX15" s="3">
        <f ca="1">IFERROR(__xludf.DUMMYFUNCTION("""COMPUTED_VALUE"""),-0.398453660641415)</f>
        <v>-0.39845366064141502</v>
      </c>
      <c r="IY15" s="3">
        <f ca="1">IFERROR(__xludf.DUMMYFUNCTION("""COMPUTED_VALUE"""),-0.352173384786939)</f>
        <v>-0.35217338478693899</v>
      </c>
      <c r="IZ15" s="3">
        <f ca="1">IFERROR(__xludf.DUMMYFUNCTION("""COMPUTED_VALUE"""),-0.366462004452364)</f>
        <v>-0.36646200445236399</v>
      </c>
      <c r="JA15" s="3">
        <f ca="1">IFERROR(__xludf.DUMMYFUNCTION("""COMPUTED_VALUE"""),-0.388408006181523)</f>
        <v>-0.38840800618152299</v>
      </c>
      <c r="JB15" s="3">
        <f ca="1">IFERROR(__xludf.DUMMYFUNCTION("""COMPUTED_VALUE"""),-0.394704852193306)</f>
        <v>-0.39470485219330598</v>
      </c>
      <c r="JC15" s="3">
        <f ca="1">IFERROR(__xludf.DUMMYFUNCTION("""COMPUTED_VALUE"""),-0.353061620797948)</f>
        <v>-0.35306162079794801</v>
      </c>
      <c r="JD15" s="3">
        <f ca="1">IFERROR(__xludf.DUMMYFUNCTION("""COMPUTED_VALUE"""),-0.355873167196381)</f>
        <v>-0.35587316719638101</v>
      </c>
      <c r="JE15" s="3">
        <f ca="1">IFERROR(__xludf.DUMMYFUNCTION("""COMPUTED_VALUE"""),-0.40219109190463)</f>
        <v>-0.40219109190462998</v>
      </c>
      <c r="JF15" s="3">
        <f ca="1">IFERROR(__xludf.DUMMYFUNCTION("""COMPUTED_VALUE"""),-0.405408388861869)</f>
        <v>-0.40540838886186897</v>
      </c>
      <c r="JG15" s="3">
        <f ca="1">IFERROR(__xludf.DUMMYFUNCTION("""COMPUTED_VALUE"""),-0.388296549279049)</f>
        <v>-0.388296549279049</v>
      </c>
      <c r="JH15" s="3">
        <f ca="1">IFERROR(__xludf.DUMMYFUNCTION("""COMPUTED_VALUE"""),-0.436993123243571)</f>
        <v>-0.43699312324357098</v>
      </c>
      <c r="JI15" s="3">
        <f ca="1">IFERROR(__xludf.DUMMYFUNCTION("""COMPUTED_VALUE"""),-0.37862757153716)</f>
        <v>-0.37862757153715998</v>
      </c>
      <c r="JJ15" s="3">
        <f ca="1">IFERROR(__xludf.DUMMYFUNCTION("""COMPUTED_VALUE"""),-0.313543484832877)</f>
        <v>-0.31354348483287697</v>
      </c>
      <c r="JK15" s="3">
        <f ca="1">IFERROR(__xludf.DUMMYFUNCTION("""COMPUTED_VALUE"""),-0.321968673789524)</f>
        <v>-0.32196867378952398</v>
      </c>
      <c r="JL15" s="3">
        <f ca="1">IFERROR(__xludf.DUMMYFUNCTION("""COMPUTED_VALUE"""),-0.46925308127728)</f>
        <v>-0.46925308127727999</v>
      </c>
      <c r="JM15" s="3">
        <f ca="1">IFERROR(__xludf.DUMMYFUNCTION("""COMPUTED_VALUE"""),-0.446279670047189)</f>
        <v>-0.44627967004718899</v>
      </c>
      <c r="JN15" s="3">
        <f ca="1">IFERROR(__xludf.DUMMYFUNCTION("""COMPUTED_VALUE"""),-0.381649380644174)</f>
        <v>-0.38164938064417397</v>
      </c>
      <c r="JO15" s="3">
        <f ca="1">IFERROR(__xludf.DUMMYFUNCTION("""COMPUTED_VALUE"""),-0.482404141809216)</f>
        <v>-0.48240414180921598</v>
      </c>
      <c r="JP15" s="3">
        <f ca="1">IFERROR(__xludf.DUMMYFUNCTION("""COMPUTED_VALUE"""),-0.451025989080405)</f>
        <v>-0.45102598908040498</v>
      </c>
      <c r="JQ15" s="3">
        <f ca="1">IFERROR(__xludf.DUMMYFUNCTION("""COMPUTED_VALUE"""),-0.48285022582015)</f>
        <v>-0.48285022582015003</v>
      </c>
      <c r="JR15" s="3">
        <f ca="1">IFERROR(__xludf.DUMMYFUNCTION("""COMPUTED_VALUE"""),-0.401931869318444)</f>
        <v>-0.40193186931844399</v>
      </c>
      <c r="JS15" s="3">
        <f ca="1">IFERROR(__xludf.DUMMYFUNCTION("""COMPUTED_VALUE"""),-0.419371465790715)</f>
        <v>-0.41937146579071499</v>
      </c>
      <c r="JT15" s="3">
        <f ca="1">IFERROR(__xludf.DUMMYFUNCTION("""COMPUTED_VALUE"""),-0.472073836867372)</f>
        <v>-0.47207383686737198</v>
      </c>
      <c r="JU15" s="3">
        <f ca="1">IFERROR(__xludf.DUMMYFUNCTION("""COMPUTED_VALUE"""),-0.446101047811295)</f>
        <v>-0.446101047811295</v>
      </c>
      <c r="JV15" s="3">
        <f ca="1">IFERROR(__xludf.DUMMYFUNCTION("""COMPUTED_VALUE"""),-0.352263611725879)</f>
        <v>-0.352263611725879</v>
      </c>
      <c r="JW15" s="3">
        <f ca="1">IFERROR(__xludf.DUMMYFUNCTION("""COMPUTED_VALUE"""),-0.263426958274985)</f>
        <v>-0.26342695827498502</v>
      </c>
      <c r="JX15" s="3">
        <f ca="1">IFERROR(__xludf.DUMMYFUNCTION("""COMPUTED_VALUE"""),-0.30507382485489)</f>
        <v>-0.30507382485488999</v>
      </c>
      <c r="JY15" s="3">
        <f ca="1">IFERROR(__xludf.DUMMYFUNCTION("""COMPUTED_VALUE"""),-0.415651048582403)</f>
        <v>-0.41565104858240298</v>
      </c>
      <c r="JZ15" s="3">
        <f ca="1">IFERROR(__xludf.DUMMYFUNCTION("""COMPUTED_VALUE"""),-0.449118109532645)</f>
        <v>-0.44911810953264503</v>
      </c>
      <c r="KA15" s="3">
        <f ca="1">IFERROR(__xludf.DUMMYFUNCTION("""COMPUTED_VALUE"""),-0.507606394584643)</f>
        <v>-0.50760639458464296</v>
      </c>
      <c r="KB15" s="3">
        <f ca="1">IFERROR(__xludf.DUMMYFUNCTION("""COMPUTED_VALUE"""),-0.58983319435541)</f>
        <v>-0.58983319435541004</v>
      </c>
      <c r="KC15" s="3">
        <f ca="1">IFERROR(__xludf.DUMMYFUNCTION("""COMPUTED_VALUE"""),-0.460091735451062)</f>
        <v>-0.46009173545106202</v>
      </c>
      <c r="KD15" s="3">
        <f ca="1">IFERROR(__xludf.DUMMYFUNCTION("""COMPUTED_VALUE"""),-0.233135937979421)</f>
        <v>-0.233135937979421</v>
      </c>
      <c r="KE15" s="3">
        <f ca="1">IFERROR(__xludf.DUMMYFUNCTION("""COMPUTED_VALUE"""),-0.412505368759473)</f>
        <v>-0.41250536875947302</v>
      </c>
      <c r="KF15" s="3">
        <f ca="1">IFERROR(__xludf.DUMMYFUNCTION("""COMPUTED_VALUE"""),-0.48147412696586)</f>
        <v>-0.48147412696586001</v>
      </c>
      <c r="KG15" s="3">
        <f ca="1">IFERROR(__xludf.DUMMYFUNCTION("""COMPUTED_VALUE"""),-0.50653955113294)</f>
        <v>-0.50653955113294002</v>
      </c>
      <c r="KH15" s="3">
        <f ca="1">IFERROR(__xludf.DUMMYFUNCTION("""COMPUTED_VALUE"""),-0.505016286193279)</f>
        <v>-0.50501628619327898</v>
      </c>
      <c r="KI15" s="3">
        <f ca="1">IFERROR(__xludf.DUMMYFUNCTION("""COMPUTED_VALUE"""),-0.49116006418345)</f>
        <v>-0.49116006418344998</v>
      </c>
      <c r="KJ15" s="3">
        <f ca="1">IFERROR(__xludf.DUMMYFUNCTION("""COMPUTED_VALUE"""),-0.369649400014588)</f>
        <v>-0.36964940001458801</v>
      </c>
      <c r="KK15" s="3">
        <f ca="1">IFERROR(__xludf.DUMMYFUNCTION("""COMPUTED_VALUE"""),-0.255667973555738)</f>
        <v>-0.255667973555738</v>
      </c>
      <c r="KL15" s="3">
        <f ca="1">IFERROR(__xludf.DUMMYFUNCTION("""COMPUTED_VALUE"""),-0.468235185690524)</f>
        <v>-0.46823518569052403</v>
      </c>
      <c r="KM15" s="3">
        <f ca="1">IFERROR(__xludf.DUMMYFUNCTION("""COMPUTED_VALUE"""),-0.483108307095291)</f>
        <v>-0.48310830709529101</v>
      </c>
      <c r="KN15" s="3">
        <f ca="1">IFERROR(__xludf.DUMMYFUNCTION("""COMPUTED_VALUE"""),-0.416250494419114)</f>
        <v>-0.41625049441911399</v>
      </c>
      <c r="KO15" s="3">
        <f ca="1">IFERROR(__xludf.DUMMYFUNCTION("""COMPUTED_VALUE"""),-0.4404536974992)</f>
        <v>-0.44045369749919999</v>
      </c>
      <c r="KP15" s="3">
        <f ca="1">IFERROR(__xludf.DUMMYFUNCTION("""COMPUTED_VALUE"""),-0.492944189711868)</f>
        <v>-0.49294418971186799</v>
      </c>
      <c r="KQ15" s="3">
        <f ca="1">IFERROR(__xludf.DUMMYFUNCTION("""COMPUTED_VALUE"""),-0.543817191697965)</f>
        <v>-0.54381719169796505</v>
      </c>
      <c r="KR15" s="3">
        <f ca="1">IFERROR(__xludf.DUMMYFUNCTION("""COMPUTED_VALUE"""),-0.57045602609029)</f>
        <v>-0.57045602609029</v>
      </c>
      <c r="KS15" s="3">
        <f ca="1">IFERROR(__xludf.DUMMYFUNCTION("""COMPUTED_VALUE"""),-0.585284175630282)</f>
        <v>-0.58528417563028201</v>
      </c>
      <c r="KT15" s="3">
        <f ca="1">IFERROR(__xludf.DUMMYFUNCTION("""COMPUTED_VALUE"""),-0.52381385882505)</f>
        <v>-0.52381385882505005</v>
      </c>
      <c r="KU15" s="3">
        <f ca="1">IFERROR(__xludf.DUMMYFUNCTION("""COMPUTED_VALUE"""),-0.53182474131426)</f>
        <v>-0.53182474131426005</v>
      </c>
      <c r="KV15" s="3">
        <f ca="1">IFERROR(__xludf.DUMMYFUNCTION("""COMPUTED_VALUE"""),-0.611262582630225)</f>
        <v>-0.61126258263022504</v>
      </c>
      <c r="KW15" s="3">
        <f ca="1">IFERROR(__xludf.DUMMYFUNCTION("""COMPUTED_VALUE"""),-0.534732420240229)</f>
        <v>-0.53473242024022904</v>
      </c>
      <c r="KX15" s="3">
        <f ca="1">IFERROR(__xludf.DUMMYFUNCTION("""COMPUTED_VALUE"""),-0.549099557209819)</f>
        <v>-0.54909955720981896</v>
      </c>
      <c r="KY15" s="3">
        <f ca="1">IFERROR(__xludf.DUMMYFUNCTION("""COMPUTED_VALUE"""),-0.553485332258452)</f>
        <v>-0.55348533225845198</v>
      </c>
      <c r="KZ15" s="3">
        <f ca="1">IFERROR(__xludf.DUMMYFUNCTION("""COMPUTED_VALUE"""),-0.521276095590872)</f>
        <v>-0.52127609559087196</v>
      </c>
      <c r="LA15" s="3">
        <f ca="1">IFERROR(__xludf.DUMMYFUNCTION("""COMPUTED_VALUE"""),-0.602822429655676)</f>
        <v>-0.60282242965567601</v>
      </c>
      <c r="LB15" s="3">
        <f ca="1">IFERROR(__xludf.DUMMYFUNCTION("""COMPUTED_VALUE"""),-0.509422641453805)</f>
        <v>-0.509422641453805</v>
      </c>
      <c r="LC15" s="3">
        <f ca="1">IFERROR(__xludf.DUMMYFUNCTION("""COMPUTED_VALUE"""),-0.566284839995621)</f>
        <v>-0.56628483999562096</v>
      </c>
      <c r="LD15" s="3">
        <f ca="1">IFERROR(__xludf.DUMMYFUNCTION("""COMPUTED_VALUE"""),-0.542843830469447)</f>
        <v>-0.54284383046944695</v>
      </c>
      <c r="LE15" s="3">
        <f ca="1">IFERROR(__xludf.DUMMYFUNCTION("""COMPUTED_VALUE"""),-0.572491827817754)</f>
        <v>-0.57249182781775398</v>
      </c>
      <c r="LF15" s="3">
        <f ca="1">IFERROR(__xludf.DUMMYFUNCTION("""COMPUTED_VALUE"""),-0.486335796262333)</f>
        <v>-0.48633579626233298</v>
      </c>
      <c r="LG15" s="3">
        <f ca="1">IFERROR(__xludf.DUMMYFUNCTION("""COMPUTED_VALUE"""),-0.522666601825163)</f>
        <v>-0.522666601825163</v>
      </c>
      <c r="LH15" s="3">
        <f ca="1">IFERROR(__xludf.DUMMYFUNCTION("""COMPUTED_VALUE"""),-0.516801225291218)</f>
        <v>-0.51680122529121797</v>
      </c>
      <c r="LI15" s="3">
        <f ca="1">IFERROR(__xludf.DUMMYFUNCTION("""COMPUTED_VALUE"""),-0.472011444378532)</f>
        <v>-0.47201144437853199</v>
      </c>
      <c r="LJ15" s="3">
        <f ca="1">IFERROR(__xludf.DUMMYFUNCTION("""COMPUTED_VALUE"""),-0.532674886863136)</f>
        <v>-0.53267488686313602</v>
      </c>
      <c r="LK15" s="3">
        <f ca="1">IFERROR(__xludf.DUMMYFUNCTION("""COMPUTED_VALUE"""),-0.463103848309681)</f>
        <v>-0.46310384830968099</v>
      </c>
      <c r="LL15" s="3">
        <f ca="1">IFERROR(__xludf.DUMMYFUNCTION("""COMPUTED_VALUE"""),-0.574876282660539)</f>
        <v>-0.57487628266053903</v>
      </c>
      <c r="LM15" s="3">
        <f ca="1">IFERROR(__xludf.DUMMYFUNCTION("""COMPUTED_VALUE"""),-0.620857431099106)</f>
        <v>-0.62085743109910596</v>
      </c>
      <c r="LN15" s="3">
        <f ca="1">IFERROR(__xludf.DUMMYFUNCTION("""COMPUTED_VALUE"""),-0.545936571190259)</f>
        <v>-0.54593657119025896</v>
      </c>
      <c r="LO15" s="3">
        <f ca="1">IFERROR(__xludf.DUMMYFUNCTION("""COMPUTED_VALUE"""),-0.529587403223888)</f>
        <v>-0.52958740322388798</v>
      </c>
      <c r="LP15" s="3">
        <f ca="1">IFERROR(__xludf.DUMMYFUNCTION("""COMPUTED_VALUE"""),-0.583928874426101)</f>
        <v>-0.58392887442610097</v>
      </c>
      <c r="LQ15" s="3">
        <f ca="1">IFERROR(__xludf.DUMMYFUNCTION("""COMPUTED_VALUE"""),-0.602189686415104)</f>
        <v>-0.60218968641510395</v>
      </c>
      <c r="LR15" s="3">
        <f ca="1">IFERROR(__xludf.DUMMYFUNCTION("""COMPUTED_VALUE"""),-0.602913162248155)</f>
        <v>-0.60291316224815505</v>
      </c>
      <c r="LS15" s="3">
        <f ca="1">IFERROR(__xludf.DUMMYFUNCTION("""COMPUTED_VALUE"""),-0.589323356737938)</f>
        <v>-0.58932335673793801</v>
      </c>
      <c r="LT15" s="3">
        <f ca="1">IFERROR(__xludf.DUMMYFUNCTION("""COMPUTED_VALUE"""),-0.584612629632442)</f>
        <v>-0.58461262963244198</v>
      </c>
      <c r="LU15" s="3">
        <f ca="1">IFERROR(__xludf.DUMMYFUNCTION("""COMPUTED_VALUE"""),-0.63480530882313)</f>
        <v>-0.63480530882313002</v>
      </c>
      <c r="LV15" s="3">
        <f ca="1">IFERROR(__xludf.DUMMYFUNCTION("""COMPUTED_VALUE"""),-0.598834489292384)</f>
        <v>-0.59883448929238403</v>
      </c>
      <c r="LW15" s="3">
        <f ca="1">IFERROR(__xludf.DUMMYFUNCTION("""COMPUTED_VALUE"""),-0.609699058944365)</f>
        <v>-0.60969905894436505</v>
      </c>
      <c r="LX15" s="3">
        <f ca="1">IFERROR(__xludf.DUMMYFUNCTION("""COMPUTED_VALUE"""),-0.637226012017174)</f>
        <v>-0.63722601201717399</v>
      </c>
      <c r="LY15" s="3">
        <f ca="1">IFERROR(__xludf.DUMMYFUNCTION("""COMPUTED_VALUE"""),-0.679368978350309)</f>
        <v>-0.67936897835030896</v>
      </c>
      <c r="LZ15" s="3">
        <f ca="1">IFERROR(__xludf.DUMMYFUNCTION("""COMPUTED_VALUE"""),-0.703822691959221)</f>
        <v>-0.70382269195922098</v>
      </c>
      <c r="MA15" s="3">
        <f ca="1">IFERROR(__xludf.DUMMYFUNCTION("""COMPUTED_VALUE"""),-0.630415738985943)</f>
        <v>-0.63041573898594305</v>
      </c>
      <c r="MB15" s="3">
        <f ca="1">IFERROR(__xludf.DUMMYFUNCTION("""COMPUTED_VALUE"""),-0.633106077132149)</f>
        <v>-0.63310607713214895</v>
      </c>
      <c r="MC15" s="3">
        <f ca="1">IFERROR(__xludf.DUMMYFUNCTION("""COMPUTED_VALUE"""),-0.621308701581932)</f>
        <v>-0.62130870158193197</v>
      </c>
      <c r="MD15" s="3">
        <f ca="1">IFERROR(__xludf.DUMMYFUNCTION("""COMPUTED_VALUE"""),-0.628937448052411)</f>
        <v>-0.62893744805241103</v>
      </c>
      <c r="ME15" s="3">
        <f ca="1">IFERROR(__xludf.DUMMYFUNCTION("""COMPUTED_VALUE"""),-0.714496788895858)</f>
        <v>-0.71449678889585799</v>
      </c>
      <c r="MF15" s="3">
        <f ca="1">IFERROR(__xludf.DUMMYFUNCTION("""COMPUTED_VALUE"""),-0.719407470877994)</f>
        <v>-0.71940747087799395</v>
      </c>
      <c r="MG15" s="3">
        <f ca="1">IFERROR(__xludf.DUMMYFUNCTION("""COMPUTED_VALUE"""),-0.698327384789609)</f>
        <v>-0.69832738478960898</v>
      </c>
      <c r="MH15" s="3">
        <f ca="1">IFERROR(__xludf.DUMMYFUNCTION("""COMPUTED_VALUE"""),-0.711926885515468)</f>
        <v>-0.71192688551546801</v>
      </c>
      <c r="MI15" s="3">
        <f ca="1">IFERROR(__xludf.DUMMYFUNCTION("""COMPUTED_VALUE"""),-0.679694196886562)</f>
        <v>-0.67969419688656196</v>
      </c>
      <c r="MJ15" s="3">
        <f ca="1">IFERROR(__xludf.DUMMYFUNCTION("""COMPUTED_VALUE"""),-0.736439243678898)</f>
        <v>-0.73643924367889801</v>
      </c>
      <c r="MK15" s="3">
        <f ca="1">IFERROR(__xludf.DUMMYFUNCTION("""COMPUTED_VALUE"""),-0.720709338424535)</f>
        <v>-0.720709338424535</v>
      </c>
      <c r="ML15" s="3">
        <f ca="1">IFERROR(__xludf.DUMMYFUNCTION("""COMPUTED_VALUE"""),-0.754774474280094)</f>
        <v>-0.75477447428009403</v>
      </c>
      <c r="MM15" s="3">
        <f ca="1">IFERROR(__xludf.DUMMYFUNCTION("""COMPUTED_VALUE"""),-0.744194470357768)</f>
        <v>-0.74419447035776798</v>
      </c>
      <c r="MN15" s="3">
        <f ca="1">IFERROR(__xludf.DUMMYFUNCTION("""COMPUTED_VALUE"""),-0.747310765216378)</f>
        <v>-0.74731076521637796</v>
      </c>
      <c r="MO15" s="3">
        <f ca="1">IFERROR(__xludf.DUMMYFUNCTION("""COMPUTED_VALUE"""),-0.741049704848472)</f>
        <v>-0.74104970484847199</v>
      </c>
      <c r="MP15" s="3">
        <f ca="1">IFERROR(__xludf.DUMMYFUNCTION("""COMPUTED_VALUE"""),-0.694881945086263)</f>
        <v>-0.694881945086263</v>
      </c>
      <c r="MQ15" s="3">
        <f ca="1">IFERROR(__xludf.DUMMYFUNCTION("""COMPUTED_VALUE"""),-0.713884904882075)</f>
        <v>-0.71388490488207501</v>
      </c>
      <c r="MR15" s="3">
        <f ca="1">IFERROR(__xludf.DUMMYFUNCTION("""COMPUTED_VALUE"""),-0.737497960944896)</f>
        <v>-0.73749796094489595</v>
      </c>
      <c r="MS15" s="3">
        <f ca="1">IFERROR(__xludf.DUMMYFUNCTION("""COMPUTED_VALUE"""),-0.714947261079205)</f>
        <v>-0.71494726107920503</v>
      </c>
      <c r="MT15" s="3">
        <f ca="1">IFERROR(__xludf.DUMMYFUNCTION("""COMPUTED_VALUE"""),-0.766130291150834)</f>
        <v>-0.76613029115083398</v>
      </c>
      <c r="MU15" s="3">
        <f ca="1">IFERROR(__xludf.DUMMYFUNCTION("""COMPUTED_VALUE"""),-0.728056581725733)</f>
        <v>-0.72805658172573295</v>
      </c>
      <c r="MV15" s="3">
        <f ca="1">IFERROR(__xludf.DUMMYFUNCTION("""COMPUTED_VALUE"""),-0.69999139882029)</f>
        <v>-0.69999139882029005</v>
      </c>
      <c r="MW15" s="3">
        <f ca="1">IFERROR(__xludf.DUMMYFUNCTION("""COMPUTED_VALUE"""),-0.70005072297686)</f>
        <v>-0.70005072297686</v>
      </c>
      <c r="MX15" s="3">
        <f ca="1">IFERROR(__xludf.DUMMYFUNCTION("""COMPUTED_VALUE"""),-0.72669100081091)</f>
        <v>-0.72669100081090998</v>
      </c>
      <c r="MY15" s="3">
        <f ca="1">IFERROR(__xludf.DUMMYFUNCTION("""COMPUTED_VALUE"""),-0.73694291096045)</f>
        <v>-0.73694291096044995</v>
      </c>
      <c r="MZ15" s="3">
        <f ca="1">IFERROR(__xludf.DUMMYFUNCTION("""COMPUTED_VALUE"""),-0.750919848254967)</f>
        <v>-0.75091984825496705</v>
      </c>
      <c r="NA15" s="3">
        <f ca="1">IFERROR(__xludf.DUMMYFUNCTION("""COMPUTED_VALUE"""),-0.753377662107454)</f>
        <v>-0.75337766210745405</v>
      </c>
      <c r="NB15" s="3">
        <f ca="1">IFERROR(__xludf.DUMMYFUNCTION("""COMPUTED_VALUE"""),-0.755810974014168)</f>
        <v>-0.75581097401416797</v>
      </c>
      <c r="NC15" s="3">
        <f ca="1">IFERROR(__xludf.DUMMYFUNCTION("""COMPUTED_VALUE"""),-0.718108669064227)</f>
        <v>-0.71810866906422699</v>
      </c>
      <c r="ND15" s="3">
        <f ca="1">IFERROR(__xludf.DUMMYFUNCTION("""COMPUTED_VALUE"""),-0.699682060360234)</f>
        <v>-0.69968206036023395</v>
      </c>
      <c r="NE15" s="3">
        <f ca="1">IFERROR(__xludf.DUMMYFUNCTION("""COMPUTED_VALUE"""),-0.702999861374284)</f>
        <v>-0.70299986137428405</v>
      </c>
      <c r="NF15" s="3">
        <f ca="1">IFERROR(__xludf.DUMMYFUNCTION("""COMPUTED_VALUE"""),-0.712449864200194)</f>
        <v>-0.71244986420019396</v>
      </c>
      <c r="NG15" s="3">
        <f ca="1">IFERROR(__xludf.DUMMYFUNCTION("""COMPUTED_VALUE"""),-0.726890457593187)</f>
        <v>-0.72689045759318704</v>
      </c>
      <c r="NH15" s="3">
        <f ca="1">IFERROR(__xludf.DUMMYFUNCTION("""COMPUTED_VALUE"""),-0.763276493742083)</f>
        <v>-0.76327649374208295</v>
      </c>
      <c r="NI15" s="3">
        <f ca="1">IFERROR(__xludf.DUMMYFUNCTION("""COMPUTED_VALUE"""),-0.74632341273669)</f>
        <v>-0.74632341273669001</v>
      </c>
      <c r="NJ15" s="3">
        <f ca="1">IFERROR(__xludf.DUMMYFUNCTION("""COMPUTED_VALUE"""),-0.761908247240278)</f>
        <v>-0.76190824724027795</v>
      </c>
      <c r="NK15" s="3">
        <f ca="1">IFERROR(__xludf.DUMMYFUNCTION("""COMPUTED_VALUE"""),-0.744996877478589)</f>
        <v>-0.744996877478589</v>
      </c>
      <c r="NL15" s="3">
        <f ca="1">IFERROR(__xludf.DUMMYFUNCTION("""COMPUTED_VALUE"""),-0.740493353456626)</f>
        <v>-0.74049335345662604</v>
      </c>
      <c r="NM15" s="3">
        <f ca="1">IFERROR(__xludf.DUMMYFUNCTION("""COMPUTED_VALUE"""),-0.750507927091357)</f>
        <v>-0.75050792709135705</v>
      </c>
      <c r="NN15" s="3">
        <f ca="1">IFERROR(__xludf.DUMMYFUNCTION("""COMPUTED_VALUE"""),-0.719950940049405)</f>
        <v>-0.71995094004940496</v>
      </c>
      <c r="NO15" s="3">
        <f ca="1">IFERROR(__xludf.DUMMYFUNCTION("""COMPUTED_VALUE"""),-0.734294738700331)</f>
        <v>-0.73429473870033102</v>
      </c>
      <c r="NP15" s="3">
        <f ca="1">IFERROR(__xludf.DUMMYFUNCTION("""COMPUTED_VALUE"""),-0.749916546530204)</f>
        <v>-0.74991654653020401</v>
      </c>
      <c r="NQ15" s="3">
        <f ca="1">IFERROR(__xludf.DUMMYFUNCTION("""COMPUTED_VALUE"""),-0.769805208833597)</f>
        <v>-0.76980520883359704</v>
      </c>
      <c r="NR15" s="3">
        <f ca="1">IFERROR(__xludf.DUMMYFUNCTION("""COMPUTED_VALUE"""),-0.719589833575218)</f>
        <v>-0.719589833575218</v>
      </c>
      <c r="NS15" s="3">
        <f ca="1">IFERROR(__xludf.DUMMYFUNCTION("""COMPUTED_VALUE"""),-0.713225937983247)</f>
        <v>-0.71322593798324696</v>
      </c>
      <c r="NT15" s="3">
        <f ca="1">IFERROR(__xludf.DUMMYFUNCTION("""COMPUTED_VALUE"""),-0.756620965325369)</f>
        <v>-0.75662096532536904</v>
      </c>
      <c r="NU15" s="3">
        <f ca="1">IFERROR(__xludf.DUMMYFUNCTION("""COMPUTED_VALUE"""),-0.770738992603277)</f>
        <v>-0.77073899260327705</v>
      </c>
      <c r="NV15" s="3">
        <f ca="1">IFERROR(__xludf.DUMMYFUNCTION("""COMPUTED_VALUE"""),-0.752765580408969)</f>
        <v>-0.75276558040896902</v>
      </c>
      <c r="NW15" s="3">
        <f ca="1">IFERROR(__xludf.DUMMYFUNCTION("""COMPUTED_VALUE"""),-0.706282703357342)</f>
        <v>-0.706282703357342</v>
      </c>
      <c r="NX15" s="3">
        <f ca="1">IFERROR(__xludf.DUMMYFUNCTION("""COMPUTED_VALUE"""),-0.720697047375227)</f>
        <v>-0.720697047375227</v>
      </c>
      <c r="NY15" s="3">
        <f ca="1">IFERROR(__xludf.DUMMYFUNCTION("""COMPUTED_VALUE"""),-0.629199386497173)</f>
        <v>-0.629199386497173</v>
      </c>
      <c r="NZ15" s="3">
        <f ca="1">IFERROR(__xludf.DUMMYFUNCTION("""COMPUTED_VALUE"""),-0.660177086138676)</f>
        <v>-0.66017708613867598</v>
      </c>
      <c r="OA15" s="3">
        <f ca="1">IFERROR(__xludf.DUMMYFUNCTION("""COMPUTED_VALUE"""),-0.600636695381669)</f>
        <v>-0.60063669538166897</v>
      </c>
      <c r="OB15" s="3">
        <f ca="1">IFERROR(__xludf.DUMMYFUNCTION("""COMPUTED_VALUE"""),-0.601978062534813)</f>
        <v>-0.60197806253481301</v>
      </c>
      <c r="OC15" s="3">
        <f ca="1">IFERROR(__xludf.DUMMYFUNCTION("""COMPUTED_VALUE"""),-0.518428431462977)</f>
        <v>-0.51842843146297701</v>
      </c>
      <c r="OD15" s="3">
        <f ca="1">IFERROR(__xludf.DUMMYFUNCTION("""COMPUTED_VALUE"""),-0.389560084292135)</f>
        <v>-0.38956008429213501</v>
      </c>
      <c r="OE15" s="3">
        <f ca="1">IFERROR(__xludf.DUMMYFUNCTION("""COMPUTED_VALUE"""),-0.349982104784195)</f>
        <v>-0.349982104784195</v>
      </c>
      <c r="OF15" s="3">
        <f ca="1">IFERROR(__xludf.DUMMYFUNCTION("""COMPUTED_VALUE"""),-0.339566483168906)</f>
        <v>-0.33956648316890597</v>
      </c>
      <c r="OG15" s="3">
        <f ca="1">IFERROR(__xludf.DUMMYFUNCTION("""COMPUTED_VALUE"""),-0.272204872363948)</f>
        <v>-0.27220487236394802</v>
      </c>
      <c r="OH15" s="3">
        <f ca="1">IFERROR(__xludf.DUMMYFUNCTION("""COMPUTED_VALUE"""),-0.0725695891796318)</f>
        <v>-7.2569589179631799E-2</v>
      </c>
      <c r="OI15" s="3">
        <f ca="1">IFERROR(__xludf.DUMMYFUNCTION("""COMPUTED_VALUE"""),0.0481551184850901)</f>
        <v>4.8155118485090097E-2</v>
      </c>
      <c r="OJ15" s="3">
        <f ca="1">IFERROR(__xludf.DUMMYFUNCTION("""COMPUTED_VALUE"""),-0.00744235898419831)</f>
        <v>-7.4423589841983101E-3</v>
      </c>
      <c r="OK15" s="3">
        <f ca="1">IFERROR(__xludf.DUMMYFUNCTION("""COMPUTED_VALUE"""),-0.0360643908402572)</f>
        <v>-3.6064390840257199E-2</v>
      </c>
      <c r="OL15" s="3">
        <f ca="1">IFERROR(__xludf.DUMMYFUNCTION("""COMPUTED_VALUE"""),-0.0638541510906083)</f>
        <v>-6.3854151090608297E-2</v>
      </c>
      <c r="OM15" s="3">
        <f ca="1">IFERROR(__xludf.DUMMYFUNCTION("""COMPUTED_VALUE"""),-0.134696392583547)</f>
        <v>-0.13469639258354699</v>
      </c>
      <c r="ON15" s="3">
        <f ca="1">IFERROR(__xludf.DUMMYFUNCTION("""COMPUTED_VALUE"""),-0.110546836758216)</f>
        <v>-0.110546836758216</v>
      </c>
      <c r="OO15" s="3">
        <f ca="1">IFERROR(__xludf.DUMMYFUNCTION("""COMPUTED_VALUE"""),0.0270284254836414)</f>
        <v>2.70284254836414E-2</v>
      </c>
      <c r="OP15" s="3">
        <f ca="1">IFERROR(__xludf.DUMMYFUNCTION("""COMPUTED_VALUE"""),0.0585193133816024)</f>
        <v>5.8519313381602399E-2</v>
      </c>
      <c r="OQ15" s="3">
        <f ca="1">IFERROR(__xludf.DUMMYFUNCTION("""COMPUTED_VALUE"""),0.0661949625286268)</f>
        <v>6.6194962528626805E-2</v>
      </c>
      <c r="OR15" s="3">
        <f ca="1">IFERROR(__xludf.DUMMYFUNCTION("""COMPUTED_VALUE"""),-0.0329028052179513)</f>
        <v>-3.2902805217951303E-2</v>
      </c>
      <c r="OS15" s="3">
        <f ca="1">IFERROR(__xludf.DUMMYFUNCTION("""COMPUTED_VALUE"""),-0.0954932982967062)</f>
        <v>-9.5493298296706206E-2</v>
      </c>
      <c r="OT15" s="3">
        <f ca="1">IFERROR(__xludf.DUMMYFUNCTION("""COMPUTED_VALUE"""),-0.00874595694000479)</f>
        <v>-8.7459569400047902E-3</v>
      </c>
      <c r="OU15" s="3">
        <f ca="1">IFERROR(__xludf.DUMMYFUNCTION("""COMPUTED_VALUE"""),0.0247367277636489)</f>
        <v>2.4736727763648901E-2</v>
      </c>
      <c r="OV15" s="3">
        <f ca="1">IFERROR(__xludf.DUMMYFUNCTION("""COMPUTED_VALUE"""),0.0758997186396455)</f>
        <v>7.5899718639645494E-2</v>
      </c>
      <c r="OW15" s="3">
        <f ca="1">IFERROR(__xludf.DUMMYFUNCTION("""COMPUTED_VALUE"""),0.144945501948965)</f>
        <v>0.14494550194896499</v>
      </c>
      <c r="OX15" s="3">
        <f ca="1">IFERROR(__xludf.DUMMYFUNCTION("""COMPUTED_VALUE"""),0.173679189256943)</f>
        <v>0.17367918925694301</v>
      </c>
      <c r="OY15" s="3">
        <f ca="1">IFERROR(__xludf.DUMMYFUNCTION("""COMPUTED_VALUE"""),0.0852310079741049)</f>
        <v>8.5231007974104905E-2</v>
      </c>
      <c r="OZ15" s="3">
        <f ca="1">IFERROR(__xludf.DUMMYFUNCTION("""COMPUTED_VALUE"""),-0.0467289937279474)</f>
        <v>-4.67289937279474E-2</v>
      </c>
      <c r="PA15" s="3">
        <f ca="1">IFERROR(__xludf.DUMMYFUNCTION("""COMPUTED_VALUE"""),-0.135626988733028)</f>
        <v>-0.135626988733028</v>
      </c>
      <c r="PB15" s="3">
        <f ca="1">IFERROR(__xludf.DUMMYFUNCTION("""COMPUTED_VALUE"""),-0.0993210298278225)</f>
        <v>-9.9321029827822496E-2</v>
      </c>
      <c r="PC15" s="3">
        <f ca="1">IFERROR(__xludf.DUMMYFUNCTION("""COMPUTED_VALUE"""),-0.0997613242686494)</f>
        <v>-9.9761324268649407E-2</v>
      </c>
      <c r="PD15" s="3">
        <f ca="1">IFERROR(__xludf.DUMMYFUNCTION("""COMPUTED_VALUE"""),-0.025179568643719)</f>
        <v>-2.5179568643719001E-2</v>
      </c>
      <c r="PE15" s="3">
        <f ca="1">IFERROR(__xludf.DUMMYFUNCTION("""COMPUTED_VALUE"""),0.102421178430432)</f>
        <v>0.102421178430432</v>
      </c>
      <c r="PF15" s="3">
        <f ca="1">IFERROR(__xludf.DUMMYFUNCTION("""COMPUTED_VALUE"""),0.191917951086339)</f>
        <v>0.19191795108633899</v>
      </c>
      <c r="PG15" s="3">
        <f ca="1">IFERROR(__xludf.DUMMYFUNCTION("""COMPUTED_VALUE"""),-0.11747030356964)</f>
        <v>-0.11747030356964</v>
      </c>
      <c r="PH15" s="3">
        <f ca="1">IFERROR(__xludf.DUMMYFUNCTION("""COMPUTED_VALUE"""),-0.000558399769533091)</f>
        <v>-5.5839976953309101E-4</v>
      </c>
      <c r="PI15" s="3">
        <f ca="1">IFERROR(__xludf.DUMMYFUNCTION("""COMPUTED_VALUE"""),-0.0265689811989371)</f>
        <v>-2.6568981198937101E-2</v>
      </c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</row>
    <row r="16" spans="1:477" ht="15.75" customHeight="1">
      <c r="A16" s="1" t="str">
        <f ca="1">IFERROR(__xludf.DUMMYFUNCTION("""COMPUTED_VALUE"""),"CARTA")</f>
        <v>CARTA</v>
      </c>
      <c r="B16" s="1" t="str">
        <f ca="1">IFERROR(__xludf.DUMMYFUNCTION("""COMPUTED_VALUE"""),"Charleston")</f>
        <v>Charleston</v>
      </c>
      <c r="C16" s="1" t="str">
        <f ca="1">IFERROR(__xludf.DUMMYFUNCTION("""COMPUTED_VALUE"""),"United States")</f>
        <v>United States</v>
      </c>
      <c r="D16" s="1" t="str">
        <f ca="1">IFERROR(__xludf.DUMMYFUNCTION("""COMPUTED_VALUE"""),"South Carolina")</f>
        <v>South Carolina</v>
      </c>
      <c r="E16" s="3">
        <f ca="1">IFERROR(__xludf.DUMMYFUNCTION("""COMPUTED_VALUE"""),-0.387205278810565)</f>
        <v>-0.38720527881056499</v>
      </c>
      <c r="F16" s="3">
        <f ca="1">IFERROR(__xludf.DUMMYFUNCTION("""COMPUTED_VALUE"""),-0.424398729172767)</f>
        <v>-0.424398729172767</v>
      </c>
      <c r="G16" s="3">
        <f ca="1">IFERROR(__xludf.DUMMYFUNCTION("""COMPUTED_VALUE"""),-0.496869857202574)</f>
        <v>-0.49686985720257398</v>
      </c>
      <c r="H16" s="3">
        <f ca="1">IFERROR(__xludf.DUMMYFUNCTION("""COMPUTED_VALUE"""),-0.524854211626963)</f>
        <v>-0.524854211626963</v>
      </c>
      <c r="I16" s="3">
        <f ca="1">IFERROR(__xludf.DUMMYFUNCTION("""COMPUTED_VALUE"""),-0.514079820398899)</f>
        <v>-0.51407982039889899</v>
      </c>
      <c r="J16" s="3">
        <f ca="1">IFERROR(__xludf.DUMMYFUNCTION("""COMPUTED_VALUE"""),-0.489905164845808)</f>
        <v>-0.48990516484580798</v>
      </c>
      <c r="K16" s="3">
        <f ca="1">IFERROR(__xludf.DUMMYFUNCTION("""COMPUTED_VALUE"""),-0.492038369514332)</f>
        <v>-0.492038369514332</v>
      </c>
      <c r="L16" s="3">
        <f ca="1">IFERROR(__xludf.DUMMYFUNCTION("""COMPUTED_VALUE"""),-0.378790754915365)</f>
        <v>-0.37879075491536501</v>
      </c>
      <c r="M16" s="3">
        <f ca="1">IFERROR(__xludf.DUMMYFUNCTION("""COMPUTED_VALUE"""),-0.436276395746861)</f>
        <v>-0.436276395746861</v>
      </c>
      <c r="N16" s="3">
        <f ca="1">IFERROR(__xludf.DUMMYFUNCTION("""COMPUTED_VALUE"""),-0.496293051033715)</f>
        <v>-0.49629305103371502</v>
      </c>
      <c r="O16" s="3">
        <f ca="1">IFERROR(__xludf.DUMMYFUNCTION("""COMPUTED_VALUE"""),-0.516169898372223)</f>
        <v>-0.51616989837222305</v>
      </c>
      <c r="P16" s="3">
        <f ca="1">IFERROR(__xludf.DUMMYFUNCTION("""COMPUTED_VALUE"""),-0.511916540552236)</f>
        <v>-0.51191654055223601</v>
      </c>
      <c r="Q16" s="3">
        <f ca="1">IFERROR(__xludf.DUMMYFUNCTION("""COMPUTED_VALUE"""),-0.492762265795411)</f>
        <v>-0.49276226579541099</v>
      </c>
      <c r="R16" s="3">
        <f ca="1">IFERROR(__xludf.DUMMYFUNCTION("""COMPUTED_VALUE"""),-0.396917757540327)</f>
        <v>-0.39691775754032699</v>
      </c>
      <c r="S16" s="3">
        <f ca="1">IFERROR(__xludf.DUMMYFUNCTION("""COMPUTED_VALUE"""),-0.366471321236569)</f>
        <v>-0.366471321236569</v>
      </c>
      <c r="T16" s="3">
        <f ca="1">IFERROR(__xludf.DUMMYFUNCTION("""COMPUTED_VALUE"""),-0.444293841676495)</f>
        <v>-0.44429384167649499</v>
      </c>
      <c r="U16" s="3">
        <f ca="1">IFERROR(__xludf.DUMMYFUNCTION("""COMPUTED_VALUE"""),-0.475236942157847)</f>
        <v>-0.47523694215784701</v>
      </c>
      <c r="V16" s="3">
        <f ca="1">IFERROR(__xludf.DUMMYFUNCTION("""COMPUTED_VALUE"""),-0.557533869338722)</f>
        <v>-0.55753386933872195</v>
      </c>
      <c r="W16" s="3">
        <f ca="1">IFERROR(__xludf.DUMMYFUNCTION("""COMPUTED_VALUE"""),-0.467408579660968)</f>
        <v>-0.46740857966096799</v>
      </c>
      <c r="X16" s="3">
        <f ca="1">IFERROR(__xludf.DUMMYFUNCTION("""COMPUTED_VALUE"""),-0.483435166377153)</f>
        <v>-0.483435166377153</v>
      </c>
      <c r="Y16" s="3">
        <f ca="1">IFERROR(__xludf.DUMMYFUNCTION("""COMPUTED_VALUE"""),-0.476974706661336)</f>
        <v>-0.47697470666133601</v>
      </c>
      <c r="Z16" s="3">
        <f ca="1">IFERROR(__xludf.DUMMYFUNCTION("""COMPUTED_VALUE"""),-0.446670923810523)</f>
        <v>-0.44667092381052298</v>
      </c>
      <c r="AA16" s="3">
        <f ca="1">IFERROR(__xludf.DUMMYFUNCTION("""COMPUTED_VALUE"""),-0.468144881773685)</f>
        <v>-0.46814488177368502</v>
      </c>
      <c r="AB16" s="3">
        <f ca="1">IFERROR(__xludf.DUMMYFUNCTION("""COMPUTED_VALUE"""),-0.567814508718917)</f>
        <v>-0.56781450871891703</v>
      </c>
      <c r="AC16" s="3">
        <f ca="1">IFERROR(__xludf.DUMMYFUNCTION("""COMPUTED_VALUE"""),-0.540114763421944)</f>
        <v>-0.54011476342194398</v>
      </c>
      <c r="AD16" s="3">
        <f ca="1">IFERROR(__xludf.DUMMYFUNCTION("""COMPUTED_VALUE"""),-0.528155148820554)</f>
        <v>-0.52815514882055403</v>
      </c>
      <c r="AE16" s="3">
        <f ca="1">IFERROR(__xludf.DUMMYFUNCTION("""COMPUTED_VALUE"""),-0.481606161761038)</f>
        <v>-0.48160616176103799</v>
      </c>
      <c r="AF16" s="3">
        <f ca="1">IFERROR(__xludf.DUMMYFUNCTION("""COMPUTED_VALUE"""),-0.398293576378037)</f>
        <v>-0.39829357637803697</v>
      </c>
      <c r="AG16" s="3">
        <f ca="1">IFERROR(__xludf.DUMMYFUNCTION("""COMPUTED_VALUE"""),-0.334596902741071)</f>
        <v>-0.33459690274107101</v>
      </c>
      <c r="AH16" s="3">
        <f ca="1">IFERROR(__xludf.DUMMYFUNCTION("""COMPUTED_VALUE"""),-0.432922303731751)</f>
        <v>-0.432922303731751</v>
      </c>
      <c r="AI16" s="3">
        <f ca="1">IFERROR(__xludf.DUMMYFUNCTION("""COMPUTED_VALUE"""),-0.49780723798867)</f>
        <v>-0.49780723798866999</v>
      </c>
      <c r="AJ16" s="3">
        <f ca="1">IFERROR(__xludf.DUMMYFUNCTION("""COMPUTED_VALUE"""),-0.479686564698442)</f>
        <v>-0.47968656469844201</v>
      </c>
      <c r="AK16" s="3">
        <f ca="1">IFERROR(__xludf.DUMMYFUNCTION("""COMPUTED_VALUE"""),-0.553307182082393)</f>
        <v>-0.55330718208239305</v>
      </c>
      <c r="AL16" s="3">
        <f ca="1">IFERROR(__xludf.DUMMYFUNCTION("""COMPUTED_VALUE"""),-0.527681212255401)</f>
        <v>-0.52768121225540099</v>
      </c>
      <c r="AM16" s="3">
        <f ca="1">IFERROR(__xludf.DUMMYFUNCTION("""COMPUTED_VALUE"""),-0.2824467611605)</f>
        <v>-0.28244676116049999</v>
      </c>
      <c r="AN16" s="3">
        <f ca="1">IFERROR(__xludf.DUMMYFUNCTION("""COMPUTED_VALUE"""),-0.44628181142406)</f>
        <v>-0.44628181142405998</v>
      </c>
      <c r="AO16" s="3">
        <f ca="1">IFERROR(__xludf.DUMMYFUNCTION("""COMPUTED_VALUE"""),-0.526170572340291)</f>
        <v>-0.52617057234029097</v>
      </c>
      <c r="AP16" s="3">
        <f ca="1">IFERROR(__xludf.DUMMYFUNCTION("""COMPUTED_VALUE"""),-0.578923737680508)</f>
        <v>-0.57892373768050798</v>
      </c>
      <c r="AQ16" s="3">
        <f ca="1">IFERROR(__xludf.DUMMYFUNCTION("""COMPUTED_VALUE"""),-0.580904868787268)</f>
        <v>-0.58090486878726799</v>
      </c>
      <c r="AR16" s="3">
        <f ca="1">IFERROR(__xludf.DUMMYFUNCTION("""COMPUTED_VALUE"""),-0.591427774688246)</f>
        <v>-0.59142777468824603</v>
      </c>
      <c r="AS16" s="3">
        <f ca="1">IFERROR(__xludf.DUMMYFUNCTION("""COMPUTED_VALUE"""),-0.549666422399654)</f>
        <v>-0.54966642239965402</v>
      </c>
      <c r="AT16" s="3">
        <f ca="1">IFERROR(__xludf.DUMMYFUNCTION("""COMPUTED_VALUE"""),-0.404164948254701)</f>
        <v>-0.40416494825470101</v>
      </c>
      <c r="AU16" s="3">
        <f ca="1">IFERROR(__xludf.DUMMYFUNCTION("""COMPUTED_VALUE"""),-0.338054678974323)</f>
        <v>-0.33805467897432301</v>
      </c>
      <c r="AV16" s="3">
        <f ca="1">IFERROR(__xludf.DUMMYFUNCTION("""COMPUTED_VALUE"""),-0.497005672462556)</f>
        <v>-0.497005672462556</v>
      </c>
      <c r="AW16" s="3">
        <f ca="1">IFERROR(__xludf.DUMMYFUNCTION("""COMPUTED_VALUE"""),-0.561706488302903)</f>
        <v>-0.56170648830290304</v>
      </c>
      <c r="AX16" s="3">
        <f ca="1">IFERROR(__xludf.DUMMYFUNCTION("""COMPUTED_VALUE"""),-0.567193925935969)</f>
        <v>-0.56719392593596896</v>
      </c>
      <c r="AY16" s="3">
        <f ca="1">IFERROR(__xludf.DUMMYFUNCTION("""COMPUTED_VALUE"""),-0.569935676323124)</f>
        <v>-0.56993567632312403</v>
      </c>
      <c r="AZ16" s="3">
        <f ca="1">IFERROR(__xludf.DUMMYFUNCTION("""COMPUTED_VALUE"""),-0.556582841755337)</f>
        <v>-0.55658284175533701</v>
      </c>
      <c r="BA16" s="3">
        <f ca="1">IFERROR(__xludf.DUMMYFUNCTION("""COMPUTED_VALUE"""),-0.476026273527583)</f>
        <v>-0.47602627352758298</v>
      </c>
      <c r="BB16" s="3">
        <f ca="1">IFERROR(__xludf.DUMMYFUNCTION("""COMPUTED_VALUE"""),-0.459578257851035)</f>
        <v>-0.45957825785103501</v>
      </c>
      <c r="BC16" s="3">
        <f ca="1">IFERROR(__xludf.DUMMYFUNCTION("""COMPUTED_VALUE"""),-0.641384960730031)</f>
        <v>-0.64138496073003104</v>
      </c>
      <c r="BD16" s="3">
        <f ca="1">IFERROR(__xludf.DUMMYFUNCTION("""COMPUTED_VALUE"""),-0.595812356862034)</f>
        <v>-0.59581235686203404</v>
      </c>
      <c r="BE16" s="3">
        <f ca="1">IFERROR(__xludf.DUMMYFUNCTION("""COMPUTED_VALUE"""),-0.576327787895849)</f>
        <v>-0.57632778789584904</v>
      </c>
      <c r="BF16" s="3">
        <f ca="1">IFERROR(__xludf.DUMMYFUNCTION("""COMPUTED_VALUE"""),-0.528728547786902)</f>
        <v>-0.52872854778690204</v>
      </c>
      <c r="BG16" s="3">
        <f ca="1">IFERROR(__xludf.DUMMYFUNCTION("""COMPUTED_VALUE"""),-0.564823401518049)</f>
        <v>-0.564823401518049</v>
      </c>
      <c r="BH16" s="3">
        <f ca="1">IFERROR(__xludf.DUMMYFUNCTION("""COMPUTED_VALUE"""),-0.494873971932614)</f>
        <v>-0.49487397193261401</v>
      </c>
      <c r="BI16" s="3">
        <f ca="1">IFERROR(__xludf.DUMMYFUNCTION("""COMPUTED_VALUE"""),-0.531550379313018)</f>
        <v>-0.53155037931301796</v>
      </c>
      <c r="BJ16" s="3">
        <f ca="1">IFERROR(__xludf.DUMMYFUNCTION("""COMPUTED_VALUE"""),-0.552163720947602)</f>
        <v>-0.55216372094760202</v>
      </c>
      <c r="BK16" s="3">
        <f ca="1">IFERROR(__xludf.DUMMYFUNCTION("""COMPUTED_VALUE"""),-0.616377391199188)</f>
        <v>-0.616377391199188</v>
      </c>
      <c r="BL16" s="3">
        <f ca="1">IFERROR(__xludf.DUMMYFUNCTION("""COMPUTED_VALUE"""),-0.622011581651987)</f>
        <v>-0.622011581651987</v>
      </c>
      <c r="BM16" s="3">
        <f ca="1">IFERROR(__xludf.DUMMYFUNCTION("""COMPUTED_VALUE"""),-0.603935366413769)</f>
        <v>-0.60393536641376899</v>
      </c>
      <c r="BN16" s="3">
        <f ca="1">IFERROR(__xludf.DUMMYFUNCTION("""COMPUTED_VALUE"""),-0.518122580084857)</f>
        <v>-0.51812258008485701</v>
      </c>
      <c r="BO16" s="3">
        <f ca="1">IFERROR(__xludf.DUMMYFUNCTION("""COMPUTED_VALUE"""),-0.524527051472753)</f>
        <v>-0.52452705147275303</v>
      </c>
      <c r="BP16" s="3">
        <f ca="1">IFERROR(__xludf.DUMMYFUNCTION("""COMPUTED_VALUE"""),-0.571975580581115)</f>
        <v>-0.57197558058111497</v>
      </c>
      <c r="BQ16" s="3">
        <f ca="1">IFERROR(__xludf.DUMMYFUNCTION("""COMPUTED_VALUE"""),-0.588366729164461)</f>
        <v>-0.58836672916446098</v>
      </c>
      <c r="BR16" s="3">
        <f ca="1">IFERROR(__xludf.DUMMYFUNCTION("""COMPUTED_VALUE"""),-0.585849725890182)</f>
        <v>-0.58584972589018203</v>
      </c>
      <c r="BS16" s="3">
        <f ca="1">IFERROR(__xludf.DUMMYFUNCTION("""COMPUTED_VALUE"""),-0.624804355998325)</f>
        <v>-0.62480435599832496</v>
      </c>
      <c r="BT16" s="3">
        <f ca="1">IFERROR(__xludf.DUMMYFUNCTION("""COMPUTED_VALUE"""),-0.615724225849307)</f>
        <v>-0.61572422584930697</v>
      </c>
      <c r="BU16" s="3">
        <f ca="1">IFERROR(__xludf.DUMMYFUNCTION("""COMPUTED_VALUE"""),-0.549470155094139)</f>
        <v>-0.54947015509413899</v>
      </c>
      <c r="BV16" s="3">
        <f ca="1">IFERROR(__xludf.DUMMYFUNCTION("""COMPUTED_VALUE"""),-0.549278218571307)</f>
        <v>-0.54927821857130699</v>
      </c>
      <c r="BW16" s="3">
        <f ca="1">IFERROR(__xludf.DUMMYFUNCTION("""COMPUTED_VALUE"""),-0.446846020098714)</f>
        <v>-0.44684602009871399</v>
      </c>
      <c r="BX16" s="3">
        <f ca="1">IFERROR(__xludf.DUMMYFUNCTION("""COMPUTED_VALUE"""),-0.542477371268545)</f>
        <v>-0.54247737126854501</v>
      </c>
      <c r="BY16" s="3">
        <f ca="1">IFERROR(__xludf.DUMMYFUNCTION("""COMPUTED_VALUE"""),-0.598354201497584)</f>
        <v>-0.598354201497584</v>
      </c>
      <c r="BZ16" s="3">
        <f ca="1">IFERROR(__xludf.DUMMYFUNCTION("""COMPUTED_VALUE"""),-0.639880124196232)</f>
        <v>-0.63988012419623197</v>
      </c>
      <c r="CA16" s="3">
        <f ca="1">IFERROR(__xludf.DUMMYFUNCTION("""COMPUTED_VALUE"""),-0.57499419824027)</f>
        <v>-0.57499419824026998</v>
      </c>
      <c r="CB16" s="3">
        <f ca="1">IFERROR(__xludf.DUMMYFUNCTION("""COMPUTED_VALUE"""),-0.462599116721107)</f>
        <v>-0.46259911672110698</v>
      </c>
      <c r="CC16" s="3">
        <f ca="1">IFERROR(__xludf.DUMMYFUNCTION("""COMPUTED_VALUE"""),-0.522886828564382)</f>
        <v>-0.52288682856438196</v>
      </c>
      <c r="CD16" s="3">
        <f ca="1">IFERROR(__xludf.DUMMYFUNCTION("""COMPUTED_VALUE"""),-0.4297156441656)</f>
        <v>-0.42971564416559999</v>
      </c>
      <c r="CE16" s="3">
        <f ca="1">IFERROR(__xludf.DUMMYFUNCTION("""COMPUTED_VALUE"""),-0.553354879220765)</f>
        <v>-0.55335487922076498</v>
      </c>
      <c r="CF16" s="3">
        <f ca="1">IFERROR(__xludf.DUMMYFUNCTION("""COMPUTED_VALUE"""),-0.620033514080935)</f>
        <v>-0.62003351408093499</v>
      </c>
      <c r="CG16" s="3">
        <f ca="1">IFERROR(__xludf.DUMMYFUNCTION("""COMPUTED_VALUE"""),-0.601086683879589)</f>
        <v>-0.60108668387958897</v>
      </c>
      <c r="CH16" s="3">
        <f ca="1">IFERROR(__xludf.DUMMYFUNCTION("""COMPUTED_VALUE"""),-0.599415678508922)</f>
        <v>-0.59941567850892197</v>
      </c>
      <c r="CI16" s="3">
        <f ca="1">IFERROR(__xludf.DUMMYFUNCTION("""COMPUTED_VALUE"""),-0.46301045631989)</f>
        <v>-0.46301045631989002</v>
      </c>
      <c r="CJ16" s="3">
        <f ca="1">IFERROR(__xludf.DUMMYFUNCTION("""COMPUTED_VALUE"""),-0.472898047783883)</f>
        <v>-0.472898047783883</v>
      </c>
      <c r="CK16" s="3">
        <f ca="1">IFERROR(__xludf.DUMMYFUNCTION("""COMPUTED_VALUE"""),-0.431185282886484)</f>
        <v>-0.431185282886484</v>
      </c>
      <c r="CL16" s="3">
        <f ca="1">IFERROR(__xludf.DUMMYFUNCTION("""COMPUTED_VALUE"""),-0.555231948844908)</f>
        <v>-0.55523194884490801</v>
      </c>
      <c r="CM16" s="3">
        <f ca="1">IFERROR(__xludf.DUMMYFUNCTION("""COMPUTED_VALUE"""),-0.581517869369756)</f>
        <v>-0.58151786936975602</v>
      </c>
      <c r="CN16" s="3">
        <f ca="1">IFERROR(__xludf.DUMMYFUNCTION("""COMPUTED_VALUE"""),-0.598461971039732)</f>
        <v>-0.59846197103973198</v>
      </c>
      <c r="CO16" s="3">
        <f ca="1">IFERROR(__xludf.DUMMYFUNCTION("""COMPUTED_VALUE"""),-0.56528695943327)</f>
        <v>-0.56528695943327001</v>
      </c>
      <c r="CP16" s="3">
        <f ca="1">IFERROR(__xludf.DUMMYFUNCTION("""COMPUTED_VALUE"""),-0.499737142233179)</f>
        <v>-0.499737142233179</v>
      </c>
      <c r="CQ16" s="3">
        <f ca="1">IFERROR(__xludf.DUMMYFUNCTION("""COMPUTED_VALUE"""),-0.428760615183307)</f>
        <v>-0.42876061518330699</v>
      </c>
      <c r="CR16" s="3">
        <f ca="1">IFERROR(__xludf.DUMMYFUNCTION("""COMPUTED_VALUE"""),-0.39811118736135)</f>
        <v>-0.39811118736134998</v>
      </c>
      <c r="CS16" s="3">
        <f ca="1">IFERROR(__xludf.DUMMYFUNCTION("""COMPUTED_VALUE"""),-0.596507805431279)</f>
        <v>-0.59650780543127901</v>
      </c>
      <c r="CT16" s="3">
        <f ca="1">IFERROR(__xludf.DUMMYFUNCTION("""COMPUTED_VALUE"""),-0.565542334529215)</f>
        <v>-0.56554233452921499</v>
      </c>
      <c r="CU16" s="3">
        <f ca="1">IFERROR(__xludf.DUMMYFUNCTION("""COMPUTED_VALUE"""),-0.527459883884471)</f>
        <v>-0.52745988388447096</v>
      </c>
      <c r="CV16" s="3">
        <f ca="1">IFERROR(__xludf.DUMMYFUNCTION("""COMPUTED_VALUE"""),-0.529469490974548)</f>
        <v>-0.52946949097454798</v>
      </c>
      <c r="CW16" s="3">
        <f ca="1">IFERROR(__xludf.DUMMYFUNCTION("""COMPUTED_VALUE"""),-0.569317401923088)</f>
        <v>-0.569317401923088</v>
      </c>
      <c r="CX16" s="3">
        <f ca="1">IFERROR(__xludf.DUMMYFUNCTION("""COMPUTED_VALUE"""),-0.530898945056565)</f>
        <v>-0.53089894505656499</v>
      </c>
      <c r="CY16" s="3">
        <f ca="1">IFERROR(__xludf.DUMMYFUNCTION("""COMPUTED_VALUE"""),-0.438312957916481)</f>
        <v>-0.43831295791648101</v>
      </c>
      <c r="CZ16" s="3">
        <f ca="1">IFERROR(__xludf.DUMMYFUNCTION("""COMPUTED_VALUE"""),-0.649501320339608)</f>
        <v>-0.64950132033960795</v>
      </c>
      <c r="DA16" s="3">
        <f ca="1">IFERROR(__xludf.DUMMYFUNCTION("""COMPUTED_VALUE"""),-0.538857260619099)</f>
        <v>-0.538857260619099</v>
      </c>
      <c r="DB16" s="3">
        <f ca="1">IFERROR(__xludf.DUMMYFUNCTION("""COMPUTED_VALUE"""),-0.325324481882613)</f>
        <v>-0.32532448188261298</v>
      </c>
      <c r="DC16" s="3">
        <f ca="1">IFERROR(__xludf.DUMMYFUNCTION("""COMPUTED_VALUE"""),-0.430394598636599)</f>
        <v>-0.43039459863659901</v>
      </c>
      <c r="DD16" s="3">
        <f ca="1">IFERROR(__xludf.DUMMYFUNCTION("""COMPUTED_VALUE"""),-0.480213343272305)</f>
        <v>-0.48021334327230503</v>
      </c>
      <c r="DE16" s="3">
        <f ca="1">IFERROR(__xludf.DUMMYFUNCTION("""COMPUTED_VALUE"""),-0.384346822396808)</f>
        <v>-0.38434682239680801</v>
      </c>
      <c r="DF16" s="3">
        <f ca="1">IFERROR(__xludf.DUMMYFUNCTION("""COMPUTED_VALUE"""),-0.473116834801601)</f>
        <v>-0.47311683480160099</v>
      </c>
      <c r="DG16" s="3">
        <f ca="1">IFERROR(__xludf.DUMMYFUNCTION("""COMPUTED_VALUE"""),-0.866385926357181)</f>
        <v>-0.86638592635718104</v>
      </c>
      <c r="DH16" s="3">
        <f ca="1">IFERROR(__xludf.DUMMYFUNCTION("""COMPUTED_VALUE"""),-0.531218056416676)</f>
        <v>-0.53121805641667597</v>
      </c>
      <c r="DI16" s="3">
        <f ca="1">IFERROR(__xludf.DUMMYFUNCTION("""COMPUTED_VALUE"""),-0.198579438061147)</f>
        <v>-0.198579438061147</v>
      </c>
      <c r="DJ16" s="3">
        <f ca="1">IFERROR(__xludf.DUMMYFUNCTION("""COMPUTED_VALUE"""),-0.43292704879986)</f>
        <v>-0.43292704879985999</v>
      </c>
      <c r="DK16" s="3">
        <f ca="1">IFERROR(__xludf.DUMMYFUNCTION("""COMPUTED_VALUE"""),-0.363837395957842)</f>
        <v>-0.36383739595784198</v>
      </c>
      <c r="DL16" s="3">
        <f ca="1">IFERROR(__xludf.DUMMYFUNCTION("""COMPUTED_VALUE"""),-0.451300653407708)</f>
        <v>-0.45130065340770797</v>
      </c>
      <c r="DM16" s="3">
        <f ca="1">IFERROR(__xludf.DUMMYFUNCTION("""COMPUTED_VALUE"""),-0.390862790850715)</f>
        <v>-0.39086279085071501</v>
      </c>
      <c r="DN16" s="3">
        <f ca="1">IFERROR(__xludf.DUMMYFUNCTION("""COMPUTED_VALUE"""),-0.456659530620714)</f>
        <v>-0.45665953062071402</v>
      </c>
      <c r="DO16" s="3">
        <f ca="1">IFERROR(__xludf.DUMMYFUNCTION("""COMPUTED_VALUE"""),-0.530683597529752)</f>
        <v>-0.53068359752975203</v>
      </c>
      <c r="DP16" s="3">
        <f ca="1">IFERROR(__xludf.DUMMYFUNCTION("""COMPUTED_VALUE"""),-0.440181461223478)</f>
        <v>-0.44018146122347801</v>
      </c>
      <c r="DQ16" s="3">
        <f ca="1">IFERROR(__xludf.DUMMYFUNCTION("""COMPUTED_VALUE"""),-0.486782370441203)</f>
        <v>-0.48678237044120298</v>
      </c>
      <c r="DR16" s="3">
        <f ca="1">IFERROR(__xludf.DUMMYFUNCTION("""COMPUTED_VALUE"""),-0.513050437064317)</f>
        <v>-0.51305043706431697</v>
      </c>
      <c r="DS16" s="3">
        <f ca="1">IFERROR(__xludf.DUMMYFUNCTION("""COMPUTED_VALUE"""),-0.437536035719707)</f>
        <v>-0.43753603571970701</v>
      </c>
      <c r="DT16" s="3">
        <f ca="1">IFERROR(__xludf.DUMMYFUNCTION("""COMPUTED_VALUE"""),-0.491869887983815)</f>
        <v>-0.49186988798381498</v>
      </c>
      <c r="DU16" s="3">
        <f ca="1">IFERROR(__xludf.DUMMYFUNCTION("""COMPUTED_VALUE"""),-0.509003291640725)</f>
        <v>-0.509003291640725</v>
      </c>
      <c r="DV16" s="3">
        <f ca="1">IFERROR(__xludf.DUMMYFUNCTION("""COMPUTED_VALUE"""),-0.570664502870985)</f>
        <v>-0.57066450287098502</v>
      </c>
      <c r="DW16" s="3">
        <f ca="1">IFERROR(__xludf.DUMMYFUNCTION("""COMPUTED_VALUE"""),-0.566068625576631)</f>
        <v>-0.56606862557663096</v>
      </c>
      <c r="DX16" s="3">
        <f ca="1">IFERROR(__xludf.DUMMYFUNCTION("""COMPUTED_VALUE"""),-0.562549632113831)</f>
        <v>-0.56254963211383102</v>
      </c>
      <c r="DY16" s="3">
        <f ca="1">IFERROR(__xludf.DUMMYFUNCTION("""COMPUTED_VALUE"""),-0.553483673806342)</f>
        <v>-0.553483673806342</v>
      </c>
      <c r="DZ16" s="3">
        <f ca="1">IFERROR(__xludf.DUMMYFUNCTION("""COMPUTED_VALUE"""),-0.519555073026729)</f>
        <v>-0.51955507302672899</v>
      </c>
      <c r="EA16" s="3">
        <f ca="1">IFERROR(__xludf.DUMMYFUNCTION("""COMPUTED_VALUE"""),-0.451629858577442)</f>
        <v>-0.45162985857744198</v>
      </c>
      <c r="EB16" s="3">
        <f ca="1">IFERROR(__xludf.DUMMYFUNCTION("""COMPUTED_VALUE"""),-0.481957958449767)</f>
        <v>-0.48195795844976702</v>
      </c>
      <c r="EC16" s="3">
        <f ca="1">IFERROR(__xludf.DUMMYFUNCTION("""COMPUTED_VALUE"""),-0.475906468982161)</f>
        <v>-0.47590646898216099</v>
      </c>
      <c r="ED16" s="3">
        <f ca="1">IFERROR(__xludf.DUMMYFUNCTION("""COMPUTED_VALUE"""),-0.494821455858704)</f>
        <v>-0.49482145585870402</v>
      </c>
      <c r="EE16" s="3">
        <f ca="1">IFERROR(__xludf.DUMMYFUNCTION("""COMPUTED_VALUE"""),-0.570129236730341)</f>
        <v>-0.57012923673034099</v>
      </c>
      <c r="EF16" s="3">
        <f ca="1">IFERROR(__xludf.DUMMYFUNCTION("""COMPUTED_VALUE"""),-0.585634731959798)</f>
        <v>-0.58563473195979798</v>
      </c>
      <c r="EG16" s="3">
        <f ca="1">IFERROR(__xludf.DUMMYFUNCTION("""COMPUTED_VALUE"""),-0.488652794814737)</f>
        <v>-0.488652794814737</v>
      </c>
      <c r="EH16" s="3">
        <f ca="1">IFERROR(__xludf.DUMMYFUNCTION("""COMPUTED_VALUE"""),-0.504848435695244)</f>
        <v>-0.50484843569524396</v>
      </c>
      <c r="EI16" s="3">
        <f ca="1">IFERROR(__xludf.DUMMYFUNCTION("""COMPUTED_VALUE"""),-0.551671605399519)</f>
        <v>-0.55167160539951898</v>
      </c>
      <c r="EJ16" s="3">
        <f ca="1">IFERROR(__xludf.DUMMYFUNCTION("""COMPUTED_VALUE"""),-0.781458243808039)</f>
        <v>-0.78145824380803897</v>
      </c>
      <c r="EK16" s="3">
        <f ca="1">IFERROR(__xludf.DUMMYFUNCTION("""COMPUTED_VALUE"""),-0.552833375582124)</f>
        <v>-0.55283337558212398</v>
      </c>
      <c r="EL16" s="3">
        <f ca="1">IFERROR(__xludf.DUMMYFUNCTION("""COMPUTED_VALUE"""),-0.540448285352256)</f>
        <v>-0.54044828535225597</v>
      </c>
      <c r="EM16" s="3">
        <f ca="1">IFERROR(__xludf.DUMMYFUNCTION("""COMPUTED_VALUE"""),-0.561482000719252)</f>
        <v>-0.56148200071925203</v>
      </c>
      <c r="EN16" s="3">
        <f ca="1">IFERROR(__xludf.DUMMYFUNCTION("""COMPUTED_VALUE"""),-0.451100245536802)</f>
        <v>-0.451100245536802</v>
      </c>
      <c r="EO16" s="3">
        <f ca="1">IFERROR(__xludf.DUMMYFUNCTION("""COMPUTED_VALUE"""),-0.394060112377462)</f>
        <v>-0.39406011237746202</v>
      </c>
      <c r="EP16" s="3">
        <f ca="1">IFERROR(__xludf.DUMMYFUNCTION("""COMPUTED_VALUE"""),-0.473619963684651)</f>
        <v>-0.47361996368465098</v>
      </c>
      <c r="EQ16" s="3">
        <f ca="1">IFERROR(__xludf.DUMMYFUNCTION("""COMPUTED_VALUE"""),-0.493750864230732)</f>
        <v>-0.493750864230732</v>
      </c>
      <c r="ER16" s="3">
        <f ca="1">IFERROR(__xludf.DUMMYFUNCTION("""COMPUTED_VALUE"""),-0.523921492108127)</f>
        <v>-0.523921492108127</v>
      </c>
      <c r="ES16" s="3">
        <f ca="1">IFERROR(__xludf.DUMMYFUNCTION("""COMPUTED_VALUE"""),-0.588541919402552)</f>
        <v>-0.58854191940255196</v>
      </c>
      <c r="ET16" s="3">
        <f ca="1">IFERROR(__xludf.DUMMYFUNCTION("""COMPUTED_VALUE"""),-0.552163246207418)</f>
        <v>-0.55216324620741797</v>
      </c>
      <c r="EU16" s="3">
        <f ca="1">IFERROR(__xludf.DUMMYFUNCTION("""COMPUTED_VALUE"""),-0.344841997555686)</f>
        <v>-0.34484199755568601</v>
      </c>
      <c r="EV16" s="3">
        <f ca="1">IFERROR(__xludf.DUMMYFUNCTION("""COMPUTED_VALUE"""),-0.357577694958748)</f>
        <v>-0.35757769495874803</v>
      </c>
      <c r="EW16" s="3">
        <f ca="1">IFERROR(__xludf.DUMMYFUNCTION("""COMPUTED_VALUE"""),-0.518693555719916)</f>
        <v>-0.51869355571991604</v>
      </c>
      <c r="EX16" s="3">
        <f ca="1">IFERROR(__xludf.DUMMYFUNCTION("""COMPUTED_VALUE"""),-0.626789787295623)</f>
        <v>-0.62678978729562296</v>
      </c>
      <c r="EY16" s="3">
        <f ca="1">IFERROR(__xludf.DUMMYFUNCTION("""COMPUTED_VALUE"""),-0.623824455952798)</f>
        <v>-0.62382445595279801</v>
      </c>
      <c r="EZ16" s="3">
        <f ca="1">IFERROR(__xludf.DUMMYFUNCTION("""COMPUTED_VALUE"""),-0.537366275117959)</f>
        <v>-0.53736627511795898</v>
      </c>
      <c r="FA16" s="3">
        <f ca="1">IFERROR(__xludf.DUMMYFUNCTION("""COMPUTED_VALUE"""),-0.547393461105347)</f>
        <v>-0.54739346110534703</v>
      </c>
      <c r="FB16" s="3">
        <f ca="1">IFERROR(__xludf.DUMMYFUNCTION("""COMPUTED_VALUE"""),-0.461893610823705)</f>
        <v>-0.461893610823705</v>
      </c>
      <c r="FC16" s="3">
        <f ca="1">IFERROR(__xludf.DUMMYFUNCTION("""COMPUTED_VALUE"""),-0.415629619021115)</f>
        <v>-0.415629619021115</v>
      </c>
      <c r="FD16" s="3">
        <f ca="1">IFERROR(__xludf.DUMMYFUNCTION("""COMPUTED_VALUE"""),-0.556200327364116)</f>
        <v>-0.55620032736411595</v>
      </c>
      <c r="FE16" s="3">
        <f ca="1">IFERROR(__xludf.DUMMYFUNCTION("""COMPUTED_VALUE"""),-0.627886094460217)</f>
        <v>-0.62788609446021704</v>
      </c>
      <c r="FF16" s="3">
        <f ca="1">IFERROR(__xludf.DUMMYFUNCTION("""COMPUTED_VALUE"""),-0.615036071723155)</f>
        <v>-0.615036071723155</v>
      </c>
      <c r="FG16" s="3">
        <f ca="1">IFERROR(__xludf.DUMMYFUNCTION("""COMPUTED_VALUE"""),-0.593939756024753)</f>
        <v>-0.59393975602475302</v>
      </c>
      <c r="FH16" s="3">
        <f ca="1">IFERROR(__xludf.DUMMYFUNCTION("""COMPUTED_VALUE"""),-0.559400105086566)</f>
        <v>-0.55940010508656601</v>
      </c>
      <c r="FI16" s="3">
        <f ca="1">IFERROR(__xludf.DUMMYFUNCTION("""COMPUTED_VALUE"""),-0.574054366901079)</f>
        <v>-0.57405436690107903</v>
      </c>
      <c r="FJ16" s="3">
        <f ca="1">IFERROR(__xludf.DUMMYFUNCTION("""COMPUTED_VALUE"""),-0.441562430306103)</f>
        <v>-0.44156243030610298</v>
      </c>
      <c r="FK16" s="3">
        <f ca="1">IFERROR(__xludf.DUMMYFUNCTION("""COMPUTED_VALUE"""),-0.567521073516232)</f>
        <v>-0.56752107351623204</v>
      </c>
      <c r="FL16" s="3">
        <f ca="1">IFERROR(__xludf.DUMMYFUNCTION("""COMPUTED_VALUE"""),-0.602451444943757)</f>
        <v>-0.60245144494375702</v>
      </c>
      <c r="FM16" s="3">
        <f ca="1">IFERROR(__xludf.DUMMYFUNCTION("""COMPUTED_VALUE"""),-0.584619657812225)</f>
        <v>-0.58461965781222502</v>
      </c>
      <c r="FN16" s="3">
        <f ca="1">IFERROR(__xludf.DUMMYFUNCTION("""COMPUTED_VALUE"""),-0.579809231463601)</f>
        <v>-0.57980923146360097</v>
      </c>
      <c r="FO16" s="3">
        <f ca="1">IFERROR(__xludf.DUMMYFUNCTION("""COMPUTED_VALUE"""),-0.549244504225405)</f>
        <v>-0.54924450422540505</v>
      </c>
      <c r="FP16" s="3">
        <f ca="1">IFERROR(__xludf.DUMMYFUNCTION("""COMPUTED_VALUE"""),-0.549718065542186)</f>
        <v>-0.54971806554218605</v>
      </c>
      <c r="FQ16" s="3">
        <f ca="1">IFERROR(__xludf.DUMMYFUNCTION("""COMPUTED_VALUE"""),-0.339019508681712)</f>
        <v>-0.33901950868171199</v>
      </c>
      <c r="FR16" s="3">
        <f ca="1">IFERROR(__xludf.DUMMYFUNCTION("""COMPUTED_VALUE"""),-0.554508829358729)</f>
        <v>-0.55450882935872903</v>
      </c>
      <c r="FS16" s="3">
        <f ca="1">IFERROR(__xludf.DUMMYFUNCTION("""COMPUTED_VALUE"""),-0.558257650611675)</f>
        <v>-0.55825765061167498</v>
      </c>
      <c r="FT16" s="3">
        <f ca="1">IFERROR(__xludf.DUMMYFUNCTION("""COMPUTED_VALUE"""),-0.553738592171244)</f>
        <v>-0.55373859217124399</v>
      </c>
      <c r="FU16" s="3">
        <f ca="1">IFERROR(__xludf.DUMMYFUNCTION("""COMPUTED_VALUE"""),-0.556035432257743)</f>
        <v>-0.55603543225774299</v>
      </c>
      <c r="FV16" s="3">
        <f ca="1">IFERROR(__xludf.DUMMYFUNCTION("""COMPUTED_VALUE"""),-0.530907938282863)</f>
        <v>-0.53090793828286298</v>
      </c>
      <c r="FW16" s="3">
        <f ca="1">IFERROR(__xludf.DUMMYFUNCTION("""COMPUTED_VALUE"""),-0.50764617701732)</f>
        <v>-0.50764617701731996</v>
      </c>
      <c r="FX16" s="3">
        <f ca="1">IFERROR(__xludf.DUMMYFUNCTION("""COMPUTED_VALUE"""),-0.359736239122688)</f>
        <v>-0.35973623912268798</v>
      </c>
      <c r="FY16" s="3">
        <f ca="1">IFERROR(__xludf.DUMMYFUNCTION("""COMPUTED_VALUE"""),-0.523803052767152)</f>
        <v>-0.523803052767152</v>
      </c>
      <c r="FZ16" s="3">
        <f ca="1">IFERROR(__xludf.DUMMYFUNCTION("""COMPUTED_VALUE"""),-0.548102856406977)</f>
        <v>-0.54810285640697698</v>
      </c>
      <c r="GA16" s="3">
        <f ca="1">IFERROR(__xludf.DUMMYFUNCTION("""COMPUTED_VALUE"""),-0.497671775008923)</f>
        <v>-0.49767177500892301</v>
      </c>
      <c r="GB16" s="3">
        <f ca="1">IFERROR(__xludf.DUMMYFUNCTION("""COMPUTED_VALUE"""),-0.559786289541376)</f>
        <v>-0.55978628954137599</v>
      </c>
      <c r="GC16" s="3">
        <f ca="1">IFERROR(__xludf.DUMMYFUNCTION("""COMPUTED_VALUE"""),-0.570810256321265)</f>
        <v>-0.57081025632126503</v>
      </c>
      <c r="GD16" s="3">
        <f ca="1">IFERROR(__xludf.DUMMYFUNCTION("""COMPUTED_VALUE"""),-0.497934504200531)</f>
        <v>-0.49793450420053098</v>
      </c>
      <c r="GE16" s="3">
        <f ca="1">IFERROR(__xludf.DUMMYFUNCTION("""COMPUTED_VALUE"""),-0.41151081991141)</f>
        <v>-0.41151081991140998</v>
      </c>
      <c r="GF16" s="3">
        <f ca="1">IFERROR(__xludf.DUMMYFUNCTION("""COMPUTED_VALUE"""),-0.548753571706234)</f>
        <v>-0.54875357170623396</v>
      </c>
      <c r="GG16" s="3">
        <f ca="1">IFERROR(__xludf.DUMMYFUNCTION("""COMPUTED_VALUE"""),-0.523673627760239)</f>
        <v>-0.52367362776023896</v>
      </c>
      <c r="GH16" s="3">
        <f ca="1">IFERROR(__xludf.DUMMYFUNCTION("""COMPUTED_VALUE"""),-0.541740321304919)</f>
        <v>-0.541740321304919</v>
      </c>
      <c r="GI16" s="3">
        <f ca="1">IFERROR(__xludf.DUMMYFUNCTION("""COMPUTED_VALUE"""),-0.582447368721556)</f>
        <v>-0.582447368721556</v>
      </c>
      <c r="GJ16" s="3">
        <f ca="1">IFERROR(__xludf.DUMMYFUNCTION("""COMPUTED_VALUE"""),-0.545508183455519)</f>
        <v>-0.54550818345551899</v>
      </c>
      <c r="GK16" s="3">
        <f ca="1">IFERROR(__xludf.DUMMYFUNCTION("""COMPUTED_VALUE"""),-0.544300828695952)</f>
        <v>-0.54430082869595198</v>
      </c>
      <c r="GL16" s="3">
        <f ca="1">IFERROR(__xludf.DUMMYFUNCTION("""COMPUTED_VALUE"""),-0.428621224368892)</f>
        <v>-0.428621224368892</v>
      </c>
      <c r="GM16" s="3">
        <f ca="1">IFERROR(__xludf.DUMMYFUNCTION("""COMPUTED_VALUE"""),-0.563679540707023)</f>
        <v>-0.56367954070702297</v>
      </c>
      <c r="GN16" s="3">
        <f ca="1">IFERROR(__xludf.DUMMYFUNCTION("""COMPUTED_VALUE"""),-0.586805562548776)</f>
        <v>-0.58680556254877603</v>
      </c>
      <c r="GO16" s="3">
        <f ca="1">IFERROR(__xludf.DUMMYFUNCTION("""COMPUTED_VALUE"""),-0.598666879410358)</f>
        <v>-0.59866687941035801</v>
      </c>
      <c r="GP16" s="3">
        <f ca="1">IFERROR(__xludf.DUMMYFUNCTION("""COMPUTED_VALUE"""),-0.546927245930012)</f>
        <v>-0.54692724593001196</v>
      </c>
      <c r="GQ16" s="3">
        <f ca="1">IFERROR(__xludf.DUMMYFUNCTION("""COMPUTED_VALUE"""),-0.61667619566455)</f>
        <v>-0.61667619566455001</v>
      </c>
      <c r="GR16" s="3">
        <f ca="1">IFERROR(__xludf.DUMMYFUNCTION("""COMPUTED_VALUE"""),-0.508162045651056)</f>
        <v>-0.50816204565105605</v>
      </c>
      <c r="GS16" s="3">
        <f ca="1">IFERROR(__xludf.DUMMYFUNCTION("""COMPUTED_VALUE"""),-0.491742728454924)</f>
        <v>-0.49174272845492401</v>
      </c>
      <c r="GT16" s="3">
        <f ca="1">IFERROR(__xludf.DUMMYFUNCTION("""COMPUTED_VALUE"""),-0.553579792225318)</f>
        <v>-0.55357979222531795</v>
      </c>
      <c r="GU16" s="3">
        <f ca="1">IFERROR(__xludf.DUMMYFUNCTION("""COMPUTED_VALUE"""),-0.585298176963071)</f>
        <v>-0.58529817696307096</v>
      </c>
      <c r="GV16" s="3">
        <f ca="1">IFERROR(__xludf.DUMMYFUNCTION("""COMPUTED_VALUE"""),-0.617089327231922)</f>
        <v>-0.617089327231922</v>
      </c>
      <c r="GW16" s="3">
        <f ca="1">IFERROR(__xludf.DUMMYFUNCTION("""COMPUTED_VALUE"""),-0.636912832611606)</f>
        <v>-0.63691283261160603</v>
      </c>
      <c r="GX16" s="3">
        <f ca="1">IFERROR(__xludf.DUMMYFUNCTION("""COMPUTED_VALUE"""),-0.576981708642195)</f>
        <v>-0.576981708642195</v>
      </c>
      <c r="GY16" s="3">
        <f ca="1">IFERROR(__xludf.DUMMYFUNCTION("""COMPUTED_VALUE"""),-0.481884813529928)</f>
        <v>-0.48188481352992801</v>
      </c>
      <c r="GZ16" s="3">
        <f ca="1">IFERROR(__xludf.DUMMYFUNCTION("""COMPUTED_VALUE"""),-0.568986757575528)</f>
        <v>-0.56898675757552797</v>
      </c>
      <c r="HA16" s="3">
        <f ca="1">IFERROR(__xludf.DUMMYFUNCTION("""COMPUTED_VALUE"""),-0.649010758853933)</f>
        <v>-0.649010758853933</v>
      </c>
      <c r="HB16" s="3">
        <f ca="1">IFERROR(__xludf.DUMMYFUNCTION("""COMPUTED_VALUE"""),-0.624982641844504)</f>
        <v>-0.62498264184450403</v>
      </c>
      <c r="HC16" s="3">
        <f ca="1">IFERROR(__xludf.DUMMYFUNCTION("""COMPUTED_VALUE"""),-0.630493675854579)</f>
        <v>-0.63049367585457905</v>
      </c>
      <c r="HD16" s="3">
        <f ca="1">IFERROR(__xludf.DUMMYFUNCTION("""COMPUTED_VALUE"""),-0.613654279796001)</f>
        <v>-0.61365427979600096</v>
      </c>
      <c r="HE16" s="3">
        <f ca="1">IFERROR(__xludf.DUMMYFUNCTION("""COMPUTED_VALUE"""),-0.551569700193982)</f>
        <v>-0.55156970019398199</v>
      </c>
      <c r="HF16" s="3">
        <f ca="1">IFERROR(__xludf.DUMMYFUNCTION("""COMPUTED_VALUE"""),-0.486599278055762)</f>
        <v>-0.48659927805576197</v>
      </c>
      <c r="HG16" s="3">
        <f ca="1">IFERROR(__xludf.DUMMYFUNCTION("""COMPUTED_VALUE"""),-0.497763517346136)</f>
        <v>-0.497763517346136</v>
      </c>
      <c r="HH16" s="3">
        <f ca="1">IFERROR(__xludf.DUMMYFUNCTION("""COMPUTED_VALUE"""),-0.499939160802399)</f>
        <v>-0.49993916080239897</v>
      </c>
      <c r="HI16" s="3">
        <f ca="1">IFERROR(__xludf.DUMMYFUNCTION("""COMPUTED_VALUE"""),-0.488664037927602)</f>
        <v>-0.48866403792760199</v>
      </c>
      <c r="HJ16" s="3">
        <f ca="1">IFERROR(__xludf.DUMMYFUNCTION("""COMPUTED_VALUE"""),-0.434494063243246)</f>
        <v>-0.43449406324324602</v>
      </c>
      <c r="HK16" s="3">
        <f ca="1">IFERROR(__xludf.DUMMYFUNCTION("""COMPUTED_VALUE"""),-0.528580478579328)</f>
        <v>-0.52858047857932799</v>
      </c>
      <c r="HL16" s="3">
        <f ca="1">IFERROR(__xludf.DUMMYFUNCTION("""COMPUTED_VALUE"""),-0.527640331590266)</f>
        <v>-0.52764033159026602</v>
      </c>
      <c r="HM16" s="3">
        <f ca="1">IFERROR(__xludf.DUMMYFUNCTION("""COMPUTED_VALUE"""),-0.493003583071175)</f>
        <v>-0.49300358307117498</v>
      </c>
      <c r="HN16" s="3">
        <f ca="1">IFERROR(__xludf.DUMMYFUNCTION("""COMPUTED_VALUE"""),-0.483101390627742)</f>
        <v>-0.48310139062774199</v>
      </c>
      <c r="HO16" s="3">
        <f ca="1">IFERROR(__xludf.DUMMYFUNCTION("""COMPUTED_VALUE"""),-0.519616503066446)</f>
        <v>-0.51961650306644602</v>
      </c>
      <c r="HP16" s="3">
        <f ca="1">IFERROR(__xludf.DUMMYFUNCTION("""COMPUTED_VALUE"""),-0.45002068115327)</f>
        <v>-0.45002068115326999</v>
      </c>
      <c r="HQ16" s="3">
        <f ca="1">IFERROR(__xludf.DUMMYFUNCTION("""COMPUTED_VALUE"""),-0.447780313888769)</f>
        <v>-0.44778031388876899</v>
      </c>
      <c r="HR16" s="3">
        <f ca="1">IFERROR(__xludf.DUMMYFUNCTION("""COMPUTED_VALUE"""),-0.49653063481024)</f>
        <v>-0.49653063481024001</v>
      </c>
      <c r="HS16" s="3">
        <f ca="1">IFERROR(__xludf.DUMMYFUNCTION("""COMPUTED_VALUE"""),-0.500237060891502)</f>
        <v>-0.50023706089150199</v>
      </c>
      <c r="HT16" s="3">
        <f ca="1">IFERROR(__xludf.DUMMYFUNCTION("""COMPUTED_VALUE"""),-0.448182755577468)</f>
        <v>-0.44818275557746801</v>
      </c>
      <c r="HU16" s="3">
        <f ca="1">IFERROR(__xludf.DUMMYFUNCTION("""COMPUTED_VALUE"""),-0.439459464733396)</f>
        <v>-0.43945946473339598</v>
      </c>
      <c r="HV16" s="3">
        <f ca="1">IFERROR(__xludf.DUMMYFUNCTION("""COMPUTED_VALUE"""),-0.556202043990986)</f>
        <v>-0.55620204399098605</v>
      </c>
      <c r="HW16" s="3">
        <f ca="1">IFERROR(__xludf.DUMMYFUNCTION("""COMPUTED_VALUE"""),-0.453835021738078)</f>
        <v>-0.45383502173807799</v>
      </c>
      <c r="HX16" s="3">
        <f ca="1">IFERROR(__xludf.DUMMYFUNCTION("""COMPUTED_VALUE"""),-0.49894489044577)</f>
        <v>-0.49894489044577001</v>
      </c>
      <c r="HY16" s="3">
        <f ca="1">IFERROR(__xludf.DUMMYFUNCTION("""COMPUTED_VALUE"""),-0.524388028879301)</f>
        <v>-0.52438802887930103</v>
      </c>
      <c r="HZ16" s="3">
        <f ca="1">IFERROR(__xludf.DUMMYFUNCTION("""COMPUTED_VALUE"""),-0.57418422389064)</f>
        <v>-0.57418422389064006</v>
      </c>
      <c r="IA16" s="3">
        <f ca="1">IFERROR(__xludf.DUMMYFUNCTION("""COMPUTED_VALUE"""),-0.508707895464506)</f>
        <v>-0.50870789546450601</v>
      </c>
      <c r="IB16" s="3">
        <f ca="1">IFERROR(__xludf.DUMMYFUNCTION("""COMPUTED_VALUE"""),-0.457992004937676)</f>
        <v>-0.457992004937676</v>
      </c>
      <c r="IC16" s="3">
        <f ca="1">IFERROR(__xludf.DUMMYFUNCTION("""COMPUTED_VALUE"""),-0.621492164926811)</f>
        <v>-0.62149216492681103</v>
      </c>
      <c r="ID16" s="3">
        <f ca="1">IFERROR(__xludf.DUMMYFUNCTION("""COMPUTED_VALUE"""),-0.636300728783876)</f>
        <v>-0.636300728783876</v>
      </c>
      <c r="IE16" s="3">
        <f ca="1">IFERROR(__xludf.DUMMYFUNCTION("""COMPUTED_VALUE"""),-0.68821370646323)</f>
        <v>-0.68821370646322999</v>
      </c>
      <c r="IF16" s="3">
        <f ca="1">IFERROR(__xludf.DUMMYFUNCTION("""COMPUTED_VALUE"""),-0.65668454823407)</f>
        <v>-0.65668454823406996</v>
      </c>
      <c r="IG16" s="3">
        <f ca="1">IFERROR(__xludf.DUMMYFUNCTION("""COMPUTED_VALUE"""),-0.602019743372714)</f>
        <v>-0.60201974337271402</v>
      </c>
      <c r="IH16" s="3">
        <f ca="1">IFERROR(__xludf.DUMMYFUNCTION("""COMPUTED_VALUE"""),-0.443979609800761)</f>
        <v>-0.44397960980076101</v>
      </c>
      <c r="II16" s="3">
        <f ca="1">IFERROR(__xludf.DUMMYFUNCTION("""COMPUTED_VALUE"""),-0.407487886086234)</f>
        <v>-0.40748788608623399</v>
      </c>
      <c r="IJ16" s="3">
        <f ca="1">IFERROR(__xludf.DUMMYFUNCTION("""COMPUTED_VALUE"""),-0.558867460278251)</f>
        <v>-0.55886746027825096</v>
      </c>
      <c r="IK16" s="3">
        <f ca="1">IFERROR(__xludf.DUMMYFUNCTION("""COMPUTED_VALUE"""),-0.633484965388876)</f>
        <v>-0.633484965388876</v>
      </c>
      <c r="IL16" s="3">
        <f ca="1">IFERROR(__xludf.DUMMYFUNCTION("""COMPUTED_VALUE"""),-0.65092829318919)</f>
        <v>-0.65092829318918999</v>
      </c>
      <c r="IM16" s="3">
        <f ca="1">IFERROR(__xludf.DUMMYFUNCTION("""COMPUTED_VALUE"""),-0.66333541747497)</f>
        <v>-0.66333541747497005</v>
      </c>
      <c r="IN16" s="3">
        <f ca="1">IFERROR(__xludf.DUMMYFUNCTION("""COMPUTED_VALUE"""),-0.605187500326524)</f>
        <v>-0.60518750032652402</v>
      </c>
      <c r="IO16" s="3">
        <f ca="1">IFERROR(__xludf.DUMMYFUNCTION("""COMPUTED_VALUE"""),-0.523324149158409)</f>
        <v>-0.52332414915840897</v>
      </c>
      <c r="IP16" s="3">
        <f ca="1">IFERROR(__xludf.DUMMYFUNCTION("""COMPUTED_VALUE"""),-0.469336305971416)</f>
        <v>-0.46933630597141601</v>
      </c>
      <c r="IQ16" s="3">
        <f ca="1">IFERROR(__xludf.DUMMYFUNCTION("""COMPUTED_VALUE"""),-0.491120108394326)</f>
        <v>-0.49112010839432602</v>
      </c>
      <c r="IR16" s="3">
        <f ca="1">IFERROR(__xludf.DUMMYFUNCTION("""COMPUTED_VALUE"""),-0.63431683662186)</f>
        <v>-0.63431683662186</v>
      </c>
      <c r="IS16" s="3">
        <f ca="1">IFERROR(__xludf.DUMMYFUNCTION("""COMPUTED_VALUE"""),-0.635079555992223)</f>
        <v>-0.63507955599222299</v>
      </c>
      <c r="IT16" s="3">
        <f ca="1">IFERROR(__xludf.DUMMYFUNCTION("""COMPUTED_VALUE"""),-0.593815918086273)</f>
        <v>-0.59381591808627299</v>
      </c>
      <c r="IU16" s="3">
        <f ca="1">IFERROR(__xludf.DUMMYFUNCTION("""COMPUTED_VALUE"""),-0.686559186651528)</f>
        <v>-0.68655918665152804</v>
      </c>
      <c r="IV16" s="3">
        <f ca="1">IFERROR(__xludf.DUMMYFUNCTION("""COMPUTED_VALUE"""),-0.519589247169666)</f>
        <v>-0.51958924716966604</v>
      </c>
      <c r="IW16" s="3">
        <f ca="1">IFERROR(__xludf.DUMMYFUNCTION("""COMPUTED_VALUE"""),-0.46593813732348)</f>
        <v>-0.46593813732348</v>
      </c>
      <c r="IX16" s="3">
        <f ca="1">IFERROR(__xludf.DUMMYFUNCTION("""COMPUTED_VALUE"""),-0.572878604118381)</f>
        <v>-0.57287860411838099</v>
      </c>
      <c r="IY16" s="3">
        <f ca="1">IFERROR(__xludf.DUMMYFUNCTION("""COMPUTED_VALUE"""),-0.55886058856732)</f>
        <v>-0.55886058856732002</v>
      </c>
      <c r="IZ16" s="3">
        <f ca="1">IFERROR(__xludf.DUMMYFUNCTION("""COMPUTED_VALUE"""),-0.601037658350812)</f>
        <v>-0.60103765835081202</v>
      </c>
      <c r="JA16" s="3">
        <f ca="1">IFERROR(__xludf.DUMMYFUNCTION("""COMPUTED_VALUE"""),-0.601922623031963)</f>
        <v>-0.60192262303196298</v>
      </c>
      <c r="JB16" s="3">
        <f ca="1">IFERROR(__xludf.DUMMYFUNCTION("""COMPUTED_VALUE"""),-0.588111514110117)</f>
        <v>-0.58811151411011697</v>
      </c>
      <c r="JC16" s="3">
        <f ca="1">IFERROR(__xludf.DUMMYFUNCTION("""COMPUTED_VALUE"""),-0.541216356485966)</f>
        <v>-0.541216356485966</v>
      </c>
      <c r="JD16" s="3">
        <f ca="1">IFERROR(__xludf.DUMMYFUNCTION("""COMPUTED_VALUE"""),-0.486734628675691)</f>
        <v>-0.48673462867569101</v>
      </c>
      <c r="JE16" s="3">
        <f ca="1">IFERROR(__xludf.DUMMYFUNCTION("""COMPUTED_VALUE"""),-0.527830649764351)</f>
        <v>-0.52783064976435101</v>
      </c>
      <c r="JF16" s="3">
        <f ca="1">IFERROR(__xludf.DUMMYFUNCTION("""COMPUTED_VALUE"""),-0.534864586803319)</f>
        <v>-0.53486458680331905</v>
      </c>
      <c r="JG16" s="3">
        <f ca="1">IFERROR(__xludf.DUMMYFUNCTION("""COMPUTED_VALUE"""),-0.570350176263773)</f>
        <v>-0.57035017626377305</v>
      </c>
      <c r="JH16" s="3">
        <f ca="1">IFERROR(__xludf.DUMMYFUNCTION("""COMPUTED_VALUE"""),-0.522682864950486)</f>
        <v>-0.52268286495048599</v>
      </c>
      <c r="JI16" s="3">
        <f ca="1">IFERROR(__xludf.DUMMYFUNCTION("""COMPUTED_VALUE"""),-0.577646648062879)</f>
        <v>-0.57764664806287902</v>
      </c>
      <c r="JJ16" s="3">
        <f ca="1">IFERROR(__xludf.DUMMYFUNCTION("""COMPUTED_VALUE"""),-0.541164759220558)</f>
        <v>-0.54116475922055796</v>
      </c>
      <c r="JK16" s="3">
        <f ca="1">IFERROR(__xludf.DUMMYFUNCTION("""COMPUTED_VALUE"""),-0.613163554955138)</f>
        <v>-0.61316355495513797</v>
      </c>
      <c r="JL16" s="3">
        <f ca="1">IFERROR(__xludf.DUMMYFUNCTION("""COMPUTED_VALUE"""),-0.56470286256832)</f>
        <v>-0.56470286256832003</v>
      </c>
      <c r="JM16" s="3">
        <f ca="1">IFERROR(__xludf.DUMMYFUNCTION("""COMPUTED_VALUE"""),-0.566331976325405)</f>
        <v>-0.566331976325405</v>
      </c>
      <c r="JN16" s="3">
        <f ca="1">IFERROR(__xludf.DUMMYFUNCTION("""COMPUTED_VALUE"""),-0.612811809079333)</f>
        <v>-0.61281180907933297</v>
      </c>
      <c r="JO16" s="3">
        <f ca="1">IFERROR(__xludf.DUMMYFUNCTION("""COMPUTED_VALUE"""),-0.58563101371063)</f>
        <v>-0.58563101371062998</v>
      </c>
      <c r="JP16" s="3">
        <f ca="1">IFERROR(__xludf.DUMMYFUNCTION("""COMPUTED_VALUE"""),-0.589320685488529)</f>
        <v>-0.58932068548852901</v>
      </c>
      <c r="JQ16" s="3">
        <f ca="1">IFERROR(__xludf.DUMMYFUNCTION("""COMPUTED_VALUE"""),-0.476688901427648)</f>
        <v>-0.47668890142764803</v>
      </c>
      <c r="JR16" s="3">
        <f ca="1">IFERROR(__xludf.DUMMYFUNCTION("""COMPUTED_VALUE"""),-0.487115313260775)</f>
        <v>-0.48711531326077501</v>
      </c>
      <c r="JS16" s="3">
        <f ca="1">IFERROR(__xludf.DUMMYFUNCTION("""COMPUTED_VALUE"""),-0.539368784070066)</f>
        <v>-0.53936878407006605</v>
      </c>
      <c r="JT16" s="3">
        <f ca="1">IFERROR(__xludf.DUMMYFUNCTION("""COMPUTED_VALUE"""),-0.495173710999592)</f>
        <v>-0.49517371099959201</v>
      </c>
      <c r="JU16" s="3">
        <f ca="1">IFERROR(__xludf.DUMMYFUNCTION("""COMPUTED_VALUE"""),-0.570373000376317)</f>
        <v>-0.570373000376317</v>
      </c>
      <c r="JV16" s="3">
        <f ca="1">IFERROR(__xludf.DUMMYFUNCTION("""COMPUTED_VALUE"""),-0.639717238242649)</f>
        <v>-0.63971723824264903</v>
      </c>
      <c r="JW16" s="3">
        <f ca="1">IFERROR(__xludf.DUMMYFUNCTION("""COMPUTED_VALUE"""),-0.590149623227155)</f>
        <v>-0.59014962322715503</v>
      </c>
      <c r="JX16" s="3">
        <f ca="1">IFERROR(__xludf.DUMMYFUNCTION("""COMPUTED_VALUE"""),-0.491440371578731)</f>
        <v>-0.49144037157873099</v>
      </c>
      <c r="JY16" s="3">
        <f ca="1">IFERROR(__xludf.DUMMYFUNCTION("""COMPUTED_VALUE"""),-0.455065303736994)</f>
        <v>-0.455065303736994</v>
      </c>
      <c r="JZ16" s="3">
        <f ca="1">IFERROR(__xludf.DUMMYFUNCTION("""COMPUTED_VALUE"""),-0.493099198367716)</f>
        <v>-0.49309919836771599</v>
      </c>
      <c r="KA16" s="3">
        <f ca="1">IFERROR(__xludf.DUMMYFUNCTION("""COMPUTED_VALUE"""),-0.498088156696856)</f>
        <v>-0.49808815669685602</v>
      </c>
      <c r="KB16" s="3">
        <f ca="1">IFERROR(__xludf.DUMMYFUNCTION("""COMPUTED_VALUE"""),-0.54184956859995)</f>
        <v>-0.54184956859995004</v>
      </c>
      <c r="KC16" s="3">
        <f ca="1">IFERROR(__xludf.DUMMYFUNCTION("""COMPUTED_VALUE"""),-0.590616211147293)</f>
        <v>-0.59061621114729301</v>
      </c>
      <c r="KD16" s="3">
        <f ca="1">IFERROR(__xludf.DUMMYFUNCTION("""COMPUTED_VALUE"""),-0.541496535646883)</f>
        <v>-0.54149653564688305</v>
      </c>
      <c r="KE16" s="3">
        <f ca="1">IFERROR(__xludf.DUMMYFUNCTION("""COMPUTED_VALUE"""),-0.49768991271005)</f>
        <v>-0.49768991271004998</v>
      </c>
      <c r="KF16" s="3">
        <f ca="1">IFERROR(__xludf.DUMMYFUNCTION("""COMPUTED_VALUE"""),-0.525937422402924)</f>
        <v>-0.52593742240292396</v>
      </c>
      <c r="KG16" s="3">
        <f ca="1">IFERROR(__xludf.DUMMYFUNCTION("""COMPUTED_VALUE"""),-0.394725151813133)</f>
        <v>-0.394725151813133</v>
      </c>
      <c r="KH16" s="3">
        <f ca="1">IFERROR(__xludf.DUMMYFUNCTION("""COMPUTED_VALUE"""),-0.45885797481747)</f>
        <v>-0.45885797481746998</v>
      </c>
      <c r="KI16" s="3">
        <f ca="1">IFERROR(__xludf.DUMMYFUNCTION("""COMPUTED_VALUE"""),-0.529153514634405)</f>
        <v>-0.52915351463440496</v>
      </c>
      <c r="KJ16" s="3">
        <f ca="1">IFERROR(__xludf.DUMMYFUNCTION("""COMPUTED_VALUE"""),-0.539209206480528)</f>
        <v>-0.53920920648052795</v>
      </c>
      <c r="KK16" s="3">
        <f ca="1">IFERROR(__xludf.DUMMYFUNCTION("""COMPUTED_VALUE"""),-0.563394874633973)</f>
        <v>-0.56339487463397298</v>
      </c>
      <c r="KL16" s="3">
        <f ca="1">IFERROR(__xludf.DUMMYFUNCTION("""COMPUTED_VALUE"""),-0.375970019557475)</f>
        <v>-0.375970019557475</v>
      </c>
      <c r="KM16" s="3">
        <f ca="1">IFERROR(__xludf.DUMMYFUNCTION("""COMPUTED_VALUE"""),-0.434765526946505)</f>
        <v>-0.434765526946505</v>
      </c>
      <c r="KN16" s="3">
        <f ca="1">IFERROR(__xludf.DUMMYFUNCTION("""COMPUTED_VALUE"""),-0.516187564127728)</f>
        <v>-0.51618756412772804</v>
      </c>
      <c r="KO16" s="3">
        <f ca="1">IFERROR(__xludf.DUMMYFUNCTION("""COMPUTED_VALUE"""),-0.442562014603179)</f>
        <v>-0.44256201460317901</v>
      </c>
      <c r="KP16" s="3">
        <f ca="1">IFERROR(__xludf.DUMMYFUNCTION("""COMPUTED_VALUE"""),-0.557129839809488)</f>
        <v>-0.55712983980948805</v>
      </c>
      <c r="KQ16" s="3">
        <f ca="1">IFERROR(__xludf.DUMMYFUNCTION("""COMPUTED_VALUE"""),-0.500940119758605)</f>
        <v>-0.50094011975860497</v>
      </c>
      <c r="KR16" s="3">
        <f ca="1">IFERROR(__xludf.DUMMYFUNCTION("""COMPUTED_VALUE"""),-0.526623587682918)</f>
        <v>-0.52662358768291795</v>
      </c>
      <c r="KS16" s="3">
        <f ca="1">IFERROR(__xludf.DUMMYFUNCTION("""COMPUTED_VALUE"""),-0.549300093460731)</f>
        <v>-0.54930009346073105</v>
      </c>
      <c r="KT16" s="3">
        <f ca="1">IFERROR(__xludf.DUMMYFUNCTION("""COMPUTED_VALUE"""),-0.458767212723995)</f>
        <v>-0.45876721272399501</v>
      </c>
      <c r="KU16" s="3">
        <f ca="1">IFERROR(__xludf.DUMMYFUNCTION("""COMPUTED_VALUE"""),-0.522773608344127)</f>
        <v>-0.52277360834412701</v>
      </c>
      <c r="KV16" s="3">
        <f ca="1">IFERROR(__xludf.DUMMYFUNCTION("""COMPUTED_VALUE"""),-0.608858715335352)</f>
        <v>-0.60885871533535196</v>
      </c>
      <c r="KW16" s="3">
        <f ca="1">IFERROR(__xludf.DUMMYFUNCTION("""COMPUTED_VALUE"""),-0.586611989014488)</f>
        <v>-0.58661198901448797</v>
      </c>
      <c r="KX16" s="3">
        <f ca="1">IFERROR(__xludf.DUMMYFUNCTION("""COMPUTED_VALUE"""),-0.631994074238791)</f>
        <v>-0.63199407423879095</v>
      </c>
      <c r="KY16" s="3">
        <f ca="1">IFERROR(__xludf.DUMMYFUNCTION("""COMPUTED_VALUE"""),-0.617193009189048)</f>
        <v>-0.61719300918904796</v>
      </c>
      <c r="KZ16" s="3">
        <f ca="1">IFERROR(__xludf.DUMMYFUNCTION("""COMPUTED_VALUE"""),-0.519785948382046)</f>
        <v>-0.51978594838204595</v>
      </c>
      <c r="LA16" s="3">
        <f ca="1">IFERROR(__xludf.DUMMYFUNCTION("""COMPUTED_VALUE"""),-0.608134999815392)</f>
        <v>-0.60813499981539199</v>
      </c>
      <c r="LB16" s="3">
        <f ca="1">IFERROR(__xludf.DUMMYFUNCTION("""COMPUTED_VALUE"""),-0.601394617143896)</f>
        <v>-0.60139461714389597</v>
      </c>
      <c r="LC16" s="3">
        <f ca="1">IFERROR(__xludf.DUMMYFUNCTION("""COMPUTED_VALUE"""),-0.532976259793934)</f>
        <v>-0.53297625979393404</v>
      </c>
      <c r="LD16" s="3">
        <f ca="1">IFERROR(__xludf.DUMMYFUNCTION("""COMPUTED_VALUE"""),-0.495474564798561)</f>
        <v>-0.495474564798561</v>
      </c>
      <c r="LE16" s="3">
        <f ca="1">IFERROR(__xludf.DUMMYFUNCTION("""COMPUTED_VALUE"""),-0.616180914082582)</f>
        <v>-0.61618091408258202</v>
      </c>
      <c r="LF16" s="3">
        <f ca="1">IFERROR(__xludf.DUMMYFUNCTION("""COMPUTED_VALUE"""),-0.54009527002895)</f>
        <v>-0.54009527002894997</v>
      </c>
      <c r="LG16" s="3">
        <f ca="1">IFERROR(__xludf.DUMMYFUNCTION("""COMPUTED_VALUE"""),-0.617210188669293)</f>
        <v>-0.617210188669293</v>
      </c>
      <c r="LH16" s="3">
        <f ca="1">IFERROR(__xludf.DUMMYFUNCTION("""COMPUTED_VALUE"""),-0.48672203937527)</f>
        <v>-0.48672203937526998</v>
      </c>
      <c r="LI16" s="3">
        <f ca="1">IFERROR(__xludf.DUMMYFUNCTION("""COMPUTED_VALUE"""),-0.6041263172939)</f>
        <v>-0.60412631729389998</v>
      </c>
      <c r="LJ16" s="3">
        <f ca="1">IFERROR(__xludf.DUMMYFUNCTION("""COMPUTED_VALUE"""),-0.555872142633911)</f>
        <v>-0.55587214263391105</v>
      </c>
      <c r="LK16" s="3">
        <f ca="1">IFERROR(__xludf.DUMMYFUNCTION("""COMPUTED_VALUE"""),-0.678516074185077)</f>
        <v>-0.67851607418507698</v>
      </c>
      <c r="LL16" s="3">
        <f ca="1">IFERROR(__xludf.DUMMYFUNCTION("""COMPUTED_VALUE"""),-0.613751988850229)</f>
        <v>-0.61375198885022897</v>
      </c>
      <c r="LM16" s="3">
        <f ca="1">IFERROR(__xludf.DUMMYFUNCTION("""COMPUTED_VALUE"""),-0.673883511157109)</f>
        <v>-0.67388351115710898</v>
      </c>
      <c r="LN16" s="3">
        <f ca="1">IFERROR(__xludf.DUMMYFUNCTION("""COMPUTED_VALUE"""),-0.562261010776473)</f>
        <v>-0.56226101077647295</v>
      </c>
      <c r="LO16" s="3">
        <f ca="1">IFERROR(__xludf.DUMMYFUNCTION("""COMPUTED_VALUE"""),-0.560926109752912)</f>
        <v>-0.56092610975291202</v>
      </c>
      <c r="LP16" s="3">
        <f ca="1">IFERROR(__xludf.DUMMYFUNCTION("""COMPUTED_VALUE"""),-0.605539505235244)</f>
        <v>-0.60553950523524402</v>
      </c>
      <c r="LQ16" s="3">
        <f ca="1">IFERROR(__xludf.DUMMYFUNCTION("""COMPUTED_VALUE"""),-0.683871316980726)</f>
        <v>-0.68387131698072601</v>
      </c>
      <c r="LR16" s="3">
        <f ca="1">IFERROR(__xludf.DUMMYFUNCTION("""COMPUTED_VALUE"""),-0.686644805620043)</f>
        <v>-0.68664480562004304</v>
      </c>
      <c r="LS16" s="3">
        <f ca="1">IFERROR(__xludf.DUMMYFUNCTION("""COMPUTED_VALUE"""),-0.671622942071762)</f>
        <v>-0.67162294207176199</v>
      </c>
      <c r="LT16" s="3">
        <f ca="1">IFERROR(__xludf.DUMMYFUNCTION("""COMPUTED_VALUE"""),-0.583932473528818)</f>
        <v>-0.58393247352881805</v>
      </c>
      <c r="LU16" s="3">
        <f ca="1">IFERROR(__xludf.DUMMYFUNCTION("""COMPUTED_VALUE"""),-0.673595790119197)</f>
        <v>-0.67359579011919701</v>
      </c>
      <c r="LV16" s="3">
        <f ca="1">IFERROR(__xludf.DUMMYFUNCTION("""COMPUTED_VALUE"""),-0.629747747854455)</f>
        <v>-0.62974774785445498</v>
      </c>
      <c r="LW16" s="3">
        <f ca="1">IFERROR(__xludf.DUMMYFUNCTION("""COMPUTED_VALUE"""),-0.715260820707869)</f>
        <v>-0.71526082070786901</v>
      </c>
      <c r="LX16" s="3">
        <f ca="1">IFERROR(__xludf.DUMMYFUNCTION("""COMPUTED_VALUE"""),-0.656605770252397)</f>
        <v>-0.65660577025239697</v>
      </c>
      <c r="LY16" s="3">
        <f ca="1">IFERROR(__xludf.DUMMYFUNCTION("""COMPUTED_VALUE"""),-0.700438884963645)</f>
        <v>-0.70043888496364504</v>
      </c>
      <c r="LZ16" s="3">
        <f ca="1">IFERROR(__xludf.DUMMYFUNCTION("""COMPUTED_VALUE"""),-0.607414174338817)</f>
        <v>-0.60741417433881695</v>
      </c>
      <c r="MA16" s="3">
        <f ca="1">IFERROR(__xludf.DUMMYFUNCTION("""COMPUTED_VALUE"""),-0.565121983762485)</f>
        <v>-0.56512198376248501</v>
      </c>
      <c r="MB16" s="3">
        <f ca="1">IFERROR(__xludf.DUMMYFUNCTION("""COMPUTED_VALUE"""),-0.669309944400057)</f>
        <v>-0.66930994440005698</v>
      </c>
      <c r="MC16" s="3">
        <f ca="1">IFERROR(__xludf.DUMMYFUNCTION("""COMPUTED_VALUE"""),-0.617232035068275)</f>
        <v>-0.61723203506827495</v>
      </c>
      <c r="MD16" s="3">
        <f ca="1">IFERROR(__xludf.DUMMYFUNCTION("""COMPUTED_VALUE"""),-0.696778026758015)</f>
        <v>-0.69677802675801503</v>
      </c>
      <c r="ME16" s="3">
        <f ca="1">IFERROR(__xludf.DUMMYFUNCTION("""COMPUTED_VALUE"""),-0.764397508044263)</f>
        <v>-0.76439750804426299</v>
      </c>
      <c r="MF16" s="3">
        <f ca="1">IFERROR(__xludf.DUMMYFUNCTION("""COMPUTED_VALUE"""),-0.736116719569456)</f>
        <v>-0.73611671956945601</v>
      </c>
      <c r="MG16" s="3">
        <f ca="1">IFERROR(__xludf.DUMMYFUNCTION("""COMPUTED_VALUE"""),-0.7325258774968)</f>
        <v>-0.73252587749679998</v>
      </c>
      <c r="MH16" s="3">
        <f ca="1">IFERROR(__xludf.DUMMYFUNCTION("""COMPUTED_VALUE"""),-0.747689743938503)</f>
        <v>-0.74768974393850296</v>
      </c>
      <c r="MI16" s="3">
        <f ca="1">IFERROR(__xludf.DUMMYFUNCTION("""COMPUTED_VALUE"""),-0.685467824095057)</f>
        <v>-0.68546782409505702</v>
      </c>
      <c r="MJ16" s="3">
        <f ca="1">IFERROR(__xludf.DUMMYFUNCTION("""COMPUTED_VALUE"""),-0.681906842751608)</f>
        <v>-0.68190684275160796</v>
      </c>
      <c r="MK16" s="3">
        <f ca="1">IFERROR(__xludf.DUMMYFUNCTION("""COMPUTED_VALUE"""),-0.698601064930597)</f>
        <v>-0.69860106493059704</v>
      </c>
      <c r="ML16" s="3">
        <f ca="1">IFERROR(__xludf.DUMMYFUNCTION("""COMPUTED_VALUE"""),-0.756405785967411)</f>
        <v>-0.75640578596741104</v>
      </c>
      <c r="MM16" s="3">
        <f ca="1">IFERROR(__xludf.DUMMYFUNCTION("""COMPUTED_VALUE"""),-0.747062421378181)</f>
        <v>-0.74706242137818102</v>
      </c>
      <c r="MN16" s="3">
        <f ca="1">IFERROR(__xludf.DUMMYFUNCTION("""COMPUTED_VALUE"""),-0.769937553958693)</f>
        <v>-0.76993755395869301</v>
      </c>
      <c r="MO16" s="3">
        <f ca="1">IFERROR(__xludf.DUMMYFUNCTION("""COMPUTED_VALUE"""),-0.73231545398436)</f>
        <v>-0.73231545398436004</v>
      </c>
      <c r="MP16" s="3">
        <f ca="1">IFERROR(__xludf.DUMMYFUNCTION("""COMPUTED_VALUE"""),-0.707497046042929)</f>
        <v>-0.70749704604292896</v>
      </c>
      <c r="MQ16" s="3">
        <f ca="1">IFERROR(__xludf.DUMMYFUNCTION("""COMPUTED_VALUE"""),-0.741065455077674)</f>
        <v>-0.74106545507767396</v>
      </c>
      <c r="MR16" s="3">
        <f ca="1">IFERROR(__xludf.DUMMYFUNCTION("""COMPUTED_VALUE"""),-0.677110975315768)</f>
        <v>-0.67711097531576803</v>
      </c>
      <c r="MS16" s="3">
        <f ca="1">IFERROR(__xludf.DUMMYFUNCTION("""COMPUTED_VALUE"""),-0.830830693324742)</f>
        <v>-0.83083069332474202</v>
      </c>
      <c r="MT16" s="3">
        <f ca="1">IFERROR(__xludf.DUMMYFUNCTION("""COMPUTED_VALUE"""),-0.789641268226952)</f>
        <v>-0.78964126822695202</v>
      </c>
      <c r="MU16" s="3">
        <f ca="1">IFERROR(__xludf.DUMMYFUNCTION("""COMPUTED_VALUE"""),-0.769437216700247)</f>
        <v>-0.76943721670024701</v>
      </c>
      <c r="MV16" s="3">
        <f ca="1">IFERROR(__xludf.DUMMYFUNCTION("""COMPUTED_VALUE"""),-0.823676425266366)</f>
        <v>-0.82367642526636597</v>
      </c>
      <c r="MW16" s="3">
        <f ca="1">IFERROR(__xludf.DUMMYFUNCTION("""COMPUTED_VALUE"""),-0.811982691844114)</f>
        <v>-0.81198269184411398</v>
      </c>
      <c r="MX16" s="3">
        <f ca="1">IFERROR(__xludf.DUMMYFUNCTION("""COMPUTED_VALUE"""),-0.71486571551913)</f>
        <v>-0.71486571551913003</v>
      </c>
      <c r="MY16" s="3">
        <f ca="1">IFERROR(__xludf.DUMMYFUNCTION("""COMPUTED_VALUE"""),-0.71924284348131)</f>
        <v>-0.71924284348130996</v>
      </c>
      <c r="MZ16" s="3">
        <f ca="1">IFERROR(__xludf.DUMMYFUNCTION("""COMPUTED_VALUE"""),-0.76768752682519)</f>
        <v>-0.76768752682519004</v>
      </c>
      <c r="NA16" s="3">
        <f ca="1">IFERROR(__xludf.DUMMYFUNCTION("""COMPUTED_VALUE"""),-0.803866551948844)</f>
        <v>-0.80386655194884404</v>
      </c>
      <c r="NB16" s="3">
        <f ca="1">IFERROR(__xludf.DUMMYFUNCTION("""COMPUTED_VALUE"""),-0.731429789507288)</f>
        <v>-0.73142978950728799</v>
      </c>
      <c r="NC16" s="3">
        <f ca="1">IFERROR(__xludf.DUMMYFUNCTION("""COMPUTED_VALUE"""),-0.787931994631518)</f>
        <v>-0.78793199463151797</v>
      </c>
      <c r="ND16" s="3">
        <f ca="1">IFERROR(__xludf.DUMMYFUNCTION("""COMPUTED_VALUE"""),-0.707552116229446)</f>
        <v>-0.70755211622944603</v>
      </c>
      <c r="NE16" s="3">
        <f ca="1">IFERROR(__xludf.DUMMYFUNCTION("""COMPUTED_VALUE"""),-0.673717329898727)</f>
        <v>-0.67371732989872701</v>
      </c>
      <c r="NF16" s="3">
        <f ca="1">IFERROR(__xludf.DUMMYFUNCTION("""COMPUTED_VALUE"""),-0.709211669532397)</f>
        <v>-0.709211669532397</v>
      </c>
      <c r="NG16" s="3">
        <f ca="1">IFERROR(__xludf.DUMMYFUNCTION("""COMPUTED_VALUE"""),-0.779098863272137)</f>
        <v>-0.77909886327213695</v>
      </c>
      <c r="NH16" s="3">
        <f ca="1">IFERROR(__xludf.DUMMYFUNCTION("""COMPUTED_VALUE"""),-0.744404334530366)</f>
        <v>-0.74440433453036603</v>
      </c>
      <c r="NI16" s="3">
        <f ca="1">IFERROR(__xludf.DUMMYFUNCTION("""COMPUTED_VALUE"""),-0.748514994767851)</f>
        <v>-0.74851499476785099</v>
      </c>
      <c r="NJ16" s="3">
        <f ca="1">IFERROR(__xludf.DUMMYFUNCTION("""COMPUTED_VALUE"""),-0.714375295018933)</f>
        <v>-0.71437529501893304</v>
      </c>
      <c r="NK16" s="3">
        <f ca="1">IFERROR(__xludf.DUMMYFUNCTION("""COMPUTED_VALUE"""),-0.596471902010251)</f>
        <v>-0.59647190201025102</v>
      </c>
      <c r="NL16" s="3">
        <f ca="1">IFERROR(__xludf.DUMMYFUNCTION("""COMPUTED_VALUE"""),-0.639105690578619)</f>
        <v>-0.63910569057861899</v>
      </c>
      <c r="NM16" s="3">
        <f ca="1">IFERROR(__xludf.DUMMYFUNCTION("""COMPUTED_VALUE"""),-0.695065648083584)</f>
        <v>-0.69506564808358395</v>
      </c>
      <c r="NN16" s="3">
        <f ca="1">IFERROR(__xludf.DUMMYFUNCTION("""COMPUTED_VALUE"""),-0.728209963263551)</f>
        <v>-0.72820996326355103</v>
      </c>
      <c r="NO16" s="3">
        <f ca="1">IFERROR(__xludf.DUMMYFUNCTION("""COMPUTED_VALUE"""),-0.705790335495254)</f>
        <v>-0.70579033549525405</v>
      </c>
      <c r="NP16" s="3">
        <f ca="1">IFERROR(__xludf.DUMMYFUNCTION("""COMPUTED_VALUE"""),-0.668368921429841)</f>
        <v>-0.66836892142984095</v>
      </c>
      <c r="NQ16" s="3">
        <f ca="1">IFERROR(__xludf.DUMMYFUNCTION("""COMPUTED_VALUE"""),-0.653312107727222)</f>
        <v>-0.65331210772722204</v>
      </c>
      <c r="NR16" s="3">
        <f ca="1">IFERROR(__xludf.DUMMYFUNCTION("""COMPUTED_VALUE"""),-0.630198352139051)</f>
        <v>-0.63019835213905095</v>
      </c>
      <c r="NS16" s="3">
        <f ca="1">IFERROR(__xludf.DUMMYFUNCTION("""COMPUTED_VALUE"""),-0.634008322370927)</f>
        <v>-0.63400832237092697</v>
      </c>
      <c r="NT16" s="3">
        <f ca="1">IFERROR(__xludf.DUMMYFUNCTION("""COMPUTED_VALUE"""),-0.627648665488819)</f>
        <v>-0.62764866548881904</v>
      </c>
      <c r="NU16" s="3">
        <f ca="1">IFERROR(__xludf.DUMMYFUNCTION("""COMPUTED_VALUE"""),-0.563953166222332)</f>
        <v>-0.56395316622233205</v>
      </c>
      <c r="NV16" s="3">
        <f ca="1">IFERROR(__xludf.DUMMYFUNCTION("""COMPUTED_VALUE"""),-0.6163981463252)</f>
        <v>-0.61639814632519996</v>
      </c>
      <c r="NW16" s="3">
        <f ca="1">IFERROR(__xludf.DUMMYFUNCTION("""COMPUTED_VALUE"""),-0.61757607535493)</f>
        <v>-0.61757607535492998</v>
      </c>
      <c r="NX16" s="3">
        <f ca="1">IFERROR(__xludf.DUMMYFUNCTION("""COMPUTED_VALUE"""),-0.533934785944567)</f>
        <v>-0.533934785944567</v>
      </c>
      <c r="NY16" s="3">
        <f ca="1">IFERROR(__xludf.DUMMYFUNCTION("""COMPUTED_VALUE"""),-0.561841512702338)</f>
        <v>-0.56184151270233795</v>
      </c>
      <c r="NZ16" s="3">
        <f ca="1">IFERROR(__xludf.DUMMYFUNCTION("""COMPUTED_VALUE"""),-0.545414467109777)</f>
        <v>-0.54541446710977703</v>
      </c>
      <c r="OA16" s="3">
        <f ca="1">IFERROR(__xludf.DUMMYFUNCTION("""COMPUTED_VALUE"""),-0.541497772267786)</f>
        <v>-0.54149777226778595</v>
      </c>
      <c r="OB16" s="3">
        <f ca="1">IFERROR(__xludf.DUMMYFUNCTION("""COMPUTED_VALUE"""),-0.48525803132117)</f>
        <v>-0.48525803132117001</v>
      </c>
      <c r="OC16" s="3">
        <f ca="1">IFERROR(__xludf.DUMMYFUNCTION("""COMPUTED_VALUE"""),-0.470349475380173)</f>
        <v>-0.47034947538017302</v>
      </c>
      <c r="OD16" s="3">
        <f ca="1">IFERROR(__xludf.DUMMYFUNCTION("""COMPUTED_VALUE"""),-0.302262514308259)</f>
        <v>-0.30226251430825901</v>
      </c>
      <c r="OE16" s="3">
        <f ca="1">IFERROR(__xludf.DUMMYFUNCTION("""COMPUTED_VALUE"""),-0.411073032485898)</f>
        <v>-0.41107303248589799</v>
      </c>
      <c r="OF16" s="3">
        <f ca="1">IFERROR(__xludf.DUMMYFUNCTION("""COMPUTED_VALUE"""),-0.0675569582932132)</f>
        <v>-6.7556958293213204E-2</v>
      </c>
      <c r="OG16" s="3">
        <f ca="1">IFERROR(__xludf.DUMMYFUNCTION("""COMPUTED_VALUE"""),-0.211743037478693)</f>
        <v>-0.211743037478693</v>
      </c>
      <c r="OH16" s="3">
        <f ca="1">IFERROR(__xludf.DUMMYFUNCTION("""COMPUTED_VALUE"""),-0.090787616521751)</f>
        <v>-9.0787616521751005E-2</v>
      </c>
      <c r="OI16" s="3">
        <f ca="1">IFERROR(__xludf.DUMMYFUNCTION("""COMPUTED_VALUE"""),-0.129365476532276)</f>
        <v>-0.12936547653227601</v>
      </c>
      <c r="OJ16" s="3">
        <f ca="1">IFERROR(__xludf.DUMMYFUNCTION("""COMPUTED_VALUE"""),0.0178770084687844)</f>
        <v>1.78770084687844E-2</v>
      </c>
      <c r="OK16" s="3">
        <f ca="1">IFERROR(__xludf.DUMMYFUNCTION("""COMPUTED_VALUE"""),-0.0427403296040111)</f>
        <v>-4.2740329604011099E-2</v>
      </c>
      <c r="OL16" s="3">
        <f ca="1">IFERROR(__xludf.DUMMYFUNCTION("""COMPUTED_VALUE"""),-0.019871682468132)</f>
        <v>-1.9871682468132E-2</v>
      </c>
      <c r="OM16" s="3">
        <f ca="1">IFERROR(__xludf.DUMMYFUNCTION("""COMPUTED_VALUE"""),-0.0819961659072823)</f>
        <v>-8.1996165907282301E-2</v>
      </c>
      <c r="ON16" s="3">
        <f ca="1">IFERROR(__xludf.DUMMYFUNCTION("""COMPUTED_VALUE"""),-0.00860222594745219)</f>
        <v>-8.6022259474521894E-3</v>
      </c>
      <c r="OO16" s="3">
        <f ca="1">IFERROR(__xludf.DUMMYFUNCTION("""COMPUTED_VALUE"""),-0.0555322222191793)</f>
        <v>-5.5532222219179299E-2</v>
      </c>
      <c r="OP16" s="3">
        <f ca="1">IFERROR(__xludf.DUMMYFUNCTION("""COMPUTED_VALUE"""),-0.0651258181237054)</f>
        <v>-6.5125818123705395E-2</v>
      </c>
      <c r="OQ16" s="3">
        <f ca="1">IFERROR(__xludf.DUMMYFUNCTION("""COMPUTED_VALUE"""),-0.066262792148299)</f>
        <v>-6.6262792148298999E-2</v>
      </c>
      <c r="OR16" s="3">
        <f ca="1">IFERROR(__xludf.DUMMYFUNCTION("""COMPUTED_VALUE"""),-0.116977666823964)</f>
        <v>-0.116977666823964</v>
      </c>
      <c r="OS16" s="3">
        <f ca="1">IFERROR(__xludf.DUMMYFUNCTION("""COMPUTED_VALUE"""),-0.0966442861270685)</f>
        <v>-9.6644286127068504E-2</v>
      </c>
      <c r="OT16" s="3">
        <f ca="1">IFERROR(__xludf.DUMMYFUNCTION("""COMPUTED_VALUE"""),-0.0410618731676084)</f>
        <v>-4.1061873167608398E-2</v>
      </c>
      <c r="OU16" s="3">
        <f ca="1">IFERROR(__xludf.DUMMYFUNCTION("""COMPUTED_VALUE"""),0.0972761910806723)</f>
        <v>9.72761910806723E-2</v>
      </c>
      <c r="OV16" s="3">
        <f ca="1">IFERROR(__xludf.DUMMYFUNCTION("""COMPUTED_VALUE"""),0.000676002803650099)</f>
        <v>6.7600280365009903E-4</v>
      </c>
      <c r="OW16" s="3">
        <f ca="1">IFERROR(__xludf.DUMMYFUNCTION("""COMPUTED_VALUE"""),-0.0127346570554046)</f>
        <v>-1.2734657055404599E-2</v>
      </c>
      <c r="OX16" s="3">
        <f ca="1">IFERROR(__xludf.DUMMYFUNCTION("""COMPUTED_VALUE"""),0.0195590526331772)</f>
        <v>1.9559052633177199E-2</v>
      </c>
      <c r="OY16" s="3">
        <f ca="1">IFERROR(__xludf.DUMMYFUNCTION("""COMPUTED_VALUE"""),-0.0936206484678348)</f>
        <v>-9.3620648467834799E-2</v>
      </c>
      <c r="OZ16" s="3">
        <f ca="1">IFERROR(__xludf.DUMMYFUNCTION("""COMPUTED_VALUE"""),-0.0557060523005851)</f>
        <v>-5.5706052300585097E-2</v>
      </c>
      <c r="PA16" s="3">
        <f ca="1">IFERROR(__xludf.DUMMYFUNCTION("""COMPUTED_VALUE"""),-0.00511904958118858)</f>
        <v>-5.1190495811885804E-3</v>
      </c>
      <c r="PB16" s="3">
        <f ca="1">IFERROR(__xludf.DUMMYFUNCTION("""COMPUTED_VALUE"""),0.0799779953732724)</f>
        <v>7.9977995373272395E-2</v>
      </c>
      <c r="PC16" s="3">
        <f ca="1">IFERROR(__xludf.DUMMYFUNCTION("""COMPUTED_VALUE"""),0.0456405300091791)</f>
        <v>4.5640530009179101E-2</v>
      </c>
      <c r="PD16" s="3">
        <f ca="1">IFERROR(__xludf.DUMMYFUNCTION("""COMPUTED_VALUE"""),0.00866808083069603)</f>
        <v>8.6680808306960292E-3</v>
      </c>
      <c r="PE16" s="3">
        <f ca="1">IFERROR(__xludf.DUMMYFUNCTION("""COMPUTED_VALUE"""),0.0226069851116947)</f>
        <v>2.2606985111694702E-2</v>
      </c>
      <c r="PF16" s="3">
        <f ca="1">IFERROR(__xludf.DUMMYFUNCTION("""COMPUTED_VALUE"""),-0.0202593661317895)</f>
        <v>-2.02593661317895E-2</v>
      </c>
      <c r="PG16" s="3">
        <f ca="1">IFERROR(__xludf.DUMMYFUNCTION("""COMPUTED_VALUE"""),-0.0265762021931538)</f>
        <v>-2.6576202193153799E-2</v>
      </c>
      <c r="PH16" s="3">
        <f ca="1">IFERROR(__xludf.DUMMYFUNCTION("""COMPUTED_VALUE"""),0.0145728897760801)</f>
        <v>1.45728897760801E-2</v>
      </c>
      <c r="PI16" s="3">
        <f ca="1">IFERROR(__xludf.DUMMYFUNCTION("""COMPUTED_VALUE"""),0.114325887546399)</f>
        <v>0.114325887546399</v>
      </c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</row>
    <row r="17" spans="1:477" ht="15.75" customHeight="1">
      <c r="A17" s="1" t="str">
        <f ca="1">IFERROR(__xludf.DUMMYFUNCTION("""COMPUTED_VALUE"""),"Pace Bus")</f>
        <v>Pace Bus</v>
      </c>
      <c r="B17" s="1" t="str">
        <f ca="1">IFERROR(__xludf.DUMMYFUNCTION("""COMPUTED_VALUE"""),"Chicago")</f>
        <v>Chicago</v>
      </c>
      <c r="C17" s="1" t="str">
        <f ca="1">IFERROR(__xludf.DUMMYFUNCTION("""COMPUTED_VALUE"""),"United States")</f>
        <v>United States</v>
      </c>
      <c r="D17" s="1" t="str">
        <f ca="1">IFERROR(__xludf.DUMMYFUNCTION("""COMPUTED_VALUE"""),"Illinois")</f>
        <v>Illinois</v>
      </c>
      <c r="E17" s="3">
        <f ca="1">IFERROR(__xludf.DUMMYFUNCTION("""COMPUTED_VALUE"""),-0.508729870466346)</f>
        <v>-0.50872987046634599</v>
      </c>
      <c r="F17" s="3">
        <f ca="1">IFERROR(__xludf.DUMMYFUNCTION("""COMPUTED_VALUE"""),-0.610771327030824)</f>
        <v>-0.61077132703082404</v>
      </c>
      <c r="G17" s="3">
        <f ca="1">IFERROR(__xludf.DUMMYFUNCTION("""COMPUTED_VALUE"""),-0.649808017267089)</f>
        <v>-0.64980801726708903</v>
      </c>
      <c r="H17" s="3">
        <f ca="1">IFERROR(__xludf.DUMMYFUNCTION("""COMPUTED_VALUE"""),-0.639284289559975)</f>
        <v>-0.63928428955997496</v>
      </c>
      <c r="I17" s="3">
        <f ca="1">IFERROR(__xludf.DUMMYFUNCTION("""COMPUTED_VALUE"""),-0.626239307854574)</f>
        <v>-0.62623930785457405</v>
      </c>
      <c r="J17" s="3">
        <f ca="1">IFERROR(__xludf.DUMMYFUNCTION("""COMPUTED_VALUE"""),-0.609709288263532)</f>
        <v>-0.60970928826353199</v>
      </c>
      <c r="K17" s="3">
        <f ca="1">IFERROR(__xludf.DUMMYFUNCTION("""COMPUTED_VALUE"""),-0.435266733206511)</f>
        <v>-0.43526673320651099</v>
      </c>
      <c r="L17" s="3">
        <f ca="1">IFERROR(__xludf.DUMMYFUNCTION("""COMPUTED_VALUE"""),-0.473059413023346)</f>
        <v>-0.47305941302334598</v>
      </c>
      <c r="M17" s="3">
        <f ca="1">IFERROR(__xludf.DUMMYFUNCTION("""COMPUTED_VALUE"""),-0.602043389688131)</f>
        <v>-0.60204338968813098</v>
      </c>
      <c r="N17" s="3">
        <f ca="1">IFERROR(__xludf.DUMMYFUNCTION("""COMPUTED_VALUE"""),-0.619454375591505)</f>
        <v>-0.61945437559150496</v>
      </c>
      <c r="O17" s="3">
        <f ca="1">IFERROR(__xludf.DUMMYFUNCTION("""COMPUTED_VALUE"""),-0.627565129586709)</f>
        <v>-0.62756512958670896</v>
      </c>
      <c r="P17" s="3">
        <f ca="1">IFERROR(__xludf.DUMMYFUNCTION("""COMPUTED_VALUE"""),-0.625643825634512)</f>
        <v>-0.62564382563451204</v>
      </c>
      <c r="Q17" s="3">
        <f ca="1">IFERROR(__xludf.DUMMYFUNCTION("""COMPUTED_VALUE"""),-0.595484968956633)</f>
        <v>-0.59548496895663305</v>
      </c>
      <c r="R17" s="3">
        <f ca="1">IFERROR(__xludf.DUMMYFUNCTION("""COMPUTED_VALUE"""),-0.442439106018591)</f>
        <v>-0.44243910601859099</v>
      </c>
      <c r="S17" s="3">
        <f ca="1">IFERROR(__xludf.DUMMYFUNCTION("""COMPUTED_VALUE"""),-0.470317076534114)</f>
        <v>-0.47031707653411398</v>
      </c>
      <c r="T17" s="3">
        <f ca="1">IFERROR(__xludf.DUMMYFUNCTION("""COMPUTED_VALUE"""),-0.577608307374142)</f>
        <v>-0.57760830737414204</v>
      </c>
      <c r="U17" s="3">
        <f ca="1">IFERROR(__xludf.DUMMYFUNCTION("""COMPUTED_VALUE"""),-0.638882413085942)</f>
        <v>-0.63888241308594196</v>
      </c>
      <c r="V17" s="3">
        <f ca="1">IFERROR(__xludf.DUMMYFUNCTION("""COMPUTED_VALUE"""),-0.643643566863622)</f>
        <v>-0.64364356686362201</v>
      </c>
      <c r="W17" s="3">
        <f ca="1">IFERROR(__xludf.DUMMYFUNCTION("""COMPUTED_VALUE"""),-0.654050805701174)</f>
        <v>-0.65405080570117402</v>
      </c>
      <c r="X17" s="3">
        <f ca="1">IFERROR(__xludf.DUMMYFUNCTION("""COMPUTED_VALUE"""),-0.605133801618817)</f>
        <v>-0.60513380161881702</v>
      </c>
      <c r="Y17" s="3">
        <f ca="1">IFERROR(__xludf.DUMMYFUNCTION("""COMPUTED_VALUE"""),-0.426633646128709)</f>
        <v>-0.42663364612870902</v>
      </c>
      <c r="Z17" s="3">
        <f ca="1">IFERROR(__xludf.DUMMYFUNCTION("""COMPUTED_VALUE"""),-0.483258633636305)</f>
        <v>-0.483258633636305</v>
      </c>
      <c r="AA17" s="3">
        <f ca="1">IFERROR(__xludf.DUMMYFUNCTION("""COMPUTED_VALUE"""),-0.595109681836934)</f>
        <v>-0.59510968183693402</v>
      </c>
      <c r="AB17" s="3">
        <f ca="1">IFERROR(__xludf.DUMMYFUNCTION("""COMPUTED_VALUE"""),-0.63997404301679)</f>
        <v>-0.63997404301678995</v>
      </c>
      <c r="AC17" s="3">
        <f ca="1">IFERROR(__xludf.DUMMYFUNCTION("""COMPUTED_VALUE"""),-0.633301052298874)</f>
        <v>-0.63330105229887401</v>
      </c>
      <c r="AD17" s="3">
        <f ca="1">IFERROR(__xludf.DUMMYFUNCTION("""COMPUTED_VALUE"""),-0.636579856514118)</f>
        <v>-0.63657985651411797</v>
      </c>
      <c r="AE17" s="3">
        <f ca="1">IFERROR(__xludf.DUMMYFUNCTION("""COMPUTED_VALUE"""),-0.63246314783304)</f>
        <v>-0.63246314783304003</v>
      </c>
      <c r="AF17" s="3">
        <f ca="1">IFERROR(__xludf.DUMMYFUNCTION("""COMPUTED_VALUE"""),-0.444602026250003)</f>
        <v>-0.444602026250003</v>
      </c>
      <c r="AG17" s="3">
        <f ca="1">IFERROR(__xludf.DUMMYFUNCTION("""COMPUTED_VALUE"""),-0.529489220170763)</f>
        <v>-0.52948922017076305</v>
      </c>
      <c r="AH17" s="3">
        <f ca="1">IFERROR(__xludf.DUMMYFUNCTION("""COMPUTED_VALUE"""),-0.629387911196898)</f>
        <v>-0.62938791119689796</v>
      </c>
      <c r="AI17" s="3">
        <f ca="1">IFERROR(__xludf.DUMMYFUNCTION("""COMPUTED_VALUE"""),-0.659280949409038)</f>
        <v>-0.65928094940903803</v>
      </c>
      <c r="AJ17" s="3">
        <f ca="1">IFERROR(__xludf.DUMMYFUNCTION("""COMPUTED_VALUE"""),-0.666906880696899)</f>
        <v>-0.66690688069689896</v>
      </c>
      <c r="AK17" s="3">
        <f ca="1">IFERROR(__xludf.DUMMYFUNCTION("""COMPUTED_VALUE"""),-0.650031837523929)</f>
        <v>-0.65003183752392901</v>
      </c>
      <c r="AL17" s="3">
        <f ca="1">IFERROR(__xludf.DUMMYFUNCTION("""COMPUTED_VALUE"""),-0.62334272217527)</f>
        <v>-0.62334272217526998</v>
      </c>
      <c r="AM17" s="3">
        <f ca="1">IFERROR(__xludf.DUMMYFUNCTION("""COMPUTED_VALUE"""),-0.464566629765443)</f>
        <v>-0.464566629765443</v>
      </c>
      <c r="AN17" s="3">
        <f ca="1">IFERROR(__xludf.DUMMYFUNCTION("""COMPUTED_VALUE"""),-0.523128504239337)</f>
        <v>-0.52312850423933699</v>
      </c>
      <c r="AO17" s="3">
        <f ca="1">IFERROR(__xludf.DUMMYFUNCTION("""COMPUTED_VALUE"""),-0.623088733274866)</f>
        <v>-0.62308873327486602</v>
      </c>
      <c r="AP17" s="3">
        <f ca="1">IFERROR(__xludf.DUMMYFUNCTION("""COMPUTED_VALUE"""),-0.671522619423843)</f>
        <v>-0.67152261942384295</v>
      </c>
      <c r="AQ17" s="3">
        <f ca="1">IFERROR(__xludf.DUMMYFUNCTION("""COMPUTED_VALUE"""),-0.6484102519427)</f>
        <v>-0.64841025194269997</v>
      </c>
      <c r="AR17" s="3">
        <f ca="1">IFERROR(__xludf.DUMMYFUNCTION("""COMPUTED_VALUE"""),-0.650263385802247)</f>
        <v>-0.65026338580224696</v>
      </c>
      <c r="AS17" s="3">
        <f ca="1">IFERROR(__xludf.DUMMYFUNCTION("""COMPUTED_VALUE"""),-0.601961806875982)</f>
        <v>-0.601961806875982</v>
      </c>
      <c r="AT17" s="3">
        <f ca="1">IFERROR(__xludf.DUMMYFUNCTION("""COMPUTED_VALUE"""),-0.445727328686305)</f>
        <v>-0.44572732868630499</v>
      </c>
      <c r="AU17" s="3">
        <f ca="1">IFERROR(__xludf.DUMMYFUNCTION("""COMPUTED_VALUE"""),-0.459277311345833)</f>
        <v>-0.45927731134583299</v>
      </c>
      <c r="AV17" s="3">
        <f ca="1">IFERROR(__xludf.DUMMYFUNCTION("""COMPUTED_VALUE"""),-0.63560655317342)</f>
        <v>-0.63560655317341996</v>
      </c>
      <c r="AW17" s="3">
        <f ca="1">IFERROR(__xludf.DUMMYFUNCTION("""COMPUTED_VALUE"""),-0.656469120489148)</f>
        <v>-0.65646912048914796</v>
      </c>
      <c r="AX17" s="3">
        <f ca="1">IFERROR(__xludf.DUMMYFUNCTION("""COMPUTED_VALUE"""),-0.64891395925277)</f>
        <v>-0.64891395925276996</v>
      </c>
      <c r="AY17" s="3">
        <f ca="1">IFERROR(__xludf.DUMMYFUNCTION("""COMPUTED_VALUE"""),-0.633331070950057)</f>
        <v>-0.63333107095005703</v>
      </c>
      <c r="AZ17" s="3">
        <f ca="1">IFERROR(__xludf.DUMMYFUNCTION("""COMPUTED_VALUE"""),-0.569411369561363)</f>
        <v>-0.56941136956136296</v>
      </c>
      <c r="BA17" s="3">
        <f ca="1">IFERROR(__xludf.DUMMYFUNCTION("""COMPUTED_VALUE"""),-0.487378589005121)</f>
        <v>-0.48737858900512099</v>
      </c>
      <c r="BB17" s="3">
        <f ca="1">IFERROR(__xludf.DUMMYFUNCTION("""COMPUTED_VALUE"""),-0.503026433761164)</f>
        <v>-0.50302643376116396</v>
      </c>
      <c r="BC17" s="3">
        <f ca="1">IFERROR(__xludf.DUMMYFUNCTION("""COMPUTED_VALUE"""),-0.623250212390514)</f>
        <v>-0.62325021239051404</v>
      </c>
      <c r="BD17" s="3">
        <f ca="1">IFERROR(__xludf.DUMMYFUNCTION("""COMPUTED_VALUE"""),-0.654470754915095)</f>
        <v>-0.65447075491509499</v>
      </c>
      <c r="BE17" s="3">
        <f ca="1">IFERROR(__xludf.DUMMYFUNCTION("""COMPUTED_VALUE"""),-0.632292684723324)</f>
        <v>-0.63229268472332401</v>
      </c>
      <c r="BF17" s="3">
        <f ca="1">IFERROR(__xludf.DUMMYFUNCTION("""COMPUTED_VALUE"""),-0.579449066679009)</f>
        <v>-0.57944906667900897</v>
      </c>
      <c r="BG17" s="3">
        <f ca="1">IFERROR(__xludf.DUMMYFUNCTION("""COMPUTED_VALUE"""),-0.580253027200404)</f>
        <v>-0.58025302720040395</v>
      </c>
      <c r="BH17" s="3">
        <f ca="1">IFERROR(__xludf.DUMMYFUNCTION("""COMPUTED_VALUE"""),-0.549089812234596)</f>
        <v>-0.54908981223459596</v>
      </c>
      <c r="BI17" s="3">
        <f ca="1">IFERROR(__xludf.DUMMYFUNCTION("""COMPUTED_VALUE"""),-0.493945006731061)</f>
        <v>-0.49394500673106101</v>
      </c>
      <c r="BJ17" s="3">
        <f ca="1">IFERROR(__xludf.DUMMYFUNCTION("""COMPUTED_VALUE"""),-0.657989971128956)</f>
        <v>-0.65798997112895596</v>
      </c>
      <c r="BK17" s="3">
        <f ca="1">IFERROR(__xludf.DUMMYFUNCTION("""COMPUTED_VALUE"""),-0.689525009633124)</f>
        <v>-0.68952500963312402</v>
      </c>
      <c r="BL17" s="3">
        <f ca="1">IFERROR(__xludf.DUMMYFUNCTION("""COMPUTED_VALUE"""),-0.702613557701738)</f>
        <v>-0.70261355770173795</v>
      </c>
      <c r="BM17" s="3">
        <f ca="1">IFERROR(__xludf.DUMMYFUNCTION("""COMPUTED_VALUE"""),-0.682051105491943)</f>
        <v>-0.68205110549194303</v>
      </c>
      <c r="BN17" s="3">
        <f ca="1">IFERROR(__xludf.DUMMYFUNCTION("""COMPUTED_VALUE"""),-0.6492118649704)</f>
        <v>-0.64921186497039995</v>
      </c>
      <c r="BO17" s="3">
        <f ca="1">IFERROR(__xludf.DUMMYFUNCTION("""COMPUTED_VALUE"""),-0.598906577330187)</f>
        <v>-0.59890657733018704</v>
      </c>
      <c r="BP17" s="3">
        <f ca="1">IFERROR(__xludf.DUMMYFUNCTION("""COMPUTED_VALUE"""),-0.616217166057944)</f>
        <v>-0.61621716605794397</v>
      </c>
      <c r="BQ17" s="3">
        <f ca="1">IFERROR(__xludf.DUMMYFUNCTION("""COMPUTED_VALUE"""),-0.690673526175301)</f>
        <v>-0.69067352617530098</v>
      </c>
      <c r="BR17" s="3">
        <f ca="1">IFERROR(__xludf.DUMMYFUNCTION("""COMPUTED_VALUE"""),-0.671498019007354)</f>
        <v>-0.67149801900735395</v>
      </c>
      <c r="BS17" s="3">
        <f ca="1">IFERROR(__xludf.DUMMYFUNCTION("""COMPUTED_VALUE"""),-0.674813843459495)</f>
        <v>-0.67481384345949502</v>
      </c>
      <c r="BT17" s="3">
        <f ca="1">IFERROR(__xludf.DUMMYFUNCTION("""COMPUTED_VALUE"""),-0.672113537945384)</f>
        <v>-0.67211353794538398</v>
      </c>
      <c r="BU17" s="3">
        <f ca="1">IFERROR(__xludf.DUMMYFUNCTION("""COMPUTED_VALUE"""),-0.637039375654642)</f>
        <v>-0.63703937565464197</v>
      </c>
      <c r="BV17" s="3">
        <f ca="1">IFERROR(__xludf.DUMMYFUNCTION("""COMPUTED_VALUE"""),-0.439540460134935)</f>
        <v>-0.43954046013493497</v>
      </c>
      <c r="BW17" s="3">
        <f ca="1">IFERROR(__xludf.DUMMYFUNCTION("""COMPUTED_VALUE"""),-0.559153177633972)</f>
        <v>-0.55915317763397199</v>
      </c>
      <c r="BX17" s="3">
        <f ca="1">IFERROR(__xludf.DUMMYFUNCTION("""COMPUTED_VALUE"""),-0.684934889393194)</f>
        <v>-0.68493488939319402</v>
      </c>
      <c r="BY17" s="3">
        <f ca="1">IFERROR(__xludf.DUMMYFUNCTION("""COMPUTED_VALUE"""),-0.7174460549946)</f>
        <v>-0.71744605499460001</v>
      </c>
      <c r="BZ17" s="3">
        <f ca="1">IFERROR(__xludf.DUMMYFUNCTION("""COMPUTED_VALUE"""),-0.706243055886409)</f>
        <v>-0.70624305588640901</v>
      </c>
      <c r="CA17" s="3">
        <f ca="1">IFERROR(__xludf.DUMMYFUNCTION("""COMPUTED_VALUE"""),-0.683209992082893)</f>
        <v>-0.68320999208289301</v>
      </c>
      <c r="CB17" s="3">
        <f ca="1">IFERROR(__xludf.DUMMYFUNCTION("""COMPUTED_VALUE"""),-0.634251399165641)</f>
        <v>-0.63425139916564099</v>
      </c>
      <c r="CC17" s="3">
        <f ca="1">IFERROR(__xludf.DUMMYFUNCTION("""COMPUTED_VALUE"""),-0.523340140267005)</f>
        <v>-0.52334014026700504</v>
      </c>
      <c r="CD17" s="3">
        <f ca="1">IFERROR(__xludf.DUMMYFUNCTION("""COMPUTED_VALUE"""),-0.600991374650488)</f>
        <v>-0.60099137465048802</v>
      </c>
      <c r="CE17" s="3">
        <f ca="1">IFERROR(__xludf.DUMMYFUNCTION("""COMPUTED_VALUE"""),-0.704869725817626)</f>
        <v>-0.70486972581762597</v>
      </c>
      <c r="CF17" s="3">
        <f ca="1">IFERROR(__xludf.DUMMYFUNCTION("""COMPUTED_VALUE"""),-0.709449919669778)</f>
        <v>-0.709449919669778</v>
      </c>
      <c r="CG17" s="3">
        <f ca="1">IFERROR(__xludf.DUMMYFUNCTION("""COMPUTED_VALUE"""),-0.721781786821996)</f>
        <v>-0.72178178682199601</v>
      </c>
      <c r="CH17" s="3">
        <f ca="1">IFERROR(__xludf.DUMMYFUNCTION("""COMPUTED_VALUE"""),-0.705923708763349)</f>
        <v>-0.70592370876334898</v>
      </c>
      <c r="CI17" s="3">
        <f ca="1">IFERROR(__xludf.DUMMYFUNCTION("""COMPUTED_VALUE"""),-0.653439390289622)</f>
        <v>-0.65343939028962195</v>
      </c>
      <c r="CJ17" s="3">
        <f ca="1">IFERROR(__xludf.DUMMYFUNCTION("""COMPUTED_VALUE"""),-0.497678697665874)</f>
        <v>-0.49767869766587403</v>
      </c>
      <c r="CK17" s="3">
        <f ca="1">IFERROR(__xludf.DUMMYFUNCTION("""COMPUTED_VALUE"""),-0.570369742853492)</f>
        <v>-0.57036974285349196</v>
      </c>
      <c r="CL17" s="3">
        <f ca="1">IFERROR(__xludf.DUMMYFUNCTION("""COMPUTED_VALUE"""),-0.697283895865616)</f>
        <v>-0.69728389586561601</v>
      </c>
      <c r="CM17" s="3">
        <f ca="1">IFERROR(__xludf.DUMMYFUNCTION("""COMPUTED_VALUE"""),-0.694035170981181)</f>
        <v>-0.69403517098118095</v>
      </c>
      <c r="CN17" s="3">
        <f ca="1">IFERROR(__xludf.DUMMYFUNCTION("""COMPUTED_VALUE"""),-0.697194943599328)</f>
        <v>-0.69719494359932799</v>
      </c>
      <c r="CO17" s="3">
        <f ca="1">IFERROR(__xludf.DUMMYFUNCTION("""COMPUTED_VALUE"""),-0.689084960824019)</f>
        <v>-0.68908496082401904</v>
      </c>
      <c r="CP17" s="3">
        <f ca="1">IFERROR(__xludf.DUMMYFUNCTION("""COMPUTED_VALUE"""),-0.620831385072633)</f>
        <v>-0.62083138507263302</v>
      </c>
      <c r="CQ17" s="3">
        <f ca="1">IFERROR(__xludf.DUMMYFUNCTION("""COMPUTED_VALUE"""),-0.511275322588569)</f>
        <v>-0.511275322588569</v>
      </c>
      <c r="CR17" s="3">
        <f ca="1">IFERROR(__xludf.DUMMYFUNCTION("""COMPUTED_VALUE"""),-0.546660402065873)</f>
        <v>-0.54666040206587296</v>
      </c>
      <c r="CS17" s="3">
        <f ca="1">IFERROR(__xludf.DUMMYFUNCTION("""COMPUTED_VALUE"""),-0.680754384757436)</f>
        <v>-0.68075438475743599</v>
      </c>
      <c r="CT17" s="3">
        <f ca="1">IFERROR(__xludf.DUMMYFUNCTION("""COMPUTED_VALUE"""),-0.661452509066574)</f>
        <v>-0.66145250906657405</v>
      </c>
      <c r="CU17" s="3">
        <f ca="1">IFERROR(__xludf.DUMMYFUNCTION("""COMPUTED_VALUE"""),-0.631996655769361)</f>
        <v>-0.63199665576936104</v>
      </c>
      <c r="CV17" s="3">
        <f ca="1">IFERROR(__xludf.DUMMYFUNCTION("""COMPUTED_VALUE"""),-0.642991018850567)</f>
        <v>-0.64299101885056698</v>
      </c>
      <c r="CW17" s="3">
        <f ca="1">IFERROR(__xludf.DUMMYFUNCTION("""COMPUTED_VALUE"""),-0.616455600266929)</f>
        <v>-0.61645560026692903</v>
      </c>
      <c r="CX17" s="3">
        <f ca="1">IFERROR(__xludf.DUMMYFUNCTION("""COMPUTED_VALUE"""),-0.535480626162367)</f>
        <v>-0.53548062616236702</v>
      </c>
      <c r="CY17" s="3">
        <f ca="1">IFERROR(__xludf.DUMMYFUNCTION("""COMPUTED_VALUE"""),-0.609179725639087)</f>
        <v>-0.60917972563908696</v>
      </c>
      <c r="CZ17" s="3">
        <f ca="1">IFERROR(__xludf.DUMMYFUNCTION("""COMPUTED_VALUE"""),-0.749876789090579)</f>
        <v>-0.74987678909057898</v>
      </c>
      <c r="DA17" s="3">
        <f ca="1">IFERROR(__xludf.DUMMYFUNCTION("""COMPUTED_VALUE"""),-0.589345573788971)</f>
        <v>-0.58934557378897101</v>
      </c>
      <c r="DB17" s="3">
        <f ca="1">IFERROR(__xludf.DUMMYFUNCTION("""COMPUTED_VALUE"""),-0.475008259530551)</f>
        <v>-0.47500825953055098</v>
      </c>
      <c r="DC17" s="3">
        <f ca="1">IFERROR(__xludf.DUMMYFUNCTION("""COMPUTED_VALUE"""),-0.543891232661538)</f>
        <v>-0.54389123266153805</v>
      </c>
      <c r="DD17" s="3">
        <f ca="1">IFERROR(__xludf.DUMMYFUNCTION("""COMPUTED_VALUE"""),-0.586571606067178)</f>
        <v>-0.58657160606717795</v>
      </c>
      <c r="DE17" s="3">
        <f ca="1">IFERROR(__xludf.DUMMYFUNCTION("""COMPUTED_VALUE"""),-0.533732451632891)</f>
        <v>-0.53373245163289096</v>
      </c>
      <c r="DF17" s="3">
        <f ca="1">IFERROR(__xludf.DUMMYFUNCTION("""COMPUTED_VALUE"""),-0.607967639066672)</f>
        <v>-0.60796763906667195</v>
      </c>
      <c r="DG17" s="3">
        <f ca="1">IFERROR(__xludf.DUMMYFUNCTION("""COMPUTED_VALUE"""),-0.845605411365877)</f>
        <v>-0.84560541136587697</v>
      </c>
      <c r="DH17" s="3">
        <f ca="1">IFERROR(__xludf.DUMMYFUNCTION("""COMPUTED_VALUE"""),-0.646425574091258)</f>
        <v>-0.646425574091258</v>
      </c>
      <c r="DI17" s="3">
        <f ca="1">IFERROR(__xludf.DUMMYFUNCTION("""COMPUTED_VALUE"""),-0.393294493181821)</f>
        <v>-0.39329449318182103</v>
      </c>
      <c r="DJ17" s="3">
        <f ca="1">IFERROR(__xludf.DUMMYFUNCTION("""COMPUTED_VALUE"""),-0.563198627758834)</f>
        <v>-0.563198627758834</v>
      </c>
      <c r="DK17" s="3">
        <f ca="1">IFERROR(__xludf.DUMMYFUNCTION("""COMPUTED_VALUE"""),-0.55596520962589)</f>
        <v>-0.55596520962589002</v>
      </c>
      <c r="DL17" s="3">
        <f ca="1">IFERROR(__xludf.DUMMYFUNCTION("""COMPUTED_VALUE"""),-0.50914386854106)</f>
        <v>-0.50914386854105997</v>
      </c>
      <c r="DM17" s="3">
        <f ca="1">IFERROR(__xludf.DUMMYFUNCTION("""COMPUTED_VALUE"""),-0.547233057278007)</f>
        <v>-0.54723305727800697</v>
      </c>
      <c r="DN17" s="3">
        <f ca="1">IFERROR(__xludf.DUMMYFUNCTION("""COMPUTED_VALUE"""),-0.626780343848731)</f>
        <v>-0.62678034384873105</v>
      </c>
      <c r="DO17" s="3">
        <f ca="1">IFERROR(__xludf.DUMMYFUNCTION("""COMPUTED_VALUE"""),-0.61505559035233)</f>
        <v>-0.61505559035233004</v>
      </c>
      <c r="DP17" s="3">
        <f ca="1">IFERROR(__xludf.DUMMYFUNCTION("""COMPUTED_VALUE"""),-0.568887497988979)</f>
        <v>-0.56888749798897897</v>
      </c>
      <c r="DQ17" s="3">
        <f ca="1">IFERROR(__xludf.DUMMYFUNCTION("""COMPUTED_VALUE"""),-0.624737628022688)</f>
        <v>-0.62473762802268795</v>
      </c>
      <c r="DR17" s="3">
        <f ca="1">IFERROR(__xludf.DUMMYFUNCTION("""COMPUTED_VALUE"""),-0.632225592308376)</f>
        <v>-0.63222559230837605</v>
      </c>
      <c r="DS17" s="3">
        <f ca="1">IFERROR(__xludf.DUMMYFUNCTION("""COMPUTED_VALUE"""),-0.549327900000992)</f>
        <v>-0.54932790000099196</v>
      </c>
      <c r="DT17" s="3">
        <f ca="1">IFERROR(__xludf.DUMMYFUNCTION("""COMPUTED_VALUE"""),-0.614895335688338)</f>
        <v>-0.61489533568833799</v>
      </c>
      <c r="DU17" s="3">
        <f ca="1">IFERROR(__xludf.DUMMYFUNCTION("""COMPUTED_VALUE"""),-0.675799116965338)</f>
        <v>-0.67579911696533801</v>
      </c>
      <c r="DV17" s="3">
        <f ca="1">IFERROR(__xludf.DUMMYFUNCTION("""COMPUTED_VALUE"""),-0.675130206558627)</f>
        <v>-0.67513020655862699</v>
      </c>
      <c r="DW17" s="3">
        <f ca="1">IFERROR(__xludf.DUMMYFUNCTION("""COMPUTED_VALUE"""),-0.674427015093844)</f>
        <v>-0.67442701509384395</v>
      </c>
      <c r="DX17" s="3">
        <f ca="1">IFERROR(__xludf.DUMMYFUNCTION("""COMPUTED_VALUE"""),-0.679025330197829)</f>
        <v>-0.67902533019782896</v>
      </c>
      <c r="DY17" s="3">
        <f ca="1">IFERROR(__xludf.DUMMYFUNCTION("""COMPUTED_VALUE"""),-0.663598429287109)</f>
        <v>-0.66359842928710899</v>
      </c>
      <c r="DZ17" s="3">
        <f ca="1">IFERROR(__xludf.DUMMYFUNCTION("""COMPUTED_VALUE"""),-0.565392444866595)</f>
        <v>-0.56539244486659501</v>
      </c>
      <c r="EA17" s="3">
        <f ca="1">IFERROR(__xludf.DUMMYFUNCTION("""COMPUTED_VALUE"""),-0.572831811841286)</f>
        <v>-0.57283181184128595</v>
      </c>
      <c r="EB17" s="3">
        <f ca="1">IFERROR(__xludf.DUMMYFUNCTION("""COMPUTED_VALUE"""),-0.604718537617721)</f>
        <v>-0.60471853761772099</v>
      </c>
      <c r="EC17" s="3">
        <f ca="1">IFERROR(__xludf.DUMMYFUNCTION("""COMPUTED_VALUE"""),-0.611464977293019)</f>
        <v>-0.61146497729301896</v>
      </c>
      <c r="ED17" s="3">
        <f ca="1">IFERROR(__xludf.DUMMYFUNCTION("""COMPUTED_VALUE"""),-0.662011659428068)</f>
        <v>-0.66201165942806806</v>
      </c>
      <c r="EE17" s="3">
        <f ca="1">IFERROR(__xludf.DUMMYFUNCTION("""COMPUTED_VALUE"""),-0.686581240254396)</f>
        <v>-0.68658124025439604</v>
      </c>
      <c r="EF17" s="3">
        <f ca="1">IFERROR(__xludf.DUMMYFUNCTION("""COMPUTED_VALUE"""),-0.670018439570382)</f>
        <v>-0.67001843957038199</v>
      </c>
      <c r="EG17" s="3">
        <f ca="1">IFERROR(__xludf.DUMMYFUNCTION("""COMPUTED_VALUE"""),-0.56228316684413)</f>
        <v>-0.56228316684413004</v>
      </c>
      <c r="EH17" s="3">
        <f ca="1">IFERROR(__xludf.DUMMYFUNCTION("""COMPUTED_VALUE"""),-0.596532703840028)</f>
        <v>-0.59653270384002799</v>
      </c>
      <c r="EI17" s="3">
        <f ca="1">IFERROR(__xludf.DUMMYFUNCTION("""COMPUTED_VALUE"""),-0.689176075542552)</f>
        <v>-0.689176075542552</v>
      </c>
      <c r="EJ17" s="3">
        <f ca="1">IFERROR(__xludf.DUMMYFUNCTION("""COMPUTED_VALUE"""),-0.779961164116101)</f>
        <v>-0.77996116411610095</v>
      </c>
      <c r="EK17" s="3">
        <f ca="1">IFERROR(__xludf.DUMMYFUNCTION("""COMPUTED_VALUE"""),-0.681823613545515)</f>
        <v>-0.68182361354551502</v>
      </c>
      <c r="EL17" s="3">
        <f ca="1">IFERROR(__xludf.DUMMYFUNCTION("""COMPUTED_VALUE"""),-0.70560090839777)</f>
        <v>-0.70560090839777001</v>
      </c>
      <c r="EM17" s="3">
        <f ca="1">IFERROR(__xludf.DUMMYFUNCTION("""COMPUTED_VALUE"""),-0.664140059178191)</f>
        <v>-0.66414005917819097</v>
      </c>
      <c r="EN17" s="3">
        <f ca="1">IFERROR(__xludf.DUMMYFUNCTION("""COMPUTED_VALUE"""),-0.53828469495375)</f>
        <v>-0.53828469495374998</v>
      </c>
      <c r="EO17" s="3">
        <f ca="1">IFERROR(__xludf.DUMMYFUNCTION("""COMPUTED_VALUE"""),-0.556838243157416)</f>
        <v>-0.55683824315741604</v>
      </c>
      <c r="EP17" s="3">
        <f ca="1">IFERROR(__xludf.DUMMYFUNCTION("""COMPUTED_VALUE"""),-0.63999984417655)</f>
        <v>-0.63999984417654998</v>
      </c>
      <c r="EQ17" s="3">
        <f ca="1">IFERROR(__xludf.DUMMYFUNCTION("""COMPUTED_VALUE"""),-0.63573487497245)</f>
        <v>-0.63573487497244996</v>
      </c>
      <c r="ER17" s="3">
        <f ca="1">IFERROR(__xludf.DUMMYFUNCTION("""COMPUTED_VALUE"""),-0.684245658574755)</f>
        <v>-0.68424565857475494</v>
      </c>
      <c r="ES17" s="3">
        <f ca="1">IFERROR(__xludf.DUMMYFUNCTION("""COMPUTED_VALUE"""),-0.702620045374299)</f>
        <v>-0.70262004537429901</v>
      </c>
      <c r="ET17" s="3">
        <f ca="1">IFERROR(__xludf.DUMMYFUNCTION("""COMPUTED_VALUE"""),-0.653544784313085)</f>
        <v>-0.65354478431308505</v>
      </c>
      <c r="EU17" s="3">
        <f ca="1">IFERROR(__xludf.DUMMYFUNCTION("""COMPUTED_VALUE"""),-0.557268003074988)</f>
        <v>-0.55726800307498803</v>
      </c>
      <c r="EV17" s="3">
        <f ca="1">IFERROR(__xludf.DUMMYFUNCTION("""COMPUTED_VALUE"""),-0.599887154013112)</f>
        <v>-0.59988715401311199</v>
      </c>
      <c r="EW17" s="3">
        <f ca="1">IFERROR(__xludf.DUMMYFUNCTION("""COMPUTED_VALUE"""),-0.67180350097825)</f>
        <v>-0.67180350097825003</v>
      </c>
      <c r="EX17" s="3">
        <f ca="1">IFERROR(__xludf.DUMMYFUNCTION("""COMPUTED_VALUE"""),-0.694946550860421)</f>
        <v>-0.69494655086042101</v>
      </c>
      <c r="EY17" s="3">
        <f ca="1">IFERROR(__xludf.DUMMYFUNCTION("""COMPUTED_VALUE"""),-0.700705691224717)</f>
        <v>-0.70070569122471704</v>
      </c>
      <c r="EZ17" s="3">
        <f ca="1">IFERROR(__xludf.DUMMYFUNCTION("""COMPUTED_VALUE"""),-0.676312726465876)</f>
        <v>-0.67631272646587604</v>
      </c>
      <c r="FA17" s="3">
        <f ca="1">IFERROR(__xludf.DUMMYFUNCTION("""COMPUTED_VALUE"""),-0.624830265144302)</f>
        <v>-0.62483026514430196</v>
      </c>
      <c r="FB17" s="3">
        <f ca="1">IFERROR(__xludf.DUMMYFUNCTION("""COMPUTED_VALUE"""),-0.493638729510441)</f>
        <v>-0.49363872951044102</v>
      </c>
      <c r="FC17" s="3">
        <f ca="1">IFERROR(__xludf.DUMMYFUNCTION("""COMPUTED_VALUE"""),-0.541325254847667)</f>
        <v>-0.54132525484766703</v>
      </c>
      <c r="FD17" s="3">
        <f ca="1">IFERROR(__xludf.DUMMYFUNCTION("""COMPUTED_VALUE"""),-0.645411412070135)</f>
        <v>-0.64541141207013497</v>
      </c>
      <c r="FE17" s="3">
        <f ca="1">IFERROR(__xludf.DUMMYFUNCTION("""COMPUTED_VALUE"""),-0.679538015347556)</f>
        <v>-0.67953801534755598</v>
      </c>
      <c r="FF17" s="3">
        <f ca="1">IFERROR(__xludf.DUMMYFUNCTION("""COMPUTED_VALUE"""),-0.671517773687842)</f>
        <v>-0.67151777368784205</v>
      </c>
      <c r="FG17" s="3">
        <f ca="1">IFERROR(__xludf.DUMMYFUNCTION("""COMPUTED_VALUE"""),-0.656144413402454)</f>
        <v>-0.656144413402454</v>
      </c>
      <c r="FH17" s="3">
        <f ca="1">IFERROR(__xludf.DUMMYFUNCTION("""COMPUTED_VALUE"""),-0.623625357867437)</f>
        <v>-0.623625357867437</v>
      </c>
      <c r="FI17" s="3">
        <f ca="1">IFERROR(__xludf.DUMMYFUNCTION("""COMPUTED_VALUE"""),-0.472665612992243)</f>
        <v>-0.47266561299224302</v>
      </c>
      <c r="FJ17" s="3">
        <f ca="1">IFERROR(__xludf.DUMMYFUNCTION("""COMPUTED_VALUE"""),-0.506937466952475)</f>
        <v>-0.50693746695247499</v>
      </c>
      <c r="FK17" s="3">
        <f ca="1">IFERROR(__xludf.DUMMYFUNCTION("""COMPUTED_VALUE"""),-0.631613747250673)</f>
        <v>-0.63161374725067299</v>
      </c>
      <c r="FL17" s="3">
        <f ca="1">IFERROR(__xludf.DUMMYFUNCTION("""COMPUTED_VALUE"""),-0.674718055288326)</f>
        <v>-0.67471805528832596</v>
      </c>
      <c r="FM17" s="3">
        <f ca="1">IFERROR(__xludf.DUMMYFUNCTION("""COMPUTED_VALUE"""),-0.664350423653995)</f>
        <v>-0.66435042365399499</v>
      </c>
      <c r="FN17" s="3">
        <f ca="1">IFERROR(__xludf.DUMMYFUNCTION("""COMPUTED_VALUE"""),-0.673251245390537)</f>
        <v>-0.67325124539053705</v>
      </c>
      <c r="FO17" s="3">
        <f ca="1">IFERROR(__xludf.DUMMYFUNCTION("""COMPUTED_VALUE"""),-0.641277301396217)</f>
        <v>-0.64127730139621697</v>
      </c>
      <c r="FP17" s="3">
        <f ca="1">IFERROR(__xludf.DUMMYFUNCTION("""COMPUTED_VALUE"""),-0.512177839497088)</f>
        <v>-0.51217783949708795</v>
      </c>
      <c r="FQ17" s="3">
        <f ca="1">IFERROR(__xludf.DUMMYFUNCTION("""COMPUTED_VALUE"""),-0.524959624976431)</f>
        <v>-0.52495962497643101</v>
      </c>
      <c r="FR17" s="3">
        <f ca="1">IFERROR(__xludf.DUMMYFUNCTION("""COMPUTED_VALUE"""),-0.666285729052958)</f>
        <v>-0.66628572905295802</v>
      </c>
      <c r="FS17" s="3">
        <f ca="1">IFERROR(__xludf.DUMMYFUNCTION("""COMPUTED_VALUE"""),-0.65541003606294)</f>
        <v>-0.65541003606294002</v>
      </c>
      <c r="FT17" s="3">
        <f ca="1">IFERROR(__xludf.DUMMYFUNCTION("""COMPUTED_VALUE"""),-0.666606416284285)</f>
        <v>-0.66660641628428496</v>
      </c>
      <c r="FU17" s="3">
        <f ca="1">IFERROR(__xludf.DUMMYFUNCTION("""COMPUTED_VALUE"""),-0.665158825099509)</f>
        <v>-0.66515882509950897</v>
      </c>
      <c r="FV17" s="3">
        <f ca="1">IFERROR(__xludf.DUMMYFUNCTION("""COMPUTED_VALUE"""),-0.613844974850217)</f>
        <v>-0.61384497485021705</v>
      </c>
      <c r="FW17" s="3">
        <f ca="1">IFERROR(__xludf.DUMMYFUNCTION("""COMPUTED_VALUE"""),-0.502159964460285)</f>
        <v>-0.50215996446028499</v>
      </c>
      <c r="FX17" s="3">
        <f ca="1">IFERROR(__xludf.DUMMYFUNCTION("""COMPUTED_VALUE"""),-0.526147622835031)</f>
        <v>-0.52614762283503103</v>
      </c>
      <c r="FY17" s="3">
        <f ca="1">IFERROR(__xludf.DUMMYFUNCTION("""COMPUTED_VALUE"""),-0.649652133015817)</f>
        <v>-0.64965213301581703</v>
      </c>
      <c r="FZ17" s="3">
        <f ca="1">IFERROR(__xludf.DUMMYFUNCTION("""COMPUTED_VALUE"""),-0.670720011448943)</f>
        <v>-0.670720011448943</v>
      </c>
      <c r="GA17" s="3">
        <f ca="1">IFERROR(__xludf.DUMMYFUNCTION("""COMPUTED_VALUE"""),-0.669357475020512)</f>
        <v>-0.66935747502051202</v>
      </c>
      <c r="GB17" s="3">
        <f ca="1">IFERROR(__xludf.DUMMYFUNCTION("""COMPUTED_VALUE"""),-0.665965853603053)</f>
        <v>-0.66596585360305305</v>
      </c>
      <c r="GC17" s="3">
        <f ca="1">IFERROR(__xludf.DUMMYFUNCTION("""COMPUTED_VALUE"""),-0.64547986599136)</f>
        <v>-0.64547986599135998</v>
      </c>
      <c r="GD17" s="3">
        <f ca="1">IFERROR(__xludf.DUMMYFUNCTION("""COMPUTED_VALUE"""),-0.494233742494423)</f>
        <v>-0.49423374249442298</v>
      </c>
      <c r="GE17" s="3">
        <f ca="1">IFERROR(__xludf.DUMMYFUNCTION("""COMPUTED_VALUE"""),-0.52485625750802)</f>
        <v>-0.52485625750802001</v>
      </c>
      <c r="GF17" s="3">
        <f ca="1">IFERROR(__xludf.DUMMYFUNCTION("""COMPUTED_VALUE"""),-0.644467519055337)</f>
        <v>-0.64446751905533695</v>
      </c>
      <c r="GG17" s="3">
        <f ca="1">IFERROR(__xludf.DUMMYFUNCTION("""COMPUTED_VALUE"""),-0.664024576934006)</f>
        <v>-0.66402457693400596</v>
      </c>
      <c r="GH17" s="3">
        <f ca="1">IFERROR(__xludf.DUMMYFUNCTION("""COMPUTED_VALUE"""),-0.663864193023021)</f>
        <v>-0.66386419302302102</v>
      </c>
      <c r="GI17" s="3">
        <f ca="1">IFERROR(__xludf.DUMMYFUNCTION("""COMPUTED_VALUE"""),-0.656093572304479)</f>
        <v>-0.65609357230447896</v>
      </c>
      <c r="GJ17" s="3">
        <f ca="1">IFERROR(__xludf.DUMMYFUNCTION("""COMPUTED_VALUE"""),-0.628662607161533)</f>
        <v>-0.62866260716153299</v>
      </c>
      <c r="GK17" s="3">
        <f ca="1">IFERROR(__xludf.DUMMYFUNCTION("""COMPUTED_VALUE"""),-0.460120746113882)</f>
        <v>-0.46012074611388198</v>
      </c>
      <c r="GL17" s="3">
        <f ca="1">IFERROR(__xludf.DUMMYFUNCTION("""COMPUTED_VALUE"""),-0.538208720173471)</f>
        <v>-0.53820872017347099</v>
      </c>
      <c r="GM17" s="3">
        <f ca="1">IFERROR(__xludf.DUMMYFUNCTION("""COMPUTED_VALUE"""),-0.649762869291854)</f>
        <v>-0.64976286929185401</v>
      </c>
      <c r="GN17" s="3">
        <f ca="1">IFERROR(__xludf.DUMMYFUNCTION("""COMPUTED_VALUE"""),-0.693598119346938)</f>
        <v>-0.69359811934693805</v>
      </c>
      <c r="GO17" s="3">
        <f ca="1">IFERROR(__xludf.DUMMYFUNCTION("""COMPUTED_VALUE"""),-0.689404267609267)</f>
        <v>-0.68940426760926699</v>
      </c>
      <c r="GP17" s="3">
        <f ca="1">IFERROR(__xludf.DUMMYFUNCTION("""COMPUTED_VALUE"""),-0.685944790924283)</f>
        <v>-0.68594479092428295</v>
      </c>
      <c r="GQ17" s="3">
        <f ca="1">IFERROR(__xludf.DUMMYFUNCTION("""COMPUTED_VALUE"""),-0.646571352798616)</f>
        <v>-0.64657135279861599</v>
      </c>
      <c r="GR17" s="3">
        <f ca="1">IFERROR(__xludf.DUMMYFUNCTION("""COMPUTED_VALUE"""),-0.46252554530986)</f>
        <v>-0.46252554530986001</v>
      </c>
      <c r="GS17" s="3">
        <f ca="1">IFERROR(__xludf.DUMMYFUNCTION("""COMPUTED_VALUE"""),-0.527235350579655)</f>
        <v>-0.52723535057965498</v>
      </c>
      <c r="GT17" s="3">
        <f ca="1">IFERROR(__xludf.DUMMYFUNCTION("""COMPUTED_VALUE"""),-0.649665377221701)</f>
        <v>-0.64966537722170103</v>
      </c>
      <c r="GU17" s="3">
        <f ca="1">IFERROR(__xludf.DUMMYFUNCTION("""COMPUTED_VALUE"""),-0.680570711921209)</f>
        <v>-0.68057071192120899</v>
      </c>
      <c r="GV17" s="3">
        <f ca="1">IFERROR(__xludf.DUMMYFUNCTION("""COMPUTED_VALUE"""),-0.68456903724108)</f>
        <v>-0.68456903724107998</v>
      </c>
      <c r="GW17" s="3">
        <f ca="1">IFERROR(__xludf.DUMMYFUNCTION("""COMPUTED_VALUE"""),-0.663724750336411)</f>
        <v>-0.66372475033641098</v>
      </c>
      <c r="GX17" s="3">
        <f ca="1">IFERROR(__xludf.DUMMYFUNCTION("""COMPUTED_VALUE"""),-0.603965889959965)</f>
        <v>-0.60396588995996503</v>
      </c>
      <c r="GY17" s="3">
        <f ca="1">IFERROR(__xludf.DUMMYFUNCTION("""COMPUTED_VALUE"""),-0.411633135840377)</f>
        <v>-0.41163313584037697</v>
      </c>
      <c r="GZ17" s="3">
        <f ca="1">IFERROR(__xludf.DUMMYFUNCTION("""COMPUTED_VALUE"""),-0.525097970413588)</f>
        <v>-0.52509797041358797</v>
      </c>
      <c r="HA17" s="3">
        <f ca="1">IFERROR(__xludf.DUMMYFUNCTION("""COMPUTED_VALUE"""),-0.634149197520101)</f>
        <v>-0.63414919752010102</v>
      </c>
      <c r="HB17" s="3">
        <f ca="1">IFERROR(__xludf.DUMMYFUNCTION("""COMPUTED_VALUE"""),-0.666667679859476)</f>
        <v>-0.66666767985947595</v>
      </c>
      <c r="HC17" s="3">
        <f ca="1">IFERROR(__xludf.DUMMYFUNCTION("""COMPUTED_VALUE"""),-0.63863205897547)</f>
        <v>-0.63863205897547004</v>
      </c>
      <c r="HD17" s="3">
        <f ca="1">IFERROR(__xludf.DUMMYFUNCTION("""COMPUTED_VALUE"""),-0.652141895684759)</f>
        <v>-0.652141895684759</v>
      </c>
      <c r="HE17" s="3">
        <f ca="1">IFERROR(__xludf.DUMMYFUNCTION("""COMPUTED_VALUE"""),-0.632424937792092)</f>
        <v>-0.63242493779209197</v>
      </c>
      <c r="HF17" s="3">
        <f ca="1">IFERROR(__xludf.DUMMYFUNCTION("""COMPUTED_VALUE"""),-0.458660895424589)</f>
        <v>-0.45866089542458899</v>
      </c>
      <c r="HG17" s="3">
        <f ca="1">IFERROR(__xludf.DUMMYFUNCTION("""COMPUTED_VALUE"""),-0.572461757825664)</f>
        <v>-0.572461757825664</v>
      </c>
      <c r="HH17" s="3">
        <f ca="1">IFERROR(__xludf.DUMMYFUNCTION("""COMPUTED_VALUE"""),-0.647732880315254)</f>
        <v>-0.647732880315254</v>
      </c>
      <c r="HI17" s="3">
        <f ca="1">IFERROR(__xludf.DUMMYFUNCTION("""COMPUTED_VALUE"""),-0.667303755240475)</f>
        <v>-0.66730375524047503</v>
      </c>
      <c r="HJ17" s="3">
        <f ca="1">IFERROR(__xludf.DUMMYFUNCTION("""COMPUTED_VALUE"""),-0.657777676685429)</f>
        <v>-0.65777767668542897</v>
      </c>
      <c r="HK17" s="3">
        <f ca="1">IFERROR(__xludf.DUMMYFUNCTION("""COMPUTED_VALUE"""),-0.678358678461081)</f>
        <v>-0.678358678461081</v>
      </c>
      <c r="HL17" s="3">
        <f ca="1">IFERROR(__xludf.DUMMYFUNCTION("""COMPUTED_VALUE"""),-0.610244353748153)</f>
        <v>-0.610244353748153</v>
      </c>
      <c r="HM17" s="3">
        <f ca="1">IFERROR(__xludf.DUMMYFUNCTION("""COMPUTED_VALUE"""),-0.481133484829973)</f>
        <v>-0.48113348482997298</v>
      </c>
      <c r="HN17" s="3">
        <f ca="1">IFERROR(__xludf.DUMMYFUNCTION("""COMPUTED_VALUE"""),-0.467846124936137)</f>
        <v>-0.46784612493613698</v>
      </c>
      <c r="HO17" s="3">
        <f ca="1">IFERROR(__xludf.DUMMYFUNCTION("""COMPUTED_VALUE"""),-0.604485031728139)</f>
        <v>-0.60448503172813906</v>
      </c>
      <c r="HP17" s="3">
        <f ca="1">IFERROR(__xludf.DUMMYFUNCTION("""COMPUTED_VALUE"""),-0.649108804944635)</f>
        <v>-0.64910880494463497</v>
      </c>
      <c r="HQ17" s="3">
        <f ca="1">IFERROR(__xludf.DUMMYFUNCTION("""COMPUTED_VALUE"""),-0.628922732054304)</f>
        <v>-0.62892273205430405</v>
      </c>
      <c r="HR17" s="3">
        <f ca="1">IFERROR(__xludf.DUMMYFUNCTION("""COMPUTED_VALUE"""),-0.645856845829281)</f>
        <v>-0.64585684582928105</v>
      </c>
      <c r="HS17" s="3">
        <f ca="1">IFERROR(__xludf.DUMMYFUNCTION("""COMPUTED_VALUE"""),-0.522460184916611)</f>
        <v>-0.52246018491661095</v>
      </c>
      <c r="HT17" s="3">
        <f ca="1">IFERROR(__xludf.DUMMYFUNCTION("""COMPUTED_VALUE"""),-0.423814407964844)</f>
        <v>-0.42381440796484399</v>
      </c>
      <c r="HU17" s="3">
        <f ca="1">IFERROR(__xludf.DUMMYFUNCTION("""COMPUTED_VALUE"""),-0.43877966860864)</f>
        <v>-0.43877966860863998</v>
      </c>
      <c r="HV17" s="3">
        <f ca="1">IFERROR(__xludf.DUMMYFUNCTION("""COMPUTED_VALUE"""),-0.592873960801694)</f>
        <v>-0.59287396080169397</v>
      </c>
      <c r="HW17" s="3">
        <f ca="1">IFERROR(__xludf.DUMMYFUNCTION("""COMPUTED_VALUE"""),-0.621779430070016)</f>
        <v>-0.62177943007001601</v>
      </c>
      <c r="HX17" s="3">
        <f ca="1">IFERROR(__xludf.DUMMYFUNCTION("""COMPUTED_VALUE"""),-0.638302655517464)</f>
        <v>-0.63830265551746401</v>
      </c>
      <c r="HY17" s="3">
        <f ca="1">IFERROR(__xludf.DUMMYFUNCTION("""COMPUTED_VALUE"""),-0.600656805553672)</f>
        <v>-0.60065680555367196</v>
      </c>
      <c r="HZ17" s="3">
        <f ca="1">IFERROR(__xludf.DUMMYFUNCTION("""COMPUTED_VALUE"""),-0.496894359496767)</f>
        <v>-0.49689435949676702</v>
      </c>
      <c r="IA17" s="3">
        <f ca="1">IFERROR(__xludf.DUMMYFUNCTION("""COMPUTED_VALUE"""),-0.449646873639751)</f>
        <v>-0.44964687363975098</v>
      </c>
      <c r="IB17" s="3">
        <f ca="1">IFERROR(__xludf.DUMMYFUNCTION("""COMPUTED_VALUE"""),-0.421384453499402)</f>
        <v>-0.42138445349940201</v>
      </c>
      <c r="IC17" s="3">
        <f ca="1">IFERROR(__xludf.DUMMYFUNCTION("""COMPUTED_VALUE"""),-0.574282591492882)</f>
        <v>-0.57428259149288197</v>
      </c>
      <c r="ID17" s="3">
        <f ca="1">IFERROR(__xludf.DUMMYFUNCTION("""COMPUTED_VALUE"""),-0.590727979634915)</f>
        <v>-0.59072797963491497</v>
      </c>
      <c r="IE17" s="3">
        <f ca="1">IFERROR(__xludf.DUMMYFUNCTION("""COMPUTED_VALUE"""),-0.617658250611718)</f>
        <v>-0.61765825061171797</v>
      </c>
      <c r="IF17" s="3">
        <f ca="1">IFERROR(__xludf.DUMMYFUNCTION("""COMPUTED_VALUE"""),-0.596013067234509)</f>
        <v>-0.59601306723450898</v>
      </c>
      <c r="IG17" s="3">
        <f ca="1">IFERROR(__xludf.DUMMYFUNCTION("""COMPUTED_VALUE"""),-0.556627032541006)</f>
        <v>-0.55662703254100598</v>
      </c>
      <c r="IH17" s="3">
        <f ca="1">IFERROR(__xludf.DUMMYFUNCTION("""COMPUTED_VALUE"""),-0.381248710592323)</f>
        <v>-0.38124871059232301</v>
      </c>
      <c r="II17" s="3">
        <f ca="1">IFERROR(__xludf.DUMMYFUNCTION("""COMPUTED_VALUE"""),-0.436535043768498)</f>
        <v>-0.436535043768498</v>
      </c>
      <c r="IJ17" s="3">
        <f ca="1">IFERROR(__xludf.DUMMYFUNCTION("""COMPUTED_VALUE"""),-0.542290160506171)</f>
        <v>-0.54229016050617096</v>
      </c>
      <c r="IK17" s="3">
        <f ca="1">IFERROR(__xludf.DUMMYFUNCTION("""COMPUTED_VALUE"""),-0.573696228755373)</f>
        <v>-0.57369622875537296</v>
      </c>
      <c r="IL17" s="3">
        <f ca="1">IFERROR(__xludf.DUMMYFUNCTION("""COMPUTED_VALUE"""),-0.598737432984066)</f>
        <v>-0.59873743298406601</v>
      </c>
      <c r="IM17" s="3">
        <f ca="1">IFERROR(__xludf.DUMMYFUNCTION("""COMPUTED_VALUE"""),-0.577831955819459)</f>
        <v>-0.57783195581945901</v>
      </c>
      <c r="IN17" s="3">
        <f ca="1">IFERROR(__xludf.DUMMYFUNCTION("""COMPUTED_VALUE"""),-0.569016124901174)</f>
        <v>-0.56901612490117404</v>
      </c>
      <c r="IO17" s="3">
        <f ca="1">IFERROR(__xludf.DUMMYFUNCTION("""COMPUTED_VALUE"""),-0.428564449965481)</f>
        <v>-0.42856444996548099</v>
      </c>
      <c r="IP17" s="3">
        <f ca="1">IFERROR(__xludf.DUMMYFUNCTION("""COMPUTED_VALUE"""),-0.486969811640909)</f>
        <v>-0.48696981164090902</v>
      </c>
      <c r="IQ17" s="3">
        <f ca="1">IFERROR(__xludf.DUMMYFUNCTION("""COMPUTED_VALUE"""),-0.575381030105948)</f>
        <v>-0.57538103010594799</v>
      </c>
      <c r="IR17" s="3">
        <f ca="1">IFERROR(__xludf.DUMMYFUNCTION("""COMPUTED_VALUE"""),-0.620590041971307)</f>
        <v>-0.62059004197130696</v>
      </c>
      <c r="IS17" s="3">
        <f ca="1">IFERROR(__xludf.DUMMYFUNCTION("""COMPUTED_VALUE"""),-0.62773239510998)</f>
        <v>-0.62773239510998002</v>
      </c>
      <c r="IT17" s="3">
        <f ca="1">IFERROR(__xludf.DUMMYFUNCTION("""COMPUTED_VALUE"""),-0.594779323877397)</f>
        <v>-0.59477932387739696</v>
      </c>
      <c r="IU17" s="3">
        <f ca="1">IFERROR(__xludf.DUMMYFUNCTION("""COMPUTED_VALUE"""),-0.549994400339503)</f>
        <v>-0.54999440033950298</v>
      </c>
      <c r="IV17" s="3">
        <f ca="1">IFERROR(__xludf.DUMMYFUNCTION("""COMPUTED_VALUE"""),-0.454381153020559)</f>
        <v>-0.45438115302055898</v>
      </c>
      <c r="IW17" s="3">
        <f ca="1">IFERROR(__xludf.DUMMYFUNCTION("""COMPUTED_VALUE"""),-0.47916169238778)</f>
        <v>-0.47916169238778</v>
      </c>
      <c r="IX17" s="3">
        <f ca="1">IFERROR(__xludf.DUMMYFUNCTION("""COMPUTED_VALUE"""),-0.572263433254838)</f>
        <v>-0.57226343325483797</v>
      </c>
      <c r="IY17" s="3">
        <f ca="1">IFERROR(__xludf.DUMMYFUNCTION("""COMPUTED_VALUE"""),-0.634962732753559)</f>
        <v>-0.63496273275355897</v>
      </c>
      <c r="IZ17" s="3">
        <f ca="1">IFERROR(__xludf.DUMMYFUNCTION("""COMPUTED_VALUE"""),-0.615909454757662)</f>
        <v>-0.61590945475766201</v>
      </c>
      <c r="JA17" s="3">
        <f ca="1">IFERROR(__xludf.DUMMYFUNCTION("""COMPUTED_VALUE"""),-0.602124807878501)</f>
        <v>-0.60212480787850098</v>
      </c>
      <c r="JB17" s="3">
        <f ca="1">IFERROR(__xludf.DUMMYFUNCTION("""COMPUTED_VALUE"""),-0.581875184704864)</f>
        <v>-0.58187518470486399</v>
      </c>
      <c r="JC17" s="3">
        <f ca="1">IFERROR(__xludf.DUMMYFUNCTION("""COMPUTED_VALUE"""),-0.435911777204855)</f>
        <v>-0.43591177720485502</v>
      </c>
      <c r="JD17" s="3">
        <f ca="1">IFERROR(__xludf.DUMMYFUNCTION("""COMPUTED_VALUE"""),-0.476502159899178)</f>
        <v>-0.47650215989917799</v>
      </c>
      <c r="JE17" s="3">
        <f ca="1">IFERROR(__xludf.DUMMYFUNCTION("""COMPUTED_VALUE"""),-0.589377953085962)</f>
        <v>-0.58937795308596197</v>
      </c>
      <c r="JF17" s="3">
        <f ca="1">IFERROR(__xludf.DUMMYFUNCTION("""COMPUTED_VALUE"""),-0.613711029355716)</f>
        <v>-0.61371102935571598</v>
      </c>
      <c r="JG17" s="3">
        <f ca="1">IFERROR(__xludf.DUMMYFUNCTION("""COMPUTED_VALUE"""),-0.61506974170367)</f>
        <v>-0.61506974170367001</v>
      </c>
      <c r="JH17" s="3">
        <f ca="1">IFERROR(__xludf.DUMMYFUNCTION("""COMPUTED_VALUE"""),-0.633930181919278)</f>
        <v>-0.63393018191927797</v>
      </c>
      <c r="JI17" s="3">
        <f ca="1">IFERROR(__xludf.DUMMYFUNCTION("""COMPUTED_VALUE"""),-0.581188595686466)</f>
        <v>-0.58118859568646597</v>
      </c>
      <c r="JJ17" s="3">
        <f ca="1">IFERROR(__xludf.DUMMYFUNCTION("""COMPUTED_VALUE"""),-0.527368902481791)</f>
        <v>-0.52736890248179102</v>
      </c>
      <c r="JK17" s="3">
        <f ca="1">IFERROR(__xludf.DUMMYFUNCTION("""COMPUTED_VALUE"""),-0.484725819291962)</f>
        <v>-0.48472581929196201</v>
      </c>
      <c r="JL17" s="3">
        <f ca="1">IFERROR(__xludf.DUMMYFUNCTION("""COMPUTED_VALUE"""),-0.567944967201185)</f>
        <v>-0.56794496720118504</v>
      </c>
      <c r="JM17" s="3">
        <f ca="1">IFERROR(__xludf.DUMMYFUNCTION("""COMPUTED_VALUE"""),-0.61995425192896)</f>
        <v>-0.61995425192896003</v>
      </c>
      <c r="JN17" s="3">
        <f ca="1">IFERROR(__xludf.DUMMYFUNCTION("""COMPUTED_VALUE"""),-0.630924803152214)</f>
        <v>-0.630924803152214</v>
      </c>
      <c r="JO17" s="3">
        <f ca="1">IFERROR(__xludf.DUMMYFUNCTION("""COMPUTED_VALUE"""),-0.619844557622378)</f>
        <v>-0.619844557622378</v>
      </c>
      <c r="JP17" s="3">
        <f ca="1">IFERROR(__xludf.DUMMYFUNCTION("""COMPUTED_VALUE"""),-0.579150809415925)</f>
        <v>-0.57915080941592501</v>
      </c>
      <c r="JQ17" s="3">
        <f ca="1">IFERROR(__xludf.DUMMYFUNCTION("""COMPUTED_VALUE"""),-0.442783975820362)</f>
        <v>-0.442783975820362</v>
      </c>
      <c r="JR17" s="3">
        <f ca="1">IFERROR(__xludf.DUMMYFUNCTION("""COMPUTED_VALUE"""),-0.482744435261175)</f>
        <v>-0.482744435261175</v>
      </c>
      <c r="JS17" s="3">
        <f ca="1">IFERROR(__xludf.DUMMYFUNCTION("""COMPUTED_VALUE"""),-0.572867596874677)</f>
        <v>-0.57286759687467703</v>
      </c>
      <c r="JT17" s="3">
        <f ca="1">IFERROR(__xludf.DUMMYFUNCTION("""COMPUTED_VALUE"""),-0.569844202180046)</f>
        <v>-0.56984420218004606</v>
      </c>
      <c r="JU17" s="3">
        <f ca="1">IFERROR(__xludf.DUMMYFUNCTION("""COMPUTED_VALUE"""),-0.631020090631484)</f>
        <v>-0.63102009063148401</v>
      </c>
      <c r="JV17" s="3">
        <f ca="1">IFERROR(__xludf.DUMMYFUNCTION("""COMPUTED_VALUE"""),-0.599449013749401)</f>
        <v>-0.59944901374940096</v>
      </c>
      <c r="JW17" s="3">
        <f ca="1">IFERROR(__xludf.DUMMYFUNCTION("""COMPUTED_VALUE"""),-0.582381021893998)</f>
        <v>-0.58238102189399799</v>
      </c>
      <c r="JX17" s="3">
        <f ca="1">IFERROR(__xludf.DUMMYFUNCTION("""COMPUTED_VALUE"""),-0.48053592524866)</f>
        <v>-0.48053592524866001</v>
      </c>
      <c r="JY17" s="3">
        <f ca="1">IFERROR(__xludf.DUMMYFUNCTION("""COMPUTED_VALUE"""),-0.525249280451639)</f>
        <v>-0.52524928045163899</v>
      </c>
      <c r="JZ17" s="3">
        <f ca="1">IFERROR(__xludf.DUMMYFUNCTION("""COMPUTED_VALUE"""),-0.506014651683363)</f>
        <v>-0.50601465168336301</v>
      </c>
      <c r="KA17" s="3">
        <f ca="1">IFERROR(__xludf.DUMMYFUNCTION("""COMPUTED_VALUE"""),-0.56787982531585)</f>
        <v>-0.56787982531585002</v>
      </c>
      <c r="KB17" s="3">
        <f ca="1">IFERROR(__xludf.DUMMYFUNCTION("""COMPUTED_VALUE"""),-0.645654348307912)</f>
        <v>-0.64565434830791202</v>
      </c>
      <c r="KC17" s="3">
        <f ca="1">IFERROR(__xludf.DUMMYFUNCTION("""COMPUTED_VALUE"""),-0.659573827581843)</f>
        <v>-0.65957382758184302</v>
      </c>
      <c r="KD17" s="3">
        <f ca="1">IFERROR(__xludf.DUMMYFUNCTION("""COMPUTED_VALUE"""),-0.610584609341102)</f>
        <v>-0.61058460934110204</v>
      </c>
      <c r="KE17" s="3">
        <f ca="1">IFERROR(__xludf.DUMMYFUNCTION("""COMPUTED_VALUE"""),-0.426857474162461)</f>
        <v>-0.426857474162461</v>
      </c>
      <c r="KF17" s="3">
        <f ca="1">IFERROR(__xludf.DUMMYFUNCTION("""COMPUTED_VALUE"""),-0.472624108379415)</f>
        <v>-0.47262410837941499</v>
      </c>
      <c r="KG17" s="3">
        <f ca="1">IFERROR(__xludf.DUMMYFUNCTION("""COMPUTED_VALUE"""),-0.618803324695349)</f>
        <v>-0.61880332469534904</v>
      </c>
      <c r="KH17" s="3">
        <f ca="1">IFERROR(__xludf.DUMMYFUNCTION("""COMPUTED_VALUE"""),-0.583335477380751)</f>
        <v>-0.58333547738075098</v>
      </c>
      <c r="KI17" s="3">
        <f ca="1">IFERROR(__xludf.DUMMYFUNCTION("""COMPUTED_VALUE"""),-0.654246925230842)</f>
        <v>-0.65424692523084205</v>
      </c>
      <c r="KJ17" s="3">
        <f ca="1">IFERROR(__xludf.DUMMYFUNCTION("""COMPUTED_VALUE"""),-0.660627574902692)</f>
        <v>-0.66062757490269197</v>
      </c>
      <c r="KK17" s="3">
        <f ca="1">IFERROR(__xludf.DUMMYFUNCTION("""COMPUTED_VALUE"""),-0.609906950734258)</f>
        <v>-0.60990695073425805</v>
      </c>
      <c r="KL17" s="3">
        <f ca="1">IFERROR(__xludf.DUMMYFUNCTION("""COMPUTED_VALUE"""),-0.455501788169962)</f>
        <v>-0.45550178816996201</v>
      </c>
      <c r="KM17" s="3">
        <f ca="1">IFERROR(__xludf.DUMMYFUNCTION("""COMPUTED_VALUE"""),-0.420716706803548)</f>
        <v>-0.420716706803548</v>
      </c>
      <c r="KN17" s="3">
        <f ca="1">IFERROR(__xludf.DUMMYFUNCTION("""COMPUTED_VALUE"""),-0.545044002184121)</f>
        <v>-0.54504400218412097</v>
      </c>
      <c r="KO17" s="3">
        <f ca="1">IFERROR(__xludf.DUMMYFUNCTION("""COMPUTED_VALUE"""),-0.602536216037419)</f>
        <v>-0.60253621603741903</v>
      </c>
      <c r="KP17" s="3">
        <f ca="1">IFERROR(__xludf.DUMMYFUNCTION("""COMPUTED_VALUE"""),-0.600234480013521)</f>
        <v>-0.60023448001352098</v>
      </c>
      <c r="KQ17" s="3">
        <f ca="1">IFERROR(__xludf.DUMMYFUNCTION("""COMPUTED_VALUE"""),-0.605611953188004)</f>
        <v>-0.60561195318800398</v>
      </c>
      <c r="KR17" s="3">
        <f ca="1">IFERROR(__xludf.DUMMYFUNCTION("""COMPUTED_VALUE"""),-0.536862212071249)</f>
        <v>-0.53686221207124896</v>
      </c>
      <c r="KS17" s="3">
        <f ca="1">IFERROR(__xludf.DUMMYFUNCTION("""COMPUTED_VALUE"""),-0.402891162656871)</f>
        <v>-0.40289116265687103</v>
      </c>
      <c r="KT17" s="3">
        <f ca="1">IFERROR(__xludf.DUMMYFUNCTION("""COMPUTED_VALUE"""),-0.449539700590273)</f>
        <v>-0.44953970059027298</v>
      </c>
      <c r="KU17" s="3">
        <f ca="1">IFERROR(__xludf.DUMMYFUNCTION("""COMPUTED_VALUE"""),-0.589030684182363)</f>
        <v>-0.58903068418236304</v>
      </c>
      <c r="KV17" s="3">
        <f ca="1">IFERROR(__xludf.DUMMYFUNCTION("""COMPUTED_VALUE"""),-0.582952157619028)</f>
        <v>-0.58295215761902797</v>
      </c>
      <c r="KW17" s="3">
        <f ca="1">IFERROR(__xludf.DUMMYFUNCTION("""COMPUTED_VALUE"""),-0.613591777886292)</f>
        <v>-0.61359177788629204</v>
      </c>
      <c r="KX17" s="3">
        <f ca="1">IFERROR(__xludf.DUMMYFUNCTION("""COMPUTED_VALUE"""),-0.615663630557815)</f>
        <v>-0.61566363055781503</v>
      </c>
      <c r="KY17" s="3">
        <f ca="1">IFERROR(__xludf.DUMMYFUNCTION("""COMPUTED_VALUE"""),-0.53815739502478)</f>
        <v>-0.53815739502477999</v>
      </c>
      <c r="KZ17" s="3">
        <f ca="1">IFERROR(__xludf.DUMMYFUNCTION("""COMPUTED_VALUE"""),-0.398012362875967)</f>
        <v>-0.39801236287596697</v>
      </c>
      <c r="LA17" s="3">
        <f ca="1">IFERROR(__xludf.DUMMYFUNCTION("""COMPUTED_VALUE"""),-0.462177668889011)</f>
        <v>-0.46217766888901102</v>
      </c>
      <c r="LB17" s="3">
        <f ca="1">IFERROR(__xludf.DUMMYFUNCTION("""COMPUTED_VALUE"""),-0.624961605427062)</f>
        <v>-0.62496160542706203</v>
      </c>
      <c r="LC17" s="3">
        <f ca="1">IFERROR(__xludf.DUMMYFUNCTION("""COMPUTED_VALUE"""),-0.636426473198302)</f>
        <v>-0.63642647319830203</v>
      </c>
      <c r="LD17" s="3">
        <f ca="1">IFERROR(__xludf.DUMMYFUNCTION("""COMPUTED_VALUE"""),-0.679510037566292)</f>
        <v>-0.67951003756629202</v>
      </c>
      <c r="LE17" s="3">
        <f ca="1">IFERROR(__xludf.DUMMYFUNCTION("""COMPUTED_VALUE"""),-0.643807802737178)</f>
        <v>-0.64380780273717797</v>
      </c>
      <c r="LF17" s="3">
        <f ca="1">IFERROR(__xludf.DUMMYFUNCTION("""COMPUTED_VALUE"""),-0.588998195323097)</f>
        <v>-0.58899819532309705</v>
      </c>
      <c r="LG17" s="3">
        <f ca="1">IFERROR(__xludf.DUMMYFUNCTION("""COMPUTED_VALUE"""),-0.535966484362953)</f>
        <v>-0.53596648436295302</v>
      </c>
      <c r="LH17" s="3">
        <f ca="1">IFERROR(__xludf.DUMMYFUNCTION("""COMPUTED_VALUE"""),-0.506100917341853)</f>
        <v>-0.50610091734185303</v>
      </c>
      <c r="LI17" s="3">
        <f ca="1">IFERROR(__xludf.DUMMYFUNCTION("""COMPUTED_VALUE"""),-0.652146891438016)</f>
        <v>-0.65214689143801596</v>
      </c>
      <c r="LJ17" s="3">
        <f ca="1">IFERROR(__xludf.DUMMYFUNCTION("""COMPUTED_VALUE"""),-0.684195727836819)</f>
        <v>-0.68419572783681903</v>
      </c>
      <c r="LK17" s="3">
        <f ca="1">IFERROR(__xludf.DUMMYFUNCTION("""COMPUTED_VALUE"""),-0.66505849969263)</f>
        <v>-0.66505849969262998</v>
      </c>
      <c r="LL17" s="3">
        <f ca="1">IFERROR(__xludf.DUMMYFUNCTION("""COMPUTED_VALUE"""),-0.657498437235777)</f>
        <v>-0.65749843723577694</v>
      </c>
      <c r="LM17" s="3">
        <f ca="1">IFERROR(__xludf.DUMMYFUNCTION("""COMPUTED_VALUE"""),-0.583236479167446)</f>
        <v>-0.58323647916744603</v>
      </c>
      <c r="LN17" s="3">
        <f ca="1">IFERROR(__xludf.DUMMYFUNCTION("""COMPUTED_VALUE"""),-0.483070593328908)</f>
        <v>-0.483070593328908</v>
      </c>
      <c r="LO17" s="3">
        <f ca="1">IFERROR(__xludf.DUMMYFUNCTION("""COMPUTED_VALUE"""),-0.568387058992514)</f>
        <v>-0.56838705899251396</v>
      </c>
      <c r="LP17" s="3">
        <f ca="1">IFERROR(__xludf.DUMMYFUNCTION("""COMPUTED_VALUE"""),-0.672721655976511)</f>
        <v>-0.67272165597651101</v>
      </c>
      <c r="LQ17" s="3">
        <f ca="1">IFERROR(__xludf.DUMMYFUNCTION("""COMPUTED_VALUE"""),-0.691161892644824)</f>
        <v>-0.69116189264482397</v>
      </c>
      <c r="LR17" s="3">
        <f ca="1">IFERROR(__xludf.DUMMYFUNCTION("""COMPUTED_VALUE"""),-0.698956743754414)</f>
        <v>-0.69895674375441397</v>
      </c>
      <c r="LS17" s="3">
        <f ca="1">IFERROR(__xludf.DUMMYFUNCTION("""COMPUTED_VALUE"""),-0.695586976728922)</f>
        <v>-0.695586976728922</v>
      </c>
      <c r="LT17" s="3">
        <f ca="1">IFERROR(__xludf.DUMMYFUNCTION("""COMPUTED_VALUE"""),-0.584212488344404)</f>
        <v>-0.58421248834440398</v>
      </c>
      <c r="LU17" s="3">
        <f ca="1">IFERROR(__xludf.DUMMYFUNCTION("""COMPUTED_VALUE"""),-0.562150310727739)</f>
        <v>-0.56215031072773902</v>
      </c>
      <c r="LV17" s="3">
        <f ca="1">IFERROR(__xludf.DUMMYFUNCTION("""COMPUTED_VALUE"""),-0.61419195673145)</f>
        <v>-0.61419195673145</v>
      </c>
      <c r="LW17" s="3">
        <f ca="1">IFERROR(__xludf.DUMMYFUNCTION("""COMPUTED_VALUE"""),-0.688857414525138)</f>
        <v>-0.68885741452513805</v>
      </c>
      <c r="LX17" s="3">
        <f ca="1">IFERROR(__xludf.DUMMYFUNCTION("""COMPUTED_VALUE"""),-0.74193850542241)</f>
        <v>-0.74193850542241002</v>
      </c>
      <c r="LY17" s="3">
        <f ca="1">IFERROR(__xludf.DUMMYFUNCTION("""COMPUTED_VALUE"""),-0.710453879562522)</f>
        <v>-0.71045387956252204</v>
      </c>
      <c r="LZ17" s="3">
        <f ca="1">IFERROR(__xludf.DUMMYFUNCTION("""COMPUTED_VALUE"""),-0.723064614929285)</f>
        <v>-0.72306461492928498</v>
      </c>
      <c r="MA17" s="3">
        <f ca="1">IFERROR(__xludf.DUMMYFUNCTION("""COMPUTED_VALUE"""),-0.697402042525553)</f>
        <v>-0.69740204252555305</v>
      </c>
      <c r="MB17" s="3">
        <f ca="1">IFERROR(__xludf.DUMMYFUNCTION("""COMPUTED_VALUE"""),-0.60595539943071)</f>
        <v>-0.60595539943070997</v>
      </c>
      <c r="MC17" s="3">
        <f ca="1">IFERROR(__xludf.DUMMYFUNCTION("""COMPUTED_VALUE"""),-0.636866008664015)</f>
        <v>-0.63686600866401499</v>
      </c>
      <c r="MD17" s="3">
        <f ca="1">IFERROR(__xludf.DUMMYFUNCTION("""COMPUTED_VALUE"""),-0.729280185794609)</f>
        <v>-0.72928018579460896</v>
      </c>
      <c r="ME17" s="3">
        <f ca="1">IFERROR(__xludf.DUMMYFUNCTION("""COMPUTED_VALUE"""),-0.73530463976717)</f>
        <v>-0.73530463976716998</v>
      </c>
      <c r="MF17" s="3">
        <f ca="1">IFERROR(__xludf.DUMMYFUNCTION("""COMPUTED_VALUE"""),-0.761827737675288)</f>
        <v>-0.761827737675288</v>
      </c>
      <c r="MG17" s="3">
        <f ca="1">IFERROR(__xludf.DUMMYFUNCTION("""COMPUTED_VALUE"""),-0.763562341341583)</f>
        <v>-0.76356234134158296</v>
      </c>
      <c r="MH17" s="3">
        <f ca="1">IFERROR(__xludf.DUMMYFUNCTION("""COMPUTED_VALUE"""),-0.698513988431261)</f>
        <v>-0.698513988431261</v>
      </c>
      <c r="MI17" s="3">
        <f ca="1">IFERROR(__xludf.DUMMYFUNCTION("""COMPUTED_VALUE"""),-0.53159246753898)</f>
        <v>-0.53159246753898004</v>
      </c>
      <c r="MJ17" s="3">
        <f ca="1">IFERROR(__xludf.DUMMYFUNCTION("""COMPUTED_VALUE"""),-0.585548514342119)</f>
        <v>-0.58554851434211896</v>
      </c>
      <c r="MK17" s="3">
        <f ca="1">IFERROR(__xludf.DUMMYFUNCTION("""COMPUTED_VALUE"""),-0.746978046446387)</f>
        <v>-0.74697804644638699</v>
      </c>
      <c r="ML17" s="3">
        <f ca="1">IFERROR(__xludf.DUMMYFUNCTION("""COMPUTED_VALUE"""),-0.758886994565118)</f>
        <v>-0.75888699456511799</v>
      </c>
      <c r="MM17" s="3">
        <f ca="1">IFERROR(__xludf.DUMMYFUNCTION("""COMPUTED_VALUE"""),-0.766570927193642)</f>
        <v>-0.76657092719364195</v>
      </c>
      <c r="MN17" s="3">
        <f ca="1">IFERROR(__xludf.DUMMYFUNCTION("""COMPUTED_VALUE"""),-0.746563640831979)</f>
        <v>-0.74656364083197901</v>
      </c>
      <c r="MO17" s="3">
        <f ca="1">IFERROR(__xludf.DUMMYFUNCTION("""COMPUTED_VALUE"""),-0.743155793068721)</f>
        <v>-0.74315579306872104</v>
      </c>
      <c r="MP17" s="3">
        <f ca="1">IFERROR(__xludf.DUMMYFUNCTION("""COMPUTED_VALUE"""),-0.592656241813735)</f>
        <v>-0.592656241813735</v>
      </c>
      <c r="MQ17" s="3">
        <f ca="1">IFERROR(__xludf.DUMMYFUNCTION("""COMPUTED_VALUE"""),-0.665034360644267)</f>
        <v>-0.66503436064426702</v>
      </c>
      <c r="MR17" s="3">
        <f ca="1">IFERROR(__xludf.DUMMYFUNCTION("""COMPUTED_VALUE"""),-0.74834140050753)</f>
        <v>-0.74834140050752995</v>
      </c>
      <c r="MS17" s="3">
        <f ca="1">IFERROR(__xludf.DUMMYFUNCTION("""COMPUTED_VALUE"""),-0.75216118813969)</f>
        <v>-0.75216118813969002</v>
      </c>
      <c r="MT17" s="3">
        <f ca="1">IFERROR(__xludf.DUMMYFUNCTION("""COMPUTED_VALUE"""),-0.773149188696616)</f>
        <v>-0.77314918869661597</v>
      </c>
      <c r="MU17" s="3">
        <f ca="1">IFERROR(__xludf.DUMMYFUNCTION("""COMPUTED_VALUE"""),-0.746540052799673)</f>
        <v>-0.74654005279967295</v>
      </c>
      <c r="MV17" s="3">
        <f ca="1">IFERROR(__xludf.DUMMYFUNCTION("""COMPUTED_VALUE"""),-0.710825392864383)</f>
        <v>-0.71082539286438295</v>
      </c>
      <c r="MW17" s="3">
        <f ca="1">IFERROR(__xludf.DUMMYFUNCTION("""COMPUTED_VALUE"""),-0.589479668484009)</f>
        <v>-0.58947966848400901</v>
      </c>
      <c r="MX17" s="3">
        <f ca="1">IFERROR(__xludf.DUMMYFUNCTION("""COMPUTED_VALUE"""),-0.639391483319939)</f>
        <v>-0.639391483319939</v>
      </c>
      <c r="MY17" s="3">
        <f ca="1">IFERROR(__xludf.DUMMYFUNCTION("""COMPUTED_VALUE"""),-0.755231061846875)</f>
        <v>-0.75523106184687505</v>
      </c>
      <c r="MZ17" s="3">
        <f ca="1">IFERROR(__xludf.DUMMYFUNCTION("""COMPUTED_VALUE"""),-0.759462201399691)</f>
        <v>-0.75946220139969101</v>
      </c>
      <c r="NA17" s="3">
        <f ca="1">IFERROR(__xludf.DUMMYFUNCTION("""COMPUTED_VALUE"""),-0.766787579686808)</f>
        <v>-0.766787579686808</v>
      </c>
      <c r="NB17" s="3">
        <f ca="1">IFERROR(__xludf.DUMMYFUNCTION("""COMPUTED_VALUE"""),-0.749715211680394)</f>
        <v>-0.74971521168039401</v>
      </c>
      <c r="NC17" s="3">
        <f ca="1">IFERROR(__xludf.DUMMYFUNCTION("""COMPUTED_VALUE"""),-0.749913153794627)</f>
        <v>-0.74991315379462697</v>
      </c>
      <c r="ND17" s="3">
        <f ca="1">IFERROR(__xludf.DUMMYFUNCTION("""COMPUTED_VALUE"""),-0.632350706422835)</f>
        <v>-0.63235070642283497</v>
      </c>
      <c r="NE17" s="3">
        <f ca="1">IFERROR(__xludf.DUMMYFUNCTION("""COMPUTED_VALUE"""),-0.66085519988256)</f>
        <v>-0.66085519988256003</v>
      </c>
      <c r="NF17" s="3">
        <f ca="1">IFERROR(__xludf.DUMMYFUNCTION("""COMPUTED_VALUE"""),-0.748619840349233)</f>
        <v>-0.74861984034923301</v>
      </c>
      <c r="NG17" s="3">
        <f ca="1">IFERROR(__xludf.DUMMYFUNCTION("""COMPUTED_VALUE"""),-0.767067127995661)</f>
        <v>-0.76706712799566101</v>
      </c>
      <c r="NH17" s="3">
        <f ca="1">IFERROR(__xludf.DUMMYFUNCTION("""COMPUTED_VALUE"""),-0.776114671637975)</f>
        <v>-0.77611467163797498</v>
      </c>
      <c r="NI17" s="3">
        <f ca="1">IFERROR(__xludf.DUMMYFUNCTION("""COMPUTED_VALUE"""),-0.756918145151551)</f>
        <v>-0.75691814515155098</v>
      </c>
      <c r="NJ17" s="3">
        <f ca="1">IFERROR(__xludf.DUMMYFUNCTION("""COMPUTED_VALUE"""),-0.740650474298004)</f>
        <v>-0.74065047429800401</v>
      </c>
      <c r="NK17" s="3">
        <f ca="1">IFERROR(__xludf.DUMMYFUNCTION("""COMPUTED_VALUE"""),-0.587313938443065)</f>
        <v>-0.58731393844306501</v>
      </c>
      <c r="NL17" s="3">
        <f ca="1">IFERROR(__xludf.DUMMYFUNCTION("""COMPUTED_VALUE"""),-0.659991593645444)</f>
        <v>-0.65999159364544402</v>
      </c>
      <c r="NM17" s="3">
        <f ca="1">IFERROR(__xludf.DUMMYFUNCTION("""COMPUTED_VALUE"""),-0.72196743420151)</f>
        <v>-0.72196743420150999</v>
      </c>
      <c r="NN17" s="3">
        <f ca="1">IFERROR(__xludf.DUMMYFUNCTION("""COMPUTED_VALUE"""),-0.764461840002516)</f>
        <v>-0.76446184000251605</v>
      </c>
      <c r="NO17" s="3">
        <f ca="1">IFERROR(__xludf.DUMMYFUNCTION("""COMPUTED_VALUE"""),-0.78836115714811)</f>
        <v>-0.78836115714810995</v>
      </c>
      <c r="NP17" s="3">
        <f ca="1">IFERROR(__xludf.DUMMYFUNCTION("""COMPUTED_VALUE"""),-0.771718063400923)</f>
        <v>-0.77171806340092297</v>
      </c>
      <c r="NQ17" s="3">
        <f ca="1">IFERROR(__xludf.DUMMYFUNCTION("""COMPUTED_VALUE"""),-0.737521362957016)</f>
        <v>-0.73752136295701598</v>
      </c>
      <c r="NR17" s="3">
        <f ca="1">IFERROR(__xludf.DUMMYFUNCTION("""COMPUTED_VALUE"""),-0.568714383707314)</f>
        <v>-0.56871438370731398</v>
      </c>
      <c r="NS17" s="3">
        <f ca="1">IFERROR(__xludf.DUMMYFUNCTION("""COMPUTED_VALUE"""),-0.670622256270303)</f>
        <v>-0.67062225627030303</v>
      </c>
      <c r="NT17" s="3">
        <f ca="1">IFERROR(__xludf.DUMMYFUNCTION("""COMPUTED_VALUE"""),-0.740223520546522)</f>
        <v>-0.74022352054652196</v>
      </c>
      <c r="NU17" s="3">
        <f ca="1">IFERROR(__xludf.DUMMYFUNCTION("""COMPUTED_VALUE"""),-0.741755963140515)</f>
        <v>-0.74175596314051495</v>
      </c>
      <c r="NV17" s="3">
        <f ca="1">IFERROR(__xludf.DUMMYFUNCTION("""COMPUTED_VALUE"""),-0.741416722771142)</f>
        <v>-0.74141672277114201</v>
      </c>
      <c r="NW17" s="3">
        <f ca="1">IFERROR(__xludf.DUMMYFUNCTION("""COMPUTED_VALUE"""),-0.722823037851772)</f>
        <v>-0.72282303785177204</v>
      </c>
      <c r="NX17" s="3">
        <f ca="1">IFERROR(__xludf.DUMMYFUNCTION("""COMPUTED_VALUE"""),-0.727369678788956)</f>
        <v>-0.72736967878895598</v>
      </c>
      <c r="NY17" s="3">
        <f ca="1">IFERROR(__xludf.DUMMYFUNCTION("""COMPUTED_VALUE"""),-0.56297070057975)</f>
        <v>-0.56297070057974996</v>
      </c>
      <c r="NZ17" s="3">
        <f ca="1">IFERROR(__xludf.DUMMYFUNCTION("""COMPUTED_VALUE"""),-0.639296709566926)</f>
        <v>-0.63929670956692597</v>
      </c>
      <c r="OA17" s="3">
        <f ca="1">IFERROR(__xludf.DUMMYFUNCTION("""COMPUTED_VALUE"""),-0.655043534133354)</f>
        <v>-0.65504353413335403</v>
      </c>
      <c r="OB17" s="3">
        <f ca="1">IFERROR(__xludf.DUMMYFUNCTION("""COMPUTED_VALUE"""),-0.683257827413387)</f>
        <v>-0.68325782741338703</v>
      </c>
      <c r="OC17" s="3">
        <f ca="1">IFERROR(__xludf.DUMMYFUNCTION("""COMPUTED_VALUE"""),-0.65909390377093)</f>
        <v>-0.65909390377093002</v>
      </c>
      <c r="OD17" s="3">
        <f ca="1">IFERROR(__xludf.DUMMYFUNCTION("""COMPUTED_VALUE"""),-0.591369063928418)</f>
        <v>-0.59136906392841804</v>
      </c>
      <c r="OE17" s="3">
        <f ca="1">IFERROR(__xludf.DUMMYFUNCTION("""COMPUTED_VALUE"""),-0.446995837488553)</f>
        <v>-0.44699583748855298</v>
      </c>
      <c r="OF17" s="3">
        <f ca="1">IFERROR(__xludf.DUMMYFUNCTION("""COMPUTED_VALUE"""),-0.239704902465908)</f>
        <v>-0.239704902465908</v>
      </c>
      <c r="OG17" s="3">
        <f ca="1">IFERROR(__xludf.DUMMYFUNCTION("""COMPUTED_VALUE"""),-0.282995113292967)</f>
        <v>-0.282995113292967</v>
      </c>
      <c r="OH17" s="3">
        <f ca="1">IFERROR(__xludf.DUMMYFUNCTION("""COMPUTED_VALUE"""),-0.217639190781954)</f>
        <v>-0.21763919078195401</v>
      </c>
      <c r="OI17" s="3">
        <f ca="1">IFERROR(__xludf.DUMMYFUNCTION("""COMPUTED_VALUE"""),-0.154861948511585)</f>
        <v>-0.154861948511585</v>
      </c>
      <c r="OJ17" s="3">
        <f ca="1">IFERROR(__xludf.DUMMYFUNCTION("""COMPUTED_VALUE"""),-0.0982443600269165)</f>
        <v>-9.82443600269165E-2</v>
      </c>
      <c r="OK17" s="3">
        <f ca="1">IFERROR(__xludf.DUMMYFUNCTION("""COMPUTED_VALUE"""),-0.0415188300792027)</f>
        <v>-4.15188300792027E-2</v>
      </c>
      <c r="OL17" s="3">
        <f ca="1">IFERROR(__xludf.DUMMYFUNCTION("""COMPUTED_VALUE"""),-0.0503509395303845)</f>
        <v>-5.0350939530384498E-2</v>
      </c>
      <c r="OM17" s="3">
        <f ca="1">IFERROR(__xludf.DUMMYFUNCTION("""COMPUTED_VALUE"""),0.126218999371438)</f>
        <v>0.12621899937143799</v>
      </c>
      <c r="ON17" s="3">
        <f ca="1">IFERROR(__xludf.DUMMYFUNCTION("""COMPUTED_VALUE"""),0.0688167395788876)</f>
        <v>6.8816739578887606E-2</v>
      </c>
      <c r="OO17" s="3">
        <f ca="1">IFERROR(__xludf.DUMMYFUNCTION("""COMPUTED_VALUE"""),-0.00151512563774491)</f>
        <v>-1.51512563774491E-3</v>
      </c>
      <c r="OP17" s="3">
        <f ca="1">IFERROR(__xludf.DUMMYFUNCTION("""COMPUTED_VALUE"""),-0.0300374133144706)</f>
        <v>-3.0037413314470601E-2</v>
      </c>
      <c r="OQ17" s="3">
        <f ca="1">IFERROR(__xludf.DUMMYFUNCTION("""COMPUTED_VALUE"""),-0.037387813949946)</f>
        <v>-3.7387813949946003E-2</v>
      </c>
      <c r="OR17" s="3">
        <f ca="1">IFERROR(__xludf.DUMMYFUNCTION("""COMPUTED_VALUE"""),0.000682055367928757)</f>
        <v>6.82055367928757E-4</v>
      </c>
      <c r="OS17" s="3">
        <f ca="1">IFERROR(__xludf.DUMMYFUNCTION("""COMPUTED_VALUE"""),0.0108300694762839)</f>
        <v>1.0830069476283901E-2</v>
      </c>
      <c r="OT17" s="3">
        <f ca="1">IFERROR(__xludf.DUMMYFUNCTION("""COMPUTED_VALUE"""),0.116290480288122)</f>
        <v>0.116290480288122</v>
      </c>
      <c r="OU17" s="3">
        <f ca="1">IFERROR(__xludf.DUMMYFUNCTION("""COMPUTED_VALUE"""),0.0950357177165508)</f>
        <v>9.5035717716550797E-2</v>
      </c>
      <c r="OV17" s="3">
        <f ca="1">IFERROR(__xludf.DUMMYFUNCTION("""COMPUTED_VALUE"""),0.0379979953565194)</f>
        <v>3.7997995356519397E-2</v>
      </c>
      <c r="OW17" s="3">
        <f ca="1">IFERROR(__xludf.DUMMYFUNCTION("""COMPUTED_VALUE"""),-0.0331826249831266)</f>
        <v>-3.3182624983126602E-2</v>
      </c>
      <c r="OX17" s="3">
        <f ca="1">IFERROR(__xludf.DUMMYFUNCTION("""COMPUTED_VALUE"""),-0.0555271098593367)</f>
        <v>-5.5527109859336697E-2</v>
      </c>
      <c r="OY17" s="3">
        <f ca="1">IFERROR(__xludf.DUMMYFUNCTION("""COMPUTED_VALUE"""),-0.041479413252929)</f>
        <v>-4.1479413252928997E-2</v>
      </c>
      <c r="OZ17" s="3">
        <f ca="1">IFERROR(__xludf.DUMMYFUNCTION("""COMPUTED_VALUE"""),0.0507571953721004)</f>
        <v>5.0757195372100397E-2</v>
      </c>
      <c r="PA17" s="3">
        <f ca="1">IFERROR(__xludf.DUMMYFUNCTION("""COMPUTED_VALUE"""),0.0334618017767953)</f>
        <v>3.3461801776795301E-2</v>
      </c>
      <c r="PB17" s="3">
        <f ca="1">IFERROR(__xludf.DUMMYFUNCTION("""COMPUTED_VALUE"""),0.066051534866077)</f>
        <v>6.6051534866076997E-2</v>
      </c>
      <c r="PC17" s="3">
        <f ca="1">IFERROR(__xludf.DUMMYFUNCTION("""COMPUTED_VALUE"""),0.00038980923757026)</f>
        <v>3.8980923757025998E-4</v>
      </c>
      <c r="PD17" s="3">
        <f ca="1">IFERROR(__xludf.DUMMYFUNCTION("""COMPUTED_VALUE"""),-0.0502343236732953)</f>
        <v>-5.0234323673295299E-2</v>
      </c>
      <c r="PE17" s="3">
        <f ca="1">IFERROR(__xludf.DUMMYFUNCTION("""COMPUTED_VALUE"""),-0.0386435663854)</f>
        <v>-3.8643566385400001E-2</v>
      </c>
      <c r="PF17" s="3">
        <f ca="1">IFERROR(__xludf.DUMMYFUNCTION("""COMPUTED_VALUE"""),-0.038953600189311)</f>
        <v>-3.8953600189311002E-2</v>
      </c>
      <c r="PG17" s="3">
        <f ca="1">IFERROR(__xludf.DUMMYFUNCTION("""COMPUTED_VALUE"""),-0.112244181110593)</f>
        <v>-0.11224418111059301</v>
      </c>
      <c r="PH17" s="3">
        <f ca="1">IFERROR(__xludf.DUMMYFUNCTION("""COMPUTED_VALUE"""),0.132122504785309)</f>
        <v>0.13212250478530899</v>
      </c>
      <c r="PI17" s="3">
        <f ca="1">IFERROR(__xludf.DUMMYFUNCTION("""COMPUTED_VALUE"""),0.0288735267593487)</f>
        <v>2.8873526759348699E-2</v>
      </c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</row>
    <row r="18" spans="1:477" ht="15.75" customHeight="1">
      <c r="A18" s="1" t="str">
        <f ca="1">IFERROR(__xludf.DUMMYFUNCTION("""COMPUTED_VALUE"""),"Metra")</f>
        <v>Metra</v>
      </c>
      <c r="B18" s="1" t="str">
        <f ca="1">IFERROR(__xludf.DUMMYFUNCTION("""COMPUTED_VALUE"""),"Chicago")</f>
        <v>Chicago</v>
      </c>
      <c r="C18" s="1" t="str">
        <f ca="1">IFERROR(__xludf.DUMMYFUNCTION("""COMPUTED_VALUE"""),"United States")</f>
        <v>United States</v>
      </c>
      <c r="D18" s="1" t="str">
        <f ca="1">IFERROR(__xludf.DUMMYFUNCTION("""COMPUTED_VALUE"""),"Illinois")</f>
        <v>Illinois</v>
      </c>
      <c r="E18" s="3">
        <f ca="1">IFERROR(__xludf.DUMMYFUNCTION("""COMPUTED_VALUE"""),-0.323622772686778)</f>
        <v>-0.32362277268677803</v>
      </c>
      <c r="F18" s="3">
        <f ca="1">IFERROR(__xludf.DUMMYFUNCTION("""COMPUTED_VALUE"""),-0.396728865696513)</f>
        <v>-0.396728865696513</v>
      </c>
      <c r="G18" s="3">
        <f ca="1">IFERROR(__xludf.DUMMYFUNCTION("""COMPUTED_VALUE"""),-0.459578428051343)</f>
        <v>-0.45957842805134302</v>
      </c>
      <c r="H18" s="3">
        <f ca="1">IFERROR(__xludf.DUMMYFUNCTION("""COMPUTED_VALUE"""),-0.439765849896622)</f>
        <v>-0.43976584989662199</v>
      </c>
      <c r="I18" s="3">
        <f ca="1">IFERROR(__xludf.DUMMYFUNCTION("""COMPUTED_VALUE"""),-0.452610598294968)</f>
        <v>-0.45261059829496803</v>
      </c>
      <c r="J18" s="3">
        <f ca="1">IFERROR(__xludf.DUMMYFUNCTION("""COMPUTED_VALUE"""),-0.408366731981733)</f>
        <v>-0.40836673198173301</v>
      </c>
      <c r="K18" s="3">
        <f ca="1">IFERROR(__xludf.DUMMYFUNCTION("""COMPUTED_VALUE"""),-0.23278071199812)</f>
        <v>-0.23278071199812</v>
      </c>
      <c r="L18" s="3">
        <f ca="1">IFERROR(__xludf.DUMMYFUNCTION("""COMPUTED_VALUE"""),-0.251042784327262)</f>
        <v>-0.25104278432726201</v>
      </c>
      <c r="M18" s="3">
        <f ca="1">IFERROR(__xludf.DUMMYFUNCTION("""COMPUTED_VALUE"""),-0.41711199865359)</f>
        <v>-0.41711199865359</v>
      </c>
      <c r="N18" s="3">
        <f ca="1">IFERROR(__xludf.DUMMYFUNCTION("""COMPUTED_VALUE"""),-0.445063360288605)</f>
        <v>-0.44506336028860499</v>
      </c>
      <c r="O18" s="3">
        <f ca="1">IFERROR(__xludf.DUMMYFUNCTION("""COMPUTED_VALUE"""),-0.464827480133925)</f>
        <v>-0.464827480133925</v>
      </c>
      <c r="P18" s="3">
        <f ca="1">IFERROR(__xludf.DUMMYFUNCTION("""COMPUTED_VALUE"""),-0.4884655742777)</f>
        <v>-0.48846557427769999</v>
      </c>
      <c r="Q18" s="3">
        <f ca="1">IFERROR(__xludf.DUMMYFUNCTION("""COMPUTED_VALUE"""),-0.452412637137434)</f>
        <v>-0.45241263713743401</v>
      </c>
      <c r="R18" s="3">
        <f ca="1">IFERROR(__xludf.DUMMYFUNCTION("""COMPUTED_VALUE"""),-0.333839909847575)</f>
        <v>-0.333839909847575</v>
      </c>
      <c r="S18" s="3">
        <f ca="1">IFERROR(__xludf.DUMMYFUNCTION("""COMPUTED_VALUE"""),-0.402437186284363)</f>
        <v>-0.40243718628436298</v>
      </c>
      <c r="T18" s="3">
        <f ca="1">IFERROR(__xludf.DUMMYFUNCTION("""COMPUTED_VALUE"""),-0.556787831517922)</f>
        <v>-0.55678783151792199</v>
      </c>
      <c r="U18" s="3">
        <f ca="1">IFERROR(__xludf.DUMMYFUNCTION("""COMPUTED_VALUE"""),-0.610871336985032)</f>
        <v>-0.61087133698503204</v>
      </c>
      <c r="V18" s="3">
        <f ca="1">IFERROR(__xludf.DUMMYFUNCTION("""COMPUTED_VALUE"""),-0.620094132472881)</f>
        <v>-0.62009413247288103</v>
      </c>
      <c r="W18" s="3">
        <f ca="1">IFERROR(__xludf.DUMMYFUNCTION("""COMPUTED_VALUE"""),-0.624495451477757)</f>
        <v>-0.62449545147775698</v>
      </c>
      <c r="X18" s="3">
        <f ca="1">IFERROR(__xludf.DUMMYFUNCTION("""COMPUTED_VALUE"""),-0.581785039175791)</f>
        <v>-0.58178503917579105</v>
      </c>
      <c r="Y18" s="3">
        <f ca="1">IFERROR(__xludf.DUMMYFUNCTION("""COMPUTED_VALUE"""),-0.411528228658488)</f>
        <v>-0.41152822865848798</v>
      </c>
      <c r="Z18" s="3">
        <f ca="1">IFERROR(__xludf.DUMMYFUNCTION("""COMPUTED_VALUE"""),-0.475870583332371)</f>
        <v>-0.47587058333237098</v>
      </c>
      <c r="AA18" s="3">
        <f ca="1">IFERROR(__xludf.DUMMYFUNCTION("""COMPUTED_VALUE"""),-0.58677579557221)</f>
        <v>-0.58677579557221005</v>
      </c>
      <c r="AB18" s="3">
        <f ca="1">IFERROR(__xludf.DUMMYFUNCTION("""COMPUTED_VALUE"""),-0.620462402955589)</f>
        <v>-0.62046240295558897</v>
      </c>
      <c r="AC18" s="3">
        <f ca="1">IFERROR(__xludf.DUMMYFUNCTION("""COMPUTED_VALUE"""),-0.611493129286739)</f>
        <v>-0.61149312928673905</v>
      </c>
      <c r="AD18" s="3">
        <f ca="1">IFERROR(__xludf.DUMMYFUNCTION("""COMPUTED_VALUE"""),-0.614851776799797)</f>
        <v>-0.61485177679979697</v>
      </c>
      <c r="AE18" s="3">
        <f ca="1">IFERROR(__xludf.DUMMYFUNCTION("""COMPUTED_VALUE"""),-0.59558145603824)</f>
        <v>-0.59558145603823998</v>
      </c>
      <c r="AF18" s="3">
        <f ca="1">IFERROR(__xludf.DUMMYFUNCTION("""COMPUTED_VALUE"""),-0.479593294578283)</f>
        <v>-0.47959329457828298</v>
      </c>
      <c r="AG18" s="3">
        <f ca="1">IFERROR(__xludf.DUMMYFUNCTION("""COMPUTED_VALUE"""),-0.530104860922134)</f>
        <v>-0.53010486092213405</v>
      </c>
      <c r="AH18" s="3">
        <f ca="1">IFERROR(__xludf.DUMMYFUNCTION("""COMPUTED_VALUE"""),-0.612208413267745)</f>
        <v>-0.612208413267745</v>
      </c>
      <c r="AI18" s="3">
        <f ca="1">IFERROR(__xludf.DUMMYFUNCTION("""COMPUTED_VALUE"""),-0.633131709616312)</f>
        <v>-0.63313170961631204</v>
      </c>
      <c r="AJ18" s="3">
        <f ca="1">IFERROR(__xludf.DUMMYFUNCTION("""COMPUTED_VALUE"""),-0.661776780042765)</f>
        <v>-0.66177678004276497</v>
      </c>
      <c r="AK18" s="3">
        <f ca="1">IFERROR(__xludf.DUMMYFUNCTION("""COMPUTED_VALUE"""),-0.639357989134105)</f>
        <v>-0.63935798913410502</v>
      </c>
      <c r="AL18" s="3">
        <f ca="1">IFERROR(__xludf.DUMMYFUNCTION("""COMPUTED_VALUE"""),-0.610507161331931)</f>
        <v>-0.61050716133193095</v>
      </c>
      <c r="AM18" s="3">
        <f ca="1">IFERROR(__xludf.DUMMYFUNCTION("""COMPUTED_VALUE"""),-0.493124835825672)</f>
        <v>-0.49312483582567201</v>
      </c>
      <c r="AN18" s="3">
        <f ca="1">IFERROR(__xludf.DUMMYFUNCTION("""COMPUTED_VALUE"""),-0.534157656877675)</f>
        <v>-0.53415765687767502</v>
      </c>
      <c r="AO18" s="3">
        <f ca="1">IFERROR(__xludf.DUMMYFUNCTION("""COMPUTED_VALUE"""),-0.613201197145246)</f>
        <v>-0.61320119714524601</v>
      </c>
      <c r="AP18" s="3">
        <f ca="1">IFERROR(__xludf.DUMMYFUNCTION("""COMPUTED_VALUE"""),-0.652988099553317)</f>
        <v>-0.65298809955331705</v>
      </c>
      <c r="AQ18" s="3">
        <f ca="1">IFERROR(__xludf.DUMMYFUNCTION("""COMPUTED_VALUE"""),-0.634959656817021)</f>
        <v>-0.63495965681702105</v>
      </c>
      <c r="AR18" s="3">
        <f ca="1">IFERROR(__xludf.DUMMYFUNCTION("""COMPUTED_VALUE"""),-0.65384865278784)</f>
        <v>-0.65384865278783999</v>
      </c>
      <c r="AS18" s="3">
        <f ca="1">IFERROR(__xludf.DUMMYFUNCTION("""COMPUTED_VALUE"""),-0.61637488402094)</f>
        <v>-0.61637488402093998</v>
      </c>
      <c r="AT18" s="3">
        <f ca="1">IFERROR(__xludf.DUMMYFUNCTION("""COMPUTED_VALUE"""),-0.486083910253019)</f>
        <v>-0.486083910253019</v>
      </c>
      <c r="AU18" s="3">
        <f ca="1">IFERROR(__xludf.DUMMYFUNCTION("""COMPUTED_VALUE"""),-0.471997532950925)</f>
        <v>-0.471997532950925</v>
      </c>
      <c r="AV18" s="3">
        <f ca="1">IFERROR(__xludf.DUMMYFUNCTION("""COMPUTED_VALUE"""),-0.626770175620138)</f>
        <v>-0.62677017562013804</v>
      </c>
      <c r="AW18" s="3">
        <f ca="1">IFERROR(__xludf.DUMMYFUNCTION("""COMPUTED_VALUE"""),-0.64655944221867)</f>
        <v>-0.64655944221867001</v>
      </c>
      <c r="AX18" s="3">
        <f ca="1">IFERROR(__xludf.DUMMYFUNCTION("""COMPUTED_VALUE"""),-0.656493911381767)</f>
        <v>-0.65649391138176705</v>
      </c>
      <c r="AY18" s="3">
        <f ca="1">IFERROR(__xludf.DUMMYFUNCTION("""COMPUTED_VALUE"""),-0.628299535712692)</f>
        <v>-0.62829953571269204</v>
      </c>
      <c r="AZ18" s="3">
        <f ca="1">IFERROR(__xludf.DUMMYFUNCTION("""COMPUTED_VALUE"""),-0.59127139932425)</f>
        <v>-0.59127139932424999</v>
      </c>
      <c r="BA18" s="3">
        <f ca="1">IFERROR(__xludf.DUMMYFUNCTION("""COMPUTED_VALUE"""),-0.503049048100582)</f>
        <v>-0.50304904810058204</v>
      </c>
      <c r="BB18" s="3">
        <f ca="1">IFERROR(__xludf.DUMMYFUNCTION("""COMPUTED_VALUE"""),-0.504953611447597)</f>
        <v>-0.50495361144759698</v>
      </c>
      <c r="BC18" s="3">
        <f ca="1">IFERROR(__xludf.DUMMYFUNCTION("""COMPUTED_VALUE"""),-0.620975060855717)</f>
        <v>-0.62097506085571696</v>
      </c>
      <c r="BD18" s="3">
        <f ca="1">IFERROR(__xludf.DUMMYFUNCTION("""COMPUTED_VALUE"""),-0.630598766656158)</f>
        <v>-0.63059876665615799</v>
      </c>
      <c r="BE18" s="3">
        <f ca="1">IFERROR(__xludf.DUMMYFUNCTION("""COMPUTED_VALUE"""),-0.61646182681151)</f>
        <v>-0.61646182681150996</v>
      </c>
      <c r="BF18" s="3">
        <f ca="1">IFERROR(__xludf.DUMMYFUNCTION("""COMPUTED_VALUE"""),-0.523928921099163)</f>
        <v>-0.523928921099163</v>
      </c>
      <c r="BG18" s="3">
        <f ca="1">IFERROR(__xludf.DUMMYFUNCTION("""COMPUTED_VALUE"""),-0.55152930917095)</f>
        <v>-0.55152930917095</v>
      </c>
      <c r="BH18" s="3">
        <f ca="1">IFERROR(__xludf.DUMMYFUNCTION("""COMPUTED_VALUE"""),-0.543628394648843)</f>
        <v>-0.54362839464884305</v>
      </c>
      <c r="BI18" s="3">
        <f ca="1">IFERROR(__xludf.DUMMYFUNCTION("""COMPUTED_VALUE"""),-0.498550807012012)</f>
        <v>-0.49855080701201199</v>
      </c>
      <c r="BJ18" s="3">
        <f ca="1">IFERROR(__xludf.DUMMYFUNCTION("""COMPUTED_VALUE"""),-0.669863783149367)</f>
        <v>-0.66986378314936701</v>
      </c>
      <c r="BK18" s="3">
        <f ca="1">IFERROR(__xludf.DUMMYFUNCTION("""COMPUTED_VALUE"""),-0.683050824124772)</f>
        <v>-0.68305082412477203</v>
      </c>
      <c r="BL18" s="3">
        <f ca="1">IFERROR(__xludf.DUMMYFUNCTION("""COMPUTED_VALUE"""),-0.702250326391044)</f>
        <v>-0.70225032639104401</v>
      </c>
      <c r="BM18" s="3">
        <f ca="1">IFERROR(__xludf.DUMMYFUNCTION("""COMPUTED_VALUE"""),-0.667127672889452)</f>
        <v>-0.66712767288945196</v>
      </c>
      <c r="BN18" s="3">
        <f ca="1">IFERROR(__xludf.DUMMYFUNCTION("""COMPUTED_VALUE"""),-0.640604490085895)</f>
        <v>-0.64060449008589504</v>
      </c>
      <c r="BO18" s="3">
        <f ca="1">IFERROR(__xludf.DUMMYFUNCTION("""COMPUTED_VALUE"""),-0.58665419880726)</f>
        <v>-0.58665419880726</v>
      </c>
      <c r="BP18" s="3">
        <f ca="1">IFERROR(__xludf.DUMMYFUNCTION("""COMPUTED_VALUE"""),-0.621585485357323)</f>
        <v>-0.62158548535732305</v>
      </c>
      <c r="BQ18" s="3">
        <f ca="1">IFERROR(__xludf.DUMMYFUNCTION("""COMPUTED_VALUE"""),-0.677530702588965)</f>
        <v>-0.67753070258896497</v>
      </c>
      <c r="BR18" s="3">
        <f ca="1">IFERROR(__xludf.DUMMYFUNCTION("""COMPUTED_VALUE"""),-0.681327792947634)</f>
        <v>-0.68132779294763401</v>
      </c>
      <c r="BS18" s="3">
        <f ca="1">IFERROR(__xludf.DUMMYFUNCTION("""COMPUTED_VALUE"""),-0.672465125341853)</f>
        <v>-0.67246512534185299</v>
      </c>
      <c r="BT18" s="3">
        <f ca="1">IFERROR(__xludf.DUMMYFUNCTION("""COMPUTED_VALUE"""),-0.668342639685134)</f>
        <v>-0.66834263968513397</v>
      </c>
      <c r="BU18" s="3">
        <f ca="1">IFERROR(__xludf.DUMMYFUNCTION("""COMPUTED_VALUE"""),-0.612088819647937)</f>
        <v>-0.61208881964793704</v>
      </c>
      <c r="BV18" s="3">
        <f ca="1">IFERROR(__xludf.DUMMYFUNCTION("""COMPUTED_VALUE"""),-0.477205945267603)</f>
        <v>-0.47720594526760302</v>
      </c>
      <c r="BW18" s="3">
        <f ca="1">IFERROR(__xludf.DUMMYFUNCTION("""COMPUTED_VALUE"""),-0.581353710239014)</f>
        <v>-0.58135371023901405</v>
      </c>
      <c r="BX18" s="3">
        <f ca="1">IFERROR(__xludf.DUMMYFUNCTION("""COMPUTED_VALUE"""),-0.700203065752655)</f>
        <v>-0.70020306575265501</v>
      </c>
      <c r="BY18" s="3">
        <f ca="1">IFERROR(__xludf.DUMMYFUNCTION("""COMPUTED_VALUE"""),-0.70921181730194)</f>
        <v>-0.70921181730194005</v>
      </c>
      <c r="BZ18" s="3">
        <f ca="1">IFERROR(__xludf.DUMMYFUNCTION("""COMPUTED_VALUE"""),-0.721307895294997)</f>
        <v>-0.72130789529499695</v>
      </c>
      <c r="CA18" s="3">
        <f ca="1">IFERROR(__xludf.DUMMYFUNCTION("""COMPUTED_VALUE"""),-0.688933029134041)</f>
        <v>-0.68893302913404098</v>
      </c>
      <c r="CB18" s="3">
        <f ca="1">IFERROR(__xludf.DUMMYFUNCTION("""COMPUTED_VALUE"""),-0.631160655122798)</f>
        <v>-0.63116065512279795</v>
      </c>
      <c r="CC18" s="3">
        <f ca="1">IFERROR(__xludf.DUMMYFUNCTION("""COMPUTED_VALUE"""),-0.569262279069275)</f>
        <v>-0.56926227906927496</v>
      </c>
      <c r="CD18" s="3">
        <f ca="1">IFERROR(__xludf.DUMMYFUNCTION("""COMPUTED_VALUE"""),-0.614810461753163)</f>
        <v>-0.61481046175316301</v>
      </c>
      <c r="CE18" s="3">
        <f ca="1">IFERROR(__xludf.DUMMYFUNCTION("""COMPUTED_VALUE"""),-0.706957776741167)</f>
        <v>-0.706957776741167</v>
      </c>
      <c r="CF18" s="3">
        <f ca="1">IFERROR(__xludf.DUMMYFUNCTION("""COMPUTED_VALUE"""),-0.714040875607828)</f>
        <v>-0.71404087560782803</v>
      </c>
      <c r="CG18" s="3">
        <f ca="1">IFERROR(__xludf.DUMMYFUNCTION("""COMPUTED_VALUE"""),-0.719859293489479)</f>
        <v>-0.71985929348947897</v>
      </c>
      <c r="CH18" s="3">
        <f ca="1">IFERROR(__xludf.DUMMYFUNCTION("""COMPUTED_VALUE"""),-0.712294044219157)</f>
        <v>-0.71229404421915699</v>
      </c>
      <c r="CI18" s="3">
        <f ca="1">IFERROR(__xludf.DUMMYFUNCTION("""COMPUTED_VALUE"""),-0.659844129644556)</f>
        <v>-0.65984412964455597</v>
      </c>
      <c r="CJ18" s="3">
        <f ca="1">IFERROR(__xludf.DUMMYFUNCTION("""COMPUTED_VALUE"""),-0.556954155539629)</f>
        <v>-0.55695415553962901</v>
      </c>
      <c r="CK18" s="3">
        <f ca="1">IFERROR(__xludf.DUMMYFUNCTION("""COMPUTED_VALUE"""),-0.621976882419766)</f>
        <v>-0.62197688241976601</v>
      </c>
      <c r="CL18" s="3">
        <f ca="1">IFERROR(__xludf.DUMMYFUNCTION("""COMPUTED_VALUE"""),-0.70786708733931)</f>
        <v>-0.70786708733931003</v>
      </c>
      <c r="CM18" s="3">
        <f ca="1">IFERROR(__xludf.DUMMYFUNCTION("""COMPUTED_VALUE"""),-0.708757059846683)</f>
        <v>-0.70875705984668302</v>
      </c>
      <c r="CN18" s="3">
        <f ca="1">IFERROR(__xludf.DUMMYFUNCTION("""COMPUTED_VALUE"""),-0.709950546205343)</f>
        <v>-0.70995054620534304</v>
      </c>
      <c r="CO18" s="3">
        <f ca="1">IFERROR(__xludf.DUMMYFUNCTION("""COMPUTED_VALUE"""),-0.708880015887022)</f>
        <v>-0.70888001588702199</v>
      </c>
      <c r="CP18" s="3">
        <f ca="1">IFERROR(__xludf.DUMMYFUNCTION("""COMPUTED_VALUE"""),-0.64140332725522)</f>
        <v>-0.64140332725521998</v>
      </c>
      <c r="CQ18" s="3">
        <f ca="1">IFERROR(__xludf.DUMMYFUNCTION("""COMPUTED_VALUE"""),-0.552836597616444)</f>
        <v>-0.55283659761644399</v>
      </c>
      <c r="CR18" s="3">
        <f ca="1">IFERROR(__xludf.DUMMYFUNCTION("""COMPUTED_VALUE"""),-0.605055326828914)</f>
        <v>-0.60505532682891405</v>
      </c>
      <c r="CS18" s="3">
        <f ca="1">IFERROR(__xludf.DUMMYFUNCTION("""COMPUTED_VALUE"""),-0.688147795137076)</f>
        <v>-0.68814779513707602</v>
      </c>
      <c r="CT18" s="3">
        <f ca="1">IFERROR(__xludf.DUMMYFUNCTION("""COMPUTED_VALUE"""),-0.675737616445418)</f>
        <v>-0.67573761644541797</v>
      </c>
      <c r="CU18" s="3">
        <f ca="1">IFERROR(__xludf.DUMMYFUNCTION("""COMPUTED_VALUE"""),-0.658610290958567)</f>
        <v>-0.65861029095856705</v>
      </c>
      <c r="CV18" s="3">
        <f ca="1">IFERROR(__xludf.DUMMYFUNCTION("""COMPUTED_VALUE"""),-0.660662468321981)</f>
        <v>-0.66066246832198094</v>
      </c>
      <c r="CW18" s="3">
        <f ca="1">IFERROR(__xludf.DUMMYFUNCTION("""COMPUTED_VALUE"""),-0.618854346622201)</f>
        <v>-0.61885434662220096</v>
      </c>
      <c r="CX18" s="3">
        <f ca="1">IFERROR(__xludf.DUMMYFUNCTION("""COMPUTED_VALUE"""),-0.55436383429716)</f>
        <v>-0.55436383429715996</v>
      </c>
      <c r="CY18" s="3">
        <f ca="1">IFERROR(__xludf.DUMMYFUNCTION("""COMPUTED_VALUE"""),-0.581770560461903)</f>
        <v>-0.58177056046190301</v>
      </c>
      <c r="CZ18" s="3">
        <f ca="1">IFERROR(__xludf.DUMMYFUNCTION("""COMPUTED_VALUE"""),-0.713137930592919)</f>
        <v>-0.71313793059291897</v>
      </c>
      <c r="DA18" s="3">
        <f ca="1">IFERROR(__xludf.DUMMYFUNCTION("""COMPUTED_VALUE"""),-0.592903421947886)</f>
        <v>-0.59290342194788603</v>
      </c>
      <c r="DB18" s="3">
        <f ca="1">IFERROR(__xludf.DUMMYFUNCTION("""COMPUTED_VALUE"""),-0.516878274238733)</f>
        <v>-0.516878274238733</v>
      </c>
      <c r="DC18" s="3">
        <f ca="1">IFERROR(__xludf.DUMMYFUNCTION("""COMPUTED_VALUE"""),-0.579586303142766)</f>
        <v>-0.57958630314276605</v>
      </c>
      <c r="DD18" s="3">
        <f ca="1">IFERROR(__xludf.DUMMYFUNCTION("""COMPUTED_VALUE"""),-0.597786533759965)</f>
        <v>-0.59778653375996504</v>
      </c>
      <c r="DE18" s="3">
        <f ca="1">IFERROR(__xludf.DUMMYFUNCTION("""COMPUTED_VALUE"""),-0.555011461475539)</f>
        <v>-0.55501146147553904</v>
      </c>
      <c r="DF18" s="3">
        <f ca="1">IFERROR(__xludf.DUMMYFUNCTION("""COMPUTED_VALUE"""),-0.625975457725557)</f>
        <v>-0.62597545772555696</v>
      </c>
      <c r="DG18" s="3">
        <f ca="1">IFERROR(__xludf.DUMMYFUNCTION("""COMPUTED_VALUE"""),-0.804715490516893)</f>
        <v>-0.80471549051689295</v>
      </c>
      <c r="DH18" s="3">
        <f ca="1">IFERROR(__xludf.DUMMYFUNCTION("""COMPUTED_VALUE"""),-0.648394197547469)</f>
        <v>-0.64839419754746896</v>
      </c>
      <c r="DI18" s="3">
        <f ca="1">IFERROR(__xludf.DUMMYFUNCTION("""COMPUTED_VALUE"""),-0.472537031975524)</f>
        <v>-0.47253703197552399</v>
      </c>
      <c r="DJ18" s="3">
        <f ca="1">IFERROR(__xludf.DUMMYFUNCTION("""COMPUTED_VALUE"""),-0.583963341557694)</f>
        <v>-0.58396334155769403</v>
      </c>
      <c r="DK18" s="3">
        <f ca="1">IFERROR(__xludf.DUMMYFUNCTION("""COMPUTED_VALUE"""),-0.564512356516727)</f>
        <v>-0.56451235651672704</v>
      </c>
      <c r="DL18" s="3">
        <f ca="1">IFERROR(__xludf.DUMMYFUNCTION("""COMPUTED_VALUE"""),-0.575850291983601)</f>
        <v>-0.57585029198360105</v>
      </c>
      <c r="DM18" s="3">
        <f ca="1">IFERROR(__xludf.DUMMYFUNCTION("""COMPUTED_VALUE"""),-0.596416361831655)</f>
        <v>-0.59641636183165503</v>
      </c>
      <c r="DN18" s="3">
        <f ca="1">IFERROR(__xludf.DUMMYFUNCTION("""COMPUTED_VALUE"""),-0.628012570390933)</f>
        <v>-0.62801257039093294</v>
      </c>
      <c r="DO18" s="3">
        <f ca="1">IFERROR(__xludf.DUMMYFUNCTION("""COMPUTED_VALUE"""),-0.635938583992321)</f>
        <v>-0.63593858399232095</v>
      </c>
      <c r="DP18" s="3">
        <f ca="1">IFERROR(__xludf.DUMMYFUNCTION("""COMPUTED_VALUE"""),-0.609738782874131)</f>
        <v>-0.60973878287413097</v>
      </c>
      <c r="DQ18" s="3">
        <f ca="1">IFERROR(__xludf.DUMMYFUNCTION("""COMPUTED_VALUE"""),-0.641799072002964)</f>
        <v>-0.64179907200296404</v>
      </c>
      <c r="DR18" s="3">
        <f ca="1">IFERROR(__xludf.DUMMYFUNCTION("""COMPUTED_VALUE"""),-0.633379149680926)</f>
        <v>-0.63337914968092601</v>
      </c>
      <c r="DS18" s="3">
        <f ca="1">IFERROR(__xludf.DUMMYFUNCTION("""COMPUTED_VALUE"""),-0.582423476444262)</f>
        <v>-0.58242347644426196</v>
      </c>
      <c r="DT18" s="3">
        <f ca="1">IFERROR(__xludf.DUMMYFUNCTION("""COMPUTED_VALUE"""),-0.641887070380948)</f>
        <v>-0.64188707038094805</v>
      </c>
      <c r="DU18" s="3">
        <f ca="1">IFERROR(__xludf.DUMMYFUNCTION("""COMPUTED_VALUE"""),-0.698402212409068)</f>
        <v>-0.69840221240906797</v>
      </c>
      <c r="DV18" s="3">
        <f ca="1">IFERROR(__xludf.DUMMYFUNCTION("""COMPUTED_VALUE"""),-0.695205027206281)</f>
        <v>-0.69520502720628097</v>
      </c>
      <c r="DW18" s="3">
        <f ca="1">IFERROR(__xludf.DUMMYFUNCTION("""COMPUTED_VALUE"""),-0.69588252824191)</f>
        <v>-0.69588252824190999</v>
      </c>
      <c r="DX18" s="3">
        <f ca="1">IFERROR(__xludf.DUMMYFUNCTION("""COMPUTED_VALUE"""),-0.698529234364574)</f>
        <v>-0.69852923436457404</v>
      </c>
      <c r="DY18" s="3">
        <f ca="1">IFERROR(__xludf.DUMMYFUNCTION("""COMPUTED_VALUE"""),-0.660556486543229)</f>
        <v>-0.66055648654322896</v>
      </c>
      <c r="DZ18" s="3">
        <f ca="1">IFERROR(__xludf.DUMMYFUNCTION("""COMPUTED_VALUE"""),-0.594705218798856)</f>
        <v>-0.59470521879885596</v>
      </c>
      <c r="EA18" s="3">
        <f ca="1">IFERROR(__xludf.DUMMYFUNCTION("""COMPUTED_VALUE"""),-0.611685724189463)</f>
        <v>-0.61168572418946299</v>
      </c>
      <c r="EB18" s="3">
        <f ca="1">IFERROR(__xludf.DUMMYFUNCTION("""COMPUTED_VALUE"""),-0.639026294796646)</f>
        <v>-0.63902629479664597</v>
      </c>
      <c r="EC18" s="3">
        <f ca="1">IFERROR(__xludf.DUMMYFUNCTION("""COMPUTED_VALUE"""),-0.644718691472364)</f>
        <v>-0.64471869147236405</v>
      </c>
      <c r="ED18" s="3">
        <f ca="1">IFERROR(__xludf.DUMMYFUNCTION("""COMPUTED_VALUE"""),-0.68664414392729)</f>
        <v>-0.68664414392729001</v>
      </c>
      <c r="EE18" s="3">
        <f ca="1">IFERROR(__xludf.DUMMYFUNCTION("""COMPUTED_VALUE"""),-0.686569505385555)</f>
        <v>-0.68656950538555495</v>
      </c>
      <c r="EF18" s="3">
        <f ca="1">IFERROR(__xludf.DUMMYFUNCTION("""COMPUTED_VALUE"""),-0.674743327191561)</f>
        <v>-0.67474332719156105</v>
      </c>
      <c r="EG18" s="3">
        <f ca="1">IFERROR(__xludf.DUMMYFUNCTION("""COMPUTED_VALUE"""),-0.603755817592413)</f>
        <v>-0.60375581759241304</v>
      </c>
      <c r="EH18" s="3">
        <f ca="1">IFERROR(__xludf.DUMMYFUNCTION("""COMPUTED_VALUE"""),-0.63465067158996)</f>
        <v>-0.63465067158996002</v>
      </c>
      <c r="EI18" s="3">
        <f ca="1">IFERROR(__xludf.DUMMYFUNCTION("""COMPUTED_VALUE"""),-0.688808372620982)</f>
        <v>-0.68880837262098205</v>
      </c>
      <c r="EJ18" s="3">
        <f ca="1">IFERROR(__xludf.DUMMYFUNCTION("""COMPUTED_VALUE"""),-0.754010202328739)</f>
        <v>-0.75401020232873905</v>
      </c>
      <c r="EK18" s="3">
        <f ca="1">IFERROR(__xludf.DUMMYFUNCTION("""COMPUTED_VALUE"""),-0.697266883580355)</f>
        <v>-0.69726688358035505</v>
      </c>
      <c r="EL18" s="3">
        <f ca="1">IFERROR(__xludf.DUMMYFUNCTION("""COMPUTED_VALUE"""),-0.725797248550982)</f>
        <v>-0.72579724855098204</v>
      </c>
      <c r="EM18" s="3">
        <f ca="1">IFERROR(__xludf.DUMMYFUNCTION("""COMPUTED_VALUE"""),-0.684749527091088)</f>
        <v>-0.68474952709108805</v>
      </c>
      <c r="EN18" s="3">
        <f ca="1">IFERROR(__xludf.DUMMYFUNCTION("""COMPUTED_VALUE"""),-0.573503148075022)</f>
        <v>-0.57350314807502201</v>
      </c>
      <c r="EO18" s="3">
        <f ca="1">IFERROR(__xludf.DUMMYFUNCTION("""COMPUTED_VALUE"""),-0.606611584279329)</f>
        <v>-0.60661158427932904</v>
      </c>
      <c r="EP18" s="3">
        <f ca="1">IFERROR(__xludf.DUMMYFUNCTION("""COMPUTED_VALUE"""),-0.662132261525084)</f>
        <v>-0.66213226152508398</v>
      </c>
      <c r="EQ18" s="3">
        <f ca="1">IFERROR(__xludf.DUMMYFUNCTION("""COMPUTED_VALUE"""),-0.674215755055811)</f>
        <v>-0.67421575505581099</v>
      </c>
      <c r="ER18" s="3">
        <f ca="1">IFERROR(__xludf.DUMMYFUNCTION("""COMPUTED_VALUE"""),-0.711771461483953)</f>
        <v>-0.71177146148395298</v>
      </c>
      <c r="ES18" s="3">
        <f ca="1">IFERROR(__xludf.DUMMYFUNCTION("""COMPUTED_VALUE"""),-0.723010918770088)</f>
        <v>-0.72301091877008805</v>
      </c>
      <c r="ET18" s="3">
        <f ca="1">IFERROR(__xludf.DUMMYFUNCTION("""COMPUTED_VALUE"""),-0.674318802552768)</f>
        <v>-0.67431880255276799</v>
      </c>
      <c r="EU18" s="3">
        <f ca="1">IFERROR(__xludf.DUMMYFUNCTION("""COMPUTED_VALUE"""),-0.607271294943068)</f>
        <v>-0.60727129494306797</v>
      </c>
      <c r="EV18" s="3">
        <f ca="1">IFERROR(__xludf.DUMMYFUNCTION("""COMPUTED_VALUE"""),-0.650202858723921)</f>
        <v>-0.65020285872392103</v>
      </c>
      <c r="EW18" s="3">
        <f ca="1">IFERROR(__xludf.DUMMYFUNCTION("""COMPUTED_VALUE"""),-0.704687881336554)</f>
        <v>-0.70468788133655402</v>
      </c>
      <c r="EX18" s="3">
        <f ca="1">IFERROR(__xludf.DUMMYFUNCTION("""COMPUTED_VALUE"""),-0.719120015441104)</f>
        <v>-0.71912001544110404</v>
      </c>
      <c r="EY18" s="3">
        <f ca="1">IFERROR(__xludf.DUMMYFUNCTION("""COMPUTED_VALUE"""),-0.72334652018798)</f>
        <v>-0.72334652018797996</v>
      </c>
      <c r="EZ18" s="3">
        <f ca="1">IFERROR(__xludf.DUMMYFUNCTION("""COMPUTED_VALUE"""),-0.712337288366042)</f>
        <v>-0.71233728836604204</v>
      </c>
      <c r="FA18" s="3">
        <f ca="1">IFERROR(__xludf.DUMMYFUNCTION("""COMPUTED_VALUE"""),-0.664306168359679)</f>
        <v>-0.66430616835967904</v>
      </c>
      <c r="FB18" s="3">
        <f ca="1">IFERROR(__xludf.DUMMYFUNCTION("""COMPUTED_VALUE"""),-0.568579522173902)</f>
        <v>-0.56857952217390195</v>
      </c>
      <c r="FC18" s="3">
        <f ca="1">IFERROR(__xludf.DUMMYFUNCTION("""COMPUTED_VALUE"""),-0.591733577162463)</f>
        <v>-0.591733577162463</v>
      </c>
      <c r="FD18" s="3">
        <f ca="1">IFERROR(__xludf.DUMMYFUNCTION("""COMPUTED_VALUE"""),-0.686896398160103)</f>
        <v>-0.68689639816010295</v>
      </c>
      <c r="FE18" s="3">
        <f ca="1">IFERROR(__xludf.DUMMYFUNCTION("""COMPUTED_VALUE"""),-0.706343852389487)</f>
        <v>-0.70634385238948705</v>
      </c>
      <c r="FF18" s="3">
        <f ca="1">IFERROR(__xludf.DUMMYFUNCTION("""COMPUTED_VALUE"""),-0.699165341303545)</f>
        <v>-0.69916534130354502</v>
      </c>
      <c r="FG18" s="3">
        <f ca="1">IFERROR(__xludf.DUMMYFUNCTION("""COMPUTED_VALUE"""),-0.680193914780458)</f>
        <v>-0.68019391478045799</v>
      </c>
      <c r="FH18" s="3">
        <f ca="1">IFERROR(__xludf.DUMMYFUNCTION("""COMPUTED_VALUE"""),-0.627075561192787)</f>
        <v>-0.62707556119278696</v>
      </c>
      <c r="FI18" s="3">
        <f ca="1">IFERROR(__xludf.DUMMYFUNCTION("""COMPUTED_VALUE"""),-0.513847548539693)</f>
        <v>-0.51384754853969306</v>
      </c>
      <c r="FJ18" s="3">
        <f ca="1">IFERROR(__xludf.DUMMYFUNCTION("""COMPUTED_VALUE"""),-0.558252974131225)</f>
        <v>-0.55825297413122499</v>
      </c>
      <c r="FK18" s="3">
        <f ca="1">IFERROR(__xludf.DUMMYFUNCTION("""COMPUTED_VALUE"""),-0.665166394045172)</f>
        <v>-0.66516639404517197</v>
      </c>
      <c r="FL18" s="3">
        <f ca="1">IFERROR(__xludf.DUMMYFUNCTION("""COMPUTED_VALUE"""),-0.698135206101092)</f>
        <v>-0.69813520610109203</v>
      </c>
      <c r="FM18" s="3">
        <f ca="1">IFERROR(__xludf.DUMMYFUNCTION("""COMPUTED_VALUE"""),-0.695407048532238)</f>
        <v>-0.695407048532238</v>
      </c>
      <c r="FN18" s="3">
        <f ca="1">IFERROR(__xludf.DUMMYFUNCTION("""COMPUTED_VALUE"""),-0.703711285562032)</f>
        <v>-0.703711285562032</v>
      </c>
      <c r="FO18" s="3">
        <f ca="1">IFERROR(__xludf.DUMMYFUNCTION("""COMPUTED_VALUE"""),-0.651312368024703)</f>
        <v>-0.65131236802470305</v>
      </c>
      <c r="FP18" s="3">
        <f ca="1">IFERROR(__xludf.DUMMYFUNCTION("""COMPUTED_VALUE"""),-0.568318327481262)</f>
        <v>-0.56831832748126199</v>
      </c>
      <c r="FQ18" s="3">
        <f ca="1">IFERROR(__xludf.DUMMYFUNCTION("""COMPUTED_VALUE"""),-0.575362003727677)</f>
        <v>-0.57536200372767698</v>
      </c>
      <c r="FR18" s="3">
        <f ca="1">IFERROR(__xludf.DUMMYFUNCTION("""COMPUTED_VALUE"""),-0.682252336794674)</f>
        <v>-0.68225233679467401</v>
      </c>
      <c r="FS18" s="3">
        <f ca="1">IFERROR(__xludf.DUMMYFUNCTION("""COMPUTED_VALUE"""),-0.679185157121991)</f>
        <v>-0.67918515712199101</v>
      </c>
      <c r="FT18" s="3">
        <f ca="1">IFERROR(__xludf.DUMMYFUNCTION("""COMPUTED_VALUE"""),-0.684318746647212)</f>
        <v>-0.68431874664721204</v>
      </c>
      <c r="FU18" s="3">
        <f ca="1">IFERROR(__xludf.DUMMYFUNCTION("""COMPUTED_VALUE"""),-0.676045302888389)</f>
        <v>-0.67604530288838904</v>
      </c>
      <c r="FV18" s="3">
        <f ca="1">IFERROR(__xludf.DUMMYFUNCTION("""COMPUTED_VALUE"""),-0.632025727211948)</f>
        <v>-0.63202572721194805</v>
      </c>
      <c r="FW18" s="3">
        <f ca="1">IFERROR(__xludf.DUMMYFUNCTION("""COMPUTED_VALUE"""),-0.571811819630524)</f>
        <v>-0.57181181963052397</v>
      </c>
      <c r="FX18" s="3">
        <f ca="1">IFERROR(__xludf.DUMMYFUNCTION("""COMPUTED_VALUE"""),-0.565131227985322)</f>
        <v>-0.565131227985322</v>
      </c>
      <c r="FY18" s="3">
        <f ca="1">IFERROR(__xludf.DUMMYFUNCTION("""COMPUTED_VALUE"""),-0.667790622500232)</f>
        <v>-0.66779062250023202</v>
      </c>
      <c r="FZ18" s="3">
        <f ca="1">IFERROR(__xludf.DUMMYFUNCTION("""COMPUTED_VALUE"""),-0.685722827084992)</f>
        <v>-0.68572282708499199</v>
      </c>
      <c r="GA18" s="3">
        <f ca="1">IFERROR(__xludf.DUMMYFUNCTION("""COMPUTED_VALUE"""),-0.699433633884965)</f>
        <v>-0.69943363388496504</v>
      </c>
      <c r="GB18" s="3">
        <f ca="1">IFERROR(__xludf.DUMMYFUNCTION("""COMPUTED_VALUE"""),-0.695247652775776)</f>
        <v>-0.69524765277577605</v>
      </c>
      <c r="GC18" s="3">
        <f ca="1">IFERROR(__xludf.DUMMYFUNCTION("""COMPUTED_VALUE"""),-0.65567744063544)</f>
        <v>-0.65567744063543998</v>
      </c>
      <c r="GD18" s="3">
        <f ca="1">IFERROR(__xludf.DUMMYFUNCTION("""COMPUTED_VALUE"""),-0.539325584179092)</f>
        <v>-0.53932558417909204</v>
      </c>
      <c r="GE18" s="3">
        <f ca="1">IFERROR(__xludf.DUMMYFUNCTION("""COMPUTED_VALUE"""),-0.584244485865687)</f>
        <v>-0.584244485865687</v>
      </c>
      <c r="GF18" s="3">
        <f ca="1">IFERROR(__xludf.DUMMYFUNCTION("""COMPUTED_VALUE"""),-0.672841058935382)</f>
        <v>-0.67284105893538204</v>
      </c>
      <c r="GG18" s="3">
        <f ca="1">IFERROR(__xludf.DUMMYFUNCTION("""COMPUTED_VALUE"""),-0.690686867718909)</f>
        <v>-0.69068686771890897</v>
      </c>
      <c r="GH18" s="3">
        <f ca="1">IFERROR(__xludf.DUMMYFUNCTION("""COMPUTED_VALUE"""),-0.681412392112289)</f>
        <v>-0.68141239211228899</v>
      </c>
      <c r="GI18" s="3">
        <f ca="1">IFERROR(__xludf.DUMMYFUNCTION("""COMPUTED_VALUE"""),-0.662643276518669)</f>
        <v>-0.66264327651866906</v>
      </c>
      <c r="GJ18" s="3">
        <f ca="1">IFERROR(__xludf.DUMMYFUNCTION("""COMPUTED_VALUE"""),-0.64418534360268)</f>
        <v>-0.64418534360267998</v>
      </c>
      <c r="GK18" s="3">
        <f ca="1">IFERROR(__xludf.DUMMYFUNCTION("""COMPUTED_VALUE"""),-0.515298313110722)</f>
        <v>-0.51529831311072205</v>
      </c>
      <c r="GL18" s="3">
        <f ca="1">IFERROR(__xludf.DUMMYFUNCTION("""COMPUTED_VALUE"""),-0.583558082682827)</f>
        <v>-0.58355808268282705</v>
      </c>
      <c r="GM18" s="3">
        <f ca="1">IFERROR(__xludf.DUMMYFUNCTION("""COMPUTED_VALUE"""),-0.677753809447521)</f>
        <v>-0.67775380944752095</v>
      </c>
      <c r="GN18" s="3">
        <f ca="1">IFERROR(__xludf.DUMMYFUNCTION("""COMPUTED_VALUE"""),-0.717435611538405)</f>
        <v>-0.71743561153840496</v>
      </c>
      <c r="GO18" s="3">
        <f ca="1">IFERROR(__xludf.DUMMYFUNCTION("""COMPUTED_VALUE"""),-0.698802502873937)</f>
        <v>-0.69880250287393697</v>
      </c>
      <c r="GP18" s="3">
        <f ca="1">IFERROR(__xludf.DUMMYFUNCTION("""COMPUTED_VALUE"""),-0.692346640031045)</f>
        <v>-0.69234664003104496</v>
      </c>
      <c r="GQ18" s="3">
        <f ca="1">IFERROR(__xludf.DUMMYFUNCTION("""COMPUTED_VALUE"""),-0.653280036837564)</f>
        <v>-0.65328003683756397</v>
      </c>
      <c r="GR18" s="3">
        <f ca="1">IFERROR(__xludf.DUMMYFUNCTION("""COMPUTED_VALUE"""),-0.509541400720896)</f>
        <v>-0.50954140072089604</v>
      </c>
      <c r="GS18" s="3">
        <f ca="1">IFERROR(__xludf.DUMMYFUNCTION("""COMPUTED_VALUE"""),-0.578302999816263)</f>
        <v>-0.57830299981626299</v>
      </c>
      <c r="GT18" s="3">
        <f ca="1">IFERROR(__xludf.DUMMYFUNCTION("""COMPUTED_VALUE"""),-0.657842346075687)</f>
        <v>-0.65784234607568703</v>
      </c>
      <c r="GU18" s="3">
        <f ca="1">IFERROR(__xludf.DUMMYFUNCTION("""COMPUTED_VALUE"""),-0.70823216029801)</f>
        <v>-0.70823216029800995</v>
      </c>
      <c r="GV18" s="3">
        <f ca="1">IFERROR(__xludf.DUMMYFUNCTION("""COMPUTED_VALUE"""),-0.695643227977928)</f>
        <v>-0.69564322797792799</v>
      </c>
      <c r="GW18" s="3">
        <f ca="1">IFERROR(__xludf.DUMMYFUNCTION("""COMPUTED_VALUE"""),-0.682572881289659)</f>
        <v>-0.68257288128965898</v>
      </c>
      <c r="GX18" s="3">
        <f ca="1">IFERROR(__xludf.DUMMYFUNCTION("""COMPUTED_VALUE"""),-0.632141437879033)</f>
        <v>-0.63214143787903299</v>
      </c>
      <c r="GY18" s="3">
        <f ca="1">IFERROR(__xludf.DUMMYFUNCTION("""COMPUTED_VALUE"""),-0.491398140072677)</f>
        <v>-0.49139814007267701</v>
      </c>
      <c r="GZ18" s="3">
        <f ca="1">IFERROR(__xludf.DUMMYFUNCTION("""COMPUTED_VALUE"""),-0.550853317445844)</f>
        <v>-0.55085331744584398</v>
      </c>
      <c r="HA18" s="3">
        <f ca="1">IFERROR(__xludf.DUMMYFUNCTION("""COMPUTED_VALUE"""),-0.659670499120605)</f>
        <v>-0.65967049912060505</v>
      </c>
      <c r="HB18" s="3">
        <f ca="1">IFERROR(__xludf.DUMMYFUNCTION("""COMPUTED_VALUE"""),-0.688909747686127)</f>
        <v>-0.68890974768612701</v>
      </c>
      <c r="HC18" s="3">
        <f ca="1">IFERROR(__xludf.DUMMYFUNCTION("""COMPUTED_VALUE"""),-0.653469207326281)</f>
        <v>-0.653469207326281</v>
      </c>
      <c r="HD18" s="3">
        <f ca="1">IFERROR(__xludf.DUMMYFUNCTION("""COMPUTED_VALUE"""),-0.671832080209345)</f>
        <v>-0.67183208020934504</v>
      </c>
      <c r="HE18" s="3">
        <f ca="1">IFERROR(__xludf.DUMMYFUNCTION("""COMPUTED_VALUE"""),-0.641853217663922)</f>
        <v>-0.641853217663922</v>
      </c>
      <c r="HF18" s="3">
        <f ca="1">IFERROR(__xludf.DUMMYFUNCTION("""COMPUTED_VALUE"""),-0.488000976740138)</f>
        <v>-0.48800097674013798</v>
      </c>
      <c r="HG18" s="3">
        <f ca="1">IFERROR(__xludf.DUMMYFUNCTION("""COMPUTED_VALUE"""),-0.616757957881454)</f>
        <v>-0.61675795788145404</v>
      </c>
      <c r="HH18" s="3">
        <f ca="1">IFERROR(__xludf.DUMMYFUNCTION("""COMPUTED_VALUE"""),-0.670271067207206)</f>
        <v>-0.67027106720720597</v>
      </c>
      <c r="HI18" s="3">
        <f ca="1">IFERROR(__xludf.DUMMYFUNCTION("""COMPUTED_VALUE"""),-0.691189848249589)</f>
        <v>-0.69118984824958896</v>
      </c>
      <c r="HJ18" s="3">
        <f ca="1">IFERROR(__xludf.DUMMYFUNCTION("""COMPUTED_VALUE"""),-0.683257973345698)</f>
        <v>-0.68325797334569804</v>
      </c>
      <c r="HK18" s="3">
        <f ca="1">IFERROR(__xludf.DUMMYFUNCTION("""COMPUTED_VALUE"""),-0.664263676238771)</f>
        <v>-0.66426367623877103</v>
      </c>
      <c r="HL18" s="3">
        <f ca="1">IFERROR(__xludf.DUMMYFUNCTION("""COMPUTED_VALUE"""),-0.557091807211203)</f>
        <v>-0.55709180721120299</v>
      </c>
      <c r="HM18" s="3">
        <f ca="1">IFERROR(__xludf.DUMMYFUNCTION("""COMPUTED_VALUE"""),-0.483081846607772)</f>
        <v>-0.48308184660777198</v>
      </c>
      <c r="HN18" s="3">
        <f ca="1">IFERROR(__xludf.DUMMYFUNCTION("""COMPUTED_VALUE"""),-0.518616156495428)</f>
        <v>-0.51861615649542803</v>
      </c>
      <c r="HO18" s="3">
        <f ca="1">IFERROR(__xludf.DUMMYFUNCTION("""COMPUTED_VALUE"""),-0.618441336800146)</f>
        <v>-0.61844133680014601</v>
      </c>
      <c r="HP18" s="3">
        <f ca="1">IFERROR(__xludf.DUMMYFUNCTION("""COMPUTED_VALUE"""),-0.665862220911137)</f>
        <v>-0.665862220911137</v>
      </c>
      <c r="HQ18" s="3">
        <f ca="1">IFERROR(__xludf.DUMMYFUNCTION("""COMPUTED_VALUE"""),-0.657915272240687)</f>
        <v>-0.65791527224068702</v>
      </c>
      <c r="HR18" s="3">
        <f ca="1">IFERROR(__xludf.DUMMYFUNCTION("""COMPUTED_VALUE"""),-0.655508554710814)</f>
        <v>-0.65550855471081404</v>
      </c>
      <c r="HS18" s="3">
        <f ca="1">IFERROR(__xludf.DUMMYFUNCTION("""COMPUTED_VALUE"""),-0.561055691365584)</f>
        <v>-0.56105569136558398</v>
      </c>
      <c r="HT18" s="3">
        <f ca="1">IFERROR(__xludf.DUMMYFUNCTION("""COMPUTED_VALUE"""),-0.445036015082191)</f>
        <v>-0.44503601508219098</v>
      </c>
      <c r="HU18" s="3">
        <f ca="1">IFERROR(__xludf.DUMMYFUNCTION("""COMPUTED_VALUE"""),-0.495007731447179)</f>
        <v>-0.49500773144717902</v>
      </c>
      <c r="HV18" s="3">
        <f ca="1">IFERROR(__xludf.DUMMYFUNCTION("""COMPUTED_VALUE"""),-0.608845785053866)</f>
        <v>-0.608845785053866</v>
      </c>
      <c r="HW18" s="3">
        <f ca="1">IFERROR(__xludf.DUMMYFUNCTION("""COMPUTED_VALUE"""),-0.627382065096167)</f>
        <v>-0.62738206509616701</v>
      </c>
      <c r="HX18" s="3">
        <f ca="1">IFERROR(__xludf.DUMMYFUNCTION("""COMPUTED_VALUE"""),-0.651750833380527)</f>
        <v>-0.65175083338052697</v>
      </c>
      <c r="HY18" s="3">
        <f ca="1">IFERROR(__xludf.DUMMYFUNCTION("""COMPUTED_VALUE"""),-0.631661165764268)</f>
        <v>-0.63166116576426801</v>
      </c>
      <c r="HZ18" s="3">
        <f ca="1">IFERROR(__xludf.DUMMYFUNCTION("""COMPUTED_VALUE"""),-0.538029593918873)</f>
        <v>-0.53802959391887295</v>
      </c>
      <c r="IA18" s="3">
        <f ca="1">IFERROR(__xludf.DUMMYFUNCTION("""COMPUTED_VALUE"""),-0.467762978021393)</f>
        <v>-0.46776297802139299</v>
      </c>
      <c r="IB18" s="3">
        <f ca="1">IFERROR(__xludf.DUMMYFUNCTION("""COMPUTED_VALUE"""),-0.456606476003411)</f>
        <v>-0.45660647600341098</v>
      </c>
      <c r="IC18" s="3">
        <f ca="1">IFERROR(__xludf.DUMMYFUNCTION("""COMPUTED_VALUE"""),-0.602275695129915)</f>
        <v>-0.60227569512991497</v>
      </c>
      <c r="ID18" s="3">
        <f ca="1">IFERROR(__xludf.DUMMYFUNCTION("""COMPUTED_VALUE"""),-0.605687680446249)</f>
        <v>-0.60568768044624899</v>
      </c>
      <c r="IE18" s="3">
        <f ca="1">IFERROR(__xludf.DUMMYFUNCTION("""COMPUTED_VALUE"""),-0.628027818885409)</f>
        <v>-0.62802781888540904</v>
      </c>
      <c r="IF18" s="3">
        <f ca="1">IFERROR(__xludf.DUMMYFUNCTION("""COMPUTED_VALUE"""),-0.62331766201589)</f>
        <v>-0.62331766201589001</v>
      </c>
      <c r="IG18" s="3">
        <f ca="1">IFERROR(__xludf.DUMMYFUNCTION("""COMPUTED_VALUE"""),-0.555282289548423)</f>
        <v>-0.55528228954842296</v>
      </c>
      <c r="IH18" s="3">
        <f ca="1">IFERROR(__xludf.DUMMYFUNCTION("""COMPUTED_VALUE"""),-0.4458220744644)</f>
        <v>-0.44582207446439998</v>
      </c>
      <c r="II18" s="3">
        <f ca="1">IFERROR(__xludf.DUMMYFUNCTION("""COMPUTED_VALUE"""),-0.491689258948396)</f>
        <v>-0.49168925894839599</v>
      </c>
      <c r="IJ18" s="3">
        <f ca="1">IFERROR(__xludf.DUMMYFUNCTION("""COMPUTED_VALUE"""),-0.564282381728347)</f>
        <v>-0.56428238172834699</v>
      </c>
      <c r="IK18" s="3">
        <f ca="1">IFERROR(__xludf.DUMMYFUNCTION("""COMPUTED_VALUE"""),-0.599147989999549)</f>
        <v>-0.59914798999954899</v>
      </c>
      <c r="IL18" s="3">
        <f ca="1">IFERROR(__xludf.DUMMYFUNCTION("""COMPUTED_VALUE"""),-0.604674493337199)</f>
        <v>-0.60467449333719903</v>
      </c>
      <c r="IM18" s="3">
        <f ca="1">IFERROR(__xludf.DUMMYFUNCTION("""COMPUTED_VALUE"""),-0.586545318392819)</f>
        <v>-0.58654531839281898</v>
      </c>
      <c r="IN18" s="3">
        <f ca="1">IFERROR(__xludf.DUMMYFUNCTION("""COMPUTED_VALUE"""),-0.590175946527495)</f>
        <v>-0.59017594652749505</v>
      </c>
      <c r="IO18" s="3">
        <f ca="1">IFERROR(__xludf.DUMMYFUNCTION("""COMPUTED_VALUE"""),-0.514723560645133)</f>
        <v>-0.51472356064513303</v>
      </c>
      <c r="IP18" s="3">
        <f ca="1">IFERROR(__xludf.DUMMYFUNCTION("""COMPUTED_VALUE"""),-0.568111266129026)</f>
        <v>-0.56811126612902596</v>
      </c>
      <c r="IQ18" s="3">
        <f ca="1">IFERROR(__xludf.DUMMYFUNCTION("""COMPUTED_VALUE"""),-0.624390455271935)</f>
        <v>-0.62439045527193504</v>
      </c>
      <c r="IR18" s="3">
        <f ca="1">IFERROR(__xludf.DUMMYFUNCTION("""COMPUTED_VALUE"""),-0.655107557369411)</f>
        <v>-0.65510755736941095</v>
      </c>
      <c r="IS18" s="3">
        <f ca="1">IFERROR(__xludf.DUMMYFUNCTION("""COMPUTED_VALUE"""),-0.642000560565069)</f>
        <v>-0.64200056056506905</v>
      </c>
      <c r="IT18" s="3">
        <f ca="1">IFERROR(__xludf.DUMMYFUNCTION("""COMPUTED_VALUE"""),-0.638803137045125)</f>
        <v>-0.63880313704512504</v>
      </c>
      <c r="IU18" s="3">
        <f ca="1">IFERROR(__xludf.DUMMYFUNCTION("""COMPUTED_VALUE"""),-0.612237405943472)</f>
        <v>-0.61223740594347198</v>
      </c>
      <c r="IV18" s="3">
        <f ca="1">IFERROR(__xludf.DUMMYFUNCTION("""COMPUTED_VALUE"""),-0.524804987293863)</f>
        <v>-0.52480498729386305</v>
      </c>
      <c r="IW18" s="3">
        <f ca="1">IFERROR(__xludf.DUMMYFUNCTION("""COMPUTED_VALUE"""),-0.572441750256211)</f>
        <v>-0.57244175025621102</v>
      </c>
      <c r="IX18" s="3">
        <f ca="1">IFERROR(__xludf.DUMMYFUNCTION("""COMPUTED_VALUE"""),-0.628185194881105)</f>
        <v>-0.62818519488110502</v>
      </c>
      <c r="IY18" s="3">
        <f ca="1">IFERROR(__xludf.DUMMYFUNCTION("""COMPUTED_VALUE"""),-0.678597079652026)</f>
        <v>-0.67859707965202598</v>
      </c>
      <c r="IZ18" s="3">
        <f ca="1">IFERROR(__xludf.DUMMYFUNCTION("""COMPUTED_VALUE"""),-0.658767795847048)</f>
        <v>-0.65876779584704803</v>
      </c>
      <c r="JA18" s="3">
        <f ca="1">IFERROR(__xludf.DUMMYFUNCTION("""COMPUTED_VALUE"""),-0.645921459441997)</f>
        <v>-0.64592145944199697</v>
      </c>
      <c r="JB18" s="3">
        <f ca="1">IFERROR(__xludf.DUMMYFUNCTION("""COMPUTED_VALUE"""),-0.604901672342845)</f>
        <v>-0.60490167234284498</v>
      </c>
      <c r="JC18" s="3">
        <f ca="1">IFERROR(__xludf.DUMMYFUNCTION("""COMPUTED_VALUE"""),-0.50093287201651)</f>
        <v>-0.50093287201651004</v>
      </c>
      <c r="JD18" s="3">
        <f ca="1">IFERROR(__xludf.DUMMYFUNCTION("""COMPUTED_VALUE"""),-0.567395791944844)</f>
        <v>-0.56739579194484402</v>
      </c>
      <c r="JE18" s="3">
        <f ca="1">IFERROR(__xludf.DUMMYFUNCTION("""COMPUTED_VALUE"""),-0.632342139588159)</f>
        <v>-0.63234213958815899</v>
      </c>
      <c r="JF18" s="3">
        <f ca="1">IFERROR(__xludf.DUMMYFUNCTION("""COMPUTED_VALUE"""),-0.676889732090974)</f>
        <v>-0.67688973209097403</v>
      </c>
      <c r="JG18" s="3">
        <f ca="1">IFERROR(__xludf.DUMMYFUNCTION("""COMPUTED_VALUE"""),-0.655149805930862)</f>
        <v>-0.65514980593086203</v>
      </c>
      <c r="JH18" s="3">
        <f ca="1">IFERROR(__xludf.DUMMYFUNCTION("""COMPUTED_VALUE"""),-0.681405287469306)</f>
        <v>-0.68140528746930595</v>
      </c>
      <c r="JI18" s="3">
        <f ca="1">IFERROR(__xludf.DUMMYFUNCTION("""COMPUTED_VALUE"""),-0.625030059724213)</f>
        <v>-0.62503005972421299</v>
      </c>
      <c r="JJ18" s="3">
        <f ca="1">IFERROR(__xludf.DUMMYFUNCTION("""COMPUTED_VALUE"""),-0.601664167779611)</f>
        <v>-0.60166416777961096</v>
      </c>
      <c r="JK18" s="3">
        <f ca="1">IFERROR(__xludf.DUMMYFUNCTION("""COMPUTED_VALUE"""),-0.549136050271048)</f>
        <v>-0.54913605027104795</v>
      </c>
      <c r="JL18" s="3">
        <f ca="1">IFERROR(__xludf.DUMMYFUNCTION("""COMPUTED_VALUE"""),-0.611901656973326)</f>
        <v>-0.61190165697332599</v>
      </c>
      <c r="JM18" s="3">
        <f ca="1">IFERROR(__xludf.DUMMYFUNCTION("""COMPUTED_VALUE"""),-0.659766217765398)</f>
        <v>-0.65976621776539801</v>
      </c>
      <c r="JN18" s="3">
        <f ca="1">IFERROR(__xludf.DUMMYFUNCTION("""COMPUTED_VALUE"""),-0.672445941684142)</f>
        <v>-0.67244594168414196</v>
      </c>
      <c r="JO18" s="3">
        <f ca="1">IFERROR(__xludf.DUMMYFUNCTION("""COMPUTED_VALUE"""),-0.658115233565173)</f>
        <v>-0.65811523356517299</v>
      </c>
      <c r="JP18" s="3">
        <f ca="1">IFERROR(__xludf.DUMMYFUNCTION("""COMPUTED_VALUE"""),-0.614839877854631)</f>
        <v>-0.61483987785463101</v>
      </c>
      <c r="JQ18" s="3">
        <f ca="1">IFERROR(__xludf.DUMMYFUNCTION("""COMPUTED_VALUE"""),-0.544759858468234)</f>
        <v>-0.54475985846823405</v>
      </c>
      <c r="JR18" s="3">
        <f ca="1">IFERROR(__xludf.DUMMYFUNCTION("""COMPUTED_VALUE"""),-0.569094603723763)</f>
        <v>-0.56909460372376297</v>
      </c>
      <c r="JS18" s="3">
        <f ca="1">IFERROR(__xludf.DUMMYFUNCTION("""COMPUTED_VALUE"""),-0.633467940413995)</f>
        <v>-0.63346794041399501</v>
      </c>
      <c r="JT18" s="3">
        <f ca="1">IFERROR(__xludf.DUMMYFUNCTION("""COMPUTED_VALUE"""),-0.630293519264811)</f>
        <v>-0.63029351926481103</v>
      </c>
      <c r="JU18" s="3">
        <f ca="1">IFERROR(__xludf.DUMMYFUNCTION("""COMPUTED_VALUE"""),-0.66780679303925)</f>
        <v>-0.66780679303924995</v>
      </c>
      <c r="JV18" s="3">
        <f ca="1">IFERROR(__xludf.DUMMYFUNCTION("""COMPUTED_VALUE"""),-0.640078443158538)</f>
        <v>-0.64007844315853801</v>
      </c>
      <c r="JW18" s="3">
        <f ca="1">IFERROR(__xludf.DUMMYFUNCTION("""COMPUTED_VALUE"""),-0.611969299910112)</f>
        <v>-0.61196929991011195</v>
      </c>
      <c r="JX18" s="3">
        <f ca="1">IFERROR(__xludf.DUMMYFUNCTION("""COMPUTED_VALUE"""),-0.546589003145211)</f>
        <v>-0.54658900314521097</v>
      </c>
      <c r="JY18" s="3">
        <f ca="1">IFERROR(__xludf.DUMMYFUNCTION("""COMPUTED_VALUE"""),-0.543057448892819)</f>
        <v>-0.54305744889281904</v>
      </c>
      <c r="JZ18" s="3">
        <f ca="1">IFERROR(__xludf.DUMMYFUNCTION("""COMPUTED_VALUE"""),-0.489265550086443)</f>
        <v>-0.48926555008644301</v>
      </c>
      <c r="KA18" s="3">
        <f ca="1">IFERROR(__xludf.DUMMYFUNCTION("""COMPUTED_VALUE"""),-0.648817598986291)</f>
        <v>-0.64881759898629099</v>
      </c>
      <c r="KB18" s="3">
        <f ca="1">IFERROR(__xludf.DUMMYFUNCTION("""COMPUTED_VALUE"""),-0.69370287261662)</f>
        <v>-0.69370287261662</v>
      </c>
      <c r="KC18" s="3">
        <f ca="1">IFERROR(__xludf.DUMMYFUNCTION("""COMPUTED_VALUE"""),-0.699685881614138)</f>
        <v>-0.69968588161413803</v>
      </c>
      <c r="KD18" s="3">
        <f ca="1">IFERROR(__xludf.DUMMYFUNCTION("""COMPUTED_VALUE"""),-0.645828794132595)</f>
        <v>-0.64582879413259497</v>
      </c>
      <c r="KE18" s="3">
        <f ca="1">IFERROR(__xludf.DUMMYFUNCTION("""COMPUTED_VALUE"""),-0.527713929233752)</f>
        <v>-0.52771392923375204</v>
      </c>
      <c r="KF18" s="3">
        <f ca="1">IFERROR(__xludf.DUMMYFUNCTION("""COMPUTED_VALUE"""),-0.590842156572691)</f>
        <v>-0.59084215657269101</v>
      </c>
      <c r="KG18" s="3">
        <f ca="1">IFERROR(__xludf.DUMMYFUNCTION("""COMPUTED_VALUE"""),-0.681560234493555)</f>
        <v>-0.68156023449355496</v>
      </c>
      <c r="KH18" s="3">
        <f ca="1">IFERROR(__xludf.DUMMYFUNCTION("""COMPUTED_VALUE"""),-0.672773260664526)</f>
        <v>-0.67277326066452603</v>
      </c>
      <c r="KI18" s="3">
        <f ca="1">IFERROR(__xludf.DUMMYFUNCTION("""COMPUTED_VALUE"""),-0.707779193803527)</f>
        <v>-0.70777919380352705</v>
      </c>
      <c r="KJ18" s="3">
        <f ca="1">IFERROR(__xludf.DUMMYFUNCTION("""COMPUTED_VALUE"""),-0.70411564538775)</f>
        <v>-0.70411564538774996</v>
      </c>
      <c r="KK18" s="3">
        <f ca="1">IFERROR(__xludf.DUMMYFUNCTION("""COMPUTED_VALUE"""),-0.670458370307819)</f>
        <v>-0.67045837030781896</v>
      </c>
      <c r="KL18" s="3">
        <f ca="1">IFERROR(__xludf.DUMMYFUNCTION("""COMPUTED_VALUE"""),-0.577704721309968)</f>
        <v>-0.57770472130996797</v>
      </c>
      <c r="KM18" s="3">
        <f ca="1">IFERROR(__xludf.DUMMYFUNCTION("""COMPUTED_VALUE"""),-0.541628466482488)</f>
        <v>-0.54162846648248797</v>
      </c>
      <c r="KN18" s="3">
        <f ca="1">IFERROR(__xludf.DUMMYFUNCTION("""COMPUTED_VALUE"""),-0.609344485113135)</f>
        <v>-0.60934448511313499</v>
      </c>
      <c r="KO18" s="3">
        <f ca="1">IFERROR(__xludf.DUMMYFUNCTION("""COMPUTED_VALUE"""),-0.642509212171754)</f>
        <v>-0.64250921217175405</v>
      </c>
      <c r="KP18" s="3">
        <f ca="1">IFERROR(__xludf.DUMMYFUNCTION("""COMPUTED_VALUE"""),-0.642403704560015)</f>
        <v>-0.64240370456001505</v>
      </c>
      <c r="KQ18" s="3">
        <f ca="1">IFERROR(__xludf.DUMMYFUNCTION("""COMPUTED_VALUE"""),-0.656579631649342)</f>
        <v>-0.65657963164934197</v>
      </c>
      <c r="KR18" s="3">
        <f ca="1">IFERROR(__xludf.DUMMYFUNCTION("""COMPUTED_VALUE"""),-0.587923359343292)</f>
        <v>-0.58792335934329198</v>
      </c>
      <c r="KS18" s="3">
        <f ca="1">IFERROR(__xludf.DUMMYFUNCTION("""COMPUTED_VALUE"""),-0.547789359008766)</f>
        <v>-0.54778935900876602</v>
      </c>
      <c r="KT18" s="3">
        <f ca="1">IFERROR(__xludf.DUMMYFUNCTION("""COMPUTED_VALUE"""),-0.532004619851824)</f>
        <v>-0.53200461985182401</v>
      </c>
      <c r="KU18" s="3">
        <f ca="1">IFERROR(__xludf.DUMMYFUNCTION("""COMPUTED_VALUE"""),-0.638994172854391)</f>
        <v>-0.63899417285439097</v>
      </c>
      <c r="KV18" s="3">
        <f ca="1">IFERROR(__xludf.DUMMYFUNCTION("""COMPUTED_VALUE"""),-0.651927335975983)</f>
        <v>-0.65192733597598296</v>
      </c>
      <c r="KW18" s="3">
        <f ca="1">IFERROR(__xludf.DUMMYFUNCTION("""COMPUTED_VALUE"""),-0.666715508623067)</f>
        <v>-0.66671550862306705</v>
      </c>
      <c r="KX18" s="3">
        <f ca="1">IFERROR(__xludf.DUMMYFUNCTION("""COMPUTED_VALUE"""),-0.664811376414812)</f>
        <v>-0.66481137641481203</v>
      </c>
      <c r="KY18" s="3">
        <f ca="1">IFERROR(__xludf.DUMMYFUNCTION("""COMPUTED_VALUE"""),-0.593132633649653)</f>
        <v>-0.59313263364965296</v>
      </c>
      <c r="KZ18" s="3">
        <f ca="1">IFERROR(__xludf.DUMMYFUNCTION("""COMPUTED_VALUE"""),-0.538443155990673)</f>
        <v>-0.53844315599067305</v>
      </c>
      <c r="LA18" s="3">
        <f ca="1">IFERROR(__xludf.DUMMYFUNCTION("""COMPUTED_VALUE"""),-0.537986344554908)</f>
        <v>-0.53798634455490801</v>
      </c>
      <c r="LB18" s="3">
        <f ca="1">IFERROR(__xludf.DUMMYFUNCTION("""COMPUTED_VALUE"""),-0.671119349818574)</f>
        <v>-0.67111934981857402</v>
      </c>
      <c r="LC18" s="3">
        <f ca="1">IFERROR(__xludf.DUMMYFUNCTION("""COMPUTED_VALUE"""),-0.664759175379944)</f>
        <v>-0.664759175379944</v>
      </c>
      <c r="LD18" s="3">
        <f ca="1">IFERROR(__xludf.DUMMYFUNCTION("""COMPUTED_VALUE"""),-0.698279899696567)</f>
        <v>-0.69827989969656701</v>
      </c>
      <c r="LE18" s="3">
        <f ca="1">IFERROR(__xludf.DUMMYFUNCTION("""COMPUTED_VALUE"""),-0.674935942739441)</f>
        <v>-0.67493594273944102</v>
      </c>
      <c r="LF18" s="3">
        <f ca="1">IFERROR(__xludf.DUMMYFUNCTION("""COMPUTED_VALUE"""),-0.6605118509969)</f>
        <v>-0.66051185099690002</v>
      </c>
      <c r="LG18" s="3">
        <f ca="1">IFERROR(__xludf.DUMMYFUNCTION("""COMPUTED_VALUE"""),-0.611120536805813)</f>
        <v>-0.61112053680581302</v>
      </c>
      <c r="LH18" s="3">
        <f ca="1">IFERROR(__xludf.DUMMYFUNCTION("""COMPUTED_VALUE"""),-0.55608739963428)</f>
        <v>-0.55608739963428</v>
      </c>
      <c r="LI18" s="3">
        <f ca="1">IFERROR(__xludf.DUMMYFUNCTION("""COMPUTED_VALUE"""),-0.691173949254488)</f>
        <v>-0.69117394925448805</v>
      </c>
      <c r="LJ18" s="3">
        <f ca="1">IFERROR(__xludf.DUMMYFUNCTION("""COMPUTED_VALUE"""),-0.713089929528216)</f>
        <v>-0.71308992952821604</v>
      </c>
      <c r="LK18" s="3">
        <f ca="1">IFERROR(__xludf.DUMMYFUNCTION("""COMPUTED_VALUE"""),-0.694059181850715)</f>
        <v>-0.69405918185071502</v>
      </c>
      <c r="LL18" s="3">
        <f ca="1">IFERROR(__xludf.DUMMYFUNCTION("""COMPUTED_VALUE"""),-0.661532830466797)</f>
        <v>-0.66153283046679701</v>
      </c>
      <c r="LM18" s="3">
        <f ca="1">IFERROR(__xludf.DUMMYFUNCTION("""COMPUTED_VALUE"""),-0.574975849519495)</f>
        <v>-0.57497584951949499</v>
      </c>
      <c r="LN18" s="3">
        <f ca="1">IFERROR(__xludf.DUMMYFUNCTION("""COMPUTED_VALUE"""),-0.552064237093796)</f>
        <v>-0.55206423709379604</v>
      </c>
      <c r="LO18" s="3">
        <f ca="1">IFERROR(__xludf.DUMMYFUNCTION("""COMPUTED_VALUE"""),-0.625848389168438)</f>
        <v>-0.62584838916843799</v>
      </c>
      <c r="LP18" s="3">
        <f ca="1">IFERROR(__xludf.DUMMYFUNCTION("""COMPUTED_VALUE"""),-0.700909351895558)</f>
        <v>-0.70090935189555803</v>
      </c>
      <c r="LQ18" s="3">
        <f ca="1">IFERROR(__xludf.DUMMYFUNCTION("""COMPUTED_VALUE"""),-0.715709446693279)</f>
        <v>-0.71570944669327896</v>
      </c>
      <c r="LR18" s="3">
        <f ca="1">IFERROR(__xludf.DUMMYFUNCTION("""COMPUTED_VALUE"""),-0.712394466445701)</f>
        <v>-0.71239446644570104</v>
      </c>
      <c r="LS18" s="3">
        <f ca="1">IFERROR(__xludf.DUMMYFUNCTION("""COMPUTED_VALUE"""),-0.720064697635976)</f>
        <v>-0.72006469763597603</v>
      </c>
      <c r="LT18" s="3">
        <f ca="1">IFERROR(__xludf.DUMMYFUNCTION("""COMPUTED_VALUE"""),-0.633306128750421)</f>
        <v>-0.63330612875042103</v>
      </c>
      <c r="LU18" s="3">
        <f ca="1">IFERROR(__xludf.DUMMYFUNCTION("""COMPUTED_VALUE"""),-0.622419953061006)</f>
        <v>-0.62241995306100595</v>
      </c>
      <c r="LV18" s="3">
        <f ca="1">IFERROR(__xludf.DUMMYFUNCTION("""COMPUTED_VALUE"""),-0.661643291183363)</f>
        <v>-0.66164329118336296</v>
      </c>
      <c r="LW18" s="3">
        <f ca="1">IFERROR(__xludf.DUMMYFUNCTION("""COMPUTED_VALUE"""),-0.731397409015699)</f>
        <v>-0.73139740901569905</v>
      </c>
      <c r="LX18" s="3">
        <f ca="1">IFERROR(__xludf.DUMMYFUNCTION("""COMPUTED_VALUE"""),-0.772565575798201)</f>
        <v>-0.77256557579820095</v>
      </c>
      <c r="LY18" s="3">
        <f ca="1">IFERROR(__xludf.DUMMYFUNCTION("""COMPUTED_VALUE"""),-0.731439945563312)</f>
        <v>-0.73143994556331204</v>
      </c>
      <c r="LZ18" s="3">
        <f ca="1">IFERROR(__xludf.DUMMYFUNCTION("""COMPUTED_VALUE"""),-0.740643742397766)</f>
        <v>-0.74064374239776598</v>
      </c>
      <c r="MA18" s="3">
        <f ca="1">IFERROR(__xludf.DUMMYFUNCTION("""COMPUTED_VALUE"""),-0.716726816113616)</f>
        <v>-0.71672681611361599</v>
      </c>
      <c r="MB18" s="3">
        <f ca="1">IFERROR(__xludf.DUMMYFUNCTION("""COMPUTED_VALUE"""),-0.657567025553649)</f>
        <v>-0.65756702555364899</v>
      </c>
      <c r="MC18" s="3">
        <f ca="1">IFERROR(__xludf.DUMMYFUNCTION("""COMPUTED_VALUE"""),-0.690308850729572)</f>
        <v>-0.69030885072957204</v>
      </c>
      <c r="MD18" s="3">
        <f ca="1">IFERROR(__xludf.DUMMYFUNCTION("""COMPUTED_VALUE"""),-0.764370433414767)</f>
        <v>-0.76437043341476696</v>
      </c>
      <c r="ME18" s="3">
        <f ca="1">IFERROR(__xludf.DUMMYFUNCTION("""COMPUTED_VALUE"""),-0.76505821372547)</f>
        <v>-0.76505821372547</v>
      </c>
      <c r="MF18" s="3">
        <f ca="1">IFERROR(__xludf.DUMMYFUNCTION("""COMPUTED_VALUE"""),-0.76948634767015)</f>
        <v>-0.76948634767015001</v>
      </c>
      <c r="MG18" s="3">
        <f ca="1">IFERROR(__xludf.DUMMYFUNCTION("""COMPUTED_VALUE"""),-0.789281201266801)</f>
        <v>-0.78928120126680101</v>
      </c>
      <c r="MH18" s="3">
        <f ca="1">IFERROR(__xludf.DUMMYFUNCTION("""COMPUTED_VALUE"""),-0.711242637275662)</f>
        <v>-0.71124263727566195</v>
      </c>
      <c r="MI18" s="3">
        <f ca="1">IFERROR(__xludf.DUMMYFUNCTION("""COMPUTED_VALUE"""),-0.602937957415245)</f>
        <v>-0.60293795741524503</v>
      </c>
      <c r="MJ18" s="3">
        <f ca="1">IFERROR(__xludf.DUMMYFUNCTION("""COMPUTED_VALUE"""),-0.637893671730128)</f>
        <v>-0.63789367173012801</v>
      </c>
      <c r="MK18" s="3">
        <f ca="1">IFERROR(__xludf.DUMMYFUNCTION("""COMPUTED_VALUE"""),-0.760550098113014)</f>
        <v>-0.76055009811301399</v>
      </c>
      <c r="ML18" s="3">
        <f ca="1">IFERROR(__xludf.DUMMYFUNCTION("""COMPUTED_VALUE"""),-0.791829816970278)</f>
        <v>-0.79182981697027799</v>
      </c>
      <c r="MM18" s="3">
        <f ca="1">IFERROR(__xludf.DUMMYFUNCTION("""COMPUTED_VALUE"""),-0.801235284055325)</f>
        <v>-0.80123528405532496</v>
      </c>
      <c r="MN18" s="3">
        <f ca="1">IFERROR(__xludf.DUMMYFUNCTION("""COMPUTED_VALUE"""),-0.772842325600817)</f>
        <v>-0.772842325600817</v>
      </c>
      <c r="MO18" s="3">
        <f ca="1">IFERROR(__xludf.DUMMYFUNCTION("""COMPUTED_VALUE"""),-0.748487287709912)</f>
        <v>-0.74848728770991202</v>
      </c>
      <c r="MP18" s="3">
        <f ca="1">IFERROR(__xludf.DUMMYFUNCTION("""COMPUTED_VALUE"""),-0.662340610097316)</f>
        <v>-0.66234061009731604</v>
      </c>
      <c r="MQ18" s="3">
        <f ca="1">IFERROR(__xludf.DUMMYFUNCTION("""COMPUTED_VALUE"""),-0.727057620927011)</f>
        <v>-0.72705762092701098</v>
      </c>
      <c r="MR18" s="3">
        <f ca="1">IFERROR(__xludf.DUMMYFUNCTION("""COMPUTED_VALUE"""),-0.768729618911032)</f>
        <v>-0.76872961891103198</v>
      </c>
      <c r="MS18" s="3">
        <f ca="1">IFERROR(__xludf.DUMMYFUNCTION("""COMPUTED_VALUE"""),-0.765418533330663)</f>
        <v>-0.76541853333066301</v>
      </c>
      <c r="MT18" s="3">
        <f ca="1">IFERROR(__xludf.DUMMYFUNCTION("""COMPUTED_VALUE"""),-0.779503803070066)</f>
        <v>-0.77950380307006595</v>
      </c>
      <c r="MU18" s="3">
        <f ca="1">IFERROR(__xludf.DUMMYFUNCTION("""COMPUTED_VALUE"""),-0.740977395069662)</f>
        <v>-0.74097739506966198</v>
      </c>
      <c r="MV18" s="3">
        <f ca="1">IFERROR(__xludf.DUMMYFUNCTION("""COMPUTED_VALUE"""),-0.708541112328394)</f>
        <v>-0.70854111232839401</v>
      </c>
      <c r="MW18" s="3">
        <f ca="1">IFERROR(__xludf.DUMMYFUNCTION("""COMPUTED_VALUE"""),-0.658389010884542)</f>
        <v>-0.65838901088454205</v>
      </c>
      <c r="MX18" s="3">
        <f ca="1">IFERROR(__xludf.DUMMYFUNCTION("""COMPUTED_VALUE"""),-0.697323879756321)</f>
        <v>-0.69732387975632104</v>
      </c>
      <c r="MY18" s="3">
        <f ca="1">IFERROR(__xludf.DUMMYFUNCTION("""COMPUTED_VALUE"""),-0.76046647018496)</f>
        <v>-0.76046647018496005</v>
      </c>
      <c r="MZ18" s="3">
        <f ca="1">IFERROR(__xludf.DUMMYFUNCTION("""COMPUTED_VALUE"""),-0.763987269825606)</f>
        <v>-0.76398726982560605</v>
      </c>
      <c r="NA18" s="3">
        <f ca="1">IFERROR(__xludf.DUMMYFUNCTION("""COMPUTED_VALUE"""),-0.754181435816848)</f>
        <v>-0.75418143581684804</v>
      </c>
      <c r="NB18" s="3">
        <f ca="1">IFERROR(__xludf.DUMMYFUNCTION("""COMPUTED_VALUE"""),-0.754314742562491)</f>
        <v>-0.75431474256249098</v>
      </c>
      <c r="NC18" s="3">
        <f ca="1">IFERROR(__xludf.DUMMYFUNCTION("""COMPUTED_VALUE"""),-0.76428421869754)</f>
        <v>-0.76428421869754004</v>
      </c>
      <c r="ND18" s="3">
        <f ca="1">IFERROR(__xludf.DUMMYFUNCTION("""COMPUTED_VALUE"""),-0.693256558300152)</f>
        <v>-0.69325655830015198</v>
      </c>
      <c r="NE18" s="3">
        <f ca="1">IFERROR(__xludf.DUMMYFUNCTION("""COMPUTED_VALUE"""),-0.724677442056745)</f>
        <v>-0.724677442056745</v>
      </c>
      <c r="NF18" s="3">
        <f ca="1">IFERROR(__xludf.DUMMYFUNCTION("""COMPUTED_VALUE"""),-0.768066993085341)</f>
        <v>-0.76806699308534099</v>
      </c>
      <c r="NG18" s="3">
        <f ca="1">IFERROR(__xludf.DUMMYFUNCTION("""COMPUTED_VALUE"""),-0.783307236636954)</f>
        <v>-0.78330723663695401</v>
      </c>
      <c r="NH18" s="3">
        <f ca="1">IFERROR(__xludf.DUMMYFUNCTION("""COMPUTED_VALUE"""),-0.780871083008408)</f>
        <v>-0.78087108300840802</v>
      </c>
      <c r="NI18" s="3">
        <f ca="1">IFERROR(__xludf.DUMMYFUNCTION("""COMPUTED_VALUE"""),-0.779903982843562)</f>
        <v>-0.77990398284356199</v>
      </c>
      <c r="NJ18" s="3">
        <f ca="1">IFERROR(__xludf.DUMMYFUNCTION("""COMPUTED_VALUE"""),-0.765189724336609)</f>
        <v>-0.76518972433660903</v>
      </c>
      <c r="NK18" s="3">
        <f ca="1">IFERROR(__xludf.DUMMYFUNCTION("""COMPUTED_VALUE"""),-0.663565531717365)</f>
        <v>-0.66356553171736499</v>
      </c>
      <c r="NL18" s="3">
        <f ca="1">IFERROR(__xludf.DUMMYFUNCTION("""COMPUTED_VALUE"""),-0.714586873410311)</f>
        <v>-0.71458687341031102</v>
      </c>
      <c r="NM18" s="3">
        <f ca="1">IFERROR(__xludf.DUMMYFUNCTION("""COMPUTED_VALUE"""),-0.758777512759441)</f>
        <v>-0.75877751275944105</v>
      </c>
      <c r="NN18" s="3">
        <f ca="1">IFERROR(__xludf.DUMMYFUNCTION("""COMPUTED_VALUE"""),-0.789333027963489)</f>
        <v>-0.78933302796348903</v>
      </c>
      <c r="NO18" s="3">
        <f ca="1">IFERROR(__xludf.DUMMYFUNCTION("""COMPUTED_VALUE"""),-0.787917038757847)</f>
        <v>-0.78791703875784702</v>
      </c>
      <c r="NP18" s="3">
        <f ca="1">IFERROR(__xludf.DUMMYFUNCTION("""COMPUTED_VALUE"""),-0.780777225792179)</f>
        <v>-0.78077722579217901</v>
      </c>
      <c r="NQ18" s="3">
        <f ca="1">IFERROR(__xludf.DUMMYFUNCTION("""COMPUTED_VALUE"""),-0.759089064952831)</f>
        <v>-0.75908906495283102</v>
      </c>
      <c r="NR18" s="3">
        <f ca="1">IFERROR(__xludf.DUMMYFUNCTION("""COMPUTED_VALUE"""),-0.659680619762568)</f>
        <v>-0.65968061976256798</v>
      </c>
      <c r="NS18" s="3">
        <f ca="1">IFERROR(__xludf.DUMMYFUNCTION("""COMPUTED_VALUE"""),-0.723564670641497)</f>
        <v>-0.72356467064149699</v>
      </c>
      <c r="NT18" s="3">
        <f ca="1">IFERROR(__xludf.DUMMYFUNCTION("""COMPUTED_VALUE"""),-0.778042682737875)</f>
        <v>-0.77804268273787502</v>
      </c>
      <c r="NU18" s="3">
        <f ca="1">IFERROR(__xludf.DUMMYFUNCTION("""COMPUTED_VALUE"""),-0.778721436794754)</f>
        <v>-0.77872143679475403</v>
      </c>
      <c r="NV18" s="3">
        <f ca="1">IFERROR(__xludf.DUMMYFUNCTION("""COMPUTED_VALUE"""),-0.777359118196235)</f>
        <v>-0.77735911819623504</v>
      </c>
      <c r="NW18" s="3">
        <f ca="1">IFERROR(__xludf.DUMMYFUNCTION("""COMPUTED_VALUE"""),-0.75855901973394)</f>
        <v>-0.75855901973394002</v>
      </c>
      <c r="NX18" s="3">
        <f ca="1">IFERROR(__xludf.DUMMYFUNCTION("""COMPUTED_VALUE"""),-0.745059558758097)</f>
        <v>-0.74505955875809704</v>
      </c>
      <c r="NY18" s="3">
        <f ca="1">IFERROR(__xludf.DUMMYFUNCTION("""COMPUTED_VALUE"""),-0.634841207756257)</f>
        <v>-0.63484120775625696</v>
      </c>
      <c r="NZ18" s="3">
        <f ca="1">IFERROR(__xludf.DUMMYFUNCTION("""COMPUTED_VALUE"""),-0.664340773736269)</f>
        <v>-0.66434077373626899</v>
      </c>
      <c r="OA18" s="3">
        <f ca="1">IFERROR(__xludf.DUMMYFUNCTION("""COMPUTED_VALUE"""),-0.684908409789078)</f>
        <v>-0.68490840978907797</v>
      </c>
      <c r="OB18" s="3">
        <f ca="1">IFERROR(__xludf.DUMMYFUNCTION("""COMPUTED_VALUE"""),-0.689352418992056)</f>
        <v>-0.68935241899205602</v>
      </c>
      <c r="OC18" s="3">
        <f ca="1">IFERROR(__xludf.DUMMYFUNCTION("""COMPUTED_VALUE"""),-0.68519338496596)</f>
        <v>-0.68519338496596005</v>
      </c>
      <c r="OD18" s="3">
        <f ca="1">IFERROR(__xludf.DUMMYFUNCTION("""COMPUTED_VALUE"""),-0.616478064196487)</f>
        <v>-0.61647806419648699</v>
      </c>
      <c r="OE18" s="3">
        <f ca="1">IFERROR(__xludf.DUMMYFUNCTION("""COMPUTED_VALUE"""),-0.474490877598655)</f>
        <v>-0.47449087759865499</v>
      </c>
      <c r="OF18" s="3">
        <f ca="1">IFERROR(__xludf.DUMMYFUNCTION("""COMPUTED_VALUE"""),-0.299567552138801)</f>
        <v>-0.29956755213880099</v>
      </c>
      <c r="OG18" s="3">
        <f ca="1">IFERROR(__xludf.DUMMYFUNCTION("""COMPUTED_VALUE"""),-0.307356670806123)</f>
        <v>-0.307356670806123</v>
      </c>
      <c r="OH18" s="3">
        <f ca="1">IFERROR(__xludf.DUMMYFUNCTION("""COMPUTED_VALUE"""),-0.215055392027365)</f>
        <v>-0.21505539202736501</v>
      </c>
      <c r="OI18" s="3">
        <f ca="1">IFERROR(__xludf.DUMMYFUNCTION("""COMPUTED_VALUE"""),-0.174002394584381)</f>
        <v>-0.17400239458438099</v>
      </c>
      <c r="OJ18" s="3">
        <f ca="1">IFERROR(__xludf.DUMMYFUNCTION("""COMPUTED_VALUE"""),-0.0588211283150887)</f>
        <v>-5.8821128315088698E-2</v>
      </c>
      <c r="OK18" s="3">
        <f ca="1">IFERROR(__xludf.DUMMYFUNCTION("""COMPUTED_VALUE"""),-0.0420654000025622)</f>
        <v>-4.2065400002562203E-2</v>
      </c>
      <c r="OL18" s="3">
        <f ca="1">IFERROR(__xludf.DUMMYFUNCTION("""COMPUTED_VALUE"""),-0.0379347005932761)</f>
        <v>-3.7934700593276097E-2</v>
      </c>
      <c r="OM18" s="3">
        <f ca="1">IFERROR(__xludf.DUMMYFUNCTION("""COMPUTED_VALUE"""),0.0675474108091755)</f>
        <v>6.7547410809175507E-2</v>
      </c>
      <c r="ON18" s="3">
        <f ca="1">IFERROR(__xludf.DUMMYFUNCTION("""COMPUTED_VALUE"""),0.0352796607076977)</f>
        <v>3.5279660707697703E-2</v>
      </c>
      <c r="OO18" s="3">
        <f ca="1">IFERROR(__xludf.DUMMYFUNCTION("""COMPUTED_VALUE"""),-0.0170926216305171)</f>
        <v>-1.7092621630517099E-2</v>
      </c>
      <c r="OP18" s="3">
        <f ca="1">IFERROR(__xludf.DUMMYFUNCTION("""COMPUTED_VALUE"""),-0.00529205062512716)</f>
        <v>-5.2920506251271596E-3</v>
      </c>
      <c r="OQ18" s="3">
        <f ca="1">IFERROR(__xludf.DUMMYFUNCTION("""COMPUTED_VALUE"""),-0.0383913433095995)</f>
        <v>-3.83913433095995E-2</v>
      </c>
      <c r="OR18" s="3">
        <f ca="1">IFERROR(__xludf.DUMMYFUNCTION("""COMPUTED_VALUE"""),0.0224146112914476)</f>
        <v>2.24146112914476E-2</v>
      </c>
      <c r="OS18" s="3">
        <f ca="1">IFERROR(__xludf.DUMMYFUNCTION("""COMPUTED_VALUE"""),-0.0289142662994237)</f>
        <v>-2.8914266299423699E-2</v>
      </c>
      <c r="OT18" s="3">
        <f ca="1">IFERROR(__xludf.DUMMYFUNCTION("""COMPUTED_VALUE"""),0.127717490278616)</f>
        <v>0.12771749027861601</v>
      </c>
      <c r="OU18" s="3">
        <f ca="1">IFERROR(__xludf.DUMMYFUNCTION("""COMPUTED_VALUE"""),0.137186263760699)</f>
        <v>0.13718626376069901</v>
      </c>
      <c r="OV18" s="3">
        <f ca="1">IFERROR(__xludf.DUMMYFUNCTION("""COMPUTED_VALUE"""),0.0132093193837676)</f>
        <v>1.32093193837676E-2</v>
      </c>
      <c r="OW18" s="3">
        <f ca="1">IFERROR(__xludf.DUMMYFUNCTION("""COMPUTED_VALUE"""),-0.0294381412790663)</f>
        <v>-2.9438141279066299E-2</v>
      </c>
      <c r="OX18" s="3">
        <f ca="1">IFERROR(__xludf.DUMMYFUNCTION("""COMPUTED_VALUE"""),-0.0532534884784409)</f>
        <v>-5.32534884784409E-2</v>
      </c>
      <c r="OY18" s="3">
        <f ca="1">IFERROR(__xludf.DUMMYFUNCTION("""COMPUTED_VALUE"""),-0.0388169879096177)</f>
        <v>-3.8816987909617698E-2</v>
      </c>
      <c r="OZ18" s="3">
        <f ca="1">IFERROR(__xludf.DUMMYFUNCTION("""COMPUTED_VALUE"""),0.00457895169603372)</f>
        <v>4.5789516960337198E-3</v>
      </c>
      <c r="PA18" s="3">
        <f ca="1">IFERROR(__xludf.DUMMYFUNCTION("""COMPUTED_VALUE"""),0.0446022353161459)</f>
        <v>4.4602235316145898E-2</v>
      </c>
      <c r="PB18" s="3">
        <f ca="1">IFERROR(__xludf.DUMMYFUNCTION("""COMPUTED_VALUE"""),0.0945677753533626)</f>
        <v>9.4567775353362596E-2</v>
      </c>
      <c r="PC18" s="3">
        <f ca="1">IFERROR(__xludf.DUMMYFUNCTION("""COMPUTED_VALUE"""),-0.00475795376079202)</f>
        <v>-4.7579537607920202E-3</v>
      </c>
      <c r="PD18" s="3">
        <f ca="1">IFERROR(__xludf.DUMMYFUNCTION("""COMPUTED_VALUE"""),-0.0601006200217316)</f>
        <v>-6.0100620021731603E-2</v>
      </c>
      <c r="PE18" s="3">
        <f ca="1">IFERROR(__xludf.DUMMYFUNCTION("""COMPUTED_VALUE"""),-0.0308560872370992)</f>
        <v>-3.0856087237099199E-2</v>
      </c>
      <c r="PF18" s="3">
        <f ca="1">IFERROR(__xludf.DUMMYFUNCTION("""COMPUTED_VALUE"""),-0.0676629721748652)</f>
        <v>-6.7662972174865194E-2</v>
      </c>
      <c r="PG18" s="3">
        <f ca="1">IFERROR(__xludf.DUMMYFUNCTION("""COMPUTED_VALUE"""),-0.135173862100706)</f>
        <v>-0.135173862100706</v>
      </c>
      <c r="PH18" s="3">
        <f ca="1">IFERROR(__xludf.DUMMYFUNCTION("""COMPUTED_VALUE"""),0.115621609774607)</f>
        <v>0.115621609774607</v>
      </c>
      <c r="PI18" s="3">
        <f ca="1">IFERROR(__xludf.DUMMYFUNCTION("""COMPUTED_VALUE"""),0.0472709457313718)</f>
        <v>4.7270945731371798E-2</v>
      </c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</row>
    <row r="19" spans="1:477" ht="15.75" customHeight="1">
      <c r="A19" s="1" t="str">
        <f ca="1">IFERROR(__xludf.DUMMYFUNCTION("""COMPUTED_VALUE"""),"CTA")</f>
        <v>CTA</v>
      </c>
      <c r="B19" s="1" t="str">
        <f ca="1">IFERROR(__xludf.DUMMYFUNCTION("""COMPUTED_VALUE"""),"Chicago")</f>
        <v>Chicago</v>
      </c>
      <c r="C19" s="1" t="str">
        <f ca="1">IFERROR(__xludf.DUMMYFUNCTION("""COMPUTED_VALUE"""),"United States")</f>
        <v>United States</v>
      </c>
      <c r="D19" s="1" t="str">
        <f ca="1">IFERROR(__xludf.DUMMYFUNCTION("""COMPUTED_VALUE"""),"Illinois")</f>
        <v>Illinois</v>
      </c>
      <c r="E19" s="3">
        <f ca="1">IFERROR(__xludf.DUMMYFUNCTION("""COMPUTED_VALUE"""),-0.577168419770849)</f>
        <v>-0.57716841977084898</v>
      </c>
      <c r="F19" s="3">
        <f ca="1">IFERROR(__xludf.DUMMYFUNCTION("""COMPUTED_VALUE"""),-0.640107954460921)</f>
        <v>-0.64010795446092095</v>
      </c>
      <c r="G19" s="3">
        <f ca="1">IFERROR(__xludf.DUMMYFUNCTION("""COMPUTED_VALUE"""),-0.680042942613584)</f>
        <v>-0.680042942613584</v>
      </c>
      <c r="H19" s="3">
        <f ca="1">IFERROR(__xludf.DUMMYFUNCTION("""COMPUTED_VALUE"""),-0.677671120447504)</f>
        <v>-0.67767112044750399</v>
      </c>
      <c r="I19" s="3">
        <f ca="1">IFERROR(__xludf.DUMMYFUNCTION("""COMPUTED_VALUE"""),-0.671082195304236)</f>
        <v>-0.67108219530423596</v>
      </c>
      <c r="J19" s="3">
        <f ca="1">IFERROR(__xludf.DUMMYFUNCTION("""COMPUTED_VALUE"""),-0.685632210008955)</f>
        <v>-0.68563221000895502</v>
      </c>
      <c r="K19" s="3">
        <f ca="1">IFERROR(__xludf.DUMMYFUNCTION("""COMPUTED_VALUE"""),-0.55579677803481)</f>
        <v>-0.55579677803480998</v>
      </c>
      <c r="L19" s="3">
        <f ca="1">IFERROR(__xludf.DUMMYFUNCTION("""COMPUTED_VALUE"""),-0.546599297465173)</f>
        <v>-0.546599297465173</v>
      </c>
      <c r="M19" s="3">
        <f ca="1">IFERROR(__xludf.DUMMYFUNCTION("""COMPUTED_VALUE"""),-0.650272220259707)</f>
        <v>-0.65027222025970699</v>
      </c>
      <c r="N19" s="3">
        <f ca="1">IFERROR(__xludf.DUMMYFUNCTION("""COMPUTED_VALUE"""),-0.666526352914817)</f>
        <v>-0.66652635291481699</v>
      </c>
      <c r="O19" s="3">
        <f ca="1">IFERROR(__xludf.DUMMYFUNCTION("""COMPUTED_VALUE"""),-0.680481230216071)</f>
        <v>-0.68048123021607099</v>
      </c>
      <c r="P19" s="3">
        <f ca="1">IFERROR(__xludf.DUMMYFUNCTION("""COMPUTED_VALUE"""),-0.68073933562336)</f>
        <v>-0.68073933562335998</v>
      </c>
      <c r="Q19" s="3">
        <f ca="1">IFERROR(__xludf.DUMMYFUNCTION("""COMPUTED_VALUE"""),-0.68233519724098)</f>
        <v>-0.68233519724098002</v>
      </c>
      <c r="R19" s="3">
        <f ca="1">IFERROR(__xludf.DUMMYFUNCTION("""COMPUTED_VALUE"""),-0.55948821447985)</f>
        <v>-0.55948821447984998</v>
      </c>
      <c r="S19" s="3">
        <f ca="1">IFERROR(__xludf.DUMMYFUNCTION("""COMPUTED_VALUE"""),-0.562769474533398)</f>
        <v>-0.56276947453339798</v>
      </c>
      <c r="T19" s="3">
        <f ca="1">IFERROR(__xludf.DUMMYFUNCTION("""COMPUTED_VALUE"""),-0.646536289288763)</f>
        <v>-0.64653628928876306</v>
      </c>
      <c r="U19" s="3">
        <f ca="1">IFERROR(__xludf.DUMMYFUNCTION("""COMPUTED_VALUE"""),-0.682800596472648)</f>
        <v>-0.68280059647264801</v>
      </c>
      <c r="V19" s="3">
        <f ca="1">IFERROR(__xludf.DUMMYFUNCTION("""COMPUTED_VALUE"""),-0.690418714523362)</f>
        <v>-0.69041871452336201</v>
      </c>
      <c r="W19" s="3">
        <f ca="1">IFERROR(__xludf.DUMMYFUNCTION("""COMPUTED_VALUE"""),-0.698414346093318)</f>
        <v>-0.69841434609331798</v>
      </c>
      <c r="X19" s="3">
        <f ca="1">IFERROR(__xludf.DUMMYFUNCTION("""COMPUTED_VALUE"""),-0.689032136819082)</f>
        <v>-0.68903213681908204</v>
      </c>
      <c r="Y19" s="3">
        <f ca="1">IFERROR(__xludf.DUMMYFUNCTION("""COMPUTED_VALUE"""),-0.546698911434743)</f>
        <v>-0.54669891143474303</v>
      </c>
      <c r="Z19" s="3">
        <f ca="1">IFERROR(__xludf.DUMMYFUNCTION("""COMPUTED_VALUE"""),-0.574972758864462)</f>
        <v>-0.57497275886446197</v>
      </c>
      <c r="AA19" s="3">
        <f ca="1">IFERROR(__xludf.DUMMYFUNCTION("""COMPUTED_VALUE"""),-0.656350991950308)</f>
        <v>-0.65635099195030799</v>
      </c>
      <c r="AB19" s="3">
        <f ca="1">IFERROR(__xludf.DUMMYFUNCTION("""COMPUTED_VALUE"""),-0.68367369572425)</f>
        <v>-0.68367369572424996</v>
      </c>
      <c r="AC19" s="3">
        <f ca="1">IFERROR(__xludf.DUMMYFUNCTION("""COMPUTED_VALUE"""),-0.681269281116541)</f>
        <v>-0.68126928111654095</v>
      </c>
      <c r="AD19" s="3">
        <f ca="1">IFERROR(__xludf.DUMMYFUNCTION("""COMPUTED_VALUE"""),-0.694275666539983)</f>
        <v>-0.69427566653998296</v>
      </c>
      <c r="AE19" s="3">
        <f ca="1">IFERROR(__xludf.DUMMYFUNCTION("""COMPUTED_VALUE"""),-0.697308909259637)</f>
        <v>-0.69730890925963696</v>
      </c>
      <c r="AF19" s="3">
        <f ca="1">IFERROR(__xludf.DUMMYFUNCTION("""COMPUTED_VALUE"""),-0.578777031991024)</f>
        <v>-0.57877703199102404</v>
      </c>
      <c r="AG19" s="3">
        <f ca="1">IFERROR(__xludf.DUMMYFUNCTION("""COMPUTED_VALUE"""),-0.584712260126145)</f>
        <v>-0.58471226012614497</v>
      </c>
      <c r="AH19" s="3">
        <f ca="1">IFERROR(__xludf.DUMMYFUNCTION("""COMPUTED_VALUE"""),-0.68493239418873)</f>
        <v>-0.68493239418872998</v>
      </c>
      <c r="AI19" s="3">
        <f ca="1">IFERROR(__xludf.DUMMYFUNCTION("""COMPUTED_VALUE"""),-0.711108538369083)</f>
        <v>-0.71110853836908305</v>
      </c>
      <c r="AJ19" s="3">
        <f ca="1">IFERROR(__xludf.DUMMYFUNCTION("""COMPUTED_VALUE"""),-0.722941341629469)</f>
        <v>-0.72294134162946899</v>
      </c>
      <c r="AK19" s="3">
        <f ca="1">IFERROR(__xludf.DUMMYFUNCTION("""COMPUTED_VALUE"""),-0.714005038675692)</f>
        <v>-0.71400503867569198</v>
      </c>
      <c r="AL19" s="3">
        <f ca="1">IFERROR(__xludf.DUMMYFUNCTION("""COMPUTED_VALUE"""),-0.710865143368783)</f>
        <v>-0.71086514336878304</v>
      </c>
      <c r="AM19" s="3">
        <f ca="1">IFERROR(__xludf.DUMMYFUNCTION("""COMPUTED_VALUE"""),-0.594980887998903)</f>
        <v>-0.59498088799890303</v>
      </c>
      <c r="AN19" s="3">
        <f ca="1">IFERROR(__xludf.DUMMYFUNCTION("""COMPUTED_VALUE"""),-0.625690004805266)</f>
        <v>-0.62569000480526604</v>
      </c>
      <c r="AO19" s="3">
        <f ca="1">IFERROR(__xludf.DUMMYFUNCTION("""COMPUTED_VALUE"""),-0.67702946144733)</f>
        <v>-0.67702946144733001</v>
      </c>
      <c r="AP19" s="3">
        <f ca="1">IFERROR(__xludf.DUMMYFUNCTION("""COMPUTED_VALUE"""),-0.704147311707215)</f>
        <v>-0.70414731170721501</v>
      </c>
      <c r="AQ19" s="3">
        <f ca="1">IFERROR(__xludf.DUMMYFUNCTION("""COMPUTED_VALUE"""),-0.703376874318239)</f>
        <v>-0.70337687431823903</v>
      </c>
      <c r="AR19" s="3">
        <f ca="1">IFERROR(__xludf.DUMMYFUNCTION("""COMPUTED_VALUE"""),-0.715300396522743)</f>
        <v>-0.71530039652274302</v>
      </c>
      <c r="AS19" s="3">
        <f ca="1">IFERROR(__xludf.DUMMYFUNCTION("""COMPUTED_VALUE"""),-0.700304699956444)</f>
        <v>-0.70030469995644395</v>
      </c>
      <c r="AT19" s="3">
        <f ca="1">IFERROR(__xludf.DUMMYFUNCTION("""COMPUTED_VALUE"""),-0.587390141357805)</f>
        <v>-0.58739014135780498</v>
      </c>
      <c r="AU19" s="3">
        <f ca="1">IFERROR(__xludf.DUMMYFUNCTION("""COMPUTED_VALUE"""),-0.559229971208251)</f>
        <v>-0.55922997120825102</v>
      </c>
      <c r="AV19" s="3">
        <f ca="1">IFERROR(__xludf.DUMMYFUNCTION("""COMPUTED_VALUE"""),-0.67437013327122)</f>
        <v>-0.67437013327121997</v>
      </c>
      <c r="AW19" s="3">
        <f ca="1">IFERROR(__xludf.DUMMYFUNCTION("""COMPUTED_VALUE"""),-0.707812167214711)</f>
        <v>-0.70781216721471096</v>
      </c>
      <c r="AX19" s="3">
        <f ca="1">IFERROR(__xludf.DUMMYFUNCTION("""COMPUTED_VALUE"""),-0.700817793505195)</f>
        <v>-0.70081779350519502</v>
      </c>
      <c r="AY19" s="3">
        <f ca="1">IFERROR(__xludf.DUMMYFUNCTION("""COMPUTED_VALUE"""),-0.693430442329119)</f>
        <v>-0.69343044232911899</v>
      </c>
      <c r="AZ19" s="3">
        <f ca="1">IFERROR(__xludf.DUMMYFUNCTION("""COMPUTED_VALUE"""),-0.672604267759855)</f>
        <v>-0.67260426775985505</v>
      </c>
      <c r="BA19" s="3">
        <f ca="1">IFERROR(__xludf.DUMMYFUNCTION("""COMPUTED_VALUE"""),-0.59336971204796)</f>
        <v>-0.59336971204795996</v>
      </c>
      <c r="BB19" s="3">
        <f ca="1">IFERROR(__xludf.DUMMYFUNCTION("""COMPUTED_VALUE"""),-0.573071827141996)</f>
        <v>-0.573071827141996</v>
      </c>
      <c r="BC19" s="3">
        <f ca="1">IFERROR(__xludf.DUMMYFUNCTION("""COMPUTED_VALUE"""),-0.658164493605701)</f>
        <v>-0.65816449360570095</v>
      </c>
      <c r="BD19" s="3">
        <f ca="1">IFERROR(__xludf.DUMMYFUNCTION("""COMPUTED_VALUE"""),-0.66938922459912)</f>
        <v>-0.66938922459911998</v>
      </c>
      <c r="BE19" s="3">
        <f ca="1">IFERROR(__xludf.DUMMYFUNCTION("""COMPUTED_VALUE"""),-0.663366731543433)</f>
        <v>-0.66336673154343295</v>
      </c>
      <c r="BF19" s="3">
        <f ca="1">IFERROR(__xludf.DUMMYFUNCTION("""COMPUTED_VALUE"""),-0.601523448560772)</f>
        <v>-0.601523448560772</v>
      </c>
      <c r="BG19" s="3">
        <f ca="1">IFERROR(__xludf.DUMMYFUNCTION("""COMPUTED_VALUE"""),-0.652152794641971)</f>
        <v>-0.65215279464197096</v>
      </c>
      <c r="BH19" s="3">
        <f ca="1">IFERROR(__xludf.DUMMYFUNCTION("""COMPUTED_VALUE"""),-0.616092897836179)</f>
        <v>-0.61609289783617904</v>
      </c>
      <c r="BI19" s="3">
        <f ca="1">IFERROR(__xludf.DUMMYFUNCTION("""COMPUTED_VALUE"""),-0.552744633145124)</f>
        <v>-0.55274463314512401</v>
      </c>
      <c r="BJ19" s="3">
        <f ca="1">IFERROR(__xludf.DUMMYFUNCTION("""COMPUTED_VALUE"""),-0.695364136135647)</f>
        <v>-0.69536413613564696</v>
      </c>
      <c r="BK19" s="3">
        <f ca="1">IFERROR(__xludf.DUMMYFUNCTION("""COMPUTED_VALUE"""),-0.720141221877409)</f>
        <v>-0.72014122187740903</v>
      </c>
      <c r="BL19" s="3">
        <f ca="1">IFERROR(__xludf.DUMMYFUNCTION("""COMPUTED_VALUE"""),-0.731437805600852)</f>
        <v>-0.73143780560085203</v>
      </c>
      <c r="BM19" s="3">
        <f ca="1">IFERROR(__xludf.DUMMYFUNCTION("""COMPUTED_VALUE"""),-0.727363984159187)</f>
        <v>-0.72736398415918702</v>
      </c>
      <c r="BN19" s="3">
        <f ca="1">IFERROR(__xludf.DUMMYFUNCTION("""COMPUTED_VALUE"""),-0.701307472127517)</f>
        <v>-0.70130747212751698</v>
      </c>
      <c r="BO19" s="3">
        <f ca="1">IFERROR(__xludf.DUMMYFUNCTION("""COMPUTED_VALUE"""),-0.647141629243055)</f>
        <v>-0.64714162924305496</v>
      </c>
      <c r="BP19" s="3">
        <f ca="1">IFERROR(__xludf.DUMMYFUNCTION("""COMPUTED_VALUE"""),-0.665584865885548)</f>
        <v>-0.66558486588554799</v>
      </c>
      <c r="BQ19" s="3">
        <f ca="1">IFERROR(__xludf.DUMMYFUNCTION("""COMPUTED_VALUE"""),-0.703083512150302)</f>
        <v>-0.70308351215030196</v>
      </c>
      <c r="BR19" s="3">
        <f ca="1">IFERROR(__xludf.DUMMYFUNCTION("""COMPUTED_VALUE"""),-0.727360627467736)</f>
        <v>-0.727360627467736</v>
      </c>
      <c r="BS19" s="3">
        <f ca="1">IFERROR(__xludf.DUMMYFUNCTION("""COMPUTED_VALUE"""),-0.71659677320786)</f>
        <v>-0.71659677320785997</v>
      </c>
      <c r="BT19" s="3">
        <f ca="1">IFERROR(__xludf.DUMMYFUNCTION("""COMPUTED_VALUE"""),-0.718113178919583)</f>
        <v>-0.71811317891958304</v>
      </c>
      <c r="BU19" s="3">
        <f ca="1">IFERROR(__xludf.DUMMYFUNCTION("""COMPUTED_VALUE"""),-0.691022581765582)</f>
        <v>-0.69102258176558196</v>
      </c>
      <c r="BV19" s="3">
        <f ca="1">IFERROR(__xludf.DUMMYFUNCTION("""COMPUTED_VALUE"""),-0.538701034292027)</f>
        <v>-0.53870103429202698</v>
      </c>
      <c r="BW19" s="3">
        <f ca="1">IFERROR(__xludf.DUMMYFUNCTION("""COMPUTED_VALUE"""),-0.632519681230799)</f>
        <v>-0.63251968123079905</v>
      </c>
      <c r="BX19" s="3">
        <f ca="1">IFERROR(__xludf.DUMMYFUNCTION("""COMPUTED_VALUE"""),-0.722100309519884)</f>
        <v>-0.72210030951988402</v>
      </c>
      <c r="BY19" s="3">
        <f ca="1">IFERROR(__xludf.DUMMYFUNCTION("""COMPUTED_VALUE"""),-0.751805195704086)</f>
        <v>-0.75180519570408599</v>
      </c>
      <c r="BZ19" s="3">
        <f ca="1">IFERROR(__xludf.DUMMYFUNCTION("""COMPUTED_VALUE"""),-0.749520279156897)</f>
        <v>-0.74952027915689701</v>
      </c>
      <c r="CA19" s="3">
        <f ca="1">IFERROR(__xludf.DUMMYFUNCTION("""COMPUTED_VALUE"""),-0.747830196285593)</f>
        <v>-0.747830196285593</v>
      </c>
      <c r="CB19" s="3">
        <f ca="1">IFERROR(__xludf.DUMMYFUNCTION("""COMPUTED_VALUE"""),-0.711987235258119)</f>
        <v>-0.71198723525811902</v>
      </c>
      <c r="CC19" s="3">
        <f ca="1">IFERROR(__xludf.DUMMYFUNCTION("""COMPUTED_VALUE"""),-0.642661419371696)</f>
        <v>-0.64266141937169596</v>
      </c>
      <c r="CD19" s="3">
        <f ca="1">IFERROR(__xludf.DUMMYFUNCTION("""COMPUTED_VALUE"""),-0.65872169304242)</f>
        <v>-0.65872169304242001</v>
      </c>
      <c r="CE19" s="3">
        <f ca="1">IFERROR(__xludf.DUMMYFUNCTION("""COMPUTED_VALUE"""),-0.745270228941233)</f>
        <v>-0.74527022894123296</v>
      </c>
      <c r="CF19" s="3">
        <f ca="1">IFERROR(__xludf.DUMMYFUNCTION("""COMPUTED_VALUE"""),-0.748689754274728)</f>
        <v>-0.74868975427472795</v>
      </c>
      <c r="CG19" s="3">
        <f ca="1">IFERROR(__xludf.DUMMYFUNCTION("""COMPUTED_VALUE"""),-0.753950662838008)</f>
        <v>-0.75395066283800805</v>
      </c>
      <c r="CH19" s="3">
        <f ca="1">IFERROR(__xludf.DUMMYFUNCTION("""COMPUTED_VALUE"""),-0.756311339639286)</f>
        <v>-0.75631133963928598</v>
      </c>
      <c r="CI19" s="3">
        <f ca="1">IFERROR(__xludf.DUMMYFUNCTION("""COMPUTED_VALUE"""),-0.745553920818192)</f>
        <v>-0.74555392081819205</v>
      </c>
      <c r="CJ19" s="3">
        <f ca="1">IFERROR(__xludf.DUMMYFUNCTION("""COMPUTED_VALUE"""),-0.649927034178449)</f>
        <v>-0.64992703417844899</v>
      </c>
      <c r="CK19" s="3">
        <f ca="1">IFERROR(__xludf.DUMMYFUNCTION("""COMPUTED_VALUE"""),-0.658655337835355)</f>
        <v>-0.65865533783535501</v>
      </c>
      <c r="CL19" s="3">
        <f ca="1">IFERROR(__xludf.DUMMYFUNCTION("""COMPUTED_VALUE"""),-0.752705717560074)</f>
        <v>-0.75270571756007398</v>
      </c>
      <c r="CM19" s="3">
        <f ca="1">IFERROR(__xludf.DUMMYFUNCTION("""COMPUTED_VALUE"""),-0.754693162505049)</f>
        <v>-0.75469316250504903</v>
      </c>
      <c r="CN19" s="3">
        <f ca="1">IFERROR(__xludf.DUMMYFUNCTION("""COMPUTED_VALUE"""),-0.751140613854029)</f>
        <v>-0.75114061385402897</v>
      </c>
      <c r="CO19" s="3">
        <f ca="1">IFERROR(__xludf.DUMMYFUNCTION("""COMPUTED_VALUE"""),-0.757641549196729)</f>
        <v>-0.75764154919672899</v>
      </c>
      <c r="CP19" s="3">
        <f ca="1">IFERROR(__xludf.DUMMYFUNCTION("""COMPUTED_VALUE"""),-0.726049951664331)</f>
        <v>-0.72604995166433095</v>
      </c>
      <c r="CQ19" s="3">
        <f ca="1">IFERROR(__xludf.DUMMYFUNCTION("""COMPUTED_VALUE"""),-0.649145013777715)</f>
        <v>-0.64914501377771505</v>
      </c>
      <c r="CR19" s="3">
        <f ca="1">IFERROR(__xludf.DUMMYFUNCTION("""COMPUTED_VALUE"""),-0.644587096087736)</f>
        <v>-0.64458709608773601</v>
      </c>
      <c r="CS19" s="3">
        <f ca="1">IFERROR(__xludf.DUMMYFUNCTION("""COMPUTED_VALUE"""),-0.740413882191434)</f>
        <v>-0.740413882191434</v>
      </c>
      <c r="CT19" s="3">
        <f ca="1">IFERROR(__xludf.DUMMYFUNCTION("""COMPUTED_VALUE"""),-0.739593609990884)</f>
        <v>-0.73959360999088397</v>
      </c>
      <c r="CU19" s="3">
        <f ca="1">IFERROR(__xludf.DUMMYFUNCTION("""COMPUTED_VALUE"""),-0.704564294577599)</f>
        <v>-0.70456429457759895</v>
      </c>
      <c r="CV19" s="3">
        <f ca="1">IFERROR(__xludf.DUMMYFUNCTION("""COMPUTED_VALUE"""),-0.721210856608697)</f>
        <v>-0.72121085660869699</v>
      </c>
      <c r="CW19" s="3">
        <f ca="1">IFERROR(__xludf.DUMMYFUNCTION("""COMPUTED_VALUE"""),-0.710127138070371)</f>
        <v>-0.71012713807037098</v>
      </c>
      <c r="CX19" s="3">
        <f ca="1">IFERROR(__xludf.DUMMYFUNCTION("""COMPUTED_VALUE"""),-0.654871871163628)</f>
        <v>-0.65487187116362799</v>
      </c>
      <c r="CY19" s="3">
        <f ca="1">IFERROR(__xludf.DUMMYFUNCTION("""COMPUTED_VALUE"""),-0.652625151632007)</f>
        <v>-0.65262515163200696</v>
      </c>
      <c r="CZ19" s="3">
        <f ca="1">IFERROR(__xludf.DUMMYFUNCTION("""COMPUTED_VALUE"""),-0.783819792412954)</f>
        <v>-0.78381979241295396</v>
      </c>
      <c r="DA19" s="3">
        <f ca="1">IFERROR(__xludf.DUMMYFUNCTION("""COMPUTED_VALUE"""),-0.679961827372154)</f>
        <v>-0.67996182737215405</v>
      </c>
      <c r="DB19" s="3">
        <f ca="1">IFERROR(__xludf.DUMMYFUNCTION("""COMPUTED_VALUE"""),-0.573755365761869)</f>
        <v>-0.57375536576186903</v>
      </c>
      <c r="DC19" s="3">
        <f ca="1">IFERROR(__xludf.DUMMYFUNCTION("""COMPUTED_VALUE"""),-0.639100421284439)</f>
        <v>-0.639100421284439</v>
      </c>
      <c r="DD19" s="3">
        <f ca="1">IFERROR(__xludf.DUMMYFUNCTION("""COMPUTED_VALUE"""),-0.689345757908689)</f>
        <v>-0.68934575790868902</v>
      </c>
      <c r="DE19" s="3">
        <f ca="1">IFERROR(__xludf.DUMMYFUNCTION("""COMPUTED_VALUE"""),-0.655701832556723)</f>
        <v>-0.65570183255672299</v>
      </c>
      <c r="DF19" s="3">
        <f ca="1">IFERROR(__xludf.DUMMYFUNCTION("""COMPUTED_VALUE"""),-0.671678276579232)</f>
        <v>-0.67167827657923196</v>
      </c>
      <c r="DG19" s="3">
        <f ca="1">IFERROR(__xludf.DUMMYFUNCTION("""COMPUTED_VALUE"""),-0.862272686025042)</f>
        <v>-0.86227268602504203</v>
      </c>
      <c r="DH19" s="3">
        <f ca="1">IFERROR(__xludf.DUMMYFUNCTION("""COMPUTED_VALUE"""),-0.740909213081982)</f>
        <v>-0.74090921308198199</v>
      </c>
      <c r="DI19" s="3">
        <f ca="1">IFERROR(__xludf.DUMMYFUNCTION("""COMPUTED_VALUE"""),-0.541836200050494)</f>
        <v>-0.54183620005049404</v>
      </c>
      <c r="DJ19" s="3">
        <f ca="1">IFERROR(__xludf.DUMMYFUNCTION("""COMPUTED_VALUE"""),-0.652555795649355)</f>
        <v>-0.65255579564935495</v>
      </c>
      <c r="DK19" s="3">
        <f ca="1">IFERROR(__xludf.DUMMYFUNCTION("""COMPUTED_VALUE"""),-0.665253378842488)</f>
        <v>-0.66525337884248803</v>
      </c>
      <c r="DL19" s="3">
        <f ca="1">IFERROR(__xludf.DUMMYFUNCTION("""COMPUTED_VALUE"""),-0.64124775785294)</f>
        <v>-0.64124775785293997</v>
      </c>
      <c r="DM19" s="3">
        <f ca="1">IFERROR(__xludf.DUMMYFUNCTION("""COMPUTED_VALUE"""),-0.640059073152786)</f>
        <v>-0.64005907315278598</v>
      </c>
      <c r="DN19" s="3">
        <f ca="1">IFERROR(__xludf.DUMMYFUNCTION("""COMPUTED_VALUE"""),-0.690296640792343)</f>
        <v>-0.69029664079234299</v>
      </c>
      <c r="DO19" s="3">
        <f ca="1">IFERROR(__xludf.DUMMYFUNCTION("""COMPUTED_VALUE"""),-0.700976733726027)</f>
        <v>-0.70097673372602698</v>
      </c>
      <c r="DP19" s="3">
        <f ca="1">IFERROR(__xludf.DUMMYFUNCTION("""COMPUTED_VALUE"""),-0.66849594687064)</f>
        <v>-0.66849594687063996</v>
      </c>
      <c r="DQ19" s="3">
        <f ca="1">IFERROR(__xludf.DUMMYFUNCTION("""COMPUTED_VALUE"""),-0.705618590075771)</f>
        <v>-0.70561859007577099</v>
      </c>
      <c r="DR19" s="3">
        <f ca="1">IFERROR(__xludf.DUMMYFUNCTION("""COMPUTED_VALUE"""),-0.715158176895632)</f>
        <v>-0.71515817689563199</v>
      </c>
      <c r="DS19" s="3">
        <f ca="1">IFERROR(__xludf.DUMMYFUNCTION("""COMPUTED_VALUE"""),-0.665188533674885)</f>
        <v>-0.66518853367488495</v>
      </c>
      <c r="DT19" s="3">
        <f ca="1">IFERROR(__xludf.DUMMYFUNCTION("""COMPUTED_VALUE"""),-0.694996057863952)</f>
        <v>-0.69499605786395202</v>
      </c>
      <c r="DU19" s="3">
        <f ca="1">IFERROR(__xludf.DUMMYFUNCTION("""COMPUTED_VALUE"""),-0.745998804715281)</f>
        <v>-0.74599880471528102</v>
      </c>
      <c r="DV19" s="3">
        <f ca="1">IFERROR(__xludf.DUMMYFUNCTION("""COMPUTED_VALUE"""),-0.750807228705503)</f>
        <v>-0.75080722870550298</v>
      </c>
      <c r="DW19" s="3">
        <f ca="1">IFERROR(__xludf.DUMMYFUNCTION("""COMPUTED_VALUE"""),-0.753297846935813)</f>
        <v>-0.75329784693581303</v>
      </c>
      <c r="DX19" s="3">
        <f ca="1">IFERROR(__xludf.DUMMYFUNCTION("""COMPUTED_VALUE"""),-0.756656151195807)</f>
        <v>-0.75665615119580698</v>
      </c>
      <c r="DY19" s="3">
        <f ca="1">IFERROR(__xludf.DUMMYFUNCTION("""COMPUTED_VALUE"""),-0.748482402882723)</f>
        <v>-0.74848240288272305</v>
      </c>
      <c r="DZ19" s="3">
        <f ca="1">IFERROR(__xludf.DUMMYFUNCTION("""COMPUTED_VALUE"""),-0.674111242464814)</f>
        <v>-0.67411124246481402</v>
      </c>
      <c r="EA19" s="3">
        <f ca="1">IFERROR(__xludf.DUMMYFUNCTION("""COMPUTED_VALUE"""),-0.666117784649209)</f>
        <v>-0.66611778464920901</v>
      </c>
      <c r="EB19" s="3">
        <f ca="1">IFERROR(__xludf.DUMMYFUNCTION("""COMPUTED_VALUE"""),-0.686856505572112)</f>
        <v>-0.68685650557211197</v>
      </c>
      <c r="EC19" s="3">
        <f ca="1">IFERROR(__xludf.DUMMYFUNCTION("""COMPUTED_VALUE"""),-0.697327132527238)</f>
        <v>-0.69732713252723799</v>
      </c>
      <c r="ED19" s="3">
        <f ca="1">IFERROR(__xludf.DUMMYFUNCTION("""COMPUTED_VALUE"""),-0.738854787221086)</f>
        <v>-0.738854787221086</v>
      </c>
      <c r="EE19" s="3">
        <f ca="1">IFERROR(__xludf.DUMMYFUNCTION("""COMPUTED_VALUE"""),-0.756576557502613)</f>
        <v>-0.75657655750261299</v>
      </c>
      <c r="EF19" s="3">
        <f ca="1">IFERROR(__xludf.DUMMYFUNCTION("""COMPUTED_VALUE"""),-0.750916974212046)</f>
        <v>-0.75091697421204595</v>
      </c>
      <c r="EG19" s="3">
        <f ca="1">IFERROR(__xludf.DUMMYFUNCTION("""COMPUTED_VALUE"""),-0.676428074062124)</f>
        <v>-0.67642807406212402</v>
      </c>
      <c r="EH19" s="3">
        <f ca="1">IFERROR(__xludf.DUMMYFUNCTION("""COMPUTED_VALUE"""),-0.684365417369319)</f>
        <v>-0.684365417369319</v>
      </c>
      <c r="EI19" s="3">
        <f ca="1">IFERROR(__xludf.DUMMYFUNCTION("""COMPUTED_VALUE"""),-0.745049018953117)</f>
        <v>-0.74504901895311704</v>
      </c>
      <c r="EJ19" s="3">
        <f ca="1">IFERROR(__xludf.DUMMYFUNCTION("""COMPUTED_VALUE"""),-0.818165340404621)</f>
        <v>-0.81816534040462097</v>
      </c>
      <c r="EK19" s="3">
        <f ca="1">IFERROR(__xludf.DUMMYFUNCTION("""COMPUTED_VALUE"""),-0.741423991652941)</f>
        <v>-0.74142399165294104</v>
      </c>
      <c r="EL19" s="3">
        <f ca="1">IFERROR(__xludf.DUMMYFUNCTION("""COMPUTED_VALUE"""),-0.766007935271846)</f>
        <v>-0.76600793527184596</v>
      </c>
      <c r="EM19" s="3">
        <f ca="1">IFERROR(__xludf.DUMMYFUNCTION("""COMPUTED_VALUE"""),-0.755010429853439)</f>
        <v>-0.75501042985343902</v>
      </c>
      <c r="EN19" s="3">
        <f ca="1">IFERROR(__xludf.DUMMYFUNCTION("""COMPUTED_VALUE"""),-0.666401138730891)</f>
        <v>-0.66640113873089102</v>
      </c>
      <c r="EO19" s="3">
        <f ca="1">IFERROR(__xludf.DUMMYFUNCTION("""COMPUTED_VALUE"""),-0.654603428815963)</f>
        <v>-0.65460342881596301</v>
      </c>
      <c r="EP19" s="3">
        <f ca="1">IFERROR(__xludf.DUMMYFUNCTION("""COMPUTED_VALUE"""),-0.702164802858376)</f>
        <v>-0.70216480285837601</v>
      </c>
      <c r="EQ19" s="3">
        <f ca="1">IFERROR(__xludf.DUMMYFUNCTION("""COMPUTED_VALUE"""),-0.699271515274163)</f>
        <v>-0.69927151527416298</v>
      </c>
      <c r="ER19" s="3">
        <f ca="1">IFERROR(__xludf.DUMMYFUNCTION("""COMPUTED_VALUE"""),-0.74202977559112)</f>
        <v>-0.74202977559112004</v>
      </c>
      <c r="ES19" s="3">
        <f ca="1">IFERROR(__xludf.DUMMYFUNCTION("""COMPUTED_VALUE"""),-0.760979189922637)</f>
        <v>-0.76097918992263702</v>
      </c>
      <c r="ET19" s="3">
        <f ca="1">IFERROR(__xludf.DUMMYFUNCTION("""COMPUTED_VALUE"""),-0.745728781781267)</f>
        <v>-0.745728781781267</v>
      </c>
      <c r="EU19" s="3">
        <f ca="1">IFERROR(__xludf.DUMMYFUNCTION("""COMPUTED_VALUE"""),-0.686280652750348)</f>
        <v>-0.686280652750348</v>
      </c>
      <c r="EV19" s="3">
        <f ca="1">IFERROR(__xludf.DUMMYFUNCTION("""COMPUTED_VALUE"""),-0.684493169488073)</f>
        <v>-0.68449316948807304</v>
      </c>
      <c r="EW19" s="3">
        <f ca="1">IFERROR(__xludf.DUMMYFUNCTION("""COMPUTED_VALUE"""),-0.74151133292475)</f>
        <v>-0.74151133292475002</v>
      </c>
      <c r="EX19" s="3">
        <f ca="1">IFERROR(__xludf.DUMMYFUNCTION("""COMPUTED_VALUE"""),-0.755785331881859)</f>
        <v>-0.75578533188185903</v>
      </c>
      <c r="EY19" s="3">
        <f ca="1">IFERROR(__xludf.DUMMYFUNCTION("""COMPUTED_VALUE"""),-0.753136827957126)</f>
        <v>-0.753136827957126</v>
      </c>
      <c r="EZ19" s="3">
        <f ca="1">IFERROR(__xludf.DUMMYFUNCTION("""COMPUTED_VALUE"""),-0.760049728113418)</f>
        <v>-0.76004972811341798</v>
      </c>
      <c r="FA19" s="3">
        <f ca="1">IFERROR(__xludf.DUMMYFUNCTION("""COMPUTED_VALUE"""),-0.734584708609528)</f>
        <v>-0.73458470860952796</v>
      </c>
      <c r="FB19" s="3">
        <f ca="1">IFERROR(__xludf.DUMMYFUNCTION("""COMPUTED_VALUE"""),-0.635108639188188)</f>
        <v>-0.63510863918818805</v>
      </c>
      <c r="FC19" s="3">
        <f ca="1">IFERROR(__xludf.DUMMYFUNCTION("""COMPUTED_VALUE"""),-0.636659264169137)</f>
        <v>-0.63665926416913698</v>
      </c>
      <c r="FD19" s="3">
        <f ca="1">IFERROR(__xludf.DUMMYFUNCTION("""COMPUTED_VALUE"""),-0.71408314625035)</f>
        <v>-0.71408314625034996</v>
      </c>
      <c r="FE19" s="3">
        <f ca="1">IFERROR(__xludf.DUMMYFUNCTION("""COMPUTED_VALUE"""),-0.754837316898515)</f>
        <v>-0.75483731689851497</v>
      </c>
      <c r="FF19" s="3">
        <f ca="1">IFERROR(__xludf.DUMMYFUNCTION("""COMPUTED_VALUE"""),-0.745413858614117)</f>
        <v>-0.74541385861411702</v>
      </c>
      <c r="FG19" s="3">
        <f ca="1">IFERROR(__xludf.DUMMYFUNCTION("""COMPUTED_VALUE"""),-0.734973987831228)</f>
        <v>-0.73497398783122803</v>
      </c>
      <c r="FH19" s="3">
        <f ca="1">IFERROR(__xludf.DUMMYFUNCTION("""COMPUTED_VALUE"""),-0.708010171468665)</f>
        <v>-0.70801017146866496</v>
      </c>
      <c r="FI19" s="3">
        <f ca="1">IFERROR(__xludf.DUMMYFUNCTION("""COMPUTED_VALUE"""),-0.622710982799013)</f>
        <v>-0.62271098279901305</v>
      </c>
      <c r="FJ19" s="3">
        <f ca="1">IFERROR(__xludf.DUMMYFUNCTION("""COMPUTED_VALUE"""),-0.617677004550384)</f>
        <v>-0.61767700455038399</v>
      </c>
      <c r="FK19" s="3">
        <f ca="1">IFERROR(__xludf.DUMMYFUNCTION("""COMPUTED_VALUE"""),-0.696038969870507)</f>
        <v>-0.69603896987050695</v>
      </c>
      <c r="FL19" s="3">
        <f ca="1">IFERROR(__xludf.DUMMYFUNCTION("""COMPUTED_VALUE"""),-0.734821307469936)</f>
        <v>-0.73482130746993601</v>
      </c>
      <c r="FM19" s="3">
        <f ca="1">IFERROR(__xludf.DUMMYFUNCTION("""COMPUTED_VALUE"""),-0.733212014587208)</f>
        <v>-0.73321201458720797</v>
      </c>
      <c r="FN19" s="3">
        <f ca="1">IFERROR(__xludf.DUMMYFUNCTION("""COMPUTED_VALUE"""),-0.730750852123949)</f>
        <v>-0.73075085212394897</v>
      </c>
      <c r="FO19" s="3">
        <f ca="1">IFERROR(__xludf.DUMMYFUNCTION("""COMPUTED_VALUE"""),-0.717826896191144)</f>
        <v>-0.71782689619114404</v>
      </c>
      <c r="FP19" s="3">
        <f ca="1">IFERROR(__xludf.DUMMYFUNCTION("""COMPUTED_VALUE"""),-0.642508696066213)</f>
        <v>-0.64250869606621297</v>
      </c>
      <c r="FQ19" s="3">
        <f ca="1">IFERROR(__xludf.DUMMYFUNCTION("""COMPUTED_VALUE"""),-0.62312489228249)</f>
        <v>-0.62312489228249002</v>
      </c>
      <c r="FR19" s="3">
        <f ca="1">IFERROR(__xludf.DUMMYFUNCTION("""COMPUTED_VALUE"""),-0.709504440701749)</f>
        <v>-0.70950444070174901</v>
      </c>
      <c r="FS19" s="3">
        <f ca="1">IFERROR(__xludf.DUMMYFUNCTION("""COMPUTED_VALUE"""),-0.721404258777566)</f>
        <v>-0.72140425877756598</v>
      </c>
      <c r="FT19" s="3">
        <f ca="1">IFERROR(__xludf.DUMMYFUNCTION("""COMPUTED_VALUE"""),-0.730041707424768)</f>
        <v>-0.73004170742476804</v>
      </c>
      <c r="FU19" s="3">
        <f ca="1">IFERROR(__xludf.DUMMYFUNCTION("""COMPUTED_VALUE"""),-0.728092901528259)</f>
        <v>-0.72809290152825901</v>
      </c>
      <c r="FV19" s="3">
        <f ca="1">IFERROR(__xludf.DUMMYFUNCTION("""COMPUTED_VALUE"""),-0.699815125175198)</f>
        <v>-0.69981512517519795</v>
      </c>
      <c r="FW19" s="3">
        <f ca="1">IFERROR(__xludf.DUMMYFUNCTION("""COMPUTED_VALUE"""),-0.648558001057263)</f>
        <v>-0.64855800105726302</v>
      </c>
      <c r="FX19" s="3">
        <f ca="1">IFERROR(__xludf.DUMMYFUNCTION("""COMPUTED_VALUE"""),-0.623029064495816)</f>
        <v>-0.62302906449581597</v>
      </c>
      <c r="FY19" s="3">
        <f ca="1">IFERROR(__xludf.DUMMYFUNCTION("""COMPUTED_VALUE"""),-0.699255724044582)</f>
        <v>-0.69925572404458203</v>
      </c>
      <c r="FZ19" s="3">
        <f ca="1">IFERROR(__xludf.DUMMYFUNCTION("""COMPUTED_VALUE"""),-0.720686264456515)</f>
        <v>-0.72068626445651496</v>
      </c>
      <c r="GA19" s="3">
        <f ca="1">IFERROR(__xludf.DUMMYFUNCTION("""COMPUTED_VALUE"""),-0.727531419209859)</f>
        <v>-0.72753141920985898</v>
      </c>
      <c r="GB19" s="3">
        <f ca="1">IFERROR(__xludf.DUMMYFUNCTION("""COMPUTED_VALUE"""),-0.728274010669292)</f>
        <v>-0.72827401066929198</v>
      </c>
      <c r="GC19" s="3">
        <f ca="1">IFERROR(__xludf.DUMMYFUNCTION("""COMPUTED_VALUE"""),-0.725072180207282)</f>
        <v>-0.72507218020728204</v>
      </c>
      <c r="GD19" s="3">
        <f ca="1">IFERROR(__xludf.DUMMYFUNCTION("""COMPUTED_VALUE"""),-0.625125502391912)</f>
        <v>-0.625125502391912</v>
      </c>
      <c r="GE19" s="3">
        <f ca="1">IFERROR(__xludf.DUMMYFUNCTION("""COMPUTED_VALUE"""),-0.628415787258289)</f>
        <v>-0.62841578725828895</v>
      </c>
      <c r="GF19" s="3">
        <f ca="1">IFERROR(__xludf.DUMMYFUNCTION("""COMPUTED_VALUE"""),-0.698756387836082)</f>
        <v>-0.69875638783608196</v>
      </c>
      <c r="GG19" s="3">
        <f ca="1">IFERROR(__xludf.DUMMYFUNCTION("""COMPUTED_VALUE"""),-0.726342770764558)</f>
        <v>-0.726342770764558</v>
      </c>
      <c r="GH19" s="3">
        <f ca="1">IFERROR(__xludf.DUMMYFUNCTION("""COMPUTED_VALUE"""),-0.728589690270843)</f>
        <v>-0.72858969027084297</v>
      </c>
      <c r="GI19" s="3">
        <f ca="1">IFERROR(__xludf.DUMMYFUNCTION("""COMPUTED_VALUE"""),-0.739605328051603)</f>
        <v>-0.73960532805160295</v>
      </c>
      <c r="GJ19" s="3">
        <f ca="1">IFERROR(__xludf.DUMMYFUNCTION("""COMPUTED_VALUE"""),-0.717270461756548)</f>
        <v>-0.71727046175654796</v>
      </c>
      <c r="GK19" s="3">
        <f ca="1">IFERROR(__xludf.DUMMYFUNCTION("""COMPUTED_VALUE"""),-0.600291826972576)</f>
        <v>-0.60029182697257599</v>
      </c>
      <c r="GL19" s="3">
        <f ca="1">IFERROR(__xludf.DUMMYFUNCTION("""COMPUTED_VALUE"""),-0.62078233282241)</f>
        <v>-0.62078233282241002</v>
      </c>
      <c r="GM19" s="3">
        <f ca="1">IFERROR(__xludf.DUMMYFUNCTION("""COMPUTED_VALUE"""),-0.709209786005498)</f>
        <v>-0.709209786005498</v>
      </c>
      <c r="GN19" s="3">
        <f ca="1">IFERROR(__xludf.DUMMYFUNCTION("""COMPUTED_VALUE"""),-0.737467928289569)</f>
        <v>-0.73746792828956897</v>
      </c>
      <c r="GO19" s="3">
        <f ca="1">IFERROR(__xludf.DUMMYFUNCTION("""COMPUTED_VALUE"""),-0.741349948422987)</f>
        <v>-0.74134994842298696</v>
      </c>
      <c r="GP19" s="3">
        <f ca="1">IFERROR(__xludf.DUMMYFUNCTION("""COMPUTED_VALUE"""),-0.737288490256148)</f>
        <v>-0.73728849025614795</v>
      </c>
      <c r="GQ19" s="3">
        <f ca="1">IFERROR(__xludf.DUMMYFUNCTION("""COMPUTED_VALUE"""),-0.732819704238102)</f>
        <v>-0.73281970423810205</v>
      </c>
      <c r="GR19" s="3">
        <f ca="1">IFERROR(__xludf.DUMMYFUNCTION("""COMPUTED_VALUE"""),-0.60016413417625)</f>
        <v>-0.60016413417625003</v>
      </c>
      <c r="GS19" s="3">
        <f ca="1">IFERROR(__xludf.DUMMYFUNCTION("""COMPUTED_VALUE"""),-0.615227171124759)</f>
        <v>-0.615227171124759</v>
      </c>
      <c r="GT19" s="3">
        <f ca="1">IFERROR(__xludf.DUMMYFUNCTION("""COMPUTED_VALUE"""),-0.694276531973171)</f>
        <v>-0.69427653197317096</v>
      </c>
      <c r="GU19" s="3">
        <f ca="1">IFERROR(__xludf.DUMMYFUNCTION("""COMPUTED_VALUE"""),-0.730323679523371)</f>
        <v>-0.73032367952337096</v>
      </c>
      <c r="GV19" s="3">
        <f ca="1">IFERROR(__xludf.DUMMYFUNCTION("""COMPUTED_VALUE"""),-0.728543537374912)</f>
        <v>-0.72854353737491195</v>
      </c>
      <c r="GW19" s="3">
        <f ca="1">IFERROR(__xludf.DUMMYFUNCTION("""COMPUTED_VALUE"""),-0.7282505038021)</f>
        <v>-0.72825050380209999</v>
      </c>
      <c r="GX19" s="3">
        <f ca="1">IFERROR(__xludf.DUMMYFUNCTION("""COMPUTED_VALUE"""),-0.716495869782813)</f>
        <v>-0.71649586978281299</v>
      </c>
      <c r="GY19" s="3">
        <f ca="1">IFERROR(__xludf.DUMMYFUNCTION("""COMPUTED_VALUE"""),-0.577331769239895)</f>
        <v>-0.57733176923989504</v>
      </c>
      <c r="GZ19" s="3">
        <f ca="1">IFERROR(__xludf.DUMMYFUNCTION("""COMPUTED_VALUE"""),-0.618077118505706)</f>
        <v>-0.61807711850570601</v>
      </c>
      <c r="HA19" s="3">
        <f ca="1">IFERROR(__xludf.DUMMYFUNCTION("""COMPUTED_VALUE"""),-0.69899581388954)</f>
        <v>-0.69899581388954002</v>
      </c>
      <c r="HB19" s="3">
        <f ca="1">IFERROR(__xludf.DUMMYFUNCTION("""COMPUTED_VALUE"""),-0.722427595313237)</f>
        <v>-0.72242759531323697</v>
      </c>
      <c r="HC19" s="3">
        <f ca="1">IFERROR(__xludf.DUMMYFUNCTION("""COMPUTED_VALUE"""),-0.705123700557967)</f>
        <v>-0.70512370055796703</v>
      </c>
      <c r="HD19" s="3">
        <f ca="1">IFERROR(__xludf.DUMMYFUNCTION("""COMPUTED_VALUE"""),-0.720275678016083)</f>
        <v>-0.72027567801608305</v>
      </c>
      <c r="HE19" s="3">
        <f ca="1">IFERROR(__xludf.DUMMYFUNCTION("""COMPUTED_VALUE"""),-0.710300129042401)</f>
        <v>-0.71030012904240103</v>
      </c>
      <c r="HF19" s="3">
        <f ca="1">IFERROR(__xludf.DUMMYFUNCTION("""COMPUTED_VALUE"""),-0.574939442751978)</f>
        <v>-0.57493944275197795</v>
      </c>
      <c r="HG19" s="3">
        <f ca="1">IFERROR(__xludf.DUMMYFUNCTION("""COMPUTED_VALUE"""),-0.659922356522265)</f>
        <v>-0.65992235652226505</v>
      </c>
      <c r="HH19" s="3">
        <f ca="1">IFERROR(__xludf.DUMMYFUNCTION("""COMPUTED_VALUE"""),-0.703668324190707)</f>
        <v>-0.70366832419070702</v>
      </c>
      <c r="HI19" s="3">
        <f ca="1">IFERROR(__xludf.DUMMYFUNCTION("""COMPUTED_VALUE"""),-0.724039241526805)</f>
        <v>-0.72403924152680499</v>
      </c>
      <c r="HJ19" s="3">
        <f ca="1">IFERROR(__xludf.DUMMYFUNCTION("""COMPUTED_VALUE"""),-0.720536566048776)</f>
        <v>-0.72053656604877603</v>
      </c>
      <c r="HK19" s="3">
        <f ca="1">IFERROR(__xludf.DUMMYFUNCTION("""COMPUTED_VALUE"""),-0.732713169646923)</f>
        <v>-0.73271316964692301</v>
      </c>
      <c r="HL19" s="3">
        <f ca="1">IFERROR(__xludf.DUMMYFUNCTION("""COMPUTED_VALUE"""),-0.698589036133094)</f>
        <v>-0.69858903613309398</v>
      </c>
      <c r="HM19" s="3">
        <f ca="1">IFERROR(__xludf.DUMMYFUNCTION("""COMPUTED_VALUE"""),-0.593440355971017)</f>
        <v>-0.59344035597101696</v>
      </c>
      <c r="HN19" s="3">
        <f ca="1">IFERROR(__xludf.DUMMYFUNCTION("""COMPUTED_VALUE"""),-0.582519861429889)</f>
        <v>-0.58251986142988899</v>
      </c>
      <c r="HO19" s="3">
        <f ca="1">IFERROR(__xludf.DUMMYFUNCTION("""COMPUTED_VALUE"""),-0.667817376837129)</f>
        <v>-0.66781737683712905</v>
      </c>
      <c r="HP19" s="3">
        <f ca="1">IFERROR(__xludf.DUMMYFUNCTION("""COMPUTED_VALUE"""),-0.710319145789347)</f>
        <v>-0.71031914578934696</v>
      </c>
      <c r="HQ19" s="3">
        <f ca="1">IFERROR(__xludf.DUMMYFUNCTION("""COMPUTED_VALUE"""),-0.693568131712334)</f>
        <v>-0.693568131712334</v>
      </c>
      <c r="HR19" s="3">
        <f ca="1">IFERROR(__xludf.DUMMYFUNCTION("""COMPUTED_VALUE"""),-0.72646282351547)</f>
        <v>-0.72646282351546998</v>
      </c>
      <c r="HS19" s="3">
        <f ca="1">IFERROR(__xludf.DUMMYFUNCTION("""COMPUTED_VALUE"""),-0.63941214106143)</f>
        <v>-0.63941214106142996</v>
      </c>
      <c r="HT19" s="3">
        <f ca="1">IFERROR(__xludf.DUMMYFUNCTION("""COMPUTED_VALUE"""),-0.553779209190996)</f>
        <v>-0.55377920919099599</v>
      </c>
      <c r="HU19" s="3">
        <f ca="1">IFERROR(__xludf.DUMMYFUNCTION("""COMPUTED_VALUE"""),-0.571137316804751)</f>
        <v>-0.57113731680475099</v>
      </c>
      <c r="HV19" s="3">
        <f ca="1">IFERROR(__xludf.DUMMYFUNCTION("""COMPUTED_VALUE"""),-0.654904376044188)</f>
        <v>-0.65490437604418805</v>
      </c>
      <c r="HW19" s="3">
        <f ca="1">IFERROR(__xludf.DUMMYFUNCTION("""COMPUTED_VALUE"""),-0.682390496034546)</f>
        <v>-0.68239049603454605</v>
      </c>
      <c r="HX19" s="3">
        <f ca="1">IFERROR(__xludf.DUMMYFUNCTION("""COMPUTED_VALUE"""),-0.693502560108008)</f>
        <v>-0.69350256010800804</v>
      </c>
      <c r="HY19" s="3">
        <f ca="1">IFERROR(__xludf.DUMMYFUNCTION("""COMPUTED_VALUE"""),-0.687313559614922)</f>
        <v>-0.68731355961492202</v>
      </c>
      <c r="HZ19" s="3">
        <f ca="1">IFERROR(__xludf.DUMMYFUNCTION("""COMPUTED_VALUE"""),-0.613253766767653)</f>
        <v>-0.61325376676765297</v>
      </c>
      <c r="IA19" s="3">
        <f ca="1">IFERROR(__xludf.DUMMYFUNCTION("""COMPUTED_VALUE"""),-0.570876331001296)</f>
        <v>-0.57087633100129598</v>
      </c>
      <c r="IB19" s="3">
        <f ca="1">IFERROR(__xludf.DUMMYFUNCTION("""COMPUTED_VALUE"""),-0.540586954482873)</f>
        <v>-0.54058695448287297</v>
      </c>
      <c r="IC19" s="3">
        <f ca="1">IFERROR(__xludf.DUMMYFUNCTION("""COMPUTED_VALUE"""),-0.639574844704807)</f>
        <v>-0.63957484470480697</v>
      </c>
      <c r="ID19" s="3">
        <f ca="1">IFERROR(__xludf.DUMMYFUNCTION("""COMPUTED_VALUE"""),-0.666162485973161)</f>
        <v>-0.66616248597316097</v>
      </c>
      <c r="IE19" s="3">
        <f ca="1">IFERROR(__xludf.DUMMYFUNCTION("""COMPUTED_VALUE"""),-0.678121490076674)</f>
        <v>-0.67812149007667399</v>
      </c>
      <c r="IF19" s="3">
        <f ca="1">IFERROR(__xludf.DUMMYFUNCTION("""COMPUTED_VALUE"""),-0.673886096554566)</f>
        <v>-0.67388609655456599</v>
      </c>
      <c r="IG19" s="3">
        <f ca="1">IFERROR(__xludf.DUMMYFUNCTION("""COMPUTED_VALUE"""),-0.660375754408637)</f>
        <v>-0.66037575440863705</v>
      </c>
      <c r="IH19" s="3">
        <f ca="1">IFERROR(__xludf.DUMMYFUNCTION("""COMPUTED_VALUE"""),-0.544664367128286)</f>
        <v>-0.54466436712828603</v>
      </c>
      <c r="II19" s="3">
        <f ca="1">IFERROR(__xludf.DUMMYFUNCTION("""COMPUTED_VALUE"""),-0.55614422631344)</f>
        <v>-0.55614422631343996</v>
      </c>
      <c r="IJ19" s="3">
        <f ca="1">IFERROR(__xludf.DUMMYFUNCTION("""COMPUTED_VALUE"""),-0.618408243838152)</f>
        <v>-0.61840824383815196</v>
      </c>
      <c r="IK19" s="3">
        <f ca="1">IFERROR(__xludf.DUMMYFUNCTION("""COMPUTED_VALUE"""),-0.643468782360027)</f>
        <v>-0.64346878236002703</v>
      </c>
      <c r="IL19" s="3">
        <f ca="1">IFERROR(__xludf.DUMMYFUNCTION("""COMPUTED_VALUE"""),-0.654126174440873)</f>
        <v>-0.65412617444087295</v>
      </c>
      <c r="IM19" s="3">
        <f ca="1">IFERROR(__xludf.DUMMYFUNCTION("""COMPUTED_VALUE"""),-0.644230988454847)</f>
        <v>-0.64423098845484705</v>
      </c>
      <c r="IN19" s="3">
        <f ca="1">IFERROR(__xludf.DUMMYFUNCTION("""COMPUTED_VALUE"""),-0.662092693422666)</f>
        <v>-0.66209269342266597</v>
      </c>
      <c r="IO19" s="3">
        <f ca="1">IFERROR(__xludf.DUMMYFUNCTION("""COMPUTED_VALUE"""),-0.578939027683994)</f>
        <v>-0.57893902768399397</v>
      </c>
      <c r="IP19" s="3">
        <f ca="1">IFERROR(__xludf.DUMMYFUNCTION("""COMPUTED_VALUE"""),-0.592379098479039)</f>
        <v>-0.59237909847903902</v>
      </c>
      <c r="IQ19" s="3">
        <f ca="1">IFERROR(__xludf.DUMMYFUNCTION("""COMPUTED_VALUE"""),-0.650045527122312)</f>
        <v>-0.65004552712231201</v>
      </c>
      <c r="IR19" s="3">
        <f ca="1">IFERROR(__xludf.DUMMYFUNCTION("""COMPUTED_VALUE"""),-0.686705688215137)</f>
        <v>-0.686705688215137</v>
      </c>
      <c r="IS19" s="3">
        <f ca="1">IFERROR(__xludf.DUMMYFUNCTION("""COMPUTED_VALUE"""),-0.679148003914716)</f>
        <v>-0.67914800391471597</v>
      </c>
      <c r="IT19" s="3">
        <f ca="1">IFERROR(__xludf.DUMMYFUNCTION("""COMPUTED_VALUE"""),-0.671737950230121)</f>
        <v>-0.67173795023012095</v>
      </c>
      <c r="IU19" s="3">
        <f ca="1">IFERROR(__xludf.DUMMYFUNCTION("""COMPUTED_VALUE"""),-0.661359276563155)</f>
        <v>-0.66135927656315496</v>
      </c>
      <c r="IV19" s="3">
        <f ca="1">IFERROR(__xludf.DUMMYFUNCTION("""COMPUTED_VALUE"""),-0.605746291926387)</f>
        <v>-0.60574629192638696</v>
      </c>
      <c r="IW19" s="3">
        <f ca="1">IFERROR(__xludf.DUMMYFUNCTION("""COMPUTED_VALUE"""),-0.60273485960859)</f>
        <v>-0.60273485960858997</v>
      </c>
      <c r="IX19" s="3">
        <f ca="1">IFERROR(__xludf.DUMMYFUNCTION("""COMPUTED_VALUE"""),-0.648531548372148)</f>
        <v>-0.64853154837214799</v>
      </c>
      <c r="IY19" s="3">
        <f ca="1">IFERROR(__xludf.DUMMYFUNCTION("""COMPUTED_VALUE"""),-0.699346799221091)</f>
        <v>-0.699346799221091</v>
      </c>
      <c r="IZ19" s="3">
        <f ca="1">IFERROR(__xludf.DUMMYFUNCTION("""COMPUTED_VALUE"""),-0.689306518825443)</f>
        <v>-0.68930651882544303</v>
      </c>
      <c r="JA19" s="3">
        <f ca="1">IFERROR(__xludf.DUMMYFUNCTION("""COMPUTED_VALUE"""),-0.687322610754711)</f>
        <v>-0.68732261075471102</v>
      </c>
      <c r="JB19" s="3">
        <f ca="1">IFERROR(__xludf.DUMMYFUNCTION("""COMPUTED_VALUE"""),-0.673159892952098)</f>
        <v>-0.67315989295209799</v>
      </c>
      <c r="JC19" s="3">
        <f ca="1">IFERROR(__xludf.DUMMYFUNCTION("""COMPUTED_VALUE"""),-0.585708555160947)</f>
        <v>-0.585708555160947</v>
      </c>
      <c r="JD19" s="3">
        <f ca="1">IFERROR(__xludf.DUMMYFUNCTION("""COMPUTED_VALUE"""),-0.601460698216882)</f>
        <v>-0.60146069821688197</v>
      </c>
      <c r="JE19" s="3">
        <f ca="1">IFERROR(__xludf.DUMMYFUNCTION("""COMPUTED_VALUE"""),-0.668962362102276)</f>
        <v>-0.668962362102276</v>
      </c>
      <c r="JF19" s="3">
        <f ca="1">IFERROR(__xludf.DUMMYFUNCTION("""COMPUTED_VALUE"""),-0.698374570024628)</f>
        <v>-0.69837457002462799</v>
      </c>
      <c r="JG19" s="3">
        <f ca="1">IFERROR(__xludf.DUMMYFUNCTION("""COMPUTED_VALUE"""),-0.692029395073098)</f>
        <v>-0.69202939507309802</v>
      </c>
      <c r="JH19" s="3">
        <f ca="1">IFERROR(__xludf.DUMMYFUNCTION("""COMPUTED_VALUE"""),-0.701688644711348)</f>
        <v>-0.70168864471134795</v>
      </c>
      <c r="JI19" s="3">
        <f ca="1">IFERROR(__xludf.DUMMYFUNCTION("""COMPUTED_VALUE"""),-0.682603569639152)</f>
        <v>-0.68260356963915203</v>
      </c>
      <c r="JJ19" s="3">
        <f ca="1">IFERROR(__xludf.DUMMYFUNCTION("""COMPUTED_VALUE"""),-0.651801125417365)</f>
        <v>-0.65180112541736501</v>
      </c>
      <c r="JK19" s="3">
        <f ca="1">IFERROR(__xludf.DUMMYFUNCTION("""COMPUTED_VALUE"""),-0.620572127918714)</f>
        <v>-0.62057212791871397</v>
      </c>
      <c r="JL19" s="3">
        <f ca="1">IFERROR(__xludf.DUMMYFUNCTION("""COMPUTED_VALUE"""),-0.668793422271691)</f>
        <v>-0.66879342227169103</v>
      </c>
      <c r="JM19" s="3">
        <f ca="1">IFERROR(__xludf.DUMMYFUNCTION("""COMPUTED_VALUE"""),-0.696580968026799)</f>
        <v>-0.69658096802679903</v>
      </c>
      <c r="JN19" s="3">
        <f ca="1">IFERROR(__xludf.DUMMYFUNCTION("""COMPUTED_VALUE"""),-0.708674795497524)</f>
        <v>-0.70867479549752399</v>
      </c>
      <c r="JO19" s="3">
        <f ca="1">IFERROR(__xludf.DUMMYFUNCTION("""COMPUTED_VALUE"""),-0.691388495452265)</f>
        <v>-0.691388495452265</v>
      </c>
      <c r="JP19" s="3">
        <f ca="1">IFERROR(__xludf.DUMMYFUNCTION("""COMPUTED_VALUE"""),-0.684165764176241)</f>
        <v>-0.68416576417624098</v>
      </c>
      <c r="JQ19" s="3">
        <f ca="1">IFERROR(__xludf.DUMMYFUNCTION("""COMPUTED_VALUE"""),-0.609617431510974)</f>
        <v>-0.60961743151097403</v>
      </c>
      <c r="JR19" s="3">
        <f ca="1">IFERROR(__xludf.DUMMYFUNCTION("""COMPUTED_VALUE"""),-0.60846710800796)</f>
        <v>-0.60846710800796</v>
      </c>
      <c r="JS19" s="3">
        <f ca="1">IFERROR(__xludf.DUMMYFUNCTION("""COMPUTED_VALUE"""),-0.667788417600224)</f>
        <v>-0.667788417600224</v>
      </c>
      <c r="JT19" s="3">
        <f ca="1">IFERROR(__xludf.DUMMYFUNCTION("""COMPUTED_VALUE"""),-0.67218565865516)</f>
        <v>-0.67218565865516</v>
      </c>
      <c r="JU19" s="3">
        <f ca="1">IFERROR(__xludf.DUMMYFUNCTION("""COMPUTED_VALUE"""),-0.703934744642391)</f>
        <v>-0.70393474464239103</v>
      </c>
      <c r="JV19" s="3">
        <f ca="1">IFERROR(__xludf.DUMMYFUNCTION("""COMPUTED_VALUE"""),-0.693930662693531)</f>
        <v>-0.69393066269353099</v>
      </c>
      <c r="JW19" s="3">
        <f ca="1">IFERROR(__xludf.DUMMYFUNCTION("""COMPUTED_VALUE"""),-0.690493696668938)</f>
        <v>-0.69049369666893801</v>
      </c>
      <c r="JX19" s="3">
        <f ca="1">IFERROR(__xludf.DUMMYFUNCTION("""COMPUTED_VALUE"""),-0.633602454879682)</f>
        <v>-0.63360245487968203</v>
      </c>
      <c r="JY19" s="3">
        <f ca="1">IFERROR(__xludf.DUMMYFUNCTION("""COMPUTED_VALUE"""),-0.64969160821977)</f>
        <v>-0.64969160821977001</v>
      </c>
      <c r="JZ19" s="3">
        <f ca="1">IFERROR(__xludf.DUMMYFUNCTION("""COMPUTED_VALUE"""),-0.6159289496064)</f>
        <v>-0.61592894960639999</v>
      </c>
      <c r="KA19" s="3">
        <f ca="1">IFERROR(__xludf.DUMMYFUNCTION("""COMPUTED_VALUE"""),-0.673218981452608)</f>
        <v>-0.67321898145260795</v>
      </c>
      <c r="KB19" s="3">
        <f ca="1">IFERROR(__xludf.DUMMYFUNCTION("""COMPUTED_VALUE"""),-0.72236092955451)</f>
        <v>-0.72236092955451003</v>
      </c>
      <c r="KC19" s="3">
        <f ca="1">IFERROR(__xludf.DUMMYFUNCTION("""COMPUTED_VALUE"""),-0.726851540590654)</f>
        <v>-0.72685154059065404</v>
      </c>
      <c r="KD19" s="3">
        <f ca="1">IFERROR(__xludf.DUMMYFUNCTION("""COMPUTED_VALUE"""),-0.715379705282945)</f>
        <v>-0.71537970528294503</v>
      </c>
      <c r="KE19" s="3">
        <f ca="1">IFERROR(__xludf.DUMMYFUNCTION("""COMPUTED_VALUE"""),-0.626795408571004)</f>
        <v>-0.62679540857100402</v>
      </c>
      <c r="KF19" s="3">
        <f ca="1">IFERROR(__xludf.DUMMYFUNCTION("""COMPUTED_VALUE"""),-0.633141889475183)</f>
        <v>-0.63314188947518302</v>
      </c>
      <c r="KG19" s="3">
        <f ca="1">IFERROR(__xludf.DUMMYFUNCTION("""COMPUTED_VALUE"""),-0.707958533460321)</f>
        <v>-0.707958533460321</v>
      </c>
      <c r="KH19" s="3">
        <f ca="1">IFERROR(__xludf.DUMMYFUNCTION("""COMPUTED_VALUE"""),-0.69467816465367)</f>
        <v>-0.69467816465367005</v>
      </c>
      <c r="KI19" s="3">
        <f ca="1">IFERROR(__xludf.DUMMYFUNCTION("""COMPUTED_VALUE"""),-0.733406463088637)</f>
        <v>-0.733406463088637</v>
      </c>
      <c r="KJ19" s="3">
        <f ca="1">IFERROR(__xludf.DUMMYFUNCTION("""COMPUTED_VALUE"""),-0.72775039919439)</f>
        <v>-0.72775039919439</v>
      </c>
      <c r="KK19" s="3">
        <f ca="1">IFERROR(__xludf.DUMMYFUNCTION("""COMPUTED_VALUE"""),-0.720136626055915)</f>
        <v>-0.720136626055915</v>
      </c>
      <c r="KL19" s="3">
        <f ca="1">IFERROR(__xludf.DUMMYFUNCTION("""COMPUTED_VALUE"""),-0.648446467541758)</f>
        <v>-0.64844646754175805</v>
      </c>
      <c r="KM19" s="3">
        <f ca="1">IFERROR(__xludf.DUMMYFUNCTION("""COMPUTED_VALUE"""),-0.609838179221602)</f>
        <v>-0.60983817922160199</v>
      </c>
      <c r="KN19" s="3">
        <f ca="1">IFERROR(__xludf.DUMMYFUNCTION("""COMPUTED_VALUE"""),-0.663809774338729)</f>
        <v>-0.66380977433872901</v>
      </c>
      <c r="KO19" s="3">
        <f ca="1">IFERROR(__xludf.DUMMYFUNCTION("""COMPUTED_VALUE"""),-0.701223148933907)</f>
        <v>-0.70122314893390703</v>
      </c>
      <c r="KP19" s="3">
        <f ca="1">IFERROR(__xludf.DUMMYFUNCTION("""COMPUTED_VALUE"""),-0.702083776331463)</f>
        <v>-0.70208377633146302</v>
      </c>
      <c r="KQ19" s="3">
        <f ca="1">IFERROR(__xludf.DUMMYFUNCTION("""COMPUTED_VALUE"""),-0.702903817982232)</f>
        <v>-0.702903817982232</v>
      </c>
      <c r="KR19" s="3">
        <f ca="1">IFERROR(__xludf.DUMMYFUNCTION("""COMPUTED_VALUE"""),-0.684084053140216)</f>
        <v>-0.68408405314021603</v>
      </c>
      <c r="KS19" s="3">
        <f ca="1">IFERROR(__xludf.DUMMYFUNCTION("""COMPUTED_VALUE"""),-0.612237500609568)</f>
        <v>-0.61223750060956805</v>
      </c>
      <c r="KT19" s="3">
        <f ca="1">IFERROR(__xludf.DUMMYFUNCTION("""COMPUTED_VALUE"""),-0.625222562797619)</f>
        <v>-0.62522256279761901</v>
      </c>
      <c r="KU19" s="3">
        <f ca="1">IFERROR(__xludf.DUMMYFUNCTION("""COMPUTED_VALUE"""),-0.692755003630454)</f>
        <v>-0.69275500363045395</v>
      </c>
      <c r="KV19" s="3">
        <f ca="1">IFERROR(__xludf.DUMMYFUNCTION("""COMPUTED_VALUE"""),-0.713589993931658)</f>
        <v>-0.71358999393165801</v>
      </c>
      <c r="KW19" s="3">
        <f ca="1">IFERROR(__xludf.DUMMYFUNCTION("""COMPUTED_VALUE"""),-0.724102048293824)</f>
        <v>-0.72410204829382396</v>
      </c>
      <c r="KX19" s="3">
        <f ca="1">IFERROR(__xludf.DUMMYFUNCTION("""COMPUTED_VALUE"""),-0.730786035877425)</f>
        <v>-0.73078603587742497</v>
      </c>
      <c r="KY19" s="3">
        <f ca="1">IFERROR(__xludf.DUMMYFUNCTION("""COMPUTED_VALUE"""),-0.698662371935088)</f>
        <v>-0.69866237193508796</v>
      </c>
      <c r="KZ19" s="3">
        <f ca="1">IFERROR(__xludf.DUMMYFUNCTION("""COMPUTED_VALUE"""),-0.664828146206789)</f>
        <v>-0.66482814620678898</v>
      </c>
      <c r="LA19" s="3">
        <f ca="1">IFERROR(__xludf.DUMMYFUNCTION("""COMPUTED_VALUE"""),-0.627199149879132)</f>
        <v>-0.62719914987913195</v>
      </c>
      <c r="LB19" s="3">
        <f ca="1">IFERROR(__xludf.DUMMYFUNCTION("""COMPUTED_VALUE"""),-0.738771951229917)</f>
        <v>-0.73877195122991701</v>
      </c>
      <c r="LC19" s="3">
        <f ca="1">IFERROR(__xludf.DUMMYFUNCTION("""COMPUTED_VALUE"""),-0.756259981707126)</f>
        <v>-0.75625998170712605</v>
      </c>
      <c r="LD19" s="3">
        <f ca="1">IFERROR(__xludf.DUMMYFUNCTION("""COMPUTED_VALUE"""),-0.780699966336624)</f>
        <v>-0.78069996633662397</v>
      </c>
      <c r="LE19" s="3">
        <f ca="1">IFERROR(__xludf.DUMMYFUNCTION("""COMPUTED_VALUE"""),-0.774681481585571)</f>
        <v>-0.77468148158557104</v>
      </c>
      <c r="LF19" s="3">
        <f ca="1">IFERROR(__xludf.DUMMYFUNCTION("""COMPUTED_VALUE"""),-0.757971937155392)</f>
        <v>-0.75797193715539202</v>
      </c>
      <c r="LG19" s="3">
        <f ca="1">IFERROR(__xludf.DUMMYFUNCTION("""COMPUTED_VALUE"""),-0.712235629815459)</f>
        <v>-0.71223562981545896</v>
      </c>
      <c r="LH19" s="3">
        <f ca="1">IFERROR(__xludf.DUMMYFUNCTION("""COMPUTED_VALUE"""),-0.666167878622365)</f>
        <v>-0.66616787862236504</v>
      </c>
      <c r="LI19" s="3">
        <f ca="1">IFERROR(__xludf.DUMMYFUNCTION("""COMPUTED_VALUE"""),-0.752651347494628)</f>
        <v>-0.75265134749462803</v>
      </c>
      <c r="LJ19" s="3">
        <f ca="1">IFERROR(__xludf.DUMMYFUNCTION("""COMPUTED_VALUE"""),-0.777722243696745)</f>
        <v>-0.77772224369674503</v>
      </c>
      <c r="LK19" s="3">
        <f ca="1">IFERROR(__xludf.DUMMYFUNCTION("""COMPUTED_VALUE"""),-0.768785915670837)</f>
        <v>-0.76878591567083698</v>
      </c>
      <c r="LL19" s="3">
        <f ca="1">IFERROR(__xludf.DUMMYFUNCTION("""COMPUTED_VALUE"""),-0.755664586469505)</f>
        <v>-0.75566458646950496</v>
      </c>
      <c r="LM19" s="3">
        <f ca="1">IFERROR(__xludf.DUMMYFUNCTION("""COMPUTED_VALUE"""),-0.729353954412676)</f>
        <v>-0.72935395441267603</v>
      </c>
      <c r="LN19" s="3">
        <f ca="1">IFERROR(__xludf.DUMMYFUNCTION("""COMPUTED_VALUE"""),-0.661029241485238)</f>
        <v>-0.66102924148523801</v>
      </c>
      <c r="LO19" s="3">
        <f ca="1">IFERROR(__xludf.DUMMYFUNCTION("""COMPUTED_VALUE"""),-0.71140371612732)</f>
        <v>-0.71140371612732001</v>
      </c>
      <c r="LP19" s="3">
        <f ca="1">IFERROR(__xludf.DUMMYFUNCTION("""COMPUTED_VALUE"""),-0.765858586865926)</f>
        <v>-0.76585858686592601</v>
      </c>
      <c r="LQ19" s="3">
        <f ca="1">IFERROR(__xludf.DUMMYFUNCTION("""COMPUTED_VALUE"""),-0.774291699697218)</f>
        <v>-0.77429169969721801</v>
      </c>
      <c r="LR19" s="3">
        <f ca="1">IFERROR(__xludf.DUMMYFUNCTION("""COMPUTED_VALUE"""),-0.782006915205638)</f>
        <v>-0.78200691520563803</v>
      </c>
      <c r="LS19" s="3">
        <f ca="1">IFERROR(__xludf.DUMMYFUNCTION("""COMPUTED_VALUE"""),-0.785021403005939)</f>
        <v>-0.78502140300593903</v>
      </c>
      <c r="LT19" s="3">
        <f ca="1">IFERROR(__xludf.DUMMYFUNCTION("""COMPUTED_VALUE"""),-0.742951502230667)</f>
        <v>-0.74295150223066697</v>
      </c>
      <c r="LU19" s="3">
        <f ca="1">IFERROR(__xludf.DUMMYFUNCTION("""COMPUTED_VALUE"""),-0.736148117726192)</f>
        <v>-0.73614811772619204</v>
      </c>
      <c r="LV19" s="3">
        <f ca="1">IFERROR(__xludf.DUMMYFUNCTION("""COMPUTED_VALUE"""),-0.742889509969101)</f>
        <v>-0.74288950996910097</v>
      </c>
      <c r="LW19" s="3">
        <f ca="1">IFERROR(__xludf.DUMMYFUNCTION("""COMPUTED_VALUE"""),-0.780335380695369)</f>
        <v>-0.78033538069536901</v>
      </c>
      <c r="LX19" s="3">
        <f ca="1">IFERROR(__xludf.DUMMYFUNCTION("""COMPUTED_VALUE"""),-0.816009627998055)</f>
        <v>-0.81600962799805499</v>
      </c>
      <c r="LY19" s="3">
        <f ca="1">IFERROR(__xludf.DUMMYFUNCTION("""COMPUTED_VALUE"""),-0.798230586313452)</f>
        <v>-0.79823058631345201</v>
      </c>
      <c r="LZ19" s="3">
        <f ca="1">IFERROR(__xludf.DUMMYFUNCTION("""COMPUTED_VALUE"""),-0.800728527499564)</f>
        <v>-0.80072852749956402</v>
      </c>
      <c r="MA19" s="3">
        <f ca="1">IFERROR(__xludf.DUMMYFUNCTION("""COMPUTED_VALUE"""),-0.796450841507657)</f>
        <v>-0.79645084150765699</v>
      </c>
      <c r="MB19" s="3">
        <f ca="1">IFERROR(__xludf.DUMMYFUNCTION("""COMPUTED_VALUE"""),-0.738451496952118)</f>
        <v>-0.73845149695211798</v>
      </c>
      <c r="MC19" s="3">
        <f ca="1">IFERROR(__xludf.DUMMYFUNCTION("""COMPUTED_VALUE"""),-0.755645211917152)</f>
        <v>-0.75564521191715195</v>
      </c>
      <c r="MD19" s="3">
        <f ca="1">IFERROR(__xludf.DUMMYFUNCTION("""COMPUTED_VALUE"""),-0.798728467079633)</f>
        <v>-0.79872846707963296</v>
      </c>
      <c r="ME19" s="3">
        <f ca="1">IFERROR(__xludf.DUMMYFUNCTION("""COMPUTED_VALUE"""),-0.809536864930076)</f>
        <v>-0.80953686493007604</v>
      </c>
      <c r="MF19" s="3">
        <f ca="1">IFERROR(__xludf.DUMMYFUNCTION("""COMPUTED_VALUE"""),-0.817142884048672)</f>
        <v>-0.81714288404867197</v>
      </c>
      <c r="MG19" s="3">
        <f ca="1">IFERROR(__xludf.DUMMYFUNCTION("""COMPUTED_VALUE"""),-0.826138936151692)</f>
        <v>-0.82613893615169198</v>
      </c>
      <c r="MH19" s="3">
        <f ca="1">IFERROR(__xludf.DUMMYFUNCTION("""COMPUTED_VALUE"""),-0.7982076845298)</f>
        <v>-0.79820768452979995</v>
      </c>
      <c r="MI19" s="3">
        <f ca="1">IFERROR(__xludf.DUMMYFUNCTION("""COMPUTED_VALUE"""),-0.723687915498095)</f>
        <v>-0.72368791549809497</v>
      </c>
      <c r="MJ19" s="3">
        <f ca="1">IFERROR(__xludf.DUMMYFUNCTION("""COMPUTED_VALUE"""),-0.728483678006879)</f>
        <v>-0.72848367800687897</v>
      </c>
      <c r="MK19" s="3">
        <f ca="1">IFERROR(__xludf.DUMMYFUNCTION("""COMPUTED_VALUE"""),-0.808229906027062)</f>
        <v>-0.80822990602706202</v>
      </c>
      <c r="ML19" s="3">
        <f ca="1">IFERROR(__xludf.DUMMYFUNCTION("""COMPUTED_VALUE"""),-0.828698367530612)</f>
        <v>-0.82869836753061199</v>
      </c>
      <c r="MM19" s="3">
        <f ca="1">IFERROR(__xludf.DUMMYFUNCTION("""COMPUTED_VALUE"""),-0.835827710174575)</f>
        <v>-0.83582771017457502</v>
      </c>
      <c r="MN19" s="3">
        <f ca="1">IFERROR(__xludf.DUMMYFUNCTION("""COMPUTED_VALUE"""),-0.824365539604682)</f>
        <v>-0.82436553960468195</v>
      </c>
      <c r="MO19" s="3">
        <f ca="1">IFERROR(__xludf.DUMMYFUNCTION("""COMPUTED_VALUE"""),-0.824580912980508)</f>
        <v>-0.82458091298050795</v>
      </c>
      <c r="MP19" s="3">
        <f ca="1">IFERROR(__xludf.DUMMYFUNCTION("""COMPUTED_VALUE"""),-0.745543377660875)</f>
        <v>-0.74554337766087497</v>
      </c>
      <c r="MQ19" s="3">
        <f ca="1">IFERROR(__xludf.DUMMYFUNCTION("""COMPUTED_VALUE"""),-0.779673940423286)</f>
        <v>-0.77967394042328597</v>
      </c>
      <c r="MR19" s="3">
        <f ca="1">IFERROR(__xludf.DUMMYFUNCTION("""COMPUTED_VALUE"""),-0.817694366721842)</f>
        <v>-0.81769436672184204</v>
      </c>
      <c r="MS19" s="3">
        <f ca="1">IFERROR(__xludf.DUMMYFUNCTION("""COMPUTED_VALUE"""),-0.825084077819335)</f>
        <v>-0.82508407781933502</v>
      </c>
      <c r="MT19" s="3">
        <f ca="1">IFERROR(__xludf.DUMMYFUNCTION("""COMPUTED_VALUE"""),-0.830999715338039)</f>
        <v>-0.83099971533803896</v>
      </c>
      <c r="MU19" s="3">
        <f ca="1">IFERROR(__xludf.DUMMYFUNCTION("""COMPUTED_VALUE"""),-0.818249940705148)</f>
        <v>-0.818249940705148</v>
      </c>
      <c r="MV19" s="3">
        <f ca="1">IFERROR(__xludf.DUMMYFUNCTION("""COMPUTED_VALUE"""),-0.803496378753608)</f>
        <v>-0.80349637875360802</v>
      </c>
      <c r="MW19" s="3">
        <f ca="1">IFERROR(__xludf.DUMMYFUNCTION("""COMPUTED_VALUE"""),-0.744024001890576)</f>
        <v>-0.74402400189057605</v>
      </c>
      <c r="MX19" s="3">
        <f ca="1">IFERROR(__xludf.DUMMYFUNCTION("""COMPUTED_VALUE"""),-0.762710377680064)</f>
        <v>-0.762710377680064</v>
      </c>
      <c r="MY19" s="3">
        <f ca="1">IFERROR(__xludf.DUMMYFUNCTION("""COMPUTED_VALUE"""),-0.818335728914105)</f>
        <v>-0.818335728914105</v>
      </c>
      <c r="MZ19" s="3">
        <f ca="1">IFERROR(__xludf.DUMMYFUNCTION("""COMPUTED_VALUE"""),-0.826811263569958)</f>
        <v>-0.82681126356995804</v>
      </c>
      <c r="NA19" s="3">
        <f ca="1">IFERROR(__xludf.DUMMYFUNCTION("""COMPUTED_VALUE"""),-0.820317445077044)</f>
        <v>-0.82031744507704396</v>
      </c>
      <c r="NB19" s="3">
        <f ca="1">IFERROR(__xludf.DUMMYFUNCTION("""COMPUTED_VALUE"""),-0.819288832292312)</f>
        <v>-0.81928883229231197</v>
      </c>
      <c r="NC19" s="3">
        <f ca="1">IFERROR(__xludf.DUMMYFUNCTION("""COMPUTED_VALUE"""),-0.822421780400721)</f>
        <v>-0.822421780400721</v>
      </c>
      <c r="ND19" s="3">
        <f ca="1">IFERROR(__xludf.DUMMYFUNCTION("""COMPUTED_VALUE"""),-0.763998516277896)</f>
        <v>-0.76399851627789594</v>
      </c>
      <c r="NE19" s="3">
        <f ca="1">IFERROR(__xludf.DUMMYFUNCTION("""COMPUTED_VALUE"""),-0.783469802429951)</f>
        <v>-0.78346980242995101</v>
      </c>
      <c r="NF19" s="3">
        <f ca="1">IFERROR(__xludf.DUMMYFUNCTION("""COMPUTED_VALUE"""),-0.812015391264796)</f>
        <v>-0.81201539126479605</v>
      </c>
      <c r="NG19" s="3">
        <f ca="1">IFERROR(__xludf.DUMMYFUNCTION("""COMPUTED_VALUE"""),-0.833319731123744)</f>
        <v>-0.83331973112374402</v>
      </c>
      <c r="NH19" s="3">
        <f ca="1">IFERROR(__xludf.DUMMYFUNCTION("""COMPUTED_VALUE"""),-0.832741877379541)</f>
        <v>-0.83274187737954097</v>
      </c>
      <c r="NI19" s="3">
        <f ca="1">IFERROR(__xludf.DUMMYFUNCTION("""COMPUTED_VALUE"""),-0.818504312803273)</f>
        <v>-0.81850431280327296</v>
      </c>
      <c r="NJ19" s="3">
        <f ca="1">IFERROR(__xludf.DUMMYFUNCTION("""COMPUTED_VALUE"""),-0.824367508658792)</f>
        <v>-0.82436750865879205</v>
      </c>
      <c r="NK19" s="3">
        <f ca="1">IFERROR(__xludf.DUMMYFUNCTION("""COMPUTED_VALUE"""),-0.745284726318777)</f>
        <v>-0.74528472631877696</v>
      </c>
      <c r="NL19" s="3">
        <f ca="1">IFERROR(__xludf.DUMMYFUNCTION("""COMPUTED_VALUE"""),-0.779285862615075)</f>
        <v>-0.77928586261507504</v>
      </c>
      <c r="NM19" s="3">
        <f ca="1">IFERROR(__xludf.DUMMYFUNCTION("""COMPUTED_VALUE"""),-0.809525796491774)</f>
        <v>-0.80952579649177403</v>
      </c>
      <c r="NN19" s="3">
        <f ca="1">IFERROR(__xludf.DUMMYFUNCTION("""COMPUTED_VALUE"""),-0.82902396039307)</f>
        <v>-0.82902396039307003</v>
      </c>
      <c r="NO19" s="3">
        <f ca="1">IFERROR(__xludf.DUMMYFUNCTION("""COMPUTED_VALUE"""),-0.824884788837424)</f>
        <v>-0.824884788837424</v>
      </c>
      <c r="NP19" s="3">
        <f ca="1">IFERROR(__xludf.DUMMYFUNCTION("""COMPUTED_VALUE"""),-0.828679053864857)</f>
        <v>-0.82867905386485696</v>
      </c>
      <c r="NQ19" s="3">
        <f ca="1">IFERROR(__xludf.DUMMYFUNCTION("""COMPUTED_VALUE"""),-0.823005020792279)</f>
        <v>-0.823005020792279</v>
      </c>
      <c r="NR19" s="3">
        <f ca="1">IFERROR(__xludf.DUMMYFUNCTION("""COMPUTED_VALUE"""),-0.741968114293122)</f>
        <v>-0.74196811429312204</v>
      </c>
      <c r="NS19" s="3">
        <f ca="1">IFERROR(__xludf.DUMMYFUNCTION("""COMPUTED_VALUE"""),-0.781545624616178)</f>
        <v>-0.78154562461617805</v>
      </c>
      <c r="NT19" s="3">
        <f ca="1">IFERROR(__xludf.DUMMYFUNCTION("""COMPUTED_VALUE"""),-0.806132964429542)</f>
        <v>-0.80613296442954196</v>
      </c>
      <c r="NU19" s="3">
        <f ca="1">IFERROR(__xludf.DUMMYFUNCTION("""COMPUTED_VALUE"""),-0.81213323770248)</f>
        <v>-0.81213323770248003</v>
      </c>
      <c r="NV19" s="3">
        <f ca="1">IFERROR(__xludf.DUMMYFUNCTION("""COMPUTED_VALUE"""),-0.809296891532744)</f>
        <v>-0.80929689153274398</v>
      </c>
      <c r="NW19" s="3">
        <f ca="1">IFERROR(__xludf.DUMMYFUNCTION("""COMPUTED_VALUE"""),-0.789940735077787)</f>
        <v>-0.78994073507778695</v>
      </c>
      <c r="NX19" s="3">
        <f ca="1">IFERROR(__xludf.DUMMYFUNCTION("""COMPUTED_VALUE"""),-0.811818003384049)</f>
        <v>-0.81181800338404897</v>
      </c>
      <c r="NY19" s="3">
        <f ca="1">IFERROR(__xludf.DUMMYFUNCTION("""COMPUTED_VALUE"""),-0.739200684683669)</f>
        <v>-0.73920068468366895</v>
      </c>
      <c r="NZ19" s="3">
        <f ca="1">IFERROR(__xludf.DUMMYFUNCTION("""COMPUTED_VALUE"""),-0.736805133327836)</f>
        <v>-0.73680513332783604</v>
      </c>
      <c r="OA19" s="3">
        <f ca="1">IFERROR(__xludf.DUMMYFUNCTION("""COMPUTED_VALUE"""),-0.736950386066566)</f>
        <v>-0.73695038606656604</v>
      </c>
      <c r="OB19" s="3">
        <f ca="1">IFERROR(__xludf.DUMMYFUNCTION("""COMPUTED_VALUE"""),-0.73734794706689)</f>
        <v>-0.73734794706689</v>
      </c>
      <c r="OC19" s="3">
        <f ca="1">IFERROR(__xludf.DUMMYFUNCTION("""COMPUTED_VALUE"""),-0.72614884819614)</f>
        <v>-0.72614884819614001</v>
      </c>
      <c r="OD19" s="3">
        <f ca="1">IFERROR(__xludf.DUMMYFUNCTION("""COMPUTED_VALUE"""),-0.674137301644612)</f>
        <v>-0.67413730164461205</v>
      </c>
      <c r="OE19" s="3">
        <f ca="1">IFERROR(__xludf.DUMMYFUNCTION("""COMPUTED_VALUE"""),-0.541209038577684)</f>
        <v>-0.54120903857768399</v>
      </c>
      <c r="OF19" s="3">
        <f ca="1">IFERROR(__xludf.DUMMYFUNCTION("""COMPUTED_VALUE"""),-0.372895365867228)</f>
        <v>-0.37289536586722799</v>
      </c>
      <c r="OG19" s="3">
        <f ca="1">IFERROR(__xludf.DUMMYFUNCTION("""COMPUTED_VALUE"""),-0.363136799876395)</f>
        <v>-0.36313679987639502</v>
      </c>
      <c r="OH19" s="3">
        <f ca="1">IFERROR(__xludf.DUMMYFUNCTION("""COMPUTED_VALUE"""),-0.276448846199217)</f>
        <v>-0.276448846199217</v>
      </c>
      <c r="OI19" s="3">
        <f ca="1">IFERROR(__xludf.DUMMYFUNCTION("""COMPUTED_VALUE"""),-0.199913559372923)</f>
        <v>-0.19991355937292299</v>
      </c>
      <c r="OJ19" s="3">
        <f ca="1">IFERROR(__xludf.DUMMYFUNCTION("""COMPUTED_VALUE"""),-0.126137501703926)</f>
        <v>-0.12613750170392601</v>
      </c>
      <c r="OK19" s="3">
        <f ca="1">IFERROR(__xludf.DUMMYFUNCTION("""COMPUTED_VALUE"""),-0.0787199680679217)</f>
        <v>-7.8719968067921697E-2</v>
      </c>
      <c r="OL19" s="3">
        <f ca="1">IFERROR(__xludf.DUMMYFUNCTION("""COMPUTED_VALUE"""),-0.0590715893499339)</f>
        <v>-5.9071589349933902E-2</v>
      </c>
      <c r="OM19" s="3">
        <f ca="1">IFERROR(__xludf.DUMMYFUNCTION("""COMPUTED_VALUE"""),-0.00875447364001713)</f>
        <v>-8.75447364001713E-3</v>
      </c>
      <c r="ON19" s="3">
        <f ca="1">IFERROR(__xludf.DUMMYFUNCTION("""COMPUTED_VALUE"""),-0.065376127565975)</f>
        <v>-6.5376127565974995E-2</v>
      </c>
      <c r="OO19" s="3">
        <f ca="1">IFERROR(__xludf.DUMMYFUNCTION("""COMPUTED_VALUE"""),-0.0488586447029306)</f>
        <v>-4.8858644702930602E-2</v>
      </c>
      <c r="OP19" s="3">
        <f ca="1">IFERROR(__xludf.DUMMYFUNCTION("""COMPUTED_VALUE"""),-0.0630796154318253)</f>
        <v>-6.3079615431825303E-2</v>
      </c>
      <c r="OQ19" s="3">
        <f ca="1">IFERROR(__xludf.DUMMYFUNCTION("""COMPUTED_VALUE"""),-0.0728931430448853)</f>
        <v>-7.2893143044885297E-2</v>
      </c>
      <c r="OR19" s="3">
        <f ca="1">IFERROR(__xludf.DUMMYFUNCTION("""COMPUTED_VALUE"""),-0.0489512100513725)</f>
        <v>-4.8951210051372498E-2</v>
      </c>
      <c r="OS19" s="3">
        <f ca="1">IFERROR(__xludf.DUMMYFUNCTION("""COMPUTED_VALUE"""),-0.0606908088086025)</f>
        <v>-6.0690808808602503E-2</v>
      </c>
      <c r="OT19" s="3">
        <f ca="1">IFERROR(__xludf.DUMMYFUNCTION("""COMPUTED_VALUE"""),0.0213182903743056)</f>
        <v>2.1318290374305601E-2</v>
      </c>
      <c r="OU19" s="3">
        <f ca="1">IFERROR(__xludf.DUMMYFUNCTION("""COMPUTED_VALUE"""),0.0643032167501498)</f>
        <v>6.43032167501498E-2</v>
      </c>
      <c r="OV19" s="3">
        <f ca="1">IFERROR(__xludf.DUMMYFUNCTION("""COMPUTED_VALUE"""),0.0141209282951493)</f>
        <v>1.41209282951493E-2</v>
      </c>
      <c r="OW19" s="3">
        <f ca="1">IFERROR(__xludf.DUMMYFUNCTION("""COMPUTED_VALUE"""),-0.00995588544478454)</f>
        <v>-9.9558854447845402E-3</v>
      </c>
      <c r="OX19" s="3">
        <f ca="1">IFERROR(__xludf.DUMMYFUNCTION("""COMPUTED_VALUE"""),-0.035504633127824)</f>
        <v>-3.5504633127824002E-2</v>
      </c>
      <c r="OY19" s="3">
        <f ca="1">IFERROR(__xludf.DUMMYFUNCTION("""COMPUTED_VALUE"""),-0.0194296183929362)</f>
        <v>-1.94296183929362E-2</v>
      </c>
      <c r="OZ19" s="3">
        <f ca="1">IFERROR(__xludf.DUMMYFUNCTION("""COMPUTED_VALUE"""),0.021716011573363)</f>
        <v>2.1716011573363E-2</v>
      </c>
      <c r="PA19" s="3">
        <f ca="1">IFERROR(__xludf.DUMMYFUNCTION("""COMPUTED_VALUE"""),0.0288790309469684)</f>
        <v>2.88790309469684E-2</v>
      </c>
      <c r="PB19" s="3">
        <f ca="1">IFERROR(__xludf.DUMMYFUNCTION("""COMPUTED_VALUE"""),0.0543587621077401)</f>
        <v>5.43587621077401E-2</v>
      </c>
      <c r="PC19" s="3">
        <f ca="1">IFERROR(__xludf.DUMMYFUNCTION("""COMPUTED_VALUE"""),0.0160581930925229)</f>
        <v>1.6058193092522901E-2</v>
      </c>
      <c r="PD19" s="3">
        <f ca="1">IFERROR(__xludf.DUMMYFUNCTION("""COMPUTED_VALUE"""),-0.0288090060188639)</f>
        <v>-2.8809006018863902E-2</v>
      </c>
      <c r="PE19" s="3">
        <f ca="1">IFERROR(__xludf.DUMMYFUNCTION("""COMPUTED_VALUE"""),-0.0225005496613066)</f>
        <v>-2.2500549661306601E-2</v>
      </c>
      <c r="PF19" s="3">
        <f ca="1">IFERROR(__xludf.DUMMYFUNCTION("""COMPUTED_VALUE"""),-0.00328523956033932)</f>
        <v>-3.2852395603393202E-3</v>
      </c>
      <c r="PG19" s="3">
        <f ca="1">IFERROR(__xludf.DUMMYFUNCTION("""COMPUTED_VALUE"""),-0.151819740758558)</f>
        <v>-0.151819740758558</v>
      </c>
      <c r="PH19" s="3">
        <f ca="1">IFERROR(__xludf.DUMMYFUNCTION("""COMPUTED_VALUE"""),0.0478362324892007)</f>
        <v>4.78362324892007E-2</v>
      </c>
      <c r="PI19" s="3">
        <f ca="1">IFERROR(__xludf.DUMMYFUNCTION("""COMPUTED_VALUE"""),0.0200612182954522)</f>
        <v>2.00612182954522E-2</v>
      </c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</row>
    <row r="20" spans="1:477" ht="15.75" customHeight="1">
      <c r="A20" s="1" t="str">
        <f ca="1">IFERROR(__xludf.DUMMYFUNCTION("""COMPUTED_VALUE"""),"SORTA - Metro")</f>
        <v>SORTA - Metro</v>
      </c>
      <c r="B20" s="1" t="str">
        <f ca="1">IFERROR(__xludf.DUMMYFUNCTION("""COMPUTED_VALUE"""),"Cincinnati")</f>
        <v>Cincinnati</v>
      </c>
      <c r="C20" s="1" t="str">
        <f ca="1">IFERROR(__xludf.DUMMYFUNCTION("""COMPUTED_VALUE"""),"United States")</f>
        <v>United States</v>
      </c>
      <c r="D20" s="1" t="str">
        <f ca="1">IFERROR(__xludf.DUMMYFUNCTION("""COMPUTED_VALUE"""),"Ohio")</f>
        <v>Ohio</v>
      </c>
      <c r="E20" s="3">
        <f ca="1">IFERROR(__xludf.DUMMYFUNCTION("""COMPUTED_VALUE"""),-0.164430136449196)</f>
        <v>-0.16443013644919599</v>
      </c>
      <c r="F20" s="3">
        <f ca="1">IFERROR(__xludf.DUMMYFUNCTION("""COMPUTED_VALUE"""),-0.114462293664728)</f>
        <v>-0.114462293664728</v>
      </c>
      <c r="G20" s="3">
        <f ca="1">IFERROR(__xludf.DUMMYFUNCTION("""COMPUTED_VALUE"""),-0.266900863052791)</f>
        <v>-0.26690086305279098</v>
      </c>
      <c r="H20" s="3">
        <f ca="1">IFERROR(__xludf.DUMMYFUNCTION("""COMPUTED_VALUE"""),-0.154710260156967)</f>
        <v>-0.15471026015696701</v>
      </c>
      <c r="I20" s="3">
        <f ca="1">IFERROR(__xludf.DUMMYFUNCTION("""COMPUTED_VALUE"""),-0.182531683104155)</f>
        <v>-0.18253168310415499</v>
      </c>
      <c r="J20" s="3">
        <f ca="1">IFERROR(__xludf.DUMMYFUNCTION("""COMPUTED_VALUE"""),-0.321198926023457)</f>
        <v>-0.32119892602345701</v>
      </c>
      <c r="K20" s="3">
        <f ca="1">IFERROR(__xludf.DUMMYFUNCTION("""COMPUTED_VALUE"""),-0.117016552331743)</f>
        <v>-0.117016552331743</v>
      </c>
      <c r="L20" s="3">
        <f ca="1">IFERROR(__xludf.DUMMYFUNCTION("""COMPUTED_VALUE"""),-0.123167795002368)</f>
        <v>-0.12316779500236801</v>
      </c>
      <c r="M20" s="3">
        <f ca="1">IFERROR(__xludf.DUMMYFUNCTION("""COMPUTED_VALUE"""),-0.164273617534311)</f>
        <v>-0.164273617534311</v>
      </c>
      <c r="N20" s="3">
        <f ca="1">IFERROR(__xludf.DUMMYFUNCTION("""COMPUTED_VALUE"""),-0.198562965039133)</f>
        <v>-0.19856296503913301</v>
      </c>
      <c r="O20" s="3">
        <f ca="1">IFERROR(__xludf.DUMMYFUNCTION("""COMPUTED_VALUE"""),-0.206766591936633)</f>
        <v>-0.20676659193663299</v>
      </c>
      <c r="P20" s="3">
        <f ca="1">IFERROR(__xludf.DUMMYFUNCTION("""COMPUTED_VALUE"""),-0.361034209016)</f>
        <v>-0.36103420901599997</v>
      </c>
      <c r="Q20" s="3">
        <f ca="1">IFERROR(__xludf.DUMMYFUNCTION("""COMPUTED_VALUE"""),-0.365038107197178)</f>
        <v>-0.365038107197178</v>
      </c>
      <c r="R20" s="3">
        <f ca="1">IFERROR(__xludf.DUMMYFUNCTION("""COMPUTED_VALUE"""),-0.170599269197505)</f>
        <v>-0.17059926919750501</v>
      </c>
      <c r="S20" s="3">
        <f ca="1">IFERROR(__xludf.DUMMYFUNCTION("""COMPUTED_VALUE"""),-0.0776877337819456)</f>
        <v>-7.76877337819456E-2</v>
      </c>
      <c r="T20" s="3">
        <f ca="1">IFERROR(__xludf.DUMMYFUNCTION("""COMPUTED_VALUE"""),-0.289972510305255)</f>
        <v>-0.289972510305255</v>
      </c>
      <c r="U20" s="3">
        <f ca="1">IFERROR(__xludf.DUMMYFUNCTION("""COMPUTED_VALUE"""),-0.446844930950254)</f>
        <v>-0.44684493095025402</v>
      </c>
      <c r="V20" s="3">
        <f ca="1">IFERROR(__xludf.DUMMYFUNCTION("""COMPUTED_VALUE"""),-0.354604272014619)</f>
        <v>-0.35460427201461903</v>
      </c>
      <c r="W20" s="3">
        <f ca="1">IFERROR(__xludf.DUMMYFUNCTION("""COMPUTED_VALUE"""),-0.346765669723785)</f>
        <v>-0.34676566972378497</v>
      </c>
      <c r="X20" s="3">
        <f ca="1">IFERROR(__xludf.DUMMYFUNCTION("""COMPUTED_VALUE"""),-0.332632959203333)</f>
        <v>-0.33263295920333302</v>
      </c>
      <c r="Y20" s="3">
        <f ca="1">IFERROR(__xludf.DUMMYFUNCTION("""COMPUTED_VALUE"""),-0.0389026221993665)</f>
        <v>-3.89026221993665E-2</v>
      </c>
      <c r="Z20" s="3">
        <f ca="1">IFERROR(__xludf.DUMMYFUNCTION("""COMPUTED_VALUE"""),-0.0930116949394206)</f>
        <v>-9.3011694939420603E-2</v>
      </c>
      <c r="AA20" s="3">
        <f ca="1">IFERROR(__xludf.DUMMYFUNCTION("""COMPUTED_VALUE"""),-0.17449516503472)</f>
        <v>-0.17449516503472001</v>
      </c>
      <c r="AB20" s="3">
        <f ca="1">IFERROR(__xludf.DUMMYFUNCTION("""COMPUTED_VALUE"""),-0.321477304295019)</f>
        <v>-0.32147730429501897</v>
      </c>
      <c r="AC20" s="3">
        <f ca="1">IFERROR(__xludf.DUMMYFUNCTION("""COMPUTED_VALUE"""),-0.247051085318499)</f>
        <v>-0.24705108531849901</v>
      </c>
      <c r="AD20" s="3">
        <f ca="1">IFERROR(__xludf.DUMMYFUNCTION("""COMPUTED_VALUE"""),-0.277037349635241)</f>
        <v>-0.27703734963524101</v>
      </c>
      <c r="AE20" s="3">
        <f ca="1">IFERROR(__xludf.DUMMYFUNCTION("""COMPUTED_VALUE"""),-0.412551775224365)</f>
        <v>-0.41255177522436498</v>
      </c>
      <c r="AF20" s="3">
        <f ca="1">IFERROR(__xludf.DUMMYFUNCTION("""COMPUTED_VALUE"""),-0.173561329942306)</f>
        <v>-0.173561329942306</v>
      </c>
      <c r="AG20" s="3">
        <f ca="1">IFERROR(__xludf.DUMMYFUNCTION("""COMPUTED_VALUE"""),-0.150570347484454)</f>
        <v>-0.150570347484454</v>
      </c>
      <c r="AH20" s="3">
        <f ca="1">IFERROR(__xludf.DUMMYFUNCTION("""COMPUTED_VALUE"""),-0.301560238876819)</f>
        <v>-0.30156023887681899</v>
      </c>
      <c r="AI20" s="3">
        <f ca="1">IFERROR(__xludf.DUMMYFUNCTION("""COMPUTED_VALUE"""),-0.38780266809211)</f>
        <v>-0.38780266809211</v>
      </c>
      <c r="AJ20" s="3">
        <f ca="1">IFERROR(__xludf.DUMMYFUNCTION("""COMPUTED_VALUE"""),-0.351780194940443)</f>
        <v>-0.35178019494044299</v>
      </c>
      <c r="AK20" s="3">
        <f ca="1">IFERROR(__xludf.DUMMYFUNCTION("""COMPUTED_VALUE"""),-0.317695597276427)</f>
        <v>-0.31769559727642699</v>
      </c>
      <c r="AL20" s="3">
        <f ca="1">IFERROR(__xludf.DUMMYFUNCTION("""COMPUTED_VALUE"""),-0.390814072696996)</f>
        <v>-0.39081407269699597</v>
      </c>
      <c r="AM20" s="3">
        <f ca="1">IFERROR(__xludf.DUMMYFUNCTION("""COMPUTED_VALUE"""),-0.152265631808237)</f>
        <v>-0.15226563180823699</v>
      </c>
      <c r="AN20" s="3">
        <f ca="1">IFERROR(__xludf.DUMMYFUNCTION("""COMPUTED_VALUE"""),-0.104602584582453)</f>
        <v>-0.104602584582453</v>
      </c>
      <c r="AO20" s="3">
        <f ca="1">IFERROR(__xludf.DUMMYFUNCTION("""COMPUTED_VALUE"""),-0.389522136386965)</f>
        <v>-0.38952213638696498</v>
      </c>
      <c r="AP20" s="3">
        <f ca="1">IFERROR(__xludf.DUMMYFUNCTION("""COMPUTED_VALUE"""),-0.378860967420081)</f>
        <v>-0.37886096742008102</v>
      </c>
      <c r="AQ20" s="3">
        <f ca="1">IFERROR(__xludf.DUMMYFUNCTION("""COMPUTED_VALUE"""),-0.344915251377261)</f>
        <v>-0.34491525137726098</v>
      </c>
      <c r="AR20" s="3">
        <f ca="1">IFERROR(__xludf.DUMMYFUNCTION("""COMPUTED_VALUE"""),-0.356435219408465)</f>
        <v>-0.35643521940846501</v>
      </c>
      <c r="AS20" s="3">
        <f ca="1">IFERROR(__xludf.DUMMYFUNCTION("""COMPUTED_VALUE"""),-0.371453134711762)</f>
        <v>-0.371453134711762</v>
      </c>
      <c r="AT20" s="3">
        <f ca="1">IFERROR(__xludf.DUMMYFUNCTION("""COMPUTED_VALUE"""),-0.175721465801324)</f>
        <v>-0.175721465801324</v>
      </c>
      <c r="AU20" s="3">
        <f ca="1">IFERROR(__xludf.DUMMYFUNCTION("""COMPUTED_VALUE"""),-0.105912367443002)</f>
        <v>-0.105912367443002</v>
      </c>
      <c r="AV20" s="3">
        <f ca="1">IFERROR(__xludf.DUMMYFUNCTION("""COMPUTED_VALUE"""),-0.407490541442325)</f>
        <v>-0.40749054144232499</v>
      </c>
      <c r="AW20" s="3">
        <f ca="1">IFERROR(__xludf.DUMMYFUNCTION("""COMPUTED_VALUE"""),-0.409466446869655)</f>
        <v>-0.409466446869655</v>
      </c>
      <c r="AX20" s="3">
        <f ca="1">IFERROR(__xludf.DUMMYFUNCTION("""COMPUTED_VALUE"""),-0.382960059070765)</f>
        <v>-0.38296005907076502</v>
      </c>
      <c r="AY20" s="3">
        <f ca="1">IFERROR(__xludf.DUMMYFUNCTION("""COMPUTED_VALUE"""),-0.358818470252995)</f>
        <v>-0.35881847025299501</v>
      </c>
      <c r="AZ20" s="3">
        <f ca="1">IFERROR(__xludf.DUMMYFUNCTION("""COMPUTED_VALUE"""),-0.323146518058158)</f>
        <v>-0.32314651805815803</v>
      </c>
      <c r="BA20" s="3">
        <f ca="1">IFERROR(__xludf.DUMMYFUNCTION("""COMPUTED_VALUE"""),-0.156752413232231)</f>
        <v>-0.15675241323223099</v>
      </c>
      <c r="BB20" s="3">
        <f ca="1">IFERROR(__xludf.DUMMYFUNCTION("""COMPUTED_VALUE"""),-0.237107556109926)</f>
        <v>-0.23710755610992601</v>
      </c>
      <c r="BC20" s="3">
        <f ca="1">IFERROR(__xludf.DUMMYFUNCTION("""COMPUTED_VALUE"""),-0.438572620329825)</f>
        <v>-0.43857262032982502</v>
      </c>
      <c r="BD20" s="3">
        <f ca="1">IFERROR(__xludf.DUMMYFUNCTION("""COMPUTED_VALUE"""),-0.450182012328228)</f>
        <v>-0.45018201232822802</v>
      </c>
      <c r="BE20" s="3">
        <f ca="1">IFERROR(__xludf.DUMMYFUNCTION("""COMPUTED_VALUE"""),-0.43400014138218)</f>
        <v>-0.43400014138218002</v>
      </c>
      <c r="BF20" s="3">
        <f ca="1">IFERROR(__xludf.DUMMYFUNCTION("""COMPUTED_VALUE"""),-0.531384484379824)</f>
        <v>-0.531384484379824</v>
      </c>
      <c r="BG20" s="3">
        <f ca="1">IFERROR(__xludf.DUMMYFUNCTION("""COMPUTED_VALUE"""),-0.509839738126001)</f>
        <v>-0.50983973812600103</v>
      </c>
      <c r="BH20" s="3">
        <f ca="1">IFERROR(__xludf.DUMMYFUNCTION("""COMPUTED_VALUE"""),-0.113903198613135)</f>
        <v>-0.113903198613135</v>
      </c>
      <c r="BI20" s="3">
        <f ca="1">IFERROR(__xludf.DUMMYFUNCTION("""COMPUTED_VALUE"""),-0.237031221192166)</f>
        <v>-0.23703122119216599</v>
      </c>
      <c r="BJ20" s="3">
        <f ca="1">IFERROR(__xludf.DUMMYFUNCTION("""COMPUTED_VALUE"""),-0.448348223520312)</f>
        <v>-0.44834822352031201</v>
      </c>
      <c r="BK20" s="3">
        <f ca="1">IFERROR(__xludf.DUMMYFUNCTION("""COMPUTED_VALUE"""),-0.512441285305928)</f>
        <v>-0.51244128530592803</v>
      </c>
      <c r="BL20" s="3">
        <f ca="1">IFERROR(__xludf.DUMMYFUNCTION("""COMPUTED_VALUE"""),-0.396485725523854)</f>
        <v>-0.39648572552385403</v>
      </c>
      <c r="BM20" s="3">
        <f ca="1">IFERROR(__xludf.DUMMYFUNCTION("""COMPUTED_VALUE"""),-0.524514644534798)</f>
        <v>-0.52451464453479801</v>
      </c>
      <c r="BN20" s="3">
        <f ca="1">IFERROR(__xludf.DUMMYFUNCTION("""COMPUTED_VALUE"""),-0.387896865879418)</f>
        <v>-0.38789686587941802</v>
      </c>
      <c r="BO20" s="3">
        <f ca="1">IFERROR(__xludf.DUMMYFUNCTION("""COMPUTED_VALUE"""),-0.227162888207565)</f>
        <v>-0.227162888207565</v>
      </c>
      <c r="BP20" s="3">
        <f ca="1">IFERROR(__xludf.DUMMYFUNCTION("""COMPUTED_VALUE"""),-0.227757752397223)</f>
        <v>-0.22775775239722301</v>
      </c>
      <c r="BQ20" s="3">
        <f ca="1">IFERROR(__xludf.DUMMYFUNCTION("""COMPUTED_VALUE"""),-0.485098861923891)</f>
        <v>-0.48509886192389101</v>
      </c>
      <c r="BR20" s="3">
        <f ca="1">IFERROR(__xludf.DUMMYFUNCTION("""COMPUTED_VALUE"""),-0.490711121900837)</f>
        <v>-0.49071112190083699</v>
      </c>
      <c r="BS20" s="3">
        <f ca="1">IFERROR(__xludf.DUMMYFUNCTION("""COMPUTED_VALUE"""),-0.494106268925665)</f>
        <v>-0.494106268925665</v>
      </c>
      <c r="BT20" s="3">
        <f ca="1">IFERROR(__xludf.DUMMYFUNCTION("""COMPUTED_VALUE"""),-0.498779310865791)</f>
        <v>-0.49877931086579103</v>
      </c>
      <c r="BU20" s="3">
        <f ca="1">IFERROR(__xludf.DUMMYFUNCTION("""COMPUTED_VALUE"""),-0.486360397758984)</f>
        <v>-0.48636039775898399</v>
      </c>
      <c r="BV20" s="3">
        <f ca="1">IFERROR(__xludf.DUMMYFUNCTION("""COMPUTED_VALUE"""),-0.275944522732586)</f>
        <v>-0.27594452273258602</v>
      </c>
      <c r="BW20" s="3">
        <f ca="1">IFERROR(__xludf.DUMMYFUNCTION("""COMPUTED_VALUE"""),-0.184789471396888)</f>
        <v>-0.18478947139688801</v>
      </c>
      <c r="BX20" s="3">
        <f ca="1">IFERROR(__xludf.DUMMYFUNCTION("""COMPUTED_VALUE"""),-0.494201996851668)</f>
        <v>-0.49420199685166799</v>
      </c>
      <c r="BY20" s="3">
        <f ca="1">IFERROR(__xludf.DUMMYFUNCTION("""COMPUTED_VALUE"""),-0.532465209311842)</f>
        <v>-0.53246520931184205</v>
      </c>
      <c r="BZ20" s="3">
        <f ca="1">IFERROR(__xludf.DUMMYFUNCTION("""COMPUTED_VALUE"""),-0.482693372258725)</f>
        <v>-0.482693372258725</v>
      </c>
      <c r="CA20" s="3">
        <f ca="1">IFERROR(__xludf.DUMMYFUNCTION("""COMPUTED_VALUE"""),-0.526135401452572)</f>
        <v>-0.52613540145257198</v>
      </c>
      <c r="CB20" s="3">
        <f ca="1">IFERROR(__xludf.DUMMYFUNCTION("""COMPUTED_VALUE"""),-0.468047275659259)</f>
        <v>-0.46804727565925902</v>
      </c>
      <c r="CC20" s="3">
        <f ca="1">IFERROR(__xludf.DUMMYFUNCTION("""COMPUTED_VALUE"""),-0.316313823556026)</f>
        <v>-0.316313823556026</v>
      </c>
      <c r="CD20" s="3">
        <f ca="1">IFERROR(__xludf.DUMMYFUNCTION("""COMPUTED_VALUE"""),-0.298270125634905)</f>
        <v>-0.29827012563490501</v>
      </c>
      <c r="CE20" s="3">
        <f ca="1">IFERROR(__xludf.DUMMYFUNCTION("""COMPUTED_VALUE"""),-0.497736380725422)</f>
        <v>-0.49773638072542198</v>
      </c>
      <c r="CF20" s="3">
        <f ca="1">IFERROR(__xludf.DUMMYFUNCTION("""COMPUTED_VALUE"""),-0.532327835358599)</f>
        <v>-0.53232783535859896</v>
      </c>
      <c r="CG20" s="3">
        <f ca="1">IFERROR(__xludf.DUMMYFUNCTION("""COMPUTED_VALUE"""),-0.563347872620122)</f>
        <v>-0.56334787262012198</v>
      </c>
      <c r="CH20" s="3">
        <f ca="1">IFERROR(__xludf.DUMMYFUNCTION("""COMPUTED_VALUE"""),-0.548855593918461)</f>
        <v>-0.54885559391846095</v>
      </c>
      <c r="CI20" s="3">
        <f ca="1">IFERROR(__xludf.DUMMYFUNCTION("""COMPUTED_VALUE"""),-0.565744141958807)</f>
        <v>-0.56574414195880696</v>
      </c>
      <c r="CJ20" s="3">
        <f ca="1">IFERROR(__xludf.DUMMYFUNCTION("""COMPUTED_VALUE"""),-0.291414106842605)</f>
        <v>-0.29141410684260499</v>
      </c>
      <c r="CK20" s="3">
        <f ca="1">IFERROR(__xludf.DUMMYFUNCTION("""COMPUTED_VALUE"""),-0.295199494898786)</f>
        <v>-0.295199494898786</v>
      </c>
      <c r="CL20" s="3">
        <f ca="1">IFERROR(__xludf.DUMMYFUNCTION("""COMPUTED_VALUE"""),-0.506229510636155)</f>
        <v>-0.50622951063615496</v>
      </c>
      <c r="CM20" s="3">
        <f ca="1">IFERROR(__xludf.DUMMYFUNCTION("""COMPUTED_VALUE"""),-0.53052430932917)</f>
        <v>-0.53052430932917005</v>
      </c>
      <c r="CN20" s="3">
        <f ca="1">IFERROR(__xludf.DUMMYFUNCTION("""COMPUTED_VALUE"""),-0.537288403662293)</f>
        <v>-0.53728840366229302</v>
      </c>
      <c r="CO20" s="3">
        <f ca="1">IFERROR(__xludf.DUMMYFUNCTION("""COMPUTED_VALUE"""),-0.556143444692114)</f>
        <v>-0.55614344469211396</v>
      </c>
      <c r="CP20" s="3">
        <f ca="1">IFERROR(__xludf.DUMMYFUNCTION("""COMPUTED_VALUE"""),-0.484344836002556)</f>
        <v>-0.48434483600255601</v>
      </c>
      <c r="CQ20" s="3">
        <f ca="1">IFERROR(__xludf.DUMMYFUNCTION("""COMPUTED_VALUE"""),-0.314735174766477)</f>
        <v>-0.314735174766477</v>
      </c>
      <c r="CR20" s="3">
        <f ca="1">IFERROR(__xludf.DUMMYFUNCTION("""COMPUTED_VALUE"""),-0.275208375229994)</f>
        <v>-0.27520837522999397</v>
      </c>
      <c r="CS20" s="3">
        <f ca="1">IFERROR(__xludf.DUMMYFUNCTION("""COMPUTED_VALUE"""),-0.478270680451095)</f>
        <v>-0.478270680451095</v>
      </c>
      <c r="CT20" s="3">
        <f ca="1">IFERROR(__xludf.DUMMYFUNCTION("""COMPUTED_VALUE"""),-0.510741213448865)</f>
        <v>-0.51074121344886503</v>
      </c>
      <c r="CU20" s="3">
        <f ca="1">IFERROR(__xludf.DUMMYFUNCTION("""COMPUTED_VALUE"""),-0.459104747922833)</f>
        <v>-0.45910474792283301</v>
      </c>
      <c r="CV20" s="3">
        <f ca="1">IFERROR(__xludf.DUMMYFUNCTION("""COMPUTED_VALUE"""),-0.500111995786945)</f>
        <v>-0.50011199578694499</v>
      </c>
      <c r="CW20" s="3">
        <f ca="1">IFERROR(__xludf.DUMMYFUNCTION("""COMPUTED_VALUE"""),-0.495131053603628)</f>
        <v>-0.49513105360362802</v>
      </c>
      <c r="CX20" s="3">
        <f ca="1">IFERROR(__xludf.DUMMYFUNCTION("""COMPUTED_VALUE"""),-0.313667379403014)</f>
        <v>-0.31366737940301398</v>
      </c>
      <c r="CY20" s="3">
        <f ca="1">IFERROR(__xludf.DUMMYFUNCTION("""COMPUTED_VALUE"""),-0.312244265160621)</f>
        <v>-0.31224426516062098</v>
      </c>
      <c r="CZ20" s="3">
        <f ca="1">IFERROR(__xludf.DUMMYFUNCTION("""COMPUTED_VALUE"""),-0.620009592096873)</f>
        <v>-0.62000959209687301</v>
      </c>
      <c r="DA20" s="3">
        <f ca="1">IFERROR(__xludf.DUMMYFUNCTION("""COMPUTED_VALUE"""),-0.461127402058881)</f>
        <v>-0.46112740205888098</v>
      </c>
      <c r="DB20" s="3">
        <f ca="1">IFERROR(__xludf.DUMMYFUNCTION("""COMPUTED_VALUE"""),-0.264384447646203)</f>
        <v>-0.264384447646203</v>
      </c>
      <c r="DC20" s="3">
        <f ca="1">IFERROR(__xludf.DUMMYFUNCTION("""COMPUTED_VALUE"""),-0.402581411275089)</f>
        <v>-0.40258141127508901</v>
      </c>
      <c r="DD20" s="3">
        <f ca="1">IFERROR(__xludf.DUMMYFUNCTION("""COMPUTED_VALUE"""),-0.474879996964586)</f>
        <v>-0.47487999696458599</v>
      </c>
      <c r="DE20" s="3">
        <f ca="1">IFERROR(__xludf.DUMMYFUNCTION("""COMPUTED_VALUE"""),-0.293934475195314)</f>
        <v>-0.29393447519531402</v>
      </c>
      <c r="DF20" s="3">
        <f ca="1">IFERROR(__xludf.DUMMYFUNCTION("""COMPUTED_VALUE"""),-0.371040580259244)</f>
        <v>-0.37104058025924402</v>
      </c>
      <c r="DG20" s="3">
        <f ca="1">IFERROR(__xludf.DUMMYFUNCTION("""COMPUTED_VALUE"""),-0.795218574675285)</f>
        <v>-0.79521857467528501</v>
      </c>
      <c r="DH20" s="3">
        <f ca="1">IFERROR(__xludf.DUMMYFUNCTION("""COMPUTED_VALUE"""),-0.532748914325976)</f>
        <v>-0.53274891432597604</v>
      </c>
      <c r="DI20" s="3">
        <f ca="1">IFERROR(__xludf.DUMMYFUNCTION("""COMPUTED_VALUE"""),-0.180381315840316)</f>
        <v>-0.180381315840316</v>
      </c>
      <c r="DJ20" s="3">
        <f ca="1">IFERROR(__xludf.DUMMYFUNCTION("""COMPUTED_VALUE"""),-0.375489524286573)</f>
        <v>-0.37548952428657301</v>
      </c>
      <c r="DK20" s="3">
        <f ca="1">IFERROR(__xludf.DUMMYFUNCTION("""COMPUTED_VALUE"""),-0.400095234244234)</f>
        <v>-0.40009523424423399</v>
      </c>
      <c r="DL20" s="3">
        <f ca="1">IFERROR(__xludf.DUMMYFUNCTION("""COMPUTED_VALUE"""),-0.269942709222488)</f>
        <v>-0.26994270922248798</v>
      </c>
      <c r="DM20" s="3">
        <f ca="1">IFERROR(__xludf.DUMMYFUNCTION("""COMPUTED_VALUE"""),-0.299963357373553)</f>
        <v>-0.29996335737355301</v>
      </c>
      <c r="DN20" s="3">
        <f ca="1">IFERROR(__xludf.DUMMYFUNCTION("""COMPUTED_VALUE"""),-0.464722202733328)</f>
        <v>-0.46472220273332798</v>
      </c>
      <c r="DO20" s="3">
        <f ca="1">IFERROR(__xludf.DUMMYFUNCTION("""COMPUTED_VALUE"""),-0.501932092132205)</f>
        <v>-0.50193209213220502</v>
      </c>
      <c r="DP20" s="3">
        <f ca="1">IFERROR(__xludf.DUMMYFUNCTION("""COMPUTED_VALUE"""),-0.418586000859258)</f>
        <v>-0.41858600085925801</v>
      </c>
      <c r="DQ20" s="3">
        <f ca="1">IFERROR(__xludf.DUMMYFUNCTION("""COMPUTED_VALUE"""),-0.492272591012131)</f>
        <v>-0.492272591012131</v>
      </c>
      <c r="DR20" s="3">
        <f ca="1">IFERROR(__xludf.DUMMYFUNCTION("""COMPUTED_VALUE"""),-0.5052237515095)</f>
        <v>-0.50522375150950005</v>
      </c>
      <c r="DS20" s="3">
        <f ca="1">IFERROR(__xludf.DUMMYFUNCTION("""COMPUTED_VALUE"""),-0.335784651832185)</f>
        <v>-0.33578465183218498</v>
      </c>
      <c r="DT20" s="3">
        <f ca="1">IFERROR(__xludf.DUMMYFUNCTION("""COMPUTED_VALUE"""),-0.325034857315928)</f>
        <v>-0.32503485731592802</v>
      </c>
      <c r="DU20" s="3">
        <f ca="1">IFERROR(__xludf.DUMMYFUNCTION("""COMPUTED_VALUE"""),-0.526241063009662)</f>
        <v>-0.526241063009662</v>
      </c>
      <c r="DV20" s="3">
        <f ca="1">IFERROR(__xludf.DUMMYFUNCTION("""COMPUTED_VALUE"""),-0.536321233535879)</f>
        <v>-0.53632123353587902</v>
      </c>
      <c r="DW20" s="3">
        <f ca="1">IFERROR(__xludf.DUMMYFUNCTION("""COMPUTED_VALUE"""),-0.552594631499071)</f>
        <v>-0.55259463149907095</v>
      </c>
      <c r="DX20" s="3">
        <f ca="1">IFERROR(__xludf.DUMMYFUNCTION("""COMPUTED_VALUE"""),-0.573674026492876)</f>
        <v>-0.57367402649287602</v>
      </c>
      <c r="DY20" s="3">
        <f ca="1">IFERROR(__xludf.DUMMYFUNCTION("""COMPUTED_VALUE"""),-0.57121872925287)</f>
        <v>-0.57121872925286998</v>
      </c>
      <c r="DZ20" s="3">
        <f ca="1">IFERROR(__xludf.DUMMYFUNCTION("""COMPUTED_VALUE"""),-0.370366801571651)</f>
        <v>-0.37036680157165103</v>
      </c>
      <c r="EA20" s="3">
        <f ca="1">IFERROR(__xludf.DUMMYFUNCTION("""COMPUTED_VALUE"""),-0.33818945427746)</f>
        <v>-0.33818945427746</v>
      </c>
      <c r="EB20" s="3">
        <f ca="1">IFERROR(__xludf.DUMMYFUNCTION("""COMPUTED_VALUE"""),-0.453711582724853)</f>
        <v>-0.45371158272485301</v>
      </c>
      <c r="EC20" s="3">
        <f ca="1">IFERROR(__xludf.DUMMYFUNCTION("""COMPUTED_VALUE"""),-0.446819776343464)</f>
        <v>-0.44681977634346398</v>
      </c>
      <c r="ED20" s="3">
        <f ca="1">IFERROR(__xludf.DUMMYFUNCTION("""COMPUTED_VALUE"""),-0.538688539799849)</f>
        <v>-0.53868853979984899</v>
      </c>
      <c r="EE20" s="3">
        <f ca="1">IFERROR(__xludf.DUMMYFUNCTION("""COMPUTED_VALUE"""),-0.563206742010303)</f>
        <v>-0.56320674201030296</v>
      </c>
      <c r="EF20" s="3">
        <f ca="1">IFERROR(__xludf.DUMMYFUNCTION("""COMPUTED_VALUE"""),-0.604765086760419)</f>
        <v>-0.60476508676041896</v>
      </c>
      <c r="EG20" s="3">
        <f ca="1">IFERROR(__xludf.DUMMYFUNCTION("""COMPUTED_VALUE"""),-0.349360448159251)</f>
        <v>-0.34936044815925099</v>
      </c>
      <c r="EH20" s="3">
        <f ca="1">IFERROR(__xludf.DUMMYFUNCTION("""COMPUTED_VALUE"""),-0.344402410688295)</f>
        <v>-0.34440241068829502</v>
      </c>
      <c r="EI20" s="3">
        <f ca="1">IFERROR(__xludf.DUMMYFUNCTION("""COMPUTED_VALUE"""),-0.54198071055579)</f>
        <v>-0.54198071055579</v>
      </c>
      <c r="EJ20" s="3">
        <f ca="1">IFERROR(__xludf.DUMMYFUNCTION("""COMPUTED_VALUE"""),-0.732006831937262)</f>
        <v>-0.73200683193726201</v>
      </c>
      <c r="EK20" s="3">
        <f ca="1">IFERROR(__xludf.DUMMYFUNCTION("""COMPUTED_VALUE"""),-0.551602098918317)</f>
        <v>-0.55160209891831702</v>
      </c>
      <c r="EL20" s="3">
        <f ca="1">IFERROR(__xludf.DUMMYFUNCTION("""COMPUTED_VALUE"""),-0.53939046715165)</f>
        <v>-0.53939046715164995</v>
      </c>
      <c r="EM20" s="3">
        <f ca="1">IFERROR(__xludf.DUMMYFUNCTION("""COMPUTED_VALUE"""),-0.559975840426716)</f>
        <v>-0.559975840426716</v>
      </c>
      <c r="EN20" s="3">
        <f ca="1">IFERROR(__xludf.DUMMYFUNCTION("""COMPUTED_VALUE"""),-0.362290750692574)</f>
        <v>-0.36229075069257399</v>
      </c>
      <c r="EO20" s="3">
        <f ca="1">IFERROR(__xludf.DUMMYFUNCTION("""COMPUTED_VALUE"""),-0.308048147494637)</f>
        <v>-0.30804814749463699</v>
      </c>
      <c r="EP20" s="3">
        <f ca="1">IFERROR(__xludf.DUMMYFUNCTION("""COMPUTED_VALUE"""),-0.40526873837916)</f>
        <v>-0.40526873837916</v>
      </c>
      <c r="EQ20" s="3">
        <f ca="1">IFERROR(__xludf.DUMMYFUNCTION("""COMPUTED_VALUE"""),-0.373682012759343)</f>
        <v>-0.37368201275934299</v>
      </c>
      <c r="ER20" s="3">
        <f ca="1">IFERROR(__xludf.DUMMYFUNCTION("""COMPUTED_VALUE"""),-0.467307782333335)</f>
        <v>-0.46730778233333498</v>
      </c>
      <c r="ES20" s="3">
        <f ca="1">IFERROR(__xludf.DUMMYFUNCTION("""COMPUTED_VALUE"""),-0.517108025026663)</f>
        <v>-0.51710802502666298</v>
      </c>
      <c r="ET20" s="3">
        <f ca="1">IFERROR(__xludf.DUMMYFUNCTION("""COMPUTED_VALUE"""),-0.485943034649394)</f>
        <v>-0.48594303464939398</v>
      </c>
      <c r="EU20" s="3">
        <f ca="1">IFERROR(__xludf.DUMMYFUNCTION("""COMPUTED_VALUE"""),-0.375663140729385)</f>
        <v>-0.375663140729385</v>
      </c>
      <c r="EV20" s="3">
        <f ca="1">IFERROR(__xludf.DUMMYFUNCTION("""COMPUTED_VALUE"""),-0.311227256148582)</f>
        <v>-0.31122725614858199</v>
      </c>
      <c r="EW20" s="3">
        <f ca="1">IFERROR(__xludf.DUMMYFUNCTION("""COMPUTED_VALUE"""),-0.481938854110899)</f>
        <v>-0.48193885411089898</v>
      </c>
      <c r="EX20" s="3">
        <f ca="1">IFERROR(__xludf.DUMMYFUNCTION("""COMPUTED_VALUE"""),-0.501183466294584)</f>
        <v>-0.50118346629458399</v>
      </c>
      <c r="EY20" s="3">
        <f ca="1">IFERROR(__xludf.DUMMYFUNCTION("""COMPUTED_VALUE"""),-0.561829077815092)</f>
        <v>-0.56182907781509195</v>
      </c>
      <c r="EZ20" s="3">
        <f ca="1">IFERROR(__xludf.DUMMYFUNCTION("""COMPUTED_VALUE"""),-0.480006127757867)</f>
        <v>-0.480006127757867</v>
      </c>
      <c r="FA20" s="3">
        <f ca="1">IFERROR(__xludf.DUMMYFUNCTION("""COMPUTED_VALUE"""),-0.47407717097589)</f>
        <v>-0.47407717097589003</v>
      </c>
      <c r="FB20" s="3">
        <f ca="1">IFERROR(__xludf.DUMMYFUNCTION("""COMPUTED_VALUE"""),-0.304178886285482)</f>
        <v>-0.30417888628548201</v>
      </c>
      <c r="FC20" s="3">
        <f ca="1">IFERROR(__xludf.DUMMYFUNCTION("""COMPUTED_VALUE"""),-0.294536424860787)</f>
        <v>-0.29453642486078702</v>
      </c>
      <c r="FD20" s="3">
        <f ca="1">IFERROR(__xludf.DUMMYFUNCTION("""COMPUTED_VALUE"""),-0.46100558754936)</f>
        <v>-0.46100558754936</v>
      </c>
      <c r="FE20" s="3">
        <f ca="1">IFERROR(__xludf.DUMMYFUNCTION("""COMPUTED_VALUE"""),-0.490143879418611)</f>
        <v>-0.49014387941861098</v>
      </c>
      <c r="FF20" s="3">
        <f ca="1">IFERROR(__xludf.DUMMYFUNCTION("""COMPUTED_VALUE"""),-0.479935741365071)</f>
        <v>-0.479935741365071</v>
      </c>
      <c r="FG20" s="3">
        <f ca="1">IFERROR(__xludf.DUMMYFUNCTION("""COMPUTED_VALUE"""),-0.469088425083493)</f>
        <v>-0.46908842508349302</v>
      </c>
      <c r="FH20" s="3">
        <f ca="1">IFERROR(__xludf.DUMMYFUNCTION("""COMPUTED_VALUE"""),-0.480025634123843)</f>
        <v>-0.48002563412384303</v>
      </c>
      <c r="FI20" s="3">
        <f ca="1">IFERROR(__xludf.DUMMYFUNCTION("""COMPUTED_VALUE"""),-0.291070900948313)</f>
        <v>-0.291070900948313</v>
      </c>
      <c r="FJ20" s="3">
        <f ca="1">IFERROR(__xludf.DUMMYFUNCTION("""COMPUTED_VALUE"""),-0.265650723154719)</f>
        <v>-0.26565072315471899</v>
      </c>
      <c r="FK20" s="3">
        <f ca="1">IFERROR(__xludf.DUMMYFUNCTION("""COMPUTED_VALUE"""),-0.435506343449794)</f>
        <v>-0.435506343449794</v>
      </c>
      <c r="FL20" s="3">
        <f ca="1">IFERROR(__xludf.DUMMYFUNCTION("""COMPUTED_VALUE"""),-0.528996145127079)</f>
        <v>-0.52899614512707904</v>
      </c>
      <c r="FM20" s="3">
        <f ca="1">IFERROR(__xludf.DUMMYFUNCTION("""COMPUTED_VALUE"""),-0.484406532766853)</f>
        <v>-0.48440653276685303</v>
      </c>
      <c r="FN20" s="3">
        <f ca="1">IFERROR(__xludf.DUMMYFUNCTION("""COMPUTED_VALUE"""),-0.435055227234677)</f>
        <v>-0.43505522723467699</v>
      </c>
      <c r="FO20" s="3">
        <f ca="1">IFERROR(__xludf.DUMMYFUNCTION("""COMPUTED_VALUE"""),-0.441959344127384)</f>
        <v>-0.44195934412738402</v>
      </c>
      <c r="FP20" s="3">
        <f ca="1">IFERROR(__xludf.DUMMYFUNCTION("""COMPUTED_VALUE"""),-0.31042180858736)</f>
        <v>-0.31042180858736002</v>
      </c>
      <c r="FQ20" s="3">
        <f ca="1">IFERROR(__xludf.DUMMYFUNCTION("""COMPUTED_VALUE"""),-0.26395711621946)</f>
        <v>-0.26395711621946</v>
      </c>
      <c r="FR20" s="3">
        <f ca="1">IFERROR(__xludf.DUMMYFUNCTION("""COMPUTED_VALUE"""),-0.434484562010359)</f>
        <v>-0.43448456201035901</v>
      </c>
      <c r="FS20" s="3">
        <f ca="1">IFERROR(__xludf.DUMMYFUNCTION("""COMPUTED_VALUE"""),-0.403234835909076)</f>
        <v>-0.40323483590907599</v>
      </c>
      <c r="FT20" s="3">
        <f ca="1">IFERROR(__xludf.DUMMYFUNCTION("""COMPUTED_VALUE"""),-0.446901781820257)</f>
        <v>-0.44690178182025703</v>
      </c>
      <c r="FU20" s="3">
        <f ca="1">IFERROR(__xludf.DUMMYFUNCTION("""COMPUTED_VALUE"""),-0.387559194730583)</f>
        <v>-0.38755919473058298</v>
      </c>
      <c r="FV20" s="3">
        <f ca="1">IFERROR(__xludf.DUMMYFUNCTION("""COMPUTED_VALUE"""),-0.447537767006971)</f>
        <v>-0.44753776700697101</v>
      </c>
      <c r="FW20" s="3">
        <f ca="1">IFERROR(__xludf.DUMMYFUNCTION("""COMPUTED_VALUE"""),-0.294460997577835)</f>
        <v>-0.294460997577835</v>
      </c>
      <c r="FX20" s="3">
        <f ca="1">IFERROR(__xludf.DUMMYFUNCTION("""COMPUTED_VALUE"""),-0.239775727988028)</f>
        <v>-0.23977572798802799</v>
      </c>
      <c r="FY20" s="3">
        <f ca="1">IFERROR(__xludf.DUMMYFUNCTION("""COMPUTED_VALUE"""),-0.394945998691308)</f>
        <v>-0.39494599869130798</v>
      </c>
      <c r="FZ20" s="3">
        <f ca="1">IFERROR(__xludf.DUMMYFUNCTION("""COMPUTED_VALUE"""),-0.472931742014536)</f>
        <v>-0.47293174201453603</v>
      </c>
      <c r="GA20" s="3">
        <f ca="1">IFERROR(__xludf.DUMMYFUNCTION("""COMPUTED_VALUE"""),-0.452843822709772)</f>
        <v>-0.45284382270977203</v>
      </c>
      <c r="GB20" s="3">
        <f ca="1">IFERROR(__xludf.DUMMYFUNCTION("""COMPUTED_VALUE"""),-0.424430884935184)</f>
        <v>-0.42443088493518399</v>
      </c>
      <c r="GC20" s="3">
        <f ca="1">IFERROR(__xludf.DUMMYFUNCTION("""COMPUTED_VALUE"""),-0.408967476372923)</f>
        <v>-0.40896747637292302</v>
      </c>
      <c r="GD20" s="3">
        <f ca="1">IFERROR(__xludf.DUMMYFUNCTION("""COMPUTED_VALUE"""),-0.245146921345392)</f>
        <v>-0.24514692134539201</v>
      </c>
      <c r="GE20" s="3">
        <f ca="1">IFERROR(__xludf.DUMMYFUNCTION("""COMPUTED_VALUE"""),-0.29429734962912)</f>
        <v>-0.29429734962912002</v>
      </c>
      <c r="GF20" s="3">
        <f ca="1">IFERROR(__xludf.DUMMYFUNCTION("""COMPUTED_VALUE"""),-0.411719537919315)</f>
        <v>-0.41171953791931498</v>
      </c>
      <c r="GG20" s="3">
        <f ca="1">IFERROR(__xludf.DUMMYFUNCTION("""COMPUTED_VALUE"""),-0.439384160184177)</f>
        <v>-0.43938416018417698</v>
      </c>
      <c r="GH20" s="3">
        <f ca="1">IFERROR(__xludf.DUMMYFUNCTION("""COMPUTED_VALUE"""),-0.414673110193777)</f>
        <v>-0.41467311019377701</v>
      </c>
      <c r="GI20" s="3">
        <f ca="1">IFERROR(__xludf.DUMMYFUNCTION("""COMPUTED_VALUE"""),-0.417426394692822)</f>
        <v>-0.417426394692822</v>
      </c>
      <c r="GJ20" s="3">
        <f ca="1">IFERROR(__xludf.DUMMYFUNCTION("""COMPUTED_VALUE"""),-0.415890505292495)</f>
        <v>-0.41589050529249499</v>
      </c>
      <c r="GK20" s="3">
        <f ca="1">IFERROR(__xludf.DUMMYFUNCTION("""COMPUTED_VALUE"""),-0.305338045646963)</f>
        <v>-0.30533804564696299</v>
      </c>
      <c r="GL20" s="3">
        <f ca="1">IFERROR(__xludf.DUMMYFUNCTION("""COMPUTED_VALUE"""),-0.296820964143928)</f>
        <v>-0.296820964143928</v>
      </c>
      <c r="GM20" s="3">
        <f ca="1">IFERROR(__xludf.DUMMYFUNCTION("""COMPUTED_VALUE"""),-0.423777395915969)</f>
        <v>-0.42377739591596902</v>
      </c>
      <c r="GN20" s="3">
        <f ca="1">IFERROR(__xludf.DUMMYFUNCTION("""COMPUTED_VALUE"""),-0.445191376956009)</f>
        <v>-0.44519137695600902</v>
      </c>
      <c r="GO20" s="3">
        <f ca="1">IFERROR(__xludf.DUMMYFUNCTION("""COMPUTED_VALUE"""),-0.445458832551884)</f>
        <v>-0.44545883255188401</v>
      </c>
      <c r="GP20" s="3">
        <f ca="1">IFERROR(__xludf.DUMMYFUNCTION("""COMPUTED_VALUE"""),-0.441217639403421)</f>
        <v>-0.44121763940342101</v>
      </c>
      <c r="GQ20" s="3">
        <f ca="1">IFERROR(__xludf.DUMMYFUNCTION("""COMPUTED_VALUE"""),-0.477194142607717)</f>
        <v>-0.47719414260771698</v>
      </c>
      <c r="GR20" s="3">
        <f ca="1">IFERROR(__xludf.DUMMYFUNCTION("""COMPUTED_VALUE"""),-0.278022052816781)</f>
        <v>-0.278022052816781</v>
      </c>
      <c r="GS20" s="3">
        <f ca="1">IFERROR(__xludf.DUMMYFUNCTION("""COMPUTED_VALUE"""),-0.296998257406429)</f>
        <v>-0.29699825740642899</v>
      </c>
      <c r="GT20" s="3">
        <f ca="1">IFERROR(__xludf.DUMMYFUNCTION("""COMPUTED_VALUE"""),-0.424395060420338)</f>
        <v>-0.42439506042033798</v>
      </c>
      <c r="GU20" s="3">
        <f ca="1">IFERROR(__xludf.DUMMYFUNCTION("""COMPUTED_VALUE"""),-0.438222482292474)</f>
        <v>-0.43822248229247401</v>
      </c>
      <c r="GV20" s="3">
        <f ca="1">IFERROR(__xludf.DUMMYFUNCTION("""COMPUTED_VALUE"""),-0.42520245552127)</f>
        <v>-0.42520245552127001</v>
      </c>
      <c r="GW20" s="3">
        <f ca="1">IFERROR(__xludf.DUMMYFUNCTION("""COMPUTED_VALUE"""),-0.414105420943126)</f>
        <v>-0.41410542094312602</v>
      </c>
      <c r="GX20" s="3">
        <f ca="1">IFERROR(__xludf.DUMMYFUNCTION("""COMPUTED_VALUE"""),-0.422217264502228)</f>
        <v>-0.42221726450222802</v>
      </c>
      <c r="GY20" s="3">
        <f ca="1">IFERROR(__xludf.DUMMYFUNCTION("""COMPUTED_VALUE"""),-0.25727271276899)</f>
        <v>-0.25727271276899</v>
      </c>
      <c r="GZ20" s="3">
        <f ca="1">IFERROR(__xludf.DUMMYFUNCTION("""COMPUTED_VALUE"""),-0.264642719722192)</f>
        <v>-0.264642719722192</v>
      </c>
      <c r="HA20" s="3">
        <f ca="1">IFERROR(__xludf.DUMMYFUNCTION("""COMPUTED_VALUE"""),-0.377998520778017)</f>
        <v>-0.37799852077801699</v>
      </c>
      <c r="HB20" s="3">
        <f ca="1">IFERROR(__xludf.DUMMYFUNCTION("""COMPUTED_VALUE"""),-0.422405294527363)</f>
        <v>-0.42240529452736297</v>
      </c>
      <c r="HC20" s="3">
        <f ca="1">IFERROR(__xludf.DUMMYFUNCTION("""COMPUTED_VALUE"""),-0.420655266964879)</f>
        <v>-0.42065526696487898</v>
      </c>
      <c r="HD20" s="3">
        <f ca="1">IFERROR(__xludf.DUMMYFUNCTION("""COMPUTED_VALUE"""),-0.429600631710697)</f>
        <v>-0.42960063171069701</v>
      </c>
      <c r="HE20" s="3">
        <f ca="1">IFERROR(__xludf.DUMMYFUNCTION("""COMPUTED_VALUE"""),-0.43085774433093)</f>
        <v>-0.43085774433092999</v>
      </c>
      <c r="HF20" s="3">
        <f ca="1">IFERROR(__xludf.DUMMYFUNCTION("""COMPUTED_VALUE"""),-0.290332105889015)</f>
        <v>-0.29033210588901498</v>
      </c>
      <c r="HG20" s="3">
        <f ca="1">IFERROR(__xludf.DUMMYFUNCTION("""COMPUTED_VALUE"""),-0.290057509223587)</f>
        <v>-0.29005750922358697</v>
      </c>
      <c r="HH20" s="3">
        <f ca="1">IFERROR(__xludf.DUMMYFUNCTION("""COMPUTED_VALUE"""),-0.429632425089648)</f>
        <v>-0.429632425089648</v>
      </c>
      <c r="HI20" s="3">
        <f ca="1">IFERROR(__xludf.DUMMYFUNCTION("""COMPUTED_VALUE"""),-0.437495951034064)</f>
        <v>-0.43749595103406402</v>
      </c>
      <c r="HJ20" s="3">
        <f ca="1">IFERROR(__xludf.DUMMYFUNCTION("""COMPUTED_VALUE"""),-0.38886613477023)</f>
        <v>-0.38886613477023002</v>
      </c>
      <c r="HK20" s="3">
        <f ca="1">IFERROR(__xludf.DUMMYFUNCTION("""COMPUTED_VALUE"""),-0.412458082552533)</f>
        <v>-0.41245808255253302</v>
      </c>
      <c r="HL20" s="3">
        <f ca="1">IFERROR(__xludf.DUMMYFUNCTION("""COMPUTED_VALUE"""),-0.49314594264955)</f>
        <v>-0.49314594264954997</v>
      </c>
      <c r="HM20" s="3">
        <f ca="1">IFERROR(__xludf.DUMMYFUNCTION("""COMPUTED_VALUE"""),-0.20595242090293)</f>
        <v>-0.20595242090293001</v>
      </c>
      <c r="HN20" s="3">
        <f ca="1">IFERROR(__xludf.DUMMYFUNCTION("""COMPUTED_VALUE"""),-0.222485270833365)</f>
        <v>-0.222485270833365</v>
      </c>
      <c r="HO20" s="3">
        <f ca="1">IFERROR(__xludf.DUMMYFUNCTION("""COMPUTED_VALUE"""),-0.382613621078202)</f>
        <v>-0.38261362107820202</v>
      </c>
      <c r="HP20" s="3">
        <f ca="1">IFERROR(__xludf.DUMMYFUNCTION("""COMPUTED_VALUE"""),-0.435842070025979)</f>
        <v>-0.43584207002597902</v>
      </c>
      <c r="HQ20" s="3">
        <f ca="1">IFERROR(__xludf.DUMMYFUNCTION("""COMPUTED_VALUE"""),-0.450538240354272)</f>
        <v>-0.45053824035427198</v>
      </c>
      <c r="HR20" s="3">
        <f ca="1">IFERROR(__xludf.DUMMYFUNCTION("""COMPUTED_VALUE"""),-0.439663946298488)</f>
        <v>-0.43966394629848798</v>
      </c>
      <c r="HS20" s="3">
        <f ca="1">IFERROR(__xludf.DUMMYFUNCTION("""COMPUTED_VALUE"""),-0.347289542794882)</f>
        <v>-0.347289542794882</v>
      </c>
      <c r="HT20" s="3">
        <f ca="1">IFERROR(__xludf.DUMMYFUNCTION("""COMPUTED_VALUE"""),-0.293332133621343)</f>
        <v>-0.29333213362134303</v>
      </c>
      <c r="HU20" s="3">
        <f ca="1">IFERROR(__xludf.DUMMYFUNCTION("""COMPUTED_VALUE"""),-0.282978218284767)</f>
        <v>-0.28297821828476699</v>
      </c>
      <c r="HV20" s="3">
        <f ca="1">IFERROR(__xludf.DUMMYFUNCTION("""COMPUTED_VALUE"""),-0.436222485432378)</f>
        <v>-0.43622248543237802</v>
      </c>
      <c r="HW20" s="3">
        <f ca="1">IFERROR(__xludf.DUMMYFUNCTION("""COMPUTED_VALUE"""),-0.487841705659513)</f>
        <v>-0.48784170565951301</v>
      </c>
      <c r="HX20" s="3">
        <f ca="1">IFERROR(__xludf.DUMMYFUNCTION("""COMPUTED_VALUE"""),-0.481965224086798)</f>
        <v>-0.48196522408679798</v>
      </c>
      <c r="HY20" s="3">
        <f ca="1">IFERROR(__xludf.DUMMYFUNCTION("""COMPUTED_VALUE"""),-0.484162608267762)</f>
        <v>-0.48416260826776197</v>
      </c>
      <c r="HZ20" s="3">
        <f ca="1">IFERROR(__xludf.DUMMYFUNCTION("""COMPUTED_VALUE"""),-0.324231482234389)</f>
        <v>-0.32423148223438902</v>
      </c>
      <c r="IA20" s="3">
        <f ca="1">IFERROR(__xludf.DUMMYFUNCTION("""COMPUTED_VALUE"""),-0.283979428898075)</f>
        <v>-0.28397942889807498</v>
      </c>
      <c r="IB20" s="3">
        <f ca="1">IFERROR(__xludf.DUMMYFUNCTION("""COMPUTED_VALUE"""),-0.289076442495613)</f>
        <v>-0.28907644249561298</v>
      </c>
      <c r="IC20" s="3">
        <f ca="1">IFERROR(__xludf.DUMMYFUNCTION("""COMPUTED_VALUE"""),-0.385374188638398)</f>
        <v>-0.38537418863839801</v>
      </c>
      <c r="ID20" s="3">
        <f ca="1">IFERROR(__xludf.DUMMYFUNCTION("""COMPUTED_VALUE"""),-0.427471273198009)</f>
        <v>-0.42747127319800898</v>
      </c>
      <c r="IE20" s="3">
        <f ca="1">IFERROR(__xludf.DUMMYFUNCTION("""COMPUTED_VALUE"""),-0.407818963627281)</f>
        <v>-0.40781896362728098</v>
      </c>
      <c r="IF20" s="3">
        <f ca="1">IFERROR(__xludf.DUMMYFUNCTION("""COMPUTED_VALUE"""),-0.465236826127033)</f>
        <v>-0.46523682612703299</v>
      </c>
      <c r="IG20" s="3">
        <f ca="1">IFERROR(__xludf.DUMMYFUNCTION("""COMPUTED_VALUE"""),-0.42126858891501)</f>
        <v>-0.42126858891501001</v>
      </c>
      <c r="IH20" s="3">
        <f ca="1">IFERROR(__xludf.DUMMYFUNCTION("""COMPUTED_VALUE"""),-0.313584136334455)</f>
        <v>-0.31358413633445498</v>
      </c>
      <c r="II20" s="3">
        <f ca="1">IFERROR(__xludf.DUMMYFUNCTION("""COMPUTED_VALUE"""),-0.305147634992987)</f>
        <v>-0.30514763499298703</v>
      </c>
      <c r="IJ20" s="3">
        <f ca="1">IFERROR(__xludf.DUMMYFUNCTION("""COMPUTED_VALUE"""),-0.37477261338681)</f>
        <v>-0.37477261338681001</v>
      </c>
      <c r="IK20" s="3">
        <f ca="1">IFERROR(__xludf.DUMMYFUNCTION("""COMPUTED_VALUE"""),-0.414683908519966)</f>
        <v>-0.414683908519966</v>
      </c>
      <c r="IL20" s="3">
        <f ca="1">IFERROR(__xludf.DUMMYFUNCTION("""COMPUTED_VALUE"""),-0.394069730497045)</f>
        <v>-0.39406973049704502</v>
      </c>
      <c r="IM20" s="3">
        <f ca="1">IFERROR(__xludf.DUMMYFUNCTION("""COMPUTED_VALUE"""),-0.395953568627128)</f>
        <v>-0.39595356862712799</v>
      </c>
      <c r="IN20" s="3">
        <f ca="1">IFERROR(__xludf.DUMMYFUNCTION("""COMPUTED_VALUE"""),-0.404339933270561)</f>
        <v>-0.404339933270561</v>
      </c>
      <c r="IO20" s="3">
        <f ca="1">IFERROR(__xludf.DUMMYFUNCTION("""COMPUTED_VALUE"""),-0.27578247935294)</f>
        <v>-0.27578247935293998</v>
      </c>
      <c r="IP20" s="3">
        <f ca="1">IFERROR(__xludf.DUMMYFUNCTION("""COMPUTED_VALUE"""),-0.314883161861656)</f>
        <v>-0.31488316186165599</v>
      </c>
      <c r="IQ20" s="3">
        <f ca="1">IFERROR(__xludf.DUMMYFUNCTION("""COMPUTED_VALUE"""),-0.295118777306781)</f>
        <v>-0.29511877730678099</v>
      </c>
      <c r="IR20" s="3">
        <f ca="1">IFERROR(__xludf.DUMMYFUNCTION("""COMPUTED_VALUE"""),-0.358376865060636)</f>
        <v>-0.35837686506063599</v>
      </c>
      <c r="IS20" s="3">
        <f ca="1">IFERROR(__xludf.DUMMYFUNCTION("""COMPUTED_VALUE"""),-0.314469868050876)</f>
        <v>-0.31446986805087601</v>
      </c>
      <c r="IT20" s="3">
        <f ca="1">IFERROR(__xludf.DUMMYFUNCTION("""COMPUTED_VALUE"""),-0.308002277724928)</f>
        <v>-0.308002277724928</v>
      </c>
      <c r="IU20" s="3">
        <f ca="1">IFERROR(__xludf.DUMMYFUNCTION("""COMPUTED_VALUE"""),-0.303016925608559)</f>
        <v>-0.30301692560855897</v>
      </c>
      <c r="IV20" s="3">
        <f ca="1">IFERROR(__xludf.DUMMYFUNCTION("""COMPUTED_VALUE"""),-0.324004590732315)</f>
        <v>-0.32400459073231502</v>
      </c>
      <c r="IW20" s="3">
        <f ca="1">IFERROR(__xludf.DUMMYFUNCTION("""COMPUTED_VALUE"""),-0.362314720150949)</f>
        <v>-0.36231472015094901</v>
      </c>
      <c r="IX20" s="3">
        <f ca="1">IFERROR(__xludf.DUMMYFUNCTION("""COMPUTED_VALUE"""),-0.293237902608928)</f>
        <v>-0.29323790260892801</v>
      </c>
      <c r="IY20" s="3">
        <f ca="1">IFERROR(__xludf.DUMMYFUNCTION("""COMPUTED_VALUE"""),-0.42604684042362)</f>
        <v>-0.42604684042362001</v>
      </c>
      <c r="IZ20" s="3">
        <f ca="1">IFERROR(__xludf.DUMMYFUNCTION("""COMPUTED_VALUE"""),-0.339049151061486)</f>
        <v>-0.33904915106148598</v>
      </c>
      <c r="JA20" s="3">
        <f ca="1">IFERROR(__xludf.DUMMYFUNCTION("""COMPUTED_VALUE"""),-0.298435247666781)</f>
        <v>-0.29843524766678098</v>
      </c>
      <c r="JB20" s="3">
        <f ca="1">IFERROR(__xludf.DUMMYFUNCTION("""COMPUTED_VALUE"""),-0.274230134139842)</f>
        <v>-0.27423013413984199</v>
      </c>
      <c r="JC20" s="3">
        <f ca="1">IFERROR(__xludf.DUMMYFUNCTION("""COMPUTED_VALUE"""),-0.280698532209966)</f>
        <v>-0.28069853220996599</v>
      </c>
      <c r="JD20" s="3">
        <f ca="1">IFERROR(__xludf.DUMMYFUNCTION("""COMPUTED_VALUE"""),-0.310865368746891)</f>
        <v>-0.31086536874689102</v>
      </c>
      <c r="JE20" s="3">
        <f ca="1">IFERROR(__xludf.DUMMYFUNCTION("""COMPUTED_VALUE"""),-0.310702291866443)</f>
        <v>-0.31070229186644299</v>
      </c>
      <c r="JF20" s="3">
        <f ca="1">IFERROR(__xludf.DUMMYFUNCTION("""COMPUTED_VALUE"""),-0.348086635730983)</f>
        <v>-0.34808663573098297</v>
      </c>
      <c r="JG20" s="3">
        <f ca="1">IFERROR(__xludf.DUMMYFUNCTION("""COMPUTED_VALUE"""),-0.404584358024779)</f>
        <v>-0.40458435802477899</v>
      </c>
      <c r="JH20" s="3">
        <f ca="1">IFERROR(__xludf.DUMMYFUNCTION("""COMPUTED_VALUE"""),-0.306321049563103)</f>
        <v>-0.30632104956310302</v>
      </c>
      <c r="JI20" s="3">
        <f ca="1">IFERROR(__xludf.DUMMYFUNCTION("""COMPUTED_VALUE"""),-0.269930899770187)</f>
        <v>-0.26993089977018703</v>
      </c>
      <c r="JJ20" s="3">
        <f ca="1">IFERROR(__xludf.DUMMYFUNCTION("""COMPUTED_VALUE"""),-0.351985338888648)</f>
        <v>-0.35198533888864802</v>
      </c>
      <c r="JK20" s="3">
        <f ca="1">IFERROR(__xludf.DUMMYFUNCTION("""COMPUTED_VALUE"""),-0.337847129109171)</f>
        <v>-0.33784712910917097</v>
      </c>
      <c r="JL20" s="3">
        <f ca="1">IFERROR(__xludf.DUMMYFUNCTION("""COMPUTED_VALUE"""),-0.303852928377351)</f>
        <v>-0.30385292837735101</v>
      </c>
      <c r="JM20" s="3">
        <f ca="1">IFERROR(__xludf.DUMMYFUNCTION("""COMPUTED_VALUE"""),-0.31958467387488)</f>
        <v>-0.31958467387487999</v>
      </c>
      <c r="JN20" s="3">
        <f ca="1">IFERROR(__xludf.DUMMYFUNCTION("""COMPUTED_VALUE"""),-0.322081522095761)</f>
        <v>-0.32208152209576102</v>
      </c>
      <c r="JO20" s="3">
        <f ca="1">IFERROR(__xludf.DUMMYFUNCTION("""COMPUTED_VALUE"""),-0.298539672345075)</f>
        <v>-0.298539672345075</v>
      </c>
      <c r="JP20" s="3">
        <f ca="1">IFERROR(__xludf.DUMMYFUNCTION("""COMPUTED_VALUE"""),-0.244420792451265)</f>
        <v>-0.244420792451265</v>
      </c>
      <c r="JQ20" s="3">
        <f ca="1">IFERROR(__xludf.DUMMYFUNCTION("""COMPUTED_VALUE"""),-0.273450483371389)</f>
        <v>-0.273450483371389</v>
      </c>
      <c r="JR20" s="3">
        <f ca="1">IFERROR(__xludf.DUMMYFUNCTION("""COMPUTED_VALUE"""),-0.327710427692206)</f>
        <v>-0.32771042769220599</v>
      </c>
      <c r="JS20" s="3">
        <f ca="1">IFERROR(__xludf.DUMMYFUNCTION("""COMPUTED_VALUE"""),-0.295846560679564)</f>
        <v>-0.295846560679564</v>
      </c>
      <c r="JT20" s="3">
        <f ca="1">IFERROR(__xludf.DUMMYFUNCTION("""COMPUTED_VALUE"""),-0.289422753983374)</f>
        <v>-0.28942275398337403</v>
      </c>
      <c r="JU20" s="3">
        <f ca="1">IFERROR(__xludf.DUMMYFUNCTION("""COMPUTED_VALUE"""),-0.340823178941423)</f>
        <v>-0.340823178941423</v>
      </c>
      <c r="JV20" s="3">
        <f ca="1">IFERROR(__xludf.DUMMYFUNCTION("""COMPUTED_VALUE"""),-0.308134226257946)</f>
        <v>-0.30813422625794601</v>
      </c>
      <c r="JW20" s="3">
        <f ca="1">IFERROR(__xludf.DUMMYFUNCTION("""COMPUTED_VALUE"""),-0.347675748259512)</f>
        <v>-0.34767574825951197</v>
      </c>
      <c r="JX20" s="3">
        <f ca="1">IFERROR(__xludf.DUMMYFUNCTION("""COMPUTED_VALUE"""),-0.340927713020085)</f>
        <v>-0.34092771302008501</v>
      </c>
      <c r="JY20" s="3">
        <f ca="1">IFERROR(__xludf.DUMMYFUNCTION("""COMPUTED_VALUE"""),-0.370888839428335)</f>
        <v>-0.370888839428335</v>
      </c>
      <c r="JZ20" s="3">
        <f ca="1">IFERROR(__xludf.DUMMYFUNCTION("""COMPUTED_VALUE"""),-0.271756008101327)</f>
        <v>-0.271756008101327</v>
      </c>
      <c r="KA20" s="3">
        <f ca="1">IFERROR(__xludf.DUMMYFUNCTION("""COMPUTED_VALUE"""),-0.277356209696103)</f>
        <v>-0.27735620969610297</v>
      </c>
      <c r="KB20" s="3">
        <f ca="1">IFERROR(__xludf.DUMMYFUNCTION("""COMPUTED_VALUE"""),-0.361049422868035)</f>
        <v>-0.36104942286803499</v>
      </c>
      <c r="KC20" s="3">
        <f ca="1">IFERROR(__xludf.DUMMYFUNCTION("""COMPUTED_VALUE"""),-0.371882123256381)</f>
        <v>-0.37188212325638098</v>
      </c>
      <c r="KD20" s="3">
        <f ca="1">IFERROR(__xludf.DUMMYFUNCTION("""COMPUTED_VALUE"""),-0.284689137427756)</f>
        <v>-0.28468913742775598</v>
      </c>
      <c r="KE20" s="3">
        <f ca="1">IFERROR(__xludf.DUMMYFUNCTION("""COMPUTED_VALUE"""),-0.305000288987412)</f>
        <v>-0.30500028898741199</v>
      </c>
      <c r="KF20" s="3">
        <f ca="1">IFERROR(__xludf.DUMMYFUNCTION("""COMPUTED_VALUE"""),-0.395888483709783)</f>
        <v>-0.39588848370978302</v>
      </c>
      <c r="KG20" s="3">
        <f ca="1">IFERROR(__xludf.DUMMYFUNCTION("""COMPUTED_VALUE"""),-0.400869460929684)</f>
        <v>-0.40086946092968401</v>
      </c>
      <c r="KH20" s="3">
        <f ca="1">IFERROR(__xludf.DUMMYFUNCTION("""COMPUTED_VALUE"""),-0.332746267109542)</f>
        <v>-0.33274626710954203</v>
      </c>
      <c r="KI20" s="3">
        <f ca="1">IFERROR(__xludf.DUMMYFUNCTION("""COMPUTED_VALUE"""),-0.432818602467743)</f>
        <v>-0.43281860246774301</v>
      </c>
      <c r="KJ20" s="3">
        <f ca="1">IFERROR(__xludf.DUMMYFUNCTION("""COMPUTED_VALUE"""),-0.417662479390601)</f>
        <v>-0.41766247939060103</v>
      </c>
      <c r="KK20" s="3">
        <f ca="1">IFERROR(__xludf.DUMMYFUNCTION("""COMPUTED_VALUE"""),-0.384596278689061)</f>
        <v>-0.38459627868906099</v>
      </c>
      <c r="KL20" s="3">
        <f ca="1">IFERROR(__xludf.DUMMYFUNCTION("""COMPUTED_VALUE"""),-0.23135965753384)</f>
        <v>-0.23135965753384</v>
      </c>
      <c r="KM20" s="3">
        <f ca="1">IFERROR(__xludf.DUMMYFUNCTION("""COMPUTED_VALUE"""),-0.326214339032749)</f>
        <v>-0.32621433903274899</v>
      </c>
      <c r="KN20" s="3">
        <f ca="1">IFERROR(__xludf.DUMMYFUNCTION("""COMPUTED_VALUE"""),-0.380506909735469)</f>
        <v>-0.38050690973546902</v>
      </c>
      <c r="KO20" s="3">
        <f ca="1">IFERROR(__xludf.DUMMYFUNCTION("""COMPUTED_VALUE"""),-0.456364910265477)</f>
        <v>-0.45636491026547699</v>
      </c>
      <c r="KP20" s="3">
        <f ca="1">IFERROR(__xludf.DUMMYFUNCTION("""COMPUTED_VALUE"""),-0.42132338005505)</f>
        <v>-0.42132338005504999</v>
      </c>
      <c r="KQ20" s="3">
        <f ca="1">IFERROR(__xludf.DUMMYFUNCTION("""COMPUTED_VALUE"""),-0.428957667556324)</f>
        <v>-0.42895766755632397</v>
      </c>
      <c r="KR20" s="3">
        <f ca="1">IFERROR(__xludf.DUMMYFUNCTION("""COMPUTED_VALUE"""),-0.403535660230238)</f>
        <v>-0.40353566023023801</v>
      </c>
      <c r="KS20" s="3">
        <f ca="1">IFERROR(__xludf.DUMMYFUNCTION("""COMPUTED_VALUE"""),-0.308860261048682)</f>
        <v>-0.30886026104868203</v>
      </c>
      <c r="KT20" s="3">
        <f ca="1">IFERROR(__xludf.DUMMYFUNCTION("""COMPUTED_VALUE"""),-0.358604364389278)</f>
        <v>-0.35860436438927801</v>
      </c>
      <c r="KU20" s="3">
        <f ca="1">IFERROR(__xludf.DUMMYFUNCTION("""COMPUTED_VALUE"""),-0.426894114862503)</f>
        <v>-0.426894114862503</v>
      </c>
      <c r="KV20" s="3">
        <f ca="1">IFERROR(__xludf.DUMMYFUNCTION("""COMPUTED_VALUE"""),-0.426441532665437)</f>
        <v>-0.426441532665437</v>
      </c>
      <c r="KW20" s="3">
        <f ca="1">IFERROR(__xludf.DUMMYFUNCTION("""COMPUTED_VALUE"""),-0.463053353307736)</f>
        <v>-0.463053353307736</v>
      </c>
      <c r="KX20" s="3">
        <f ca="1">IFERROR(__xludf.DUMMYFUNCTION("""COMPUTED_VALUE"""),-0.49412487891244)</f>
        <v>-0.49412487891244</v>
      </c>
      <c r="KY20" s="3">
        <f ca="1">IFERROR(__xludf.DUMMYFUNCTION("""COMPUTED_VALUE"""),-0.428346888619339)</f>
        <v>-0.42834688861933901</v>
      </c>
      <c r="KZ20" s="3">
        <f ca="1">IFERROR(__xludf.DUMMYFUNCTION("""COMPUTED_VALUE"""),-0.262923741763504)</f>
        <v>-0.26292374176350403</v>
      </c>
      <c r="LA20" s="3">
        <f ca="1">IFERROR(__xludf.DUMMYFUNCTION("""COMPUTED_VALUE"""),-0.38880391787157)</f>
        <v>-0.38880391787156998</v>
      </c>
      <c r="LB20" s="3">
        <f ca="1">IFERROR(__xludf.DUMMYFUNCTION("""COMPUTED_VALUE"""),-0.408385514566512)</f>
        <v>-0.40838551456651201</v>
      </c>
      <c r="LC20" s="3">
        <f ca="1">IFERROR(__xludf.DUMMYFUNCTION("""COMPUTED_VALUE"""),-0.480181098490616)</f>
        <v>-0.48018109849061602</v>
      </c>
      <c r="LD20" s="3">
        <f ca="1">IFERROR(__xludf.DUMMYFUNCTION("""COMPUTED_VALUE"""),-0.407898684898894)</f>
        <v>-0.40789868489889403</v>
      </c>
      <c r="LE20" s="3">
        <f ca="1">IFERROR(__xludf.DUMMYFUNCTION("""COMPUTED_VALUE"""),-0.475598973250564)</f>
        <v>-0.47559897325056399</v>
      </c>
      <c r="LF20" s="3">
        <f ca="1">IFERROR(__xludf.DUMMYFUNCTION("""COMPUTED_VALUE"""),-0.44062552606956)</f>
        <v>-0.44062552606956001</v>
      </c>
      <c r="LG20" s="3">
        <f ca="1">IFERROR(__xludf.DUMMYFUNCTION("""COMPUTED_VALUE"""),-0.38980039602844)</f>
        <v>-0.38980039602844002</v>
      </c>
      <c r="LH20" s="3">
        <f ca="1">IFERROR(__xludf.DUMMYFUNCTION("""COMPUTED_VALUE"""),-0.405994248130596)</f>
        <v>-0.40599424813059598</v>
      </c>
      <c r="LI20" s="3">
        <f ca="1">IFERROR(__xludf.DUMMYFUNCTION("""COMPUTED_VALUE"""),-0.486259852998743)</f>
        <v>-0.48625985299874303</v>
      </c>
      <c r="LJ20" s="3">
        <f ca="1">IFERROR(__xludf.DUMMYFUNCTION("""COMPUTED_VALUE"""),-0.522087022900221)</f>
        <v>-0.52208702290022102</v>
      </c>
      <c r="LK20" s="3">
        <f ca="1">IFERROR(__xludf.DUMMYFUNCTION("""COMPUTED_VALUE"""),-0.49670508057237)</f>
        <v>-0.49670508057237001</v>
      </c>
      <c r="LL20" s="3">
        <f ca="1">IFERROR(__xludf.DUMMYFUNCTION("""COMPUTED_VALUE"""),-0.506335180141813)</f>
        <v>-0.506335180141813</v>
      </c>
      <c r="LM20" s="3">
        <f ca="1">IFERROR(__xludf.DUMMYFUNCTION("""COMPUTED_VALUE"""),-0.588610859958804)</f>
        <v>-0.58861085995880402</v>
      </c>
      <c r="LN20" s="3">
        <f ca="1">IFERROR(__xludf.DUMMYFUNCTION("""COMPUTED_VALUE"""),-0.374138570574338)</f>
        <v>-0.37413857057433803</v>
      </c>
      <c r="LO20" s="3">
        <f ca="1">IFERROR(__xludf.DUMMYFUNCTION("""COMPUTED_VALUE"""),-0.452282407882889)</f>
        <v>-0.45228240788288898</v>
      </c>
      <c r="LP20" s="3">
        <f ca="1">IFERROR(__xludf.DUMMYFUNCTION("""COMPUTED_VALUE"""),-0.477714297610849)</f>
        <v>-0.47771429761084899</v>
      </c>
      <c r="LQ20" s="3">
        <f ca="1">IFERROR(__xludf.DUMMYFUNCTION("""COMPUTED_VALUE"""),-0.54675648563715)</f>
        <v>-0.54675648563714996</v>
      </c>
      <c r="LR20" s="3">
        <f ca="1">IFERROR(__xludf.DUMMYFUNCTION("""COMPUTED_VALUE"""),-0.565685594966761)</f>
        <v>-0.56568559496676096</v>
      </c>
      <c r="LS20" s="3">
        <f ca="1">IFERROR(__xludf.DUMMYFUNCTION("""COMPUTED_VALUE"""),-0.643919520655609)</f>
        <v>-0.64391952065560898</v>
      </c>
      <c r="LT20" s="3">
        <f ca="1">IFERROR(__xludf.DUMMYFUNCTION("""COMPUTED_VALUE"""),-0.622808532879344)</f>
        <v>-0.62280853287934401</v>
      </c>
      <c r="LU20" s="3">
        <f ca="1">IFERROR(__xludf.DUMMYFUNCTION("""COMPUTED_VALUE"""),-0.364929290407348)</f>
        <v>-0.36492929040734801</v>
      </c>
      <c r="LV20" s="3">
        <f ca="1">IFERROR(__xludf.DUMMYFUNCTION("""COMPUTED_VALUE"""),-0.467522011481747)</f>
        <v>-0.46752201148174699</v>
      </c>
      <c r="LW20" s="3">
        <f ca="1">IFERROR(__xludf.DUMMYFUNCTION("""COMPUTED_VALUE"""),-0.583712983670964)</f>
        <v>-0.58371298367096403</v>
      </c>
      <c r="LX20" s="3">
        <f ca="1">IFERROR(__xludf.DUMMYFUNCTION("""COMPUTED_VALUE"""),-0.594032853044865)</f>
        <v>-0.59403285304486497</v>
      </c>
      <c r="LY20" s="3">
        <f ca="1">IFERROR(__xludf.DUMMYFUNCTION("""COMPUTED_VALUE"""),-0.630475232229263)</f>
        <v>-0.63047523222926305</v>
      </c>
      <c r="LZ20" s="3">
        <f ca="1">IFERROR(__xludf.DUMMYFUNCTION("""COMPUTED_VALUE"""),-0.595889272822086)</f>
        <v>-0.59588927282208604</v>
      </c>
      <c r="MA20" s="3">
        <f ca="1">IFERROR(__xludf.DUMMYFUNCTION("""COMPUTED_VALUE"""),-0.65252176675341)</f>
        <v>-0.65252176675341</v>
      </c>
      <c r="MB20" s="3">
        <f ca="1">IFERROR(__xludf.DUMMYFUNCTION("""COMPUTED_VALUE"""),-0.469282196271158)</f>
        <v>-0.46928219627115803</v>
      </c>
      <c r="MC20" s="3">
        <f ca="1">IFERROR(__xludf.DUMMYFUNCTION("""COMPUTED_VALUE"""),-0.539150276958461)</f>
        <v>-0.53915027695846096</v>
      </c>
      <c r="MD20" s="3">
        <f ca="1">IFERROR(__xludf.DUMMYFUNCTION("""COMPUTED_VALUE"""),-0.649201306957386)</f>
        <v>-0.64920130695738598</v>
      </c>
      <c r="ME20" s="3">
        <f ca="1">IFERROR(__xludf.DUMMYFUNCTION("""COMPUTED_VALUE"""),-0.625313785296044)</f>
        <v>-0.62531378529604398</v>
      </c>
      <c r="MF20" s="3">
        <f ca="1">IFERROR(__xludf.DUMMYFUNCTION("""COMPUTED_VALUE"""),-0.666485081587394)</f>
        <v>-0.66648508158739395</v>
      </c>
      <c r="MG20" s="3">
        <f ca="1">IFERROR(__xludf.DUMMYFUNCTION("""COMPUTED_VALUE"""),-0.679800027974199)</f>
        <v>-0.67980002797419903</v>
      </c>
      <c r="MH20" s="3">
        <f ca="1">IFERROR(__xludf.DUMMYFUNCTION("""COMPUTED_VALUE"""),-0.622814099985172)</f>
        <v>-0.62281409998517201</v>
      </c>
      <c r="MI20" s="3">
        <f ca="1">IFERROR(__xludf.DUMMYFUNCTION("""COMPUTED_VALUE"""),-0.549820869834148)</f>
        <v>-0.54982086983414802</v>
      </c>
      <c r="MJ20" s="3">
        <f ca="1">IFERROR(__xludf.DUMMYFUNCTION("""COMPUTED_VALUE"""),-0.499307528994783)</f>
        <v>-0.49930752899478298</v>
      </c>
      <c r="MK20" s="3">
        <f ca="1">IFERROR(__xludf.DUMMYFUNCTION("""COMPUTED_VALUE"""),-0.598471347637212)</f>
        <v>-0.59847134763721199</v>
      </c>
      <c r="ML20" s="3">
        <f ca="1">IFERROR(__xludf.DUMMYFUNCTION("""COMPUTED_VALUE"""),-0.686632648086428)</f>
        <v>-0.68663264808642799</v>
      </c>
      <c r="MM20" s="3">
        <f ca="1">IFERROR(__xludf.DUMMYFUNCTION("""COMPUTED_VALUE"""),-0.700736369878076)</f>
        <v>-0.70073636987807597</v>
      </c>
      <c r="MN20" s="3">
        <f ca="1">IFERROR(__xludf.DUMMYFUNCTION("""COMPUTED_VALUE"""),-0.654886731579104)</f>
        <v>-0.65488673157910404</v>
      </c>
      <c r="MO20" s="3">
        <f ca="1">IFERROR(__xludf.DUMMYFUNCTION("""COMPUTED_VALUE"""),-0.664955481190204)</f>
        <v>-0.66495548119020398</v>
      </c>
      <c r="MP20" s="3">
        <f ca="1">IFERROR(__xludf.DUMMYFUNCTION("""COMPUTED_VALUE"""),-0.528802776679405)</f>
        <v>-0.52880277667940501</v>
      </c>
      <c r="MQ20" s="3">
        <f ca="1">IFERROR(__xludf.DUMMYFUNCTION("""COMPUTED_VALUE"""),-0.590906112577161)</f>
        <v>-0.59090611257716097</v>
      </c>
      <c r="MR20" s="3">
        <f ca="1">IFERROR(__xludf.DUMMYFUNCTION("""COMPUTED_VALUE"""),-0.665899611710627)</f>
        <v>-0.66589961171062695</v>
      </c>
      <c r="MS20" s="3">
        <f ca="1">IFERROR(__xludf.DUMMYFUNCTION("""COMPUTED_VALUE"""),-0.728654893972951)</f>
        <v>-0.72865489397295102</v>
      </c>
      <c r="MT20" s="3">
        <f ca="1">IFERROR(__xludf.DUMMYFUNCTION("""COMPUTED_VALUE"""),-0.677655883651237)</f>
        <v>-0.67765588365123697</v>
      </c>
      <c r="MU20" s="3">
        <f ca="1">IFERROR(__xludf.DUMMYFUNCTION("""COMPUTED_VALUE"""),-0.672031103955003)</f>
        <v>-0.67203110395500298</v>
      </c>
      <c r="MV20" s="3">
        <f ca="1">IFERROR(__xludf.DUMMYFUNCTION("""COMPUTED_VALUE"""),-0.653215292181954)</f>
        <v>-0.65321529218195395</v>
      </c>
      <c r="MW20" s="3">
        <f ca="1">IFERROR(__xludf.DUMMYFUNCTION("""COMPUTED_VALUE"""),-0.46629765138024)</f>
        <v>-0.46629765138023999</v>
      </c>
      <c r="MX20" s="3">
        <f ca="1">IFERROR(__xludf.DUMMYFUNCTION("""COMPUTED_VALUE"""),-0.5350173227305)</f>
        <v>-0.53501732273049996</v>
      </c>
      <c r="MY20" s="3">
        <f ca="1">IFERROR(__xludf.DUMMYFUNCTION("""COMPUTED_VALUE"""),-0.683407156176249)</f>
        <v>-0.68340715617624903</v>
      </c>
      <c r="MZ20" s="3">
        <f ca="1">IFERROR(__xludf.DUMMYFUNCTION("""COMPUTED_VALUE"""),-0.695709211189565)</f>
        <v>-0.69570921118956497</v>
      </c>
      <c r="NA20" s="3">
        <f ca="1">IFERROR(__xludf.DUMMYFUNCTION("""COMPUTED_VALUE"""),-0.685663199006449)</f>
        <v>-0.68566319900644901</v>
      </c>
      <c r="NB20" s="3">
        <f ca="1">IFERROR(__xludf.DUMMYFUNCTION("""COMPUTED_VALUE"""),-0.66475930098577)</f>
        <v>-0.66475930098576996</v>
      </c>
      <c r="NC20" s="3">
        <f ca="1">IFERROR(__xludf.DUMMYFUNCTION("""COMPUTED_VALUE"""),-0.660749467246734)</f>
        <v>-0.660749467246734</v>
      </c>
      <c r="ND20" s="3">
        <f ca="1">IFERROR(__xludf.DUMMYFUNCTION("""COMPUTED_VALUE"""),-0.42119823884071)</f>
        <v>-0.42119823884071</v>
      </c>
      <c r="NE20" s="3">
        <f ca="1">IFERROR(__xludf.DUMMYFUNCTION("""COMPUTED_VALUE"""),-0.386033625965055)</f>
        <v>-0.38603362596505503</v>
      </c>
      <c r="NF20" s="3">
        <f ca="1">IFERROR(__xludf.DUMMYFUNCTION("""COMPUTED_VALUE"""),-0.521216727796991)</f>
        <v>-0.52121672779699102</v>
      </c>
      <c r="NG20" s="3">
        <f ca="1">IFERROR(__xludf.DUMMYFUNCTION("""COMPUTED_VALUE"""),-0.554328670550629)</f>
        <v>-0.55432867055062895</v>
      </c>
      <c r="NH20" s="3">
        <f ca="1">IFERROR(__xludf.DUMMYFUNCTION("""COMPUTED_VALUE"""),-0.520481279299739)</f>
        <v>-0.52048127929973897</v>
      </c>
      <c r="NI20" s="3">
        <f ca="1">IFERROR(__xludf.DUMMYFUNCTION("""COMPUTED_VALUE"""),-0.543084488598086)</f>
        <v>-0.543084488598086</v>
      </c>
      <c r="NJ20" s="3">
        <f ca="1">IFERROR(__xludf.DUMMYFUNCTION("""COMPUTED_VALUE"""),-0.524744975982247)</f>
        <v>-0.52474497598224701</v>
      </c>
      <c r="NK20" s="3">
        <f ca="1">IFERROR(__xludf.DUMMYFUNCTION("""COMPUTED_VALUE"""),-0.184464790669983)</f>
        <v>-0.184464790669983</v>
      </c>
      <c r="NL20" s="3">
        <f ca="1">IFERROR(__xludf.DUMMYFUNCTION("""COMPUTED_VALUE"""),-0.345576145813075)</f>
        <v>-0.345576145813075</v>
      </c>
      <c r="NM20" s="3">
        <f ca="1">IFERROR(__xludf.DUMMYFUNCTION("""COMPUTED_VALUE"""),-0.453103581599525)</f>
        <v>-0.45310358159952502</v>
      </c>
      <c r="NN20" s="3">
        <f ca="1">IFERROR(__xludf.DUMMYFUNCTION("""COMPUTED_VALUE"""),-0.517282829840717)</f>
        <v>-0.51728282984071705</v>
      </c>
      <c r="NO20" s="3">
        <f ca="1">IFERROR(__xludf.DUMMYFUNCTION("""COMPUTED_VALUE"""),-0.478803296316967)</f>
        <v>-0.478803296316967</v>
      </c>
      <c r="NP20" s="3">
        <f ca="1">IFERROR(__xludf.DUMMYFUNCTION("""COMPUTED_VALUE"""),-0.553451147255314)</f>
        <v>-0.55345114725531397</v>
      </c>
      <c r="NQ20" s="3">
        <f ca="1">IFERROR(__xludf.DUMMYFUNCTION("""COMPUTED_VALUE"""),-0.468890719422089)</f>
        <v>-0.46889071942208899</v>
      </c>
      <c r="NR20" s="3">
        <f ca="1">IFERROR(__xludf.DUMMYFUNCTION("""COMPUTED_VALUE"""),-0.285821406650306)</f>
        <v>-0.28582140665030598</v>
      </c>
      <c r="NS20" s="3">
        <f ca="1">IFERROR(__xludf.DUMMYFUNCTION("""COMPUTED_VALUE"""),-0.564010779450853)</f>
        <v>-0.56401077945085298</v>
      </c>
      <c r="NT20" s="3">
        <f ca="1">IFERROR(__xludf.DUMMYFUNCTION("""COMPUTED_VALUE"""),-0.619394640103762)</f>
        <v>-0.619394640103762</v>
      </c>
      <c r="NU20" s="3">
        <f ca="1">IFERROR(__xludf.DUMMYFUNCTION("""COMPUTED_VALUE"""),-0.663823818517163)</f>
        <v>-0.66382381851716299</v>
      </c>
      <c r="NV20" s="3">
        <f ca="1">IFERROR(__xludf.DUMMYFUNCTION("""COMPUTED_VALUE"""),-0.656972396713025)</f>
        <v>-0.65697239671302499</v>
      </c>
      <c r="NW20" s="3">
        <f ca="1">IFERROR(__xludf.DUMMYFUNCTION("""COMPUTED_VALUE"""),-0.670876879071616)</f>
        <v>-0.67087687907161597</v>
      </c>
      <c r="NX20" s="3">
        <f ca="1">IFERROR(__xludf.DUMMYFUNCTION("""COMPUTED_VALUE"""),-0.609491600442076)</f>
        <v>-0.60949160044207595</v>
      </c>
      <c r="NY20" s="3">
        <f ca="1">IFERROR(__xludf.DUMMYFUNCTION("""COMPUTED_VALUE"""),-0.437592464382847)</f>
        <v>-0.43759246438284699</v>
      </c>
      <c r="NZ20" s="3">
        <f ca="1">IFERROR(__xludf.DUMMYFUNCTION("""COMPUTED_VALUE"""),-0.470934912892224)</f>
        <v>-0.470934912892224</v>
      </c>
      <c r="OA20" s="3">
        <f ca="1">IFERROR(__xludf.DUMMYFUNCTION("""COMPUTED_VALUE"""),-0.513511273685797)</f>
        <v>-0.51351127368579697</v>
      </c>
      <c r="OB20" s="3">
        <f ca="1">IFERROR(__xludf.DUMMYFUNCTION("""COMPUTED_VALUE"""),-0.571534207611947)</f>
        <v>-0.57153420761194695</v>
      </c>
      <c r="OC20" s="3">
        <f ca="1">IFERROR(__xludf.DUMMYFUNCTION("""COMPUTED_VALUE"""),-0.5213308266868)</f>
        <v>-0.52133082668679998</v>
      </c>
      <c r="OD20" s="3">
        <f ca="1">IFERROR(__xludf.DUMMYFUNCTION("""COMPUTED_VALUE"""),-0.482808846346982)</f>
        <v>-0.48280884634698201</v>
      </c>
      <c r="OE20" s="3">
        <f ca="1">IFERROR(__xludf.DUMMYFUNCTION("""COMPUTED_VALUE"""),-0.433038855450654)</f>
        <v>-0.43303885545065401</v>
      </c>
      <c r="OF20" s="3">
        <f ca="1">IFERROR(__xludf.DUMMYFUNCTION("""COMPUTED_VALUE"""),-0.202921299919595)</f>
        <v>-0.20292129991959501</v>
      </c>
      <c r="OG20" s="3">
        <f ca="1">IFERROR(__xludf.DUMMYFUNCTION("""COMPUTED_VALUE"""),-0.18697245787366)</f>
        <v>-0.18697245787365999</v>
      </c>
      <c r="OH20" s="3">
        <f ca="1">IFERROR(__xludf.DUMMYFUNCTION("""COMPUTED_VALUE"""),-0.0782693941428025)</f>
        <v>-7.8269394142802498E-2</v>
      </c>
      <c r="OI20" s="3">
        <f ca="1">IFERROR(__xludf.DUMMYFUNCTION("""COMPUTED_VALUE"""),-0.0229929598087491)</f>
        <v>-2.2992959808749099E-2</v>
      </c>
      <c r="OJ20" s="3">
        <f ca="1">IFERROR(__xludf.DUMMYFUNCTION("""COMPUTED_VALUE"""),0.0327207571966421)</f>
        <v>3.2720757196642102E-2</v>
      </c>
      <c r="OK20" s="3">
        <f ca="1">IFERROR(__xludf.DUMMYFUNCTION("""COMPUTED_VALUE"""),0.055054959970737)</f>
        <v>5.5054959970736998E-2</v>
      </c>
      <c r="OL20" s="3">
        <f ca="1">IFERROR(__xludf.DUMMYFUNCTION("""COMPUTED_VALUE"""),0.0736661246155478)</f>
        <v>7.3666124615547807E-2</v>
      </c>
      <c r="OM20" s="3">
        <f ca="1">IFERROR(__xludf.DUMMYFUNCTION("""COMPUTED_VALUE"""),0.0479348695764143)</f>
        <v>4.7934869576414303E-2</v>
      </c>
      <c r="ON20" s="3">
        <f ca="1">IFERROR(__xludf.DUMMYFUNCTION("""COMPUTED_VALUE"""),0.139984003004315)</f>
        <v>0.13998400300431499</v>
      </c>
      <c r="OO20" s="3">
        <f ca="1">IFERROR(__xludf.DUMMYFUNCTION("""COMPUTED_VALUE"""),-0.0658960305915214)</f>
        <v>-6.5896030591521396E-2</v>
      </c>
      <c r="OP20" s="3">
        <f ca="1">IFERROR(__xludf.DUMMYFUNCTION("""COMPUTED_VALUE"""),0.0610678119528813)</f>
        <v>6.1067811952881301E-2</v>
      </c>
      <c r="OQ20" s="3">
        <f ca="1">IFERROR(__xludf.DUMMYFUNCTION("""COMPUTED_VALUE"""),0.0677121626595762)</f>
        <v>6.7712162659576206E-2</v>
      </c>
      <c r="OR20" s="3">
        <f ca="1">IFERROR(__xludf.DUMMYFUNCTION("""COMPUTED_VALUE"""),0.121377423548434)</f>
        <v>0.121377423548434</v>
      </c>
      <c r="OS20" s="3">
        <f ca="1">IFERROR(__xludf.DUMMYFUNCTION("""COMPUTED_VALUE"""),0.028553817103428)</f>
        <v>2.8553817103428001E-2</v>
      </c>
      <c r="OT20" s="3">
        <f ca="1">IFERROR(__xludf.DUMMYFUNCTION("""COMPUTED_VALUE"""),0.0989749948240039)</f>
        <v>9.8974994824003903E-2</v>
      </c>
      <c r="OU20" s="3">
        <f ca="1">IFERROR(__xludf.DUMMYFUNCTION("""COMPUTED_VALUE"""),0.0301218716568423)</f>
        <v>3.0121871656842301E-2</v>
      </c>
      <c r="OV20" s="3">
        <f ca="1">IFERROR(__xludf.DUMMYFUNCTION("""COMPUTED_VALUE"""),0.00184679743349525)</f>
        <v>1.84679743349525E-3</v>
      </c>
      <c r="OW20" s="3">
        <f ca="1">IFERROR(__xludf.DUMMYFUNCTION("""COMPUTED_VALUE"""),0.0040090119784979)</f>
        <v>4.0090119784978997E-3</v>
      </c>
      <c r="OX20" s="3">
        <f ca="1">IFERROR(__xludf.DUMMYFUNCTION("""COMPUTED_VALUE"""),0.0135555173657009)</f>
        <v>1.35555173657009E-2</v>
      </c>
      <c r="OY20" s="3">
        <f ca="1">IFERROR(__xludf.DUMMYFUNCTION("""COMPUTED_VALUE"""),0.0656589620785952)</f>
        <v>6.5658962078595201E-2</v>
      </c>
      <c r="OZ20" s="3">
        <f ca="1">IFERROR(__xludf.DUMMYFUNCTION("""COMPUTED_VALUE"""),0.222435230463003)</f>
        <v>0.22243523046300301</v>
      </c>
      <c r="PA20" s="3">
        <f ca="1">IFERROR(__xludf.DUMMYFUNCTION("""COMPUTED_VALUE"""),0.0417521223146639)</f>
        <v>4.1752122314663902E-2</v>
      </c>
      <c r="PB20" s="3">
        <f ca="1">IFERROR(__xludf.DUMMYFUNCTION("""COMPUTED_VALUE"""),-0.0549364161652257)</f>
        <v>-5.4936416165225703E-2</v>
      </c>
      <c r="PC20" s="3">
        <f ca="1">IFERROR(__xludf.DUMMYFUNCTION("""COMPUTED_VALUE"""),-0.0573367652629899)</f>
        <v>-5.7336765262989899E-2</v>
      </c>
      <c r="PD20" s="3">
        <f ca="1">IFERROR(__xludf.DUMMYFUNCTION("""COMPUTED_VALUE"""),-0.0391562732756189)</f>
        <v>-3.9156273275618901E-2</v>
      </c>
      <c r="PE20" s="3">
        <f ca="1">IFERROR(__xludf.DUMMYFUNCTION("""COMPUTED_VALUE"""),0.032646322216187)</f>
        <v>3.2646322216186997E-2</v>
      </c>
      <c r="PF20" s="3">
        <f ca="1">IFERROR(__xludf.DUMMYFUNCTION("""COMPUTED_VALUE"""),0.0485100910534863)</f>
        <v>4.8510091053486297E-2</v>
      </c>
      <c r="PG20" s="3">
        <f ca="1">IFERROR(__xludf.DUMMYFUNCTION("""COMPUTED_VALUE"""),-0.205656455750076)</f>
        <v>-0.20565645575007599</v>
      </c>
      <c r="PH20" s="3">
        <f ca="1">IFERROR(__xludf.DUMMYFUNCTION("""COMPUTED_VALUE"""),0.0906691471291454)</f>
        <v>9.0669147129145394E-2</v>
      </c>
      <c r="PI20" s="3">
        <f ca="1">IFERROR(__xludf.DUMMYFUNCTION("""COMPUTED_VALUE"""),-0.0528722017693895)</f>
        <v>-5.2872201769389497E-2</v>
      </c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</row>
    <row r="21" spans="1:477" ht="15.75" customHeight="1">
      <c r="A21" s="1" t="str">
        <f ca="1">IFERROR(__xludf.DUMMYFUNCTION("""COMPUTED_VALUE"""),"TANK")</f>
        <v>TANK</v>
      </c>
      <c r="B21" s="1" t="str">
        <f ca="1">IFERROR(__xludf.DUMMYFUNCTION("""COMPUTED_VALUE"""),"Cincinnati")</f>
        <v>Cincinnati</v>
      </c>
      <c r="C21" s="1" t="str">
        <f ca="1">IFERROR(__xludf.DUMMYFUNCTION("""COMPUTED_VALUE"""),"United States")</f>
        <v>United States</v>
      </c>
      <c r="D21" s="1" t="str">
        <f ca="1">IFERROR(__xludf.DUMMYFUNCTION("""COMPUTED_VALUE"""),"Kentucky")</f>
        <v>Kentucky</v>
      </c>
      <c r="E21" s="3">
        <f ca="1">IFERROR(__xludf.DUMMYFUNCTION("""COMPUTED_VALUE"""),-0.169210671923391)</f>
        <v>-0.16921067192339101</v>
      </c>
      <c r="F21" s="3">
        <f ca="1">IFERROR(__xludf.DUMMYFUNCTION("""COMPUTED_VALUE"""),-0.204923814446359)</f>
        <v>-0.20492381444635899</v>
      </c>
      <c r="G21" s="3">
        <f ca="1">IFERROR(__xludf.DUMMYFUNCTION("""COMPUTED_VALUE"""),-0.326038127057772)</f>
        <v>-0.32603812705777202</v>
      </c>
      <c r="H21" s="3">
        <f ca="1">IFERROR(__xludf.DUMMYFUNCTION("""COMPUTED_VALUE"""),-0.227547416010256)</f>
        <v>-0.22754741601025599</v>
      </c>
      <c r="I21" s="3">
        <f ca="1">IFERROR(__xludf.DUMMYFUNCTION("""COMPUTED_VALUE"""),-0.275718786701695)</f>
        <v>-0.27571878670169497</v>
      </c>
      <c r="J21" s="3">
        <f ca="1">IFERROR(__xludf.DUMMYFUNCTION("""COMPUTED_VALUE"""),-0.10266149142718)</f>
        <v>-0.10266149142717999</v>
      </c>
      <c r="K21" s="3">
        <f ca="1">IFERROR(__xludf.DUMMYFUNCTION("""COMPUTED_VALUE"""),-0.138616216584495)</f>
        <v>-0.13861621658449499</v>
      </c>
      <c r="L21" s="3">
        <f ca="1">IFERROR(__xludf.DUMMYFUNCTION("""COMPUTED_VALUE"""),-0.120954607883145)</f>
        <v>-0.12095460788314499</v>
      </c>
      <c r="M21" s="3">
        <f ca="1">IFERROR(__xludf.DUMMYFUNCTION("""COMPUTED_VALUE"""),-0.342221790965821)</f>
        <v>-0.342221790965821</v>
      </c>
      <c r="N21" s="3">
        <f ca="1">IFERROR(__xludf.DUMMYFUNCTION("""COMPUTED_VALUE"""),-0.331506406802547)</f>
        <v>-0.331506406802547</v>
      </c>
      <c r="O21" s="3">
        <f ca="1">IFERROR(__xludf.DUMMYFUNCTION("""COMPUTED_VALUE"""),-0.386157376656049)</f>
        <v>-0.38615737665604899</v>
      </c>
      <c r="P21" s="3">
        <f ca="1">IFERROR(__xludf.DUMMYFUNCTION("""COMPUTED_VALUE"""),-0.415233837572795)</f>
        <v>-0.41523383757279497</v>
      </c>
      <c r="Q21" s="3">
        <f ca="1">IFERROR(__xludf.DUMMYFUNCTION("""COMPUTED_VALUE"""),-0.249751874091366)</f>
        <v>-0.24975187409136601</v>
      </c>
      <c r="R21" s="3">
        <f ca="1">IFERROR(__xludf.DUMMYFUNCTION("""COMPUTED_VALUE"""),-0.135137278815761)</f>
        <v>-0.13513727881576101</v>
      </c>
      <c r="S21" s="3">
        <f ca="1">IFERROR(__xludf.DUMMYFUNCTION("""COMPUTED_VALUE"""),-0.0930609149543293)</f>
        <v>-9.3060914954329305E-2</v>
      </c>
      <c r="T21" s="3">
        <f ca="1">IFERROR(__xludf.DUMMYFUNCTION("""COMPUTED_VALUE"""),-0.2812263706442)</f>
        <v>-0.28122637064419997</v>
      </c>
      <c r="U21" s="3">
        <f ca="1">IFERROR(__xludf.DUMMYFUNCTION("""COMPUTED_VALUE"""),-0.446187283016515)</f>
        <v>-0.446187283016515</v>
      </c>
      <c r="V21" s="3">
        <f ca="1">IFERROR(__xludf.DUMMYFUNCTION("""COMPUTED_VALUE"""),-0.339142408105576)</f>
        <v>-0.339142408105576</v>
      </c>
      <c r="W21" s="3">
        <f ca="1">IFERROR(__xludf.DUMMYFUNCTION("""COMPUTED_VALUE"""),-0.332490533076947)</f>
        <v>-0.33249053307694698</v>
      </c>
      <c r="X21" s="3">
        <f ca="1">IFERROR(__xludf.DUMMYFUNCTION("""COMPUTED_VALUE"""),-0.238265304228211)</f>
        <v>-0.23826530422821099</v>
      </c>
      <c r="Y21" s="3">
        <f ca="1">IFERROR(__xludf.DUMMYFUNCTION("""COMPUTED_VALUE"""),-0.0922632629601311)</f>
        <v>-9.2263262960131098E-2</v>
      </c>
      <c r="Z21" s="3">
        <f ca="1">IFERROR(__xludf.DUMMYFUNCTION("""COMPUTED_VALUE"""),-0.131313269385369)</f>
        <v>-0.131313269385369</v>
      </c>
      <c r="AA21" s="3">
        <f ca="1">IFERROR(__xludf.DUMMYFUNCTION("""COMPUTED_VALUE"""),-0.302447477411429)</f>
        <v>-0.30244747741142902</v>
      </c>
      <c r="AB21" s="3">
        <f ca="1">IFERROR(__xludf.DUMMYFUNCTION("""COMPUTED_VALUE"""),-0.419516221386609)</f>
        <v>-0.41951622138660899</v>
      </c>
      <c r="AC21" s="3">
        <f ca="1">IFERROR(__xludf.DUMMYFUNCTION("""COMPUTED_VALUE"""),-0.323206656068683)</f>
        <v>-0.32320665606868298</v>
      </c>
      <c r="AD21" s="3">
        <f ca="1">IFERROR(__xludf.DUMMYFUNCTION("""COMPUTED_VALUE"""),-0.375521531991652)</f>
        <v>-0.375521531991652</v>
      </c>
      <c r="AE21" s="3">
        <f ca="1">IFERROR(__xludf.DUMMYFUNCTION("""COMPUTED_VALUE"""),-0.364255922392596)</f>
        <v>-0.36425592239259602</v>
      </c>
      <c r="AF21" s="3">
        <f ca="1">IFERROR(__xludf.DUMMYFUNCTION("""COMPUTED_VALUE"""),-0.179310890355755)</f>
        <v>-0.17931089035575501</v>
      </c>
      <c r="AG21" s="3">
        <f ca="1">IFERROR(__xludf.DUMMYFUNCTION("""COMPUTED_VALUE"""),-0.16186970782921)</f>
        <v>-0.16186970782921001</v>
      </c>
      <c r="AH21" s="3">
        <f ca="1">IFERROR(__xludf.DUMMYFUNCTION("""COMPUTED_VALUE"""),-0.392737579098812)</f>
        <v>-0.39273757909881202</v>
      </c>
      <c r="AI21" s="3">
        <f ca="1">IFERROR(__xludf.DUMMYFUNCTION("""COMPUTED_VALUE"""),-0.418870276874536)</f>
        <v>-0.41887027687453599</v>
      </c>
      <c r="AJ21" s="3">
        <f ca="1">IFERROR(__xludf.DUMMYFUNCTION("""COMPUTED_VALUE"""),-0.3090210103868)</f>
        <v>-0.30902101038680002</v>
      </c>
      <c r="AK21" s="3">
        <f ca="1">IFERROR(__xludf.DUMMYFUNCTION("""COMPUTED_VALUE"""),-0.323019505961476)</f>
        <v>-0.32301950596147599</v>
      </c>
      <c r="AL21" s="3">
        <f ca="1">IFERROR(__xludf.DUMMYFUNCTION("""COMPUTED_VALUE"""),-0.307942057334662)</f>
        <v>-0.30794205733466201</v>
      </c>
      <c r="AM21" s="3">
        <f ca="1">IFERROR(__xludf.DUMMYFUNCTION("""COMPUTED_VALUE"""),-0.0604514427178838)</f>
        <v>-6.0451442717883802E-2</v>
      </c>
      <c r="AN21" s="3">
        <f ca="1">IFERROR(__xludf.DUMMYFUNCTION("""COMPUTED_VALUE"""),-0.161953666044838)</f>
        <v>-0.16195366604483799</v>
      </c>
      <c r="AO21" s="3">
        <f ca="1">IFERROR(__xludf.DUMMYFUNCTION("""COMPUTED_VALUE"""),-0.42521544410401)</f>
        <v>-0.42521544410401002</v>
      </c>
      <c r="AP21" s="3">
        <f ca="1">IFERROR(__xludf.DUMMYFUNCTION("""COMPUTED_VALUE"""),-0.400170772479386)</f>
        <v>-0.40017077247938598</v>
      </c>
      <c r="AQ21" s="3">
        <f ca="1">IFERROR(__xludf.DUMMYFUNCTION("""COMPUTED_VALUE"""),-0.387432567514528)</f>
        <v>-0.38743256751452798</v>
      </c>
      <c r="AR21" s="3">
        <f ca="1">IFERROR(__xludf.DUMMYFUNCTION("""COMPUTED_VALUE"""),-0.414270260793579)</f>
        <v>-0.41427026079357898</v>
      </c>
      <c r="AS21" s="3">
        <f ca="1">IFERROR(__xludf.DUMMYFUNCTION("""COMPUTED_VALUE"""),-0.248129576149506)</f>
        <v>-0.24812957614950601</v>
      </c>
      <c r="AT21" s="3">
        <f ca="1">IFERROR(__xludf.DUMMYFUNCTION("""COMPUTED_VALUE"""),-0.1493689392247)</f>
        <v>-0.14936893922469999</v>
      </c>
      <c r="AU21" s="3">
        <f ca="1">IFERROR(__xludf.DUMMYFUNCTION("""COMPUTED_VALUE"""),-0.196740484535647)</f>
        <v>-0.19674048453564699</v>
      </c>
      <c r="AV21" s="3">
        <f ca="1">IFERROR(__xludf.DUMMYFUNCTION("""COMPUTED_VALUE"""),-0.411981292791772)</f>
        <v>-0.41198129279177198</v>
      </c>
      <c r="AW21" s="3">
        <f ca="1">IFERROR(__xludf.DUMMYFUNCTION("""COMPUTED_VALUE"""),-0.433631128768881)</f>
        <v>-0.43363112876888099</v>
      </c>
      <c r="AX21" s="3">
        <f ca="1">IFERROR(__xludf.DUMMYFUNCTION("""COMPUTED_VALUE"""),-0.375776402501902)</f>
        <v>-0.37577640250190197</v>
      </c>
      <c r="AY21" s="3">
        <f ca="1">IFERROR(__xludf.DUMMYFUNCTION("""COMPUTED_VALUE"""),-0.307432510483295)</f>
        <v>-0.30743251048329501</v>
      </c>
      <c r="AZ21" s="3">
        <f ca="1">IFERROR(__xludf.DUMMYFUNCTION("""COMPUTED_VALUE"""),-0.258309890440068)</f>
        <v>-0.25830989044006802</v>
      </c>
      <c r="BA21" s="3">
        <f ca="1">IFERROR(__xludf.DUMMYFUNCTION("""COMPUTED_VALUE"""),-0.196040133497582)</f>
        <v>-0.19604013349758201</v>
      </c>
      <c r="BB21" s="3">
        <f ca="1">IFERROR(__xludf.DUMMYFUNCTION("""COMPUTED_VALUE"""),-0.289351086943416)</f>
        <v>-0.28935108694341599</v>
      </c>
      <c r="BC21" s="3">
        <f ca="1">IFERROR(__xludf.DUMMYFUNCTION("""COMPUTED_VALUE"""),-0.434751698497739)</f>
        <v>-0.43475169849773898</v>
      </c>
      <c r="BD21" s="3">
        <f ca="1">IFERROR(__xludf.DUMMYFUNCTION("""COMPUTED_VALUE"""),-0.417696356473075)</f>
        <v>-0.41769635647307501</v>
      </c>
      <c r="BE21" s="3">
        <f ca="1">IFERROR(__xludf.DUMMYFUNCTION("""COMPUTED_VALUE"""),-0.408343583415794)</f>
        <v>-0.40834358341579402</v>
      </c>
      <c r="BF21" s="3">
        <f ca="1">IFERROR(__xludf.DUMMYFUNCTION("""COMPUTED_VALUE"""),-0.539276869666308)</f>
        <v>-0.53927686966630795</v>
      </c>
      <c r="BG21" s="3">
        <f ca="1">IFERROR(__xludf.DUMMYFUNCTION("""COMPUTED_VALUE"""),-0.392682958798805)</f>
        <v>-0.39268295879880499</v>
      </c>
      <c r="BH21" s="3">
        <f ca="1">IFERROR(__xludf.DUMMYFUNCTION("""COMPUTED_VALUE"""),-0.0536565624016084)</f>
        <v>-5.3656562401608397E-2</v>
      </c>
      <c r="BI21" s="3">
        <f ca="1">IFERROR(__xludf.DUMMYFUNCTION("""COMPUTED_VALUE"""),-0.245871027433442)</f>
        <v>-0.245871027433442</v>
      </c>
      <c r="BJ21" s="3">
        <f ca="1">IFERROR(__xludf.DUMMYFUNCTION("""COMPUTED_VALUE"""),-0.38436937225583)</f>
        <v>-0.38436937225583001</v>
      </c>
      <c r="BK21" s="3">
        <f ca="1">IFERROR(__xludf.DUMMYFUNCTION("""COMPUTED_VALUE"""),-0.418971866084795)</f>
        <v>-0.41897186608479497</v>
      </c>
      <c r="BL21" s="3">
        <f ca="1">IFERROR(__xludf.DUMMYFUNCTION("""COMPUTED_VALUE"""),-0.389449755193466)</f>
        <v>-0.38944975519346597</v>
      </c>
      <c r="BM21" s="3">
        <f ca="1">IFERROR(__xludf.DUMMYFUNCTION("""COMPUTED_VALUE"""),-0.404183799638341)</f>
        <v>-0.404183799638341</v>
      </c>
      <c r="BN21" s="3">
        <f ca="1">IFERROR(__xludf.DUMMYFUNCTION("""COMPUTED_VALUE"""),-0.352411944850401)</f>
        <v>-0.352411944850401</v>
      </c>
      <c r="BO21" s="3">
        <f ca="1">IFERROR(__xludf.DUMMYFUNCTION("""COMPUTED_VALUE"""),-0.178669774868441)</f>
        <v>-0.17866977486844099</v>
      </c>
      <c r="BP21" s="3">
        <f ca="1">IFERROR(__xludf.DUMMYFUNCTION("""COMPUTED_VALUE"""),-0.229525506008995)</f>
        <v>-0.22952550600899499</v>
      </c>
      <c r="BQ21" s="3">
        <f ca="1">IFERROR(__xludf.DUMMYFUNCTION("""COMPUTED_VALUE"""),-0.428527070115045)</f>
        <v>-0.42852707011504498</v>
      </c>
      <c r="BR21" s="3">
        <f ca="1">IFERROR(__xludf.DUMMYFUNCTION("""COMPUTED_VALUE"""),-0.421458851280692)</f>
        <v>-0.42145885128069199</v>
      </c>
      <c r="BS21" s="3">
        <f ca="1">IFERROR(__xludf.DUMMYFUNCTION("""COMPUTED_VALUE"""),-0.419157684421315)</f>
        <v>-0.41915768442131501</v>
      </c>
      <c r="BT21" s="3">
        <f ca="1">IFERROR(__xludf.DUMMYFUNCTION("""COMPUTED_VALUE"""),-0.404115257301924)</f>
        <v>-0.40411525730192399</v>
      </c>
      <c r="BU21" s="3">
        <f ca="1">IFERROR(__xludf.DUMMYFUNCTION("""COMPUTED_VALUE"""),-0.311999198973766)</f>
        <v>-0.31199919897376599</v>
      </c>
      <c r="BV21" s="3">
        <f ca="1">IFERROR(__xludf.DUMMYFUNCTION("""COMPUTED_VALUE"""),-0.0398070521140105)</f>
        <v>-3.9807052114010498E-2</v>
      </c>
      <c r="BW21" s="3">
        <f ca="1">IFERROR(__xludf.DUMMYFUNCTION("""COMPUTED_VALUE"""),-0.158871936132532)</f>
        <v>-0.158871936132532</v>
      </c>
      <c r="BX21" s="3">
        <f ca="1">IFERROR(__xludf.DUMMYFUNCTION("""COMPUTED_VALUE"""),-0.441317802777751)</f>
        <v>-0.44131780277775101</v>
      </c>
      <c r="BY21" s="3">
        <f ca="1">IFERROR(__xludf.DUMMYFUNCTION("""COMPUTED_VALUE"""),-0.448243430120494)</f>
        <v>-0.448243430120494</v>
      </c>
      <c r="BZ21" s="3">
        <f ca="1">IFERROR(__xludf.DUMMYFUNCTION("""COMPUTED_VALUE"""),-0.465517997243919)</f>
        <v>-0.46551799724391901</v>
      </c>
      <c r="CA21" s="3">
        <f ca="1">IFERROR(__xludf.DUMMYFUNCTION("""COMPUTED_VALUE"""),-0.470663888941977)</f>
        <v>-0.47066388894197703</v>
      </c>
      <c r="CB21" s="3">
        <f ca="1">IFERROR(__xludf.DUMMYFUNCTION("""COMPUTED_VALUE"""),-0.425935180965026)</f>
        <v>-0.42593518096502597</v>
      </c>
      <c r="CC21" s="3">
        <f ca="1">IFERROR(__xludf.DUMMYFUNCTION("""COMPUTED_VALUE"""),-0.296095032010792)</f>
        <v>-0.29609503201079201</v>
      </c>
      <c r="CD21" s="3">
        <f ca="1">IFERROR(__xludf.DUMMYFUNCTION("""COMPUTED_VALUE"""),-0.317779665238572)</f>
        <v>-0.31777966523857198</v>
      </c>
      <c r="CE21" s="3">
        <f ca="1">IFERROR(__xludf.DUMMYFUNCTION("""COMPUTED_VALUE"""),-0.464035029845083)</f>
        <v>-0.46403502984508299</v>
      </c>
      <c r="CF21" s="3">
        <f ca="1">IFERROR(__xludf.DUMMYFUNCTION("""COMPUTED_VALUE"""),-0.490545934299606)</f>
        <v>-0.49054593429960602</v>
      </c>
      <c r="CG21" s="3">
        <f ca="1">IFERROR(__xludf.DUMMYFUNCTION("""COMPUTED_VALUE"""),-0.510810792526045)</f>
        <v>-0.510810792526045</v>
      </c>
      <c r="CH21" s="3">
        <f ca="1">IFERROR(__xludf.DUMMYFUNCTION("""COMPUTED_VALUE"""),-0.512574831874939)</f>
        <v>-0.51257483187493902</v>
      </c>
      <c r="CI21" s="3">
        <f ca="1">IFERROR(__xludf.DUMMYFUNCTION("""COMPUTED_VALUE"""),-0.467478632872422)</f>
        <v>-0.46747863287242197</v>
      </c>
      <c r="CJ21" s="3">
        <f ca="1">IFERROR(__xludf.DUMMYFUNCTION("""COMPUTED_VALUE"""),-0.23214842187731)</f>
        <v>-0.23214842187731</v>
      </c>
      <c r="CK21" s="3">
        <f ca="1">IFERROR(__xludf.DUMMYFUNCTION("""COMPUTED_VALUE"""),-0.280879105801365)</f>
        <v>-0.28087910580136499</v>
      </c>
      <c r="CL21" s="3">
        <f ca="1">IFERROR(__xludf.DUMMYFUNCTION("""COMPUTED_VALUE"""),-0.474521165371673)</f>
        <v>-0.47452116537167299</v>
      </c>
      <c r="CM21" s="3">
        <f ca="1">IFERROR(__xludf.DUMMYFUNCTION("""COMPUTED_VALUE"""),-0.498646813791646)</f>
        <v>-0.49864681379164599</v>
      </c>
      <c r="CN21" s="3">
        <f ca="1">IFERROR(__xludf.DUMMYFUNCTION("""COMPUTED_VALUE"""),-0.479789347837943)</f>
        <v>-0.47978934783794303</v>
      </c>
      <c r="CO21" s="3">
        <f ca="1">IFERROR(__xludf.DUMMYFUNCTION("""COMPUTED_VALUE"""),-0.497236808102661)</f>
        <v>-0.49723680810266102</v>
      </c>
      <c r="CP21" s="3">
        <f ca="1">IFERROR(__xludf.DUMMYFUNCTION("""COMPUTED_VALUE"""),-0.402187339410461)</f>
        <v>-0.40218733941046098</v>
      </c>
      <c r="CQ21" s="3">
        <f ca="1">IFERROR(__xludf.DUMMYFUNCTION("""COMPUTED_VALUE"""),-0.323117696427453)</f>
        <v>-0.32311769642745303</v>
      </c>
      <c r="CR21" s="3">
        <f ca="1">IFERROR(__xludf.DUMMYFUNCTION("""COMPUTED_VALUE"""),-0.335656750468406)</f>
        <v>-0.33565675046840598</v>
      </c>
      <c r="CS21" s="3">
        <f ca="1">IFERROR(__xludf.DUMMYFUNCTION("""COMPUTED_VALUE"""),-0.465110719764334)</f>
        <v>-0.46511071976433399</v>
      </c>
      <c r="CT21" s="3">
        <f ca="1">IFERROR(__xludf.DUMMYFUNCTION("""COMPUTED_VALUE"""),-0.504107672603911)</f>
        <v>-0.50410767260391098</v>
      </c>
      <c r="CU21" s="3">
        <f ca="1">IFERROR(__xludf.DUMMYFUNCTION("""COMPUTED_VALUE"""),-0.473470047764414)</f>
        <v>-0.47347004776441398</v>
      </c>
      <c r="CV21" s="3">
        <f ca="1">IFERROR(__xludf.DUMMYFUNCTION("""COMPUTED_VALUE"""),-0.512210978139707)</f>
        <v>-0.51221097813970695</v>
      </c>
      <c r="CW21" s="3">
        <f ca="1">IFERROR(__xludf.DUMMYFUNCTION("""COMPUTED_VALUE"""),-0.4173978022944)</f>
        <v>-0.41739780229439999</v>
      </c>
      <c r="CX21" s="3">
        <f ca="1">IFERROR(__xludf.DUMMYFUNCTION("""COMPUTED_VALUE"""),-0.303718559767245)</f>
        <v>-0.30371855976724499</v>
      </c>
      <c r="CY21" s="3">
        <f ca="1">IFERROR(__xludf.DUMMYFUNCTION("""COMPUTED_VALUE"""),-0.349930474398319)</f>
        <v>-0.34993047439831898</v>
      </c>
      <c r="CZ21" s="3">
        <f ca="1">IFERROR(__xludf.DUMMYFUNCTION("""COMPUTED_VALUE"""),-0.533081609663952)</f>
        <v>-0.53308160966395202</v>
      </c>
      <c r="DA21" s="3">
        <f ca="1">IFERROR(__xludf.DUMMYFUNCTION("""COMPUTED_VALUE"""),-0.462597029899618)</f>
        <v>-0.46259702989961798</v>
      </c>
      <c r="DB21" s="3">
        <f ca="1">IFERROR(__xludf.DUMMYFUNCTION("""COMPUTED_VALUE"""),-0.309602416867761)</f>
        <v>-0.30960241686776102</v>
      </c>
      <c r="DC21" s="3">
        <f ca="1">IFERROR(__xludf.DUMMYFUNCTION("""COMPUTED_VALUE"""),-0.454699626750477)</f>
        <v>-0.45469962675047698</v>
      </c>
      <c r="DD21" s="3">
        <f ca="1">IFERROR(__xludf.DUMMYFUNCTION("""COMPUTED_VALUE"""),-0.483474415022084)</f>
        <v>-0.48347441502208399</v>
      </c>
      <c r="DE21" s="3">
        <f ca="1">IFERROR(__xludf.DUMMYFUNCTION("""COMPUTED_VALUE"""),-0.312409911704809)</f>
        <v>-0.31240991170480897</v>
      </c>
      <c r="DF21" s="3">
        <f ca="1">IFERROR(__xludf.DUMMYFUNCTION("""COMPUTED_VALUE"""),-0.452706717445352)</f>
        <v>-0.45270671744535201</v>
      </c>
      <c r="DG21" s="3">
        <f ca="1">IFERROR(__xludf.DUMMYFUNCTION("""COMPUTED_VALUE"""),-0.754151732746702)</f>
        <v>-0.754151732746702</v>
      </c>
      <c r="DH21" s="3">
        <f ca="1">IFERROR(__xludf.DUMMYFUNCTION("""COMPUTED_VALUE"""),-0.488158345669409)</f>
        <v>-0.48815834566940902</v>
      </c>
      <c r="DI21" s="3">
        <f ca="1">IFERROR(__xludf.DUMMYFUNCTION("""COMPUTED_VALUE"""),-0.18260560027151)</f>
        <v>-0.18260560027150999</v>
      </c>
      <c r="DJ21" s="3">
        <f ca="1">IFERROR(__xludf.DUMMYFUNCTION("""COMPUTED_VALUE"""),-0.401673008003639)</f>
        <v>-0.40167300800363898</v>
      </c>
      <c r="DK21" s="3">
        <f ca="1">IFERROR(__xludf.DUMMYFUNCTION("""COMPUTED_VALUE"""),-0.347674195541869)</f>
        <v>-0.34767419554186901</v>
      </c>
      <c r="DL21" s="3">
        <f ca="1">IFERROR(__xludf.DUMMYFUNCTION("""COMPUTED_VALUE"""),-0.294734205389493)</f>
        <v>-0.29473420538949302</v>
      </c>
      <c r="DM21" s="3">
        <f ca="1">IFERROR(__xludf.DUMMYFUNCTION("""COMPUTED_VALUE"""),-0.370893778408547)</f>
        <v>-0.37089377840854698</v>
      </c>
      <c r="DN21" s="3">
        <f ca="1">IFERROR(__xludf.DUMMYFUNCTION("""COMPUTED_VALUE"""),-0.453332190969047)</f>
        <v>-0.45333219096904698</v>
      </c>
      <c r="DO21" s="3">
        <f ca="1">IFERROR(__xludf.DUMMYFUNCTION("""COMPUTED_VALUE"""),-0.480173693247623)</f>
        <v>-0.48017369324762299</v>
      </c>
      <c r="DP21" s="3">
        <f ca="1">IFERROR(__xludf.DUMMYFUNCTION("""COMPUTED_VALUE"""),-0.417438395715177)</f>
        <v>-0.41743839571517699</v>
      </c>
      <c r="DQ21" s="3">
        <f ca="1">IFERROR(__xludf.DUMMYFUNCTION("""COMPUTED_VALUE"""),-0.501359508536898)</f>
        <v>-0.50135950853689804</v>
      </c>
      <c r="DR21" s="3">
        <f ca="1">IFERROR(__xludf.DUMMYFUNCTION("""COMPUTED_VALUE"""),-0.469135805701214)</f>
        <v>-0.46913580570121399</v>
      </c>
      <c r="DS21" s="3">
        <f ca="1">IFERROR(__xludf.DUMMYFUNCTION("""COMPUTED_VALUE"""),-0.330968310331064)</f>
        <v>-0.330968310331064</v>
      </c>
      <c r="DT21" s="3">
        <f ca="1">IFERROR(__xludf.DUMMYFUNCTION("""COMPUTED_VALUE"""),-0.420496506282032)</f>
        <v>-0.420496506282032</v>
      </c>
      <c r="DU21" s="3">
        <f ca="1">IFERROR(__xludf.DUMMYFUNCTION("""COMPUTED_VALUE"""),-0.523759260289422)</f>
        <v>-0.52375926028942199</v>
      </c>
      <c r="DV21" s="3">
        <f ca="1">IFERROR(__xludf.DUMMYFUNCTION("""COMPUTED_VALUE"""),-0.469170753410178)</f>
        <v>-0.469170753410178</v>
      </c>
      <c r="DW21" s="3">
        <f ca="1">IFERROR(__xludf.DUMMYFUNCTION("""COMPUTED_VALUE"""),-0.510720949765966)</f>
        <v>-0.51072094976596605</v>
      </c>
      <c r="DX21" s="3">
        <f ca="1">IFERROR(__xludf.DUMMYFUNCTION("""COMPUTED_VALUE"""),-0.554453367749656)</f>
        <v>-0.55445336774965603</v>
      </c>
      <c r="DY21" s="3">
        <f ca="1">IFERROR(__xludf.DUMMYFUNCTION("""COMPUTED_VALUE"""),-0.504406705281684)</f>
        <v>-0.50440670528168396</v>
      </c>
      <c r="DZ21" s="3">
        <f ca="1">IFERROR(__xludf.DUMMYFUNCTION("""COMPUTED_VALUE"""),-0.383060602420801)</f>
        <v>-0.38306060242080098</v>
      </c>
      <c r="EA21" s="3">
        <f ca="1">IFERROR(__xludf.DUMMYFUNCTION("""COMPUTED_VALUE"""),-0.422405250422432)</f>
        <v>-0.42240525042243199</v>
      </c>
      <c r="EB21" s="3">
        <f ca="1">IFERROR(__xludf.DUMMYFUNCTION("""COMPUTED_VALUE"""),-0.511336778993095)</f>
        <v>-0.51133677899309504</v>
      </c>
      <c r="EC21" s="3">
        <f ca="1">IFERROR(__xludf.DUMMYFUNCTION("""COMPUTED_VALUE"""),-0.501524443720187)</f>
        <v>-0.50152444372018701</v>
      </c>
      <c r="ED21" s="3">
        <f ca="1">IFERROR(__xludf.DUMMYFUNCTION("""COMPUTED_VALUE"""),-0.573106589977216)</f>
        <v>-0.57310658997721597</v>
      </c>
      <c r="EE21" s="3">
        <f ca="1">IFERROR(__xludf.DUMMYFUNCTION("""COMPUTED_VALUE"""),-0.584365155600218)</f>
        <v>-0.58436515560021796</v>
      </c>
      <c r="EF21" s="3">
        <f ca="1">IFERROR(__xludf.DUMMYFUNCTION("""COMPUTED_VALUE"""),-0.549847961024416)</f>
        <v>-0.54984796102441602</v>
      </c>
      <c r="EG21" s="3">
        <f ca="1">IFERROR(__xludf.DUMMYFUNCTION("""COMPUTED_VALUE"""),-0.358133110168673)</f>
        <v>-0.358133110168673</v>
      </c>
      <c r="EH21" s="3">
        <f ca="1">IFERROR(__xludf.DUMMYFUNCTION("""COMPUTED_VALUE"""),-0.431671845878529)</f>
        <v>-0.43167184587852903</v>
      </c>
      <c r="EI21" s="3">
        <f ca="1">IFERROR(__xludf.DUMMYFUNCTION("""COMPUTED_VALUE"""),-0.572782956740004)</f>
        <v>-0.57278295674000401</v>
      </c>
      <c r="EJ21" s="3">
        <f ca="1">IFERROR(__xludf.DUMMYFUNCTION("""COMPUTED_VALUE"""),-0.713379012346306)</f>
        <v>-0.71337901234630596</v>
      </c>
      <c r="EK21" s="3">
        <f ca="1">IFERROR(__xludf.DUMMYFUNCTION("""COMPUTED_VALUE"""),-0.557294842616084)</f>
        <v>-0.55729484261608397</v>
      </c>
      <c r="EL21" s="3">
        <f ca="1">IFERROR(__xludf.DUMMYFUNCTION("""COMPUTED_VALUE"""),-0.559433528329774)</f>
        <v>-0.559433528329774</v>
      </c>
      <c r="EM21" s="3">
        <f ca="1">IFERROR(__xludf.DUMMYFUNCTION("""COMPUTED_VALUE"""),-0.525707042292143)</f>
        <v>-0.52570704229214305</v>
      </c>
      <c r="EN21" s="3">
        <f ca="1">IFERROR(__xludf.DUMMYFUNCTION("""COMPUTED_VALUE"""),-0.378309255776005)</f>
        <v>-0.37830925577600499</v>
      </c>
      <c r="EO21" s="3">
        <f ca="1">IFERROR(__xludf.DUMMYFUNCTION("""COMPUTED_VALUE"""),-0.396827727788649)</f>
        <v>-0.396827727788649</v>
      </c>
      <c r="EP21" s="3">
        <f ca="1">IFERROR(__xludf.DUMMYFUNCTION("""COMPUTED_VALUE"""),-0.476701098245194)</f>
        <v>-0.47670109824519402</v>
      </c>
      <c r="EQ21" s="3">
        <f ca="1">IFERROR(__xludf.DUMMYFUNCTION("""COMPUTED_VALUE"""),-0.455864206992257)</f>
        <v>-0.45586420699225699</v>
      </c>
      <c r="ER21" s="3">
        <f ca="1">IFERROR(__xludf.DUMMYFUNCTION("""COMPUTED_VALUE"""),-0.512086179637154)</f>
        <v>-0.51208617963715397</v>
      </c>
      <c r="ES21" s="3">
        <f ca="1">IFERROR(__xludf.DUMMYFUNCTION("""COMPUTED_VALUE"""),-0.52403082341429)</f>
        <v>-0.52403082341428997</v>
      </c>
      <c r="ET21" s="3">
        <f ca="1">IFERROR(__xludf.DUMMYFUNCTION("""COMPUTED_VALUE"""),-0.490057831227041)</f>
        <v>-0.490057831227041</v>
      </c>
      <c r="EU21" s="3">
        <f ca="1">IFERROR(__xludf.DUMMYFUNCTION("""COMPUTED_VALUE"""),-0.335776437676402)</f>
        <v>-0.33577643767640197</v>
      </c>
      <c r="EV21" s="3">
        <f ca="1">IFERROR(__xludf.DUMMYFUNCTION("""COMPUTED_VALUE"""),-0.38082798182858)</f>
        <v>-0.38082798182858002</v>
      </c>
      <c r="EW21" s="3">
        <f ca="1">IFERROR(__xludf.DUMMYFUNCTION("""COMPUTED_VALUE"""),-0.540560988577268)</f>
        <v>-0.54056098857726798</v>
      </c>
      <c r="EX21" s="3">
        <f ca="1">IFERROR(__xludf.DUMMYFUNCTION("""COMPUTED_VALUE"""),-0.540829528681964)</f>
        <v>-0.54082952868196399</v>
      </c>
      <c r="EY21" s="3">
        <f ca="1">IFERROR(__xludf.DUMMYFUNCTION("""COMPUTED_VALUE"""),-0.564553390294374)</f>
        <v>-0.56455339029437401</v>
      </c>
      <c r="EZ21" s="3">
        <f ca="1">IFERROR(__xludf.DUMMYFUNCTION("""COMPUTED_VALUE"""),-0.564578693121849)</f>
        <v>-0.56457869312184905</v>
      </c>
      <c r="FA21" s="3">
        <f ca="1">IFERROR(__xludf.DUMMYFUNCTION("""COMPUTED_VALUE"""),-0.536571062342146)</f>
        <v>-0.53657106234214602</v>
      </c>
      <c r="FB21" s="3">
        <f ca="1">IFERROR(__xludf.DUMMYFUNCTION("""COMPUTED_VALUE"""),-0.32579767275809)</f>
        <v>-0.32579767275809002</v>
      </c>
      <c r="FC21" s="3">
        <f ca="1">IFERROR(__xludf.DUMMYFUNCTION("""COMPUTED_VALUE"""),-0.430329384024218)</f>
        <v>-0.430329384024218</v>
      </c>
      <c r="FD21" s="3">
        <f ca="1">IFERROR(__xludf.DUMMYFUNCTION("""COMPUTED_VALUE"""),-0.553310658222765)</f>
        <v>-0.55331065822276504</v>
      </c>
      <c r="FE21" s="3">
        <f ca="1">IFERROR(__xludf.DUMMYFUNCTION("""COMPUTED_VALUE"""),-0.597017138676627)</f>
        <v>-0.59701713867662698</v>
      </c>
      <c r="FF21" s="3">
        <f ca="1">IFERROR(__xludf.DUMMYFUNCTION("""COMPUTED_VALUE"""),-0.568980760562373)</f>
        <v>-0.56898076056237301</v>
      </c>
      <c r="FG21" s="3">
        <f ca="1">IFERROR(__xludf.DUMMYFUNCTION("""COMPUTED_VALUE"""),-0.538707697484354)</f>
        <v>-0.53870769748435399</v>
      </c>
      <c r="FH21" s="3">
        <f ca="1">IFERROR(__xludf.DUMMYFUNCTION("""COMPUTED_VALUE"""),-0.51865788392293)</f>
        <v>-0.51865788392293</v>
      </c>
      <c r="FI21" s="3">
        <f ca="1">IFERROR(__xludf.DUMMYFUNCTION("""COMPUTED_VALUE"""),-0.271422387094637)</f>
        <v>-0.27142238709463701</v>
      </c>
      <c r="FJ21" s="3">
        <f ca="1">IFERROR(__xludf.DUMMYFUNCTION("""COMPUTED_VALUE"""),-0.37731069180494)</f>
        <v>-0.37731069180493998</v>
      </c>
      <c r="FK21" s="3">
        <f ca="1">IFERROR(__xludf.DUMMYFUNCTION("""COMPUTED_VALUE"""),-0.514743742864378)</f>
        <v>-0.51474374286437796</v>
      </c>
      <c r="FL21" s="3">
        <f ca="1">IFERROR(__xludf.DUMMYFUNCTION("""COMPUTED_VALUE"""),-0.583117158806996)</f>
        <v>-0.58311715880699599</v>
      </c>
      <c r="FM21" s="3">
        <f ca="1">IFERROR(__xludf.DUMMYFUNCTION("""COMPUTED_VALUE"""),-0.595861229669545)</f>
        <v>-0.59586122966954502</v>
      </c>
      <c r="FN21" s="3">
        <f ca="1">IFERROR(__xludf.DUMMYFUNCTION("""COMPUTED_VALUE"""),-0.542139829772028)</f>
        <v>-0.54213982977202801</v>
      </c>
      <c r="FO21" s="3">
        <f ca="1">IFERROR(__xludf.DUMMYFUNCTION("""COMPUTED_VALUE"""),-0.479045643105449)</f>
        <v>-0.479045643105449</v>
      </c>
      <c r="FP21" s="3">
        <f ca="1">IFERROR(__xludf.DUMMYFUNCTION("""COMPUTED_VALUE"""),-0.394719624071561)</f>
        <v>-0.39471962407156103</v>
      </c>
      <c r="FQ21" s="3">
        <f ca="1">IFERROR(__xludf.DUMMYFUNCTION("""COMPUTED_VALUE"""),-0.397579877247061)</f>
        <v>-0.39757987724706101</v>
      </c>
      <c r="FR21" s="3">
        <f ca="1">IFERROR(__xludf.DUMMYFUNCTION("""COMPUTED_VALUE"""),-0.54120654736566)</f>
        <v>-0.54120654736565998</v>
      </c>
      <c r="FS21" s="3">
        <f ca="1">IFERROR(__xludf.DUMMYFUNCTION("""COMPUTED_VALUE"""),-0.534520221718959)</f>
        <v>-0.53452022171895897</v>
      </c>
      <c r="FT21" s="3">
        <f ca="1">IFERROR(__xludf.DUMMYFUNCTION("""COMPUTED_VALUE"""),-0.554639889496298)</f>
        <v>-0.55463988949629806</v>
      </c>
      <c r="FU21" s="3">
        <f ca="1">IFERROR(__xludf.DUMMYFUNCTION("""COMPUTED_VALUE"""),-0.492288017547566)</f>
        <v>-0.49228801754756601</v>
      </c>
      <c r="FV21" s="3">
        <f ca="1">IFERROR(__xludf.DUMMYFUNCTION("""COMPUTED_VALUE"""),-0.466768729986026)</f>
        <v>-0.46676872998602598</v>
      </c>
      <c r="FW21" s="3">
        <f ca="1">IFERROR(__xludf.DUMMYFUNCTION("""COMPUTED_VALUE"""),-0.308603766477238)</f>
        <v>-0.30860376647723797</v>
      </c>
      <c r="FX21" s="3">
        <f ca="1">IFERROR(__xludf.DUMMYFUNCTION("""COMPUTED_VALUE"""),-0.322373790378374)</f>
        <v>-0.32237379037837399</v>
      </c>
      <c r="FY21" s="3">
        <f ca="1">IFERROR(__xludf.DUMMYFUNCTION("""COMPUTED_VALUE"""),-0.545200272274037)</f>
        <v>-0.545200272274037</v>
      </c>
      <c r="FZ21" s="3">
        <f ca="1">IFERROR(__xludf.DUMMYFUNCTION("""COMPUTED_VALUE"""),-0.550929948630178)</f>
        <v>-0.55092994863017797</v>
      </c>
      <c r="GA21" s="3">
        <f ca="1">IFERROR(__xludf.DUMMYFUNCTION("""COMPUTED_VALUE"""),-0.541959587895339)</f>
        <v>-0.54195958789533905</v>
      </c>
      <c r="GB21" s="3">
        <f ca="1">IFERROR(__xludf.DUMMYFUNCTION("""COMPUTED_VALUE"""),-0.494351468026786)</f>
        <v>-0.49435146802678598</v>
      </c>
      <c r="GC21" s="3">
        <f ca="1">IFERROR(__xludf.DUMMYFUNCTION("""COMPUTED_VALUE"""),-0.429162053304813)</f>
        <v>-0.429162053304813</v>
      </c>
      <c r="GD21" s="3">
        <f ca="1">IFERROR(__xludf.DUMMYFUNCTION("""COMPUTED_VALUE"""),-0.257908563556845)</f>
        <v>-0.25790856355684499</v>
      </c>
      <c r="GE21" s="3">
        <f ca="1">IFERROR(__xludf.DUMMYFUNCTION("""COMPUTED_VALUE"""),-0.419350813989556)</f>
        <v>-0.41935081398955598</v>
      </c>
      <c r="GF21" s="3">
        <f ca="1">IFERROR(__xludf.DUMMYFUNCTION("""COMPUTED_VALUE"""),-0.479700248529187)</f>
        <v>-0.47970024852918702</v>
      </c>
      <c r="GG21" s="3">
        <f ca="1">IFERROR(__xludf.DUMMYFUNCTION("""COMPUTED_VALUE"""),-0.464507122612393)</f>
        <v>-0.46450712261239302</v>
      </c>
      <c r="GH21" s="3">
        <f ca="1">IFERROR(__xludf.DUMMYFUNCTION("""COMPUTED_VALUE"""),-0.43695515089917)</f>
        <v>-0.43695515089916998</v>
      </c>
      <c r="GI21" s="3">
        <f ca="1">IFERROR(__xludf.DUMMYFUNCTION("""COMPUTED_VALUE"""),-0.386752182401371)</f>
        <v>-0.38675218240137099</v>
      </c>
      <c r="GJ21" s="3">
        <f ca="1">IFERROR(__xludf.DUMMYFUNCTION("""COMPUTED_VALUE"""),-0.371069114283133)</f>
        <v>-0.37106911428313299</v>
      </c>
      <c r="GK21" s="3">
        <f ca="1">IFERROR(__xludf.DUMMYFUNCTION("""COMPUTED_VALUE"""),-0.328080285648706)</f>
        <v>-0.328080285648706</v>
      </c>
      <c r="GL21" s="3">
        <f ca="1">IFERROR(__xludf.DUMMYFUNCTION("""COMPUTED_VALUE"""),-0.368032869810379)</f>
        <v>-0.36803286981037903</v>
      </c>
      <c r="GM21" s="3">
        <f ca="1">IFERROR(__xludf.DUMMYFUNCTION("""COMPUTED_VALUE"""),-0.430812679375923)</f>
        <v>-0.43081267937592299</v>
      </c>
      <c r="GN21" s="3">
        <f ca="1">IFERROR(__xludf.DUMMYFUNCTION("""COMPUTED_VALUE"""),-0.458560530320247)</f>
        <v>-0.45856053032024702</v>
      </c>
      <c r="GO21" s="3">
        <f ca="1">IFERROR(__xludf.DUMMYFUNCTION("""COMPUTED_VALUE"""),-0.439290209532576)</f>
        <v>-0.43929020953257603</v>
      </c>
      <c r="GP21" s="3">
        <f ca="1">IFERROR(__xludf.DUMMYFUNCTION("""COMPUTED_VALUE"""),-0.426268707177491)</f>
        <v>-0.42626870717749099</v>
      </c>
      <c r="GQ21" s="3">
        <f ca="1">IFERROR(__xludf.DUMMYFUNCTION("""COMPUTED_VALUE"""),-0.410282128931572)</f>
        <v>-0.41028212893157201</v>
      </c>
      <c r="GR21" s="3">
        <f ca="1">IFERROR(__xludf.DUMMYFUNCTION("""COMPUTED_VALUE"""),-0.318710966482206)</f>
        <v>-0.31871096648220598</v>
      </c>
      <c r="GS21" s="3">
        <f ca="1">IFERROR(__xludf.DUMMYFUNCTION("""COMPUTED_VALUE"""),-0.368675949593139)</f>
        <v>-0.36867594959313899</v>
      </c>
      <c r="GT21" s="3">
        <f ca="1">IFERROR(__xludf.DUMMYFUNCTION("""COMPUTED_VALUE"""),-0.43361578446679)</f>
        <v>-0.43361578446679</v>
      </c>
      <c r="GU21" s="3">
        <f ca="1">IFERROR(__xludf.DUMMYFUNCTION("""COMPUTED_VALUE"""),-0.459120226979514)</f>
        <v>-0.45912022697951399</v>
      </c>
      <c r="GV21" s="3">
        <f ca="1">IFERROR(__xludf.DUMMYFUNCTION("""COMPUTED_VALUE"""),-0.449557526209856)</f>
        <v>-0.44955752620985601</v>
      </c>
      <c r="GW21" s="3">
        <f ca="1">IFERROR(__xludf.DUMMYFUNCTION("""COMPUTED_VALUE"""),-0.419520684832345)</f>
        <v>-0.419520684832345</v>
      </c>
      <c r="GX21" s="3">
        <f ca="1">IFERROR(__xludf.DUMMYFUNCTION("""COMPUTED_VALUE"""),-0.373298948496762)</f>
        <v>-0.37329894849676198</v>
      </c>
      <c r="GY21" s="3">
        <f ca="1">IFERROR(__xludf.DUMMYFUNCTION("""COMPUTED_VALUE"""),-0.330493732635632)</f>
        <v>-0.33049373263563198</v>
      </c>
      <c r="GZ21" s="3">
        <f ca="1">IFERROR(__xludf.DUMMYFUNCTION("""COMPUTED_VALUE"""),-0.378547001728297)</f>
        <v>-0.37854700172829697</v>
      </c>
      <c r="HA21" s="3">
        <f ca="1">IFERROR(__xludf.DUMMYFUNCTION("""COMPUTED_VALUE"""),-0.349153140039626)</f>
        <v>-0.349153140039626</v>
      </c>
      <c r="HB21" s="3">
        <f ca="1">IFERROR(__xludf.DUMMYFUNCTION("""COMPUTED_VALUE"""),-0.411055875888665)</f>
        <v>-0.41105587588866499</v>
      </c>
      <c r="HC21" s="3">
        <f ca="1">IFERROR(__xludf.DUMMYFUNCTION("""COMPUTED_VALUE"""),-0.434516252874499)</f>
        <v>-0.43451625287449902</v>
      </c>
      <c r="HD21" s="3">
        <f ca="1">IFERROR(__xludf.DUMMYFUNCTION("""COMPUTED_VALUE"""),-0.43941567217072)</f>
        <v>-0.43941567217071997</v>
      </c>
      <c r="HE21" s="3">
        <f ca="1">IFERROR(__xludf.DUMMYFUNCTION("""COMPUTED_VALUE"""),-0.438998904486198)</f>
        <v>-0.43899890448619799</v>
      </c>
      <c r="HF21" s="3">
        <f ca="1">IFERROR(__xludf.DUMMYFUNCTION("""COMPUTED_VALUE"""),-0.322670179799101)</f>
        <v>-0.32267017979910101</v>
      </c>
      <c r="HG21" s="3">
        <f ca="1">IFERROR(__xludf.DUMMYFUNCTION("""COMPUTED_VALUE"""),-0.374824676898337)</f>
        <v>-0.37482467689833698</v>
      </c>
      <c r="HH21" s="3">
        <f ca="1">IFERROR(__xludf.DUMMYFUNCTION("""COMPUTED_VALUE"""),-0.44559676713181)</f>
        <v>-0.44559676713181001</v>
      </c>
      <c r="HI21" s="3">
        <f ca="1">IFERROR(__xludf.DUMMYFUNCTION("""COMPUTED_VALUE"""),-0.402914905317097)</f>
        <v>-0.40291490531709701</v>
      </c>
      <c r="HJ21" s="3">
        <f ca="1">IFERROR(__xludf.DUMMYFUNCTION("""COMPUTED_VALUE"""),-0.353074660081189)</f>
        <v>-0.35307466008118898</v>
      </c>
      <c r="HK21" s="3">
        <f ca="1">IFERROR(__xludf.DUMMYFUNCTION("""COMPUTED_VALUE"""),-0.368492397627495)</f>
        <v>-0.36849239762749503</v>
      </c>
      <c r="HL21" s="3">
        <f ca="1">IFERROR(__xludf.DUMMYFUNCTION("""COMPUTED_VALUE"""),-0.300105877185433)</f>
        <v>-0.30010587718543302</v>
      </c>
      <c r="HM21" s="3">
        <f ca="1">IFERROR(__xludf.DUMMYFUNCTION("""COMPUTED_VALUE"""),-0.193775895030378)</f>
        <v>-0.19377589503037801</v>
      </c>
      <c r="HN21" s="3">
        <f ca="1">IFERROR(__xludf.DUMMYFUNCTION("""COMPUTED_VALUE"""),-0.276938700927708)</f>
        <v>-0.276938700927708</v>
      </c>
      <c r="HO21" s="3">
        <f ca="1">IFERROR(__xludf.DUMMYFUNCTION("""COMPUTED_VALUE"""),-0.315031569587595)</f>
        <v>-0.31503156958759498</v>
      </c>
      <c r="HP21" s="3">
        <f ca="1">IFERROR(__xludf.DUMMYFUNCTION("""COMPUTED_VALUE"""),-0.405160561188511)</f>
        <v>-0.40516056118851101</v>
      </c>
      <c r="HQ21" s="3">
        <f ca="1">IFERROR(__xludf.DUMMYFUNCTION("""COMPUTED_VALUE"""),-0.403117974210137)</f>
        <v>-0.40311797421013701</v>
      </c>
      <c r="HR21" s="3">
        <f ca="1">IFERROR(__xludf.DUMMYFUNCTION("""COMPUTED_VALUE"""),-0.364416026014416)</f>
        <v>-0.36441602601441597</v>
      </c>
      <c r="HS21" s="3">
        <f ca="1">IFERROR(__xludf.DUMMYFUNCTION("""COMPUTED_VALUE"""),-0.379058555423189)</f>
        <v>-0.379058555423189</v>
      </c>
      <c r="HT21" s="3">
        <f ca="1">IFERROR(__xludf.DUMMYFUNCTION("""COMPUTED_VALUE"""),-0.410480302273148)</f>
        <v>-0.41048030227314802</v>
      </c>
      <c r="HU21" s="3">
        <f ca="1">IFERROR(__xludf.DUMMYFUNCTION("""COMPUTED_VALUE"""),-0.391573720376233)</f>
        <v>-0.391573720376233</v>
      </c>
      <c r="HV21" s="3">
        <f ca="1">IFERROR(__xludf.DUMMYFUNCTION("""COMPUTED_VALUE"""),-0.412323838944545)</f>
        <v>-0.412323838944545</v>
      </c>
      <c r="HW21" s="3">
        <f ca="1">IFERROR(__xludf.DUMMYFUNCTION("""COMPUTED_VALUE"""),-0.478631709287851)</f>
        <v>-0.47863170928785098</v>
      </c>
      <c r="HX21" s="3">
        <f ca="1">IFERROR(__xludf.DUMMYFUNCTION("""COMPUTED_VALUE"""),-0.460759979202858)</f>
        <v>-0.46075997920285799</v>
      </c>
      <c r="HY21" s="3">
        <f ca="1">IFERROR(__xludf.DUMMYFUNCTION("""COMPUTED_VALUE"""),-0.498042250993363)</f>
        <v>-0.49804225099336302</v>
      </c>
      <c r="HZ21" s="3">
        <f ca="1">IFERROR(__xludf.DUMMYFUNCTION("""COMPUTED_VALUE"""),-0.430339226277011)</f>
        <v>-0.43033922627701099</v>
      </c>
      <c r="IA21" s="3">
        <f ca="1">IFERROR(__xludf.DUMMYFUNCTION("""COMPUTED_VALUE"""),-0.417092105478127)</f>
        <v>-0.41709210547812697</v>
      </c>
      <c r="IB21" s="3">
        <f ca="1">IFERROR(__xludf.DUMMYFUNCTION("""COMPUTED_VALUE"""),-0.387165172283325)</f>
        <v>-0.38716517228332498</v>
      </c>
      <c r="IC21" s="3">
        <f ca="1">IFERROR(__xludf.DUMMYFUNCTION("""COMPUTED_VALUE"""),-0.399628130219265)</f>
        <v>-0.39962813021926502</v>
      </c>
      <c r="ID21" s="3">
        <f ca="1">IFERROR(__xludf.DUMMYFUNCTION("""COMPUTED_VALUE"""),-0.439025067464104)</f>
        <v>-0.43902506746410402</v>
      </c>
      <c r="IE21" s="3">
        <f ca="1">IFERROR(__xludf.DUMMYFUNCTION("""COMPUTED_VALUE"""),-0.440216213090055)</f>
        <v>-0.44021621309005499</v>
      </c>
      <c r="IF21" s="3">
        <f ca="1">IFERROR(__xludf.DUMMYFUNCTION("""COMPUTED_VALUE"""),-0.445306756383052)</f>
        <v>-0.445306756383052</v>
      </c>
      <c r="IG21" s="3">
        <f ca="1">IFERROR(__xludf.DUMMYFUNCTION("""COMPUTED_VALUE"""),-0.391817612720815)</f>
        <v>-0.391817612720815</v>
      </c>
      <c r="IH21" s="3">
        <f ca="1">IFERROR(__xludf.DUMMYFUNCTION("""COMPUTED_VALUE"""),-0.434213028007372)</f>
        <v>-0.43421302800737199</v>
      </c>
      <c r="II21" s="3">
        <f ca="1">IFERROR(__xludf.DUMMYFUNCTION("""COMPUTED_VALUE"""),-0.483326301029541)</f>
        <v>-0.48332630102954099</v>
      </c>
      <c r="IJ21" s="3">
        <f ca="1">IFERROR(__xludf.DUMMYFUNCTION("""COMPUTED_VALUE"""),-0.485336020162281)</f>
        <v>-0.485336020162281</v>
      </c>
      <c r="IK21" s="3">
        <f ca="1">IFERROR(__xludf.DUMMYFUNCTION("""COMPUTED_VALUE"""),-0.459011034294548)</f>
        <v>-0.45901103429454798</v>
      </c>
      <c r="IL21" s="3">
        <f ca="1">IFERROR(__xludf.DUMMYFUNCTION("""COMPUTED_VALUE"""),-0.489795739505376)</f>
        <v>-0.48979573950537603</v>
      </c>
      <c r="IM21" s="3">
        <f ca="1">IFERROR(__xludf.DUMMYFUNCTION("""COMPUTED_VALUE"""),-0.467336763538408)</f>
        <v>-0.46733676353840797</v>
      </c>
      <c r="IN21" s="3">
        <f ca="1">IFERROR(__xludf.DUMMYFUNCTION("""COMPUTED_VALUE"""),-0.450380309308043)</f>
        <v>-0.45038030930804301</v>
      </c>
      <c r="IO21" s="3">
        <f ca="1">IFERROR(__xludf.DUMMYFUNCTION("""COMPUTED_VALUE"""),-0.384233024131065)</f>
        <v>-0.38423302413106503</v>
      </c>
      <c r="IP21" s="3">
        <f ca="1">IFERROR(__xludf.DUMMYFUNCTION("""COMPUTED_VALUE"""),-0.458963601363478)</f>
        <v>-0.45896360136347802</v>
      </c>
      <c r="IQ21" s="3">
        <f ca="1">IFERROR(__xludf.DUMMYFUNCTION("""COMPUTED_VALUE"""),-0.431350619317503)</f>
        <v>-0.43135061931750301</v>
      </c>
      <c r="IR21" s="3">
        <f ca="1">IFERROR(__xludf.DUMMYFUNCTION("""COMPUTED_VALUE"""),-0.442025567853733)</f>
        <v>-0.44202556785373298</v>
      </c>
      <c r="IS21" s="3">
        <f ca="1">IFERROR(__xludf.DUMMYFUNCTION("""COMPUTED_VALUE"""),-0.430096319879295)</f>
        <v>-0.43009631987929497</v>
      </c>
      <c r="IT21" s="3">
        <f ca="1">IFERROR(__xludf.DUMMYFUNCTION("""COMPUTED_VALUE"""),-0.415891576268271)</f>
        <v>-0.415891576268271</v>
      </c>
      <c r="IU21" s="3">
        <f ca="1">IFERROR(__xludf.DUMMYFUNCTION("""COMPUTED_VALUE"""),-0.382341148106684)</f>
        <v>-0.38234114810668401</v>
      </c>
      <c r="IV21" s="3">
        <f ca="1">IFERROR(__xludf.DUMMYFUNCTION("""COMPUTED_VALUE"""),-0.406015277893801)</f>
        <v>-0.40601527789380099</v>
      </c>
      <c r="IW21" s="3">
        <f ca="1">IFERROR(__xludf.DUMMYFUNCTION("""COMPUTED_VALUE"""),-0.472375355061888)</f>
        <v>-0.47237535506188799</v>
      </c>
      <c r="IX21" s="3">
        <f ca="1">IFERROR(__xludf.DUMMYFUNCTION("""COMPUTED_VALUE"""),-0.40328693768)</f>
        <v>-0.40328693768000001</v>
      </c>
      <c r="IY21" s="3">
        <f ca="1">IFERROR(__xludf.DUMMYFUNCTION("""COMPUTED_VALUE"""),-0.46870282622528)</f>
        <v>-0.46870282622527998</v>
      </c>
      <c r="IZ21" s="3">
        <f ca="1">IFERROR(__xludf.DUMMYFUNCTION("""COMPUTED_VALUE"""),-0.428711818403758)</f>
        <v>-0.42871181840375799</v>
      </c>
      <c r="JA21" s="3">
        <f ca="1">IFERROR(__xludf.DUMMYFUNCTION("""COMPUTED_VALUE"""),-0.357109084178916)</f>
        <v>-0.35710908417891601</v>
      </c>
      <c r="JB21" s="3">
        <f ca="1">IFERROR(__xludf.DUMMYFUNCTION("""COMPUTED_VALUE"""),-0.382712647865967)</f>
        <v>-0.38271264786596698</v>
      </c>
      <c r="JC21" s="3">
        <f ca="1">IFERROR(__xludf.DUMMYFUNCTION("""COMPUTED_VALUE"""),-0.364126268300769)</f>
        <v>-0.364126268300769</v>
      </c>
      <c r="JD21" s="3">
        <f ca="1">IFERROR(__xludf.DUMMYFUNCTION("""COMPUTED_VALUE"""),-0.337763519287628)</f>
        <v>-0.33776351928762799</v>
      </c>
      <c r="JE21" s="3">
        <f ca="1">IFERROR(__xludf.DUMMYFUNCTION("""COMPUTED_VALUE"""),-0.382990657044193)</f>
        <v>-0.38299065704419299</v>
      </c>
      <c r="JF21" s="3">
        <f ca="1">IFERROR(__xludf.DUMMYFUNCTION("""COMPUTED_VALUE"""),-0.406702540648836)</f>
        <v>-0.40670254064883599</v>
      </c>
      <c r="JG21" s="3">
        <f ca="1">IFERROR(__xludf.DUMMYFUNCTION("""COMPUTED_VALUE"""),-0.464765374152697)</f>
        <v>-0.46476537415269698</v>
      </c>
      <c r="JH21" s="3">
        <f ca="1">IFERROR(__xludf.DUMMYFUNCTION("""COMPUTED_VALUE"""),-0.366740459556322)</f>
        <v>-0.36674045955632201</v>
      </c>
      <c r="JI21" s="3">
        <f ca="1">IFERROR(__xludf.DUMMYFUNCTION("""COMPUTED_VALUE"""),-0.398499757133255)</f>
        <v>-0.39849975713325497</v>
      </c>
      <c r="JJ21" s="3">
        <f ca="1">IFERROR(__xludf.DUMMYFUNCTION("""COMPUTED_VALUE"""),-0.421590554666933)</f>
        <v>-0.42159055466693302</v>
      </c>
      <c r="JK21" s="3">
        <f ca="1">IFERROR(__xludf.DUMMYFUNCTION("""COMPUTED_VALUE"""),-0.428255846570595)</f>
        <v>-0.42825584657059501</v>
      </c>
      <c r="JL21" s="3">
        <f ca="1">IFERROR(__xludf.DUMMYFUNCTION("""COMPUTED_VALUE"""),-0.392436601826911)</f>
        <v>-0.39243660182691098</v>
      </c>
      <c r="JM21" s="3">
        <f ca="1">IFERROR(__xludf.DUMMYFUNCTION("""COMPUTED_VALUE"""),-0.394478564942385)</f>
        <v>-0.39447856494238498</v>
      </c>
      <c r="JN21" s="3">
        <f ca="1">IFERROR(__xludf.DUMMYFUNCTION("""COMPUTED_VALUE"""),-0.416201155874316)</f>
        <v>-0.416201155874316</v>
      </c>
      <c r="JO21" s="3">
        <f ca="1">IFERROR(__xludf.DUMMYFUNCTION("""COMPUTED_VALUE"""),-0.340923379138693)</f>
        <v>-0.34092337913869297</v>
      </c>
      <c r="JP21" s="3">
        <f ca="1">IFERROR(__xludf.DUMMYFUNCTION("""COMPUTED_VALUE"""),-0.370376286647111)</f>
        <v>-0.37037628664711097</v>
      </c>
      <c r="JQ21" s="3">
        <f ca="1">IFERROR(__xludf.DUMMYFUNCTION("""COMPUTED_VALUE"""),-0.339311235578258)</f>
        <v>-0.33931123557825799</v>
      </c>
      <c r="JR21" s="3">
        <f ca="1">IFERROR(__xludf.DUMMYFUNCTION("""COMPUTED_VALUE"""),-0.39303985632763)</f>
        <v>-0.39303985632763</v>
      </c>
      <c r="JS21" s="3">
        <f ca="1">IFERROR(__xludf.DUMMYFUNCTION("""COMPUTED_VALUE"""),-0.440553455747101)</f>
        <v>-0.44055345574710097</v>
      </c>
      <c r="JT21" s="3">
        <f ca="1">IFERROR(__xludf.DUMMYFUNCTION("""COMPUTED_VALUE"""),-0.413480188206066)</f>
        <v>-0.41348018820606602</v>
      </c>
      <c r="JU21" s="3">
        <f ca="1">IFERROR(__xludf.DUMMYFUNCTION("""COMPUTED_VALUE"""),-0.378833408449718)</f>
        <v>-0.37883340844971802</v>
      </c>
      <c r="JV21" s="3">
        <f ca="1">IFERROR(__xludf.DUMMYFUNCTION("""COMPUTED_VALUE"""),-0.362502980190948)</f>
        <v>-0.36250298019094801</v>
      </c>
      <c r="JW21" s="3">
        <f ca="1">IFERROR(__xludf.DUMMYFUNCTION("""COMPUTED_VALUE"""),-0.370135935953533)</f>
        <v>-0.370135935953533</v>
      </c>
      <c r="JX21" s="3">
        <f ca="1">IFERROR(__xludf.DUMMYFUNCTION("""COMPUTED_VALUE"""),-0.375427865297399)</f>
        <v>-0.37542786529739902</v>
      </c>
      <c r="JY21" s="3">
        <f ca="1">IFERROR(__xludf.DUMMYFUNCTION("""COMPUTED_VALUE"""),-0.369037845269982)</f>
        <v>-0.36903784526998201</v>
      </c>
      <c r="JZ21" s="3">
        <f ca="1">IFERROR(__xludf.DUMMYFUNCTION("""COMPUTED_VALUE"""),-0.238418253747016)</f>
        <v>-0.238418253747016</v>
      </c>
      <c r="KA21" s="3">
        <f ca="1">IFERROR(__xludf.DUMMYFUNCTION("""COMPUTED_VALUE"""),-0.334824236216434)</f>
        <v>-0.33482423621643398</v>
      </c>
      <c r="KB21" s="3">
        <f ca="1">IFERROR(__xludf.DUMMYFUNCTION("""COMPUTED_VALUE"""),-0.415135609881813)</f>
        <v>-0.41513560988181297</v>
      </c>
      <c r="KC21" s="3">
        <f ca="1">IFERROR(__xludf.DUMMYFUNCTION("""COMPUTED_VALUE"""),-0.357423076596596)</f>
        <v>-0.357423076596596</v>
      </c>
      <c r="KD21" s="3">
        <f ca="1">IFERROR(__xludf.DUMMYFUNCTION("""COMPUTED_VALUE"""),-0.308374056471339)</f>
        <v>-0.30837405647133898</v>
      </c>
      <c r="KE21" s="3">
        <f ca="1">IFERROR(__xludf.DUMMYFUNCTION("""COMPUTED_VALUE"""),-0.340086368535465)</f>
        <v>-0.34008636853546498</v>
      </c>
      <c r="KF21" s="3">
        <f ca="1">IFERROR(__xludf.DUMMYFUNCTION("""COMPUTED_VALUE"""),-0.431356309493841)</f>
        <v>-0.43135630949384102</v>
      </c>
      <c r="KG21" s="3">
        <f ca="1">IFERROR(__xludf.DUMMYFUNCTION("""COMPUTED_VALUE"""),-0.39555293897785)</f>
        <v>-0.39555293897784999</v>
      </c>
      <c r="KH21" s="3">
        <f ca="1">IFERROR(__xludf.DUMMYFUNCTION("""COMPUTED_VALUE"""),-0.388108620460534)</f>
        <v>-0.38810862046053402</v>
      </c>
      <c r="KI21" s="3">
        <f ca="1">IFERROR(__xludf.DUMMYFUNCTION("""COMPUTED_VALUE"""),-0.430921558750178)</f>
        <v>-0.43092155875017801</v>
      </c>
      <c r="KJ21" s="3">
        <f ca="1">IFERROR(__xludf.DUMMYFUNCTION("""COMPUTED_VALUE"""),-0.393690641311931)</f>
        <v>-0.39369064131193099</v>
      </c>
      <c r="KK21" s="3">
        <f ca="1">IFERROR(__xludf.DUMMYFUNCTION("""COMPUTED_VALUE"""),-0.353795938818671)</f>
        <v>-0.353795938818671</v>
      </c>
      <c r="KL21" s="3">
        <f ca="1">IFERROR(__xludf.DUMMYFUNCTION("""COMPUTED_VALUE"""),-0.314261244014065)</f>
        <v>-0.31426124401406502</v>
      </c>
      <c r="KM21" s="3">
        <f ca="1">IFERROR(__xludf.DUMMYFUNCTION("""COMPUTED_VALUE"""),-0.372792924183152)</f>
        <v>-0.37279292418315202</v>
      </c>
      <c r="KN21" s="3">
        <f ca="1">IFERROR(__xludf.DUMMYFUNCTION("""COMPUTED_VALUE"""),-0.435794817911946)</f>
        <v>-0.43579481791194602</v>
      </c>
      <c r="KO21" s="3">
        <f ca="1">IFERROR(__xludf.DUMMYFUNCTION("""COMPUTED_VALUE"""),-0.467481027681681)</f>
        <v>-0.46748102768168098</v>
      </c>
      <c r="KP21" s="3">
        <f ca="1">IFERROR(__xludf.DUMMYFUNCTION("""COMPUTED_VALUE"""),-0.534380562946315)</f>
        <v>-0.53438056294631497</v>
      </c>
      <c r="KQ21" s="3">
        <f ca="1">IFERROR(__xludf.DUMMYFUNCTION("""COMPUTED_VALUE"""),-0.47006350062388)</f>
        <v>-0.47006350062388003</v>
      </c>
      <c r="KR21" s="3">
        <f ca="1">IFERROR(__xludf.DUMMYFUNCTION("""COMPUTED_VALUE"""),-0.406813058097512)</f>
        <v>-0.406813058097512</v>
      </c>
      <c r="KS21" s="3">
        <f ca="1">IFERROR(__xludf.DUMMYFUNCTION("""COMPUTED_VALUE"""),-0.413657887499486)</f>
        <v>-0.41365788749948601</v>
      </c>
      <c r="KT21" s="3">
        <f ca="1">IFERROR(__xludf.DUMMYFUNCTION("""COMPUTED_VALUE"""),-0.474502463396192)</f>
        <v>-0.47450246339619201</v>
      </c>
      <c r="KU21" s="3">
        <f ca="1">IFERROR(__xludf.DUMMYFUNCTION("""COMPUTED_VALUE"""),-0.476755324944666)</f>
        <v>-0.47675532494466599</v>
      </c>
      <c r="KV21" s="3">
        <f ca="1">IFERROR(__xludf.DUMMYFUNCTION("""COMPUTED_VALUE"""),-0.436152120881446)</f>
        <v>-0.436152120881446</v>
      </c>
      <c r="KW21" s="3">
        <f ca="1">IFERROR(__xludf.DUMMYFUNCTION("""COMPUTED_VALUE"""),-0.490857839731049)</f>
        <v>-0.49085783973104902</v>
      </c>
      <c r="KX21" s="3">
        <f ca="1">IFERROR(__xludf.DUMMYFUNCTION("""COMPUTED_VALUE"""),-0.497176164172189)</f>
        <v>-0.49717616417218902</v>
      </c>
      <c r="KY21" s="3">
        <f ca="1">IFERROR(__xludf.DUMMYFUNCTION("""COMPUTED_VALUE"""),-0.383064121262671)</f>
        <v>-0.38306412126267098</v>
      </c>
      <c r="KZ21" s="3">
        <f ca="1">IFERROR(__xludf.DUMMYFUNCTION("""COMPUTED_VALUE"""),-0.457025929463428)</f>
        <v>-0.45702592946342802</v>
      </c>
      <c r="LA21" s="3">
        <f ca="1">IFERROR(__xludf.DUMMYFUNCTION("""COMPUTED_VALUE"""),-0.493858718627471)</f>
        <v>-0.49385871862747099</v>
      </c>
      <c r="LB21" s="3">
        <f ca="1">IFERROR(__xludf.DUMMYFUNCTION("""COMPUTED_VALUE"""),-0.466396332213711)</f>
        <v>-0.46639633221371102</v>
      </c>
      <c r="LC21" s="3">
        <f ca="1">IFERROR(__xludf.DUMMYFUNCTION("""COMPUTED_VALUE"""),-0.541923494602739)</f>
        <v>-0.54192349460273903</v>
      </c>
      <c r="LD21" s="3">
        <f ca="1">IFERROR(__xludf.DUMMYFUNCTION("""COMPUTED_VALUE"""),-0.483485395404255)</f>
        <v>-0.483485395404255</v>
      </c>
      <c r="LE21" s="3">
        <f ca="1">IFERROR(__xludf.DUMMYFUNCTION("""COMPUTED_VALUE"""),-0.557876886579361)</f>
        <v>-0.55787688657936096</v>
      </c>
      <c r="LF21" s="3">
        <f ca="1">IFERROR(__xludf.DUMMYFUNCTION("""COMPUTED_VALUE"""),-0.414173578262175)</f>
        <v>-0.41417357826217499</v>
      </c>
      <c r="LG21" s="3">
        <f ca="1">IFERROR(__xludf.DUMMYFUNCTION("""COMPUTED_VALUE"""),-0.521006877221953)</f>
        <v>-0.52100687722195305</v>
      </c>
      <c r="LH21" s="3">
        <f ca="1">IFERROR(__xludf.DUMMYFUNCTION("""COMPUTED_VALUE"""),-0.469363567273057)</f>
        <v>-0.469363567273057</v>
      </c>
      <c r="LI21" s="3">
        <f ca="1">IFERROR(__xludf.DUMMYFUNCTION("""COMPUTED_VALUE"""),-0.516643631317011)</f>
        <v>-0.51664363131701097</v>
      </c>
      <c r="LJ21" s="3">
        <f ca="1">IFERROR(__xludf.DUMMYFUNCTION("""COMPUTED_VALUE"""),-0.527219561799597)</f>
        <v>-0.52721956179959695</v>
      </c>
      <c r="LK21" s="3">
        <f ca="1">IFERROR(__xludf.DUMMYFUNCTION("""COMPUTED_VALUE"""),-0.571675791136073)</f>
        <v>-0.57167579113607303</v>
      </c>
      <c r="LL21" s="3">
        <f ca="1">IFERROR(__xludf.DUMMYFUNCTION("""COMPUTED_VALUE"""),-0.547329241546472)</f>
        <v>-0.547329241546472</v>
      </c>
      <c r="LM21" s="3">
        <f ca="1">IFERROR(__xludf.DUMMYFUNCTION("""COMPUTED_VALUE"""),-0.399370224231375)</f>
        <v>-0.39937022423137503</v>
      </c>
      <c r="LN21" s="3">
        <f ca="1">IFERROR(__xludf.DUMMYFUNCTION("""COMPUTED_VALUE"""),-0.422050515400284)</f>
        <v>-0.42205051540028399</v>
      </c>
      <c r="LO21" s="3">
        <f ca="1">IFERROR(__xludf.DUMMYFUNCTION("""COMPUTED_VALUE"""),-0.55831296643664)</f>
        <v>-0.55831296643663997</v>
      </c>
      <c r="LP21" s="3">
        <f ca="1">IFERROR(__xludf.DUMMYFUNCTION("""COMPUTED_VALUE"""),-0.473978162062029)</f>
        <v>-0.47397816206202897</v>
      </c>
      <c r="LQ21" s="3">
        <f ca="1">IFERROR(__xludf.DUMMYFUNCTION("""COMPUTED_VALUE"""),-0.586094782769395)</f>
        <v>-0.58609478276939497</v>
      </c>
      <c r="LR21" s="3">
        <f ca="1">IFERROR(__xludf.DUMMYFUNCTION("""COMPUTED_VALUE"""),-0.594590599275878)</f>
        <v>-0.59459059927587798</v>
      </c>
      <c r="LS21" s="3">
        <f ca="1">IFERROR(__xludf.DUMMYFUNCTION("""COMPUTED_VALUE"""),-0.671754709954615)</f>
        <v>-0.67175470995461495</v>
      </c>
      <c r="LT21" s="3">
        <f ca="1">IFERROR(__xludf.DUMMYFUNCTION("""COMPUTED_VALUE"""),-0.611907941381469)</f>
        <v>-0.61190794138146898</v>
      </c>
      <c r="LU21" s="3">
        <f ca="1">IFERROR(__xludf.DUMMYFUNCTION("""COMPUTED_VALUE"""),-0.448491822404357)</f>
        <v>-0.44849182240435698</v>
      </c>
      <c r="LV21" s="3">
        <f ca="1">IFERROR(__xludf.DUMMYFUNCTION("""COMPUTED_VALUE"""),-0.529066289883907)</f>
        <v>-0.52906628988390703</v>
      </c>
      <c r="LW21" s="3">
        <f ca="1">IFERROR(__xludf.DUMMYFUNCTION("""COMPUTED_VALUE"""),-0.54687167137128)</f>
        <v>-0.54687167137128001</v>
      </c>
      <c r="LX21" s="3">
        <f ca="1">IFERROR(__xludf.DUMMYFUNCTION("""COMPUTED_VALUE"""),-0.524455340365195)</f>
        <v>-0.52445534036519503</v>
      </c>
      <c r="LY21" s="3">
        <f ca="1">IFERROR(__xludf.DUMMYFUNCTION("""COMPUTED_VALUE"""),-0.601459543950158)</f>
        <v>-0.60145954395015799</v>
      </c>
      <c r="LZ21" s="3">
        <f ca="1">IFERROR(__xludf.DUMMYFUNCTION("""COMPUTED_VALUE"""),-0.567306216602694)</f>
        <v>-0.56730621660269398</v>
      </c>
      <c r="MA21" s="3">
        <f ca="1">IFERROR(__xludf.DUMMYFUNCTION("""COMPUTED_VALUE"""),-0.588781215182561)</f>
        <v>-0.58878121518256099</v>
      </c>
      <c r="MB21" s="3">
        <f ca="1">IFERROR(__xludf.DUMMYFUNCTION("""COMPUTED_VALUE"""),-0.564615345969125)</f>
        <v>-0.56461534596912499</v>
      </c>
      <c r="MC21" s="3">
        <f ca="1">IFERROR(__xludf.DUMMYFUNCTION("""COMPUTED_VALUE"""),-0.587165435373499)</f>
        <v>-0.58716543537349897</v>
      </c>
      <c r="MD21" s="3">
        <f ca="1">IFERROR(__xludf.DUMMYFUNCTION("""COMPUTED_VALUE"""),-0.599493618681594)</f>
        <v>-0.59949361868159401</v>
      </c>
      <c r="ME21" s="3">
        <f ca="1">IFERROR(__xludf.DUMMYFUNCTION("""COMPUTED_VALUE"""),-0.588793845552272)</f>
        <v>-0.58879384555227199</v>
      </c>
      <c r="MF21" s="3">
        <f ca="1">IFERROR(__xludf.DUMMYFUNCTION("""COMPUTED_VALUE"""),-0.660134756074689)</f>
        <v>-0.66013475607468897</v>
      </c>
      <c r="MG21" s="3">
        <f ca="1">IFERROR(__xludf.DUMMYFUNCTION("""COMPUTED_VALUE"""),-0.657752479677079)</f>
        <v>-0.65775247967707895</v>
      </c>
      <c r="MH21" s="3">
        <f ca="1">IFERROR(__xludf.DUMMYFUNCTION("""COMPUTED_VALUE"""),-0.555501573706363)</f>
        <v>-0.55550157370636299</v>
      </c>
      <c r="MI21" s="3">
        <f ca="1">IFERROR(__xludf.DUMMYFUNCTION("""COMPUTED_VALUE"""),-0.596778079623167)</f>
        <v>-0.59677807962316698</v>
      </c>
      <c r="MJ21" s="3">
        <f ca="1">IFERROR(__xludf.DUMMYFUNCTION("""COMPUTED_VALUE"""),-0.598556640168725)</f>
        <v>-0.59855664016872501</v>
      </c>
      <c r="MK21" s="3">
        <f ca="1">IFERROR(__xludf.DUMMYFUNCTION("""COMPUTED_VALUE"""),-0.615889676091416)</f>
        <v>-0.61588967609141598</v>
      </c>
      <c r="ML21" s="3">
        <f ca="1">IFERROR(__xludf.DUMMYFUNCTION("""COMPUTED_VALUE"""),-0.647634407279196)</f>
        <v>-0.64763440727919597</v>
      </c>
      <c r="MM21" s="3">
        <f ca="1">IFERROR(__xludf.DUMMYFUNCTION("""COMPUTED_VALUE"""),-0.683773117359434)</f>
        <v>-0.68377311735943402</v>
      </c>
      <c r="MN21" s="3">
        <f ca="1">IFERROR(__xludf.DUMMYFUNCTION("""COMPUTED_VALUE"""),-0.658986368686462)</f>
        <v>-0.65898636868646199</v>
      </c>
      <c r="MO21" s="3">
        <f ca="1">IFERROR(__xludf.DUMMYFUNCTION("""COMPUTED_VALUE"""),-0.610978903968077)</f>
        <v>-0.61097890396807697</v>
      </c>
      <c r="MP21" s="3">
        <f ca="1">IFERROR(__xludf.DUMMYFUNCTION("""COMPUTED_VALUE"""),-0.596911693713025)</f>
        <v>-0.59691169371302499</v>
      </c>
      <c r="MQ21" s="3">
        <f ca="1">IFERROR(__xludf.DUMMYFUNCTION("""COMPUTED_VALUE"""),-0.651378054572373)</f>
        <v>-0.65137805457237297</v>
      </c>
      <c r="MR21" s="3">
        <f ca="1">IFERROR(__xludf.DUMMYFUNCTION("""COMPUTED_VALUE"""),-0.633530338658932)</f>
        <v>-0.63353033865893205</v>
      </c>
      <c r="MS21" s="3">
        <f ca="1">IFERROR(__xludf.DUMMYFUNCTION("""COMPUTED_VALUE"""),-0.730570407723226)</f>
        <v>-0.73057040772322601</v>
      </c>
      <c r="MT21" s="3">
        <f ca="1">IFERROR(__xludf.DUMMYFUNCTION("""COMPUTED_VALUE"""),-0.66161680990895)</f>
        <v>-0.66161680990895</v>
      </c>
      <c r="MU21" s="3">
        <f ca="1">IFERROR(__xludf.DUMMYFUNCTION("""COMPUTED_VALUE"""),-0.691167137670659)</f>
        <v>-0.69116713767065896</v>
      </c>
      <c r="MV21" s="3">
        <f ca="1">IFERROR(__xludf.DUMMYFUNCTION("""COMPUTED_VALUE"""),-0.600764919083345)</f>
        <v>-0.60076491908334495</v>
      </c>
      <c r="MW21" s="3">
        <f ca="1">IFERROR(__xludf.DUMMYFUNCTION("""COMPUTED_VALUE"""),-0.579490932617451)</f>
        <v>-0.57949093261745099</v>
      </c>
      <c r="MX21" s="3">
        <f ca="1">IFERROR(__xludf.DUMMYFUNCTION("""COMPUTED_VALUE"""),-0.643163373772109)</f>
        <v>-0.64316337377210897</v>
      </c>
      <c r="MY21" s="3">
        <f ca="1">IFERROR(__xludf.DUMMYFUNCTION("""COMPUTED_VALUE"""),-0.679017454520567)</f>
        <v>-0.67901745452056705</v>
      </c>
      <c r="MZ21" s="3">
        <f ca="1">IFERROR(__xludf.DUMMYFUNCTION("""COMPUTED_VALUE"""),-0.722963045402495)</f>
        <v>-0.72296304540249501</v>
      </c>
      <c r="NA21" s="3">
        <f ca="1">IFERROR(__xludf.DUMMYFUNCTION("""COMPUTED_VALUE"""),-0.719552883101336)</f>
        <v>-0.71955288310133603</v>
      </c>
      <c r="NB21" s="3">
        <f ca="1">IFERROR(__xludf.DUMMYFUNCTION("""COMPUTED_VALUE"""),-0.700625616761717)</f>
        <v>-0.70062561676171697</v>
      </c>
      <c r="NC21" s="3">
        <f ca="1">IFERROR(__xludf.DUMMYFUNCTION("""COMPUTED_VALUE"""),-0.593059042157365)</f>
        <v>-0.59305904215736505</v>
      </c>
      <c r="ND21" s="3">
        <f ca="1">IFERROR(__xludf.DUMMYFUNCTION("""COMPUTED_VALUE"""),-0.504888070822341)</f>
        <v>-0.504888070822341</v>
      </c>
      <c r="NE21" s="3">
        <f ca="1">IFERROR(__xludf.DUMMYFUNCTION("""COMPUTED_VALUE"""),-0.458084968466307)</f>
        <v>-0.45808496846630697</v>
      </c>
      <c r="NF21" s="3">
        <f ca="1">IFERROR(__xludf.DUMMYFUNCTION("""COMPUTED_VALUE"""),-0.500193590295484)</f>
        <v>-0.50019359029548405</v>
      </c>
      <c r="NG21" s="3">
        <f ca="1">IFERROR(__xludf.DUMMYFUNCTION("""COMPUTED_VALUE"""),-0.525984391050952)</f>
        <v>-0.52598439105095196</v>
      </c>
      <c r="NH21" s="3">
        <f ca="1">IFERROR(__xludf.DUMMYFUNCTION("""COMPUTED_VALUE"""),-0.516730928853195)</f>
        <v>-0.51673092885319505</v>
      </c>
      <c r="NI21" s="3">
        <f ca="1">IFERROR(__xludf.DUMMYFUNCTION("""COMPUTED_VALUE"""),-0.517224294146516)</f>
        <v>-0.51722429414651605</v>
      </c>
      <c r="NJ21" s="3">
        <f ca="1">IFERROR(__xludf.DUMMYFUNCTION("""COMPUTED_VALUE"""),-0.359967490283075)</f>
        <v>-0.35996749028307501</v>
      </c>
      <c r="NK21" s="3">
        <f ca="1">IFERROR(__xludf.DUMMYFUNCTION("""COMPUTED_VALUE"""),-0.331340727985411)</f>
        <v>-0.33134072798541098</v>
      </c>
      <c r="NL21" s="3">
        <f ca="1">IFERROR(__xludf.DUMMYFUNCTION("""COMPUTED_VALUE"""),-0.477944594449917)</f>
        <v>-0.47794459444991699</v>
      </c>
      <c r="NM21" s="3">
        <f ca="1">IFERROR(__xludf.DUMMYFUNCTION("""COMPUTED_VALUE"""),-0.429106379520017)</f>
        <v>-0.42910637952001701</v>
      </c>
      <c r="NN21" s="3">
        <f ca="1">IFERROR(__xludf.DUMMYFUNCTION("""COMPUTED_VALUE"""),-0.556374023213781)</f>
        <v>-0.55637402321378104</v>
      </c>
      <c r="NO21" s="3">
        <f ca="1">IFERROR(__xludf.DUMMYFUNCTION("""COMPUTED_VALUE"""),-0.419442976387967)</f>
        <v>-0.41944297638796701</v>
      </c>
      <c r="NP21" s="3">
        <f ca="1">IFERROR(__xludf.DUMMYFUNCTION("""COMPUTED_VALUE"""),-0.532105512713406)</f>
        <v>-0.532105512713406</v>
      </c>
      <c r="NQ21" s="3">
        <f ca="1">IFERROR(__xludf.DUMMYFUNCTION("""COMPUTED_VALUE"""),-0.333402185899846)</f>
        <v>-0.33340218589984599</v>
      </c>
      <c r="NR21" s="3">
        <f ca="1">IFERROR(__xludf.DUMMYFUNCTION("""COMPUTED_VALUE"""),-0.460801623351678)</f>
        <v>-0.46080162335167801</v>
      </c>
      <c r="NS21" s="3">
        <f ca="1">IFERROR(__xludf.DUMMYFUNCTION("""COMPUTED_VALUE"""),-0.669082790703825)</f>
        <v>-0.66908279070382504</v>
      </c>
      <c r="NT21" s="3">
        <f ca="1">IFERROR(__xludf.DUMMYFUNCTION("""COMPUTED_VALUE"""),-0.669018028408267)</f>
        <v>-0.66901802840826696</v>
      </c>
      <c r="NU21" s="3">
        <f ca="1">IFERROR(__xludf.DUMMYFUNCTION("""COMPUTED_VALUE"""),-0.721718734067881)</f>
        <v>-0.72171873406788101</v>
      </c>
      <c r="NV21" s="3">
        <f ca="1">IFERROR(__xludf.DUMMYFUNCTION("""COMPUTED_VALUE"""),-0.67861571387189)</f>
        <v>-0.67861571387189001</v>
      </c>
      <c r="NW21" s="3">
        <f ca="1">IFERROR(__xludf.DUMMYFUNCTION("""COMPUTED_VALUE"""),-0.634804006814107)</f>
        <v>-0.63480400681410698</v>
      </c>
      <c r="NX21" s="3">
        <f ca="1">IFERROR(__xludf.DUMMYFUNCTION("""COMPUTED_VALUE"""),-0.547960711059907)</f>
        <v>-0.54796071105990696</v>
      </c>
      <c r="NY21" s="3">
        <f ca="1">IFERROR(__xludf.DUMMYFUNCTION("""COMPUTED_VALUE"""),-0.593625235913329)</f>
        <v>-0.59362523591332905</v>
      </c>
      <c r="NZ21" s="3">
        <f ca="1">IFERROR(__xludf.DUMMYFUNCTION("""COMPUTED_VALUE"""),-0.477282365198324)</f>
        <v>-0.47728236519832401</v>
      </c>
      <c r="OA21" s="3">
        <f ca="1">IFERROR(__xludf.DUMMYFUNCTION("""COMPUTED_VALUE"""),-0.609534777719822)</f>
        <v>-0.60953477771982201</v>
      </c>
      <c r="OB21" s="3">
        <f ca="1">IFERROR(__xludf.DUMMYFUNCTION("""COMPUTED_VALUE"""),-0.590342218028743)</f>
        <v>-0.59034221802874298</v>
      </c>
      <c r="OC21" s="3">
        <f ca="1">IFERROR(__xludf.DUMMYFUNCTION("""COMPUTED_VALUE"""),-0.618760906336814)</f>
        <v>-0.61876090633681402</v>
      </c>
      <c r="OD21" s="3">
        <f ca="1">IFERROR(__xludf.DUMMYFUNCTION("""COMPUTED_VALUE"""),-0.575669682250471)</f>
        <v>-0.57566968225047099</v>
      </c>
      <c r="OE21" s="3">
        <f ca="1">IFERROR(__xludf.DUMMYFUNCTION("""COMPUTED_VALUE"""),-0.400922617196927)</f>
        <v>-0.40092261719692701</v>
      </c>
      <c r="OF21" s="3">
        <f ca="1">IFERROR(__xludf.DUMMYFUNCTION("""COMPUTED_VALUE"""),-0.308154568534479)</f>
        <v>-0.30815456853447898</v>
      </c>
      <c r="OG21" s="3">
        <f ca="1">IFERROR(__xludf.DUMMYFUNCTION("""COMPUTED_VALUE"""),-0.250855298472866)</f>
        <v>-0.25085529847286597</v>
      </c>
      <c r="OH21" s="3">
        <f ca="1">IFERROR(__xludf.DUMMYFUNCTION("""COMPUTED_VALUE"""),-0.244471943901929)</f>
        <v>-0.244471943901929</v>
      </c>
      <c r="OI21" s="3">
        <f ca="1">IFERROR(__xludf.DUMMYFUNCTION("""COMPUTED_VALUE"""),-0.164545287309873)</f>
        <v>-0.164545287309873</v>
      </c>
      <c r="OJ21" s="3">
        <f ca="1">IFERROR(__xludf.DUMMYFUNCTION("""COMPUTED_VALUE"""),-0.0350795853580134)</f>
        <v>-3.50795853580134E-2</v>
      </c>
      <c r="OK21" s="3">
        <f ca="1">IFERROR(__xludf.DUMMYFUNCTION("""COMPUTED_VALUE"""),-0.043628199386301)</f>
        <v>-4.3628199386300998E-2</v>
      </c>
      <c r="OL21" s="3">
        <f ca="1">IFERROR(__xludf.DUMMYFUNCTION("""COMPUTED_VALUE"""),-0.0611542089381477)</f>
        <v>-6.11542089381477E-2</v>
      </c>
      <c r="OM21" s="3">
        <f ca="1">IFERROR(__xludf.DUMMYFUNCTION("""COMPUTED_VALUE"""),-0.0491328493931082)</f>
        <v>-4.9132849393108198E-2</v>
      </c>
      <c r="ON21" s="3">
        <f ca="1">IFERROR(__xludf.DUMMYFUNCTION("""COMPUTED_VALUE"""),0.208801574697016)</f>
        <v>0.20880157469701599</v>
      </c>
      <c r="OO21" s="3">
        <f ca="1">IFERROR(__xludf.DUMMYFUNCTION("""COMPUTED_VALUE"""),-0.0930964314683234)</f>
        <v>-9.3096431468323401E-2</v>
      </c>
      <c r="OP21" s="3">
        <f ca="1">IFERROR(__xludf.DUMMYFUNCTION("""COMPUTED_VALUE"""),0.0996486285198525)</f>
        <v>9.9648628519852497E-2</v>
      </c>
      <c r="OQ21" s="3">
        <f ca="1">IFERROR(__xludf.DUMMYFUNCTION("""COMPUTED_VALUE"""),0.107742520996235)</f>
        <v>0.10774252099623501</v>
      </c>
      <c r="OR21" s="3">
        <f ca="1">IFERROR(__xludf.DUMMYFUNCTION("""COMPUTED_VALUE"""),0.158037480658576)</f>
        <v>0.15803748065857601</v>
      </c>
      <c r="OS21" s="3">
        <f ca="1">IFERROR(__xludf.DUMMYFUNCTION("""COMPUTED_VALUE"""),0.0156667889420882)</f>
        <v>1.56667889420882E-2</v>
      </c>
      <c r="OT21" s="3">
        <f ca="1">IFERROR(__xludf.DUMMYFUNCTION("""COMPUTED_VALUE"""),0.0688740594607548)</f>
        <v>6.8874059460754797E-2</v>
      </c>
      <c r="OU21" s="3">
        <f ca="1">IFERROR(__xludf.DUMMYFUNCTION("""COMPUTED_VALUE"""),0.049579377716999)</f>
        <v>4.9579377716999003E-2</v>
      </c>
      <c r="OV21" s="3">
        <f ca="1">IFERROR(__xludf.DUMMYFUNCTION("""COMPUTED_VALUE"""),-0.0550450982945803)</f>
        <v>-5.5045098294580298E-2</v>
      </c>
      <c r="OW21" s="3">
        <f ca="1">IFERROR(__xludf.DUMMYFUNCTION("""COMPUTED_VALUE"""),-0.00847756615883099)</f>
        <v>-8.4775661588309906E-3</v>
      </c>
      <c r="OX21" s="3">
        <f ca="1">IFERROR(__xludf.DUMMYFUNCTION("""COMPUTED_VALUE"""),0.0615608820392761)</f>
        <v>6.1560882039276101E-2</v>
      </c>
      <c r="OY21" s="3">
        <f ca="1">IFERROR(__xludf.DUMMYFUNCTION("""COMPUTED_VALUE"""),0.192879323306139)</f>
        <v>0.19287932330613899</v>
      </c>
      <c r="OZ21" s="3">
        <f ca="1">IFERROR(__xludf.DUMMYFUNCTION("""COMPUTED_VALUE"""),0.132227236001796)</f>
        <v>0.13222723600179601</v>
      </c>
      <c r="PA21" s="3">
        <f ca="1">IFERROR(__xludf.DUMMYFUNCTION("""COMPUTED_VALUE"""),-0.0921632370236691)</f>
        <v>-9.2163237023669103E-2</v>
      </c>
      <c r="PB21" s="3">
        <f ca="1">IFERROR(__xludf.DUMMYFUNCTION("""COMPUTED_VALUE"""),-0.0945621494446983)</f>
        <v>-9.4562149444698304E-2</v>
      </c>
      <c r="PC21" s="3">
        <f ca="1">IFERROR(__xludf.DUMMYFUNCTION("""COMPUTED_VALUE"""),-0.0360589615623173)</f>
        <v>-3.6058961562317297E-2</v>
      </c>
      <c r="PD21" s="3">
        <f ca="1">IFERROR(__xludf.DUMMYFUNCTION("""COMPUTED_VALUE"""),-0.0466239161811241)</f>
        <v>-4.6623916181124103E-2</v>
      </c>
      <c r="PE21" s="3">
        <f ca="1">IFERROR(__xludf.DUMMYFUNCTION("""COMPUTED_VALUE"""),0.0932020827496689)</f>
        <v>9.3202082749668902E-2</v>
      </c>
      <c r="PF21" s="3">
        <f ca="1">IFERROR(__xludf.DUMMYFUNCTION("""COMPUTED_VALUE"""),-0.0268703142316943)</f>
        <v>-2.6870314231694298E-2</v>
      </c>
      <c r="PG21" s="3">
        <f ca="1">IFERROR(__xludf.DUMMYFUNCTION("""COMPUTED_VALUE"""),-0.0736922382745325)</f>
        <v>-7.3692238274532501E-2</v>
      </c>
      <c r="PH21" s="3">
        <f ca="1">IFERROR(__xludf.DUMMYFUNCTION("""COMPUTED_VALUE"""),0.0801248317159011)</f>
        <v>8.0124831715901096E-2</v>
      </c>
      <c r="PI21" s="3">
        <f ca="1">IFERROR(__xludf.DUMMYFUNCTION("""COMPUTED_VALUE"""),-0.0730624441515642)</f>
        <v>-7.3062444151564196E-2</v>
      </c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</row>
    <row r="22" spans="1:477" ht="15.75" customHeight="1">
      <c r="A22" s="1" t="str">
        <f ca="1">IFERROR(__xludf.DUMMYFUNCTION("""COMPUTED_VALUE"""),"GCRTA")</f>
        <v>GCRTA</v>
      </c>
      <c r="B22" s="1" t="str">
        <f ca="1">IFERROR(__xludf.DUMMYFUNCTION("""COMPUTED_VALUE"""),"Cleveland")</f>
        <v>Cleveland</v>
      </c>
      <c r="C22" s="1" t="str">
        <f ca="1">IFERROR(__xludf.DUMMYFUNCTION("""COMPUTED_VALUE"""),"United States")</f>
        <v>United States</v>
      </c>
      <c r="D22" s="1" t="str">
        <f ca="1">IFERROR(__xludf.DUMMYFUNCTION("""COMPUTED_VALUE"""),"Ohio")</f>
        <v>Ohio</v>
      </c>
      <c r="E22" s="3">
        <f ca="1">IFERROR(__xludf.DUMMYFUNCTION("""COMPUTED_VALUE"""),-0.405795981060962)</f>
        <v>-0.40579598106096199</v>
      </c>
      <c r="F22" s="3">
        <f ca="1">IFERROR(__xludf.DUMMYFUNCTION("""COMPUTED_VALUE"""),-0.47206270236978)</f>
        <v>-0.47206270236977999</v>
      </c>
      <c r="G22" s="3">
        <f ca="1">IFERROR(__xludf.DUMMYFUNCTION("""COMPUTED_VALUE"""),-0.566049987217791)</f>
        <v>-0.56604998721779098</v>
      </c>
      <c r="H22" s="3">
        <f ca="1">IFERROR(__xludf.DUMMYFUNCTION("""COMPUTED_VALUE"""),-0.597178888536994)</f>
        <v>-0.59717888853699397</v>
      </c>
      <c r="I22" s="3">
        <f ca="1">IFERROR(__xludf.DUMMYFUNCTION("""COMPUTED_VALUE"""),-0.558253951851132)</f>
        <v>-0.55825395185113202</v>
      </c>
      <c r="J22" s="3">
        <f ca="1">IFERROR(__xludf.DUMMYFUNCTION("""COMPUTED_VALUE"""),-0.602406951261435)</f>
        <v>-0.60240695126143495</v>
      </c>
      <c r="K22" s="3">
        <f ca="1">IFERROR(__xludf.DUMMYFUNCTION("""COMPUTED_VALUE"""),-0.427674407599737)</f>
        <v>-0.42767440759973702</v>
      </c>
      <c r="L22" s="3">
        <f ca="1">IFERROR(__xludf.DUMMYFUNCTION("""COMPUTED_VALUE"""),-0.378789898891719)</f>
        <v>-0.37878989889171899</v>
      </c>
      <c r="M22" s="3">
        <f ca="1">IFERROR(__xludf.DUMMYFUNCTION("""COMPUTED_VALUE"""),-0.560255373306122)</f>
        <v>-0.56025537330612196</v>
      </c>
      <c r="N22" s="3">
        <f ca="1">IFERROR(__xludf.DUMMYFUNCTION("""COMPUTED_VALUE"""),-0.612636600590353)</f>
        <v>-0.61263660059035296</v>
      </c>
      <c r="O22" s="3">
        <f ca="1">IFERROR(__xludf.DUMMYFUNCTION("""COMPUTED_VALUE"""),-0.624996950978634)</f>
        <v>-0.62499695097863395</v>
      </c>
      <c r="P22" s="3">
        <f ca="1">IFERROR(__xludf.DUMMYFUNCTION("""COMPUTED_VALUE"""),-0.572557636145038)</f>
        <v>-0.57255763614503796</v>
      </c>
      <c r="Q22" s="3">
        <f ca="1">IFERROR(__xludf.DUMMYFUNCTION("""COMPUTED_VALUE"""),-0.596615484934574)</f>
        <v>-0.59661548493457395</v>
      </c>
      <c r="R22" s="3">
        <f ca="1">IFERROR(__xludf.DUMMYFUNCTION("""COMPUTED_VALUE"""),-0.447618191485151)</f>
        <v>-0.44761819148515097</v>
      </c>
      <c r="S22" s="3">
        <f ca="1">IFERROR(__xludf.DUMMYFUNCTION("""COMPUTED_VALUE"""),-0.415907064415402)</f>
        <v>-0.41590706441540198</v>
      </c>
      <c r="T22" s="3">
        <f ca="1">IFERROR(__xludf.DUMMYFUNCTION("""COMPUTED_VALUE"""),-0.545944940743816)</f>
        <v>-0.54594494074381605</v>
      </c>
      <c r="U22" s="3">
        <f ca="1">IFERROR(__xludf.DUMMYFUNCTION("""COMPUTED_VALUE"""),-0.55517270251208)</f>
        <v>-0.55517270251207995</v>
      </c>
      <c r="V22" s="3">
        <f ca="1">IFERROR(__xludf.DUMMYFUNCTION("""COMPUTED_VALUE"""),-0.591672922233611)</f>
        <v>-0.59167292223361101</v>
      </c>
      <c r="W22" s="3">
        <f ca="1">IFERROR(__xludf.DUMMYFUNCTION("""COMPUTED_VALUE"""),-0.545876465678293)</f>
        <v>-0.54587646567829295</v>
      </c>
      <c r="X22" s="3">
        <f ca="1">IFERROR(__xludf.DUMMYFUNCTION("""COMPUTED_VALUE"""),-0.5556540178567)</f>
        <v>-0.55565401785669999</v>
      </c>
      <c r="Y22" s="3">
        <f ca="1">IFERROR(__xludf.DUMMYFUNCTION("""COMPUTED_VALUE"""),-0.349806980599874)</f>
        <v>-0.34980698059987397</v>
      </c>
      <c r="Z22" s="3">
        <f ca="1">IFERROR(__xludf.DUMMYFUNCTION("""COMPUTED_VALUE"""),-0.361202374575418)</f>
        <v>-0.36120237457541798</v>
      </c>
      <c r="AA22" s="3">
        <f ca="1">IFERROR(__xludf.DUMMYFUNCTION("""COMPUTED_VALUE"""),-0.520104239165982)</f>
        <v>-0.52010423916598203</v>
      </c>
      <c r="AB22" s="3">
        <f ca="1">IFERROR(__xludf.DUMMYFUNCTION("""COMPUTED_VALUE"""),-0.541922058347436)</f>
        <v>-0.54192205834743601</v>
      </c>
      <c r="AC22" s="3">
        <f ca="1">IFERROR(__xludf.DUMMYFUNCTION("""COMPUTED_VALUE"""),-0.553176087477978)</f>
        <v>-0.55317608747797797</v>
      </c>
      <c r="AD22" s="3">
        <f ca="1">IFERROR(__xludf.DUMMYFUNCTION("""COMPUTED_VALUE"""),-0.55608958835893)</f>
        <v>-0.55608958835892996</v>
      </c>
      <c r="AE22" s="3">
        <f ca="1">IFERROR(__xludf.DUMMYFUNCTION("""COMPUTED_VALUE"""),-0.551827420105827)</f>
        <v>-0.55182742010582697</v>
      </c>
      <c r="AF22" s="3">
        <f ca="1">IFERROR(__xludf.DUMMYFUNCTION("""COMPUTED_VALUE"""),-0.370103245771436)</f>
        <v>-0.370103245771436</v>
      </c>
      <c r="AG22" s="3">
        <f ca="1">IFERROR(__xludf.DUMMYFUNCTION("""COMPUTED_VALUE"""),-0.388523287720784)</f>
        <v>-0.38852328772078398</v>
      </c>
      <c r="AH22" s="3">
        <f ca="1">IFERROR(__xludf.DUMMYFUNCTION("""COMPUTED_VALUE"""),-0.531828024707515)</f>
        <v>-0.531828024707515</v>
      </c>
      <c r="AI22" s="3">
        <f ca="1">IFERROR(__xludf.DUMMYFUNCTION("""COMPUTED_VALUE"""),-0.572131245945985)</f>
        <v>-0.57213124594598497</v>
      </c>
      <c r="AJ22" s="3">
        <f ca="1">IFERROR(__xludf.DUMMYFUNCTION("""COMPUTED_VALUE"""),-0.565350723843952)</f>
        <v>-0.56535072384395202</v>
      </c>
      <c r="AK22" s="3">
        <f ca="1">IFERROR(__xludf.DUMMYFUNCTION("""COMPUTED_VALUE"""),-0.599167362161769)</f>
        <v>-0.59916736216176902</v>
      </c>
      <c r="AL22" s="3">
        <f ca="1">IFERROR(__xludf.DUMMYFUNCTION("""COMPUTED_VALUE"""),-0.60466489849888)</f>
        <v>-0.60466489849888005</v>
      </c>
      <c r="AM22" s="3">
        <f ca="1">IFERROR(__xludf.DUMMYFUNCTION("""COMPUTED_VALUE"""),-0.409507240176694)</f>
        <v>-0.40950724017669399</v>
      </c>
      <c r="AN22" s="3">
        <f ca="1">IFERROR(__xludf.DUMMYFUNCTION("""COMPUTED_VALUE"""),-0.39054220882505)</f>
        <v>-0.39054220882504997</v>
      </c>
      <c r="AO22" s="3">
        <f ca="1">IFERROR(__xludf.DUMMYFUNCTION("""COMPUTED_VALUE"""),-0.570866091325108)</f>
        <v>-0.57086609132510802</v>
      </c>
      <c r="AP22" s="3">
        <f ca="1">IFERROR(__xludf.DUMMYFUNCTION("""COMPUTED_VALUE"""),-0.601263966035248)</f>
        <v>-0.60126396603524801</v>
      </c>
      <c r="AQ22" s="3">
        <f ca="1">IFERROR(__xludf.DUMMYFUNCTION("""COMPUTED_VALUE"""),-0.540805325047172)</f>
        <v>-0.54080532504717205</v>
      </c>
      <c r="AR22" s="3">
        <f ca="1">IFERROR(__xludf.DUMMYFUNCTION("""COMPUTED_VALUE"""),-0.571879083170965)</f>
        <v>-0.57187908317096503</v>
      </c>
      <c r="AS22" s="3">
        <f ca="1">IFERROR(__xludf.DUMMYFUNCTION("""COMPUTED_VALUE"""),-0.583299420417321)</f>
        <v>-0.58329942041732097</v>
      </c>
      <c r="AT22" s="3">
        <f ca="1">IFERROR(__xludf.DUMMYFUNCTION("""COMPUTED_VALUE"""),-0.352841847075078)</f>
        <v>-0.35284184707507799</v>
      </c>
      <c r="AU22" s="3">
        <f ca="1">IFERROR(__xludf.DUMMYFUNCTION("""COMPUTED_VALUE"""),-0.415130561641954)</f>
        <v>-0.415130561641954</v>
      </c>
      <c r="AV22" s="3">
        <f ca="1">IFERROR(__xludf.DUMMYFUNCTION("""COMPUTED_VALUE"""),-0.58072540212414)</f>
        <v>-0.58072540212414003</v>
      </c>
      <c r="AW22" s="3">
        <f ca="1">IFERROR(__xludf.DUMMYFUNCTION("""COMPUTED_VALUE"""),-0.594889892175944)</f>
        <v>-0.59488989217594401</v>
      </c>
      <c r="AX22" s="3">
        <f ca="1">IFERROR(__xludf.DUMMYFUNCTION("""COMPUTED_VALUE"""),-0.581988202557305)</f>
        <v>-0.58198820255730499</v>
      </c>
      <c r="AY22" s="3">
        <f ca="1">IFERROR(__xludf.DUMMYFUNCTION("""COMPUTED_VALUE"""),-0.596519852796807)</f>
        <v>-0.59651985279680697</v>
      </c>
      <c r="AZ22" s="3">
        <f ca="1">IFERROR(__xludf.DUMMYFUNCTION("""COMPUTED_VALUE"""),-0.575616864922356)</f>
        <v>-0.57561686492235598</v>
      </c>
      <c r="BA22" s="3">
        <f ca="1">IFERROR(__xludf.DUMMYFUNCTION("""COMPUTED_VALUE"""),-0.377701364312165)</f>
        <v>-0.377701364312165</v>
      </c>
      <c r="BB22" s="3">
        <f ca="1">IFERROR(__xludf.DUMMYFUNCTION("""COMPUTED_VALUE"""),-0.408302121325929)</f>
        <v>-0.40830212132592902</v>
      </c>
      <c r="BC22" s="3">
        <f ca="1">IFERROR(__xludf.DUMMYFUNCTION("""COMPUTED_VALUE"""),-0.567498861766938)</f>
        <v>-0.56749886176693798</v>
      </c>
      <c r="BD22" s="3">
        <f ca="1">IFERROR(__xludf.DUMMYFUNCTION("""COMPUTED_VALUE"""),-0.623442994484791)</f>
        <v>-0.62344299448479101</v>
      </c>
      <c r="BE22" s="3">
        <f ca="1">IFERROR(__xludf.DUMMYFUNCTION("""COMPUTED_VALUE"""),-0.641612803012605)</f>
        <v>-0.64161280301260504</v>
      </c>
      <c r="BF22" s="3">
        <f ca="1">IFERROR(__xludf.DUMMYFUNCTION("""COMPUTED_VALUE"""),-0.664663676140513)</f>
        <v>-0.66466367614051303</v>
      </c>
      <c r="BG22" s="3">
        <f ca="1">IFERROR(__xludf.DUMMYFUNCTION("""COMPUTED_VALUE"""),-0.589394135122068)</f>
        <v>-0.58939413512206795</v>
      </c>
      <c r="BH22" s="3">
        <f ca="1">IFERROR(__xludf.DUMMYFUNCTION("""COMPUTED_VALUE"""),-0.39385307644329)</f>
        <v>-0.39385307644328998</v>
      </c>
      <c r="BI22" s="3">
        <f ca="1">IFERROR(__xludf.DUMMYFUNCTION("""COMPUTED_VALUE"""),-0.427492351324943)</f>
        <v>-0.42749235132494301</v>
      </c>
      <c r="BJ22" s="3">
        <f ca="1">IFERROR(__xludf.DUMMYFUNCTION("""COMPUTED_VALUE"""),-0.598840475836804)</f>
        <v>-0.598840475836804</v>
      </c>
      <c r="BK22" s="3">
        <f ca="1">IFERROR(__xludf.DUMMYFUNCTION("""COMPUTED_VALUE"""),-0.63503880475089)</f>
        <v>-0.63503880475089003</v>
      </c>
      <c r="BL22" s="3">
        <f ca="1">IFERROR(__xludf.DUMMYFUNCTION("""COMPUTED_VALUE"""),-0.648873472394108)</f>
        <v>-0.64887347239410798</v>
      </c>
      <c r="BM22" s="3">
        <f ca="1">IFERROR(__xludf.DUMMYFUNCTION("""COMPUTED_VALUE"""),-0.659519521867)</f>
        <v>-0.65951952186700002</v>
      </c>
      <c r="BN22" s="3">
        <f ca="1">IFERROR(__xludf.DUMMYFUNCTION("""COMPUTED_VALUE"""),-0.580804279256074)</f>
        <v>-0.58080427925607403</v>
      </c>
      <c r="BO22" s="3">
        <f ca="1">IFERROR(__xludf.DUMMYFUNCTION("""COMPUTED_VALUE"""),-0.401391429685132)</f>
        <v>-0.40139142968513197</v>
      </c>
      <c r="BP22" s="3">
        <f ca="1">IFERROR(__xludf.DUMMYFUNCTION("""COMPUTED_VALUE"""),-0.422281556782308)</f>
        <v>-0.422281556782308</v>
      </c>
      <c r="BQ22" s="3">
        <f ca="1">IFERROR(__xludf.DUMMYFUNCTION("""COMPUTED_VALUE"""),-0.598617409587487)</f>
        <v>-0.59861740958748699</v>
      </c>
      <c r="BR22" s="3">
        <f ca="1">IFERROR(__xludf.DUMMYFUNCTION("""COMPUTED_VALUE"""),-0.634573262231293)</f>
        <v>-0.63457326223129296</v>
      </c>
      <c r="BS22" s="3">
        <f ca="1">IFERROR(__xludf.DUMMYFUNCTION("""COMPUTED_VALUE"""),-0.618260918141798)</f>
        <v>-0.61826091814179795</v>
      </c>
      <c r="BT22" s="3">
        <f ca="1">IFERROR(__xludf.DUMMYFUNCTION("""COMPUTED_VALUE"""),-0.604616520445701)</f>
        <v>-0.60461652044570102</v>
      </c>
      <c r="BU22" s="3">
        <f ca="1">IFERROR(__xludf.DUMMYFUNCTION("""COMPUTED_VALUE"""),-0.602274297586647)</f>
        <v>-0.60227429758664697</v>
      </c>
      <c r="BV22" s="3">
        <f ca="1">IFERROR(__xludf.DUMMYFUNCTION("""COMPUTED_VALUE"""),-0.384175609877662)</f>
        <v>-0.38417560987766203</v>
      </c>
      <c r="BW22" s="3">
        <f ca="1">IFERROR(__xludf.DUMMYFUNCTION("""COMPUTED_VALUE"""),-0.457265631912741)</f>
        <v>-0.457265631912741</v>
      </c>
      <c r="BX22" s="3">
        <f ca="1">IFERROR(__xludf.DUMMYFUNCTION("""COMPUTED_VALUE"""),-0.661817564785465)</f>
        <v>-0.66181756478546505</v>
      </c>
      <c r="BY22" s="3">
        <f ca="1">IFERROR(__xludf.DUMMYFUNCTION("""COMPUTED_VALUE"""),-0.637182127119529)</f>
        <v>-0.63718212711952904</v>
      </c>
      <c r="BZ22" s="3">
        <f ca="1">IFERROR(__xludf.DUMMYFUNCTION("""COMPUTED_VALUE"""),-0.63063911607494)</f>
        <v>-0.63063911607494005</v>
      </c>
      <c r="CA22" s="3">
        <f ca="1">IFERROR(__xludf.DUMMYFUNCTION("""COMPUTED_VALUE"""),-0.64373414965178)</f>
        <v>-0.64373414965178</v>
      </c>
      <c r="CB22" s="3">
        <f ca="1">IFERROR(__xludf.DUMMYFUNCTION("""COMPUTED_VALUE"""),-0.562311200842905)</f>
        <v>-0.56231120084290498</v>
      </c>
      <c r="CC22" s="3">
        <f ca="1">IFERROR(__xludf.DUMMYFUNCTION("""COMPUTED_VALUE"""),-0.425758660852703)</f>
        <v>-0.42575866085270297</v>
      </c>
      <c r="CD22" s="3">
        <f ca="1">IFERROR(__xludf.DUMMYFUNCTION("""COMPUTED_VALUE"""),-0.42611700155696)</f>
        <v>-0.42611700155695997</v>
      </c>
      <c r="CE22" s="3">
        <f ca="1">IFERROR(__xludf.DUMMYFUNCTION("""COMPUTED_VALUE"""),-0.633252990084865)</f>
        <v>-0.63325299008486502</v>
      </c>
      <c r="CF22" s="3">
        <f ca="1">IFERROR(__xludf.DUMMYFUNCTION("""COMPUTED_VALUE"""),-0.643408460104026)</f>
        <v>-0.64340846010402597</v>
      </c>
      <c r="CG22" s="3">
        <f ca="1">IFERROR(__xludf.DUMMYFUNCTION("""COMPUTED_VALUE"""),-0.658115660855427)</f>
        <v>-0.65811566085542705</v>
      </c>
      <c r="CH22" s="3">
        <f ca="1">IFERROR(__xludf.DUMMYFUNCTION("""COMPUTED_VALUE"""),-0.650529192568762)</f>
        <v>-0.65052919256876196</v>
      </c>
      <c r="CI22" s="3">
        <f ca="1">IFERROR(__xludf.DUMMYFUNCTION("""COMPUTED_VALUE"""),-0.628347439459363)</f>
        <v>-0.628347439459363</v>
      </c>
      <c r="CJ22" s="3">
        <f ca="1">IFERROR(__xludf.DUMMYFUNCTION("""COMPUTED_VALUE"""),-0.395978174789483)</f>
        <v>-0.395978174789483</v>
      </c>
      <c r="CK22" s="3">
        <f ca="1">IFERROR(__xludf.DUMMYFUNCTION("""COMPUTED_VALUE"""),-0.384372699797076)</f>
        <v>-0.384372699797076</v>
      </c>
      <c r="CL22" s="3">
        <f ca="1">IFERROR(__xludf.DUMMYFUNCTION("""COMPUTED_VALUE"""),-0.593881479399621)</f>
        <v>-0.59388147939962099</v>
      </c>
      <c r="CM22" s="3">
        <f ca="1">IFERROR(__xludf.DUMMYFUNCTION("""COMPUTED_VALUE"""),-0.613890508941144)</f>
        <v>-0.61389050894114405</v>
      </c>
      <c r="CN22" s="3">
        <f ca="1">IFERROR(__xludf.DUMMYFUNCTION("""COMPUTED_VALUE"""),-0.616450617746172)</f>
        <v>-0.61645061774617205</v>
      </c>
      <c r="CO22" s="3">
        <f ca="1">IFERROR(__xludf.DUMMYFUNCTION("""COMPUTED_VALUE"""),-0.632992260014924)</f>
        <v>-0.63299226001492404</v>
      </c>
      <c r="CP22" s="3">
        <f ca="1">IFERROR(__xludf.DUMMYFUNCTION("""COMPUTED_VALUE"""),-0.541536388276981)</f>
        <v>-0.54153638827698103</v>
      </c>
      <c r="CQ22" s="3">
        <f ca="1">IFERROR(__xludf.DUMMYFUNCTION("""COMPUTED_VALUE"""),-0.402482402214747)</f>
        <v>-0.40248240221474701</v>
      </c>
      <c r="CR22" s="3">
        <f ca="1">IFERROR(__xludf.DUMMYFUNCTION("""COMPUTED_VALUE"""),-0.333968046071111)</f>
        <v>-0.33396804607111102</v>
      </c>
      <c r="CS22" s="3">
        <f ca="1">IFERROR(__xludf.DUMMYFUNCTION("""COMPUTED_VALUE"""),-0.560905046807385)</f>
        <v>-0.56090504680738495</v>
      </c>
      <c r="CT22" s="3">
        <f ca="1">IFERROR(__xludf.DUMMYFUNCTION("""COMPUTED_VALUE"""),-0.58990542334127)</f>
        <v>-0.58990542334127005</v>
      </c>
      <c r="CU22" s="3">
        <f ca="1">IFERROR(__xludf.DUMMYFUNCTION("""COMPUTED_VALUE"""),-0.544385507719549)</f>
        <v>-0.54438550771954897</v>
      </c>
      <c r="CV22" s="3">
        <f ca="1">IFERROR(__xludf.DUMMYFUNCTION("""COMPUTED_VALUE"""),-0.570914455137811)</f>
        <v>-0.57091445513781103</v>
      </c>
      <c r="CW22" s="3">
        <f ca="1">IFERROR(__xludf.DUMMYFUNCTION("""COMPUTED_VALUE"""),-0.527758903611801)</f>
        <v>-0.527758903611801</v>
      </c>
      <c r="CX22" s="3">
        <f ca="1">IFERROR(__xludf.DUMMYFUNCTION("""COMPUTED_VALUE"""),-0.384525792222277)</f>
        <v>-0.38452579222227701</v>
      </c>
      <c r="CY22" s="3">
        <f ca="1">IFERROR(__xludf.DUMMYFUNCTION("""COMPUTED_VALUE"""),-0.412054780217034)</f>
        <v>-0.41205478021703401</v>
      </c>
      <c r="CZ22" s="3">
        <f ca="1">IFERROR(__xludf.DUMMYFUNCTION("""COMPUTED_VALUE"""),-0.664597284714933)</f>
        <v>-0.66459728471493296</v>
      </c>
      <c r="DA22" s="3">
        <f ca="1">IFERROR(__xludf.DUMMYFUNCTION("""COMPUTED_VALUE"""),-0.50904682244397)</f>
        <v>-0.50904682244397004</v>
      </c>
      <c r="DB22" s="3">
        <f ca="1">IFERROR(__xludf.DUMMYFUNCTION("""COMPUTED_VALUE"""),-0.348493169941954)</f>
        <v>-0.34849316994195401</v>
      </c>
      <c r="DC22" s="3">
        <f ca="1">IFERROR(__xludf.DUMMYFUNCTION("""COMPUTED_VALUE"""),-0.500153594418301)</f>
        <v>-0.50015359441830098</v>
      </c>
      <c r="DD22" s="3">
        <f ca="1">IFERROR(__xludf.DUMMYFUNCTION("""COMPUTED_VALUE"""),-0.497812849351975)</f>
        <v>-0.49781284935197501</v>
      </c>
      <c r="DE22" s="3">
        <f ca="1">IFERROR(__xludf.DUMMYFUNCTION("""COMPUTED_VALUE"""),-0.41767751063223)</f>
        <v>-0.41767751063223002</v>
      </c>
      <c r="DF22" s="3">
        <f ca="1">IFERROR(__xludf.DUMMYFUNCTION("""COMPUTED_VALUE"""),-0.460576481864278)</f>
        <v>-0.46057648186427802</v>
      </c>
      <c r="DG22" s="3">
        <f ca="1">IFERROR(__xludf.DUMMYFUNCTION("""COMPUTED_VALUE"""),-0.759846862986645)</f>
        <v>-0.75984686298664506</v>
      </c>
      <c r="DH22" s="3">
        <f ca="1">IFERROR(__xludf.DUMMYFUNCTION("""COMPUTED_VALUE"""),-0.557038414497805)</f>
        <v>-0.557038414497805</v>
      </c>
      <c r="DI22" s="3">
        <f ca="1">IFERROR(__xludf.DUMMYFUNCTION("""COMPUTED_VALUE"""),-0.350026646175125)</f>
        <v>-0.35002664617512502</v>
      </c>
      <c r="DJ22" s="3">
        <f ca="1">IFERROR(__xludf.DUMMYFUNCTION("""COMPUTED_VALUE"""),-0.484770036122975)</f>
        <v>-0.48477003612297498</v>
      </c>
      <c r="DK22" s="3">
        <f ca="1">IFERROR(__xludf.DUMMYFUNCTION("""COMPUTED_VALUE"""),-0.558717248108666)</f>
        <v>-0.55871724810866596</v>
      </c>
      <c r="DL22" s="3">
        <f ca="1">IFERROR(__xludf.DUMMYFUNCTION("""COMPUTED_VALUE"""),-0.444477292701498)</f>
        <v>-0.44447729270149799</v>
      </c>
      <c r="DM22" s="3">
        <f ca="1">IFERROR(__xludf.DUMMYFUNCTION("""COMPUTED_VALUE"""),-0.431845974612438)</f>
        <v>-0.43184597461243801</v>
      </c>
      <c r="DN22" s="3">
        <f ca="1">IFERROR(__xludf.DUMMYFUNCTION("""COMPUTED_VALUE"""),-0.609169074658968)</f>
        <v>-0.60916907465896797</v>
      </c>
      <c r="DO22" s="3">
        <f ca="1">IFERROR(__xludf.DUMMYFUNCTION("""COMPUTED_VALUE"""),-0.590977423493639)</f>
        <v>-0.59097742349363902</v>
      </c>
      <c r="DP22" s="3">
        <f ca="1">IFERROR(__xludf.DUMMYFUNCTION("""COMPUTED_VALUE"""),-0.550052139423506)</f>
        <v>-0.55005213942350595</v>
      </c>
      <c r="DQ22" s="3">
        <f ca="1">IFERROR(__xludf.DUMMYFUNCTION("""COMPUTED_VALUE"""),-0.585562970267187)</f>
        <v>-0.58556297026718696</v>
      </c>
      <c r="DR22" s="3">
        <f ca="1">IFERROR(__xludf.DUMMYFUNCTION("""COMPUTED_VALUE"""),-0.58160726971181)</f>
        <v>-0.58160726971180998</v>
      </c>
      <c r="DS22" s="3">
        <f ca="1">IFERROR(__xludf.DUMMYFUNCTION("""COMPUTED_VALUE"""),-0.403678917100004)</f>
        <v>-0.40367891710000398</v>
      </c>
      <c r="DT22" s="3">
        <f ca="1">IFERROR(__xludf.DUMMYFUNCTION("""COMPUTED_VALUE"""),-0.481227693020457)</f>
        <v>-0.48122769302045698</v>
      </c>
      <c r="DU22" s="3">
        <f ca="1">IFERROR(__xludf.DUMMYFUNCTION("""COMPUTED_VALUE"""),-0.631800768243899)</f>
        <v>-0.63180076824389897</v>
      </c>
      <c r="DV22" s="3">
        <f ca="1">IFERROR(__xludf.DUMMYFUNCTION("""COMPUTED_VALUE"""),-0.661288003986266)</f>
        <v>-0.66128800398626597</v>
      </c>
      <c r="DW22" s="3">
        <f ca="1">IFERROR(__xludf.DUMMYFUNCTION("""COMPUTED_VALUE"""),-0.663179556095791)</f>
        <v>-0.66317955609579105</v>
      </c>
      <c r="DX22" s="3">
        <f ca="1">IFERROR(__xludf.DUMMYFUNCTION("""COMPUTED_VALUE"""),-0.666219049330458)</f>
        <v>-0.66621904933045795</v>
      </c>
      <c r="DY22" s="3">
        <f ca="1">IFERROR(__xludf.DUMMYFUNCTION("""COMPUTED_VALUE"""),-0.637050378131603)</f>
        <v>-0.63705037813160303</v>
      </c>
      <c r="DZ22" s="3">
        <f ca="1">IFERROR(__xludf.DUMMYFUNCTION("""COMPUTED_VALUE"""),-0.447223170391694)</f>
        <v>-0.44722317039169401</v>
      </c>
      <c r="EA22" s="3">
        <f ca="1">IFERROR(__xludf.DUMMYFUNCTION("""COMPUTED_VALUE"""),-0.402756358590703)</f>
        <v>-0.40275635859070302</v>
      </c>
      <c r="EB22" s="3">
        <f ca="1">IFERROR(__xludf.DUMMYFUNCTION("""COMPUTED_VALUE"""),-0.582101537914969)</f>
        <v>-0.58210153791496899</v>
      </c>
      <c r="EC22" s="3">
        <f ca="1">IFERROR(__xludf.DUMMYFUNCTION("""COMPUTED_VALUE"""),-0.559278758866067)</f>
        <v>-0.55927875886606704</v>
      </c>
      <c r="ED22" s="3">
        <f ca="1">IFERROR(__xludf.DUMMYFUNCTION("""COMPUTED_VALUE"""),-0.620638049482927)</f>
        <v>-0.620638049482927</v>
      </c>
      <c r="EE22" s="3">
        <f ca="1">IFERROR(__xludf.DUMMYFUNCTION("""COMPUTED_VALUE"""),-0.531155928730592)</f>
        <v>-0.53115592873059203</v>
      </c>
      <c r="EF22" s="3">
        <f ca="1">IFERROR(__xludf.DUMMYFUNCTION("""COMPUTED_VALUE"""),-0.654594105566108)</f>
        <v>-0.65459410556610798</v>
      </c>
      <c r="EG22" s="3">
        <f ca="1">IFERROR(__xludf.DUMMYFUNCTION("""COMPUTED_VALUE"""),-0.396748088161135)</f>
        <v>-0.39674808816113499</v>
      </c>
      <c r="EH22" s="3">
        <f ca="1">IFERROR(__xludf.DUMMYFUNCTION("""COMPUTED_VALUE"""),-0.507991102813119)</f>
        <v>-0.50799110281311899</v>
      </c>
      <c r="EI22" s="3">
        <f ca="1">IFERROR(__xludf.DUMMYFUNCTION("""COMPUTED_VALUE"""),-0.666619858082331)</f>
        <v>-0.66661985808233104</v>
      </c>
      <c r="EJ22" s="3">
        <f ca="1">IFERROR(__xludf.DUMMYFUNCTION("""COMPUTED_VALUE"""),-0.72354594058657)</f>
        <v>-0.72354594058656996</v>
      </c>
      <c r="EK22" s="3">
        <f ca="1">IFERROR(__xludf.DUMMYFUNCTION("""COMPUTED_VALUE"""),-0.671313984344764)</f>
        <v>-0.67131398434476397</v>
      </c>
      <c r="EL22" s="3">
        <f ca="1">IFERROR(__xludf.DUMMYFUNCTION("""COMPUTED_VALUE"""),-0.665380043168424)</f>
        <v>-0.66538004316842403</v>
      </c>
      <c r="EM22" s="3">
        <f ca="1">IFERROR(__xludf.DUMMYFUNCTION("""COMPUTED_VALUE"""),-0.67159440858581)</f>
        <v>-0.67159440858580999</v>
      </c>
      <c r="EN22" s="3">
        <f ca="1">IFERROR(__xludf.DUMMYFUNCTION("""COMPUTED_VALUE"""),-0.497452334684478)</f>
        <v>-0.49745233468447803</v>
      </c>
      <c r="EO22" s="3">
        <f ca="1">IFERROR(__xludf.DUMMYFUNCTION("""COMPUTED_VALUE"""),-0.480398304480412)</f>
        <v>-0.48039830448041199</v>
      </c>
      <c r="EP22" s="3">
        <f ca="1">IFERROR(__xludf.DUMMYFUNCTION("""COMPUTED_VALUE"""),-0.585093059532249)</f>
        <v>-0.58509305953224899</v>
      </c>
      <c r="EQ22" s="3">
        <f ca="1">IFERROR(__xludf.DUMMYFUNCTION("""COMPUTED_VALUE"""),-0.563851866561183)</f>
        <v>-0.56385186656118302</v>
      </c>
      <c r="ER22" s="3">
        <f ca="1">IFERROR(__xludf.DUMMYFUNCTION("""COMPUTED_VALUE"""),-0.647463548152543)</f>
        <v>-0.64746354815254303</v>
      </c>
      <c r="ES22" s="3">
        <f ca="1">IFERROR(__xludf.DUMMYFUNCTION("""COMPUTED_VALUE"""),-0.678664590562744)</f>
        <v>-0.67866459056274397</v>
      </c>
      <c r="ET22" s="3">
        <f ca="1">IFERROR(__xludf.DUMMYFUNCTION("""COMPUTED_VALUE"""),-0.591133663006785)</f>
        <v>-0.59113366300678505</v>
      </c>
      <c r="EU22" s="3">
        <f ca="1">IFERROR(__xludf.DUMMYFUNCTION("""COMPUTED_VALUE"""),-0.486488895176194)</f>
        <v>-0.48648889517619398</v>
      </c>
      <c r="EV22" s="3">
        <f ca="1">IFERROR(__xludf.DUMMYFUNCTION("""COMPUTED_VALUE"""),-0.451549852239725)</f>
        <v>-0.45154985223972499</v>
      </c>
      <c r="EW22" s="3">
        <f ca="1">IFERROR(__xludf.DUMMYFUNCTION("""COMPUTED_VALUE"""),-0.619602682475582)</f>
        <v>-0.61960268247558203</v>
      </c>
      <c r="EX22" s="3">
        <f ca="1">IFERROR(__xludf.DUMMYFUNCTION("""COMPUTED_VALUE"""),-0.658838496577181)</f>
        <v>-0.65883849657718097</v>
      </c>
      <c r="EY22" s="3">
        <f ca="1">IFERROR(__xludf.DUMMYFUNCTION("""COMPUTED_VALUE"""),-0.654388380263033)</f>
        <v>-0.65438838026303303</v>
      </c>
      <c r="EZ22" s="3">
        <f ca="1">IFERROR(__xludf.DUMMYFUNCTION("""COMPUTED_VALUE"""),-0.631189176751796)</f>
        <v>-0.63118917675179598</v>
      </c>
      <c r="FA22" s="3">
        <f ca="1">IFERROR(__xludf.DUMMYFUNCTION("""COMPUTED_VALUE"""),-0.611233393678635)</f>
        <v>-0.61123339367863505</v>
      </c>
      <c r="FB22" s="3">
        <f ca="1">IFERROR(__xludf.DUMMYFUNCTION("""COMPUTED_VALUE"""),-0.441732051827767)</f>
        <v>-0.44173205182776698</v>
      </c>
      <c r="FC22" s="3">
        <f ca="1">IFERROR(__xludf.DUMMYFUNCTION("""COMPUTED_VALUE"""),-0.44511641989631)</f>
        <v>-0.44511641989631001</v>
      </c>
      <c r="FD22" s="3">
        <f ca="1">IFERROR(__xludf.DUMMYFUNCTION("""COMPUTED_VALUE"""),-0.640043168958958)</f>
        <v>-0.64004316895895796</v>
      </c>
      <c r="FE22" s="3">
        <f ca="1">IFERROR(__xludf.DUMMYFUNCTION("""COMPUTED_VALUE"""),-0.638966594154115)</f>
        <v>-0.63896659415411505</v>
      </c>
      <c r="FF22" s="3">
        <f ca="1">IFERROR(__xludf.DUMMYFUNCTION("""COMPUTED_VALUE"""),-0.632876387543309)</f>
        <v>-0.63287638754330899</v>
      </c>
      <c r="FG22" s="3">
        <f ca="1">IFERROR(__xludf.DUMMYFUNCTION("""COMPUTED_VALUE"""),-0.545140247518668)</f>
        <v>-0.54514024751866796</v>
      </c>
      <c r="FH22" s="3">
        <f ca="1">IFERROR(__xludf.DUMMYFUNCTION("""COMPUTED_VALUE"""),-0.58952429987568)</f>
        <v>-0.58952429987568</v>
      </c>
      <c r="FI22" s="3">
        <f ca="1">IFERROR(__xludf.DUMMYFUNCTION("""COMPUTED_VALUE"""),-0.41888078251215)</f>
        <v>-0.41888078251215</v>
      </c>
      <c r="FJ22" s="3">
        <f ca="1">IFERROR(__xludf.DUMMYFUNCTION("""COMPUTED_VALUE"""),-0.37257763672578)</f>
        <v>-0.37257763672577998</v>
      </c>
      <c r="FK22" s="3">
        <f ca="1">IFERROR(__xludf.DUMMYFUNCTION("""COMPUTED_VALUE"""),-0.591614337976644)</f>
        <v>-0.59161433797664398</v>
      </c>
      <c r="FL22" s="3">
        <f ca="1">IFERROR(__xludf.DUMMYFUNCTION("""COMPUTED_VALUE"""),-0.650112614903506)</f>
        <v>-0.65011261490350603</v>
      </c>
      <c r="FM22" s="3">
        <f ca="1">IFERROR(__xludf.DUMMYFUNCTION("""COMPUTED_VALUE"""),-0.653588340309057)</f>
        <v>-0.65358834030905699</v>
      </c>
      <c r="FN22" s="3">
        <f ca="1">IFERROR(__xludf.DUMMYFUNCTION("""COMPUTED_VALUE"""),-0.606462726211774)</f>
        <v>-0.60646272621177399</v>
      </c>
      <c r="FO22" s="3">
        <f ca="1">IFERROR(__xludf.DUMMYFUNCTION("""COMPUTED_VALUE"""),-0.619635655345506)</f>
        <v>-0.61963565534550602</v>
      </c>
      <c r="FP22" s="3">
        <f ca="1">IFERROR(__xludf.DUMMYFUNCTION("""COMPUTED_VALUE"""),-0.435754217972678)</f>
        <v>-0.43575421797267799</v>
      </c>
      <c r="FQ22" s="3">
        <f ca="1">IFERROR(__xludf.DUMMYFUNCTION("""COMPUTED_VALUE"""),-0.452830101899766)</f>
        <v>-0.45283010189976602</v>
      </c>
      <c r="FR22" s="3">
        <f ca="1">IFERROR(__xludf.DUMMYFUNCTION("""COMPUTED_VALUE"""),-0.607275816704177)</f>
        <v>-0.60727581670417696</v>
      </c>
      <c r="FS22" s="3">
        <f ca="1">IFERROR(__xludf.DUMMYFUNCTION("""COMPUTED_VALUE"""),-0.639015204277386)</f>
        <v>-0.63901520427738601</v>
      </c>
      <c r="FT22" s="3">
        <f ca="1">IFERROR(__xludf.DUMMYFUNCTION("""COMPUTED_VALUE"""),-0.663110902784183)</f>
        <v>-0.66311090278418305</v>
      </c>
      <c r="FU22" s="3">
        <f ca="1">IFERROR(__xludf.DUMMYFUNCTION("""COMPUTED_VALUE"""),-0.649092345276086)</f>
        <v>-0.64909234527608595</v>
      </c>
      <c r="FV22" s="3">
        <f ca="1">IFERROR(__xludf.DUMMYFUNCTION("""COMPUTED_VALUE"""),-0.624534190056885)</f>
        <v>-0.62453419005688504</v>
      </c>
      <c r="FW22" s="3">
        <f ca="1">IFERROR(__xludf.DUMMYFUNCTION("""COMPUTED_VALUE"""),-0.444258775697521)</f>
        <v>-0.44425877569752098</v>
      </c>
      <c r="FX22" s="3">
        <f ca="1">IFERROR(__xludf.DUMMYFUNCTION("""COMPUTED_VALUE"""),-0.451277305135744)</f>
        <v>-0.45127730513574399</v>
      </c>
      <c r="FY22" s="3">
        <f ca="1">IFERROR(__xludf.DUMMYFUNCTION("""COMPUTED_VALUE"""),-0.59162981960242)</f>
        <v>-0.59162981960242</v>
      </c>
      <c r="FZ22" s="3">
        <f ca="1">IFERROR(__xludf.DUMMYFUNCTION("""COMPUTED_VALUE"""),-0.671587002999871)</f>
        <v>-0.67158700299987095</v>
      </c>
      <c r="GA22" s="3">
        <f ca="1">IFERROR(__xludf.DUMMYFUNCTION("""COMPUTED_VALUE"""),-0.628269582861707)</f>
        <v>-0.62826958286170698</v>
      </c>
      <c r="GB22" s="3">
        <f ca="1">IFERROR(__xludf.DUMMYFUNCTION("""COMPUTED_VALUE"""),-0.645611776884682)</f>
        <v>-0.64561177688468196</v>
      </c>
      <c r="GC22" s="3">
        <f ca="1">IFERROR(__xludf.DUMMYFUNCTION("""COMPUTED_VALUE"""),-0.587905431091219)</f>
        <v>-0.58790543109121896</v>
      </c>
      <c r="GD22" s="3">
        <f ca="1">IFERROR(__xludf.DUMMYFUNCTION("""COMPUTED_VALUE"""),-0.427041724039679)</f>
        <v>-0.42704172403967899</v>
      </c>
      <c r="GE22" s="3">
        <f ca="1">IFERROR(__xludf.DUMMYFUNCTION("""COMPUTED_VALUE"""),-0.458307850865721)</f>
        <v>-0.45830785086572101</v>
      </c>
      <c r="GF22" s="3">
        <f ca="1">IFERROR(__xludf.DUMMYFUNCTION("""COMPUTED_VALUE"""),-0.619128897658411)</f>
        <v>-0.61912889765841095</v>
      </c>
      <c r="GG22" s="3">
        <f ca="1">IFERROR(__xludf.DUMMYFUNCTION("""COMPUTED_VALUE"""),-0.621692617974443)</f>
        <v>-0.62169261797444297</v>
      </c>
      <c r="GH22" s="3">
        <f ca="1">IFERROR(__xludf.DUMMYFUNCTION("""COMPUTED_VALUE"""),-0.590031267682215)</f>
        <v>-0.59003126768221503</v>
      </c>
      <c r="GI22" s="3">
        <f ca="1">IFERROR(__xludf.DUMMYFUNCTION("""COMPUTED_VALUE"""),-0.633672146641136)</f>
        <v>-0.63367214664113602</v>
      </c>
      <c r="GJ22" s="3">
        <f ca="1">IFERROR(__xludf.DUMMYFUNCTION("""COMPUTED_VALUE"""),-0.587805631548185)</f>
        <v>-0.58780563154818499</v>
      </c>
      <c r="GK22" s="3">
        <f ca="1">IFERROR(__xludf.DUMMYFUNCTION("""COMPUTED_VALUE"""),-0.466166741292523)</f>
        <v>-0.466166741292523</v>
      </c>
      <c r="GL22" s="3">
        <f ca="1">IFERROR(__xludf.DUMMYFUNCTION("""COMPUTED_VALUE"""),-0.472582578231058)</f>
        <v>-0.47258257823105798</v>
      </c>
      <c r="GM22" s="3">
        <f ca="1">IFERROR(__xludf.DUMMYFUNCTION("""COMPUTED_VALUE"""),-0.558822279519497)</f>
        <v>-0.55882227951949703</v>
      </c>
      <c r="GN22" s="3">
        <f ca="1">IFERROR(__xludf.DUMMYFUNCTION("""COMPUTED_VALUE"""),-0.625084443730286)</f>
        <v>-0.62508444373028604</v>
      </c>
      <c r="GO22" s="3">
        <f ca="1">IFERROR(__xludf.DUMMYFUNCTION("""COMPUTED_VALUE"""),-0.619543549928309)</f>
        <v>-0.61954354992830896</v>
      </c>
      <c r="GP22" s="3">
        <f ca="1">IFERROR(__xludf.DUMMYFUNCTION("""COMPUTED_VALUE"""),-0.664413594135566)</f>
        <v>-0.664413594135566</v>
      </c>
      <c r="GQ22" s="3">
        <f ca="1">IFERROR(__xludf.DUMMYFUNCTION("""COMPUTED_VALUE"""),-0.626480542331468)</f>
        <v>-0.62648054233146799</v>
      </c>
      <c r="GR22" s="3">
        <f ca="1">IFERROR(__xludf.DUMMYFUNCTION("""COMPUTED_VALUE"""),-0.416883794507928)</f>
        <v>-0.41688379450792801</v>
      </c>
      <c r="GS22" s="3">
        <f ca="1">IFERROR(__xludf.DUMMYFUNCTION("""COMPUTED_VALUE"""),-0.456838510032836)</f>
        <v>-0.45683851003283599</v>
      </c>
      <c r="GT22" s="3">
        <f ca="1">IFERROR(__xludf.DUMMYFUNCTION("""COMPUTED_VALUE"""),-0.586456005281206)</f>
        <v>-0.58645600528120601</v>
      </c>
      <c r="GU22" s="3">
        <f ca="1">IFERROR(__xludf.DUMMYFUNCTION("""COMPUTED_VALUE"""),-0.642550886145565)</f>
        <v>-0.64255088614556499</v>
      </c>
      <c r="GV22" s="3">
        <f ca="1">IFERROR(__xludf.DUMMYFUNCTION("""COMPUTED_VALUE"""),-0.599885715334684)</f>
        <v>-0.59988571533468404</v>
      </c>
      <c r="GW22" s="3">
        <f ca="1">IFERROR(__xludf.DUMMYFUNCTION("""COMPUTED_VALUE"""),-0.644314692001772)</f>
        <v>-0.64431469200177205</v>
      </c>
      <c r="GX22" s="3">
        <f ca="1">IFERROR(__xludf.DUMMYFUNCTION("""COMPUTED_VALUE"""),-0.61363892430772)</f>
        <v>-0.61363892430772005</v>
      </c>
      <c r="GY22" s="3">
        <f ca="1">IFERROR(__xludf.DUMMYFUNCTION("""COMPUTED_VALUE"""),-0.382407989834883)</f>
        <v>-0.382407989834883</v>
      </c>
      <c r="GZ22" s="3">
        <f ca="1">IFERROR(__xludf.DUMMYFUNCTION("""COMPUTED_VALUE"""),-0.404904788994073)</f>
        <v>-0.40490478899407301</v>
      </c>
      <c r="HA22" s="3">
        <f ca="1">IFERROR(__xludf.DUMMYFUNCTION("""COMPUTED_VALUE"""),-0.573380617676376)</f>
        <v>-0.57338061767637605</v>
      </c>
      <c r="HB22" s="3">
        <f ca="1">IFERROR(__xludf.DUMMYFUNCTION("""COMPUTED_VALUE"""),-0.639230359773323)</f>
        <v>-0.63923035977332299</v>
      </c>
      <c r="HC22" s="3">
        <f ca="1">IFERROR(__xludf.DUMMYFUNCTION("""COMPUTED_VALUE"""),-0.601159071157046)</f>
        <v>-0.60115907115704603</v>
      </c>
      <c r="HD22" s="3">
        <f ca="1">IFERROR(__xludf.DUMMYFUNCTION("""COMPUTED_VALUE"""),-0.597115458140486)</f>
        <v>-0.59711545814048606</v>
      </c>
      <c r="HE22" s="3">
        <f ca="1">IFERROR(__xludf.DUMMYFUNCTION("""COMPUTED_VALUE"""),-0.609513094906358)</f>
        <v>-0.60951309490635797</v>
      </c>
      <c r="HF22" s="3">
        <f ca="1">IFERROR(__xludf.DUMMYFUNCTION("""COMPUTED_VALUE"""),-0.43390575751064)</f>
        <v>-0.43390575751063998</v>
      </c>
      <c r="HG22" s="3">
        <f ca="1">IFERROR(__xludf.DUMMYFUNCTION("""COMPUTED_VALUE"""),-0.411867635972915)</f>
        <v>-0.41186763597291498</v>
      </c>
      <c r="HH22" s="3">
        <f ca="1">IFERROR(__xludf.DUMMYFUNCTION("""COMPUTED_VALUE"""),-0.57302894541836)</f>
        <v>-0.57302894541836003</v>
      </c>
      <c r="HI22" s="3">
        <f ca="1">IFERROR(__xludf.DUMMYFUNCTION("""COMPUTED_VALUE"""),-0.603563367159054)</f>
        <v>-0.60356336715905401</v>
      </c>
      <c r="HJ22" s="3">
        <f ca="1">IFERROR(__xludf.DUMMYFUNCTION("""COMPUTED_VALUE"""),-0.558311134841889)</f>
        <v>-0.55831113484188899</v>
      </c>
      <c r="HK22" s="3">
        <f ca="1">IFERROR(__xludf.DUMMYFUNCTION("""COMPUTED_VALUE"""),-0.595803683239157)</f>
        <v>-0.595803683239157</v>
      </c>
      <c r="HL22" s="3">
        <f ca="1">IFERROR(__xludf.DUMMYFUNCTION("""COMPUTED_VALUE"""),-0.678888367713482)</f>
        <v>-0.67888836771348204</v>
      </c>
      <c r="HM22" s="3">
        <f ca="1">IFERROR(__xludf.DUMMYFUNCTION("""COMPUTED_VALUE"""),-0.373979851181342)</f>
        <v>-0.37397985118134203</v>
      </c>
      <c r="HN22" s="3">
        <f ca="1">IFERROR(__xludf.DUMMYFUNCTION("""COMPUTED_VALUE"""),-0.327660159831079)</f>
        <v>-0.32766015983107899</v>
      </c>
      <c r="HO22" s="3">
        <f ca="1">IFERROR(__xludf.DUMMYFUNCTION("""COMPUTED_VALUE"""),-0.547841413504049)</f>
        <v>-0.54784141350404902</v>
      </c>
      <c r="HP22" s="3">
        <f ca="1">IFERROR(__xludf.DUMMYFUNCTION("""COMPUTED_VALUE"""),-0.58623329888148)</f>
        <v>-0.58623329888148001</v>
      </c>
      <c r="HQ22" s="3">
        <f ca="1">IFERROR(__xludf.DUMMYFUNCTION("""COMPUTED_VALUE"""),-0.611126703426397)</f>
        <v>-0.61112670342639697</v>
      </c>
      <c r="HR22" s="3">
        <f ca="1">IFERROR(__xludf.DUMMYFUNCTION("""COMPUTED_VALUE"""),-0.613022559701841)</f>
        <v>-0.61302255970184105</v>
      </c>
      <c r="HS22" s="3">
        <f ca="1">IFERROR(__xludf.DUMMYFUNCTION("""COMPUTED_VALUE"""),-0.52559093858811)</f>
        <v>-0.52559093858811001</v>
      </c>
      <c r="HT22" s="3">
        <f ca="1">IFERROR(__xludf.DUMMYFUNCTION("""COMPUTED_VALUE"""),-0.327155248006949)</f>
        <v>-0.32715524800694901</v>
      </c>
      <c r="HU22" s="3">
        <f ca="1">IFERROR(__xludf.DUMMYFUNCTION("""COMPUTED_VALUE"""),-0.379838946503108)</f>
        <v>-0.37983894650310801</v>
      </c>
      <c r="HV22" s="3">
        <f ca="1">IFERROR(__xludf.DUMMYFUNCTION("""COMPUTED_VALUE"""),-0.617818526180043)</f>
        <v>-0.61781852618004296</v>
      </c>
      <c r="HW22" s="3">
        <f ca="1">IFERROR(__xludf.DUMMYFUNCTION("""COMPUTED_VALUE"""),-0.570524170416135)</f>
        <v>-0.57052417041613501</v>
      </c>
      <c r="HX22" s="3">
        <f ca="1">IFERROR(__xludf.DUMMYFUNCTION("""COMPUTED_VALUE"""),-0.574537183669136)</f>
        <v>-0.57453718366913598</v>
      </c>
      <c r="HY22" s="3">
        <f ca="1">IFERROR(__xludf.DUMMYFUNCTION("""COMPUTED_VALUE"""),-0.600750799644912)</f>
        <v>-0.60075079964491196</v>
      </c>
      <c r="HZ22" s="3">
        <f ca="1">IFERROR(__xludf.DUMMYFUNCTION("""COMPUTED_VALUE"""),-0.469638705613104)</f>
        <v>-0.469638705613104</v>
      </c>
      <c r="IA22" s="3">
        <f ca="1">IFERROR(__xludf.DUMMYFUNCTION("""COMPUTED_VALUE"""),-0.25955799683325)</f>
        <v>-0.25955799683324998</v>
      </c>
      <c r="IB22" s="3">
        <f ca="1">IFERROR(__xludf.DUMMYFUNCTION("""COMPUTED_VALUE"""),-0.321856496999045)</f>
        <v>-0.32185649699904501</v>
      </c>
      <c r="IC22" s="3">
        <f ca="1">IFERROR(__xludf.DUMMYFUNCTION("""COMPUTED_VALUE"""),-0.573394467817135)</f>
        <v>-0.57339446781713499</v>
      </c>
      <c r="ID22" s="3">
        <f ca="1">IFERROR(__xludf.DUMMYFUNCTION("""COMPUTED_VALUE"""),-0.57795310740013)</f>
        <v>-0.57795310740012995</v>
      </c>
      <c r="IE22" s="3">
        <f ca="1">IFERROR(__xludf.DUMMYFUNCTION("""COMPUTED_VALUE"""),-0.578282743206277)</f>
        <v>-0.57828274320627704</v>
      </c>
      <c r="IF22" s="3">
        <f ca="1">IFERROR(__xludf.DUMMYFUNCTION("""COMPUTED_VALUE"""),-0.540532986255071)</f>
        <v>-0.54053298625507096</v>
      </c>
      <c r="IG22" s="3">
        <f ca="1">IFERROR(__xludf.DUMMYFUNCTION("""COMPUTED_VALUE"""),-0.5633200822432)</f>
        <v>-0.56332008224319996</v>
      </c>
      <c r="IH22" s="3">
        <f ca="1">IFERROR(__xludf.DUMMYFUNCTION("""COMPUTED_VALUE"""),-0.333099211137548)</f>
        <v>-0.33309921113754798</v>
      </c>
      <c r="II22" s="3">
        <f ca="1">IFERROR(__xludf.DUMMYFUNCTION("""COMPUTED_VALUE"""),-0.341205278987302)</f>
        <v>-0.34120527898730202</v>
      </c>
      <c r="IJ22" s="3">
        <f ca="1">IFERROR(__xludf.DUMMYFUNCTION("""COMPUTED_VALUE"""),-0.528860076193415)</f>
        <v>-0.52886007619341502</v>
      </c>
      <c r="IK22" s="3">
        <f ca="1">IFERROR(__xludf.DUMMYFUNCTION("""COMPUTED_VALUE"""),-0.557213504933387)</f>
        <v>-0.55721350493338695</v>
      </c>
      <c r="IL22" s="3">
        <f ca="1">IFERROR(__xludf.DUMMYFUNCTION("""COMPUTED_VALUE"""),-0.514971365912241)</f>
        <v>-0.51497136591224102</v>
      </c>
      <c r="IM22" s="3">
        <f ca="1">IFERROR(__xludf.DUMMYFUNCTION("""COMPUTED_VALUE"""),-0.529043930670331)</f>
        <v>-0.52904393067033095</v>
      </c>
      <c r="IN22" s="3">
        <f ca="1">IFERROR(__xludf.DUMMYFUNCTION("""COMPUTED_VALUE"""),-0.476492683236442)</f>
        <v>-0.47649268323644201</v>
      </c>
      <c r="IO22" s="3">
        <f ca="1">IFERROR(__xludf.DUMMYFUNCTION("""COMPUTED_VALUE"""),-0.266288778441156)</f>
        <v>-0.266288778441156</v>
      </c>
      <c r="IP22" s="3">
        <f ca="1">IFERROR(__xludf.DUMMYFUNCTION("""COMPUTED_VALUE"""),-0.348053725984078)</f>
        <v>-0.34805372598407802</v>
      </c>
      <c r="IQ22" s="3">
        <f ca="1">IFERROR(__xludf.DUMMYFUNCTION("""COMPUTED_VALUE"""),-0.47866247169614)</f>
        <v>-0.47866247169614001</v>
      </c>
      <c r="IR22" s="3">
        <f ca="1">IFERROR(__xludf.DUMMYFUNCTION("""COMPUTED_VALUE"""),-0.512349117936652)</f>
        <v>-0.51234911793665205</v>
      </c>
      <c r="IS22" s="3">
        <f ca="1">IFERROR(__xludf.DUMMYFUNCTION("""COMPUTED_VALUE"""),-0.488034686423659)</f>
        <v>-0.48803468642365899</v>
      </c>
      <c r="IT22" s="3">
        <f ca="1">IFERROR(__xludf.DUMMYFUNCTION("""COMPUTED_VALUE"""),-0.4744671944189)</f>
        <v>-0.47446719441890001</v>
      </c>
      <c r="IU22" s="3">
        <f ca="1">IFERROR(__xludf.DUMMYFUNCTION("""COMPUTED_VALUE"""),-0.477312754421408)</f>
        <v>-0.47731275442140803</v>
      </c>
      <c r="IV22" s="3">
        <f ca="1">IFERROR(__xludf.DUMMYFUNCTION("""COMPUTED_VALUE"""),-0.357516421606065)</f>
        <v>-0.357516421606065</v>
      </c>
      <c r="IW22" s="3">
        <f ca="1">IFERROR(__xludf.DUMMYFUNCTION("""COMPUTED_VALUE"""),-0.394525251826439)</f>
        <v>-0.39452525182643899</v>
      </c>
      <c r="IX22" s="3">
        <f ca="1">IFERROR(__xludf.DUMMYFUNCTION("""COMPUTED_VALUE"""),-0.417258196638576)</f>
        <v>-0.417258196638576</v>
      </c>
      <c r="IY22" s="3">
        <f ca="1">IFERROR(__xludf.DUMMYFUNCTION("""COMPUTED_VALUE"""),-0.474826453764985)</f>
        <v>-0.474826453764985</v>
      </c>
      <c r="IZ22" s="3">
        <f ca="1">IFERROR(__xludf.DUMMYFUNCTION("""COMPUTED_VALUE"""),-0.459895097957397)</f>
        <v>-0.45989509795739703</v>
      </c>
      <c r="JA22" s="3">
        <f ca="1">IFERROR(__xludf.DUMMYFUNCTION("""COMPUTED_VALUE"""),-0.439527233625143)</f>
        <v>-0.43952723362514301</v>
      </c>
      <c r="JB22" s="3">
        <f ca="1">IFERROR(__xludf.DUMMYFUNCTION("""COMPUTED_VALUE"""),-0.48512855798024)</f>
        <v>-0.48512855798024002</v>
      </c>
      <c r="JC22" s="3">
        <f ca="1">IFERROR(__xludf.DUMMYFUNCTION("""COMPUTED_VALUE"""),-0.381309038061148)</f>
        <v>-0.38130903806114802</v>
      </c>
      <c r="JD22" s="3">
        <f ca="1">IFERROR(__xludf.DUMMYFUNCTION("""COMPUTED_VALUE"""),-0.359917510130739)</f>
        <v>-0.35991751013073903</v>
      </c>
      <c r="JE22" s="3">
        <f ca="1">IFERROR(__xludf.DUMMYFUNCTION("""COMPUTED_VALUE"""),-0.449548457509011)</f>
        <v>-0.44954845750901101</v>
      </c>
      <c r="JF22" s="3">
        <f ca="1">IFERROR(__xludf.DUMMYFUNCTION("""COMPUTED_VALUE"""),-0.508767898973834)</f>
        <v>-0.50876789897383401</v>
      </c>
      <c r="JG22" s="3">
        <f ca="1">IFERROR(__xludf.DUMMYFUNCTION("""COMPUTED_VALUE"""),-0.470701468086678)</f>
        <v>-0.47070146808667801</v>
      </c>
      <c r="JH22" s="3">
        <f ca="1">IFERROR(__xludf.DUMMYFUNCTION("""COMPUTED_VALUE"""),-0.466883548840109)</f>
        <v>-0.46688354884010902</v>
      </c>
      <c r="JI22" s="3">
        <f ca="1">IFERROR(__xludf.DUMMYFUNCTION("""COMPUTED_VALUE"""),-0.443462337148937)</f>
        <v>-0.44346233714893701</v>
      </c>
      <c r="JJ22" s="3">
        <f ca="1">IFERROR(__xludf.DUMMYFUNCTION("""COMPUTED_VALUE"""),-0.409088602770408)</f>
        <v>-0.40908860277040798</v>
      </c>
      <c r="JK22" s="3">
        <f ca="1">IFERROR(__xludf.DUMMYFUNCTION("""COMPUTED_VALUE"""),-0.386418333210294)</f>
        <v>-0.38641833321029401</v>
      </c>
      <c r="JL22" s="3">
        <f ca="1">IFERROR(__xludf.DUMMYFUNCTION("""COMPUTED_VALUE"""),-0.429641015256329)</f>
        <v>-0.42964101525632897</v>
      </c>
      <c r="JM22" s="3">
        <f ca="1">IFERROR(__xludf.DUMMYFUNCTION("""COMPUTED_VALUE"""),-0.460734418900464)</f>
        <v>-0.46073441890046402</v>
      </c>
      <c r="JN22" s="3">
        <f ca="1">IFERROR(__xludf.DUMMYFUNCTION("""COMPUTED_VALUE"""),-0.400992114747812)</f>
        <v>-0.40099211474781199</v>
      </c>
      <c r="JO22" s="3">
        <f ca="1">IFERROR(__xludf.DUMMYFUNCTION("""COMPUTED_VALUE"""),-0.426757445986875)</f>
        <v>-0.42675744598687498</v>
      </c>
      <c r="JP22" s="3">
        <f ca="1">IFERROR(__xludf.DUMMYFUNCTION("""COMPUTED_VALUE"""),-0.391517176950816)</f>
        <v>-0.391517176950816</v>
      </c>
      <c r="JQ22" s="3">
        <f ca="1">IFERROR(__xludf.DUMMYFUNCTION("""COMPUTED_VALUE"""),-0.396030221504936)</f>
        <v>-0.396030221504936</v>
      </c>
      <c r="JR22" s="3">
        <f ca="1">IFERROR(__xludf.DUMMYFUNCTION("""COMPUTED_VALUE"""),-0.358277206680421)</f>
        <v>-0.35827720668042101</v>
      </c>
      <c r="JS22" s="3">
        <f ca="1">IFERROR(__xludf.DUMMYFUNCTION("""COMPUTED_VALUE"""),-0.424432469184309)</f>
        <v>-0.42443246918430899</v>
      </c>
      <c r="JT22" s="3">
        <f ca="1">IFERROR(__xludf.DUMMYFUNCTION("""COMPUTED_VALUE"""),-0.348147696074266)</f>
        <v>-0.34814769607426599</v>
      </c>
      <c r="JU22" s="3">
        <f ca="1">IFERROR(__xludf.DUMMYFUNCTION("""COMPUTED_VALUE"""),-0.453449999412423)</f>
        <v>-0.45344999941242298</v>
      </c>
      <c r="JV22" s="3">
        <f ca="1">IFERROR(__xludf.DUMMYFUNCTION("""COMPUTED_VALUE"""),-0.435179662785188)</f>
        <v>-0.43517966278518799</v>
      </c>
      <c r="JW22" s="3">
        <f ca="1">IFERROR(__xludf.DUMMYFUNCTION("""COMPUTED_VALUE"""),-0.403985160617799)</f>
        <v>-0.40398516061779899</v>
      </c>
      <c r="JX22" s="3">
        <f ca="1">IFERROR(__xludf.DUMMYFUNCTION("""COMPUTED_VALUE"""),-0.392744379866092)</f>
        <v>-0.39274437986609201</v>
      </c>
      <c r="JY22" s="3">
        <f ca="1">IFERROR(__xludf.DUMMYFUNCTION("""COMPUTED_VALUE"""),-0.404197414189039)</f>
        <v>-0.40419741418903898</v>
      </c>
      <c r="JZ22" s="3">
        <f ca="1">IFERROR(__xludf.DUMMYFUNCTION("""COMPUTED_VALUE"""),-0.337673612218332)</f>
        <v>-0.33767361221833198</v>
      </c>
      <c r="KA22" s="3">
        <f ca="1">IFERROR(__xludf.DUMMYFUNCTION("""COMPUTED_VALUE"""),-0.304145649043184)</f>
        <v>-0.30414564904318397</v>
      </c>
      <c r="KB22" s="3">
        <f ca="1">IFERROR(__xludf.DUMMYFUNCTION("""COMPUTED_VALUE"""),-0.428695613008547)</f>
        <v>-0.42869561300854703</v>
      </c>
      <c r="KC22" s="3">
        <f ca="1">IFERROR(__xludf.DUMMYFUNCTION("""COMPUTED_VALUE"""),-0.427585630753013)</f>
        <v>-0.42758563075301298</v>
      </c>
      <c r="KD22" s="3">
        <f ca="1">IFERROR(__xludf.DUMMYFUNCTION("""COMPUTED_VALUE"""),-0.430900360504539)</f>
        <v>-0.430900360504539</v>
      </c>
      <c r="KE22" s="3">
        <f ca="1">IFERROR(__xludf.DUMMYFUNCTION("""COMPUTED_VALUE"""),-0.32449569394388)</f>
        <v>-0.32449569394388</v>
      </c>
      <c r="KF22" s="3">
        <f ca="1">IFERROR(__xludf.DUMMYFUNCTION("""COMPUTED_VALUE"""),-0.45195816713035)</f>
        <v>-0.45195816713034997</v>
      </c>
      <c r="KG22" s="3">
        <f ca="1">IFERROR(__xludf.DUMMYFUNCTION("""COMPUTED_VALUE"""),-0.408229274020533)</f>
        <v>-0.408229274020533</v>
      </c>
      <c r="KH22" s="3">
        <f ca="1">IFERROR(__xludf.DUMMYFUNCTION("""COMPUTED_VALUE"""),-0.362458896114695)</f>
        <v>-0.36245889611469501</v>
      </c>
      <c r="KI22" s="3">
        <f ca="1">IFERROR(__xludf.DUMMYFUNCTION("""COMPUTED_VALUE"""),-0.498275564313084)</f>
        <v>-0.49827556431308401</v>
      </c>
      <c r="KJ22" s="3">
        <f ca="1">IFERROR(__xludf.DUMMYFUNCTION("""COMPUTED_VALUE"""),-0.4679340323184)</f>
        <v>-0.46793403231839997</v>
      </c>
      <c r="KK22" s="3">
        <f ca="1">IFERROR(__xludf.DUMMYFUNCTION("""COMPUTED_VALUE"""),-0.468265067796573)</f>
        <v>-0.46826506779657301</v>
      </c>
      <c r="KL22" s="3">
        <f ca="1">IFERROR(__xludf.DUMMYFUNCTION("""COMPUTED_VALUE"""),-0.315832497230892)</f>
        <v>-0.31583249723089202</v>
      </c>
      <c r="KM22" s="3">
        <f ca="1">IFERROR(__xludf.DUMMYFUNCTION("""COMPUTED_VALUE"""),-0.43478974258857)</f>
        <v>-0.43478974258857001</v>
      </c>
      <c r="KN22" s="3">
        <f ca="1">IFERROR(__xludf.DUMMYFUNCTION("""COMPUTED_VALUE"""),-0.462306044525887)</f>
        <v>-0.46230604452588703</v>
      </c>
      <c r="KO22" s="3">
        <f ca="1">IFERROR(__xludf.DUMMYFUNCTION("""COMPUTED_VALUE"""),-0.432226439551751)</f>
        <v>-0.432226439551751</v>
      </c>
      <c r="KP22" s="3">
        <f ca="1">IFERROR(__xludf.DUMMYFUNCTION("""COMPUTED_VALUE"""),-0.480608722176739)</f>
        <v>-0.480608722176739</v>
      </c>
      <c r="KQ22" s="3">
        <f ca="1">IFERROR(__xludf.DUMMYFUNCTION("""COMPUTED_VALUE"""),-0.447185875796476)</f>
        <v>-0.44718587579647601</v>
      </c>
      <c r="KR22" s="3">
        <f ca="1">IFERROR(__xludf.DUMMYFUNCTION("""COMPUTED_VALUE"""),-0.472838920649755)</f>
        <v>-0.47283892064975502</v>
      </c>
      <c r="KS22" s="3">
        <f ca="1">IFERROR(__xludf.DUMMYFUNCTION("""COMPUTED_VALUE"""),-0.234996048487351)</f>
        <v>-0.23499604848735101</v>
      </c>
      <c r="KT22" s="3">
        <f ca="1">IFERROR(__xludf.DUMMYFUNCTION("""COMPUTED_VALUE"""),-0.385357676051518)</f>
        <v>-0.38535767605151799</v>
      </c>
      <c r="KU22" s="3">
        <f ca="1">IFERROR(__xludf.DUMMYFUNCTION("""COMPUTED_VALUE"""),-0.49862176344728)</f>
        <v>-0.49862176344727999</v>
      </c>
      <c r="KV22" s="3">
        <f ca="1">IFERROR(__xludf.DUMMYFUNCTION("""COMPUTED_VALUE"""),-0.463631713224517)</f>
        <v>-0.46363171322451702</v>
      </c>
      <c r="KW22" s="3">
        <f ca="1">IFERROR(__xludf.DUMMYFUNCTION("""COMPUTED_VALUE"""),-0.513980778389103)</f>
        <v>-0.51398077838910305</v>
      </c>
      <c r="KX22" s="3">
        <f ca="1">IFERROR(__xludf.DUMMYFUNCTION("""COMPUTED_VALUE"""),-0.526350840703893)</f>
        <v>-0.52635084070389304</v>
      </c>
      <c r="KY22" s="3">
        <f ca="1">IFERROR(__xludf.DUMMYFUNCTION("""COMPUTED_VALUE"""),-0.496439507481328)</f>
        <v>-0.49643950748132798</v>
      </c>
      <c r="KZ22" s="3">
        <f ca="1">IFERROR(__xludf.DUMMYFUNCTION("""COMPUTED_VALUE"""),-0.379612974407356)</f>
        <v>-0.37961297440735597</v>
      </c>
      <c r="LA22" s="3">
        <f ca="1">IFERROR(__xludf.DUMMYFUNCTION("""COMPUTED_VALUE"""),-0.360823138329179)</f>
        <v>-0.36082313832917901</v>
      </c>
      <c r="LB22" s="3">
        <f ca="1">IFERROR(__xludf.DUMMYFUNCTION("""COMPUTED_VALUE"""),-0.545637183884925)</f>
        <v>-0.54563718388492499</v>
      </c>
      <c r="LC22" s="3">
        <f ca="1">IFERROR(__xludf.DUMMYFUNCTION("""COMPUTED_VALUE"""),-0.532435745730827)</f>
        <v>-0.53243574573082697</v>
      </c>
      <c r="LD22" s="3">
        <f ca="1">IFERROR(__xludf.DUMMYFUNCTION("""COMPUTED_VALUE"""),-0.545685139177807)</f>
        <v>-0.54568513917780703</v>
      </c>
      <c r="LE22" s="3">
        <f ca="1">IFERROR(__xludf.DUMMYFUNCTION("""COMPUTED_VALUE"""),-0.550761488907495)</f>
        <v>-0.55076148890749499</v>
      </c>
      <c r="LF22" s="3">
        <f ca="1">IFERROR(__xludf.DUMMYFUNCTION("""COMPUTED_VALUE"""),-0.518052117051836)</f>
        <v>-0.51805211705183596</v>
      </c>
      <c r="LG22" s="3">
        <f ca="1">IFERROR(__xludf.DUMMYFUNCTION("""COMPUTED_VALUE"""),-0.381081419149009)</f>
        <v>-0.381081419149009</v>
      </c>
      <c r="LH22" s="3">
        <f ca="1">IFERROR(__xludf.DUMMYFUNCTION("""COMPUTED_VALUE"""),-0.387241695220036)</f>
        <v>-0.38724169522003599</v>
      </c>
      <c r="LI22" s="3">
        <f ca="1">IFERROR(__xludf.DUMMYFUNCTION("""COMPUTED_VALUE"""),-0.569366549456362)</f>
        <v>-0.569366549456362</v>
      </c>
      <c r="LJ22" s="3">
        <f ca="1">IFERROR(__xludf.DUMMYFUNCTION("""COMPUTED_VALUE"""),-0.576012128817812)</f>
        <v>-0.57601212881781205</v>
      </c>
      <c r="LK22" s="3">
        <f ca="1">IFERROR(__xludf.DUMMYFUNCTION("""COMPUTED_VALUE"""),-0.532011563289086)</f>
        <v>-0.53201156328908605</v>
      </c>
      <c r="LL22" s="3">
        <f ca="1">IFERROR(__xludf.DUMMYFUNCTION("""COMPUTED_VALUE"""),-0.551000562982282)</f>
        <v>-0.55100056298228195</v>
      </c>
      <c r="LM22" s="3">
        <f ca="1">IFERROR(__xludf.DUMMYFUNCTION("""COMPUTED_VALUE"""),-0.630787272275916)</f>
        <v>-0.63078727227591602</v>
      </c>
      <c r="LN22" s="3">
        <f ca="1">IFERROR(__xludf.DUMMYFUNCTION("""COMPUTED_VALUE"""),-0.375473322786028)</f>
        <v>-0.37547332278602802</v>
      </c>
      <c r="LO22" s="3">
        <f ca="1">IFERROR(__xludf.DUMMYFUNCTION("""COMPUTED_VALUE"""),-0.47773589109443)</f>
        <v>-0.47773589109442999</v>
      </c>
      <c r="LP22" s="3">
        <f ca="1">IFERROR(__xludf.DUMMYFUNCTION("""COMPUTED_VALUE"""),-0.627840558446907)</f>
        <v>-0.627840558446907</v>
      </c>
      <c r="LQ22" s="3">
        <f ca="1">IFERROR(__xludf.DUMMYFUNCTION("""COMPUTED_VALUE"""),-0.576391998639592)</f>
        <v>-0.57639199863959201</v>
      </c>
      <c r="LR22" s="3">
        <f ca="1">IFERROR(__xludf.DUMMYFUNCTION("""COMPUTED_VALUE"""),-0.604475249237987)</f>
        <v>-0.60447524923798701</v>
      </c>
      <c r="LS22" s="3">
        <f ca="1">IFERROR(__xludf.DUMMYFUNCTION("""COMPUTED_VALUE"""),-0.642820900594988)</f>
        <v>-0.64282090059498798</v>
      </c>
      <c r="LT22" s="3">
        <f ca="1">IFERROR(__xludf.DUMMYFUNCTION("""COMPUTED_VALUE"""),-0.568931319594762)</f>
        <v>-0.56893131959476195</v>
      </c>
      <c r="LU22" s="3">
        <f ca="1">IFERROR(__xludf.DUMMYFUNCTION("""COMPUTED_VALUE"""),-0.452313474014699)</f>
        <v>-0.45231347401469901</v>
      </c>
      <c r="LV22" s="3">
        <f ca="1">IFERROR(__xludf.DUMMYFUNCTION("""COMPUTED_VALUE"""),-0.488128504373536)</f>
        <v>-0.488128504373536</v>
      </c>
      <c r="LW22" s="3">
        <f ca="1">IFERROR(__xludf.DUMMYFUNCTION("""COMPUTED_VALUE"""),-0.620993547488038)</f>
        <v>-0.62099354748803803</v>
      </c>
      <c r="LX22" s="3">
        <f ca="1">IFERROR(__xludf.DUMMYFUNCTION("""COMPUTED_VALUE"""),-0.669710201410812)</f>
        <v>-0.66971020141081194</v>
      </c>
      <c r="LY22" s="3">
        <f ca="1">IFERROR(__xludf.DUMMYFUNCTION("""COMPUTED_VALUE"""),-0.667176336551713)</f>
        <v>-0.66717633655171305</v>
      </c>
      <c r="LZ22" s="3">
        <f ca="1">IFERROR(__xludf.DUMMYFUNCTION("""COMPUTED_VALUE"""),-0.690670940524176)</f>
        <v>-0.69067094052417599</v>
      </c>
      <c r="MA22" s="3">
        <f ca="1">IFERROR(__xludf.DUMMYFUNCTION("""COMPUTED_VALUE"""),-0.686436284420215)</f>
        <v>-0.68643628442021498</v>
      </c>
      <c r="MB22" s="3">
        <f ca="1">IFERROR(__xludf.DUMMYFUNCTION("""COMPUTED_VALUE"""),-0.54773826804693)</f>
        <v>-0.54773826804693004</v>
      </c>
      <c r="MC22" s="3">
        <f ca="1">IFERROR(__xludf.DUMMYFUNCTION("""COMPUTED_VALUE"""),-0.583466805481918)</f>
        <v>-0.58346680548191798</v>
      </c>
      <c r="MD22" s="3">
        <f ca="1">IFERROR(__xludf.DUMMYFUNCTION("""COMPUTED_VALUE"""),-0.676858698939813)</f>
        <v>-0.67685869893981299</v>
      </c>
      <c r="ME22" s="3">
        <f ca="1">IFERROR(__xludf.DUMMYFUNCTION("""COMPUTED_VALUE"""),-0.674851990882426)</f>
        <v>-0.67485199088242598</v>
      </c>
      <c r="MF22" s="3">
        <f ca="1">IFERROR(__xludf.DUMMYFUNCTION("""COMPUTED_VALUE"""),-0.644459711471981)</f>
        <v>-0.644459711471981</v>
      </c>
      <c r="MG22" s="3">
        <f ca="1">IFERROR(__xludf.DUMMYFUNCTION("""COMPUTED_VALUE"""),-0.662310160482816)</f>
        <v>-0.66231016048281599</v>
      </c>
      <c r="MH22" s="3">
        <f ca="1">IFERROR(__xludf.DUMMYFUNCTION("""COMPUTED_VALUE"""),-0.641826869223789)</f>
        <v>-0.64182686922378895</v>
      </c>
      <c r="MI22" s="3">
        <f ca="1">IFERROR(__xludf.DUMMYFUNCTION("""COMPUTED_VALUE"""),-0.477244182862787)</f>
        <v>-0.47724418286278703</v>
      </c>
      <c r="MJ22" s="3">
        <f ca="1">IFERROR(__xludf.DUMMYFUNCTION("""COMPUTED_VALUE"""),-0.499204592983194)</f>
        <v>-0.49920459298319397</v>
      </c>
      <c r="MK22" s="3">
        <f ca="1">IFERROR(__xludf.DUMMYFUNCTION("""COMPUTED_VALUE"""),-0.645740359922739)</f>
        <v>-0.64574035992273904</v>
      </c>
      <c r="ML22" s="3">
        <f ca="1">IFERROR(__xludf.DUMMYFUNCTION("""COMPUTED_VALUE"""),-0.715732831034145)</f>
        <v>-0.71573283103414498</v>
      </c>
      <c r="MM22" s="3">
        <f ca="1">IFERROR(__xludf.DUMMYFUNCTION("""COMPUTED_VALUE"""),-0.729271771696455)</f>
        <v>-0.72927177169645496</v>
      </c>
      <c r="MN22" s="3">
        <f ca="1">IFERROR(__xludf.DUMMYFUNCTION("""COMPUTED_VALUE"""),-0.705752432931251)</f>
        <v>-0.70575243293125101</v>
      </c>
      <c r="MO22" s="3">
        <f ca="1">IFERROR(__xludf.DUMMYFUNCTION("""COMPUTED_VALUE"""),-0.647707352773218)</f>
        <v>-0.647707352773218</v>
      </c>
      <c r="MP22" s="3">
        <f ca="1">IFERROR(__xludf.DUMMYFUNCTION("""COMPUTED_VALUE"""),-0.537310098323538)</f>
        <v>-0.53731009832353804</v>
      </c>
      <c r="MQ22" s="3">
        <f ca="1">IFERROR(__xludf.DUMMYFUNCTION("""COMPUTED_VALUE"""),-0.567779487832869)</f>
        <v>-0.56777948783286902</v>
      </c>
      <c r="MR22" s="3">
        <f ca="1">IFERROR(__xludf.DUMMYFUNCTION("""COMPUTED_VALUE"""),-0.686422249275453)</f>
        <v>-0.68642224927545303</v>
      </c>
      <c r="MS22" s="3">
        <f ca="1">IFERROR(__xludf.DUMMYFUNCTION("""COMPUTED_VALUE"""),-0.729739638744097)</f>
        <v>-0.72973963874409697</v>
      </c>
      <c r="MT22" s="3">
        <f ca="1">IFERROR(__xludf.DUMMYFUNCTION("""COMPUTED_VALUE"""),-0.724135586825789)</f>
        <v>-0.72413558682578905</v>
      </c>
      <c r="MU22" s="3">
        <f ca="1">IFERROR(__xludf.DUMMYFUNCTION("""COMPUTED_VALUE"""),-0.714708410862035)</f>
        <v>-0.71470841086203496</v>
      </c>
      <c r="MV22" s="3">
        <f ca="1">IFERROR(__xludf.DUMMYFUNCTION("""COMPUTED_VALUE"""),-0.663569437736371)</f>
        <v>-0.663569437736371</v>
      </c>
      <c r="MW22" s="3">
        <f ca="1">IFERROR(__xludf.DUMMYFUNCTION("""COMPUTED_VALUE"""),-0.509227055649667)</f>
        <v>-0.50922705564966697</v>
      </c>
      <c r="MX22" s="3">
        <f ca="1">IFERROR(__xludf.DUMMYFUNCTION("""COMPUTED_VALUE"""),-0.555605227487589)</f>
        <v>-0.555605227487589</v>
      </c>
      <c r="MY22" s="3">
        <f ca="1">IFERROR(__xludf.DUMMYFUNCTION("""COMPUTED_VALUE"""),-0.683413562784412)</f>
        <v>-0.68341356278441201</v>
      </c>
      <c r="MZ22" s="3">
        <f ca="1">IFERROR(__xludf.DUMMYFUNCTION("""COMPUTED_VALUE"""),-0.702684643322329)</f>
        <v>-0.70268464332232905</v>
      </c>
      <c r="NA22" s="3">
        <f ca="1">IFERROR(__xludf.DUMMYFUNCTION("""COMPUTED_VALUE"""),-0.694663826347116)</f>
        <v>-0.69466382634711599</v>
      </c>
      <c r="NB22" s="3">
        <f ca="1">IFERROR(__xludf.DUMMYFUNCTION("""COMPUTED_VALUE"""),-0.705065575452104)</f>
        <v>-0.70506557545210402</v>
      </c>
      <c r="NC22" s="3">
        <f ca="1">IFERROR(__xludf.DUMMYFUNCTION("""COMPUTED_VALUE"""),-0.650329116108726)</f>
        <v>-0.65032911610872601</v>
      </c>
      <c r="ND22" s="3">
        <f ca="1">IFERROR(__xludf.DUMMYFUNCTION("""COMPUTED_VALUE"""),-0.548797005639813)</f>
        <v>-0.54879700563981304</v>
      </c>
      <c r="NE22" s="3">
        <f ca="1">IFERROR(__xludf.DUMMYFUNCTION("""COMPUTED_VALUE"""),-0.575943305481262)</f>
        <v>-0.57594330548126205</v>
      </c>
      <c r="NF22" s="3">
        <f ca="1">IFERROR(__xludf.DUMMYFUNCTION("""COMPUTED_VALUE"""),-0.669169718412784)</f>
        <v>-0.66916971841278405</v>
      </c>
      <c r="NG22" s="3">
        <f ca="1">IFERROR(__xludf.DUMMYFUNCTION("""COMPUTED_VALUE"""),-0.758599379183447)</f>
        <v>-0.758599379183447</v>
      </c>
      <c r="NH22" s="3">
        <f ca="1">IFERROR(__xludf.DUMMYFUNCTION("""COMPUTED_VALUE"""),-0.70746515464414)</f>
        <v>-0.70746515464413995</v>
      </c>
      <c r="NI22" s="3">
        <f ca="1">IFERROR(__xludf.DUMMYFUNCTION("""COMPUTED_VALUE"""),-0.693137096042635)</f>
        <v>-0.69313709604263496</v>
      </c>
      <c r="NJ22" s="3">
        <f ca="1">IFERROR(__xludf.DUMMYFUNCTION("""COMPUTED_VALUE"""),-0.715566661456205)</f>
        <v>-0.71556666145620496</v>
      </c>
      <c r="NK22" s="3">
        <f ca="1">IFERROR(__xludf.DUMMYFUNCTION("""COMPUTED_VALUE"""),-0.48489131241984)</f>
        <v>-0.48489131241984001</v>
      </c>
      <c r="NL22" s="3">
        <f ca="1">IFERROR(__xludf.DUMMYFUNCTION("""COMPUTED_VALUE"""),-0.575696128625848)</f>
        <v>-0.57569612862584796</v>
      </c>
      <c r="NM22" s="3">
        <f ca="1">IFERROR(__xludf.DUMMYFUNCTION("""COMPUTED_VALUE"""),-0.621543271219341)</f>
        <v>-0.62154327121934105</v>
      </c>
      <c r="NN22" s="3">
        <f ca="1">IFERROR(__xludf.DUMMYFUNCTION("""COMPUTED_VALUE"""),-0.657099448731575)</f>
        <v>-0.657099448731575</v>
      </c>
      <c r="NO22" s="3">
        <f ca="1">IFERROR(__xludf.DUMMYFUNCTION("""COMPUTED_VALUE"""),-0.667949005879435)</f>
        <v>-0.66794900587943495</v>
      </c>
      <c r="NP22" s="3">
        <f ca="1">IFERROR(__xludf.DUMMYFUNCTION("""COMPUTED_VALUE"""),-0.67114355836687)</f>
        <v>-0.67114355836687001</v>
      </c>
      <c r="NQ22" s="3">
        <f ca="1">IFERROR(__xludf.DUMMYFUNCTION("""COMPUTED_VALUE"""),-0.677253823462471)</f>
        <v>-0.67725382346247098</v>
      </c>
      <c r="NR22" s="3">
        <f ca="1">IFERROR(__xludf.DUMMYFUNCTION("""COMPUTED_VALUE"""),-0.482030640338889)</f>
        <v>-0.48203064033888898</v>
      </c>
      <c r="NS22" s="3">
        <f ca="1">IFERROR(__xludf.DUMMYFUNCTION("""COMPUTED_VALUE"""),-0.605907540848027)</f>
        <v>-0.605907540848027</v>
      </c>
      <c r="NT22" s="3">
        <f ca="1">IFERROR(__xludf.DUMMYFUNCTION("""COMPUTED_VALUE"""),-0.634166462361583)</f>
        <v>-0.63416646236158303</v>
      </c>
      <c r="NU22" s="3">
        <f ca="1">IFERROR(__xludf.DUMMYFUNCTION("""COMPUTED_VALUE"""),-0.647455382646815)</f>
        <v>-0.64745538264681501</v>
      </c>
      <c r="NV22" s="3">
        <f ca="1">IFERROR(__xludf.DUMMYFUNCTION("""COMPUTED_VALUE"""),-0.675551755237092)</f>
        <v>-0.67555175523709199</v>
      </c>
      <c r="NW22" s="3">
        <f ca="1">IFERROR(__xludf.DUMMYFUNCTION("""COMPUTED_VALUE"""),-0.686748728802953)</f>
        <v>-0.68674872880295301</v>
      </c>
      <c r="NX22" s="3">
        <f ca="1">IFERROR(__xludf.DUMMYFUNCTION("""COMPUTED_VALUE"""),-0.649619381395872)</f>
        <v>-0.64961938139587205</v>
      </c>
      <c r="NY22" s="3">
        <f ca="1">IFERROR(__xludf.DUMMYFUNCTION("""COMPUTED_VALUE"""),-0.417234404833961)</f>
        <v>-0.41723440483396101</v>
      </c>
      <c r="NZ22" s="3">
        <f ca="1">IFERROR(__xludf.DUMMYFUNCTION("""COMPUTED_VALUE"""),-0.484068879362079)</f>
        <v>-0.48406887936207899</v>
      </c>
      <c r="OA22" s="3">
        <f ca="1">IFERROR(__xludf.DUMMYFUNCTION("""COMPUTED_VALUE"""),-0.530807776473936)</f>
        <v>-0.53080777647393595</v>
      </c>
      <c r="OB22" s="3">
        <f ca="1">IFERROR(__xludf.DUMMYFUNCTION("""COMPUTED_VALUE"""),-0.539905574378312)</f>
        <v>-0.53990557437831199</v>
      </c>
      <c r="OC22" s="3">
        <f ca="1">IFERROR(__xludf.DUMMYFUNCTION("""COMPUTED_VALUE"""),-0.538361022586246)</f>
        <v>-0.53836102258624596</v>
      </c>
      <c r="OD22" s="3">
        <f ca="1">IFERROR(__xludf.DUMMYFUNCTION("""COMPUTED_VALUE"""),-0.528556601636553)</f>
        <v>-0.52855660163655305</v>
      </c>
      <c r="OE22" s="3">
        <f ca="1">IFERROR(__xludf.DUMMYFUNCTION("""COMPUTED_VALUE"""),-0.449909247875111)</f>
        <v>-0.449909247875111</v>
      </c>
      <c r="OF22" s="3">
        <f ca="1">IFERROR(__xludf.DUMMYFUNCTION("""COMPUTED_VALUE"""),-0.136255939480029)</f>
        <v>-0.13625593948002901</v>
      </c>
      <c r="OG22" s="3">
        <f ca="1">IFERROR(__xludf.DUMMYFUNCTION("""COMPUTED_VALUE"""),-0.229588708571711)</f>
        <v>-0.22958870857171099</v>
      </c>
      <c r="OH22" s="3">
        <f ca="1">IFERROR(__xludf.DUMMYFUNCTION("""COMPUTED_VALUE"""),-0.147348963618069)</f>
        <v>-0.14734896361806901</v>
      </c>
      <c r="OI22" s="3">
        <f ca="1">IFERROR(__xludf.DUMMYFUNCTION("""COMPUTED_VALUE"""),-0.0555986901104129)</f>
        <v>-5.55986901104129E-2</v>
      </c>
      <c r="OJ22" s="3">
        <f ca="1">IFERROR(__xludf.DUMMYFUNCTION("""COMPUTED_VALUE"""),-0.0226866660210846)</f>
        <v>-2.2686666021084601E-2</v>
      </c>
      <c r="OK22" s="3">
        <f ca="1">IFERROR(__xludf.DUMMYFUNCTION("""COMPUTED_VALUE"""),-0.0783382748228532)</f>
        <v>-7.8338274822853202E-2</v>
      </c>
      <c r="OL22" s="3">
        <f ca="1">IFERROR(__xludf.DUMMYFUNCTION("""COMPUTED_VALUE"""),-0.0100651531163182)</f>
        <v>-1.00651531163182E-2</v>
      </c>
      <c r="OM22" s="3">
        <f ca="1">IFERROR(__xludf.DUMMYFUNCTION("""COMPUTED_VALUE"""),0.00332915689479085)</f>
        <v>3.3291568947908501E-3</v>
      </c>
      <c r="ON22" s="3">
        <f ca="1">IFERROR(__xludf.DUMMYFUNCTION("""COMPUTED_VALUE"""),-0.0121026357032029)</f>
        <v>-1.2102635703202899E-2</v>
      </c>
      <c r="OO22" s="3">
        <f ca="1">IFERROR(__xludf.DUMMYFUNCTION("""COMPUTED_VALUE"""),0.0351689523019342)</f>
        <v>3.5168952301934203E-2</v>
      </c>
      <c r="OP22" s="3">
        <f ca="1">IFERROR(__xludf.DUMMYFUNCTION("""COMPUTED_VALUE"""),0.087256632490956)</f>
        <v>8.7256632490955999E-2</v>
      </c>
      <c r="OQ22" s="3">
        <f ca="1">IFERROR(__xludf.DUMMYFUNCTION("""COMPUTED_VALUE"""),0.0721673933323121)</f>
        <v>7.2167393332312105E-2</v>
      </c>
      <c r="OR22" s="3">
        <f ca="1">IFERROR(__xludf.DUMMYFUNCTION("""COMPUTED_VALUE"""),0.0247904066918709)</f>
        <v>2.4790406691870898E-2</v>
      </c>
      <c r="OS22" s="3">
        <f ca="1">IFERROR(__xludf.DUMMYFUNCTION("""COMPUTED_VALUE"""),0.0568411963396522)</f>
        <v>5.6841196339652199E-2</v>
      </c>
      <c r="OT22" s="3">
        <f ca="1">IFERROR(__xludf.DUMMYFUNCTION("""COMPUTED_VALUE"""),0.0080624827867819)</f>
        <v>8.0624827867818993E-3</v>
      </c>
      <c r="OU22" s="3">
        <f ca="1">IFERROR(__xludf.DUMMYFUNCTION("""COMPUTED_VALUE"""),-0.0113276749364505)</f>
        <v>-1.13276749364505E-2</v>
      </c>
      <c r="OV22" s="3">
        <f ca="1">IFERROR(__xludf.DUMMYFUNCTION("""COMPUTED_VALUE"""),-0.029263433147881)</f>
        <v>-2.9263433147881001E-2</v>
      </c>
      <c r="OW22" s="3">
        <f ca="1">IFERROR(__xludf.DUMMYFUNCTION("""COMPUTED_VALUE"""),-0.0705023762130458)</f>
        <v>-7.0502376213045795E-2</v>
      </c>
      <c r="OX22" s="3">
        <f ca="1">IFERROR(__xludf.DUMMYFUNCTION("""COMPUTED_VALUE"""),0.068419515626372)</f>
        <v>6.8419515626371996E-2</v>
      </c>
      <c r="OY22" s="3">
        <f ca="1">IFERROR(__xludf.DUMMYFUNCTION("""COMPUTED_VALUE"""),0.0377001907241458)</f>
        <v>3.77001907241458E-2</v>
      </c>
      <c r="OZ22" s="3">
        <f ca="1">IFERROR(__xludf.DUMMYFUNCTION("""COMPUTED_VALUE"""),0.126101478486519)</f>
        <v>0.12610147848651901</v>
      </c>
      <c r="PA22" s="3">
        <f ca="1">IFERROR(__xludf.DUMMYFUNCTION("""COMPUTED_VALUE"""),-0.0823645017214983)</f>
        <v>-8.2364501721498298E-2</v>
      </c>
      <c r="PB22" s="3">
        <f ca="1">IFERROR(__xludf.DUMMYFUNCTION("""COMPUTED_VALUE"""),-0.0296211301528391)</f>
        <v>-2.9621130152839101E-2</v>
      </c>
      <c r="PC22" s="3">
        <f ca="1">IFERROR(__xludf.DUMMYFUNCTION("""COMPUTED_VALUE"""),0.00990867419937857)</f>
        <v>9.9086741993785702E-3</v>
      </c>
      <c r="PD22" s="3">
        <f ca="1">IFERROR(__xludf.DUMMYFUNCTION("""COMPUTED_VALUE"""),0.0308816440789787)</f>
        <v>3.0881644078978698E-2</v>
      </c>
      <c r="PE22" s="3">
        <f ca="1">IFERROR(__xludf.DUMMYFUNCTION("""COMPUTED_VALUE"""),0.0718808362719118)</f>
        <v>7.1880836271911802E-2</v>
      </c>
      <c r="PF22" s="3">
        <f ca="1">IFERROR(__xludf.DUMMYFUNCTION("""COMPUTED_VALUE"""),0.129954193095013)</f>
        <v>0.12995419309501299</v>
      </c>
      <c r="PG22" s="3">
        <f ca="1">IFERROR(__xludf.DUMMYFUNCTION("""COMPUTED_VALUE"""),-0.18839802364267)</f>
        <v>-0.18839802364267</v>
      </c>
      <c r="PH22" s="3">
        <f ca="1">IFERROR(__xludf.DUMMYFUNCTION("""COMPUTED_VALUE"""),-0.0382111204095756)</f>
        <v>-3.8211120409575597E-2</v>
      </c>
      <c r="PI22" s="3">
        <f ca="1">IFERROR(__xludf.DUMMYFUNCTION("""COMPUTED_VALUE"""),-0.102858295994366)</f>
        <v>-0.10285829599436599</v>
      </c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</row>
    <row r="23" spans="1:477" ht="15.75" customHeight="1">
      <c r="A23" s="1" t="str">
        <f ca="1">IFERROR(__xludf.DUMMYFUNCTION("""COMPUTED_VALUE"""),"COTA")</f>
        <v>COTA</v>
      </c>
      <c r="B23" s="1" t="str">
        <f ca="1">IFERROR(__xludf.DUMMYFUNCTION("""COMPUTED_VALUE"""),"Columbus")</f>
        <v>Columbus</v>
      </c>
      <c r="C23" s="1" t="str">
        <f ca="1">IFERROR(__xludf.DUMMYFUNCTION("""COMPUTED_VALUE"""),"United States")</f>
        <v>United States</v>
      </c>
      <c r="D23" s="1" t="str">
        <f ca="1">IFERROR(__xludf.DUMMYFUNCTION("""COMPUTED_VALUE"""),"Ohio")</f>
        <v>Ohio</v>
      </c>
      <c r="E23" s="3">
        <f ca="1">IFERROR(__xludf.DUMMYFUNCTION("""COMPUTED_VALUE"""),-0.572770002059327)</f>
        <v>-0.57277000205932704</v>
      </c>
      <c r="F23" s="3">
        <f ca="1">IFERROR(__xludf.DUMMYFUNCTION("""COMPUTED_VALUE"""),-0.626686535147865)</f>
        <v>-0.62668653514786499</v>
      </c>
      <c r="G23" s="3">
        <f ca="1">IFERROR(__xludf.DUMMYFUNCTION("""COMPUTED_VALUE"""),-0.683523224435117)</f>
        <v>-0.68352322443511704</v>
      </c>
      <c r="H23" s="3">
        <f ca="1">IFERROR(__xludf.DUMMYFUNCTION("""COMPUTED_VALUE"""),-0.619639075023081)</f>
        <v>-0.61963907502308102</v>
      </c>
      <c r="I23" s="3">
        <f ca="1">IFERROR(__xludf.DUMMYFUNCTION("""COMPUTED_VALUE"""),-0.650443906335419)</f>
        <v>-0.65044390633541904</v>
      </c>
      <c r="J23" s="3">
        <f ca="1">IFERROR(__xludf.DUMMYFUNCTION("""COMPUTED_VALUE"""),-0.653458961267485)</f>
        <v>-0.65345896126748504</v>
      </c>
      <c r="K23" s="3">
        <f ca="1">IFERROR(__xludf.DUMMYFUNCTION("""COMPUTED_VALUE"""),-0.552311280023459)</f>
        <v>-0.55231128002345897</v>
      </c>
      <c r="L23" s="3">
        <f ca="1">IFERROR(__xludf.DUMMYFUNCTION("""COMPUTED_VALUE"""),-0.542616354781005)</f>
        <v>-0.54261635478100501</v>
      </c>
      <c r="M23" s="3">
        <f ca="1">IFERROR(__xludf.DUMMYFUNCTION("""COMPUTED_VALUE"""),-0.65833668489919)</f>
        <v>-0.65833668489918995</v>
      </c>
      <c r="N23" s="3">
        <f ca="1">IFERROR(__xludf.DUMMYFUNCTION("""COMPUTED_VALUE"""),-0.66552195339876)</f>
        <v>-0.66552195339875997</v>
      </c>
      <c r="O23" s="3">
        <f ca="1">IFERROR(__xludf.DUMMYFUNCTION("""COMPUTED_VALUE"""),-0.660333800235607)</f>
        <v>-0.66033380023560695</v>
      </c>
      <c r="P23" s="3">
        <f ca="1">IFERROR(__xludf.DUMMYFUNCTION("""COMPUTED_VALUE"""),-0.652909739730321)</f>
        <v>-0.65290973973032096</v>
      </c>
      <c r="Q23" s="3">
        <f ca="1">IFERROR(__xludf.DUMMYFUNCTION("""COMPUTED_VALUE"""),-0.650333985987259)</f>
        <v>-0.650333985987259</v>
      </c>
      <c r="R23" s="3">
        <f ca="1">IFERROR(__xludf.DUMMYFUNCTION("""COMPUTED_VALUE"""),-0.546571563078489)</f>
        <v>-0.54657156307848898</v>
      </c>
      <c r="S23" s="3">
        <f ca="1">IFERROR(__xludf.DUMMYFUNCTION("""COMPUTED_VALUE"""),-0.535119652440339)</f>
        <v>-0.53511965244033899</v>
      </c>
      <c r="T23" s="3">
        <f ca="1">IFERROR(__xludf.DUMMYFUNCTION("""COMPUTED_VALUE"""),-0.658540102184854)</f>
        <v>-0.65854010218485404</v>
      </c>
      <c r="U23" s="3">
        <f ca="1">IFERROR(__xludf.DUMMYFUNCTION("""COMPUTED_VALUE"""),-0.669702613265912)</f>
        <v>-0.66970261326591196</v>
      </c>
      <c r="V23" s="3">
        <f ca="1">IFERROR(__xludf.DUMMYFUNCTION("""COMPUTED_VALUE"""),-0.666925056991249)</f>
        <v>-0.66692505699124904</v>
      </c>
      <c r="W23" s="3">
        <f ca="1">IFERROR(__xludf.DUMMYFUNCTION("""COMPUTED_VALUE"""),-0.643668091501229)</f>
        <v>-0.64366809150122895</v>
      </c>
      <c r="X23" s="3">
        <f ca="1">IFERROR(__xludf.DUMMYFUNCTION("""COMPUTED_VALUE"""),-0.630084970029347)</f>
        <v>-0.63008497002934705</v>
      </c>
      <c r="Y23" s="3">
        <f ca="1">IFERROR(__xludf.DUMMYFUNCTION("""COMPUTED_VALUE"""),-0.491622073597511)</f>
        <v>-0.49162207359751098</v>
      </c>
      <c r="Z23" s="3">
        <f ca="1">IFERROR(__xludf.DUMMYFUNCTION("""COMPUTED_VALUE"""),-0.524070839666975)</f>
        <v>-0.52407083966697499</v>
      </c>
      <c r="AA23" s="3">
        <f ca="1">IFERROR(__xludf.DUMMYFUNCTION("""COMPUTED_VALUE"""),-0.60610894158697)</f>
        <v>-0.60610894158697004</v>
      </c>
      <c r="AB23" s="3">
        <f ca="1">IFERROR(__xludf.DUMMYFUNCTION("""COMPUTED_VALUE"""),-0.674387062754616)</f>
        <v>-0.67438706275461602</v>
      </c>
      <c r="AC23" s="3">
        <f ca="1">IFERROR(__xludf.DUMMYFUNCTION("""COMPUTED_VALUE"""),-0.601202209036158)</f>
        <v>-0.60120220903615795</v>
      </c>
      <c r="AD23" s="3">
        <f ca="1">IFERROR(__xludf.DUMMYFUNCTION("""COMPUTED_VALUE"""),-0.657290229795332)</f>
        <v>-0.65729022979533203</v>
      </c>
      <c r="AE23" s="3">
        <f ca="1">IFERROR(__xludf.DUMMYFUNCTION("""COMPUTED_VALUE"""),-0.637759641518561)</f>
        <v>-0.63775964151856102</v>
      </c>
      <c r="AF23" s="3">
        <f ca="1">IFERROR(__xludf.DUMMYFUNCTION("""COMPUTED_VALUE"""),-0.463331984664198)</f>
        <v>-0.463331984664198</v>
      </c>
      <c r="AG23" s="3">
        <f ca="1">IFERROR(__xludf.DUMMYFUNCTION("""COMPUTED_VALUE"""),-0.453228193036423)</f>
        <v>-0.45322819303642298</v>
      </c>
      <c r="AH23" s="3">
        <f ca="1">IFERROR(__xludf.DUMMYFUNCTION("""COMPUTED_VALUE"""),-0.594377165484734)</f>
        <v>-0.59437716548473396</v>
      </c>
      <c r="AI23" s="3">
        <f ca="1">IFERROR(__xludf.DUMMYFUNCTION("""COMPUTED_VALUE"""),-0.642860719104503)</f>
        <v>-0.64286071910450304</v>
      </c>
      <c r="AJ23" s="3">
        <f ca="1">IFERROR(__xludf.DUMMYFUNCTION("""COMPUTED_VALUE"""),-0.61534022516106)</f>
        <v>-0.61534022516106002</v>
      </c>
      <c r="AK23" s="3">
        <f ca="1">IFERROR(__xludf.DUMMYFUNCTION("""COMPUTED_VALUE"""),-0.64750791639051)</f>
        <v>-0.64750791639050997</v>
      </c>
      <c r="AL23" s="3">
        <f ca="1">IFERROR(__xludf.DUMMYFUNCTION("""COMPUTED_VALUE"""),-0.644255891379817)</f>
        <v>-0.64425589137981698</v>
      </c>
      <c r="AM23" s="3">
        <f ca="1">IFERROR(__xludf.DUMMYFUNCTION("""COMPUTED_VALUE"""),-0.495988788305386)</f>
        <v>-0.49598878830538601</v>
      </c>
      <c r="AN23" s="3">
        <f ca="1">IFERROR(__xludf.DUMMYFUNCTION("""COMPUTED_VALUE"""),-0.529346537465528)</f>
        <v>-0.52934653746552796</v>
      </c>
      <c r="AO23" s="3">
        <f ca="1">IFERROR(__xludf.DUMMYFUNCTION("""COMPUTED_VALUE"""),-0.623781180672143)</f>
        <v>-0.62378118067214305</v>
      </c>
      <c r="AP23" s="3">
        <f ca="1">IFERROR(__xludf.DUMMYFUNCTION("""COMPUTED_VALUE"""),-0.655336259835228)</f>
        <v>-0.65533625983522803</v>
      </c>
      <c r="AQ23" s="3">
        <f ca="1">IFERROR(__xludf.DUMMYFUNCTION("""COMPUTED_VALUE"""),-0.592317473433919)</f>
        <v>-0.59231747343391905</v>
      </c>
      <c r="AR23" s="3">
        <f ca="1">IFERROR(__xludf.DUMMYFUNCTION("""COMPUTED_VALUE"""),-0.645230897374031)</f>
        <v>-0.64523089737403105</v>
      </c>
      <c r="AS23" s="3">
        <f ca="1">IFERROR(__xludf.DUMMYFUNCTION("""COMPUTED_VALUE"""),-0.631503576820537)</f>
        <v>-0.63150357682053704</v>
      </c>
      <c r="AT23" s="3">
        <f ca="1">IFERROR(__xludf.DUMMYFUNCTION("""COMPUTED_VALUE"""),-0.529560262095777)</f>
        <v>-0.529560262095777</v>
      </c>
      <c r="AU23" s="3">
        <f ca="1">IFERROR(__xludf.DUMMYFUNCTION("""COMPUTED_VALUE"""),-0.565971905841246)</f>
        <v>-0.56597190584124601</v>
      </c>
      <c r="AV23" s="3">
        <f ca="1">IFERROR(__xludf.DUMMYFUNCTION("""COMPUTED_VALUE"""),-0.657581932897592)</f>
        <v>-0.65758193289759204</v>
      </c>
      <c r="AW23" s="3">
        <f ca="1">IFERROR(__xludf.DUMMYFUNCTION("""COMPUTED_VALUE"""),-0.678482779811081)</f>
        <v>-0.67848277981108096</v>
      </c>
      <c r="AX23" s="3">
        <f ca="1">IFERROR(__xludf.DUMMYFUNCTION("""COMPUTED_VALUE"""),-0.625813912113786)</f>
        <v>-0.62581391211378601</v>
      </c>
      <c r="AY23" s="3">
        <f ca="1">IFERROR(__xludf.DUMMYFUNCTION("""COMPUTED_VALUE"""),-0.679364100276126)</f>
        <v>-0.67936410027612604</v>
      </c>
      <c r="AZ23" s="3">
        <f ca="1">IFERROR(__xludf.DUMMYFUNCTION("""COMPUTED_VALUE"""),-0.651178119283192)</f>
        <v>-0.65117811928319203</v>
      </c>
      <c r="BA23" s="3">
        <f ca="1">IFERROR(__xludf.DUMMYFUNCTION("""COMPUTED_VALUE"""),-0.517550430874589)</f>
        <v>-0.51755043087458896</v>
      </c>
      <c r="BB23" s="3">
        <f ca="1">IFERROR(__xludf.DUMMYFUNCTION("""COMPUTED_VALUE"""),-0.568805018349938)</f>
        <v>-0.56880501834993802</v>
      </c>
      <c r="BC23" s="3">
        <f ca="1">IFERROR(__xludf.DUMMYFUNCTION("""COMPUTED_VALUE"""),-0.669560891533377)</f>
        <v>-0.66956089153337695</v>
      </c>
      <c r="BD23" s="3">
        <f ca="1">IFERROR(__xludf.DUMMYFUNCTION("""COMPUTED_VALUE"""),-0.677958815015495)</f>
        <v>-0.67795881501549504</v>
      </c>
      <c r="BE23" s="3">
        <f ca="1">IFERROR(__xludf.DUMMYFUNCTION("""COMPUTED_VALUE"""),-0.668588330455442)</f>
        <v>-0.66858833045544197</v>
      </c>
      <c r="BF23" s="3">
        <f ca="1">IFERROR(__xludf.DUMMYFUNCTION("""COMPUTED_VALUE"""),-0.732664117491357)</f>
        <v>-0.73266411749135696</v>
      </c>
      <c r="BG23" s="3">
        <f ca="1">IFERROR(__xludf.DUMMYFUNCTION("""COMPUTED_VALUE"""),-0.695997644919945)</f>
        <v>-0.69599764491994498</v>
      </c>
      <c r="BH23" s="3">
        <f ca="1">IFERROR(__xludf.DUMMYFUNCTION("""COMPUTED_VALUE"""),-0.553174132606595)</f>
        <v>-0.55317413260659498</v>
      </c>
      <c r="BI23" s="3">
        <f ca="1">IFERROR(__xludf.DUMMYFUNCTION("""COMPUTED_VALUE"""),-0.553545269795978)</f>
        <v>-0.55354526979597796</v>
      </c>
      <c r="BJ23" s="3">
        <f ca="1">IFERROR(__xludf.DUMMYFUNCTION("""COMPUTED_VALUE"""),-0.690031348569495)</f>
        <v>-0.690031348569495</v>
      </c>
      <c r="BK23" s="3">
        <f ca="1">IFERROR(__xludf.DUMMYFUNCTION("""COMPUTED_VALUE"""),-0.701275163672854)</f>
        <v>-0.70127516367285403</v>
      </c>
      <c r="BL23" s="3">
        <f ca="1">IFERROR(__xludf.DUMMYFUNCTION("""COMPUTED_VALUE"""),-0.686023767810636)</f>
        <v>-0.68602376781063601</v>
      </c>
      <c r="BM23" s="3">
        <f ca="1">IFERROR(__xludf.DUMMYFUNCTION("""COMPUTED_VALUE"""),-0.697849796100317)</f>
        <v>-0.69784979610031705</v>
      </c>
      <c r="BN23" s="3">
        <f ca="1">IFERROR(__xludf.DUMMYFUNCTION("""COMPUTED_VALUE"""),-0.668622008834115)</f>
        <v>-0.66862200883411504</v>
      </c>
      <c r="BO23" s="3">
        <f ca="1">IFERROR(__xludf.DUMMYFUNCTION("""COMPUTED_VALUE"""),-0.561916121237089)</f>
        <v>-0.56191612123708901</v>
      </c>
      <c r="BP23" s="3">
        <f ca="1">IFERROR(__xludf.DUMMYFUNCTION("""COMPUTED_VALUE"""),-0.600596536773776)</f>
        <v>-0.600596536773776</v>
      </c>
      <c r="BQ23" s="3">
        <f ca="1">IFERROR(__xludf.DUMMYFUNCTION("""COMPUTED_VALUE"""),-0.672080484622079)</f>
        <v>-0.67208048462207903</v>
      </c>
      <c r="BR23" s="3">
        <f ca="1">IFERROR(__xludf.DUMMYFUNCTION("""COMPUTED_VALUE"""),-0.702055108985757)</f>
        <v>-0.70205510898575696</v>
      </c>
      <c r="BS23" s="3">
        <f ca="1">IFERROR(__xludf.DUMMYFUNCTION("""COMPUTED_VALUE"""),-0.697036946065888)</f>
        <v>-0.69703694606588795</v>
      </c>
      <c r="BT23" s="3">
        <f ca="1">IFERROR(__xludf.DUMMYFUNCTION("""COMPUTED_VALUE"""),-0.681829751217534)</f>
        <v>-0.68182975121753397</v>
      </c>
      <c r="BU23" s="3">
        <f ca="1">IFERROR(__xludf.DUMMYFUNCTION("""COMPUTED_VALUE"""),-0.66278962228923)</f>
        <v>-0.66278962228923</v>
      </c>
      <c r="BV23" s="3">
        <f ca="1">IFERROR(__xludf.DUMMYFUNCTION("""COMPUTED_VALUE"""),-0.545997284398504)</f>
        <v>-0.54599728439850403</v>
      </c>
      <c r="BW23" s="3">
        <f ca="1">IFERROR(__xludf.DUMMYFUNCTION("""COMPUTED_VALUE"""),-0.550008076610069)</f>
        <v>-0.55000807661006901</v>
      </c>
      <c r="BX23" s="3">
        <f ca="1">IFERROR(__xludf.DUMMYFUNCTION("""COMPUTED_VALUE"""),-0.657140561612549)</f>
        <v>-0.65714056161254897</v>
      </c>
      <c r="BY23" s="3">
        <f ca="1">IFERROR(__xludf.DUMMYFUNCTION("""COMPUTED_VALUE"""),-0.700265144120007)</f>
        <v>-0.70026514412000695</v>
      </c>
      <c r="BZ23" s="3">
        <f ca="1">IFERROR(__xludf.DUMMYFUNCTION("""COMPUTED_VALUE"""),-0.671170630204343)</f>
        <v>-0.67117063020434298</v>
      </c>
      <c r="CA23" s="3">
        <f ca="1">IFERROR(__xludf.DUMMYFUNCTION("""COMPUTED_VALUE"""),-0.665815142978162)</f>
        <v>-0.66581514297816202</v>
      </c>
      <c r="CB23" s="3">
        <f ca="1">IFERROR(__xludf.DUMMYFUNCTION("""COMPUTED_VALUE"""),-0.629976379920827)</f>
        <v>-0.629976379920827</v>
      </c>
      <c r="CC23" s="3">
        <f ca="1">IFERROR(__xludf.DUMMYFUNCTION("""COMPUTED_VALUE"""),-0.580117601634519)</f>
        <v>-0.58011760163451898</v>
      </c>
      <c r="CD23" s="3">
        <f ca="1">IFERROR(__xludf.DUMMYFUNCTION("""COMPUTED_VALUE"""),-0.545196842327916)</f>
        <v>-0.54519684232791599</v>
      </c>
      <c r="CE23" s="3">
        <f ca="1">IFERROR(__xludf.DUMMYFUNCTION("""COMPUTED_VALUE"""),-0.681052793477159)</f>
        <v>-0.68105279347715897</v>
      </c>
      <c r="CF23" s="3">
        <f ca="1">IFERROR(__xludf.DUMMYFUNCTION("""COMPUTED_VALUE"""),-0.682179639416928)</f>
        <v>-0.68217963941692805</v>
      </c>
      <c r="CG23" s="3">
        <f ca="1">IFERROR(__xludf.DUMMYFUNCTION("""COMPUTED_VALUE"""),-0.717076650541024)</f>
        <v>-0.71707665054102399</v>
      </c>
      <c r="CH23" s="3">
        <f ca="1">IFERROR(__xludf.DUMMYFUNCTION("""COMPUTED_VALUE"""),-0.67411668978752)</f>
        <v>-0.67411668978752004</v>
      </c>
      <c r="CI23" s="3">
        <f ca="1">IFERROR(__xludf.DUMMYFUNCTION("""COMPUTED_VALUE"""),-0.687044273006331)</f>
        <v>-0.68704427300633097</v>
      </c>
      <c r="CJ23" s="3">
        <f ca="1">IFERROR(__xludf.DUMMYFUNCTION("""COMPUTED_VALUE"""),-0.55851071279136)</f>
        <v>-0.55851071279136</v>
      </c>
      <c r="CK23" s="3">
        <f ca="1">IFERROR(__xludf.DUMMYFUNCTION("""COMPUTED_VALUE"""),-0.631656254989878)</f>
        <v>-0.63165625498987799</v>
      </c>
      <c r="CL23" s="3">
        <f ca="1">IFERROR(__xludf.DUMMYFUNCTION("""COMPUTED_VALUE"""),-0.697919128387426)</f>
        <v>-0.69791912838742598</v>
      </c>
      <c r="CM23" s="3">
        <f ca="1">IFERROR(__xludf.DUMMYFUNCTION("""COMPUTED_VALUE"""),-0.703389780543359)</f>
        <v>-0.70338978054335899</v>
      </c>
      <c r="CN23" s="3">
        <f ca="1">IFERROR(__xludf.DUMMYFUNCTION("""COMPUTED_VALUE"""),-0.702369231177782)</f>
        <v>-0.70236923117778205</v>
      </c>
      <c r="CO23" s="3">
        <f ca="1">IFERROR(__xludf.DUMMYFUNCTION("""COMPUTED_VALUE"""),-0.687427881515266)</f>
        <v>-0.68742788151526601</v>
      </c>
      <c r="CP23" s="3">
        <f ca="1">IFERROR(__xludf.DUMMYFUNCTION("""COMPUTED_VALUE"""),-0.637797801850105)</f>
        <v>-0.63779780185010504</v>
      </c>
      <c r="CQ23" s="3">
        <f ca="1">IFERROR(__xludf.DUMMYFUNCTION("""COMPUTED_VALUE"""),-0.421665513506594)</f>
        <v>-0.42166551350659398</v>
      </c>
      <c r="CR23" s="3">
        <f ca="1">IFERROR(__xludf.DUMMYFUNCTION("""COMPUTED_VALUE"""),-0.472054232207483)</f>
        <v>-0.47205423220748299</v>
      </c>
      <c r="CS23" s="3">
        <f ca="1">IFERROR(__xludf.DUMMYFUNCTION("""COMPUTED_VALUE"""),-0.598179934132839)</f>
        <v>-0.59817993413283899</v>
      </c>
      <c r="CT23" s="3">
        <f ca="1">IFERROR(__xludf.DUMMYFUNCTION("""COMPUTED_VALUE"""),-0.591224234521305)</f>
        <v>-0.59122423452130501</v>
      </c>
      <c r="CU23" s="3">
        <f ca="1">IFERROR(__xludf.DUMMYFUNCTION("""COMPUTED_VALUE"""),-0.522314775366155)</f>
        <v>-0.522314775366155</v>
      </c>
      <c r="CV23" s="3">
        <f ca="1">IFERROR(__xludf.DUMMYFUNCTION("""COMPUTED_VALUE"""),-0.583355068033917)</f>
        <v>-0.58335506803391701</v>
      </c>
      <c r="CW23" s="3">
        <f ca="1">IFERROR(__xludf.DUMMYFUNCTION("""COMPUTED_VALUE"""),-0.59767984853956)</f>
        <v>-0.59767984853956002</v>
      </c>
      <c r="CX23" s="3">
        <f ca="1">IFERROR(__xludf.DUMMYFUNCTION("""COMPUTED_VALUE"""),-0.484782795602159)</f>
        <v>-0.48478279560215898</v>
      </c>
      <c r="CY23" s="3">
        <f ca="1">IFERROR(__xludf.DUMMYFUNCTION("""COMPUTED_VALUE"""),-0.461544761605411)</f>
        <v>-0.46154476160541102</v>
      </c>
      <c r="CZ23" s="3">
        <f ca="1">IFERROR(__xludf.DUMMYFUNCTION("""COMPUTED_VALUE"""),-0.726656664293711)</f>
        <v>-0.72665666429371101</v>
      </c>
      <c r="DA23" s="3">
        <f ca="1">IFERROR(__xludf.DUMMYFUNCTION("""COMPUTED_VALUE"""),-0.549853813632745)</f>
        <v>-0.54985381363274499</v>
      </c>
      <c r="DB23" s="3">
        <f ca="1">IFERROR(__xludf.DUMMYFUNCTION("""COMPUTED_VALUE"""),-0.319838366834424)</f>
        <v>-0.31983836683442401</v>
      </c>
      <c r="DC23" s="3">
        <f ca="1">IFERROR(__xludf.DUMMYFUNCTION("""COMPUTED_VALUE"""),-0.490976631418975)</f>
        <v>-0.49097663141897502</v>
      </c>
      <c r="DD23" s="3">
        <f ca="1">IFERROR(__xludf.DUMMYFUNCTION("""COMPUTED_VALUE"""),-0.541527116612103)</f>
        <v>-0.54152711661210295</v>
      </c>
      <c r="DE23" s="3">
        <f ca="1">IFERROR(__xludf.DUMMYFUNCTION("""COMPUTED_VALUE"""),-0.396422407784246)</f>
        <v>-0.39642240778424598</v>
      </c>
      <c r="DF23" s="3">
        <f ca="1">IFERROR(__xludf.DUMMYFUNCTION("""COMPUTED_VALUE"""),-0.479037516099935)</f>
        <v>-0.479037516099935</v>
      </c>
      <c r="DG23" s="3">
        <f ca="1">IFERROR(__xludf.DUMMYFUNCTION("""COMPUTED_VALUE"""),-0.783427768163907)</f>
        <v>-0.78342776816390702</v>
      </c>
      <c r="DH23" s="3">
        <f ca="1">IFERROR(__xludf.DUMMYFUNCTION("""COMPUTED_VALUE"""),-0.535498401699753)</f>
        <v>-0.53549840169975305</v>
      </c>
      <c r="DI23" s="3">
        <f ca="1">IFERROR(__xludf.DUMMYFUNCTION("""COMPUTED_VALUE"""),-0.200793427298927)</f>
        <v>-0.20079342729892699</v>
      </c>
      <c r="DJ23" s="3">
        <f ca="1">IFERROR(__xludf.DUMMYFUNCTION("""COMPUTED_VALUE"""),-0.432143370233459)</f>
        <v>-0.432143370233459</v>
      </c>
      <c r="DK23" s="3">
        <f ca="1">IFERROR(__xludf.DUMMYFUNCTION("""COMPUTED_VALUE"""),-0.503268204029323)</f>
        <v>-0.50326820402932304</v>
      </c>
      <c r="DL23" s="3">
        <f ca="1">IFERROR(__xludf.DUMMYFUNCTION("""COMPUTED_VALUE"""),-0.293310920678079)</f>
        <v>-0.29331092067807901</v>
      </c>
      <c r="DM23" s="3">
        <f ca="1">IFERROR(__xludf.DUMMYFUNCTION("""COMPUTED_VALUE"""),-0.457627162589524)</f>
        <v>-0.45762716258952402</v>
      </c>
      <c r="DN23" s="3">
        <f ca="1">IFERROR(__xludf.DUMMYFUNCTION("""COMPUTED_VALUE"""),-0.514657280824266)</f>
        <v>-0.51465728082426598</v>
      </c>
      <c r="DO23" s="3">
        <f ca="1">IFERROR(__xludf.DUMMYFUNCTION("""COMPUTED_VALUE"""),-0.519739572141449)</f>
        <v>-0.51973957214144895</v>
      </c>
      <c r="DP23" s="3">
        <f ca="1">IFERROR(__xludf.DUMMYFUNCTION("""COMPUTED_VALUE"""),-0.448275350634446)</f>
        <v>-0.44827535063444601</v>
      </c>
      <c r="DQ23" s="3">
        <f ca="1">IFERROR(__xludf.DUMMYFUNCTION("""COMPUTED_VALUE"""),-0.486687517496477)</f>
        <v>-0.48668751749647698</v>
      </c>
      <c r="DR23" s="3">
        <f ca="1">IFERROR(__xludf.DUMMYFUNCTION("""COMPUTED_VALUE"""),-0.546614036218044)</f>
        <v>-0.54661403621804405</v>
      </c>
      <c r="DS23" s="3">
        <f ca="1">IFERROR(__xludf.DUMMYFUNCTION("""COMPUTED_VALUE"""),-0.383678583750961)</f>
        <v>-0.38367858375096098</v>
      </c>
      <c r="DT23" s="3">
        <f ca="1">IFERROR(__xludf.DUMMYFUNCTION("""COMPUTED_VALUE"""),-0.458766847109592)</f>
        <v>-0.45876684710959198</v>
      </c>
      <c r="DU23" s="3">
        <f ca="1">IFERROR(__xludf.DUMMYFUNCTION("""COMPUTED_VALUE"""),-0.530042299540519)</f>
        <v>-0.53004229954051896</v>
      </c>
      <c r="DV23" s="3">
        <f ca="1">IFERROR(__xludf.DUMMYFUNCTION("""COMPUTED_VALUE"""),-0.569731989241133)</f>
        <v>-0.569731989241133</v>
      </c>
      <c r="DW23" s="3">
        <f ca="1">IFERROR(__xludf.DUMMYFUNCTION("""COMPUTED_VALUE"""),-0.573474334885378)</f>
        <v>-0.57347433488537802</v>
      </c>
      <c r="DX23" s="3">
        <f ca="1">IFERROR(__xludf.DUMMYFUNCTION("""COMPUTED_VALUE"""),-0.593775325547714)</f>
        <v>-0.59377532554771395</v>
      </c>
      <c r="DY23" s="3">
        <f ca="1">IFERROR(__xludf.DUMMYFUNCTION("""COMPUTED_VALUE"""),-0.585398456962293)</f>
        <v>-0.58539845696229298</v>
      </c>
      <c r="DZ23" s="3">
        <f ca="1">IFERROR(__xludf.DUMMYFUNCTION("""COMPUTED_VALUE"""),-0.46870803521082)</f>
        <v>-0.46870803521082</v>
      </c>
      <c r="EA23" s="3">
        <f ca="1">IFERROR(__xludf.DUMMYFUNCTION("""COMPUTED_VALUE"""),-0.459951239598446)</f>
        <v>-0.45995123959844603</v>
      </c>
      <c r="EB23" s="3">
        <f ca="1">IFERROR(__xludf.DUMMYFUNCTION("""COMPUTED_VALUE"""),-0.523525636335277)</f>
        <v>-0.52352563633527704</v>
      </c>
      <c r="EC23" s="3">
        <f ca="1">IFERROR(__xludf.DUMMYFUNCTION("""COMPUTED_VALUE"""),-0.492216617195691)</f>
        <v>-0.49221661719569099</v>
      </c>
      <c r="ED23" s="3">
        <f ca="1">IFERROR(__xludf.DUMMYFUNCTION("""COMPUTED_VALUE"""),-0.580512951555567)</f>
        <v>-0.58051295155556704</v>
      </c>
      <c r="EE23" s="3">
        <f ca="1">IFERROR(__xludf.DUMMYFUNCTION("""COMPUTED_VALUE"""),-0.615118942279375)</f>
        <v>-0.61511894227937502</v>
      </c>
      <c r="EF23" s="3">
        <f ca="1">IFERROR(__xludf.DUMMYFUNCTION("""COMPUTED_VALUE"""),-0.638644012132193)</f>
        <v>-0.63864401213219302</v>
      </c>
      <c r="EG23" s="3">
        <f ca="1">IFERROR(__xludf.DUMMYFUNCTION("""COMPUTED_VALUE"""),-0.458565914706683)</f>
        <v>-0.45856591470668301</v>
      </c>
      <c r="EH23" s="3">
        <f ca="1">IFERROR(__xludf.DUMMYFUNCTION("""COMPUTED_VALUE"""),-0.489598753478868)</f>
        <v>-0.489598753478868</v>
      </c>
      <c r="EI23" s="3">
        <f ca="1">IFERROR(__xludf.DUMMYFUNCTION("""COMPUTED_VALUE"""),-0.59822379403269)</f>
        <v>-0.59822379403268999</v>
      </c>
      <c r="EJ23" s="3">
        <f ca="1">IFERROR(__xludf.DUMMYFUNCTION("""COMPUTED_VALUE"""),-0.713233902340286)</f>
        <v>-0.71323390234028605</v>
      </c>
      <c r="EK23" s="3">
        <f ca="1">IFERROR(__xludf.DUMMYFUNCTION("""COMPUTED_VALUE"""),-0.631521796608027)</f>
        <v>-0.63152179660802699</v>
      </c>
      <c r="EL23" s="3">
        <f ca="1">IFERROR(__xludf.DUMMYFUNCTION("""COMPUTED_VALUE"""),-0.604118196010947)</f>
        <v>-0.60411819601094696</v>
      </c>
      <c r="EM23" s="3">
        <f ca="1">IFERROR(__xludf.DUMMYFUNCTION("""COMPUTED_VALUE"""),-0.602473803376959)</f>
        <v>-0.60247380337695899</v>
      </c>
      <c r="EN23" s="3">
        <f ca="1">IFERROR(__xludf.DUMMYFUNCTION("""COMPUTED_VALUE"""),-0.519924574708615)</f>
        <v>-0.51992457470861497</v>
      </c>
      <c r="EO23" s="3">
        <f ca="1">IFERROR(__xludf.DUMMYFUNCTION("""COMPUTED_VALUE"""),-0.474973681874509)</f>
        <v>-0.474973681874509</v>
      </c>
      <c r="EP23" s="3">
        <f ca="1">IFERROR(__xludf.DUMMYFUNCTION("""COMPUTED_VALUE"""),-0.552485840928925)</f>
        <v>-0.55248584092892505</v>
      </c>
      <c r="EQ23" s="3">
        <f ca="1">IFERROR(__xludf.DUMMYFUNCTION("""COMPUTED_VALUE"""),-0.483662031714813)</f>
        <v>-0.48366203171481298</v>
      </c>
      <c r="ER23" s="3">
        <f ca="1">IFERROR(__xludf.DUMMYFUNCTION("""COMPUTED_VALUE"""),-0.546595551108668)</f>
        <v>-0.54659555110866798</v>
      </c>
      <c r="ES23" s="3">
        <f ca="1">IFERROR(__xludf.DUMMYFUNCTION("""COMPUTED_VALUE"""),-0.577604066408955)</f>
        <v>-0.57760406640895501</v>
      </c>
      <c r="ET23" s="3">
        <f ca="1">IFERROR(__xludf.DUMMYFUNCTION("""COMPUTED_VALUE"""),-0.552570761786307)</f>
        <v>-0.55257076178630704</v>
      </c>
      <c r="EU23" s="3">
        <f ca="1">IFERROR(__xludf.DUMMYFUNCTION("""COMPUTED_VALUE"""),-0.489183085176657)</f>
        <v>-0.48918308517665698</v>
      </c>
      <c r="EV23" s="3">
        <f ca="1">IFERROR(__xludf.DUMMYFUNCTION("""COMPUTED_VALUE"""),-0.422252587849437)</f>
        <v>-0.42225258784943698</v>
      </c>
      <c r="EW23" s="3">
        <f ca="1">IFERROR(__xludf.DUMMYFUNCTION("""COMPUTED_VALUE"""),-0.593212061810225)</f>
        <v>-0.59321206181022501</v>
      </c>
      <c r="EX23" s="3">
        <f ca="1">IFERROR(__xludf.DUMMYFUNCTION("""COMPUTED_VALUE"""),-0.601491946747522)</f>
        <v>-0.60149194674752204</v>
      </c>
      <c r="EY23" s="3">
        <f ca="1">IFERROR(__xludf.DUMMYFUNCTION("""COMPUTED_VALUE"""),-0.590669925062585)</f>
        <v>-0.59066992506258498</v>
      </c>
      <c r="EZ23" s="3">
        <f ca="1">IFERROR(__xludf.DUMMYFUNCTION("""COMPUTED_VALUE"""),-0.569752159153751)</f>
        <v>-0.56975215915375099</v>
      </c>
      <c r="FA23" s="3">
        <f ca="1">IFERROR(__xludf.DUMMYFUNCTION("""COMPUTED_VALUE"""),-0.554248266787108)</f>
        <v>-0.55424826678710803</v>
      </c>
      <c r="FB23" s="3">
        <f ca="1">IFERROR(__xludf.DUMMYFUNCTION("""COMPUTED_VALUE"""),-0.411180473914258)</f>
        <v>-0.41118047391425799</v>
      </c>
      <c r="FC23" s="3">
        <f ca="1">IFERROR(__xludf.DUMMYFUNCTION("""COMPUTED_VALUE"""),-0.461733165877755)</f>
        <v>-0.46173316587775498</v>
      </c>
      <c r="FD23" s="3">
        <f ca="1">IFERROR(__xludf.DUMMYFUNCTION("""COMPUTED_VALUE"""),-0.584030139128306)</f>
        <v>-0.58403013912830604</v>
      </c>
      <c r="FE23" s="3">
        <f ca="1">IFERROR(__xludf.DUMMYFUNCTION("""COMPUTED_VALUE"""),-0.603191981615579)</f>
        <v>-0.60319198161557896</v>
      </c>
      <c r="FF23" s="3">
        <f ca="1">IFERROR(__xludf.DUMMYFUNCTION("""COMPUTED_VALUE"""),-0.580919425036844)</f>
        <v>-0.58091942503684402</v>
      </c>
      <c r="FG23" s="3">
        <f ca="1">IFERROR(__xludf.DUMMYFUNCTION("""COMPUTED_VALUE"""),-0.59387168115472)</f>
        <v>-0.59387168115472</v>
      </c>
      <c r="FH23" s="3">
        <f ca="1">IFERROR(__xludf.DUMMYFUNCTION("""COMPUTED_VALUE"""),-0.53941955559858)</f>
        <v>-0.53941955559858001</v>
      </c>
      <c r="FI23" s="3">
        <f ca="1">IFERROR(__xludf.DUMMYFUNCTION("""COMPUTED_VALUE"""),-0.474235466278054)</f>
        <v>-0.47423546627805402</v>
      </c>
      <c r="FJ23" s="3">
        <f ca="1">IFERROR(__xludf.DUMMYFUNCTION("""COMPUTED_VALUE"""),-0.434591195755338)</f>
        <v>-0.434591195755338</v>
      </c>
      <c r="FK23" s="3">
        <f ca="1">IFERROR(__xludf.DUMMYFUNCTION("""COMPUTED_VALUE"""),-0.569420631371815)</f>
        <v>-0.56942063137181498</v>
      </c>
      <c r="FL23" s="3">
        <f ca="1">IFERROR(__xludf.DUMMYFUNCTION("""COMPUTED_VALUE"""),-0.622675330618862)</f>
        <v>-0.62267533061886204</v>
      </c>
      <c r="FM23" s="3">
        <f ca="1">IFERROR(__xludf.DUMMYFUNCTION("""COMPUTED_VALUE"""),-0.573840044629417)</f>
        <v>-0.57384004462941696</v>
      </c>
      <c r="FN23" s="3">
        <f ca="1">IFERROR(__xludf.DUMMYFUNCTION("""COMPUTED_VALUE"""),-0.577047733604866)</f>
        <v>-0.57704773360486605</v>
      </c>
      <c r="FO23" s="3">
        <f ca="1">IFERROR(__xludf.DUMMYFUNCTION("""COMPUTED_VALUE"""),-0.59847384831564)</f>
        <v>-0.59847384831563999</v>
      </c>
      <c r="FP23" s="3">
        <f ca="1">IFERROR(__xludf.DUMMYFUNCTION("""COMPUTED_VALUE"""),-0.45379460404089)</f>
        <v>-0.45379460404089</v>
      </c>
      <c r="FQ23" s="3">
        <f ca="1">IFERROR(__xludf.DUMMYFUNCTION("""COMPUTED_VALUE"""),-0.413811154026459)</f>
        <v>-0.41381115402645902</v>
      </c>
      <c r="FR23" s="3">
        <f ca="1">IFERROR(__xludf.DUMMYFUNCTION("""COMPUTED_VALUE"""),-0.562368908810405)</f>
        <v>-0.56236890881040502</v>
      </c>
      <c r="FS23" s="3">
        <f ca="1">IFERROR(__xludf.DUMMYFUNCTION("""COMPUTED_VALUE"""),-0.571587379922468)</f>
        <v>-0.571587379922468</v>
      </c>
      <c r="FT23" s="3">
        <f ca="1">IFERROR(__xludf.DUMMYFUNCTION("""COMPUTED_VALUE"""),-0.569545416714661)</f>
        <v>-0.56954541671466097</v>
      </c>
      <c r="FU23" s="3">
        <f ca="1">IFERROR(__xludf.DUMMYFUNCTION("""COMPUTED_VALUE"""),-0.576514042407325)</f>
        <v>-0.57651404240732496</v>
      </c>
      <c r="FV23" s="3">
        <f ca="1">IFERROR(__xludf.DUMMYFUNCTION("""COMPUTED_VALUE"""),-0.596580579246059)</f>
        <v>-0.59658057924605901</v>
      </c>
      <c r="FW23" s="3">
        <f ca="1">IFERROR(__xludf.DUMMYFUNCTION("""COMPUTED_VALUE"""),-0.478708324923011)</f>
        <v>-0.47870832492301102</v>
      </c>
      <c r="FX23" s="3">
        <f ca="1">IFERROR(__xludf.DUMMYFUNCTION("""COMPUTED_VALUE"""),-0.391124269653729)</f>
        <v>-0.39112426965372898</v>
      </c>
      <c r="FY23" s="3">
        <f ca="1">IFERROR(__xludf.DUMMYFUNCTION("""COMPUTED_VALUE"""),-0.534735620355038)</f>
        <v>-0.53473562035503797</v>
      </c>
      <c r="FZ23" s="3">
        <f ca="1">IFERROR(__xludf.DUMMYFUNCTION("""COMPUTED_VALUE"""),-0.564580069891794)</f>
        <v>-0.56458006989179399</v>
      </c>
      <c r="GA23" s="3">
        <f ca="1">IFERROR(__xludf.DUMMYFUNCTION("""COMPUTED_VALUE"""),-0.570471214340265)</f>
        <v>-0.57047121434026504</v>
      </c>
      <c r="GB23" s="3">
        <f ca="1">IFERROR(__xludf.DUMMYFUNCTION("""COMPUTED_VALUE"""),-0.567597085911683)</f>
        <v>-0.56759708591168301</v>
      </c>
      <c r="GC23" s="3">
        <f ca="1">IFERROR(__xludf.DUMMYFUNCTION("""COMPUTED_VALUE"""),-0.588795409560914)</f>
        <v>-0.58879540956091403</v>
      </c>
      <c r="GD23" s="3">
        <f ca="1">IFERROR(__xludf.DUMMYFUNCTION("""COMPUTED_VALUE"""),-0.469464033669531)</f>
        <v>-0.46946403366953099</v>
      </c>
      <c r="GE23" s="3">
        <f ca="1">IFERROR(__xludf.DUMMYFUNCTION("""COMPUTED_VALUE"""),-0.454361405054186)</f>
        <v>-0.45436140505418599</v>
      </c>
      <c r="GF23" s="3">
        <f ca="1">IFERROR(__xludf.DUMMYFUNCTION("""COMPUTED_VALUE"""),-0.577644446340519)</f>
        <v>-0.57764444634051904</v>
      </c>
      <c r="GG23" s="3">
        <f ca="1">IFERROR(__xludf.DUMMYFUNCTION("""COMPUTED_VALUE"""),-0.557194750819296)</f>
        <v>-0.55719475081929604</v>
      </c>
      <c r="GH23" s="3">
        <f ca="1">IFERROR(__xludf.DUMMYFUNCTION("""COMPUTED_VALUE"""),-0.569293015388952)</f>
        <v>-0.56929301538895205</v>
      </c>
      <c r="GI23" s="3">
        <f ca="1">IFERROR(__xludf.DUMMYFUNCTION("""COMPUTED_VALUE"""),-0.581911896616488)</f>
        <v>-0.58191189661648801</v>
      </c>
      <c r="GJ23" s="3">
        <f ca="1">IFERROR(__xludf.DUMMYFUNCTION("""COMPUTED_VALUE"""),-0.564787692706042)</f>
        <v>-0.56478769270604201</v>
      </c>
      <c r="GK23" s="3">
        <f ca="1">IFERROR(__xludf.DUMMYFUNCTION("""COMPUTED_VALUE"""),-0.470154200084522)</f>
        <v>-0.47015420008452202</v>
      </c>
      <c r="GL23" s="3">
        <f ca="1">IFERROR(__xludf.DUMMYFUNCTION("""COMPUTED_VALUE"""),-0.4679341020474)</f>
        <v>-0.46793410204739999</v>
      </c>
      <c r="GM23" s="3">
        <f ca="1">IFERROR(__xludf.DUMMYFUNCTION("""COMPUTED_VALUE"""),-0.570077556019964)</f>
        <v>-0.57007755601996402</v>
      </c>
      <c r="GN23" s="3">
        <f ca="1">IFERROR(__xludf.DUMMYFUNCTION("""COMPUTED_VALUE"""),-0.568814504152803)</f>
        <v>-0.56881450415280299</v>
      </c>
      <c r="GO23" s="3">
        <f ca="1">IFERROR(__xludf.DUMMYFUNCTION("""COMPUTED_VALUE"""),-0.605578869358662)</f>
        <v>-0.60557886935866201</v>
      </c>
      <c r="GP23" s="3">
        <f ca="1">IFERROR(__xludf.DUMMYFUNCTION("""COMPUTED_VALUE"""),-0.556340804405505)</f>
        <v>-0.55634080440550504</v>
      </c>
      <c r="GQ23" s="3">
        <f ca="1">IFERROR(__xludf.DUMMYFUNCTION("""COMPUTED_VALUE"""),-0.574640006848523)</f>
        <v>-0.57464000684852301</v>
      </c>
      <c r="GR23" s="3">
        <f ca="1">IFERROR(__xludf.DUMMYFUNCTION("""COMPUTED_VALUE"""),-0.377218336617552)</f>
        <v>-0.377218336617552</v>
      </c>
      <c r="GS23" s="3">
        <f ca="1">IFERROR(__xludf.DUMMYFUNCTION("""COMPUTED_VALUE"""),-0.477246998158444)</f>
        <v>-0.47724699815844401</v>
      </c>
      <c r="GT23" s="3">
        <f ca="1">IFERROR(__xludf.DUMMYFUNCTION("""COMPUTED_VALUE"""),-0.537213223591959)</f>
        <v>-0.537213223591959</v>
      </c>
      <c r="GU23" s="3">
        <f ca="1">IFERROR(__xludf.DUMMYFUNCTION("""COMPUTED_VALUE"""),-0.585033206443692)</f>
        <v>-0.58503320644369206</v>
      </c>
      <c r="GV23" s="3">
        <f ca="1">IFERROR(__xludf.DUMMYFUNCTION("""COMPUTED_VALUE"""),-0.557731047723532)</f>
        <v>-0.55773104772353199</v>
      </c>
      <c r="GW23" s="3">
        <f ca="1">IFERROR(__xludf.DUMMYFUNCTION("""COMPUTED_VALUE"""),-0.529755606018573)</f>
        <v>-0.52975560601857297</v>
      </c>
      <c r="GX23" s="3">
        <f ca="1">IFERROR(__xludf.DUMMYFUNCTION("""COMPUTED_VALUE"""),-0.516310741366224)</f>
        <v>-0.51631074136622401</v>
      </c>
      <c r="GY23" s="3">
        <f ca="1">IFERROR(__xludf.DUMMYFUNCTION("""COMPUTED_VALUE"""),-0.520088111925253)</f>
        <v>-0.52008811192525295</v>
      </c>
      <c r="GZ23" s="3">
        <f ca="1">IFERROR(__xludf.DUMMYFUNCTION("""COMPUTED_VALUE"""),-0.526677769296809)</f>
        <v>-0.52667776929680898</v>
      </c>
      <c r="HA23" s="3">
        <f ca="1">IFERROR(__xludf.DUMMYFUNCTION("""COMPUTED_VALUE"""),-0.597894391413963)</f>
        <v>-0.59789439141396294</v>
      </c>
      <c r="HB23" s="3">
        <f ca="1">IFERROR(__xludf.DUMMYFUNCTION("""COMPUTED_VALUE"""),-0.634770239025992)</f>
        <v>-0.63477023902599194</v>
      </c>
      <c r="HC23" s="3">
        <f ca="1">IFERROR(__xludf.DUMMYFUNCTION("""COMPUTED_VALUE"""),-0.635929204304095)</f>
        <v>-0.63592920430409505</v>
      </c>
      <c r="HD23" s="3">
        <f ca="1">IFERROR(__xludf.DUMMYFUNCTION("""COMPUTED_VALUE"""),-0.608924387880099)</f>
        <v>-0.60892438788009895</v>
      </c>
      <c r="HE23" s="3">
        <f ca="1">IFERROR(__xludf.DUMMYFUNCTION("""COMPUTED_VALUE"""),-0.64139047852838)</f>
        <v>-0.64139047852838005</v>
      </c>
      <c r="HF23" s="3">
        <f ca="1">IFERROR(__xludf.DUMMYFUNCTION("""COMPUTED_VALUE"""),-0.52766030914823)</f>
        <v>-0.52766030914823003</v>
      </c>
      <c r="HG23" s="3">
        <f ca="1">IFERROR(__xludf.DUMMYFUNCTION("""COMPUTED_VALUE"""),-0.474618416215456)</f>
        <v>-0.47461841621545597</v>
      </c>
      <c r="HH23" s="3">
        <f ca="1">IFERROR(__xludf.DUMMYFUNCTION("""COMPUTED_VALUE"""),-0.629518941995863)</f>
        <v>-0.629518941995863</v>
      </c>
      <c r="HI23" s="3">
        <f ca="1">IFERROR(__xludf.DUMMYFUNCTION("""COMPUTED_VALUE"""),-0.631900022489813)</f>
        <v>-0.63190002248981303</v>
      </c>
      <c r="HJ23" s="3">
        <f ca="1">IFERROR(__xludf.DUMMYFUNCTION("""COMPUTED_VALUE"""),-0.615004373978922)</f>
        <v>-0.61500437397892205</v>
      </c>
      <c r="HK23" s="3">
        <f ca="1">IFERROR(__xludf.DUMMYFUNCTION("""COMPUTED_VALUE"""),-0.598525464515242)</f>
        <v>-0.59852546451524202</v>
      </c>
      <c r="HL23" s="3">
        <f ca="1">IFERROR(__xludf.DUMMYFUNCTION("""COMPUTED_VALUE"""),-0.680582758429051)</f>
        <v>-0.68058275842905103</v>
      </c>
      <c r="HM23" s="3">
        <f ca="1">IFERROR(__xludf.DUMMYFUNCTION("""COMPUTED_VALUE"""),-0.508348072708659)</f>
        <v>-0.508348072708659</v>
      </c>
      <c r="HN23" s="3">
        <f ca="1">IFERROR(__xludf.DUMMYFUNCTION("""COMPUTED_VALUE"""),-0.57546764413208)</f>
        <v>-0.57546764413207996</v>
      </c>
      <c r="HO23" s="3">
        <f ca="1">IFERROR(__xludf.DUMMYFUNCTION("""COMPUTED_VALUE"""),-0.598004363534049)</f>
        <v>-0.59800436353404895</v>
      </c>
      <c r="HP23" s="3">
        <f ca="1">IFERROR(__xludf.DUMMYFUNCTION("""COMPUTED_VALUE"""),-0.618423346404497)</f>
        <v>-0.61842334640449703</v>
      </c>
      <c r="HQ23" s="3">
        <f ca="1">IFERROR(__xludf.DUMMYFUNCTION("""COMPUTED_VALUE"""),-0.660475652829185)</f>
        <v>-0.66047565282918497</v>
      </c>
      <c r="HR23" s="3">
        <f ca="1">IFERROR(__xludf.DUMMYFUNCTION("""COMPUTED_VALUE"""),-0.631925641557549)</f>
        <v>-0.63192564155754904</v>
      </c>
      <c r="HS23" s="3">
        <f ca="1">IFERROR(__xludf.DUMMYFUNCTION("""COMPUTED_VALUE"""),-0.551891669691956)</f>
        <v>-0.55189166969195602</v>
      </c>
      <c r="HT23" s="3">
        <f ca="1">IFERROR(__xludf.DUMMYFUNCTION("""COMPUTED_VALUE"""),-0.457074820859385)</f>
        <v>-0.457074820859385</v>
      </c>
      <c r="HU23" s="3">
        <f ca="1">IFERROR(__xludf.DUMMYFUNCTION("""COMPUTED_VALUE"""),-0.585219677685065)</f>
        <v>-0.585219677685065</v>
      </c>
      <c r="HV23" s="3">
        <f ca="1">IFERROR(__xludf.DUMMYFUNCTION("""COMPUTED_VALUE"""),-0.646997710373072)</f>
        <v>-0.64699771037307197</v>
      </c>
      <c r="HW23" s="3">
        <f ca="1">IFERROR(__xludf.DUMMYFUNCTION("""COMPUTED_VALUE"""),-0.628278678015694)</f>
        <v>-0.62827867801569404</v>
      </c>
      <c r="HX23" s="3">
        <f ca="1">IFERROR(__xludf.DUMMYFUNCTION("""COMPUTED_VALUE"""),-0.63753995437502)</f>
        <v>-0.63753995437501998</v>
      </c>
      <c r="HY23" s="3">
        <f ca="1">IFERROR(__xludf.DUMMYFUNCTION("""COMPUTED_VALUE"""),-0.642731397739202)</f>
        <v>-0.64273139773920196</v>
      </c>
      <c r="HZ23" s="3">
        <f ca="1">IFERROR(__xludf.DUMMYFUNCTION("""COMPUTED_VALUE"""),-0.56552719120841)</f>
        <v>-0.56552719120841</v>
      </c>
      <c r="IA23" s="3">
        <f ca="1">IFERROR(__xludf.DUMMYFUNCTION("""COMPUTED_VALUE"""),-0.551773472042325)</f>
        <v>-0.55177347204232496</v>
      </c>
      <c r="IB23" s="3">
        <f ca="1">IFERROR(__xludf.DUMMYFUNCTION("""COMPUTED_VALUE"""),-0.531333528917524)</f>
        <v>-0.53133352891752395</v>
      </c>
      <c r="IC23" s="3">
        <f ca="1">IFERROR(__xludf.DUMMYFUNCTION("""COMPUTED_VALUE"""),-0.619184667826703)</f>
        <v>-0.61918466782670301</v>
      </c>
      <c r="ID23" s="3">
        <f ca="1">IFERROR(__xludf.DUMMYFUNCTION("""COMPUTED_VALUE"""),-0.575652678736186)</f>
        <v>-0.57565267873618597</v>
      </c>
      <c r="IE23" s="3">
        <f ca="1">IFERROR(__xludf.DUMMYFUNCTION("""COMPUTED_VALUE"""),-0.634721702986469)</f>
        <v>-0.63472170298646902</v>
      </c>
      <c r="IF23" s="3">
        <f ca="1">IFERROR(__xludf.DUMMYFUNCTION("""COMPUTED_VALUE"""),-0.630391527802344)</f>
        <v>-0.63039152780234398</v>
      </c>
      <c r="IG23" s="3">
        <f ca="1">IFERROR(__xludf.DUMMYFUNCTION("""COMPUTED_VALUE"""),-0.569741150050923)</f>
        <v>-0.56974115005092296</v>
      </c>
      <c r="IH23" s="3">
        <f ca="1">IFERROR(__xludf.DUMMYFUNCTION("""COMPUTED_VALUE"""),-0.496488028771146)</f>
        <v>-0.49648802877114601</v>
      </c>
      <c r="II23" s="3">
        <f ca="1">IFERROR(__xludf.DUMMYFUNCTION("""COMPUTED_VALUE"""),-0.540828891309621)</f>
        <v>-0.54082889130962097</v>
      </c>
      <c r="IJ23" s="3">
        <f ca="1">IFERROR(__xludf.DUMMYFUNCTION("""COMPUTED_VALUE"""),-0.611458730249177)</f>
        <v>-0.61145873024917696</v>
      </c>
      <c r="IK23" s="3">
        <f ca="1">IFERROR(__xludf.DUMMYFUNCTION("""COMPUTED_VALUE"""),-0.585989883891307)</f>
        <v>-0.58598988389130702</v>
      </c>
      <c r="IL23" s="3">
        <f ca="1">IFERROR(__xludf.DUMMYFUNCTION("""COMPUTED_VALUE"""),-0.560227820009385)</f>
        <v>-0.56022782000938498</v>
      </c>
      <c r="IM23" s="3">
        <f ca="1">IFERROR(__xludf.DUMMYFUNCTION("""COMPUTED_VALUE"""),-0.615330924007925)</f>
        <v>-0.615330924007925</v>
      </c>
      <c r="IN23" s="3">
        <f ca="1">IFERROR(__xludf.DUMMYFUNCTION("""COMPUTED_VALUE"""),-0.555979073181753)</f>
        <v>-0.55597907318175299</v>
      </c>
      <c r="IO23" s="3">
        <f ca="1">IFERROR(__xludf.DUMMYFUNCTION("""COMPUTED_VALUE"""),-0.526592054752443)</f>
        <v>-0.52659205475244297</v>
      </c>
      <c r="IP23" s="3">
        <f ca="1">IFERROR(__xludf.DUMMYFUNCTION("""COMPUTED_VALUE"""),-0.525385880463169)</f>
        <v>-0.52538588046316903</v>
      </c>
      <c r="IQ23" s="3">
        <f ca="1">IFERROR(__xludf.DUMMYFUNCTION("""COMPUTED_VALUE"""),-0.582768019286968)</f>
        <v>-0.58276801928696798</v>
      </c>
      <c r="IR23" s="3">
        <f ca="1">IFERROR(__xludf.DUMMYFUNCTION("""COMPUTED_VALUE"""),-0.576306294931981)</f>
        <v>-0.57630629493198104</v>
      </c>
      <c r="IS23" s="3">
        <f ca="1">IFERROR(__xludf.DUMMYFUNCTION("""COMPUTED_VALUE"""),-0.524739669115212)</f>
        <v>-0.52473966911521197</v>
      </c>
      <c r="IT23" s="3">
        <f ca="1">IFERROR(__xludf.DUMMYFUNCTION("""COMPUTED_VALUE"""),-0.587600932635875)</f>
        <v>-0.58760093263587498</v>
      </c>
      <c r="IU23" s="3">
        <f ca="1">IFERROR(__xludf.DUMMYFUNCTION("""COMPUTED_VALUE"""),-0.560124045307381)</f>
        <v>-0.56012404530738102</v>
      </c>
      <c r="IV23" s="3">
        <f ca="1">IFERROR(__xludf.DUMMYFUNCTION("""COMPUTED_VALUE"""),-0.503552438807275)</f>
        <v>-0.50355243880727496</v>
      </c>
      <c r="IW23" s="3">
        <f ca="1">IFERROR(__xludf.DUMMYFUNCTION("""COMPUTED_VALUE"""),-0.533205543265393)</f>
        <v>-0.53320554326539304</v>
      </c>
      <c r="IX23" s="3">
        <f ca="1">IFERROR(__xludf.DUMMYFUNCTION("""COMPUTED_VALUE"""),-0.545386551890794)</f>
        <v>-0.54538655189079399</v>
      </c>
      <c r="IY23" s="3">
        <f ca="1">IFERROR(__xludf.DUMMYFUNCTION("""COMPUTED_VALUE"""),-0.57961261604904)</f>
        <v>-0.57961261604904002</v>
      </c>
      <c r="IZ23" s="3">
        <f ca="1">IFERROR(__xludf.DUMMYFUNCTION("""COMPUTED_VALUE"""),-0.500300482008591)</f>
        <v>-0.50030048200859101</v>
      </c>
      <c r="JA23" s="3">
        <f ca="1">IFERROR(__xludf.DUMMYFUNCTION("""COMPUTED_VALUE"""),-0.552132207915864)</f>
        <v>-0.55213220791586404</v>
      </c>
      <c r="JB23" s="3">
        <f ca="1">IFERROR(__xludf.DUMMYFUNCTION("""COMPUTED_VALUE"""),-0.596862322818078)</f>
        <v>-0.59686232281807805</v>
      </c>
      <c r="JC23" s="3">
        <f ca="1">IFERROR(__xludf.DUMMYFUNCTION("""COMPUTED_VALUE"""),-0.535637379192951)</f>
        <v>-0.53563737919295096</v>
      </c>
      <c r="JD23" s="3">
        <f ca="1">IFERROR(__xludf.DUMMYFUNCTION("""COMPUTED_VALUE"""),-0.478031175158143)</f>
        <v>-0.47803117515814297</v>
      </c>
      <c r="JE23" s="3">
        <f ca="1">IFERROR(__xludf.DUMMYFUNCTION("""COMPUTED_VALUE"""),-0.573446699924468)</f>
        <v>-0.57344669992446795</v>
      </c>
      <c r="JF23" s="3">
        <f ca="1">IFERROR(__xludf.DUMMYFUNCTION("""COMPUTED_VALUE"""),-0.599833118017513)</f>
        <v>-0.59983311801751305</v>
      </c>
      <c r="JG23" s="3">
        <f ca="1">IFERROR(__xludf.DUMMYFUNCTION("""COMPUTED_VALUE"""),-0.575004156897189)</f>
        <v>-0.57500415689718898</v>
      </c>
      <c r="JH23" s="3">
        <f ca="1">IFERROR(__xludf.DUMMYFUNCTION("""COMPUTED_VALUE"""),-0.55332386652824)</f>
        <v>-0.55332386652823995</v>
      </c>
      <c r="JI23" s="3">
        <f ca="1">IFERROR(__xludf.DUMMYFUNCTION("""COMPUTED_VALUE"""),-0.56674309888715)</f>
        <v>-0.56674309888715002</v>
      </c>
      <c r="JJ23" s="3">
        <f ca="1">IFERROR(__xludf.DUMMYFUNCTION("""COMPUTED_VALUE"""),-0.520467545546944)</f>
        <v>-0.52046754554694397</v>
      </c>
      <c r="JK23" s="3">
        <f ca="1">IFERROR(__xludf.DUMMYFUNCTION("""COMPUTED_VALUE"""),-0.450782756827782)</f>
        <v>-0.45078275682778202</v>
      </c>
      <c r="JL23" s="3">
        <f ca="1">IFERROR(__xludf.DUMMYFUNCTION("""COMPUTED_VALUE"""),-0.557225337536417)</f>
        <v>-0.55722533753641701</v>
      </c>
      <c r="JM23" s="3">
        <f ca="1">IFERROR(__xludf.DUMMYFUNCTION("""COMPUTED_VALUE"""),-0.602505265716579)</f>
        <v>-0.60250526571657903</v>
      </c>
      <c r="JN23" s="3">
        <f ca="1">IFERROR(__xludf.DUMMYFUNCTION("""COMPUTED_VALUE"""),-0.534700539282493)</f>
        <v>-0.53470053928249295</v>
      </c>
      <c r="JO23" s="3">
        <f ca="1">IFERROR(__xludf.DUMMYFUNCTION("""COMPUTED_VALUE"""),-0.570234500186487)</f>
        <v>-0.57023450018648703</v>
      </c>
      <c r="JP23" s="3">
        <f ca="1">IFERROR(__xludf.DUMMYFUNCTION("""COMPUTED_VALUE"""),-0.576957595463235)</f>
        <v>-0.576957595463235</v>
      </c>
      <c r="JQ23" s="3">
        <f ca="1">IFERROR(__xludf.DUMMYFUNCTION("""COMPUTED_VALUE"""),-0.520215454354118)</f>
        <v>-0.52021545435411798</v>
      </c>
      <c r="JR23" s="3">
        <f ca="1">IFERROR(__xludf.DUMMYFUNCTION("""COMPUTED_VALUE"""),-0.485489623720622)</f>
        <v>-0.48548962372062199</v>
      </c>
      <c r="JS23" s="3">
        <f ca="1">IFERROR(__xludf.DUMMYFUNCTION("""COMPUTED_VALUE"""),-0.576686970681049)</f>
        <v>-0.57668697068104902</v>
      </c>
      <c r="JT23" s="3">
        <f ca="1">IFERROR(__xludf.DUMMYFUNCTION("""COMPUTED_VALUE"""),-0.515777777327491)</f>
        <v>-0.51577777732749097</v>
      </c>
      <c r="JU23" s="3">
        <f ca="1">IFERROR(__xludf.DUMMYFUNCTION("""COMPUTED_VALUE"""),-0.552754067618115)</f>
        <v>-0.55275406761811496</v>
      </c>
      <c r="JV23" s="3">
        <f ca="1">IFERROR(__xludf.DUMMYFUNCTION("""COMPUTED_VALUE"""),-0.584506192561962)</f>
        <v>-0.58450619256196201</v>
      </c>
      <c r="JW23" s="3">
        <f ca="1">IFERROR(__xludf.DUMMYFUNCTION("""COMPUTED_VALUE"""),-0.581473770679564)</f>
        <v>-0.58147377067956396</v>
      </c>
      <c r="JX23" s="3">
        <f ca="1">IFERROR(__xludf.DUMMYFUNCTION("""COMPUTED_VALUE"""),-0.467366238616441)</f>
        <v>-0.467366238616441</v>
      </c>
      <c r="JY23" s="3">
        <f ca="1">IFERROR(__xludf.DUMMYFUNCTION("""COMPUTED_VALUE"""),-0.581910795012399)</f>
        <v>-0.58191079501239895</v>
      </c>
      <c r="JZ23" s="3">
        <f ca="1">IFERROR(__xludf.DUMMYFUNCTION("""COMPUTED_VALUE"""),-0.594359237049503)</f>
        <v>-0.594359237049503</v>
      </c>
      <c r="KA23" s="3">
        <f ca="1">IFERROR(__xludf.DUMMYFUNCTION("""COMPUTED_VALUE"""),-0.514035048968353)</f>
        <v>-0.51403504896835295</v>
      </c>
      <c r="KB23" s="3">
        <f ca="1">IFERROR(__xludf.DUMMYFUNCTION("""COMPUTED_VALUE"""),-0.578469652211212)</f>
        <v>-0.57846965221121205</v>
      </c>
      <c r="KC23" s="3">
        <f ca="1">IFERROR(__xludf.DUMMYFUNCTION("""COMPUTED_VALUE"""),-0.599934753135366)</f>
        <v>-0.59993475313536604</v>
      </c>
      <c r="KD23" s="3">
        <f ca="1">IFERROR(__xludf.DUMMYFUNCTION("""COMPUTED_VALUE"""),-0.580107779079288)</f>
        <v>-0.58010777907928801</v>
      </c>
      <c r="KE23" s="3">
        <f ca="1">IFERROR(__xludf.DUMMYFUNCTION("""COMPUTED_VALUE"""),-0.462938172816888)</f>
        <v>-0.46293817281688798</v>
      </c>
      <c r="KF23" s="3">
        <f ca="1">IFERROR(__xludf.DUMMYFUNCTION("""COMPUTED_VALUE"""),-0.573998494739298)</f>
        <v>-0.57399849473929798</v>
      </c>
      <c r="KG23" s="3">
        <f ca="1">IFERROR(__xludf.DUMMYFUNCTION("""COMPUTED_VALUE"""),-0.581680001594675)</f>
        <v>-0.58168000159467503</v>
      </c>
      <c r="KH23" s="3">
        <f ca="1">IFERROR(__xludf.DUMMYFUNCTION("""COMPUTED_VALUE"""),-0.495767204589394)</f>
        <v>-0.49576720458939399</v>
      </c>
      <c r="KI23" s="3">
        <f ca="1">IFERROR(__xludf.DUMMYFUNCTION("""COMPUTED_VALUE"""),-0.604337441942218)</f>
        <v>-0.60433744194221795</v>
      </c>
      <c r="KJ23" s="3">
        <f ca="1">IFERROR(__xludf.DUMMYFUNCTION("""COMPUTED_VALUE"""),-0.578867931317544)</f>
        <v>-0.57886793131754399</v>
      </c>
      <c r="KK23" s="3">
        <f ca="1">IFERROR(__xludf.DUMMYFUNCTION("""COMPUTED_VALUE"""),-0.580466681953793)</f>
        <v>-0.58046668195379303</v>
      </c>
      <c r="KL23" s="3">
        <f ca="1">IFERROR(__xludf.DUMMYFUNCTION("""COMPUTED_VALUE"""),-0.460156276087075)</f>
        <v>-0.46015627608707499</v>
      </c>
      <c r="KM23" s="3">
        <f ca="1">IFERROR(__xludf.DUMMYFUNCTION("""COMPUTED_VALUE"""),-0.530028642842966)</f>
        <v>-0.53002864284296602</v>
      </c>
      <c r="KN23" s="3">
        <f ca="1">IFERROR(__xludf.DUMMYFUNCTION("""COMPUTED_VALUE"""),-0.561271251787413)</f>
        <v>-0.56127125178741299</v>
      </c>
      <c r="KO23" s="3">
        <f ca="1">IFERROR(__xludf.DUMMYFUNCTION("""COMPUTED_VALUE"""),-0.579203913340552)</f>
        <v>-0.57920391334055199</v>
      </c>
      <c r="KP23" s="3">
        <f ca="1">IFERROR(__xludf.DUMMYFUNCTION("""COMPUTED_VALUE"""),-0.559023898980773)</f>
        <v>-0.55902389898077298</v>
      </c>
      <c r="KQ23" s="3">
        <f ca="1">IFERROR(__xludf.DUMMYFUNCTION("""COMPUTED_VALUE"""),-0.565235892661454)</f>
        <v>-0.56523589266145402</v>
      </c>
      <c r="KR23" s="3">
        <f ca="1">IFERROR(__xludf.DUMMYFUNCTION("""COMPUTED_VALUE"""),-0.538246543160263)</f>
        <v>-0.53824654316026299</v>
      </c>
      <c r="KS23" s="3">
        <f ca="1">IFERROR(__xludf.DUMMYFUNCTION("""COMPUTED_VALUE"""),-0.44656570275559)</f>
        <v>-0.44656570275558999</v>
      </c>
      <c r="KT23" s="3">
        <f ca="1">IFERROR(__xludf.DUMMYFUNCTION("""COMPUTED_VALUE"""),-0.538518698633768)</f>
        <v>-0.538518698633768</v>
      </c>
      <c r="KU23" s="3">
        <f ca="1">IFERROR(__xludf.DUMMYFUNCTION("""COMPUTED_VALUE"""),-0.600199822551217)</f>
        <v>-0.60019982255121695</v>
      </c>
      <c r="KV23" s="3">
        <f ca="1">IFERROR(__xludf.DUMMYFUNCTION("""COMPUTED_VALUE"""),-0.578659632063794)</f>
        <v>-0.578659632063794</v>
      </c>
      <c r="KW23" s="3">
        <f ca="1">IFERROR(__xludf.DUMMYFUNCTION("""COMPUTED_VALUE"""),-0.616991112232059)</f>
        <v>-0.61699111223205905</v>
      </c>
      <c r="KX23" s="3">
        <f ca="1">IFERROR(__xludf.DUMMYFUNCTION("""COMPUTED_VALUE"""),-0.565767629788893)</f>
        <v>-0.56576762978889295</v>
      </c>
      <c r="KY23" s="3">
        <f ca="1">IFERROR(__xludf.DUMMYFUNCTION("""COMPUTED_VALUE"""),-0.606070276201146)</f>
        <v>-0.60607027620114595</v>
      </c>
      <c r="KZ23" s="3">
        <f ca="1">IFERROR(__xludf.DUMMYFUNCTION("""COMPUTED_VALUE"""),-0.537856936169631)</f>
        <v>-0.53785693616963104</v>
      </c>
      <c r="LA23" s="3">
        <f ca="1">IFERROR(__xludf.DUMMYFUNCTION("""COMPUTED_VALUE"""),-0.58363224422463)</f>
        <v>-0.58363224422463</v>
      </c>
      <c r="LB23" s="3">
        <f ca="1">IFERROR(__xludf.DUMMYFUNCTION("""COMPUTED_VALUE"""),-0.657252031125797)</f>
        <v>-0.657252031125797</v>
      </c>
      <c r="LC23" s="3">
        <f ca="1">IFERROR(__xludf.DUMMYFUNCTION("""COMPUTED_VALUE"""),-0.679885171537946)</f>
        <v>-0.67988517153794603</v>
      </c>
      <c r="LD23" s="3">
        <f ca="1">IFERROR(__xludf.DUMMYFUNCTION("""COMPUTED_VALUE"""),-0.655454510781982)</f>
        <v>-0.65545451078198202</v>
      </c>
      <c r="LE23" s="3">
        <f ca="1">IFERROR(__xludf.DUMMYFUNCTION("""COMPUTED_VALUE"""),-0.626135806346635)</f>
        <v>-0.62613580634663502</v>
      </c>
      <c r="LF23" s="3">
        <f ca="1">IFERROR(__xludf.DUMMYFUNCTION("""COMPUTED_VALUE"""),-0.491619570283285)</f>
        <v>-0.49161957028328501</v>
      </c>
      <c r="LG23" s="3">
        <f ca="1">IFERROR(__xludf.DUMMYFUNCTION("""COMPUTED_VALUE"""),-0.458208759539756)</f>
        <v>-0.45820875953975598</v>
      </c>
      <c r="LH23" s="3">
        <f ca="1">IFERROR(__xludf.DUMMYFUNCTION("""COMPUTED_VALUE"""),-0.470015914718843)</f>
        <v>-0.47001591471884302</v>
      </c>
      <c r="LI23" s="3">
        <f ca="1">IFERROR(__xludf.DUMMYFUNCTION("""COMPUTED_VALUE"""),-0.624246583619743)</f>
        <v>-0.62424658361974295</v>
      </c>
      <c r="LJ23" s="3">
        <f ca="1">IFERROR(__xludf.DUMMYFUNCTION("""COMPUTED_VALUE"""),-0.588088167694371)</f>
        <v>-0.588088167694371</v>
      </c>
      <c r="LK23" s="3">
        <f ca="1">IFERROR(__xludf.DUMMYFUNCTION("""COMPUTED_VALUE"""),-0.591457944381245)</f>
        <v>-0.59145794438124499</v>
      </c>
      <c r="LL23" s="3">
        <f ca="1">IFERROR(__xludf.DUMMYFUNCTION("""COMPUTED_VALUE"""),-0.609182777775338)</f>
        <v>-0.60918277777533802</v>
      </c>
      <c r="LM23" s="3">
        <f ca="1">IFERROR(__xludf.DUMMYFUNCTION("""COMPUTED_VALUE"""),-0.673282211349928)</f>
        <v>-0.67328221134992805</v>
      </c>
      <c r="LN23" s="3">
        <f ca="1">IFERROR(__xludf.DUMMYFUNCTION("""COMPUTED_VALUE"""),-0.459560223985111)</f>
        <v>-0.45956022398511098</v>
      </c>
      <c r="LO23" s="3">
        <f ca="1">IFERROR(__xludf.DUMMYFUNCTION("""COMPUTED_VALUE"""),-0.487671389815688)</f>
        <v>-0.48767138981568797</v>
      </c>
      <c r="LP23" s="3">
        <f ca="1">IFERROR(__xludf.DUMMYFUNCTION("""COMPUTED_VALUE"""),-0.605030440395741)</f>
        <v>-0.60503044039574105</v>
      </c>
      <c r="LQ23" s="3">
        <f ca="1">IFERROR(__xludf.DUMMYFUNCTION("""COMPUTED_VALUE"""),-0.645759571311212)</f>
        <v>-0.64575957131121198</v>
      </c>
      <c r="LR23" s="3">
        <f ca="1">IFERROR(__xludf.DUMMYFUNCTION("""COMPUTED_VALUE"""),-0.661874932912538)</f>
        <v>-0.66187493291253796</v>
      </c>
      <c r="LS23" s="3">
        <f ca="1">IFERROR(__xludf.DUMMYFUNCTION("""COMPUTED_VALUE"""),-0.660227523794712)</f>
        <v>-0.66022752379471195</v>
      </c>
      <c r="LT23" s="3">
        <f ca="1">IFERROR(__xludf.DUMMYFUNCTION("""COMPUTED_VALUE"""),-0.614457316139918)</f>
        <v>-0.61445731613991805</v>
      </c>
      <c r="LU23" s="3">
        <f ca="1">IFERROR(__xludf.DUMMYFUNCTION("""COMPUTED_VALUE"""),-0.520187407143629)</f>
        <v>-0.52018740714362899</v>
      </c>
      <c r="LV23" s="3">
        <f ca="1">IFERROR(__xludf.DUMMYFUNCTION("""COMPUTED_VALUE"""),-0.559209555556965)</f>
        <v>-0.55920955555696505</v>
      </c>
      <c r="LW23" s="3">
        <f ca="1">IFERROR(__xludf.DUMMYFUNCTION("""COMPUTED_VALUE"""),-0.628457801208504)</f>
        <v>-0.62845780120850403</v>
      </c>
      <c r="LX23" s="3">
        <f ca="1">IFERROR(__xludf.DUMMYFUNCTION("""COMPUTED_VALUE"""),-0.634714536415586)</f>
        <v>-0.63471453641558595</v>
      </c>
      <c r="LY23" s="3">
        <f ca="1">IFERROR(__xludf.DUMMYFUNCTION("""COMPUTED_VALUE"""),-0.655266790299382)</f>
        <v>-0.65526679029938195</v>
      </c>
      <c r="LZ23" s="3">
        <f ca="1">IFERROR(__xludf.DUMMYFUNCTION("""COMPUTED_VALUE"""),-0.647372493221258)</f>
        <v>-0.64737249322125801</v>
      </c>
      <c r="MA23" s="3">
        <f ca="1">IFERROR(__xludf.DUMMYFUNCTION("""COMPUTED_VALUE"""),-0.67691373074265)</f>
        <v>-0.67691373074265004</v>
      </c>
      <c r="MB23" s="3">
        <f ca="1">IFERROR(__xludf.DUMMYFUNCTION("""COMPUTED_VALUE"""),-0.536015206206447)</f>
        <v>-0.53601520620644705</v>
      </c>
      <c r="MC23" s="3">
        <f ca="1">IFERROR(__xludf.DUMMYFUNCTION("""COMPUTED_VALUE"""),-0.549958556956495)</f>
        <v>-0.54995855695649498</v>
      </c>
      <c r="MD23" s="3">
        <f ca="1">IFERROR(__xludf.DUMMYFUNCTION("""COMPUTED_VALUE"""),-0.698585780588528)</f>
        <v>-0.69858578058852805</v>
      </c>
      <c r="ME23" s="3">
        <f ca="1">IFERROR(__xludf.DUMMYFUNCTION("""COMPUTED_VALUE"""),-0.677604140338093)</f>
        <v>-0.67760414033809302</v>
      </c>
      <c r="MF23" s="3">
        <f ca="1">IFERROR(__xludf.DUMMYFUNCTION("""COMPUTED_VALUE"""),-0.675076705757887)</f>
        <v>-0.67507670575788703</v>
      </c>
      <c r="MG23" s="3">
        <f ca="1">IFERROR(__xludf.DUMMYFUNCTION("""COMPUTED_VALUE"""),-0.665427328823454)</f>
        <v>-0.66542732882345401</v>
      </c>
      <c r="MH23" s="3">
        <f ca="1">IFERROR(__xludf.DUMMYFUNCTION("""COMPUTED_VALUE"""),-0.617678289328711)</f>
        <v>-0.61767828932871105</v>
      </c>
      <c r="MI23" s="3">
        <f ca="1">IFERROR(__xludf.DUMMYFUNCTION("""COMPUTED_VALUE"""),-0.44915577480214)</f>
        <v>-0.44915577480213997</v>
      </c>
      <c r="MJ23" s="3">
        <f ca="1">IFERROR(__xludf.DUMMYFUNCTION("""COMPUTED_VALUE"""),-0.560120246745453)</f>
        <v>-0.56012024674545302</v>
      </c>
      <c r="MK23" s="3">
        <f ca="1">IFERROR(__xludf.DUMMYFUNCTION("""COMPUTED_VALUE"""),-0.644580463904397)</f>
        <v>-0.64458046390439705</v>
      </c>
      <c r="ML23" s="3">
        <f ca="1">IFERROR(__xludf.DUMMYFUNCTION("""COMPUTED_VALUE"""),-0.676639392560189)</f>
        <v>-0.67663939256018901</v>
      </c>
      <c r="MM23" s="3">
        <f ca="1">IFERROR(__xludf.DUMMYFUNCTION("""COMPUTED_VALUE"""),-0.653621929736598)</f>
        <v>-0.65362192973659805</v>
      </c>
      <c r="MN23" s="3">
        <f ca="1">IFERROR(__xludf.DUMMYFUNCTION("""COMPUTED_VALUE"""),-0.602810286092174)</f>
        <v>-0.60281028609217402</v>
      </c>
      <c r="MO23" s="3">
        <f ca="1">IFERROR(__xludf.DUMMYFUNCTION("""COMPUTED_VALUE"""),-0.590878333072744)</f>
        <v>-0.59087833307274396</v>
      </c>
      <c r="MP23" s="3">
        <f ca="1">IFERROR(__xludf.DUMMYFUNCTION("""COMPUTED_VALUE"""),-0.455203650221363)</f>
        <v>-0.455203650221363</v>
      </c>
      <c r="MQ23" s="3">
        <f ca="1">IFERROR(__xludf.DUMMYFUNCTION("""COMPUTED_VALUE"""),-0.48986897428851)</f>
        <v>-0.48986897428851001</v>
      </c>
      <c r="MR23" s="3">
        <f ca="1">IFERROR(__xludf.DUMMYFUNCTION("""COMPUTED_VALUE"""),-0.624473094792482)</f>
        <v>-0.62447309479248203</v>
      </c>
      <c r="MS23" s="3">
        <f ca="1">IFERROR(__xludf.DUMMYFUNCTION("""COMPUTED_VALUE"""),-0.642946026607862)</f>
        <v>-0.64294602660786204</v>
      </c>
      <c r="MT23" s="3">
        <f ca="1">IFERROR(__xludf.DUMMYFUNCTION("""COMPUTED_VALUE"""),-0.60201070720712)</f>
        <v>-0.60201070720712002</v>
      </c>
      <c r="MU23" s="3">
        <f ca="1">IFERROR(__xludf.DUMMYFUNCTION("""COMPUTED_VALUE"""),-0.642285334831775)</f>
        <v>-0.64228533483177497</v>
      </c>
      <c r="MV23" s="3">
        <f ca="1">IFERROR(__xludf.DUMMYFUNCTION("""COMPUTED_VALUE"""),-0.616515814882621)</f>
        <v>-0.61651581488262097</v>
      </c>
      <c r="MW23" s="3">
        <f ca="1">IFERROR(__xludf.DUMMYFUNCTION("""COMPUTED_VALUE"""),-0.453700608662887)</f>
        <v>-0.45370060866288697</v>
      </c>
      <c r="MX23" s="3">
        <f ca="1">IFERROR(__xludf.DUMMYFUNCTION("""COMPUTED_VALUE"""),-0.519659811747652)</f>
        <v>-0.51965981174765197</v>
      </c>
      <c r="MY23" s="3">
        <f ca="1">IFERROR(__xludf.DUMMYFUNCTION("""COMPUTED_VALUE"""),-0.632540152956979)</f>
        <v>-0.63254015295697896</v>
      </c>
      <c r="MZ23" s="3">
        <f ca="1">IFERROR(__xludf.DUMMYFUNCTION("""COMPUTED_VALUE"""),-0.661552519360804)</f>
        <v>-0.66155251936080395</v>
      </c>
      <c r="NA23" s="3">
        <f ca="1">IFERROR(__xludf.DUMMYFUNCTION("""COMPUTED_VALUE"""),-0.674439246887997)</f>
        <v>-0.67443924688799695</v>
      </c>
      <c r="NB23" s="3">
        <f ca="1">IFERROR(__xludf.DUMMYFUNCTION("""COMPUTED_VALUE"""),-0.624007849566145)</f>
        <v>-0.62400784956614497</v>
      </c>
      <c r="NC23" s="3">
        <f ca="1">IFERROR(__xludf.DUMMYFUNCTION("""COMPUTED_VALUE"""),-0.628437749945088)</f>
        <v>-0.62843774994508805</v>
      </c>
      <c r="ND23" s="3">
        <f ca="1">IFERROR(__xludf.DUMMYFUNCTION("""COMPUTED_VALUE"""),-0.429287895676783)</f>
        <v>-0.42928789567678299</v>
      </c>
      <c r="NE23" s="3">
        <f ca="1">IFERROR(__xludf.DUMMYFUNCTION("""COMPUTED_VALUE"""),-0.397727067461481)</f>
        <v>-0.39772706746148101</v>
      </c>
      <c r="NF23" s="3">
        <f ca="1">IFERROR(__xludf.DUMMYFUNCTION("""COMPUTED_VALUE"""),-0.60256632769472)</f>
        <v>-0.60256632769471996</v>
      </c>
      <c r="NG23" s="3">
        <f ca="1">IFERROR(__xludf.DUMMYFUNCTION("""COMPUTED_VALUE"""),-0.592088160712708)</f>
        <v>-0.59208816071270798</v>
      </c>
      <c r="NH23" s="3">
        <f ca="1">IFERROR(__xludf.DUMMYFUNCTION("""COMPUTED_VALUE"""),-0.628359228453454)</f>
        <v>-0.62835922845345404</v>
      </c>
      <c r="NI23" s="3">
        <f ca="1">IFERROR(__xludf.DUMMYFUNCTION("""COMPUTED_VALUE"""),-0.626385719383542)</f>
        <v>-0.62638571938354204</v>
      </c>
      <c r="NJ23" s="3">
        <f ca="1">IFERROR(__xludf.DUMMYFUNCTION("""COMPUTED_VALUE"""),-0.623168954751736)</f>
        <v>-0.62316895475173595</v>
      </c>
      <c r="NK23" s="3">
        <f ca="1">IFERROR(__xludf.DUMMYFUNCTION("""COMPUTED_VALUE"""),-0.39847016240482)</f>
        <v>-0.39847016240482003</v>
      </c>
      <c r="NL23" s="3">
        <f ca="1">IFERROR(__xludf.DUMMYFUNCTION("""COMPUTED_VALUE"""),-0.4526904863032)</f>
        <v>-0.45269048630320002</v>
      </c>
      <c r="NM23" s="3">
        <f ca="1">IFERROR(__xludf.DUMMYFUNCTION("""COMPUTED_VALUE"""),-0.563245655295294)</f>
        <v>-0.56324565529529402</v>
      </c>
      <c r="NN23" s="3">
        <f ca="1">IFERROR(__xludf.DUMMYFUNCTION("""COMPUTED_VALUE"""),-0.620343733371102)</f>
        <v>-0.62034373337110205</v>
      </c>
      <c r="NO23" s="3">
        <f ca="1">IFERROR(__xludf.DUMMYFUNCTION("""COMPUTED_VALUE"""),-0.645104093549847)</f>
        <v>-0.64510409354984699</v>
      </c>
      <c r="NP23" s="3">
        <f ca="1">IFERROR(__xludf.DUMMYFUNCTION("""COMPUTED_VALUE"""),-0.637850625409183)</f>
        <v>-0.63785062540918303</v>
      </c>
      <c r="NQ23" s="3">
        <f ca="1">IFERROR(__xludf.DUMMYFUNCTION("""COMPUTED_VALUE"""),-0.626374915044176)</f>
        <v>-0.62637491504417597</v>
      </c>
      <c r="NR23" s="3">
        <f ca="1">IFERROR(__xludf.DUMMYFUNCTION("""COMPUTED_VALUE"""),-0.360172471690398)</f>
        <v>-0.36017247169039801</v>
      </c>
      <c r="NS23" s="3">
        <f ca="1">IFERROR(__xludf.DUMMYFUNCTION("""COMPUTED_VALUE"""),-0.527228740366017)</f>
        <v>-0.52722874036601697</v>
      </c>
      <c r="NT23" s="3">
        <f ca="1">IFERROR(__xludf.DUMMYFUNCTION("""COMPUTED_VALUE"""),-0.609211231284518)</f>
        <v>-0.60921123128451804</v>
      </c>
      <c r="NU23" s="3">
        <f ca="1">IFERROR(__xludf.DUMMYFUNCTION("""COMPUTED_VALUE"""),-0.624915855755271)</f>
        <v>-0.62491585575527098</v>
      </c>
      <c r="NV23" s="3">
        <f ca="1">IFERROR(__xludf.DUMMYFUNCTION("""COMPUTED_VALUE"""),-0.593650178198452)</f>
        <v>-0.59365017819845201</v>
      </c>
      <c r="NW23" s="3">
        <f ca="1">IFERROR(__xludf.DUMMYFUNCTION("""COMPUTED_VALUE"""),-0.667659711187771)</f>
        <v>-0.66765971118777101</v>
      </c>
      <c r="NX23" s="3">
        <f ca="1">IFERROR(__xludf.DUMMYFUNCTION("""COMPUTED_VALUE"""),-0.590876015887992)</f>
        <v>-0.59087601588799199</v>
      </c>
      <c r="NY23" s="3">
        <f ca="1">IFERROR(__xludf.DUMMYFUNCTION("""COMPUTED_VALUE"""),-0.399008738947433)</f>
        <v>-0.39900873894743299</v>
      </c>
      <c r="NZ23" s="3">
        <f ca="1">IFERROR(__xludf.DUMMYFUNCTION("""COMPUTED_VALUE"""),-0.365190973413855)</f>
        <v>-0.36519097341385498</v>
      </c>
      <c r="OA23" s="3">
        <f ca="1">IFERROR(__xludf.DUMMYFUNCTION("""COMPUTED_VALUE"""),-0.541342493325885)</f>
        <v>-0.54134249332588502</v>
      </c>
      <c r="OB23" s="3">
        <f ca="1">IFERROR(__xludf.DUMMYFUNCTION("""COMPUTED_VALUE"""),-0.556937361206897)</f>
        <v>-0.55693736120689696</v>
      </c>
      <c r="OC23" s="3">
        <f ca="1">IFERROR(__xludf.DUMMYFUNCTION("""COMPUTED_VALUE"""),-0.583808890721422)</f>
        <v>-0.58380889072142195</v>
      </c>
      <c r="OD23" s="3">
        <f ca="1">IFERROR(__xludf.DUMMYFUNCTION("""COMPUTED_VALUE"""),-0.529527285831168)</f>
        <v>-0.52952728583116804</v>
      </c>
      <c r="OE23" s="3">
        <f ca="1">IFERROR(__xludf.DUMMYFUNCTION("""COMPUTED_VALUE"""),-0.39944597343254)</f>
        <v>-0.39944597343254001</v>
      </c>
      <c r="OF23" s="3">
        <f ca="1">IFERROR(__xludf.DUMMYFUNCTION("""COMPUTED_VALUE"""),-0.171252347174529)</f>
        <v>-0.171252347174529</v>
      </c>
      <c r="OG23" s="3">
        <f ca="1">IFERROR(__xludf.DUMMYFUNCTION("""COMPUTED_VALUE"""),-0.222468388076338)</f>
        <v>-0.22246838807633801</v>
      </c>
      <c r="OH23" s="3">
        <f ca="1">IFERROR(__xludf.DUMMYFUNCTION("""COMPUTED_VALUE"""),-0.200730727668163)</f>
        <v>-0.20073072766816299</v>
      </c>
      <c r="OI23" s="3">
        <f ca="1">IFERROR(__xludf.DUMMYFUNCTION("""COMPUTED_VALUE"""),-0.187421808894979)</f>
        <v>-0.187421808894979</v>
      </c>
      <c r="OJ23" s="3">
        <f ca="1">IFERROR(__xludf.DUMMYFUNCTION("""COMPUTED_VALUE"""),-0.12636056050971)</f>
        <v>-0.12636056050971001</v>
      </c>
      <c r="OK23" s="3">
        <f ca="1">IFERROR(__xludf.DUMMYFUNCTION("""COMPUTED_VALUE"""),-0.102173413838121)</f>
        <v>-0.10217341383812099</v>
      </c>
      <c r="OL23" s="3">
        <f ca="1">IFERROR(__xludf.DUMMYFUNCTION("""COMPUTED_VALUE"""),-0.0866774493812163)</f>
        <v>-8.6677449381216298E-2</v>
      </c>
      <c r="OM23" s="3">
        <f ca="1">IFERROR(__xludf.DUMMYFUNCTION("""COMPUTED_VALUE"""),0.0940173521984346)</f>
        <v>9.4017352198434601E-2</v>
      </c>
      <c r="ON23" s="3">
        <f ca="1">IFERROR(__xludf.DUMMYFUNCTION("""COMPUTED_VALUE"""),0.00923886553558039)</f>
        <v>9.2388655355803897E-3</v>
      </c>
      <c r="OO23" s="3">
        <f ca="1">IFERROR(__xludf.DUMMYFUNCTION("""COMPUTED_VALUE"""),-0.0316393507579039)</f>
        <v>-3.1639350757903903E-2</v>
      </c>
      <c r="OP23" s="3">
        <f ca="1">IFERROR(__xludf.DUMMYFUNCTION("""COMPUTED_VALUE"""),0.0390567266961776)</f>
        <v>3.9056726696177602E-2</v>
      </c>
      <c r="OQ23" s="3">
        <f ca="1">IFERROR(__xludf.DUMMYFUNCTION("""COMPUTED_VALUE"""),0.0664596527406378)</f>
        <v>6.6459652740637795E-2</v>
      </c>
      <c r="OR23" s="3">
        <f ca="1">IFERROR(__xludf.DUMMYFUNCTION("""COMPUTED_VALUE"""),0.0831926728981538)</f>
        <v>8.3192672898153797E-2</v>
      </c>
      <c r="OS23" s="3">
        <f ca="1">IFERROR(__xludf.DUMMYFUNCTION("""COMPUTED_VALUE"""),0.0221299656733842)</f>
        <v>2.2129965673384201E-2</v>
      </c>
      <c r="OT23" s="3">
        <f ca="1">IFERROR(__xludf.DUMMYFUNCTION("""COMPUTED_VALUE"""),0.097269759548688)</f>
        <v>9.7269759548687995E-2</v>
      </c>
      <c r="OU23" s="3">
        <f ca="1">IFERROR(__xludf.DUMMYFUNCTION("""COMPUTED_VALUE"""),0.0356086888627718)</f>
        <v>3.5608688862771798E-2</v>
      </c>
      <c r="OV23" s="3">
        <f ca="1">IFERROR(__xludf.DUMMYFUNCTION("""COMPUTED_VALUE"""),-0.027428239822511)</f>
        <v>-2.7428239822511E-2</v>
      </c>
      <c r="OW23" s="3">
        <f ca="1">IFERROR(__xludf.DUMMYFUNCTION("""COMPUTED_VALUE"""),-0.0616299009916615)</f>
        <v>-6.1629900991661497E-2</v>
      </c>
      <c r="OX23" s="3">
        <f ca="1">IFERROR(__xludf.DUMMYFUNCTION("""COMPUTED_VALUE"""),0.036265720977425)</f>
        <v>3.6265720977425003E-2</v>
      </c>
      <c r="OY23" s="3">
        <f ca="1">IFERROR(__xludf.DUMMYFUNCTION("""COMPUTED_VALUE"""),0.0596387160254132)</f>
        <v>5.9638716025413201E-2</v>
      </c>
      <c r="OZ23" s="3">
        <f ca="1">IFERROR(__xludf.DUMMYFUNCTION("""COMPUTED_VALUE"""),0.00975152135531476)</f>
        <v>9.7515213553147594E-3</v>
      </c>
      <c r="PA23" s="3">
        <f ca="1">IFERROR(__xludf.DUMMYFUNCTION("""COMPUTED_VALUE"""),0.0966625064535802)</f>
        <v>9.6662506453580196E-2</v>
      </c>
      <c r="PB23" s="3">
        <f ca="1">IFERROR(__xludf.DUMMYFUNCTION("""COMPUTED_VALUE"""),0.0142998165284626)</f>
        <v>1.42998165284626E-2</v>
      </c>
      <c r="PC23" s="3">
        <f ca="1">IFERROR(__xludf.DUMMYFUNCTION("""COMPUTED_VALUE"""),-0.00571113344777995)</f>
        <v>-5.7111334477799496E-3</v>
      </c>
      <c r="PD23" s="3">
        <f ca="1">IFERROR(__xludf.DUMMYFUNCTION("""COMPUTED_VALUE"""),0.0347517122903293)</f>
        <v>3.4751712290329299E-2</v>
      </c>
      <c r="PE23" s="3">
        <f ca="1">IFERROR(__xludf.DUMMYFUNCTION("""COMPUTED_VALUE"""),0.0182388152405408)</f>
        <v>1.8238815240540801E-2</v>
      </c>
      <c r="PF23" s="3">
        <f ca="1">IFERROR(__xludf.DUMMYFUNCTION("""COMPUTED_VALUE"""),-0.0104396330085694)</f>
        <v>-1.0439633008569401E-2</v>
      </c>
      <c r="PG23" s="3">
        <f ca="1">IFERROR(__xludf.DUMMYFUNCTION("""COMPUTED_VALUE"""),-0.0878689870749721)</f>
        <v>-8.7868987074972094E-2</v>
      </c>
      <c r="PH23" s="3">
        <f ca="1">IFERROR(__xludf.DUMMYFUNCTION("""COMPUTED_VALUE"""),-0.0389306248685431)</f>
        <v>-3.8930624868543103E-2</v>
      </c>
      <c r="PI23" s="3">
        <f ca="1">IFERROR(__xludf.DUMMYFUNCTION("""COMPUTED_VALUE"""),0.040687016792591)</f>
        <v>4.0687016792590999E-2</v>
      </c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</row>
    <row r="24" spans="1:477" ht="15.75" customHeight="1">
      <c r="A24" s="1" t="str">
        <f ca="1">IFERROR(__xludf.DUMMYFUNCTION("""COMPUTED_VALUE"""),"Shore Line East")</f>
        <v>Shore Line East</v>
      </c>
      <c r="B24" s="1" t="str">
        <f ca="1">IFERROR(__xludf.DUMMYFUNCTION("""COMPUTED_VALUE"""),"Connecticut")</f>
        <v>Connecticut</v>
      </c>
      <c r="C24" s="1" t="str">
        <f ca="1">IFERROR(__xludf.DUMMYFUNCTION("""COMPUTED_VALUE"""),"United States")</f>
        <v>United States</v>
      </c>
      <c r="D24" s="1" t="str">
        <f ca="1">IFERROR(__xludf.DUMMYFUNCTION("""COMPUTED_VALUE"""),"Connecticut, New York")</f>
        <v>Connecticut, New York</v>
      </c>
      <c r="E24" s="3">
        <f ca="1">IFERROR(__xludf.DUMMYFUNCTION("""COMPUTED_VALUE"""),-0.240263634539645)</f>
        <v>-0.240263634539645</v>
      </c>
      <c r="F24" s="3">
        <f ca="1">IFERROR(__xludf.DUMMYFUNCTION("""COMPUTED_VALUE"""),-0.311120297585418)</f>
        <v>-0.31112029758541798</v>
      </c>
      <c r="G24" s="3">
        <f ca="1">IFERROR(__xludf.DUMMYFUNCTION("""COMPUTED_VALUE"""),-0.293607090657847)</f>
        <v>-0.29360709065784701</v>
      </c>
      <c r="H24" s="3">
        <f ca="1">IFERROR(__xludf.DUMMYFUNCTION("""COMPUTED_VALUE"""),-0.327591972608997)</f>
        <v>-0.32759197260899697</v>
      </c>
      <c r="I24" s="3">
        <f ca="1">IFERROR(__xludf.DUMMYFUNCTION("""COMPUTED_VALUE"""),-0.336527091343471)</f>
        <v>-0.33652709134347097</v>
      </c>
      <c r="J24" s="3">
        <f ca="1">IFERROR(__xludf.DUMMYFUNCTION("""COMPUTED_VALUE"""),-0.284406312953535)</f>
        <v>-0.28440631295353502</v>
      </c>
      <c r="K24" s="3">
        <f ca="1">IFERROR(__xludf.DUMMYFUNCTION("""COMPUTED_VALUE"""),-0.332891526640657)</f>
        <v>-0.33289152664065702</v>
      </c>
      <c r="L24" s="3">
        <f ca="1">IFERROR(__xludf.DUMMYFUNCTION("""COMPUTED_VALUE"""),-0.178149589022112)</f>
        <v>-0.178149589022112</v>
      </c>
      <c r="M24" s="3">
        <f ca="1">IFERROR(__xludf.DUMMYFUNCTION("""COMPUTED_VALUE"""),-0.436781898393892)</f>
        <v>-0.43678189839389198</v>
      </c>
      <c r="N24" s="3">
        <f ca="1">IFERROR(__xludf.DUMMYFUNCTION("""COMPUTED_VALUE"""),-0.411559659194504)</f>
        <v>-0.41155965919450399</v>
      </c>
      <c r="O24" s="3">
        <f ca="1">IFERROR(__xludf.DUMMYFUNCTION("""COMPUTED_VALUE"""),-0.45933479352316)</f>
        <v>-0.45933479352315998</v>
      </c>
      <c r="P24" s="3">
        <f ca="1">IFERROR(__xludf.DUMMYFUNCTION("""COMPUTED_VALUE"""),-0.385973843378168)</f>
        <v>-0.38597384337816798</v>
      </c>
      <c r="Q24" s="3">
        <f ca="1">IFERROR(__xludf.DUMMYFUNCTION("""COMPUTED_VALUE"""),-0.283814959609356)</f>
        <v>-0.28381495960935599</v>
      </c>
      <c r="R24" s="3">
        <f ca="1">IFERROR(__xludf.DUMMYFUNCTION("""COMPUTED_VALUE"""),-0.318113598032632)</f>
        <v>-0.31811359803263201</v>
      </c>
      <c r="S24" s="3">
        <f ca="1">IFERROR(__xludf.DUMMYFUNCTION("""COMPUTED_VALUE"""),-0.369285473690878)</f>
        <v>-0.369285473690878</v>
      </c>
      <c r="T24" s="3">
        <f ca="1">IFERROR(__xludf.DUMMYFUNCTION("""COMPUTED_VALUE"""),-0.549971337496859)</f>
        <v>-0.549971337496859</v>
      </c>
      <c r="U24" s="3">
        <f ca="1">IFERROR(__xludf.DUMMYFUNCTION("""COMPUTED_VALUE"""),-0.581166564446599)</f>
        <v>-0.58116656444659898</v>
      </c>
      <c r="V24" s="3">
        <f ca="1">IFERROR(__xludf.DUMMYFUNCTION("""COMPUTED_VALUE"""),-0.571939625574046)</f>
        <v>-0.57193962557404598</v>
      </c>
      <c r="W24" s="3">
        <f ca="1">IFERROR(__xludf.DUMMYFUNCTION("""COMPUTED_VALUE"""),-0.628406898567829)</f>
        <v>-0.62840689856782905</v>
      </c>
      <c r="X24" s="3">
        <f ca="1">IFERROR(__xludf.DUMMYFUNCTION("""COMPUTED_VALUE"""),-0.47532311784871)</f>
        <v>-0.47532311784871001</v>
      </c>
      <c r="Y24" s="3">
        <f ca="1">IFERROR(__xludf.DUMMYFUNCTION("""COMPUTED_VALUE"""),-0.325421763720627)</f>
        <v>-0.32542176372062698</v>
      </c>
      <c r="Z24" s="3">
        <f ca="1">IFERROR(__xludf.DUMMYFUNCTION("""COMPUTED_VALUE"""),-0.510530162756414)</f>
        <v>-0.51053016275641405</v>
      </c>
      <c r="AA24" s="3">
        <f ca="1">IFERROR(__xludf.DUMMYFUNCTION("""COMPUTED_VALUE"""),-0.578767610958204)</f>
        <v>-0.57876761095820395</v>
      </c>
      <c r="AB24" s="3">
        <f ca="1">IFERROR(__xludf.DUMMYFUNCTION("""COMPUTED_VALUE"""),-0.633419911693222)</f>
        <v>-0.63341991169322198</v>
      </c>
      <c r="AC24" s="3">
        <f ca="1">IFERROR(__xludf.DUMMYFUNCTION("""COMPUTED_VALUE"""),-0.597942306051933)</f>
        <v>-0.59794230605193299</v>
      </c>
      <c r="AD24" s="3">
        <f ca="1">IFERROR(__xludf.DUMMYFUNCTION("""COMPUTED_VALUE"""),-0.64122825496531)</f>
        <v>-0.64122825496531</v>
      </c>
      <c r="AE24" s="3">
        <f ca="1">IFERROR(__xludf.DUMMYFUNCTION("""COMPUTED_VALUE"""),-0.59056932863433)</f>
        <v>-0.59056932863432998</v>
      </c>
      <c r="AF24" s="3">
        <f ca="1">IFERROR(__xludf.DUMMYFUNCTION("""COMPUTED_VALUE"""),-0.516987843001269)</f>
        <v>-0.51698784300126899</v>
      </c>
      <c r="AG24" s="3">
        <f ca="1">IFERROR(__xludf.DUMMYFUNCTION("""COMPUTED_VALUE"""),-0.429907155602558)</f>
        <v>-0.42990715560255799</v>
      </c>
      <c r="AH24" s="3">
        <f ca="1">IFERROR(__xludf.DUMMYFUNCTION("""COMPUTED_VALUE"""),-0.583100002800287)</f>
        <v>-0.58310000280028695</v>
      </c>
      <c r="AI24" s="3">
        <f ca="1">IFERROR(__xludf.DUMMYFUNCTION("""COMPUTED_VALUE"""),-0.561830861183922)</f>
        <v>-0.561830861183922</v>
      </c>
      <c r="AJ24" s="3">
        <f ca="1">IFERROR(__xludf.DUMMYFUNCTION("""COMPUTED_VALUE"""),-0.492533901990344)</f>
        <v>-0.49253390199034403</v>
      </c>
      <c r="AK24" s="3">
        <f ca="1">IFERROR(__xludf.DUMMYFUNCTION("""COMPUTED_VALUE"""),-0.443996472949474)</f>
        <v>-0.44399647294947397</v>
      </c>
      <c r="AL24" s="3">
        <f ca="1">IFERROR(__xludf.DUMMYFUNCTION("""COMPUTED_VALUE"""),-0.213591416361797)</f>
        <v>-0.21359141636179699</v>
      </c>
      <c r="AM24" s="3">
        <f ca="1">IFERROR(__xludf.DUMMYFUNCTION("""COMPUTED_VALUE"""),-0.514722779837588)</f>
        <v>-0.51472277983758796</v>
      </c>
      <c r="AN24" s="3">
        <f ca="1">IFERROR(__xludf.DUMMYFUNCTION("""COMPUTED_VALUE"""),-0.512395818189658)</f>
        <v>-0.51239581818965796</v>
      </c>
      <c r="AO24" s="3">
        <f ca="1">IFERROR(__xludf.DUMMYFUNCTION("""COMPUTED_VALUE"""),-0.613479850519523)</f>
        <v>-0.61347985051952303</v>
      </c>
      <c r="AP24" s="3">
        <f ca="1">IFERROR(__xludf.DUMMYFUNCTION("""COMPUTED_VALUE"""),-0.524943363555271)</f>
        <v>-0.52494336355527105</v>
      </c>
      <c r="AQ24" s="3">
        <f ca="1">IFERROR(__xludf.DUMMYFUNCTION("""COMPUTED_VALUE"""),-0.540459184445153)</f>
        <v>-0.54045918444515295</v>
      </c>
      <c r="AR24" s="3">
        <f ca="1">IFERROR(__xludf.DUMMYFUNCTION("""COMPUTED_VALUE"""),-0.601724575645252)</f>
        <v>-0.60172457564525195</v>
      </c>
      <c r="AS24" s="3">
        <f ca="1">IFERROR(__xludf.DUMMYFUNCTION("""COMPUTED_VALUE"""),-0.477574188680978)</f>
        <v>-0.47757418868097801</v>
      </c>
      <c r="AT24" s="3">
        <f ca="1">IFERROR(__xludf.DUMMYFUNCTION("""COMPUTED_VALUE"""),-0.385118192485509)</f>
        <v>-0.38511819248550899</v>
      </c>
      <c r="AU24" s="3">
        <f ca="1">IFERROR(__xludf.DUMMYFUNCTION("""COMPUTED_VALUE"""),-0.493733509799436)</f>
        <v>-0.49373350979943598</v>
      </c>
      <c r="AV24" s="3">
        <f ca="1">IFERROR(__xludf.DUMMYFUNCTION("""COMPUTED_VALUE"""),-0.5486220671449)</f>
        <v>-0.54862206714490003</v>
      </c>
      <c r="AW24" s="3">
        <f ca="1">IFERROR(__xludf.DUMMYFUNCTION("""COMPUTED_VALUE"""),-0.568904101479059)</f>
        <v>-0.56890410147905901</v>
      </c>
      <c r="AX24" s="3">
        <f ca="1">IFERROR(__xludf.DUMMYFUNCTION("""COMPUTED_VALUE"""),-0.50852185245392)</f>
        <v>-0.50852185245392001</v>
      </c>
      <c r="AY24" s="3">
        <f ca="1">IFERROR(__xludf.DUMMYFUNCTION("""COMPUTED_VALUE"""),-0.603990859630283)</f>
        <v>-0.60399085963028298</v>
      </c>
      <c r="AZ24" s="3">
        <f ca="1">IFERROR(__xludf.DUMMYFUNCTION("""COMPUTED_VALUE"""),-0.484773608330377)</f>
        <v>-0.48477360833037703</v>
      </c>
      <c r="BA24" s="3">
        <f ca="1">IFERROR(__xludf.DUMMYFUNCTION("""COMPUTED_VALUE"""),-0.393833270177131)</f>
        <v>-0.39383327017713099</v>
      </c>
      <c r="BB24" s="3">
        <f ca="1">IFERROR(__xludf.DUMMYFUNCTION("""COMPUTED_VALUE"""),-0.477013909086742)</f>
        <v>-0.47701390908674202</v>
      </c>
      <c r="BC24" s="3">
        <f ca="1">IFERROR(__xludf.DUMMYFUNCTION("""COMPUTED_VALUE"""),-0.592896250552539)</f>
        <v>-0.59289625055253903</v>
      </c>
      <c r="BD24" s="3">
        <f ca="1">IFERROR(__xludf.DUMMYFUNCTION("""COMPUTED_VALUE"""),-0.612834637202481)</f>
        <v>-0.61283463720248099</v>
      </c>
      <c r="BE24" s="3">
        <f ca="1">IFERROR(__xludf.DUMMYFUNCTION("""COMPUTED_VALUE"""),-0.566828701187039)</f>
        <v>-0.56682870118703899</v>
      </c>
      <c r="BF24" s="3">
        <f ca="1">IFERROR(__xludf.DUMMYFUNCTION("""COMPUTED_VALUE"""),-0.561094729927987)</f>
        <v>-0.56109472992798703</v>
      </c>
      <c r="BG24" s="3">
        <f ca="1">IFERROR(__xludf.DUMMYFUNCTION("""COMPUTED_VALUE"""),-0.50846541195327)</f>
        <v>-0.50846541195327</v>
      </c>
      <c r="BH24" s="3">
        <f ca="1">IFERROR(__xludf.DUMMYFUNCTION("""COMPUTED_VALUE"""),-0.413996824306646)</f>
        <v>-0.41399682430664603</v>
      </c>
      <c r="BI24" s="3">
        <f ca="1">IFERROR(__xludf.DUMMYFUNCTION("""COMPUTED_VALUE"""),-0.389390413054687)</f>
        <v>-0.38939041305468702</v>
      </c>
      <c r="BJ24" s="3">
        <f ca="1">IFERROR(__xludf.DUMMYFUNCTION("""COMPUTED_VALUE"""),-0.644630859947743)</f>
        <v>-0.64463085994774305</v>
      </c>
      <c r="BK24" s="3">
        <f ca="1">IFERROR(__xludf.DUMMYFUNCTION("""COMPUTED_VALUE"""),-0.664078961036249)</f>
        <v>-0.66407896103624897</v>
      </c>
      <c r="BL24" s="3">
        <f ca="1">IFERROR(__xludf.DUMMYFUNCTION("""COMPUTED_VALUE"""),-0.671355636998306)</f>
        <v>-0.67135563699830603</v>
      </c>
      <c r="BM24" s="3">
        <f ca="1">IFERROR(__xludf.DUMMYFUNCTION("""COMPUTED_VALUE"""),-0.654473815287574)</f>
        <v>-0.65447381528757398</v>
      </c>
      <c r="BN24" s="3">
        <f ca="1">IFERROR(__xludf.DUMMYFUNCTION("""COMPUTED_VALUE"""),-0.555490206995122)</f>
        <v>-0.55549020699512197</v>
      </c>
      <c r="BO24" s="3">
        <f ca="1">IFERROR(__xludf.DUMMYFUNCTION("""COMPUTED_VALUE"""),-0.576645358045982)</f>
        <v>-0.57664535804598205</v>
      </c>
      <c r="BP24" s="3">
        <f ca="1">IFERROR(__xludf.DUMMYFUNCTION("""COMPUTED_VALUE"""),-0.525387844023474)</f>
        <v>-0.52538784402347405</v>
      </c>
      <c r="BQ24" s="3">
        <f ca="1">IFERROR(__xludf.DUMMYFUNCTION("""COMPUTED_VALUE"""),-0.642298009209016)</f>
        <v>-0.64229800920901603</v>
      </c>
      <c r="BR24" s="3">
        <f ca="1">IFERROR(__xludf.DUMMYFUNCTION("""COMPUTED_VALUE"""),-0.659957240716576)</f>
        <v>-0.65995724071657602</v>
      </c>
      <c r="BS24" s="3">
        <f ca="1">IFERROR(__xludf.DUMMYFUNCTION("""COMPUTED_VALUE"""),-0.668820836239979)</f>
        <v>-0.66882083623997901</v>
      </c>
      <c r="BT24" s="3">
        <f ca="1">IFERROR(__xludf.DUMMYFUNCTION("""COMPUTED_VALUE"""),-0.77206936599239)</f>
        <v>-0.77206936599238996</v>
      </c>
      <c r="BU24" s="3">
        <f ca="1">IFERROR(__xludf.DUMMYFUNCTION("""COMPUTED_VALUE"""),-0.720182358068368)</f>
        <v>-0.72018235806836794</v>
      </c>
      <c r="BV24" s="3">
        <f ca="1">IFERROR(__xludf.DUMMYFUNCTION("""COMPUTED_VALUE"""),-0.441285627879861)</f>
        <v>-0.44128562787986098</v>
      </c>
      <c r="BW24" s="3">
        <f ca="1">IFERROR(__xludf.DUMMYFUNCTION("""COMPUTED_VALUE"""),-0.547347372418667)</f>
        <v>-0.54734737241866704</v>
      </c>
      <c r="BX24" s="3">
        <f ca="1">IFERROR(__xludf.DUMMYFUNCTION("""COMPUTED_VALUE"""),-0.682045134600887)</f>
        <v>-0.682045134600887</v>
      </c>
      <c r="BY24" s="3">
        <f ca="1">IFERROR(__xludf.DUMMYFUNCTION("""COMPUTED_VALUE"""),-0.645126974673073)</f>
        <v>-0.64512697467307301</v>
      </c>
      <c r="BZ24" s="3">
        <f ca="1">IFERROR(__xludf.DUMMYFUNCTION("""COMPUTED_VALUE"""),-0.678551289363097)</f>
        <v>-0.67855128936309705</v>
      </c>
      <c r="CA24" s="3">
        <f ca="1">IFERROR(__xludf.DUMMYFUNCTION("""COMPUTED_VALUE"""),-0.705035110371886)</f>
        <v>-0.70503511037188604</v>
      </c>
      <c r="CB24" s="3">
        <f ca="1">IFERROR(__xludf.DUMMYFUNCTION("""COMPUTED_VALUE"""),-0.619798557681434)</f>
        <v>-0.61979855768143399</v>
      </c>
      <c r="CC24" s="3">
        <f ca="1">IFERROR(__xludf.DUMMYFUNCTION("""COMPUTED_VALUE"""),-0.527896304641096)</f>
        <v>-0.52789630464109605</v>
      </c>
      <c r="CD24" s="3">
        <f ca="1">IFERROR(__xludf.DUMMYFUNCTION("""COMPUTED_VALUE"""),-0.483795888624158)</f>
        <v>-0.48379588862415801</v>
      </c>
      <c r="CE24" s="3">
        <f ca="1">IFERROR(__xludf.DUMMYFUNCTION("""COMPUTED_VALUE"""),-0.633864421228211)</f>
        <v>-0.63386442122821096</v>
      </c>
      <c r="CF24" s="3">
        <f ca="1">IFERROR(__xludf.DUMMYFUNCTION("""COMPUTED_VALUE"""),-0.603365125357578)</f>
        <v>-0.60336512535757802</v>
      </c>
      <c r="CG24" s="3">
        <f ca="1">IFERROR(__xludf.DUMMYFUNCTION("""COMPUTED_VALUE"""),-0.606390597705787)</f>
        <v>-0.60639059770578696</v>
      </c>
      <c r="CH24" s="3">
        <f ca="1">IFERROR(__xludf.DUMMYFUNCTION("""COMPUTED_VALUE"""),-0.644377578128772)</f>
        <v>-0.64437757812877205</v>
      </c>
      <c r="CI24" s="3">
        <f ca="1">IFERROR(__xludf.DUMMYFUNCTION("""COMPUTED_VALUE"""),-0.597380660518837)</f>
        <v>-0.59738066051883698</v>
      </c>
      <c r="CJ24" s="3">
        <f ca="1">IFERROR(__xludf.DUMMYFUNCTION("""COMPUTED_VALUE"""),-0.424777085451965)</f>
        <v>-0.42477708545196502</v>
      </c>
      <c r="CK24" s="3">
        <f ca="1">IFERROR(__xludf.DUMMYFUNCTION("""COMPUTED_VALUE"""),-0.552521036481653)</f>
        <v>-0.55252103648165296</v>
      </c>
      <c r="CL24" s="3">
        <f ca="1">IFERROR(__xludf.DUMMYFUNCTION("""COMPUTED_VALUE"""),-0.627629026299277)</f>
        <v>-0.62762902629927697</v>
      </c>
      <c r="CM24" s="3">
        <f ca="1">IFERROR(__xludf.DUMMYFUNCTION("""COMPUTED_VALUE"""),-0.650757579834069)</f>
        <v>-0.65075757983406901</v>
      </c>
      <c r="CN24" s="3">
        <f ca="1">IFERROR(__xludf.DUMMYFUNCTION("""COMPUTED_VALUE"""),-0.608321434926559)</f>
        <v>-0.60832143492655899</v>
      </c>
      <c r="CO24" s="3">
        <f ca="1">IFERROR(__xludf.DUMMYFUNCTION("""COMPUTED_VALUE"""),-0.649288578113834)</f>
        <v>-0.649288578113834</v>
      </c>
      <c r="CP24" s="3">
        <f ca="1">IFERROR(__xludf.DUMMYFUNCTION("""COMPUTED_VALUE"""),-0.633598705286956)</f>
        <v>-0.63359870528695605</v>
      </c>
      <c r="CQ24" s="3">
        <f ca="1">IFERROR(__xludf.DUMMYFUNCTION("""COMPUTED_VALUE"""),-0.57434883391997)</f>
        <v>-0.57434883391997005</v>
      </c>
      <c r="CR24" s="3">
        <f ca="1">IFERROR(__xludf.DUMMYFUNCTION("""COMPUTED_VALUE"""),-0.473947098439071)</f>
        <v>-0.47394709843907101</v>
      </c>
      <c r="CS24" s="3">
        <f ca="1">IFERROR(__xludf.DUMMYFUNCTION("""COMPUTED_VALUE"""),-0.593832732255641)</f>
        <v>-0.59383273225564104</v>
      </c>
      <c r="CT24" s="3">
        <f ca="1">IFERROR(__xludf.DUMMYFUNCTION("""COMPUTED_VALUE"""),-0.616927001882734)</f>
        <v>-0.61692700188273397</v>
      </c>
      <c r="CU24" s="3">
        <f ca="1">IFERROR(__xludf.DUMMYFUNCTION("""COMPUTED_VALUE"""),-0.532143761002668)</f>
        <v>-0.53214376100266803</v>
      </c>
      <c r="CV24" s="3">
        <f ca="1">IFERROR(__xludf.DUMMYFUNCTION("""COMPUTED_VALUE"""),-0.687764513636598)</f>
        <v>-0.68776451363659796</v>
      </c>
      <c r="CW24" s="3">
        <f ca="1">IFERROR(__xludf.DUMMYFUNCTION("""COMPUTED_VALUE"""),-0.59036149663574)</f>
        <v>-0.59036149663574</v>
      </c>
      <c r="CX24" s="3">
        <f ca="1">IFERROR(__xludf.DUMMYFUNCTION("""COMPUTED_VALUE"""),-0.62517346009934)</f>
        <v>-0.62517346009934005</v>
      </c>
      <c r="CY24" s="3">
        <f ca="1">IFERROR(__xludf.DUMMYFUNCTION("""COMPUTED_VALUE"""),-0.438701330105085)</f>
        <v>-0.438701330105085</v>
      </c>
      <c r="CZ24" s="3">
        <f ca="1">IFERROR(__xludf.DUMMYFUNCTION("""COMPUTED_VALUE"""),-0.515138786192482)</f>
        <v>-0.51513878619248199</v>
      </c>
      <c r="DA24" s="3">
        <f ca="1">IFERROR(__xludf.DUMMYFUNCTION("""COMPUTED_VALUE"""),-0.684359437229538)</f>
        <v>-0.68435943722953796</v>
      </c>
      <c r="DB24" s="3">
        <f ca="1">IFERROR(__xludf.DUMMYFUNCTION("""COMPUTED_VALUE"""),-0.517091531857837)</f>
        <v>-0.51709153185783696</v>
      </c>
      <c r="DC24" s="3">
        <f ca="1">IFERROR(__xludf.DUMMYFUNCTION("""COMPUTED_VALUE"""),-0.617179547041535)</f>
        <v>-0.61717954704153499</v>
      </c>
      <c r="DD24" s="3">
        <f ca="1">IFERROR(__xludf.DUMMYFUNCTION("""COMPUTED_VALUE"""),-0.549051918840469)</f>
        <v>-0.549051918840469</v>
      </c>
      <c r="DE24" s="3">
        <f ca="1">IFERROR(__xludf.DUMMYFUNCTION("""COMPUTED_VALUE"""),-0.569828027579911)</f>
        <v>-0.56982802757991102</v>
      </c>
      <c r="DF24" s="3">
        <f ca="1">IFERROR(__xludf.DUMMYFUNCTION("""COMPUTED_VALUE"""),-0.594775353543336)</f>
        <v>-0.59477535354333599</v>
      </c>
      <c r="DG24" s="3">
        <f ca="1">IFERROR(__xludf.DUMMYFUNCTION("""COMPUTED_VALUE"""),-0.791851914183097)</f>
        <v>-0.79185191418309697</v>
      </c>
      <c r="DH24" s="3">
        <f ca="1">IFERROR(__xludf.DUMMYFUNCTION("""COMPUTED_VALUE"""),-0.648647108046276)</f>
        <v>-0.64864710804627601</v>
      </c>
      <c r="DI24" s="3">
        <f ca="1">IFERROR(__xludf.DUMMYFUNCTION("""COMPUTED_VALUE"""),-0.449260698929845)</f>
        <v>-0.44926069892984499</v>
      </c>
      <c r="DJ24" s="3">
        <f ca="1">IFERROR(__xludf.DUMMYFUNCTION("""COMPUTED_VALUE"""),-0.558042568075486)</f>
        <v>-0.55804256807548602</v>
      </c>
      <c r="DK24" s="3">
        <f ca="1">IFERROR(__xludf.DUMMYFUNCTION("""COMPUTED_VALUE"""),-0.560753675414589)</f>
        <v>-0.56075367541458898</v>
      </c>
      <c r="DL24" s="3">
        <f ca="1">IFERROR(__xludf.DUMMYFUNCTION("""COMPUTED_VALUE"""),-0.559142333674502)</f>
        <v>-0.55914233367450195</v>
      </c>
      <c r="DM24" s="3">
        <f ca="1">IFERROR(__xludf.DUMMYFUNCTION("""COMPUTED_VALUE"""),-0.527375646563246)</f>
        <v>-0.52737564656324598</v>
      </c>
      <c r="DN24" s="3">
        <f ca="1">IFERROR(__xludf.DUMMYFUNCTION("""COMPUTED_VALUE"""),-0.635550246153159)</f>
        <v>-0.63555024615315903</v>
      </c>
      <c r="DO24" s="3">
        <f ca="1">IFERROR(__xludf.DUMMYFUNCTION("""COMPUTED_VALUE"""),-0.729625648665305)</f>
        <v>-0.72962564866530499</v>
      </c>
      <c r="DP24" s="3">
        <f ca="1">IFERROR(__xludf.DUMMYFUNCTION("""COMPUTED_VALUE"""),-0.413002105810005)</f>
        <v>-0.41300210581000502</v>
      </c>
      <c r="DQ24" s="3">
        <f ca="1">IFERROR(__xludf.DUMMYFUNCTION("""COMPUTED_VALUE"""),-0.480328112121866)</f>
        <v>-0.48032811212186599</v>
      </c>
      <c r="DR24" s="3">
        <f ca="1">IFERROR(__xludf.DUMMYFUNCTION("""COMPUTED_VALUE"""),-0.659892344629054)</f>
        <v>-0.659892344629054</v>
      </c>
      <c r="DS24" s="3">
        <f ca="1">IFERROR(__xludf.DUMMYFUNCTION("""COMPUTED_VALUE"""),-0.340749346491062)</f>
        <v>-0.34074934649106198</v>
      </c>
      <c r="DT24" s="3">
        <f ca="1">IFERROR(__xludf.DUMMYFUNCTION("""COMPUTED_VALUE"""),-0.585567186664704)</f>
        <v>-0.58556718666470398</v>
      </c>
      <c r="DU24" s="3">
        <f ca="1">IFERROR(__xludf.DUMMYFUNCTION("""COMPUTED_VALUE"""),-0.623436826578939)</f>
        <v>-0.62343682657893895</v>
      </c>
      <c r="DV24" s="3">
        <f ca="1">IFERROR(__xludf.DUMMYFUNCTION("""COMPUTED_VALUE"""),-0.598430461703703)</f>
        <v>-0.59843046170370295</v>
      </c>
      <c r="DW24" s="3">
        <f ca="1">IFERROR(__xludf.DUMMYFUNCTION("""COMPUTED_VALUE"""),-0.635648667573881)</f>
        <v>-0.63564866757388105</v>
      </c>
      <c r="DX24" s="3">
        <f ca="1">IFERROR(__xludf.DUMMYFUNCTION("""COMPUTED_VALUE"""),-0.563996004595832)</f>
        <v>-0.56399600459583199</v>
      </c>
      <c r="DY24" s="3">
        <f ca="1">IFERROR(__xludf.DUMMYFUNCTION("""COMPUTED_VALUE"""),-0.58272224935898)</f>
        <v>-0.58272224935897998</v>
      </c>
      <c r="DZ24" s="3">
        <f ca="1">IFERROR(__xludf.DUMMYFUNCTION("""COMPUTED_VALUE"""),-0.477985085657356)</f>
        <v>-0.47798508565735598</v>
      </c>
      <c r="EA24" s="3">
        <f ca="1">IFERROR(__xludf.DUMMYFUNCTION("""COMPUTED_VALUE"""),-0.632630903874752)</f>
        <v>-0.63263090387475196</v>
      </c>
      <c r="EB24" s="3">
        <f ca="1">IFERROR(__xludf.DUMMYFUNCTION("""COMPUTED_VALUE"""),-0.688423600480925)</f>
        <v>-0.68842360048092499</v>
      </c>
      <c r="EC24" s="3">
        <f ca="1">IFERROR(__xludf.DUMMYFUNCTION("""COMPUTED_VALUE"""),-0.592348545719213)</f>
        <v>-0.59234854571921303</v>
      </c>
      <c r="ED24" s="3">
        <f ca="1">IFERROR(__xludf.DUMMYFUNCTION("""COMPUTED_VALUE"""),-0.667897866095591)</f>
        <v>-0.66789786609559099</v>
      </c>
      <c r="EE24" s="3">
        <f ca="1">IFERROR(__xludf.DUMMYFUNCTION("""COMPUTED_VALUE"""),-0.656654345602143)</f>
        <v>-0.65665434560214297</v>
      </c>
      <c r="EF24" s="3">
        <f ca="1">IFERROR(__xludf.DUMMYFUNCTION("""COMPUTED_VALUE"""),-0.665797372441552)</f>
        <v>-0.66579737244155202</v>
      </c>
      <c r="EG24" s="3">
        <f ca="1">IFERROR(__xludf.DUMMYFUNCTION("""COMPUTED_VALUE"""),-0.5000641205649)</f>
        <v>-0.50006412056490002</v>
      </c>
      <c r="EH24" s="3">
        <f ca="1">IFERROR(__xludf.DUMMYFUNCTION("""COMPUTED_VALUE"""),-0.561747182325609)</f>
        <v>-0.56174718232560905</v>
      </c>
      <c r="EI24" s="3">
        <f ca="1">IFERROR(__xludf.DUMMYFUNCTION("""COMPUTED_VALUE"""),-0.662965920590086)</f>
        <v>-0.66296592059008597</v>
      </c>
      <c r="EJ24" s="3">
        <f ca="1">IFERROR(__xludf.DUMMYFUNCTION("""COMPUTED_VALUE"""),-0.736979561114625)</f>
        <v>-0.73697956111462504</v>
      </c>
      <c r="EK24" s="3">
        <f ca="1">IFERROR(__xludf.DUMMYFUNCTION("""COMPUTED_VALUE"""),-0.689857132584019)</f>
        <v>-0.68985713258401904</v>
      </c>
      <c r="EL24" s="3">
        <f ca="1">IFERROR(__xludf.DUMMYFUNCTION("""COMPUTED_VALUE"""),-0.611314285479058)</f>
        <v>-0.61131428547905797</v>
      </c>
      <c r="EM24" s="3">
        <f ca="1">IFERROR(__xludf.DUMMYFUNCTION("""COMPUTED_VALUE"""),-0.617615793250695)</f>
        <v>-0.61761579325069504</v>
      </c>
      <c r="EN24" s="3">
        <f ca="1">IFERROR(__xludf.DUMMYFUNCTION("""COMPUTED_VALUE"""),-0.58032655689923)</f>
        <v>-0.58032655689922996</v>
      </c>
      <c r="EO24" s="3">
        <f ca="1">IFERROR(__xludf.DUMMYFUNCTION("""COMPUTED_VALUE"""),-0.527227437662257)</f>
        <v>-0.52722743766225699</v>
      </c>
      <c r="EP24" s="3">
        <f ca="1">IFERROR(__xludf.DUMMYFUNCTION("""COMPUTED_VALUE"""),-0.677414398711403)</f>
        <v>-0.67741439871140297</v>
      </c>
      <c r="EQ24" s="3">
        <f ca="1">IFERROR(__xludf.DUMMYFUNCTION("""COMPUTED_VALUE"""),-0.619903345599921)</f>
        <v>-0.619903345599921</v>
      </c>
      <c r="ER24" s="3">
        <f ca="1">IFERROR(__xludf.DUMMYFUNCTION("""COMPUTED_VALUE"""),-0.701391130678072)</f>
        <v>-0.70139113067807202</v>
      </c>
      <c r="ES24" s="3">
        <f ca="1">IFERROR(__xludf.DUMMYFUNCTION("""COMPUTED_VALUE"""),-0.705227763098723)</f>
        <v>-0.70522776309872304</v>
      </c>
      <c r="ET24" s="3">
        <f ca="1">IFERROR(__xludf.DUMMYFUNCTION("""COMPUTED_VALUE"""),-0.601140403818015)</f>
        <v>-0.60114040381801503</v>
      </c>
      <c r="EU24" s="3">
        <f ca="1">IFERROR(__xludf.DUMMYFUNCTION("""COMPUTED_VALUE"""),-0.542677667410375)</f>
        <v>-0.54267766741037504</v>
      </c>
      <c r="EV24" s="3">
        <f ca="1">IFERROR(__xludf.DUMMYFUNCTION("""COMPUTED_VALUE"""),-0.568040082080508)</f>
        <v>-0.56804008208050805</v>
      </c>
      <c r="EW24" s="3">
        <f ca="1">IFERROR(__xludf.DUMMYFUNCTION("""COMPUTED_VALUE"""),-0.676985974092617)</f>
        <v>-0.67698597409261696</v>
      </c>
      <c r="EX24" s="3">
        <f ca="1">IFERROR(__xludf.DUMMYFUNCTION("""COMPUTED_VALUE"""),-0.734693239609525)</f>
        <v>-0.73469323960952504</v>
      </c>
      <c r="EY24" s="3">
        <f ca="1">IFERROR(__xludf.DUMMYFUNCTION("""COMPUTED_VALUE"""),-0.699812341731783)</f>
        <v>-0.69981234173178297</v>
      </c>
      <c r="EZ24" s="3">
        <f ca="1">IFERROR(__xludf.DUMMYFUNCTION("""COMPUTED_VALUE"""),-0.655525594278052)</f>
        <v>-0.65552559427805202</v>
      </c>
      <c r="FA24" s="3">
        <f ca="1">IFERROR(__xludf.DUMMYFUNCTION("""COMPUTED_VALUE"""),-0.728661880021688)</f>
        <v>-0.72866188002168797</v>
      </c>
      <c r="FB24" s="3">
        <f ca="1">IFERROR(__xludf.DUMMYFUNCTION("""COMPUTED_VALUE"""),-0.680019978641832)</f>
        <v>-0.68001997864183195</v>
      </c>
      <c r="FC24" s="3">
        <f ca="1">IFERROR(__xludf.DUMMYFUNCTION("""COMPUTED_VALUE"""),-0.634942691795104)</f>
        <v>-0.63494269179510399</v>
      </c>
      <c r="FD24" s="3">
        <f ca="1">IFERROR(__xludf.DUMMYFUNCTION("""COMPUTED_VALUE"""),-0.679485440346262)</f>
        <v>-0.67948544034626202</v>
      </c>
      <c r="FE24" s="3">
        <f ca="1">IFERROR(__xludf.DUMMYFUNCTION("""COMPUTED_VALUE"""),-0.680288292921189)</f>
        <v>-0.68028829292118898</v>
      </c>
      <c r="FF24" s="3">
        <f ca="1">IFERROR(__xludf.DUMMYFUNCTION("""COMPUTED_VALUE"""),-0.681755249003979)</f>
        <v>-0.68175524900397899</v>
      </c>
      <c r="FG24" s="3">
        <f ca="1">IFERROR(__xludf.DUMMYFUNCTION("""COMPUTED_VALUE"""),-0.602903723713183)</f>
        <v>-0.60290372371318302</v>
      </c>
      <c r="FH24" s="3">
        <f ca="1">IFERROR(__xludf.DUMMYFUNCTION("""COMPUTED_VALUE"""),-0.658796064287128)</f>
        <v>-0.658796064287128</v>
      </c>
      <c r="FI24" s="3">
        <f ca="1">IFERROR(__xludf.DUMMYFUNCTION("""COMPUTED_VALUE"""),-0.684282980830851)</f>
        <v>-0.68428298083085104</v>
      </c>
      <c r="FJ24" s="3">
        <f ca="1">IFERROR(__xludf.DUMMYFUNCTION("""COMPUTED_VALUE"""),-0.70324728780056)</f>
        <v>-0.70324728780056001</v>
      </c>
      <c r="FK24" s="3">
        <f ca="1">IFERROR(__xludf.DUMMYFUNCTION("""COMPUTED_VALUE"""),-0.772545309265246)</f>
        <v>-0.77254530926524601</v>
      </c>
      <c r="FL24" s="3">
        <f ca="1">IFERROR(__xludf.DUMMYFUNCTION("""COMPUTED_VALUE"""),-0.714243297603144)</f>
        <v>-0.71424329760314398</v>
      </c>
      <c r="FM24" s="3">
        <f ca="1">IFERROR(__xludf.DUMMYFUNCTION("""COMPUTED_VALUE"""),-0.682930756445993)</f>
        <v>-0.68293075644599299</v>
      </c>
      <c r="FN24" s="3">
        <f ca="1">IFERROR(__xludf.DUMMYFUNCTION("""COMPUTED_VALUE"""),-0.676956093241226)</f>
        <v>-0.67695609324122596</v>
      </c>
      <c r="FO24" s="3">
        <f ca="1">IFERROR(__xludf.DUMMYFUNCTION("""COMPUTED_VALUE"""),-0.623945180064522)</f>
        <v>-0.62394518006452204</v>
      </c>
      <c r="FP24" s="3">
        <f ca="1">IFERROR(__xludf.DUMMYFUNCTION("""COMPUTED_VALUE"""),-0.57215574746473)</f>
        <v>-0.57215574746472997</v>
      </c>
      <c r="FQ24" s="3">
        <f ca="1">IFERROR(__xludf.DUMMYFUNCTION("""COMPUTED_VALUE"""),-0.629828655250431)</f>
        <v>-0.62982865525043097</v>
      </c>
      <c r="FR24" s="3">
        <f ca="1">IFERROR(__xludf.DUMMYFUNCTION("""COMPUTED_VALUE"""),-0.738075504682768)</f>
        <v>-0.73807550468276795</v>
      </c>
      <c r="FS24" s="3">
        <f ca="1">IFERROR(__xludf.DUMMYFUNCTION("""COMPUTED_VALUE"""),-0.679426279918804)</f>
        <v>-0.679426279918804</v>
      </c>
      <c r="FT24" s="3">
        <f ca="1">IFERROR(__xludf.DUMMYFUNCTION("""COMPUTED_VALUE"""),-0.680902958927812)</f>
        <v>-0.68090295892781205</v>
      </c>
      <c r="FU24" s="3">
        <f ca="1">IFERROR(__xludf.DUMMYFUNCTION("""COMPUTED_VALUE"""),-0.636212976189771)</f>
        <v>-0.63621297618977102</v>
      </c>
      <c r="FV24" s="3">
        <f ca="1">IFERROR(__xludf.DUMMYFUNCTION("""COMPUTED_VALUE"""),-0.588699059014633)</f>
        <v>-0.58869905901463304</v>
      </c>
      <c r="FW24" s="3">
        <f ca="1">IFERROR(__xludf.DUMMYFUNCTION("""COMPUTED_VALUE"""),-0.425923003562584)</f>
        <v>-0.425923003562584</v>
      </c>
      <c r="FX24" s="3">
        <f ca="1">IFERROR(__xludf.DUMMYFUNCTION("""COMPUTED_VALUE"""),-0.536628130895365)</f>
        <v>-0.53662813089536499</v>
      </c>
      <c r="FY24" s="3">
        <f ca="1">IFERROR(__xludf.DUMMYFUNCTION("""COMPUTED_VALUE"""),-0.763056179776129)</f>
        <v>-0.76305617977612905</v>
      </c>
      <c r="FZ24" s="3">
        <f ca="1">IFERROR(__xludf.DUMMYFUNCTION("""COMPUTED_VALUE"""),-0.634221321551577)</f>
        <v>-0.63422132155157696</v>
      </c>
      <c r="GA24" s="3">
        <f ca="1">IFERROR(__xludf.DUMMYFUNCTION("""COMPUTED_VALUE"""),-0.634244139108108)</f>
        <v>-0.63424413910810795</v>
      </c>
      <c r="GB24" s="3">
        <f ca="1">IFERROR(__xludf.DUMMYFUNCTION("""COMPUTED_VALUE"""),-0.694521211314006)</f>
        <v>-0.69452121131400602</v>
      </c>
      <c r="GC24" s="3">
        <f ca="1">IFERROR(__xludf.DUMMYFUNCTION("""COMPUTED_VALUE"""),-0.64436689428259)</f>
        <v>-0.64436689428258997</v>
      </c>
      <c r="GD24" s="3">
        <f ca="1">IFERROR(__xludf.DUMMYFUNCTION("""COMPUTED_VALUE"""),-0.391760675298071)</f>
        <v>-0.39176067529807101</v>
      </c>
      <c r="GE24" s="3">
        <f ca="1">IFERROR(__xludf.DUMMYFUNCTION("""COMPUTED_VALUE"""),-0.48723752476533)</f>
        <v>-0.48723752476533</v>
      </c>
      <c r="GF24" s="3">
        <f ca="1">IFERROR(__xludf.DUMMYFUNCTION("""COMPUTED_VALUE"""),-0.648567918021026)</f>
        <v>-0.64856791802102598</v>
      </c>
      <c r="GG24" s="3">
        <f ca="1">IFERROR(__xludf.DUMMYFUNCTION("""COMPUTED_VALUE"""),-0.679503334099418)</f>
        <v>-0.67950333409941799</v>
      </c>
      <c r="GH24" s="3">
        <f ca="1">IFERROR(__xludf.DUMMYFUNCTION("""COMPUTED_VALUE"""),-0.642064627116379)</f>
        <v>-0.64206462711637902</v>
      </c>
      <c r="GI24" s="3">
        <f ca="1">IFERROR(__xludf.DUMMYFUNCTION("""COMPUTED_VALUE"""),-0.666903160745068)</f>
        <v>-0.66690316074506795</v>
      </c>
      <c r="GJ24" s="3">
        <f ca="1">IFERROR(__xludf.DUMMYFUNCTION("""COMPUTED_VALUE"""),-0.494421161060832)</f>
        <v>-0.494421161060832</v>
      </c>
      <c r="GK24" s="3">
        <f ca="1">IFERROR(__xludf.DUMMYFUNCTION("""COMPUTED_VALUE"""),-0.221968965701535)</f>
        <v>-0.22196896570153499</v>
      </c>
      <c r="GL24" s="3">
        <f ca="1">IFERROR(__xludf.DUMMYFUNCTION("""COMPUTED_VALUE"""),-0.410600085719952)</f>
        <v>-0.41060008571995199</v>
      </c>
      <c r="GM24" s="3">
        <f ca="1">IFERROR(__xludf.DUMMYFUNCTION("""COMPUTED_VALUE"""),-0.534098821446249)</f>
        <v>-0.53409882144624898</v>
      </c>
      <c r="GN24" s="3">
        <f ca="1">IFERROR(__xludf.DUMMYFUNCTION("""COMPUTED_VALUE"""),-0.559451632938279)</f>
        <v>-0.55945163293827904</v>
      </c>
      <c r="GO24" s="3">
        <f ca="1">IFERROR(__xludf.DUMMYFUNCTION("""COMPUTED_VALUE"""),-0.586714265475113)</f>
        <v>-0.58671426547511296</v>
      </c>
      <c r="GP24" s="3">
        <f ca="1">IFERROR(__xludf.DUMMYFUNCTION("""COMPUTED_VALUE"""),-0.574381841200087)</f>
        <v>-0.57438184120008695</v>
      </c>
      <c r="GQ24" s="3">
        <f ca="1">IFERROR(__xludf.DUMMYFUNCTION("""COMPUTED_VALUE"""),-0.450133502240139)</f>
        <v>-0.45013350224013898</v>
      </c>
      <c r="GR24" s="3">
        <f ca="1">IFERROR(__xludf.DUMMYFUNCTION("""COMPUTED_VALUE"""),-0.268224642777228)</f>
        <v>-0.26822464277722802</v>
      </c>
      <c r="GS24" s="3">
        <f ca="1">IFERROR(__xludf.DUMMYFUNCTION("""COMPUTED_VALUE"""),-0.383381396508217)</f>
        <v>-0.38338139650821701</v>
      </c>
      <c r="GT24" s="3">
        <f ca="1">IFERROR(__xludf.DUMMYFUNCTION("""COMPUTED_VALUE"""),-0.400182440846311)</f>
        <v>-0.40018244084631099</v>
      </c>
      <c r="GU24" s="3">
        <f ca="1">IFERROR(__xludf.DUMMYFUNCTION("""COMPUTED_VALUE"""),-0.590272529048207)</f>
        <v>-0.59027252904820704</v>
      </c>
      <c r="GV24" s="3">
        <f ca="1">IFERROR(__xludf.DUMMYFUNCTION("""COMPUTED_VALUE"""),-0.559360820304141)</f>
        <v>-0.55936082030414103</v>
      </c>
      <c r="GW24" s="3">
        <f ca="1">IFERROR(__xludf.DUMMYFUNCTION("""COMPUTED_VALUE"""),-0.564938039669989)</f>
        <v>-0.56493803966998901</v>
      </c>
      <c r="GX24" s="3">
        <f ca="1">IFERROR(__xludf.DUMMYFUNCTION("""COMPUTED_VALUE"""),-0.461629895594571)</f>
        <v>-0.46162989559457102</v>
      </c>
      <c r="GY24" s="3">
        <f ca="1">IFERROR(__xludf.DUMMYFUNCTION("""COMPUTED_VALUE"""),-0.314763880210543)</f>
        <v>-0.31476388021054302</v>
      </c>
      <c r="GZ24" s="3">
        <f ca="1">IFERROR(__xludf.DUMMYFUNCTION("""COMPUTED_VALUE"""),-0.359361793825211)</f>
        <v>-0.359361793825211</v>
      </c>
      <c r="HA24" s="3">
        <f ca="1">IFERROR(__xludf.DUMMYFUNCTION("""COMPUTED_VALUE"""),-0.519644550498793)</f>
        <v>-0.51964455049879299</v>
      </c>
      <c r="HB24" s="3">
        <f ca="1">IFERROR(__xludf.DUMMYFUNCTION("""COMPUTED_VALUE"""),-0.477960712826989)</f>
        <v>-0.47796071282698899</v>
      </c>
      <c r="HC24" s="3">
        <f ca="1">IFERROR(__xludf.DUMMYFUNCTION("""COMPUTED_VALUE"""),-0.527941735451711)</f>
        <v>-0.52794173545171097</v>
      </c>
      <c r="HD24" s="3">
        <f ca="1">IFERROR(__xludf.DUMMYFUNCTION("""COMPUTED_VALUE"""),-0.524391533295747)</f>
        <v>-0.52439153329574695</v>
      </c>
      <c r="HE24" s="3">
        <f ca="1">IFERROR(__xludf.DUMMYFUNCTION("""COMPUTED_VALUE"""),-0.470428750056235)</f>
        <v>-0.47042875005623502</v>
      </c>
      <c r="HF24" s="3">
        <f ca="1">IFERROR(__xludf.DUMMYFUNCTION("""COMPUTED_VALUE"""),-0.297606991396334)</f>
        <v>-0.29760699139633401</v>
      </c>
      <c r="HG24" s="3">
        <f ca="1">IFERROR(__xludf.DUMMYFUNCTION("""COMPUTED_VALUE"""),-0.385214153463916)</f>
        <v>-0.38521415346391602</v>
      </c>
      <c r="HH24" s="3">
        <f ca="1">IFERROR(__xludf.DUMMYFUNCTION("""COMPUTED_VALUE"""),-0.505235007416197)</f>
        <v>-0.50523500741619698</v>
      </c>
      <c r="HI24" s="3">
        <f ca="1">IFERROR(__xludf.DUMMYFUNCTION("""COMPUTED_VALUE"""),-0.570633170267412)</f>
        <v>-0.570633170267412</v>
      </c>
      <c r="HJ24" s="3">
        <f ca="1">IFERROR(__xludf.DUMMYFUNCTION("""COMPUTED_VALUE"""),-0.493352291008508)</f>
        <v>-0.49335229100850803</v>
      </c>
      <c r="HK24" s="3">
        <f ca="1">IFERROR(__xludf.DUMMYFUNCTION("""COMPUTED_VALUE"""),-0.329797246208826)</f>
        <v>-0.329797246208826</v>
      </c>
      <c r="HL24" s="3">
        <f ca="1">IFERROR(__xludf.DUMMYFUNCTION("""COMPUTED_VALUE"""),-0.242287419319659)</f>
        <v>-0.242287419319659</v>
      </c>
      <c r="HM24" s="3">
        <f ca="1">IFERROR(__xludf.DUMMYFUNCTION("""COMPUTED_VALUE"""),-0.135564076055937)</f>
        <v>-0.13556407605593701</v>
      </c>
      <c r="HN24" s="3">
        <f ca="1">IFERROR(__xludf.DUMMYFUNCTION("""COMPUTED_VALUE"""),-0.325285707174323)</f>
        <v>-0.32528570717432298</v>
      </c>
      <c r="HO24" s="3">
        <f ca="1">IFERROR(__xludf.DUMMYFUNCTION("""COMPUTED_VALUE"""),-0.569903121474688)</f>
        <v>-0.56990312147468802</v>
      </c>
      <c r="HP24" s="3">
        <f ca="1">IFERROR(__xludf.DUMMYFUNCTION("""COMPUTED_VALUE"""),-0.470960914306602)</f>
        <v>-0.47096091430660197</v>
      </c>
      <c r="HQ24" s="3">
        <f ca="1">IFERROR(__xludf.DUMMYFUNCTION("""COMPUTED_VALUE"""),-0.595312034244219)</f>
        <v>-0.59531203424421897</v>
      </c>
      <c r="HR24" s="3">
        <f ca="1">IFERROR(__xludf.DUMMYFUNCTION("""COMPUTED_VALUE"""),-0.459721350016559)</f>
        <v>-0.459721350016559</v>
      </c>
      <c r="HS24" s="3">
        <f ca="1">IFERROR(__xludf.DUMMYFUNCTION("""COMPUTED_VALUE"""),-0.316553516388659)</f>
        <v>-0.31655351638865897</v>
      </c>
      <c r="HT24" s="3">
        <f ca="1">IFERROR(__xludf.DUMMYFUNCTION("""COMPUTED_VALUE"""),-0.234354614719835)</f>
        <v>-0.23435461471983501</v>
      </c>
      <c r="HU24" s="3">
        <f ca="1">IFERROR(__xludf.DUMMYFUNCTION("""COMPUTED_VALUE"""),-0.399229420487178)</f>
        <v>-0.39922942048717802</v>
      </c>
      <c r="HV24" s="3">
        <f ca="1">IFERROR(__xludf.DUMMYFUNCTION("""COMPUTED_VALUE"""),-0.530985907280714)</f>
        <v>-0.53098590728071404</v>
      </c>
      <c r="HW24" s="3">
        <f ca="1">IFERROR(__xludf.DUMMYFUNCTION("""COMPUTED_VALUE"""),-0.535443544751798)</f>
        <v>-0.53544354475179801</v>
      </c>
      <c r="HX24" s="3">
        <f ca="1">IFERROR(__xludf.DUMMYFUNCTION("""COMPUTED_VALUE"""),-0.415342866999082)</f>
        <v>-0.41534286699908202</v>
      </c>
      <c r="HY24" s="3">
        <f ca="1">IFERROR(__xludf.DUMMYFUNCTION("""COMPUTED_VALUE"""),-0.457919829495616)</f>
        <v>-0.45791982949561599</v>
      </c>
      <c r="HZ24" s="3">
        <f ca="1">IFERROR(__xludf.DUMMYFUNCTION("""COMPUTED_VALUE"""),-0.349359320707609)</f>
        <v>-0.349359320707609</v>
      </c>
      <c r="IA24" s="3">
        <f ca="1">IFERROR(__xludf.DUMMYFUNCTION("""COMPUTED_VALUE"""),-0.318422944682788)</f>
        <v>-0.31842294468278798</v>
      </c>
      <c r="IB24" s="3">
        <f ca="1">IFERROR(__xludf.DUMMYFUNCTION("""COMPUTED_VALUE"""),-0.324977305300473)</f>
        <v>-0.32497730530047297</v>
      </c>
      <c r="IC24" s="3">
        <f ca="1">IFERROR(__xludf.DUMMYFUNCTION("""COMPUTED_VALUE"""),-0.530746109697939)</f>
        <v>-0.53074610969793901</v>
      </c>
      <c r="ID24" s="3">
        <f ca="1">IFERROR(__xludf.DUMMYFUNCTION("""COMPUTED_VALUE"""),-0.431405402248222)</f>
        <v>-0.43140540224822199</v>
      </c>
      <c r="IE24" s="3">
        <f ca="1">IFERROR(__xludf.DUMMYFUNCTION("""COMPUTED_VALUE"""),-0.517805832388355)</f>
        <v>-0.51780583238835498</v>
      </c>
      <c r="IF24" s="3">
        <f ca="1">IFERROR(__xludf.DUMMYFUNCTION("""COMPUTED_VALUE"""),-0.511663677901657)</f>
        <v>-0.51166367790165701</v>
      </c>
      <c r="IG24" s="3">
        <f ca="1">IFERROR(__xludf.DUMMYFUNCTION("""COMPUTED_VALUE"""),-0.406710727205222)</f>
        <v>-0.406710727205222</v>
      </c>
      <c r="IH24" s="3">
        <f ca="1">IFERROR(__xludf.DUMMYFUNCTION("""COMPUTED_VALUE"""),-0.329321040269455)</f>
        <v>-0.32932104026945502</v>
      </c>
      <c r="II24" s="3">
        <f ca="1">IFERROR(__xludf.DUMMYFUNCTION("""COMPUTED_VALUE"""),-0.397687102437871)</f>
        <v>-0.39768710243787098</v>
      </c>
      <c r="IJ24" s="3">
        <f ca="1">IFERROR(__xludf.DUMMYFUNCTION("""COMPUTED_VALUE"""),-0.509298833990298)</f>
        <v>-0.50929883399029796</v>
      </c>
      <c r="IK24" s="3">
        <f ca="1">IFERROR(__xludf.DUMMYFUNCTION("""COMPUTED_VALUE"""),-0.50703836765656)</f>
        <v>-0.50703836765655996</v>
      </c>
      <c r="IL24" s="3">
        <f ca="1">IFERROR(__xludf.DUMMYFUNCTION("""COMPUTED_VALUE"""),-0.413496558197216)</f>
        <v>-0.41349655819721598</v>
      </c>
      <c r="IM24" s="3">
        <f ca="1">IFERROR(__xludf.DUMMYFUNCTION("""COMPUTED_VALUE"""),-0.532562319276818)</f>
        <v>-0.53256231927681796</v>
      </c>
      <c r="IN24" s="3">
        <f ca="1">IFERROR(__xludf.DUMMYFUNCTION("""COMPUTED_VALUE"""),-0.400580142075298)</f>
        <v>-0.40058014207529802</v>
      </c>
      <c r="IO24" s="3">
        <f ca="1">IFERROR(__xludf.DUMMYFUNCTION("""COMPUTED_VALUE"""),-0.241302463757348)</f>
        <v>-0.24130246375734801</v>
      </c>
      <c r="IP24" s="3">
        <f ca="1">IFERROR(__xludf.DUMMYFUNCTION("""COMPUTED_VALUE"""),-0.347150434063089)</f>
        <v>-0.34715043406308899</v>
      </c>
      <c r="IQ24" s="3">
        <f ca="1">IFERROR(__xludf.DUMMYFUNCTION("""COMPUTED_VALUE"""),-0.524136945631972)</f>
        <v>-0.524136945631972</v>
      </c>
      <c r="IR24" s="3">
        <f ca="1">IFERROR(__xludf.DUMMYFUNCTION("""COMPUTED_VALUE"""),-0.452152577981905)</f>
        <v>-0.452152577981905</v>
      </c>
      <c r="IS24" s="3">
        <f ca="1">IFERROR(__xludf.DUMMYFUNCTION("""COMPUTED_VALUE"""),-0.419118054430605)</f>
        <v>-0.41911805443060501</v>
      </c>
      <c r="IT24" s="3">
        <f ca="1">IFERROR(__xludf.DUMMYFUNCTION("""COMPUTED_VALUE"""),-0.555998031633799)</f>
        <v>-0.55599803163379902</v>
      </c>
      <c r="IU24" s="3">
        <f ca="1">IFERROR(__xludf.DUMMYFUNCTION("""COMPUTED_VALUE"""),-0.419925159551672)</f>
        <v>-0.41992515955167198</v>
      </c>
      <c r="IV24" s="3">
        <f ca="1">IFERROR(__xludf.DUMMYFUNCTION("""COMPUTED_VALUE"""),-0.306428346190435)</f>
        <v>-0.30642834619043502</v>
      </c>
      <c r="IW24" s="3">
        <f ca="1">IFERROR(__xludf.DUMMYFUNCTION("""COMPUTED_VALUE"""),-0.275606128659325)</f>
        <v>-0.27560612865932499</v>
      </c>
      <c r="IX24" s="3">
        <f ca="1">IFERROR(__xludf.DUMMYFUNCTION("""COMPUTED_VALUE"""),-0.584654848562297)</f>
        <v>-0.58465484856229699</v>
      </c>
      <c r="IY24" s="3">
        <f ca="1">IFERROR(__xludf.DUMMYFUNCTION("""COMPUTED_VALUE"""),-0.504589114950173)</f>
        <v>-0.504589114950173</v>
      </c>
      <c r="IZ24" s="3">
        <f ca="1">IFERROR(__xludf.DUMMYFUNCTION("""COMPUTED_VALUE"""),-0.532566326109779)</f>
        <v>-0.53256632610977905</v>
      </c>
      <c r="JA24" s="3">
        <f ca="1">IFERROR(__xludf.DUMMYFUNCTION("""COMPUTED_VALUE"""),-0.50136591463676)</f>
        <v>-0.50136591463675995</v>
      </c>
      <c r="JB24" s="3">
        <f ca="1">IFERROR(__xludf.DUMMYFUNCTION("""COMPUTED_VALUE"""),-0.455487802000335)</f>
        <v>-0.45548780200033501</v>
      </c>
      <c r="JC24" s="3">
        <f ca="1">IFERROR(__xludf.DUMMYFUNCTION("""COMPUTED_VALUE"""),-0.260574349912962)</f>
        <v>-0.26057434991296202</v>
      </c>
      <c r="JD24" s="3">
        <f ca="1">IFERROR(__xludf.DUMMYFUNCTION("""COMPUTED_VALUE"""),-0.433364082170532)</f>
        <v>-0.43336408217053202</v>
      </c>
      <c r="JE24" s="3">
        <f ca="1">IFERROR(__xludf.DUMMYFUNCTION("""COMPUTED_VALUE"""),-0.53787357552367)</f>
        <v>-0.53787357552366999</v>
      </c>
      <c r="JF24" s="3">
        <f ca="1">IFERROR(__xludf.DUMMYFUNCTION("""COMPUTED_VALUE"""),-0.519337137467518)</f>
        <v>-0.51933713746751797</v>
      </c>
      <c r="JG24" s="3">
        <f ca="1">IFERROR(__xludf.DUMMYFUNCTION("""COMPUTED_VALUE"""),-0.548613463601351)</f>
        <v>-0.54861346360135099</v>
      </c>
      <c r="JH24" s="3">
        <f ca="1">IFERROR(__xludf.DUMMYFUNCTION("""COMPUTED_VALUE"""),-0.514217563025418)</f>
        <v>-0.51421756302541799</v>
      </c>
      <c r="JI24" s="3">
        <f ca="1">IFERROR(__xludf.DUMMYFUNCTION("""COMPUTED_VALUE"""),-0.407548038016206)</f>
        <v>-0.40754803801620598</v>
      </c>
      <c r="JJ24" s="3">
        <f ca="1">IFERROR(__xludf.DUMMYFUNCTION("""COMPUTED_VALUE"""),-0.308486939021097)</f>
        <v>-0.30848693902109697</v>
      </c>
      <c r="JK24" s="3">
        <f ca="1">IFERROR(__xludf.DUMMYFUNCTION("""COMPUTED_VALUE"""),-0.416640319245463)</f>
        <v>-0.41664031924546302</v>
      </c>
      <c r="JL24" s="3">
        <f ca="1">IFERROR(__xludf.DUMMYFUNCTION("""COMPUTED_VALUE"""),-0.570809932186224)</f>
        <v>-0.570809932186224</v>
      </c>
      <c r="JM24" s="3">
        <f ca="1">IFERROR(__xludf.DUMMYFUNCTION("""COMPUTED_VALUE"""),-0.508170755382927)</f>
        <v>-0.508170755382927</v>
      </c>
      <c r="JN24" s="3">
        <f ca="1">IFERROR(__xludf.DUMMYFUNCTION("""COMPUTED_VALUE"""),-0.520320070790658)</f>
        <v>-0.52032007079065801</v>
      </c>
      <c r="JO24" s="3">
        <f ca="1">IFERROR(__xludf.DUMMYFUNCTION("""COMPUTED_VALUE"""),-0.53343975624665)</f>
        <v>-0.53343975624664997</v>
      </c>
      <c r="JP24" s="3">
        <f ca="1">IFERROR(__xludf.DUMMYFUNCTION("""COMPUTED_VALUE"""),-0.417201518679658)</f>
        <v>-0.41720151867965799</v>
      </c>
      <c r="JQ24" s="3">
        <f ca="1">IFERROR(__xludf.DUMMYFUNCTION("""COMPUTED_VALUE"""),-0.316396720285656)</f>
        <v>-0.31639672028565602</v>
      </c>
      <c r="JR24" s="3">
        <f ca="1">IFERROR(__xludf.DUMMYFUNCTION("""COMPUTED_VALUE"""),-0.48800185888014)</f>
        <v>-0.48800185888014003</v>
      </c>
      <c r="JS24" s="3">
        <f ca="1">IFERROR(__xludf.DUMMYFUNCTION("""COMPUTED_VALUE"""),-0.624021791126836)</f>
        <v>-0.62402179112683598</v>
      </c>
      <c r="JT24" s="3">
        <f ca="1">IFERROR(__xludf.DUMMYFUNCTION("""COMPUTED_VALUE"""),-0.492792547193529)</f>
        <v>-0.492792547193529</v>
      </c>
      <c r="JU24" s="3">
        <f ca="1">IFERROR(__xludf.DUMMYFUNCTION("""COMPUTED_VALUE"""),-0.591806388796368)</f>
        <v>-0.59180638879636804</v>
      </c>
      <c r="JV24" s="3">
        <f ca="1">IFERROR(__xludf.DUMMYFUNCTION("""COMPUTED_VALUE"""),-0.5477248997368)</f>
        <v>-0.54772489973680005</v>
      </c>
      <c r="JW24" s="3">
        <f ca="1">IFERROR(__xludf.DUMMYFUNCTION("""COMPUTED_VALUE"""),-0.420017451311787)</f>
        <v>-0.42001745131178703</v>
      </c>
      <c r="JX24" s="3">
        <f ca="1">IFERROR(__xludf.DUMMYFUNCTION("""COMPUTED_VALUE"""),-0.314417384393655)</f>
        <v>-0.31441738439365502</v>
      </c>
      <c r="JY24" s="3">
        <f ca="1">IFERROR(__xludf.DUMMYFUNCTION("""COMPUTED_VALUE"""),-0.0406808007301076)</f>
        <v>-4.0680800730107602E-2</v>
      </c>
      <c r="JZ24" s="3">
        <f ca="1">IFERROR(__xludf.DUMMYFUNCTION("""COMPUTED_VALUE"""),-0.339174447894373)</f>
        <v>-0.33917444789437301</v>
      </c>
      <c r="KA24" s="3">
        <f ca="1">IFERROR(__xludf.DUMMYFUNCTION("""COMPUTED_VALUE"""),-0.518491240441665)</f>
        <v>-0.51849124044166495</v>
      </c>
      <c r="KB24" s="3">
        <f ca="1">IFERROR(__xludf.DUMMYFUNCTION("""COMPUTED_VALUE"""),-0.647920382163342)</f>
        <v>-0.64792038216334202</v>
      </c>
      <c r="KC24" s="3">
        <f ca="1">IFERROR(__xludf.DUMMYFUNCTION("""COMPUTED_VALUE"""),-0.574244099045287)</f>
        <v>-0.57424409904528695</v>
      </c>
      <c r="KD24" s="3">
        <f ca="1">IFERROR(__xludf.DUMMYFUNCTION("""COMPUTED_VALUE"""),-0.500831911715189)</f>
        <v>-0.50083191171518904</v>
      </c>
      <c r="KE24" s="3">
        <f ca="1">IFERROR(__xludf.DUMMYFUNCTION("""COMPUTED_VALUE"""),-0.436165658640198)</f>
        <v>-0.43616565864019802</v>
      </c>
      <c r="KF24" s="3">
        <f ca="1">IFERROR(__xludf.DUMMYFUNCTION("""COMPUTED_VALUE"""),-0.548137766325179)</f>
        <v>-0.54813776632517897</v>
      </c>
      <c r="KG24" s="3">
        <f ca="1">IFERROR(__xludf.DUMMYFUNCTION("""COMPUTED_VALUE"""),-0.572846955579209)</f>
        <v>-0.57284695557920895</v>
      </c>
      <c r="KH24" s="3">
        <f ca="1">IFERROR(__xludf.DUMMYFUNCTION("""COMPUTED_VALUE"""),-0.55384693562844)</f>
        <v>-0.55384693562844001</v>
      </c>
      <c r="KI24" s="3">
        <f ca="1">IFERROR(__xludf.DUMMYFUNCTION("""COMPUTED_VALUE"""),-0.566721571259595)</f>
        <v>-0.56672157125959499</v>
      </c>
      <c r="KJ24" s="3">
        <f ca="1">IFERROR(__xludf.DUMMYFUNCTION("""COMPUTED_VALUE"""),-0.600941293889879)</f>
        <v>-0.60094129388987905</v>
      </c>
      <c r="KK24" s="3">
        <f ca="1">IFERROR(__xludf.DUMMYFUNCTION("""COMPUTED_VALUE"""),-0.532900102093284)</f>
        <v>-0.53290010209328398</v>
      </c>
      <c r="KL24" s="3">
        <f ca="1">IFERROR(__xludf.DUMMYFUNCTION("""COMPUTED_VALUE"""),-0.449104843718878)</f>
        <v>-0.44910484371887799</v>
      </c>
      <c r="KM24" s="3">
        <f ca="1">IFERROR(__xludf.DUMMYFUNCTION("""COMPUTED_VALUE"""),-0.501210383072752)</f>
        <v>-0.50121038307275201</v>
      </c>
      <c r="KN24" s="3">
        <f ca="1">IFERROR(__xludf.DUMMYFUNCTION("""COMPUTED_VALUE"""),-0.509908970737515)</f>
        <v>-0.50990897073751495</v>
      </c>
      <c r="KO24" s="3">
        <f ca="1">IFERROR(__xludf.DUMMYFUNCTION("""COMPUTED_VALUE"""),-0.599951581149083)</f>
        <v>-0.59995158114908298</v>
      </c>
      <c r="KP24" s="3">
        <f ca="1">IFERROR(__xludf.DUMMYFUNCTION("""COMPUTED_VALUE"""),-0.558657803271472)</f>
        <v>-0.55865780327147196</v>
      </c>
      <c r="KQ24" s="3">
        <f ca="1">IFERROR(__xludf.DUMMYFUNCTION("""COMPUTED_VALUE"""),-0.510644657431344)</f>
        <v>-0.51064465743134402</v>
      </c>
      <c r="KR24" s="3">
        <f ca="1">IFERROR(__xludf.DUMMYFUNCTION("""COMPUTED_VALUE"""),-0.513479048865117)</f>
        <v>-0.51347904886511697</v>
      </c>
      <c r="KS24" s="3">
        <f ca="1">IFERROR(__xludf.DUMMYFUNCTION("""COMPUTED_VALUE"""),-0.385280009523599)</f>
        <v>-0.38528000952359898</v>
      </c>
      <c r="KT24" s="3">
        <f ca="1">IFERROR(__xludf.DUMMYFUNCTION("""COMPUTED_VALUE"""),-0.470472957347376)</f>
        <v>-0.47047295734737599</v>
      </c>
      <c r="KU24" s="3">
        <f ca="1">IFERROR(__xludf.DUMMYFUNCTION("""COMPUTED_VALUE"""),-0.544574946339647)</f>
        <v>-0.54457494633964698</v>
      </c>
      <c r="KV24" s="3">
        <f ca="1">IFERROR(__xludf.DUMMYFUNCTION("""COMPUTED_VALUE"""),-0.695102221545101)</f>
        <v>-0.69510222154510104</v>
      </c>
      <c r="KW24" s="3">
        <f ca="1">IFERROR(__xludf.DUMMYFUNCTION("""COMPUTED_VALUE"""),-0.568423447445935)</f>
        <v>-0.56842344744593498</v>
      </c>
      <c r="KX24" s="3">
        <f ca="1">IFERROR(__xludf.DUMMYFUNCTION("""COMPUTED_VALUE"""),-0.634169174856051)</f>
        <v>-0.63416917485605095</v>
      </c>
      <c r="KY24" s="3">
        <f ca="1">IFERROR(__xludf.DUMMYFUNCTION("""COMPUTED_VALUE"""),-0.480311682012328)</f>
        <v>-0.48031168201232799</v>
      </c>
      <c r="KZ24" s="3">
        <f ca="1">IFERROR(__xludf.DUMMYFUNCTION("""COMPUTED_VALUE"""),-0.323361389842104)</f>
        <v>-0.323361389842104</v>
      </c>
      <c r="LA24" s="3">
        <f ca="1">IFERROR(__xludf.DUMMYFUNCTION("""COMPUTED_VALUE"""),-0.543260089333035)</f>
        <v>-0.54326008933303505</v>
      </c>
      <c r="LB24" s="3">
        <f ca="1">IFERROR(__xludf.DUMMYFUNCTION("""COMPUTED_VALUE"""),-0.612111983972887)</f>
        <v>-0.61211198397288702</v>
      </c>
      <c r="LC24" s="3">
        <f ca="1">IFERROR(__xludf.DUMMYFUNCTION("""COMPUTED_VALUE"""),-0.603755032916855)</f>
        <v>-0.60375503291685495</v>
      </c>
      <c r="LD24" s="3">
        <f ca="1">IFERROR(__xludf.DUMMYFUNCTION("""COMPUTED_VALUE"""),-0.722381639021699)</f>
        <v>-0.72238163902169905</v>
      </c>
      <c r="LE24" s="3">
        <f ca="1">IFERROR(__xludf.DUMMYFUNCTION("""COMPUTED_VALUE"""),-0.794156680503305)</f>
        <v>-0.79415668050330501</v>
      </c>
      <c r="LF24" s="3">
        <f ca="1">IFERROR(__xludf.DUMMYFUNCTION("""COMPUTED_VALUE"""),-0.575882382820234)</f>
        <v>-0.57588238282023396</v>
      </c>
      <c r="LG24" s="3">
        <f ca="1">IFERROR(__xludf.DUMMYFUNCTION("""COMPUTED_VALUE"""),-0.522266050396254)</f>
        <v>-0.52226605039625396</v>
      </c>
      <c r="LH24" s="3">
        <f ca="1">IFERROR(__xludf.DUMMYFUNCTION("""COMPUTED_VALUE"""),-0.551971359590093)</f>
        <v>-0.55197135959009302</v>
      </c>
      <c r="LI24" s="3">
        <f ca="1">IFERROR(__xludf.DUMMYFUNCTION("""COMPUTED_VALUE"""),-0.660770048264965)</f>
        <v>-0.66077004826496499</v>
      </c>
      <c r="LJ24" s="3">
        <f ca="1">IFERROR(__xludf.DUMMYFUNCTION("""COMPUTED_VALUE"""),-0.65094269681908)</f>
        <v>-0.65094269681908001</v>
      </c>
      <c r="LK24" s="3">
        <f ca="1">IFERROR(__xludf.DUMMYFUNCTION("""COMPUTED_VALUE"""),-0.488622134398496)</f>
        <v>-0.488622134398496</v>
      </c>
      <c r="LL24" s="3">
        <f ca="1">IFERROR(__xludf.DUMMYFUNCTION("""COMPUTED_VALUE"""),-0.346785838417216)</f>
        <v>-0.346785838417216</v>
      </c>
      <c r="LM24" s="3">
        <f ca="1">IFERROR(__xludf.DUMMYFUNCTION("""COMPUTED_VALUE"""),-0.412420775052633)</f>
        <v>-0.41242077505263303</v>
      </c>
      <c r="LN24" s="3">
        <f ca="1">IFERROR(__xludf.DUMMYFUNCTION("""COMPUTED_VALUE"""),-0.463016463888354)</f>
        <v>-0.46301646388835399</v>
      </c>
      <c r="LO24" s="3">
        <f ca="1">IFERROR(__xludf.DUMMYFUNCTION("""COMPUTED_VALUE"""),-0.70296194285388)</f>
        <v>-0.70296194285388003</v>
      </c>
      <c r="LP24" s="3">
        <f ca="1">IFERROR(__xludf.DUMMYFUNCTION("""COMPUTED_VALUE"""),-0.678108851144661)</f>
        <v>-0.67810885114466102</v>
      </c>
      <c r="LQ24" s="3">
        <f ca="1">IFERROR(__xludf.DUMMYFUNCTION("""COMPUTED_VALUE"""),-0.596887762761782)</f>
        <v>-0.59688776276178201</v>
      </c>
      <c r="LR24" s="3">
        <f ca="1">IFERROR(__xludf.DUMMYFUNCTION("""COMPUTED_VALUE"""),-0.649535211529821)</f>
        <v>-0.64953521152982097</v>
      </c>
      <c r="LS24" s="3">
        <f ca="1">IFERROR(__xludf.DUMMYFUNCTION("""COMPUTED_VALUE"""),-0.657730464161395)</f>
        <v>-0.65773046416139502</v>
      </c>
      <c r="LT24" s="3">
        <f ca="1">IFERROR(__xludf.DUMMYFUNCTION("""COMPUTED_VALUE"""),-0.624433333668708)</f>
        <v>-0.62443333366870801</v>
      </c>
      <c r="LU24" s="3">
        <f ca="1">IFERROR(__xludf.DUMMYFUNCTION("""COMPUTED_VALUE"""),-0.547248612288536)</f>
        <v>-0.54724861228853605</v>
      </c>
      <c r="LV24" s="3">
        <f ca="1">IFERROR(__xludf.DUMMYFUNCTION("""COMPUTED_VALUE"""),-0.569667610823792)</f>
        <v>-0.56966761082379203</v>
      </c>
      <c r="LW24" s="3">
        <f ca="1">IFERROR(__xludf.DUMMYFUNCTION("""COMPUTED_VALUE"""),-0.668982553499982)</f>
        <v>-0.66898255349998204</v>
      </c>
      <c r="LX24" s="3">
        <f ca="1">IFERROR(__xludf.DUMMYFUNCTION("""COMPUTED_VALUE"""),-0.720854137451836)</f>
        <v>-0.72085413745183602</v>
      </c>
      <c r="LY24" s="3">
        <f ca="1">IFERROR(__xludf.DUMMYFUNCTION("""COMPUTED_VALUE"""),-0.707087829595523)</f>
        <v>-0.70708782959552297</v>
      </c>
      <c r="LZ24" s="3">
        <f ca="1">IFERROR(__xludf.DUMMYFUNCTION("""COMPUTED_VALUE"""),-0.654157999049324)</f>
        <v>-0.65415799904932403</v>
      </c>
      <c r="MA24" s="3">
        <f ca="1">IFERROR(__xludf.DUMMYFUNCTION("""COMPUTED_VALUE"""),-0.628509663506002)</f>
        <v>-0.62850966350600201</v>
      </c>
      <c r="MB24" s="3">
        <f ca="1">IFERROR(__xludf.DUMMYFUNCTION("""COMPUTED_VALUE"""),-0.448293377200869)</f>
        <v>-0.44829337720086898</v>
      </c>
      <c r="MC24" s="3">
        <f ca="1">IFERROR(__xludf.DUMMYFUNCTION("""COMPUTED_VALUE"""),-0.668387001214218)</f>
        <v>-0.66838700121421801</v>
      </c>
      <c r="MD24" s="3">
        <f ca="1">IFERROR(__xludf.DUMMYFUNCTION("""COMPUTED_VALUE"""),-0.693020868328588)</f>
        <v>-0.693020868328588</v>
      </c>
      <c r="ME24" s="3">
        <f ca="1">IFERROR(__xludf.DUMMYFUNCTION("""COMPUTED_VALUE"""),-0.658248011215857)</f>
        <v>-0.65824801121585697</v>
      </c>
      <c r="MF24" s="3">
        <f ca="1">IFERROR(__xludf.DUMMYFUNCTION("""COMPUTED_VALUE"""),-0.655284405975862)</f>
        <v>-0.65528440597586202</v>
      </c>
      <c r="MG24" s="3">
        <f ca="1">IFERROR(__xludf.DUMMYFUNCTION("""COMPUTED_VALUE"""),-0.743063537077155)</f>
        <v>-0.743063537077155</v>
      </c>
      <c r="MH24" s="3">
        <f ca="1">IFERROR(__xludf.DUMMYFUNCTION("""COMPUTED_VALUE"""),-0.640942349768788)</f>
        <v>-0.64094234976878794</v>
      </c>
      <c r="MI24" s="3">
        <f ca="1">IFERROR(__xludf.DUMMYFUNCTION("""COMPUTED_VALUE"""),-0.379184685630977)</f>
        <v>-0.37918468563097701</v>
      </c>
      <c r="MJ24" s="3">
        <f ca="1">IFERROR(__xludf.DUMMYFUNCTION("""COMPUTED_VALUE"""),-0.642209852541068)</f>
        <v>-0.64220985254106799</v>
      </c>
      <c r="MK24" s="3">
        <f ca="1">IFERROR(__xludf.DUMMYFUNCTION("""COMPUTED_VALUE"""),-0.751641112113534)</f>
        <v>-0.75164111211353402</v>
      </c>
      <c r="ML24" s="3">
        <f ca="1">IFERROR(__xludf.DUMMYFUNCTION("""COMPUTED_VALUE"""),-0.739690039647813)</f>
        <v>-0.73969003964781299</v>
      </c>
      <c r="MM24" s="3">
        <f ca="1">IFERROR(__xludf.DUMMYFUNCTION("""COMPUTED_VALUE"""),-0.668426895456856)</f>
        <v>-0.66842689545685596</v>
      </c>
      <c r="MN24" s="3">
        <f ca="1">IFERROR(__xludf.DUMMYFUNCTION("""COMPUTED_VALUE"""),-0.719841840036478)</f>
        <v>-0.719841840036478</v>
      </c>
      <c r="MO24" s="3">
        <f ca="1">IFERROR(__xludf.DUMMYFUNCTION("""COMPUTED_VALUE"""),-0.56998997008099)</f>
        <v>-0.56998997008098995</v>
      </c>
      <c r="MP24" s="3">
        <f ca="1">IFERROR(__xludf.DUMMYFUNCTION("""COMPUTED_VALUE"""),-0.46012974768825)</f>
        <v>-0.46012974768824999</v>
      </c>
      <c r="MQ24" s="3">
        <f ca="1">IFERROR(__xludf.DUMMYFUNCTION("""COMPUTED_VALUE"""),-0.637898353523168)</f>
        <v>-0.63789835352316804</v>
      </c>
      <c r="MR24" s="3">
        <f ca="1">IFERROR(__xludf.DUMMYFUNCTION("""COMPUTED_VALUE"""),-0.700522941393628)</f>
        <v>-0.70052294139362803</v>
      </c>
      <c r="MS24" s="3">
        <f ca="1">IFERROR(__xludf.DUMMYFUNCTION("""COMPUTED_VALUE"""),-0.684007701227114)</f>
        <v>-0.68400770122711396</v>
      </c>
      <c r="MT24" s="3">
        <f ca="1">IFERROR(__xludf.DUMMYFUNCTION("""COMPUTED_VALUE"""),-0.693738305698954)</f>
        <v>-0.69373830569895401</v>
      </c>
      <c r="MU24" s="3">
        <f ca="1">IFERROR(__xludf.DUMMYFUNCTION("""COMPUTED_VALUE"""),-0.745142026091557)</f>
        <v>-0.745142026091557</v>
      </c>
      <c r="MV24" s="3">
        <f ca="1">IFERROR(__xludf.DUMMYFUNCTION("""COMPUTED_VALUE"""),-0.569812706901725)</f>
        <v>-0.56981270690172503</v>
      </c>
      <c r="MW24" s="3">
        <f ca="1">IFERROR(__xludf.DUMMYFUNCTION("""COMPUTED_VALUE"""),-0.463358064685509)</f>
        <v>-0.463358064685509</v>
      </c>
      <c r="MX24" s="3">
        <f ca="1">IFERROR(__xludf.DUMMYFUNCTION("""COMPUTED_VALUE"""),-0.697187277681535)</f>
        <v>-0.69718727768153499</v>
      </c>
      <c r="MY24" s="3">
        <f ca="1">IFERROR(__xludf.DUMMYFUNCTION("""COMPUTED_VALUE"""),-0.694322662261777)</f>
        <v>-0.69432266226177697</v>
      </c>
      <c r="MZ24" s="3">
        <f ca="1">IFERROR(__xludf.DUMMYFUNCTION("""COMPUTED_VALUE"""),-0.669906064575008)</f>
        <v>-0.66990606457500801</v>
      </c>
      <c r="NA24" s="3">
        <f ca="1">IFERROR(__xludf.DUMMYFUNCTION("""COMPUTED_VALUE"""),-0.703024585994301)</f>
        <v>-0.70302458599430095</v>
      </c>
      <c r="NB24" s="3">
        <f ca="1">IFERROR(__xludf.DUMMYFUNCTION("""COMPUTED_VALUE"""),-0.694814190398798)</f>
        <v>-0.69481419039879799</v>
      </c>
      <c r="NC24" s="3">
        <f ca="1">IFERROR(__xludf.DUMMYFUNCTION("""COMPUTED_VALUE"""),-0.717089130823879)</f>
        <v>-0.71708913082387904</v>
      </c>
      <c r="ND24" s="3">
        <f ca="1">IFERROR(__xludf.DUMMYFUNCTION("""COMPUTED_VALUE"""),-0.551695713215417)</f>
        <v>-0.55169571321541699</v>
      </c>
      <c r="NE24" s="3">
        <f ca="1">IFERROR(__xludf.DUMMYFUNCTION("""COMPUTED_VALUE"""),-0.630069702624625)</f>
        <v>-0.63006970262462503</v>
      </c>
      <c r="NF24" s="3">
        <f ca="1">IFERROR(__xludf.DUMMYFUNCTION("""COMPUTED_VALUE"""),-0.725550378120033)</f>
        <v>-0.72555037812003298</v>
      </c>
      <c r="NG24" s="3">
        <f ca="1">IFERROR(__xludf.DUMMYFUNCTION("""COMPUTED_VALUE"""),-0.709102840094064)</f>
        <v>-0.70910284009406399</v>
      </c>
      <c r="NH24" s="3">
        <f ca="1">IFERROR(__xludf.DUMMYFUNCTION("""COMPUTED_VALUE"""),-0.705774426984284)</f>
        <v>-0.70577442698428405</v>
      </c>
      <c r="NI24" s="3">
        <f ca="1">IFERROR(__xludf.DUMMYFUNCTION("""COMPUTED_VALUE"""),-0.698565547872724)</f>
        <v>-0.69856554787272396</v>
      </c>
      <c r="NJ24" s="3">
        <f ca="1">IFERROR(__xludf.DUMMYFUNCTION("""COMPUTED_VALUE"""),-0.650263415039653)</f>
        <v>-0.65026341503965301</v>
      </c>
      <c r="NK24" s="3">
        <f ca="1">IFERROR(__xludf.DUMMYFUNCTION("""COMPUTED_VALUE"""),-0.545316543623405)</f>
        <v>-0.54531654362340498</v>
      </c>
      <c r="NL24" s="3">
        <f ca="1">IFERROR(__xludf.DUMMYFUNCTION("""COMPUTED_VALUE"""),-0.64345316634745)</f>
        <v>-0.64345316634744998</v>
      </c>
      <c r="NM24" s="3">
        <f ca="1">IFERROR(__xludf.DUMMYFUNCTION("""COMPUTED_VALUE"""),-0.686422574807313)</f>
        <v>-0.68642257480731295</v>
      </c>
      <c r="NN24" s="3">
        <f ca="1">IFERROR(__xludf.DUMMYFUNCTION("""COMPUTED_VALUE"""),-0.686054020250136)</f>
        <v>-0.68605402025013595</v>
      </c>
      <c r="NO24" s="3">
        <f ca="1">IFERROR(__xludf.DUMMYFUNCTION("""COMPUTED_VALUE"""),-0.632528383341646)</f>
        <v>-0.63252838334164596</v>
      </c>
      <c r="NP24" s="3">
        <f ca="1">IFERROR(__xludf.DUMMYFUNCTION("""COMPUTED_VALUE"""),-0.735922585272415)</f>
        <v>-0.73592258527241505</v>
      </c>
      <c r="NQ24" s="3">
        <f ca="1">IFERROR(__xludf.DUMMYFUNCTION("""COMPUTED_VALUE"""),-0.691892934568784)</f>
        <v>-0.69189293456878398</v>
      </c>
      <c r="NR24" s="3">
        <f ca="1">IFERROR(__xludf.DUMMYFUNCTION("""COMPUTED_VALUE"""),-0.42745573473577)</f>
        <v>-0.42745573473576998</v>
      </c>
      <c r="NS24" s="3">
        <f ca="1">IFERROR(__xludf.DUMMYFUNCTION("""COMPUTED_VALUE"""),-0.568339307548881)</f>
        <v>-0.56833930754888096</v>
      </c>
      <c r="NT24" s="3">
        <f ca="1">IFERROR(__xludf.DUMMYFUNCTION("""COMPUTED_VALUE"""),-0.645755120037381)</f>
        <v>-0.645755120037381</v>
      </c>
      <c r="NU24" s="3">
        <f ca="1">IFERROR(__xludf.DUMMYFUNCTION("""COMPUTED_VALUE"""),-0.764885626378906)</f>
        <v>-0.764885626378906</v>
      </c>
      <c r="NV24" s="3">
        <f ca="1">IFERROR(__xludf.DUMMYFUNCTION("""COMPUTED_VALUE"""),-0.721281584562205)</f>
        <v>-0.72128158456220504</v>
      </c>
      <c r="NW24" s="3">
        <f ca="1">IFERROR(__xludf.DUMMYFUNCTION("""COMPUTED_VALUE"""),-0.659729667850855)</f>
        <v>-0.65972966785085496</v>
      </c>
      <c r="NX24" s="3">
        <f ca="1">IFERROR(__xludf.DUMMYFUNCTION("""COMPUTED_VALUE"""),-0.630680326251752)</f>
        <v>-0.63068032625175197</v>
      </c>
      <c r="NY24" s="3">
        <f ca="1">IFERROR(__xludf.DUMMYFUNCTION("""COMPUTED_VALUE"""),-0.42596604369941)</f>
        <v>-0.42596604369940999</v>
      </c>
      <c r="NZ24" s="3">
        <f ca="1">IFERROR(__xludf.DUMMYFUNCTION("""COMPUTED_VALUE"""),-0.519323034084143)</f>
        <v>-0.51932303408414304</v>
      </c>
      <c r="OA24" s="3">
        <f ca="1">IFERROR(__xludf.DUMMYFUNCTION("""COMPUTED_VALUE"""),-0.837093572679382)</f>
        <v>-0.837093572679382</v>
      </c>
      <c r="OB24" s="3">
        <f ca="1">IFERROR(__xludf.DUMMYFUNCTION("""COMPUTED_VALUE"""),-0.784060770980505)</f>
        <v>-0.78406077098050497</v>
      </c>
      <c r="OC24" s="3">
        <f ca="1">IFERROR(__xludf.DUMMYFUNCTION("""COMPUTED_VALUE"""),-0.78026358423301)</f>
        <v>-0.78026358423301001</v>
      </c>
      <c r="OD24" s="3">
        <f ca="1">IFERROR(__xludf.DUMMYFUNCTION("""COMPUTED_VALUE"""),-0.722886725384473)</f>
        <v>-0.72288672538447296</v>
      </c>
      <c r="OE24" s="3">
        <f ca="1">IFERROR(__xludf.DUMMYFUNCTION("""COMPUTED_VALUE"""),-0.493483300338394)</f>
        <v>-0.49348330033839399</v>
      </c>
      <c r="OF24" s="3">
        <f ca="1">IFERROR(__xludf.DUMMYFUNCTION("""COMPUTED_VALUE"""),-0.144988083161658)</f>
        <v>-0.14498808316165801</v>
      </c>
      <c r="OG24" s="3">
        <f ca="1">IFERROR(__xludf.DUMMYFUNCTION("""COMPUTED_VALUE"""),-0.159573578527817)</f>
        <v>-0.15957357852781701</v>
      </c>
      <c r="OH24" s="3">
        <f ca="1">IFERROR(__xludf.DUMMYFUNCTION("""COMPUTED_VALUE"""),-0.243572369205438)</f>
        <v>-0.24357236920543801</v>
      </c>
      <c r="OI24" s="3">
        <f ca="1">IFERROR(__xludf.DUMMYFUNCTION("""COMPUTED_VALUE"""),0.049045665159374)</f>
        <v>4.9045665159374002E-2</v>
      </c>
      <c r="OJ24" s="3">
        <f ca="1">IFERROR(__xludf.DUMMYFUNCTION("""COMPUTED_VALUE"""),0.187768873030867)</f>
        <v>0.18776887303086701</v>
      </c>
      <c r="OK24" s="3">
        <f ca="1">IFERROR(__xludf.DUMMYFUNCTION("""COMPUTED_VALUE"""),0.0999398691146704)</f>
        <v>9.9939869114670399E-2</v>
      </c>
      <c r="OL24" s="3">
        <f ca="1">IFERROR(__xludf.DUMMYFUNCTION("""COMPUTED_VALUE"""),0.209268540307756)</f>
        <v>0.20926854030775599</v>
      </c>
      <c r="OM24" s="3">
        <f ca="1">IFERROR(__xludf.DUMMYFUNCTION("""COMPUTED_VALUE"""),-0.0583879037258714)</f>
        <v>-5.8387903725871403E-2</v>
      </c>
      <c r="ON24" s="3">
        <f ca="1">IFERROR(__xludf.DUMMYFUNCTION("""COMPUTED_VALUE"""),-0.0565973534260103)</f>
        <v>-5.65973534260103E-2</v>
      </c>
      <c r="OO24" s="3">
        <f ca="1">IFERROR(__xludf.DUMMYFUNCTION("""COMPUTED_VALUE"""),0.124296180574938)</f>
        <v>0.12429618057493801</v>
      </c>
      <c r="OP24" s="3">
        <f ca="1">IFERROR(__xludf.DUMMYFUNCTION("""COMPUTED_VALUE"""),0.147033227429475)</f>
        <v>0.147033227429475</v>
      </c>
      <c r="OQ24" s="3">
        <f ca="1">IFERROR(__xludf.DUMMYFUNCTION("""COMPUTED_VALUE"""),0.0374697422314243)</f>
        <v>3.7469742231424297E-2</v>
      </c>
      <c r="OR24" s="3">
        <f ca="1">IFERROR(__xludf.DUMMYFUNCTION("""COMPUTED_VALUE"""),0.19002295136348)</f>
        <v>0.19002295136347999</v>
      </c>
      <c r="OS24" s="3">
        <f ca="1">IFERROR(__xludf.DUMMYFUNCTION("""COMPUTED_VALUE"""),0.181256427879142)</f>
        <v>0.18125642787914201</v>
      </c>
      <c r="OT24" s="3">
        <f ca="1">IFERROR(__xludf.DUMMYFUNCTION("""COMPUTED_VALUE"""),0.248663670587827)</f>
        <v>0.24866367058782701</v>
      </c>
      <c r="OU24" s="3">
        <f ca="1">IFERROR(__xludf.DUMMYFUNCTION("""COMPUTED_VALUE"""),0.158157408547861)</f>
        <v>0.15815740854786101</v>
      </c>
      <c r="OV24" s="3">
        <f ca="1">IFERROR(__xludf.DUMMYFUNCTION("""COMPUTED_VALUE"""),0.0783807313330584)</f>
        <v>7.8380731333058395E-2</v>
      </c>
      <c r="OW24" s="3">
        <f ca="1">IFERROR(__xludf.DUMMYFUNCTION("""COMPUTED_VALUE"""),-0.0743351886380365)</f>
        <v>-7.4335188638036495E-2</v>
      </c>
      <c r="OX24" s="3">
        <f ca="1">IFERROR(__xludf.DUMMYFUNCTION("""COMPUTED_VALUE"""),-0.052540475778894)</f>
        <v>-5.2540475778894001E-2</v>
      </c>
      <c r="OY24" s="3">
        <f ca="1">IFERROR(__xludf.DUMMYFUNCTION("""COMPUTED_VALUE"""),-0.011776839187908)</f>
        <v>-1.1776839187908001E-2</v>
      </c>
      <c r="OZ24" s="3">
        <f ca="1">IFERROR(__xludf.DUMMYFUNCTION("""COMPUTED_VALUE"""),0.219183235989421)</f>
        <v>0.21918323598942099</v>
      </c>
      <c r="PA24" s="3">
        <f ca="1">IFERROR(__xludf.DUMMYFUNCTION("""COMPUTED_VALUE"""),-0.067320849936198)</f>
        <v>-6.7320849936197996E-2</v>
      </c>
      <c r="PB24" s="3">
        <f ca="1">IFERROR(__xludf.DUMMYFUNCTION("""COMPUTED_VALUE"""),0.10384507096549)</f>
        <v>0.10384507096549001</v>
      </c>
      <c r="PC24" s="3">
        <f ca="1">IFERROR(__xludf.DUMMYFUNCTION("""COMPUTED_VALUE"""),-0.175769544580058)</f>
        <v>-0.175769544580058</v>
      </c>
      <c r="PD24" s="3">
        <f ca="1">IFERROR(__xludf.DUMMYFUNCTION("""COMPUTED_VALUE"""),-0.0504523245850598)</f>
        <v>-5.0452324585059799E-2</v>
      </c>
      <c r="PE24" s="3">
        <f ca="1">IFERROR(__xludf.DUMMYFUNCTION("""COMPUTED_VALUE"""),0.0454263001732671)</f>
        <v>4.5426300173267098E-2</v>
      </c>
      <c r="PF24" s="3">
        <f ca="1">IFERROR(__xludf.DUMMYFUNCTION("""COMPUTED_VALUE"""),-0.0754766514757222)</f>
        <v>-7.5476651475722203E-2</v>
      </c>
      <c r="PG24" s="3">
        <f ca="1">IFERROR(__xludf.DUMMYFUNCTION("""COMPUTED_VALUE"""),-0.0164642509705685)</f>
        <v>-1.64642509705685E-2</v>
      </c>
      <c r="PH24" s="3">
        <f ca="1">IFERROR(__xludf.DUMMYFUNCTION("""COMPUTED_VALUE"""),0.273891731878242)</f>
        <v>0.27389173187824201</v>
      </c>
      <c r="PI24" s="3">
        <f ca="1">IFERROR(__xludf.DUMMYFUNCTION("""COMPUTED_VALUE"""),0.0193930359087017)</f>
        <v>1.93930359087017E-2</v>
      </c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</row>
    <row r="25" spans="1:477" ht="15.75" customHeight="1">
      <c r="A25" s="1" t="str">
        <f ca="1">IFERROR(__xludf.DUMMYFUNCTION("""COMPUTED_VALUE"""),"CTTransit Stamford")</f>
        <v>CTTransit Stamford</v>
      </c>
      <c r="B25" s="1" t="str">
        <f ca="1">IFERROR(__xludf.DUMMYFUNCTION("""COMPUTED_VALUE"""),"Connecticut")</f>
        <v>Connecticut</v>
      </c>
      <c r="C25" s="1" t="str">
        <f ca="1">IFERROR(__xludf.DUMMYFUNCTION("""COMPUTED_VALUE"""),"United States")</f>
        <v>United States</v>
      </c>
      <c r="D25" s="1" t="str">
        <f ca="1">IFERROR(__xludf.DUMMYFUNCTION("""COMPUTED_VALUE"""),"Connecticut")</f>
        <v>Connecticut</v>
      </c>
      <c r="E25" s="3">
        <f ca="1">IFERROR(__xludf.DUMMYFUNCTION("""COMPUTED_VALUE"""),-0.219114766027678)</f>
        <v>-0.21911476602767799</v>
      </c>
      <c r="F25" s="3">
        <f ca="1">IFERROR(__xludf.DUMMYFUNCTION("""COMPUTED_VALUE"""),-0.194046088421868)</f>
        <v>-0.19404608842186799</v>
      </c>
      <c r="G25" s="3">
        <f ca="1">IFERROR(__xludf.DUMMYFUNCTION("""COMPUTED_VALUE"""),-0.293028318837961)</f>
        <v>-0.29302831883796099</v>
      </c>
      <c r="H25" s="3">
        <f ca="1">IFERROR(__xludf.DUMMYFUNCTION("""COMPUTED_VALUE"""),-0.186288431011732)</f>
        <v>-0.18628843101173201</v>
      </c>
      <c r="I25" s="3">
        <f ca="1">IFERROR(__xludf.DUMMYFUNCTION("""COMPUTED_VALUE"""),-0.299939543066058)</f>
        <v>-0.29993954306605802</v>
      </c>
      <c r="J25" s="3">
        <f ca="1">IFERROR(__xludf.DUMMYFUNCTION("""COMPUTED_VALUE"""),-0.269701889584497)</f>
        <v>-0.26970188958449698</v>
      </c>
      <c r="K25" s="3">
        <f ca="1">IFERROR(__xludf.DUMMYFUNCTION("""COMPUTED_VALUE"""),-0.318491489410961)</f>
        <v>-0.318491489410961</v>
      </c>
      <c r="L25" s="3">
        <f ca="1">IFERROR(__xludf.DUMMYFUNCTION("""COMPUTED_VALUE"""),-0.326137370095064)</f>
        <v>-0.32613737009506399</v>
      </c>
      <c r="M25" s="3">
        <f ca="1">IFERROR(__xludf.DUMMYFUNCTION("""COMPUTED_VALUE"""),-0.350074862584439)</f>
        <v>-0.35007486258443898</v>
      </c>
      <c r="N25" s="3">
        <f ca="1">IFERROR(__xludf.DUMMYFUNCTION("""COMPUTED_VALUE"""),-0.320137087801884)</f>
        <v>-0.32013708780188399</v>
      </c>
      <c r="O25" s="3">
        <f ca="1">IFERROR(__xludf.DUMMYFUNCTION("""COMPUTED_VALUE"""),-0.25780608141423)</f>
        <v>-0.25780608141423</v>
      </c>
      <c r="P25" s="3">
        <f ca="1">IFERROR(__xludf.DUMMYFUNCTION("""COMPUTED_VALUE"""),-0.268937904668045)</f>
        <v>-0.26893790466804501</v>
      </c>
      <c r="Q25" s="3">
        <f ca="1">IFERROR(__xludf.DUMMYFUNCTION("""COMPUTED_VALUE"""),-0.267704277278625)</f>
        <v>-0.267704277278625</v>
      </c>
      <c r="R25" s="3">
        <f ca="1">IFERROR(__xludf.DUMMYFUNCTION("""COMPUTED_VALUE"""),-0.419069398296084)</f>
        <v>-0.41906939829608397</v>
      </c>
      <c r="S25" s="3">
        <f ca="1">IFERROR(__xludf.DUMMYFUNCTION("""COMPUTED_VALUE"""),-0.265954992698002)</f>
        <v>-0.26595499269800199</v>
      </c>
      <c r="T25" s="3">
        <f ca="1">IFERROR(__xludf.DUMMYFUNCTION("""COMPUTED_VALUE"""),-0.273392172457561)</f>
        <v>-0.27339217245756098</v>
      </c>
      <c r="U25" s="3">
        <f ca="1">IFERROR(__xludf.DUMMYFUNCTION("""COMPUTED_VALUE"""),-0.299802282235193)</f>
        <v>-0.29980228223519301</v>
      </c>
      <c r="V25" s="3">
        <f ca="1">IFERROR(__xludf.DUMMYFUNCTION("""COMPUTED_VALUE"""),-0.258085426667023)</f>
        <v>-0.258085426667023</v>
      </c>
      <c r="W25" s="3">
        <f ca="1">IFERROR(__xludf.DUMMYFUNCTION("""COMPUTED_VALUE"""),-0.218183788882058)</f>
        <v>-0.218183788882058</v>
      </c>
      <c r="X25" s="3">
        <f ca="1">IFERROR(__xludf.DUMMYFUNCTION("""COMPUTED_VALUE"""),-0.221560645769901)</f>
        <v>-0.221560645769901</v>
      </c>
      <c r="Y25" s="3">
        <f ca="1">IFERROR(__xludf.DUMMYFUNCTION("""COMPUTED_VALUE"""),-0.226952232929143)</f>
        <v>-0.22695223292914299</v>
      </c>
      <c r="Z25" s="3">
        <f ca="1">IFERROR(__xludf.DUMMYFUNCTION("""COMPUTED_VALUE"""),-0.294219922443048)</f>
        <v>-0.29421992244304801</v>
      </c>
      <c r="AA25" s="3">
        <f ca="1">IFERROR(__xludf.DUMMYFUNCTION("""COMPUTED_VALUE"""),-0.239690136930866)</f>
        <v>-0.23969013693086599</v>
      </c>
      <c r="AB25" s="3">
        <f ca="1">IFERROR(__xludf.DUMMYFUNCTION("""COMPUTED_VALUE"""),-0.317898365233095)</f>
        <v>-0.317898365233095</v>
      </c>
      <c r="AC25" s="3">
        <f ca="1">IFERROR(__xludf.DUMMYFUNCTION("""COMPUTED_VALUE"""),-0.30367040406833)</f>
        <v>-0.30367040406833001</v>
      </c>
      <c r="AD25" s="3">
        <f ca="1">IFERROR(__xludf.DUMMYFUNCTION("""COMPUTED_VALUE"""),-0.303450488749587)</f>
        <v>-0.30345048874958702</v>
      </c>
      <c r="AE25" s="3">
        <f ca="1">IFERROR(__xludf.DUMMYFUNCTION("""COMPUTED_VALUE"""),-0.209930873522991)</f>
        <v>-0.209930873522991</v>
      </c>
      <c r="AF25" s="3">
        <f ca="1">IFERROR(__xludf.DUMMYFUNCTION("""COMPUTED_VALUE"""),-0.274423302994163)</f>
        <v>-0.27442330299416301</v>
      </c>
      <c r="AG25" s="3">
        <f ca="1">IFERROR(__xludf.DUMMYFUNCTION("""COMPUTED_VALUE"""),-0.172496597375726)</f>
        <v>-0.17249659737572601</v>
      </c>
      <c r="AH25" s="3">
        <f ca="1">IFERROR(__xludf.DUMMYFUNCTION("""COMPUTED_VALUE"""),-0.109163035910672)</f>
        <v>-0.109163035910672</v>
      </c>
      <c r="AI25" s="3">
        <f ca="1">IFERROR(__xludf.DUMMYFUNCTION("""COMPUTED_VALUE"""),-0.224327858896216)</f>
        <v>-0.22432785889621601</v>
      </c>
      <c r="AJ25" s="3">
        <f ca="1">IFERROR(__xludf.DUMMYFUNCTION("""COMPUTED_VALUE"""),-0.315506996489978)</f>
        <v>-0.31550699648997799</v>
      </c>
      <c r="AK25" s="3">
        <f ca="1">IFERROR(__xludf.DUMMYFUNCTION("""COMPUTED_VALUE"""),-0.227757091976297)</f>
        <v>-0.22775709197629701</v>
      </c>
      <c r="AL25" s="3">
        <f ca="1">IFERROR(__xludf.DUMMYFUNCTION("""COMPUTED_VALUE"""),-0.180884516162814)</f>
        <v>-0.18088451616281401</v>
      </c>
      <c r="AM25" s="3">
        <f ca="1">IFERROR(__xludf.DUMMYFUNCTION("""COMPUTED_VALUE"""),-0.344737463941772)</f>
        <v>-0.34473746394177202</v>
      </c>
      <c r="AN25" s="3">
        <f ca="1">IFERROR(__xludf.DUMMYFUNCTION("""COMPUTED_VALUE"""),-0.31394445756752)</f>
        <v>-0.31394445756751999</v>
      </c>
      <c r="AO25" s="3">
        <f ca="1">IFERROR(__xludf.DUMMYFUNCTION("""COMPUTED_VALUE"""),-0.260394179738243)</f>
        <v>-0.26039417973824303</v>
      </c>
      <c r="AP25" s="3">
        <f ca="1">IFERROR(__xludf.DUMMYFUNCTION("""COMPUTED_VALUE"""),-0.329231723237244)</f>
        <v>-0.32923172323724398</v>
      </c>
      <c r="AQ25" s="3">
        <f ca="1">IFERROR(__xludf.DUMMYFUNCTION("""COMPUTED_VALUE"""),-0.340674547711585)</f>
        <v>-0.34067454771158501</v>
      </c>
      <c r="AR25" s="3">
        <f ca="1">IFERROR(__xludf.DUMMYFUNCTION("""COMPUTED_VALUE"""),-0.270019049297899)</f>
        <v>-0.27001904929789899</v>
      </c>
      <c r="AS25" s="3">
        <f ca="1">IFERROR(__xludf.DUMMYFUNCTION("""COMPUTED_VALUE"""),-0.194725763851009)</f>
        <v>-0.19472576385100901</v>
      </c>
      <c r="AT25" s="3">
        <f ca="1">IFERROR(__xludf.DUMMYFUNCTION("""COMPUTED_VALUE"""),-0.300725632771035)</f>
        <v>-0.30072563277103498</v>
      </c>
      <c r="AU25" s="3">
        <f ca="1">IFERROR(__xludf.DUMMYFUNCTION("""COMPUTED_VALUE"""),-0.238680627512352)</f>
        <v>-0.238680627512352</v>
      </c>
      <c r="AV25" s="3">
        <f ca="1">IFERROR(__xludf.DUMMYFUNCTION("""COMPUTED_VALUE"""),-0.253027123101266)</f>
        <v>-0.25302712310126602</v>
      </c>
      <c r="AW25" s="3">
        <f ca="1">IFERROR(__xludf.DUMMYFUNCTION("""COMPUTED_VALUE"""),-0.32693035106138)</f>
        <v>-0.32693035106138002</v>
      </c>
      <c r="AX25" s="3">
        <f ca="1">IFERROR(__xludf.DUMMYFUNCTION("""COMPUTED_VALUE"""),-0.355654725669155)</f>
        <v>-0.35565472566915501</v>
      </c>
      <c r="AY25" s="3">
        <f ca="1">IFERROR(__xludf.DUMMYFUNCTION("""COMPUTED_VALUE"""),-0.267802843188464)</f>
        <v>-0.26780284318846398</v>
      </c>
      <c r="AZ25" s="3">
        <f ca="1">IFERROR(__xludf.DUMMYFUNCTION("""COMPUTED_VALUE"""),-0.329565008540233)</f>
        <v>-0.32956500854023302</v>
      </c>
      <c r="BA25" s="3">
        <f ca="1">IFERROR(__xludf.DUMMYFUNCTION("""COMPUTED_VALUE"""),-0.260835614082939)</f>
        <v>-0.26083561408293898</v>
      </c>
      <c r="BB25" s="3">
        <f ca="1">IFERROR(__xludf.DUMMYFUNCTION("""COMPUTED_VALUE"""),-0.337590144298982)</f>
        <v>-0.33759014429898199</v>
      </c>
      <c r="BC25" s="3">
        <f ca="1">IFERROR(__xludf.DUMMYFUNCTION("""COMPUTED_VALUE"""),-0.28515005008687)</f>
        <v>-0.28515005008687</v>
      </c>
      <c r="BD25" s="3">
        <f ca="1">IFERROR(__xludf.DUMMYFUNCTION("""COMPUTED_VALUE"""),-0.336395625278035)</f>
        <v>-0.33639562527803502</v>
      </c>
      <c r="BE25" s="3">
        <f ca="1">IFERROR(__xludf.DUMMYFUNCTION("""COMPUTED_VALUE"""),-0.257890655258623)</f>
        <v>-0.25789065525862298</v>
      </c>
      <c r="BF25" s="3">
        <f ca="1">IFERROR(__xludf.DUMMYFUNCTION("""COMPUTED_VALUE"""),-0.308551266075675)</f>
        <v>-0.30855126607567501</v>
      </c>
      <c r="BG25" s="3">
        <f ca="1">IFERROR(__xludf.DUMMYFUNCTION("""COMPUTED_VALUE"""),-0.299495143666877)</f>
        <v>-0.29949514366687702</v>
      </c>
      <c r="BH25" s="3">
        <f ca="1">IFERROR(__xludf.DUMMYFUNCTION("""COMPUTED_VALUE"""),-0.339734247916381)</f>
        <v>-0.33973424791638102</v>
      </c>
      <c r="BI25" s="3">
        <f ca="1">IFERROR(__xludf.DUMMYFUNCTION("""COMPUTED_VALUE"""),-0.330900103728232)</f>
        <v>-0.33090010372823198</v>
      </c>
      <c r="BJ25" s="3">
        <f ca="1">IFERROR(__xludf.DUMMYFUNCTION("""COMPUTED_VALUE"""),-0.381128127815444)</f>
        <v>-0.38112812781544397</v>
      </c>
      <c r="BK25" s="3">
        <f ca="1">IFERROR(__xludf.DUMMYFUNCTION("""COMPUTED_VALUE"""),-0.330295955623129)</f>
        <v>-0.33029595562312902</v>
      </c>
      <c r="BL25" s="3">
        <f ca="1">IFERROR(__xludf.DUMMYFUNCTION("""COMPUTED_VALUE"""),-0.378803889443011)</f>
        <v>-0.37880388944301102</v>
      </c>
      <c r="BM25" s="3">
        <f ca="1">IFERROR(__xludf.DUMMYFUNCTION("""COMPUTED_VALUE"""),-0.364960963330381)</f>
        <v>-0.36496096333038103</v>
      </c>
      <c r="BN25" s="3">
        <f ca="1">IFERROR(__xludf.DUMMYFUNCTION("""COMPUTED_VALUE"""),-0.369659267632078)</f>
        <v>-0.36965926763207801</v>
      </c>
      <c r="BO25" s="3">
        <f ca="1">IFERROR(__xludf.DUMMYFUNCTION("""COMPUTED_VALUE"""),-0.444752887149688)</f>
        <v>-0.44475288714968803</v>
      </c>
      <c r="BP25" s="3">
        <f ca="1">IFERROR(__xludf.DUMMYFUNCTION("""COMPUTED_VALUE"""),-0.279237044184255)</f>
        <v>-0.27923704418425499</v>
      </c>
      <c r="BQ25" s="3">
        <f ca="1">IFERROR(__xludf.DUMMYFUNCTION("""COMPUTED_VALUE"""),-0.278499163191812)</f>
        <v>-0.278499163191812</v>
      </c>
      <c r="BR25" s="3">
        <f ca="1">IFERROR(__xludf.DUMMYFUNCTION("""COMPUTED_VALUE"""),-0.364970316733473)</f>
        <v>-0.36497031673347302</v>
      </c>
      <c r="BS25" s="3">
        <f ca="1">IFERROR(__xludf.DUMMYFUNCTION("""COMPUTED_VALUE"""),-0.375757890772023)</f>
        <v>-0.37575789077202298</v>
      </c>
      <c r="BT25" s="3">
        <f ca="1">IFERROR(__xludf.DUMMYFUNCTION("""COMPUTED_VALUE"""),-0.445832234353719)</f>
        <v>-0.44583223435371899</v>
      </c>
      <c r="BU25" s="3">
        <f ca="1">IFERROR(__xludf.DUMMYFUNCTION("""COMPUTED_VALUE"""),-0.529156191114076)</f>
        <v>-0.52915619111407597</v>
      </c>
      <c r="BV25" s="3">
        <f ca="1">IFERROR(__xludf.DUMMYFUNCTION("""COMPUTED_VALUE"""),-0.422890878627765)</f>
        <v>-0.42289087862776498</v>
      </c>
      <c r="BW25" s="3">
        <f ca="1">IFERROR(__xludf.DUMMYFUNCTION("""COMPUTED_VALUE"""),-0.375711193913484)</f>
        <v>-0.37571119391348401</v>
      </c>
      <c r="BX25" s="3">
        <f ca="1">IFERROR(__xludf.DUMMYFUNCTION("""COMPUTED_VALUE"""),-0.416878319403051)</f>
        <v>-0.41687831940305098</v>
      </c>
      <c r="BY25" s="3">
        <f ca="1">IFERROR(__xludf.DUMMYFUNCTION("""COMPUTED_VALUE"""),-0.422713784153945)</f>
        <v>-0.422713784153945</v>
      </c>
      <c r="BZ25" s="3">
        <f ca="1">IFERROR(__xludf.DUMMYFUNCTION("""COMPUTED_VALUE"""),-0.464128298023886)</f>
        <v>-0.464128298023886</v>
      </c>
      <c r="CA25" s="3">
        <f ca="1">IFERROR(__xludf.DUMMYFUNCTION("""COMPUTED_VALUE"""),-0.452955467574965)</f>
        <v>-0.45295546757496502</v>
      </c>
      <c r="CB25" s="3">
        <f ca="1">IFERROR(__xludf.DUMMYFUNCTION("""COMPUTED_VALUE"""),-0.439358067973099)</f>
        <v>-0.43935806797309901</v>
      </c>
      <c r="CC25" s="3">
        <f ca="1">IFERROR(__xludf.DUMMYFUNCTION("""COMPUTED_VALUE"""),-0.452415366059376)</f>
        <v>-0.45241536605937599</v>
      </c>
      <c r="CD25" s="3">
        <f ca="1">IFERROR(__xludf.DUMMYFUNCTION("""COMPUTED_VALUE"""),-0.243821803855108)</f>
        <v>-0.24382180385510799</v>
      </c>
      <c r="CE25" s="3">
        <f ca="1">IFERROR(__xludf.DUMMYFUNCTION("""COMPUTED_VALUE"""),-0.287203530561236)</f>
        <v>-0.28720353056123599</v>
      </c>
      <c r="CF25" s="3">
        <f ca="1">IFERROR(__xludf.DUMMYFUNCTION("""COMPUTED_VALUE"""),-0.461358554831807)</f>
        <v>-0.46135855483180699</v>
      </c>
      <c r="CG25" s="3">
        <f ca="1">IFERROR(__xludf.DUMMYFUNCTION("""COMPUTED_VALUE"""),-0.386015984642323)</f>
        <v>-0.38601598464232301</v>
      </c>
      <c r="CH25" s="3">
        <f ca="1">IFERROR(__xludf.DUMMYFUNCTION("""COMPUTED_VALUE"""),-0.370355721096049)</f>
        <v>-0.37035572109604897</v>
      </c>
      <c r="CI25" s="3">
        <f ca="1">IFERROR(__xludf.DUMMYFUNCTION("""COMPUTED_VALUE"""),-0.33808184240213)</f>
        <v>-0.33808184240213002</v>
      </c>
      <c r="CJ25" s="3">
        <f ca="1">IFERROR(__xludf.DUMMYFUNCTION("""COMPUTED_VALUE"""),-0.388182927321136)</f>
        <v>-0.38818292732113602</v>
      </c>
      <c r="CK25" s="3">
        <f ca="1">IFERROR(__xludf.DUMMYFUNCTION("""COMPUTED_VALUE"""),-0.320027446614441)</f>
        <v>-0.32002744661444099</v>
      </c>
      <c r="CL25" s="3">
        <f ca="1">IFERROR(__xludf.DUMMYFUNCTION("""COMPUTED_VALUE"""),-0.347883351104074)</f>
        <v>-0.34788335110407398</v>
      </c>
      <c r="CM25" s="3">
        <f ca="1">IFERROR(__xludf.DUMMYFUNCTION("""COMPUTED_VALUE"""),-0.416248987787245)</f>
        <v>-0.41624898778724501</v>
      </c>
      <c r="CN25" s="3">
        <f ca="1">IFERROR(__xludf.DUMMYFUNCTION("""COMPUTED_VALUE"""),-0.408568705176425)</f>
        <v>-0.40856870517642502</v>
      </c>
      <c r="CO25" s="3">
        <f ca="1">IFERROR(__xludf.DUMMYFUNCTION("""COMPUTED_VALUE"""),-0.401320849009121)</f>
        <v>-0.40132084900912102</v>
      </c>
      <c r="CP25" s="3">
        <f ca="1">IFERROR(__xludf.DUMMYFUNCTION("""COMPUTED_VALUE"""),-0.374776626891021)</f>
        <v>-0.37477662689102098</v>
      </c>
      <c r="CQ25" s="3">
        <f ca="1">IFERROR(__xludf.DUMMYFUNCTION("""COMPUTED_VALUE"""),-0.388059375931813)</f>
        <v>-0.388059375931813</v>
      </c>
      <c r="CR25" s="3">
        <f ca="1">IFERROR(__xludf.DUMMYFUNCTION("""COMPUTED_VALUE"""),-0.341689136552926)</f>
        <v>-0.34168913655292599</v>
      </c>
      <c r="CS25" s="3">
        <f ca="1">IFERROR(__xludf.DUMMYFUNCTION("""COMPUTED_VALUE"""),-0.356071285430647)</f>
        <v>-0.35607128543064698</v>
      </c>
      <c r="CT25" s="3">
        <f ca="1">IFERROR(__xludf.DUMMYFUNCTION("""COMPUTED_VALUE"""),-0.350014113172584)</f>
        <v>-0.35001411317258402</v>
      </c>
      <c r="CU25" s="3">
        <f ca="1">IFERROR(__xludf.DUMMYFUNCTION("""COMPUTED_VALUE"""),-0.20799230151496)</f>
        <v>-0.20799230151496001</v>
      </c>
      <c r="CV25" s="3">
        <f ca="1">IFERROR(__xludf.DUMMYFUNCTION("""COMPUTED_VALUE"""),-0.326520389129487)</f>
        <v>-0.326520389129487</v>
      </c>
      <c r="CW25" s="3">
        <f ca="1">IFERROR(__xludf.DUMMYFUNCTION("""COMPUTED_VALUE"""),-0.29666621065996)</f>
        <v>-0.29666621065996002</v>
      </c>
      <c r="CX25" s="3">
        <f ca="1">IFERROR(__xludf.DUMMYFUNCTION("""COMPUTED_VALUE"""),-0.513041915262744)</f>
        <v>-0.51304191526274401</v>
      </c>
      <c r="CY25" s="3">
        <f ca="1">IFERROR(__xludf.DUMMYFUNCTION("""COMPUTED_VALUE"""),-0.285514376123634)</f>
        <v>-0.28551437612363401</v>
      </c>
      <c r="CZ25" s="3">
        <f ca="1">IFERROR(__xludf.DUMMYFUNCTION("""COMPUTED_VALUE"""),-0.462798955180009)</f>
        <v>-0.46279895518000902</v>
      </c>
      <c r="DA25" s="3">
        <f ca="1">IFERROR(__xludf.DUMMYFUNCTION("""COMPUTED_VALUE"""),-0.244512659413304)</f>
        <v>-0.244512659413304</v>
      </c>
      <c r="DB25" s="3">
        <f ca="1">IFERROR(__xludf.DUMMYFUNCTION("""COMPUTED_VALUE"""),-0.0302573957757329)</f>
        <v>-3.0257395775732901E-2</v>
      </c>
      <c r="DC25" s="3">
        <f ca="1">IFERROR(__xludf.DUMMYFUNCTION("""COMPUTED_VALUE"""),-0.315459337547597)</f>
        <v>-0.31545933754759697</v>
      </c>
      <c r="DD25" s="3">
        <f ca="1">IFERROR(__xludf.DUMMYFUNCTION("""COMPUTED_VALUE"""),-0.334120046625288)</f>
        <v>-0.33412004662528799</v>
      </c>
      <c r="DE25" s="3">
        <f ca="1">IFERROR(__xludf.DUMMYFUNCTION("""COMPUTED_VALUE"""),-0.380306579174358)</f>
        <v>-0.38030657917435801</v>
      </c>
      <c r="DF25" s="3">
        <f ca="1">IFERROR(__xludf.DUMMYFUNCTION("""COMPUTED_VALUE"""),-0.374931318581969)</f>
        <v>-0.37493131858196899</v>
      </c>
      <c r="DG25" s="3">
        <f ca="1">IFERROR(__xludf.DUMMYFUNCTION("""COMPUTED_VALUE"""),-0.714477938413769)</f>
        <v>-0.71447793841376905</v>
      </c>
      <c r="DH25" s="3">
        <f ca="1">IFERROR(__xludf.DUMMYFUNCTION("""COMPUTED_VALUE"""),-0.21392995594565)</f>
        <v>-0.21392995594565001</v>
      </c>
      <c r="DI25" s="3">
        <f ca="1">IFERROR(__xludf.DUMMYFUNCTION("""COMPUTED_VALUE"""),0.115696876927288)</f>
        <v>0.115696876927288</v>
      </c>
      <c r="DJ25" s="3">
        <f ca="1">IFERROR(__xludf.DUMMYFUNCTION("""COMPUTED_VALUE"""),-0.289585218760739)</f>
        <v>-0.289585218760739</v>
      </c>
      <c r="DK25" s="3">
        <f ca="1">IFERROR(__xludf.DUMMYFUNCTION("""COMPUTED_VALUE"""),-0.299731466203352)</f>
        <v>-0.299731466203352</v>
      </c>
      <c r="DL25" s="3">
        <f ca="1">IFERROR(__xludf.DUMMYFUNCTION("""COMPUTED_VALUE"""),-0.369048447216548)</f>
        <v>-0.369048447216548</v>
      </c>
      <c r="DM25" s="3">
        <f ca="1">IFERROR(__xludf.DUMMYFUNCTION("""COMPUTED_VALUE"""),-0.221940323832831)</f>
        <v>-0.22194032383283099</v>
      </c>
      <c r="DN25" s="3">
        <f ca="1">IFERROR(__xludf.DUMMYFUNCTION("""COMPUTED_VALUE"""),-0.271374913584642)</f>
        <v>-0.271374913584642</v>
      </c>
      <c r="DO25" s="3">
        <f ca="1">IFERROR(__xludf.DUMMYFUNCTION("""COMPUTED_VALUE"""),-0.359653167266426)</f>
        <v>-0.35965316726642599</v>
      </c>
      <c r="DP25" s="3">
        <f ca="1">IFERROR(__xludf.DUMMYFUNCTION("""COMPUTED_VALUE"""),-0.114638222012709)</f>
        <v>-0.114638222012709</v>
      </c>
      <c r="DQ25" s="3">
        <f ca="1">IFERROR(__xludf.DUMMYFUNCTION("""COMPUTED_VALUE"""),-0.318783844799452)</f>
        <v>-0.31878384479945199</v>
      </c>
      <c r="DR25" s="3">
        <f ca="1">IFERROR(__xludf.DUMMYFUNCTION("""COMPUTED_VALUE"""),-0.475092852482733)</f>
        <v>-0.47509285248273297</v>
      </c>
      <c r="DS25" s="3">
        <f ca="1">IFERROR(__xludf.DUMMYFUNCTION("""COMPUTED_VALUE"""),-0.470600364152285)</f>
        <v>-0.47060036415228501</v>
      </c>
      <c r="DT25" s="3">
        <f ca="1">IFERROR(__xludf.DUMMYFUNCTION("""COMPUTED_VALUE"""),-0.339855488144988)</f>
        <v>-0.339855488144988</v>
      </c>
      <c r="DU25" s="3">
        <f ca="1">IFERROR(__xludf.DUMMYFUNCTION("""COMPUTED_VALUE"""),-0.443292682198475)</f>
        <v>-0.44329268219847501</v>
      </c>
      <c r="DV25" s="3">
        <f ca="1">IFERROR(__xludf.DUMMYFUNCTION("""COMPUTED_VALUE"""),-0.509049751802901)</f>
        <v>-0.50904975180290102</v>
      </c>
      <c r="DW25" s="3">
        <f ca="1">IFERROR(__xludf.DUMMYFUNCTION("""COMPUTED_VALUE"""),-0.527365160887227)</f>
        <v>-0.52736516088722696</v>
      </c>
      <c r="DX25" s="3">
        <f ca="1">IFERROR(__xludf.DUMMYFUNCTION("""COMPUTED_VALUE"""),-0.540939078834894)</f>
        <v>-0.540939078834894</v>
      </c>
      <c r="DY25" s="3">
        <f ca="1">IFERROR(__xludf.DUMMYFUNCTION("""COMPUTED_VALUE"""),-0.433885467447924)</f>
        <v>-0.433885467447924</v>
      </c>
      <c r="DZ25" s="3">
        <f ca="1">IFERROR(__xludf.DUMMYFUNCTION("""COMPUTED_VALUE"""),-0.436424155725795)</f>
        <v>-0.43642415572579502</v>
      </c>
      <c r="EA25" s="3">
        <f ca="1">IFERROR(__xludf.DUMMYFUNCTION("""COMPUTED_VALUE"""),-0.511213580432681)</f>
        <v>-0.51121358043268095</v>
      </c>
      <c r="EB25" s="3">
        <f ca="1">IFERROR(__xludf.DUMMYFUNCTION("""COMPUTED_VALUE"""),-0.374309760276724)</f>
        <v>-0.37430976027672402</v>
      </c>
      <c r="EC25" s="3">
        <f ca="1">IFERROR(__xludf.DUMMYFUNCTION("""COMPUTED_VALUE"""),-0.442697964286379)</f>
        <v>-0.44269796428637898</v>
      </c>
      <c r="ED25" s="3">
        <f ca="1">IFERROR(__xludf.DUMMYFUNCTION("""COMPUTED_VALUE"""),-0.510903057245143)</f>
        <v>-0.51090305724514296</v>
      </c>
      <c r="EE25" s="3">
        <f ca="1">IFERROR(__xludf.DUMMYFUNCTION("""COMPUTED_VALUE"""),-0.493759962034565)</f>
        <v>-0.49375996203456501</v>
      </c>
      <c r="EF25" s="3">
        <f ca="1">IFERROR(__xludf.DUMMYFUNCTION("""COMPUTED_VALUE"""),-0.429041312567392)</f>
        <v>-0.42904131256739197</v>
      </c>
      <c r="EG25" s="3">
        <f ca="1">IFERROR(__xludf.DUMMYFUNCTION("""COMPUTED_VALUE"""),-0.471427348048568)</f>
        <v>-0.47142734804856801</v>
      </c>
      <c r="EH25" s="3">
        <f ca="1">IFERROR(__xludf.DUMMYFUNCTION("""COMPUTED_VALUE"""),-0.423678560915218)</f>
        <v>-0.42367856091521799</v>
      </c>
      <c r="EI25" s="3">
        <f ca="1">IFERROR(__xludf.DUMMYFUNCTION("""COMPUTED_VALUE"""),-0.437926747790909)</f>
        <v>-0.43792674779090901</v>
      </c>
      <c r="EJ25" s="3">
        <f ca="1">IFERROR(__xludf.DUMMYFUNCTION("""COMPUTED_VALUE"""),-0.634764825792496)</f>
        <v>-0.63476482579249605</v>
      </c>
      <c r="EK25" s="3">
        <f ca="1">IFERROR(__xludf.DUMMYFUNCTION("""COMPUTED_VALUE"""),-0.387067482017609)</f>
        <v>-0.38706748201760899</v>
      </c>
      <c r="EL25" s="3">
        <f ca="1">IFERROR(__xludf.DUMMYFUNCTION("""COMPUTED_VALUE"""),-0.443878872807197)</f>
        <v>-0.44387887280719701</v>
      </c>
      <c r="EM25" s="3">
        <f ca="1">IFERROR(__xludf.DUMMYFUNCTION("""COMPUTED_VALUE"""),-0.382375283318605)</f>
        <v>-0.38237528331860499</v>
      </c>
      <c r="EN25" s="3">
        <f ca="1">IFERROR(__xludf.DUMMYFUNCTION("""COMPUTED_VALUE"""),-0.381840135012899)</f>
        <v>-0.38184013501289898</v>
      </c>
      <c r="EO25" s="3">
        <f ca="1">IFERROR(__xludf.DUMMYFUNCTION("""COMPUTED_VALUE"""),-0.368520352190509)</f>
        <v>-0.36852035219050899</v>
      </c>
      <c r="EP25" s="3">
        <f ca="1">IFERROR(__xludf.DUMMYFUNCTION("""COMPUTED_VALUE"""),-0.419086158216181)</f>
        <v>-0.419086158216181</v>
      </c>
      <c r="EQ25" s="3">
        <f ca="1">IFERROR(__xludf.DUMMYFUNCTION("""COMPUTED_VALUE"""),-0.422075843113031)</f>
        <v>-0.42207584311303098</v>
      </c>
      <c r="ER25" s="3">
        <f ca="1">IFERROR(__xludf.DUMMYFUNCTION("""COMPUTED_VALUE"""),-0.418241223279515)</f>
        <v>-0.41824122327951502</v>
      </c>
      <c r="ES25" s="3">
        <f ca="1">IFERROR(__xludf.DUMMYFUNCTION("""COMPUTED_VALUE"""),-0.464660978466281)</f>
        <v>-0.46466097846628102</v>
      </c>
      <c r="ET25" s="3">
        <f ca="1">IFERROR(__xludf.DUMMYFUNCTION("""COMPUTED_VALUE"""),-0.439818767655531)</f>
        <v>-0.43981876765553102</v>
      </c>
      <c r="EU25" s="3">
        <f ca="1">IFERROR(__xludf.DUMMYFUNCTION("""COMPUTED_VALUE"""),-0.243519329087294)</f>
        <v>-0.24351932908729401</v>
      </c>
      <c r="EV25" s="3">
        <f ca="1">IFERROR(__xludf.DUMMYFUNCTION("""COMPUTED_VALUE"""),-0.284475585913295)</f>
        <v>-0.28447558591329503</v>
      </c>
      <c r="EW25" s="3">
        <f ca="1">IFERROR(__xludf.DUMMYFUNCTION("""COMPUTED_VALUE"""),-0.475951951880366)</f>
        <v>-0.47595195188036599</v>
      </c>
      <c r="EX25" s="3">
        <f ca="1">IFERROR(__xludf.DUMMYFUNCTION("""COMPUTED_VALUE"""),-0.453028177731526)</f>
        <v>-0.45302817773152598</v>
      </c>
      <c r="EY25" s="3">
        <f ca="1">IFERROR(__xludf.DUMMYFUNCTION("""COMPUTED_VALUE"""),-0.360791094319915)</f>
        <v>-0.36079109431991502</v>
      </c>
      <c r="EZ25" s="3">
        <f ca="1">IFERROR(__xludf.DUMMYFUNCTION("""COMPUTED_VALUE"""),-0.444503323663648)</f>
        <v>-0.44450332366364798</v>
      </c>
      <c r="FA25" s="3">
        <f ca="1">IFERROR(__xludf.DUMMYFUNCTION("""COMPUTED_VALUE"""),-0.447175697422135)</f>
        <v>-0.44717569742213498</v>
      </c>
      <c r="FB25" s="3">
        <f ca="1">IFERROR(__xludf.DUMMYFUNCTION("""COMPUTED_VALUE"""),-0.329854235228701)</f>
        <v>-0.329854235228701</v>
      </c>
      <c r="FC25" s="3">
        <f ca="1">IFERROR(__xludf.DUMMYFUNCTION("""COMPUTED_VALUE"""),-0.35788721648313)</f>
        <v>-0.35788721648312999</v>
      </c>
      <c r="FD25" s="3">
        <f ca="1">IFERROR(__xludf.DUMMYFUNCTION("""COMPUTED_VALUE"""),-0.435371458008939)</f>
        <v>-0.43537145800893901</v>
      </c>
      <c r="FE25" s="3">
        <f ca="1">IFERROR(__xludf.DUMMYFUNCTION("""COMPUTED_VALUE"""),-0.444237974671879)</f>
        <v>-0.44423797467187898</v>
      </c>
      <c r="FF25" s="3">
        <f ca="1">IFERROR(__xludf.DUMMYFUNCTION("""COMPUTED_VALUE"""),-0.504489865851553)</f>
        <v>-0.50448986585155298</v>
      </c>
      <c r="FG25" s="3">
        <f ca="1">IFERROR(__xludf.DUMMYFUNCTION("""COMPUTED_VALUE"""),-0.448060204321752)</f>
        <v>-0.44806020432175198</v>
      </c>
      <c r="FH25" s="3">
        <f ca="1">IFERROR(__xludf.DUMMYFUNCTION("""COMPUTED_VALUE"""),-0.478837163642429)</f>
        <v>-0.47883716364242901</v>
      </c>
      <c r="FI25" s="3">
        <f ca="1">IFERROR(__xludf.DUMMYFUNCTION("""COMPUTED_VALUE"""),-0.417256095870324)</f>
        <v>-0.41725609587032397</v>
      </c>
      <c r="FJ25" s="3">
        <f ca="1">IFERROR(__xludf.DUMMYFUNCTION("""COMPUTED_VALUE"""),-0.377192148829036)</f>
        <v>-0.37719214882903601</v>
      </c>
      <c r="FK25" s="3">
        <f ca="1">IFERROR(__xludf.DUMMYFUNCTION("""COMPUTED_VALUE"""),-0.508846644997686)</f>
        <v>-0.50884664499768595</v>
      </c>
      <c r="FL25" s="3">
        <f ca="1">IFERROR(__xludf.DUMMYFUNCTION("""COMPUTED_VALUE"""),-0.506044056209206)</f>
        <v>-0.50604405620920601</v>
      </c>
      <c r="FM25" s="3">
        <f ca="1">IFERROR(__xludf.DUMMYFUNCTION("""COMPUTED_VALUE"""),-0.482345008845252)</f>
        <v>-0.482345008845252</v>
      </c>
      <c r="FN25" s="3">
        <f ca="1">IFERROR(__xludf.DUMMYFUNCTION("""COMPUTED_VALUE"""),-0.423671823408429)</f>
        <v>-0.42367182340842902</v>
      </c>
      <c r="FO25" s="3">
        <f ca="1">IFERROR(__xludf.DUMMYFUNCTION("""COMPUTED_VALUE"""),-0.421712991342554)</f>
        <v>-0.42171299134255402</v>
      </c>
      <c r="FP25" s="3">
        <f ca="1">IFERROR(__xludf.DUMMYFUNCTION("""COMPUTED_VALUE"""),-0.324489356840962)</f>
        <v>-0.32448935684096197</v>
      </c>
      <c r="FQ25" s="3">
        <f ca="1">IFERROR(__xludf.DUMMYFUNCTION("""COMPUTED_VALUE"""),-0.47047893916091)</f>
        <v>-0.47047893916090999</v>
      </c>
      <c r="FR25" s="3">
        <f ca="1">IFERROR(__xludf.DUMMYFUNCTION("""COMPUTED_VALUE"""),-0.455798376309058)</f>
        <v>-0.45579837630905801</v>
      </c>
      <c r="FS25" s="3">
        <f ca="1">IFERROR(__xludf.DUMMYFUNCTION("""COMPUTED_VALUE"""),-0.440889986559997)</f>
        <v>-0.440889986559997</v>
      </c>
      <c r="FT25" s="3">
        <f ca="1">IFERROR(__xludf.DUMMYFUNCTION("""COMPUTED_VALUE"""),-0.457192787623309)</f>
        <v>-0.457192787623309</v>
      </c>
      <c r="FU25" s="3">
        <f ca="1">IFERROR(__xludf.DUMMYFUNCTION("""COMPUTED_VALUE"""),-0.382511698440641)</f>
        <v>-0.38251169844064098</v>
      </c>
      <c r="FV25" s="3">
        <f ca="1">IFERROR(__xludf.DUMMYFUNCTION("""COMPUTED_VALUE"""),-0.363650266442636)</f>
        <v>-0.36365026644263598</v>
      </c>
      <c r="FW25" s="3">
        <f ca="1">IFERROR(__xludf.DUMMYFUNCTION("""COMPUTED_VALUE"""),-0.363751629226227)</f>
        <v>-0.363751629226227</v>
      </c>
      <c r="FX25" s="3">
        <f ca="1">IFERROR(__xludf.DUMMYFUNCTION("""COMPUTED_VALUE"""),-0.311684977461984)</f>
        <v>-0.31168497746198398</v>
      </c>
      <c r="FY25" s="3">
        <f ca="1">IFERROR(__xludf.DUMMYFUNCTION("""COMPUTED_VALUE"""),-0.441497337953828)</f>
        <v>-0.44149733795382801</v>
      </c>
      <c r="FZ25" s="3">
        <f ca="1">IFERROR(__xludf.DUMMYFUNCTION("""COMPUTED_VALUE"""),-0.414462317717054)</f>
        <v>-0.414462317717054</v>
      </c>
      <c r="GA25" s="3">
        <f ca="1">IFERROR(__xludf.DUMMYFUNCTION("""COMPUTED_VALUE"""),-0.373468420922859)</f>
        <v>-0.37346842092285898</v>
      </c>
      <c r="GB25" s="3">
        <f ca="1">IFERROR(__xludf.DUMMYFUNCTION("""COMPUTED_VALUE"""),-0.440748516891238)</f>
        <v>-0.44074851689123801</v>
      </c>
      <c r="GC25" s="3">
        <f ca="1">IFERROR(__xludf.DUMMYFUNCTION("""COMPUTED_VALUE"""),-0.496037743918445)</f>
        <v>-0.49603774391844502</v>
      </c>
      <c r="GD25" s="3">
        <f ca="1">IFERROR(__xludf.DUMMYFUNCTION("""COMPUTED_VALUE"""),-0.345952253022164)</f>
        <v>-0.34595225302216398</v>
      </c>
      <c r="GE25" s="3">
        <f ca="1">IFERROR(__xludf.DUMMYFUNCTION("""COMPUTED_VALUE"""),-0.400161604624262)</f>
        <v>-0.40016160462426198</v>
      </c>
      <c r="GF25" s="3">
        <f ca="1">IFERROR(__xludf.DUMMYFUNCTION("""COMPUTED_VALUE"""),-0.458719656711662)</f>
        <v>-0.45871965671166198</v>
      </c>
      <c r="GG25" s="3">
        <f ca="1">IFERROR(__xludf.DUMMYFUNCTION("""COMPUTED_VALUE"""),-0.400282440829243)</f>
        <v>-0.40028244082924302</v>
      </c>
      <c r="GH25" s="3">
        <f ca="1">IFERROR(__xludf.DUMMYFUNCTION("""COMPUTED_VALUE"""),-0.374007269940117)</f>
        <v>-0.37400726994011702</v>
      </c>
      <c r="GI25" s="3">
        <f ca="1">IFERROR(__xludf.DUMMYFUNCTION("""COMPUTED_VALUE"""),-0.406734795799207)</f>
        <v>-0.40673479579920702</v>
      </c>
      <c r="GJ25" s="3">
        <f ca="1">IFERROR(__xludf.DUMMYFUNCTION("""COMPUTED_VALUE"""),-0.357701292540152)</f>
        <v>-0.35770129254015198</v>
      </c>
      <c r="GK25" s="3">
        <f ca="1">IFERROR(__xludf.DUMMYFUNCTION("""COMPUTED_VALUE"""),-0.349973332651091)</f>
        <v>-0.34997333265109098</v>
      </c>
      <c r="GL25" s="3">
        <f ca="1">IFERROR(__xludf.DUMMYFUNCTION("""COMPUTED_VALUE"""),-0.306996773180255)</f>
        <v>-0.30699677318025498</v>
      </c>
      <c r="GM25" s="3">
        <f ca="1">IFERROR(__xludf.DUMMYFUNCTION("""COMPUTED_VALUE"""),-0.4059314045055)</f>
        <v>-0.40593140450550003</v>
      </c>
      <c r="GN25" s="3">
        <f ca="1">IFERROR(__xludf.DUMMYFUNCTION("""COMPUTED_VALUE"""),-0.418385499856671)</f>
        <v>-0.41838549985667101</v>
      </c>
      <c r="GO25" s="3">
        <f ca="1">IFERROR(__xludf.DUMMYFUNCTION("""COMPUTED_VALUE"""),-0.328667549095082)</f>
        <v>-0.328667549095082</v>
      </c>
      <c r="GP25" s="3">
        <f ca="1">IFERROR(__xludf.DUMMYFUNCTION("""COMPUTED_VALUE"""),-0.32343525152469)</f>
        <v>-0.32343525152468999</v>
      </c>
      <c r="GQ25" s="3">
        <f ca="1">IFERROR(__xludf.DUMMYFUNCTION("""COMPUTED_VALUE"""),-0.299416514013535)</f>
        <v>-0.29941651401353497</v>
      </c>
      <c r="GR25" s="3">
        <f ca="1">IFERROR(__xludf.DUMMYFUNCTION("""COMPUTED_VALUE"""),-0.272029845948413)</f>
        <v>-0.27202984594841301</v>
      </c>
      <c r="GS25" s="3">
        <f ca="1">IFERROR(__xludf.DUMMYFUNCTION("""COMPUTED_VALUE"""),-0.359535212609344)</f>
        <v>-0.35953521260934401</v>
      </c>
      <c r="GT25" s="3">
        <f ca="1">IFERROR(__xludf.DUMMYFUNCTION("""COMPUTED_VALUE"""),-0.356003963511148)</f>
        <v>-0.35600396351114799</v>
      </c>
      <c r="GU25" s="3">
        <f ca="1">IFERROR(__xludf.DUMMYFUNCTION("""COMPUTED_VALUE"""),-0.362435848080007)</f>
        <v>-0.36243584808000701</v>
      </c>
      <c r="GV25" s="3">
        <f ca="1">IFERROR(__xludf.DUMMYFUNCTION("""COMPUTED_VALUE"""),-0.334984637563643)</f>
        <v>-0.334984637563643</v>
      </c>
      <c r="GW25" s="3">
        <f ca="1">IFERROR(__xludf.DUMMYFUNCTION("""COMPUTED_VALUE"""),-0.3557237063732)</f>
        <v>-0.3557237063732</v>
      </c>
      <c r="GX25" s="3">
        <f ca="1">IFERROR(__xludf.DUMMYFUNCTION("""COMPUTED_VALUE"""),-0.414882487939818)</f>
        <v>-0.41488248793981802</v>
      </c>
      <c r="GY25" s="3">
        <f ca="1">IFERROR(__xludf.DUMMYFUNCTION("""COMPUTED_VALUE"""),-0.312064570298727)</f>
        <v>-0.31206457029872697</v>
      </c>
      <c r="GZ25" s="3">
        <f ca="1">IFERROR(__xludf.DUMMYFUNCTION("""COMPUTED_VALUE"""),-0.349319069287475)</f>
        <v>-0.34931906928747503</v>
      </c>
      <c r="HA25" s="3">
        <f ca="1">IFERROR(__xludf.DUMMYFUNCTION("""COMPUTED_VALUE"""),-0.379012040684726)</f>
        <v>-0.37901204068472599</v>
      </c>
      <c r="HB25" s="3">
        <f ca="1">IFERROR(__xludf.DUMMYFUNCTION("""COMPUTED_VALUE"""),-0.422541701374564)</f>
        <v>-0.42254170137456398</v>
      </c>
      <c r="HC25" s="3">
        <f ca="1">IFERROR(__xludf.DUMMYFUNCTION("""COMPUTED_VALUE"""),-0.393259896304282)</f>
        <v>-0.39325989630428199</v>
      </c>
      <c r="HD25" s="3">
        <f ca="1">IFERROR(__xludf.DUMMYFUNCTION("""COMPUTED_VALUE"""),-0.417388925880537)</f>
        <v>-0.417388925880537</v>
      </c>
      <c r="HE25" s="3">
        <f ca="1">IFERROR(__xludf.DUMMYFUNCTION("""COMPUTED_VALUE"""),-0.358455496893631)</f>
        <v>-0.35845549689363099</v>
      </c>
      <c r="HF25" s="3">
        <f ca="1">IFERROR(__xludf.DUMMYFUNCTION("""COMPUTED_VALUE"""),-0.261451994129579)</f>
        <v>-0.26145199412957898</v>
      </c>
      <c r="HG25" s="3">
        <f ca="1">IFERROR(__xludf.DUMMYFUNCTION("""COMPUTED_VALUE"""),-0.300970558033732)</f>
        <v>-0.30097055803373202</v>
      </c>
      <c r="HH25" s="3">
        <f ca="1">IFERROR(__xludf.DUMMYFUNCTION("""COMPUTED_VALUE"""),-0.380910191617009)</f>
        <v>-0.38091019161700901</v>
      </c>
      <c r="HI25" s="3">
        <f ca="1">IFERROR(__xludf.DUMMYFUNCTION("""COMPUTED_VALUE"""),-0.390437499295087)</f>
        <v>-0.39043749929508698</v>
      </c>
      <c r="HJ25" s="3">
        <f ca="1">IFERROR(__xludf.DUMMYFUNCTION("""COMPUTED_VALUE"""),-0.346310061566319)</f>
        <v>-0.34631006156631899</v>
      </c>
      <c r="HK25" s="3">
        <f ca="1">IFERROR(__xludf.DUMMYFUNCTION("""COMPUTED_VALUE"""),-0.396994751754794)</f>
        <v>-0.39699475175479398</v>
      </c>
      <c r="HL25" s="3">
        <f ca="1">IFERROR(__xludf.DUMMYFUNCTION("""COMPUTED_VALUE"""),-0.227956316439572)</f>
        <v>-0.22795631643957201</v>
      </c>
      <c r="HM25" s="3">
        <f ca="1">IFERROR(__xludf.DUMMYFUNCTION("""COMPUTED_VALUE"""),-0.142110163622911)</f>
        <v>-0.14211016362291101</v>
      </c>
      <c r="HN25" s="3">
        <f ca="1">IFERROR(__xludf.DUMMYFUNCTION("""COMPUTED_VALUE"""),-0.299054413622369)</f>
        <v>-0.29905441362236901</v>
      </c>
      <c r="HO25" s="3">
        <f ca="1">IFERROR(__xludf.DUMMYFUNCTION("""COMPUTED_VALUE"""),-0.378721846211904)</f>
        <v>-0.37872184621190402</v>
      </c>
      <c r="HP25" s="3">
        <f ca="1">IFERROR(__xludf.DUMMYFUNCTION("""COMPUTED_VALUE"""),-0.260232258858082)</f>
        <v>-0.26023225885808199</v>
      </c>
      <c r="HQ25" s="3">
        <f ca="1">IFERROR(__xludf.DUMMYFUNCTION("""COMPUTED_VALUE"""),-0.384315480965979)</f>
        <v>-0.38431548096597901</v>
      </c>
      <c r="HR25" s="3">
        <f ca="1">IFERROR(__xludf.DUMMYFUNCTION("""COMPUTED_VALUE"""),-0.444091269228907)</f>
        <v>-0.44409126922890702</v>
      </c>
      <c r="HS25" s="3">
        <f ca="1">IFERROR(__xludf.DUMMYFUNCTION("""COMPUTED_VALUE"""),-0.290767061236788)</f>
        <v>-0.29076706123678803</v>
      </c>
      <c r="HT25" s="3">
        <f ca="1">IFERROR(__xludf.DUMMYFUNCTION("""COMPUTED_VALUE"""),-0.260338454022519)</f>
        <v>-0.26033845402251898</v>
      </c>
      <c r="HU25" s="3">
        <f ca="1">IFERROR(__xludf.DUMMYFUNCTION("""COMPUTED_VALUE"""),-0.302065661238255)</f>
        <v>-0.30206566123825501</v>
      </c>
      <c r="HV25" s="3">
        <f ca="1">IFERROR(__xludf.DUMMYFUNCTION("""COMPUTED_VALUE"""),-0.338423389098669)</f>
        <v>-0.33842338909866898</v>
      </c>
      <c r="HW25" s="3">
        <f ca="1">IFERROR(__xludf.DUMMYFUNCTION("""COMPUTED_VALUE"""),-0.323862263145033)</f>
        <v>-0.32386226314503302</v>
      </c>
      <c r="HX25" s="3">
        <f ca="1">IFERROR(__xludf.DUMMYFUNCTION("""COMPUTED_VALUE"""),-0.358768150325081)</f>
        <v>-0.35876815032508103</v>
      </c>
      <c r="HY25" s="3">
        <f ca="1">IFERROR(__xludf.DUMMYFUNCTION("""COMPUTED_VALUE"""),-0.31999575499199)</f>
        <v>-0.31999575499199001</v>
      </c>
      <c r="HZ25" s="3">
        <f ca="1">IFERROR(__xludf.DUMMYFUNCTION("""COMPUTED_VALUE"""),-0.22177762089039)</f>
        <v>-0.22177762089038999</v>
      </c>
      <c r="IA25" s="3">
        <f ca="1">IFERROR(__xludf.DUMMYFUNCTION("""COMPUTED_VALUE"""),-0.369360043464203)</f>
        <v>-0.36936004346420298</v>
      </c>
      <c r="IB25" s="3">
        <f ca="1">IFERROR(__xludf.DUMMYFUNCTION("""COMPUTED_VALUE"""),-0.282233486818366)</f>
        <v>-0.28223348681836602</v>
      </c>
      <c r="IC25" s="3">
        <f ca="1">IFERROR(__xludf.DUMMYFUNCTION("""COMPUTED_VALUE"""),-0.253088279830784)</f>
        <v>-0.25308827983078402</v>
      </c>
      <c r="ID25" s="3">
        <f ca="1">IFERROR(__xludf.DUMMYFUNCTION("""COMPUTED_VALUE"""),-0.242213268947924)</f>
        <v>-0.242213268947924</v>
      </c>
      <c r="IE25" s="3">
        <f ca="1">IFERROR(__xludf.DUMMYFUNCTION("""COMPUTED_VALUE"""),-0.323928793262122)</f>
        <v>-0.32392879326212198</v>
      </c>
      <c r="IF25" s="3">
        <f ca="1">IFERROR(__xludf.DUMMYFUNCTION("""COMPUTED_VALUE"""),-0.161723931422114)</f>
        <v>-0.161723931422114</v>
      </c>
      <c r="IG25" s="3">
        <f ca="1">IFERROR(__xludf.DUMMYFUNCTION("""COMPUTED_VALUE"""),-0.35412238831338)</f>
        <v>-0.35412238831338</v>
      </c>
      <c r="IH25" s="3">
        <f ca="1">IFERROR(__xludf.DUMMYFUNCTION("""COMPUTED_VALUE"""),-0.437641606195939)</f>
        <v>-0.437641606195939</v>
      </c>
      <c r="II25" s="3">
        <f ca="1">IFERROR(__xludf.DUMMYFUNCTION("""COMPUTED_VALUE"""),-0.294271764451042)</f>
        <v>-0.29427176445104197</v>
      </c>
      <c r="IJ25" s="3">
        <f ca="1">IFERROR(__xludf.DUMMYFUNCTION("""COMPUTED_VALUE"""),-0.22797504015772)</f>
        <v>-0.22797504015771999</v>
      </c>
      <c r="IK25" s="3">
        <f ca="1">IFERROR(__xludf.DUMMYFUNCTION("""COMPUTED_VALUE"""),-0.227498823437869)</f>
        <v>-0.22749882343786901</v>
      </c>
      <c r="IL25" s="3">
        <f ca="1">IFERROR(__xludf.DUMMYFUNCTION("""COMPUTED_VALUE"""),-0.191616371405377)</f>
        <v>-0.19161637140537699</v>
      </c>
      <c r="IM25" s="3">
        <f ca="1">IFERROR(__xludf.DUMMYFUNCTION("""COMPUTED_VALUE"""),-0.280228323724465)</f>
        <v>-0.28022832372446499</v>
      </c>
      <c r="IN25" s="3">
        <f ca="1">IFERROR(__xludf.DUMMYFUNCTION("""COMPUTED_VALUE"""),-0.269020673174325)</f>
        <v>-0.26902067317432499</v>
      </c>
      <c r="IO25" s="3">
        <f ca="1">IFERROR(__xludf.DUMMYFUNCTION("""COMPUTED_VALUE"""),-0.27739170916155)</f>
        <v>-0.27739170916154998</v>
      </c>
      <c r="IP25" s="3">
        <f ca="1">IFERROR(__xludf.DUMMYFUNCTION("""COMPUTED_VALUE"""),-0.307520718717493)</f>
        <v>-0.30752071871749298</v>
      </c>
      <c r="IQ25" s="3">
        <f ca="1">IFERROR(__xludf.DUMMYFUNCTION("""COMPUTED_VALUE"""),-0.247338440569681)</f>
        <v>-0.24733844056968099</v>
      </c>
      <c r="IR25" s="3">
        <f ca="1">IFERROR(__xludf.DUMMYFUNCTION("""COMPUTED_VALUE"""),-0.132344060580117)</f>
        <v>-0.132344060580117</v>
      </c>
      <c r="IS25" s="3">
        <f ca="1">IFERROR(__xludf.DUMMYFUNCTION("""COMPUTED_VALUE"""),-0.0788243754774362)</f>
        <v>-7.8824375477436204E-2</v>
      </c>
      <c r="IT25" s="3">
        <f ca="1">IFERROR(__xludf.DUMMYFUNCTION("""COMPUTED_VALUE"""),-0.243252025173472)</f>
        <v>-0.243252025173472</v>
      </c>
      <c r="IU25" s="3">
        <f ca="1">IFERROR(__xludf.DUMMYFUNCTION("""COMPUTED_VALUE"""),-0.172924000845913)</f>
        <v>-0.172924000845913</v>
      </c>
      <c r="IV25" s="3">
        <f ca="1">IFERROR(__xludf.DUMMYFUNCTION("""COMPUTED_VALUE"""),-0.356621635017805)</f>
        <v>-0.35662163501780503</v>
      </c>
      <c r="IW25" s="3">
        <f ca="1">IFERROR(__xludf.DUMMYFUNCTION("""COMPUTED_VALUE"""),-0.330999112262402)</f>
        <v>-0.33099911226240197</v>
      </c>
      <c r="IX25" s="3">
        <f ca="1">IFERROR(__xludf.DUMMYFUNCTION("""COMPUTED_VALUE"""),-0.358367925141407)</f>
        <v>-0.35836792514140697</v>
      </c>
      <c r="IY25" s="3">
        <f ca="1">IFERROR(__xludf.DUMMYFUNCTION("""COMPUTED_VALUE"""),-0.316127049280737)</f>
        <v>-0.31612704928073698</v>
      </c>
      <c r="IZ25" s="3">
        <f ca="1">IFERROR(__xludf.DUMMYFUNCTION("""COMPUTED_VALUE"""),-0.247293146358477)</f>
        <v>-0.24729314635847699</v>
      </c>
      <c r="JA25" s="3">
        <f ca="1">IFERROR(__xludf.DUMMYFUNCTION("""COMPUTED_VALUE"""),-0.315563391076028)</f>
        <v>-0.31556339107602799</v>
      </c>
      <c r="JB25" s="3">
        <f ca="1">IFERROR(__xludf.DUMMYFUNCTION("""COMPUTED_VALUE"""),-0.258401974165978)</f>
        <v>-0.25840197416597799</v>
      </c>
      <c r="JC25" s="3">
        <f ca="1">IFERROR(__xludf.DUMMYFUNCTION("""COMPUTED_VALUE"""),-0.321634421100504)</f>
        <v>-0.321634421100504</v>
      </c>
      <c r="JD25" s="3">
        <f ca="1">IFERROR(__xludf.DUMMYFUNCTION("""COMPUTED_VALUE"""),-0.36810049811278)</f>
        <v>-0.36810049811278001</v>
      </c>
      <c r="JE25" s="3">
        <f ca="1">IFERROR(__xludf.DUMMYFUNCTION("""COMPUTED_VALUE"""),-0.381556430355585)</f>
        <v>-0.38155643035558501</v>
      </c>
      <c r="JF25" s="3">
        <f ca="1">IFERROR(__xludf.DUMMYFUNCTION("""COMPUTED_VALUE"""),-0.404741501531316)</f>
        <v>-0.40474150153131599</v>
      </c>
      <c r="JG25" s="3">
        <f ca="1">IFERROR(__xludf.DUMMYFUNCTION("""COMPUTED_VALUE"""),-0.333905433334518)</f>
        <v>-0.333905433334518</v>
      </c>
      <c r="JH25" s="3">
        <f ca="1">IFERROR(__xludf.DUMMYFUNCTION("""COMPUTED_VALUE"""),-0.31450215656042)</f>
        <v>-0.31450215656042002</v>
      </c>
      <c r="JI25" s="3">
        <f ca="1">IFERROR(__xludf.DUMMYFUNCTION("""COMPUTED_VALUE"""),-0.313618049354655)</f>
        <v>-0.31361804935465498</v>
      </c>
      <c r="JJ25" s="3">
        <f ca="1">IFERROR(__xludf.DUMMYFUNCTION("""COMPUTED_VALUE"""),-0.293420186748971)</f>
        <v>-0.29342018674897102</v>
      </c>
      <c r="JK25" s="3">
        <f ca="1">IFERROR(__xludf.DUMMYFUNCTION("""COMPUTED_VALUE"""),-0.353303050524982)</f>
        <v>-0.35330305052498201</v>
      </c>
      <c r="JL25" s="3">
        <f ca="1">IFERROR(__xludf.DUMMYFUNCTION("""COMPUTED_VALUE"""),-0.356452660053413)</f>
        <v>-0.35645266005341297</v>
      </c>
      <c r="JM25" s="3">
        <f ca="1">IFERROR(__xludf.DUMMYFUNCTION("""COMPUTED_VALUE"""),-0.347428699190838)</f>
        <v>-0.34742869919083802</v>
      </c>
      <c r="JN25" s="3">
        <f ca="1">IFERROR(__xludf.DUMMYFUNCTION("""COMPUTED_VALUE"""),-0.359446830472859)</f>
        <v>-0.35944683047285902</v>
      </c>
      <c r="JO25" s="3">
        <f ca="1">IFERROR(__xludf.DUMMYFUNCTION("""COMPUTED_VALUE"""),-0.303334519403593)</f>
        <v>-0.30333451940359302</v>
      </c>
      <c r="JP25" s="3">
        <f ca="1">IFERROR(__xludf.DUMMYFUNCTION("""COMPUTED_VALUE"""),-0.254155668495985)</f>
        <v>-0.25415566849598498</v>
      </c>
      <c r="JQ25" s="3">
        <f ca="1">IFERROR(__xludf.DUMMYFUNCTION("""COMPUTED_VALUE"""),-0.271189795857188)</f>
        <v>-0.271189795857188</v>
      </c>
      <c r="JR25" s="3">
        <f ca="1">IFERROR(__xludf.DUMMYFUNCTION("""COMPUTED_VALUE"""),-0.394982182930076)</f>
        <v>-0.39498218293007598</v>
      </c>
      <c r="JS25" s="3">
        <f ca="1">IFERROR(__xludf.DUMMYFUNCTION("""COMPUTED_VALUE"""),-0.498761180512043)</f>
        <v>-0.49876118051204299</v>
      </c>
      <c r="JT25" s="3">
        <f ca="1">IFERROR(__xludf.DUMMYFUNCTION("""COMPUTED_VALUE"""),-0.381135196744891)</f>
        <v>-0.38113519674489099</v>
      </c>
      <c r="JU25" s="3">
        <f ca="1">IFERROR(__xludf.DUMMYFUNCTION("""COMPUTED_VALUE"""),-0.416389336926006)</f>
        <v>-0.41638933692600599</v>
      </c>
      <c r="JV25" s="3">
        <f ca="1">IFERROR(__xludf.DUMMYFUNCTION("""COMPUTED_VALUE"""),-0.373546568556957)</f>
        <v>-0.373546568556957</v>
      </c>
      <c r="JW25" s="3">
        <f ca="1">IFERROR(__xludf.DUMMYFUNCTION("""COMPUTED_VALUE"""),-0.30868955176364)</f>
        <v>-0.30868955176363999</v>
      </c>
      <c r="JX25" s="3">
        <f ca="1">IFERROR(__xludf.DUMMYFUNCTION("""COMPUTED_VALUE"""),-0.278630789107917)</f>
        <v>-0.278630789107917</v>
      </c>
      <c r="JY25" s="3">
        <f ca="1">IFERROR(__xludf.DUMMYFUNCTION("""COMPUTED_VALUE"""),-0.393480747502591)</f>
        <v>-0.39348074750259099</v>
      </c>
      <c r="JZ25" s="3">
        <f ca="1">IFERROR(__xludf.DUMMYFUNCTION("""COMPUTED_VALUE"""),-0.351962513218624)</f>
        <v>-0.35196251321862398</v>
      </c>
      <c r="KA25" s="3">
        <f ca="1">IFERROR(__xludf.DUMMYFUNCTION("""COMPUTED_VALUE"""),-0.429917756572562)</f>
        <v>-0.42991775657256198</v>
      </c>
      <c r="KB25" s="3">
        <f ca="1">IFERROR(__xludf.DUMMYFUNCTION("""COMPUTED_VALUE"""),-0.517883765028448)</f>
        <v>-0.51788376502844802</v>
      </c>
      <c r="KC25" s="3">
        <f ca="1">IFERROR(__xludf.DUMMYFUNCTION("""COMPUTED_VALUE"""),-0.34521357546052)</f>
        <v>-0.34521357546052001</v>
      </c>
      <c r="KD25" s="3">
        <f ca="1">IFERROR(__xludf.DUMMYFUNCTION("""COMPUTED_VALUE"""),-0.285883355632619)</f>
        <v>-0.28588335563261902</v>
      </c>
      <c r="KE25" s="3">
        <f ca="1">IFERROR(__xludf.DUMMYFUNCTION("""COMPUTED_VALUE"""),-0.329676890892927)</f>
        <v>-0.32967689089292701</v>
      </c>
      <c r="KF25" s="3">
        <f ca="1">IFERROR(__xludf.DUMMYFUNCTION("""COMPUTED_VALUE"""),-0.325349110275009)</f>
        <v>-0.32534911027500901</v>
      </c>
      <c r="KG25" s="3">
        <f ca="1">IFERROR(__xludf.DUMMYFUNCTION("""COMPUTED_VALUE"""),-0.341965575817621)</f>
        <v>-0.34196557581762099</v>
      </c>
      <c r="KH25" s="3">
        <f ca="1">IFERROR(__xludf.DUMMYFUNCTION("""COMPUTED_VALUE"""),-0.387045213181227)</f>
        <v>-0.38704521318122698</v>
      </c>
      <c r="KI25" s="3">
        <f ca="1">IFERROR(__xludf.DUMMYFUNCTION("""COMPUTED_VALUE"""),-0.430511031106984)</f>
        <v>-0.43051103110698402</v>
      </c>
      <c r="KJ25" s="3">
        <f ca="1">IFERROR(__xludf.DUMMYFUNCTION("""COMPUTED_VALUE"""),-0.416774135525804)</f>
        <v>-0.416774135525804</v>
      </c>
      <c r="KK25" s="3">
        <f ca="1">IFERROR(__xludf.DUMMYFUNCTION("""COMPUTED_VALUE"""),-0.396509201299131)</f>
        <v>-0.39650920129913098</v>
      </c>
      <c r="KL25" s="3">
        <f ca="1">IFERROR(__xludf.DUMMYFUNCTION("""COMPUTED_VALUE"""),-0.409636753381215)</f>
        <v>-0.40963675338121502</v>
      </c>
      <c r="KM25" s="3">
        <f ca="1">IFERROR(__xludf.DUMMYFUNCTION("""COMPUTED_VALUE"""),-0.464688202432044)</f>
        <v>-0.46468820243204401</v>
      </c>
      <c r="KN25" s="3">
        <f ca="1">IFERROR(__xludf.DUMMYFUNCTION("""COMPUTED_VALUE"""),-0.476585901845177)</f>
        <v>-0.47658590184517702</v>
      </c>
      <c r="KO25" s="3">
        <f ca="1">IFERROR(__xludf.DUMMYFUNCTION("""COMPUTED_VALUE"""),-0.346512959871321)</f>
        <v>-0.34651295987132102</v>
      </c>
      <c r="KP25" s="3">
        <f ca="1">IFERROR(__xludf.DUMMYFUNCTION("""COMPUTED_VALUE"""),-0.43250474486654)</f>
        <v>-0.43250474486654</v>
      </c>
      <c r="KQ25" s="3">
        <f ca="1">IFERROR(__xludf.DUMMYFUNCTION("""COMPUTED_VALUE"""),-0.315842191356042)</f>
        <v>-0.31584219135604202</v>
      </c>
      <c r="KR25" s="3">
        <f ca="1">IFERROR(__xludf.DUMMYFUNCTION("""COMPUTED_VALUE"""),-0.449645509924372)</f>
        <v>-0.44964550992437202</v>
      </c>
      <c r="KS25" s="3">
        <f ca="1">IFERROR(__xludf.DUMMYFUNCTION("""COMPUTED_VALUE"""),-0.412625328578011)</f>
        <v>-0.41262532857801099</v>
      </c>
      <c r="KT25" s="3">
        <f ca="1">IFERROR(__xludf.DUMMYFUNCTION("""COMPUTED_VALUE"""),-0.462486545753217)</f>
        <v>-0.46248654575321702</v>
      </c>
      <c r="KU25" s="3">
        <f ca="1">IFERROR(__xludf.DUMMYFUNCTION("""COMPUTED_VALUE"""),-0.339299512906588)</f>
        <v>-0.339299512906588</v>
      </c>
      <c r="KV25" s="3">
        <f ca="1">IFERROR(__xludf.DUMMYFUNCTION("""COMPUTED_VALUE"""),-0.441560164734322)</f>
        <v>-0.44156016473432202</v>
      </c>
      <c r="KW25" s="3">
        <f ca="1">IFERROR(__xludf.DUMMYFUNCTION("""COMPUTED_VALUE"""),-0.380139514245681)</f>
        <v>-0.38013951424568099</v>
      </c>
      <c r="KX25" s="3">
        <f ca="1">IFERROR(__xludf.DUMMYFUNCTION("""COMPUTED_VALUE"""),-0.449324673259147)</f>
        <v>-0.44932467325914699</v>
      </c>
      <c r="KY25" s="3">
        <f ca="1">IFERROR(__xludf.DUMMYFUNCTION("""COMPUTED_VALUE"""),-0.366968014060001)</f>
        <v>-0.36696801406000101</v>
      </c>
      <c r="KZ25" s="3">
        <f ca="1">IFERROR(__xludf.DUMMYFUNCTION("""COMPUTED_VALUE"""),-0.516357378122877)</f>
        <v>-0.51635737812287696</v>
      </c>
      <c r="LA25" s="3">
        <f ca="1">IFERROR(__xludf.DUMMYFUNCTION("""COMPUTED_VALUE"""),-0.543069040691729)</f>
        <v>-0.54306904069172901</v>
      </c>
      <c r="LB25" s="3">
        <f ca="1">IFERROR(__xludf.DUMMYFUNCTION("""COMPUTED_VALUE"""),-0.552526496976753)</f>
        <v>-0.55252649697675305</v>
      </c>
      <c r="LC25" s="3">
        <f ca="1">IFERROR(__xludf.DUMMYFUNCTION("""COMPUTED_VALUE"""),-0.484732962923174)</f>
        <v>-0.48473296292317403</v>
      </c>
      <c r="LD25" s="3">
        <f ca="1">IFERROR(__xludf.DUMMYFUNCTION("""COMPUTED_VALUE"""),-0.363725709748901)</f>
        <v>-0.363725709748901</v>
      </c>
      <c r="LE25" s="3">
        <f ca="1">IFERROR(__xludf.DUMMYFUNCTION("""COMPUTED_VALUE"""),-0.559631151076294)</f>
        <v>-0.55963115107629402</v>
      </c>
      <c r="LF25" s="3">
        <f ca="1">IFERROR(__xludf.DUMMYFUNCTION("""COMPUTED_VALUE"""),-0.490881488897181)</f>
        <v>-0.49088148889718097</v>
      </c>
      <c r="LG25" s="3">
        <f ca="1">IFERROR(__xludf.DUMMYFUNCTION("""COMPUTED_VALUE"""),-0.597074241452233)</f>
        <v>-0.59707424145223298</v>
      </c>
      <c r="LH25" s="3">
        <f ca="1">IFERROR(__xludf.DUMMYFUNCTION("""COMPUTED_VALUE"""),-0.60931495133111)</f>
        <v>-0.60931495133111002</v>
      </c>
      <c r="LI25" s="3">
        <f ca="1">IFERROR(__xludf.DUMMYFUNCTION("""COMPUTED_VALUE"""),-0.615093784380125)</f>
        <v>-0.61509378438012496</v>
      </c>
      <c r="LJ25" s="3">
        <f ca="1">IFERROR(__xludf.DUMMYFUNCTION("""COMPUTED_VALUE"""),-0.521263874826197)</f>
        <v>-0.52126387482619696</v>
      </c>
      <c r="LK25" s="3">
        <f ca="1">IFERROR(__xludf.DUMMYFUNCTION("""COMPUTED_VALUE"""),-0.514172622939091)</f>
        <v>-0.51417262293909105</v>
      </c>
      <c r="LL25" s="3">
        <f ca="1">IFERROR(__xludf.DUMMYFUNCTION("""COMPUTED_VALUE"""),-0.571897377458641)</f>
        <v>-0.571897377458641</v>
      </c>
      <c r="LM25" s="3">
        <f ca="1">IFERROR(__xludf.DUMMYFUNCTION("""COMPUTED_VALUE"""),-0.610659858513759)</f>
        <v>-0.61065985851375904</v>
      </c>
      <c r="LN25" s="3">
        <f ca="1">IFERROR(__xludf.DUMMYFUNCTION("""COMPUTED_VALUE"""),-0.665340403905412)</f>
        <v>-0.66534040390541205</v>
      </c>
      <c r="LO25" s="3">
        <f ca="1">IFERROR(__xludf.DUMMYFUNCTION("""COMPUTED_VALUE"""),-0.691916103563732)</f>
        <v>-0.69191610356373201</v>
      </c>
      <c r="LP25" s="3">
        <f ca="1">IFERROR(__xludf.DUMMYFUNCTION("""COMPUTED_VALUE"""),-0.685671440628553)</f>
        <v>-0.68567144062855301</v>
      </c>
      <c r="LQ25" s="3">
        <f ca="1">IFERROR(__xludf.DUMMYFUNCTION("""COMPUTED_VALUE"""),-0.594280434946619)</f>
        <v>-0.59428043494661897</v>
      </c>
      <c r="LR25" s="3">
        <f ca="1">IFERROR(__xludf.DUMMYFUNCTION("""COMPUTED_VALUE"""),-0.534136328398374)</f>
        <v>-0.53413632839837399</v>
      </c>
      <c r="LS25" s="3">
        <f ca="1">IFERROR(__xludf.DUMMYFUNCTION("""COMPUTED_VALUE"""),-0.601672827926929)</f>
        <v>-0.601672827926929</v>
      </c>
      <c r="LT25" s="3">
        <f ca="1">IFERROR(__xludf.DUMMYFUNCTION("""COMPUTED_VALUE"""),-0.606491390123954)</f>
        <v>-0.60649139012395403</v>
      </c>
      <c r="LU25" s="3">
        <f ca="1">IFERROR(__xludf.DUMMYFUNCTION("""COMPUTED_VALUE"""),-0.653212812820897)</f>
        <v>-0.65321281282089705</v>
      </c>
      <c r="LV25" s="3">
        <f ca="1">IFERROR(__xludf.DUMMYFUNCTION("""COMPUTED_VALUE"""),-0.703997961243079)</f>
        <v>-0.70399796124307901</v>
      </c>
      <c r="LW25" s="3">
        <f ca="1">IFERROR(__xludf.DUMMYFUNCTION("""COMPUTED_VALUE"""),-0.623452595066605)</f>
        <v>-0.623452595066605</v>
      </c>
      <c r="LX25" s="3">
        <f ca="1">IFERROR(__xludf.DUMMYFUNCTION("""COMPUTED_VALUE"""),-0.670227059967266)</f>
        <v>-0.67022705996726595</v>
      </c>
      <c r="LY25" s="3">
        <f ca="1">IFERROR(__xludf.DUMMYFUNCTION("""COMPUTED_VALUE"""),-0.667551575562994)</f>
        <v>-0.66755157556299405</v>
      </c>
      <c r="LZ25" s="3">
        <f ca="1">IFERROR(__xludf.DUMMYFUNCTION("""COMPUTED_VALUE"""),-0.607510655335326)</f>
        <v>-0.607510655335326</v>
      </c>
      <c r="MA25" s="3">
        <f ca="1">IFERROR(__xludf.DUMMYFUNCTION("""COMPUTED_VALUE"""),-0.657767728384203)</f>
        <v>-0.65776772838420305</v>
      </c>
      <c r="MB25" s="3">
        <f ca="1">IFERROR(__xludf.DUMMYFUNCTION("""COMPUTED_VALUE"""),-0.580069632145658)</f>
        <v>-0.58006963214565799</v>
      </c>
      <c r="MC25" s="3">
        <f ca="1">IFERROR(__xludf.DUMMYFUNCTION("""COMPUTED_VALUE"""),-0.727384017120279)</f>
        <v>-0.727384017120279</v>
      </c>
      <c r="MD25" s="3">
        <f ca="1">IFERROR(__xludf.DUMMYFUNCTION("""COMPUTED_VALUE"""),-0.64973040058487)</f>
        <v>-0.64973040058486997</v>
      </c>
      <c r="ME25" s="3">
        <f ca="1">IFERROR(__xludf.DUMMYFUNCTION("""COMPUTED_VALUE"""),-0.655016638503306)</f>
        <v>-0.65501663850330605</v>
      </c>
      <c r="MF25" s="3">
        <f ca="1">IFERROR(__xludf.DUMMYFUNCTION("""COMPUTED_VALUE"""),-0.667471612179136)</f>
        <v>-0.66747161217913598</v>
      </c>
      <c r="MG25" s="3">
        <f ca="1">IFERROR(__xludf.DUMMYFUNCTION("""COMPUTED_VALUE"""),-0.753382407345676)</f>
        <v>-0.75338240734567596</v>
      </c>
      <c r="MH25" s="3">
        <f ca="1">IFERROR(__xludf.DUMMYFUNCTION("""COMPUTED_VALUE"""),-0.657718267314255)</f>
        <v>-0.65771826731425498</v>
      </c>
      <c r="MI25" s="3">
        <f ca="1">IFERROR(__xludf.DUMMYFUNCTION("""COMPUTED_VALUE"""),-0.639297549011654)</f>
        <v>-0.63929754901165403</v>
      </c>
      <c r="MJ25" s="3">
        <f ca="1">IFERROR(__xludf.DUMMYFUNCTION("""COMPUTED_VALUE"""),-0.67556325462851)</f>
        <v>-0.67556325462850997</v>
      </c>
      <c r="MK25" s="3">
        <f ca="1">IFERROR(__xludf.DUMMYFUNCTION("""COMPUTED_VALUE"""),-0.722061233447027)</f>
        <v>-0.722061233447027</v>
      </c>
      <c r="ML25" s="3">
        <f ca="1">IFERROR(__xludf.DUMMYFUNCTION("""COMPUTED_VALUE"""),-0.756871362707892)</f>
        <v>-0.75687136270789201</v>
      </c>
      <c r="MM25" s="3">
        <f ca="1">IFERROR(__xludf.DUMMYFUNCTION("""COMPUTED_VALUE"""),-0.729538957758005)</f>
        <v>-0.72953895775800504</v>
      </c>
      <c r="MN25" s="3">
        <f ca="1">IFERROR(__xludf.DUMMYFUNCTION("""COMPUTED_VALUE"""),-0.725259995016142)</f>
        <v>-0.72525999501614202</v>
      </c>
      <c r="MO25" s="3">
        <f ca="1">IFERROR(__xludf.DUMMYFUNCTION("""COMPUTED_VALUE"""),-0.635724492454127)</f>
        <v>-0.63572449245412699</v>
      </c>
      <c r="MP25" s="3">
        <f ca="1">IFERROR(__xludf.DUMMYFUNCTION("""COMPUTED_VALUE"""),-0.747073130188333)</f>
        <v>-0.74707313018833299</v>
      </c>
      <c r="MQ25" s="3">
        <f ca="1">IFERROR(__xludf.DUMMYFUNCTION("""COMPUTED_VALUE"""),-0.744743570355021)</f>
        <v>-0.74474357035502103</v>
      </c>
      <c r="MR25" s="3">
        <f ca="1">IFERROR(__xludf.DUMMYFUNCTION("""COMPUTED_VALUE"""),-0.753609955022333)</f>
        <v>-0.75360995502233297</v>
      </c>
      <c r="MS25" s="3">
        <f ca="1">IFERROR(__xludf.DUMMYFUNCTION("""COMPUTED_VALUE"""),-0.761202863272642)</f>
        <v>-0.76120286327264197</v>
      </c>
      <c r="MT25" s="3">
        <f ca="1">IFERROR(__xludf.DUMMYFUNCTION("""COMPUTED_VALUE"""),-0.738891165595101)</f>
        <v>-0.73889116559510104</v>
      </c>
      <c r="MU25" s="3">
        <f ca="1">IFERROR(__xludf.DUMMYFUNCTION("""COMPUTED_VALUE"""),-0.774500430091631)</f>
        <v>-0.77450043009163105</v>
      </c>
      <c r="MV25" s="3">
        <f ca="1">IFERROR(__xludf.DUMMYFUNCTION("""COMPUTED_VALUE"""),-0.738300800461617)</f>
        <v>-0.73830080046161695</v>
      </c>
      <c r="MW25" s="3">
        <f ca="1">IFERROR(__xludf.DUMMYFUNCTION("""COMPUTED_VALUE"""),-0.735694255974871)</f>
        <v>-0.73569425597487104</v>
      </c>
      <c r="MX25" s="3">
        <f ca="1">IFERROR(__xludf.DUMMYFUNCTION("""COMPUTED_VALUE"""),-0.728579461166274)</f>
        <v>-0.72857946116627403</v>
      </c>
      <c r="MY25" s="3">
        <f ca="1">IFERROR(__xludf.DUMMYFUNCTION("""COMPUTED_VALUE"""),-0.749463764081198)</f>
        <v>-0.74946376408119797</v>
      </c>
      <c r="MZ25" s="3">
        <f ca="1">IFERROR(__xludf.DUMMYFUNCTION("""COMPUTED_VALUE"""),-0.686610575483263)</f>
        <v>-0.68661057548326299</v>
      </c>
      <c r="NA25" s="3">
        <f ca="1">IFERROR(__xludf.DUMMYFUNCTION("""COMPUTED_VALUE"""),-0.69955273197727)</f>
        <v>-0.69955273197726997</v>
      </c>
      <c r="NB25" s="3">
        <f ca="1">IFERROR(__xludf.DUMMYFUNCTION("""COMPUTED_VALUE"""),-0.698708521561753)</f>
        <v>-0.698708521561753</v>
      </c>
      <c r="NC25" s="3">
        <f ca="1">IFERROR(__xludf.DUMMYFUNCTION("""COMPUTED_VALUE"""),-0.727835433016498)</f>
        <v>-0.727835433016498</v>
      </c>
      <c r="ND25" s="3">
        <f ca="1">IFERROR(__xludf.DUMMYFUNCTION("""COMPUTED_VALUE"""),-0.7272486449581)</f>
        <v>-0.72724864495810004</v>
      </c>
      <c r="NE25" s="3">
        <f ca="1">IFERROR(__xludf.DUMMYFUNCTION("""COMPUTED_VALUE"""),-0.684730151730615)</f>
        <v>-0.68473015173061502</v>
      </c>
      <c r="NF25" s="3">
        <f ca="1">IFERROR(__xludf.DUMMYFUNCTION("""COMPUTED_VALUE"""),-0.674477796470079)</f>
        <v>-0.67447779647007899</v>
      </c>
      <c r="NG25" s="3">
        <f ca="1">IFERROR(__xludf.DUMMYFUNCTION("""COMPUTED_VALUE"""),-0.762748300711453)</f>
        <v>-0.76274830071145305</v>
      </c>
      <c r="NH25" s="3">
        <f ca="1">IFERROR(__xludf.DUMMYFUNCTION("""COMPUTED_VALUE"""),-0.713392078096507)</f>
        <v>-0.71339207809650695</v>
      </c>
      <c r="NI25" s="3">
        <f ca="1">IFERROR(__xludf.DUMMYFUNCTION("""COMPUTED_VALUE"""),-0.668462292408417)</f>
        <v>-0.66846229240841704</v>
      </c>
      <c r="NJ25" s="3">
        <f ca="1">IFERROR(__xludf.DUMMYFUNCTION("""COMPUTED_VALUE"""),-0.615944542549474)</f>
        <v>-0.61594454254947395</v>
      </c>
      <c r="NK25" s="3">
        <f ca="1">IFERROR(__xludf.DUMMYFUNCTION("""COMPUTED_VALUE"""),-0.621977735447812)</f>
        <v>-0.62197773544781199</v>
      </c>
      <c r="NL25" s="3">
        <f ca="1">IFERROR(__xludf.DUMMYFUNCTION("""COMPUTED_VALUE"""),-0.661315660516041)</f>
        <v>-0.66131566051604096</v>
      </c>
      <c r="NM25" s="3">
        <f ca="1">IFERROR(__xludf.DUMMYFUNCTION("""COMPUTED_VALUE"""),-0.668269209006447)</f>
        <v>-0.66826920900644704</v>
      </c>
      <c r="NN25" s="3">
        <f ca="1">IFERROR(__xludf.DUMMYFUNCTION("""COMPUTED_VALUE"""),-0.644980202507511)</f>
        <v>-0.64498020250751098</v>
      </c>
      <c r="NO25" s="3">
        <f ca="1">IFERROR(__xludf.DUMMYFUNCTION("""COMPUTED_VALUE"""),-0.533209002473213)</f>
        <v>-0.53320900247321301</v>
      </c>
      <c r="NP25" s="3">
        <f ca="1">IFERROR(__xludf.DUMMYFUNCTION("""COMPUTED_VALUE"""),-0.662820128274911)</f>
        <v>-0.66282012827491099</v>
      </c>
      <c r="NQ25" s="3">
        <f ca="1">IFERROR(__xludf.DUMMYFUNCTION("""COMPUTED_VALUE"""),-0.555779561587489)</f>
        <v>-0.55577956158748898</v>
      </c>
      <c r="NR25" s="3">
        <f ca="1">IFERROR(__xludf.DUMMYFUNCTION("""COMPUTED_VALUE"""),-0.590761438475784)</f>
        <v>-0.590761438475784</v>
      </c>
      <c r="NS25" s="3">
        <f ca="1">IFERROR(__xludf.DUMMYFUNCTION("""COMPUTED_VALUE"""),-0.661156143505801)</f>
        <v>-0.66115614350580099</v>
      </c>
      <c r="NT25" s="3">
        <f ca="1">IFERROR(__xludf.DUMMYFUNCTION("""COMPUTED_VALUE"""),-0.674549308382189)</f>
        <v>-0.67454930838218896</v>
      </c>
      <c r="NU25" s="3">
        <f ca="1">IFERROR(__xludf.DUMMYFUNCTION("""COMPUTED_VALUE"""),-0.717849752026791)</f>
        <v>-0.71784975202679102</v>
      </c>
      <c r="NV25" s="3">
        <f ca="1">IFERROR(__xludf.DUMMYFUNCTION("""COMPUTED_VALUE"""),-0.652140578894891)</f>
        <v>-0.65214057889489097</v>
      </c>
      <c r="NW25" s="3">
        <f ca="1">IFERROR(__xludf.DUMMYFUNCTION("""COMPUTED_VALUE"""),-0.576660999757618)</f>
        <v>-0.57666099975761798</v>
      </c>
      <c r="NX25" s="3">
        <f ca="1">IFERROR(__xludf.DUMMYFUNCTION("""COMPUTED_VALUE"""),-0.678161826721792)</f>
        <v>-0.67816182672179204</v>
      </c>
      <c r="NY25" s="3">
        <f ca="1">IFERROR(__xludf.DUMMYFUNCTION("""COMPUTED_VALUE"""),-0.628107096226752)</f>
        <v>-0.62810709622675198</v>
      </c>
      <c r="NZ25" s="3">
        <f ca="1">IFERROR(__xludf.DUMMYFUNCTION("""COMPUTED_VALUE"""),-0.513991298906511)</f>
        <v>-0.51399129890651096</v>
      </c>
      <c r="OA25" s="3">
        <f ca="1">IFERROR(__xludf.DUMMYFUNCTION("""COMPUTED_VALUE"""),-0.589247453961695)</f>
        <v>-0.58924745396169498</v>
      </c>
      <c r="OB25" s="3">
        <f ca="1">IFERROR(__xludf.DUMMYFUNCTION("""COMPUTED_VALUE"""),-0.566232603948288)</f>
        <v>-0.566232603948288</v>
      </c>
      <c r="OC25" s="3">
        <f ca="1">IFERROR(__xludf.DUMMYFUNCTION("""COMPUTED_VALUE"""),-0.565894578457111)</f>
        <v>-0.565894578457111</v>
      </c>
      <c r="OD25" s="3">
        <f ca="1">IFERROR(__xludf.DUMMYFUNCTION("""COMPUTED_VALUE"""),-0.468071346057982)</f>
        <v>-0.46807134605798201</v>
      </c>
      <c r="OE25" s="3">
        <f ca="1">IFERROR(__xludf.DUMMYFUNCTION("""COMPUTED_VALUE"""),-0.381981571630766)</f>
        <v>-0.38198157163076601</v>
      </c>
      <c r="OF25" s="3">
        <f ca="1">IFERROR(__xludf.DUMMYFUNCTION("""COMPUTED_VALUE"""),-0.34982208626736)</f>
        <v>-0.34982208626736</v>
      </c>
      <c r="OG25" s="3">
        <f ca="1">IFERROR(__xludf.DUMMYFUNCTION("""COMPUTED_VALUE"""),-0.313998052770966)</f>
        <v>-0.31399805277096599</v>
      </c>
      <c r="OH25" s="3">
        <f ca="1">IFERROR(__xludf.DUMMYFUNCTION("""COMPUTED_VALUE"""),-0.220126720440582)</f>
        <v>-0.22012672044058201</v>
      </c>
      <c r="OI25" s="3">
        <f ca="1">IFERROR(__xludf.DUMMYFUNCTION("""COMPUTED_VALUE"""),-0.168121377576901)</f>
        <v>-0.16812137757690099</v>
      </c>
      <c r="OJ25" s="3">
        <f ca="1">IFERROR(__xludf.DUMMYFUNCTION("""COMPUTED_VALUE"""),-0.132364810331985)</f>
        <v>-0.13236481033198499</v>
      </c>
      <c r="OK25" s="3">
        <f ca="1">IFERROR(__xludf.DUMMYFUNCTION("""COMPUTED_VALUE"""),-0.12555208574161)</f>
        <v>-0.12555208574161</v>
      </c>
      <c r="OL25" s="3">
        <f ca="1">IFERROR(__xludf.DUMMYFUNCTION("""COMPUTED_VALUE"""),0.0316053572222678)</f>
        <v>3.1605357222267802E-2</v>
      </c>
      <c r="OM25" s="3">
        <f ca="1">IFERROR(__xludf.DUMMYFUNCTION("""COMPUTED_VALUE"""),0.0751887796570593)</f>
        <v>7.5188779657059293E-2</v>
      </c>
      <c r="ON25" s="3">
        <f ca="1">IFERROR(__xludf.DUMMYFUNCTION("""COMPUTED_VALUE"""),0.00103350133247692)</f>
        <v>1.0335013324769199E-3</v>
      </c>
      <c r="OO25" s="3">
        <f ca="1">IFERROR(__xludf.DUMMYFUNCTION("""COMPUTED_VALUE"""),-0.00283295690337059)</f>
        <v>-2.8329569033705899E-3</v>
      </c>
      <c r="OP25" s="3">
        <f ca="1">IFERROR(__xludf.DUMMYFUNCTION("""COMPUTED_VALUE"""),-0.0365362134268226)</f>
        <v>-3.6536213426822603E-2</v>
      </c>
      <c r="OQ25" s="3">
        <f ca="1">IFERROR(__xludf.DUMMYFUNCTION("""COMPUTED_VALUE"""),0.026869281318963)</f>
        <v>2.6869281318963E-2</v>
      </c>
      <c r="OR25" s="3">
        <f ca="1">IFERROR(__xludf.DUMMYFUNCTION("""COMPUTED_VALUE"""),0.0949714260531511)</f>
        <v>9.4971426053151106E-2</v>
      </c>
      <c r="OS25" s="3">
        <f ca="1">IFERROR(__xludf.DUMMYFUNCTION("""COMPUTED_VALUE"""),0.0963505474562809)</f>
        <v>9.6350547456280897E-2</v>
      </c>
      <c r="OT25" s="3">
        <f ca="1">IFERROR(__xludf.DUMMYFUNCTION("""COMPUTED_VALUE"""),0.0184725489758335)</f>
        <v>1.8472548975833499E-2</v>
      </c>
      <c r="OU25" s="3">
        <f ca="1">IFERROR(__xludf.DUMMYFUNCTION("""COMPUTED_VALUE"""),-0.0292811276614635)</f>
        <v>-2.9281127661463499E-2</v>
      </c>
      <c r="OV25" s="3">
        <f ca="1">IFERROR(__xludf.DUMMYFUNCTION("""COMPUTED_VALUE"""),0.0153485285117702)</f>
        <v>1.5348528511770199E-2</v>
      </c>
      <c r="OW25" s="3">
        <f ca="1">IFERROR(__xludf.DUMMYFUNCTION("""COMPUTED_VALUE"""),-0.0106859396477235)</f>
        <v>-1.06859396477235E-2</v>
      </c>
      <c r="OX25" s="3">
        <f ca="1">IFERROR(__xludf.DUMMYFUNCTION("""COMPUTED_VALUE"""),-0.0490680213931511)</f>
        <v>-4.9068021393151098E-2</v>
      </c>
      <c r="OY25" s="3">
        <f ca="1">IFERROR(__xludf.DUMMYFUNCTION("""COMPUTED_VALUE"""),-0.116183705698125)</f>
        <v>-0.116183705698125</v>
      </c>
      <c r="OZ25" s="3">
        <f ca="1">IFERROR(__xludf.DUMMYFUNCTION("""COMPUTED_VALUE"""),0.0138162161109933)</f>
        <v>1.3816216110993301E-2</v>
      </c>
      <c r="PA25" s="3">
        <f ca="1">IFERROR(__xludf.DUMMYFUNCTION("""COMPUTED_VALUE"""),0.12651099653228)</f>
        <v>0.12651099653228001</v>
      </c>
      <c r="PB25" s="3">
        <f ca="1">IFERROR(__xludf.DUMMYFUNCTION("""COMPUTED_VALUE"""),0.0285899748488238)</f>
        <v>2.85899748488238E-2</v>
      </c>
      <c r="PC25" s="3">
        <f ca="1">IFERROR(__xludf.DUMMYFUNCTION("""COMPUTED_VALUE"""),-0.0883353021738956)</f>
        <v>-8.8335302173895597E-2</v>
      </c>
      <c r="PD25" s="3">
        <f ca="1">IFERROR(__xludf.DUMMYFUNCTION("""COMPUTED_VALUE"""),-0.0487102960364256)</f>
        <v>-4.8710296036425599E-2</v>
      </c>
      <c r="PE25" s="3">
        <f ca="1">IFERROR(__xludf.DUMMYFUNCTION("""COMPUTED_VALUE"""),0.0677161155271377)</f>
        <v>6.7716115527137702E-2</v>
      </c>
      <c r="PF25" s="3">
        <f ca="1">IFERROR(__xludf.DUMMYFUNCTION("""COMPUTED_VALUE"""),0.150514805879859)</f>
        <v>0.15051480587985899</v>
      </c>
      <c r="PG25" s="3">
        <f ca="1">IFERROR(__xludf.DUMMYFUNCTION("""COMPUTED_VALUE"""),0.123500581113026)</f>
        <v>0.123500581113026</v>
      </c>
      <c r="PH25" s="3">
        <f ca="1">IFERROR(__xludf.DUMMYFUNCTION("""COMPUTED_VALUE"""),0.0825890050985975)</f>
        <v>8.2589005098597498E-2</v>
      </c>
      <c r="PI25" s="3">
        <f ca="1">IFERROR(__xludf.DUMMYFUNCTION("""COMPUTED_VALUE"""),-0.0117963231872904)</f>
        <v>-1.1796323187290399E-2</v>
      </c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</row>
    <row r="26" spans="1:477" ht="15.75" customHeight="1">
      <c r="A26" s="1" t="str">
        <f ca="1">IFERROR(__xludf.DUMMYFUNCTION("""COMPUTED_VALUE"""),"CTTransit New Haven")</f>
        <v>CTTransit New Haven</v>
      </c>
      <c r="B26" s="1" t="str">
        <f ca="1">IFERROR(__xludf.DUMMYFUNCTION("""COMPUTED_VALUE"""),"Connecticut")</f>
        <v>Connecticut</v>
      </c>
      <c r="C26" s="1" t="str">
        <f ca="1">IFERROR(__xludf.DUMMYFUNCTION("""COMPUTED_VALUE"""),"United States")</f>
        <v>United States</v>
      </c>
      <c r="D26" s="1" t="str">
        <f ca="1">IFERROR(__xludf.DUMMYFUNCTION("""COMPUTED_VALUE"""),"Connecticut")</f>
        <v>Connecticut</v>
      </c>
      <c r="E26" s="3">
        <f ca="1">IFERROR(__xludf.DUMMYFUNCTION("""COMPUTED_VALUE"""),-0.344200333510179)</f>
        <v>-0.34420033351017898</v>
      </c>
      <c r="F26" s="3">
        <f ca="1">IFERROR(__xludf.DUMMYFUNCTION("""COMPUTED_VALUE"""),-0.399643010596954)</f>
        <v>-0.39964301059695401</v>
      </c>
      <c r="G26" s="3">
        <f ca="1">IFERROR(__xludf.DUMMYFUNCTION("""COMPUTED_VALUE"""),-0.47488131146527)</f>
        <v>-0.47488131146527002</v>
      </c>
      <c r="H26" s="3">
        <f ca="1">IFERROR(__xludf.DUMMYFUNCTION("""COMPUTED_VALUE"""),-0.468091793656659)</f>
        <v>-0.46809179365665898</v>
      </c>
      <c r="I26" s="3">
        <f ca="1">IFERROR(__xludf.DUMMYFUNCTION("""COMPUTED_VALUE"""),-0.474073522922955)</f>
        <v>-0.47407352292295502</v>
      </c>
      <c r="J26" s="3">
        <f ca="1">IFERROR(__xludf.DUMMYFUNCTION("""COMPUTED_VALUE"""),-0.432801234100009)</f>
        <v>-0.43280123410000898</v>
      </c>
      <c r="K26" s="3">
        <f ca="1">IFERROR(__xludf.DUMMYFUNCTION("""COMPUTED_VALUE"""),-0.420556915009831)</f>
        <v>-0.420556915009831</v>
      </c>
      <c r="L26" s="3">
        <f ca="1">IFERROR(__xludf.DUMMYFUNCTION("""COMPUTED_VALUE"""),-0.302274426031361)</f>
        <v>-0.30227442603136101</v>
      </c>
      <c r="M26" s="3">
        <f ca="1">IFERROR(__xludf.DUMMYFUNCTION("""COMPUTED_VALUE"""),-0.47754028585127)</f>
        <v>-0.47754028585127001</v>
      </c>
      <c r="N26" s="3">
        <f ca="1">IFERROR(__xludf.DUMMYFUNCTION("""COMPUTED_VALUE"""),-0.48556358658457)</f>
        <v>-0.48556358658456999</v>
      </c>
      <c r="O26" s="3">
        <f ca="1">IFERROR(__xludf.DUMMYFUNCTION("""COMPUTED_VALUE"""),-0.503802155220626)</f>
        <v>-0.50380215522062599</v>
      </c>
      <c r="P26" s="3">
        <f ca="1">IFERROR(__xludf.DUMMYFUNCTION("""COMPUTED_VALUE"""),-0.498763011647824)</f>
        <v>-0.49876301164782399</v>
      </c>
      <c r="Q26" s="3">
        <f ca="1">IFERROR(__xludf.DUMMYFUNCTION("""COMPUTED_VALUE"""),-0.463225792359551)</f>
        <v>-0.46322579235955103</v>
      </c>
      <c r="R26" s="3">
        <f ca="1">IFERROR(__xludf.DUMMYFUNCTION("""COMPUTED_VALUE"""),-0.375716359885924)</f>
        <v>-0.375716359885924</v>
      </c>
      <c r="S26" s="3">
        <f ca="1">IFERROR(__xludf.DUMMYFUNCTION("""COMPUTED_VALUE"""),-0.326911438936261)</f>
        <v>-0.32691143893626101</v>
      </c>
      <c r="T26" s="3">
        <f ca="1">IFERROR(__xludf.DUMMYFUNCTION("""COMPUTED_VALUE"""),-0.426927860090103)</f>
        <v>-0.42692786009010297</v>
      </c>
      <c r="U26" s="3">
        <f ca="1">IFERROR(__xludf.DUMMYFUNCTION("""COMPUTED_VALUE"""),-0.443893533749527)</f>
        <v>-0.443893533749527</v>
      </c>
      <c r="V26" s="3">
        <f ca="1">IFERROR(__xludf.DUMMYFUNCTION("""COMPUTED_VALUE"""),-0.467069624613151)</f>
        <v>-0.46706962461315099</v>
      </c>
      <c r="W26" s="3">
        <f ca="1">IFERROR(__xludf.DUMMYFUNCTION("""COMPUTED_VALUE"""),-0.459858145221628)</f>
        <v>-0.45985814522162799</v>
      </c>
      <c r="X26" s="3">
        <f ca="1">IFERROR(__xludf.DUMMYFUNCTION("""COMPUTED_VALUE"""),-0.446169293276977)</f>
        <v>-0.44616929327697702</v>
      </c>
      <c r="Y26" s="3">
        <f ca="1">IFERROR(__xludf.DUMMYFUNCTION("""COMPUTED_VALUE"""),-0.190066577851483)</f>
        <v>-0.19006657785148301</v>
      </c>
      <c r="Z26" s="3">
        <f ca="1">IFERROR(__xludf.DUMMYFUNCTION("""COMPUTED_VALUE"""),-0.339274608234947)</f>
        <v>-0.33927460823494698</v>
      </c>
      <c r="AA26" s="3">
        <f ca="1">IFERROR(__xludf.DUMMYFUNCTION("""COMPUTED_VALUE"""),-0.436408295391913)</f>
        <v>-0.436408295391913</v>
      </c>
      <c r="AB26" s="3">
        <f ca="1">IFERROR(__xludf.DUMMYFUNCTION("""COMPUTED_VALUE"""),-0.500022216734065)</f>
        <v>-0.50002221673406499</v>
      </c>
      <c r="AC26" s="3">
        <f ca="1">IFERROR(__xludf.DUMMYFUNCTION("""COMPUTED_VALUE"""),-0.487963839632406)</f>
        <v>-0.48796383963240603</v>
      </c>
      <c r="AD26" s="3">
        <f ca="1">IFERROR(__xludf.DUMMYFUNCTION("""COMPUTED_VALUE"""),-0.490775289836043)</f>
        <v>-0.49077528983604302</v>
      </c>
      <c r="AE26" s="3">
        <f ca="1">IFERROR(__xludf.DUMMYFUNCTION("""COMPUTED_VALUE"""),-0.461747233545774)</f>
        <v>-0.46174723354577402</v>
      </c>
      <c r="AF26" s="3">
        <f ca="1">IFERROR(__xludf.DUMMYFUNCTION("""COMPUTED_VALUE"""),-0.307023719271906)</f>
        <v>-0.30702371927190603</v>
      </c>
      <c r="AG26" s="3">
        <f ca="1">IFERROR(__xludf.DUMMYFUNCTION("""COMPUTED_VALUE"""),-0.303184988626697)</f>
        <v>-0.30318498862669702</v>
      </c>
      <c r="AH26" s="3">
        <f ca="1">IFERROR(__xludf.DUMMYFUNCTION("""COMPUTED_VALUE"""),-0.366414736212475)</f>
        <v>-0.366414736212475</v>
      </c>
      <c r="AI26" s="3">
        <f ca="1">IFERROR(__xludf.DUMMYFUNCTION("""COMPUTED_VALUE"""),-0.421082700863727)</f>
        <v>-0.42108270086372701</v>
      </c>
      <c r="AJ26" s="3">
        <f ca="1">IFERROR(__xludf.DUMMYFUNCTION("""COMPUTED_VALUE"""),-0.432710473447008)</f>
        <v>-0.43271047344700803</v>
      </c>
      <c r="AK26" s="3">
        <f ca="1">IFERROR(__xludf.DUMMYFUNCTION("""COMPUTED_VALUE"""),-0.386713198577776)</f>
        <v>-0.38671319857777597</v>
      </c>
      <c r="AL26" s="3">
        <f ca="1">IFERROR(__xludf.DUMMYFUNCTION("""COMPUTED_VALUE"""),-0.135146143744643)</f>
        <v>-0.13514614374464301</v>
      </c>
      <c r="AM26" s="3">
        <f ca="1">IFERROR(__xludf.DUMMYFUNCTION("""COMPUTED_VALUE"""),-0.299543304850096)</f>
        <v>-0.299543304850096</v>
      </c>
      <c r="AN26" s="3">
        <f ca="1">IFERROR(__xludf.DUMMYFUNCTION("""COMPUTED_VALUE"""),-0.354902399606932)</f>
        <v>-0.35490239960693198</v>
      </c>
      <c r="AO26" s="3">
        <f ca="1">IFERROR(__xludf.DUMMYFUNCTION("""COMPUTED_VALUE"""),-0.495343970473863)</f>
        <v>-0.49534397047386303</v>
      </c>
      <c r="AP26" s="3">
        <f ca="1">IFERROR(__xludf.DUMMYFUNCTION("""COMPUTED_VALUE"""),-0.458683313577172)</f>
        <v>-0.45868331357717201</v>
      </c>
      <c r="AQ26" s="3">
        <f ca="1">IFERROR(__xludf.DUMMYFUNCTION("""COMPUTED_VALUE"""),-0.407063707845829)</f>
        <v>-0.40706370784582901</v>
      </c>
      <c r="AR26" s="3">
        <f ca="1">IFERROR(__xludf.DUMMYFUNCTION("""COMPUTED_VALUE"""),-0.46939178013179)</f>
        <v>-0.46939178013179</v>
      </c>
      <c r="AS26" s="3">
        <f ca="1">IFERROR(__xludf.DUMMYFUNCTION("""COMPUTED_VALUE"""),-0.371351858899642)</f>
        <v>-0.37135185889964201</v>
      </c>
      <c r="AT26" s="3">
        <f ca="1">IFERROR(__xludf.DUMMYFUNCTION("""COMPUTED_VALUE"""),-0.283614733890486)</f>
        <v>-0.28361473389048603</v>
      </c>
      <c r="AU26" s="3">
        <f ca="1">IFERROR(__xludf.DUMMYFUNCTION("""COMPUTED_VALUE"""),-0.362206498613603)</f>
        <v>-0.36220649861360299</v>
      </c>
      <c r="AV26" s="3">
        <f ca="1">IFERROR(__xludf.DUMMYFUNCTION("""COMPUTED_VALUE"""),-0.443139319880717)</f>
        <v>-0.44313931988071698</v>
      </c>
      <c r="AW26" s="3">
        <f ca="1">IFERROR(__xludf.DUMMYFUNCTION("""COMPUTED_VALUE"""),-0.473148253967514)</f>
        <v>-0.47314825396751398</v>
      </c>
      <c r="AX26" s="3">
        <f ca="1">IFERROR(__xludf.DUMMYFUNCTION("""COMPUTED_VALUE"""),-0.406715645869643)</f>
        <v>-0.40671564586964298</v>
      </c>
      <c r="AY26" s="3">
        <f ca="1">IFERROR(__xludf.DUMMYFUNCTION("""COMPUTED_VALUE"""),-0.463212169240577)</f>
        <v>-0.46321216924057701</v>
      </c>
      <c r="AZ26" s="3">
        <f ca="1">IFERROR(__xludf.DUMMYFUNCTION("""COMPUTED_VALUE"""),-0.359587402195003)</f>
        <v>-0.35958740219500301</v>
      </c>
      <c r="BA26" s="3">
        <f ca="1">IFERROR(__xludf.DUMMYFUNCTION("""COMPUTED_VALUE"""),-0.270705931602907)</f>
        <v>-0.27070593160290701</v>
      </c>
      <c r="BB26" s="3">
        <f ca="1">IFERROR(__xludf.DUMMYFUNCTION("""COMPUTED_VALUE"""),-0.349032893400969)</f>
        <v>-0.34903289340096899</v>
      </c>
      <c r="BC26" s="3">
        <f ca="1">IFERROR(__xludf.DUMMYFUNCTION("""COMPUTED_VALUE"""),-0.508217727512594)</f>
        <v>-0.50821772751259398</v>
      </c>
      <c r="BD26" s="3">
        <f ca="1">IFERROR(__xludf.DUMMYFUNCTION("""COMPUTED_VALUE"""),-0.557009618222928)</f>
        <v>-0.55700961822292805</v>
      </c>
      <c r="BE26" s="3">
        <f ca="1">IFERROR(__xludf.DUMMYFUNCTION("""COMPUTED_VALUE"""),-0.413485503847401)</f>
        <v>-0.41348550384740101</v>
      </c>
      <c r="BF26" s="3">
        <f ca="1">IFERROR(__xludf.DUMMYFUNCTION("""COMPUTED_VALUE"""),-0.445044113503003)</f>
        <v>-0.44504411350300299</v>
      </c>
      <c r="BG26" s="3">
        <f ca="1">IFERROR(__xludf.DUMMYFUNCTION("""COMPUTED_VALUE"""),-0.441215115630541)</f>
        <v>-0.441215115630541</v>
      </c>
      <c r="BH26" s="3">
        <f ca="1">IFERROR(__xludf.DUMMYFUNCTION("""COMPUTED_VALUE"""),-0.268428234878307)</f>
        <v>-0.26842823487830703</v>
      </c>
      <c r="BI26" s="3">
        <f ca="1">IFERROR(__xludf.DUMMYFUNCTION("""COMPUTED_VALUE"""),-0.331429131937482)</f>
        <v>-0.33142913193748202</v>
      </c>
      <c r="BJ26" s="3">
        <f ca="1">IFERROR(__xludf.DUMMYFUNCTION("""COMPUTED_VALUE"""),-0.461526357963338)</f>
        <v>-0.46152635796333802</v>
      </c>
      <c r="BK26" s="3">
        <f ca="1">IFERROR(__xludf.DUMMYFUNCTION("""COMPUTED_VALUE"""),-0.478340230137792)</f>
        <v>-0.47834023013779198</v>
      </c>
      <c r="BL26" s="3">
        <f ca="1">IFERROR(__xludf.DUMMYFUNCTION("""COMPUTED_VALUE"""),-0.482928971131015)</f>
        <v>-0.48292897113101502</v>
      </c>
      <c r="BM26" s="3">
        <f ca="1">IFERROR(__xludf.DUMMYFUNCTION("""COMPUTED_VALUE"""),-0.581888518026519)</f>
        <v>-0.58188851802651897</v>
      </c>
      <c r="BN26" s="3">
        <f ca="1">IFERROR(__xludf.DUMMYFUNCTION("""COMPUTED_VALUE"""),-0.42546863266458)</f>
        <v>-0.42546863266458002</v>
      </c>
      <c r="BO26" s="3">
        <f ca="1">IFERROR(__xludf.DUMMYFUNCTION("""COMPUTED_VALUE"""),-0.409593193225073)</f>
        <v>-0.40959319322507298</v>
      </c>
      <c r="BP26" s="3">
        <f ca="1">IFERROR(__xludf.DUMMYFUNCTION("""COMPUTED_VALUE"""),-0.285392253940274)</f>
        <v>-0.28539225394027401</v>
      </c>
      <c r="BQ26" s="3">
        <f ca="1">IFERROR(__xludf.DUMMYFUNCTION("""COMPUTED_VALUE"""),-0.468704993686463)</f>
        <v>-0.46870499368646301</v>
      </c>
      <c r="BR26" s="3">
        <f ca="1">IFERROR(__xludf.DUMMYFUNCTION("""COMPUTED_VALUE"""),-0.509891806701748)</f>
        <v>-0.50989180670174805</v>
      </c>
      <c r="BS26" s="3">
        <f ca="1">IFERROR(__xludf.DUMMYFUNCTION("""COMPUTED_VALUE"""),-0.48815977035555)</f>
        <v>-0.48815977035555003</v>
      </c>
      <c r="BT26" s="3">
        <f ca="1">IFERROR(__xludf.DUMMYFUNCTION("""COMPUTED_VALUE"""),-0.598910410186518)</f>
        <v>-0.59891041018651803</v>
      </c>
      <c r="BU26" s="3">
        <f ca="1">IFERROR(__xludf.DUMMYFUNCTION("""COMPUTED_VALUE"""),-0.687104893093496)</f>
        <v>-0.68710489309349598</v>
      </c>
      <c r="BV26" s="3">
        <f ca="1">IFERROR(__xludf.DUMMYFUNCTION("""COMPUTED_VALUE"""),-0.362349859224747)</f>
        <v>-0.362349859224747</v>
      </c>
      <c r="BW26" s="3">
        <f ca="1">IFERROR(__xludf.DUMMYFUNCTION("""COMPUTED_VALUE"""),-0.379153781579861)</f>
        <v>-0.37915378157986102</v>
      </c>
      <c r="BX26" s="3">
        <f ca="1">IFERROR(__xludf.DUMMYFUNCTION("""COMPUTED_VALUE"""),-0.576096577599913)</f>
        <v>-0.57609657759991295</v>
      </c>
      <c r="BY26" s="3">
        <f ca="1">IFERROR(__xludf.DUMMYFUNCTION("""COMPUTED_VALUE"""),-0.530891011266958)</f>
        <v>-0.53089101126695804</v>
      </c>
      <c r="BZ26" s="3">
        <f ca="1">IFERROR(__xludf.DUMMYFUNCTION("""COMPUTED_VALUE"""),-0.575695951119035)</f>
        <v>-0.57569595111903504</v>
      </c>
      <c r="CA26" s="3">
        <f ca="1">IFERROR(__xludf.DUMMYFUNCTION("""COMPUTED_VALUE"""),-0.552048865296673)</f>
        <v>-0.55204886529667296</v>
      </c>
      <c r="CB26" s="3">
        <f ca="1">IFERROR(__xludf.DUMMYFUNCTION("""COMPUTED_VALUE"""),-0.48813144890038)</f>
        <v>-0.48813144890038002</v>
      </c>
      <c r="CC26" s="3">
        <f ca="1">IFERROR(__xludf.DUMMYFUNCTION("""COMPUTED_VALUE"""),-0.395752299220921)</f>
        <v>-0.39575229922092098</v>
      </c>
      <c r="CD26" s="3">
        <f ca="1">IFERROR(__xludf.DUMMYFUNCTION("""COMPUTED_VALUE"""),-0.354323313311009)</f>
        <v>-0.35432331331100902</v>
      </c>
      <c r="CE26" s="3">
        <f ca="1">IFERROR(__xludf.DUMMYFUNCTION("""COMPUTED_VALUE"""),-0.482196721915855)</f>
        <v>-0.482196721915855</v>
      </c>
      <c r="CF26" s="3">
        <f ca="1">IFERROR(__xludf.DUMMYFUNCTION("""COMPUTED_VALUE"""),-0.515057249271516)</f>
        <v>-0.51505724927151597</v>
      </c>
      <c r="CG26" s="3">
        <f ca="1">IFERROR(__xludf.DUMMYFUNCTION("""COMPUTED_VALUE"""),-0.528393743388017)</f>
        <v>-0.52839374338801703</v>
      </c>
      <c r="CH26" s="3">
        <f ca="1">IFERROR(__xludf.DUMMYFUNCTION("""COMPUTED_VALUE"""),-0.501263476038945)</f>
        <v>-0.50126347603894506</v>
      </c>
      <c r="CI26" s="3">
        <f ca="1">IFERROR(__xludf.DUMMYFUNCTION("""COMPUTED_VALUE"""),-0.478339607931373)</f>
        <v>-0.47833960793137298</v>
      </c>
      <c r="CJ26" s="3">
        <f ca="1">IFERROR(__xludf.DUMMYFUNCTION("""COMPUTED_VALUE"""),-0.364264815114185)</f>
        <v>-0.36426481511418501</v>
      </c>
      <c r="CK26" s="3">
        <f ca="1">IFERROR(__xludf.DUMMYFUNCTION("""COMPUTED_VALUE"""),-0.392064745128853)</f>
        <v>-0.39206474512885298</v>
      </c>
      <c r="CL26" s="3">
        <f ca="1">IFERROR(__xludf.DUMMYFUNCTION("""COMPUTED_VALUE"""),-0.471528396960298)</f>
        <v>-0.47152839696029802</v>
      </c>
      <c r="CM26" s="3">
        <f ca="1">IFERROR(__xludf.DUMMYFUNCTION("""COMPUTED_VALUE"""),-0.500947917379559)</f>
        <v>-0.50094791737955902</v>
      </c>
      <c r="CN26" s="3">
        <f ca="1">IFERROR(__xludf.DUMMYFUNCTION("""COMPUTED_VALUE"""),-0.506638718470762)</f>
        <v>-0.50663871847076203</v>
      </c>
      <c r="CO26" s="3">
        <f ca="1">IFERROR(__xludf.DUMMYFUNCTION("""COMPUTED_VALUE"""),-0.499859404148648)</f>
        <v>-0.49985940414864799</v>
      </c>
      <c r="CP26" s="3">
        <f ca="1">IFERROR(__xludf.DUMMYFUNCTION("""COMPUTED_VALUE"""),-0.43659430249408)</f>
        <v>-0.43659430249407999</v>
      </c>
      <c r="CQ26" s="3">
        <f ca="1">IFERROR(__xludf.DUMMYFUNCTION("""COMPUTED_VALUE"""),-0.38907509877291)</f>
        <v>-0.38907509877291002</v>
      </c>
      <c r="CR26" s="3">
        <f ca="1">IFERROR(__xludf.DUMMYFUNCTION("""COMPUTED_VALUE"""),-0.381136737725732)</f>
        <v>-0.38113673772573198</v>
      </c>
      <c r="CS26" s="3">
        <f ca="1">IFERROR(__xludf.DUMMYFUNCTION("""COMPUTED_VALUE"""),-0.495781802507833)</f>
        <v>-0.49578180250783299</v>
      </c>
      <c r="CT26" s="3">
        <f ca="1">IFERROR(__xludf.DUMMYFUNCTION("""COMPUTED_VALUE"""),-0.501842947925377)</f>
        <v>-0.50184294792537698</v>
      </c>
      <c r="CU26" s="3">
        <f ca="1">IFERROR(__xludf.DUMMYFUNCTION("""COMPUTED_VALUE"""),-0.388183757284196)</f>
        <v>-0.38818375728419602</v>
      </c>
      <c r="CV26" s="3">
        <f ca="1">IFERROR(__xludf.DUMMYFUNCTION("""COMPUTED_VALUE"""),-0.523931390148234)</f>
        <v>-0.52393139014823398</v>
      </c>
      <c r="CW26" s="3">
        <f ca="1">IFERROR(__xludf.DUMMYFUNCTION("""COMPUTED_VALUE"""),-0.416058057287174)</f>
        <v>-0.41605805728717399</v>
      </c>
      <c r="CX26" s="3">
        <f ca="1">IFERROR(__xludf.DUMMYFUNCTION("""COMPUTED_VALUE"""),-0.431884434725967)</f>
        <v>-0.43188443472596699</v>
      </c>
      <c r="CY26" s="3">
        <f ca="1">IFERROR(__xludf.DUMMYFUNCTION("""COMPUTED_VALUE"""),-0.396998797888241)</f>
        <v>-0.396998797888241</v>
      </c>
      <c r="CZ26" s="3">
        <f ca="1">IFERROR(__xludf.DUMMYFUNCTION("""COMPUTED_VALUE"""),-0.610191121283209)</f>
        <v>-0.61019112128320896</v>
      </c>
      <c r="DA26" s="3">
        <f ca="1">IFERROR(__xludf.DUMMYFUNCTION("""COMPUTED_VALUE"""),-0.473465152743913)</f>
        <v>-0.47346515274391299</v>
      </c>
      <c r="DB26" s="3">
        <f ca="1">IFERROR(__xludf.DUMMYFUNCTION("""COMPUTED_VALUE"""),-0.142047349381585)</f>
        <v>-0.142047349381585</v>
      </c>
      <c r="DC26" s="3">
        <f ca="1">IFERROR(__xludf.DUMMYFUNCTION("""COMPUTED_VALUE"""),-0.43398581656002)</f>
        <v>-0.43398581656002</v>
      </c>
      <c r="DD26" s="3">
        <f ca="1">IFERROR(__xludf.DUMMYFUNCTION("""COMPUTED_VALUE"""),-0.450856800235776)</f>
        <v>-0.45085680023577601</v>
      </c>
      <c r="DE26" s="3">
        <f ca="1">IFERROR(__xludf.DUMMYFUNCTION("""COMPUTED_VALUE"""),-0.374607174363372)</f>
        <v>-0.37460717436337199</v>
      </c>
      <c r="DF26" s="3">
        <f ca="1">IFERROR(__xludf.DUMMYFUNCTION("""COMPUTED_VALUE"""),-0.413568811791424)</f>
        <v>-0.41356881179142402</v>
      </c>
      <c r="DG26" s="3">
        <f ca="1">IFERROR(__xludf.DUMMYFUNCTION("""COMPUTED_VALUE"""),-0.823692522560734)</f>
        <v>-0.823692522560734</v>
      </c>
      <c r="DH26" s="3">
        <f ca="1">IFERROR(__xludf.DUMMYFUNCTION("""COMPUTED_VALUE"""),-0.502483639805939)</f>
        <v>-0.50248363980593902</v>
      </c>
      <c r="DI26" s="3">
        <f ca="1">IFERROR(__xludf.DUMMYFUNCTION("""COMPUTED_VALUE"""),-0.109027613954978)</f>
        <v>-0.10902761395497799</v>
      </c>
      <c r="DJ26" s="3">
        <f ca="1">IFERROR(__xludf.DUMMYFUNCTION("""COMPUTED_VALUE"""),-0.319118149948092)</f>
        <v>-0.31911814994809201</v>
      </c>
      <c r="DK26" s="3">
        <f ca="1">IFERROR(__xludf.DUMMYFUNCTION("""COMPUTED_VALUE"""),-0.452546465711047)</f>
        <v>-0.45254646571104701</v>
      </c>
      <c r="DL26" s="3">
        <f ca="1">IFERROR(__xludf.DUMMYFUNCTION("""COMPUTED_VALUE"""),-0.403552449566262)</f>
        <v>-0.40355244956626202</v>
      </c>
      <c r="DM26" s="3">
        <f ca="1">IFERROR(__xludf.DUMMYFUNCTION("""COMPUTED_VALUE"""),-0.378025714340946)</f>
        <v>-0.37802571434094601</v>
      </c>
      <c r="DN26" s="3">
        <f ca="1">IFERROR(__xludf.DUMMYFUNCTION("""COMPUTED_VALUE"""),-0.469899040110851)</f>
        <v>-0.46989904011085099</v>
      </c>
      <c r="DO26" s="3">
        <f ca="1">IFERROR(__xludf.DUMMYFUNCTION("""COMPUTED_VALUE"""),-0.681773662208688)</f>
        <v>-0.68177366220868796</v>
      </c>
      <c r="DP26" s="3">
        <f ca="1">IFERROR(__xludf.DUMMYFUNCTION("""COMPUTED_VALUE"""),-0.358616395014736)</f>
        <v>-0.35861639501473602</v>
      </c>
      <c r="DQ26" s="3">
        <f ca="1">IFERROR(__xludf.DUMMYFUNCTION("""COMPUTED_VALUE"""),-0.353683034546892)</f>
        <v>-0.35368303454689198</v>
      </c>
      <c r="DR26" s="3">
        <f ca="1">IFERROR(__xludf.DUMMYFUNCTION("""COMPUTED_VALUE"""),-0.570006246033962)</f>
        <v>-0.57000624603396199</v>
      </c>
      <c r="DS26" s="3">
        <f ca="1">IFERROR(__xludf.DUMMYFUNCTION("""COMPUTED_VALUE"""),-0.337165997710924)</f>
        <v>-0.33716599771092398</v>
      </c>
      <c r="DT26" s="3">
        <f ca="1">IFERROR(__xludf.DUMMYFUNCTION("""COMPUTED_VALUE"""),-0.415145864746425)</f>
        <v>-0.41514586474642501</v>
      </c>
      <c r="DU26" s="3">
        <f ca="1">IFERROR(__xludf.DUMMYFUNCTION("""COMPUTED_VALUE"""),-0.451018596908078)</f>
        <v>-0.451018596908078</v>
      </c>
      <c r="DV26" s="3">
        <f ca="1">IFERROR(__xludf.DUMMYFUNCTION("""COMPUTED_VALUE"""),-0.510040411463768)</f>
        <v>-0.510040411463768</v>
      </c>
      <c r="DW26" s="3">
        <f ca="1">IFERROR(__xludf.DUMMYFUNCTION("""COMPUTED_VALUE"""),-0.542189359596549)</f>
        <v>-0.54218935959654901</v>
      </c>
      <c r="DX26" s="3">
        <f ca="1">IFERROR(__xludf.DUMMYFUNCTION("""COMPUTED_VALUE"""),-0.504526910334868)</f>
        <v>-0.50452691033486796</v>
      </c>
      <c r="DY26" s="3">
        <f ca="1">IFERROR(__xludf.DUMMYFUNCTION("""COMPUTED_VALUE"""),-0.497463515382892)</f>
        <v>-0.49746351538289202</v>
      </c>
      <c r="DZ26" s="3">
        <f ca="1">IFERROR(__xludf.DUMMYFUNCTION("""COMPUTED_VALUE"""),-0.380328320583777)</f>
        <v>-0.38032832058377702</v>
      </c>
      <c r="EA26" s="3">
        <f ca="1">IFERROR(__xludf.DUMMYFUNCTION("""COMPUTED_VALUE"""),-0.51851689679867)</f>
        <v>-0.51851689679866997</v>
      </c>
      <c r="EB26" s="3">
        <f ca="1">IFERROR(__xludf.DUMMYFUNCTION("""COMPUTED_VALUE"""),-0.500728474923906)</f>
        <v>-0.50072847492390604</v>
      </c>
      <c r="EC26" s="3">
        <f ca="1">IFERROR(__xludf.DUMMYFUNCTION("""COMPUTED_VALUE"""),-0.42711363633104)</f>
        <v>-0.42711363633103999</v>
      </c>
      <c r="ED26" s="3">
        <f ca="1">IFERROR(__xludf.DUMMYFUNCTION("""COMPUTED_VALUE"""),-0.538807868552067)</f>
        <v>-0.53880786855206697</v>
      </c>
      <c r="EE26" s="3">
        <f ca="1">IFERROR(__xludf.DUMMYFUNCTION("""COMPUTED_VALUE"""),-0.554418400156361)</f>
        <v>-0.55441840015636101</v>
      </c>
      <c r="EF26" s="3">
        <f ca="1">IFERROR(__xludf.DUMMYFUNCTION("""COMPUTED_VALUE"""),-0.596842560482244)</f>
        <v>-0.59684256048224404</v>
      </c>
      <c r="EG26" s="3">
        <f ca="1">IFERROR(__xludf.DUMMYFUNCTION("""COMPUTED_VALUE"""),-0.370940766273928)</f>
        <v>-0.37094076627392802</v>
      </c>
      <c r="EH26" s="3">
        <f ca="1">IFERROR(__xludf.DUMMYFUNCTION("""COMPUTED_VALUE"""),-0.436259998234757)</f>
        <v>-0.43625999823475697</v>
      </c>
      <c r="EI26" s="3">
        <f ca="1">IFERROR(__xludf.DUMMYFUNCTION("""COMPUTED_VALUE"""),-0.519098039182441)</f>
        <v>-0.51909803918244102</v>
      </c>
      <c r="EJ26" s="3">
        <f ca="1">IFERROR(__xludf.DUMMYFUNCTION("""COMPUTED_VALUE"""),-0.741157059876093)</f>
        <v>-0.74115705987609304</v>
      </c>
      <c r="EK26" s="3">
        <f ca="1">IFERROR(__xludf.DUMMYFUNCTION("""COMPUTED_VALUE"""),-0.540032730009862)</f>
        <v>-0.54003273000986196</v>
      </c>
      <c r="EL26" s="3">
        <f ca="1">IFERROR(__xludf.DUMMYFUNCTION("""COMPUTED_VALUE"""),-0.527776096196043)</f>
        <v>-0.52777609619604304</v>
      </c>
      <c r="EM26" s="3">
        <f ca="1">IFERROR(__xludf.DUMMYFUNCTION("""COMPUTED_VALUE"""),-0.520126373691923)</f>
        <v>-0.52012637369192305</v>
      </c>
      <c r="EN26" s="3">
        <f ca="1">IFERROR(__xludf.DUMMYFUNCTION("""COMPUTED_VALUE"""),-0.401651469436239)</f>
        <v>-0.40165146943623897</v>
      </c>
      <c r="EO26" s="3">
        <f ca="1">IFERROR(__xludf.DUMMYFUNCTION("""COMPUTED_VALUE"""),-0.385426194762233)</f>
        <v>-0.385426194762233</v>
      </c>
      <c r="EP26" s="3">
        <f ca="1">IFERROR(__xludf.DUMMYFUNCTION("""COMPUTED_VALUE"""),-0.434994936555497)</f>
        <v>-0.43499493655549698</v>
      </c>
      <c r="EQ26" s="3">
        <f ca="1">IFERROR(__xludf.DUMMYFUNCTION("""COMPUTED_VALUE"""),-0.444223934929361)</f>
        <v>-0.44422393492936102</v>
      </c>
      <c r="ER26" s="3">
        <f ca="1">IFERROR(__xludf.DUMMYFUNCTION("""COMPUTED_VALUE"""),-0.550037472008653)</f>
        <v>-0.55003747200865305</v>
      </c>
      <c r="ES26" s="3">
        <f ca="1">IFERROR(__xludf.DUMMYFUNCTION("""COMPUTED_VALUE"""),-0.52721813914552)</f>
        <v>-0.52721813914551996</v>
      </c>
      <c r="ET26" s="3">
        <f ca="1">IFERROR(__xludf.DUMMYFUNCTION("""COMPUTED_VALUE"""),-0.494375233654998)</f>
        <v>-0.49437523365499803</v>
      </c>
      <c r="EU26" s="3">
        <f ca="1">IFERROR(__xludf.DUMMYFUNCTION("""COMPUTED_VALUE"""),-0.384303219645817)</f>
        <v>-0.38430321964581698</v>
      </c>
      <c r="EV26" s="3">
        <f ca="1">IFERROR(__xludf.DUMMYFUNCTION("""COMPUTED_VALUE"""),-0.400669577962163)</f>
        <v>-0.40066957796216301</v>
      </c>
      <c r="EW26" s="3">
        <f ca="1">IFERROR(__xludf.DUMMYFUNCTION("""COMPUTED_VALUE"""),-0.530931238860309)</f>
        <v>-0.53093123886030902</v>
      </c>
      <c r="EX26" s="3">
        <f ca="1">IFERROR(__xludf.DUMMYFUNCTION("""COMPUTED_VALUE"""),-0.553436395799037)</f>
        <v>-0.55343639579903703</v>
      </c>
      <c r="EY26" s="3">
        <f ca="1">IFERROR(__xludf.DUMMYFUNCTION("""COMPUTED_VALUE"""),-0.579190943629772)</f>
        <v>-0.57919094362977197</v>
      </c>
      <c r="EZ26" s="3">
        <f ca="1">IFERROR(__xludf.DUMMYFUNCTION("""COMPUTED_VALUE"""),-0.488021927848242)</f>
        <v>-0.488021927848242</v>
      </c>
      <c r="FA26" s="3">
        <f ca="1">IFERROR(__xludf.DUMMYFUNCTION("""COMPUTED_VALUE"""),-0.521002435119545)</f>
        <v>-0.52100243511954503</v>
      </c>
      <c r="FB26" s="3">
        <f ca="1">IFERROR(__xludf.DUMMYFUNCTION("""COMPUTED_VALUE"""),-0.356699645680542)</f>
        <v>-0.35669964568054202</v>
      </c>
      <c r="FC26" s="3">
        <f ca="1">IFERROR(__xludf.DUMMYFUNCTION("""COMPUTED_VALUE"""),-0.412287286313085)</f>
        <v>-0.41228728631308498</v>
      </c>
      <c r="FD26" s="3">
        <f ca="1">IFERROR(__xludf.DUMMYFUNCTION("""COMPUTED_VALUE"""),-0.531182873617985)</f>
        <v>-0.531182873617985</v>
      </c>
      <c r="FE26" s="3">
        <f ca="1">IFERROR(__xludf.DUMMYFUNCTION("""COMPUTED_VALUE"""),-0.52691393873634)</f>
        <v>-0.52691393873633996</v>
      </c>
      <c r="FF26" s="3">
        <f ca="1">IFERROR(__xludf.DUMMYFUNCTION("""COMPUTED_VALUE"""),-0.532062111491834)</f>
        <v>-0.53206211149183402</v>
      </c>
      <c r="FG26" s="3">
        <f ca="1">IFERROR(__xludf.DUMMYFUNCTION("""COMPUTED_VALUE"""),-0.458781422308538)</f>
        <v>-0.45878142230853802</v>
      </c>
      <c r="FH26" s="3">
        <f ca="1">IFERROR(__xludf.DUMMYFUNCTION("""COMPUTED_VALUE"""),-0.467360713151523)</f>
        <v>-0.467360713151523</v>
      </c>
      <c r="FI26" s="3">
        <f ca="1">IFERROR(__xludf.DUMMYFUNCTION("""COMPUTED_VALUE"""),-0.409111521718967)</f>
        <v>-0.40911152171896698</v>
      </c>
      <c r="FJ26" s="3">
        <f ca="1">IFERROR(__xludf.DUMMYFUNCTION("""COMPUTED_VALUE"""),-0.388751060755769)</f>
        <v>-0.38875106075576898</v>
      </c>
      <c r="FK26" s="3">
        <f ca="1">IFERROR(__xludf.DUMMYFUNCTION("""COMPUTED_VALUE"""),-0.59172247024393)</f>
        <v>-0.59172247024392999</v>
      </c>
      <c r="FL26" s="3">
        <f ca="1">IFERROR(__xludf.DUMMYFUNCTION("""COMPUTED_VALUE"""),-0.57603584063831)</f>
        <v>-0.57603584063831004</v>
      </c>
      <c r="FM26" s="3">
        <f ca="1">IFERROR(__xludf.DUMMYFUNCTION("""COMPUTED_VALUE"""),-0.561724916444211)</f>
        <v>-0.56172491644421096</v>
      </c>
      <c r="FN26" s="3">
        <f ca="1">IFERROR(__xludf.DUMMYFUNCTION("""COMPUTED_VALUE"""),-0.489655240011788)</f>
        <v>-0.48965524001178801</v>
      </c>
      <c r="FO26" s="3">
        <f ca="1">IFERROR(__xludf.DUMMYFUNCTION("""COMPUTED_VALUE"""),-0.525099013863113)</f>
        <v>-0.52509901386311297</v>
      </c>
      <c r="FP26" s="3">
        <f ca="1">IFERROR(__xludf.DUMMYFUNCTION("""COMPUTED_VALUE"""),-0.321168036526156)</f>
        <v>-0.321168036526156</v>
      </c>
      <c r="FQ26" s="3">
        <f ca="1">IFERROR(__xludf.DUMMYFUNCTION("""COMPUTED_VALUE"""),-0.42030119857237)</f>
        <v>-0.42030119857237003</v>
      </c>
      <c r="FR26" s="3">
        <f ca="1">IFERROR(__xludf.DUMMYFUNCTION("""COMPUTED_VALUE"""),-0.543711838389535)</f>
        <v>-0.54371183838953496</v>
      </c>
      <c r="FS26" s="3">
        <f ca="1">IFERROR(__xludf.DUMMYFUNCTION("""COMPUTED_VALUE"""),-0.500615609805586)</f>
        <v>-0.50061560980558595</v>
      </c>
      <c r="FT26" s="3">
        <f ca="1">IFERROR(__xludf.DUMMYFUNCTION("""COMPUTED_VALUE"""),-0.483749629808361)</f>
        <v>-0.483749629808361</v>
      </c>
      <c r="FU26" s="3">
        <f ca="1">IFERROR(__xludf.DUMMYFUNCTION("""COMPUTED_VALUE"""),-0.512809513039318)</f>
        <v>-0.51280951303931799</v>
      </c>
      <c r="FV26" s="3">
        <f ca="1">IFERROR(__xludf.DUMMYFUNCTION("""COMPUTED_VALUE"""),-0.49463910717822)</f>
        <v>-0.49463910717822002</v>
      </c>
      <c r="FW26" s="3">
        <f ca="1">IFERROR(__xludf.DUMMYFUNCTION("""COMPUTED_VALUE"""),-0.304538015354263)</f>
        <v>-0.304538015354263</v>
      </c>
      <c r="FX26" s="3">
        <f ca="1">IFERROR(__xludf.DUMMYFUNCTION("""COMPUTED_VALUE"""),-0.380265798260293)</f>
        <v>-0.380265798260293</v>
      </c>
      <c r="FY26" s="3">
        <f ca="1">IFERROR(__xludf.DUMMYFUNCTION("""COMPUTED_VALUE"""),-0.543419673269877)</f>
        <v>-0.54341967326987695</v>
      </c>
      <c r="FZ26" s="3">
        <f ca="1">IFERROR(__xludf.DUMMYFUNCTION("""COMPUTED_VALUE"""),-0.474679779137661)</f>
        <v>-0.47467977913766102</v>
      </c>
      <c r="GA26" s="3">
        <f ca="1">IFERROR(__xludf.DUMMYFUNCTION("""COMPUTED_VALUE"""),-0.447932595249189)</f>
        <v>-0.44793259524918899</v>
      </c>
      <c r="GB26" s="3">
        <f ca="1">IFERROR(__xludf.DUMMYFUNCTION("""COMPUTED_VALUE"""),-0.533701846840927)</f>
        <v>-0.53370184684092703</v>
      </c>
      <c r="GC26" s="3">
        <f ca="1">IFERROR(__xludf.DUMMYFUNCTION("""COMPUTED_VALUE"""),-0.517409347620015)</f>
        <v>-0.517409347620015</v>
      </c>
      <c r="GD26" s="3">
        <f ca="1">IFERROR(__xludf.DUMMYFUNCTION("""COMPUTED_VALUE"""),-0.315682831777927)</f>
        <v>-0.315682831777927</v>
      </c>
      <c r="GE26" s="3">
        <f ca="1">IFERROR(__xludf.DUMMYFUNCTION("""COMPUTED_VALUE"""),-0.334995833187455)</f>
        <v>-0.33499583318745502</v>
      </c>
      <c r="GF26" s="3">
        <f ca="1">IFERROR(__xludf.DUMMYFUNCTION("""COMPUTED_VALUE"""),-0.479824012388792)</f>
        <v>-0.47982401238879202</v>
      </c>
      <c r="GG26" s="3">
        <f ca="1">IFERROR(__xludf.DUMMYFUNCTION("""COMPUTED_VALUE"""),-0.483632834135945)</f>
        <v>-0.48363283413594499</v>
      </c>
      <c r="GH26" s="3">
        <f ca="1">IFERROR(__xludf.DUMMYFUNCTION("""COMPUTED_VALUE"""),-0.471607090064653)</f>
        <v>-0.47160709006465301</v>
      </c>
      <c r="GI26" s="3">
        <f ca="1">IFERROR(__xludf.DUMMYFUNCTION("""COMPUTED_VALUE"""),-0.500415461151813)</f>
        <v>-0.50041546115181301</v>
      </c>
      <c r="GJ26" s="3">
        <f ca="1">IFERROR(__xludf.DUMMYFUNCTION("""COMPUTED_VALUE"""),-0.402529518861843)</f>
        <v>-0.40252951886184302</v>
      </c>
      <c r="GK26" s="3">
        <f ca="1">IFERROR(__xludf.DUMMYFUNCTION("""COMPUTED_VALUE"""),-0.108049869520502)</f>
        <v>-0.108049869520502</v>
      </c>
      <c r="GL26" s="3">
        <f ca="1">IFERROR(__xludf.DUMMYFUNCTION("""COMPUTED_VALUE"""),-0.212271857473603)</f>
        <v>-0.212271857473603</v>
      </c>
      <c r="GM26" s="3">
        <f ca="1">IFERROR(__xludf.DUMMYFUNCTION("""COMPUTED_VALUE"""),-0.354531312252734)</f>
        <v>-0.35453131225273399</v>
      </c>
      <c r="GN26" s="3">
        <f ca="1">IFERROR(__xludf.DUMMYFUNCTION("""COMPUTED_VALUE"""),-0.361276990333597)</f>
        <v>-0.361276990333597</v>
      </c>
      <c r="GO26" s="3">
        <f ca="1">IFERROR(__xludf.DUMMYFUNCTION("""COMPUTED_VALUE"""),-0.374445162701584)</f>
        <v>-0.37444516270158401</v>
      </c>
      <c r="GP26" s="3">
        <f ca="1">IFERROR(__xludf.DUMMYFUNCTION("""COMPUTED_VALUE"""),-0.393929144326769)</f>
        <v>-0.39392914432676901</v>
      </c>
      <c r="GQ26" s="3">
        <f ca="1">IFERROR(__xludf.DUMMYFUNCTION("""COMPUTED_VALUE"""),-0.347254359594536)</f>
        <v>-0.34725435959453599</v>
      </c>
      <c r="GR26" s="3">
        <f ca="1">IFERROR(__xludf.DUMMYFUNCTION("""COMPUTED_VALUE"""),-0.121777733038356)</f>
        <v>-0.121777733038356</v>
      </c>
      <c r="GS26" s="3">
        <f ca="1">IFERROR(__xludf.DUMMYFUNCTION("""COMPUTED_VALUE"""),-0.267403140197424)</f>
        <v>-0.26740314019742401</v>
      </c>
      <c r="GT26" s="3">
        <f ca="1">IFERROR(__xludf.DUMMYFUNCTION("""COMPUTED_VALUE"""),-0.316787738067862)</f>
        <v>-0.31678773806786198</v>
      </c>
      <c r="GU26" s="3">
        <f ca="1">IFERROR(__xludf.DUMMYFUNCTION("""COMPUTED_VALUE"""),-0.394605538094572)</f>
        <v>-0.39460553809457199</v>
      </c>
      <c r="GV26" s="3">
        <f ca="1">IFERROR(__xludf.DUMMYFUNCTION("""COMPUTED_VALUE"""),-0.396541738332927)</f>
        <v>-0.396541738332927</v>
      </c>
      <c r="GW26" s="3">
        <f ca="1">IFERROR(__xludf.DUMMYFUNCTION("""COMPUTED_VALUE"""),-0.408930726808563)</f>
        <v>-0.40893072680856302</v>
      </c>
      <c r="GX26" s="3">
        <f ca="1">IFERROR(__xludf.DUMMYFUNCTION("""COMPUTED_VALUE"""),-0.382057127346524)</f>
        <v>-0.38205712734652397</v>
      </c>
      <c r="GY26" s="3">
        <f ca="1">IFERROR(__xludf.DUMMYFUNCTION("""COMPUTED_VALUE"""),-0.161333053646849)</f>
        <v>-0.161333053646849</v>
      </c>
      <c r="GZ26" s="3">
        <f ca="1">IFERROR(__xludf.DUMMYFUNCTION("""COMPUTED_VALUE"""),-0.250563048959973)</f>
        <v>-0.250563048959973</v>
      </c>
      <c r="HA26" s="3">
        <f ca="1">IFERROR(__xludf.DUMMYFUNCTION("""COMPUTED_VALUE"""),-0.349997343984231)</f>
        <v>-0.34999734398423099</v>
      </c>
      <c r="HB26" s="3">
        <f ca="1">IFERROR(__xludf.DUMMYFUNCTION("""COMPUTED_VALUE"""),-0.347982005998418)</f>
        <v>-0.347982005998418</v>
      </c>
      <c r="HC26" s="3">
        <f ca="1">IFERROR(__xludf.DUMMYFUNCTION("""COMPUTED_VALUE"""),-0.406567317726047)</f>
        <v>-0.40656731772604698</v>
      </c>
      <c r="HD26" s="3">
        <f ca="1">IFERROR(__xludf.DUMMYFUNCTION("""COMPUTED_VALUE"""),-0.382969771321987)</f>
        <v>-0.38296977132198701</v>
      </c>
      <c r="HE26" s="3">
        <f ca="1">IFERROR(__xludf.DUMMYFUNCTION("""COMPUTED_VALUE"""),-0.399631675148009)</f>
        <v>-0.39963167514800901</v>
      </c>
      <c r="HF26" s="3">
        <f ca="1">IFERROR(__xludf.DUMMYFUNCTION("""COMPUTED_VALUE"""),-0.154971292165296)</f>
        <v>-0.15497129216529601</v>
      </c>
      <c r="HG26" s="3">
        <f ca="1">IFERROR(__xludf.DUMMYFUNCTION("""COMPUTED_VALUE"""),-0.269496039750193)</f>
        <v>-0.26949603975019298</v>
      </c>
      <c r="HH26" s="3">
        <f ca="1">IFERROR(__xludf.DUMMYFUNCTION("""COMPUTED_VALUE"""),-0.347009411049422)</f>
        <v>-0.34700941104942201</v>
      </c>
      <c r="HI26" s="3">
        <f ca="1">IFERROR(__xludf.DUMMYFUNCTION("""COMPUTED_VALUE"""),-0.448685281749352)</f>
        <v>-0.44868528174935202</v>
      </c>
      <c r="HJ26" s="3">
        <f ca="1">IFERROR(__xludf.DUMMYFUNCTION("""COMPUTED_VALUE"""),-0.369187694694089)</f>
        <v>-0.36918769469408902</v>
      </c>
      <c r="HK26" s="3">
        <f ca="1">IFERROR(__xludf.DUMMYFUNCTION("""COMPUTED_VALUE"""),-0.37486721395861)</f>
        <v>-0.37486721395861</v>
      </c>
      <c r="HL26" s="3">
        <f ca="1">IFERROR(__xludf.DUMMYFUNCTION("""COMPUTED_VALUE"""),-0.39816493188549)</f>
        <v>-0.39816493188549001</v>
      </c>
      <c r="HM26" s="3">
        <f ca="1">IFERROR(__xludf.DUMMYFUNCTION("""COMPUTED_VALUE"""),-0.142747927548771)</f>
        <v>-0.142747927548771</v>
      </c>
      <c r="HN26" s="3">
        <f ca="1">IFERROR(__xludf.DUMMYFUNCTION("""COMPUTED_VALUE"""),-0.252941026666649)</f>
        <v>-0.25294102666664903</v>
      </c>
      <c r="HO26" s="3">
        <f ca="1">IFERROR(__xludf.DUMMYFUNCTION("""COMPUTED_VALUE"""),-0.381923327266062)</f>
        <v>-0.38192332726606198</v>
      </c>
      <c r="HP26" s="3">
        <f ca="1">IFERROR(__xludf.DUMMYFUNCTION("""COMPUTED_VALUE"""),-0.331993628729014)</f>
        <v>-0.331993628729014</v>
      </c>
      <c r="HQ26" s="3">
        <f ca="1">IFERROR(__xludf.DUMMYFUNCTION("""COMPUTED_VALUE"""),-0.435036469676242)</f>
        <v>-0.43503646967624199</v>
      </c>
      <c r="HR26" s="3">
        <f ca="1">IFERROR(__xludf.DUMMYFUNCTION("""COMPUTED_VALUE"""),-0.369432606792835)</f>
        <v>-0.36943260679283502</v>
      </c>
      <c r="HS26" s="3">
        <f ca="1">IFERROR(__xludf.DUMMYFUNCTION("""COMPUTED_VALUE"""),-0.256177384198351)</f>
        <v>-0.25617738419835101</v>
      </c>
      <c r="HT26" s="3">
        <f ca="1">IFERROR(__xludf.DUMMYFUNCTION("""COMPUTED_VALUE"""),-0.175345243284084)</f>
        <v>-0.17534524328408399</v>
      </c>
      <c r="HU26" s="3">
        <f ca="1">IFERROR(__xludf.DUMMYFUNCTION("""COMPUTED_VALUE"""),-0.305188828619676)</f>
        <v>-0.305188828619676</v>
      </c>
      <c r="HV26" s="3">
        <f ca="1">IFERROR(__xludf.DUMMYFUNCTION("""COMPUTED_VALUE"""),-0.312914878818027)</f>
        <v>-0.31291487881802699</v>
      </c>
      <c r="HW26" s="3">
        <f ca="1">IFERROR(__xludf.DUMMYFUNCTION("""COMPUTED_VALUE"""),-0.433912760109636)</f>
        <v>-0.43391276010963598</v>
      </c>
      <c r="HX26" s="3">
        <f ca="1">IFERROR(__xludf.DUMMYFUNCTION("""COMPUTED_VALUE"""),-0.337702259467479)</f>
        <v>-0.337702259467479</v>
      </c>
      <c r="HY26" s="3">
        <f ca="1">IFERROR(__xludf.DUMMYFUNCTION("""COMPUTED_VALUE"""),-0.409665379291052)</f>
        <v>-0.40966537929105201</v>
      </c>
      <c r="HZ26" s="3">
        <f ca="1">IFERROR(__xludf.DUMMYFUNCTION("""COMPUTED_VALUE"""),-0.243097504521511)</f>
        <v>-0.24309750452151099</v>
      </c>
      <c r="IA26" s="3">
        <f ca="1">IFERROR(__xludf.DUMMYFUNCTION("""COMPUTED_VALUE"""),-0.208440568160324)</f>
        <v>-0.208440568160324</v>
      </c>
      <c r="IB26" s="3">
        <f ca="1">IFERROR(__xludf.DUMMYFUNCTION("""COMPUTED_VALUE"""),-0.176390470367829)</f>
        <v>-0.17639047036782901</v>
      </c>
      <c r="IC26" s="3">
        <f ca="1">IFERROR(__xludf.DUMMYFUNCTION("""COMPUTED_VALUE"""),-0.34676957576927)</f>
        <v>-0.34676957576926998</v>
      </c>
      <c r="ID26" s="3">
        <f ca="1">IFERROR(__xludf.DUMMYFUNCTION("""COMPUTED_VALUE"""),-0.301872267968616)</f>
        <v>-0.30187226796861599</v>
      </c>
      <c r="IE26" s="3">
        <f ca="1">IFERROR(__xludf.DUMMYFUNCTION("""COMPUTED_VALUE"""),-0.406256001140023)</f>
        <v>-0.40625600114002303</v>
      </c>
      <c r="IF26" s="3">
        <f ca="1">IFERROR(__xludf.DUMMYFUNCTION("""COMPUTED_VALUE"""),-0.30619483214035)</f>
        <v>-0.30619483214034998</v>
      </c>
      <c r="IG26" s="3">
        <f ca="1">IFERROR(__xludf.DUMMYFUNCTION("""COMPUTED_VALUE"""),-0.259616125209505)</f>
        <v>-0.259616125209505</v>
      </c>
      <c r="IH26" s="3">
        <f ca="1">IFERROR(__xludf.DUMMYFUNCTION("""COMPUTED_VALUE"""),-0.305096423346974)</f>
        <v>-0.30509642334697401</v>
      </c>
      <c r="II26" s="3">
        <f ca="1">IFERROR(__xludf.DUMMYFUNCTION("""COMPUTED_VALUE"""),-0.260446042863895)</f>
        <v>-0.260446042863895</v>
      </c>
      <c r="IJ26" s="3">
        <f ca="1">IFERROR(__xludf.DUMMYFUNCTION("""COMPUTED_VALUE"""),-0.322928327036249)</f>
        <v>-0.32292832703624902</v>
      </c>
      <c r="IK26" s="3">
        <f ca="1">IFERROR(__xludf.DUMMYFUNCTION("""COMPUTED_VALUE"""),-0.373014714509145)</f>
        <v>-0.37301471450914497</v>
      </c>
      <c r="IL26" s="3">
        <f ca="1">IFERROR(__xludf.DUMMYFUNCTION("""COMPUTED_VALUE"""),-0.235355613976751)</f>
        <v>-0.235355613976751</v>
      </c>
      <c r="IM26" s="3">
        <f ca="1">IFERROR(__xludf.DUMMYFUNCTION("""COMPUTED_VALUE"""),-0.312409166129419)</f>
        <v>-0.31240916612941899</v>
      </c>
      <c r="IN26" s="3">
        <f ca="1">IFERROR(__xludf.DUMMYFUNCTION("""COMPUTED_VALUE"""),-0.295999442606211)</f>
        <v>-0.29599944260621103</v>
      </c>
      <c r="IO26" s="3">
        <f ca="1">IFERROR(__xludf.DUMMYFUNCTION("""COMPUTED_VALUE"""),-0.189809371527099)</f>
        <v>-0.18980937152709901</v>
      </c>
      <c r="IP26" s="3">
        <f ca="1">IFERROR(__xludf.DUMMYFUNCTION("""COMPUTED_VALUE"""),-0.253137643513073)</f>
        <v>-0.253137643513073</v>
      </c>
      <c r="IQ26" s="3">
        <f ca="1">IFERROR(__xludf.DUMMYFUNCTION("""COMPUTED_VALUE"""),-0.355488688511582)</f>
        <v>-0.355488688511582</v>
      </c>
      <c r="IR26" s="3">
        <f ca="1">IFERROR(__xludf.DUMMYFUNCTION("""COMPUTED_VALUE"""),-0.294029802522673)</f>
        <v>-0.29402980252267302</v>
      </c>
      <c r="IS26" s="3">
        <f ca="1">IFERROR(__xludf.DUMMYFUNCTION("""COMPUTED_VALUE"""),-0.243700896648913)</f>
        <v>-0.24370089664891301</v>
      </c>
      <c r="IT26" s="3">
        <f ca="1">IFERROR(__xludf.DUMMYFUNCTION("""COMPUTED_VALUE"""),-0.426496199418471)</f>
        <v>-0.426496199418471</v>
      </c>
      <c r="IU26" s="3">
        <f ca="1">IFERROR(__xludf.DUMMYFUNCTION("""COMPUTED_VALUE"""),-0.325607965148146)</f>
        <v>-0.32560796514814599</v>
      </c>
      <c r="IV26" s="3">
        <f ca="1">IFERROR(__xludf.DUMMYFUNCTION("""COMPUTED_VALUE"""),-0.259685828370443)</f>
        <v>-0.25968582837044302</v>
      </c>
      <c r="IW26" s="3">
        <f ca="1">IFERROR(__xludf.DUMMYFUNCTION("""COMPUTED_VALUE"""),-0.218650057366403)</f>
        <v>-0.218650057366403</v>
      </c>
      <c r="IX26" s="3">
        <f ca="1">IFERROR(__xludf.DUMMYFUNCTION("""COMPUTED_VALUE"""),-0.373760137011008)</f>
        <v>-0.37376013701100802</v>
      </c>
      <c r="IY26" s="3">
        <f ca="1">IFERROR(__xludf.DUMMYFUNCTION("""COMPUTED_VALUE"""),-0.396658413385946)</f>
        <v>-0.39665841338594598</v>
      </c>
      <c r="IZ26" s="3">
        <f ca="1">IFERROR(__xludf.DUMMYFUNCTION("""COMPUTED_VALUE"""),-0.347559988700583)</f>
        <v>-0.34755998870058302</v>
      </c>
      <c r="JA26" s="3">
        <f ca="1">IFERROR(__xludf.DUMMYFUNCTION("""COMPUTED_VALUE"""),-0.357660520977832)</f>
        <v>-0.35766052097783202</v>
      </c>
      <c r="JB26" s="3">
        <f ca="1">IFERROR(__xludf.DUMMYFUNCTION("""COMPUTED_VALUE"""),-0.344628952405473)</f>
        <v>-0.34462895240547298</v>
      </c>
      <c r="JC26" s="3">
        <f ca="1">IFERROR(__xludf.DUMMYFUNCTION("""COMPUTED_VALUE"""),-0.238814643402134)</f>
        <v>-0.23881464340213401</v>
      </c>
      <c r="JD26" s="3">
        <f ca="1">IFERROR(__xludf.DUMMYFUNCTION("""COMPUTED_VALUE"""),-0.285436659728532)</f>
        <v>-0.28543665972853199</v>
      </c>
      <c r="JE26" s="3">
        <f ca="1">IFERROR(__xludf.DUMMYFUNCTION("""COMPUTED_VALUE"""),-0.389889659524777)</f>
        <v>-0.389889659524777</v>
      </c>
      <c r="JF26" s="3">
        <f ca="1">IFERROR(__xludf.DUMMYFUNCTION("""COMPUTED_VALUE"""),-0.363118834310517)</f>
        <v>-0.363118834310517</v>
      </c>
      <c r="JG26" s="3">
        <f ca="1">IFERROR(__xludf.DUMMYFUNCTION("""COMPUTED_VALUE"""),-0.405659426452055)</f>
        <v>-0.40565942645205499</v>
      </c>
      <c r="JH26" s="3">
        <f ca="1">IFERROR(__xludf.DUMMYFUNCTION("""COMPUTED_VALUE"""),-0.349126710568422)</f>
        <v>-0.34912671056842198</v>
      </c>
      <c r="JI26" s="3">
        <f ca="1">IFERROR(__xludf.DUMMYFUNCTION("""COMPUTED_VALUE"""),-0.387884772854991)</f>
        <v>-0.38788477285499101</v>
      </c>
      <c r="JJ26" s="3">
        <f ca="1">IFERROR(__xludf.DUMMYFUNCTION("""COMPUTED_VALUE"""),-0.282318915733691)</f>
        <v>-0.282318915733691</v>
      </c>
      <c r="JK26" s="3">
        <f ca="1">IFERROR(__xludf.DUMMYFUNCTION("""COMPUTED_VALUE"""),-0.298586098476372)</f>
        <v>-0.29858609847637202</v>
      </c>
      <c r="JL26" s="3">
        <f ca="1">IFERROR(__xludf.DUMMYFUNCTION("""COMPUTED_VALUE"""),-0.496943502327904)</f>
        <v>-0.49694350232790402</v>
      </c>
      <c r="JM26" s="3">
        <f ca="1">IFERROR(__xludf.DUMMYFUNCTION("""COMPUTED_VALUE"""),-0.385209438967089)</f>
        <v>-0.38520943896708898</v>
      </c>
      <c r="JN26" s="3">
        <f ca="1">IFERROR(__xludf.DUMMYFUNCTION("""COMPUTED_VALUE"""),-0.439374122013475)</f>
        <v>-0.43937412201347498</v>
      </c>
      <c r="JO26" s="3">
        <f ca="1">IFERROR(__xludf.DUMMYFUNCTION("""COMPUTED_VALUE"""),-0.394104911493562)</f>
        <v>-0.39410491149356203</v>
      </c>
      <c r="JP26" s="3">
        <f ca="1">IFERROR(__xludf.DUMMYFUNCTION("""COMPUTED_VALUE"""),-0.367819092513514)</f>
        <v>-0.36781909251351402</v>
      </c>
      <c r="JQ26" s="3">
        <f ca="1">IFERROR(__xludf.DUMMYFUNCTION("""COMPUTED_VALUE"""),-0.276901901590243)</f>
        <v>-0.27690190159024303</v>
      </c>
      <c r="JR26" s="3">
        <f ca="1">IFERROR(__xludf.DUMMYFUNCTION("""COMPUTED_VALUE"""),-0.312467401991041)</f>
        <v>-0.312467401991041</v>
      </c>
      <c r="JS26" s="3">
        <f ca="1">IFERROR(__xludf.DUMMYFUNCTION("""COMPUTED_VALUE"""),-0.489173271577148)</f>
        <v>-0.48917327157714802</v>
      </c>
      <c r="JT26" s="3">
        <f ca="1">IFERROR(__xludf.DUMMYFUNCTION("""COMPUTED_VALUE"""),-0.273249322240326)</f>
        <v>-0.273249322240326</v>
      </c>
      <c r="JU26" s="3">
        <f ca="1">IFERROR(__xludf.DUMMYFUNCTION("""COMPUTED_VALUE"""),-0.502152114917584)</f>
        <v>-0.50215211491758405</v>
      </c>
      <c r="JV26" s="3">
        <f ca="1">IFERROR(__xludf.DUMMYFUNCTION("""COMPUTED_VALUE"""),-0.468953396375308)</f>
        <v>-0.46895339637530797</v>
      </c>
      <c r="JW26" s="3">
        <f ca="1">IFERROR(__xludf.DUMMYFUNCTION("""COMPUTED_VALUE"""),-0.399333000623626)</f>
        <v>-0.39933300062362598</v>
      </c>
      <c r="JX26" s="3">
        <f ca="1">IFERROR(__xludf.DUMMYFUNCTION("""COMPUTED_VALUE"""),-0.317897958020454)</f>
        <v>-0.31789795802045401</v>
      </c>
      <c r="JY26" s="3">
        <f ca="1">IFERROR(__xludf.DUMMYFUNCTION("""COMPUTED_VALUE"""),-0.236511005273816)</f>
        <v>-0.23651100527381599</v>
      </c>
      <c r="JZ26" s="3">
        <f ca="1">IFERROR(__xludf.DUMMYFUNCTION("""COMPUTED_VALUE"""),-0.478941357816651)</f>
        <v>-0.47894135781665098</v>
      </c>
      <c r="KA26" s="3">
        <f ca="1">IFERROR(__xludf.DUMMYFUNCTION("""COMPUTED_VALUE"""),-0.305353319500981)</f>
        <v>-0.30535331950098099</v>
      </c>
      <c r="KB26" s="3">
        <f ca="1">IFERROR(__xludf.DUMMYFUNCTION("""COMPUTED_VALUE"""),-0.487477884379937)</f>
        <v>-0.487477884379937</v>
      </c>
      <c r="KC26" s="3">
        <f ca="1">IFERROR(__xludf.DUMMYFUNCTION("""COMPUTED_VALUE"""),-0.493638979289829)</f>
        <v>-0.49363897928982903</v>
      </c>
      <c r="KD26" s="3">
        <f ca="1">IFERROR(__xludf.DUMMYFUNCTION("""COMPUTED_VALUE"""),-0.430576537728705)</f>
        <v>-0.43057653772870502</v>
      </c>
      <c r="KE26" s="3">
        <f ca="1">IFERROR(__xludf.DUMMYFUNCTION("""COMPUTED_VALUE"""),-0.373285539155823)</f>
        <v>-0.37328553915582302</v>
      </c>
      <c r="KF26" s="3">
        <f ca="1">IFERROR(__xludf.DUMMYFUNCTION("""COMPUTED_VALUE"""),-0.395450640016588)</f>
        <v>-0.39545064001658797</v>
      </c>
      <c r="KG26" s="3">
        <f ca="1">IFERROR(__xludf.DUMMYFUNCTION("""COMPUTED_VALUE"""),-0.392201886878662)</f>
        <v>-0.39220188687866198</v>
      </c>
      <c r="KH26" s="3">
        <f ca="1">IFERROR(__xludf.DUMMYFUNCTION("""COMPUTED_VALUE"""),-0.339841076363755)</f>
        <v>-0.33984107636375499</v>
      </c>
      <c r="KI26" s="3">
        <f ca="1">IFERROR(__xludf.DUMMYFUNCTION("""COMPUTED_VALUE"""),-0.454006446372665)</f>
        <v>-0.45400644637266502</v>
      </c>
      <c r="KJ26" s="3">
        <f ca="1">IFERROR(__xludf.DUMMYFUNCTION("""COMPUTED_VALUE"""),-0.409962206043324)</f>
        <v>-0.40996220604332401</v>
      </c>
      <c r="KK26" s="3">
        <f ca="1">IFERROR(__xludf.DUMMYFUNCTION("""COMPUTED_VALUE"""),-0.432961965296647)</f>
        <v>-0.43296196529664699</v>
      </c>
      <c r="KL26" s="3">
        <f ca="1">IFERROR(__xludf.DUMMYFUNCTION("""COMPUTED_VALUE"""),-0.262215578672142)</f>
        <v>-0.26221557867214201</v>
      </c>
      <c r="KM26" s="3">
        <f ca="1">IFERROR(__xludf.DUMMYFUNCTION("""COMPUTED_VALUE"""),-0.381590607961022)</f>
        <v>-0.38159060796102201</v>
      </c>
      <c r="KN26" s="3">
        <f ca="1">IFERROR(__xludf.DUMMYFUNCTION("""COMPUTED_VALUE"""),-0.375780929062061)</f>
        <v>-0.37578092906206101</v>
      </c>
      <c r="KO26" s="3">
        <f ca="1">IFERROR(__xludf.DUMMYFUNCTION("""COMPUTED_VALUE"""),-0.436837055709122)</f>
        <v>-0.43683705570912201</v>
      </c>
      <c r="KP26" s="3">
        <f ca="1">IFERROR(__xludf.DUMMYFUNCTION("""COMPUTED_VALUE"""),-0.457728620153561)</f>
        <v>-0.45772862015356103</v>
      </c>
      <c r="KQ26" s="3">
        <f ca="1">IFERROR(__xludf.DUMMYFUNCTION("""COMPUTED_VALUE"""),-0.42594457092427)</f>
        <v>-0.42594457092427002</v>
      </c>
      <c r="KR26" s="3">
        <f ca="1">IFERROR(__xludf.DUMMYFUNCTION("""COMPUTED_VALUE"""),-0.450803319451292)</f>
        <v>-0.45080331945129198</v>
      </c>
      <c r="KS26" s="3">
        <f ca="1">IFERROR(__xludf.DUMMYFUNCTION("""COMPUTED_VALUE"""),-0.303492058493529)</f>
        <v>-0.303492058493529</v>
      </c>
      <c r="KT26" s="3">
        <f ca="1">IFERROR(__xludf.DUMMYFUNCTION("""COMPUTED_VALUE"""),-0.411393747862567)</f>
        <v>-0.41139374786256699</v>
      </c>
      <c r="KU26" s="3">
        <f ca="1">IFERROR(__xludf.DUMMYFUNCTION("""COMPUTED_VALUE"""),-0.430806030806907)</f>
        <v>-0.43080603080690699</v>
      </c>
      <c r="KV26" s="3">
        <f ca="1">IFERROR(__xludf.DUMMYFUNCTION("""COMPUTED_VALUE"""),-0.56616188383607)</f>
        <v>-0.56616188383607002</v>
      </c>
      <c r="KW26" s="3">
        <f ca="1">IFERROR(__xludf.DUMMYFUNCTION("""COMPUTED_VALUE"""),-0.443738509641436)</f>
        <v>-0.44373850964143602</v>
      </c>
      <c r="KX26" s="3">
        <f ca="1">IFERROR(__xludf.DUMMYFUNCTION("""COMPUTED_VALUE"""),-0.488428527144443)</f>
        <v>-0.48842852714444301</v>
      </c>
      <c r="KY26" s="3">
        <f ca="1">IFERROR(__xludf.DUMMYFUNCTION("""COMPUTED_VALUE"""),-0.468559180363335)</f>
        <v>-0.46855918036333499</v>
      </c>
      <c r="KZ26" s="3">
        <f ca="1">IFERROR(__xludf.DUMMYFUNCTION("""COMPUTED_VALUE"""),-0.335822079497147)</f>
        <v>-0.33582207949714699</v>
      </c>
      <c r="LA26" s="3">
        <f ca="1">IFERROR(__xludf.DUMMYFUNCTION("""COMPUTED_VALUE"""),-0.468890547706014)</f>
        <v>-0.46889054770601402</v>
      </c>
      <c r="LB26" s="3">
        <f ca="1">IFERROR(__xludf.DUMMYFUNCTION("""COMPUTED_VALUE"""),-0.544418822538351)</f>
        <v>-0.54441882253835105</v>
      </c>
      <c r="LC26" s="3">
        <f ca="1">IFERROR(__xludf.DUMMYFUNCTION("""COMPUTED_VALUE"""),-0.511717467085653)</f>
        <v>-0.51171746708565302</v>
      </c>
      <c r="LD26" s="3">
        <f ca="1">IFERROR(__xludf.DUMMYFUNCTION("""COMPUTED_VALUE"""),-0.564173009384385)</f>
        <v>-0.56417300938438497</v>
      </c>
      <c r="LE26" s="3">
        <f ca="1">IFERROR(__xludf.DUMMYFUNCTION("""COMPUTED_VALUE"""),-0.594336758574577)</f>
        <v>-0.59433675857457702</v>
      </c>
      <c r="LF26" s="3">
        <f ca="1">IFERROR(__xludf.DUMMYFUNCTION("""COMPUTED_VALUE"""),-0.458182965497865)</f>
        <v>-0.45818296549786502</v>
      </c>
      <c r="LG26" s="3">
        <f ca="1">IFERROR(__xludf.DUMMYFUNCTION("""COMPUTED_VALUE"""),-0.444611479593235)</f>
        <v>-0.44461147959323499</v>
      </c>
      <c r="LH26" s="3">
        <f ca="1">IFERROR(__xludf.DUMMYFUNCTION("""COMPUTED_VALUE"""),-0.504499627473518)</f>
        <v>-0.50449962747351795</v>
      </c>
      <c r="LI26" s="3">
        <f ca="1">IFERROR(__xludf.DUMMYFUNCTION("""COMPUTED_VALUE"""),-0.575278657516471)</f>
        <v>-0.575278657516471</v>
      </c>
      <c r="LJ26" s="3">
        <f ca="1">IFERROR(__xludf.DUMMYFUNCTION("""COMPUTED_VALUE"""),-0.586397101318596)</f>
        <v>-0.58639710131859601</v>
      </c>
      <c r="LK26" s="3">
        <f ca="1">IFERROR(__xludf.DUMMYFUNCTION("""COMPUTED_VALUE"""),-0.508927701539584)</f>
        <v>-0.508927701539584</v>
      </c>
      <c r="LL26" s="3">
        <f ca="1">IFERROR(__xludf.DUMMYFUNCTION("""COMPUTED_VALUE"""),-0.523614351186573)</f>
        <v>-0.52361435118657296</v>
      </c>
      <c r="LM26" s="3">
        <f ca="1">IFERROR(__xludf.DUMMYFUNCTION("""COMPUTED_VALUE"""),-0.620960981963636)</f>
        <v>-0.62096098196363603</v>
      </c>
      <c r="LN26" s="3">
        <f ca="1">IFERROR(__xludf.DUMMYFUNCTION("""COMPUTED_VALUE"""),-0.442512124738021)</f>
        <v>-0.44251212473802098</v>
      </c>
      <c r="LO26" s="3">
        <f ca="1">IFERROR(__xludf.DUMMYFUNCTION("""COMPUTED_VALUE"""),-0.612552108601122)</f>
        <v>-0.61255210860112197</v>
      </c>
      <c r="LP26" s="3">
        <f ca="1">IFERROR(__xludf.DUMMYFUNCTION("""COMPUTED_VALUE"""),-0.583459617658128)</f>
        <v>-0.58345961765812804</v>
      </c>
      <c r="LQ26" s="3">
        <f ca="1">IFERROR(__xludf.DUMMYFUNCTION("""COMPUTED_VALUE"""),-0.583337319175165)</f>
        <v>-0.58333731917516496</v>
      </c>
      <c r="LR26" s="3">
        <f ca="1">IFERROR(__xludf.DUMMYFUNCTION("""COMPUTED_VALUE"""),-0.589758164825891)</f>
        <v>-0.58975816482589105</v>
      </c>
      <c r="LS26" s="3">
        <f ca="1">IFERROR(__xludf.DUMMYFUNCTION("""COMPUTED_VALUE"""),-0.616783161314999)</f>
        <v>-0.616783161314999</v>
      </c>
      <c r="LT26" s="3">
        <f ca="1">IFERROR(__xludf.DUMMYFUNCTION("""COMPUTED_VALUE"""),-0.571496785938878)</f>
        <v>-0.57149678593887798</v>
      </c>
      <c r="LU26" s="3">
        <f ca="1">IFERROR(__xludf.DUMMYFUNCTION("""COMPUTED_VALUE"""),-0.441339378927074)</f>
        <v>-0.44133937892707398</v>
      </c>
      <c r="LV26" s="3">
        <f ca="1">IFERROR(__xludf.DUMMYFUNCTION("""COMPUTED_VALUE"""),-0.561034602662695)</f>
        <v>-0.561034602662695</v>
      </c>
      <c r="LW26" s="3">
        <f ca="1">IFERROR(__xludf.DUMMYFUNCTION("""COMPUTED_VALUE"""),-0.589792983833085)</f>
        <v>-0.58979298383308498</v>
      </c>
      <c r="LX26" s="3">
        <f ca="1">IFERROR(__xludf.DUMMYFUNCTION("""COMPUTED_VALUE"""),-0.639671440853187)</f>
        <v>-0.63967144085318695</v>
      </c>
      <c r="LY26" s="3">
        <f ca="1">IFERROR(__xludf.DUMMYFUNCTION("""COMPUTED_VALUE"""),-0.657515102665152)</f>
        <v>-0.65751510266515201</v>
      </c>
      <c r="LZ26" s="3">
        <f ca="1">IFERROR(__xludf.DUMMYFUNCTION("""COMPUTED_VALUE"""),-0.625737686991298)</f>
        <v>-0.62573768699129795</v>
      </c>
      <c r="MA26" s="3">
        <f ca="1">IFERROR(__xludf.DUMMYFUNCTION("""COMPUTED_VALUE"""),-0.646822467975166)</f>
        <v>-0.64682246797516596</v>
      </c>
      <c r="MB26" s="3">
        <f ca="1">IFERROR(__xludf.DUMMYFUNCTION("""COMPUTED_VALUE"""),-0.444595831347363)</f>
        <v>-0.44459583134736302</v>
      </c>
      <c r="MC26" s="3">
        <f ca="1">IFERROR(__xludf.DUMMYFUNCTION("""COMPUTED_VALUE"""),-0.608718116722277)</f>
        <v>-0.60871811672227705</v>
      </c>
      <c r="MD26" s="3">
        <f ca="1">IFERROR(__xludf.DUMMYFUNCTION("""COMPUTED_VALUE"""),-0.66440829015904)</f>
        <v>-0.66440829015904002</v>
      </c>
      <c r="ME26" s="3">
        <f ca="1">IFERROR(__xludf.DUMMYFUNCTION("""COMPUTED_VALUE"""),-0.633994450100699)</f>
        <v>-0.63399445010069899</v>
      </c>
      <c r="MF26" s="3">
        <f ca="1">IFERROR(__xludf.DUMMYFUNCTION("""COMPUTED_VALUE"""),-0.657321630495614)</f>
        <v>-0.65732163049561398</v>
      </c>
      <c r="MG26" s="3">
        <f ca="1">IFERROR(__xludf.DUMMYFUNCTION("""COMPUTED_VALUE"""),-0.656292674648152)</f>
        <v>-0.656292674648152</v>
      </c>
      <c r="MH26" s="3">
        <f ca="1">IFERROR(__xludf.DUMMYFUNCTION("""COMPUTED_VALUE"""),-0.668310660270091)</f>
        <v>-0.66831066027009101</v>
      </c>
      <c r="MI26" s="3">
        <f ca="1">IFERROR(__xludf.DUMMYFUNCTION("""COMPUTED_VALUE"""),-0.468787641131504)</f>
        <v>-0.46878764113150401</v>
      </c>
      <c r="MJ26" s="3">
        <f ca="1">IFERROR(__xludf.DUMMYFUNCTION("""COMPUTED_VALUE"""),-0.555414622957009)</f>
        <v>-0.55541462295700905</v>
      </c>
      <c r="MK26" s="3">
        <f ca="1">IFERROR(__xludf.DUMMYFUNCTION("""COMPUTED_VALUE"""),-0.648031759137945)</f>
        <v>-0.64803175913794497</v>
      </c>
      <c r="ML26" s="3">
        <f ca="1">IFERROR(__xludf.DUMMYFUNCTION("""COMPUTED_VALUE"""),-0.715801562093927)</f>
        <v>-0.71580156209392698</v>
      </c>
      <c r="MM26" s="3">
        <f ca="1">IFERROR(__xludf.DUMMYFUNCTION("""COMPUTED_VALUE"""),-0.671915012057132)</f>
        <v>-0.671915012057132</v>
      </c>
      <c r="MN26" s="3">
        <f ca="1">IFERROR(__xludf.DUMMYFUNCTION("""COMPUTED_VALUE"""),-0.702502714875367)</f>
        <v>-0.70250271487536697</v>
      </c>
      <c r="MO26" s="3">
        <f ca="1">IFERROR(__xludf.DUMMYFUNCTION("""COMPUTED_VALUE"""),-0.678908465026514)</f>
        <v>-0.67890846502651403</v>
      </c>
      <c r="MP26" s="3">
        <f ca="1">IFERROR(__xludf.DUMMYFUNCTION("""COMPUTED_VALUE"""),-0.512859541677516)</f>
        <v>-0.51285954167751602</v>
      </c>
      <c r="MQ26" s="3">
        <f ca="1">IFERROR(__xludf.DUMMYFUNCTION("""COMPUTED_VALUE"""),-0.564548406573372)</f>
        <v>-0.56454840657337202</v>
      </c>
      <c r="MR26" s="3">
        <f ca="1">IFERROR(__xludf.DUMMYFUNCTION("""COMPUTED_VALUE"""),-0.646763915287081)</f>
        <v>-0.64676391528708099</v>
      </c>
      <c r="MS26" s="3">
        <f ca="1">IFERROR(__xludf.DUMMYFUNCTION("""COMPUTED_VALUE"""),-0.670382280004626)</f>
        <v>-0.67038228000462596</v>
      </c>
      <c r="MT26" s="3">
        <f ca="1">IFERROR(__xludf.DUMMYFUNCTION("""COMPUTED_VALUE"""),-0.682881973990529)</f>
        <v>-0.68288197399052897</v>
      </c>
      <c r="MU26" s="3">
        <f ca="1">IFERROR(__xludf.DUMMYFUNCTION("""COMPUTED_VALUE"""),-0.704977530816158)</f>
        <v>-0.70497753081615799</v>
      </c>
      <c r="MV26" s="3">
        <f ca="1">IFERROR(__xludf.DUMMYFUNCTION("""COMPUTED_VALUE"""),-0.64916229239521)</f>
        <v>-0.64916229239520995</v>
      </c>
      <c r="MW26" s="3">
        <f ca="1">IFERROR(__xludf.DUMMYFUNCTION("""COMPUTED_VALUE"""),-0.540639555207397)</f>
        <v>-0.54063955520739704</v>
      </c>
      <c r="MX26" s="3">
        <f ca="1">IFERROR(__xludf.DUMMYFUNCTION("""COMPUTED_VALUE"""),-0.637620755005657)</f>
        <v>-0.63762075500565696</v>
      </c>
      <c r="MY26" s="3">
        <f ca="1">IFERROR(__xludf.DUMMYFUNCTION("""COMPUTED_VALUE"""),-0.596306076739818)</f>
        <v>-0.59630607673981795</v>
      </c>
      <c r="MZ26" s="3">
        <f ca="1">IFERROR(__xludf.DUMMYFUNCTION("""COMPUTED_VALUE"""),-0.664103391290213)</f>
        <v>-0.66410339129021301</v>
      </c>
      <c r="NA26" s="3">
        <f ca="1">IFERROR(__xludf.DUMMYFUNCTION("""COMPUTED_VALUE"""),-0.670568313319179)</f>
        <v>-0.67056831331917899</v>
      </c>
      <c r="NB26" s="3">
        <f ca="1">IFERROR(__xludf.DUMMYFUNCTION("""COMPUTED_VALUE"""),-0.665446981893269)</f>
        <v>-0.66544698189326901</v>
      </c>
      <c r="NC26" s="3">
        <f ca="1">IFERROR(__xludf.DUMMYFUNCTION("""COMPUTED_VALUE"""),-0.751332230137499)</f>
        <v>-0.75133223013749895</v>
      </c>
      <c r="ND26" s="3">
        <f ca="1">IFERROR(__xludf.DUMMYFUNCTION("""COMPUTED_VALUE"""),-0.565949734128101)</f>
        <v>-0.56594973412810101</v>
      </c>
      <c r="NE26" s="3">
        <f ca="1">IFERROR(__xludf.DUMMYFUNCTION("""COMPUTED_VALUE"""),-0.561296273002155)</f>
        <v>-0.56129627300215501</v>
      </c>
      <c r="NF26" s="3">
        <f ca="1">IFERROR(__xludf.DUMMYFUNCTION("""COMPUTED_VALUE"""),-0.605577550508593)</f>
        <v>-0.60557755050859297</v>
      </c>
      <c r="NG26" s="3">
        <f ca="1">IFERROR(__xludf.DUMMYFUNCTION("""COMPUTED_VALUE"""),-0.713149806948347)</f>
        <v>-0.71314980694834695</v>
      </c>
      <c r="NH26" s="3">
        <f ca="1">IFERROR(__xludf.DUMMYFUNCTION("""COMPUTED_VALUE"""),-0.656025916251451)</f>
        <v>-0.65602591625145101</v>
      </c>
      <c r="NI26" s="3">
        <f ca="1">IFERROR(__xludf.DUMMYFUNCTION("""COMPUTED_VALUE"""),-0.658026685661115)</f>
        <v>-0.658026685661115</v>
      </c>
      <c r="NJ26" s="3">
        <f ca="1">IFERROR(__xludf.DUMMYFUNCTION("""COMPUTED_VALUE"""),-0.630500320487681)</f>
        <v>-0.63050032048768101</v>
      </c>
      <c r="NK26" s="3">
        <f ca="1">IFERROR(__xludf.DUMMYFUNCTION("""COMPUTED_VALUE"""),-0.5815133275071)</f>
        <v>-0.58151332750710005</v>
      </c>
      <c r="NL26" s="3">
        <f ca="1">IFERROR(__xludf.DUMMYFUNCTION("""COMPUTED_VALUE"""),-0.627437224415966)</f>
        <v>-0.62743722441596605</v>
      </c>
      <c r="NM26" s="3">
        <f ca="1">IFERROR(__xludf.DUMMYFUNCTION("""COMPUTED_VALUE"""),-0.65054787312838)</f>
        <v>-0.65054787312838003</v>
      </c>
      <c r="NN26" s="3">
        <f ca="1">IFERROR(__xludf.DUMMYFUNCTION("""COMPUTED_VALUE"""),-0.693819920889539)</f>
        <v>-0.69381992088953903</v>
      </c>
      <c r="NO26" s="3">
        <f ca="1">IFERROR(__xludf.DUMMYFUNCTION("""COMPUTED_VALUE"""),-0.617111494668884)</f>
        <v>-0.61711149466888404</v>
      </c>
      <c r="NP26" s="3">
        <f ca="1">IFERROR(__xludf.DUMMYFUNCTION("""COMPUTED_VALUE"""),-0.690762124876779)</f>
        <v>-0.69076212487677902</v>
      </c>
      <c r="NQ26" s="3">
        <f ca="1">IFERROR(__xludf.DUMMYFUNCTION("""COMPUTED_VALUE"""),-0.673363337073461)</f>
        <v>-0.67336333707346097</v>
      </c>
      <c r="NR26" s="3">
        <f ca="1">IFERROR(__xludf.DUMMYFUNCTION("""COMPUTED_VALUE"""),-0.529665223764062)</f>
        <v>-0.529665223764062</v>
      </c>
      <c r="NS26" s="3">
        <f ca="1">IFERROR(__xludf.DUMMYFUNCTION("""COMPUTED_VALUE"""),-0.589797868224044)</f>
        <v>-0.58979786822404401</v>
      </c>
      <c r="NT26" s="3">
        <f ca="1">IFERROR(__xludf.DUMMYFUNCTION("""COMPUTED_VALUE"""),-0.597728772747264)</f>
        <v>-0.59772877274726399</v>
      </c>
      <c r="NU26" s="3">
        <f ca="1">IFERROR(__xludf.DUMMYFUNCTION("""COMPUTED_VALUE"""),-0.664421459191614)</f>
        <v>-0.66442145919161399</v>
      </c>
      <c r="NV26" s="3">
        <f ca="1">IFERROR(__xludf.DUMMYFUNCTION("""COMPUTED_VALUE"""),-0.654107484683514)</f>
        <v>-0.65410748468351398</v>
      </c>
      <c r="NW26" s="3">
        <f ca="1">IFERROR(__xludf.DUMMYFUNCTION("""COMPUTED_VALUE"""),-0.620792696758433)</f>
        <v>-0.62079269675843296</v>
      </c>
      <c r="NX26" s="3">
        <f ca="1">IFERROR(__xludf.DUMMYFUNCTION("""COMPUTED_VALUE"""),-0.666270444314318)</f>
        <v>-0.66627044431431803</v>
      </c>
      <c r="NY26" s="3">
        <f ca="1">IFERROR(__xludf.DUMMYFUNCTION("""COMPUTED_VALUE"""),-0.414279626516876)</f>
        <v>-0.414279626516876</v>
      </c>
      <c r="NZ26" s="3">
        <f ca="1">IFERROR(__xludf.DUMMYFUNCTION("""COMPUTED_VALUE"""),-0.434671665307277)</f>
        <v>-0.43467166530727702</v>
      </c>
      <c r="OA26" s="3">
        <f ca="1">IFERROR(__xludf.DUMMYFUNCTION("""COMPUTED_VALUE"""),-0.5396402177842)</f>
        <v>-0.53964021778420002</v>
      </c>
      <c r="OB26" s="3">
        <f ca="1">IFERROR(__xludf.DUMMYFUNCTION("""COMPUTED_VALUE"""),-0.563930520421735)</f>
        <v>-0.56393052042173497</v>
      </c>
      <c r="OC26" s="3">
        <f ca="1">IFERROR(__xludf.DUMMYFUNCTION("""COMPUTED_VALUE"""),-0.542696932017716)</f>
        <v>-0.54269693201771596</v>
      </c>
      <c r="OD26" s="3">
        <f ca="1">IFERROR(__xludf.DUMMYFUNCTION("""COMPUTED_VALUE"""),-0.518000734134801)</f>
        <v>-0.51800073413480097</v>
      </c>
      <c r="OE26" s="3">
        <f ca="1">IFERROR(__xludf.DUMMYFUNCTION("""COMPUTED_VALUE"""),-0.385341093571484)</f>
        <v>-0.38534109357148399</v>
      </c>
      <c r="OF26" s="3">
        <f ca="1">IFERROR(__xludf.DUMMYFUNCTION("""COMPUTED_VALUE"""),-0.125952644266232)</f>
        <v>-0.12595264426623201</v>
      </c>
      <c r="OG26" s="3">
        <f ca="1">IFERROR(__xludf.DUMMYFUNCTION("""COMPUTED_VALUE"""),-0.153577032302506)</f>
        <v>-0.15357703230250599</v>
      </c>
      <c r="OH26" s="3">
        <f ca="1">IFERROR(__xludf.DUMMYFUNCTION("""COMPUTED_VALUE"""),-0.317817421382955)</f>
        <v>-0.31781742138295499</v>
      </c>
      <c r="OI26" s="3">
        <f ca="1">IFERROR(__xludf.DUMMYFUNCTION("""COMPUTED_VALUE"""),-0.137749276463291)</f>
        <v>-0.13774927646329099</v>
      </c>
      <c r="OJ26" s="3">
        <f ca="1">IFERROR(__xludf.DUMMYFUNCTION("""COMPUTED_VALUE"""),-0.0146612102956958)</f>
        <v>-1.46612102956958E-2</v>
      </c>
      <c r="OK26" s="3">
        <f ca="1">IFERROR(__xludf.DUMMYFUNCTION("""COMPUTED_VALUE"""),-0.0502700335954831)</f>
        <v>-5.0270033595483099E-2</v>
      </c>
      <c r="OL26" s="3">
        <f ca="1">IFERROR(__xludf.DUMMYFUNCTION("""COMPUTED_VALUE"""),0.171514123546425)</f>
        <v>0.17151412354642501</v>
      </c>
      <c r="OM26" s="3">
        <f ca="1">IFERROR(__xludf.DUMMYFUNCTION("""COMPUTED_VALUE"""),-0.0575946086169985)</f>
        <v>-5.7594608616998499E-2</v>
      </c>
      <c r="ON26" s="3">
        <f ca="1">IFERROR(__xludf.DUMMYFUNCTION("""COMPUTED_VALUE"""),-0.000626537064147836)</f>
        <v>-6.2653706414783595E-4</v>
      </c>
      <c r="OO26" s="3">
        <f ca="1">IFERROR(__xludf.DUMMYFUNCTION("""COMPUTED_VALUE"""),-0.0377084750640924)</f>
        <v>-3.7708475064092403E-2</v>
      </c>
      <c r="OP26" s="3">
        <f ca="1">IFERROR(__xludf.DUMMYFUNCTION("""COMPUTED_VALUE"""),0.054074175938128)</f>
        <v>5.4074175938128001E-2</v>
      </c>
      <c r="OQ26" s="3">
        <f ca="1">IFERROR(__xludf.DUMMYFUNCTION("""COMPUTED_VALUE"""),0.0401399261988637)</f>
        <v>4.0139926198863703E-2</v>
      </c>
      <c r="OR26" s="3">
        <f ca="1">IFERROR(__xludf.DUMMYFUNCTION("""COMPUTED_VALUE"""),0.0525628905346273)</f>
        <v>5.2562890534627302E-2</v>
      </c>
      <c r="OS26" s="3">
        <f ca="1">IFERROR(__xludf.DUMMYFUNCTION("""COMPUTED_VALUE"""),0.177732764140985)</f>
        <v>0.17773276414098499</v>
      </c>
      <c r="OT26" s="3">
        <f ca="1">IFERROR(__xludf.DUMMYFUNCTION("""COMPUTED_VALUE"""),0.11275350195776)</f>
        <v>0.11275350195776</v>
      </c>
      <c r="OU26" s="3">
        <f ca="1">IFERROR(__xludf.DUMMYFUNCTION("""COMPUTED_VALUE"""),0.019874922962862)</f>
        <v>1.9874922962862002E-2</v>
      </c>
      <c r="OV26" s="3">
        <f ca="1">IFERROR(__xludf.DUMMYFUNCTION("""COMPUTED_VALUE"""),0.0156915878103658)</f>
        <v>1.5691587810365799E-2</v>
      </c>
      <c r="OW26" s="3">
        <f ca="1">IFERROR(__xludf.DUMMYFUNCTION("""COMPUTED_VALUE"""),0.0193864918348789)</f>
        <v>1.9386491834878901E-2</v>
      </c>
      <c r="OX26" s="3">
        <f ca="1">IFERROR(__xludf.DUMMYFUNCTION("""COMPUTED_VALUE"""),0.02893742153019)</f>
        <v>2.8937421530190001E-2</v>
      </c>
      <c r="OY26" s="3">
        <f ca="1">IFERROR(__xludf.DUMMYFUNCTION("""COMPUTED_VALUE"""),-0.0723878419822924)</f>
        <v>-7.2387841982292395E-2</v>
      </c>
      <c r="OZ26" s="3">
        <f ca="1">IFERROR(__xludf.DUMMYFUNCTION("""COMPUTED_VALUE"""),0.30349192009627)</f>
        <v>0.30349192009627002</v>
      </c>
      <c r="PA26" s="3">
        <f ca="1">IFERROR(__xludf.DUMMYFUNCTION("""COMPUTED_VALUE"""),-0.0399525459746712)</f>
        <v>-3.9952545974671197E-2</v>
      </c>
      <c r="PB26" s="3">
        <f ca="1">IFERROR(__xludf.DUMMYFUNCTION("""COMPUTED_VALUE"""),0.000426537081941624)</f>
        <v>4.26537081941624E-4</v>
      </c>
      <c r="PC26" s="3">
        <f ca="1">IFERROR(__xludf.DUMMYFUNCTION("""COMPUTED_VALUE"""),-0.115655335578972)</f>
        <v>-0.11565533557897199</v>
      </c>
      <c r="PD26" s="3">
        <f ca="1">IFERROR(__xludf.DUMMYFUNCTION("""COMPUTED_VALUE"""),-0.0448017405071382)</f>
        <v>-4.4801740507138199E-2</v>
      </c>
      <c r="PE26" s="3">
        <f ca="1">IFERROR(__xludf.DUMMYFUNCTION("""COMPUTED_VALUE"""),0.0326463188889865)</f>
        <v>3.2646318888986503E-2</v>
      </c>
      <c r="PF26" s="3">
        <f ca="1">IFERROR(__xludf.DUMMYFUNCTION("""COMPUTED_VALUE"""),0.075901196475794)</f>
        <v>7.5901196475794006E-2</v>
      </c>
      <c r="PG26" s="3">
        <f ca="1">IFERROR(__xludf.DUMMYFUNCTION("""COMPUTED_VALUE"""),-0.0861385290369318)</f>
        <v>-8.6138529036931796E-2</v>
      </c>
      <c r="PH26" s="3">
        <f ca="1">IFERROR(__xludf.DUMMYFUNCTION("""COMPUTED_VALUE"""),0.177428981458856)</f>
        <v>0.17742898145885599</v>
      </c>
      <c r="PI26" s="3">
        <f ca="1">IFERROR(__xludf.DUMMYFUNCTION("""COMPUTED_VALUE"""),-0.0866096201623159)</f>
        <v>-8.6609620162315895E-2</v>
      </c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</row>
    <row r="27" spans="1:477" ht="15.75" customHeight="1">
      <c r="A27" s="1" t="str">
        <f ca="1">IFERROR(__xludf.DUMMYFUNCTION("""COMPUTED_VALUE"""),"CTTransit Hartford")</f>
        <v>CTTransit Hartford</v>
      </c>
      <c r="B27" s="1" t="str">
        <f ca="1">IFERROR(__xludf.DUMMYFUNCTION("""COMPUTED_VALUE"""),"Connecticut")</f>
        <v>Connecticut</v>
      </c>
      <c r="C27" s="1" t="str">
        <f ca="1">IFERROR(__xludf.DUMMYFUNCTION("""COMPUTED_VALUE"""),"United States")</f>
        <v>United States</v>
      </c>
      <c r="D27" s="1" t="str">
        <f ca="1">IFERROR(__xludf.DUMMYFUNCTION("""COMPUTED_VALUE"""),"Connecticut")</f>
        <v>Connecticut</v>
      </c>
      <c r="E27" s="3">
        <f ca="1">IFERROR(__xludf.DUMMYFUNCTION("""COMPUTED_VALUE"""),-0.319829556272722)</f>
        <v>-0.31982955627272203</v>
      </c>
      <c r="F27" s="3">
        <f ca="1">IFERROR(__xludf.DUMMYFUNCTION("""COMPUTED_VALUE"""),-0.372436895221405)</f>
        <v>-0.372436895221405</v>
      </c>
      <c r="G27" s="3">
        <f ca="1">IFERROR(__xludf.DUMMYFUNCTION("""COMPUTED_VALUE"""),-0.460264156870311)</f>
        <v>-0.46026415687031103</v>
      </c>
      <c r="H27" s="3">
        <f ca="1">IFERROR(__xludf.DUMMYFUNCTION("""COMPUTED_VALUE"""),-0.4732634590738)</f>
        <v>-0.47326345907380002</v>
      </c>
      <c r="I27" s="3">
        <f ca="1">IFERROR(__xludf.DUMMYFUNCTION("""COMPUTED_VALUE"""),-0.473077070976065)</f>
        <v>-0.473077070976065</v>
      </c>
      <c r="J27" s="3">
        <f ca="1">IFERROR(__xludf.DUMMYFUNCTION("""COMPUTED_VALUE"""),-0.426167296734624)</f>
        <v>-0.426167296734624</v>
      </c>
      <c r="K27" s="3">
        <f ca="1">IFERROR(__xludf.DUMMYFUNCTION("""COMPUTED_VALUE"""),-0.385298597299142)</f>
        <v>-0.38529859729914201</v>
      </c>
      <c r="L27" s="3">
        <f ca="1">IFERROR(__xludf.DUMMYFUNCTION("""COMPUTED_VALUE"""),-0.33567330922091)</f>
        <v>-0.33567330922090999</v>
      </c>
      <c r="M27" s="3">
        <f ca="1">IFERROR(__xludf.DUMMYFUNCTION("""COMPUTED_VALUE"""),-0.494606899324434)</f>
        <v>-0.49460689932443402</v>
      </c>
      <c r="N27" s="3">
        <f ca="1">IFERROR(__xludf.DUMMYFUNCTION("""COMPUTED_VALUE"""),-0.4798228303026)</f>
        <v>-0.47982283030259998</v>
      </c>
      <c r="O27" s="3">
        <f ca="1">IFERROR(__xludf.DUMMYFUNCTION("""COMPUTED_VALUE"""),-0.502927686840215)</f>
        <v>-0.50292768684021505</v>
      </c>
      <c r="P27" s="3">
        <f ca="1">IFERROR(__xludf.DUMMYFUNCTION("""COMPUTED_VALUE"""),-0.45113278425352)</f>
        <v>-0.45113278425351999</v>
      </c>
      <c r="Q27" s="3">
        <f ca="1">IFERROR(__xludf.DUMMYFUNCTION("""COMPUTED_VALUE"""),-0.423811676733127)</f>
        <v>-0.42381167673312697</v>
      </c>
      <c r="R27" s="3">
        <f ca="1">IFERROR(__xludf.DUMMYFUNCTION("""COMPUTED_VALUE"""),-0.326296515322968)</f>
        <v>-0.32629651532296799</v>
      </c>
      <c r="S27" s="3">
        <f ca="1">IFERROR(__xludf.DUMMYFUNCTION("""COMPUTED_VALUE"""),-0.32375746560956)</f>
        <v>-0.32375746560955998</v>
      </c>
      <c r="T27" s="3">
        <f ca="1">IFERROR(__xludf.DUMMYFUNCTION("""COMPUTED_VALUE"""),-0.436694363857207)</f>
        <v>-0.436694363857207</v>
      </c>
      <c r="U27" s="3">
        <f ca="1">IFERROR(__xludf.DUMMYFUNCTION("""COMPUTED_VALUE"""),-0.462929641485303)</f>
        <v>-0.46292964148530302</v>
      </c>
      <c r="V27" s="3">
        <f ca="1">IFERROR(__xludf.DUMMYFUNCTION("""COMPUTED_VALUE"""),-0.489493125091189)</f>
        <v>-0.48949312509118897</v>
      </c>
      <c r="W27" s="3">
        <f ca="1">IFERROR(__xludf.DUMMYFUNCTION("""COMPUTED_VALUE"""),-0.458607949261808)</f>
        <v>-0.45860794926180798</v>
      </c>
      <c r="X27" s="3">
        <f ca="1">IFERROR(__xludf.DUMMYFUNCTION("""COMPUTED_VALUE"""),-0.446196533534905)</f>
        <v>-0.44619653353490502</v>
      </c>
      <c r="Y27" s="3">
        <f ca="1">IFERROR(__xludf.DUMMYFUNCTION("""COMPUTED_VALUE"""),-0.175541302652555)</f>
        <v>-0.17554130265255499</v>
      </c>
      <c r="Z27" s="3">
        <f ca="1">IFERROR(__xludf.DUMMYFUNCTION("""COMPUTED_VALUE"""),-0.324422547743323)</f>
        <v>-0.32442254774332302</v>
      </c>
      <c r="AA27" s="3">
        <f ca="1">IFERROR(__xludf.DUMMYFUNCTION("""COMPUTED_VALUE"""),-0.428537870023441)</f>
        <v>-0.42853787002344101</v>
      </c>
      <c r="AB27" s="3">
        <f ca="1">IFERROR(__xludf.DUMMYFUNCTION("""COMPUTED_VALUE"""),-0.505863766794089)</f>
        <v>-0.50586376679408895</v>
      </c>
      <c r="AC27" s="3">
        <f ca="1">IFERROR(__xludf.DUMMYFUNCTION("""COMPUTED_VALUE"""),-0.472425050922718)</f>
        <v>-0.47242505092271803</v>
      </c>
      <c r="AD27" s="3">
        <f ca="1">IFERROR(__xludf.DUMMYFUNCTION("""COMPUTED_VALUE"""),-0.516186154728977)</f>
        <v>-0.516186154728977</v>
      </c>
      <c r="AE27" s="3">
        <f ca="1">IFERROR(__xludf.DUMMYFUNCTION("""COMPUTED_VALUE"""),-0.491935166261814)</f>
        <v>-0.49193516626181399</v>
      </c>
      <c r="AF27" s="3">
        <f ca="1">IFERROR(__xludf.DUMMYFUNCTION("""COMPUTED_VALUE"""),-0.260976824345891)</f>
        <v>-0.26097682434589098</v>
      </c>
      <c r="AG27" s="3">
        <f ca="1">IFERROR(__xludf.DUMMYFUNCTION("""COMPUTED_VALUE"""),-0.304541267198151)</f>
        <v>-0.304541267198151</v>
      </c>
      <c r="AH27" s="3">
        <f ca="1">IFERROR(__xludf.DUMMYFUNCTION("""COMPUTED_VALUE"""),-0.405387905622425)</f>
        <v>-0.40538790562242499</v>
      </c>
      <c r="AI27" s="3">
        <f ca="1">IFERROR(__xludf.DUMMYFUNCTION("""COMPUTED_VALUE"""),-0.447530638699872)</f>
        <v>-0.44753063869987197</v>
      </c>
      <c r="AJ27" s="3">
        <f ca="1">IFERROR(__xludf.DUMMYFUNCTION("""COMPUTED_VALUE"""),-0.425301525415132)</f>
        <v>-0.425301525415132</v>
      </c>
      <c r="AK27" s="3">
        <f ca="1">IFERROR(__xludf.DUMMYFUNCTION("""COMPUTED_VALUE"""),-0.420192733574916)</f>
        <v>-0.42019273357491599</v>
      </c>
      <c r="AL27" s="3">
        <f ca="1">IFERROR(__xludf.DUMMYFUNCTION("""COMPUTED_VALUE"""),-0.381851998693014)</f>
        <v>-0.38185199869301401</v>
      </c>
      <c r="AM27" s="3">
        <f ca="1">IFERROR(__xludf.DUMMYFUNCTION("""COMPUTED_VALUE"""),-0.295691606864321)</f>
        <v>-0.295691606864321</v>
      </c>
      <c r="AN27" s="3">
        <f ca="1">IFERROR(__xludf.DUMMYFUNCTION("""COMPUTED_VALUE"""),-0.343501491846562)</f>
        <v>-0.34350149184656198</v>
      </c>
      <c r="AO27" s="3">
        <f ca="1">IFERROR(__xludf.DUMMYFUNCTION("""COMPUTED_VALUE"""),-0.466018074946622)</f>
        <v>-0.46601807494662201</v>
      </c>
      <c r="AP27" s="3">
        <f ca="1">IFERROR(__xludf.DUMMYFUNCTION("""COMPUTED_VALUE"""),-0.480372325945427)</f>
        <v>-0.480372325945427</v>
      </c>
      <c r="AQ27" s="3">
        <f ca="1">IFERROR(__xludf.DUMMYFUNCTION("""COMPUTED_VALUE"""),-0.45106022483266)</f>
        <v>-0.45106022483266001</v>
      </c>
      <c r="AR27" s="3">
        <f ca="1">IFERROR(__xludf.DUMMYFUNCTION("""COMPUTED_VALUE"""),-0.51787697462278)</f>
        <v>-0.51787697462278004</v>
      </c>
      <c r="AS27" s="3">
        <f ca="1">IFERROR(__xludf.DUMMYFUNCTION("""COMPUTED_VALUE"""),-0.402415894157329)</f>
        <v>-0.40241589415732898</v>
      </c>
      <c r="AT27" s="3">
        <f ca="1">IFERROR(__xludf.DUMMYFUNCTION("""COMPUTED_VALUE"""),-0.304201493089469)</f>
        <v>-0.30420149308946898</v>
      </c>
      <c r="AU27" s="3">
        <f ca="1">IFERROR(__xludf.DUMMYFUNCTION("""COMPUTED_VALUE"""),-0.369141987979908)</f>
        <v>-0.36914198797990799</v>
      </c>
      <c r="AV27" s="3">
        <f ca="1">IFERROR(__xludf.DUMMYFUNCTION("""COMPUTED_VALUE"""),-0.488488771671855)</f>
        <v>-0.488488771671855</v>
      </c>
      <c r="AW27" s="3">
        <f ca="1">IFERROR(__xludf.DUMMYFUNCTION("""COMPUTED_VALUE"""),-0.492509321926654)</f>
        <v>-0.49250932192665398</v>
      </c>
      <c r="AX27" s="3">
        <f ca="1">IFERROR(__xludf.DUMMYFUNCTION("""COMPUTED_VALUE"""),-0.443368697627195)</f>
        <v>-0.443368697627195</v>
      </c>
      <c r="AY27" s="3">
        <f ca="1">IFERROR(__xludf.DUMMYFUNCTION("""COMPUTED_VALUE"""),-0.475786147411336)</f>
        <v>-0.47578614741133601</v>
      </c>
      <c r="AZ27" s="3">
        <f ca="1">IFERROR(__xludf.DUMMYFUNCTION("""COMPUTED_VALUE"""),-0.441609077690585)</f>
        <v>-0.44160907769058499</v>
      </c>
      <c r="BA27" s="3">
        <f ca="1">IFERROR(__xludf.DUMMYFUNCTION("""COMPUTED_VALUE"""),-0.295960033267987)</f>
        <v>-0.29596003326798698</v>
      </c>
      <c r="BB27" s="3">
        <f ca="1">IFERROR(__xludf.DUMMYFUNCTION("""COMPUTED_VALUE"""),-0.341344849786961)</f>
        <v>-0.341344849786961</v>
      </c>
      <c r="BC27" s="3">
        <f ca="1">IFERROR(__xludf.DUMMYFUNCTION("""COMPUTED_VALUE"""),-0.566746591594511)</f>
        <v>-0.56674659159451102</v>
      </c>
      <c r="BD27" s="3">
        <f ca="1">IFERROR(__xludf.DUMMYFUNCTION("""COMPUTED_VALUE"""),-0.545119911571759)</f>
        <v>-0.54511991157175899</v>
      </c>
      <c r="BE27" s="3">
        <f ca="1">IFERROR(__xludf.DUMMYFUNCTION("""COMPUTED_VALUE"""),-0.453713844903895)</f>
        <v>-0.45371384490389499</v>
      </c>
      <c r="BF27" s="3">
        <f ca="1">IFERROR(__xludf.DUMMYFUNCTION("""COMPUTED_VALUE"""),-0.475990829323408)</f>
        <v>-0.47599082932340803</v>
      </c>
      <c r="BG27" s="3">
        <f ca="1">IFERROR(__xludf.DUMMYFUNCTION("""COMPUTED_VALUE"""),-0.486911045321867)</f>
        <v>-0.48691104532186702</v>
      </c>
      <c r="BH27" s="3">
        <f ca="1">IFERROR(__xludf.DUMMYFUNCTION("""COMPUTED_VALUE"""),-0.312229899880234)</f>
        <v>-0.31222989988023397</v>
      </c>
      <c r="BI27" s="3">
        <f ca="1">IFERROR(__xludf.DUMMYFUNCTION("""COMPUTED_VALUE"""),-0.337269108344992)</f>
        <v>-0.33726910834499202</v>
      </c>
      <c r="BJ27" s="3">
        <f ca="1">IFERROR(__xludf.DUMMYFUNCTION("""COMPUTED_VALUE"""),-0.485471631385176)</f>
        <v>-0.48547163138517602</v>
      </c>
      <c r="BK27" s="3">
        <f ca="1">IFERROR(__xludf.DUMMYFUNCTION("""COMPUTED_VALUE"""),-0.523661028723961)</f>
        <v>-0.52366102872396103</v>
      </c>
      <c r="BL27" s="3">
        <f ca="1">IFERROR(__xludf.DUMMYFUNCTION("""COMPUTED_VALUE"""),-0.519683043826983)</f>
        <v>-0.51968304382698305</v>
      </c>
      <c r="BM27" s="3">
        <f ca="1">IFERROR(__xludf.DUMMYFUNCTION("""COMPUTED_VALUE"""),-0.575550534198603)</f>
        <v>-0.57555053419860303</v>
      </c>
      <c r="BN27" s="3">
        <f ca="1">IFERROR(__xludf.DUMMYFUNCTION("""COMPUTED_VALUE"""),-0.483517425402577)</f>
        <v>-0.48351742540257697</v>
      </c>
      <c r="BO27" s="3">
        <f ca="1">IFERROR(__xludf.DUMMYFUNCTION("""COMPUTED_VALUE"""),-0.376556915219707)</f>
        <v>-0.37655691521970702</v>
      </c>
      <c r="BP27" s="3">
        <f ca="1">IFERROR(__xludf.DUMMYFUNCTION("""COMPUTED_VALUE"""),-0.329993774175793)</f>
        <v>-0.32999377417579301</v>
      </c>
      <c r="BQ27" s="3">
        <f ca="1">IFERROR(__xludf.DUMMYFUNCTION("""COMPUTED_VALUE"""),-0.485755203249839)</f>
        <v>-0.48575520324983901</v>
      </c>
      <c r="BR27" s="3">
        <f ca="1">IFERROR(__xludf.DUMMYFUNCTION("""COMPUTED_VALUE"""),-0.493763752631358)</f>
        <v>-0.49376375263135802</v>
      </c>
      <c r="BS27" s="3">
        <f ca="1">IFERROR(__xludf.DUMMYFUNCTION("""COMPUTED_VALUE"""),-0.541301714460902)</f>
        <v>-0.54130171446090203</v>
      </c>
      <c r="BT27" s="3">
        <f ca="1">IFERROR(__xludf.DUMMYFUNCTION("""COMPUTED_VALUE"""),-0.626256221386742)</f>
        <v>-0.62625622138674197</v>
      </c>
      <c r="BU27" s="3">
        <f ca="1">IFERROR(__xludf.DUMMYFUNCTION("""COMPUTED_VALUE"""),-0.672127336879331)</f>
        <v>-0.67212733687933102</v>
      </c>
      <c r="BV27" s="3">
        <f ca="1">IFERROR(__xludf.DUMMYFUNCTION("""COMPUTED_VALUE"""),-0.446752019019583)</f>
        <v>-0.446752019019583</v>
      </c>
      <c r="BW27" s="3">
        <f ca="1">IFERROR(__xludf.DUMMYFUNCTION("""COMPUTED_VALUE"""),-0.479731232836135)</f>
        <v>-0.479731232836135</v>
      </c>
      <c r="BX27" s="3">
        <f ca="1">IFERROR(__xludf.DUMMYFUNCTION("""COMPUTED_VALUE"""),-0.624524537266872)</f>
        <v>-0.62452453726687196</v>
      </c>
      <c r="BY27" s="3">
        <f ca="1">IFERROR(__xludf.DUMMYFUNCTION("""COMPUTED_VALUE"""),-0.560826068367794)</f>
        <v>-0.56082606836779403</v>
      </c>
      <c r="BZ27" s="3">
        <f ca="1">IFERROR(__xludf.DUMMYFUNCTION("""COMPUTED_VALUE"""),-0.597194941200823)</f>
        <v>-0.59719494120082295</v>
      </c>
      <c r="CA27" s="3">
        <f ca="1">IFERROR(__xludf.DUMMYFUNCTION("""COMPUTED_VALUE"""),-0.563039149753505)</f>
        <v>-0.563039149753505</v>
      </c>
      <c r="CB27" s="3">
        <f ca="1">IFERROR(__xludf.DUMMYFUNCTION("""COMPUTED_VALUE"""),-0.510926327554276)</f>
        <v>-0.51092632755427603</v>
      </c>
      <c r="CC27" s="3">
        <f ca="1">IFERROR(__xludf.DUMMYFUNCTION("""COMPUTED_VALUE"""),-0.403676712154148)</f>
        <v>-0.40367671215414802</v>
      </c>
      <c r="CD27" s="3">
        <f ca="1">IFERROR(__xludf.DUMMYFUNCTION("""COMPUTED_VALUE"""),-0.411971939598281)</f>
        <v>-0.41197193959828099</v>
      </c>
      <c r="CE27" s="3">
        <f ca="1">IFERROR(__xludf.DUMMYFUNCTION("""COMPUTED_VALUE"""),-0.534008758870645)</f>
        <v>-0.53400875887064503</v>
      </c>
      <c r="CF27" s="3">
        <f ca="1">IFERROR(__xludf.DUMMYFUNCTION("""COMPUTED_VALUE"""),-0.542246890278375)</f>
        <v>-0.54224689027837503</v>
      </c>
      <c r="CG27" s="3">
        <f ca="1">IFERROR(__xludf.DUMMYFUNCTION("""COMPUTED_VALUE"""),-0.54236089298894)</f>
        <v>-0.54236089298893997</v>
      </c>
      <c r="CH27" s="3">
        <f ca="1">IFERROR(__xludf.DUMMYFUNCTION("""COMPUTED_VALUE"""),-0.515347721812965)</f>
        <v>-0.51534772181296495</v>
      </c>
      <c r="CI27" s="3">
        <f ca="1">IFERROR(__xludf.DUMMYFUNCTION("""COMPUTED_VALUE"""),-0.514545635983869)</f>
        <v>-0.51454563598386904</v>
      </c>
      <c r="CJ27" s="3">
        <f ca="1">IFERROR(__xludf.DUMMYFUNCTION("""COMPUTED_VALUE"""),-0.321970638224689)</f>
        <v>-0.32197063822468902</v>
      </c>
      <c r="CK27" s="3">
        <f ca="1">IFERROR(__xludf.DUMMYFUNCTION("""COMPUTED_VALUE"""),-0.418120469676161)</f>
        <v>-0.41812046967616101</v>
      </c>
      <c r="CL27" s="3">
        <f ca="1">IFERROR(__xludf.DUMMYFUNCTION("""COMPUTED_VALUE"""),-0.496196700691364)</f>
        <v>-0.49619670069136401</v>
      </c>
      <c r="CM27" s="3">
        <f ca="1">IFERROR(__xludf.DUMMYFUNCTION("""COMPUTED_VALUE"""),-0.520743612319827)</f>
        <v>-0.52074361231982702</v>
      </c>
      <c r="CN27" s="3">
        <f ca="1">IFERROR(__xludf.DUMMYFUNCTION("""COMPUTED_VALUE"""),-0.520795838869385)</f>
        <v>-0.52079583886938496</v>
      </c>
      <c r="CO27" s="3">
        <f ca="1">IFERROR(__xludf.DUMMYFUNCTION("""COMPUTED_VALUE"""),-0.505680488513929)</f>
        <v>-0.50568048851392899</v>
      </c>
      <c r="CP27" s="3">
        <f ca="1">IFERROR(__xludf.DUMMYFUNCTION("""COMPUTED_VALUE"""),-0.479340116141832)</f>
        <v>-0.47934011614183197</v>
      </c>
      <c r="CQ27" s="3">
        <f ca="1">IFERROR(__xludf.DUMMYFUNCTION("""COMPUTED_VALUE"""),-0.358515238995569)</f>
        <v>-0.35851523899556897</v>
      </c>
      <c r="CR27" s="3">
        <f ca="1">IFERROR(__xludf.DUMMYFUNCTION("""COMPUTED_VALUE"""),-0.359763569334019)</f>
        <v>-0.35976356933401898</v>
      </c>
      <c r="CS27" s="3">
        <f ca="1">IFERROR(__xludf.DUMMYFUNCTION("""COMPUTED_VALUE"""),-0.473998603641538)</f>
        <v>-0.47399860364153801</v>
      </c>
      <c r="CT27" s="3">
        <f ca="1">IFERROR(__xludf.DUMMYFUNCTION("""COMPUTED_VALUE"""),-0.48488790041183)</f>
        <v>-0.48488790041183</v>
      </c>
      <c r="CU27" s="3">
        <f ca="1">IFERROR(__xludf.DUMMYFUNCTION("""COMPUTED_VALUE"""),-0.39990832363926)</f>
        <v>-0.39990832363925999</v>
      </c>
      <c r="CV27" s="3">
        <f ca="1">IFERROR(__xludf.DUMMYFUNCTION("""COMPUTED_VALUE"""),-0.50538990632582)</f>
        <v>-0.50538990632582004</v>
      </c>
      <c r="CW27" s="3">
        <f ca="1">IFERROR(__xludf.DUMMYFUNCTION("""COMPUTED_VALUE"""),-0.483165182746899)</f>
        <v>-0.48316518274689901</v>
      </c>
      <c r="CX27" s="3">
        <f ca="1">IFERROR(__xludf.DUMMYFUNCTION("""COMPUTED_VALUE"""),-0.354245652068715)</f>
        <v>-0.354245652068715</v>
      </c>
      <c r="CY27" s="3">
        <f ca="1">IFERROR(__xludf.DUMMYFUNCTION("""COMPUTED_VALUE"""),-0.39887650256682)</f>
        <v>-0.39887650256682</v>
      </c>
      <c r="CZ27" s="3">
        <f ca="1">IFERROR(__xludf.DUMMYFUNCTION("""COMPUTED_VALUE"""),-0.648090898059483)</f>
        <v>-0.64809089805948294</v>
      </c>
      <c r="DA27" s="3">
        <f ca="1">IFERROR(__xludf.DUMMYFUNCTION("""COMPUTED_VALUE"""),-0.488977060319168)</f>
        <v>-0.48897706031916799</v>
      </c>
      <c r="DB27" s="3">
        <f ca="1">IFERROR(__xludf.DUMMYFUNCTION("""COMPUTED_VALUE"""),-0.147686175171625)</f>
        <v>-0.14768617517162499</v>
      </c>
      <c r="DC27" s="3">
        <f ca="1">IFERROR(__xludf.DUMMYFUNCTION("""COMPUTED_VALUE"""),-0.456668446421824)</f>
        <v>-0.45666844642182403</v>
      </c>
      <c r="DD27" s="3">
        <f ca="1">IFERROR(__xludf.DUMMYFUNCTION("""COMPUTED_VALUE"""),-0.468750204847478)</f>
        <v>-0.46875020484747798</v>
      </c>
      <c r="DE27" s="3">
        <f ca="1">IFERROR(__xludf.DUMMYFUNCTION("""COMPUTED_VALUE"""),-0.347772287561416)</f>
        <v>-0.34777228756141598</v>
      </c>
      <c r="DF27" s="3">
        <f ca="1">IFERROR(__xludf.DUMMYFUNCTION("""COMPUTED_VALUE"""),-0.416531930067566)</f>
        <v>-0.416531930067566</v>
      </c>
      <c r="DG27" s="3">
        <f ca="1">IFERROR(__xludf.DUMMYFUNCTION("""COMPUTED_VALUE"""),-0.841858001961656)</f>
        <v>-0.84185800196165606</v>
      </c>
      <c r="DH27" s="3">
        <f ca="1">IFERROR(__xludf.DUMMYFUNCTION("""COMPUTED_VALUE"""),-0.463063442864482)</f>
        <v>-0.46306344286448198</v>
      </c>
      <c r="DI27" s="3">
        <f ca="1">IFERROR(__xludf.DUMMYFUNCTION("""COMPUTED_VALUE"""),-0.0370676218696819)</f>
        <v>-3.7067621869681898E-2</v>
      </c>
      <c r="DJ27" s="3">
        <f ca="1">IFERROR(__xludf.DUMMYFUNCTION("""COMPUTED_VALUE"""),-0.336066864169396)</f>
        <v>-0.33606686416939602</v>
      </c>
      <c r="DK27" s="3">
        <f ca="1">IFERROR(__xludf.DUMMYFUNCTION("""COMPUTED_VALUE"""),-0.431078737994536)</f>
        <v>-0.431078737994536</v>
      </c>
      <c r="DL27" s="3">
        <f ca="1">IFERROR(__xludf.DUMMYFUNCTION("""COMPUTED_VALUE"""),-0.329606799419939)</f>
        <v>-0.32960679941993898</v>
      </c>
      <c r="DM27" s="3">
        <f ca="1">IFERROR(__xludf.DUMMYFUNCTION("""COMPUTED_VALUE"""),-0.402517305467419)</f>
        <v>-0.40251730546741898</v>
      </c>
      <c r="DN27" s="3">
        <f ca="1">IFERROR(__xludf.DUMMYFUNCTION("""COMPUTED_VALUE"""),-0.499875472430357)</f>
        <v>-0.49987547243035702</v>
      </c>
      <c r="DO27" s="3">
        <f ca="1">IFERROR(__xludf.DUMMYFUNCTION("""COMPUTED_VALUE"""),-0.659268557028416)</f>
        <v>-0.65926855702841602</v>
      </c>
      <c r="DP27" s="3">
        <f ca="1">IFERROR(__xludf.DUMMYFUNCTION("""COMPUTED_VALUE"""),-0.373632874149208)</f>
        <v>-0.37363287414920798</v>
      </c>
      <c r="DQ27" s="3">
        <f ca="1">IFERROR(__xludf.DUMMYFUNCTION("""COMPUTED_VALUE"""),-0.396142656109216)</f>
        <v>-0.39614265610921601</v>
      </c>
      <c r="DR27" s="3">
        <f ca="1">IFERROR(__xludf.DUMMYFUNCTION("""COMPUTED_VALUE"""),-0.523000173519055)</f>
        <v>-0.52300017351905503</v>
      </c>
      <c r="DS27" s="3">
        <f ca="1">IFERROR(__xludf.DUMMYFUNCTION("""COMPUTED_VALUE"""),-0.325706611479197)</f>
        <v>-0.32570661147919699</v>
      </c>
      <c r="DT27" s="3">
        <f ca="1">IFERROR(__xludf.DUMMYFUNCTION("""COMPUTED_VALUE"""),-0.401437226145724)</f>
        <v>-0.40143722614572402</v>
      </c>
      <c r="DU27" s="3">
        <f ca="1">IFERROR(__xludf.DUMMYFUNCTION("""COMPUTED_VALUE"""),-0.507522356446085)</f>
        <v>-0.50752235644608501</v>
      </c>
      <c r="DV27" s="3">
        <f ca="1">IFERROR(__xludf.DUMMYFUNCTION("""COMPUTED_VALUE"""),-0.511666714803764)</f>
        <v>-0.51166671480376402</v>
      </c>
      <c r="DW27" s="3">
        <f ca="1">IFERROR(__xludf.DUMMYFUNCTION("""COMPUTED_VALUE"""),-0.549221975555688)</f>
        <v>-0.54922197555568797</v>
      </c>
      <c r="DX27" s="3">
        <f ca="1">IFERROR(__xludf.DUMMYFUNCTION("""COMPUTED_VALUE"""),-0.4850893762599)</f>
        <v>-0.48508937625990001</v>
      </c>
      <c r="DY27" s="3">
        <f ca="1">IFERROR(__xludf.DUMMYFUNCTION("""COMPUTED_VALUE"""),-0.474502208775423)</f>
        <v>-0.47450220877542298</v>
      </c>
      <c r="DZ27" s="3">
        <f ca="1">IFERROR(__xludf.DUMMYFUNCTION("""COMPUTED_VALUE"""),-0.258906964929698)</f>
        <v>-0.258906964929698</v>
      </c>
      <c r="EA27" s="3">
        <f ca="1">IFERROR(__xludf.DUMMYFUNCTION("""COMPUTED_VALUE"""),-0.517360321406956)</f>
        <v>-0.51736032140695598</v>
      </c>
      <c r="EB27" s="3">
        <f ca="1">IFERROR(__xludf.DUMMYFUNCTION("""COMPUTED_VALUE"""),-0.492472469558181)</f>
        <v>-0.49247246955818103</v>
      </c>
      <c r="EC27" s="3">
        <f ca="1">IFERROR(__xludf.DUMMYFUNCTION("""COMPUTED_VALUE"""),-0.396974777723576)</f>
        <v>-0.39697477772357598</v>
      </c>
      <c r="ED27" s="3">
        <f ca="1">IFERROR(__xludf.DUMMYFUNCTION("""COMPUTED_VALUE"""),-0.551844978746538)</f>
        <v>-0.55184497874653804</v>
      </c>
      <c r="EE27" s="3">
        <f ca="1">IFERROR(__xludf.DUMMYFUNCTION("""COMPUTED_VALUE"""),-0.511861186114887)</f>
        <v>-0.51186118611488696</v>
      </c>
      <c r="EF27" s="3">
        <f ca="1">IFERROR(__xludf.DUMMYFUNCTION("""COMPUTED_VALUE"""),-0.57106349114194)</f>
        <v>-0.57106349114193999</v>
      </c>
      <c r="EG27" s="3">
        <f ca="1">IFERROR(__xludf.DUMMYFUNCTION("""COMPUTED_VALUE"""),-0.304330158732365)</f>
        <v>-0.30433015873236502</v>
      </c>
      <c r="EH27" s="3">
        <f ca="1">IFERROR(__xludf.DUMMYFUNCTION("""COMPUTED_VALUE"""),-0.40160911016577)</f>
        <v>-0.40160911016577</v>
      </c>
      <c r="EI27" s="3">
        <f ca="1">IFERROR(__xludf.DUMMYFUNCTION("""COMPUTED_VALUE"""),-0.523377968264006)</f>
        <v>-0.52337796826400595</v>
      </c>
      <c r="EJ27" s="3">
        <f ca="1">IFERROR(__xludf.DUMMYFUNCTION("""COMPUTED_VALUE"""),-0.740890405969204)</f>
        <v>-0.74089040596920397</v>
      </c>
      <c r="EK27" s="3">
        <f ca="1">IFERROR(__xludf.DUMMYFUNCTION("""COMPUTED_VALUE"""),-0.507837310781067)</f>
        <v>-0.50783731078106698</v>
      </c>
      <c r="EL27" s="3">
        <f ca="1">IFERROR(__xludf.DUMMYFUNCTION("""COMPUTED_VALUE"""),-0.496643262495165)</f>
        <v>-0.49664326249516499</v>
      </c>
      <c r="EM27" s="3">
        <f ca="1">IFERROR(__xludf.DUMMYFUNCTION("""COMPUTED_VALUE"""),-0.529678626193618)</f>
        <v>-0.52967862619361805</v>
      </c>
      <c r="EN27" s="3">
        <f ca="1">IFERROR(__xludf.DUMMYFUNCTION("""COMPUTED_VALUE"""),-0.357555923250006)</f>
        <v>-0.35755592325000601</v>
      </c>
      <c r="EO27" s="3">
        <f ca="1">IFERROR(__xludf.DUMMYFUNCTION("""COMPUTED_VALUE"""),-0.392217906680997)</f>
        <v>-0.39221790668099699</v>
      </c>
      <c r="EP27" s="3">
        <f ca="1">IFERROR(__xludf.DUMMYFUNCTION("""COMPUTED_VALUE"""),-0.430919152463576)</f>
        <v>-0.43091915246357598</v>
      </c>
      <c r="EQ27" s="3">
        <f ca="1">IFERROR(__xludf.DUMMYFUNCTION("""COMPUTED_VALUE"""),-0.412365235128644)</f>
        <v>-0.41236523512864398</v>
      </c>
      <c r="ER27" s="3">
        <f ca="1">IFERROR(__xludf.DUMMYFUNCTION("""COMPUTED_VALUE"""),-0.499136361050919)</f>
        <v>-0.49913636105091902</v>
      </c>
      <c r="ES27" s="3">
        <f ca="1">IFERROR(__xludf.DUMMYFUNCTION("""COMPUTED_VALUE"""),-0.521064628065335)</f>
        <v>-0.52106462806533504</v>
      </c>
      <c r="ET27" s="3">
        <f ca="1">IFERROR(__xludf.DUMMYFUNCTION("""COMPUTED_VALUE"""),-0.481818521808492)</f>
        <v>-0.481818521808492</v>
      </c>
      <c r="EU27" s="3">
        <f ca="1">IFERROR(__xludf.DUMMYFUNCTION("""COMPUTED_VALUE"""),-0.37285937136585)</f>
        <v>-0.37285937136585001</v>
      </c>
      <c r="EV27" s="3">
        <f ca="1">IFERROR(__xludf.DUMMYFUNCTION("""COMPUTED_VALUE"""),-0.366720844760152)</f>
        <v>-0.36672084476015199</v>
      </c>
      <c r="EW27" s="3">
        <f ca="1">IFERROR(__xludf.DUMMYFUNCTION("""COMPUTED_VALUE"""),-0.545464501403986)</f>
        <v>-0.54546450140398595</v>
      </c>
      <c r="EX27" s="3">
        <f ca="1">IFERROR(__xludf.DUMMYFUNCTION("""COMPUTED_VALUE"""),-0.557285714698454)</f>
        <v>-0.557285714698454</v>
      </c>
      <c r="EY27" s="3">
        <f ca="1">IFERROR(__xludf.DUMMYFUNCTION("""COMPUTED_VALUE"""),-0.537502092769868)</f>
        <v>-0.53750209276986805</v>
      </c>
      <c r="EZ27" s="3">
        <f ca="1">IFERROR(__xludf.DUMMYFUNCTION("""COMPUTED_VALUE"""),-0.489581264303068)</f>
        <v>-0.48958126430306798</v>
      </c>
      <c r="FA27" s="3">
        <f ca="1">IFERROR(__xludf.DUMMYFUNCTION("""COMPUTED_VALUE"""),-0.467012185058045)</f>
        <v>-0.46701218505804498</v>
      </c>
      <c r="FB27" s="3">
        <f ca="1">IFERROR(__xludf.DUMMYFUNCTION("""COMPUTED_VALUE"""),-0.352582082649907)</f>
        <v>-0.35258208264990698</v>
      </c>
      <c r="FC27" s="3">
        <f ca="1">IFERROR(__xludf.DUMMYFUNCTION("""COMPUTED_VALUE"""),-0.398573153110977)</f>
        <v>-0.39857315311097702</v>
      </c>
      <c r="FD27" s="3">
        <f ca="1">IFERROR(__xludf.DUMMYFUNCTION("""COMPUTED_VALUE"""),-0.502803215048705)</f>
        <v>-0.50280321504870495</v>
      </c>
      <c r="FE27" s="3">
        <f ca="1">IFERROR(__xludf.DUMMYFUNCTION("""COMPUTED_VALUE"""),-0.517197724563171)</f>
        <v>-0.51719772456317104</v>
      </c>
      <c r="FF27" s="3">
        <f ca="1">IFERROR(__xludf.DUMMYFUNCTION("""COMPUTED_VALUE"""),-0.495381521962777)</f>
        <v>-0.49538152196277702</v>
      </c>
      <c r="FG27" s="3">
        <f ca="1">IFERROR(__xludf.DUMMYFUNCTION("""COMPUTED_VALUE"""),-0.454291032797403)</f>
        <v>-0.45429103279740302</v>
      </c>
      <c r="FH27" s="3">
        <f ca="1">IFERROR(__xludf.DUMMYFUNCTION("""COMPUTED_VALUE"""),-0.460295319176835)</f>
        <v>-0.46029531917683503</v>
      </c>
      <c r="FI27" s="3">
        <f ca="1">IFERROR(__xludf.DUMMYFUNCTION("""COMPUTED_VALUE"""),-0.342214239307954)</f>
        <v>-0.34221423930795403</v>
      </c>
      <c r="FJ27" s="3">
        <f ca="1">IFERROR(__xludf.DUMMYFUNCTION("""COMPUTED_VALUE"""),-0.392767439855753)</f>
        <v>-0.39276743985575302</v>
      </c>
      <c r="FK27" s="3">
        <f ca="1">IFERROR(__xludf.DUMMYFUNCTION("""COMPUTED_VALUE"""),-0.591267020762915)</f>
        <v>-0.59126702076291504</v>
      </c>
      <c r="FL27" s="3">
        <f ca="1">IFERROR(__xludf.DUMMYFUNCTION("""COMPUTED_VALUE"""),-0.551972532614757)</f>
        <v>-0.55197253261475698</v>
      </c>
      <c r="FM27" s="3">
        <f ca="1">IFERROR(__xludf.DUMMYFUNCTION("""COMPUTED_VALUE"""),-0.54005426327288)</f>
        <v>-0.54005426327287998</v>
      </c>
      <c r="FN27" s="3">
        <f ca="1">IFERROR(__xludf.DUMMYFUNCTION("""COMPUTED_VALUE"""),-0.470259509600226)</f>
        <v>-0.470259509600226</v>
      </c>
      <c r="FO27" s="3">
        <f ca="1">IFERROR(__xludf.DUMMYFUNCTION("""COMPUTED_VALUE"""),-0.515953563423496)</f>
        <v>-0.51595356342349596</v>
      </c>
      <c r="FP27" s="3">
        <f ca="1">IFERROR(__xludf.DUMMYFUNCTION("""COMPUTED_VALUE"""),-0.354964354126195)</f>
        <v>-0.35496435412619498</v>
      </c>
      <c r="FQ27" s="3">
        <f ca="1">IFERROR(__xludf.DUMMYFUNCTION("""COMPUTED_VALUE"""),-0.378344346130637)</f>
        <v>-0.378344346130637</v>
      </c>
      <c r="FR27" s="3">
        <f ca="1">IFERROR(__xludf.DUMMYFUNCTION("""COMPUTED_VALUE"""),-0.519588298584066)</f>
        <v>-0.51958829858406597</v>
      </c>
      <c r="FS27" s="3">
        <f ca="1">IFERROR(__xludf.DUMMYFUNCTION("""COMPUTED_VALUE"""),-0.497075812471416)</f>
        <v>-0.49707581247141602</v>
      </c>
      <c r="FT27" s="3">
        <f ca="1">IFERROR(__xludf.DUMMYFUNCTION("""COMPUTED_VALUE"""),-0.472935427189598)</f>
        <v>-0.47293542718959802</v>
      </c>
      <c r="FU27" s="3">
        <f ca="1">IFERROR(__xludf.DUMMYFUNCTION("""COMPUTED_VALUE"""),-0.464151041968191)</f>
        <v>-0.46415104196819101</v>
      </c>
      <c r="FV27" s="3">
        <f ca="1">IFERROR(__xludf.DUMMYFUNCTION("""COMPUTED_VALUE"""),-0.450929597823572)</f>
        <v>-0.450929597823572</v>
      </c>
      <c r="FW27" s="3">
        <f ca="1">IFERROR(__xludf.DUMMYFUNCTION("""COMPUTED_VALUE"""),-0.278181666644461)</f>
        <v>-0.27818166664446098</v>
      </c>
      <c r="FX27" s="3">
        <f ca="1">IFERROR(__xludf.DUMMYFUNCTION("""COMPUTED_VALUE"""),-0.364398751732307)</f>
        <v>-0.36439875173230701</v>
      </c>
      <c r="FY27" s="3">
        <f ca="1">IFERROR(__xludf.DUMMYFUNCTION("""COMPUTED_VALUE"""),-0.552269245092542)</f>
        <v>-0.55226924509254205</v>
      </c>
      <c r="FZ27" s="3">
        <f ca="1">IFERROR(__xludf.DUMMYFUNCTION("""COMPUTED_VALUE"""),-0.46964379614533)</f>
        <v>-0.46964379614532997</v>
      </c>
      <c r="GA27" s="3">
        <f ca="1">IFERROR(__xludf.DUMMYFUNCTION("""COMPUTED_VALUE"""),-0.450730171443342)</f>
        <v>-0.45073017144334199</v>
      </c>
      <c r="GB27" s="3">
        <f ca="1">IFERROR(__xludf.DUMMYFUNCTION("""COMPUTED_VALUE"""),-0.551612302361653)</f>
        <v>-0.55161230236165304</v>
      </c>
      <c r="GC27" s="3">
        <f ca="1">IFERROR(__xludf.DUMMYFUNCTION("""COMPUTED_VALUE"""),-0.504297088295362)</f>
        <v>-0.50429708829536202</v>
      </c>
      <c r="GD27" s="3">
        <f ca="1">IFERROR(__xludf.DUMMYFUNCTION("""COMPUTED_VALUE"""),-0.281128493731235)</f>
        <v>-0.281128493731235</v>
      </c>
      <c r="GE27" s="3">
        <f ca="1">IFERROR(__xludf.DUMMYFUNCTION("""COMPUTED_VALUE"""),-0.372433754857878)</f>
        <v>-0.372433754857878</v>
      </c>
      <c r="GF27" s="3">
        <f ca="1">IFERROR(__xludf.DUMMYFUNCTION("""COMPUTED_VALUE"""),-0.442568168909544)</f>
        <v>-0.44256816890954398</v>
      </c>
      <c r="GG27" s="3">
        <f ca="1">IFERROR(__xludf.DUMMYFUNCTION("""COMPUTED_VALUE"""),-0.481416146909768)</f>
        <v>-0.48141614690976797</v>
      </c>
      <c r="GH27" s="3">
        <f ca="1">IFERROR(__xludf.DUMMYFUNCTION("""COMPUTED_VALUE"""),-0.488985976200527)</f>
        <v>-0.48898597620052697</v>
      </c>
      <c r="GI27" s="3">
        <f ca="1">IFERROR(__xludf.DUMMYFUNCTION("""COMPUTED_VALUE"""),-0.485746510430304)</f>
        <v>-0.48574651043030398</v>
      </c>
      <c r="GJ27" s="3">
        <f ca="1">IFERROR(__xludf.DUMMYFUNCTION("""COMPUTED_VALUE"""),-0.406353180650386)</f>
        <v>-0.406353180650386</v>
      </c>
      <c r="GK27" s="3">
        <f ca="1">IFERROR(__xludf.DUMMYFUNCTION("""COMPUTED_VALUE"""),-0.086609640310073)</f>
        <v>-8.6609640310072997E-2</v>
      </c>
      <c r="GL27" s="3">
        <f ca="1">IFERROR(__xludf.DUMMYFUNCTION("""COMPUTED_VALUE"""),-0.21520559811374)</f>
        <v>-0.21520559811373999</v>
      </c>
      <c r="GM27" s="3">
        <f ca="1">IFERROR(__xludf.DUMMYFUNCTION("""COMPUTED_VALUE"""),-0.385784757250637)</f>
        <v>-0.38578475725063699</v>
      </c>
      <c r="GN27" s="3">
        <f ca="1">IFERROR(__xludf.DUMMYFUNCTION("""COMPUTED_VALUE"""),-0.399841523133118)</f>
        <v>-0.39984152313311799</v>
      </c>
      <c r="GO27" s="3">
        <f ca="1">IFERROR(__xludf.DUMMYFUNCTION("""COMPUTED_VALUE"""),-0.408108016105529)</f>
        <v>-0.40810801610552899</v>
      </c>
      <c r="GP27" s="3">
        <f ca="1">IFERROR(__xludf.DUMMYFUNCTION("""COMPUTED_VALUE"""),-0.422305113780251)</f>
        <v>-0.42230511378025098</v>
      </c>
      <c r="GQ27" s="3">
        <f ca="1">IFERROR(__xludf.DUMMYFUNCTION("""COMPUTED_VALUE"""),-0.371174053274333)</f>
        <v>-0.371174053274333</v>
      </c>
      <c r="GR27" s="3">
        <f ca="1">IFERROR(__xludf.DUMMYFUNCTION("""COMPUTED_VALUE"""),-0.0911727880202146)</f>
        <v>-9.1172788020214598E-2</v>
      </c>
      <c r="GS27" s="3">
        <f ca="1">IFERROR(__xludf.DUMMYFUNCTION("""COMPUTED_VALUE"""),-0.212730285717849)</f>
        <v>-0.21273028571784899</v>
      </c>
      <c r="GT27" s="3">
        <f ca="1">IFERROR(__xludf.DUMMYFUNCTION("""COMPUTED_VALUE"""),-0.348204972664945)</f>
        <v>-0.34820497266494499</v>
      </c>
      <c r="GU27" s="3">
        <f ca="1">IFERROR(__xludf.DUMMYFUNCTION("""COMPUTED_VALUE"""),-0.424425579907402)</f>
        <v>-0.42442557990740198</v>
      </c>
      <c r="GV27" s="3">
        <f ca="1">IFERROR(__xludf.DUMMYFUNCTION("""COMPUTED_VALUE"""),-0.389666012126213)</f>
        <v>-0.38966601212621299</v>
      </c>
      <c r="GW27" s="3">
        <f ca="1">IFERROR(__xludf.DUMMYFUNCTION("""COMPUTED_VALUE"""),-0.433372530452727)</f>
        <v>-0.433372530452727</v>
      </c>
      <c r="GX27" s="3">
        <f ca="1">IFERROR(__xludf.DUMMYFUNCTION("""COMPUTED_VALUE"""),-0.393971167493615)</f>
        <v>-0.39397116749361499</v>
      </c>
      <c r="GY27" s="3">
        <f ca="1">IFERROR(__xludf.DUMMYFUNCTION("""COMPUTED_VALUE"""),-0.172473340790273)</f>
        <v>-0.17247334079027299</v>
      </c>
      <c r="GZ27" s="3">
        <f ca="1">IFERROR(__xludf.DUMMYFUNCTION("""COMPUTED_VALUE"""),-0.220072360504769)</f>
        <v>-0.220072360504769</v>
      </c>
      <c r="HA27" s="3">
        <f ca="1">IFERROR(__xludf.DUMMYFUNCTION("""COMPUTED_VALUE"""),-0.382402384040392)</f>
        <v>-0.38240238404039201</v>
      </c>
      <c r="HB27" s="3">
        <f ca="1">IFERROR(__xludf.DUMMYFUNCTION("""COMPUTED_VALUE"""),-0.386693298988132)</f>
        <v>-0.38669329898813198</v>
      </c>
      <c r="HC27" s="3">
        <f ca="1">IFERROR(__xludf.DUMMYFUNCTION("""COMPUTED_VALUE"""),-0.408248314335404)</f>
        <v>-0.40824831433540398</v>
      </c>
      <c r="HD27" s="3">
        <f ca="1">IFERROR(__xludf.DUMMYFUNCTION("""COMPUTED_VALUE"""),-0.400444050670486)</f>
        <v>-0.400444050670486</v>
      </c>
      <c r="HE27" s="3">
        <f ca="1">IFERROR(__xludf.DUMMYFUNCTION("""COMPUTED_VALUE"""),-0.365476951172144)</f>
        <v>-0.36547695117214402</v>
      </c>
      <c r="HF27" s="3">
        <f ca="1">IFERROR(__xludf.DUMMYFUNCTION("""COMPUTED_VALUE"""),-0.0737441107710498)</f>
        <v>-7.3744110771049795E-2</v>
      </c>
      <c r="HG27" s="3">
        <f ca="1">IFERROR(__xludf.DUMMYFUNCTION("""COMPUTED_VALUE"""),-0.174231974426924)</f>
        <v>-0.17423197442692401</v>
      </c>
      <c r="HH27" s="3">
        <f ca="1">IFERROR(__xludf.DUMMYFUNCTION("""COMPUTED_VALUE"""),-0.335225738128596)</f>
        <v>-0.33522573812859602</v>
      </c>
      <c r="HI27" s="3">
        <f ca="1">IFERROR(__xludf.DUMMYFUNCTION("""COMPUTED_VALUE"""),-0.415316407102331)</f>
        <v>-0.41531640710233098</v>
      </c>
      <c r="HJ27" s="3">
        <f ca="1">IFERROR(__xludf.DUMMYFUNCTION("""COMPUTED_VALUE"""),-0.35414768203845)</f>
        <v>-0.35414768203844998</v>
      </c>
      <c r="HK27" s="3">
        <f ca="1">IFERROR(__xludf.DUMMYFUNCTION("""COMPUTED_VALUE"""),-0.405866161280665)</f>
        <v>-0.40586616128066499</v>
      </c>
      <c r="HL27" s="3">
        <f ca="1">IFERROR(__xludf.DUMMYFUNCTION("""COMPUTED_VALUE"""),-0.441110145719542)</f>
        <v>-0.44111014571954199</v>
      </c>
      <c r="HM27" s="3">
        <f ca="1">IFERROR(__xludf.DUMMYFUNCTION("""COMPUTED_VALUE"""),-0.0766852653825883)</f>
        <v>-7.6685265382588297E-2</v>
      </c>
      <c r="HN27" s="3">
        <f ca="1">IFERROR(__xludf.DUMMYFUNCTION("""COMPUTED_VALUE"""),-0.169499889596579)</f>
        <v>-0.169499889596579</v>
      </c>
      <c r="HO27" s="3">
        <f ca="1">IFERROR(__xludf.DUMMYFUNCTION("""COMPUTED_VALUE"""),-0.361868828836038)</f>
        <v>-0.36186882883603799</v>
      </c>
      <c r="HP27" s="3">
        <f ca="1">IFERROR(__xludf.DUMMYFUNCTION("""COMPUTED_VALUE"""),-0.328690383672779)</f>
        <v>-0.32869038367277897</v>
      </c>
      <c r="HQ27" s="3">
        <f ca="1">IFERROR(__xludf.DUMMYFUNCTION("""COMPUTED_VALUE"""),-0.465734229283366)</f>
        <v>-0.465734229283366</v>
      </c>
      <c r="HR27" s="3">
        <f ca="1">IFERROR(__xludf.DUMMYFUNCTION("""COMPUTED_VALUE"""),-0.413699542047558)</f>
        <v>-0.41369954204755799</v>
      </c>
      <c r="HS27" s="3">
        <f ca="1">IFERROR(__xludf.DUMMYFUNCTION("""COMPUTED_VALUE"""),-0.304706368672532)</f>
        <v>-0.30470636867253198</v>
      </c>
      <c r="HT27" s="3">
        <f ca="1">IFERROR(__xludf.DUMMYFUNCTION("""COMPUTED_VALUE"""),-0.0653059420946333)</f>
        <v>-6.5305942094633307E-2</v>
      </c>
      <c r="HU27" s="3">
        <f ca="1">IFERROR(__xludf.DUMMYFUNCTION("""COMPUTED_VALUE"""),-0.299782235879052)</f>
        <v>-0.29978223587905201</v>
      </c>
      <c r="HV27" s="3">
        <f ca="1">IFERROR(__xludf.DUMMYFUNCTION("""COMPUTED_VALUE"""),-0.334457937203931)</f>
        <v>-0.33445793720393102</v>
      </c>
      <c r="HW27" s="3">
        <f ca="1">IFERROR(__xludf.DUMMYFUNCTION("""COMPUTED_VALUE"""),-0.470727937204354)</f>
        <v>-0.47072793720435402</v>
      </c>
      <c r="HX27" s="3">
        <f ca="1">IFERROR(__xludf.DUMMYFUNCTION("""COMPUTED_VALUE"""),-0.354558345178829)</f>
        <v>-0.354558345178829</v>
      </c>
      <c r="HY27" s="3">
        <f ca="1">IFERROR(__xludf.DUMMYFUNCTION("""COMPUTED_VALUE"""),-0.418236202243904)</f>
        <v>-0.41823620224390401</v>
      </c>
      <c r="HZ27" s="3">
        <f ca="1">IFERROR(__xludf.DUMMYFUNCTION("""COMPUTED_VALUE"""),-0.278438559864824)</f>
        <v>-0.27843855986482402</v>
      </c>
      <c r="IA27" s="3">
        <f ca="1">IFERROR(__xludf.DUMMYFUNCTION("""COMPUTED_VALUE"""),-0.12216235558268)</f>
        <v>-0.12216235558268</v>
      </c>
      <c r="IB27" s="3">
        <f ca="1">IFERROR(__xludf.DUMMYFUNCTION("""COMPUTED_VALUE"""),-0.207162888406788)</f>
        <v>-0.20716288840678801</v>
      </c>
      <c r="IC27" s="3">
        <f ca="1">IFERROR(__xludf.DUMMYFUNCTION("""COMPUTED_VALUE"""),-0.3082375774615)</f>
        <v>-0.30823757746149999</v>
      </c>
      <c r="ID27" s="3">
        <f ca="1">IFERROR(__xludf.DUMMYFUNCTION("""COMPUTED_VALUE"""),-0.351906572672351)</f>
        <v>-0.35190657267235098</v>
      </c>
      <c r="IE27" s="3">
        <f ca="1">IFERROR(__xludf.DUMMYFUNCTION("""COMPUTED_VALUE"""),-0.368121756999642)</f>
        <v>-0.368121756999642</v>
      </c>
      <c r="IF27" s="3">
        <f ca="1">IFERROR(__xludf.DUMMYFUNCTION("""COMPUTED_VALUE"""),-0.347653465928217)</f>
        <v>-0.347653465928217</v>
      </c>
      <c r="IG27" s="3">
        <f ca="1">IFERROR(__xludf.DUMMYFUNCTION("""COMPUTED_VALUE"""),-0.314568445858082)</f>
        <v>-0.31456844585808202</v>
      </c>
      <c r="IH27" s="3">
        <f ca="1">IFERROR(__xludf.DUMMYFUNCTION("""COMPUTED_VALUE"""),-0.218957592147436)</f>
        <v>-0.21895759214743599</v>
      </c>
      <c r="II27" s="3">
        <f ca="1">IFERROR(__xludf.DUMMYFUNCTION("""COMPUTED_VALUE"""),-0.232631582806147)</f>
        <v>-0.23263158280614701</v>
      </c>
      <c r="IJ27" s="3">
        <f ca="1">IFERROR(__xludf.DUMMYFUNCTION("""COMPUTED_VALUE"""),-0.293283712900213)</f>
        <v>-0.29328371290021299</v>
      </c>
      <c r="IK27" s="3">
        <f ca="1">IFERROR(__xludf.DUMMYFUNCTION("""COMPUTED_VALUE"""),-0.32584565728182)</f>
        <v>-0.32584565728182002</v>
      </c>
      <c r="IL27" s="3">
        <f ca="1">IFERROR(__xludf.DUMMYFUNCTION("""COMPUTED_VALUE"""),-0.242858711038489)</f>
        <v>-0.24285871103848899</v>
      </c>
      <c r="IM27" s="3">
        <f ca="1">IFERROR(__xludf.DUMMYFUNCTION("""COMPUTED_VALUE"""),-0.32087740884338)</f>
        <v>-0.32087740884338001</v>
      </c>
      <c r="IN27" s="3">
        <f ca="1">IFERROR(__xludf.DUMMYFUNCTION("""COMPUTED_VALUE"""),-0.288246854097683)</f>
        <v>-0.28824685409768303</v>
      </c>
      <c r="IO27" s="3">
        <f ca="1">IFERROR(__xludf.DUMMYFUNCTION("""COMPUTED_VALUE"""),-0.0692525295526136)</f>
        <v>-6.9252529552613601E-2</v>
      </c>
      <c r="IP27" s="3">
        <f ca="1">IFERROR(__xludf.DUMMYFUNCTION("""COMPUTED_VALUE"""),-0.173264372849623)</f>
        <v>-0.17326437284962301</v>
      </c>
      <c r="IQ27" s="3">
        <f ca="1">IFERROR(__xludf.DUMMYFUNCTION("""COMPUTED_VALUE"""),-0.353343076684489)</f>
        <v>-0.353343076684489</v>
      </c>
      <c r="IR27" s="3">
        <f ca="1">IFERROR(__xludf.DUMMYFUNCTION("""COMPUTED_VALUE"""),-0.365119530371126)</f>
        <v>-0.36511953037112599</v>
      </c>
      <c r="IS27" s="3">
        <f ca="1">IFERROR(__xludf.DUMMYFUNCTION("""COMPUTED_VALUE"""),-0.260341639639879)</f>
        <v>-0.260341639639879</v>
      </c>
      <c r="IT27" s="3">
        <f ca="1">IFERROR(__xludf.DUMMYFUNCTION("""COMPUTED_VALUE"""),-0.404808173146395)</f>
        <v>-0.404808173146395</v>
      </c>
      <c r="IU27" s="3">
        <f ca="1">IFERROR(__xludf.DUMMYFUNCTION("""COMPUTED_VALUE"""),-0.284784240565133)</f>
        <v>-0.28478424056513302</v>
      </c>
      <c r="IV27" s="3">
        <f ca="1">IFERROR(__xludf.DUMMYFUNCTION("""COMPUTED_VALUE"""),-0.174627363263148)</f>
        <v>-0.17462736326314801</v>
      </c>
      <c r="IW27" s="3">
        <f ca="1">IFERROR(__xludf.DUMMYFUNCTION("""COMPUTED_VALUE"""),-0.196063371020229)</f>
        <v>-0.196063371020229</v>
      </c>
      <c r="IX27" s="3">
        <f ca="1">IFERROR(__xludf.DUMMYFUNCTION("""COMPUTED_VALUE"""),-0.337955320417631)</f>
        <v>-0.33795532041763099</v>
      </c>
      <c r="IY27" s="3">
        <f ca="1">IFERROR(__xludf.DUMMYFUNCTION("""COMPUTED_VALUE"""),-0.378919398219446)</f>
        <v>-0.37891939821944598</v>
      </c>
      <c r="IZ27" s="3">
        <f ca="1">IFERROR(__xludf.DUMMYFUNCTION("""COMPUTED_VALUE"""),-0.338164544550548)</f>
        <v>-0.33816454455054801</v>
      </c>
      <c r="JA27" s="3">
        <f ca="1">IFERROR(__xludf.DUMMYFUNCTION("""COMPUTED_VALUE"""),-0.351857192693506)</f>
        <v>-0.35185719269350602</v>
      </c>
      <c r="JB27" s="3">
        <f ca="1">IFERROR(__xludf.DUMMYFUNCTION("""COMPUTED_VALUE"""),-0.336389676758744)</f>
        <v>-0.33638967675874398</v>
      </c>
      <c r="JC27" s="3">
        <f ca="1">IFERROR(__xludf.DUMMYFUNCTION("""COMPUTED_VALUE"""),-0.173621623474345)</f>
        <v>-0.17362162347434501</v>
      </c>
      <c r="JD27" s="3">
        <f ca="1">IFERROR(__xludf.DUMMYFUNCTION("""COMPUTED_VALUE"""),-0.190163725879172)</f>
        <v>-0.19016372587917199</v>
      </c>
      <c r="JE27" s="3">
        <f ca="1">IFERROR(__xludf.DUMMYFUNCTION("""COMPUTED_VALUE"""),-0.409642759667269)</f>
        <v>-0.40964275966726899</v>
      </c>
      <c r="JF27" s="3">
        <f ca="1">IFERROR(__xludf.DUMMYFUNCTION("""COMPUTED_VALUE"""),-0.410600534888055)</f>
        <v>-0.41060053488805498</v>
      </c>
      <c r="JG27" s="3">
        <f ca="1">IFERROR(__xludf.DUMMYFUNCTION("""COMPUTED_VALUE"""),-0.417123623298523)</f>
        <v>-0.41712362329852298</v>
      </c>
      <c r="JH27" s="3">
        <f ca="1">IFERROR(__xludf.DUMMYFUNCTION("""COMPUTED_VALUE"""),-0.395179973020983)</f>
        <v>-0.39517997302098301</v>
      </c>
      <c r="JI27" s="3">
        <f ca="1">IFERROR(__xludf.DUMMYFUNCTION("""COMPUTED_VALUE"""),-0.357031165024838)</f>
        <v>-0.357031165024838</v>
      </c>
      <c r="JJ27" s="3">
        <f ca="1">IFERROR(__xludf.DUMMYFUNCTION("""COMPUTED_VALUE"""),-0.18483638182178)</f>
        <v>-0.18483638182178</v>
      </c>
      <c r="JK27" s="3">
        <f ca="1">IFERROR(__xludf.DUMMYFUNCTION("""COMPUTED_VALUE"""),-0.270886241235706)</f>
        <v>-0.27088624123570598</v>
      </c>
      <c r="JL27" s="3">
        <f ca="1">IFERROR(__xludf.DUMMYFUNCTION("""COMPUTED_VALUE"""),-0.452878162920231)</f>
        <v>-0.45287816292023098</v>
      </c>
      <c r="JM27" s="3">
        <f ca="1">IFERROR(__xludf.DUMMYFUNCTION("""COMPUTED_VALUE"""),-0.435462942869938)</f>
        <v>-0.43546294286993797</v>
      </c>
      <c r="JN27" s="3">
        <f ca="1">IFERROR(__xludf.DUMMYFUNCTION("""COMPUTED_VALUE"""),-0.425010560657716)</f>
        <v>-0.42501056065771597</v>
      </c>
      <c r="JO27" s="3">
        <f ca="1">IFERROR(__xludf.DUMMYFUNCTION("""COMPUTED_VALUE"""),-0.433551620346571)</f>
        <v>-0.43355162034657102</v>
      </c>
      <c r="JP27" s="3">
        <f ca="1">IFERROR(__xludf.DUMMYFUNCTION("""COMPUTED_VALUE"""),-0.378684487139235)</f>
        <v>-0.37868448713923503</v>
      </c>
      <c r="JQ27" s="3">
        <f ca="1">IFERROR(__xludf.DUMMYFUNCTION("""COMPUTED_VALUE"""),-0.181156189064872)</f>
        <v>-0.18115618906487199</v>
      </c>
      <c r="JR27" s="3">
        <f ca="1">IFERROR(__xludf.DUMMYFUNCTION("""COMPUTED_VALUE"""),-0.256137249526647)</f>
        <v>-0.25613724952664702</v>
      </c>
      <c r="JS27" s="3">
        <f ca="1">IFERROR(__xludf.DUMMYFUNCTION("""COMPUTED_VALUE"""),-0.425376557541321)</f>
        <v>-0.42537655754132098</v>
      </c>
      <c r="JT27" s="3">
        <f ca="1">IFERROR(__xludf.DUMMYFUNCTION("""COMPUTED_VALUE"""),-0.283210263946153)</f>
        <v>-0.28321026394615301</v>
      </c>
      <c r="JU27" s="3">
        <f ca="1">IFERROR(__xludf.DUMMYFUNCTION("""COMPUTED_VALUE"""),-0.526032716679433)</f>
        <v>-0.52603271667943297</v>
      </c>
      <c r="JV27" s="3">
        <f ca="1">IFERROR(__xludf.DUMMYFUNCTION("""COMPUTED_VALUE"""),-0.476569559925938)</f>
        <v>-0.47656955992593802</v>
      </c>
      <c r="JW27" s="3">
        <f ca="1">IFERROR(__xludf.DUMMYFUNCTION("""COMPUTED_VALUE"""),-0.415530525864653)</f>
        <v>-0.415530525864653</v>
      </c>
      <c r="JX27" s="3">
        <f ca="1">IFERROR(__xludf.DUMMYFUNCTION("""COMPUTED_VALUE"""),-0.220364692161597)</f>
        <v>-0.22036469216159699</v>
      </c>
      <c r="JY27" s="3">
        <f ca="1">IFERROR(__xludf.DUMMYFUNCTION("""COMPUTED_VALUE"""),-0.224251642368734)</f>
        <v>-0.22425164236873399</v>
      </c>
      <c r="JZ27" s="3">
        <f ca="1">IFERROR(__xludf.DUMMYFUNCTION("""COMPUTED_VALUE"""),-0.45026609694567)</f>
        <v>-0.45026609694566999</v>
      </c>
      <c r="KA27" s="3">
        <f ca="1">IFERROR(__xludf.DUMMYFUNCTION("""COMPUTED_VALUE"""),-0.294073836769264)</f>
        <v>-0.29407383676926402</v>
      </c>
      <c r="KB27" s="3">
        <f ca="1">IFERROR(__xludf.DUMMYFUNCTION("""COMPUTED_VALUE"""),-0.504007151843431)</f>
        <v>-0.50400715184343103</v>
      </c>
      <c r="KC27" s="3">
        <f ca="1">IFERROR(__xludf.DUMMYFUNCTION("""COMPUTED_VALUE"""),-0.470941611112385)</f>
        <v>-0.47094161111238497</v>
      </c>
      <c r="KD27" s="3">
        <f ca="1">IFERROR(__xludf.DUMMYFUNCTION("""COMPUTED_VALUE"""),-0.432899179681964)</f>
        <v>-0.43289917968196401</v>
      </c>
      <c r="KE27" s="3">
        <f ca="1">IFERROR(__xludf.DUMMYFUNCTION("""COMPUTED_VALUE"""),-0.310681724424418)</f>
        <v>-0.31068172442441799</v>
      </c>
      <c r="KF27" s="3">
        <f ca="1">IFERROR(__xludf.DUMMYFUNCTION("""COMPUTED_VALUE"""),-0.424114689685755)</f>
        <v>-0.424114689685755</v>
      </c>
      <c r="KG27" s="3">
        <f ca="1">IFERROR(__xludf.DUMMYFUNCTION("""COMPUTED_VALUE"""),-0.400383355797709)</f>
        <v>-0.40038335579770901</v>
      </c>
      <c r="KH27" s="3">
        <f ca="1">IFERROR(__xludf.DUMMYFUNCTION("""COMPUTED_VALUE"""),-0.354584233279204)</f>
        <v>-0.35458423327920402</v>
      </c>
      <c r="KI27" s="3">
        <f ca="1">IFERROR(__xludf.DUMMYFUNCTION("""COMPUTED_VALUE"""),-0.490898970217383)</f>
        <v>-0.49089897021738299</v>
      </c>
      <c r="KJ27" s="3">
        <f ca="1">IFERROR(__xludf.DUMMYFUNCTION("""COMPUTED_VALUE"""),-0.427818125968111)</f>
        <v>-0.42781812596811097</v>
      </c>
      <c r="KK27" s="3">
        <f ca="1">IFERROR(__xludf.DUMMYFUNCTION("""COMPUTED_VALUE"""),-0.43625651121075)</f>
        <v>-0.43625651121074999</v>
      </c>
      <c r="KL27" s="3">
        <f ca="1">IFERROR(__xludf.DUMMYFUNCTION("""COMPUTED_VALUE"""),-0.260941780566206)</f>
        <v>-0.26094178056620598</v>
      </c>
      <c r="KM27" s="3">
        <f ca="1">IFERROR(__xludf.DUMMYFUNCTION("""COMPUTED_VALUE"""),-0.369603713009099)</f>
        <v>-0.369603713009099</v>
      </c>
      <c r="KN27" s="3">
        <f ca="1">IFERROR(__xludf.DUMMYFUNCTION("""COMPUTED_VALUE"""),-0.411958391402792)</f>
        <v>-0.411958391402792</v>
      </c>
      <c r="KO27" s="3">
        <f ca="1">IFERROR(__xludf.DUMMYFUNCTION("""COMPUTED_VALUE"""),-0.44413254112464)</f>
        <v>-0.44413254112464001</v>
      </c>
      <c r="KP27" s="3">
        <f ca="1">IFERROR(__xludf.DUMMYFUNCTION("""COMPUTED_VALUE"""),-0.491219336645852)</f>
        <v>-0.49121933664585199</v>
      </c>
      <c r="KQ27" s="3">
        <f ca="1">IFERROR(__xludf.DUMMYFUNCTION("""COMPUTED_VALUE"""),-0.464860831247209)</f>
        <v>-0.46486083124720901</v>
      </c>
      <c r="KR27" s="3">
        <f ca="1">IFERROR(__xludf.DUMMYFUNCTION("""COMPUTED_VALUE"""),-0.473614800045685)</f>
        <v>-0.47361480004568501</v>
      </c>
      <c r="KS27" s="3">
        <f ca="1">IFERROR(__xludf.DUMMYFUNCTION("""COMPUTED_VALUE"""),-0.265412947194053)</f>
        <v>-0.26541294719405301</v>
      </c>
      <c r="KT27" s="3">
        <f ca="1">IFERROR(__xludf.DUMMYFUNCTION("""COMPUTED_VALUE"""),-0.406545630204009)</f>
        <v>-0.40654563020400902</v>
      </c>
      <c r="KU27" s="3">
        <f ca="1">IFERROR(__xludf.DUMMYFUNCTION("""COMPUTED_VALUE"""),-0.4739732368057)</f>
        <v>-0.47397323680570003</v>
      </c>
      <c r="KV27" s="3">
        <f ca="1">IFERROR(__xludf.DUMMYFUNCTION("""COMPUTED_VALUE"""),-0.5220537673395)</f>
        <v>-0.52205376733950004</v>
      </c>
      <c r="KW27" s="3">
        <f ca="1">IFERROR(__xludf.DUMMYFUNCTION("""COMPUTED_VALUE"""),-0.537424564951633)</f>
        <v>-0.53742456495163304</v>
      </c>
      <c r="KX27" s="3">
        <f ca="1">IFERROR(__xludf.DUMMYFUNCTION("""COMPUTED_VALUE"""),-0.50064937992711)</f>
        <v>-0.50064937992711001</v>
      </c>
      <c r="KY27" s="3">
        <f ca="1">IFERROR(__xludf.DUMMYFUNCTION("""COMPUTED_VALUE"""),-0.501559939413063)</f>
        <v>-0.50155993941306298</v>
      </c>
      <c r="KZ27" s="3">
        <f ca="1">IFERROR(__xludf.DUMMYFUNCTION("""COMPUTED_VALUE"""),-0.349663956783767)</f>
        <v>-0.34966395678376699</v>
      </c>
      <c r="LA27" s="3">
        <f ca="1">IFERROR(__xludf.DUMMYFUNCTION("""COMPUTED_VALUE"""),-0.412693579600836)</f>
        <v>-0.41269357960083602</v>
      </c>
      <c r="LB27" s="3">
        <f ca="1">IFERROR(__xludf.DUMMYFUNCTION("""COMPUTED_VALUE"""),-0.5751003673532)</f>
        <v>-0.57510036735320003</v>
      </c>
      <c r="LC27" s="3">
        <f ca="1">IFERROR(__xludf.DUMMYFUNCTION("""COMPUTED_VALUE"""),-0.508144905137518)</f>
        <v>-0.50814490513751798</v>
      </c>
      <c r="LD27" s="3">
        <f ca="1">IFERROR(__xludf.DUMMYFUNCTION("""COMPUTED_VALUE"""),-0.549905541671214)</f>
        <v>-0.54990554167121397</v>
      </c>
      <c r="LE27" s="3">
        <f ca="1">IFERROR(__xludf.DUMMYFUNCTION("""COMPUTED_VALUE"""),-0.568459301122508)</f>
        <v>-0.56845930112250798</v>
      </c>
      <c r="LF27" s="3">
        <f ca="1">IFERROR(__xludf.DUMMYFUNCTION("""COMPUTED_VALUE"""),-0.413259979913012)</f>
        <v>-0.413259979913012</v>
      </c>
      <c r="LG27" s="3">
        <f ca="1">IFERROR(__xludf.DUMMYFUNCTION("""COMPUTED_VALUE"""),-0.409004188176115)</f>
        <v>-0.409004188176115</v>
      </c>
      <c r="LH27" s="3">
        <f ca="1">IFERROR(__xludf.DUMMYFUNCTION("""COMPUTED_VALUE"""),-0.444391719085898)</f>
        <v>-0.44439171908589797</v>
      </c>
      <c r="LI27" s="3">
        <f ca="1">IFERROR(__xludf.DUMMYFUNCTION("""COMPUTED_VALUE"""),-0.592143025544582)</f>
        <v>-0.59214302554458198</v>
      </c>
      <c r="LJ27" s="3">
        <f ca="1">IFERROR(__xludf.DUMMYFUNCTION("""COMPUTED_VALUE"""),-0.594018045677549)</f>
        <v>-0.59401804567754901</v>
      </c>
      <c r="LK27" s="3">
        <f ca="1">IFERROR(__xludf.DUMMYFUNCTION("""COMPUTED_VALUE"""),-0.578405457303867)</f>
        <v>-0.57840545730386705</v>
      </c>
      <c r="LL27" s="3">
        <f ca="1">IFERROR(__xludf.DUMMYFUNCTION("""COMPUTED_VALUE"""),-0.579415112912477)</f>
        <v>-0.57941511291247705</v>
      </c>
      <c r="LM27" s="3">
        <f ca="1">IFERROR(__xludf.DUMMYFUNCTION("""COMPUTED_VALUE"""),-0.586682322646871)</f>
        <v>-0.58668232264687104</v>
      </c>
      <c r="LN27" s="3">
        <f ca="1">IFERROR(__xludf.DUMMYFUNCTION("""COMPUTED_VALUE"""),-0.382483813951773)</f>
        <v>-0.382483813951773</v>
      </c>
      <c r="LO27" s="3">
        <f ca="1">IFERROR(__xludf.DUMMYFUNCTION("""COMPUTED_VALUE"""),-0.571501558015158)</f>
        <v>-0.57150155801515801</v>
      </c>
      <c r="LP27" s="3">
        <f ca="1">IFERROR(__xludf.DUMMYFUNCTION("""COMPUTED_VALUE"""),-0.594150206571131)</f>
        <v>-0.59415020657113105</v>
      </c>
      <c r="LQ27" s="3">
        <f ca="1">IFERROR(__xludf.DUMMYFUNCTION("""COMPUTED_VALUE"""),-0.605307498716425)</f>
        <v>-0.60530749871642497</v>
      </c>
      <c r="LR27" s="3">
        <f ca="1">IFERROR(__xludf.DUMMYFUNCTION("""COMPUTED_VALUE"""),-0.623531925034089)</f>
        <v>-0.62353192503408905</v>
      </c>
      <c r="LS27" s="3">
        <f ca="1">IFERROR(__xludf.DUMMYFUNCTION("""COMPUTED_VALUE"""),-0.617824652178852)</f>
        <v>-0.61782465217885196</v>
      </c>
      <c r="LT27" s="3">
        <f ca="1">IFERROR(__xludf.DUMMYFUNCTION("""COMPUTED_VALUE"""),-0.526668447208164)</f>
        <v>-0.52666844720816397</v>
      </c>
      <c r="LU27" s="3">
        <f ca="1">IFERROR(__xludf.DUMMYFUNCTION("""COMPUTED_VALUE"""),-0.446331817686692)</f>
        <v>-0.446331817686692</v>
      </c>
      <c r="LV27" s="3">
        <f ca="1">IFERROR(__xludf.DUMMYFUNCTION("""COMPUTED_VALUE"""),-0.565184563289884)</f>
        <v>-0.56518456328988398</v>
      </c>
      <c r="LW27" s="3">
        <f ca="1">IFERROR(__xludf.DUMMYFUNCTION("""COMPUTED_VALUE"""),-0.613490003123027)</f>
        <v>-0.61349000312302704</v>
      </c>
      <c r="LX27" s="3">
        <f ca="1">IFERROR(__xludf.DUMMYFUNCTION("""COMPUTED_VALUE"""),-0.63593541541664)</f>
        <v>-0.63593541541664</v>
      </c>
      <c r="LY27" s="3">
        <f ca="1">IFERROR(__xludf.DUMMYFUNCTION("""COMPUTED_VALUE"""),-0.640578687142595)</f>
        <v>-0.64057868714259503</v>
      </c>
      <c r="LZ27" s="3">
        <f ca="1">IFERROR(__xludf.DUMMYFUNCTION("""COMPUTED_VALUE"""),-0.634884224685343)</f>
        <v>-0.634884224685343</v>
      </c>
      <c r="MA27" s="3">
        <f ca="1">IFERROR(__xludf.DUMMYFUNCTION("""COMPUTED_VALUE"""),-0.656379344009505)</f>
        <v>-0.65637934400950504</v>
      </c>
      <c r="MB27" s="3">
        <f ca="1">IFERROR(__xludf.DUMMYFUNCTION("""COMPUTED_VALUE"""),-0.375299141048284)</f>
        <v>-0.37529914104828399</v>
      </c>
      <c r="MC27" s="3">
        <f ca="1">IFERROR(__xludf.DUMMYFUNCTION("""COMPUTED_VALUE"""),-0.593703826808142)</f>
        <v>-0.59370382680814204</v>
      </c>
      <c r="MD27" s="3">
        <f ca="1">IFERROR(__xludf.DUMMYFUNCTION("""COMPUTED_VALUE"""),-0.648664658377399)</f>
        <v>-0.64866465837739895</v>
      </c>
      <c r="ME27" s="3">
        <f ca="1">IFERROR(__xludf.DUMMYFUNCTION("""COMPUTED_VALUE"""),-0.653784371662988)</f>
        <v>-0.65378437166298797</v>
      </c>
      <c r="MF27" s="3">
        <f ca="1">IFERROR(__xludf.DUMMYFUNCTION("""COMPUTED_VALUE"""),-0.666734866485828)</f>
        <v>-0.66673486648582803</v>
      </c>
      <c r="MG27" s="3">
        <f ca="1">IFERROR(__xludf.DUMMYFUNCTION("""COMPUTED_VALUE"""),-0.65358908936055)</f>
        <v>-0.65358908936055005</v>
      </c>
      <c r="MH27" s="3">
        <f ca="1">IFERROR(__xludf.DUMMYFUNCTION("""COMPUTED_VALUE"""),-0.628098748846283)</f>
        <v>-0.62809874884628303</v>
      </c>
      <c r="MI27" s="3">
        <f ca="1">IFERROR(__xludf.DUMMYFUNCTION("""COMPUTED_VALUE"""),-0.441440682772786)</f>
        <v>-0.44144068277278598</v>
      </c>
      <c r="MJ27" s="3">
        <f ca="1">IFERROR(__xludf.DUMMYFUNCTION("""COMPUTED_VALUE"""),-0.540608627773811)</f>
        <v>-0.54060862777381102</v>
      </c>
      <c r="MK27" s="3">
        <f ca="1">IFERROR(__xludf.DUMMYFUNCTION("""COMPUTED_VALUE"""),-0.64270937546008)</f>
        <v>-0.64270937546008</v>
      </c>
      <c r="ML27" s="3">
        <f ca="1">IFERROR(__xludf.DUMMYFUNCTION("""COMPUTED_VALUE"""),-0.696665514760833)</f>
        <v>-0.69666551476083305</v>
      </c>
      <c r="MM27" s="3">
        <f ca="1">IFERROR(__xludf.DUMMYFUNCTION("""COMPUTED_VALUE"""),-0.691483894123865)</f>
        <v>-0.69148389412386502</v>
      </c>
      <c r="MN27" s="3">
        <f ca="1">IFERROR(__xludf.DUMMYFUNCTION("""COMPUTED_VALUE"""),-0.677149425233536)</f>
        <v>-0.67714942523353605</v>
      </c>
      <c r="MO27" s="3">
        <f ca="1">IFERROR(__xludf.DUMMYFUNCTION("""COMPUTED_VALUE"""),-0.655070491217949)</f>
        <v>-0.65507049121794902</v>
      </c>
      <c r="MP27" s="3">
        <f ca="1">IFERROR(__xludf.DUMMYFUNCTION("""COMPUTED_VALUE"""),-0.52513877198235)</f>
        <v>-0.52513877198235004</v>
      </c>
      <c r="MQ27" s="3">
        <f ca="1">IFERROR(__xludf.DUMMYFUNCTION("""COMPUTED_VALUE"""),-0.561453790706252)</f>
        <v>-0.56145379070625201</v>
      </c>
      <c r="MR27" s="3">
        <f ca="1">IFERROR(__xludf.DUMMYFUNCTION("""COMPUTED_VALUE"""),-0.657573968823806)</f>
        <v>-0.65757396882380603</v>
      </c>
      <c r="MS27" s="3">
        <f ca="1">IFERROR(__xludf.DUMMYFUNCTION("""COMPUTED_VALUE"""),-0.682541670142418)</f>
        <v>-0.68254167014241796</v>
      </c>
      <c r="MT27" s="3">
        <f ca="1">IFERROR(__xludf.DUMMYFUNCTION("""COMPUTED_VALUE"""),-0.68823891203282)</f>
        <v>-0.68823891203281995</v>
      </c>
      <c r="MU27" s="3">
        <f ca="1">IFERROR(__xludf.DUMMYFUNCTION("""COMPUTED_VALUE"""),-0.716670297424672)</f>
        <v>-0.71667029742467203</v>
      </c>
      <c r="MV27" s="3">
        <f ca="1">IFERROR(__xludf.DUMMYFUNCTION("""COMPUTED_VALUE"""),-0.651827644417612)</f>
        <v>-0.65182764441761198</v>
      </c>
      <c r="MW27" s="3">
        <f ca="1">IFERROR(__xludf.DUMMYFUNCTION("""COMPUTED_VALUE"""),-0.49713556073219)</f>
        <v>-0.49713556073219001</v>
      </c>
      <c r="MX27" s="3">
        <f ca="1">IFERROR(__xludf.DUMMYFUNCTION("""COMPUTED_VALUE"""),-0.622450921332963)</f>
        <v>-0.62245092133296298</v>
      </c>
      <c r="MY27" s="3">
        <f ca="1">IFERROR(__xludf.DUMMYFUNCTION("""COMPUTED_VALUE"""),-0.606277242688709)</f>
        <v>-0.60627724268870897</v>
      </c>
      <c r="MZ27" s="3">
        <f ca="1">IFERROR(__xludf.DUMMYFUNCTION("""COMPUTED_VALUE"""),-0.670823135611211)</f>
        <v>-0.67082313561121099</v>
      </c>
      <c r="NA27" s="3">
        <f ca="1">IFERROR(__xludf.DUMMYFUNCTION("""COMPUTED_VALUE"""),-0.663963593516505)</f>
        <v>-0.66396359351650502</v>
      </c>
      <c r="NB27" s="3">
        <f ca="1">IFERROR(__xludf.DUMMYFUNCTION("""COMPUTED_VALUE"""),-0.639747714491877)</f>
        <v>-0.63974771449187695</v>
      </c>
      <c r="NC27" s="3">
        <f ca="1">IFERROR(__xludf.DUMMYFUNCTION("""COMPUTED_VALUE"""),-0.726281531408137)</f>
        <v>-0.726281531408137</v>
      </c>
      <c r="ND27" s="3">
        <f ca="1">IFERROR(__xludf.DUMMYFUNCTION("""COMPUTED_VALUE"""),-0.52616864268858)</f>
        <v>-0.52616864268857999</v>
      </c>
      <c r="NE27" s="3">
        <f ca="1">IFERROR(__xludf.DUMMYFUNCTION("""COMPUTED_VALUE"""),-0.531454214847075)</f>
        <v>-0.531454214847075</v>
      </c>
      <c r="NF27" s="3">
        <f ca="1">IFERROR(__xludf.DUMMYFUNCTION("""COMPUTED_VALUE"""),-0.623496602701365)</f>
        <v>-0.62349660270136498</v>
      </c>
      <c r="NG27" s="3">
        <f ca="1">IFERROR(__xludf.DUMMYFUNCTION("""COMPUTED_VALUE"""),-0.701993176185533)</f>
        <v>-0.70199317618553303</v>
      </c>
      <c r="NH27" s="3">
        <f ca="1">IFERROR(__xludf.DUMMYFUNCTION("""COMPUTED_VALUE"""),-0.667195753488567)</f>
        <v>-0.66719575348856697</v>
      </c>
      <c r="NI27" s="3">
        <f ca="1">IFERROR(__xludf.DUMMYFUNCTION("""COMPUTED_VALUE"""),-0.633116451033928)</f>
        <v>-0.633116451033928</v>
      </c>
      <c r="NJ27" s="3">
        <f ca="1">IFERROR(__xludf.DUMMYFUNCTION("""COMPUTED_VALUE"""),-0.605028927287885)</f>
        <v>-0.60502892728788504</v>
      </c>
      <c r="NK27" s="3">
        <f ca="1">IFERROR(__xludf.DUMMYFUNCTION("""COMPUTED_VALUE"""),-0.399017188684599)</f>
        <v>-0.39901718868459901</v>
      </c>
      <c r="NL27" s="3">
        <f ca="1">IFERROR(__xludf.DUMMYFUNCTION("""COMPUTED_VALUE"""),-0.565591481742467)</f>
        <v>-0.56559148174246698</v>
      </c>
      <c r="NM27" s="3">
        <f ca="1">IFERROR(__xludf.DUMMYFUNCTION("""COMPUTED_VALUE"""),-0.621142668223914)</f>
        <v>-0.62114266822391395</v>
      </c>
      <c r="NN27" s="3">
        <f ca="1">IFERROR(__xludf.DUMMYFUNCTION("""COMPUTED_VALUE"""),-0.65721017480631)</f>
        <v>-0.65721017480631005</v>
      </c>
      <c r="NO27" s="3">
        <f ca="1">IFERROR(__xludf.DUMMYFUNCTION("""COMPUTED_VALUE"""),-0.614356933458924)</f>
        <v>-0.61435693345892395</v>
      </c>
      <c r="NP27" s="3">
        <f ca="1">IFERROR(__xludf.DUMMYFUNCTION("""COMPUTED_VALUE"""),-0.628060230745481)</f>
        <v>-0.62806023074548101</v>
      </c>
      <c r="NQ27" s="3">
        <f ca="1">IFERROR(__xludf.DUMMYFUNCTION("""COMPUTED_VALUE"""),-0.584940737487061)</f>
        <v>-0.58494073748706099</v>
      </c>
      <c r="NR27" s="3">
        <f ca="1">IFERROR(__xludf.DUMMYFUNCTION("""COMPUTED_VALUE"""),-0.436256016710963)</f>
        <v>-0.43625601671096298</v>
      </c>
      <c r="NS27" s="3">
        <f ca="1">IFERROR(__xludf.DUMMYFUNCTION("""COMPUTED_VALUE"""),-0.581800568126872)</f>
        <v>-0.58180056812687198</v>
      </c>
      <c r="NT27" s="3">
        <f ca="1">IFERROR(__xludf.DUMMYFUNCTION("""COMPUTED_VALUE"""),-0.599180495198732)</f>
        <v>-0.59918049519873195</v>
      </c>
      <c r="NU27" s="3">
        <f ca="1">IFERROR(__xludf.DUMMYFUNCTION("""COMPUTED_VALUE"""),-0.638280867281992)</f>
        <v>-0.63828086728199196</v>
      </c>
      <c r="NV27" s="3">
        <f ca="1">IFERROR(__xludf.DUMMYFUNCTION("""COMPUTED_VALUE"""),-0.660586552111874)</f>
        <v>-0.660586552111874</v>
      </c>
      <c r="NW27" s="3">
        <f ca="1">IFERROR(__xludf.DUMMYFUNCTION("""COMPUTED_VALUE"""),-0.633534155531713)</f>
        <v>-0.63353415553171299</v>
      </c>
      <c r="NX27" s="3">
        <f ca="1">IFERROR(__xludf.DUMMYFUNCTION("""COMPUTED_VALUE"""),-0.637080914193057)</f>
        <v>-0.63708091419305701</v>
      </c>
      <c r="NY27" s="3">
        <f ca="1">IFERROR(__xludf.DUMMYFUNCTION("""COMPUTED_VALUE"""),-0.372085915407402)</f>
        <v>-0.37208591540740199</v>
      </c>
      <c r="NZ27" s="3">
        <f ca="1">IFERROR(__xludf.DUMMYFUNCTION("""COMPUTED_VALUE"""),-0.499461584868635)</f>
        <v>-0.49946158486863501</v>
      </c>
      <c r="OA27" s="3">
        <f ca="1">IFERROR(__xludf.DUMMYFUNCTION("""COMPUTED_VALUE"""),-0.529114212777562)</f>
        <v>-0.52911421277756199</v>
      </c>
      <c r="OB27" s="3">
        <f ca="1">IFERROR(__xludf.DUMMYFUNCTION("""COMPUTED_VALUE"""),-0.568554254343244)</f>
        <v>-0.56855425434324403</v>
      </c>
      <c r="OC27" s="3">
        <f ca="1">IFERROR(__xludf.DUMMYFUNCTION("""COMPUTED_VALUE"""),-0.532564204098944)</f>
        <v>-0.53256420409894401</v>
      </c>
      <c r="OD27" s="3">
        <f ca="1">IFERROR(__xludf.DUMMYFUNCTION("""COMPUTED_VALUE"""),-0.487754803155714)</f>
        <v>-0.48775480315571401</v>
      </c>
      <c r="OE27" s="3">
        <f ca="1">IFERROR(__xludf.DUMMYFUNCTION("""COMPUTED_VALUE"""),-0.38647784555239)</f>
        <v>-0.38647784555239001</v>
      </c>
      <c r="OF27" s="3">
        <f ca="1">IFERROR(__xludf.DUMMYFUNCTION("""COMPUTED_VALUE"""),-0.097709284663102)</f>
        <v>-9.7709284663101997E-2</v>
      </c>
      <c r="OG27" s="3">
        <f ca="1">IFERROR(__xludf.DUMMYFUNCTION("""COMPUTED_VALUE"""),-0.223013470444899)</f>
        <v>-0.223013470444899</v>
      </c>
      <c r="OH27" s="3">
        <f ca="1">IFERROR(__xludf.DUMMYFUNCTION("""COMPUTED_VALUE"""),-0.251177405947155)</f>
        <v>-0.25117740594715499</v>
      </c>
      <c r="OI27" s="3">
        <f ca="1">IFERROR(__xludf.DUMMYFUNCTION("""COMPUTED_VALUE"""),-0.0982141201747983)</f>
        <v>-9.8214120174798303E-2</v>
      </c>
      <c r="OJ27" s="3">
        <f ca="1">IFERROR(__xludf.DUMMYFUNCTION("""COMPUTED_VALUE"""),-0.0237536401123892)</f>
        <v>-2.3753640112389202E-2</v>
      </c>
      <c r="OK27" s="3">
        <f ca="1">IFERROR(__xludf.DUMMYFUNCTION("""COMPUTED_VALUE"""),0.0130172028759525)</f>
        <v>1.30172028759525E-2</v>
      </c>
      <c r="OL27" s="3">
        <f ca="1">IFERROR(__xludf.DUMMYFUNCTION("""COMPUTED_VALUE"""),0.140305292106783)</f>
        <v>0.140305292106783</v>
      </c>
      <c r="OM27" s="3">
        <f ca="1">IFERROR(__xludf.DUMMYFUNCTION("""COMPUTED_VALUE"""),0.00635716717858936)</f>
        <v>6.3571671785893598E-3</v>
      </c>
      <c r="ON27" s="3">
        <f ca="1">IFERROR(__xludf.DUMMYFUNCTION("""COMPUTED_VALUE"""),-0.0142882164656539)</f>
        <v>-1.42882164656539E-2</v>
      </c>
      <c r="OO27" s="3">
        <f ca="1">IFERROR(__xludf.DUMMYFUNCTION("""COMPUTED_VALUE"""),0.0275182615869629)</f>
        <v>2.7518261586962901E-2</v>
      </c>
      <c r="OP27" s="3">
        <f ca="1">IFERROR(__xludf.DUMMYFUNCTION("""COMPUTED_VALUE"""),0.0758354205546292)</f>
        <v>7.5835420554629204E-2</v>
      </c>
      <c r="OQ27" s="3">
        <f ca="1">IFERROR(__xludf.DUMMYFUNCTION("""COMPUTED_VALUE"""),0.0736368183284403)</f>
        <v>7.3636818328440296E-2</v>
      </c>
      <c r="OR27" s="3">
        <f ca="1">IFERROR(__xludf.DUMMYFUNCTION("""COMPUTED_VALUE"""),0.0785064209305419)</f>
        <v>7.8506420930541901E-2</v>
      </c>
      <c r="OS27" s="3">
        <f ca="1">IFERROR(__xludf.DUMMYFUNCTION("""COMPUTED_VALUE"""),0.178913058987207)</f>
        <v>0.178913058987207</v>
      </c>
      <c r="OT27" s="3">
        <f ca="1">IFERROR(__xludf.DUMMYFUNCTION("""COMPUTED_VALUE"""),0.0722905385157346)</f>
        <v>7.2290538515734595E-2</v>
      </c>
      <c r="OU27" s="3">
        <f ca="1">IFERROR(__xludf.DUMMYFUNCTION("""COMPUTED_VALUE"""),0.00135715090564847)</f>
        <v>1.35715090564847E-3</v>
      </c>
      <c r="OV27" s="3">
        <f ca="1">IFERROR(__xludf.DUMMYFUNCTION("""COMPUTED_VALUE"""),-0.00900347824455583)</f>
        <v>-9.0034782445558292E-3</v>
      </c>
      <c r="OW27" s="3">
        <f ca="1">IFERROR(__xludf.DUMMYFUNCTION("""COMPUTED_VALUE"""),0.012703780031058)</f>
        <v>1.2703780031058E-2</v>
      </c>
      <c r="OX27" s="3">
        <f ca="1">IFERROR(__xludf.DUMMYFUNCTION("""COMPUTED_VALUE"""),0.00560996820170101)</f>
        <v>5.60996820170101E-3</v>
      </c>
      <c r="OY27" s="3">
        <f ca="1">IFERROR(__xludf.DUMMYFUNCTION("""COMPUTED_VALUE"""),-0.0203758158209579)</f>
        <v>-2.0375815820957901E-2</v>
      </c>
      <c r="OZ27" s="3">
        <f ca="1">IFERROR(__xludf.DUMMYFUNCTION("""COMPUTED_VALUE"""),0.224788684046639)</f>
        <v>0.22478868404663899</v>
      </c>
      <c r="PA27" s="3">
        <f ca="1">IFERROR(__xludf.DUMMYFUNCTION("""COMPUTED_VALUE"""),0.0611741550720381)</f>
        <v>6.1174155072038099E-2</v>
      </c>
      <c r="PB27" s="3">
        <f ca="1">IFERROR(__xludf.DUMMYFUNCTION("""COMPUTED_VALUE"""),-0.00644435337687365)</f>
        <v>-6.4443533768736502E-3</v>
      </c>
      <c r="PC27" s="3">
        <f ca="1">IFERROR(__xludf.DUMMYFUNCTION("""COMPUTED_VALUE"""),-0.0618339328830125)</f>
        <v>-6.1833932883012498E-2</v>
      </c>
      <c r="PD27" s="3">
        <f ca="1">IFERROR(__xludf.DUMMYFUNCTION("""COMPUTED_VALUE"""),0.0193113462250185)</f>
        <v>1.93113462250185E-2</v>
      </c>
      <c r="PE27" s="3">
        <f ca="1">IFERROR(__xludf.DUMMYFUNCTION("""COMPUTED_VALUE"""),0.122009222412536)</f>
        <v>0.12200922241253601</v>
      </c>
      <c r="PF27" s="3">
        <f ca="1">IFERROR(__xludf.DUMMYFUNCTION("""COMPUTED_VALUE"""),0.0792678515810805)</f>
        <v>7.9267851581080503E-2</v>
      </c>
      <c r="PG27" s="3">
        <f ca="1">IFERROR(__xludf.DUMMYFUNCTION("""COMPUTED_VALUE"""),-0.118515840195467)</f>
        <v>-0.118515840195467</v>
      </c>
      <c r="PH27" s="3">
        <f ca="1">IFERROR(__xludf.DUMMYFUNCTION("""COMPUTED_VALUE"""),0.0284305080491464)</f>
        <v>2.8430508049146399E-2</v>
      </c>
      <c r="PI27" s="3">
        <f ca="1">IFERROR(__xludf.DUMMYFUNCTION("""COMPUTED_VALUE"""),-0.107199287197476)</f>
        <v>-0.107199287197476</v>
      </c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</row>
    <row r="28" spans="1:477" ht="15.75" customHeight="1">
      <c r="A28" s="1" t="str">
        <f ca="1">IFERROR(__xludf.DUMMYFUNCTION("""COMPUTED_VALUE"""),"Hartford Line")</f>
        <v>Hartford Line</v>
      </c>
      <c r="B28" s="1" t="str">
        <f ca="1">IFERROR(__xludf.DUMMYFUNCTION("""COMPUTED_VALUE"""),"Connecticut")</f>
        <v>Connecticut</v>
      </c>
      <c r="C28" s="1" t="str">
        <f ca="1">IFERROR(__xludf.DUMMYFUNCTION("""COMPUTED_VALUE"""),"United States")</f>
        <v>United States</v>
      </c>
      <c r="D28" s="1" t="str">
        <f ca="1">IFERROR(__xludf.DUMMYFUNCTION("""COMPUTED_VALUE"""),"Connecticut")</f>
        <v>Connecticut</v>
      </c>
      <c r="E28" s="3">
        <f ca="1">IFERROR(__xludf.DUMMYFUNCTION("""COMPUTED_VALUE"""),-0.142228488882574)</f>
        <v>-0.142228488882574</v>
      </c>
      <c r="F28" s="3">
        <f ca="1">IFERROR(__xludf.DUMMYFUNCTION("""COMPUTED_VALUE"""),-0.239401681523686)</f>
        <v>-0.23940168152368599</v>
      </c>
      <c r="G28" s="3">
        <f ca="1">IFERROR(__xludf.DUMMYFUNCTION("""COMPUTED_VALUE"""),-0.309125036950977)</f>
        <v>-0.30912503695097698</v>
      </c>
      <c r="H28" s="3">
        <f ca="1">IFERROR(__xludf.DUMMYFUNCTION("""COMPUTED_VALUE"""),-0.296681258620275)</f>
        <v>-0.296681258620275</v>
      </c>
      <c r="I28" s="3">
        <f ca="1">IFERROR(__xludf.DUMMYFUNCTION("""COMPUTED_VALUE"""),-0.303675787224709)</f>
        <v>-0.303675787224709</v>
      </c>
      <c r="J28" s="3">
        <f ca="1">IFERROR(__xludf.DUMMYFUNCTION("""COMPUTED_VALUE"""),-0.302187910912139)</f>
        <v>-0.30218791091213898</v>
      </c>
      <c r="K28" s="3">
        <f ca="1">IFERROR(__xludf.DUMMYFUNCTION("""COMPUTED_VALUE"""),-0.255399184988644)</f>
        <v>-0.255399184988644</v>
      </c>
      <c r="L28" s="3">
        <f ca="1">IFERROR(__xludf.DUMMYFUNCTION("""COMPUTED_VALUE"""),-0.167016507853703)</f>
        <v>-0.16701650785370301</v>
      </c>
      <c r="M28" s="3">
        <f ca="1">IFERROR(__xludf.DUMMYFUNCTION("""COMPUTED_VALUE"""),-0.34543783025162)</f>
        <v>-0.34543783025162</v>
      </c>
      <c r="N28" s="3">
        <f ca="1">IFERROR(__xludf.DUMMYFUNCTION("""COMPUTED_VALUE"""),-0.309071550451857)</f>
        <v>-0.30907155045185702</v>
      </c>
      <c r="O28" s="3">
        <f ca="1">IFERROR(__xludf.DUMMYFUNCTION("""COMPUTED_VALUE"""),-0.292692080615211)</f>
        <v>-0.29269208061521101</v>
      </c>
      <c r="P28" s="3">
        <f ca="1">IFERROR(__xludf.DUMMYFUNCTION("""COMPUTED_VALUE"""),-0.300856442536119)</f>
        <v>-0.30085644253611898</v>
      </c>
      <c r="Q28" s="3">
        <f ca="1">IFERROR(__xludf.DUMMYFUNCTION("""COMPUTED_VALUE"""),-0.356348336430694)</f>
        <v>-0.35634833643069402</v>
      </c>
      <c r="R28" s="3">
        <f ca="1">IFERROR(__xludf.DUMMYFUNCTION("""COMPUTED_VALUE"""),-0.227827357552651)</f>
        <v>-0.22782735755265099</v>
      </c>
      <c r="S28" s="3">
        <f ca="1">IFERROR(__xludf.DUMMYFUNCTION("""COMPUTED_VALUE"""),-0.217491273219629)</f>
        <v>-0.21749127321962899</v>
      </c>
      <c r="T28" s="3">
        <f ca="1">IFERROR(__xludf.DUMMYFUNCTION("""COMPUTED_VALUE"""),-0.500433242514842)</f>
        <v>-0.500433242514842</v>
      </c>
      <c r="U28" s="3">
        <f ca="1">IFERROR(__xludf.DUMMYFUNCTION("""COMPUTED_VALUE"""),-0.518522706070608)</f>
        <v>-0.51852270607060802</v>
      </c>
      <c r="V28" s="3">
        <f ca="1">IFERROR(__xludf.DUMMYFUNCTION("""COMPUTED_VALUE"""),-0.480481335522963)</f>
        <v>-0.48048133552296302</v>
      </c>
      <c r="W28" s="3">
        <f ca="1">IFERROR(__xludf.DUMMYFUNCTION("""COMPUTED_VALUE"""),-0.467892789448427)</f>
        <v>-0.46789278944842699</v>
      </c>
      <c r="X28" s="3">
        <f ca="1">IFERROR(__xludf.DUMMYFUNCTION("""COMPUTED_VALUE"""),-0.479588023025771)</f>
        <v>-0.47958802302577103</v>
      </c>
      <c r="Y28" s="3">
        <f ca="1">IFERROR(__xludf.DUMMYFUNCTION("""COMPUTED_VALUE"""),-0.188540191958551)</f>
        <v>-0.18854019195855101</v>
      </c>
      <c r="Z28" s="3">
        <f ca="1">IFERROR(__xludf.DUMMYFUNCTION("""COMPUTED_VALUE"""),-0.376764903941587)</f>
        <v>-0.37676490394158701</v>
      </c>
      <c r="AA28" s="3">
        <f ca="1">IFERROR(__xludf.DUMMYFUNCTION("""COMPUTED_VALUE"""),-0.490356938519002)</f>
        <v>-0.49035693851900197</v>
      </c>
      <c r="AB28" s="3">
        <f ca="1">IFERROR(__xludf.DUMMYFUNCTION("""COMPUTED_VALUE"""),-0.561493159082311)</f>
        <v>-0.56149315908231101</v>
      </c>
      <c r="AC28" s="3">
        <f ca="1">IFERROR(__xludf.DUMMYFUNCTION("""COMPUTED_VALUE"""),-0.502219063299157)</f>
        <v>-0.502219063299157</v>
      </c>
      <c r="AD28" s="3">
        <f ca="1">IFERROR(__xludf.DUMMYFUNCTION("""COMPUTED_VALUE"""),-0.538706879470457)</f>
        <v>-0.53870687947045703</v>
      </c>
      <c r="AE28" s="3">
        <f ca="1">IFERROR(__xludf.DUMMYFUNCTION("""COMPUTED_VALUE"""),-0.539473771780346)</f>
        <v>-0.53947377178034595</v>
      </c>
      <c r="AF28" s="3">
        <f ca="1">IFERROR(__xludf.DUMMYFUNCTION("""COMPUTED_VALUE"""),-0.376260600147694)</f>
        <v>-0.37626060014769402</v>
      </c>
      <c r="AG28" s="3">
        <f ca="1">IFERROR(__xludf.DUMMYFUNCTION("""COMPUTED_VALUE"""),-0.453241751216579)</f>
        <v>-0.453241751216579</v>
      </c>
      <c r="AH28" s="3">
        <f ca="1">IFERROR(__xludf.DUMMYFUNCTION("""COMPUTED_VALUE"""),-0.462935864160703)</f>
        <v>-0.46293586416070298</v>
      </c>
      <c r="AI28" s="3">
        <f ca="1">IFERROR(__xludf.DUMMYFUNCTION("""COMPUTED_VALUE"""),-0.483661311670261)</f>
        <v>-0.483661311670261</v>
      </c>
      <c r="AJ28" s="3">
        <f ca="1">IFERROR(__xludf.DUMMYFUNCTION("""COMPUTED_VALUE"""),-0.433445206664679)</f>
        <v>-0.43344520666467901</v>
      </c>
      <c r="AK28" s="3">
        <f ca="1">IFERROR(__xludf.DUMMYFUNCTION("""COMPUTED_VALUE"""),-0.375395261413738)</f>
        <v>-0.37539526141373802</v>
      </c>
      <c r="AL28" s="3">
        <f ca="1">IFERROR(__xludf.DUMMYFUNCTION("""COMPUTED_VALUE"""),-0.316192007729271)</f>
        <v>-0.31619200772927097</v>
      </c>
      <c r="AM28" s="3">
        <f ca="1">IFERROR(__xludf.DUMMYFUNCTION("""COMPUTED_VALUE"""),-0.387202316356442)</f>
        <v>-0.38720231635644198</v>
      </c>
      <c r="AN28" s="3">
        <f ca="1">IFERROR(__xludf.DUMMYFUNCTION("""COMPUTED_VALUE"""),-0.389770072131854)</f>
        <v>-0.389770072131854</v>
      </c>
      <c r="AO28" s="3">
        <f ca="1">IFERROR(__xludf.DUMMYFUNCTION("""COMPUTED_VALUE"""),-0.49433315564915)</f>
        <v>-0.49433315564914998</v>
      </c>
      <c r="AP28" s="3">
        <f ca="1">IFERROR(__xludf.DUMMYFUNCTION("""COMPUTED_VALUE"""),-0.505610347599145)</f>
        <v>-0.50561034759914503</v>
      </c>
      <c r="AQ28" s="3">
        <f ca="1">IFERROR(__xludf.DUMMYFUNCTION("""COMPUTED_VALUE"""),-0.497285362166152)</f>
        <v>-0.49728536216615199</v>
      </c>
      <c r="AR28" s="3">
        <f ca="1">IFERROR(__xludf.DUMMYFUNCTION("""COMPUTED_VALUE"""),-0.507481067553289)</f>
        <v>-0.50748106755328903</v>
      </c>
      <c r="AS28" s="3">
        <f ca="1">IFERROR(__xludf.DUMMYFUNCTION("""COMPUTED_VALUE"""),-0.362504725377551)</f>
        <v>-0.36250472537755102</v>
      </c>
      <c r="AT28" s="3">
        <f ca="1">IFERROR(__xludf.DUMMYFUNCTION("""COMPUTED_VALUE"""),-0.212702994882853)</f>
        <v>-0.21270299488285299</v>
      </c>
      <c r="AU28" s="3">
        <f ca="1">IFERROR(__xludf.DUMMYFUNCTION("""COMPUTED_VALUE"""),-0.41476584192631)</f>
        <v>-0.41476584192631</v>
      </c>
      <c r="AV28" s="3">
        <f ca="1">IFERROR(__xludf.DUMMYFUNCTION("""COMPUTED_VALUE"""),-0.510313162927491)</f>
        <v>-0.51031316292749096</v>
      </c>
      <c r="AW28" s="3">
        <f ca="1">IFERROR(__xludf.DUMMYFUNCTION("""COMPUTED_VALUE"""),-0.514849124414268)</f>
        <v>-0.514849124414268</v>
      </c>
      <c r="AX28" s="3">
        <f ca="1">IFERROR(__xludf.DUMMYFUNCTION("""COMPUTED_VALUE"""),-0.412206187246679)</f>
        <v>-0.41220618724667901</v>
      </c>
      <c r="AY28" s="3">
        <f ca="1">IFERROR(__xludf.DUMMYFUNCTION("""COMPUTED_VALUE"""),-0.472875193832797)</f>
        <v>-0.47287519383279703</v>
      </c>
      <c r="AZ28" s="3">
        <f ca="1">IFERROR(__xludf.DUMMYFUNCTION("""COMPUTED_VALUE"""),-0.459326203857271)</f>
        <v>-0.45932620385727102</v>
      </c>
      <c r="BA28" s="3">
        <f ca="1">IFERROR(__xludf.DUMMYFUNCTION("""COMPUTED_VALUE"""),-0.229722073466364)</f>
        <v>-0.229722073466364</v>
      </c>
      <c r="BB28" s="3">
        <f ca="1">IFERROR(__xludf.DUMMYFUNCTION("""COMPUTED_VALUE"""),-0.435697088477318)</f>
        <v>-0.43569708847731797</v>
      </c>
      <c r="BC28" s="3">
        <f ca="1">IFERROR(__xludf.DUMMYFUNCTION("""COMPUTED_VALUE"""),-0.550557443903789)</f>
        <v>-0.55055744390378902</v>
      </c>
      <c r="BD28" s="3">
        <f ca="1">IFERROR(__xludf.DUMMYFUNCTION("""COMPUTED_VALUE"""),-0.550387943426346)</f>
        <v>-0.550387943426346</v>
      </c>
      <c r="BE28" s="3">
        <f ca="1">IFERROR(__xludf.DUMMYFUNCTION("""COMPUTED_VALUE"""),-0.489274335768097)</f>
        <v>-0.48927433576809698</v>
      </c>
      <c r="BF28" s="3">
        <f ca="1">IFERROR(__xludf.DUMMYFUNCTION("""COMPUTED_VALUE"""),-0.507783744561727)</f>
        <v>-0.50778374456172704</v>
      </c>
      <c r="BG28" s="3">
        <f ca="1">IFERROR(__xludf.DUMMYFUNCTION("""COMPUTED_VALUE"""),-0.455621194596204)</f>
        <v>-0.45562119459620398</v>
      </c>
      <c r="BH28" s="3">
        <f ca="1">IFERROR(__xludf.DUMMYFUNCTION("""COMPUTED_VALUE"""),-0.380813693938332)</f>
        <v>-0.38081369393833198</v>
      </c>
      <c r="BI28" s="3">
        <f ca="1">IFERROR(__xludf.DUMMYFUNCTION("""COMPUTED_VALUE"""),-0.458730685431338)</f>
        <v>-0.45873068543133799</v>
      </c>
      <c r="BJ28" s="3">
        <f ca="1">IFERROR(__xludf.DUMMYFUNCTION("""COMPUTED_VALUE"""),-0.486830774950719)</f>
        <v>-0.48683077495071903</v>
      </c>
      <c r="BK28" s="3">
        <f ca="1">IFERROR(__xludf.DUMMYFUNCTION("""COMPUTED_VALUE"""),-0.549055767043683)</f>
        <v>-0.54905576704368297</v>
      </c>
      <c r="BL28" s="3">
        <f ca="1">IFERROR(__xludf.DUMMYFUNCTION("""COMPUTED_VALUE"""),-0.537594232246048)</f>
        <v>-0.53759423224604796</v>
      </c>
      <c r="BM28" s="3">
        <f ca="1">IFERROR(__xludf.DUMMYFUNCTION("""COMPUTED_VALUE"""),-0.589206641985402)</f>
        <v>-0.58920664198540196</v>
      </c>
      <c r="BN28" s="3">
        <f ca="1">IFERROR(__xludf.DUMMYFUNCTION("""COMPUTED_VALUE"""),-0.479681700115973)</f>
        <v>-0.479681700115973</v>
      </c>
      <c r="BO28" s="3">
        <f ca="1">IFERROR(__xludf.DUMMYFUNCTION("""COMPUTED_VALUE"""),-0.475555213513555)</f>
        <v>-0.47555521351355501</v>
      </c>
      <c r="BP28" s="3">
        <f ca="1">IFERROR(__xludf.DUMMYFUNCTION("""COMPUTED_VALUE"""),-0.418237718718139)</f>
        <v>-0.41823771871813897</v>
      </c>
      <c r="BQ28" s="3">
        <f ca="1">IFERROR(__xludf.DUMMYFUNCTION("""COMPUTED_VALUE"""),-0.504693582048927)</f>
        <v>-0.504693582048927</v>
      </c>
      <c r="BR28" s="3">
        <f ca="1">IFERROR(__xludf.DUMMYFUNCTION("""COMPUTED_VALUE"""),-0.551200800491435)</f>
        <v>-0.55120080049143505</v>
      </c>
      <c r="BS28" s="3">
        <f ca="1">IFERROR(__xludf.DUMMYFUNCTION("""COMPUTED_VALUE"""),-0.601042500044034)</f>
        <v>-0.60104250004403403</v>
      </c>
      <c r="BT28" s="3">
        <f ca="1">IFERROR(__xludf.DUMMYFUNCTION("""COMPUTED_VALUE"""),-0.650934473692765)</f>
        <v>-0.65093447369276503</v>
      </c>
      <c r="BU28" s="3">
        <f ca="1">IFERROR(__xludf.DUMMYFUNCTION("""COMPUTED_VALUE"""),-0.652925480094876)</f>
        <v>-0.65292548009487605</v>
      </c>
      <c r="BV28" s="3">
        <f ca="1">IFERROR(__xludf.DUMMYFUNCTION("""COMPUTED_VALUE"""),-0.442718425961477)</f>
        <v>-0.44271842596147698</v>
      </c>
      <c r="BW28" s="3">
        <f ca="1">IFERROR(__xludf.DUMMYFUNCTION("""COMPUTED_VALUE"""),-0.540644240876989)</f>
        <v>-0.54064424087698904</v>
      </c>
      <c r="BX28" s="3">
        <f ca="1">IFERROR(__xludf.DUMMYFUNCTION("""COMPUTED_VALUE"""),-0.642308076374559)</f>
        <v>-0.642308076374559</v>
      </c>
      <c r="BY28" s="3">
        <f ca="1">IFERROR(__xludf.DUMMYFUNCTION("""COMPUTED_VALUE"""),-0.587670740596726)</f>
        <v>-0.58767074059672597</v>
      </c>
      <c r="BZ28" s="3">
        <f ca="1">IFERROR(__xludf.DUMMYFUNCTION("""COMPUTED_VALUE"""),-0.611952169961208)</f>
        <v>-0.61195216996120805</v>
      </c>
      <c r="CA28" s="3">
        <f ca="1">IFERROR(__xludf.DUMMYFUNCTION("""COMPUTED_VALUE"""),-0.580470091033995)</f>
        <v>-0.58047009103399505</v>
      </c>
      <c r="CB28" s="3">
        <f ca="1">IFERROR(__xludf.DUMMYFUNCTION("""COMPUTED_VALUE"""),-0.542540835596263)</f>
        <v>-0.54254083559626298</v>
      </c>
      <c r="CC28" s="3">
        <f ca="1">IFERROR(__xludf.DUMMYFUNCTION("""COMPUTED_VALUE"""),-0.478892831061248)</f>
        <v>-0.47889283106124803</v>
      </c>
      <c r="CD28" s="3">
        <f ca="1">IFERROR(__xludf.DUMMYFUNCTION("""COMPUTED_VALUE"""),-0.435189753232188)</f>
        <v>-0.435189753232188</v>
      </c>
      <c r="CE28" s="3">
        <f ca="1">IFERROR(__xludf.DUMMYFUNCTION("""COMPUTED_VALUE"""),-0.516602469256417)</f>
        <v>-0.51660246925641695</v>
      </c>
      <c r="CF28" s="3">
        <f ca="1">IFERROR(__xludf.DUMMYFUNCTION("""COMPUTED_VALUE"""),-0.554537497001024)</f>
        <v>-0.55453749700102395</v>
      </c>
      <c r="CG28" s="3">
        <f ca="1">IFERROR(__xludf.DUMMYFUNCTION("""COMPUTED_VALUE"""),-0.5559922532443)</f>
        <v>-0.55599225324430002</v>
      </c>
      <c r="CH28" s="3">
        <f ca="1">IFERROR(__xludf.DUMMYFUNCTION("""COMPUTED_VALUE"""),-0.534957831881464)</f>
        <v>-0.53495783188146395</v>
      </c>
      <c r="CI28" s="3">
        <f ca="1">IFERROR(__xludf.DUMMYFUNCTION("""COMPUTED_VALUE"""),-0.544574772002012)</f>
        <v>-0.54457477200201199</v>
      </c>
      <c r="CJ28" s="3">
        <f ca="1">IFERROR(__xludf.DUMMYFUNCTION("""COMPUTED_VALUE"""),-0.468057608260361)</f>
        <v>-0.46805760826036102</v>
      </c>
      <c r="CK28" s="3">
        <f ca="1">IFERROR(__xludf.DUMMYFUNCTION("""COMPUTED_VALUE"""),-0.505395020189069)</f>
        <v>-0.50539502018906901</v>
      </c>
      <c r="CL28" s="3">
        <f ca="1">IFERROR(__xludf.DUMMYFUNCTION("""COMPUTED_VALUE"""),-0.556617835149345)</f>
        <v>-0.55661783514934504</v>
      </c>
      <c r="CM28" s="3">
        <f ca="1">IFERROR(__xludf.DUMMYFUNCTION("""COMPUTED_VALUE"""),-0.522127293811944)</f>
        <v>-0.522127293811944</v>
      </c>
      <c r="CN28" s="3">
        <f ca="1">IFERROR(__xludf.DUMMYFUNCTION("""COMPUTED_VALUE"""),-0.507732520632686)</f>
        <v>-0.50773252063268604</v>
      </c>
      <c r="CO28" s="3">
        <f ca="1">IFERROR(__xludf.DUMMYFUNCTION("""COMPUTED_VALUE"""),-0.551680633974441)</f>
        <v>-0.551680633974441</v>
      </c>
      <c r="CP28" s="3">
        <f ca="1">IFERROR(__xludf.DUMMYFUNCTION("""COMPUTED_VALUE"""),-0.580885654833951)</f>
        <v>-0.58088565483395105</v>
      </c>
      <c r="CQ28" s="3">
        <f ca="1">IFERROR(__xludf.DUMMYFUNCTION("""COMPUTED_VALUE"""),-0.464734166920349)</f>
        <v>-0.46473416692034902</v>
      </c>
      <c r="CR28" s="3">
        <f ca="1">IFERROR(__xludf.DUMMYFUNCTION("""COMPUTED_VALUE"""),-0.416154217503571)</f>
        <v>-0.41615421750357101</v>
      </c>
      <c r="CS28" s="3">
        <f ca="1">IFERROR(__xludf.DUMMYFUNCTION("""COMPUTED_VALUE"""),-0.504457790398557)</f>
        <v>-0.50445779039855698</v>
      </c>
      <c r="CT28" s="3">
        <f ca="1">IFERROR(__xludf.DUMMYFUNCTION("""COMPUTED_VALUE"""),-0.58767916759428)</f>
        <v>-0.58767916759427996</v>
      </c>
      <c r="CU28" s="3">
        <f ca="1">IFERROR(__xludf.DUMMYFUNCTION("""COMPUTED_VALUE"""),-0.508087836416906)</f>
        <v>-0.50808783641690602</v>
      </c>
      <c r="CV28" s="3">
        <f ca="1">IFERROR(__xludf.DUMMYFUNCTION("""COMPUTED_VALUE"""),-0.596857802564526)</f>
        <v>-0.59685780256452603</v>
      </c>
      <c r="CW28" s="3">
        <f ca="1">IFERROR(__xludf.DUMMYFUNCTION("""COMPUTED_VALUE"""),-0.513097253702557)</f>
        <v>-0.51309725370255699</v>
      </c>
      <c r="CX28" s="3">
        <f ca="1">IFERROR(__xludf.DUMMYFUNCTION("""COMPUTED_VALUE"""),-0.481198151811861)</f>
        <v>-0.48119815181186099</v>
      </c>
      <c r="CY28" s="3">
        <f ca="1">IFERROR(__xludf.DUMMYFUNCTION("""COMPUTED_VALUE"""),-0.37385854191998)</f>
        <v>-0.37385854191998003</v>
      </c>
      <c r="CZ28" s="3">
        <f ca="1">IFERROR(__xludf.DUMMYFUNCTION("""COMPUTED_VALUE"""),-0.462438178838279)</f>
        <v>-0.46243817883827898</v>
      </c>
      <c r="DA28" s="3">
        <f ca="1">IFERROR(__xludf.DUMMYFUNCTION("""COMPUTED_VALUE"""),-0.612028977788622)</f>
        <v>-0.61202897778862198</v>
      </c>
      <c r="DB28" s="3">
        <f ca="1">IFERROR(__xludf.DUMMYFUNCTION("""COMPUTED_VALUE"""),-0.408984870434715)</f>
        <v>-0.40898487043471499</v>
      </c>
      <c r="DC28" s="3">
        <f ca="1">IFERROR(__xludf.DUMMYFUNCTION("""COMPUTED_VALUE"""),-0.547708143475919)</f>
        <v>-0.54770814347591901</v>
      </c>
      <c r="DD28" s="3">
        <f ca="1">IFERROR(__xludf.DUMMYFUNCTION("""COMPUTED_VALUE"""),-0.568037913532068)</f>
        <v>-0.56803791353206801</v>
      </c>
      <c r="DE28" s="3">
        <f ca="1">IFERROR(__xludf.DUMMYFUNCTION("""COMPUTED_VALUE"""),-0.485671830149137)</f>
        <v>-0.48567183014913701</v>
      </c>
      <c r="DF28" s="3">
        <f ca="1">IFERROR(__xludf.DUMMYFUNCTION("""COMPUTED_VALUE"""),-0.49731767938447)</f>
        <v>-0.49731767938447002</v>
      </c>
      <c r="DG28" s="3">
        <f ca="1">IFERROR(__xludf.DUMMYFUNCTION("""COMPUTED_VALUE"""),-0.779006571532446)</f>
        <v>-0.77900657153244601</v>
      </c>
      <c r="DH28" s="3">
        <f ca="1">IFERROR(__xludf.DUMMYFUNCTION("""COMPUTED_VALUE"""),-0.557358815467266)</f>
        <v>-0.55735881546726596</v>
      </c>
      <c r="DI28" s="3">
        <f ca="1">IFERROR(__xludf.DUMMYFUNCTION("""COMPUTED_VALUE"""),-0.293739417593469)</f>
        <v>-0.293739417593469</v>
      </c>
      <c r="DJ28" s="3">
        <f ca="1">IFERROR(__xludf.DUMMYFUNCTION("""COMPUTED_VALUE"""),-0.467754590574859)</f>
        <v>-0.46775459057485902</v>
      </c>
      <c r="DK28" s="3">
        <f ca="1">IFERROR(__xludf.DUMMYFUNCTION("""COMPUTED_VALUE"""),-0.52846517147802)</f>
        <v>-0.52846517147801997</v>
      </c>
      <c r="DL28" s="3">
        <f ca="1">IFERROR(__xludf.DUMMYFUNCTION("""COMPUTED_VALUE"""),-0.425699491200274)</f>
        <v>-0.42569949120027401</v>
      </c>
      <c r="DM28" s="3">
        <f ca="1">IFERROR(__xludf.DUMMYFUNCTION("""COMPUTED_VALUE"""),-0.446757129801207)</f>
        <v>-0.44675712980120702</v>
      </c>
      <c r="DN28" s="3">
        <f ca="1">IFERROR(__xludf.DUMMYFUNCTION("""COMPUTED_VALUE"""),-0.602087738783327)</f>
        <v>-0.602087738783327</v>
      </c>
      <c r="DO28" s="3">
        <f ca="1">IFERROR(__xludf.DUMMYFUNCTION("""COMPUTED_VALUE"""),-0.664424649078355)</f>
        <v>-0.66442464907835497</v>
      </c>
      <c r="DP28" s="3">
        <f ca="1">IFERROR(__xludf.DUMMYFUNCTION("""COMPUTED_VALUE"""),-0.395427803177869)</f>
        <v>-0.39542780317786902</v>
      </c>
      <c r="DQ28" s="3">
        <f ca="1">IFERROR(__xludf.DUMMYFUNCTION("""COMPUTED_VALUE"""),-0.43226977429979)</f>
        <v>-0.43226977429979002</v>
      </c>
      <c r="DR28" s="3">
        <f ca="1">IFERROR(__xludf.DUMMYFUNCTION("""COMPUTED_VALUE"""),-0.5799149737495)</f>
        <v>-0.57991497374949996</v>
      </c>
      <c r="DS28" s="3">
        <f ca="1">IFERROR(__xludf.DUMMYFUNCTION("""COMPUTED_VALUE"""),-0.310552190024627)</f>
        <v>-0.31055219002462697</v>
      </c>
      <c r="DT28" s="3">
        <f ca="1">IFERROR(__xludf.DUMMYFUNCTION("""COMPUTED_VALUE"""),-0.464670966261163)</f>
        <v>-0.464670966261163</v>
      </c>
      <c r="DU28" s="3">
        <f ca="1">IFERROR(__xludf.DUMMYFUNCTION("""COMPUTED_VALUE"""),-0.552166771597795)</f>
        <v>-0.55216677159779504</v>
      </c>
      <c r="DV28" s="3">
        <f ca="1">IFERROR(__xludf.DUMMYFUNCTION("""COMPUTED_VALUE"""),-0.549248719057339)</f>
        <v>-0.54924871905733896</v>
      </c>
      <c r="DW28" s="3">
        <f ca="1">IFERROR(__xludf.DUMMYFUNCTION("""COMPUTED_VALUE"""),-0.600339525645997)</f>
        <v>-0.60033952564599702</v>
      </c>
      <c r="DX28" s="3">
        <f ca="1">IFERROR(__xludf.DUMMYFUNCTION("""COMPUTED_VALUE"""),-0.517071807959184)</f>
        <v>-0.51707180795918395</v>
      </c>
      <c r="DY28" s="3">
        <f ca="1">IFERROR(__xludf.DUMMYFUNCTION("""COMPUTED_VALUE"""),-0.537667601768756)</f>
        <v>-0.53766760176875605</v>
      </c>
      <c r="DZ28" s="3">
        <f ca="1">IFERROR(__xludf.DUMMYFUNCTION("""COMPUTED_VALUE"""),-0.408880145237486)</f>
        <v>-0.408880145237486</v>
      </c>
      <c r="EA28" s="3">
        <f ca="1">IFERROR(__xludf.DUMMYFUNCTION("""COMPUTED_VALUE"""),-0.560872188933613)</f>
        <v>-0.56087218893361301</v>
      </c>
      <c r="EB28" s="3">
        <f ca="1">IFERROR(__xludf.DUMMYFUNCTION("""COMPUTED_VALUE"""),-0.592903858554359)</f>
        <v>-0.59290385855435901</v>
      </c>
      <c r="EC28" s="3">
        <f ca="1">IFERROR(__xludf.DUMMYFUNCTION("""COMPUTED_VALUE"""),-0.521831970195803)</f>
        <v>-0.52183197019580296</v>
      </c>
      <c r="ED28" s="3">
        <f ca="1">IFERROR(__xludf.DUMMYFUNCTION("""COMPUTED_VALUE"""),-0.555613886451293)</f>
        <v>-0.55561388645129295</v>
      </c>
      <c r="EE28" s="3">
        <f ca="1">IFERROR(__xludf.DUMMYFUNCTION("""COMPUTED_VALUE"""),-0.598119124021746)</f>
        <v>-0.59811912402174605</v>
      </c>
      <c r="EF28" s="3">
        <f ca="1">IFERROR(__xludf.DUMMYFUNCTION("""COMPUTED_VALUE"""),-0.572520529463058)</f>
        <v>-0.57252052946305798</v>
      </c>
      <c r="EG28" s="3">
        <f ca="1">IFERROR(__xludf.DUMMYFUNCTION("""COMPUTED_VALUE"""),-0.398180428808993)</f>
        <v>-0.39818042880899301</v>
      </c>
      <c r="EH28" s="3">
        <f ca="1">IFERROR(__xludf.DUMMYFUNCTION("""COMPUTED_VALUE"""),-0.495998776745543)</f>
        <v>-0.49599877674554299</v>
      </c>
      <c r="EI28" s="3">
        <f ca="1">IFERROR(__xludf.DUMMYFUNCTION("""COMPUTED_VALUE"""),-0.579322949426449)</f>
        <v>-0.57932294942644902</v>
      </c>
      <c r="EJ28" s="3">
        <f ca="1">IFERROR(__xludf.DUMMYFUNCTION("""COMPUTED_VALUE"""),-0.645182141630184)</f>
        <v>-0.64518214163018395</v>
      </c>
      <c r="EK28" s="3">
        <f ca="1">IFERROR(__xludf.DUMMYFUNCTION("""COMPUTED_VALUE"""),-0.527024568455038)</f>
        <v>-0.52702456845503798</v>
      </c>
      <c r="EL28" s="3">
        <f ca="1">IFERROR(__xludf.DUMMYFUNCTION("""COMPUTED_VALUE"""),-0.492068991065094)</f>
        <v>-0.492068991065094</v>
      </c>
      <c r="EM28" s="3">
        <f ca="1">IFERROR(__xludf.DUMMYFUNCTION("""COMPUTED_VALUE"""),-0.530481969768906)</f>
        <v>-0.53048196976890605</v>
      </c>
      <c r="EN28" s="3">
        <f ca="1">IFERROR(__xludf.DUMMYFUNCTION("""COMPUTED_VALUE"""),-0.464152715033517)</f>
        <v>-0.46415271503351702</v>
      </c>
      <c r="EO28" s="3">
        <f ca="1">IFERROR(__xludf.DUMMYFUNCTION("""COMPUTED_VALUE"""),-0.484837246279963)</f>
        <v>-0.484837246279963</v>
      </c>
      <c r="EP28" s="3">
        <f ca="1">IFERROR(__xludf.DUMMYFUNCTION("""COMPUTED_VALUE"""),-0.57586796573428)</f>
        <v>-0.57586796573428001</v>
      </c>
      <c r="EQ28" s="3">
        <f ca="1">IFERROR(__xludf.DUMMYFUNCTION("""COMPUTED_VALUE"""),-0.547878389986904)</f>
        <v>-0.54787838998690397</v>
      </c>
      <c r="ER28" s="3">
        <f ca="1">IFERROR(__xludf.DUMMYFUNCTION("""COMPUTED_VALUE"""),-0.568156794669042)</f>
        <v>-0.56815679466904201</v>
      </c>
      <c r="ES28" s="3">
        <f ca="1">IFERROR(__xludf.DUMMYFUNCTION("""COMPUTED_VALUE"""),-0.567838134579839)</f>
        <v>-0.567838134579839</v>
      </c>
      <c r="ET28" s="3">
        <f ca="1">IFERROR(__xludf.DUMMYFUNCTION("""COMPUTED_VALUE"""),-0.487052951553181)</f>
        <v>-0.48705295155318101</v>
      </c>
      <c r="EU28" s="3">
        <f ca="1">IFERROR(__xludf.DUMMYFUNCTION("""COMPUTED_VALUE"""),-0.427102489525273)</f>
        <v>-0.42710248952527302</v>
      </c>
      <c r="EV28" s="3">
        <f ca="1">IFERROR(__xludf.DUMMYFUNCTION("""COMPUTED_VALUE"""),-0.498820678173659)</f>
        <v>-0.49882067817365899</v>
      </c>
      <c r="EW28" s="3">
        <f ca="1">IFERROR(__xludf.DUMMYFUNCTION("""COMPUTED_VALUE"""),-0.598043779419857)</f>
        <v>-0.59804377941985698</v>
      </c>
      <c r="EX28" s="3">
        <f ca="1">IFERROR(__xludf.DUMMYFUNCTION("""COMPUTED_VALUE"""),-0.602685324999831)</f>
        <v>-0.60268532499983096</v>
      </c>
      <c r="EY28" s="3">
        <f ca="1">IFERROR(__xludf.DUMMYFUNCTION("""COMPUTED_VALUE"""),-0.609320270785986)</f>
        <v>-0.60932027078598605</v>
      </c>
      <c r="EZ28" s="3">
        <f ca="1">IFERROR(__xludf.DUMMYFUNCTION("""COMPUTED_VALUE"""),-0.547737646755188)</f>
        <v>-0.54773764675518799</v>
      </c>
      <c r="FA28" s="3">
        <f ca="1">IFERROR(__xludf.DUMMYFUNCTION("""COMPUTED_VALUE"""),-0.538803491972681)</f>
        <v>-0.53880349197268096</v>
      </c>
      <c r="FB28" s="3">
        <f ca="1">IFERROR(__xludf.DUMMYFUNCTION("""COMPUTED_VALUE"""),-0.459122613476985)</f>
        <v>-0.45912261347698502</v>
      </c>
      <c r="FC28" s="3">
        <f ca="1">IFERROR(__xludf.DUMMYFUNCTION("""COMPUTED_VALUE"""),-0.511370539609821)</f>
        <v>-0.51137053960982104</v>
      </c>
      <c r="FD28" s="3">
        <f ca="1">IFERROR(__xludf.DUMMYFUNCTION("""COMPUTED_VALUE"""),-0.566325151992641)</f>
        <v>-0.566325151992641</v>
      </c>
      <c r="FE28" s="3">
        <f ca="1">IFERROR(__xludf.DUMMYFUNCTION("""COMPUTED_VALUE"""),-0.622110974168513)</f>
        <v>-0.62211097416851302</v>
      </c>
      <c r="FF28" s="3">
        <f ca="1">IFERROR(__xludf.DUMMYFUNCTION("""COMPUTED_VALUE"""),-0.578293531419052)</f>
        <v>-0.57829353141905204</v>
      </c>
      <c r="FG28" s="3">
        <f ca="1">IFERROR(__xludf.DUMMYFUNCTION("""COMPUTED_VALUE"""),-0.493672258112149)</f>
        <v>-0.49367225811214899</v>
      </c>
      <c r="FH28" s="3">
        <f ca="1">IFERROR(__xludf.DUMMYFUNCTION("""COMPUTED_VALUE"""),-0.540864274593289)</f>
        <v>-0.54086427459328901</v>
      </c>
      <c r="FI28" s="3">
        <f ca="1">IFERROR(__xludf.DUMMYFUNCTION("""COMPUTED_VALUE"""),-0.41774649369339)</f>
        <v>-0.41774649369339001</v>
      </c>
      <c r="FJ28" s="3">
        <f ca="1">IFERROR(__xludf.DUMMYFUNCTION("""COMPUTED_VALUE"""),-0.528478983585108)</f>
        <v>-0.52847898358510803</v>
      </c>
      <c r="FK28" s="3">
        <f ca="1">IFERROR(__xludf.DUMMYFUNCTION("""COMPUTED_VALUE"""),-0.669218742064889)</f>
        <v>-0.66921874206488896</v>
      </c>
      <c r="FL28" s="3">
        <f ca="1">IFERROR(__xludf.DUMMYFUNCTION("""COMPUTED_VALUE"""),-0.602812755952689)</f>
        <v>-0.60281275595268902</v>
      </c>
      <c r="FM28" s="3">
        <f ca="1">IFERROR(__xludf.DUMMYFUNCTION("""COMPUTED_VALUE"""),-0.601935583838641)</f>
        <v>-0.60193558383864099</v>
      </c>
      <c r="FN28" s="3">
        <f ca="1">IFERROR(__xludf.DUMMYFUNCTION("""COMPUTED_VALUE"""),-0.555730239531619)</f>
        <v>-0.55573023953161904</v>
      </c>
      <c r="FO28" s="3">
        <f ca="1">IFERROR(__xludf.DUMMYFUNCTION("""COMPUTED_VALUE"""),-0.550924735892032)</f>
        <v>-0.55092473589203195</v>
      </c>
      <c r="FP28" s="3">
        <f ca="1">IFERROR(__xludf.DUMMYFUNCTION("""COMPUTED_VALUE"""),-0.397531575498979)</f>
        <v>-0.397531575498979</v>
      </c>
      <c r="FQ28" s="3">
        <f ca="1">IFERROR(__xludf.DUMMYFUNCTION("""COMPUTED_VALUE"""),-0.514437213226805)</f>
        <v>-0.51443721322680502</v>
      </c>
      <c r="FR28" s="3">
        <f ca="1">IFERROR(__xludf.DUMMYFUNCTION("""COMPUTED_VALUE"""),-0.613973015506164)</f>
        <v>-0.61397301550616401</v>
      </c>
      <c r="FS28" s="3">
        <f ca="1">IFERROR(__xludf.DUMMYFUNCTION("""COMPUTED_VALUE"""),-0.550675368117145)</f>
        <v>-0.55067536811714501</v>
      </c>
      <c r="FT28" s="3">
        <f ca="1">IFERROR(__xludf.DUMMYFUNCTION("""COMPUTED_VALUE"""),-0.537192942193891)</f>
        <v>-0.53719294219389102</v>
      </c>
      <c r="FU28" s="3">
        <f ca="1">IFERROR(__xludf.DUMMYFUNCTION("""COMPUTED_VALUE"""),-0.501945624754535)</f>
        <v>-0.50194562475453497</v>
      </c>
      <c r="FV28" s="3">
        <f ca="1">IFERROR(__xludf.DUMMYFUNCTION("""COMPUTED_VALUE"""),-0.524820572490383)</f>
        <v>-0.52482057249038305</v>
      </c>
      <c r="FW28" s="3">
        <f ca="1">IFERROR(__xludf.DUMMYFUNCTION("""COMPUTED_VALUE"""),-0.304721592921023)</f>
        <v>-0.30472159292102302</v>
      </c>
      <c r="FX28" s="3">
        <f ca="1">IFERROR(__xludf.DUMMYFUNCTION("""COMPUTED_VALUE"""),-0.484001891225999)</f>
        <v>-0.48400189122599901</v>
      </c>
      <c r="FY28" s="3">
        <f ca="1">IFERROR(__xludf.DUMMYFUNCTION("""COMPUTED_VALUE"""),-0.648260180834257)</f>
        <v>-0.64826018083425696</v>
      </c>
      <c r="FZ28" s="3">
        <f ca="1">IFERROR(__xludf.DUMMYFUNCTION("""COMPUTED_VALUE"""),-0.507103404349353)</f>
        <v>-0.50710340434935297</v>
      </c>
      <c r="GA28" s="3">
        <f ca="1">IFERROR(__xludf.DUMMYFUNCTION("""COMPUTED_VALUE"""),-0.506731364232701)</f>
        <v>-0.50673136423270104</v>
      </c>
      <c r="GB28" s="3">
        <f ca="1">IFERROR(__xludf.DUMMYFUNCTION("""COMPUTED_VALUE"""),-0.605220804660475)</f>
        <v>-0.60522080466047501</v>
      </c>
      <c r="GC28" s="3">
        <f ca="1">IFERROR(__xludf.DUMMYFUNCTION("""COMPUTED_VALUE"""),-0.495741737856035)</f>
        <v>-0.49574173785603498</v>
      </c>
      <c r="GD28" s="3">
        <f ca="1">IFERROR(__xludf.DUMMYFUNCTION("""COMPUTED_VALUE"""),-0.349700379340424)</f>
        <v>-0.34970037934042397</v>
      </c>
      <c r="GE28" s="3">
        <f ca="1">IFERROR(__xludf.DUMMYFUNCTION("""COMPUTED_VALUE"""),-0.44544225375378)</f>
        <v>-0.44544225375377999</v>
      </c>
      <c r="GF28" s="3">
        <f ca="1">IFERROR(__xludf.DUMMYFUNCTION("""COMPUTED_VALUE"""),-0.526404751100299)</f>
        <v>-0.52640475110029905</v>
      </c>
      <c r="GG28" s="3">
        <f ca="1">IFERROR(__xludf.DUMMYFUNCTION("""COMPUTED_VALUE"""),-0.528077247193125)</f>
        <v>-0.52807724719312499</v>
      </c>
      <c r="GH28" s="3">
        <f ca="1">IFERROR(__xludf.DUMMYFUNCTION("""COMPUTED_VALUE"""),-0.582082315690465)</f>
        <v>-0.58208231569046498</v>
      </c>
      <c r="GI28" s="3">
        <f ca="1">IFERROR(__xludf.DUMMYFUNCTION("""COMPUTED_VALUE"""),-0.564362942004579)</f>
        <v>-0.56436294200457904</v>
      </c>
      <c r="GJ28" s="3">
        <f ca="1">IFERROR(__xludf.DUMMYFUNCTION("""COMPUTED_VALUE"""),-0.421877341510399)</f>
        <v>-0.42187734151039902</v>
      </c>
      <c r="GK28" s="3">
        <f ca="1">IFERROR(__xludf.DUMMYFUNCTION("""COMPUTED_VALUE"""),-0.134882759600766)</f>
        <v>-0.13488275960076601</v>
      </c>
      <c r="GL28" s="3">
        <f ca="1">IFERROR(__xludf.DUMMYFUNCTION("""COMPUTED_VALUE"""),-0.289245577065652)</f>
        <v>-0.28924557706565202</v>
      </c>
      <c r="GM28" s="3">
        <f ca="1">IFERROR(__xludf.DUMMYFUNCTION("""COMPUTED_VALUE"""),-0.42479312884741)</f>
        <v>-0.42479312884741</v>
      </c>
      <c r="GN28" s="3">
        <f ca="1">IFERROR(__xludf.DUMMYFUNCTION("""COMPUTED_VALUE"""),-0.453672272123142)</f>
        <v>-0.45367227212314198</v>
      </c>
      <c r="GO28" s="3">
        <f ca="1">IFERROR(__xludf.DUMMYFUNCTION("""COMPUTED_VALUE"""),-0.401043310457422)</f>
        <v>-0.40104331045742198</v>
      </c>
      <c r="GP28" s="3">
        <f ca="1">IFERROR(__xludf.DUMMYFUNCTION("""COMPUTED_VALUE"""),-0.452597917398819)</f>
        <v>-0.45259791739881899</v>
      </c>
      <c r="GQ28" s="3">
        <f ca="1">IFERROR(__xludf.DUMMYFUNCTION("""COMPUTED_VALUE"""),-0.397082361886094)</f>
        <v>-0.39708236188609403</v>
      </c>
      <c r="GR28" s="3">
        <f ca="1">IFERROR(__xludf.DUMMYFUNCTION("""COMPUTED_VALUE"""),-0.169815958618407)</f>
        <v>-0.16981595861840701</v>
      </c>
      <c r="GS28" s="3">
        <f ca="1">IFERROR(__xludf.DUMMYFUNCTION("""COMPUTED_VALUE"""),-0.279218448983275)</f>
        <v>-0.27921844898327502</v>
      </c>
      <c r="GT28" s="3">
        <f ca="1">IFERROR(__xludf.DUMMYFUNCTION("""COMPUTED_VALUE"""),-0.351425393881995)</f>
        <v>-0.35142539388199501</v>
      </c>
      <c r="GU28" s="3">
        <f ca="1">IFERROR(__xludf.DUMMYFUNCTION("""COMPUTED_VALUE"""),-0.445818705879533)</f>
        <v>-0.44581870587953298</v>
      </c>
      <c r="GV28" s="3">
        <f ca="1">IFERROR(__xludf.DUMMYFUNCTION("""COMPUTED_VALUE"""),-0.410322069463188)</f>
        <v>-0.410322069463188</v>
      </c>
      <c r="GW28" s="3">
        <f ca="1">IFERROR(__xludf.DUMMYFUNCTION("""COMPUTED_VALUE"""),-0.470757942443219)</f>
        <v>-0.470757942443219</v>
      </c>
      <c r="GX28" s="3">
        <f ca="1">IFERROR(__xludf.DUMMYFUNCTION("""COMPUTED_VALUE"""),-0.353082480401747)</f>
        <v>-0.353082480401747</v>
      </c>
      <c r="GY28" s="3">
        <f ca="1">IFERROR(__xludf.DUMMYFUNCTION("""COMPUTED_VALUE"""),-0.161235874248228)</f>
        <v>-0.16123587424822799</v>
      </c>
      <c r="GZ28" s="3">
        <f ca="1">IFERROR(__xludf.DUMMYFUNCTION("""COMPUTED_VALUE"""),-0.264789641866222)</f>
        <v>-0.264789641866222</v>
      </c>
      <c r="HA28" s="3">
        <f ca="1">IFERROR(__xludf.DUMMYFUNCTION("""COMPUTED_VALUE"""),-0.385541931231426)</f>
        <v>-0.38554193123142599</v>
      </c>
      <c r="HB28" s="3">
        <f ca="1">IFERROR(__xludf.DUMMYFUNCTION("""COMPUTED_VALUE"""),-0.328505425588233)</f>
        <v>-0.32850542558823298</v>
      </c>
      <c r="HC28" s="3">
        <f ca="1">IFERROR(__xludf.DUMMYFUNCTION("""COMPUTED_VALUE"""),-0.467808244874883)</f>
        <v>-0.46780824487488298</v>
      </c>
      <c r="HD28" s="3">
        <f ca="1">IFERROR(__xludf.DUMMYFUNCTION("""COMPUTED_VALUE"""),-0.442634537509385)</f>
        <v>-0.44263453750938497</v>
      </c>
      <c r="HE28" s="3">
        <f ca="1">IFERROR(__xludf.DUMMYFUNCTION("""COMPUTED_VALUE"""),-0.396908854283631)</f>
        <v>-0.39690885428363099</v>
      </c>
      <c r="HF28" s="3">
        <f ca="1">IFERROR(__xludf.DUMMYFUNCTION("""COMPUTED_VALUE"""),-0.129434681475601)</f>
        <v>-0.129434681475601</v>
      </c>
      <c r="HG28" s="3">
        <f ca="1">IFERROR(__xludf.DUMMYFUNCTION("""COMPUTED_VALUE"""),-0.277455298938175)</f>
        <v>-0.277455298938175</v>
      </c>
      <c r="HH28" s="3">
        <f ca="1">IFERROR(__xludf.DUMMYFUNCTION("""COMPUTED_VALUE"""),-0.358395434828126)</f>
        <v>-0.35839543482812602</v>
      </c>
      <c r="HI28" s="3">
        <f ca="1">IFERROR(__xludf.DUMMYFUNCTION("""COMPUTED_VALUE"""),-0.431759912420246)</f>
        <v>-0.43175991242024597</v>
      </c>
      <c r="HJ28" s="3">
        <f ca="1">IFERROR(__xludf.DUMMYFUNCTION("""COMPUTED_VALUE"""),-0.367506908583586)</f>
        <v>-0.36750690858358598</v>
      </c>
      <c r="HK28" s="3">
        <f ca="1">IFERROR(__xludf.DUMMYFUNCTION("""COMPUTED_VALUE"""),-0.188918522758412)</f>
        <v>-0.18891852275841201</v>
      </c>
      <c r="HL28" s="3">
        <f ca="1">IFERROR(__xludf.DUMMYFUNCTION("""COMPUTED_VALUE"""),-0.0598868979145806)</f>
        <v>-5.98868979145806E-2</v>
      </c>
      <c r="HM28" s="3">
        <f ca="1">IFERROR(__xludf.DUMMYFUNCTION("""COMPUTED_VALUE"""),0.0921344526901641)</f>
        <v>9.2134452690164098E-2</v>
      </c>
      <c r="HN28" s="3">
        <f ca="1">IFERROR(__xludf.DUMMYFUNCTION("""COMPUTED_VALUE"""),-0.244217149378471)</f>
        <v>-0.244217149378471</v>
      </c>
      <c r="HO28" s="3">
        <f ca="1">IFERROR(__xludf.DUMMYFUNCTION("""COMPUTED_VALUE"""),-0.403821879220404)</f>
        <v>-0.40382187922040402</v>
      </c>
      <c r="HP28" s="3">
        <f ca="1">IFERROR(__xludf.DUMMYFUNCTION("""COMPUTED_VALUE"""),-0.338432796935145)</f>
        <v>-0.338432796935145</v>
      </c>
      <c r="HQ28" s="3">
        <f ca="1">IFERROR(__xludf.DUMMYFUNCTION("""COMPUTED_VALUE"""),-0.479671414081438)</f>
        <v>-0.47967141408143799</v>
      </c>
      <c r="HR28" s="3">
        <f ca="1">IFERROR(__xludf.DUMMYFUNCTION("""COMPUTED_VALUE"""),-0.321640218591152)</f>
        <v>-0.32164021859115199</v>
      </c>
      <c r="HS28" s="3">
        <f ca="1">IFERROR(__xludf.DUMMYFUNCTION("""COMPUTED_VALUE"""),-0.253145192766335)</f>
        <v>-0.25314519276633501</v>
      </c>
      <c r="HT28" s="3">
        <f ca="1">IFERROR(__xludf.DUMMYFUNCTION("""COMPUTED_VALUE"""),-0.17731265565533)</f>
        <v>-0.17731265565533</v>
      </c>
      <c r="HU28" s="3">
        <f ca="1">IFERROR(__xludf.DUMMYFUNCTION("""COMPUTED_VALUE"""),-0.318223505192604)</f>
        <v>-0.31822350519260401</v>
      </c>
      <c r="HV28" s="3">
        <f ca="1">IFERROR(__xludf.DUMMYFUNCTION("""COMPUTED_VALUE"""),-0.386258320221074)</f>
        <v>-0.38625832022107398</v>
      </c>
      <c r="HW28" s="3">
        <f ca="1">IFERROR(__xludf.DUMMYFUNCTION("""COMPUTED_VALUE"""),-0.431600239508804)</f>
        <v>-0.431600239508804</v>
      </c>
      <c r="HX28" s="3">
        <f ca="1">IFERROR(__xludf.DUMMYFUNCTION("""COMPUTED_VALUE"""),-0.390577158535585)</f>
        <v>-0.390577158535585</v>
      </c>
      <c r="HY28" s="3">
        <f ca="1">IFERROR(__xludf.DUMMYFUNCTION("""COMPUTED_VALUE"""),-0.371685124217775)</f>
        <v>-0.371685124217775</v>
      </c>
      <c r="HZ28" s="3">
        <f ca="1">IFERROR(__xludf.DUMMYFUNCTION("""COMPUTED_VALUE"""),-0.258924454409447)</f>
        <v>-0.258924454409447</v>
      </c>
      <c r="IA28" s="3">
        <f ca="1">IFERROR(__xludf.DUMMYFUNCTION("""COMPUTED_VALUE"""),-0.209134876972191)</f>
        <v>-0.20913487697219099</v>
      </c>
      <c r="IB28" s="3">
        <f ca="1">IFERROR(__xludf.DUMMYFUNCTION("""COMPUTED_VALUE"""),-0.277293506321937)</f>
        <v>-0.277293506321937</v>
      </c>
      <c r="IC28" s="3">
        <f ca="1">IFERROR(__xludf.DUMMYFUNCTION("""COMPUTED_VALUE"""),-0.360054434870796)</f>
        <v>-0.36005443487079603</v>
      </c>
      <c r="ID28" s="3">
        <f ca="1">IFERROR(__xludf.DUMMYFUNCTION("""COMPUTED_VALUE"""),-0.339684166023781)</f>
        <v>-0.33968416602378099</v>
      </c>
      <c r="IE28" s="3">
        <f ca="1">IFERROR(__xludf.DUMMYFUNCTION("""COMPUTED_VALUE"""),-0.347838676609679)</f>
        <v>-0.34783867660967899</v>
      </c>
      <c r="IF28" s="3">
        <f ca="1">IFERROR(__xludf.DUMMYFUNCTION("""COMPUTED_VALUE"""),-0.353534446301018)</f>
        <v>-0.35353444630101799</v>
      </c>
      <c r="IG28" s="3">
        <f ca="1">IFERROR(__xludf.DUMMYFUNCTION("""COMPUTED_VALUE"""),-0.30298788273438)</f>
        <v>-0.30298788273437999</v>
      </c>
      <c r="IH28" s="3">
        <f ca="1">IFERROR(__xludf.DUMMYFUNCTION("""COMPUTED_VALUE"""),-0.260709289661672)</f>
        <v>-0.26070928966167201</v>
      </c>
      <c r="II28" s="3">
        <f ca="1">IFERROR(__xludf.DUMMYFUNCTION("""COMPUTED_VALUE"""),-0.258702338032601)</f>
        <v>-0.25870233803260101</v>
      </c>
      <c r="IJ28" s="3">
        <f ca="1">IFERROR(__xludf.DUMMYFUNCTION("""COMPUTED_VALUE"""),-0.35426654468122)</f>
        <v>-0.35426654468121999</v>
      </c>
      <c r="IK28" s="3">
        <f ca="1">IFERROR(__xludf.DUMMYFUNCTION("""COMPUTED_VALUE"""),-0.363170093383608)</f>
        <v>-0.36317009338360801</v>
      </c>
      <c r="IL28" s="3">
        <f ca="1">IFERROR(__xludf.DUMMYFUNCTION("""COMPUTED_VALUE"""),-0.242084389202622)</f>
        <v>-0.24208438920262201</v>
      </c>
      <c r="IM28" s="3">
        <f ca="1">IFERROR(__xludf.DUMMYFUNCTION("""COMPUTED_VALUE"""),-0.382253120412004)</f>
        <v>-0.38225312041200399</v>
      </c>
      <c r="IN28" s="3">
        <f ca="1">IFERROR(__xludf.DUMMYFUNCTION("""COMPUTED_VALUE"""),-0.292834642057873)</f>
        <v>-0.29283464205787302</v>
      </c>
      <c r="IO28" s="3">
        <f ca="1">IFERROR(__xludf.DUMMYFUNCTION("""COMPUTED_VALUE"""),-0.129714409771473)</f>
        <v>-0.129714409771473</v>
      </c>
      <c r="IP28" s="3">
        <f ca="1">IFERROR(__xludf.DUMMYFUNCTION("""COMPUTED_VALUE"""),-0.204149874836195)</f>
        <v>-0.20414987483619501</v>
      </c>
      <c r="IQ28" s="3">
        <f ca="1">IFERROR(__xludf.DUMMYFUNCTION("""COMPUTED_VALUE"""),-0.372534783104589)</f>
        <v>-0.37253478310458898</v>
      </c>
      <c r="IR28" s="3">
        <f ca="1">IFERROR(__xludf.DUMMYFUNCTION("""COMPUTED_VALUE"""),-0.379002292897376)</f>
        <v>-0.37900229289737603</v>
      </c>
      <c r="IS28" s="3">
        <f ca="1">IFERROR(__xludf.DUMMYFUNCTION("""COMPUTED_VALUE"""),-0.274673948811871)</f>
        <v>-0.27467394881187102</v>
      </c>
      <c r="IT28" s="3">
        <f ca="1">IFERROR(__xludf.DUMMYFUNCTION("""COMPUTED_VALUE"""),-0.410070020513005)</f>
        <v>-0.41007002051300501</v>
      </c>
      <c r="IU28" s="3">
        <f ca="1">IFERROR(__xludf.DUMMYFUNCTION("""COMPUTED_VALUE"""),-0.342817541774593)</f>
        <v>-0.342817541774593</v>
      </c>
      <c r="IV28" s="3">
        <f ca="1">IFERROR(__xludf.DUMMYFUNCTION("""COMPUTED_VALUE"""),-0.215547498332828)</f>
        <v>-0.21554749833282799</v>
      </c>
      <c r="IW28" s="3">
        <f ca="1">IFERROR(__xludf.DUMMYFUNCTION("""COMPUTED_VALUE"""),-0.219674951698139)</f>
        <v>-0.219674951698139</v>
      </c>
      <c r="IX28" s="3">
        <f ca="1">IFERROR(__xludf.DUMMYFUNCTION("""COMPUTED_VALUE"""),-0.437011519275799)</f>
        <v>-0.43701151927579901</v>
      </c>
      <c r="IY28" s="3">
        <f ca="1">IFERROR(__xludf.DUMMYFUNCTION("""COMPUTED_VALUE"""),-0.444444253543639)</f>
        <v>-0.44444425354363898</v>
      </c>
      <c r="IZ28" s="3">
        <f ca="1">IFERROR(__xludf.DUMMYFUNCTION("""COMPUTED_VALUE"""),-0.393623718228734)</f>
        <v>-0.39362371822873399</v>
      </c>
      <c r="JA28" s="3">
        <f ca="1">IFERROR(__xludf.DUMMYFUNCTION("""COMPUTED_VALUE"""),-0.372791360572982)</f>
        <v>-0.37279136057298201</v>
      </c>
      <c r="JB28" s="3">
        <f ca="1">IFERROR(__xludf.DUMMYFUNCTION("""COMPUTED_VALUE"""),-0.368386774680301)</f>
        <v>-0.36838677468030101</v>
      </c>
      <c r="JC28" s="3">
        <f ca="1">IFERROR(__xludf.DUMMYFUNCTION("""COMPUTED_VALUE"""),-0.23288666201475)</f>
        <v>-0.23288666201475</v>
      </c>
      <c r="JD28" s="3">
        <f ca="1">IFERROR(__xludf.DUMMYFUNCTION("""COMPUTED_VALUE"""),-0.299847683743367)</f>
        <v>-0.29984768374336701</v>
      </c>
      <c r="JE28" s="3">
        <f ca="1">IFERROR(__xludf.DUMMYFUNCTION("""COMPUTED_VALUE"""),-0.466241348188856)</f>
        <v>-0.46624134818885599</v>
      </c>
      <c r="JF28" s="3">
        <f ca="1">IFERROR(__xludf.DUMMYFUNCTION("""COMPUTED_VALUE"""),-0.448406998921555)</f>
        <v>-0.448406998921555</v>
      </c>
      <c r="JG28" s="3">
        <f ca="1">IFERROR(__xludf.DUMMYFUNCTION("""COMPUTED_VALUE"""),-0.480952595213159)</f>
        <v>-0.48095259521315897</v>
      </c>
      <c r="JH28" s="3">
        <f ca="1">IFERROR(__xludf.DUMMYFUNCTION("""COMPUTED_VALUE"""),-0.435926931444579)</f>
        <v>-0.435926931444579</v>
      </c>
      <c r="JI28" s="3">
        <f ca="1">IFERROR(__xludf.DUMMYFUNCTION("""COMPUTED_VALUE"""),-0.375833456408704)</f>
        <v>-0.37583345640870403</v>
      </c>
      <c r="JJ28" s="3">
        <f ca="1">IFERROR(__xludf.DUMMYFUNCTION("""COMPUTED_VALUE"""),-0.331188894608767)</f>
        <v>-0.33118889460876699</v>
      </c>
      <c r="JK28" s="3">
        <f ca="1">IFERROR(__xludf.DUMMYFUNCTION("""COMPUTED_VALUE"""),-0.409030269211038)</f>
        <v>-0.40903026921103802</v>
      </c>
      <c r="JL28" s="3">
        <f ca="1">IFERROR(__xludf.DUMMYFUNCTION("""COMPUTED_VALUE"""),-0.498390883127818)</f>
        <v>-0.49839088312781799</v>
      </c>
      <c r="JM28" s="3">
        <f ca="1">IFERROR(__xludf.DUMMYFUNCTION("""COMPUTED_VALUE"""),-0.419593476529646)</f>
        <v>-0.41959347652964601</v>
      </c>
      <c r="JN28" s="3">
        <f ca="1">IFERROR(__xludf.DUMMYFUNCTION("""COMPUTED_VALUE"""),-0.425607414051738)</f>
        <v>-0.42560741405173802</v>
      </c>
      <c r="JO28" s="3">
        <f ca="1">IFERROR(__xludf.DUMMYFUNCTION("""COMPUTED_VALUE"""),-0.436813791914058)</f>
        <v>-0.436813791914058</v>
      </c>
      <c r="JP28" s="3">
        <f ca="1">IFERROR(__xludf.DUMMYFUNCTION("""COMPUTED_VALUE"""),-0.380108437397106)</f>
        <v>-0.38010843739710598</v>
      </c>
      <c r="JQ28" s="3">
        <f ca="1">IFERROR(__xludf.DUMMYFUNCTION("""COMPUTED_VALUE"""),-0.303651824284441)</f>
        <v>-0.30365182428444099</v>
      </c>
      <c r="JR28" s="3">
        <f ca="1">IFERROR(__xludf.DUMMYFUNCTION("""COMPUTED_VALUE"""),-0.354552851311305)</f>
        <v>-0.35455285131130498</v>
      </c>
      <c r="JS28" s="3">
        <f ca="1">IFERROR(__xludf.DUMMYFUNCTION("""COMPUTED_VALUE"""),-0.52699555160938)</f>
        <v>-0.52699555160938005</v>
      </c>
      <c r="JT28" s="3">
        <f ca="1">IFERROR(__xludf.DUMMYFUNCTION("""COMPUTED_VALUE"""),-0.462380547899827)</f>
        <v>-0.46238054789982702</v>
      </c>
      <c r="JU28" s="3">
        <f ca="1">IFERROR(__xludf.DUMMYFUNCTION("""COMPUTED_VALUE"""),-0.58972621610831)</f>
        <v>-0.58972621610831</v>
      </c>
      <c r="JV28" s="3">
        <f ca="1">IFERROR(__xludf.DUMMYFUNCTION("""COMPUTED_VALUE"""),-0.478536482718726)</f>
        <v>-0.47853648271872601</v>
      </c>
      <c r="JW28" s="3">
        <f ca="1">IFERROR(__xludf.DUMMYFUNCTION("""COMPUTED_VALUE"""),-0.420611558245894)</f>
        <v>-0.42061155824589402</v>
      </c>
      <c r="JX28" s="3">
        <f ca="1">IFERROR(__xludf.DUMMYFUNCTION("""COMPUTED_VALUE"""),-0.307511545035491)</f>
        <v>-0.307511545035491</v>
      </c>
      <c r="JY28" s="3">
        <f ca="1">IFERROR(__xludf.DUMMYFUNCTION("""COMPUTED_VALUE"""),0.0932351890988607)</f>
        <v>9.3235189098860694E-2</v>
      </c>
      <c r="JZ28" s="3">
        <f ca="1">IFERROR(__xludf.DUMMYFUNCTION("""COMPUTED_VALUE"""),-0.225406786987041)</f>
        <v>-0.225406786987041</v>
      </c>
      <c r="KA28" s="3">
        <f ca="1">IFERROR(__xludf.DUMMYFUNCTION("""COMPUTED_VALUE"""),-0.4170342458819)</f>
        <v>-0.41703424588190002</v>
      </c>
      <c r="KB28" s="3">
        <f ca="1">IFERROR(__xludf.DUMMYFUNCTION("""COMPUTED_VALUE"""),-0.562118470662265)</f>
        <v>-0.56211847066226495</v>
      </c>
      <c r="KC28" s="3">
        <f ca="1">IFERROR(__xludf.DUMMYFUNCTION("""COMPUTED_VALUE"""),-0.520572610677465)</f>
        <v>-0.52057261067746496</v>
      </c>
      <c r="KD28" s="3">
        <f ca="1">IFERROR(__xludf.DUMMYFUNCTION("""COMPUTED_VALUE"""),-0.442929175619662)</f>
        <v>-0.442929175619662</v>
      </c>
      <c r="KE28" s="3">
        <f ca="1">IFERROR(__xludf.DUMMYFUNCTION("""COMPUTED_VALUE"""),-0.429856822487199)</f>
        <v>-0.42985682248719898</v>
      </c>
      <c r="KF28" s="3">
        <f ca="1">IFERROR(__xludf.DUMMYFUNCTION("""COMPUTED_VALUE"""),-0.549775464380941)</f>
        <v>-0.54977546438094105</v>
      </c>
      <c r="KG28" s="3">
        <f ca="1">IFERROR(__xludf.DUMMYFUNCTION("""COMPUTED_VALUE"""),-0.498305863738959)</f>
        <v>-0.49830586373895902</v>
      </c>
      <c r="KH28" s="3">
        <f ca="1">IFERROR(__xludf.DUMMYFUNCTION("""COMPUTED_VALUE"""),-0.42947925762185)</f>
        <v>-0.42947925762185002</v>
      </c>
      <c r="KI28" s="3">
        <f ca="1">IFERROR(__xludf.DUMMYFUNCTION("""COMPUTED_VALUE"""),-0.480259813588505)</f>
        <v>-0.480259813588505</v>
      </c>
      <c r="KJ28" s="3">
        <f ca="1">IFERROR(__xludf.DUMMYFUNCTION("""COMPUTED_VALUE"""),-0.505117544387891)</f>
        <v>-0.50511754438789103</v>
      </c>
      <c r="KK28" s="3">
        <f ca="1">IFERROR(__xludf.DUMMYFUNCTION("""COMPUTED_VALUE"""),-0.460517786846064)</f>
        <v>-0.46051778684606398</v>
      </c>
      <c r="KL28" s="3">
        <f ca="1">IFERROR(__xludf.DUMMYFUNCTION("""COMPUTED_VALUE"""),-0.426451365381949)</f>
        <v>-0.426451365381949</v>
      </c>
      <c r="KM28" s="3">
        <f ca="1">IFERROR(__xludf.DUMMYFUNCTION("""COMPUTED_VALUE"""),-0.448280800234796)</f>
        <v>-0.448280800234796</v>
      </c>
      <c r="KN28" s="3">
        <f ca="1">IFERROR(__xludf.DUMMYFUNCTION("""COMPUTED_VALUE"""),-0.540236593425994)</f>
        <v>-0.54023659342599395</v>
      </c>
      <c r="KO28" s="3">
        <f ca="1">IFERROR(__xludf.DUMMYFUNCTION("""COMPUTED_VALUE"""),-0.507509550380691)</f>
        <v>-0.50750955038069101</v>
      </c>
      <c r="KP28" s="3">
        <f ca="1">IFERROR(__xludf.DUMMYFUNCTION("""COMPUTED_VALUE"""),-0.491045311845917)</f>
        <v>-0.49104531184591699</v>
      </c>
      <c r="KQ28" s="3">
        <f ca="1">IFERROR(__xludf.DUMMYFUNCTION("""COMPUTED_VALUE"""),-0.477565645255757)</f>
        <v>-0.47756564525575701</v>
      </c>
      <c r="KR28" s="3">
        <f ca="1">IFERROR(__xludf.DUMMYFUNCTION("""COMPUTED_VALUE"""),-0.443045599557377)</f>
        <v>-0.44304559955737699</v>
      </c>
      <c r="KS28" s="3">
        <f ca="1">IFERROR(__xludf.DUMMYFUNCTION("""COMPUTED_VALUE"""),-0.429130920453526)</f>
        <v>-0.42913092045352602</v>
      </c>
      <c r="KT28" s="3">
        <f ca="1">IFERROR(__xludf.DUMMYFUNCTION("""COMPUTED_VALUE"""),-0.435021631672342)</f>
        <v>-0.43502163167234198</v>
      </c>
      <c r="KU28" s="3">
        <f ca="1">IFERROR(__xludf.DUMMYFUNCTION("""COMPUTED_VALUE"""),-0.495056879051374)</f>
        <v>-0.49505687905137402</v>
      </c>
      <c r="KV28" s="3">
        <f ca="1">IFERROR(__xludf.DUMMYFUNCTION("""COMPUTED_VALUE"""),-0.583464783788887)</f>
        <v>-0.583464783788887</v>
      </c>
      <c r="KW28" s="3">
        <f ca="1">IFERROR(__xludf.DUMMYFUNCTION("""COMPUTED_VALUE"""),-0.561519306189706)</f>
        <v>-0.56151930618970602</v>
      </c>
      <c r="KX28" s="3">
        <f ca="1">IFERROR(__xludf.DUMMYFUNCTION("""COMPUTED_VALUE"""),-0.595710532654647)</f>
        <v>-0.59571053265464702</v>
      </c>
      <c r="KY28" s="3">
        <f ca="1">IFERROR(__xludf.DUMMYFUNCTION("""COMPUTED_VALUE"""),-0.5252536415075)</f>
        <v>-0.52525364150749998</v>
      </c>
      <c r="KZ28" s="3">
        <f ca="1">IFERROR(__xludf.DUMMYFUNCTION("""COMPUTED_VALUE"""),-0.404402831329272)</f>
        <v>-0.40440283132927202</v>
      </c>
      <c r="LA28" s="3">
        <f ca="1">IFERROR(__xludf.DUMMYFUNCTION("""COMPUTED_VALUE"""),-0.479343247807562)</f>
        <v>-0.47934324780756199</v>
      </c>
      <c r="LB28" s="3">
        <f ca="1">IFERROR(__xludf.DUMMYFUNCTION("""COMPUTED_VALUE"""),-0.632210602696623)</f>
        <v>-0.63221060269662299</v>
      </c>
      <c r="LC28" s="3">
        <f ca="1">IFERROR(__xludf.DUMMYFUNCTION("""COMPUTED_VALUE"""),-0.527815823567972)</f>
        <v>-0.52781582356797196</v>
      </c>
      <c r="LD28" s="3">
        <f ca="1">IFERROR(__xludf.DUMMYFUNCTION("""COMPUTED_VALUE"""),-0.616657042061061)</f>
        <v>-0.61665704206106098</v>
      </c>
      <c r="LE28" s="3">
        <f ca="1">IFERROR(__xludf.DUMMYFUNCTION("""COMPUTED_VALUE"""),-0.636916202346042)</f>
        <v>-0.63691620234604196</v>
      </c>
      <c r="LF28" s="3">
        <f ca="1">IFERROR(__xludf.DUMMYFUNCTION("""COMPUTED_VALUE"""),-0.463239694006377)</f>
        <v>-0.46323969400637699</v>
      </c>
      <c r="LG28" s="3">
        <f ca="1">IFERROR(__xludf.DUMMYFUNCTION("""COMPUTED_VALUE"""),-0.557469838920623)</f>
        <v>-0.55746983892062296</v>
      </c>
      <c r="LH28" s="3">
        <f ca="1">IFERROR(__xludf.DUMMYFUNCTION("""COMPUTED_VALUE"""),-0.555415636904965)</f>
        <v>-0.55541563690496498</v>
      </c>
      <c r="LI28" s="3">
        <f ca="1">IFERROR(__xludf.DUMMYFUNCTION("""COMPUTED_VALUE"""),-0.634432954134563)</f>
        <v>-0.63443295413456302</v>
      </c>
      <c r="LJ28" s="3">
        <f ca="1">IFERROR(__xludf.DUMMYFUNCTION("""COMPUTED_VALUE"""),-0.597549723332463)</f>
        <v>-0.59754972333246303</v>
      </c>
      <c r="LK28" s="3">
        <f ca="1">IFERROR(__xludf.DUMMYFUNCTION("""COMPUTED_VALUE"""),-0.549690640260906)</f>
        <v>-0.54969064026090597</v>
      </c>
      <c r="LL28" s="3">
        <f ca="1">IFERROR(__xludf.DUMMYFUNCTION("""COMPUTED_VALUE"""),-0.479962903059842)</f>
        <v>-0.47996290305984202</v>
      </c>
      <c r="LM28" s="3">
        <f ca="1">IFERROR(__xludf.DUMMYFUNCTION("""COMPUTED_VALUE"""),-0.471963616883143)</f>
        <v>-0.47196361688314298</v>
      </c>
      <c r="LN28" s="3">
        <f ca="1">IFERROR(__xludf.DUMMYFUNCTION("""COMPUTED_VALUE"""),-0.493411561923147)</f>
        <v>-0.493411561923147</v>
      </c>
      <c r="LO28" s="3">
        <f ca="1">IFERROR(__xludf.DUMMYFUNCTION("""COMPUTED_VALUE"""),-0.643508331205838)</f>
        <v>-0.64350833120583795</v>
      </c>
      <c r="LP28" s="3">
        <f ca="1">IFERROR(__xludf.DUMMYFUNCTION("""COMPUTED_VALUE"""),-0.671792108791514)</f>
        <v>-0.67179210879151396</v>
      </c>
      <c r="LQ28" s="3">
        <f ca="1">IFERROR(__xludf.DUMMYFUNCTION("""COMPUTED_VALUE"""),-0.628328462913824)</f>
        <v>-0.62832846291382405</v>
      </c>
      <c r="LR28" s="3">
        <f ca="1">IFERROR(__xludf.DUMMYFUNCTION("""COMPUTED_VALUE"""),-0.660661158852334)</f>
        <v>-0.66066115885233401</v>
      </c>
      <c r="LS28" s="3">
        <f ca="1">IFERROR(__xludf.DUMMYFUNCTION("""COMPUTED_VALUE"""),-0.645350206035742)</f>
        <v>-0.645350206035742</v>
      </c>
      <c r="LT28" s="3">
        <f ca="1">IFERROR(__xludf.DUMMYFUNCTION("""COMPUTED_VALUE"""),-0.620318682778438)</f>
        <v>-0.62031868277843805</v>
      </c>
      <c r="LU28" s="3">
        <f ca="1">IFERROR(__xludf.DUMMYFUNCTION("""COMPUTED_VALUE"""),-0.489414725691686)</f>
        <v>-0.48941472569168598</v>
      </c>
      <c r="LV28" s="3">
        <f ca="1">IFERROR(__xludf.DUMMYFUNCTION("""COMPUTED_VALUE"""),-0.592372061692535)</f>
        <v>-0.59237206169253498</v>
      </c>
      <c r="LW28" s="3">
        <f ca="1">IFERROR(__xludf.DUMMYFUNCTION("""COMPUTED_VALUE"""),-0.626610560504187)</f>
        <v>-0.62661056050418695</v>
      </c>
      <c r="LX28" s="3">
        <f ca="1">IFERROR(__xludf.DUMMYFUNCTION("""COMPUTED_VALUE"""),-0.641878819518182)</f>
        <v>-0.64187881951818204</v>
      </c>
      <c r="LY28" s="3">
        <f ca="1">IFERROR(__xludf.DUMMYFUNCTION("""COMPUTED_VALUE"""),-0.649722483871606)</f>
        <v>-0.64972248387160603</v>
      </c>
      <c r="LZ28" s="3">
        <f ca="1">IFERROR(__xludf.DUMMYFUNCTION("""COMPUTED_VALUE"""),-0.659255608156674)</f>
        <v>-0.65925560815667394</v>
      </c>
      <c r="MA28" s="3">
        <f ca="1">IFERROR(__xludf.DUMMYFUNCTION("""COMPUTED_VALUE"""),-0.639134196370293)</f>
        <v>-0.63913419637029301</v>
      </c>
      <c r="MB28" s="3">
        <f ca="1">IFERROR(__xludf.DUMMYFUNCTION("""COMPUTED_VALUE"""),-0.446591427469786)</f>
        <v>-0.44659142746978597</v>
      </c>
      <c r="MC28" s="3">
        <f ca="1">IFERROR(__xludf.DUMMYFUNCTION("""COMPUTED_VALUE"""),-0.651658215686642)</f>
        <v>-0.65165821568664195</v>
      </c>
      <c r="MD28" s="3">
        <f ca="1">IFERROR(__xludf.DUMMYFUNCTION("""COMPUTED_VALUE"""),-0.657304792365038)</f>
        <v>-0.65730479236503803</v>
      </c>
      <c r="ME28" s="3">
        <f ca="1">IFERROR(__xludf.DUMMYFUNCTION("""COMPUTED_VALUE"""),-0.697149675511925)</f>
        <v>-0.69714967551192497</v>
      </c>
      <c r="MF28" s="3">
        <f ca="1">IFERROR(__xludf.DUMMYFUNCTION("""COMPUTED_VALUE"""),-0.647628062237026)</f>
        <v>-0.64762806223702596</v>
      </c>
      <c r="MG28" s="3">
        <f ca="1">IFERROR(__xludf.DUMMYFUNCTION("""COMPUTED_VALUE"""),-0.685198310324373)</f>
        <v>-0.68519831032437295</v>
      </c>
      <c r="MH28" s="3">
        <f ca="1">IFERROR(__xludf.DUMMYFUNCTION("""COMPUTED_VALUE"""),-0.652359220819887)</f>
        <v>-0.65235922081988695</v>
      </c>
      <c r="MI28" s="3">
        <f ca="1">IFERROR(__xludf.DUMMYFUNCTION("""COMPUTED_VALUE"""),-0.504834871317428)</f>
        <v>-0.50483487131742799</v>
      </c>
      <c r="MJ28" s="3">
        <f ca="1">IFERROR(__xludf.DUMMYFUNCTION("""COMPUTED_VALUE"""),-0.553892239543508)</f>
        <v>-0.55389223954350797</v>
      </c>
      <c r="MK28" s="3">
        <f ca="1">IFERROR(__xludf.DUMMYFUNCTION("""COMPUTED_VALUE"""),-0.705428816882953)</f>
        <v>-0.705428816882953</v>
      </c>
      <c r="ML28" s="3">
        <f ca="1">IFERROR(__xludf.DUMMYFUNCTION("""COMPUTED_VALUE"""),-0.73340279698752)</f>
        <v>-0.73340279698751998</v>
      </c>
      <c r="MM28" s="3">
        <f ca="1">IFERROR(__xludf.DUMMYFUNCTION("""COMPUTED_VALUE"""),-0.690702509527858)</f>
        <v>-0.69070250952785806</v>
      </c>
      <c r="MN28" s="3">
        <f ca="1">IFERROR(__xludf.DUMMYFUNCTION("""COMPUTED_VALUE"""),-0.696123459613507)</f>
        <v>-0.69612345961350697</v>
      </c>
      <c r="MO28" s="3">
        <f ca="1">IFERROR(__xludf.DUMMYFUNCTION("""COMPUTED_VALUE"""),-0.544384168543891)</f>
        <v>-0.54438416854389104</v>
      </c>
      <c r="MP28" s="3">
        <f ca="1">IFERROR(__xludf.DUMMYFUNCTION("""COMPUTED_VALUE"""),-0.562608584383938)</f>
        <v>-0.56260858438393802</v>
      </c>
      <c r="MQ28" s="3">
        <f ca="1">IFERROR(__xludf.DUMMYFUNCTION("""COMPUTED_VALUE"""),-0.655703625344316)</f>
        <v>-0.65570362534431603</v>
      </c>
      <c r="MR28" s="3">
        <f ca="1">IFERROR(__xludf.DUMMYFUNCTION("""COMPUTED_VALUE"""),-0.714924301763563)</f>
        <v>-0.71492430176356303</v>
      </c>
      <c r="MS28" s="3">
        <f ca="1">IFERROR(__xludf.DUMMYFUNCTION("""COMPUTED_VALUE"""),-0.701724556116969)</f>
        <v>-0.70172455611696904</v>
      </c>
      <c r="MT28" s="3">
        <f ca="1">IFERROR(__xludf.DUMMYFUNCTION("""COMPUTED_VALUE"""),-0.741810984650694)</f>
        <v>-0.74181098465069395</v>
      </c>
      <c r="MU28" s="3">
        <f ca="1">IFERROR(__xludf.DUMMYFUNCTION("""COMPUTED_VALUE"""),-0.744524071935387)</f>
        <v>-0.74452407193538706</v>
      </c>
      <c r="MV28" s="3">
        <f ca="1">IFERROR(__xludf.DUMMYFUNCTION("""COMPUTED_VALUE"""),-0.625698095704887)</f>
        <v>-0.62569809570488699</v>
      </c>
      <c r="MW28" s="3">
        <f ca="1">IFERROR(__xludf.DUMMYFUNCTION("""COMPUTED_VALUE"""),-0.525857260772078)</f>
        <v>-0.52585726077207795</v>
      </c>
      <c r="MX28" s="3">
        <f ca="1">IFERROR(__xludf.DUMMYFUNCTION("""COMPUTED_VALUE"""),-0.704092858059235)</f>
        <v>-0.70409285805923505</v>
      </c>
      <c r="MY28" s="3">
        <f ca="1">IFERROR(__xludf.DUMMYFUNCTION("""COMPUTED_VALUE"""),-0.645394334380015)</f>
        <v>-0.64539433438001503</v>
      </c>
      <c r="MZ28" s="3">
        <f ca="1">IFERROR(__xludf.DUMMYFUNCTION("""COMPUTED_VALUE"""),-0.694367083173105)</f>
        <v>-0.69436708317310503</v>
      </c>
      <c r="NA28" s="3">
        <f ca="1">IFERROR(__xludf.DUMMYFUNCTION("""COMPUTED_VALUE"""),-0.604390495102605)</f>
        <v>-0.60439049510260501</v>
      </c>
      <c r="NB28" s="3">
        <f ca="1">IFERROR(__xludf.DUMMYFUNCTION("""COMPUTED_VALUE"""),-0.651683185900894)</f>
        <v>-0.65168318590089402</v>
      </c>
      <c r="NC28" s="3">
        <f ca="1">IFERROR(__xludf.DUMMYFUNCTION("""COMPUTED_VALUE"""),-0.721867349469439)</f>
        <v>-0.72186734946943898</v>
      </c>
      <c r="ND28" s="3">
        <f ca="1">IFERROR(__xludf.DUMMYFUNCTION("""COMPUTED_VALUE"""),-0.540888938851227)</f>
        <v>-0.54088893885122702</v>
      </c>
      <c r="NE28" s="3">
        <f ca="1">IFERROR(__xludf.DUMMYFUNCTION("""COMPUTED_VALUE"""),-0.550724123115638)</f>
        <v>-0.55072412311563801</v>
      </c>
      <c r="NF28" s="3">
        <f ca="1">IFERROR(__xludf.DUMMYFUNCTION("""COMPUTED_VALUE"""),-0.675169885591914)</f>
        <v>-0.67516988559191404</v>
      </c>
      <c r="NG28" s="3">
        <f ca="1">IFERROR(__xludf.DUMMYFUNCTION("""COMPUTED_VALUE"""),-0.683889238235067)</f>
        <v>-0.68388923823506698</v>
      </c>
      <c r="NH28" s="3">
        <f ca="1">IFERROR(__xludf.DUMMYFUNCTION("""COMPUTED_VALUE"""),-0.68384738162825)</f>
        <v>-0.68384738162824998</v>
      </c>
      <c r="NI28" s="3">
        <f ca="1">IFERROR(__xludf.DUMMYFUNCTION("""COMPUTED_VALUE"""),-0.622793617505078)</f>
        <v>-0.622793617505078</v>
      </c>
      <c r="NJ28" s="3">
        <f ca="1">IFERROR(__xludf.DUMMYFUNCTION("""COMPUTED_VALUE"""),-0.60394448997716)</f>
        <v>-0.60394448997715999</v>
      </c>
      <c r="NK28" s="3">
        <f ca="1">IFERROR(__xludf.DUMMYFUNCTION("""COMPUTED_VALUE"""),-0.514108995332509)</f>
        <v>-0.51410899533250898</v>
      </c>
      <c r="NL28" s="3">
        <f ca="1">IFERROR(__xludf.DUMMYFUNCTION("""COMPUTED_VALUE"""),-0.64202906351418)</f>
        <v>-0.64202906351417999</v>
      </c>
      <c r="NM28" s="3">
        <f ca="1">IFERROR(__xludf.DUMMYFUNCTION("""COMPUTED_VALUE"""),-0.647986311153088)</f>
        <v>-0.64798631115308802</v>
      </c>
      <c r="NN28" s="3">
        <f ca="1">IFERROR(__xludf.DUMMYFUNCTION("""COMPUTED_VALUE"""),-0.645899169606577)</f>
        <v>-0.64589916960657701</v>
      </c>
      <c r="NO28" s="3">
        <f ca="1">IFERROR(__xludf.DUMMYFUNCTION("""COMPUTED_VALUE"""),-0.580777318698584)</f>
        <v>-0.58077731869858396</v>
      </c>
      <c r="NP28" s="3">
        <f ca="1">IFERROR(__xludf.DUMMYFUNCTION("""COMPUTED_VALUE"""),-0.670054403643503)</f>
        <v>-0.67005440364350299</v>
      </c>
      <c r="NQ28" s="3">
        <f ca="1">IFERROR(__xludf.DUMMYFUNCTION("""COMPUTED_VALUE"""),-0.647468090071054)</f>
        <v>-0.64746809007105399</v>
      </c>
      <c r="NR28" s="3">
        <f ca="1">IFERROR(__xludf.DUMMYFUNCTION("""COMPUTED_VALUE"""),-0.438861710814103)</f>
        <v>-0.43886171081410302</v>
      </c>
      <c r="NS28" s="3">
        <f ca="1">IFERROR(__xludf.DUMMYFUNCTION("""COMPUTED_VALUE"""),-0.591537848768403)</f>
        <v>-0.59153784876840299</v>
      </c>
      <c r="NT28" s="3">
        <f ca="1">IFERROR(__xludf.DUMMYFUNCTION("""COMPUTED_VALUE"""),-0.604081903760834)</f>
        <v>-0.60408190376083404</v>
      </c>
      <c r="NU28" s="3">
        <f ca="1">IFERROR(__xludf.DUMMYFUNCTION("""COMPUTED_VALUE"""),-0.714612162922441)</f>
        <v>-0.71461216292244101</v>
      </c>
      <c r="NV28" s="3">
        <f ca="1">IFERROR(__xludf.DUMMYFUNCTION("""COMPUTED_VALUE"""),-0.702602070641206)</f>
        <v>-0.70260207064120594</v>
      </c>
      <c r="NW28" s="3">
        <f ca="1">IFERROR(__xludf.DUMMYFUNCTION("""COMPUTED_VALUE"""),-0.607678078961356)</f>
        <v>-0.60767807896135595</v>
      </c>
      <c r="NX28" s="3">
        <f ca="1">IFERROR(__xludf.DUMMYFUNCTION("""COMPUTED_VALUE"""),-0.592085039938857)</f>
        <v>-0.59208503993885697</v>
      </c>
      <c r="NY28" s="3">
        <f ca="1">IFERROR(__xludf.DUMMYFUNCTION("""COMPUTED_VALUE"""),-0.455043192243151)</f>
        <v>-0.45504319224315098</v>
      </c>
      <c r="NZ28" s="3">
        <f ca="1">IFERROR(__xludf.DUMMYFUNCTION("""COMPUTED_VALUE"""),-0.571913755661582)</f>
        <v>-0.57191375566158198</v>
      </c>
      <c r="OA28" s="3">
        <f ca="1">IFERROR(__xludf.DUMMYFUNCTION("""COMPUTED_VALUE"""),-0.565503287890435)</f>
        <v>-0.56550328789043502</v>
      </c>
      <c r="OB28" s="3">
        <f ca="1">IFERROR(__xludf.DUMMYFUNCTION("""COMPUTED_VALUE"""),-0.582430519436483)</f>
        <v>-0.58243051943648305</v>
      </c>
      <c r="OC28" s="3">
        <f ca="1">IFERROR(__xludf.DUMMYFUNCTION("""COMPUTED_VALUE"""),-0.499084079305697)</f>
        <v>-0.49908407930569698</v>
      </c>
      <c r="OD28" s="3">
        <f ca="1">IFERROR(__xludf.DUMMYFUNCTION("""COMPUTED_VALUE"""),-0.492909432971841)</f>
        <v>-0.49290943297184098</v>
      </c>
      <c r="OE28" s="3">
        <f ca="1">IFERROR(__xludf.DUMMYFUNCTION("""COMPUTED_VALUE"""),-0.304746438824332)</f>
        <v>-0.304746438824332</v>
      </c>
      <c r="OF28" s="3">
        <f ca="1">IFERROR(__xludf.DUMMYFUNCTION("""COMPUTED_VALUE"""),-0.0195322631962827)</f>
        <v>-1.95322631962827E-2</v>
      </c>
      <c r="OG28" s="3">
        <f ca="1">IFERROR(__xludf.DUMMYFUNCTION("""COMPUTED_VALUE"""),-0.226755615391804)</f>
        <v>-0.226755615391804</v>
      </c>
      <c r="OH28" s="3">
        <f ca="1">IFERROR(__xludf.DUMMYFUNCTION("""COMPUTED_VALUE"""),-0.310526360832216)</f>
        <v>-0.31052636083221602</v>
      </c>
      <c r="OI28" s="3">
        <f ca="1">IFERROR(__xludf.DUMMYFUNCTION("""COMPUTED_VALUE"""),-0.114672244656116)</f>
        <v>-0.114672244656116</v>
      </c>
      <c r="OJ28" s="3">
        <f ca="1">IFERROR(__xludf.DUMMYFUNCTION("""COMPUTED_VALUE"""),0.0352803369340337)</f>
        <v>3.52803369340337E-2</v>
      </c>
      <c r="OK28" s="3">
        <f ca="1">IFERROR(__xludf.DUMMYFUNCTION("""COMPUTED_VALUE"""),0.0670459095359552)</f>
        <v>6.7045909535955198E-2</v>
      </c>
      <c r="OL28" s="3">
        <f ca="1">IFERROR(__xludf.DUMMYFUNCTION("""COMPUTED_VALUE"""),0.112083764268932)</f>
        <v>0.112083764268932</v>
      </c>
      <c r="OM28" s="3">
        <f ca="1">IFERROR(__xludf.DUMMYFUNCTION("""COMPUTED_VALUE"""),0.0204443079259879)</f>
        <v>2.0444307925987899E-2</v>
      </c>
      <c r="ON28" s="3">
        <f ca="1">IFERROR(__xludf.DUMMYFUNCTION("""COMPUTED_VALUE"""),0.0250932471000868)</f>
        <v>2.5093247100086799E-2</v>
      </c>
      <c r="OO28" s="3">
        <f ca="1">IFERROR(__xludf.DUMMYFUNCTION("""COMPUTED_VALUE"""),0.0297027580027542)</f>
        <v>2.9702758002754199E-2</v>
      </c>
      <c r="OP28" s="3">
        <f ca="1">IFERROR(__xludf.DUMMYFUNCTION("""COMPUTED_VALUE"""),0.0429460399418024)</f>
        <v>4.2946039941802398E-2</v>
      </c>
      <c r="OQ28" s="3">
        <f ca="1">IFERROR(__xludf.DUMMYFUNCTION("""COMPUTED_VALUE"""),0.00652421634361966)</f>
        <v>6.5242163436196599E-3</v>
      </c>
      <c r="OR28" s="3">
        <f ca="1">IFERROR(__xludf.DUMMYFUNCTION("""COMPUTED_VALUE"""),0.161153191072107)</f>
        <v>0.16115319107210699</v>
      </c>
      <c r="OS28" s="3">
        <f ca="1">IFERROR(__xludf.DUMMYFUNCTION("""COMPUTED_VALUE"""),0.129080389520543)</f>
        <v>0.12908038952054299</v>
      </c>
      <c r="OT28" s="3">
        <f ca="1">IFERROR(__xludf.DUMMYFUNCTION("""COMPUTED_VALUE"""),0.201060403054287)</f>
        <v>0.20106040305428699</v>
      </c>
      <c r="OU28" s="3">
        <f ca="1">IFERROR(__xludf.DUMMYFUNCTION("""COMPUTED_VALUE"""),0.19169520004175)</f>
        <v>0.19169520004175</v>
      </c>
      <c r="OV28" s="3">
        <f ca="1">IFERROR(__xludf.DUMMYFUNCTION("""COMPUTED_VALUE"""),0.0564828453858936)</f>
        <v>5.6482845385893599E-2</v>
      </c>
      <c r="OW28" s="3">
        <f ca="1">IFERROR(__xludf.DUMMYFUNCTION("""COMPUTED_VALUE"""),0.0247294926617096)</f>
        <v>2.4729492661709599E-2</v>
      </c>
      <c r="OX28" s="3">
        <f ca="1">IFERROR(__xludf.DUMMYFUNCTION("""COMPUTED_VALUE"""),-0.113769301398503)</f>
        <v>-0.113769301398503</v>
      </c>
      <c r="OY28" s="3">
        <f ca="1">IFERROR(__xludf.DUMMYFUNCTION("""COMPUTED_VALUE"""),0.0232314207471651)</f>
        <v>2.32314207471651E-2</v>
      </c>
      <c r="OZ28" s="3">
        <f ca="1">IFERROR(__xludf.DUMMYFUNCTION("""COMPUTED_VALUE"""),0.0662145552044739)</f>
        <v>6.6214555204473904E-2</v>
      </c>
      <c r="PA28" s="3">
        <f ca="1">IFERROR(__xludf.DUMMYFUNCTION("""COMPUTED_VALUE"""),0.0363466789023791)</f>
        <v>3.6346678902379102E-2</v>
      </c>
      <c r="PB28" s="3">
        <f ca="1">IFERROR(__xludf.DUMMYFUNCTION("""COMPUTED_VALUE"""),0.0369441894033926)</f>
        <v>3.6944189403392599E-2</v>
      </c>
      <c r="PC28" s="3">
        <f ca="1">IFERROR(__xludf.DUMMYFUNCTION("""COMPUTED_VALUE"""),-0.168600506634198)</f>
        <v>-0.16860050663419801</v>
      </c>
      <c r="PD28" s="3">
        <f ca="1">IFERROR(__xludf.DUMMYFUNCTION("""COMPUTED_VALUE"""),0.00186487331630735)</f>
        <v>1.8648733163073501E-3</v>
      </c>
      <c r="PE28" s="3">
        <f ca="1">IFERROR(__xludf.DUMMYFUNCTION("""COMPUTED_VALUE"""),0.0401332854455469)</f>
        <v>4.0133285445546903E-2</v>
      </c>
      <c r="PF28" s="3">
        <f ca="1">IFERROR(__xludf.DUMMYFUNCTION("""COMPUTED_VALUE"""),0.0313962550358937)</f>
        <v>3.1396255035893703E-2</v>
      </c>
      <c r="PG28" s="3">
        <f ca="1">IFERROR(__xludf.DUMMYFUNCTION("""COMPUTED_VALUE"""),-0.146753787274901)</f>
        <v>-0.14675378727490099</v>
      </c>
      <c r="PH28" s="3">
        <f ca="1">IFERROR(__xludf.DUMMYFUNCTION("""COMPUTED_VALUE"""),0.241383852517556)</f>
        <v>0.24138385251755601</v>
      </c>
      <c r="PI28" s="3">
        <f ca="1">IFERROR(__xludf.DUMMYFUNCTION("""COMPUTED_VALUE"""),-0.0305367207778698)</f>
        <v>-3.05367207778698E-2</v>
      </c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</row>
    <row r="29" spans="1:477" ht="15.75" customHeight="1">
      <c r="A29" s="1" t="str">
        <f ca="1">IFERROR(__xludf.DUMMYFUNCTION("""COMPUTED_VALUE"""),"BC Transit")</f>
        <v>BC Transit</v>
      </c>
      <c r="B29" s="1" t="str">
        <f ca="1">IFERROR(__xludf.DUMMYFUNCTION("""COMPUTED_VALUE"""),"Cowichan Valley")</f>
        <v>Cowichan Valley</v>
      </c>
      <c r="C29" s="1" t="str">
        <f ca="1">IFERROR(__xludf.DUMMYFUNCTION("""COMPUTED_VALUE"""),"Canada")</f>
        <v>Canada</v>
      </c>
      <c r="D29" s="1" t="str">
        <f ca="1">IFERROR(__xludf.DUMMYFUNCTION("""COMPUTED_VALUE"""),"British Columbia")</f>
        <v>British Columbia</v>
      </c>
      <c r="E29" s="3">
        <f ca="1">IFERROR(__xludf.DUMMYFUNCTION("""COMPUTED_VALUE"""),-0.517081033822927)</f>
        <v>-0.51708103382292703</v>
      </c>
      <c r="F29" s="3">
        <f ca="1">IFERROR(__xludf.DUMMYFUNCTION("""COMPUTED_VALUE"""),-0.485267430098793)</f>
        <v>-0.48526743009879297</v>
      </c>
      <c r="G29" s="3">
        <f ca="1">IFERROR(__xludf.DUMMYFUNCTION("""COMPUTED_VALUE"""),-0.543414495847208)</f>
        <v>-0.54341449584720802</v>
      </c>
      <c r="H29" s="3">
        <f ca="1">IFERROR(__xludf.DUMMYFUNCTION("""COMPUTED_VALUE"""),-0.540814514266693)</f>
        <v>-0.54081451426669302</v>
      </c>
      <c r="I29" s="3">
        <f ca="1">IFERROR(__xludf.DUMMYFUNCTION("""COMPUTED_VALUE"""),-0.699392554464669)</f>
        <v>-0.69939255446466897</v>
      </c>
      <c r="J29" s="3">
        <f ca="1">IFERROR(__xludf.DUMMYFUNCTION("""COMPUTED_VALUE"""),-0.821176036327128)</f>
        <v>-0.82117603632712799</v>
      </c>
      <c r="K29" s="3">
        <f ca="1">IFERROR(__xludf.DUMMYFUNCTION("""COMPUTED_VALUE"""),-0.627541717325357)</f>
        <v>-0.62754171732535702</v>
      </c>
      <c r="L29" s="3">
        <f ca="1">IFERROR(__xludf.DUMMYFUNCTION("""COMPUTED_VALUE"""),-0.708146263423997)</f>
        <v>-0.708146263423997</v>
      </c>
      <c r="M29" s="3">
        <f ca="1">IFERROR(__xludf.DUMMYFUNCTION("""COMPUTED_VALUE"""),-0.687260859229108)</f>
        <v>-0.68726085922910796</v>
      </c>
      <c r="N29" s="3">
        <f ca="1">IFERROR(__xludf.DUMMYFUNCTION("""COMPUTED_VALUE"""),-0.49882385862272)</f>
        <v>-0.49882385862272</v>
      </c>
      <c r="O29" s="3">
        <f ca="1">IFERROR(__xludf.DUMMYFUNCTION("""COMPUTED_VALUE"""),-0.541079120210412)</f>
        <v>-0.54107912021041205</v>
      </c>
      <c r="P29" s="3">
        <f ca="1">IFERROR(__xludf.DUMMYFUNCTION("""COMPUTED_VALUE"""),-0.53962166352051)</f>
        <v>-0.53962166352051</v>
      </c>
      <c r="Q29" s="3">
        <f ca="1">IFERROR(__xludf.DUMMYFUNCTION("""COMPUTED_VALUE"""),-0.607888904893053)</f>
        <v>-0.60788890489305303</v>
      </c>
      <c r="R29" s="3">
        <f ca="1">IFERROR(__xludf.DUMMYFUNCTION("""COMPUTED_VALUE"""),-0.594600438981567)</f>
        <v>-0.594600438981567</v>
      </c>
      <c r="S29" s="3">
        <f ca="1">IFERROR(__xludf.DUMMYFUNCTION("""COMPUTED_VALUE"""),-0.510786262704943)</f>
        <v>-0.51078626270494298</v>
      </c>
      <c r="T29" s="3">
        <f ca="1">IFERROR(__xludf.DUMMYFUNCTION("""COMPUTED_VALUE"""),-0.493395045839454)</f>
        <v>-0.49339504583945398</v>
      </c>
      <c r="U29" s="3">
        <f ca="1">IFERROR(__xludf.DUMMYFUNCTION("""COMPUTED_VALUE"""),-0.475617763239302)</f>
        <v>-0.47561776323930199</v>
      </c>
      <c r="V29" s="3">
        <f ca="1">IFERROR(__xludf.DUMMYFUNCTION("""COMPUTED_VALUE"""),-0.553997773638936)</f>
        <v>-0.55399777363893599</v>
      </c>
      <c r="W29" s="3">
        <f ca="1">IFERROR(__xludf.DUMMYFUNCTION("""COMPUTED_VALUE"""),-0.458528570338618)</f>
        <v>-0.45852857033861799</v>
      </c>
      <c r="X29" s="3">
        <f ca="1">IFERROR(__xludf.DUMMYFUNCTION("""COMPUTED_VALUE"""),-0.464902123739765)</f>
        <v>-0.46490212373976503</v>
      </c>
      <c r="Y29" s="3">
        <f ca="1">IFERROR(__xludf.DUMMYFUNCTION("""COMPUTED_VALUE"""),-0.533752149653801)</f>
        <v>-0.53375214965380102</v>
      </c>
      <c r="Z29" s="3">
        <f ca="1">IFERROR(__xludf.DUMMYFUNCTION("""COMPUTED_VALUE"""),-0.489815190029529)</f>
        <v>-0.489815190029529</v>
      </c>
      <c r="AA29" s="3">
        <f ca="1">IFERROR(__xludf.DUMMYFUNCTION("""COMPUTED_VALUE"""),-0.509410055316328)</f>
        <v>-0.50941005531632799</v>
      </c>
      <c r="AB29" s="3">
        <f ca="1">IFERROR(__xludf.DUMMYFUNCTION("""COMPUTED_VALUE"""),-0.522204462549218)</f>
        <v>-0.52220446254921804</v>
      </c>
      <c r="AC29" s="3">
        <f ca="1">IFERROR(__xludf.DUMMYFUNCTION("""COMPUTED_VALUE"""),-0.494785609172071)</f>
        <v>-0.49478560917207098</v>
      </c>
      <c r="AD29" s="3">
        <f ca="1">IFERROR(__xludf.DUMMYFUNCTION("""COMPUTED_VALUE"""),-0.480816801925806)</f>
        <v>-0.480816801925806</v>
      </c>
      <c r="AE29" s="3">
        <f ca="1">IFERROR(__xludf.DUMMYFUNCTION("""COMPUTED_VALUE"""),-0.481029944660463)</f>
        <v>-0.481029944660463</v>
      </c>
      <c r="AF29" s="3">
        <f ca="1">IFERROR(__xludf.DUMMYFUNCTION("""COMPUTED_VALUE"""),-0.590920213157848)</f>
        <v>-0.59092021315784804</v>
      </c>
      <c r="AG29" s="3">
        <f ca="1">IFERROR(__xludf.DUMMYFUNCTION("""COMPUTED_VALUE"""),-0.461152040944086)</f>
        <v>-0.46115204094408602</v>
      </c>
      <c r="AH29" s="3">
        <f ca="1">IFERROR(__xludf.DUMMYFUNCTION("""COMPUTED_VALUE"""),-0.446127763789396)</f>
        <v>-0.446127763789396</v>
      </c>
      <c r="AI29" s="3">
        <f ca="1">IFERROR(__xludf.DUMMYFUNCTION("""COMPUTED_VALUE"""),-0.471445332270755)</f>
        <v>-0.47144533227075502</v>
      </c>
      <c r="AJ29" s="3">
        <f ca="1">IFERROR(__xludf.DUMMYFUNCTION("""COMPUTED_VALUE"""),-0.470914273884455)</f>
        <v>-0.470914273884455</v>
      </c>
      <c r="AK29" s="3">
        <f ca="1">IFERROR(__xludf.DUMMYFUNCTION("""COMPUTED_VALUE"""),-0.517861486096973)</f>
        <v>-0.51786148609697302</v>
      </c>
      <c r="AL29" s="3">
        <f ca="1">IFERROR(__xludf.DUMMYFUNCTION("""COMPUTED_VALUE"""),-0.561704112609083)</f>
        <v>-0.56170411260908304</v>
      </c>
      <c r="AM29" s="3">
        <f ca="1">IFERROR(__xludf.DUMMYFUNCTION("""COMPUTED_VALUE"""),-0.628286420218722)</f>
        <v>-0.62828642021872205</v>
      </c>
      <c r="AN29" s="3">
        <f ca="1">IFERROR(__xludf.DUMMYFUNCTION("""COMPUTED_VALUE"""),-0.488804238625278)</f>
        <v>-0.488804238625278</v>
      </c>
      <c r="AO29" s="3">
        <f ca="1">IFERROR(__xludf.DUMMYFUNCTION("""COMPUTED_VALUE"""),-0.487588457828526)</f>
        <v>-0.487588457828526</v>
      </c>
      <c r="AP29" s="3">
        <f ca="1">IFERROR(__xludf.DUMMYFUNCTION("""COMPUTED_VALUE"""),-0.493678077238558)</f>
        <v>-0.493678077238558</v>
      </c>
      <c r="AQ29" s="3">
        <f ca="1">IFERROR(__xludf.DUMMYFUNCTION("""COMPUTED_VALUE"""),-0.497923767398749)</f>
        <v>-0.497923767398749</v>
      </c>
      <c r="AR29" s="3">
        <f ca="1">IFERROR(__xludf.DUMMYFUNCTION("""COMPUTED_VALUE"""),-0.508651240363083)</f>
        <v>-0.50865124036308296</v>
      </c>
      <c r="AS29" s="3">
        <f ca="1">IFERROR(__xludf.DUMMYFUNCTION("""COMPUTED_VALUE"""),-0.527911441192438)</f>
        <v>-0.52791144119243805</v>
      </c>
      <c r="AT29" s="3">
        <f ca="1">IFERROR(__xludf.DUMMYFUNCTION("""COMPUTED_VALUE"""),-0.660393473899143)</f>
        <v>-0.66039347389914305</v>
      </c>
      <c r="AU29" s="3">
        <f ca="1">IFERROR(__xludf.DUMMYFUNCTION("""COMPUTED_VALUE"""),-0.520154079047211)</f>
        <v>-0.520154079047211</v>
      </c>
      <c r="AV29" s="3">
        <f ca="1">IFERROR(__xludf.DUMMYFUNCTION("""COMPUTED_VALUE"""),-0.515821919598668)</f>
        <v>-0.51582191959866797</v>
      </c>
      <c r="AW29" s="3">
        <f ca="1">IFERROR(__xludf.DUMMYFUNCTION("""COMPUTED_VALUE"""),-0.578599329245794)</f>
        <v>-0.57859932924579405</v>
      </c>
      <c r="AX29" s="3">
        <f ca="1">IFERROR(__xludf.DUMMYFUNCTION("""COMPUTED_VALUE"""),-0.522188631889274)</f>
        <v>-0.522188631889274</v>
      </c>
      <c r="AY29" s="3">
        <f ca="1">IFERROR(__xludf.DUMMYFUNCTION("""COMPUTED_VALUE"""),-0.470915474852397)</f>
        <v>-0.47091547485239699</v>
      </c>
      <c r="AZ29" s="3">
        <f ca="1">IFERROR(__xludf.DUMMYFUNCTION("""COMPUTED_VALUE"""),-0.497389539129888)</f>
        <v>-0.49738953912988798</v>
      </c>
      <c r="BA29" s="3">
        <f ca="1">IFERROR(__xludf.DUMMYFUNCTION("""COMPUTED_VALUE"""),-0.66309023410156)</f>
        <v>-0.66309023410155998</v>
      </c>
      <c r="BB29" s="3">
        <f ca="1">IFERROR(__xludf.DUMMYFUNCTION("""COMPUTED_VALUE"""),-0.564075932691785)</f>
        <v>-0.56407593269178502</v>
      </c>
      <c r="BC29" s="3">
        <f ca="1">IFERROR(__xludf.DUMMYFUNCTION("""COMPUTED_VALUE"""),-0.540040837817772)</f>
        <v>-0.54004083781777201</v>
      </c>
      <c r="BD29" s="3">
        <f ca="1">IFERROR(__xludf.DUMMYFUNCTION("""COMPUTED_VALUE"""),-0.573125775823312)</f>
        <v>-0.57312577582331203</v>
      </c>
      <c r="BE29" s="3">
        <f ca="1">IFERROR(__xludf.DUMMYFUNCTION("""COMPUTED_VALUE"""),-0.43073412679529)</f>
        <v>-0.43073412679529</v>
      </c>
      <c r="BF29" s="3">
        <f ca="1">IFERROR(__xludf.DUMMYFUNCTION("""COMPUTED_VALUE"""),-0.597546161591165)</f>
        <v>-0.59754616159116503</v>
      </c>
      <c r="BG29" s="3">
        <f ca="1">IFERROR(__xludf.DUMMYFUNCTION("""COMPUTED_VALUE"""),-0.743077021508314)</f>
        <v>-0.74307702150831401</v>
      </c>
      <c r="BH29" s="3">
        <f ca="1">IFERROR(__xludf.DUMMYFUNCTION("""COMPUTED_VALUE"""),-0.581885719096041)</f>
        <v>-0.58188571909604103</v>
      </c>
      <c r="BI29" s="3">
        <f ca="1">IFERROR(__xludf.DUMMYFUNCTION("""COMPUTED_VALUE"""),-0.451539198271401)</f>
        <v>-0.45153919827140099</v>
      </c>
      <c r="BJ29" s="3">
        <f ca="1">IFERROR(__xludf.DUMMYFUNCTION("""COMPUTED_VALUE"""),-0.647530650878619)</f>
        <v>-0.64753065087861905</v>
      </c>
      <c r="BK29" s="3">
        <f ca="1">IFERROR(__xludf.DUMMYFUNCTION("""COMPUTED_VALUE"""),-0.600654638127044)</f>
        <v>-0.600654638127044</v>
      </c>
      <c r="BL29" s="3">
        <f ca="1">IFERROR(__xludf.DUMMYFUNCTION("""COMPUTED_VALUE"""),-0.583916975605038)</f>
        <v>-0.58391697560503797</v>
      </c>
      <c r="BM29" s="3">
        <f ca="1">IFERROR(__xludf.DUMMYFUNCTION("""COMPUTED_VALUE"""),-0.464600487956901)</f>
        <v>-0.46460048795690101</v>
      </c>
      <c r="BN29" s="3">
        <f ca="1">IFERROR(__xludf.DUMMYFUNCTION("""COMPUTED_VALUE"""),-0.461271781167903)</f>
        <v>-0.46127178116790302</v>
      </c>
      <c r="BO29" s="3">
        <f ca="1">IFERROR(__xludf.DUMMYFUNCTION("""COMPUTED_VALUE"""),-0.58274362956283)</f>
        <v>-0.58274362956282999</v>
      </c>
      <c r="BP29" s="3">
        <f ca="1">IFERROR(__xludf.DUMMYFUNCTION("""COMPUTED_VALUE"""),-0.55980116823077)</f>
        <v>-0.55980116823076997</v>
      </c>
      <c r="BQ29" s="3">
        <f ca="1">IFERROR(__xludf.DUMMYFUNCTION("""COMPUTED_VALUE"""),-0.537264459110334)</f>
        <v>-0.53726445911033405</v>
      </c>
      <c r="BR29" s="3">
        <f ca="1">IFERROR(__xludf.DUMMYFUNCTION("""COMPUTED_VALUE"""),-0.529822190132838)</f>
        <v>-0.52982219013283804</v>
      </c>
      <c r="BS29" s="3">
        <f ca="1">IFERROR(__xludf.DUMMYFUNCTION("""COMPUTED_VALUE"""),-0.487898373260732)</f>
        <v>-0.48789837326073199</v>
      </c>
      <c r="BT29" s="3">
        <f ca="1">IFERROR(__xludf.DUMMYFUNCTION("""COMPUTED_VALUE"""),-0.466976026970065)</f>
        <v>-0.46697602697006502</v>
      </c>
      <c r="BU29" s="3">
        <f ca="1">IFERROR(__xludf.DUMMYFUNCTION("""COMPUTED_VALUE"""),-0.535086987436381)</f>
        <v>-0.53508698743638095</v>
      </c>
      <c r="BV29" s="3">
        <f ca="1">IFERROR(__xludf.DUMMYFUNCTION("""COMPUTED_VALUE"""),-0.614405230742721)</f>
        <v>-0.61440523074272102</v>
      </c>
      <c r="BW29" s="3">
        <f ca="1">IFERROR(__xludf.DUMMYFUNCTION("""COMPUTED_VALUE"""),-0.578261554134563)</f>
        <v>-0.57826155413456304</v>
      </c>
      <c r="BX29" s="3">
        <f ca="1">IFERROR(__xludf.DUMMYFUNCTION("""COMPUTED_VALUE"""),-0.59766610659078)</f>
        <v>-0.59766610659078001</v>
      </c>
      <c r="BY29" s="3">
        <f ca="1">IFERROR(__xludf.DUMMYFUNCTION("""COMPUTED_VALUE"""),-0.57904801194752)</f>
        <v>-0.57904801194751998</v>
      </c>
      <c r="BZ29" s="3">
        <f ca="1">IFERROR(__xludf.DUMMYFUNCTION("""COMPUTED_VALUE"""),-0.556627906876256)</f>
        <v>-0.55662790687625596</v>
      </c>
      <c r="CA29" s="3">
        <f ca="1">IFERROR(__xludf.DUMMYFUNCTION("""COMPUTED_VALUE"""),-0.55856028415889)</f>
        <v>-0.55856028415889003</v>
      </c>
      <c r="CB29" s="3">
        <f ca="1">IFERROR(__xludf.DUMMYFUNCTION("""COMPUTED_VALUE"""),-0.613802311791792)</f>
        <v>-0.61380231179179201</v>
      </c>
      <c r="CC29" s="3">
        <f ca="1">IFERROR(__xludf.DUMMYFUNCTION("""COMPUTED_VALUE"""),-0.615637479374922)</f>
        <v>-0.61563747937492197</v>
      </c>
      <c r="CD29" s="3">
        <f ca="1">IFERROR(__xludf.DUMMYFUNCTION("""COMPUTED_VALUE"""),-0.589483177074211)</f>
        <v>-0.58948317707421105</v>
      </c>
      <c r="CE29" s="3">
        <f ca="1">IFERROR(__xludf.DUMMYFUNCTION("""COMPUTED_VALUE"""),-0.576998198446163)</f>
        <v>-0.57699819844616296</v>
      </c>
      <c r="CF29" s="3">
        <f ca="1">IFERROR(__xludf.DUMMYFUNCTION("""COMPUTED_VALUE"""),-0.57840695634138)</f>
        <v>-0.57840695634137995</v>
      </c>
      <c r="CG29" s="3">
        <f ca="1">IFERROR(__xludf.DUMMYFUNCTION("""COMPUTED_VALUE"""),-0.51401518372717)</f>
        <v>-0.51401518372717003</v>
      </c>
      <c r="CH29" s="3">
        <f ca="1">IFERROR(__xludf.DUMMYFUNCTION("""COMPUTED_VALUE"""),-0.568612351064758)</f>
        <v>-0.56861235106475805</v>
      </c>
      <c r="CI29" s="3">
        <f ca="1">IFERROR(__xludf.DUMMYFUNCTION("""COMPUTED_VALUE"""),-0.591654597596744)</f>
        <v>-0.59165459759674399</v>
      </c>
      <c r="CJ29" s="3">
        <f ca="1">IFERROR(__xludf.DUMMYFUNCTION("""COMPUTED_VALUE"""),-0.585328780710742)</f>
        <v>-0.58532878071074201</v>
      </c>
      <c r="CK29" s="3">
        <f ca="1">IFERROR(__xludf.DUMMYFUNCTION("""COMPUTED_VALUE"""),-0.604477516511189)</f>
        <v>-0.60447751651118897</v>
      </c>
      <c r="CL29" s="3">
        <f ca="1">IFERROR(__xludf.DUMMYFUNCTION("""COMPUTED_VALUE"""),-0.562398745241212)</f>
        <v>-0.56239874524121203</v>
      </c>
      <c r="CM29" s="3">
        <f ca="1">IFERROR(__xludf.DUMMYFUNCTION("""COMPUTED_VALUE"""),-0.513923604774613)</f>
        <v>-0.51392360477461296</v>
      </c>
      <c r="CN29" s="3">
        <f ca="1">IFERROR(__xludf.DUMMYFUNCTION("""COMPUTED_VALUE"""),-0.532921900576225)</f>
        <v>-0.53292190057622502</v>
      </c>
      <c r="CO29" s="3">
        <f ca="1">IFERROR(__xludf.DUMMYFUNCTION("""COMPUTED_VALUE"""),-0.560392800485299)</f>
        <v>-0.56039280048529905</v>
      </c>
      <c r="CP29" s="3">
        <f ca="1">IFERROR(__xludf.DUMMYFUNCTION("""COMPUTED_VALUE"""),-0.626145016582192)</f>
        <v>-0.62614501658219202</v>
      </c>
      <c r="CQ29" s="3">
        <f ca="1">IFERROR(__xludf.DUMMYFUNCTION("""COMPUTED_VALUE"""),-0.600655417678299)</f>
        <v>-0.600655417678299</v>
      </c>
      <c r="CR29" s="3">
        <f ca="1">IFERROR(__xludf.DUMMYFUNCTION("""COMPUTED_VALUE"""),-0.558995026043097)</f>
        <v>-0.55899502604309703</v>
      </c>
      <c r="CS29" s="3">
        <f ca="1">IFERROR(__xludf.DUMMYFUNCTION("""COMPUTED_VALUE"""),-0.481971666545846)</f>
        <v>-0.481971666545846</v>
      </c>
      <c r="CT29" s="3">
        <f ca="1">IFERROR(__xludf.DUMMYFUNCTION("""COMPUTED_VALUE"""),-0.47328580998289)</f>
        <v>-0.47328580998288999</v>
      </c>
      <c r="CU29" s="3">
        <f ca="1">IFERROR(__xludf.DUMMYFUNCTION("""COMPUTED_VALUE"""),-0.3203462974978)</f>
        <v>-0.32034629749780003</v>
      </c>
      <c r="CV29" s="3">
        <f ca="1">IFERROR(__xludf.DUMMYFUNCTION("""COMPUTED_VALUE"""),-0.515807222882892)</f>
        <v>-0.51580722288289205</v>
      </c>
      <c r="CW29" s="3">
        <f ca="1">IFERROR(__xludf.DUMMYFUNCTION("""COMPUTED_VALUE"""),-0.569666677198347)</f>
        <v>-0.56966667719834696</v>
      </c>
      <c r="CX29" s="3">
        <f ca="1">IFERROR(__xludf.DUMMYFUNCTION("""COMPUTED_VALUE"""),-0.647318863564311)</f>
        <v>-0.64731886356431101</v>
      </c>
      <c r="CY29" s="3">
        <f ca="1">IFERROR(__xludf.DUMMYFUNCTION("""COMPUTED_VALUE"""),-0.734355852693771)</f>
        <v>-0.73435585269377102</v>
      </c>
      <c r="CZ29" s="3">
        <f ca="1">IFERROR(__xludf.DUMMYFUNCTION("""COMPUTED_VALUE"""),-0.712771334848826)</f>
        <v>-0.71277133484882604</v>
      </c>
      <c r="DA29" s="3">
        <f ca="1">IFERROR(__xludf.DUMMYFUNCTION("""COMPUTED_VALUE"""),-0.351436066446127)</f>
        <v>-0.35143606644612702</v>
      </c>
      <c r="DB29" s="3">
        <f ca="1">IFERROR(__xludf.DUMMYFUNCTION("""COMPUTED_VALUE"""),-0.390119893588431)</f>
        <v>-0.39011989358843102</v>
      </c>
      <c r="DC29" s="3">
        <f ca="1">IFERROR(__xludf.DUMMYFUNCTION("""COMPUTED_VALUE"""),-0.457108677932027)</f>
        <v>-0.45710867793202697</v>
      </c>
      <c r="DD29" s="3">
        <f ca="1">IFERROR(__xludf.DUMMYFUNCTION("""COMPUTED_VALUE"""),-0.458501814866612)</f>
        <v>-0.45850181486661201</v>
      </c>
      <c r="DE29" s="3">
        <f ca="1">IFERROR(__xludf.DUMMYFUNCTION("""COMPUTED_VALUE"""),-0.876121683106143)</f>
        <v>-0.87612168310614302</v>
      </c>
      <c r="DF29" s="3">
        <f ca="1">IFERROR(__xludf.DUMMYFUNCTION("""COMPUTED_VALUE"""),-0.88478698973921)</f>
        <v>-0.88478698973920999</v>
      </c>
      <c r="DG29" s="3">
        <f ca="1">IFERROR(__xludf.DUMMYFUNCTION("""COMPUTED_VALUE"""),-0.83921394299153)</f>
        <v>-0.83921394299152996</v>
      </c>
      <c r="DH29" s="3">
        <f ca="1">IFERROR(__xludf.DUMMYFUNCTION("""COMPUTED_VALUE"""),-0.347933616494724)</f>
        <v>-0.34793361649472399</v>
      </c>
      <c r="DI29" s="3">
        <f ca="1">IFERROR(__xludf.DUMMYFUNCTION("""COMPUTED_VALUE"""),-0.0807412146108873)</f>
        <v>-8.0741214610887305E-2</v>
      </c>
      <c r="DJ29" s="3">
        <f ca="1">IFERROR(__xludf.DUMMYFUNCTION("""COMPUTED_VALUE"""),-0.445988626703548)</f>
        <v>-0.445988626703548</v>
      </c>
      <c r="DK29" s="3">
        <f ca="1">IFERROR(__xludf.DUMMYFUNCTION("""COMPUTED_VALUE"""),-0.622036774628567)</f>
        <v>-0.62203677462856699</v>
      </c>
      <c r="DL29" s="3">
        <f ca="1">IFERROR(__xludf.DUMMYFUNCTION("""COMPUTED_VALUE"""),-0.611703296015202)</f>
        <v>-0.61170329601520201</v>
      </c>
      <c r="DM29" s="3">
        <f ca="1">IFERROR(__xludf.DUMMYFUNCTION("""COMPUTED_VALUE"""),-0.631146436499131)</f>
        <v>-0.63114643649913105</v>
      </c>
      <c r="DN29" s="3">
        <f ca="1">IFERROR(__xludf.DUMMYFUNCTION("""COMPUTED_VALUE"""),-0.538378869050727)</f>
        <v>-0.53837886905072696</v>
      </c>
      <c r="DO29" s="3">
        <f ca="1">IFERROR(__xludf.DUMMYFUNCTION("""COMPUTED_VALUE"""),-0.441857895152743)</f>
        <v>-0.44185789515274299</v>
      </c>
      <c r="DP29" s="3">
        <f ca="1">IFERROR(__xludf.DUMMYFUNCTION("""COMPUTED_VALUE"""),-0.440265947380195)</f>
        <v>-0.44026594738019498</v>
      </c>
      <c r="DQ29" s="3">
        <f ca="1">IFERROR(__xludf.DUMMYFUNCTION("""COMPUTED_VALUE"""),-0.522346498408165)</f>
        <v>-0.52234649840816505</v>
      </c>
      <c r="DR29" s="3">
        <f ca="1">IFERROR(__xludf.DUMMYFUNCTION("""COMPUTED_VALUE"""),-0.546365197648372)</f>
        <v>-0.54636519764837199</v>
      </c>
      <c r="DS29" s="3">
        <f ca="1">IFERROR(__xludf.DUMMYFUNCTION("""COMPUTED_VALUE"""),-0.698180533978333)</f>
        <v>-0.69818053397833302</v>
      </c>
      <c r="DT29" s="3">
        <f ca="1">IFERROR(__xludf.DUMMYFUNCTION("""COMPUTED_VALUE"""),-0.609293035738096)</f>
        <v>-0.60929303573809601</v>
      </c>
      <c r="DU29" s="3">
        <f ca="1">IFERROR(__xludf.DUMMYFUNCTION("""COMPUTED_VALUE"""),-0.548643739602932)</f>
        <v>-0.548643739602932</v>
      </c>
      <c r="DV29" s="3">
        <f ca="1">IFERROR(__xludf.DUMMYFUNCTION("""COMPUTED_VALUE"""),-0.554715800825704)</f>
        <v>-0.55471580082570404</v>
      </c>
      <c r="DW29" s="3">
        <f ca="1">IFERROR(__xludf.DUMMYFUNCTION("""COMPUTED_VALUE"""),-0.608777981928468)</f>
        <v>-0.60877798192846799</v>
      </c>
      <c r="DX29" s="3">
        <f ca="1">IFERROR(__xludf.DUMMYFUNCTION("""COMPUTED_VALUE"""),-0.591980177475631)</f>
        <v>-0.59198017747563103</v>
      </c>
      <c r="DY29" s="3">
        <f ca="1">IFERROR(__xludf.DUMMYFUNCTION("""COMPUTED_VALUE"""),-0.618429868494398)</f>
        <v>-0.61842986849439796</v>
      </c>
      <c r="DZ29" s="3">
        <f ca="1">IFERROR(__xludf.DUMMYFUNCTION("""COMPUTED_VALUE"""),-0.629194356543296)</f>
        <v>-0.62919435654329603</v>
      </c>
      <c r="EA29" s="3">
        <f ca="1">IFERROR(__xludf.DUMMYFUNCTION("""COMPUTED_VALUE"""),-0.614018514441675)</f>
        <v>-0.61401851444167499</v>
      </c>
      <c r="EB29" s="3">
        <f ca="1">IFERROR(__xludf.DUMMYFUNCTION("""COMPUTED_VALUE"""),-0.620310899253557)</f>
        <v>-0.62031089925355698</v>
      </c>
      <c r="EC29" s="3">
        <f ca="1">IFERROR(__xludf.DUMMYFUNCTION("""COMPUTED_VALUE"""),-0.61846538725919)</f>
        <v>-0.61846538725918998</v>
      </c>
      <c r="ED29" s="3">
        <f ca="1">IFERROR(__xludf.DUMMYFUNCTION("""COMPUTED_VALUE"""),-0.609618551615453)</f>
        <v>-0.60961855161545297</v>
      </c>
      <c r="EE29" s="3">
        <f ca="1">IFERROR(__xludf.DUMMYFUNCTION("""COMPUTED_VALUE"""),-0.534961315329605)</f>
        <v>-0.534961315329605</v>
      </c>
      <c r="EF29" s="3">
        <f ca="1">IFERROR(__xludf.DUMMYFUNCTION("""COMPUTED_VALUE"""),-0.542561588299266)</f>
        <v>-0.54256158829926604</v>
      </c>
      <c r="EG29" s="3">
        <f ca="1">IFERROR(__xludf.DUMMYFUNCTION("""COMPUTED_VALUE"""),-0.686457210356904)</f>
        <v>-0.68645721035690399</v>
      </c>
      <c r="EH29" s="3">
        <f ca="1">IFERROR(__xludf.DUMMYFUNCTION("""COMPUTED_VALUE"""),-0.676231292406772)</f>
        <v>-0.67623129240677204</v>
      </c>
      <c r="EI29" s="3">
        <f ca="1">IFERROR(__xludf.DUMMYFUNCTION("""COMPUTED_VALUE"""),-0.612470178711406)</f>
        <v>-0.61247017871140597</v>
      </c>
      <c r="EJ29" s="3">
        <f ca="1">IFERROR(__xludf.DUMMYFUNCTION("""COMPUTED_VALUE"""),-0.585592438324345)</f>
        <v>-0.58559243832434504</v>
      </c>
      <c r="EK29" s="3">
        <f ca="1">IFERROR(__xludf.DUMMYFUNCTION("""COMPUTED_VALUE"""),-0.605952991767422)</f>
        <v>-0.60595299176742201</v>
      </c>
      <c r="EL29" s="3">
        <f ca="1">IFERROR(__xludf.DUMMYFUNCTION("""COMPUTED_VALUE"""),-0.589749402913387)</f>
        <v>-0.58974940291338696</v>
      </c>
      <c r="EM29" s="3">
        <f ca="1">IFERROR(__xludf.DUMMYFUNCTION("""COMPUTED_VALUE"""),-0.619541133044822)</f>
        <v>-0.61954113304482195</v>
      </c>
      <c r="EN29" s="3">
        <f ca="1">IFERROR(__xludf.DUMMYFUNCTION("""COMPUTED_VALUE"""),-0.694334795311328)</f>
        <v>-0.69433479531132802</v>
      </c>
      <c r="EO29" s="3">
        <f ca="1">IFERROR(__xludf.DUMMYFUNCTION("""COMPUTED_VALUE"""),-0.697049770843017)</f>
        <v>-0.697049770843017</v>
      </c>
      <c r="EP29" s="3">
        <f ca="1">IFERROR(__xludf.DUMMYFUNCTION("""COMPUTED_VALUE"""),-0.658260813539805)</f>
        <v>-0.65826081353980503</v>
      </c>
      <c r="EQ29" s="3">
        <f ca="1">IFERROR(__xludf.DUMMYFUNCTION("""COMPUTED_VALUE"""),-0.534258365717197)</f>
        <v>-0.53425836571719698</v>
      </c>
      <c r="ER29" s="3">
        <f ca="1">IFERROR(__xludf.DUMMYFUNCTION("""COMPUTED_VALUE"""),-0.529744713242809)</f>
        <v>-0.52974471324280903</v>
      </c>
      <c r="ES29" s="3">
        <f ca="1">IFERROR(__xludf.DUMMYFUNCTION("""COMPUTED_VALUE"""),-0.476973458588235)</f>
        <v>-0.47697345858823498</v>
      </c>
      <c r="ET29" s="3">
        <f ca="1">IFERROR(__xludf.DUMMYFUNCTION("""COMPUTED_VALUE"""),-0.551681022883737)</f>
        <v>-0.55168102288373699</v>
      </c>
      <c r="EU29" s="3">
        <f ca="1">IFERROR(__xludf.DUMMYFUNCTION("""COMPUTED_VALUE"""),-0.594867163398294)</f>
        <v>-0.59486716339829404</v>
      </c>
      <c r="EV29" s="3">
        <f ca="1">IFERROR(__xludf.DUMMYFUNCTION("""COMPUTED_VALUE"""),-0.602838235806308)</f>
        <v>-0.60283823580630802</v>
      </c>
      <c r="EW29" s="3">
        <f ca="1">IFERROR(__xludf.DUMMYFUNCTION("""COMPUTED_VALUE"""),-0.587601962822646)</f>
        <v>-0.58760196282264598</v>
      </c>
      <c r="EX29" s="3">
        <f ca="1">IFERROR(__xludf.DUMMYFUNCTION("""COMPUTED_VALUE"""),-0.734477202838265)</f>
        <v>-0.73447720283826501</v>
      </c>
      <c r="EY29" s="3">
        <f ca="1">IFERROR(__xludf.DUMMYFUNCTION("""COMPUTED_VALUE"""),-0.697887577820069)</f>
        <v>-0.69788757782006905</v>
      </c>
      <c r="EZ29" s="3">
        <f ca="1">IFERROR(__xludf.DUMMYFUNCTION("""COMPUTED_VALUE"""),-0.372668998696233)</f>
        <v>-0.37266899869623299</v>
      </c>
      <c r="FA29" s="3">
        <f ca="1">IFERROR(__xludf.DUMMYFUNCTION("""COMPUTED_VALUE"""),-0.477367252325274)</f>
        <v>-0.47736725232527399</v>
      </c>
      <c r="FB29" s="3">
        <f ca="1">IFERROR(__xludf.DUMMYFUNCTION("""COMPUTED_VALUE"""),-0.547923674118175)</f>
        <v>-0.547923674118175</v>
      </c>
      <c r="FC29" s="3">
        <f ca="1">IFERROR(__xludf.DUMMYFUNCTION("""COMPUTED_VALUE"""),-0.576734232614761)</f>
        <v>-0.57673423261476098</v>
      </c>
      <c r="FD29" s="3">
        <f ca="1">IFERROR(__xludf.DUMMYFUNCTION("""COMPUTED_VALUE"""),-0.529684229791925)</f>
        <v>-0.52968422979192498</v>
      </c>
      <c r="FE29" s="3">
        <f ca="1">IFERROR(__xludf.DUMMYFUNCTION("""COMPUTED_VALUE"""),-0.524248233975919)</f>
        <v>-0.52424823397591902</v>
      </c>
      <c r="FF29" s="3">
        <f ca="1">IFERROR(__xludf.DUMMYFUNCTION("""COMPUTED_VALUE"""),-0.54605433568066)</f>
        <v>-0.54605433568065997</v>
      </c>
      <c r="FG29" s="3">
        <f ca="1">IFERROR(__xludf.DUMMYFUNCTION("""COMPUTED_VALUE"""),-0.47650370717798)</f>
        <v>-0.47650370717798002</v>
      </c>
      <c r="FH29" s="3">
        <f ca="1">IFERROR(__xludf.DUMMYFUNCTION("""COMPUTED_VALUE"""),-0.457883408445773)</f>
        <v>-0.45788340844577302</v>
      </c>
      <c r="FI29" s="3">
        <f ca="1">IFERROR(__xludf.DUMMYFUNCTION("""COMPUTED_VALUE"""),-0.500006874062652)</f>
        <v>-0.50000687406265198</v>
      </c>
      <c r="FJ29" s="3">
        <f ca="1">IFERROR(__xludf.DUMMYFUNCTION("""COMPUTED_VALUE"""),-0.525908616630842)</f>
        <v>-0.52590861663084199</v>
      </c>
      <c r="FK29" s="3">
        <f ca="1">IFERROR(__xludf.DUMMYFUNCTION("""COMPUTED_VALUE"""),-0.603103526229631)</f>
        <v>-0.60310352622963104</v>
      </c>
      <c r="FL29" s="3">
        <f ca="1">IFERROR(__xludf.DUMMYFUNCTION("""COMPUTED_VALUE"""),-0.549603910961556)</f>
        <v>-0.54960391096155603</v>
      </c>
      <c r="FM29" s="3">
        <f ca="1">IFERROR(__xludf.DUMMYFUNCTION("""COMPUTED_VALUE"""),-0.499059025326826)</f>
        <v>-0.499059025326826</v>
      </c>
      <c r="FN29" s="3">
        <f ca="1">IFERROR(__xludf.DUMMYFUNCTION("""COMPUTED_VALUE"""),-0.524168022051368)</f>
        <v>-0.52416802205136803</v>
      </c>
      <c r="FO29" s="3">
        <f ca="1">IFERROR(__xludf.DUMMYFUNCTION("""COMPUTED_VALUE"""),-0.530197919112941)</f>
        <v>-0.53019791911294101</v>
      </c>
      <c r="FP29" s="3">
        <f ca="1">IFERROR(__xludf.DUMMYFUNCTION("""COMPUTED_VALUE"""),-0.584608449895228)</f>
        <v>-0.58460844989522798</v>
      </c>
      <c r="FQ29" s="3">
        <f ca="1">IFERROR(__xludf.DUMMYFUNCTION("""COMPUTED_VALUE"""),-0.55521861768377)</f>
        <v>-0.55521861768377001</v>
      </c>
      <c r="FR29" s="3">
        <f ca="1">IFERROR(__xludf.DUMMYFUNCTION("""COMPUTED_VALUE"""),-0.648464143457616)</f>
        <v>-0.64846414345761605</v>
      </c>
      <c r="FS29" s="3">
        <f ca="1">IFERROR(__xludf.DUMMYFUNCTION("""COMPUTED_VALUE"""),-0.574792521157802)</f>
        <v>-0.57479252115780199</v>
      </c>
      <c r="FT29" s="3">
        <f ca="1">IFERROR(__xludf.DUMMYFUNCTION("""COMPUTED_VALUE"""),-0.509096278016859)</f>
        <v>-0.50909627801685897</v>
      </c>
      <c r="FU29" s="3">
        <f ca="1">IFERROR(__xludf.DUMMYFUNCTION("""COMPUTED_VALUE"""),-0.441471361331267)</f>
        <v>-0.44147136133126702</v>
      </c>
      <c r="FV29" s="3">
        <f ca="1">IFERROR(__xludf.DUMMYFUNCTION("""COMPUTED_VALUE"""),-0.411112549483753)</f>
        <v>-0.41111254948375298</v>
      </c>
      <c r="FW29" s="3">
        <f ca="1">IFERROR(__xludf.DUMMYFUNCTION("""COMPUTED_VALUE"""),-0.581072779121543)</f>
        <v>-0.58107277912154298</v>
      </c>
      <c r="FX29" s="3">
        <f ca="1">IFERROR(__xludf.DUMMYFUNCTION("""COMPUTED_VALUE"""),-0.581404521144658)</f>
        <v>-0.58140452114465802</v>
      </c>
      <c r="FY29" s="3">
        <f ca="1">IFERROR(__xludf.DUMMYFUNCTION("""COMPUTED_VALUE"""),-0.64593610940058)</f>
        <v>-0.64593610940057999</v>
      </c>
      <c r="FZ29" s="3">
        <f ca="1">IFERROR(__xludf.DUMMYFUNCTION("""COMPUTED_VALUE"""),-0.561542750889748)</f>
        <v>-0.56154275088974803</v>
      </c>
      <c r="GA29" s="3">
        <f ca="1">IFERROR(__xludf.DUMMYFUNCTION("""COMPUTED_VALUE"""),-0.556400229966257)</f>
        <v>-0.55640022996625704</v>
      </c>
      <c r="GB29" s="3">
        <f ca="1">IFERROR(__xludf.DUMMYFUNCTION("""COMPUTED_VALUE"""),-0.647345245048164)</f>
        <v>-0.64734524504816404</v>
      </c>
      <c r="GC29" s="3">
        <f ca="1">IFERROR(__xludf.DUMMYFUNCTION("""COMPUTED_VALUE"""),-0.745618143409539)</f>
        <v>-0.74561814340953902</v>
      </c>
      <c r="GD29" s="3">
        <f ca="1">IFERROR(__xludf.DUMMYFUNCTION("""COMPUTED_VALUE"""),-0.613405208177513)</f>
        <v>-0.61340520817751298</v>
      </c>
      <c r="GE29" s="3">
        <f ca="1">IFERROR(__xludf.DUMMYFUNCTION("""COMPUTED_VALUE"""),-0.517135960951403)</f>
        <v>-0.51713596095140302</v>
      </c>
      <c r="GF29" s="3">
        <f ca="1">IFERROR(__xludf.DUMMYFUNCTION("""COMPUTED_VALUE"""),-0.509452500564261)</f>
        <v>-0.50945250056426095</v>
      </c>
      <c r="GG29" s="3">
        <f ca="1">IFERROR(__xludf.DUMMYFUNCTION("""COMPUTED_VALUE"""),-0.479804378756546)</f>
        <v>-0.47980437875654602</v>
      </c>
      <c r="GH29" s="3">
        <f ca="1">IFERROR(__xludf.DUMMYFUNCTION("""COMPUTED_VALUE"""),-0.456238001228711)</f>
        <v>-0.456238001228711</v>
      </c>
      <c r="GI29" s="3">
        <f ca="1">IFERROR(__xludf.DUMMYFUNCTION("""COMPUTED_VALUE"""),-0.422607601297913)</f>
        <v>-0.42260760129791303</v>
      </c>
      <c r="GJ29" s="3">
        <f ca="1">IFERROR(__xludf.DUMMYFUNCTION("""COMPUTED_VALUE"""),-0.420302579461346)</f>
        <v>-0.42030257946134603</v>
      </c>
      <c r="GK29" s="3">
        <f ca="1">IFERROR(__xludf.DUMMYFUNCTION("""COMPUTED_VALUE"""),-0.576583203178916)</f>
        <v>-0.57658320317891598</v>
      </c>
      <c r="GL29" s="3">
        <f ca="1">IFERROR(__xludf.DUMMYFUNCTION("""COMPUTED_VALUE"""),-0.56387162153523)</f>
        <v>-0.56387162153522996</v>
      </c>
      <c r="GM29" s="3">
        <f ca="1">IFERROR(__xludf.DUMMYFUNCTION("""COMPUTED_VALUE"""),-0.556408609859561)</f>
        <v>-0.55640860985956098</v>
      </c>
      <c r="GN29" s="3">
        <f ca="1">IFERROR(__xludf.DUMMYFUNCTION("""COMPUTED_VALUE"""),-0.483056452119723)</f>
        <v>-0.48305645211972298</v>
      </c>
      <c r="GO29" s="3">
        <f ca="1">IFERROR(__xludf.DUMMYFUNCTION("""COMPUTED_VALUE"""),-0.446373368625502)</f>
        <v>-0.44637336862550198</v>
      </c>
      <c r="GP29" s="3">
        <f ca="1">IFERROR(__xludf.DUMMYFUNCTION("""COMPUTED_VALUE"""),-0.423547636546388)</f>
        <v>-0.423547636546388</v>
      </c>
      <c r="GQ29" s="3">
        <f ca="1">IFERROR(__xludf.DUMMYFUNCTION("""COMPUTED_VALUE"""),-0.488115346086367)</f>
        <v>-0.48811534608636697</v>
      </c>
      <c r="GR29" s="3">
        <f ca="1">IFERROR(__xludf.DUMMYFUNCTION("""COMPUTED_VALUE"""),-0.621635001438136)</f>
        <v>-0.62163500143813599</v>
      </c>
      <c r="GS29" s="3">
        <f ca="1">IFERROR(__xludf.DUMMYFUNCTION("""COMPUTED_VALUE"""),-0.62625581066567)</f>
        <v>-0.62625581066567004</v>
      </c>
      <c r="GT29" s="3">
        <f ca="1">IFERROR(__xludf.DUMMYFUNCTION("""COMPUTED_VALUE"""),-0.577339448729244)</f>
        <v>-0.57733944872924403</v>
      </c>
      <c r="GU29" s="3">
        <f ca="1">IFERROR(__xludf.DUMMYFUNCTION("""COMPUTED_VALUE"""),-0.485609322020257)</f>
        <v>-0.48560932202025697</v>
      </c>
      <c r="GV29" s="3">
        <f ca="1">IFERROR(__xludf.DUMMYFUNCTION("""COMPUTED_VALUE"""),-0.477496739879498)</f>
        <v>-0.47749673987949798</v>
      </c>
      <c r="GW29" s="3">
        <f ca="1">IFERROR(__xludf.DUMMYFUNCTION("""COMPUTED_VALUE"""),-0.427036765793428)</f>
        <v>-0.42703676579342797</v>
      </c>
      <c r="GX29" s="3">
        <f ca="1">IFERROR(__xludf.DUMMYFUNCTION("""COMPUTED_VALUE"""),-0.462648647942122)</f>
        <v>-0.46264864794212202</v>
      </c>
      <c r="GY29" s="3">
        <f ca="1">IFERROR(__xludf.DUMMYFUNCTION("""COMPUTED_VALUE"""),-0.569535875262606)</f>
        <v>-0.56953587526260596</v>
      </c>
      <c r="GZ29" s="3">
        <f ca="1">IFERROR(__xludf.DUMMYFUNCTION("""COMPUTED_VALUE"""),-0.600412066303071)</f>
        <v>-0.60041206630307098</v>
      </c>
      <c r="HA29" s="3">
        <f ca="1">IFERROR(__xludf.DUMMYFUNCTION("""COMPUTED_VALUE"""),-0.516539892526228)</f>
        <v>-0.51653989252622801</v>
      </c>
      <c r="HB29" s="3">
        <f ca="1">IFERROR(__xludf.DUMMYFUNCTION("""COMPUTED_VALUE"""),-0.361152954341845)</f>
        <v>-0.36115295434184502</v>
      </c>
      <c r="HC29" s="3">
        <f ca="1">IFERROR(__xludf.DUMMYFUNCTION("""COMPUTED_VALUE"""),-0.379724889048261)</f>
        <v>-0.37972488904826102</v>
      </c>
      <c r="HD29" s="3">
        <f ca="1">IFERROR(__xludf.DUMMYFUNCTION("""COMPUTED_VALUE"""),-0.373111449293732)</f>
        <v>-0.37311144929373202</v>
      </c>
      <c r="HE29" s="3">
        <f ca="1">IFERROR(__xludf.DUMMYFUNCTION("""COMPUTED_VALUE"""),-0.461175398574375)</f>
        <v>-0.46117539857437501</v>
      </c>
      <c r="HF29" s="3">
        <f ca="1">IFERROR(__xludf.DUMMYFUNCTION("""COMPUTED_VALUE"""),-0.556448955011398)</f>
        <v>-0.55644895501139802</v>
      </c>
      <c r="HG29" s="3">
        <f ca="1">IFERROR(__xludf.DUMMYFUNCTION("""COMPUTED_VALUE"""),-0.577458215322228)</f>
        <v>-0.57745821532222796</v>
      </c>
      <c r="HH29" s="3">
        <f ca="1">IFERROR(__xludf.DUMMYFUNCTION("""COMPUTED_VALUE"""),-0.47111385573773)</f>
        <v>-0.47111385573773001</v>
      </c>
      <c r="HI29" s="3">
        <f ca="1">IFERROR(__xludf.DUMMYFUNCTION("""COMPUTED_VALUE"""),-0.40405000036501)</f>
        <v>-0.40405000036500999</v>
      </c>
      <c r="HJ29" s="3">
        <f ca="1">IFERROR(__xludf.DUMMYFUNCTION("""COMPUTED_VALUE"""),-0.492092995256343)</f>
        <v>-0.49209299525634298</v>
      </c>
      <c r="HK29" s="3">
        <f ca="1">IFERROR(__xludf.DUMMYFUNCTION("""COMPUTED_VALUE"""),-0.638482227484669)</f>
        <v>-0.63848222748466898</v>
      </c>
      <c r="HL29" s="3">
        <f ca="1">IFERROR(__xludf.DUMMYFUNCTION("""COMPUTED_VALUE"""),-0.673882986807524)</f>
        <v>-0.67388298680752401</v>
      </c>
      <c r="HM29" s="3">
        <f ca="1">IFERROR(__xludf.DUMMYFUNCTION("""COMPUTED_VALUE"""),-0.482590620875915)</f>
        <v>-0.48259062087591498</v>
      </c>
      <c r="HN29" s="3">
        <f ca="1">IFERROR(__xludf.DUMMYFUNCTION("""COMPUTED_VALUE"""),-0.53005652667834)</f>
        <v>-0.53005652667834002</v>
      </c>
      <c r="HO29" s="3">
        <f ca="1">IFERROR(__xludf.DUMMYFUNCTION("""COMPUTED_VALUE"""),-0.491696259669284)</f>
        <v>-0.49169625966928399</v>
      </c>
      <c r="HP29" s="3">
        <f ca="1">IFERROR(__xludf.DUMMYFUNCTION("""COMPUTED_VALUE"""),-0.507738072619274)</f>
        <v>-0.50773807261927395</v>
      </c>
      <c r="HQ29" s="3">
        <f ca="1">IFERROR(__xludf.DUMMYFUNCTION("""COMPUTED_VALUE"""),-0.516783107150167)</f>
        <v>-0.51678310715016695</v>
      </c>
      <c r="HR29" s="3">
        <f ca="1">IFERROR(__xludf.DUMMYFUNCTION("""COMPUTED_VALUE"""),-0.441060411740075)</f>
        <v>-0.44106041174007499</v>
      </c>
      <c r="HS29" s="3">
        <f ca="1">IFERROR(__xludf.DUMMYFUNCTION("""COMPUTED_VALUE"""),-0.375076139435298)</f>
        <v>-0.37507613943529799</v>
      </c>
      <c r="HT29" s="3">
        <f ca="1">IFERROR(__xludf.DUMMYFUNCTION("""COMPUTED_VALUE"""),-0.495132963853109)</f>
        <v>-0.49513296385310901</v>
      </c>
      <c r="HU29" s="3">
        <f ca="1">IFERROR(__xludf.DUMMYFUNCTION("""COMPUTED_VALUE"""),-0.48050526400241)</f>
        <v>-0.48050526400241</v>
      </c>
      <c r="HV29" s="3">
        <f ca="1">IFERROR(__xludf.DUMMYFUNCTION("""COMPUTED_VALUE"""),-0.473448700187426)</f>
        <v>-0.47344870018742602</v>
      </c>
      <c r="HW29" s="3">
        <f ca="1">IFERROR(__xludf.DUMMYFUNCTION("""COMPUTED_VALUE"""),-0.501135543344291)</f>
        <v>-0.501135543344291</v>
      </c>
      <c r="HX29" s="3">
        <f ca="1">IFERROR(__xludf.DUMMYFUNCTION("""COMPUTED_VALUE"""),-0.499287002357375)</f>
        <v>-0.499287002357375</v>
      </c>
      <c r="HY29" s="3">
        <f ca="1">IFERROR(__xludf.DUMMYFUNCTION("""COMPUTED_VALUE"""),-0.416124290276811)</f>
        <v>-0.41612429027681103</v>
      </c>
      <c r="HZ29" s="3">
        <f ca="1">IFERROR(__xludf.DUMMYFUNCTION("""COMPUTED_VALUE"""),-0.396566610764266)</f>
        <v>-0.39656661076426603</v>
      </c>
      <c r="IA29" s="3">
        <f ca="1">IFERROR(__xludf.DUMMYFUNCTION("""COMPUTED_VALUE"""),-0.431066516982451)</f>
        <v>-0.43106651698245102</v>
      </c>
      <c r="IB29" s="3">
        <f ca="1">IFERROR(__xludf.DUMMYFUNCTION("""COMPUTED_VALUE"""),-0.393423589049488)</f>
        <v>-0.39342358904948799</v>
      </c>
      <c r="IC29" s="3">
        <f ca="1">IFERROR(__xludf.DUMMYFUNCTION("""COMPUTED_VALUE"""),-0.462792326517231)</f>
        <v>-0.46279232651723101</v>
      </c>
      <c r="ID29" s="3">
        <f ca="1">IFERROR(__xludf.DUMMYFUNCTION("""COMPUTED_VALUE"""),-0.432127220829174)</f>
        <v>-0.43212722082917399</v>
      </c>
      <c r="IE29" s="3">
        <f ca="1">IFERROR(__xludf.DUMMYFUNCTION("""COMPUTED_VALUE"""),-0.405576987207231)</f>
        <v>-0.40557698720723101</v>
      </c>
      <c r="IF29" s="3">
        <f ca="1">IFERROR(__xludf.DUMMYFUNCTION("""COMPUTED_VALUE"""),-0.405131483427274)</f>
        <v>-0.40513148342727401</v>
      </c>
      <c r="IG29" s="3">
        <f ca="1">IFERROR(__xludf.DUMMYFUNCTION("""COMPUTED_VALUE"""),-0.434060115703361)</f>
        <v>-0.434060115703361</v>
      </c>
      <c r="IH29" s="3">
        <f ca="1">IFERROR(__xludf.DUMMYFUNCTION("""COMPUTED_VALUE"""),-0.383488801624765)</f>
        <v>-0.38348880162476501</v>
      </c>
      <c r="II29" s="3">
        <f ca="1">IFERROR(__xludf.DUMMYFUNCTION("""COMPUTED_VALUE"""),-0.321578743150251)</f>
        <v>-0.32157874315025098</v>
      </c>
      <c r="IJ29" s="3">
        <f ca="1">IFERROR(__xludf.DUMMYFUNCTION("""COMPUTED_VALUE"""),-0.405350437948872)</f>
        <v>-0.40535043794887199</v>
      </c>
      <c r="IK29" s="3">
        <f ca="1">IFERROR(__xludf.DUMMYFUNCTION("""COMPUTED_VALUE"""),-0.408892773695793)</f>
        <v>-0.40889277369579302</v>
      </c>
      <c r="IL29" s="3">
        <f ca="1">IFERROR(__xludf.DUMMYFUNCTION("""COMPUTED_VALUE"""),-0.486014387838931)</f>
        <v>-0.48601438783893097</v>
      </c>
      <c r="IM29" s="3">
        <f ca="1">IFERROR(__xludf.DUMMYFUNCTION("""COMPUTED_VALUE"""),-0.393577418671264)</f>
        <v>-0.393577418671264</v>
      </c>
      <c r="IN29" s="3">
        <f ca="1">IFERROR(__xludf.DUMMYFUNCTION("""COMPUTED_VALUE"""),-0.354573126709911)</f>
        <v>-0.35457312670991098</v>
      </c>
      <c r="IO29" s="3">
        <f ca="1">IFERROR(__xludf.DUMMYFUNCTION("""COMPUTED_VALUE"""),-0.460431025120841)</f>
        <v>-0.460431025120841</v>
      </c>
      <c r="IP29" s="3">
        <f ca="1">IFERROR(__xludf.DUMMYFUNCTION("""COMPUTED_VALUE"""),-0.393243226735872)</f>
        <v>-0.39324322673587198</v>
      </c>
      <c r="IQ29" s="3">
        <f ca="1">IFERROR(__xludf.DUMMYFUNCTION("""COMPUTED_VALUE"""),-0.458778058849306)</f>
        <v>-0.458778058849306</v>
      </c>
      <c r="IR29" s="3">
        <f ca="1">IFERROR(__xludf.DUMMYFUNCTION("""COMPUTED_VALUE"""),-0.46932612283541)</f>
        <v>-0.46932612283540998</v>
      </c>
      <c r="IS29" s="3">
        <f ca="1">IFERROR(__xludf.DUMMYFUNCTION("""COMPUTED_VALUE"""),-0.452732714807748)</f>
        <v>-0.45273271480774802</v>
      </c>
      <c r="IT29" s="3">
        <f ca="1">IFERROR(__xludf.DUMMYFUNCTION("""COMPUTED_VALUE"""),-0.577147551341653)</f>
        <v>-0.57714755134165296</v>
      </c>
      <c r="IU29" s="3">
        <f ca="1">IFERROR(__xludf.DUMMYFUNCTION("""COMPUTED_VALUE"""),-0.670375390388726)</f>
        <v>-0.67037539038872596</v>
      </c>
      <c r="IV29" s="3">
        <f ca="1">IFERROR(__xludf.DUMMYFUNCTION("""COMPUTED_VALUE"""),-0.497010207672339)</f>
        <v>-0.497010207672339</v>
      </c>
      <c r="IW29" s="3">
        <f ca="1">IFERROR(__xludf.DUMMYFUNCTION("""COMPUTED_VALUE"""),-0.359473126007882)</f>
        <v>-0.359473126007882</v>
      </c>
      <c r="IX29" s="3">
        <f ca="1">IFERROR(__xludf.DUMMYFUNCTION("""COMPUTED_VALUE"""),-0.45255338779063)</f>
        <v>-0.45255338779062998</v>
      </c>
      <c r="IY29" s="3">
        <f ca="1">IFERROR(__xludf.DUMMYFUNCTION("""COMPUTED_VALUE"""),-0.512676661100414)</f>
        <v>-0.51267666110041399</v>
      </c>
      <c r="IZ29" s="3">
        <f ca="1">IFERROR(__xludf.DUMMYFUNCTION("""COMPUTED_VALUE"""),-0.536963695373923)</f>
        <v>-0.53696369537392297</v>
      </c>
      <c r="JA29" s="3">
        <f ca="1">IFERROR(__xludf.DUMMYFUNCTION("""COMPUTED_VALUE"""),-0.435963918932793)</f>
        <v>-0.43596391893279302</v>
      </c>
      <c r="JB29" s="3">
        <f ca="1">IFERROR(__xludf.DUMMYFUNCTION("""COMPUTED_VALUE"""),-0.461261325712906)</f>
        <v>-0.46126132571290601</v>
      </c>
      <c r="JC29" s="3">
        <f ca="1">IFERROR(__xludf.DUMMYFUNCTION("""COMPUTED_VALUE"""),-0.516856768075042)</f>
        <v>-0.51685676807504199</v>
      </c>
      <c r="JD29" s="3">
        <f ca="1">IFERROR(__xludf.DUMMYFUNCTION("""COMPUTED_VALUE"""),-0.434530776717953)</f>
        <v>-0.43453077671795298</v>
      </c>
      <c r="JE29" s="3">
        <f ca="1">IFERROR(__xludf.DUMMYFUNCTION("""COMPUTED_VALUE"""),-0.508430396634554)</f>
        <v>-0.50843039663455403</v>
      </c>
      <c r="JF29" s="3">
        <f ca="1">IFERROR(__xludf.DUMMYFUNCTION("""COMPUTED_VALUE"""),-0.582227065322315)</f>
        <v>-0.58222706532231505</v>
      </c>
      <c r="JG29" s="3">
        <f ca="1">IFERROR(__xludf.DUMMYFUNCTION("""COMPUTED_VALUE"""),-0.580605518890587)</f>
        <v>-0.58060551889058698</v>
      </c>
      <c r="JH29" s="3">
        <f ca="1">IFERROR(__xludf.DUMMYFUNCTION("""COMPUTED_VALUE"""),-0.570217555339352)</f>
        <v>-0.57021755533935203</v>
      </c>
      <c r="JI29" s="3">
        <f ca="1">IFERROR(__xludf.DUMMYFUNCTION("""COMPUTED_VALUE"""),-0.46140604137458)</f>
        <v>-0.46140604137458002</v>
      </c>
      <c r="JJ29" s="3">
        <f ca="1">IFERROR(__xludf.DUMMYFUNCTION("""COMPUTED_VALUE"""),-0.539336455106117)</f>
        <v>-0.53933645510611705</v>
      </c>
      <c r="JK29" s="3">
        <f ca="1">IFERROR(__xludf.DUMMYFUNCTION("""COMPUTED_VALUE"""),-0.461154965718063)</f>
        <v>-0.46115496571806303</v>
      </c>
      <c r="JL29" s="3">
        <f ca="1">IFERROR(__xludf.DUMMYFUNCTION("""COMPUTED_VALUE"""),-0.499903757589129)</f>
        <v>-0.49990375758912903</v>
      </c>
      <c r="JM29" s="3">
        <f ca="1">IFERROR(__xludf.DUMMYFUNCTION("""COMPUTED_VALUE"""),-0.583276666455784)</f>
        <v>-0.58327666645578402</v>
      </c>
      <c r="JN29" s="3">
        <f ca="1">IFERROR(__xludf.DUMMYFUNCTION("""COMPUTED_VALUE"""),-0.594674990194395)</f>
        <v>-0.59467499019439496</v>
      </c>
      <c r="JO29" s="3">
        <f ca="1">IFERROR(__xludf.DUMMYFUNCTION("""COMPUTED_VALUE"""),-0.550484691817714)</f>
        <v>-0.55048469181771398</v>
      </c>
      <c r="JP29" s="3">
        <f ca="1">IFERROR(__xludf.DUMMYFUNCTION("""COMPUTED_VALUE"""),-0.524991902112744)</f>
        <v>-0.52499190211274405</v>
      </c>
      <c r="JQ29" s="3">
        <f ca="1">IFERROR(__xludf.DUMMYFUNCTION("""COMPUTED_VALUE"""),-0.59630260561719)</f>
        <v>-0.59630260561718995</v>
      </c>
      <c r="JR29" s="3">
        <f ca="1">IFERROR(__xludf.DUMMYFUNCTION("""COMPUTED_VALUE"""),-0.522536867100746)</f>
        <v>-0.52253686710074598</v>
      </c>
      <c r="JS29" s="3">
        <f ca="1">IFERROR(__xludf.DUMMYFUNCTION("""COMPUTED_VALUE"""),-0.52557772556895)</f>
        <v>-0.52557772556894999</v>
      </c>
      <c r="JT29" s="3">
        <f ca="1">IFERROR(__xludf.DUMMYFUNCTION("""COMPUTED_VALUE"""),-0.581239651874394)</f>
        <v>-0.58123965187439397</v>
      </c>
      <c r="JU29" s="3">
        <f ca="1">IFERROR(__xludf.DUMMYFUNCTION("""COMPUTED_VALUE"""),-0.537695895111497)</f>
        <v>-0.53769589511149696</v>
      </c>
      <c r="JV29" s="3">
        <f ca="1">IFERROR(__xludf.DUMMYFUNCTION("""COMPUTED_VALUE"""),-0.556422038485909)</f>
        <v>-0.55642203848590899</v>
      </c>
      <c r="JW29" s="3">
        <f ca="1">IFERROR(__xludf.DUMMYFUNCTION("""COMPUTED_VALUE"""),-0.430526104666974)</f>
        <v>-0.430526104666974</v>
      </c>
      <c r="JX29" s="3">
        <f ca="1">IFERROR(__xludf.DUMMYFUNCTION("""COMPUTED_VALUE"""),-0.548685656567988)</f>
        <v>-0.54868565656798796</v>
      </c>
      <c r="JY29" s="3">
        <f ca="1">IFERROR(__xludf.DUMMYFUNCTION("""COMPUTED_VALUE"""),-0.458289700239879)</f>
        <v>-0.45828970023987903</v>
      </c>
      <c r="JZ29" s="3">
        <f ca="1">IFERROR(__xludf.DUMMYFUNCTION("""COMPUTED_VALUE"""),-0.577279854777797)</f>
        <v>-0.57727985477779697</v>
      </c>
      <c r="KA29" s="3">
        <f ca="1">IFERROR(__xludf.DUMMYFUNCTION("""COMPUTED_VALUE"""),-0.741460767764823)</f>
        <v>-0.74146076776482295</v>
      </c>
      <c r="KB29" s="3">
        <f ca="1">IFERROR(__xludf.DUMMYFUNCTION("""COMPUTED_VALUE"""),-0.669638361839303)</f>
        <v>-0.66963836183930303</v>
      </c>
      <c r="KC29" s="3">
        <f ca="1">IFERROR(__xludf.DUMMYFUNCTION("""COMPUTED_VALUE"""),-0.512043424061174)</f>
        <v>-0.51204342406117398</v>
      </c>
      <c r="KD29" s="3">
        <f ca="1">IFERROR(__xludf.DUMMYFUNCTION("""COMPUTED_VALUE"""),-0.473335883871492)</f>
        <v>-0.473335883871492</v>
      </c>
      <c r="KE29" s="3">
        <f ca="1">IFERROR(__xludf.DUMMYFUNCTION("""COMPUTED_VALUE"""),-0.572167445955646)</f>
        <v>-0.57216744595564595</v>
      </c>
      <c r="KF29" s="3">
        <f ca="1">IFERROR(__xludf.DUMMYFUNCTION("""COMPUTED_VALUE"""),-0.544507260315051)</f>
        <v>-0.54450726031505103</v>
      </c>
      <c r="KG29" s="3">
        <f ca="1">IFERROR(__xludf.DUMMYFUNCTION("""COMPUTED_VALUE"""),-0.561249169987306)</f>
        <v>-0.56124916998730601</v>
      </c>
      <c r="KH29" s="3">
        <f ca="1">IFERROR(__xludf.DUMMYFUNCTION("""COMPUTED_VALUE"""),-0.561322942666285)</f>
        <v>-0.56132294266628502</v>
      </c>
      <c r="KI29" s="3">
        <f ca="1">IFERROR(__xludf.DUMMYFUNCTION("""COMPUTED_VALUE"""),-0.570822231851994)</f>
        <v>-0.57082223185199399</v>
      </c>
      <c r="KJ29" s="3">
        <f ca="1">IFERROR(__xludf.DUMMYFUNCTION("""COMPUTED_VALUE"""),-0.518476161355592)</f>
        <v>-0.51847616135559205</v>
      </c>
      <c r="KK29" s="3">
        <f ca="1">IFERROR(__xludf.DUMMYFUNCTION("""COMPUTED_VALUE"""),-0.436097655641166)</f>
        <v>-0.43609765564116598</v>
      </c>
      <c r="KL29" s="3">
        <f ca="1">IFERROR(__xludf.DUMMYFUNCTION("""COMPUTED_VALUE"""),-0.671740588445094)</f>
        <v>-0.67174058844509399</v>
      </c>
      <c r="KM29" s="3">
        <f ca="1">IFERROR(__xludf.DUMMYFUNCTION("""COMPUTED_VALUE"""),-0.628496629065742)</f>
        <v>-0.628496629065742</v>
      </c>
      <c r="KN29" s="3">
        <f ca="1">IFERROR(__xludf.DUMMYFUNCTION("""COMPUTED_VALUE"""),-0.568096448016305)</f>
        <v>-0.56809644801630499</v>
      </c>
      <c r="KO29" s="3">
        <f ca="1">IFERROR(__xludf.DUMMYFUNCTION("""COMPUTED_VALUE"""),-0.578974791241123)</f>
        <v>-0.57897479124112305</v>
      </c>
      <c r="KP29" s="3">
        <f ca="1">IFERROR(__xludf.DUMMYFUNCTION("""COMPUTED_VALUE"""),-0.623997138508319)</f>
        <v>-0.62399713850831895</v>
      </c>
      <c r="KQ29" s="3">
        <f ca="1">IFERROR(__xludf.DUMMYFUNCTION("""COMPUTED_VALUE"""),-0.663615020990141)</f>
        <v>-0.66361502099014102</v>
      </c>
      <c r="KR29" s="3">
        <f ca="1">IFERROR(__xludf.DUMMYFUNCTION("""COMPUTED_VALUE"""),-0.584679055958776)</f>
        <v>-0.58467905595877601</v>
      </c>
      <c r="KS29" s="3">
        <f ca="1">IFERROR(__xludf.DUMMYFUNCTION("""COMPUTED_VALUE"""),-0.643150284673148)</f>
        <v>-0.64315028467314805</v>
      </c>
      <c r="KT29" s="3">
        <f ca="1">IFERROR(__xludf.DUMMYFUNCTION("""COMPUTED_VALUE"""),-0.665273240510121)</f>
        <v>-0.66527324051012104</v>
      </c>
      <c r="KU29" s="3">
        <f ca="1">IFERROR(__xludf.DUMMYFUNCTION("""COMPUTED_VALUE"""),-0.650259045126884)</f>
        <v>-0.65025904512688404</v>
      </c>
      <c r="KV29" s="3">
        <f ca="1">IFERROR(__xludf.DUMMYFUNCTION("""COMPUTED_VALUE"""),-0.60335977501725)</f>
        <v>-0.60335977501725002</v>
      </c>
      <c r="KW29" s="3">
        <f ca="1">IFERROR(__xludf.DUMMYFUNCTION("""COMPUTED_VALUE"""),-0.588750665367797)</f>
        <v>-0.58875066536779697</v>
      </c>
      <c r="KX29" s="3">
        <f ca="1">IFERROR(__xludf.DUMMYFUNCTION("""COMPUTED_VALUE"""),-0.635236330019675)</f>
        <v>-0.63523633001967506</v>
      </c>
      <c r="KY29" s="3">
        <f ca="1">IFERROR(__xludf.DUMMYFUNCTION("""COMPUTED_VALUE"""),-0.615075540196335)</f>
        <v>-0.61507554019633504</v>
      </c>
      <c r="KZ29" s="3">
        <f ca="1">IFERROR(__xludf.DUMMYFUNCTION("""COMPUTED_VALUE"""),-0.746815781420528)</f>
        <v>-0.74681578142052796</v>
      </c>
      <c r="LA29" s="3">
        <f ca="1">IFERROR(__xludf.DUMMYFUNCTION("""COMPUTED_VALUE"""),-0.695276167770675)</f>
        <v>-0.69527616777067502</v>
      </c>
      <c r="LB29" s="3">
        <f ca="1">IFERROR(__xludf.DUMMYFUNCTION("""COMPUTED_VALUE"""),-0.652385181525121)</f>
        <v>-0.65238518152512104</v>
      </c>
      <c r="LC29" s="3">
        <f ca="1">IFERROR(__xludf.DUMMYFUNCTION("""COMPUTED_VALUE"""),-0.564024583573077)</f>
        <v>-0.56402458357307705</v>
      </c>
      <c r="LD29" s="3">
        <f ca="1">IFERROR(__xludf.DUMMYFUNCTION("""COMPUTED_VALUE"""),-0.636850848596236)</f>
        <v>-0.63685084859623597</v>
      </c>
      <c r="LE29" s="3">
        <f ca="1">IFERROR(__xludf.DUMMYFUNCTION("""COMPUTED_VALUE"""),-0.657083690817213)</f>
        <v>-0.65708369081721296</v>
      </c>
      <c r="LF29" s="3">
        <f ca="1">IFERROR(__xludf.DUMMYFUNCTION("""COMPUTED_VALUE"""),-0.649028417671877)</f>
        <v>-0.64902841767187702</v>
      </c>
      <c r="LG29" s="3">
        <f ca="1">IFERROR(__xludf.DUMMYFUNCTION("""COMPUTED_VALUE"""),-0.677630469248499)</f>
        <v>-0.67763046924849901</v>
      </c>
      <c r="LH29" s="3">
        <f ca="1">IFERROR(__xludf.DUMMYFUNCTION("""COMPUTED_VALUE"""),-0.660697702830336)</f>
        <v>-0.66069770283033602</v>
      </c>
      <c r="LI29" s="3">
        <f ca="1">IFERROR(__xludf.DUMMYFUNCTION("""COMPUTED_VALUE"""),-0.574846946911129)</f>
        <v>-0.57484694691112903</v>
      </c>
      <c r="LJ29" s="3">
        <f ca="1">IFERROR(__xludf.DUMMYFUNCTION("""COMPUTED_VALUE"""),-0.616734568067476)</f>
        <v>-0.61673456806747595</v>
      </c>
      <c r="LK29" s="3">
        <f ca="1">IFERROR(__xludf.DUMMYFUNCTION("""COMPUTED_VALUE"""),-0.628439644647042)</f>
        <v>-0.62843964464704205</v>
      </c>
      <c r="LL29" s="3">
        <f ca="1">IFERROR(__xludf.DUMMYFUNCTION("""COMPUTED_VALUE"""),-0.613883594114215)</f>
        <v>-0.613883594114215</v>
      </c>
      <c r="LM29" s="3">
        <f ca="1">IFERROR(__xludf.DUMMYFUNCTION("""COMPUTED_VALUE"""),-0.685004205655102)</f>
        <v>-0.68500420565510201</v>
      </c>
      <c r="LN29" s="3">
        <f ca="1">IFERROR(__xludf.DUMMYFUNCTION("""COMPUTED_VALUE"""),-0.740547609388655)</f>
        <v>-0.74054760938865505</v>
      </c>
      <c r="LO29" s="3">
        <f ca="1">IFERROR(__xludf.DUMMYFUNCTION("""COMPUTED_VALUE"""),-0.694106783262077)</f>
        <v>-0.69410678326207698</v>
      </c>
      <c r="LP29" s="3">
        <f ca="1">IFERROR(__xludf.DUMMYFUNCTION("""COMPUTED_VALUE"""),-0.746003572879037)</f>
        <v>-0.74600357287903696</v>
      </c>
      <c r="LQ29" s="3">
        <f ca="1">IFERROR(__xludf.DUMMYFUNCTION("""COMPUTED_VALUE"""),-0.711457671921609)</f>
        <v>-0.71145767192160903</v>
      </c>
      <c r="LR29" s="3">
        <f ca="1">IFERROR(__xludf.DUMMYFUNCTION("""COMPUTED_VALUE"""),-0.747570187999911)</f>
        <v>-0.74757018799991104</v>
      </c>
      <c r="LS29" s="3">
        <f ca="1">IFERROR(__xludf.DUMMYFUNCTION("""COMPUTED_VALUE"""),-0.825741920962165)</f>
        <v>-0.82574192096216503</v>
      </c>
      <c r="LT29" s="3">
        <f ca="1">IFERROR(__xludf.DUMMYFUNCTION("""COMPUTED_VALUE"""),-0.839514309689422)</f>
        <v>-0.83951430968942198</v>
      </c>
      <c r="LU29" s="3">
        <f ca="1">IFERROR(__xludf.DUMMYFUNCTION("""COMPUTED_VALUE"""),-0.831373345106863)</f>
        <v>-0.831373345106863</v>
      </c>
      <c r="LV29" s="3">
        <f ca="1">IFERROR(__xludf.DUMMYFUNCTION("""COMPUTED_VALUE"""),-0.812012670481278)</f>
        <v>-0.81201267048127801</v>
      </c>
      <c r="LW29" s="3">
        <f ca="1">IFERROR(__xludf.DUMMYFUNCTION("""COMPUTED_VALUE"""),-0.76666531868684)</f>
        <v>-0.76666531868683996</v>
      </c>
      <c r="LX29" s="3">
        <f ca="1">IFERROR(__xludf.DUMMYFUNCTION("""COMPUTED_VALUE"""),-0.786359471155241)</f>
        <v>-0.78635947115524096</v>
      </c>
      <c r="LY29" s="3">
        <f ca="1">IFERROR(__xludf.DUMMYFUNCTION("""COMPUTED_VALUE"""),-0.755646101834373)</f>
        <v>-0.75564610183437297</v>
      </c>
      <c r="LZ29" s="3">
        <f ca="1">IFERROR(__xludf.DUMMYFUNCTION("""COMPUTED_VALUE"""),-0.774751580662404)</f>
        <v>-0.77475158066240402</v>
      </c>
      <c r="MA29" s="3">
        <f ca="1">IFERROR(__xludf.DUMMYFUNCTION("""COMPUTED_VALUE"""),-0.790940461326521)</f>
        <v>-0.79094046132652096</v>
      </c>
      <c r="MB29" s="3">
        <f ca="1">IFERROR(__xludf.DUMMYFUNCTION("""COMPUTED_VALUE"""),-0.852603306955984)</f>
        <v>-0.85260330695598396</v>
      </c>
      <c r="MC29" s="3">
        <f ca="1">IFERROR(__xludf.DUMMYFUNCTION("""COMPUTED_VALUE"""),-0.830688064491112)</f>
        <v>-0.83068806449111199</v>
      </c>
      <c r="MD29" s="3">
        <f ca="1">IFERROR(__xludf.DUMMYFUNCTION("""COMPUTED_VALUE"""),-0.822061038779592)</f>
        <v>-0.82206103877959202</v>
      </c>
      <c r="ME29" s="3">
        <f ca="1">IFERROR(__xludf.DUMMYFUNCTION("""COMPUTED_VALUE"""),-0.839501416039408)</f>
        <v>-0.83950141603940798</v>
      </c>
      <c r="MF29" s="3">
        <f ca="1">IFERROR(__xludf.DUMMYFUNCTION("""COMPUTED_VALUE"""),-0.814120322304628)</f>
        <v>-0.81412032230462805</v>
      </c>
      <c r="MG29" s="3">
        <f ca="1">IFERROR(__xludf.DUMMYFUNCTION("""COMPUTED_VALUE"""),-0.811317788199798)</f>
        <v>-0.81131778819979805</v>
      </c>
      <c r="MH29" s="3">
        <f ca="1">IFERROR(__xludf.DUMMYFUNCTION("""COMPUTED_VALUE"""),-0.82118983140402)</f>
        <v>-0.82118983140402002</v>
      </c>
      <c r="MI29" s="3">
        <f ca="1">IFERROR(__xludf.DUMMYFUNCTION("""COMPUTED_VALUE"""),-0.854240813413147)</f>
        <v>-0.85424081341314695</v>
      </c>
      <c r="MJ29" s="3">
        <f ca="1">IFERROR(__xludf.DUMMYFUNCTION("""COMPUTED_VALUE"""),-0.859018553380485)</f>
        <v>-0.85901855338048505</v>
      </c>
      <c r="MK29" s="3">
        <f ca="1">IFERROR(__xludf.DUMMYFUNCTION("""COMPUTED_VALUE"""),-0.83757414668309)</f>
        <v>-0.83757414668309005</v>
      </c>
      <c r="ML29" s="3">
        <f ca="1">IFERROR(__xludf.DUMMYFUNCTION("""COMPUTED_VALUE"""),-0.841568906960115)</f>
        <v>-0.84156890696011499</v>
      </c>
      <c r="MM29" s="3">
        <f ca="1">IFERROR(__xludf.DUMMYFUNCTION("""COMPUTED_VALUE"""),-0.848808759270001)</f>
        <v>-0.84880875927000099</v>
      </c>
      <c r="MN29" s="3">
        <f ca="1">IFERROR(__xludf.DUMMYFUNCTION("""COMPUTED_VALUE"""),-0.811085036494941)</f>
        <v>-0.81108503649494101</v>
      </c>
      <c r="MO29" s="3">
        <f ca="1">IFERROR(__xludf.DUMMYFUNCTION("""COMPUTED_VALUE"""),-0.801928674134266)</f>
        <v>-0.80192867413426605</v>
      </c>
      <c r="MP29" s="3">
        <f ca="1">IFERROR(__xludf.DUMMYFUNCTION("""COMPUTED_VALUE"""),-0.874422585061753)</f>
        <v>-0.87442258506175297</v>
      </c>
      <c r="MQ29" s="3">
        <f ca="1">IFERROR(__xludf.DUMMYFUNCTION("""COMPUTED_VALUE"""),-0.830321854610061)</f>
        <v>-0.83032185461006103</v>
      </c>
      <c r="MR29" s="3">
        <f ca="1">IFERROR(__xludf.DUMMYFUNCTION("""COMPUTED_VALUE"""),-0.823169419411884)</f>
        <v>-0.82316941941188404</v>
      </c>
      <c r="MS29" s="3">
        <f ca="1">IFERROR(__xludf.DUMMYFUNCTION("""COMPUTED_VALUE"""),-0.854654251178666)</f>
        <v>-0.854654251178666</v>
      </c>
      <c r="MT29" s="3">
        <f ca="1">IFERROR(__xludf.DUMMYFUNCTION("""COMPUTED_VALUE"""),-0.843067029854183)</f>
        <v>-0.84306702985418303</v>
      </c>
      <c r="MU29" s="3">
        <f ca="1">IFERROR(__xludf.DUMMYFUNCTION("""COMPUTED_VALUE"""),-0.806520976856935)</f>
        <v>-0.80652097685693502</v>
      </c>
      <c r="MV29" s="3">
        <f ca="1">IFERROR(__xludf.DUMMYFUNCTION("""COMPUTED_VALUE"""),-0.808445759066909)</f>
        <v>-0.80844575906690896</v>
      </c>
      <c r="MW29" s="3">
        <f ca="1">IFERROR(__xludf.DUMMYFUNCTION("""COMPUTED_VALUE"""),-0.890242763976678)</f>
        <v>-0.89024276397667801</v>
      </c>
      <c r="MX29" s="3">
        <f ca="1">IFERROR(__xludf.DUMMYFUNCTION("""COMPUTED_VALUE"""),-0.859924027147218)</f>
        <v>-0.85992402714721805</v>
      </c>
      <c r="MY29" s="3">
        <f ca="1">IFERROR(__xludf.DUMMYFUNCTION("""COMPUTED_VALUE"""),-0.826261403985698)</f>
        <v>-0.82626140398569803</v>
      </c>
      <c r="MZ29" s="3">
        <f ca="1">IFERROR(__xludf.DUMMYFUNCTION("""COMPUTED_VALUE"""),-0.834834281403616)</f>
        <v>-0.83483428140361604</v>
      </c>
      <c r="NA29" s="3">
        <f ca="1">IFERROR(__xludf.DUMMYFUNCTION("""COMPUTED_VALUE"""),-0.845761582903134)</f>
        <v>-0.84576158290313397</v>
      </c>
      <c r="NB29" s="3">
        <f ca="1">IFERROR(__xludf.DUMMYFUNCTION("""COMPUTED_VALUE"""),-0.872943717865005)</f>
        <v>-0.87294371786500502</v>
      </c>
      <c r="NC29" s="3">
        <f ca="1">IFERROR(__xludf.DUMMYFUNCTION("""COMPUTED_VALUE"""),-0.88007754115757)</f>
        <v>-0.88007754115756998</v>
      </c>
      <c r="ND29" s="3">
        <f ca="1">IFERROR(__xludf.DUMMYFUNCTION("""COMPUTED_VALUE"""),-0.861644820446027)</f>
        <v>-0.86164482044602697</v>
      </c>
      <c r="NE29" s="3">
        <f ca="1">IFERROR(__xludf.DUMMYFUNCTION("""COMPUTED_VALUE"""),-0.841867674587167)</f>
        <v>-0.84186767458716705</v>
      </c>
      <c r="NF29" s="3">
        <f ca="1">IFERROR(__xludf.DUMMYFUNCTION("""COMPUTED_VALUE"""),-0.870886978831563)</f>
        <v>-0.87088697883156296</v>
      </c>
      <c r="NG29" s="3">
        <f ca="1">IFERROR(__xludf.DUMMYFUNCTION("""COMPUTED_VALUE"""),-0.811685949468589)</f>
        <v>-0.81168594946858896</v>
      </c>
      <c r="NH29" s="3">
        <f ca="1">IFERROR(__xludf.DUMMYFUNCTION("""COMPUTED_VALUE"""),-0.84789700029491)</f>
        <v>-0.84789700029491</v>
      </c>
      <c r="NI29" s="3">
        <f ca="1">IFERROR(__xludf.DUMMYFUNCTION("""COMPUTED_VALUE"""),-0.847394032025828)</f>
        <v>-0.84739403202582797</v>
      </c>
      <c r="NJ29" s="3">
        <f ca="1">IFERROR(__xludf.DUMMYFUNCTION("""COMPUTED_VALUE"""),-0.826149508740774)</f>
        <v>-0.82614950874077397</v>
      </c>
      <c r="NK29" s="3">
        <f ca="1">IFERROR(__xludf.DUMMYFUNCTION("""COMPUTED_VALUE"""),-0.851405170145448)</f>
        <v>-0.85140517014544803</v>
      </c>
      <c r="NL29" s="3">
        <f ca="1">IFERROR(__xludf.DUMMYFUNCTION("""COMPUTED_VALUE"""),-0.824876240543089)</f>
        <v>-0.82487624054308895</v>
      </c>
      <c r="NM29" s="3">
        <f ca="1">IFERROR(__xludf.DUMMYFUNCTION("""COMPUTED_VALUE"""),-0.821817531560786)</f>
        <v>-0.82181753156078596</v>
      </c>
      <c r="NN29" s="3">
        <f ca="1">IFERROR(__xludf.DUMMYFUNCTION("""COMPUTED_VALUE"""),-0.874431648212671)</f>
        <v>-0.87443164821267105</v>
      </c>
      <c r="NO29" s="3">
        <f ca="1">IFERROR(__xludf.DUMMYFUNCTION("""COMPUTED_VALUE"""),-0.859631643905681)</f>
        <v>-0.85963164390568103</v>
      </c>
      <c r="NP29" s="3">
        <f ca="1">IFERROR(__xludf.DUMMYFUNCTION("""COMPUTED_VALUE"""),-0.835462064268903)</f>
        <v>-0.83546206426890302</v>
      </c>
      <c r="NQ29" s="3">
        <f ca="1">IFERROR(__xludf.DUMMYFUNCTION("""COMPUTED_VALUE"""),-0.86007464127962)</f>
        <v>-0.86007464127961997</v>
      </c>
      <c r="NR29" s="3">
        <f ca="1">IFERROR(__xludf.DUMMYFUNCTION("""COMPUTED_VALUE"""),-0.881573376117625)</f>
        <v>-0.88157337611762498</v>
      </c>
      <c r="NS29" s="3">
        <f ca="1">IFERROR(__xludf.DUMMYFUNCTION("""COMPUTED_VALUE"""),-0.808249357470785)</f>
        <v>-0.80824935747078497</v>
      </c>
      <c r="NT29" s="3">
        <f ca="1">IFERROR(__xludf.DUMMYFUNCTION("""COMPUTED_VALUE"""),-0.844901053067114)</f>
        <v>-0.84490105306711405</v>
      </c>
      <c r="NU29" s="3">
        <f ca="1">IFERROR(__xludf.DUMMYFUNCTION("""COMPUTED_VALUE"""),-0.832397504058951)</f>
        <v>-0.83239750405895097</v>
      </c>
      <c r="NV29" s="3">
        <f ca="1">IFERROR(__xludf.DUMMYFUNCTION("""COMPUTED_VALUE"""),-0.83633074049865)</f>
        <v>-0.83633074049864997</v>
      </c>
      <c r="NW29" s="3">
        <f ca="1">IFERROR(__xludf.DUMMYFUNCTION("""COMPUTED_VALUE"""),-0.803038225685531)</f>
        <v>-0.80303822568553096</v>
      </c>
      <c r="NX29" s="3">
        <f ca="1">IFERROR(__xludf.DUMMYFUNCTION("""COMPUTED_VALUE"""),-0.757058300972418)</f>
        <v>-0.757058300972418</v>
      </c>
      <c r="NY29" s="3">
        <f ca="1">IFERROR(__xludf.DUMMYFUNCTION("""COMPUTED_VALUE"""),-0.797052856037074)</f>
        <v>-0.79705285603707399</v>
      </c>
      <c r="NZ29" s="3">
        <f ca="1">IFERROR(__xludf.DUMMYFUNCTION("""COMPUTED_VALUE"""),-0.663418513658264)</f>
        <v>-0.66341851365826399</v>
      </c>
      <c r="OA29" s="3">
        <f ca="1">IFERROR(__xludf.DUMMYFUNCTION("""COMPUTED_VALUE"""),-0.654342509562746)</f>
        <v>-0.65434250956274598</v>
      </c>
      <c r="OB29" s="3">
        <f ca="1">IFERROR(__xludf.DUMMYFUNCTION("""COMPUTED_VALUE"""),-0.591009976140352)</f>
        <v>-0.591009976140352</v>
      </c>
      <c r="OC29" s="3">
        <f ca="1">IFERROR(__xludf.DUMMYFUNCTION("""COMPUTED_VALUE"""),-0.524413459902726)</f>
        <v>-0.52441345990272603</v>
      </c>
      <c r="OD29" s="3">
        <f ca="1">IFERROR(__xludf.DUMMYFUNCTION("""COMPUTED_VALUE"""),-0.406071186774744)</f>
        <v>-0.40607118677474402</v>
      </c>
      <c r="OE29" s="3">
        <f ca="1">IFERROR(__xludf.DUMMYFUNCTION("""COMPUTED_VALUE"""),-0.364495509438093)</f>
        <v>-0.364495509438093</v>
      </c>
      <c r="OF29" s="3">
        <f ca="1">IFERROR(__xludf.DUMMYFUNCTION("""COMPUTED_VALUE"""),-0.278837047085954)</f>
        <v>-0.27883704708595403</v>
      </c>
      <c r="OG29" s="3">
        <f ca="1">IFERROR(__xludf.DUMMYFUNCTION("""COMPUTED_VALUE"""),-0.170828491699074)</f>
        <v>-0.17082849169907399</v>
      </c>
      <c r="OH29" s="3">
        <f ca="1">IFERROR(__xludf.DUMMYFUNCTION("""COMPUTED_VALUE"""),-0.1576376391639)</f>
        <v>-0.1576376391639</v>
      </c>
      <c r="OI29" s="3">
        <f ca="1">IFERROR(__xludf.DUMMYFUNCTION("""COMPUTED_VALUE"""),-0.174937446493137)</f>
        <v>-0.174937446493137</v>
      </c>
      <c r="OJ29" s="3">
        <f ca="1">IFERROR(__xludf.DUMMYFUNCTION("""COMPUTED_VALUE"""),-0.126464040943551)</f>
        <v>-0.12646404094355099</v>
      </c>
      <c r="OK29" s="3">
        <f ca="1">IFERROR(__xludf.DUMMYFUNCTION("""COMPUTED_VALUE"""),-0.100711471134295)</f>
        <v>-0.100711471134295</v>
      </c>
      <c r="OL29" s="3">
        <f ca="1">IFERROR(__xludf.DUMMYFUNCTION("""COMPUTED_VALUE"""),-0.157237820026025)</f>
        <v>-0.15723782002602499</v>
      </c>
      <c r="OM29" s="3">
        <f ca="1">IFERROR(__xludf.DUMMYFUNCTION("""COMPUTED_VALUE"""),-0.0847657262953427)</f>
        <v>-8.4765726295342694E-2</v>
      </c>
      <c r="ON29" s="3">
        <f ca="1">IFERROR(__xludf.DUMMYFUNCTION("""COMPUTED_VALUE"""),0.0113936856521392)</f>
        <v>1.1393685652139199E-2</v>
      </c>
      <c r="OO29" s="3">
        <f ca="1">IFERROR(__xludf.DUMMYFUNCTION("""COMPUTED_VALUE"""),-0.0859831381342328)</f>
        <v>-8.5983138134232806E-2</v>
      </c>
      <c r="OP29" s="3">
        <f ca="1">IFERROR(__xludf.DUMMYFUNCTION("""COMPUTED_VALUE"""),-0.127847604058806)</f>
        <v>-0.12784760405880599</v>
      </c>
      <c r="OQ29" s="3">
        <f ca="1">IFERROR(__xludf.DUMMYFUNCTION("""COMPUTED_VALUE"""),0.0388394108065388)</f>
        <v>3.8839410806538799E-2</v>
      </c>
      <c r="OR29" s="3">
        <f ca="1">IFERROR(__xludf.DUMMYFUNCTION("""COMPUTED_VALUE"""),-0.00584820899829763)</f>
        <v>-5.84820899829763E-3</v>
      </c>
      <c r="OS29" s="3">
        <f ca="1">IFERROR(__xludf.DUMMYFUNCTION("""COMPUTED_VALUE"""),-0.09192531666521)</f>
        <v>-9.1925316665210005E-2</v>
      </c>
      <c r="OT29" s="3">
        <f ca="1">IFERROR(__xludf.DUMMYFUNCTION("""COMPUTED_VALUE"""),-0.0851466073052005)</f>
        <v>-8.5146607305200503E-2</v>
      </c>
      <c r="OU29" s="3">
        <f ca="1">IFERROR(__xludf.DUMMYFUNCTION("""COMPUTED_VALUE"""),0.121167718597855)</f>
        <v>0.121167718597855</v>
      </c>
      <c r="OV29" s="3">
        <f ca="1">IFERROR(__xludf.DUMMYFUNCTION("""COMPUTED_VALUE"""),0.0322375271467594)</f>
        <v>3.2237527146759398E-2</v>
      </c>
      <c r="OW29" s="3">
        <f ca="1">IFERROR(__xludf.DUMMYFUNCTION("""COMPUTED_VALUE"""),-0.00498032112595214)</f>
        <v>-4.9803211259521396E-3</v>
      </c>
      <c r="OX29" s="3">
        <f ca="1">IFERROR(__xludf.DUMMYFUNCTION("""COMPUTED_VALUE"""),-0.0617344623999647)</f>
        <v>-6.1734462399964697E-2</v>
      </c>
      <c r="OY29" s="3">
        <f ca="1">IFERROR(__xludf.DUMMYFUNCTION("""COMPUTED_VALUE"""),0.0373553769993304)</f>
        <v>3.7355376999330399E-2</v>
      </c>
      <c r="OZ29" s="3">
        <f ca="1">IFERROR(__xludf.DUMMYFUNCTION("""COMPUTED_VALUE"""),0.00275251755447225)</f>
        <v>2.7525175544722501E-3</v>
      </c>
      <c r="PA29" s="3">
        <f ca="1">IFERROR(__xludf.DUMMYFUNCTION("""COMPUTED_VALUE"""),-0.108207935696917)</f>
        <v>-0.108207935696917</v>
      </c>
      <c r="PB29" s="3">
        <f ca="1">IFERROR(__xludf.DUMMYFUNCTION("""COMPUTED_VALUE"""),0.127250890814353)</f>
        <v>0.12725089081435301</v>
      </c>
      <c r="PC29" s="3">
        <f ca="1">IFERROR(__xludf.DUMMYFUNCTION("""COMPUTED_VALUE"""),-0.0657991554170795)</f>
        <v>-6.5799155417079494E-2</v>
      </c>
      <c r="PD29" s="3">
        <f ca="1">IFERROR(__xludf.DUMMYFUNCTION("""COMPUTED_VALUE"""),-0.0783627794462482)</f>
        <v>-7.8362779446248199E-2</v>
      </c>
      <c r="PE29" s="3">
        <f ca="1">IFERROR(__xludf.DUMMYFUNCTION("""COMPUTED_VALUE"""),0.0986474082191442)</f>
        <v>9.8647408219144195E-2</v>
      </c>
      <c r="PF29" s="3">
        <f ca="1">IFERROR(__xludf.DUMMYFUNCTION("""COMPUTED_VALUE"""),-0.168120771978428)</f>
        <v>-0.16812077197842801</v>
      </c>
      <c r="PG29" s="3">
        <f ca="1">IFERROR(__xludf.DUMMYFUNCTION("""COMPUTED_VALUE"""),-0.33320043930838)</f>
        <v>-0.33320043930838</v>
      </c>
      <c r="PH29" s="3">
        <f ca="1">IFERROR(__xludf.DUMMYFUNCTION("""COMPUTED_VALUE"""),-0.0142990541221)</f>
        <v>-1.4299054122100001E-2</v>
      </c>
      <c r="PI29" s="3">
        <f ca="1">IFERROR(__xludf.DUMMYFUNCTION("""COMPUTED_VALUE"""),0.192504703642475)</f>
        <v>0.19250470364247499</v>
      </c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</row>
    <row r="30" spans="1:477" ht="15.75" customHeight="1">
      <c r="A30" s="1" t="str">
        <f ca="1">IFERROR(__xludf.DUMMYFUNCTION("""COMPUTED_VALUE"""),"DART")</f>
        <v>DART</v>
      </c>
      <c r="B30" s="1" t="str">
        <f ca="1">IFERROR(__xludf.DUMMYFUNCTION("""COMPUTED_VALUE"""),"Dallas")</f>
        <v>Dallas</v>
      </c>
      <c r="C30" s="1" t="str">
        <f ca="1">IFERROR(__xludf.DUMMYFUNCTION("""COMPUTED_VALUE"""),"United States")</f>
        <v>United States</v>
      </c>
      <c r="D30" s="1" t="str">
        <f ca="1">IFERROR(__xludf.DUMMYFUNCTION("""COMPUTED_VALUE"""),"Texas")</f>
        <v>Texas</v>
      </c>
      <c r="E30" s="3">
        <f ca="1">IFERROR(__xludf.DUMMYFUNCTION("""COMPUTED_VALUE"""),-0.385696756873911)</f>
        <v>-0.38569675687391097</v>
      </c>
      <c r="F30" s="3">
        <f ca="1">IFERROR(__xludf.DUMMYFUNCTION("""COMPUTED_VALUE"""),-0.45051389453129)</f>
        <v>-0.45051389453128998</v>
      </c>
      <c r="G30" s="3">
        <f ca="1">IFERROR(__xludf.DUMMYFUNCTION("""COMPUTED_VALUE"""),-0.45541167835705)</f>
        <v>-0.45541167835704999</v>
      </c>
      <c r="H30" s="3">
        <f ca="1">IFERROR(__xludf.DUMMYFUNCTION("""COMPUTED_VALUE"""),-0.446731399688131)</f>
        <v>-0.44673139968813103</v>
      </c>
      <c r="I30" s="3">
        <f ca="1">IFERROR(__xludf.DUMMYFUNCTION("""COMPUTED_VALUE"""),-0.486223239385624)</f>
        <v>-0.48622323938562401</v>
      </c>
      <c r="J30" s="3">
        <f ca="1">IFERROR(__xludf.DUMMYFUNCTION("""COMPUTED_VALUE"""),-0.478869321242873)</f>
        <v>-0.47886932124287301</v>
      </c>
      <c r="K30" s="3">
        <f ca="1">IFERROR(__xludf.DUMMYFUNCTION("""COMPUTED_VALUE"""),-0.510480278955466)</f>
        <v>-0.51048027895546599</v>
      </c>
      <c r="L30" s="3">
        <f ca="1">IFERROR(__xludf.DUMMYFUNCTION("""COMPUTED_VALUE"""),-0.437098939772507)</f>
        <v>-0.43709893977250702</v>
      </c>
      <c r="M30" s="3">
        <f ca="1">IFERROR(__xludf.DUMMYFUNCTION("""COMPUTED_VALUE"""),-0.496023473491563)</f>
        <v>-0.49602347349156301</v>
      </c>
      <c r="N30" s="3">
        <f ca="1">IFERROR(__xludf.DUMMYFUNCTION("""COMPUTED_VALUE"""),-0.507819465984687)</f>
        <v>-0.50781946598468697</v>
      </c>
      <c r="O30" s="3">
        <f ca="1">IFERROR(__xludf.DUMMYFUNCTION("""COMPUTED_VALUE"""),-0.516145854442116)</f>
        <v>-0.51614585444211603</v>
      </c>
      <c r="P30" s="3">
        <f ca="1">IFERROR(__xludf.DUMMYFUNCTION("""COMPUTED_VALUE"""),-0.4831148060957)</f>
        <v>-0.48311480609570001</v>
      </c>
      <c r="Q30" s="3">
        <f ca="1">IFERROR(__xludf.DUMMYFUNCTION("""COMPUTED_VALUE"""),-0.461597083599337)</f>
        <v>-0.46159708359933699</v>
      </c>
      <c r="R30" s="3">
        <f ca="1">IFERROR(__xludf.DUMMYFUNCTION("""COMPUTED_VALUE"""),-0.460327099048454)</f>
        <v>-0.46032709904845398</v>
      </c>
      <c r="S30" s="3">
        <f ca="1">IFERROR(__xludf.DUMMYFUNCTION("""COMPUTED_VALUE"""),-0.376253073990499)</f>
        <v>-0.37625307399049901</v>
      </c>
      <c r="T30" s="3">
        <f ca="1">IFERROR(__xludf.DUMMYFUNCTION("""COMPUTED_VALUE"""),-0.452425895989639)</f>
        <v>-0.452425895989639</v>
      </c>
      <c r="U30" s="3">
        <f ca="1">IFERROR(__xludf.DUMMYFUNCTION("""COMPUTED_VALUE"""),-0.494065270170809)</f>
        <v>-0.49406527017080898</v>
      </c>
      <c r="V30" s="3">
        <f ca="1">IFERROR(__xludf.DUMMYFUNCTION("""COMPUTED_VALUE"""),-0.507605170432363)</f>
        <v>-0.50760517043236297</v>
      </c>
      <c r="W30" s="3">
        <f ca="1">IFERROR(__xludf.DUMMYFUNCTION("""COMPUTED_VALUE"""),-0.476531752307696)</f>
        <v>-0.47653175230769601</v>
      </c>
      <c r="X30" s="3">
        <f ca="1">IFERROR(__xludf.DUMMYFUNCTION("""COMPUTED_VALUE"""),-0.58049587484754)</f>
        <v>-0.58049587484753995</v>
      </c>
      <c r="Y30" s="3">
        <f ca="1">IFERROR(__xludf.DUMMYFUNCTION("""COMPUTED_VALUE"""),-0.493344384620622)</f>
        <v>-0.49334438462062202</v>
      </c>
      <c r="Z30" s="3">
        <f ca="1">IFERROR(__xludf.DUMMYFUNCTION("""COMPUTED_VALUE"""),-0.410352318851149)</f>
        <v>-0.41035231885114898</v>
      </c>
      <c r="AA30" s="3">
        <f ca="1">IFERROR(__xludf.DUMMYFUNCTION("""COMPUTED_VALUE"""),-0.48591415603502)</f>
        <v>-0.48591415603501997</v>
      </c>
      <c r="AB30" s="3">
        <f ca="1">IFERROR(__xludf.DUMMYFUNCTION("""COMPUTED_VALUE"""),-0.535145567949175)</f>
        <v>-0.53514556794917501</v>
      </c>
      <c r="AC30" s="3">
        <f ca="1">IFERROR(__xludf.DUMMYFUNCTION("""COMPUTED_VALUE"""),-0.447199745045786)</f>
        <v>-0.44719974504578602</v>
      </c>
      <c r="AD30" s="3">
        <f ca="1">IFERROR(__xludf.DUMMYFUNCTION("""COMPUTED_VALUE"""),-0.472471945305715)</f>
        <v>-0.47247194530571501</v>
      </c>
      <c r="AE30" s="3">
        <f ca="1">IFERROR(__xludf.DUMMYFUNCTION("""COMPUTED_VALUE"""),-0.467570804991922)</f>
        <v>-0.467570804991922</v>
      </c>
      <c r="AF30" s="3">
        <f ca="1">IFERROR(__xludf.DUMMYFUNCTION("""COMPUTED_VALUE"""),-0.491331709779201)</f>
        <v>-0.49133170977920099</v>
      </c>
      <c r="AG30" s="3">
        <f ca="1">IFERROR(__xludf.DUMMYFUNCTION("""COMPUTED_VALUE"""),-0.436415204243007)</f>
        <v>-0.436415204243007</v>
      </c>
      <c r="AH30" s="3">
        <f ca="1">IFERROR(__xludf.DUMMYFUNCTION("""COMPUTED_VALUE"""),-0.471309450587698)</f>
        <v>-0.47130945058769802</v>
      </c>
      <c r="AI30" s="3">
        <f ca="1">IFERROR(__xludf.DUMMYFUNCTION("""COMPUTED_VALUE"""),-0.545776391915908)</f>
        <v>-0.54577639191590799</v>
      </c>
      <c r="AJ30" s="3">
        <f ca="1">IFERROR(__xludf.DUMMYFUNCTION("""COMPUTED_VALUE"""),-0.509468115067847)</f>
        <v>-0.50946811506784695</v>
      </c>
      <c r="AK30" s="3">
        <f ca="1">IFERROR(__xludf.DUMMYFUNCTION("""COMPUTED_VALUE"""),-0.470720398107919)</f>
        <v>-0.47072039810791899</v>
      </c>
      <c r="AL30" s="3">
        <f ca="1">IFERROR(__xludf.DUMMYFUNCTION("""COMPUTED_VALUE"""),-0.480720166324302)</f>
        <v>-0.48072016632430198</v>
      </c>
      <c r="AM30" s="3">
        <f ca="1">IFERROR(__xludf.DUMMYFUNCTION("""COMPUTED_VALUE"""),-0.492903578281693)</f>
        <v>-0.49290357828169301</v>
      </c>
      <c r="AN30" s="3">
        <f ca="1">IFERROR(__xludf.DUMMYFUNCTION("""COMPUTED_VALUE"""),-0.509186790866883)</f>
        <v>-0.50918679086688301</v>
      </c>
      <c r="AO30" s="3">
        <f ca="1">IFERROR(__xludf.DUMMYFUNCTION("""COMPUTED_VALUE"""),-0.514104722951614)</f>
        <v>-0.51410472295161402</v>
      </c>
      <c r="AP30" s="3">
        <f ca="1">IFERROR(__xludf.DUMMYFUNCTION("""COMPUTED_VALUE"""),-0.505238057132331)</f>
        <v>-0.50523805713233105</v>
      </c>
      <c r="AQ30" s="3">
        <f ca="1">IFERROR(__xludf.DUMMYFUNCTION("""COMPUTED_VALUE"""),-0.508274061279503)</f>
        <v>-0.50827406127950303</v>
      </c>
      <c r="AR30" s="3">
        <f ca="1">IFERROR(__xludf.DUMMYFUNCTION("""COMPUTED_VALUE"""),-0.452542531340943)</f>
        <v>-0.45254253134094302</v>
      </c>
      <c r="AS30" s="3">
        <f ca="1">IFERROR(__xludf.DUMMYFUNCTION("""COMPUTED_VALUE"""),-0.504512348830032)</f>
        <v>-0.50451234883003204</v>
      </c>
      <c r="AT30" s="3">
        <f ca="1">IFERROR(__xludf.DUMMYFUNCTION("""COMPUTED_VALUE"""),-0.428971447303103)</f>
        <v>-0.42897144730310299</v>
      </c>
      <c r="AU30" s="3">
        <f ca="1">IFERROR(__xludf.DUMMYFUNCTION("""COMPUTED_VALUE"""),-0.458544159066059)</f>
        <v>-0.458544159066059</v>
      </c>
      <c r="AV30" s="3">
        <f ca="1">IFERROR(__xludf.DUMMYFUNCTION("""COMPUTED_VALUE"""),-0.495946738959978)</f>
        <v>-0.49594673895997798</v>
      </c>
      <c r="AW30" s="3">
        <f ca="1">IFERROR(__xludf.DUMMYFUNCTION("""COMPUTED_VALUE"""),-0.541438488937753)</f>
        <v>-0.54143848893775304</v>
      </c>
      <c r="AX30" s="3">
        <f ca="1">IFERROR(__xludf.DUMMYFUNCTION("""COMPUTED_VALUE"""),-0.489627029799094)</f>
        <v>-0.489627029799094</v>
      </c>
      <c r="AY30" s="3">
        <f ca="1">IFERROR(__xludf.DUMMYFUNCTION("""COMPUTED_VALUE"""),-0.352657499249092)</f>
        <v>-0.35265749924909201</v>
      </c>
      <c r="AZ30" s="3">
        <f ca="1">IFERROR(__xludf.DUMMYFUNCTION("""COMPUTED_VALUE"""),-0.388484639802179)</f>
        <v>-0.38848463980217901</v>
      </c>
      <c r="BA30" s="3">
        <f ca="1">IFERROR(__xludf.DUMMYFUNCTION("""COMPUTED_VALUE"""),-0.356266651155488)</f>
        <v>-0.356266651155488</v>
      </c>
      <c r="BB30" s="3">
        <f ca="1">IFERROR(__xludf.DUMMYFUNCTION("""COMPUTED_VALUE"""),-0.488688138746875)</f>
        <v>-0.488688138746875</v>
      </c>
      <c r="BC30" s="3">
        <f ca="1">IFERROR(__xludf.DUMMYFUNCTION("""COMPUTED_VALUE"""),-0.573260257370176)</f>
        <v>-0.57326025737017605</v>
      </c>
      <c r="BD30" s="3">
        <f ca="1">IFERROR(__xludf.DUMMYFUNCTION("""COMPUTED_VALUE"""),-0.693785804085983)</f>
        <v>-0.693785804085983</v>
      </c>
      <c r="BE30" s="3">
        <f ca="1">IFERROR(__xludf.DUMMYFUNCTION("""COMPUTED_VALUE"""),-0.814337285333421)</f>
        <v>-0.81433728533342098</v>
      </c>
      <c r="BF30" s="3">
        <f ca="1">IFERROR(__xludf.DUMMYFUNCTION("""COMPUTED_VALUE"""),-0.734388807053077)</f>
        <v>-0.73438880705307696</v>
      </c>
      <c r="BG30" s="3">
        <f ca="1">IFERROR(__xludf.DUMMYFUNCTION("""COMPUTED_VALUE"""),-0.749668940931476)</f>
        <v>-0.74966894093147596</v>
      </c>
      <c r="BH30" s="3">
        <f ca="1">IFERROR(__xludf.DUMMYFUNCTION("""COMPUTED_VALUE"""),-0.595932298317011)</f>
        <v>-0.595932298317011</v>
      </c>
      <c r="BI30" s="3">
        <f ca="1">IFERROR(__xludf.DUMMYFUNCTION("""COMPUTED_VALUE"""),-0.456971170972656)</f>
        <v>-0.45697117097265599</v>
      </c>
      <c r="BJ30" s="3">
        <f ca="1">IFERROR(__xludf.DUMMYFUNCTION("""COMPUTED_VALUE"""),-0.588056931901574)</f>
        <v>-0.58805693190157404</v>
      </c>
      <c r="BK30" s="3">
        <f ca="1">IFERROR(__xludf.DUMMYFUNCTION("""COMPUTED_VALUE"""),-0.572601821444757)</f>
        <v>-0.57260182144475702</v>
      </c>
      <c r="BL30" s="3">
        <f ca="1">IFERROR(__xludf.DUMMYFUNCTION("""COMPUTED_VALUE"""),-0.639873427184767)</f>
        <v>-0.63987342718476703</v>
      </c>
      <c r="BM30" s="3">
        <f ca="1">IFERROR(__xludf.DUMMYFUNCTION("""COMPUTED_VALUE"""),-0.522832959474632)</f>
        <v>-0.52283295947463204</v>
      </c>
      <c r="BN30" s="3">
        <f ca="1">IFERROR(__xludf.DUMMYFUNCTION("""COMPUTED_VALUE"""),-0.470963324819376)</f>
        <v>-0.47096332481937597</v>
      </c>
      <c r="BO30" s="3">
        <f ca="1">IFERROR(__xludf.DUMMYFUNCTION("""COMPUTED_VALUE"""),-0.415498538963521)</f>
        <v>-0.41549853896352101</v>
      </c>
      <c r="BP30" s="3">
        <f ca="1">IFERROR(__xludf.DUMMYFUNCTION("""COMPUTED_VALUE"""),-0.459305522979628)</f>
        <v>-0.45930552297962801</v>
      </c>
      <c r="BQ30" s="3">
        <f ca="1">IFERROR(__xludf.DUMMYFUNCTION("""COMPUTED_VALUE"""),-0.529488963229064)</f>
        <v>-0.52948896322906402</v>
      </c>
      <c r="BR30" s="3">
        <f ca="1">IFERROR(__xludf.DUMMYFUNCTION("""COMPUTED_VALUE"""),-0.489258157016514)</f>
        <v>-0.48925815701651398</v>
      </c>
      <c r="BS30" s="3">
        <f ca="1">IFERROR(__xludf.DUMMYFUNCTION("""COMPUTED_VALUE"""),-0.518672830060741)</f>
        <v>-0.51867283006074105</v>
      </c>
      <c r="BT30" s="3">
        <f ca="1">IFERROR(__xludf.DUMMYFUNCTION("""COMPUTED_VALUE"""),-0.525916405653397)</f>
        <v>-0.52591640565339703</v>
      </c>
      <c r="BU30" s="3">
        <f ca="1">IFERROR(__xludf.DUMMYFUNCTION("""COMPUTED_VALUE"""),-0.537144527226724)</f>
        <v>-0.53714452722672401</v>
      </c>
      <c r="BV30" s="3">
        <f ca="1">IFERROR(__xludf.DUMMYFUNCTION("""COMPUTED_VALUE"""),-0.413680943986585)</f>
        <v>-0.413680943986585</v>
      </c>
      <c r="BW30" s="3">
        <f ca="1">IFERROR(__xludf.DUMMYFUNCTION("""COMPUTED_VALUE"""),-0.542817527207731)</f>
        <v>-0.54281752720773102</v>
      </c>
      <c r="BX30" s="3">
        <f ca="1">IFERROR(__xludf.DUMMYFUNCTION("""COMPUTED_VALUE"""),-0.592250691802187)</f>
        <v>-0.59225069180218703</v>
      </c>
      <c r="BY30" s="3">
        <f ca="1">IFERROR(__xludf.DUMMYFUNCTION("""COMPUTED_VALUE"""),-0.54994835950329)</f>
        <v>-0.54994835950329002</v>
      </c>
      <c r="BZ30" s="3">
        <f ca="1">IFERROR(__xludf.DUMMYFUNCTION("""COMPUTED_VALUE"""),-0.570363413502856)</f>
        <v>-0.57036341350285602</v>
      </c>
      <c r="CA30" s="3">
        <f ca="1">IFERROR(__xludf.DUMMYFUNCTION("""COMPUTED_VALUE"""),-0.512666678222166)</f>
        <v>-0.51266667822216605</v>
      </c>
      <c r="CB30" s="3">
        <f ca="1">IFERROR(__xludf.DUMMYFUNCTION("""COMPUTED_VALUE"""),-0.552647890095507)</f>
        <v>-0.55264789009550697</v>
      </c>
      <c r="CC30" s="3">
        <f ca="1">IFERROR(__xludf.DUMMYFUNCTION("""COMPUTED_VALUE"""),-0.590862837695353)</f>
        <v>-0.59086283769535297</v>
      </c>
      <c r="CD30" s="3">
        <f ca="1">IFERROR(__xludf.DUMMYFUNCTION("""COMPUTED_VALUE"""),-0.530038355570761)</f>
        <v>-0.53003835557076096</v>
      </c>
      <c r="CE30" s="3">
        <f ca="1">IFERROR(__xludf.DUMMYFUNCTION("""COMPUTED_VALUE"""),-0.5665935133938)</f>
        <v>-0.56659351339380004</v>
      </c>
      <c r="CF30" s="3">
        <f ca="1">IFERROR(__xludf.DUMMYFUNCTION("""COMPUTED_VALUE"""),-0.568927769502566)</f>
        <v>-0.56892776950256596</v>
      </c>
      <c r="CG30" s="3">
        <f ca="1">IFERROR(__xludf.DUMMYFUNCTION("""COMPUTED_VALUE"""),-0.583819035911151)</f>
        <v>-0.58381903591115103</v>
      </c>
      <c r="CH30" s="3">
        <f ca="1">IFERROR(__xludf.DUMMYFUNCTION("""COMPUTED_VALUE"""),-0.571662570678581)</f>
        <v>-0.57166257067858095</v>
      </c>
      <c r="CI30" s="3">
        <f ca="1">IFERROR(__xludf.DUMMYFUNCTION("""COMPUTED_VALUE"""),-0.580071750660082)</f>
        <v>-0.58007175066008199</v>
      </c>
      <c r="CJ30" s="3">
        <f ca="1">IFERROR(__xludf.DUMMYFUNCTION("""COMPUTED_VALUE"""),-0.541330340631138)</f>
        <v>-0.54133034063113805</v>
      </c>
      <c r="CK30" s="3">
        <f ca="1">IFERROR(__xludf.DUMMYFUNCTION("""COMPUTED_VALUE"""),-0.508656302184682)</f>
        <v>-0.50865630218468205</v>
      </c>
      <c r="CL30" s="3">
        <f ca="1">IFERROR(__xludf.DUMMYFUNCTION("""COMPUTED_VALUE"""),-0.52450007223651)</f>
        <v>-0.52450007223650996</v>
      </c>
      <c r="CM30" s="3">
        <f ca="1">IFERROR(__xludf.DUMMYFUNCTION("""COMPUTED_VALUE"""),-0.574260510225394)</f>
        <v>-0.57426051022539404</v>
      </c>
      <c r="CN30" s="3">
        <f ca="1">IFERROR(__xludf.DUMMYFUNCTION("""COMPUTED_VALUE"""),-0.59312719609081)</f>
        <v>-0.59312719609080999</v>
      </c>
      <c r="CO30" s="3">
        <f ca="1">IFERROR(__xludf.DUMMYFUNCTION("""COMPUTED_VALUE"""),-0.561133681289306)</f>
        <v>-0.56113368128930596</v>
      </c>
      <c r="CP30" s="3">
        <f ca="1">IFERROR(__xludf.DUMMYFUNCTION("""COMPUTED_VALUE"""),-0.549064214217183)</f>
        <v>-0.54906421421718299</v>
      </c>
      <c r="CQ30" s="3">
        <f ca="1">IFERROR(__xludf.DUMMYFUNCTION("""COMPUTED_VALUE"""),-0.703411508039679)</f>
        <v>-0.703411508039679</v>
      </c>
      <c r="CR30" s="3">
        <f ca="1">IFERROR(__xludf.DUMMYFUNCTION("""COMPUTED_VALUE"""),-0.529530350420961)</f>
        <v>-0.52953035042096097</v>
      </c>
      <c r="CS30" s="3">
        <f ca="1">IFERROR(__xludf.DUMMYFUNCTION("""COMPUTED_VALUE"""),-0.546312768293093)</f>
        <v>-0.54631276829309305</v>
      </c>
      <c r="CT30" s="3">
        <f ca="1">IFERROR(__xludf.DUMMYFUNCTION("""COMPUTED_VALUE"""),-0.574746125408882)</f>
        <v>-0.57474612540888204</v>
      </c>
      <c r="CU30" s="3">
        <f ca="1">IFERROR(__xludf.DUMMYFUNCTION("""COMPUTED_VALUE"""),-0.586716116724918)</f>
        <v>-0.58671611672491797</v>
      </c>
      <c r="CV30" s="3">
        <f ca="1">IFERROR(__xludf.DUMMYFUNCTION("""COMPUTED_VALUE"""),-0.588265691852301)</f>
        <v>-0.58826569185230104</v>
      </c>
      <c r="CW30" s="3">
        <f ca="1">IFERROR(__xludf.DUMMYFUNCTION("""COMPUTED_VALUE"""),-0.561699420872885)</f>
        <v>-0.56169942087288505</v>
      </c>
      <c r="CX30" s="3">
        <f ca="1">IFERROR(__xludf.DUMMYFUNCTION("""COMPUTED_VALUE"""),-0.538208182432326)</f>
        <v>-0.53820818243232604</v>
      </c>
      <c r="CY30" s="3">
        <f ca="1">IFERROR(__xludf.DUMMYFUNCTION("""COMPUTED_VALUE"""),-0.414020174829357)</f>
        <v>-0.41402017482935699</v>
      </c>
      <c r="CZ30" s="3">
        <f ca="1">IFERROR(__xludf.DUMMYFUNCTION("""COMPUTED_VALUE"""),-0.711818235397554)</f>
        <v>-0.71181823539755396</v>
      </c>
      <c r="DA30" s="3">
        <f ca="1">IFERROR(__xludf.DUMMYFUNCTION("""COMPUTED_VALUE"""),-0.654279270499873)</f>
        <v>-0.654279270499873</v>
      </c>
      <c r="DB30" s="3">
        <f ca="1">IFERROR(__xludf.DUMMYFUNCTION("""COMPUTED_VALUE"""),-0.460919411209516)</f>
        <v>-0.46091941120951602</v>
      </c>
      <c r="DC30" s="3">
        <f ca="1">IFERROR(__xludf.DUMMYFUNCTION("""COMPUTED_VALUE"""),-0.543824993825511)</f>
        <v>-0.54382499382551097</v>
      </c>
      <c r="DD30" s="3">
        <f ca="1">IFERROR(__xludf.DUMMYFUNCTION("""COMPUTED_VALUE"""),-0.549434938233768)</f>
        <v>-0.54943493823376799</v>
      </c>
      <c r="DE30" s="3">
        <f ca="1">IFERROR(__xludf.DUMMYFUNCTION("""COMPUTED_VALUE"""),-0.545904857219126)</f>
        <v>-0.54590485721912596</v>
      </c>
      <c r="DF30" s="3">
        <f ca="1">IFERROR(__xludf.DUMMYFUNCTION("""COMPUTED_VALUE"""),-0.491648444033303)</f>
        <v>-0.49164844403330299</v>
      </c>
      <c r="DG30" s="3">
        <f ca="1">IFERROR(__xludf.DUMMYFUNCTION("""COMPUTED_VALUE"""),-0.797790402883757)</f>
        <v>-0.79779040288375702</v>
      </c>
      <c r="DH30" s="3">
        <f ca="1">IFERROR(__xludf.DUMMYFUNCTION("""COMPUTED_VALUE"""),-0.547595597013358)</f>
        <v>-0.54759559701335803</v>
      </c>
      <c r="DI30" s="3">
        <f ca="1">IFERROR(__xludf.DUMMYFUNCTION("""COMPUTED_VALUE"""),-0.348149669689318)</f>
        <v>-0.34814966968931799</v>
      </c>
      <c r="DJ30" s="3">
        <f ca="1">IFERROR(__xludf.DUMMYFUNCTION("""COMPUTED_VALUE"""),-0.556100339225395)</f>
        <v>-0.55610033922539504</v>
      </c>
      <c r="DK30" s="3">
        <f ca="1">IFERROR(__xludf.DUMMYFUNCTION("""COMPUTED_VALUE"""),-0.539417314682126)</f>
        <v>-0.53941731468212595</v>
      </c>
      <c r="DL30" s="3">
        <f ca="1">IFERROR(__xludf.DUMMYFUNCTION("""COMPUTED_VALUE"""),-0.486189305299604)</f>
        <v>-0.48618930529960402</v>
      </c>
      <c r="DM30" s="3">
        <f ca="1">IFERROR(__xludf.DUMMYFUNCTION("""COMPUTED_VALUE"""),-0.368807418512234)</f>
        <v>-0.36880741851223398</v>
      </c>
      <c r="DN30" s="3">
        <f ca="1">IFERROR(__xludf.DUMMYFUNCTION("""COMPUTED_VALUE"""),-0.49689428157269)</f>
        <v>-0.49689428157269</v>
      </c>
      <c r="DO30" s="3">
        <f ca="1">IFERROR(__xludf.DUMMYFUNCTION("""COMPUTED_VALUE"""),-0.519420818427422)</f>
        <v>-0.51942081842742205</v>
      </c>
      <c r="DP30" s="3">
        <f ca="1">IFERROR(__xludf.DUMMYFUNCTION("""COMPUTED_VALUE"""),-0.482038053079867)</f>
        <v>-0.48203805307986702</v>
      </c>
      <c r="DQ30" s="3">
        <f ca="1">IFERROR(__xludf.DUMMYFUNCTION("""COMPUTED_VALUE"""),-0.573442109728741)</f>
        <v>-0.57344210972874099</v>
      </c>
      <c r="DR30" s="3">
        <f ca="1">IFERROR(__xludf.DUMMYFUNCTION("""COMPUTED_VALUE"""),-0.546874377684216)</f>
        <v>-0.54687437768421598</v>
      </c>
      <c r="DS30" s="3">
        <f ca="1">IFERROR(__xludf.DUMMYFUNCTION("""COMPUTED_VALUE"""),-0.581908181868079)</f>
        <v>-0.58190818186807902</v>
      </c>
      <c r="DT30" s="3">
        <f ca="1">IFERROR(__xludf.DUMMYFUNCTION("""COMPUTED_VALUE"""),-0.490546159065646)</f>
        <v>-0.49054615906564603</v>
      </c>
      <c r="DU30" s="3">
        <f ca="1">IFERROR(__xludf.DUMMYFUNCTION("""COMPUTED_VALUE"""),-0.593314649391532)</f>
        <v>-0.593314649391532</v>
      </c>
      <c r="DV30" s="3">
        <f ca="1">IFERROR(__xludf.DUMMYFUNCTION("""COMPUTED_VALUE"""),-0.535786536009263)</f>
        <v>-0.53578653600926296</v>
      </c>
      <c r="DW30" s="3">
        <f ca="1">IFERROR(__xludf.DUMMYFUNCTION("""COMPUTED_VALUE"""),-0.548433809296225)</f>
        <v>-0.54843380929622498</v>
      </c>
      <c r="DX30" s="3">
        <f ca="1">IFERROR(__xludf.DUMMYFUNCTION("""COMPUTED_VALUE"""),-0.542492877305377)</f>
        <v>-0.54249287730537699</v>
      </c>
      <c r="DY30" s="3">
        <f ca="1">IFERROR(__xludf.DUMMYFUNCTION("""COMPUTED_VALUE"""),-0.602443986856859)</f>
        <v>-0.60244398685685896</v>
      </c>
      <c r="DZ30" s="3">
        <f ca="1">IFERROR(__xludf.DUMMYFUNCTION("""COMPUTED_VALUE"""),-0.543516636142556)</f>
        <v>-0.54351663614255596</v>
      </c>
      <c r="EA30" s="3">
        <f ca="1">IFERROR(__xludf.DUMMYFUNCTION("""COMPUTED_VALUE"""),-0.47998117669035)</f>
        <v>-0.47998117669035001</v>
      </c>
      <c r="EB30" s="3">
        <f ca="1">IFERROR(__xludf.DUMMYFUNCTION("""COMPUTED_VALUE"""),-0.545420685234483)</f>
        <v>-0.54542068523448295</v>
      </c>
      <c r="EC30" s="3">
        <f ca="1">IFERROR(__xludf.DUMMYFUNCTION("""COMPUTED_VALUE"""),-0.476427620755408)</f>
        <v>-0.47642762075540801</v>
      </c>
      <c r="ED30" s="3">
        <f ca="1">IFERROR(__xludf.DUMMYFUNCTION("""COMPUTED_VALUE"""),-0.588362529049197)</f>
        <v>-0.58836252904919695</v>
      </c>
      <c r="EE30" s="3">
        <f ca="1">IFERROR(__xludf.DUMMYFUNCTION("""COMPUTED_VALUE"""),-0.469719061454323)</f>
        <v>-0.46971906145432302</v>
      </c>
      <c r="EF30" s="3">
        <f ca="1">IFERROR(__xludf.DUMMYFUNCTION("""COMPUTED_VALUE"""),-0.625574495754776)</f>
        <v>-0.62557449575477597</v>
      </c>
      <c r="EG30" s="3">
        <f ca="1">IFERROR(__xludf.DUMMYFUNCTION("""COMPUTED_VALUE"""),-0.520780234873483)</f>
        <v>-0.52078023487348302</v>
      </c>
      <c r="EH30" s="3">
        <f ca="1">IFERROR(__xludf.DUMMYFUNCTION("""COMPUTED_VALUE"""),-0.523020183310942)</f>
        <v>-0.52302018331094202</v>
      </c>
      <c r="EI30" s="3">
        <f ca="1">IFERROR(__xludf.DUMMYFUNCTION("""COMPUTED_VALUE"""),-0.474054579040527)</f>
        <v>-0.474054579040527</v>
      </c>
      <c r="EJ30" s="3">
        <f ca="1">IFERROR(__xludf.DUMMYFUNCTION("""COMPUTED_VALUE"""),-0.62144891124937)</f>
        <v>-0.62144891124936996</v>
      </c>
      <c r="EK30" s="3">
        <f ca="1">IFERROR(__xludf.DUMMYFUNCTION("""COMPUTED_VALUE"""),-0.49851559591614)</f>
        <v>-0.49851559591613998</v>
      </c>
      <c r="EL30" s="3">
        <f ca="1">IFERROR(__xludf.DUMMYFUNCTION("""COMPUTED_VALUE"""),-0.592538587485681)</f>
        <v>-0.592538587485681</v>
      </c>
      <c r="EM30" s="3">
        <f ca="1">IFERROR(__xludf.DUMMYFUNCTION("""COMPUTED_VALUE"""),-0.600576808202755)</f>
        <v>-0.60057680820275505</v>
      </c>
      <c r="EN30" s="3">
        <f ca="1">IFERROR(__xludf.DUMMYFUNCTION("""COMPUTED_VALUE"""),-0.498766302570149)</f>
        <v>-0.49876630257014898</v>
      </c>
      <c r="EO30" s="3">
        <f ca="1">IFERROR(__xludf.DUMMYFUNCTION("""COMPUTED_VALUE"""),-0.493764302993471)</f>
        <v>-0.49376430299347102</v>
      </c>
      <c r="EP30" s="3">
        <f ca="1">IFERROR(__xludf.DUMMYFUNCTION("""COMPUTED_VALUE"""),-0.448708583715607)</f>
        <v>-0.44870858371560701</v>
      </c>
      <c r="EQ30" s="3">
        <f ca="1">IFERROR(__xludf.DUMMYFUNCTION("""COMPUTED_VALUE"""),-0.47327784430396)</f>
        <v>-0.47327784430396003</v>
      </c>
      <c r="ER30" s="3">
        <f ca="1">IFERROR(__xludf.DUMMYFUNCTION("""COMPUTED_VALUE"""),-0.609338545936281)</f>
        <v>-0.60933854593628101</v>
      </c>
      <c r="ES30" s="3">
        <f ca="1">IFERROR(__xludf.DUMMYFUNCTION("""COMPUTED_VALUE"""),-0.555141305872875)</f>
        <v>-0.55514130587287502</v>
      </c>
      <c r="ET30" s="3">
        <f ca="1">IFERROR(__xludf.DUMMYFUNCTION("""COMPUTED_VALUE"""),-0.542296758125658)</f>
        <v>-0.54229675812565803</v>
      </c>
      <c r="EU30" s="3">
        <f ca="1">IFERROR(__xludf.DUMMYFUNCTION("""COMPUTED_VALUE"""),-0.470240907453794)</f>
        <v>-0.47024090745379399</v>
      </c>
      <c r="EV30" s="3">
        <f ca="1">IFERROR(__xludf.DUMMYFUNCTION("""COMPUTED_VALUE"""),-0.5528078737221)</f>
        <v>-0.55280787372210005</v>
      </c>
      <c r="EW30" s="3">
        <f ca="1">IFERROR(__xludf.DUMMYFUNCTION("""COMPUTED_VALUE"""),-0.575313111314015)</f>
        <v>-0.57531311131401497</v>
      </c>
      <c r="EX30" s="3">
        <f ca="1">IFERROR(__xludf.DUMMYFUNCTION("""COMPUTED_VALUE"""),-0.600836463894202)</f>
        <v>-0.60083646389420198</v>
      </c>
      <c r="EY30" s="3">
        <f ca="1">IFERROR(__xludf.DUMMYFUNCTION("""COMPUTED_VALUE"""),-0.58842235875896)</f>
        <v>-0.58842235875895998</v>
      </c>
      <c r="EZ30" s="3">
        <f ca="1">IFERROR(__xludf.DUMMYFUNCTION("""COMPUTED_VALUE"""),-0.582589290093132)</f>
        <v>-0.58258929009313198</v>
      </c>
      <c r="FA30" s="3">
        <f ca="1">IFERROR(__xludf.DUMMYFUNCTION("""COMPUTED_VALUE"""),-0.530230892685234)</f>
        <v>-0.53023089268523405</v>
      </c>
      <c r="FB30" s="3">
        <f ca="1">IFERROR(__xludf.DUMMYFUNCTION("""COMPUTED_VALUE"""),-0.580859033294101)</f>
        <v>-0.58085903329410105</v>
      </c>
      <c r="FC30" s="3">
        <f ca="1">IFERROR(__xludf.DUMMYFUNCTION("""COMPUTED_VALUE"""),-0.514403803049542)</f>
        <v>-0.51440380304954203</v>
      </c>
      <c r="FD30" s="3">
        <f ca="1">IFERROR(__xludf.DUMMYFUNCTION("""COMPUTED_VALUE"""),-0.59192571632199)</f>
        <v>-0.59192571632198998</v>
      </c>
      <c r="FE30" s="3">
        <f ca="1">IFERROR(__xludf.DUMMYFUNCTION("""COMPUTED_VALUE"""),-0.580218263706012)</f>
        <v>-0.58021826370601204</v>
      </c>
      <c r="FF30" s="3">
        <f ca="1">IFERROR(__xludf.DUMMYFUNCTION("""COMPUTED_VALUE"""),-0.564274861655082)</f>
        <v>-0.56427486165508201</v>
      </c>
      <c r="FG30" s="3">
        <f ca="1">IFERROR(__xludf.DUMMYFUNCTION("""COMPUTED_VALUE"""),-0.520258940300599)</f>
        <v>-0.52025894030059905</v>
      </c>
      <c r="FH30" s="3">
        <f ca="1">IFERROR(__xludf.DUMMYFUNCTION("""COMPUTED_VALUE"""),-0.56015214062807)</f>
        <v>-0.56015214062806995</v>
      </c>
      <c r="FI30" s="3">
        <f ca="1">IFERROR(__xludf.DUMMYFUNCTION("""COMPUTED_VALUE"""),-0.565758252196301)</f>
        <v>-0.56575825219630105</v>
      </c>
      <c r="FJ30" s="3">
        <f ca="1">IFERROR(__xludf.DUMMYFUNCTION("""COMPUTED_VALUE"""),-0.506248561837836)</f>
        <v>-0.50624856183783595</v>
      </c>
      <c r="FK30" s="3">
        <f ca="1">IFERROR(__xludf.DUMMYFUNCTION("""COMPUTED_VALUE"""),-0.566687617276179)</f>
        <v>-0.566687617276179</v>
      </c>
      <c r="FL30" s="3">
        <f ca="1">IFERROR(__xludf.DUMMYFUNCTION("""COMPUTED_VALUE"""),-0.589043000962038)</f>
        <v>-0.58904300096203799</v>
      </c>
      <c r="FM30" s="3">
        <f ca="1">IFERROR(__xludf.DUMMYFUNCTION("""COMPUTED_VALUE"""),-0.616911512369027)</f>
        <v>-0.61691151236902697</v>
      </c>
      <c r="FN30" s="3">
        <f ca="1">IFERROR(__xludf.DUMMYFUNCTION("""COMPUTED_VALUE"""),-0.601666018709095)</f>
        <v>-0.60166601870909497</v>
      </c>
      <c r="FO30" s="3">
        <f ca="1">IFERROR(__xludf.DUMMYFUNCTION("""COMPUTED_VALUE"""),-0.574316834155488)</f>
        <v>-0.57431683415548795</v>
      </c>
      <c r="FP30" s="3">
        <f ca="1">IFERROR(__xludf.DUMMYFUNCTION("""COMPUTED_VALUE"""),-0.548605866529529)</f>
        <v>-0.54860586652952903</v>
      </c>
      <c r="FQ30" s="3">
        <f ca="1">IFERROR(__xludf.DUMMYFUNCTION("""COMPUTED_VALUE"""),-0.529123660334449)</f>
        <v>-0.52912366033444902</v>
      </c>
      <c r="FR30" s="3">
        <f ca="1">IFERROR(__xludf.DUMMYFUNCTION("""COMPUTED_VALUE"""),-0.591954211346995)</f>
        <v>-0.591954211346995</v>
      </c>
      <c r="FS30" s="3">
        <f ca="1">IFERROR(__xludf.DUMMYFUNCTION("""COMPUTED_VALUE"""),-0.556701869232874)</f>
        <v>-0.55670186923287401</v>
      </c>
      <c r="FT30" s="3">
        <f ca="1">IFERROR(__xludf.DUMMYFUNCTION("""COMPUTED_VALUE"""),-0.536380210078502)</f>
        <v>-0.53638021007850201</v>
      </c>
      <c r="FU30" s="3">
        <f ca="1">IFERROR(__xludf.DUMMYFUNCTION("""COMPUTED_VALUE"""),-0.577009509957987)</f>
        <v>-0.57700950995798705</v>
      </c>
      <c r="FV30" s="3">
        <f ca="1">IFERROR(__xludf.DUMMYFUNCTION("""COMPUTED_VALUE"""),-0.543934172957953)</f>
        <v>-0.54393417295795299</v>
      </c>
      <c r="FW30" s="3">
        <f ca="1">IFERROR(__xludf.DUMMYFUNCTION("""COMPUTED_VALUE"""),-0.554214938923295)</f>
        <v>-0.55421493892329499</v>
      </c>
      <c r="FX30" s="3">
        <f ca="1">IFERROR(__xludf.DUMMYFUNCTION("""COMPUTED_VALUE"""),-0.576359792910606)</f>
        <v>-0.57635979291060602</v>
      </c>
      <c r="FY30" s="3">
        <f ca="1">IFERROR(__xludf.DUMMYFUNCTION("""COMPUTED_VALUE"""),-0.59103953945171)</f>
        <v>-0.59103953945170995</v>
      </c>
      <c r="FZ30" s="3">
        <f ca="1">IFERROR(__xludf.DUMMYFUNCTION("""COMPUTED_VALUE"""),-0.648128593737775)</f>
        <v>-0.64812859373777498</v>
      </c>
      <c r="GA30" s="3">
        <f ca="1">IFERROR(__xludf.DUMMYFUNCTION("""COMPUTED_VALUE"""),-0.549494435262418)</f>
        <v>-0.54949443526241804</v>
      </c>
      <c r="GB30" s="3">
        <f ca="1">IFERROR(__xludf.DUMMYFUNCTION("""COMPUTED_VALUE"""),-0.588316505422902)</f>
        <v>-0.58831650542290204</v>
      </c>
      <c r="GC30" s="3">
        <f ca="1">IFERROR(__xludf.DUMMYFUNCTION("""COMPUTED_VALUE"""),-0.606369821873316)</f>
        <v>-0.60636982187331601</v>
      </c>
      <c r="GD30" s="3">
        <f ca="1">IFERROR(__xludf.DUMMYFUNCTION("""COMPUTED_VALUE"""),-0.571577360665198)</f>
        <v>-0.57157736066519804</v>
      </c>
      <c r="GE30" s="3">
        <f ca="1">IFERROR(__xludf.DUMMYFUNCTION("""COMPUTED_VALUE"""),-0.617125059464648)</f>
        <v>-0.61712505946464802</v>
      </c>
      <c r="GF30" s="3">
        <f ca="1">IFERROR(__xludf.DUMMYFUNCTION("""COMPUTED_VALUE"""),-0.600780168501165)</f>
        <v>-0.600780168501165</v>
      </c>
      <c r="GG30" s="3">
        <f ca="1">IFERROR(__xludf.DUMMYFUNCTION("""COMPUTED_VALUE"""),-0.642812778716936)</f>
        <v>-0.64281277871693598</v>
      </c>
      <c r="GH30" s="3">
        <f ca="1">IFERROR(__xludf.DUMMYFUNCTION("""COMPUTED_VALUE"""),-0.606219579731454)</f>
        <v>-0.60621957973145402</v>
      </c>
      <c r="GI30" s="3">
        <f ca="1">IFERROR(__xludf.DUMMYFUNCTION("""COMPUTED_VALUE"""),-0.583833448994572)</f>
        <v>-0.58383344899457201</v>
      </c>
      <c r="GJ30" s="3">
        <f ca="1">IFERROR(__xludf.DUMMYFUNCTION("""COMPUTED_VALUE"""),-0.635771155937626)</f>
        <v>-0.63577115593762601</v>
      </c>
      <c r="GK30" s="3">
        <f ca="1">IFERROR(__xludf.DUMMYFUNCTION("""COMPUTED_VALUE"""),-0.595152008349876)</f>
        <v>-0.59515200834987603</v>
      </c>
      <c r="GL30" s="3">
        <f ca="1">IFERROR(__xludf.DUMMYFUNCTION("""COMPUTED_VALUE"""),-0.650608287030639)</f>
        <v>-0.650608287030639</v>
      </c>
      <c r="GM30" s="3">
        <f ca="1">IFERROR(__xludf.DUMMYFUNCTION("""COMPUTED_VALUE"""),-0.568640563734087)</f>
        <v>-0.568640563734087</v>
      </c>
      <c r="GN30" s="3">
        <f ca="1">IFERROR(__xludf.DUMMYFUNCTION("""COMPUTED_VALUE"""),-0.614727323828583)</f>
        <v>-0.61472732382858297</v>
      </c>
      <c r="GO30" s="3">
        <f ca="1">IFERROR(__xludf.DUMMYFUNCTION("""COMPUTED_VALUE"""),-0.644231618292031)</f>
        <v>-0.64423161829203102</v>
      </c>
      <c r="GP30" s="3">
        <f ca="1">IFERROR(__xludf.DUMMYFUNCTION("""COMPUTED_VALUE"""),-0.656380290793086)</f>
        <v>-0.65638029079308602</v>
      </c>
      <c r="GQ30" s="3">
        <f ca="1">IFERROR(__xludf.DUMMYFUNCTION("""COMPUTED_VALUE"""),-0.626033380028307)</f>
        <v>-0.626033380028307</v>
      </c>
      <c r="GR30" s="3">
        <f ca="1">IFERROR(__xludf.DUMMYFUNCTION("""COMPUTED_VALUE"""),-0.567211424850384)</f>
        <v>-0.56721142485038401</v>
      </c>
      <c r="GS30" s="3">
        <f ca="1">IFERROR(__xludf.DUMMYFUNCTION("""COMPUTED_VALUE"""),-0.613712514014782)</f>
        <v>-0.613712514014782</v>
      </c>
      <c r="GT30" s="3">
        <f ca="1">IFERROR(__xludf.DUMMYFUNCTION("""COMPUTED_VALUE"""),-0.638322986574269)</f>
        <v>-0.638322986574269</v>
      </c>
      <c r="GU30" s="3">
        <f ca="1">IFERROR(__xludf.DUMMYFUNCTION("""COMPUTED_VALUE"""),-0.634103552379065)</f>
        <v>-0.63410355237906502</v>
      </c>
      <c r="GV30" s="3">
        <f ca="1">IFERROR(__xludf.DUMMYFUNCTION("""COMPUTED_VALUE"""),-0.60522276991268)</f>
        <v>-0.60522276991267998</v>
      </c>
      <c r="GW30" s="3">
        <f ca="1">IFERROR(__xludf.DUMMYFUNCTION("""COMPUTED_VALUE"""),-0.613553191558541)</f>
        <v>-0.61355319155854104</v>
      </c>
      <c r="GX30" s="3">
        <f ca="1">IFERROR(__xludf.DUMMYFUNCTION("""COMPUTED_VALUE"""),-0.647793715195383)</f>
        <v>-0.64779371519538298</v>
      </c>
      <c r="GY30" s="3">
        <f ca="1">IFERROR(__xludf.DUMMYFUNCTION("""COMPUTED_VALUE"""),-0.487203743537964)</f>
        <v>-0.48720374353796397</v>
      </c>
      <c r="GZ30" s="3">
        <f ca="1">IFERROR(__xludf.DUMMYFUNCTION("""COMPUTED_VALUE"""),-0.571789040354634)</f>
        <v>-0.57178904035463396</v>
      </c>
      <c r="HA30" s="3">
        <f ca="1">IFERROR(__xludf.DUMMYFUNCTION("""COMPUTED_VALUE"""),-0.628630838821369)</f>
        <v>-0.62863083882136905</v>
      </c>
      <c r="HB30" s="3">
        <f ca="1">IFERROR(__xludf.DUMMYFUNCTION("""COMPUTED_VALUE"""),-0.595393484970684)</f>
        <v>-0.59539348497068401</v>
      </c>
      <c r="HC30" s="3">
        <f ca="1">IFERROR(__xludf.DUMMYFUNCTION("""COMPUTED_VALUE"""),-0.666492254109643)</f>
        <v>-0.66649225410964297</v>
      </c>
      <c r="HD30" s="3">
        <f ca="1">IFERROR(__xludf.DUMMYFUNCTION("""COMPUTED_VALUE"""),-0.636134384845249)</f>
        <v>-0.63613438484524898</v>
      </c>
      <c r="HE30" s="3">
        <f ca="1">IFERROR(__xludf.DUMMYFUNCTION("""COMPUTED_VALUE"""),-0.639612206988741)</f>
        <v>-0.63961220698874099</v>
      </c>
      <c r="HF30" s="3">
        <f ca="1">IFERROR(__xludf.DUMMYFUNCTION("""COMPUTED_VALUE"""),-0.566070294297605)</f>
        <v>-0.56607029429760503</v>
      </c>
      <c r="HG30" s="3">
        <f ca="1">IFERROR(__xludf.DUMMYFUNCTION("""COMPUTED_VALUE"""),-0.563739069011245)</f>
        <v>-0.56373906901124504</v>
      </c>
      <c r="HH30" s="3">
        <f ca="1">IFERROR(__xludf.DUMMYFUNCTION("""COMPUTED_VALUE"""),-0.692092810032692)</f>
        <v>-0.69209281003269196</v>
      </c>
      <c r="HI30" s="3">
        <f ca="1">IFERROR(__xludf.DUMMYFUNCTION("""COMPUTED_VALUE"""),-0.586224844551557)</f>
        <v>-0.58622484455155699</v>
      </c>
      <c r="HJ30" s="3">
        <f ca="1">IFERROR(__xludf.DUMMYFUNCTION("""COMPUTED_VALUE"""),-0.682138675562707)</f>
        <v>-0.68213867556270702</v>
      </c>
      <c r="HK30" s="3">
        <f ca="1">IFERROR(__xludf.DUMMYFUNCTION("""COMPUTED_VALUE"""),-0.555936730806067)</f>
        <v>-0.55593673080606698</v>
      </c>
      <c r="HL30" s="3">
        <f ca="1">IFERROR(__xludf.DUMMYFUNCTION("""COMPUTED_VALUE"""),-0.659779247579476)</f>
        <v>-0.65977924757947604</v>
      </c>
      <c r="HM30" s="3">
        <f ca="1">IFERROR(__xludf.DUMMYFUNCTION("""COMPUTED_VALUE"""),-0.46905575027066)</f>
        <v>-0.46905575027065999</v>
      </c>
      <c r="HN30" s="3">
        <f ca="1">IFERROR(__xludf.DUMMYFUNCTION("""COMPUTED_VALUE"""),-0.577116734406066)</f>
        <v>-0.57711673440606603</v>
      </c>
      <c r="HO30" s="3">
        <f ca="1">IFERROR(__xludf.DUMMYFUNCTION("""COMPUTED_VALUE"""),-0.635860936472241)</f>
        <v>-0.63586093647224096</v>
      </c>
      <c r="HP30" s="3">
        <f ca="1">IFERROR(__xludf.DUMMYFUNCTION("""COMPUTED_VALUE"""),-0.611050726798758)</f>
        <v>-0.61105072679875805</v>
      </c>
      <c r="HQ30" s="3">
        <f ca="1">IFERROR(__xludf.DUMMYFUNCTION("""COMPUTED_VALUE"""),-0.692403185558851)</f>
        <v>-0.69240318555885105</v>
      </c>
      <c r="HR30" s="3">
        <f ca="1">IFERROR(__xludf.DUMMYFUNCTION("""COMPUTED_VALUE"""),-0.595422492141767)</f>
        <v>-0.59542249214176701</v>
      </c>
      <c r="HS30" s="3">
        <f ca="1">IFERROR(__xludf.DUMMYFUNCTION("""COMPUTED_VALUE"""),-0.568837504371403)</f>
        <v>-0.56883750437140301</v>
      </c>
      <c r="HT30" s="3">
        <f ca="1">IFERROR(__xludf.DUMMYFUNCTION("""COMPUTED_VALUE"""),-0.530753167238023)</f>
        <v>-0.53075316723802302</v>
      </c>
      <c r="HU30" s="3">
        <f ca="1">IFERROR(__xludf.DUMMYFUNCTION("""COMPUTED_VALUE"""),-0.584291808754627)</f>
        <v>-0.58429180875462705</v>
      </c>
      <c r="HV30" s="3">
        <f ca="1">IFERROR(__xludf.DUMMYFUNCTION("""COMPUTED_VALUE"""),-0.632104785055228)</f>
        <v>-0.63210478505522805</v>
      </c>
      <c r="HW30" s="3">
        <f ca="1">IFERROR(__xludf.DUMMYFUNCTION("""COMPUTED_VALUE"""),-0.600724149879447)</f>
        <v>-0.600724149879447</v>
      </c>
      <c r="HX30" s="3">
        <f ca="1">IFERROR(__xludf.DUMMYFUNCTION("""COMPUTED_VALUE"""),-0.67864299501575)</f>
        <v>-0.67864299501574998</v>
      </c>
      <c r="HY30" s="3">
        <f ca="1">IFERROR(__xludf.DUMMYFUNCTION("""COMPUTED_VALUE"""),-0.604319510896155)</f>
        <v>-0.60431951089615499</v>
      </c>
      <c r="HZ30" s="3">
        <f ca="1">IFERROR(__xludf.DUMMYFUNCTION("""COMPUTED_VALUE"""),-0.58444845784367)</f>
        <v>-0.58444845784367006</v>
      </c>
      <c r="IA30" s="3">
        <f ca="1">IFERROR(__xludf.DUMMYFUNCTION("""COMPUTED_VALUE"""),-0.52543326102988)</f>
        <v>-0.52543326102987997</v>
      </c>
      <c r="IB30" s="3">
        <f ca="1">IFERROR(__xludf.DUMMYFUNCTION("""COMPUTED_VALUE"""),-0.607514899083379)</f>
        <v>-0.60751489908337897</v>
      </c>
      <c r="IC30" s="3">
        <f ca="1">IFERROR(__xludf.DUMMYFUNCTION("""COMPUTED_VALUE"""),-0.607439424537723)</f>
        <v>-0.60743942453772304</v>
      </c>
      <c r="ID30" s="3">
        <f ca="1">IFERROR(__xludf.DUMMYFUNCTION("""COMPUTED_VALUE"""),-0.611999069421078)</f>
        <v>-0.61199906942107796</v>
      </c>
      <c r="IE30" s="3">
        <f ca="1">IFERROR(__xludf.DUMMYFUNCTION("""COMPUTED_VALUE"""),-0.652612531308042)</f>
        <v>-0.65261253130804198</v>
      </c>
      <c r="IF30" s="3">
        <f ca="1">IFERROR(__xludf.DUMMYFUNCTION("""COMPUTED_VALUE"""),-0.63337543285154)</f>
        <v>-0.63337543285153997</v>
      </c>
      <c r="IG30" s="3">
        <f ca="1">IFERROR(__xludf.DUMMYFUNCTION("""COMPUTED_VALUE"""),-0.633716535074801)</f>
        <v>-0.63371653507480097</v>
      </c>
      <c r="IH30" s="3">
        <f ca="1">IFERROR(__xludf.DUMMYFUNCTION("""COMPUTED_VALUE"""),-0.539284441547289)</f>
        <v>-0.53928444154728905</v>
      </c>
      <c r="II30" s="3">
        <f ca="1">IFERROR(__xludf.DUMMYFUNCTION("""COMPUTED_VALUE"""),-0.614747273782826)</f>
        <v>-0.61474727378282601</v>
      </c>
      <c r="IJ30" s="3">
        <f ca="1">IFERROR(__xludf.DUMMYFUNCTION("""COMPUTED_VALUE"""),-0.633066429185016)</f>
        <v>-0.63306642918501599</v>
      </c>
      <c r="IK30" s="3">
        <f ca="1">IFERROR(__xludf.DUMMYFUNCTION("""COMPUTED_VALUE"""),-0.625841882906561)</f>
        <v>-0.62584188290656095</v>
      </c>
      <c r="IL30" s="3">
        <f ca="1">IFERROR(__xludf.DUMMYFUNCTION("""COMPUTED_VALUE"""),-0.625504732734967)</f>
        <v>-0.62550473273496698</v>
      </c>
      <c r="IM30" s="3">
        <f ca="1">IFERROR(__xludf.DUMMYFUNCTION("""COMPUTED_VALUE"""),-0.65298295629728)</f>
        <v>-0.65298295629727998</v>
      </c>
      <c r="IN30" s="3">
        <f ca="1">IFERROR(__xludf.DUMMYFUNCTION("""COMPUTED_VALUE"""),-0.606268210825026)</f>
        <v>-0.60626821082502602</v>
      </c>
      <c r="IO30" s="3">
        <f ca="1">IFERROR(__xludf.DUMMYFUNCTION("""COMPUTED_VALUE"""),-0.598982592810943)</f>
        <v>-0.59898259281094302</v>
      </c>
      <c r="IP30" s="3">
        <f ca="1">IFERROR(__xludf.DUMMYFUNCTION("""COMPUTED_VALUE"""),-0.668337836557846)</f>
        <v>-0.66833783655784595</v>
      </c>
      <c r="IQ30" s="3">
        <f ca="1">IFERROR(__xludf.DUMMYFUNCTION("""COMPUTED_VALUE"""),-0.651936638248969)</f>
        <v>-0.65193663824896897</v>
      </c>
      <c r="IR30" s="3">
        <f ca="1">IFERROR(__xludf.DUMMYFUNCTION("""COMPUTED_VALUE"""),-0.690835169468176)</f>
        <v>-0.69083516946817602</v>
      </c>
      <c r="IS30" s="3">
        <f ca="1">IFERROR(__xludf.DUMMYFUNCTION("""COMPUTED_VALUE"""),-0.667647901206513)</f>
        <v>-0.66764790120651296</v>
      </c>
      <c r="IT30" s="3">
        <f ca="1">IFERROR(__xludf.DUMMYFUNCTION("""COMPUTED_VALUE"""),-0.611681876398632)</f>
        <v>-0.61168187639863203</v>
      </c>
      <c r="IU30" s="3">
        <f ca="1">IFERROR(__xludf.DUMMYFUNCTION("""COMPUTED_VALUE"""),-0.590029929595307)</f>
        <v>-0.59002992959530698</v>
      </c>
      <c r="IV30" s="3">
        <f ca="1">IFERROR(__xludf.DUMMYFUNCTION("""COMPUTED_VALUE"""),-0.509275303592282)</f>
        <v>-0.50927530359228201</v>
      </c>
      <c r="IW30" s="3">
        <f ca="1">IFERROR(__xludf.DUMMYFUNCTION("""COMPUTED_VALUE"""),-0.53719948588642)</f>
        <v>-0.53719948588641997</v>
      </c>
      <c r="IX30" s="3">
        <f ca="1">IFERROR(__xludf.DUMMYFUNCTION("""COMPUTED_VALUE"""),-0.597764857097599)</f>
        <v>-0.59776485709759897</v>
      </c>
      <c r="IY30" s="3">
        <f ca="1">IFERROR(__xludf.DUMMYFUNCTION("""COMPUTED_VALUE"""),-0.628660228600888)</f>
        <v>-0.62866022860088799</v>
      </c>
      <c r="IZ30" s="3">
        <f ca="1">IFERROR(__xludf.DUMMYFUNCTION("""COMPUTED_VALUE"""),-0.616059734897158)</f>
        <v>-0.61605973489715804</v>
      </c>
      <c r="JA30" s="3">
        <f ca="1">IFERROR(__xludf.DUMMYFUNCTION("""COMPUTED_VALUE"""),-0.594483685366555)</f>
        <v>-0.59448368536655505</v>
      </c>
      <c r="JB30" s="3">
        <f ca="1">IFERROR(__xludf.DUMMYFUNCTION("""COMPUTED_VALUE"""),-0.564237567817513)</f>
        <v>-0.564237567817513</v>
      </c>
      <c r="JC30" s="3">
        <f ca="1">IFERROR(__xludf.DUMMYFUNCTION("""COMPUTED_VALUE"""),-0.571522390308735)</f>
        <v>-0.57152239030873497</v>
      </c>
      <c r="JD30" s="3">
        <f ca="1">IFERROR(__xludf.DUMMYFUNCTION("""COMPUTED_VALUE"""),-0.497807818920384)</f>
        <v>-0.497807818920384</v>
      </c>
      <c r="JE30" s="3">
        <f ca="1">IFERROR(__xludf.DUMMYFUNCTION("""COMPUTED_VALUE"""),-0.574261521257247)</f>
        <v>-0.57426152125724705</v>
      </c>
      <c r="JF30" s="3">
        <f ca="1">IFERROR(__xludf.DUMMYFUNCTION("""COMPUTED_VALUE"""),-0.589777133116219)</f>
        <v>-0.58977713311621904</v>
      </c>
      <c r="JG30" s="3">
        <f ca="1">IFERROR(__xludf.DUMMYFUNCTION("""COMPUTED_VALUE"""),-0.629028859892139)</f>
        <v>-0.62902885989213897</v>
      </c>
      <c r="JH30" s="3">
        <f ca="1">IFERROR(__xludf.DUMMYFUNCTION("""COMPUTED_VALUE"""),-0.586352997441322)</f>
        <v>-0.58635299744132197</v>
      </c>
      <c r="JI30" s="3">
        <f ca="1">IFERROR(__xludf.DUMMYFUNCTION("""COMPUTED_VALUE"""),-0.558749902172465)</f>
        <v>-0.55874990217246501</v>
      </c>
      <c r="JJ30" s="3">
        <f ca="1">IFERROR(__xludf.DUMMYFUNCTION("""COMPUTED_VALUE"""),-0.459410292720656)</f>
        <v>-0.45941029272065598</v>
      </c>
      <c r="JK30" s="3">
        <f ca="1">IFERROR(__xludf.DUMMYFUNCTION("""COMPUTED_VALUE"""),-0.542135397941365)</f>
        <v>-0.542135397941365</v>
      </c>
      <c r="JL30" s="3">
        <f ca="1">IFERROR(__xludf.DUMMYFUNCTION("""COMPUTED_VALUE"""),-0.598338579774471)</f>
        <v>-0.59833857977447102</v>
      </c>
      <c r="JM30" s="3">
        <f ca="1">IFERROR(__xludf.DUMMYFUNCTION("""COMPUTED_VALUE"""),-0.572743275878475)</f>
        <v>-0.57274327587847496</v>
      </c>
      <c r="JN30" s="3">
        <f ca="1">IFERROR(__xludf.DUMMYFUNCTION("""COMPUTED_VALUE"""),-0.603174595017406)</f>
        <v>-0.603174595017406</v>
      </c>
      <c r="JO30" s="3">
        <f ca="1">IFERROR(__xludf.DUMMYFUNCTION("""COMPUTED_VALUE"""),-0.631580998086729)</f>
        <v>-0.63158099808672896</v>
      </c>
      <c r="JP30" s="3">
        <f ca="1">IFERROR(__xludf.DUMMYFUNCTION("""COMPUTED_VALUE"""),-0.553836385332242)</f>
        <v>-0.553836385332242</v>
      </c>
      <c r="JQ30" s="3">
        <f ca="1">IFERROR(__xludf.DUMMYFUNCTION("""COMPUTED_VALUE"""),-0.495308824198457)</f>
        <v>-0.49530882419845701</v>
      </c>
      <c r="JR30" s="3">
        <f ca="1">IFERROR(__xludf.DUMMYFUNCTION("""COMPUTED_VALUE"""),-0.525333391812303)</f>
        <v>-0.52533339181230299</v>
      </c>
      <c r="JS30" s="3">
        <f ca="1">IFERROR(__xludf.DUMMYFUNCTION("""COMPUTED_VALUE"""),-0.578442913969135)</f>
        <v>-0.57844291396913505</v>
      </c>
      <c r="JT30" s="3">
        <f ca="1">IFERROR(__xludf.DUMMYFUNCTION("""COMPUTED_VALUE"""),-0.555453246704372)</f>
        <v>-0.55545324670437202</v>
      </c>
      <c r="JU30" s="3">
        <f ca="1">IFERROR(__xludf.DUMMYFUNCTION("""COMPUTED_VALUE"""),-0.594660372678305)</f>
        <v>-0.59466037267830496</v>
      </c>
      <c r="JV30" s="3">
        <f ca="1">IFERROR(__xludf.DUMMYFUNCTION("""COMPUTED_VALUE"""),-0.578974590883149)</f>
        <v>-0.57897459088314895</v>
      </c>
      <c r="JW30" s="3">
        <f ca="1">IFERROR(__xludf.DUMMYFUNCTION("""COMPUTED_VALUE"""),-0.615064107930997)</f>
        <v>-0.61506410793099697</v>
      </c>
      <c r="JX30" s="3">
        <f ca="1">IFERROR(__xludf.DUMMYFUNCTION("""COMPUTED_VALUE"""),-0.502849367015529)</f>
        <v>-0.50284936701552896</v>
      </c>
      <c r="JY30" s="3">
        <f ca="1">IFERROR(__xludf.DUMMYFUNCTION("""COMPUTED_VALUE"""),-0.617531046207766)</f>
        <v>-0.617531046207766</v>
      </c>
      <c r="JZ30" s="3">
        <f ca="1">IFERROR(__xludf.DUMMYFUNCTION("""COMPUTED_VALUE"""),-0.454707405653097)</f>
        <v>-0.45470740565309697</v>
      </c>
      <c r="KA30" s="3">
        <f ca="1">IFERROR(__xludf.DUMMYFUNCTION("""COMPUTED_VALUE"""),-0.556584906911662)</f>
        <v>-0.55658490691166196</v>
      </c>
      <c r="KB30" s="3">
        <f ca="1">IFERROR(__xludf.DUMMYFUNCTION("""COMPUTED_VALUE"""),-0.54629308802032)</f>
        <v>-0.54629308802031995</v>
      </c>
      <c r="KC30" s="3">
        <f ca="1">IFERROR(__xludf.DUMMYFUNCTION("""COMPUTED_VALUE"""),-0.591590520484299)</f>
        <v>-0.59159052048429905</v>
      </c>
      <c r="KD30" s="3">
        <f ca="1">IFERROR(__xludf.DUMMYFUNCTION("""COMPUTED_VALUE"""),-0.544943305162447)</f>
        <v>-0.54494330516244704</v>
      </c>
      <c r="KE30" s="3">
        <f ca="1">IFERROR(__xludf.DUMMYFUNCTION("""COMPUTED_VALUE"""),-0.591715088826378)</f>
        <v>-0.59171508882637802</v>
      </c>
      <c r="KF30" s="3">
        <f ca="1">IFERROR(__xludf.DUMMYFUNCTION("""COMPUTED_VALUE"""),-0.591354305695602)</f>
        <v>-0.59135430569560199</v>
      </c>
      <c r="KG30" s="3">
        <f ca="1">IFERROR(__xludf.DUMMYFUNCTION("""COMPUTED_VALUE"""),-0.655966921337678)</f>
        <v>-0.65596692133767798</v>
      </c>
      <c r="KH30" s="3">
        <f ca="1">IFERROR(__xludf.DUMMYFUNCTION("""COMPUTED_VALUE"""),-0.580603710916922)</f>
        <v>-0.58060371091692198</v>
      </c>
      <c r="KI30" s="3">
        <f ca="1">IFERROR(__xludf.DUMMYFUNCTION("""COMPUTED_VALUE"""),-0.69396511678522)</f>
        <v>-0.69396511678521999</v>
      </c>
      <c r="KJ30" s="3">
        <f ca="1">IFERROR(__xludf.DUMMYFUNCTION("""COMPUTED_VALUE"""),-0.655051246844042)</f>
        <v>-0.65505124684404203</v>
      </c>
      <c r="KK30" s="3">
        <f ca="1">IFERROR(__xludf.DUMMYFUNCTION("""COMPUTED_VALUE"""),-0.684669189044642)</f>
        <v>-0.68466918904464202</v>
      </c>
      <c r="KL30" s="3">
        <f ca="1">IFERROR(__xludf.DUMMYFUNCTION("""COMPUTED_VALUE"""),-0.633338339858485)</f>
        <v>-0.63333833985848498</v>
      </c>
      <c r="KM30" s="3">
        <f ca="1">IFERROR(__xludf.DUMMYFUNCTION("""COMPUTED_VALUE"""),-0.615568649141035)</f>
        <v>-0.61556864914103504</v>
      </c>
      <c r="KN30" s="3">
        <f ca="1">IFERROR(__xludf.DUMMYFUNCTION("""COMPUTED_VALUE"""),-0.548592765354369)</f>
        <v>-0.54859276535436896</v>
      </c>
      <c r="KO30" s="3">
        <f ca="1">IFERROR(__xludf.DUMMYFUNCTION("""COMPUTED_VALUE"""),-0.605288379711751)</f>
        <v>-0.60528837971175098</v>
      </c>
      <c r="KP30" s="3">
        <f ca="1">IFERROR(__xludf.DUMMYFUNCTION("""COMPUTED_VALUE"""),-0.575531216020498)</f>
        <v>-0.57553121602049795</v>
      </c>
      <c r="KQ30" s="3">
        <f ca="1">IFERROR(__xludf.DUMMYFUNCTION("""COMPUTED_VALUE"""),-0.532721981153714)</f>
        <v>-0.53272198115371405</v>
      </c>
      <c r="KR30" s="3">
        <f ca="1">IFERROR(__xludf.DUMMYFUNCTION("""COMPUTED_VALUE"""),-0.530108954579426)</f>
        <v>-0.53010895457942597</v>
      </c>
      <c r="KS30" s="3">
        <f ca="1">IFERROR(__xludf.DUMMYFUNCTION("""COMPUTED_VALUE"""),-0.391245816448225)</f>
        <v>-0.39124581644822498</v>
      </c>
      <c r="KT30" s="3">
        <f ca="1">IFERROR(__xludf.DUMMYFUNCTION("""COMPUTED_VALUE"""),-0.565123050989169)</f>
        <v>-0.56512305098916904</v>
      </c>
      <c r="KU30" s="3">
        <f ca="1">IFERROR(__xludf.DUMMYFUNCTION("""COMPUTED_VALUE"""),-0.578645801383626)</f>
        <v>-0.57864580138362598</v>
      </c>
      <c r="KV30" s="3">
        <f ca="1">IFERROR(__xludf.DUMMYFUNCTION("""COMPUTED_VALUE"""),-0.679347217066144)</f>
        <v>-0.67934721706614398</v>
      </c>
      <c r="KW30" s="3">
        <f ca="1">IFERROR(__xludf.DUMMYFUNCTION("""COMPUTED_VALUE"""),-0.611961994826967)</f>
        <v>-0.611961994826967</v>
      </c>
      <c r="KX30" s="3">
        <f ca="1">IFERROR(__xludf.DUMMYFUNCTION("""COMPUTED_VALUE"""),-0.628347468185237)</f>
        <v>-0.62834746818523701</v>
      </c>
      <c r="KY30" s="3">
        <f ca="1">IFERROR(__xludf.DUMMYFUNCTION("""COMPUTED_VALUE"""),-0.642138498633077)</f>
        <v>-0.64213849863307704</v>
      </c>
      <c r="KZ30" s="3">
        <f ca="1">IFERROR(__xludf.DUMMYFUNCTION("""COMPUTED_VALUE"""),-0.596616591430223)</f>
        <v>-0.59661659143022305</v>
      </c>
      <c r="LA30" s="3">
        <f ca="1">IFERROR(__xludf.DUMMYFUNCTION("""COMPUTED_VALUE"""),-0.585341396721994)</f>
        <v>-0.58534139672199403</v>
      </c>
      <c r="LB30" s="3">
        <f ca="1">IFERROR(__xludf.DUMMYFUNCTION("""COMPUTED_VALUE"""),-0.559759347341659)</f>
        <v>-0.559759347341659</v>
      </c>
      <c r="LC30" s="3">
        <f ca="1">IFERROR(__xludf.DUMMYFUNCTION("""COMPUTED_VALUE"""),-0.564640746093688)</f>
        <v>-0.56464074609368797</v>
      </c>
      <c r="LD30" s="3">
        <f ca="1">IFERROR(__xludf.DUMMYFUNCTION("""COMPUTED_VALUE"""),-0.534085298214917)</f>
        <v>-0.53408529821491701</v>
      </c>
      <c r="LE30" s="3">
        <f ca="1">IFERROR(__xludf.DUMMYFUNCTION("""COMPUTED_VALUE"""),-0.571558207371554)</f>
        <v>-0.57155820737155405</v>
      </c>
      <c r="LF30" s="3">
        <f ca="1">IFERROR(__xludf.DUMMYFUNCTION("""COMPUTED_VALUE"""),-0.522858281535451)</f>
        <v>-0.522858281535451</v>
      </c>
      <c r="LG30" s="3">
        <f ca="1">IFERROR(__xludf.DUMMYFUNCTION("""COMPUTED_VALUE"""),-0.520765638569832)</f>
        <v>-0.52076563856983205</v>
      </c>
      <c r="LH30" s="3">
        <f ca="1">IFERROR(__xludf.DUMMYFUNCTION("""COMPUTED_VALUE"""),-0.518623987618906)</f>
        <v>-0.51862398761890605</v>
      </c>
      <c r="LI30" s="3">
        <f ca="1">IFERROR(__xludf.DUMMYFUNCTION("""COMPUTED_VALUE"""),-0.590193955556859)</f>
        <v>-0.59019395555685905</v>
      </c>
      <c r="LJ30" s="3">
        <f ca="1">IFERROR(__xludf.DUMMYFUNCTION("""COMPUTED_VALUE"""),-0.594714305401903)</f>
        <v>-0.59471430540190295</v>
      </c>
      <c r="LK30" s="3">
        <f ca="1">IFERROR(__xludf.DUMMYFUNCTION("""COMPUTED_VALUE"""),-0.545206487661299)</f>
        <v>-0.54520648766129898</v>
      </c>
      <c r="LL30" s="3">
        <f ca="1">IFERROR(__xludf.DUMMYFUNCTION("""COMPUTED_VALUE"""),-0.584886128470963)</f>
        <v>-0.584886128470963</v>
      </c>
      <c r="LM30" s="3">
        <f ca="1">IFERROR(__xludf.DUMMYFUNCTION("""COMPUTED_VALUE"""),-0.727810419470588)</f>
        <v>-0.727810419470588</v>
      </c>
      <c r="LN30" s="3">
        <f ca="1">IFERROR(__xludf.DUMMYFUNCTION("""COMPUTED_VALUE"""),-0.670931463559704)</f>
        <v>-0.67093146355970401</v>
      </c>
      <c r="LO30" s="3">
        <f ca="1">IFERROR(__xludf.DUMMYFUNCTION("""COMPUTED_VALUE"""),-0.644616655282681)</f>
        <v>-0.64461665528268097</v>
      </c>
      <c r="LP30" s="3">
        <f ca="1">IFERROR(__xludf.DUMMYFUNCTION("""COMPUTED_VALUE"""),-0.595027091679323)</f>
        <v>-0.59502709167932299</v>
      </c>
      <c r="LQ30" s="3">
        <f ca="1">IFERROR(__xludf.DUMMYFUNCTION("""COMPUTED_VALUE"""),-0.65229833994289)</f>
        <v>-0.65229833994288999</v>
      </c>
      <c r="LR30" s="3">
        <f ca="1">IFERROR(__xludf.DUMMYFUNCTION("""COMPUTED_VALUE"""),-0.54144701437092)</f>
        <v>-0.54144701437092002</v>
      </c>
      <c r="LS30" s="3">
        <f ca="1">IFERROR(__xludf.DUMMYFUNCTION("""COMPUTED_VALUE"""),-0.626164146062599)</f>
        <v>-0.62616414606259896</v>
      </c>
      <c r="LT30" s="3">
        <f ca="1">IFERROR(__xludf.DUMMYFUNCTION("""COMPUTED_VALUE"""),-0.523890500052323)</f>
        <v>-0.52389050005232296</v>
      </c>
      <c r="LU30" s="3">
        <f ca="1">IFERROR(__xludf.DUMMYFUNCTION("""COMPUTED_VALUE"""),-0.641803383472364)</f>
        <v>-0.64180338347236399</v>
      </c>
      <c r="LV30" s="3">
        <f ca="1">IFERROR(__xludf.DUMMYFUNCTION("""COMPUTED_VALUE"""),-0.722649944283129)</f>
        <v>-0.72264994428312901</v>
      </c>
      <c r="LW30" s="3">
        <f ca="1">IFERROR(__xludf.DUMMYFUNCTION("""COMPUTED_VALUE"""),-0.623516861919027)</f>
        <v>-0.623516861919027</v>
      </c>
      <c r="LX30" s="3">
        <f ca="1">IFERROR(__xludf.DUMMYFUNCTION("""COMPUTED_VALUE"""),-0.658775822631009)</f>
        <v>-0.65877582263100898</v>
      </c>
      <c r="LY30" s="3">
        <f ca="1">IFERROR(__xludf.DUMMYFUNCTION("""COMPUTED_VALUE"""),-0.558792975657811)</f>
        <v>-0.55879297565781105</v>
      </c>
      <c r="LZ30" s="3">
        <f ca="1">IFERROR(__xludf.DUMMYFUNCTION("""COMPUTED_VALUE"""),-0.584815537338703)</f>
        <v>-0.58481553733870295</v>
      </c>
      <c r="MA30" s="3">
        <f ca="1">IFERROR(__xludf.DUMMYFUNCTION("""COMPUTED_VALUE"""),-0.624241012971477)</f>
        <v>-0.62424101297147705</v>
      </c>
      <c r="MB30" s="3">
        <f ca="1">IFERROR(__xludf.DUMMYFUNCTION("""COMPUTED_VALUE"""),-0.599771242512927)</f>
        <v>-0.59977124251292702</v>
      </c>
      <c r="MC30" s="3">
        <f ca="1">IFERROR(__xludf.DUMMYFUNCTION("""COMPUTED_VALUE"""),-0.538336022885241)</f>
        <v>-0.53833602288524096</v>
      </c>
      <c r="MD30" s="3">
        <f ca="1">IFERROR(__xludf.DUMMYFUNCTION("""COMPUTED_VALUE"""),-0.587053679360668)</f>
        <v>-0.58705367936066799</v>
      </c>
      <c r="ME30" s="3">
        <f ca="1">IFERROR(__xludf.DUMMYFUNCTION("""COMPUTED_VALUE"""),-0.607417860989653)</f>
        <v>-0.607417860989653</v>
      </c>
      <c r="MF30" s="3">
        <f ca="1">IFERROR(__xludf.DUMMYFUNCTION("""COMPUTED_VALUE"""),-0.584697742526938)</f>
        <v>-0.58469774252693796</v>
      </c>
      <c r="MG30" s="3">
        <f ca="1">IFERROR(__xludf.DUMMYFUNCTION("""COMPUTED_VALUE"""),-0.546830183677429)</f>
        <v>-0.54683018367742897</v>
      </c>
      <c r="MH30" s="3">
        <f ca="1">IFERROR(__xludf.DUMMYFUNCTION("""COMPUTED_VALUE"""),-0.61016359531463)</f>
        <v>-0.61016359531463005</v>
      </c>
      <c r="MI30" s="3">
        <f ca="1">IFERROR(__xludf.DUMMYFUNCTION("""COMPUTED_VALUE"""),-0.590607634970488)</f>
        <v>-0.59060763497048796</v>
      </c>
      <c r="MJ30" s="3">
        <f ca="1">IFERROR(__xludf.DUMMYFUNCTION("""COMPUTED_VALUE"""),-0.582257860862892)</f>
        <v>-0.582257860862892</v>
      </c>
      <c r="MK30" s="3">
        <f ca="1">IFERROR(__xludf.DUMMYFUNCTION("""COMPUTED_VALUE"""),-0.607799784189369)</f>
        <v>-0.60779978418936897</v>
      </c>
      <c r="ML30" s="3">
        <f ca="1">IFERROR(__xludf.DUMMYFUNCTION("""COMPUTED_VALUE"""),-0.647643773550389)</f>
        <v>-0.64764377355038905</v>
      </c>
      <c r="MM30" s="3">
        <f ca="1">IFERROR(__xludf.DUMMYFUNCTION("""COMPUTED_VALUE"""),-0.587308111170256)</f>
        <v>-0.58730811117025605</v>
      </c>
      <c r="MN30" s="3">
        <f ca="1">IFERROR(__xludf.DUMMYFUNCTION("""COMPUTED_VALUE"""),-0.588190789080174)</f>
        <v>-0.58819078908017397</v>
      </c>
      <c r="MO30" s="3">
        <f ca="1">IFERROR(__xludf.DUMMYFUNCTION("""COMPUTED_VALUE"""),-0.561048111252568)</f>
        <v>-0.56104811125256804</v>
      </c>
      <c r="MP30" s="3">
        <f ca="1">IFERROR(__xludf.DUMMYFUNCTION("""COMPUTED_VALUE"""),-0.674685790134725)</f>
        <v>-0.67468579013472496</v>
      </c>
      <c r="MQ30" s="3">
        <f ca="1">IFERROR(__xludf.DUMMYFUNCTION("""COMPUTED_VALUE"""),-0.631413049628344)</f>
        <v>-0.63141304962834399</v>
      </c>
      <c r="MR30" s="3">
        <f ca="1">IFERROR(__xludf.DUMMYFUNCTION("""COMPUTED_VALUE"""),-0.664210443860857)</f>
        <v>-0.66421044386085704</v>
      </c>
      <c r="MS30" s="3">
        <f ca="1">IFERROR(__xludf.DUMMYFUNCTION("""COMPUTED_VALUE"""),-0.624792640782284)</f>
        <v>-0.62479264078228403</v>
      </c>
      <c r="MT30" s="3">
        <f ca="1">IFERROR(__xludf.DUMMYFUNCTION("""COMPUTED_VALUE"""),-0.668861425350312)</f>
        <v>-0.66886142535031201</v>
      </c>
      <c r="MU30" s="3">
        <f ca="1">IFERROR(__xludf.DUMMYFUNCTION("""COMPUTED_VALUE"""),-0.569293175674201)</f>
        <v>-0.56929317567420101</v>
      </c>
      <c r="MV30" s="3">
        <f ca="1">IFERROR(__xludf.DUMMYFUNCTION("""COMPUTED_VALUE"""),-0.567781378253797)</f>
        <v>-0.56778137825379704</v>
      </c>
      <c r="MW30" s="3">
        <f ca="1">IFERROR(__xludf.DUMMYFUNCTION("""COMPUTED_VALUE"""),-0.676088821536464)</f>
        <v>-0.67608882153646399</v>
      </c>
      <c r="MX30" s="3">
        <f ca="1">IFERROR(__xludf.DUMMYFUNCTION("""COMPUTED_VALUE"""),-0.492726894996935)</f>
        <v>-0.49272689499693501</v>
      </c>
      <c r="MY30" s="3">
        <f ca="1">IFERROR(__xludf.DUMMYFUNCTION("""COMPUTED_VALUE"""),-0.665315101522366)</f>
        <v>-0.66531510152236595</v>
      </c>
      <c r="MZ30" s="3">
        <f ca="1">IFERROR(__xludf.DUMMYFUNCTION("""COMPUTED_VALUE"""),-0.725195887920335)</f>
        <v>-0.72519588792033496</v>
      </c>
      <c r="NA30" s="3">
        <f ca="1">IFERROR(__xludf.DUMMYFUNCTION("""COMPUTED_VALUE"""),-0.622295796159764)</f>
        <v>-0.62229579615976405</v>
      </c>
      <c r="NB30" s="3">
        <f ca="1">IFERROR(__xludf.DUMMYFUNCTION("""COMPUTED_VALUE"""),-0.60216413711207)</f>
        <v>-0.60216413711206995</v>
      </c>
      <c r="NC30" s="3">
        <f ca="1">IFERROR(__xludf.DUMMYFUNCTION("""COMPUTED_VALUE"""),-0.564439813091127)</f>
        <v>-0.56443981309112701</v>
      </c>
      <c r="ND30" s="3">
        <f ca="1">IFERROR(__xludf.DUMMYFUNCTION("""COMPUTED_VALUE"""),-0.611374524303351)</f>
        <v>-0.61137452430335104</v>
      </c>
      <c r="NE30" s="3">
        <f ca="1">IFERROR(__xludf.DUMMYFUNCTION("""COMPUTED_VALUE"""),-0.670053378340509)</f>
        <v>-0.67005337834050904</v>
      </c>
      <c r="NF30" s="3">
        <f ca="1">IFERROR(__xludf.DUMMYFUNCTION("""COMPUTED_VALUE"""),-0.586535238686137)</f>
        <v>-0.58653523868613699</v>
      </c>
      <c r="NG30" s="3">
        <f ca="1">IFERROR(__xludf.DUMMYFUNCTION("""COMPUTED_VALUE"""),-0.701877054179943)</f>
        <v>-0.70187705417994295</v>
      </c>
      <c r="NH30" s="3">
        <f ca="1">IFERROR(__xludf.DUMMYFUNCTION("""COMPUTED_VALUE"""),-0.612500231274191)</f>
        <v>-0.61250023127419095</v>
      </c>
      <c r="NI30" s="3">
        <f ca="1">IFERROR(__xludf.DUMMYFUNCTION("""COMPUTED_VALUE"""),-0.572378033599078)</f>
        <v>-0.57237803359907802</v>
      </c>
      <c r="NJ30" s="3">
        <f ca="1">IFERROR(__xludf.DUMMYFUNCTION("""COMPUTED_VALUE"""),-0.590835606531394)</f>
        <v>-0.590835606531394</v>
      </c>
      <c r="NK30" s="3">
        <f ca="1">IFERROR(__xludf.DUMMYFUNCTION("""COMPUTED_VALUE"""),-0.617376751133133)</f>
        <v>-0.61737675113313295</v>
      </c>
      <c r="NL30" s="3">
        <f ca="1">IFERROR(__xludf.DUMMYFUNCTION("""COMPUTED_VALUE"""),-0.591378344924415)</f>
        <v>-0.59137834492441499</v>
      </c>
      <c r="NM30" s="3">
        <f ca="1">IFERROR(__xludf.DUMMYFUNCTION("""COMPUTED_VALUE"""),-0.641039560367111)</f>
        <v>-0.64103956036711096</v>
      </c>
      <c r="NN30" s="3">
        <f ca="1">IFERROR(__xludf.DUMMYFUNCTION("""COMPUTED_VALUE"""),-0.677434117398717)</f>
        <v>-0.67743411739871695</v>
      </c>
      <c r="NO30" s="3">
        <f ca="1">IFERROR(__xludf.DUMMYFUNCTION("""COMPUTED_VALUE"""),-0.603580214497359)</f>
        <v>-0.60358021449735899</v>
      </c>
      <c r="NP30" s="3">
        <f ca="1">IFERROR(__xludf.DUMMYFUNCTION("""COMPUTED_VALUE"""),-0.592110801736874)</f>
        <v>-0.59211080173687403</v>
      </c>
      <c r="NQ30" s="3">
        <f ca="1">IFERROR(__xludf.DUMMYFUNCTION("""COMPUTED_VALUE"""),-0.583427546416938)</f>
        <v>-0.58342754641693795</v>
      </c>
      <c r="NR30" s="3">
        <f ca="1">IFERROR(__xludf.DUMMYFUNCTION("""COMPUTED_VALUE"""),-0.52945221737879)</f>
        <v>-0.52945221737879</v>
      </c>
      <c r="NS30" s="3">
        <f ca="1">IFERROR(__xludf.DUMMYFUNCTION("""COMPUTED_VALUE"""),-0.425222596220405)</f>
        <v>-0.42522259622040498</v>
      </c>
      <c r="NT30" s="3">
        <f ca="1">IFERROR(__xludf.DUMMYFUNCTION("""COMPUTED_VALUE"""),-0.581446139420652)</f>
        <v>-0.58144613942065204</v>
      </c>
      <c r="NU30" s="3">
        <f ca="1">IFERROR(__xludf.DUMMYFUNCTION("""COMPUTED_VALUE"""),-0.665421054300775)</f>
        <v>-0.66542105430077503</v>
      </c>
      <c r="NV30" s="3">
        <f ca="1">IFERROR(__xludf.DUMMYFUNCTION("""COMPUTED_VALUE"""),-0.545402194830959)</f>
        <v>-0.54540219483095898</v>
      </c>
      <c r="NW30" s="3">
        <f ca="1">IFERROR(__xludf.DUMMYFUNCTION("""COMPUTED_VALUE"""),-0.469876268782587)</f>
        <v>-0.46987626878258698</v>
      </c>
      <c r="NX30" s="3">
        <f ca="1">IFERROR(__xludf.DUMMYFUNCTION("""COMPUTED_VALUE"""),-0.606253678748371)</f>
        <v>-0.60625367874837099</v>
      </c>
      <c r="NY30" s="3">
        <f ca="1">IFERROR(__xludf.DUMMYFUNCTION("""COMPUTED_VALUE"""),-0.553581941497975)</f>
        <v>-0.55358194149797502</v>
      </c>
      <c r="NZ30" s="3">
        <f ca="1">IFERROR(__xludf.DUMMYFUNCTION("""COMPUTED_VALUE"""),-0.473342494650236)</f>
        <v>-0.47334249465023598</v>
      </c>
      <c r="OA30" s="3">
        <f ca="1">IFERROR(__xludf.DUMMYFUNCTION("""COMPUTED_VALUE"""),-0.573849892502714)</f>
        <v>-0.57384989250271401</v>
      </c>
      <c r="OB30" s="3">
        <f ca="1">IFERROR(__xludf.DUMMYFUNCTION("""COMPUTED_VALUE"""),-0.555856201784823)</f>
        <v>-0.55585620178482298</v>
      </c>
      <c r="OC30" s="3">
        <f ca="1">IFERROR(__xludf.DUMMYFUNCTION("""COMPUTED_VALUE"""),-0.503998452560312)</f>
        <v>-0.50399845256031195</v>
      </c>
      <c r="OD30" s="3">
        <f ca="1">IFERROR(__xludf.DUMMYFUNCTION("""COMPUTED_VALUE"""),-0.368046596594901)</f>
        <v>-0.36804659659490102</v>
      </c>
      <c r="OE30" s="3">
        <f ca="1">IFERROR(__xludf.DUMMYFUNCTION("""COMPUTED_VALUE"""),-0.235393806322015)</f>
        <v>-0.23539380632201501</v>
      </c>
      <c r="OF30" s="3">
        <f ca="1">IFERROR(__xludf.DUMMYFUNCTION("""COMPUTED_VALUE"""),-0.363587796894885)</f>
        <v>-0.36358779689488502</v>
      </c>
      <c r="OG30" s="3">
        <f ca="1">IFERROR(__xludf.DUMMYFUNCTION("""COMPUTED_VALUE"""),-0.216712656744518)</f>
        <v>-0.21671265674451801</v>
      </c>
      <c r="OH30" s="3">
        <f ca="1">IFERROR(__xludf.DUMMYFUNCTION("""COMPUTED_VALUE"""),-0.265438824731493)</f>
        <v>-0.26543882473149299</v>
      </c>
      <c r="OI30" s="3">
        <f ca="1">IFERROR(__xludf.DUMMYFUNCTION("""COMPUTED_VALUE"""),-0.173081775817418)</f>
        <v>-0.17308177581741799</v>
      </c>
      <c r="OJ30" s="3">
        <f ca="1">IFERROR(__xludf.DUMMYFUNCTION("""COMPUTED_VALUE"""),-0.0999539400291124)</f>
        <v>-9.9953940029112398E-2</v>
      </c>
      <c r="OK30" s="3">
        <f ca="1">IFERROR(__xludf.DUMMYFUNCTION("""COMPUTED_VALUE"""),-0.158562379783827)</f>
        <v>-0.15856237978382701</v>
      </c>
      <c r="OL30" s="3">
        <f ca="1">IFERROR(__xludf.DUMMYFUNCTION("""COMPUTED_VALUE"""),-0.0237392682242517)</f>
        <v>-2.3739268224251701E-2</v>
      </c>
      <c r="OM30" s="3">
        <f ca="1">IFERROR(__xludf.DUMMYFUNCTION("""COMPUTED_VALUE"""),-0.233553392502745)</f>
        <v>-0.23355339250274501</v>
      </c>
      <c r="ON30" s="3">
        <f ca="1">IFERROR(__xludf.DUMMYFUNCTION("""COMPUTED_VALUE"""),-0.062843234910257)</f>
        <v>-6.2843234910257006E-2</v>
      </c>
      <c r="OO30" s="3">
        <f ca="1">IFERROR(__xludf.DUMMYFUNCTION("""COMPUTED_VALUE"""),-0.128469023175026)</f>
        <v>-0.12846902317502601</v>
      </c>
      <c r="OP30" s="3">
        <f ca="1">IFERROR(__xludf.DUMMYFUNCTION("""COMPUTED_VALUE"""),0.0345810153835302)</f>
        <v>3.45810153835302E-2</v>
      </c>
      <c r="OQ30" s="3">
        <f ca="1">IFERROR(__xludf.DUMMYFUNCTION("""COMPUTED_VALUE"""),-0.147389981035939)</f>
        <v>-0.14738998103593901</v>
      </c>
      <c r="OR30" s="3">
        <f ca="1">IFERROR(__xludf.DUMMYFUNCTION("""COMPUTED_VALUE"""),0.150273991489709)</f>
        <v>0.15027399148970899</v>
      </c>
      <c r="OS30" s="3">
        <f ca="1">IFERROR(__xludf.DUMMYFUNCTION("""COMPUTED_VALUE"""),0.0583779249286999)</f>
        <v>5.8377924928699899E-2</v>
      </c>
      <c r="OT30" s="3">
        <f ca="1">IFERROR(__xludf.DUMMYFUNCTION("""COMPUTED_VALUE"""),0.171009209468964)</f>
        <v>0.171009209468964</v>
      </c>
      <c r="OU30" s="3">
        <f ca="1">IFERROR(__xludf.DUMMYFUNCTION("""COMPUTED_VALUE"""),0.172304579649189)</f>
        <v>0.17230457964918899</v>
      </c>
      <c r="OV30" s="3">
        <f ca="1">IFERROR(__xludf.DUMMYFUNCTION("""COMPUTED_VALUE"""),0.0546169560169362)</f>
        <v>5.4616956016936197E-2</v>
      </c>
      <c r="OW30" s="3">
        <f ca="1">IFERROR(__xludf.DUMMYFUNCTION("""COMPUTED_VALUE"""),-0.0233177191144915)</f>
        <v>-2.33177191144915E-2</v>
      </c>
      <c r="OX30" s="3">
        <f ca="1">IFERROR(__xludf.DUMMYFUNCTION("""COMPUTED_VALUE"""),-0.0219352637311988)</f>
        <v>-2.1935263731198799E-2</v>
      </c>
      <c r="OY30" s="3">
        <f ca="1">IFERROR(__xludf.DUMMYFUNCTION("""COMPUTED_VALUE"""),-0.0487045002092492)</f>
        <v>-4.8704500209249199E-2</v>
      </c>
      <c r="OZ30" s="3">
        <f ca="1">IFERROR(__xludf.DUMMYFUNCTION("""COMPUTED_VALUE"""),-0.109925905514326)</f>
        <v>-0.109925905514326</v>
      </c>
      <c r="PA30" s="3">
        <f ca="1">IFERROR(__xludf.DUMMYFUNCTION("""COMPUTED_VALUE"""),0.125503501889834)</f>
        <v>0.125503501889834</v>
      </c>
      <c r="PB30" s="3">
        <f ca="1">IFERROR(__xludf.DUMMYFUNCTION("""COMPUTED_VALUE"""),0.0098664709357592)</f>
        <v>9.8664709357591997E-3</v>
      </c>
      <c r="PC30" s="3">
        <f ca="1">IFERROR(__xludf.DUMMYFUNCTION("""COMPUTED_VALUE"""),0.0309129307268327)</f>
        <v>3.09129307268327E-2</v>
      </c>
      <c r="PD30" s="3">
        <f ca="1">IFERROR(__xludf.DUMMYFUNCTION("""COMPUTED_VALUE"""),-0.0120309884556162)</f>
        <v>-1.20309884556162E-2</v>
      </c>
      <c r="PE30" s="3">
        <f ca="1">IFERROR(__xludf.DUMMYFUNCTION("""COMPUTED_VALUE"""),-0.00339189877008339)</f>
        <v>-3.3918987700833898E-3</v>
      </c>
      <c r="PF30" s="3">
        <f ca="1">IFERROR(__xludf.DUMMYFUNCTION("""COMPUTED_VALUE"""),-0.0307270458722842)</f>
        <v>-3.0727045872284201E-2</v>
      </c>
      <c r="PG30" s="3">
        <f ca="1">IFERROR(__xludf.DUMMYFUNCTION("""COMPUTED_VALUE"""),-0.156429226428952)</f>
        <v>-0.15642922642895199</v>
      </c>
      <c r="PH30" s="3">
        <f ca="1">IFERROR(__xludf.DUMMYFUNCTION("""COMPUTED_VALUE"""),-0.0191924990069707)</f>
        <v>-1.91924990069707E-2</v>
      </c>
      <c r="PI30" s="3">
        <f ca="1">IFERROR(__xludf.DUMMYFUNCTION("""COMPUTED_VALUE"""),0.0654574529890559)</f>
        <v>6.5457452989055906E-2</v>
      </c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</row>
    <row r="31" spans="1:477" ht="15.75" customHeight="1">
      <c r="A31" s="1" t="str">
        <f ca="1">IFERROR(__xludf.DUMMYFUNCTION("""COMPUTED_VALUE"""),"Via Mobility Services - Boulder")</f>
        <v>Via Mobility Services - Boulder</v>
      </c>
      <c r="B31" s="1" t="str">
        <f ca="1">IFERROR(__xludf.DUMMYFUNCTION("""COMPUTED_VALUE"""),"Denver")</f>
        <v>Denver</v>
      </c>
      <c r="C31" s="1" t="str">
        <f ca="1">IFERROR(__xludf.DUMMYFUNCTION("""COMPUTED_VALUE"""),"United States")</f>
        <v>United States</v>
      </c>
      <c r="D31" s="1" t="str">
        <f ca="1">IFERROR(__xludf.DUMMYFUNCTION("""COMPUTED_VALUE"""),"Colorado")</f>
        <v>Colorado</v>
      </c>
      <c r="E31" s="3">
        <f ca="1">IFERROR(__xludf.DUMMYFUNCTION("""COMPUTED_VALUE"""),-0.749823836210508)</f>
        <v>-0.74982383621050797</v>
      </c>
      <c r="F31" s="3">
        <f ca="1">IFERROR(__xludf.DUMMYFUNCTION("""COMPUTED_VALUE"""),-0.831047758037605)</f>
        <v>-0.831047758037605</v>
      </c>
      <c r="G31" s="3">
        <f ca="1">IFERROR(__xludf.DUMMYFUNCTION("""COMPUTED_VALUE"""),-0.8291062008351)</f>
        <v>-0.8291062008351</v>
      </c>
      <c r="H31" s="3">
        <f ca="1">IFERROR(__xludf.DUMMYFUNCTION("""COMPUTED_VALUE"""),-0.830171014587556)</f>
        <v>-0.83017101458755604</v>
      </c>
      <c r="I31" s="3">
        <f ca="1">IFERROR(__xludf.DUMMYFUNCTION("""COMPUTED_VALUE"""),-0.808065708838963)</f>
        <v>-0.808065708838963</v>
      </c>
      <c r="J31" s="3">
        <f ca="1">IFERROR(__xludf.DUMMYFUNCTION("""COMPUTED_VALUE"""),-0.79323477933013)</f>
        <v>-0.79323477933012998</v>
      </c>
      <c r="K31" s="3">
        <f ca="1">IFERROR(__xludf.DUMMYFUNCTION("""COMPUTED_VALUE"""),-0.727069018442034)</f>
        <v>-0.72706901844203398</v>
      </c>
      <c r="L31" s="3">
        <f ca="1">IFERROR(__xludf.DUMMYFUNCTION("""COMPUTED_VALUE"""),-0.725628820237692)</f>
        <v>-0.72562882023769204</v>
      </c>
      <c r="M31" s="3">
        <f ca="1">IFERROR(__xludf.DUMMYFUNCTION("""COMPUTED_VALUE"""),-0.757774076838351)</f>
        <v>-0.75777407683835096</v>
      </c>
      <c r="N31" s="3">
        <f ca="1">IFERROR(__xludf.DUMMYFUNCTION("""COMPUTED_VALUE"""),-0.779591548520584)</f>
        <v>-0.77959154852058399</v>
      </c>
      <c r="O31" s="3">
        <f ca="1">IFERROR(__xludf.DUMMYFUNCTION("""COMPUTED_VALUE"""),-0.774743892461733)</f>
        <v>-0.77474389246173303</v>
      </c>
      <c r="P31" s="3">
        <f ca="1">IFERROR(__xludf.DUMMYFUNCTION("""COMPUTED_VALUE"""),-0.764729387041599)</f>
        <v>-0.76472938704159898</v>
      </c>
      <c r="Q31" s="3">
        <f ca="1">IFERROR(__xludf.DUMMYFUNCTION("""COMPUTED_VALUE"""),-0.753119991778662)</f>
        <v>-0.75311999177866196</v>
      </c>
      <c r="R31" s="3">
        <f ca="1">IFERROR(__xludf.DUMMYFUNCTION("""COMPUTED_VALUE"""),-0.666041300483908)</f>
        <v>-0.66604130048390797</v>
      </c>
      <c r="S31" s="3">
        <f ca="1">IFERROR(__xludf.DUMMYFUNCTION("""COMPUTED_VALUE"""),-0.69083542377206)</f>
        <v>-0.69083542377205998</v>
      </c>
      <c r="T31" s="3">
        <f ca="1">IFERROR(__xludf.DUMMYFUNCTION("""COMPUTED_VALUE"""),-0.796569975750039)</f>
        <v>-0.79656997575003896</v>
      </c>
      <c r="U31" s="3">
        <f ca="1">IFERROR(__xludf.DUMMYFUNCTION("""COMPUTED_VALUE"""),-0.801783375681237)</f>
        <v>-0.80178337568123703</v>
      </c>
      <c r="V31" s="3">
        <f ca="1">IFERROR(__xludf.DUMMYFUNCTION("""COMPUTED_VALUE"""),-0.771204542150163)</f>
        <v>-0.77120454215016299</v>
      </c>
      <c r="W31" s="3">
        <f ca="1">IFERROR(__xludf.DUMMYFUNCTION("""COMPUTED_VALUE"""),-0.75560170653004)</f>
        <v>-0.75560170653004</v>
      </c>
      <c r="X31" s="3">
        <f ca="1">IFERROR(__xludf.DUMMYFUNCTION("""COMPUTED_VALUE"""),-0.784053052543658)</f>
        <v>-0.78405305254365798</v>
      </c>
      <c r="Y31" s="3">
        <f ca="1">IFERROR(__xludf.DUMMYFUNCTION("""COMPUTED_VALUE"""),-0.645490798545705)</f>
        <v>-0.64549079854570501</v>
      </c>
      <c r="Z31" s="3">
        <f ca="1">IFERROR(__xludf.DUMMYFUNCTION("""COMPUTED_VALUE"""),-0.64180380249435)</f>
        <v>-0.64180380249434998</v>
      </c>
      <c r="AA31" s="3">
        <f ca="1">IFERROR(__xludf.DUMMYFUNCTION("""COMPUTED_VALUE"""),-0.751217079284741)</f>
        <v>-0.75121707928474102</v>
      </c>
      <c r="AB31" s="3">
        <f ca="1">IFERROR(__xludf.DUMMYFUNCTION("""COMPUTED_VALUE"""),-0.764038697282608)</f>
        <v>-0.76403869728260798</v>
      </c>
      <c r="AC31" s="3">
        <f ca="1">IFERROR(__xludf.DUMMYFUNCTION("""COMPUTED_VALUE"""),-0.640569984346372)</f>
        <v>-0.64056998434637202</v>
      </c>
      <c r="AD31" s="3">
        <f ca="1">IFERROR(__xludf.DUMMYFUNCTION("""COMPUTED_VALUE"""),-0.752735123401472)</f>
        <v>-0.75273512340147197</v>
      </c>
      <c r="AE31" s="3">
        <f ca="1">IFERROR(__xludf.DUMMYFUNCTION("""COMPUTED_VALUE"""),-0.884021581011542)</f>
        <v>-0.88402158101154205</v>
      </c>
      <c r="AF31" s="3">
        <f ca="1">IFERROR(__xludf.DUMMYFUNCTION("""COMPUTED_VALUE"""),-0.81624161376789)</f>
        <v>-0.81624161376788995</v>
      </c>
      <c r="AG31" s="3">
        <f ca="1">IFERROR(__xludf.DUMMYFUNCTION("""COMPUTED_VALUE"""),-0.837295020275947)</f>
        <v>-0.83729502027594704</v>
      </c>
      <c r="AH31" s="3">
        <f ca="1">IFERROR(__xludf.DUMMYFUNCTION("""COMPUTED_VALUE"""),-0.802268572038782)</f>
        <v>-0.80226857203878199</v>
      </c>
      <c r="AI31" s="3">
        <f ca="1">IFERROR(__xludf.DUMMYFUNCTION("""COMPUTED_VALUE"""),-0.81315767864325)</f>
        <v>-0.81315767864324995</v>
      </c>
      <c r="AJ31" s="3">
        <f ca="1">IFERROR(__xludf.DUMMYFUNCTION("""COMPUTED_VALUE"""),-0.767356808440851)</f>
        <v>-0.76735680844085097</v>
      </c>
      <c r="AK31" s="3">
        <f ca="1">IFERROR(__xludf.DUMMYFUNCTION("""COMPUTED_VALUE"""),-0.834557156449021)</f>
        <v>-0.83455715644902095</v>
      </c>
      <c r="AL31" s="3">
        <f ca="1">IFERROR(__xludf.DUMMYFUNCTION("""COMPUTED_VALUE"""),-0.83252083613848)</f>
        <v>-0.83252083613848005</v>
      </c>
      <c r="AM31" s="3">
        <f ca="1">IFERROR(__xludf.DUMMYFUNCTION("""COMPUTED_VALUE"""),-0.725281361254374)</f>
        <v>-0.72528136125437404</v>
      </c>
      <c r="AN31" s="3">
        <f ca="1">IFERROR(__xludf.DUMMYFUNCTION("""COMPUTED_VALUE"""),-0.744141960369092)</f>
        <v>-0.74414196036909197</v>
      </c>
      <c r="AO31" s="3">
        <f ca="1">IFERROR(__xludf.DUMMYFUNCTION("""COMPUTED_VALUE"""),-0.777092574928733)</f>
        <v>-0.77709257492873296</v>
      </c>
      <c r="AP31" s="3">
        <f ca="1">IFERROR(__xludf.DUMMYFUNCTION("""COMPUTED_VALUE"""),-0.819590485599632)</f>
        <v>-0.81959048559963199</v>
      </c>
      <c r="AQ31" s="3">
        <f ca="1">IFERROR(__xludf.DUMMYFUNCTION("""COMPUTED_VALUE"""),-0.774491822215614)</f>
        <v>-0.77449182221561397</v>
      </c>
      <c r="AR31" s="3">
        <f ca="1">IFERROR(__xludf.DUMMYFUNCTION("""COMPUTED_VALUE"""),-0.814879566524076)</f>
        <v>-0.814879566524076</v>
      </c>
      <c r="AS31" s="3">
        <f ca="1">IFERROR(__xludf.DUMMYFUNCTION("""COMPUTED_VALUE"""),-0.810789426840847)</f>
        <v>-0.81078942684084698</v>
      </c>
      <c r="AT31" s="3">
        <f ca="1">IFERROR(__xludf.DUMMYFUNCTION("""COMPUTED_VALUE"""),-0.740230524535815)</f>
        <v>-0.74023052453581495</v>
      </c>
      <c r="AU31" s="3">
        <f ca="1">IFERROR(__xludf.DUMMYFUNCTION("""COMPUTED_VALUE"""),-0.736279930521947)</f>
        <v>-0.73627993052194696</v>
      </c>
      <c r="AV31" s="3">
        <f ca="1">IFERROR(__xludf.DUMMYFUNCTION("""COMPUTED_VALUE"""),-0.807778296279043)</f>
        <v>-0.80777829627904296</v>
      </c>
      <c r="AW31" s="3">
        <f ca="1">IFERROR(__xludf.DUMMYFUNCTION("""COMPUTED_VALUE"""),-0.829760856242272)</f>
        <v>-0.82976085624227203</v>
      </c>
      <c r="AX31" s="3">
        <f ca="1">IFERROR(__xludf.DUMMYFUNCTION("""COMPUTED_VALUE"""),-0.799424201654911)</f>
        <v>-0.79942420165491102</v>
      </c>
      <c r="AY31" s="3">
        <f ca="1">IFERROR(__xludf.DUMMYFUNCTION("""COMPUTED_VALUE"""),-0.827621707280993)</f>
        <v>-0.82762170728099305</v>
      </c>
      <c r="AZ31" s="3">
        <f ca="1">IFERROR(__xludf.DUMMYFUNCTION("""COMPUTED_VALUE"""),-0.782589820566254)</f>
        <v>-0.78258982056625404</v>
      </c>
      <c r="BA31" s="3">
        <f ca="1">IFERROR(__xludf.DUMMYFUNCTION("""COMPUTED_VALUE"""),-0.688776537173536)</f>
        <v>-0.68877653717353604</v>
      </c>
      <c r="BB31" s="3">
        <f ca="1">IFERROR(__xludf.DUMMYFUNCTION("""COMPUTED_VALUE"""),-0.709294916120696)</f>
        <v>-0.70929491612069595</v>
      </c>
      <c r="BC31" s="3">
        <f ca="1">IFERROR(__xludf.DUMMYFUNCTION("""COMPUTED_VALUE"""),-0.803190432488031)</f>
        <v>-0.80319043248803101</v>
      </c>
      <c r="BD31" s="3">
        <f ca="1">IFERROR(__xludf.DUMMYFUNCTION("""COMPUTED_VALUE"""),-0.805631940114108)</f>
        <v>-0.80563194011410799</v>
      </c>
      <c r="BE31" s="3">
        <f ca="1">IFERROR(__xludf.DUMMYFUNCTION("""COMPUTED_VALUE"""),-0.833735879955989)</f>
        <v>-0.83373587995598897</v>
      </c>
      <c r="BF31" s="3">
        <f ca="1">IFERROR(__xludf.DUMMYFUNCTION("""COMPUTED_VALUE"""),-0.796424021801458)</f>
        <v>-0.79642402180145799</v>
      </c>
      <c r="BG31" s="3">
        <f ca="1">IFERROR(__xludf.DUMMYFUNCTION("""COMPUTED_VALUE"""),-0.814054945037332)</f>
        <v>-0.814054945037332</v>
      </c>
      <c r="BH31" s="3">
        <f ca="1">IFERROR(__xludf.DUMMYFUNCTION("""COMPUTED_VALUE"""),-0.758690143572108)</f>
        <v>-0.75869014357210796</v>
      </c>
      <c r="BI31" s="3">
        <f ca="1">IFERROR(__xludf.DUMMYFUNCTION("""COMPUTED_VALUE"""),-0.772644034163785)</f>
        <v>-0.77264403416378502</v>
      </c>
      <c r="BJ31" s="3">
        <f ca="1">IFERROR(__xludf.DUMMYFUNCTION("""COMPUTED_VALUE"""),-0.861936269652239)</f>
        <v>-0.86193626965223902</v>
      </c>
      <c r="BK31" s="3">
        <f ca="1">IFERROR(__xludf.DUMMYFUNCTION("""COMPUTED_VALUE"""),-0.887038269122885)</f>
        <v>-0.88703826912288497</v>
      </c>
      <c r="BL31" s="3">
        <f ca="1">IFERROR(__xludf.DUMMYFUNCTION("""COMPUTED_VALUE"""),-0.883326893017485)</f>
        <v>-0.88332689301748502</v>
      </c>
      <c r="BM31" s="3">
        <f ca="1">IFERROR(__xludf.DUMMYFUNCTION("""COMPUTED_VALUE"""),-0.884052137418579)</f>
        <v>-0.88405213741857902</v>
      </c>
      <c r="BN31" s="3">
        <f ca="1">IFERROR(__xludf.DUMMYFUNCTION("""COMPUTED_VALUE"""),-0.872647611194087)</f>
        <v>-0.87264761119408696</v>
      </c>
      <c r="BO31" s="3">
        <f ca="1">IFERROR(__xludf.DUMMYFUNCTION("""COMPUTED_VALUE"""),-0.82730519748644)</f>
        <v>-0.82730519748644005</v>
      </c>
      <c r="BP31" s="3">
        <f ca="1">IFERROR(__xludf.DUMMYFUNCTION("""COMPUTED_VALUE"""),-0.843056426918137)</f>
        <v>-0.84305642691813698</v>
      </c>
      <c r="BQ31" s="3">
        <f ca="1">IFERROR(__xludf.DUMMYFUNCTION("""COMPUTED_VALUE"""),-0.900493832313706)</f>
        <v>-0.90049383231370606</v>
      </c>
      <c r="BR31" s="3">
        <f ca="1">IFERROR(__xludf.DUMMYFUNCTION("""COMPUTED_VALUE"""),-0.90515591288264)</f>
        <v>-0.90515591288263997</v>
      </c>
      <c r="BS31" s="3">
        <f ca="1">IFERROR(__xludf.DUMMYFUNCTION("""COMPUTED_VALUE"""),-0.912016407913474)</f>
        <v>-0.91201640791347405</v>
      </c>
      <c r="BT31" s="3">
        <f ca="1">IFERROR(__xludf.DUMMYFUNCTION("""COMPUTED_VALUE"""),-0.915056917295896)</f>
        <v>-0.915056917295896</v>
      </c>
      <c r="BU31" s="3">
        <f ca="1">IFERROR(__xludf.DUMMYFUNCTION("""COMPUTED_VALUE"""),-0.898648896499116)</f>
        <v>-0.89864889649911595</v>
      </c>
      <c r="BV31" s="3">
        <f ca="1">IFERROR(__xludf.DUMMYFUNCTION("""COMPUTED_VALUE"""),-0.845159591453461)</f>
        <v>-0.84515959145346098</v>
      </c>
      <c r="BW31" s="3">
        <f ca="1">IFERROR(__xludf.DUMMYFUNCTION("""COMPUTED_VALUE"""),-0.835196418761393)</f>
        <v>-0.83519641876139294</v>
      </c>
      <c r="BX31" s="3">
        <f ca="1">IFERROR(__xludf.DUMMYFUNCTION("""COMPUTED_VALUE"""),-0.885400607438589)</f>
        <v>-0.88540060743858895</v>
      </c>
      <c r="BY31" s="3">
        <f ca="1">IFERROR(__xludf.DUMMYFUNCTION("""COMPUTED_VALUE"""),-0.906764394839818)</f>
        <v>-0.90676439483981797</v>
      </c>
      <c r="BZ31" s="3">
        <f ca="1">IFERROR(__xludf.DUMMYFUNCTION("""COMPUTED_VALUE"""),-0.892268929877417)</f>
        <v>-0.89226892987741702</v>
      </c>
      <c r="CA31" s="3">
        <f ca="1">IFERROR(__xludf.DUMMYFUNCTION("""COMPUTED_VALUE"""),-0.895986246147538)</f>
        <v>-0.89598624614753797</v>
      </c>
      <c r="CB31" s="3">
        <f ca="1">IFERROR(__xludf.DUMMYFUNCTION("""COMPUTED_VALUE"""),-0.861371189640324)</f>
        <v>-0.861371189640324</v>
      </c>
      <c r="CC31" s="3">
        <f ca="1">IFERROR(__xludf.DUMMYFUNCTION("""COMPUTED_VALUE"""),-0.820435118934328)</f>
        <v>-0.82043511893432797</v>
      </c>
      <c r="CD31" s="3">
        <f ca="1">IFERROR(__xludf.DUMMYFUNCTION("""COMPUTED_VALUE"""),-0.835659281684871)</f>
        <v>-0.83565928168487102</v>
      </c>
      <c r="CE31" s="3">
        <f ca="1">IFERROR(__xludf.DUMMYFUNCTION("""COMPUTED_VALUE"""),-0.885118894347191)</f>
        <v>-0.88511889434719104</v>
      </c>
      <c r="CF31" s="3">
        <f ca="1">IFERROR(__xludf.DUMMYFUNCTION("""COMPUTED_VALUE"""),-0.909413887529455)</f>
        <v>-0.90941388752945496</v>
      </c>
      <c r="CG31" s="3">
        <f ca="1">IFERROR(__xludf.DUMMYFUNCTION("""COMPUTED_VALUE"""),-0.902210601058489)</f>
        <v>-0.90221060105848905</v>
      </c>
      <c r="CH31" s="3">
        <f ca="1">IFERROR(__xludf.DUMMYFUNCTION("""COMPUTED_VALUE"""),-0.885735014167379)</f>
        <v>-0.88573501416737899</v>
      </c>
      <c r="CI31" s="3">
        <f ca="1">IFERROR(__xludf.DUMMYFUNCTION("""COMPUTED_VALUE"""),-0.903193990589557)</f>
        <v>-0.90319399058955696</v>
      </c>
      <c r="CJ31" s="3">
        <f ca="1">IFERROR(__xludf.DUMMYFUNCTION("""COMPUTED_VALUE"""),-0.826097320893037)</f>
        <v>-0.826097320893037</v>
      </c>
      <c r="CK31" s="3">
        <f ca="1">IFERROR(__xludf.DUMMYFUNCTION("""COMPUTED_VALUE"""),-0.819912607282387)</f>
        <v>-0.81991260728238702</v>
      </c>
      <c r="CL31" s="3">
        <f ca="1">IFERROR(__xludf.DUMMYFUNCTION("""COMPUTED_VALUE"""),-0.875499845280348)</f>
        <v>-0.87549984528034797</v>
      </c>
      <c r="CM31" s="3">
        <f ca="1">IFERROR(__xludf.DUMMYFUNCTION("""COMPUTED_VALUE"""),-0.890958013091627)</f>
        <v>-0.89095801309162703</v>
      </c>
      <c r="CN31" s="3">
        <f ca="1">IFERROR(__xludf.DUMMYFUNCTION("""COMPUTED_VALUE"""),-0.879184594409517)</f>
        <v>-0.87918459440951702</v>
      </c>
      <c r="CO31" s="3">
        <f ca="1">IFERROR(__xludf.DUMMYFUNCTION("""COMPUTED_VALUE"""),-0.874723547456739)</f>
        <v>-0.87472354745673897</v>
      </c>
      <c r="CP31" s="3">
        <f ca="1">IFERROR(__xludf.DUMMYFUNCTION("""COMPUTED_VALUE"""),-0.849504613247724)</f>
        <v>-0.84950461324772397</v>
      </c>
      <c r="CQ31" s="3">
        <f ca="1">IFERROR(__xludf.DUMMYFUNCTION("""COMPUTED_VALUE"""),-0.830502238334421)</f>
        <v>-0.83050223833442105</v>
      </c>
      <c r="CR31" s="3">
        <f ca="1">IFERROR(__xludf.DUMMYFUNCTION("""COMPUTED_VALUE"""),-0.797724348210717)</f>
        <v>-0.79772434821071703</v>
      </c>
      <c r="CS31" s="3">
        <f ca="1">IFERROR(__xludf.DUMMYFUNCTION("""COMPUTED_VALUE"""),-0.851132132103121)</f>
        <v>-0.851132132103121</v>
      </c>
      <c r="CT31" s="3">
        <f ca="1">IFERROR(__xludf.DUMMYFUNCTION("""COMPUTED_VALUE"""),-0.876617316557156)</f>
        <v>-0.87661731655715602</v>
      </c>
      <c r="CU31" s="3">
        <f ca="1">IFERROR(__xludf.DUMMYFUNCTION("""COMPUTED_VALUE"""),-0.858465298282763)</f>
        <v>-0.85846529828276297</v>
      </c>
      <c r="CV31" s="3">
        <f ca="1">IFERROR(__xludf.DUMMYFUNCTION("""COMPUTED_VALUE"""),-0.858104776273581)</f>
        <v>-0.85810477627358095</v>
      </c>
      <c r="CW31" s="3">
        <f ca="1">IFERROR(__xludf.DUMMYFUNCTION("""COMPUTED_VALUE"""),-0.884864695449719)</f>
        <v>-0.88486469544971902</v>
      </c>
      <c r="CX31" s="3">
        <f ca="1">IFERROR(__xludf.DUMMYFUNCTION("""COMPUTED_VALUE"""),-0.80514628657154)</f>
        <v>-0.80514628657153997</v>
      </c>
      <c r="CY31" s="3">
        <f ca="1">IFERROR(__xludf.DUMMYFUNCTION("""COMPUTED_VALUE"""),-0.763589624836302)</f>
        <v>-0.76358962483630199</v>
      </c>
      <c r="CZ31" s="3">
        <f ca="1">IFERROR(__xludf.DUMMYFUNCTION("""COMPUTED_VALUE"""),-0.795896947056107)</f>
        <v>-0.79589694705610703</v>
      </c>
      <c r="DA31" s="3">
        <f ca="1">IFERROR(__xludf.DUMMYFUNCTION("""COMPUTED_VALUE"""),-0.742924245475376)</f>
        <v>-0.74292424547537605</v>
      </c>
      <c r="DB31" s="3">
        <f ca="1">IFERROR(__xludf.DUMMYFUNCTION("""COMPUTED_VALUE"""),-0.635546644397202)</f>
        <v>-0.63554664439720199</v>
      </c>
      <c r="DC31" s="3">
        <f ca="1">IFERROR(__xludf.DUMMYFUNCTION("""COMPUTED_VALUE"""),-0.766304183015025)</f>
        <v>-0.76630418301502501</v>
      </c>
      <c r="DD31" s="3">
        <f ca="1">IFERROR(__xludf.DUMMYFUNCTION("""COMPUTED_VALUE"""),-0.809355151615615)</f>
        <v>-0.809355151615615</v>
      </c>
      <c r="DE31" s="3">
        <f ca="1">IFERROR(__xludf.DUMMYFUNCTION("""COMPUTED_VALUE"""),-0.693361172958895)</f>
        <v>-0.69336117295889499</v>
      </c>
      <c r="DF31" s="3">
        <f ca="1">IFERROR(__xludf.DUMMYFUNCTION("""COMPUTED_VALUE"""),-0.754201394873094)</f>
        <v>-0.75420139487309401</v>
      </c>
      <c r="DG31" s="3">
        <f ca="1">IFERROR(__xludf.DUMMYFUNCTION("""COMPUTED_VALUE"""),-0.907765740452696)</f>
        <v>-0.90776574045269598</v>
      </c>
      <c r="DH31" s="3">
        <f ca="1">IFERROR(__xludf.DUMMYFUNCTION("""COMPUTED_VALUE"""),-0.860144465384437)</f>
        <v>-0.86014446538443701</v>
      </c>
      <c r="DI31" s="3">
        <f ca="1">IFERROR(__xludf.DUMMYFUNCTION("""COMPUTED_VALUE"""),-0.804580972610311)</f>
        <v>-0.80458097261031103</v>
      </c>
      <c r="DJ31" s="3">
        <f ca="1">IFERROR(__xludf.DUMMYFUNCTION("""COMPUTED_VALUE"""),-0.844646222749771)</f>
        <v>-0.84464622274977097</v>
      </c>
      <c r="DK31" s="3">
        <f ca="1">IFERROR(__xludf.DUMMYFUNCTION("""COMPUTED_VALUE"""),-0.833666638636793)</f>
        <v>-0.83366663863679302</v>
      </c>
      <c r="DL31" s="3">
        <f ca="1">IFERROR(__xludf.DUMMYFUNCTION("""COMPUTED_VALUE"""),-0.800361880656966)</f>
        <v>-0.80036188065696601</v>
      </c>
      <c r="DM31" s="3">
        <f ca="1">IFERROR(__xludf.DUMMYFUNCTION("""COMPUTED_VALUE"""),-0.806013535164318)</f>
        <v>-0.80601353516431795</v>
      </c>
      <c r="DN31" s="3">
        <f ca="1">IFERROR(__xludf.DUMMYFUNCTION("""COMPUTED_VALUE"""),-0.837178775454017)</f>
        <v>-0.83717877545401698</v>
      </c>
      <c r="DO31" s="3">
        <f ca="1">IFERROR(__xludf.DUMMYFUNCTION("""COMPUTED_VALUE"""),-0.880726911045878)</f>
        <v>-0.88072691104587797</v>
      </c>
      <c r="DP31" s="3">
        <f ca="1">IFERROR(__xludf.DUMMYFUNCTION("""COMPUTED_VALUE"""),-0.867043650435388)</f>
        <v>-0.867043650435388</v>
      </c>
      <c r="DQ31" s="3">
        <f ca="1">IFERROR(__xludf.DUMMYFUNCTION("""COMPUTED_VALUE"""),-0.877820344824962)</f>
        <v>-0.87782034482496196</v>
      </c>
      <c r="DR31" s="3">
        <f ca="1">IFERROR(__xludf.DUMMYFUNCTION("""COMPUTED_VALUE"""),-0.866910631403956)</f>
        <v>-0.86691063140395597</v>
      </c>
      <c r="DS31" s="3">
        <f ca="1">IFERROR(__xludf.DUMMYFUNCTION("""COMPUTED_VALUE"""),-0.829640953590556)</f>
        <v>-0.82964095359055601</v>
      </c>
      <c r="DT31" s="3">
        <f ca="1">IFERROR(__xludf.DUMMYFUNCTION("""COMPUTED_VALUE"""),-0.876938119443829)</f>
        <v>-0.87693811944382904</v>
      </c>
      <c r="DU31" s="3">
        <f ca="1">IFERROR(__xludf.DUMMYFUNCTION("""COMPUTED_VALUE"""),-0.895240211310044)</f>
        <v>-0.89524021131004405</v>
      </c>
      <c r="DV31" s="3">
        <f ca="1">IFERROR(__xludf.DUMMYFUNCTION("""COMPUTED_VALUE"""),-0.930191702429306)</f>
        <v>-0.93019170242930604</v>
      </c>
      <c r="DW31" s="3">
        <f ca="1">IFERROR(__xludf.DUMMYFUNCTION("""COMPUTED_VALUE"""),-0.93665279447968)</f>
        <v>-0.93665279447967997</v>
      </c>
      <c r="DX31" s="3">
        <f ca="1">IFERROR(__xludf.DUMMYFUNCTION("""COMPUTED_VALUE"""),-0.933739716680304)</f>
        <v>-0.93373971668030398</v>
      </c>
      <c r="DY31" s="3">
        <f ca="1">IFERROR(__xludf.DUMMYFUNCTION("""COMPUTED_VALUE"""),-0.938510156491473)</f>
        <v>-0.93851015649147296</v>
      </c>
      <c r="DZ31" s="3">
        <f ca="1">IFERROR(__xludf.DUMMYFUNCTION("""COMPUTED_VALUE"""),-0.893717731863826)</f>
        <v>-0.89371773186382597</v>
      </c>
      <c r="EA31" s="3">
        <f ca="1">IFERROR(__xludf.DUMMYFUNCTION("""COMPUTED_VALUE"""),-0.91278190770523)</f>
        <v>-0.91278190770523004</v>
      </c>
      <c r="EB31" s="3">
        <f ca="1">IFERROR(__xludf.DUMMYFUNCTION("""COMPUTED_VALUE"""),-0.910123553184218)</f>
        <v>-0.910123553184218</v>
      </c>
      <c r="EC31" s="3">
        <f ca="1">IFERROR(__xludf.DUMMYFUNCTION("""COMPUTED_VALUE"""),-0.916731325327615)</f>
        <v>-0.91673132532761503</v>
      </c>
      <c r="ED31" s="3">
        <f ca="1">IFERROR(__xludf.DUMMYFUNCTION("""COMPUTED_VALUE"""),-0.92567285895526)</f>
        <v>-0.92567285895525997</v>
      </c>
      <c r="EE31" s="3">
        <f ca="1">IFERROR(__xludf.DUMMYFUNCTION("""COMPUTED_VALUE"""),-0.923170254139345)</f>
        <v>-0.92317025413934495</v>
      </c>
      <c r="EF31" s="3">
        <f ca="1">IFERROR(__xludf.DUMMYFUNCTION("""COMPUTED_VALUE"""),-0.912086994128107)</f>
        <v>-0.91208699412810701</v>
      </c>
      <c r="EG31" s="3">
        <f ca="1">IFERROR(__xludf.DUMMYFUNCTION("""COMPUTED_VALUE"""),-0.883251948595651)</f>
        <v>-0.88325194859565104</v>
      </c>
      <c r="EH31" s="3">
        <f ca="1">IFERROR(__xludf.DUMMYFUNCTION("""COMPUTED_VALUE"""),-0.892899536122824)</f>
        <v>-0.89289953612282402</v>
      </c>
      <c r="EI31" s="3">
        <f ca="1">IFERROR(__xludf.DUMMYFUNCTION("""COMPUTED_VALUE"""),-0.947837435734462)</f>
        <v>-0.947837435734462</v>
      </c>
      <c r="EJ31" s="3">
        <f ca="1">IFERROR(__xludf.DUMMYFUNCTION("""COMPUTED_VALUE"""),-0.974001904760309)</f>
        <v>-0.97400190476030901</v>
      </c>
      <c r="EK31" s="3">
        <f ca="1">IFERROR(__xludf.DUMMYFUNCTION("""COMPUTED_VALUE"""),-0.89521484506046)</f>
        <v>-0.89521484506046001</v>
      </c>
      <c r="EL31" s="3">
        <f ca="1">IFERROR(__xludf.DUMMYFUNCTION("""COMPUTED_VALUE"""),-0.888680477473224)</f>
        <v>-0.88868047747322398</v>
      </c>
      <c r="EM31" s="3">
        <f ca="1">IFERROR(__xludf.DUMMYFUNCTION("""COMPUTED_VALUE"""),-0.902974870712479)</f>
        <v>-0.90297487071247895</v>
      </c>
      <c r="EN31" s="3">
        <f ca="1">IFERROR(__xludf.DUMMYFUNCTION("""COMPUTED_VALUE"""),-0.81703403660441)</f>
        <v>-0.81703403660440999</v>
      </c>
      <c r="EO31" s="3">
        <f ca="1">IFERROR(__xludf.DUMMYFUNCTION("""COMPUTED_VALUE"""),-0.765580665229796)</f>
        <v>-0.76558066522979595</v>
      </c>
      <c r="EP31" s="3">
        <f ca="1">IFERROR(__xludf.DUMMYFUNCTION("""COMPUTED_VALUE"""),-0.848097940717793)</f>
        <v>-0.84809794071779299</v>
      </c>
      <c r="EQ31" s="3">
        <f ca="1">IFERROR(__xludf.DUMMYFUNCTION("""COMPUTED_VALUE"""),-0.872620355323357)</f>
        <v>-0.87262035532335702</v>
      </c>
      <c r="ER31" s="3">
        <f ca="1">IFERROR(__xludf.DUMMYFUNCTION("""COMPUTED_VALUE"""),-0.875736643537077)</f>
        <v>-0.87573664353707703</v>
      </c>
      <c r="ES31" s="3">
        <f ca="1">IFERROR(__xludf.DUMMYFUNCTION("""COMPUTED_VALUE"""),-0.851614891924671)</f>
        <v>-0.85161489192467099</v>
      </c>
      <c r="ET31" s="3">
        <f ca="1">IFERROR(__xludf.DUMMYFUNCTION("""COMPUTED_VALUE"""),-0.840176943031971)</f>
        <v>-0.84017694303197099</v>
      </c>
      <c r="EU31" s="3">
        <f ca="1">IFERROR(__xludf.DUMMYFUNCTION("""COMPUTED_VALUE"""),-0.741070473798098)</f>
        <v>-0.74107047379809798</v>
      </c>
      <c r="EV31" s="3">
        <f ca="1">IFERROR(__xludf.DUMMYFUNCTION("""COMPUTED_VALUE"""),-0.748623826212522)</f>
        <v>-0.74862382621252199</v>
      </c>
      <c r="EW31" s="3">
        <f ca="1">IFERROR(__xludf.DUMMYFUNCTION("""COMPUTED_VALUE"""),-0.855580465230016)</f>
        <v>-0.85558046523001596</v>
      </c>
      <c r="EX31" s="3">
        <f ca="1">IFERROR(__xludf.DUMMYFUNCTION("""COMPUTED_VALUE"""),-0.875830375386018)</f>
        <v>-0.87583037538601805</v>
      </c>
      <c r="EY31" s="3">
        <f ca="1">IFERROR(__xludf.DUMMYFUNCTION("""COMPUTED_VALUE"""),-0.882719401259969)</f>
        <v>-0.88271940125996895</v>
      </c>
      <c r="EZ31" s="3">
        <f ca="1">IFERROR(__xludf.DUMMYFUNCTION("""COMPUTED_VALUE"""),-0.865232514870854)</f>
        <v>-0.86523251487085395</v>
      </c>
      <c r="FA31" s="3">
        <f ca="1">IFERROR(__xludf.DUMMYFUNCTION("""COMPUTED_VALUE"""),-0.851602393268676)</f>
        <v>-0.85160239326867604</v>
      </c>
      <c r="FB31" s="3">
        <f ca="1">IFERROR(__xludf.DUMMYFUNCTION("""COMPUTED_VALUE"""),-0.790523488682892)</f>
        <v>-0.79052348868289202</v>
      </c>
      <c r="FC31" s="3">
        <f ca="1">IFERROR(__xludf.DUMMYFUNCTION("""COMPUTED_VALUE"""),-0.779167784193686)</f>
        <v>-0.77916778419368604</v>
      </c>
      <c r="FD31" s="3">
        <f ca="1">IFERROR(__xludf.DUMMYFUNCTION("""COMPUTED_VALUE"""),-0.860679439321014)</f>
        <v>-0.86067943932101398</v>
      </c>
      <c r="FE31" s="3">
        <f ca="1">IFERROR(__xludf.DUMMYFUNCTION("""COMPUTED_VALUE"""),-0.882020047226556)</f>
        <v>-0.88202004722655603</v>
      </c>
      <c r="FF31" s="3">
        <f ca="1">IFERROR(__xludf.DUMMYFUNCTION("""COMPUTED_VALUE"""),-0.867046379659975)</f>
        <v>-0.867046379659975</v>
      </c>
      <c r="FG31" s="3">
        <f ca="1">IFERROR(__xludf.DUMMYFUNCTION("""COMPUTED_VALUE"""),-0.87269785764247)</f>
        <v>-0.87269785764246999</v>
      </c>
      <c r="FH31" s="3">
        <f ca="1">IFERROR(__xludf.DUMMYFUNCTION("""COMPUTED_VALUE"""),-0.837256901289428)</f>
        <v>-0.83725690128942798</v>
      </c>
      <c r="FI31" s="3">
        <f ca="1">IFERROR(__xludf.DUMMYFUNCTION("""COMPUTED_VALUE"""),-0.784310972194379)</f>
        <v>-0.78431097219437895</v>
      </c>
      <c r="FJ31" s="3">
        <f ca="1">IFERROR(__xludf.DUMMYFUNCTION("""COMPUTED_VALUE"""),-0.781406434141303)</f>
        <v>-0.78140643414130295</v>
      </c>
      <c r="FK31" s="3">
        <f ca="1">IFERROR(__xludf.DUMMYFUNCTION("""COMPUTED_VALUE"""),-0.848628861643422)</f>
        <v>-0.84862886164342199</v>
      </c>
      <c r="FL31" s="3">
        <f ca="1">IFERROR(__xludf.DUMMYFUNCTION("""COMPUTED_VALUE"""),-0.862132209837762)</f>
        <v>-0.86213220983776195</v>
      </c>
      <c r="FM31" s="3">
        <f ca="1">IFERROR(__xludf.DUMMYFUNCTION("""COMPUTED_VALUE"""),-0.833349432660213)</f>
        <v>-0.833349432660213</v>
      </c>
      <c r="FN31" s="3">
        <f ca="1">IFERROR(__xludf.DUMMYFUNCTION("""COMPUTED_VALUE"""),-0.838266295368459)</f>
        <v>-0.83826629536845898</v>
      </c>
      <c r="FO31" s="3">
        <f ca="1">IFERROR(__xludf.DUMMYFUNCTION("""COMPUTED_VALUE"""),-0.845964851543805)</f>
        <v>-0.84596485154380496</v>
      </c>
      <c r="FP31" s="3">
        <f ca="1">IFERROR(__xludf.DUMMYFUNCTION("""COMPUTED_VALUE"""),-0.780023049398852)</f>
        <v>-0.78002304939885203</v>
      </c>
      <c r="FQ31" s="3">
        <f ca="1">IFERROR(__xludf.DUMMYFUNCTION("""COMPUTED_VALUE"""),-0.752196341359499)</f>
        <v>-0.75219634135949898</v>
      </c>
      <c r="FR31" s="3">
        <f ca="1">IFERROR(__xludf.DUMMYFUNCTION("""COMPUTED_VALUE"""),-0.843822050708361)</f>
        <v>-0.84382205070836103</v>
      </c>
      <c r="FS31" s="3">
        <f ca="1">IFERROR(__xludf.DUMMYFUNCTION("""COMPUTED_VALUE"""),-0.846737149230253)</f>
        <v>-0.84673714923025301</v>
      </c>
      <c r="FT31" s="3">
        <f ca="1">IFERROR(__xludf.DUMMYFUNCTION("""COMPUTED_VALUE"""),-0.846012380889147)</f>
        <v>-0.84601238088914699</v>
      </c>
      <c r="FU31" s="3">
        <f ca="1">IFERROR(__xludf.DUMMYFUNCTION("""COMPUTED_VALUE"""),-0.862890440960053)</f>
        <v>-0.86289044096005296</v>
      </c>
      <c r="FV31" s="3">
        <f ca="1">IFERROR(__xludf.DUMMYFUNCTION("""COMPUTED_VALUE"""),-0.844966057436548)</f>
        <v>-0.84496605743654796</v>
      </c>
      <c r="FW31" s="3">
        <f ca="1">IFERROR(__xludf.DUMMYFUNCTION("""COMPUTED_VALUE"""),-0.815188300826305)</f>
        <v>-0.815188300826305</v>
      </c>
      <c r="FX31" s="3">
        <f ca="1">IFERROR(__xludf.DUMMYFUNCTION("""COMPUTED_VALUE"""),-0.74912999270377)</f>
        <v>-0.74912999270377001</v>
      </c>
      <c r="FY31" s="3">
        <f ca="1">IFERROR(__xludf.DUMMYFUNCTION("""COMPUTED_VALUE"""),-0.846230291340349)</f>
        <v>-0.84623029134034899</v>
      </c>
      <c r="FZ31" s="3">
        <f ca="1">IFERROR(__xludf.DUMMYFUNCTION("""COMPUTED_VALUE"""),-0.866226159068377)</f>
        <v>-0.86622615906837697</v>
      </c>
      <c r="GA31" s="3">
        <f ca="1">IFERROR(__xludf.DUMMYFUNCTION("""COMPUTED_VALUE"""),-0.871019332781771)</f>
        <v>-0.87101933278177102</v>
      </c>
      <c r="GB31" s="3">
        <f ca="1">IFERROR(__xludf.DUMMYFUNCTION("""COMPUTED_VALUE"""),-0.886155054660474)</f>
        <v>-0.88615505466047395</v>
      </c>
      <c r="GC31" s="3">
        <f ca="1">IFERROR(__xludf.DUMMYFUNCTION("""COMPUTED_VALUE"""),-0.873464646113816)</f>
        <v>-0.87346464611381602</v>
      </c>
      <c r="GD31" s="3">
        <f ca="1">IFERROR(__xludf.DUMMYFUNCTION("""COMPUTED_VALUE"""),-0.810175172080327)</f>
        <v>-0.81017517208032697</v>
      </c>
      <c r="GE31" s="3">
        <f ca="1">IFERROR(__xludf.DUMMYFUNCTION("""COMPUTED_VALUE"""),-0.777589329760808)</f>
        <v>-0.77758932976080797</v>
      </c>
      <c r="GF31" s="3">
        <f ca="1">IFERROR(__xludf.DUMMYFUNCTION("""COMPUTED_VALUE"""),-0.876717200837394)</f>
        <v>-0.87671720083739402</v>
      </c>
      <c r="GG31" s="3">
        <f ca="1">IFERROR(__xludf.DUMMYFUNCTION("""COMPUTED_VALUE"""),-0.905469368558833)</f>
        <v>-0.90546936855883298</v>
      </c>
      <c r="GH31" s="3">
        <f ca="1">IFERROR(__xludf.DUMMYFUNCTION("""COMPUTED_VALUE"""),-0.894560283720811)</f>
        <v>-0.89456028372081098</v>
      </c>
      <c r="GI31" s="3">
        <f ca="1">IFERROR(__xludf.DUMMYFUNCTION("""COMPUTED_VALUE"""),-0.90243359553921)</f>
        <v>-0.90243359553920999</v>
      </c>
      <c r="GJ31" s="3">
        <f ca="1">IFERROR(__xludf.DUMMYFUNCTION("""COMPUTED_VALUE"""),-0.882710977498467)</f>
        <v>-0.88271097749846705</v>
      </c>
      <c r="GK31" s="3">
        <f ca="1">IFERROR(__xludf.DUMMYFUNCTION("""COMPUTED_VALUE"""),-0.825802575421918)</f>
        <v>-0.82580257542191804</v>
      </c>
      <c r="GL31" s="3">
        <f ca="1">IFERROR(__xludf.DUMMYFUNCTION("""COMPUTED_VALUE"""),-0.809452915461018)</f>
        <v>-0.80945291546101805</v>
      </c>
      <c r="GM31" s="3">
        <f ca="1">IFERROR(__xludf.DUMMYFUNCTION("""COMPUTED_VALUE"""),-0.895702577555102)</f>
        <v>-0.89570257755510196</v>
      </c>
      <c r="GN31" s="3">
        <f ca="1">IFERROR(__xludf.DUMMYFUNCTION("""COMPUTED_VALUE"""),-0.90631181812666)</f>
        <v>-0.90631181812665995</v>
      </c>
      <c r="GO31" s="3">
        <f ca="1">IFERROR(__xludf.DUMMYFUNCTION("""COMPUTED_VALUE"""),-0.903164472071734)</f>
        <v>-0.903164472071734</v>
      </c>
      <c r="GP31" s="3">
        <f ca="1">IFERROR(__xludf.DUMMYFUNCTION("""COMPUTED_VALUE"""),-0.897336476471725)</f>
        <v>-0.89733647647172499</v>
      </c>
      <c r="GQ31" s="3">
        <f ca="1">IFERROR(__xludf.DUMMYFUNCTION("""COMPUTED_VALUE"""),-0.887793698854412)</f>
        <v>-0.88779369885441195</v>
      </c>
      <c r="GR31" s="3">
        <f ca="1">IFERROR(__xludf.DUMMYFUNCTION("""COMPUTED_VALUE"""),-0.826185594772581)</f>
        <v>-0.82618559477258102</v>
      </c>
      <c r="GS31" s="3">
        <f ca="1">IFERROR(__xludf.DUMMYFUNCTION("""COMPUTED_VALUE"""),-0.816851562524651)</f>
        <v>-0.81685156252465096</v>
      </c>
      <c r="GT31" s="3">
        <f ca="1">IFERROR(__xludf.DUMMYFUNCTION("""COMPUTED_VALUE"""),-0.888023440107993)</f>
        <v>-0.88802344010799295</v>
      </c>
      <c r="GU31" s="3">
        <f ca="1">IFERROR(__xludf.DUMMYFUNCTION("""COMPUTED_VALUE"""),-0.896438784867216)</f>
        <v>-0.89643878486721595</v>
      </c>
      <c r="GV31" s="3">
        <f ca="1">IFERROR(__xludf.DUMMYFUNCTION("""COMPUTED_VALUE"""),-0.891659324145665)</f>
        <v>-0.89165932414566496</v>
      </c>
      <c r="GW31" s="3">
        <f ca="1">IFERROR(__xludf.DUMMYFUNCTION("""COMPUTED_VALUE"""),-0.870883086116456)</f>
        <v>-0.87088308611645604</v>
      </c>
      <c r="GX31" s="3">
        <f ca="1">IFERROR(__xludf.DUMMYFUNCTION("""COMPUTED_VALUE"""),-0.810536163046902)</f>
        <v>-0.81053616304690201</v>
      </c>
      <c r="GY31" s="3">
        <f ca="1">IFERROR(__xludf.DUMMYFUNCTION("""COMPUTED_VALUE"""),-0.776238207633265)</f>
        <v>-0.77623820763326501</v>
      </c>
      <c r="GZ31" s="3">
        <f ca="1">IFERROR(__xludf.DUMMYFUNCTION("""COMPUTED_VALUE"""),-0.787518018137136)</f>
        <v>-0.78751801813713596</v>
      </c>
      <c r="HA31" s="3">
        <f ca="1">IFERROR(__xludf.DUMMYFUNCTION("""COMPUTED_VALUE"""),-0.85970161102484)</f>
        <v>-0.85970161102484</v>
      </c>
      <c r="HB31" s="3">
        <f ca="1">IFERROR(__xludf.DUMMYFUNCTION("""COMPUTED_VALUE"""),-0.856253878688762)</f>
        <v>-0.85625387868876202</v>
      </c>
      <c r="HC31" s="3">
        <f ca="1">IFERROR(__xludf.DUMMYFUNCTION("""COMPUTED_VALUE"""),-0.849182030459516)</f>
        <v>-0.84918203045951601</v>
      </c>
      <c r="HD31" s="3">
        <f ca="1">IFERROR(__xludf.DUMMYFUNCTION("""COMPUTED_VALUE"""),-0.830528191285714)</f>
        <v>-0.83052819128571398</v>
      </c>
      <c r="HE31" s="3">
        <f ca="1">IFERROR(__xludf.DUMMYFUNCTION("""COMPUTED_VALUE"""),-0.788211814011936)</f>
        <v>-0.78821181401193596</v>
      </c>
      <c r="HF31" s="3">
        <f ca="1">IFERROR(__xludf.DUMMYFUNCTION("""COMPUTED_VALUE"""),-0.732970384768412)</f>
        <v>-0.73297038476841203</v>
      </c>
      <c r="HG31" s="3">
        <f ca="1">IFERROR(__xludf.DUMMYFUNCTION("""COMPUTED_VALUE"""),-0.706811910686363)</f>
        <v>-0.70681191068636295</v>
      </c>
      <c r="HH31" s="3">
        <f ca="1">IFERROR(__xludf.DUMMYFUNCTION("""COMPUTED_VALUE"""),-0.807276825249976)</f>
        <v>-0.80727682524997602</v>
      </c>
      <c r="HI31" s="3">
        <f ca="1">IFERROR(__xludf.DUMMYFUNCTION("""COMPUTED_VALUE"""),-0.825179381066171)</f>
        <v>-0.82517938106617095</v>
      </c>
      <c r="HJ31" s="3">
        <f ca="1">IFERROR(__xludf.DUMMYFUNCTION("""COMPUTED_VALUE"""),-0.802215212635384)</f>
        <v>-0.80221521263538398</v>
      </c>
      <c r="HK31" s="3">
        <f ca="1">IFERROR(__xludf.DUMMYFUNCTION("""COMPUTED_VALUE"""),-0.814634415516485)</f>
        <v>-0.81463441551648497</v>
      </c>
      <c r="HL31" s="3">
        <f ca="1">IFERROR(__xludf.DUMMYFUNCTION("""COMPUTED_VALUE"""),-0.795181775048051)</f>
        <v>-0.79518177504805099</v>
      </c>
      <c r="HM31" s="3">
        <f ca="1">IFERROR(__xludf.DUMMYFUNCTION("""COMPUTED_VALUE"""),-0.775551235372275)</f>
        <v>-0.77555123537227499</v>
      </c>
      <c r="HN31" s="3">
        <f ca="1">IFERROR(__xludf.DUMMYFUNCTION("""COMPUTED_VALUE"""),-0.694306992402939)</f>
        <v>-0.69430699240293903</v>
      </c>
      <c r="HO31" s="3">
        <f ca="1">IFERROR(__xludf.DUMMYFUNCTION("""COMPUTED_VALUE"""),-0.80858915678167)</f>
        <v>-0.80858915678166998</v>
      </c>
      <c r="HP31" s="3">
        <f ca="1">IFERROR(__xludf.DUMMYFUNCTION("""COMPUTED_VALUE"""),-0.817860905643245)</f>
        <v>-0.81786090564324498</v>
      </c>
      <c r="HQ31" s="3">
        <f ca="1">IFERROR(__xludf.DUMMYFUNCTION("""COMPUTED_VALUE"""),-0.827064358972837)</f>
        <v>-0.82706435897283703</v>
      </c>
      <c r="HR31" s="3">
        <f ca="1">IFERROR(__xludf.DUMMYFUNCTION("""COMPUTED_VALUE"""),-0.819679516698497)</f>
        <v>-0.81967951669849703</v>
      </c>
      <c r="HS31" s="3">
        <f ca="1">IFERROR(__xludf.DUMMYFUNCTION("""COMPUTED_VALUE"""),-0.796264410133169)</f>
        <v>-0.79626441013316895</v>
      </c>
      <c r="HT31" s="3">
        <f ca="1">IFERROR(__xludf.DUMMYFUNCTION("""COMPUTED_VALUE"""),-0.752208618463248)</f>
        <v>-0.75220861846324805</v>
      </c>
      <c r="HU31" s="3">
        <f ca="1">IFERROR(__xludf.DUMMYFUNCTION("""COMPUTED_VALUE"""),-0.737845760365756)</f>
        <v>-0.737845760365756</v>
      </c>
      <c r="HV31" s="3">
        <f ca="1">IFERROR(__xludf.DUMMYFUNCTION("""COMPUTED_VALUE"""),-0.828123313252058)</f>
        <v>-0.82812331325205801</v>
      </c>
      <c r="HW31" s="3">
        <f ca="1">IFERROR(__xludf.DUMMYFUNCTION("""COMPUTED_VALUE"""),-0.829881315266929)</f>
        <v>-0.82988131526692899</v>
      </c>
      <c r="HX31" s="3">
        <f ca="1">IFERROR(__xludf.DUMMYFUNCTION("""COMPUTED_VALUE"""),-0.804697481989975)</f>
        <v>-0.80469748198997504</v>
      </c>
      <c r="HY31" s="3">
        <f ca="1">IFERROR(__xludf.DUMMYFUNCTION("""COMPUTED_VALUE"""),-0.765755444556128)</f>
        <v>-0.76575544455612798</v>
      </c>
      <c r="HZ31" s="3">
        <f ca="1">IFERROR(__xludf.DUMMYFUNCTION("""COMPUTED_VALUE"""),-0.708777744362197)</f>
        <v>-0.70877774436219698</v>
      </c>
      <c r="IA31" s="3">
        <f ca="1">IFERROR(__xludf.DUMMYFUNCTION("""COMPUTED_VALUE"""),-0.671022542890628)</f>
        <v>-0.67102254289062802</v>
      </c>
      <c r="IB31" s="3">
        <f ca="1">IFERROR(__xludf.DUMMYFUNCTION("""COMPUTED_VALUE"""),-0.733097510466543)</f>
        <v>-0.73309751046654303</v>
      </c>
      <c r="IC31" s="3">
        <f ca="1">IFERROR(__xludf.DUMMYFUNCTION("""COMPUTED_VALUE"""),-0.820644277712876)</f>
        <v>-0.82064427771287596</v>
      </c>
      <c r="ID31" s="3">
        <f ca="1">IFERROR(__xludf.DUMMYFUNCTION("""COMPUTED_VALUE"""),-0.821024989070196)</f>
        <v>-0.82102498907019605</v>
      </c>
      <c r="IE31" s="3">
        <f ca="1">IFERROR(__xludf.DUMMYFUNCTION("""COMPUTED_VALUE"""),-0.842435581739421)</f>
        <v>-0.84243558173942101</v>
      </c>
      <c r="IF31" s="3">
        <f ca="1">IFERROR(__xludf.DUMMYFUNCTION("""COMPUTED_VALUE"""),-0.847231867265447)</f>
        <v>-0.84723186726544697</v>
      </c>
      <c r="IG31" s="3">
        <f ca="1">IFERROR(__xludf.DUMMYFUNCTION("""COMPUTED_VALUE"""),-0.880917740932652)</f>
        <v>-0.88091774093265196</v>
      </c>
      <c r="IH31" s="3">
        <f ca="1">IFERROR(__xludf.DUMMYFUNCTION("""COMPUTED_VALUE"""),-0.792386803609857)</f>
        <v>-0.79238680360985703</v>
      </c>
      <c r="II31" s="3">
        <f ca="1">IFERROR(__xludf.DUMMYFUNCTION("""COMPUTED_VALUE"""),-0.850252410407587)</f>
        <v>-0.85025241040758703</v>
      </c>
      <c r="IJ31" s="3">
        <f ca="1">IFERROR(__xludf.DUMMYFUNCTION("""COMPUTED_VALUE"""),-0.913156913210636)</f>
        <v>-0.91315691321063597</v>
      </c>
      <c r="IK31" s="3">
        <f ca="1">IFERROR(__xludf.DUMMYFUNCTION("""COMPUTED_VALUE"""),-0.888263432216861)</f>
        <v>-0.88826343221686099</v>
      </c>
      <c r="IL31" s="3">
        <f ca="1">IFERROR(__xludf.DUMMYFUNCTION("""COMPUTED_VALUE"""),-0.86050260943455)</f>
        <v>-0.86050260943455004</v>
      </c>
      <c r="IM31" s="3">
        <f ca="1">IFERROR(__xludf.DUMMYFUNCTION("""COMPUTED_VALUE"""),-0.840277626726954)</f>
        <v>-0.84027762672695405</v>
      </c>
      <c r="IN31" s="3">
        <f ca="1">IFERROR(__xludf.DUMMYFUNCTION("""COMPUTED_VALUE"""),-0.817137404327527)</f>
        <v>-0.81713740432752702</v>
      </c>
      <c r="IO31" s="3">
        <f ca="1">IFERROR(__xludf.DUMMYFUNCTION("""COMPUTED_VALUE"""),-0.668541320376618)</f>
        <v>-0.66854132037661795</v>
      </c>
      <c r="IP31" s="3">
        <f ca="1">IFERROR(__xludf.DUMMYFUNCTION("""COMPUTED_VALUE"""),-0.798887444621077)</f>
        <v>-0.79888744462107697</v>
      </c>
      <c r="IQ31" s="3">
        <f ca="1">IFERROR(__xludf.DUMMYFUNCTION("""COMPUTED_VALUE"""),-0.816392438625555)</f>
        <v>-0.81639243862555499</v>
      </c>
      <c r="IR31" s="3">
        <f ca="1">IFERROR(__xludf.DUMMYFUNCTION("""COMPUTED_VALUE"""),-0.857336732023135)</f>
        <v>-0.85733673202313498</v>
      </c>
      <c r="IS31" s="3">
        <f ca="1">IFERROR(__xludf.DUMMYFUNCTION("""COMPUTED_VALUE"""),-0.830821433724456)</f>
        <v>-0.83082143372445605</v>
      </c>
      <c r="IT31" s="3">
        <f ca="1">IFERROR(__xludf.DUMMYFUNCTION("""COMPUTED_VALUE"""),-0.826089010129738)</f>
        <v>-0.82608901012973801</v>
      </c>
      <c r="IU31" s="3">
        <f ca="1">IFERROR(__xludf.DUMMYFUNCTION("""COMPUTED_VALUE"""),-0.816601013746417)</f>
        <v>-0.81660101374641703</v>
      </c>
      <c r="IV31" s="3">
        <f ca="1">IFERROR(__xludf.DUMMYFUNCTION("""COMPUTED_VALUE"""),-0.685593624835904)</f>
        <v>-0.68559362483590403</v>
      </c>
      <c r="IW31" s="3">
        <f ca="1">IFERROR(__xludf.DUMMYFUNCTION("""COMPUTED_VALUE"""),-0.75415657855661)</f>
        <v>-0.75415657855661</v>
      </c>
      <c r="IX31" s="3">
        <f ca="1">IFERROR(__xludf.DUMMYFUNCTION("""COMPUTED_VALUE"""),-0.840109178879461)</f>
        <v>-0.84010917887946102</v>
      </c>
      <c r="IY31" s="3">
        <f ca="1">IFERROR(__xludf.DUMMYFUNCTION("""COMPUTED_VALUE"""),-0.822955627667537)</f>
        <v>-0.82295562766753705</v>
      </c>
      <c r="IZ31" s="3">
        <f ca="1">IFERROR(__xludf.DUMMYFUNCTION("""COMPUTED_VALUE"""),-0.855502866891073)</f>
        <v>-0.85550286689107302</v>
      </c>
      <c r="JA31" s="3">
        <f ca="1">IFERROR(__xludf.DUMMYFUNCTION("""COMPUTED_VALUE"""),-0.839953871469369)</f>
        <v>-0.83995387146936895</v>
      </c>
      <c r="JB31" s="3">
        <f ca="1">IFERROR(__xludf.DUMMYFUNCTION("""COMPUTED_VALUE"""),-0.846805462258164)</f>
        <v>-0.846805462258164</v>
      </c>
      <c r="JC31" s="3">
        <f ca="1">IFERROR(__xludf.DUMMYFUNCTION("""COMPUTED_VALUE"""),-0.781490828411238)</f>
        <v>-0.78149082841123796</v>
      </c>
      <c r="JD31" s="3">
        <f ca="1">IFERROR(__xludf.DUMMYFUNCTION("""COMPUTED_VALUE"""),-0.761885476231993)</f>
        <v>-0.76188547623199299</v>
      </c>
      <c r="JE31" s="3">
        <f ca="1">IFERROR(__xludf.DUMMYFUNCTION("""COMPUTED_VALUE"""),-0.800074829486139)</f>
        <v>-0.80007482948613895</v>
      </c>
      <c r="JF31" s="3">
        <f ca="1">IFERROR(__xludf.DUMMYFUNCTION("""COMPUTED_VALUE"""),-0.808937014599695)</f>
        <v>-0.80893701459969503</v>
      </c>
      <c r="JG31" s="3">
        <f ca="1">IFERROR(__xludf.DUMMYFUNCTION("""COMPUTED_VALUE"""),-0.821546380029878)</f>
        <v>-0.82154638002987801</v>
      </c>
      <c r="JH31" s="3">
        <f ca="1">IFERROR(__xludf.DUMMYFUNCTION("""COMPUTED_VALUE"""),-0.848597914190564)</f>
        <v>-0.84859791419056396</v>
      </c>
      <c r="JI31" s="3">
        <f ca="1">IFERROR(__xludf.DUMMYFUNCTION("""COMPUTED_VALUE"""),-0.860247511405008)</f>
        <v>-0.86024751140500799</v>
      </c>
      <c r="JJ31" s="3">
        <f ca="1">IFERROR(__xludf.DUMMYFUNCTION("""COMPUTED_VALUE"""),-0.711492132531964)</f>
        <v>-0.71149213253196397</v>
      </c>
      <c r="JK31" s="3">
        <f ca="1">IFERROR(__xludf.DUMMYFUNCTION("""COMPUTED_VALUE"""),-0.806362337105046)</f>
        <v>-0.80636233710504601</v>
      </c>
      <c r="JL31" s="3">
        <f ca="1">IFERROR(__xludf.DUMMYFUNCTION("""COMPUTED_VALUE"""),-0.850988602637538)</f>
        <v>-0.85098860263753795</v>
      </c>
      <c r="JM31" s="3">
        <f ca="1">IFERROR(__xludf.DUMMYFUNCTION("""COMPUTED_VALUE"""),-0.80035698213503)</f>
        <v>-0.80035698213503004</v>
      </c>
      <c r="JN31" s="3">
        <f ca="1">IFERROR(__xludf.DUMMYFUNCTION("""COMPUTED_VALUE"""),-0.841688764368108)</f>
        <v>-0.84168876436810802</v>
      </c>
      <c r="JO31" s="3">
        <f ca="1">IFERROR(__xludf.DUMMYFUNCTION("""COMPUTED_VALUE"""),-0.854135772407955)</f>
        <v>-0.85413577240795502</v>
      </c>
      <c r="JP31" s="3">
        <f ca="1">IFERROR(__xludf.DUMMYFUNCTION("""COMPUTED_VALUE"""),-0.836853757198377)</f>
        <v>-0.83685375719837696</v>
      </c>
      <c r="JQ31" s="3">
        <f ca="1">IFERROR(__xludf.DUMMYFUNCTION("""COMPUTED_VALUE"""),-0.789562223949006)</f>
        <v>-0.78956222394900599</v>
      </c>
      <c r="JR31" s="3">
        <f ca="1">IFERROR(__xludf.DUMMYFUNCTION("""COMPUTED_VALUE"""),-0.758267768730088)</f>
        <v>-0.75826776873008805</v>
      </c>
      <c r="JS31" s="3">
        <f ca="1">IFERROR(__xludf.DUMMYFUNCTION("""COMPUTED_VALUE"""),-0.832451486324228)</f>
        <v>-0.83245148632422805</v>
      </c>
      <c r="JT31" s="3">
        <f ca="1">IFERROR(__xludf.DUMMYFUNCTION("""COMPUTED_VALUE"""),-0.840924192285696)</f>
        <v>-0.84092419228569604</v>
      </c>
      <c r="JU31" s="3">
        <f ca="1">IFERROR(__xludf.DUMMYFUNCTION("""COMPUTED_VALUE"""),-0.856647382935903)</f>
        <v>-0.85664738293590303</v>
      </c>
      <c r="JV31" s="3">
        <f ca="1">IFERROR(__xludf.DUMMYFUNCTION("""COMPUTED_VALUE"""),-0.876433625241507)</f>
        <v>-0.87643362524150703</v>
      </c>
      <c r="JW31" s="3">
        <f ca="1">IFERROR(__xludf.DUMMYFUNCTION("""COMPUTED_VALUE"""),-0.859525270230363)</f>
        <v>-0.85952527023036296</v>
      </c>
      <c r="JX31" s="3">
        <f ca="1">IFERROR(__xludf.DUMMYFUNCTION("""COMPUTED_VALUE"""),-0.773521534190923)</f>
        <v>-0.77352153419092295</v>
      </c>
      <c r="JY31" s="3">
        <f ca="1">IFERROR(__xludf.DUMMYFUNCTION("""COMPUTED_VALUE"""),-0.807585659054017)</f>
        <v>-0.80758565905401702</v>
      </c>
      <c r="JZ31" s="3">
        <f ca="1">IFERROR(__xludf.DUMMYFUNCTION("""COMPUTED_VALUE"""),-0.859705763462275)</f>
        <v>-0.85970576346227501</v>
      </c>
      <c r="KA31" s="3">
        <f ca="1">IFERROR(__xludf.DUMMYFUNCTION("""COMPUTED_VALUE"""),-0.800932688636022)</f>
        <v>-0.80093268863602196</v>
      </c>
      <c r="KB31" s="3">
        <f ca="1">IFERROR(__xludf.DUMMYFUNCTION("""COMPUTED_VALUE"""),-0.823726760880138)</f>
        <v>-0.82372676088013796</v>
      </c>
      <c r="KC31" s="3">
        <f ca="1">IFERROR(__xludf.DUMMYFUNCTION("""COMPUTED_VALUE"""),-0.815842085419724)</f>
        <v>-0.81584208541972403</v>
      </c>
      <c r="KD31" s="3">
        <f ca="1">IFERROR(__xludf.DUMMYFUNCTION("""COMPUTED_VALUE"""),-0.821899648010362)</f>
        <v>-0.82189964801036197</v>
      </c>
      <c r="KE31" s="3">
        <f ca="1">IFERROR(__xludf.DUMMYFUNCTION("""COMPUTED_VALUE"""),-0.761649753607429)</f>
        <v>-0.76164975360742904</v>
      </c>
      <c r="KF31" s="3">
        <f ca="1">IFERROR(__xludf.DUMMYFUNCTION("""COMPUTED_VALUE"""),-0.745480345082851)</f>
        <v>-0.74548034508285099</v>
      </c>
      <c r="KG31" s="3">
        <f ca="1">IFERROR(__xludf.DUMMYFUNCTION("""COMPUTED_VALUE"""),-0.84255272163014)</f>
        <v>-0.84255272163013994</v>
      </c>
      <c r="KH31" s="3">
        <f ca="1">IFERROR(__xludf.DUMMYFUNCTION("""COMPUTED_VALUE"""),-0.801738380985673)</f>
        <v>-0.80173838098567296</v>
      </c>
      <c r="KI31" s="3">
        <f ca="1">IFERROR(__xludf.DUMMYFUNCTION("""COMPUTED_VALUE"""),-0.779584214414415)</f>
        <v>-0.77958421441441506</v>
      </c>
      <c r="KJ31" s="3">
        <f ca="1">IFERROR(__xludf.DUMMYFUNCTION("""COMPUTED_VALUE"""),-0.838479962873953)</f>
        <v>-0.83847996287395299</v>
      </c>
      <c r="KK31" s="3">
        <f ca="1">IFERROR(__xludf.DUMMYFUNCTION("""COMPUTED_VALUE"""),-0.822308425028467)</f>
        <v>-0.82230842502846702</v>
      </c>
      <c r="KL31" s="3">
        <f ca="1">IFERROR(__xludf.DUMMYFUNCTION("""COMPUTED_VALUE"""),-0.764910913721045)</f>
        <v>-0.76491091372104503</v>
      </c>
      <c r="KM31" s="3">
        <f ca="1">IFERROR(__xludf.DUMMYFUNCTION("""COMPUTED_VALUE"""),-0.768864918663579)</f>
        <v>-0.76886491866357898</v>
      </c>
      <c r="KN31" s="3">
        <f ca="1">IFERROR(__xludf.DUMMYFUNCTION("""COMPUTED_VALUE"""),-0.856578234966232)</f>
        <v>-0.85657823496623198</v>
      </c>
      <c r="KO31" s="3">
        <f ca="1">IFERROR(__xludf.DUMMYFUNCTION("""COMPUTED_VALUE"""),-0.85249684314162)</f>
        <v>-0.85249684314162</v>
      </c>
      <c r="KP31" s="3">
        <f ca="1">IFERROR(__xludf.DUMMYFUNCTION("""COMPUTED_VALUE"""),-0.837974270084518)</f>
        <v>-0.83797427008451797</v>
      </c>
      <c r="KQ31" s="3">
        <f ca="1">IFERROR(__xludf.DUMMYFUNCTION("""COMPUTED_VALUE"""),-0.811040313710521)</f>
        <v>-0.81104031371052099</v>
      </c>
      <c r="KR31" s="3">
        <f ca="1">IFERROR(__xludf.DUMMYFUNCTION("""COMPUTED_VALUE"""),-0.840392954055817)</f>
        <v>-0.84039295405581704</v>
      </c>
      <c r="KS31" s="3">
        <f ca="1">IFERROR(__xludf.DUMMYFUNCTION("""COMPUTED_VALUE"""),-0.777309168322769)</f>
        <v>-0.77730916832276897</v>
      </c>
      <c r="KT31" s="3">
        <f ca="1">IFERROR(__xludf.DUMMYFUNCTION("""COMPUTED_VALUE"""),-0.837961059504756)</f>
        <v>-0.83796105950475597</v>
      </c>
      <c r="KU31" s="3">
        <f ca="1">IFERROR(__xludf.DUMMYFUNCTION("""COMPUTED_VALUE"""),-0.881590125909097)</f>
        <v>-0.88159012590909702</v>
      </c>
      <c r="KV31" s="3">
        <f ca="1">IFERROR(__xludf.DUMMYFUNCTION("""COMPUTED_VALUE"""),-0.880753729860034)</f>
        <v>-0.88075372986003397</v>
      </c>
      <c r="KW31" s="3">
        <f ca="1">IFERROR(__xludf.DUMMYFUNCTION("""COMPUTED_VALUE"""),-0.88477287811542)</f>
        <v>-0.88477287811542005</v>
      </c>
      <c r="KX31" s="3">
        <f ca="1">IFERROR(__xludf.DUMMYFUNCTION("""COMPUTED_VALUE"""),-0.877943581837178)</f>
        <v>-0.87794358183717802</v>
      </c>
      <c r="KY31" s="3">
        <f ca="1">IFERROR(__xludf.DUMMYFUNCTION("""COMPUTED_VALUE"""),-0.86957315020165)</f>
        <v>-0.86957315020165005</v>
      </c>
      <c r="KZ31" s="3">
        <f ca="1">IFERROR(__xludf.DUMMYFUNCTION("""COMPUTED_VALUE"""),-0.827467725631564)</f>
        <v>-0.82746772563156401</v>
      </c>
      <c r="LA31" s="3">
        <f ca="1">IFERROR(__xludf.DUMMYFUNCTION("""COMPUTED_VALUE"""),-0.846048807947915)</f>
        <v>-0.84604880794791504</v>
      </c>
      <c r="LB31" s="3">
        <f ca="1">IFERROR(__xludf.DUMMYFUNCTION("""COMPUTED_VALUE"""),-0.885343143888106)</f>
        <v>-0.88534314388810598</v>
      </c>
      <c r="LC31" s="3">
        <f ca="1">IFERROR(__xludf.DUMMYFUNCTION("""COMPUTED_VALUE"""),-0.886197151569917)</f>
        <v>-0.88619715156991696</v>
      </c>
      <c r="LD31" s="3">
        <f ca="1">IFERROR(__xludf.DUMMYFUNCTION("""COMPUTED_VALUE"""),-0.87396383676385)</f>
        <v>-0.87396383676385003</v>
      </c>
      <c r="LE31" s="3">
        <f ca="1">IFERROR(__xludf.DUMMYFUNCTION("""COMPUTED_VALUE"""),-0.900865164905327)</f>
        <v>-0.90086516490532698</v>
      </c>
      <c r="LF31" s="3">
        <f ca="1">IFERROR(__xludf.DUMMYFUNCTION("""COMPUTED_VALUE"""),-0.855156948015424)</f>
        <v>-0.85515694801542397</v>
      </c>
      <c r="LG31" s="3">
        <f ca="1">IFERROR(__xludf.DUMMYFUNCTION("""COMPUTED_VALUE"""),-0.871421350434147)</f>
        <v>-0.87142135043414704</v>
      </c>
      <c r="LH31" s="3">
        <f ca="1">IFERROR(__xludf.DUMMYFUNCTION("""COMPUTED_VALUE"""),-0.894729703335479)</f>
        <v>-0.89472970333547897</v>
      </c>
      <c r="LI31" s="3">
        <f ca="1">IFERROR(__xludf.DUMMYFUNCTION("""COMPUTED_VALUE"""),-0.889481427649778)</f>
        <v>-0.889481427649778</v>
      </c>
      <c r="LJ31" s="3">
        <f ca="1">IFERROR(__xludf.DUMMYFUNCTION("""COMPUTED_VALUE"""),-0.897664722882947)</f>
        <v>-0.89766472288294696</v>
      </c>
      <c r="LK31" s="3">
        <f ca="1">IFERROR(__xludf.DUMMYFUNCTION("""COMPUTED_VALUE"""),-0.897064556484158)</f>
        <v>-0.89706455648415795</v>
      </c>
      <c r="LL31" s="3">
        <f ca="1">IFERROR(__xludf.DUMMYFUNCTION("""COMPUTED_VALUE"""),-0.915303179077118)</f>
        <v>-0.915303179077118</v>
      </c>
      <c r="LM31" s="3">
        <f ca="1">IFERROR(__xludf.DUMMYFUNCTION("""COMPUTED_VALUE"""),-0.89595674957782)</f>
        <v>-0.89595674957782001</v>
      </c>
      <c r="LN31" s="3">
        <f ca="1">IFERROR(__xludf.DUMMYFUNCTION("""COMPUTED_VALUE"""),-0.902089112695442)</f>
        <v>-0.90208911269544201</v>
      </c>
      <c r="LO31" s="3">
        <f ca="1">IFERROR(__xludf.DUMMYFUNCTION("""COMPUTED_VALUE"""),-0.83853522813017)</f>
        <v>-0.83853522813017001</v>
      </c>
      <c r="LP31" s="3">
        <f ca="1">IFERROR(__xludf.DUMMYFUNCTION("""COMPUTED_VALUE"""),-0.896504176902478)</f>
        <v>-0.89650417690247797</v>
      </c>
      <c r="LQ31" s="3">
        <f ca="1">IFERROR(__xludf.DUMMYFUNCTION("""COMPUTED_VALUE"""),-0.921805512433856)</f>
        <v>-0.921805512433856</v>
      </c>
      <c r="LR31" s="3">
        <f ca="1">IFERROR(__xludf.DUMMYFUNCTION("""COMPUTED_VALUE"""),-0.900911677533431)</f>
        <v>-0.90091167753343104</v>
      </c>
      <c r="LS31" s="3">
        <f ca="1">IFERROR(__xludf.DUMMYFUNCTION("""COMPUTED_VALUE"""),-0.908740472727538)</f>
        <v>-0.908740472727538</v>
      </c>
      <c r="LT31" s="3">
        <f ca="1">IFERROR(__xludf.DUMMYFUNCTION("""COMPUTED_VALUE"""),-0.925327585219346)</f>
        <v>-0.92532758521934599</v>
      </c>
      <c r="LU31" s="3">
        <f ca="1">IFERROR(__xludf.DUMMYFUNCTION("""COMPUTED_VALUE"""),-0.887059053230208)</f>
        <v>-0.88705905323020795</v>
      </c>
      <c r="LV31" s="3">
        <f ca="1">IFERROR(__xludf.DUMMYFUNCTION("""COMPUTED_VALUE"""),-0.88155673866577)</f>
        <v>-0.88155673866577</v>
      </c>
      <c r="LW31" s="3">
        <f ca="1">IFERROR(__xludf.DUMMYFUNCTION("""COMPUTED_VALUE"""),-0.939766650451316)</f>
        <v>-0.93976665045131602</v>
      </c>
      <c r="LX31" s="3">
        <f ca="1">IFERROR(__xludf.DUMMYFUNCTION("""COMPUTED_VALUE"""),-0.943630720979403)</f>
        <v>-0.94363072097940304</v>
      </c>
      <c r="LY31" s="3">
        <f ca="1">IFERROR(__xludf.DUMMYFUNCTION("""COMPUTED_VALUE"""),-0.951823501481949)</f>
        <v>-0.95182350148194905</v>
      </c>
      <c r="LZ31" s="3">
        <f ca="1">IFERROR(__xludf.DUMMYFUNCTION("""COMPUTED_VALUE"""),-0.938795336059423)</f>
        <v>-0.938795336059423</v>
      </c>
      <c r="MA31" s="3">
        <f ca="1">IFERROR(__xludf.DUMMYFUNCTION("""COMPUTED_VALUE"""),-0.958480897370298)</f>
        <v>-0.95848089737029796</v>
      </c>
      <c r="MB31" s="3">
        <f ca="1">IFERROR(__xludf.DUMMYFUNCTION("""COMPUTED_VALUE"""),-0.922919924528072)</f>
        <v>-0.92291992452807203</v>
      </c>
      <c r="MC31" s="3">
        <f ca="1">IFERROR(__xludf.DUMMYFUNCTION("""COMPUTED_VALUE"""),-0.932376582416439)</f>
        <v>-0.93237658241643895</v>
      </c>
      <c r="MD31" s="3">
        <f ca="1">IFERROR(__xludf.DUMMYFUNCTION("""COMPUTED_VALUE"""),-0.949747598764286)</f>
        <v>-0.94974759876428605</v>
      </c>
      <c r="ME31" s="3">
        <f ca="1">IFERROR(__xludf.DUMMYFUNCTION("""COMPUTED_VALUE"""),-0.962956889178614)</f>
        <v>-0.962956889178614</v>
      </c>
      <c r="MF31" s="3">
        <f ca="1">IFERROR(__xludf.DUMMYFUNCTION("""COMPUTED_VALUE"""),-0.97165444056753)</f>
        <v>-0.97165444056753003</v>
      </c>
      <c r="MG31" s="3">
        <f ca="1">IFERROR(__xludf.DUMMYFUNCTION("""COMPUTED_VALUE"""),-0.969014484514598)</f>
        <v>-0.96901448451459804</v>
      </c>
      <c r="MH31" s="3">
        <f ca="1">IFERROR(__xludf.DUMMYFUNCTION("""COMPUTED_VALUE"""),-0.970690743755578)</f>
        <v>-0.97069074375557796</v>
      </c>
      <c r="MI31" s="3">
        <f ca="1">IFERROR(__xludf.DUMMYFUNCTION("""COMPUTED_VALUE"""),-0.964769323027942)</f>
        <v>-0.96476932302794205</v>
      </c>
      <c r="MJ31" s="3">
        <f ca="1">IFERROR(__xludf.DUMMYFUNCTION("""COMPUTED_VALUE"""),-0.973876575451871)</f>
        <v>-0.97387657545187101</v>
      </c>
      <c r="MK31" s="3">
        <f ca="1">IFERROR(__xludf.DUMMYFUNCTION("""COMPUTED_VALUE"""),-0.969003162727702)</f>
        <v>-0.96900316272770204</v>
      </c>
      <c r="ML31" s="3">
        <f ca="1">IFERROR(__xludf.DUMMYFUNCTION("""COMPUTED_VALUE"""),-0.980279093814826)</f>
        <v>-0.98027909381482603</v>
      </c>
      <c r="MM31" s="3">
        <f ca="1">IFERROR(__xludf.DUMMYFUNCTION("""COMPUTED_VALUE"""),-0.977578325318577)</f>
        <v>-0.97757832531857702</v>
      </c>
      <c r="MN31" s="3">
        <f ca="1">IFERROR(__xludf.DUMMYFUNCTION("""COMPUTED_VALUE"""),-0.9762830083791)</f>
        <v>-0.97628300837909998</v>
      </c>
      <c r="MO31" s="3">
        <f ca="1">IFERROR(__xludf.DUMMYFUNCTION("""COMPUTED_VALUE"""),-0.981961181407306)</f>
        <v>-0.98196118140730604</v>
      </c>
      <c r="MP31" s="3">
        <f ca="1">IFERROR(__xludf.DUMMYFUNCTION("""COMPUTED_VALUE"""),-0.958285502964538)</f>
        <v>-0.95828550296453796</v>
      </c>
      <c r="MQ31" s="3">
        <f ca="1">IFERROR(__xludf.DUMMYFUNCTION("""COMPUTED_VALUE"""),-0.973849391451586)</f>
        <v>-0.973849391451586</v>
      </c>
      <c r="MR31" s="3">
        <f ca="1">IFERROR(__xludf.DUMMYFUNCTION("""COMPUTED_VALUE"""),-0.975325414639282)</f>
        <v>-0.97532541463928202</v>
      </c>
      <c r="MS31" s="3">
        <f ca="1">IFERROR(__xludf.DUMMYFUNCTION("""COMPUTED_VALUE"""),-0.976043828686708)</f>
        <v>-0.97604382868670803</v>
      </c>
      <c r="MT31" s="3">
        <f ca="1">IFERROR(__xludf.DUMMYFUNCTION("""COMPUTED_VALUE"""),-0.976008769218431)</f>
        <v>-0.97600876921843105</v>
      </c>
      <c r="MU31" s="3">
        <f ca="1">IFERROR(__xludf.DUMMYFUNCTION("""COMPUTED_VALUE"""),-0.973853514189822)</f>
        <v>-0.97385351418982202</v>
      </c>
      <c r="MV31" s="3">
        <f ca="1">IFERROR(__xludf.DUMMYFUNCTION("""COMPUTED_VALUE"""),-0.961732009246757)</f>
        <v>-0.96173200924675695</v>
      </c>
      <c r="MW31" s="3">
        <f ca="1">IFERROR(__xludf.DUMMYFUNCTION("""COMPUTED_VALUE"""),-0.955354295358556)</f>
        <v>-0.95535429535855598</v>
      </c>
      <c r="MX31" s="3">
        <f ca="1">IFERROR(__xludf.DUMMYFUNCTION("""COMPUTED_VALUE"""),-0.960619639597708)</f>
        <v>-0.96061963959770802</v>
      </c>
      <c r="MY31" s="3">
        <f ca="1">IFERROR(__xludf.DUMMYFUNCTION("""COMPUTED_VALUE"""),-0.977445507590675)</f>
        <v>-0.97744550759067494</v>
      </c>
      <c r="MZ31" s="3">
        <f ca="1">IFERROR(__xludf.DUMMYFUNCTION("""COMPUTED_VALUE"""),-0.983609602048238)</f>
        <v>-0.983609602048238</v>
      </c>
      <c r="NA31" s="3">
        <f ca="1">IFERROR(__xludf.DUMMYFUNCTION("""COMPUTED_VALUE"""),-0.980509476267795)</f>
        <v>-0.98050947626779505</v>
      </c>
      <c r="NB31" s="3">
        <f ca="1">IFERROR(__xludf.DUMMYFUNCTION("""COMPUTED_VALUE"""),-0.972823412895817)</f>
        <v>-0.97282341289581697</v>
      </c>
      <c r="NC31" s="3">
        <f ca="1">IFERROR(__xludf.DUMMYFUNCTION("""COMPUTED_VALUE"""),-0.968626548936474)</f>
        <v>-0.96862654893647404</v>
      </c>
      <c r="ND31" s="3">
        <f ca="1">IFERROR(__xludf.DUMMYFUNCTION("""COMPUTED_VALUE"""),-0.961871284969362)</f>
        <v>-0.96187128496936203</v>
      </c>
      <c r="NE31" s="3">
        <f ca="1">IFERROR(__xludf.DUMMYFUNCTION("""COMPUTED_VALUE"""),-0.945503378195106)</f>
        <v>-0.94550337819510599</v>
      </c>
      <c r="NF31" s="3">
        <f ca="1">IFERROR(__xludf.DUMMYFUNCTION("""COMPUTED_VALUE"""),-0.977597978930746)</f>
        <v>-0.97759797893074596</v>
      </c>
      <c r="NG31" s="3">
        <f ca="1">IFERROR(__xludf.DUMMYFUNCTION("""COMPUTED_VALUE"""),-0.980794699523812)</f>
        <v>-0.98079469952381204</v>
      </c>
      <c r="NH31" s="3">
        <f ca="1">IFERROR(__xludf.DUMMYFUNCTION("""COMPUTED_VALUE"""),-0.977526898629258)</f>
        <v>-0.97752689862925801</v>
      </c>
      <c r="NI31" s="3">
        <f ca="1">IFERROR(__xludf.DUMMYFUNCTION("""COMPUTED_VALUE"""),-0.96998184071889)</f>
        <v>-0.96998184071889004</v>
      </c>
      <c r="NJ31" s="3">
        <f ca="1">IFERROR(__xludf.DUMMYFUNCTION("""COMPUTED_VALUE"""),-0.961742771099427)</f>
        <v>-0.96174277109942696</v>
      </c>
      <c r="NK31" s="3">
        <f ca="1">IFERROR(__xludf.DUMMYFUNCTION("""COMPUTED_VALUE"""),-0.924953147032426)</f>
        <v>-0.92495314703242604</v>
      </c>
      <c r="NL31" s="3">
        <f ca="1">IFERROR(__xludf.DUMMYFUNCTION("""COMPUTED_VALUE"""),-0.953104681263974)</f>
        <v>-0.95310468126397396</v>
      </c>
      <c r="NM31" s="3">
        <f ca="1">IFERROR(__xludf.DUMMYFUNCTION("""COMPUTED_VALUE"""),-0.972645922831515)</f>
        <v>-0.97264592283151496</v>
      </c>
      <c r="NN31" s="3">
        <f ca="1">IFERROR(__xludf.DUMMYFUNCTION("""COMPUTED_VALUE"""),-0.971911007370829)</f>
        <v>-0.97191100737082903</v>
      </c>
      <c r="NO31" s="3">
        <f ca="1">IFERROR(__xludf.DUMMYFUNCTION("""COMPUTED_VALUE"""),-0.969370274329074)</f>
        <v>-0.96937027432907397</v>
      </c>
      <c r="NP31" s="3">
        <f ca="1">IFERROR(__xludf.DUMMYFUNCTION("""COMPUTED_VALUE"""),-0.962321652300889)</f>
        <v>-0.96232165230088895</v>
      </c>
      <c r="NQ31" s="3">
        <f ca="1">IFERROR(__xludf.DUMMYFUNCTION("""COMPUTED_VALUE"""),-0.9602572195202)</f>
        <v>-0.96025721952020004</v>
      </c>
      <c r="NR31" s="3">
        <f ca="1">IFERROR(__xludf.DUMMYFUNCTION("""COMPUTED_VALUE"""),-0.940103645318636)</f>
        <v>-0.94010364531863599</v>
      </c>
      <c r="NS31" s="3">
        <f ca="1">IFERROR(__xludf.DUMMYFUNCTION("""COMPUTED_VALUE"""),-0.925423742006665)</f>
        <v>-0.925423742006665</v>
      </c>
      <c r="NT31" s="3">
        <f ca="1">IFERROR(__xludf.DUMMYFUNCTION("""COMPUTED_VALUE"""),-0.97333489498169)</f>
        <v>-0.97333489498169001</v>
      </c>
      <c r="NU31" s="3">
        <f ca="1">IFERROR(__xludf.DUMMYFUNCTION("""COMPUTED_VALUE"""),-0.957300416271434)</f>
        <v>-0.95730041627143403</v>
      </c>
      <c r="NV31" s="3">
        <f ca="1">IFERROR(__xludf.DUMMYFUNCTION("""COMPUTED_VALUE"""),-0.95284834664707)</f>
        <v>-0.95284834664706997</v>
      </c>
      <c r="NW31" s="3">
        <f ca="1">IFERROR(__xludf.DUMMYFUNCTION("""COMPUTED_VALUE"""),-0.944412107499122)</f>
        <v>-0.94441210749912197</v>
      </c>
      <c r="NX31" s="3">
        <f ca="1">IFERROR(__xludf.DUMMYFUNCTION("""COMPUTED_VALUE"""),-0.94704940831729)</f>
        <v>-0.94704940831729001</v>
      </c>
      <c r="NY31" s="3">
        <f ca="1">IFERROR(__xludf.DUMMYFUNCTION("""COMPUTED_VALUE"""),-0.897556276385831)</f>
        <v>-0.89755627638583102</v>
      </c>
      <c r="NZ31" s="3">
        <f ca="1">IFERROR(__xludf.DUMMYFUNCTION("""COMPUTED_VALUE"""),-0.873190559786339)</f>
        <v>-0.87319055978633897</v>
      </c>
      <c r="OA31" s="3">
        <f ca="1">IFERROR(__xludf.DUMMYFUNCTION("""COMPUTED_VALUE"""),-0.906625798549586)</f>
        <v>-0.90662579854958603</v>
      </c>
      <c r="OB31" s="3">
        <f ca="1">IFERROR(__xludf.DUMMYFUNCTION("""COMPUTED_VALUE"""),-0.912779980513703)</f>
        <v>-0.91277998051370302</v>
      </c>
      <c r="OC31" s="3">
        <f ca="1">IFERROR(__xludf.DUMMYFUNCTION("""COMPUTED_VALUE"""),-0.837818163668484)</f>
        <v>-0.83781816366848405</v>
      </c>
      <c r="OD31" s="3">
        <f ca="1">IFERROR(__xludf.DUMMYFUNCTION("""COMPUTED_VALUE"""),-0.827481466386468)</f>
        <v>-0.82748146638646802</v>
      </c>
      <c r="OE31" s="3">
        <f ca="1">IFERROR(__xludf.DUMMYFUNCTION("""COMPUTED_VALUE"""),-0.730471750013039)</f>
        <v>-0.73047175001303899</v>
      </c>
      <c r="OF31" s="3">
        <f ca="1">IFERROR(__xludf.DUMMYFUNCTION("""COMPUTED_VALUE"""),-0.453625064936526)</f>
        <v>-0.45362506493652599</v>
      </c>
      <c r="OG31" s="3">
        <f ca="1">IFERROR(__xludf.DUMMYFUNCTION("""COMPUTED_VALUE"""),-0.447566025767896)</f>
        <v>-0.447566025767896</v>
      </c>
      <c r="OH31" s="3">
        <f ca="1">IFERROR(__xludf.DUMMYFUNCTION("""COMPUTED_VALUE"""),-0.646669795129299)</f>
        <v>-0.64666979512929901</v>
      </c>
      <c r="OI31" s="3">
        <f ca="1">IFERROR(__xludf.DUMMYFUNCTION("""COMPUTED_VALUE"""),-0.370648580737483)</f>
        <v>-0.37064858073748302</v>
      </c>
      <c r="OJ31" s="3">
        <f ca="1">IFERROR(__xludf.DUMMYFUNCTION("""COMPUTED_VALUE"""),-0.157454805424809)</f>
        <v>-0.157454805424809</v>
      </c>
      <c r="OK31" s="3">
        <f ca="1">IFERROR(__xludf.DUMMYFUNCTION("""COMPUTED_VALUE"""),-0.231735686376911)</f>
        <v>-0.231735686376911</v>
      </c>
      <c r="OL31" s="3">
        <f ca="1">IFERROR(__xludf.DUMMYFUNCTION("""COMPUTED_VALUE"""),-0.27169330731005)</f>
        <v>-0.27169330731004998</v>
      </c>
      <c r="OM31" s="3">
        <f ca="1">IFERROR(__xludf.DUMMYFUNCTION("""COMPUTED_VALUE"""),-0.159251174931948)</f>
        <v>-0.15925117493194799</v>
      </c>
      <c r="ON31" s="3">
        <f ca="1">IFERROR(__xludf.DUMMYFUNCTION("""COMPUTED_VALUE"""),-0.100575665282156)</f>
        <v>-0.100575665282156</v>
      </c>
      <c r="OO31" s="3">
        <f ca="1">IFERROR(__xludf.DUMMYFUNCTION("""COMPUTED_VALUE"""),-0.144716045794033)</f>
        <v>-0.14471604579403299</v>
      </c>
      <c r="OP31" s="3">
        <f ca="1">IFERROR(__xludf.DUMMYFUNCTION("""COMPUTED_VALUE"""),-0.0801414411978238)</f>
        <v>-8.0141441197823807E-2</v>
      </c>
      <c r="OQ31" s="3">
        <f ca="1">IFERROR(__xludf.DUMMYFUNCTION("""COMPUTED_VALUE"""),0.177860429841831)</f>
        <v>0.17786042984183101</v>
      </c>
      <c r="OR31" s="3">
        <f ca="1">IFERROR(__xludf.DUMMYFUNCTION("""COMPUTED_VALUE"""),-0.0783299850259565)</f>
        <v>-7.8329985025956506E-2</v>
      </c>
      <c r="OS31" s="3">
        <f ca="1">IFERROR(__xludf.DUMMYFUNCTION("""COMPUTED_VALUE"""),-0.0711575777385568)</f>
        <v>-7.1157577738556799E-2</v>
      </c>
      <c r="OT31" s="3">
        <f ca="1">IFERROR(__xludf.DUMMYFUNCTION("""COMPUTED_VALUE"""),0.0230219480127089)</f>
        <v>2.30219480127089E-2</v>
      </c>
      <c r="OU31" s="3">
        <f ca="1">IFERROR(__xludf.DUMMYFUNCTION("""COMPUTED_VALUE"""),-0.0174247567325839)</f>
        <v>-1.7424756732583899E-2</v>
      </c>
      <c r="OV31" s="3">
        <f ca="1">IFERROR(__xludf.DUMMYFUNCTION("""COMPUTED_VALUE"""),-0.165817208019267)</f>
        <v>-0.165817208019267</v>
      </c>
      <c r="OW31" s="3">
        <f ca="1">IFERROR(__xludf.DUMMYFUNCTION("""COMPUTED_VALUE"""),-0.0947084141638767)</f>
        <v>-9.4708414163876695E-2</v>
      </c>
      <c r="OX31" s="3">
        <f ca="1">IFERROR(__xludf.DUMMYFUNCTION("""COMPUTED_VALUE"""),-0.05944682131964)</f>
        <v>-5.9446821319639999E-2</v>
      </c>
      <c r="OY31" s="3">
        <f ca="1">IFERROR(__xludf.DUMMYFUNCTION("""COMPUTED_VALUE"""),0.00380162447313003)</f>
        <v>3.8016244731300299E-3</v>
      </c>
      <c r="OZ31" s="3">
        <f ca="1">IFERROR(__xludf.DUMMYFUNCTION("""COMPUTED_VALUE"""),-0.0562093615329221)</f>
        <v>-5.6209361532922102E-2</v>
      </c>
      <c r="PA31" s="3">
        <f ca="1">IFERROR(__xludf.DUMMYFUNCTION("""COMPUTED_VALUE"""),-0.00846997197534016)</f>
        <v>-8.4699719753401608E-3</v>
      </c>
      <c r="PB31" s="3">
        <f ca="1">IFERROR(__xludf.DUMMYFUNCTION("""COMPUTED_VALUE"""),0.0252873336414549)</f>
        <v>2.5287333641454902E-2</v>
      </c>
      <c r="PC31" s="3">
        <f ca="1">IFERROR(__xludf.DUMMYFUNCTION("""COMPUTED_VALUE"""),-0.0112529241956568)</f>
        <v>-1.1252924195656801E-2</v>
      </c>
      <c r="PD31" s="3">
        <f ca="1">IFERROR(__xludf.DUMMYFUNCTION("""COMPUTED_VALUE"""),0.240144296162227)</f>
        <v>0.24014429616222699</v>
      </c>
      <c r="PE31" s="3">
        <f ca="1">IFERROR(__xludf.DUMMYFUNCTION("""COMPUTED_VALUE"""),0.227694701430418)</f>
        <v>0.22769470143041801</v>
      </c>
      <c r="PF31" s="3">
        <f ca="1">IFERROR(__xludf.DUMMYFUNCTION("""COMPUTED_VALUE"""),-0.0226748297968881)</f>
        <v>-2.2674829796888101E-2</v>
      </c>
      <c r="PG31" s="3">
        <f ca="1">IFERROR(__xludf.DUMMYFUNCTION("""COMPUTED_VALUE"""),-0.0481073623930782)</f>
        <v>-4.8107362393078203E-2</v>
      </c>
      <c r="PH31" s="3">
        <f ca="1">IFERROR(__xludf.DUMMYFUNCTION("""COMPUTED_VALUE"""),0.0407225659563421)</f>
        <v>4.0722565956342098E-2</v>
      </c>
      <c r="PI31" s="3">
        <f ca="1">IFERROR(__xludf.DUMMYFUNCTION("""COMPUTED_VALUE"""),0.0448699706515394)</f>
        <v>4.4869970651539401E-2</v>
      </c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</row>
    <row r="32" spans="1:477" ht="15.75" customHeight="1">
      <c r="A32" s="1" t="str">
        <f ca="1">IFERROR(__xludf.DUMMYFUNCTION("""COMPUTED_VALUE"""),"RTD")</f>
        <v>RTD</v>
      </c>
      <c r="B32" s="1" t="str">
        <f ca="1">IFERROR(__xludf.DUMMYFUNCTION("""COMPUTED_VALUE"""),"Denver")</f>
        <v>Denver</v>
      </c>
      <c r="C32" s="1" t="str">
        <f ca="1">IFERROR(__xludf.DUMMYFUNCTION("""COMPUTED_VALUE"""),"United States")</f>
        <v>United States</v>
      </c>
      <c r="D32" s="1" t="str">
        <f ca="1">IFERROR(__xludf.DUMMYFUNCTION("""COMPUTED_VALUE"""),"Colorado")</f>
        <v>Colorado</v>
      </c>
      <c r="E32" s="3">
        <f ca="1">IFERROR(__xludf.DUMMYFUNCTION("""COMPUTED_VALUE"""),-0.644651719722249)</f>
        <v>-0.64465171972224899</v>
      </c>
      <c r="F32" s="3">
        <f ca="1">IFERROR(__xludf.DUMMYFUNCTION("""COMPUTED_VALUE"""),-0.726722218045219)</f>
        <v>-0.72672221804521897</v>
      </c>
      <c r="G32" s="3">
        <f ca="1">IFERROR(__xludf.DUMMYFUNCTION("""COMPUTED_VALUE"""),-0.736522968147291)</f>
        <v>-0.73652296814729101</v>
      </c>
      <c r="H32" s="3">
        <f ca="1">IFERROR(__xludf.DUMMYFUNCTION("""COMPUTED_VALUE"""),-0.714974488777641)</f>
        <v>-0.71497448877764103</v>
      </c>
      <c r="I32" s="3">
        <f ca="1">IFERROR(__xludf.DUMMYFUNCTION("""COMPUTED_VALUE"""),-0.737969515808396)</f>
        <v>-0.73796951580839598</v>
      </c>
      <c r="J32" s="3">
        <f ca="1">IFERROR(__xludf.DUMMYFUNCTION("""COMPUTED_VALUE"""),-0.728180752707835)</f>
        <v>-0.728180752707835</v>
      </c>
      <c r="K32" s="3">
        <f ca="1">IFERROR(__xludf.DUMMYFUNCTION("""COMPUTED_VALUE"""),-0.613948691748618)</f>
        <v>-0.61394869174861799</v>
      </c>
      <c r="L32" s="3">
        <f ca="1">IFERROR(__xludf.DUMMYFUNCTION("""COMPUTED_VALUE"""),-0.579570756569456)</f>
        <v>-0.579570756569456</v>
      </c>
      <c r="M32" s="3">
        <f ca="1">IFERROR(__xludf.DUMMYFUNCTION("""COMPUTED_VALUE"""),-0.684523407741139)</f>
        <v>-0.68452340774113896</v>
      </c>
      <c r="N32" s="3">
        <f ca="1">IFERROR(__xludf.DUMMYFUNCTION("""COMPUTED_VALUE"""),-0.719340093252893)</f>
        <v>-0.71934009325289305</v>
      </c>
      <c r="O32" s="3">
        <f ca="1">IFERROR(__xludf.DUMMYFUNCTION("""COMPUTED_VALUE"""),-0.719306442602251)</f>
        <v>-0.71930644260225096</v>
      </c>
      <c r="P32" s="3">
        <f ca="1">IFERROR(__xludf.DUMMYFUNCTION("""COMPUTED_VALUE"""),-0.735745813581078)</f>
        <v>-0.73574581358107805</v>
      </c>
      <c r="Q32" s="3">
        <f ca="1">IFERROR(__xludf.DUMMYFUNCTION("""COMPUTED_VALUE"""),-0.700087613336047)</f>
        <v>-0.70008761333604697</v>
      </c>
      <c r="R32" s="3">
        <f ca="1">IFERROR(__xludf.DUMMYFUNCTION("""COMPUTED_VALUE"""),-0.584207049587707)</f>
        <v>-0.58420704958770697</v>
      </c>
      <c r="S32" s="3">
        <f ca="1">IFERROR(__xludf.DUMMYFUNCTION("""COMPUTED_VALUE"""),-0.62319311914898)</f>
        <v>-0.62319311914898001</v>
      </c>
      <c r="T32" s="3">
        <f ca="1">IFERROR(__xludf.DUMMYFUNCTION("""COMPUTED_VALUE"""),-0.709469685744273)</f>
        <v>-0.70946968574427305</v>
      </c>
      <c r="U32" s="3">
        <f ca="1">IFERROR(__xludf.DUMMYFUNCTION("""COMPUTED_VALUE"""),-0.720791782331699)</f>
        <v>-0.72079178233169905</v>
      </c>
      <c r="V32" s="3">
        <f ca="1">IFERROR(__xludf.DUMMYFUNCTION("""COMPUTED_VALUE"""),-0.744960765650142)</f>
        <v>-0.74496076565014202</v>
      </c>
      <c r="W32" s="3">
        <f ca="1">IFERROR(__xludf.DUMMYFUNCTION("""COMPUTED_VALUE"""),-0.713586985022533)</f>
        <v>-0.71358698502253304</v>
      </c>
      <c r="X32" s="3">
        <f ca="1">IFERROR(__xludf.DUMMYFUNCTION("""COMPUTED_VALUE"""),-0.744784994568512)</f>
        <v>-0.74478499456851199</v>
      </c>
      <c r="Y32" s="3">
        <f ca="1">IFERROR(__xludf.DUMMYFUNCTION("""COMPUTED_VALUE"""),-0.59224338299912)</f>
        <v>-0.59224338299912005</v>
      </c>
      <c r="Z32" s="3">
        <f ca="1">IFERROR(__xludf.DUMMYFUNCTION("""COMPUTED_VALUE"""),-0.577260014487368)</f>
        <v>-0.57726001448736797</v>
      </c>
      <c r="AA32" s="3">
        <f ca="1">IFERROR(__xludf.DUMMYFUNCTION("""COMPUTED_VALUE"""),-0.679933564011392)</f>
        <v>-0.67993356401139204</v>
      </c>
      <c r="AB32" s="3">
        <f ca="1">IFERROR(__xludf.DUMMYFUNCTION("""COMPUTED_VALUE"""),-0.700047838266481)</f>
        <v>-0.70004783826648098</v>
      </c>
      <c r="AC32" s="3">
        <f ca="1">IFERROR(__xludf.DUMMYFUNCTION("""COMPUTED_VALUE"""),-0.623842376379026)</f>
        <v>-0.62384237637902595</v>
      </c>
      <c r="AD32" s="3">
        <f ca="1">IFERROR(__xludf.DUMMYFUNCTION("""COMPUTED_VALUE"""),-0.683905034429063)</f>
        <v>-0.68390503442906303</v>
      </c>
      <c r="AE32" s="3">
        <f ca="1">IFERROR(__xludf.DUMMYFUNCTION("""COMPUTED_VALUE"""),-0.819638087760395)</f>
        <v>-0.81963808776039504</v>
      </c>
      <c r="AF32" s="3">
        <f ca="1">IFERROR(__xludf.DUMMYFUNCTION("""COMPUTED_VALUE"""),-0.735676943986779)</f>
        <v>-0.73567694398677896</v>
      </c>
      <c r="AG32" s="3">
        <f ca="1">IFERROR(__xludf.DUMMYFUNCTION("""COMPUTED_VALUE"""),-0.763775728087607)</f>
        <v>-0.76377572808760696</v>
      </c>
      <c r="AH32" s="3">
        <f ca="1">IFERROR(__xludf.DUMMYFUNCTION("""COMPUTED_VALUE"""),-0.744484050663745)</f>
        <v>-0.74448405066374501</v>
      </c>
      <c r="AI32" s="3">
        <f ca="1">IFERROR(__xludf.DUMMYFUNCTION("""COMPUTED_VALUE"""),-0.738878053667668)</f>
        <v>-0.73887805366766801</v>
      </c>
      <c r="AJ32" s="3">
        <f ca="1">IFERROR(__xludf.DUMMYFUNCTION("""COMPUTED_VALUE"""),-0.693331524076927)</f>
        <v>-0.693331524076927</v>
      </c>
      <c r="AK32" s="3">
        <f ca="1">IFERROR(__xludf.DUMMYFUNCTION("""COMPUTED_VALUE"""),-0.743406021667622)</f>
        <v>-0.74340602166762204</v>
      </c>
      <c r="AL32" s="3">
        <f ca="1">IFERROR(__xludf.DUMMYFUNCTION("""COMPUTED_VALUE"""),-0.761069306036307)</f>
        <v>-0.76106930603630696</v>
      </c>
      <c r="AM32" s="3">
        <f ca="1">IFERROR(__xludf.DUMMYFUNCTION("""COMPUTED_VALUE"""),-0.592522831447792)</f>
        <v>-0.59252283144779205</v>
      </c>
      <c r="AN32" s="3">
        <f ca="1">IFERROR(__xludf.DUMMYFUNCTION("""COMPUTED_VALUE"""),-0.615870065102836)</f>
        <v>-0.61587006510283604</v>
      </c>
      <c r="AO32" s="3">
        <f ca="1">IFERROR(__xludf.DUMMYFUNCTION("""COMPUTED_VALUE"""),-0.705838240873273)</f>
        <v>-0.70583824087327296</v>
      </c>
      <c r="AP32" s="3">
        <f ca="1">IFERROR(__xludf.DUMMYFUNCTION("""COMPUTED_VALUE"""),-0.742241133970744)</f>
        <v>-0.74224113397074398</v>
      </c>
      <c r="AQ32" s="3">
        <f ca="1">IFERROR(__xludf.DUMMYFUNCTION("""COMPUTED_VALUE"""),-0.670432529382739)</f>
        <v>-0.67043252938273901</v>
      </c>
      <c r="AR32" s="3">
        <f ca="1">IFERROR(__xludf.DUMMYFUNCTION("""COMPUTED_VALUE"""),-0.743001223434501)</f>
        <v>-0.74300122343450103</v>
      </c>
      <c r="AS32" s="3">
        <f ca="1">IFERROR(__xludf.DUMMYFUNCTION("""COMPUTED_VALUE"""),-0.747373645756849)</f>
        <v>-0.74737364575684895</v>
      </c>
      <c r="AT32" s="3">
        <f ca="1">IFERROR(__xludf.DUMMYFUNCTION("""COMPUTED_VALUE"""),-0.603356816431255)</f>
        <v>-0.60335681643125505</v>
      </c>
      <c r="AU32" s="3">
        <f ca="1">IFERROR(__xludf.DUMMYFUNCTION("""COMPUTED_VALUE"""),-0.610343497192016)</f>
        <v>-0.61034349719201597</v>
      </c>
      <c r="AV32" s="3">
        <f ca="1">IFERROR(__xludf.DUMMYFUNCTION("""COMPUTED_VALUE"""),-0.730331923308308)</f>
        <v>-0.73033192330830798</v>
      </c>
      <c r="AW32" s="3">
        <f ca="1">IFERROR(__xludf.DUMMYFUNCTION("""COMPUTED_VALUE"""),-0.777417317096462)</f>
        <v>-0.777417317096462</v>
      </c>
      <c r="AX32" s="3">
        <f ca="1">IFERROR(__xludf.DUMMYFUNCTION("""COMPUTED_VALUE"""),-0.751341332109457)</f>
        <v>-0.75134133210945697</v>
      </c>
      <c r="AY32" s="3">
        <f ca="1">IFERROR(__xludf.DUMMYFUNCTION("""COMPUTED_VALUE"""),-0.742700471299384)</f>
        <v>-0.74270047129938399</v>
      </c>
      <c r="AZ32" s="3">
        <f ca="1">IFERROR(__xludf.DUMMYFUNCTION("""COMPUTED_VALUE"""),-0.71728119580691)</f>
        <v>-0.71728119580690997</v>
      </c>
      <c r="BA32" s="3">
        <f ca="1">IFERROR(__xludf.DUMMYFUNCTION("""COMPUTED_VALUE"""),-0.594921281590836)</f>
        <v>-0.59492128159083602</v>
      </c>
      <c r="BB32" s="3">
        <f ca="1">IFERROR(__xludf.DUMMYFUNCTION("""COMPUTED_VALUE"""),-0.602728611819171)</f>
        <v>-0.60272861181917103</v>
      </c>
      <c r="BC32" s="3">
        <f ca="1">IFERROR(__xludf.DUMMYFUNCTION("""COMPUTED_VALUE"""),-0.732555379014137)</f>
        <v>-0.73255537901413703</v>
      </c>
      <c r="BD32" s="3">
        <f ca="1">IFERROR(__xludf.DUMMYFUNCTION("""COMPUTED_VALUE"""),-0.75460595395758)</f>
        <v>-0.75460595395758001</v>
      </c>
      <c r="BE32" s="3">
        <f ca="1">IFERROR(__xludf.DUMMYFUNCTION("""COMPUTED_VALUE"""),-0.770190270893259)</f>
        <v>-0.77019027089325898</v>
      </c>
      <c r="BF32" s="3">
        <f ca="1">IFERROR(__xludf.DUMMYFUNCTION("""COMPUTED_VALUE"""),-0.751575597938319)</f>
        <v>-0.75157559793831896</v>
      </c>
      <c r="BG32" s="3">
        <f ca="1">IFERROR(__xludf.DUMMYFUNCTION("""COMPUTED_VALUE"""),-0.772843891475091)</f>
        <v>-0.77284389147509103</v>
      </c>
      <c r="BH32" s="3">
        <f ca="1">IFERROR(__xludf.DUMMYFUNCTION("""COMPUTED_VALUE"""),-0.679355773240081)</f>
        <v>-0.67935577324008101</v>
      </c>
      <c r="BI32" s="3">
        <f ca="1">IFERROR(__xludf.DUMMYFUNCTION("""COMPUTED_VALUE"""),-0.697090451820799)</f>
        <v>-0.69709045182079898</v>
      </c>
      <c r="BJ32" s="3">
        <f ca="1">IFERROR(__xludf.DUMMYFUNCTION("""COMPUTED_VALUE"""),-0.778597211003609)</f>
        <v>-0.77859721100360901</v>
      </c>
      <c r="BK32" s="3">
        <f ca="1">IFERROR(__xludf.DUMMYFUNCTION("""COMPUTED_VALUE"""),-0.802136005562025)</f>
        <v>-0.80213600556202502</v>
      </c>
      <c r="BL32" s="3">
        <f ca="1">IFERROR(__xludf.DUMMYFUNCTION("""COMPUTED_VALUE"""),-0.800604370931981)</f>
        <v>-0.800604370931981</v>
      </c>
      <c r="BM32" s="3">
        <f ca="1">IFERROR(__xludf.DUMMYFUNCTION("""COMPUTED_VALUE"""),-0.787686637008449)</f>
        <v>-0.78768663700844899</v>
      </c>
      <c r="BN32" s="3">
        <f ca="1">IFERROR(__xludf.DUMMYFUNCTION("""COMPUTED_VALUE"""),-0.765082318569842)</f>
        <v>-0.76508231856984199</v>
      </c>
      <c r="BO32" s="3">
        <f ca="1">IFERROR(__xludf.DUMMYFUNCTION("""COMPUTED_VALUE"""),-0.655634929712589)</f>
        <v>-0.65563492971258897</v>
      </c>
      <c r="BP32" s="3">
        <f ca="1">IFERROR(__xludf.DUMMYFUNCTION("""COMPUTED_VALUE"""),-0.6811336626716)</f>
        <v>-0.68113366267160003</v>
      </c>
      <c r="BQ32" s="3">
        <f ca="1">IFERROR(__xludf.DUMMYFUNCTION("""COMPUTED_VALUE"""),-0.76024668658355)</f>
        <v>-0.76024668658354999</v>
      </c>
      <c r="BR32" s="3">
        <f ca="1">IFERROR(__xludf.DUMMYFUNCTION("""COMPUTED_VALUE"""),-0.801420108674206)</f>
        <v>-0.80142010867420599</v>
      </c>
      <c r="BS32" s="3">
        <f ca="1">IFERROR(__xludf.DUMMYFUNCTION("""COMPUTED_VALUE"""),-0.776170353913308)</f>
        <v>-0.77617035391330802</v>
      </c>
      <c r="BT32" s="3">
        <f ca="1">IFERROR(__xludf.DUMMYFUNCTION("""COMPUTED_VALUE"""),-0.785275297192984)</f>
        <v>-0.78527529719298395</v>
      </c>
      <c r="BU32" s="3">
        <f ca="1">IFERROR(__xludf.DUMMYFUNCTION("""COMPUTED_VALUE"""),-0.781648767813457)</f>
        <v>-0.78164876781345705</v>
      </c>
      <c r="BV32" s="3">
        <f ca="1">IFERROR(__xludf.DUMMYFUNCTION("""COMPUTED_VALUE"""),-0.638941838755245)</f>
        <v>-0.63894183875524502</v>
      </c>
      <c r="BW32" s="3">
        <f ca="1">IFERROR(__xludf.DUMMYFUNCTION("""COMPUTED_VALUE"""),-0.663881612093552)</f>
        <v>-0.66388161209355201</v>
      </c>
      <c r="BX32" s="3">
        <f ca="1">IFERROR(__xludf.DUMMYFUNCTION("""COMPUTED_VALUE"""),-0.749930647027009)</f>
        <v>-0.74993064702700896</v>
      </c>
      <c r="BY32" s="3">
        <f ca="1">IFERROR(__xludf.DUMMYFUNCTION("""COMPUTED_VALUE"""),-0.797911434039885)</f>
        <v>-0.79791143403988496</v>
      </c>
      <c r="BZ32" s="3">
        <f ca="1">IFERROR(__xludf.DUMMYFUNCTION("""COMPUTED_VALUE"""),-0.790327070951104)</f>
        <v>-0.79032707095110399</v>
      </c>
      <c r="CA32" s="3">
        <f ca="1">IFERROR(__xludf.DUMMYFUNCTION("""COMPUTED_VALUE"""),-0.808870334512949)</f>
        <v>-0.80887033451294899</v>
      </c>
      <c r="CB32" s="3">
        <f ca="1">IFERROR(__xludf.DUMMYFUNCTION("""COMPUTED_VALUE"""),-0.758885064330426)</f>
        <v>-0.75888506433042602</v>
      </c>
      <c r="CC32" s="3">
        <f ca="1">IFERROR(__xludf.DUMMYFUNCTION("""COMPUTED_VALUE"""),-0.662677614113216)</f>
        <v>-0.66267761411321602</v>
      </c>
      <c r="CD32" s="3">
        <f ca="1">IFERROR(__xludf.DUMMYFUNCTION("""COMPUTED_VALUE"""),-0.674794884697206)</f>
        <v>-0.67479488469720605</v>
      </c>
      <c r="CE32" s="3">
        <f ca="1">IFERROR(__xludf.DUMMYFUNCTION("""COMPUTED_VALUE"""),-0.754643857151066)</f>
        <v>-0.75464385715106597</v>
      </c>
      <c r="CF32" s="3">
        <f ca="1">IFERROR(__xludf.DUMMYFUNCTION("""COMPUTED_VALUE"""),-0.782536554308186)</f>
        <v>-0.78253655430818603</v>
      </c>
      <c r="CG32" s="3">
        <f ca="1">IFERROR(__xludf.DUMMYFUNCTION("""COMPUTED_VALUE"""),-0.786844470400529)</f>
        <v>-0.78684447040052896</v>
      </c>
      <c r="CH32" s="3">
        <f ca="1">IFERROR(__xludf.DUMMYFUNCTION("""COMPUTED_VALUE"""),-0.784351924278594)</f>
        <v>-0.78435192427859401</v>
      </c>
      <c r="CI32" s="3">
        <f ca="1">IFERROR(__xludf.DUMMYFUNCTION("""COMPUTED_VALUE"""),-0.788842750769069)</f>
        <v>-0.78884275076906896</v>
      </c>
      <c r="CJ32" s="3">
        <f ca="1">IFERROR(__xludf.DUMMYFUNCTION("""COMPUTED_VALUE"""),-0.66765787034036)</f>
        <v>-0.66765787034035995</v>
      </c>
      <c r="CK32" s="3">
        <f ca="1">IFERROR(__xludf.DUMMYFUNCTION("""COMPUTED_VALUE"""),-0.663498420643279)</f>
        <v>-0.66349842064327902</v>
      </c>
      <c r="CL32" s="3">
        <f ca="1">IFERROR(__xludf.DUMMYFUNCTION("""COMPUTED_VALUE"""),-0.742227098174453)</f>
        <v>-0.74222709817445298</v>
      </c>
      <c r="CM32" s="3">
        <f ca="1">IFERROR(__xludf.DUMMYFUNCTION("""COMPUTED_VALUE"""),-0.78285922769992)</f>
        <v>-0.78285922769992</v>
      </c>
      <c r="CN32" s="3">
        <f ca="1">IFERROR(__xludf.DUMMYFUNCTION("""COMPUTED_VALUE"""),-0.771730445963875)</f>
        <v>-0.77173044596387497</v>
      </c>
      <c r="CO32" s="3">
        <f ca="1">IFERROR(__xludf.DUMMYFUNCTION("""COMPUTED_VALUE"""),-0.776691581367313)</f>
        <v>-0.77669158136731298</v>
      </c>
      <c r="CP32" s="3">
        <f ca="1">IFERROR(__xludf.DUMMYFUNCTION("""COMPUTED_VALUE"""),-0.729614663074881)</f>
        <v>-0.72961466307488099</v>
      </c>
      <c r="CQ32" s="3">
        <f ca="1">IFERROR(__xludf.DUMMYFUNCTION("""COMPUTED_VALUE"""),-0.667573506653187)</f>
        <v>-0.66757350665318704</v>
      </c>
      <c r="CR32" s="3">
        <f ca="1">IFERROR(__xludf.DUMMYFUNCTION("""COMPUTED_VALUE"""),-0.695169530520788)</f>
        <v>-0.695169530520788</v>
      </c>
      <c r="CS32" s="3">
        <f ca="1">IFERROR(__xludf.DUMMYFUNCTION("""COMPUTED_VALUE"""),-0.737798245742594)</f>
        <v>-0.73779824574259401</v>
      </c>
      <c r="CT32" s="3">
        <f ca="1">IFERROR(__xludf.DUMMYFUNCTION("""COMPUTED_VALUE"""),-0.759228581582473)</f>
        <v>-0.75922858158247297</v>
      </c>
      <c r="CU32" s="3">
        <f ca="1">IFERROR(__xludf.DUMMYFUNCTION("""COMPUTED_VALUE"""),-0.738367850008198)</f>
        <v>-0.73836785000819805</v>
      </c>
      <c r="CV32" s="3">
        <f ca="1">IFERROR(__xludf.DUMMYFUNCTION("""COMPUTED_VALUE"""),-0.759891077490312)</f>
        <v>-0.75989107749031204</v>
      </c>
      <c r="CW32" s="3">
        <f ca="1">IFERROR(__xludf.DUMMYFUNCTION("""COMPUTED_VALUE"""),-0.747528077944636)</f>
        <v>-0.74752807794463605</v>
      </c>
      <c r="CX32" s="3">
        <f ca="1">IFERROR(__xludf.DUMMYFUNCTION("""COMPUTED_VALUE"""),-0.650586853548449)</f>
        <v>-0.65058685354844903</v>
      </c>
      <c r="CY32" s="3">
        <f ca="1">IFERROR(__xludf.DUMMYFUNCTION("""COMPUTED_VALUE"""),-0.611868709026752)</f>
        <v>-0.61186870902675194</v>
      </c>
      <c r="CZ32" s="3">
        <f ca="1">IFERROR(__xludf.DUMMYFUNCTION("""COMPUTED_VALUE"""),-0.780224786381988)</f>
        <v>-0.780224786381988</v>
      </c>
      <c r="DA32" s="3">
        <f ca="1">IFERROR(__xludf.DUMMYFUNCTION("""COMPUTED_VALUE"""),-0.689444769115389)</f>
        <v>-0.68944476911538899</v>
      </c>
      <c r="DB32" s="3">
        <f ca="1">IFERROR(__xludf.DUMMYFUNCTION("""COMPUTED_VALUE"""),-0.60365775682891)</f>
        <v>-0.60365775682890999</v>
      </c>
      <c r="DC32" s="3">
        <f ca="1">IFERROR(__xludf.DUMMYFUNCTION("""COMPUTED_VALUE"""),-0.693430285197557)</f>
        <v>-0.69343028519755701</v>
      </c>
      <c r="DD32" s="3">
        <f ca="1">IFERROR(__xludf.DUMMYFUNCTION("""COMPUTED_VALUE"""),-0.724891866248187)</f>
        <v>-0.72489186624818702</v>
      </c>
      <c r="DE32" s="3">
        <f ca="1">IFERROR(__xludf.DUMMYFUNCTION("""COMPUTED_VALUE"""),-0.613660537648942)</f>
        <v>-0.61366053764894202</v>
      </c>
      <c r="DF32" s="3">
        <f ca="1">IFERROR(__xludf.DUMMYFUNCTION("""COMPUTED_VALUE"""),-0.618311429459094)</f>
        <v>-0.61831142945909401</v>
      </c>
      <c r="DG32" s="3">
        <f ca="1">IFERROR(__xludf.DUMMYFUNCTION("""COMPUTED_VALUE"""),-0.861202753741592)</f>
        <v>-0.86120275374159205</v>
      </c>
      <c r="DH32" s="3">
        <f ca="1">IFERROR(__xludf.DUMMYFUNCTION("""COMPUTED_VALUE"""),-0.771689904652266)</f>
        <v>-0.77168990465226595</v>
      </c>
      <c r="DI32" s="3">
        <f ca="1">IFERROR(__xludf.DUMMYFUNCTION("""COMPUTED_VALUE"""),-0.636588437288646)</f>
        <v>-0.636588437288646</v>
      </c>
      <c r="DJ32" s="3">
        <f ca="1">IFERROR(__xludf.DUMMYFUNCTION("""COMPUTED_VALUE"""),-0.685507838042724)</f>
        <v>-0.68550783804272397</v>
      </c>
      <c r="DK32" s="3">
        <f ca="1">IFERROR(__xludf.DUMMYFUNCTION("""COMPUTED_VALUE"""),-0.721157891101534)</f>
        <v>-0.72115789110153405</v>
      </c>
      <c r="DL32" s="3">
        <f ca="1">IFERROR(__xludf.DUMMYFUNCTION("""COMPUTED_VALUE"""),-0.633440769229765)</f>
        <v>-0.633440769229765</v>
      </c>
      <c r="DM32" s="3">
        <f ca="1">IFERROR(__xludf.DUMMYFUNCTION("""COMPUTED_VALUE"""),-0.631835941079)</f>
        <v>-0.63183594107899999</v>
      </c>
      <c r="DN32" s="3">
        <f ca="1">IFERROR(__xludf.DUMMYFUNCTION("""COMPUTED_VALUE"""),-0.756846680198568)</f>
        <v>-0.75684668019856804</v>
      </c>
      <c r="DO32" s="3">
        <f ca="1">IFERROR(__xludf.DUMMYFUNCTION("""COMPUTED_VALUE"""),-0.766166025666291)</f>
        <v>-0.766166025666291</v>
      </c>
      <c r="DP32" s="3">
        <f ca="1">IFERROR(__xludf.DUMMYFUNCTION("""COMPUTED_VALUE"""),-0.729429093830887)</f>
        <v>-0.72942909383088705</v>
      </c>
      <c r="DQ32" s="3">
        <f ca="1">IFERROR(__xludf.DUMMYFUNCTION("""COMPUTED_VALUE"""),-0.759391948825697)</f>
        <v>-0.75939194882569705</v>
      </c>
      <c r="DR32" s="3">
        <f ca="1">IFERROR(__xludf.DUMMYFUNCTION("""COMPUTED_VALUE"""),-0.78267890628615)</f>
        <v>-0.78267890628615</v>
      </c>
      <c r="DS32" s="3">
        <f ca="1">IFERROR(__xludf.DUMMYFUNCTION("""COMPUTED_VALUE"""),-0.692868612703336)</f>
        <v>-0.692868612703336</v>
      </c>
      <c r="DT32" s="3">
        <f ca="1">IFERROR(__xludf.DUMMYFUNCTION("""COMPUTED_VALUE"""),-0.749829852843542)</f>
        <v>-0.74982985284354198</v>
      </c>
      <c r="DU32" s="3">
        <f ca="1">IFERROR(__xludf.DUMMYFUNCTION("""COMPUTED_VALUE"""),-0.808327181867137)</f>
        <v>-0.80832718186713703</v>
      </c>
      <c r="DV32" s="3">
        <f ca="1">IFERROR(__xludf.DUMMYFUNCTION("""COMPUTED_VALUE"""),-0.814648315349938)</f>
        <v>-0.81464831534993798</v>
      </c>
      <c r="DW32" s="3">
        <f ca="1">IFERROR(__xludf.DUMMYFUNCTION("""COMPUTED_VALUE"""),-0.816184073516824)</f>
        <v>-0.81618407351682398</v>
      </c>
      <c r="DX32" s="3">
        <f ca="1">IFERROR(__xludf.DUMMYFUNCTION("""COMPUTED_VALUE"""),-0.823552057541159)</f>
        <v>-0.82355205754115901</v>
      </c>
      <c r="DY32" s="3">
        <f ca="1">IFERROR(__xludf.DUMMYFUNCTION("""COMPUTED_VALUE"""),-0.817783318298123)</f>
        <v>-0.81778331829812301</v>
      </c>
      <c r="DZ32" s="3">
        <f ca="1">IFERROR(__xludf.DUMMYFUNCTION("""COMPUTED_VALUE"""),-0.715555720089656)</f>
        <v>-0.71555572008965596</v>
      </c>
      <c r="EA32" s="3">
        <f ca="1">IFERROR(__xludf.DUMMYFUNCTION("""COMPUTED_VALUE"""),-0.736709691713819)</f>
        <v>-0.73670969171381895</v>
      </c>
      <c r="EB32" s="3">
        <f ca="1">IFERROR(__xludf.DUMMYFUNCTION("""COMPUTED_VALUE"""),-0.770650351665133)</f>
        <v>-0.77065035166513296</v>
      </c>
      <c r="EC32" s="3">
        <f ca="1">IFERROR(__xludf.DUMMYFUNCTION("""COMPUTED_VALUE"""),-0.773874950819207)</f>
        <v>-0.77387495081920699</v>
      </c>
      <c r="ED32" s="3">
        <f ca="1">IFERROR(__xludf.DUMMYFUNCTION("""COMPUTED_VALUE"""),-0.819978359156183)</f>
        <v>-0.819978359156183</v>
      </c>
      <c r="EE32" s="3">
        <f ca="1">IFERROR(__xludf.DUMMYFUNCTION("""COMPUTED_VALUE"""),-0.805682900749864)</f>
        <v>-0.80568290074986404</v>
      </c>
      <c r="EF32" s="3">
        <f ca="1">IFERROR(__xludf.DUMMYFUNCTION("""COMPUTED_VALUE"""),-0.813252493093702)</f>
        <v>-0.81325249309370196</v>
      </c>
      <c r="EG32" s="3">
        <f ca="1">IFERROR(__xludf.DUMMYFUNCTION("""COMPUTED_VALUE"""),-0.721482086169257)</f>
        <v>-0.72148208616925702</v>
      </c>
      <c r="EH32" s="3">
        <f ca="1">IFERROR(__xludf.DUMMYFUNCTION("""COMPUTED_VALUE"""),-0.746523187875619)</f>
        <v>-0.746523187875619</v>
      </c>
      <c r="EI32" s="3">
        <f ca="1">IFERROR(__xludf.DUMMYFUNCTION("""COMPUTED_VALUE"""),-0.813791664389797)</f>
        <v>-0.813791664389797</v>
      </c>
      <c r="EJ32" s="3">
        <f ca="1">IFERROR(__xludf.DUMMYFUNCTION("""COMPUTED_VALUE"""),-0.865553557182185)</f>
        <v>-0.86555355718218496</v>
      </c>
      <c r="EK32" s="3">
        <f ca="1">IFERROR(__xludf.DUMMYFUNCTION("""COMPUTED_VALUE"""),-0.787891880798525)</f>
        <v>-0.78789188079852501</v>
      </c>
      <c r="EL32" s="3">
        <f ca="1">IFERROR(__xludf.DUMMYFUNCTION("""COMPUTED_VALUE"""),-0.788924684045022)</f>
        <v>-0.78892468404502203</v>
      </c>
      <c r="EM32" s="3">
        <f ca="1">IFERROR(__xludf.DUMMYFUNCTION("""COMPUTED_VALUE"""),-0.795854225510196)</f>
        <v>-0.79585422551019602</v>
      </c>
      <c r="EN32" s="3">
        <f ca="1">IFERROR(__xludf.DUMMYFUNCTION("""COMPUTED_VALUE"""),-0.691849192089678)</f>
        <v>-0.69184919208967799</v>
      </c>
      <c r="EO32" s="3">
        <f ca="1">IFERROR(__xludf.DUMMYFUNCTION("""COMPUTED_VALUE"""),-0.66768219285832)</f>
        <v>-0.66768219285831998</v>
      </c>
      <c r="EP32" s="3">
        <f ca="1">IFERROR(__xludf.DUMMYFUNCTION("""COMPUTED_VALUE"""),-0.729994382930939)</f>
        <v>-0.72999438293093899</v>
      </c>
      <c r="EQ32" s="3">
        <f ca="1">IFERROR(__xludf.DUMMYFUNCTION("""COMPUTED_VALUE"""),-0.729875322104577)</f>
        <v>-0.72987532210457695</v>
      </c>
      <c r="ER32" s="3">
        <f ca="1">IFERROR(__xludf.DUMMYFUNCTION("""COMPUTED_VALUE"""),-0.770267977195924)</f>
        <v>-0.77026797719592399</v>
      </c>
      <c r="ES32" s="3">
        <f ca="1">IFERROR(__xludf.DUMMYFUNCTION("""COMPUTED_VALUE"""),-0.747381354855855)</f>
        <v>-0.747381354855855</v>
      </c>
      <c r="ET32" s="3">
        <f ca="1">IFERROR(__xludf.DUMMYFUNCTION("""COMPUTED_VALUE"""),-0.768010716779263)</f>
        <v>-0.76801071677926303</v>
      </c>
      <c r="EU32" s="3">
        <f ca="1">IFERROR(__xludf.DUMMYFUNCTION("""COMPUTED_VALUE"""),-0.643423741018393)</f>
        <v>-0.64342374101839295</v>
      </c>
      <c r="EV32" s="3">
        <f ca="1">IFERROR(__xludf.DUMMYFUNCTION("""COMPUTED_VALUE"""),-0.673842408915839)</f>
        <v>-0.67384240891583902</v>
      </c>
      <c r="EW32" s="3">
        <f ca="1">IFERROR(__xludf.DUMMYFUNCTION("""COMPUTED_VALUE"""),-0.768853817153717)</f>
        <v>-0.76885381715371703</v>
      </c>
      <c r="EX32" s="3">
        <f ca="1">IFERROR(__xludf.DUMMYFUNCTION("""COMPUTED_VALUE"""),-0.785363467183365)</f>
        <v>-0.78536346718336503</v>
      </c>
      <c r="EY32" s="3">
        <f ca="1">IFERROR(__xludf.DUMMYFUNCTION("""COMPUTED_VALUE"""),-0.792599600466731)</f>
        <v>-0.79259960046673095</v>
      </c>
      <c r="EZ32" s="3">
        <f ca="1">IFERROR(__xludf.DUMMYFUNCTION("""COMPUTED_VALUE"""),-0.792434559774014)</f>
        <v>-0.792434559774014</v>
      </c>
      <c r="FA32" s="3">
        <f ca="1">IFERROR(__xludf.DUMMYFUNCTION("""COMPUTED_VALUE"""),-0.790026962899927)</f>
        <v>-0.79002696289992702</v>
      </c>
      <c r="FB32" s="3">
        <f ca="1">IFERROR(__xludf.DUMMYFUNCTION("""COMPUTED_VALUE"""),-0.673282519853096)</f>
        <v>-0.67328251985309595</v>
      </c>
      <c r="FC32" s="3">
        <f ca="1">IFERROR(__xludf.DUMMYFUNCTION("""COMPUTED_VALUE"""),-0.648492647682684)</f>
        <v>-0.648492647682684</v>
      </c>
      <c r="FD32" s="3">
        <f ca="1">IFERROR(__xludf.DUMMYFUNCTION("""COMPUTED_VALUE"""),-0.762342357699926)</f>
        <v>-0.76234235769992598</v>
      </c>
      <c r="FE32" s="3">
        <f ca="1">IFERROR(__xludf.DUMMYFUNCTION("""COMPUTED_VALUE"""),-0.786883700373558)</f>
        <v>-0.78688370037355804</v>
      </c>
      <c r="FF32" s="3">
        <f ca="1">IFERROR(__xludf.DUMMYFUNCTION("""COMPUTED_VALUE"""),-0.754226104892718)</f>
        <v>-0.75422610489271802</v>
      </c>
      <c r="FG32" s="3">
        <f ca="1">IFERROR(__xludf.DUMMYFUNCTION("""COMPUTED_VALUE"""),-0.766787768561823)</f>
        <v>-0.76678776856182296</v>
      </c>
      <c r="FH32" s="3">
        <f ca="1">IFERROR(__xludf.DUMMYFUNCTION("""COMPUTED_VALUE"""),-0.761485541166181)</f>
        <v>-0.76148554116618095</v>
      </c>
      <c r="FI32" s="3">
        <f ca="1">IFERROR(__xludf.DUMMYFUNCTION("""COMPUTED_VALUE"""),-0.642458292483826)</f>
        <v>-0.64245829248382602</v>
      </c>
      <c r="FJ32" s="3">
        <f ca="1">IFERROR(__xludf.DUMMYFUNCTION("""COMPUTED_VALUE"""),-0.659255275945766)</f>
        <v>-0.65925527594576605</v>
      </c>
      <c r="FK32" s="3">
        <f ca="1">IFERROR(__xludf.DUMMYFUNCTION("""COMPUTED_VALUE"""),-0.743604865734305)</f>
        <v>-0.74360486573430495</v>
      </c>
      <c r="FL32" s="3">
        <f ca="1">IFERROR(__xludf.DUMMYFUNCTION("""COMPUTED_VALUE"""),-0.766984628428251)</f>
        <v>-0.76698462842825099</v>
      </c>
      <c r="FM32" s="3">
        <f ca="1">IFERROR(__xludf.DUMMYFUNCTION("""COMPUTED_VALUE"""),-0.755016331898332)</f>
        <v>-0.75501633189833195</v>
      </c>
      <c r="FN32" s="3">
        <f ca="1">IFERROR(__xludf.DUMMYFUNCTION("""COMPUTED_VALUE"""),-0.766872988667858)</f>
        <v>-0.76687298866785802</v>
      </c>
      <c r="FO32" s="3">
        <f ca="1">IFERROR(__xludf.DUMMYFUNCTION("""COMPUTED_VALUE"""),-0.788985700184732)</f>
        <v>-0.78898570018473202</v>
      </c>
      <c r="FP32" s="3">
        <f ca="1">IFERROR(__xludf.DUMMYFUNCTION("""COMPUTED_VALUE"""),-0.687518643956865)</f>
        <v>-0.68751864395686502</v>
      </c>
      <c r="FQ32" s="3">
        <f ca="1">IFERROR(__xludf.DUMMYFUNCTION("""COMPUTED_VALUE"""),-0.643869322435793)</f>
        <v>-0.64386932243579298</v>
      </c>
      <c r="FR32" s="3">
        <f ca="1">IFERROR(__xludf.DUMMYFUNCTION("""COMPUTED_VALUE"""),-0.763220783981726)</f>
        <v>-0.76322078398172599</v>
      </c>
      <c r="FS32" s="3">
        <f ca="1">IFERROR(__xludf.DUMMYFUNCTION("""COMPUTED_VALUE"""),-0.771999228810274)</f>
        <v>-0.77199922881027405</v>
      </c>
      <c r="FT32" s="3">
        <f ca="1">IFERROR(__xludf.DUMMYFUNCTION("""COMPUTED_VALUE"""),-0.748456537490624)</f>
        <v>-0.74845653749062402</v>
      </c>
      <c r="FU32" s="3">
        <f ca="1">IFERROR(__xludf.DUMMYFUNCTION("""COMPUTED_VALUE"""),-0.753556116182922)</f>
        <v>-0.75355611618292195</v>
      </c>
      <c r="FV32" s="3">
        <f ca="1">IFERROR(__xludf.DUMMYFUNCTION("""COMPUTED_VALUE"""),-0.759065173782887)</f>
        <v>-0.75906517378288696</v>
      </c>
      <c r="FW32" s="3">
        <f ca="1">IFERROR(__xludf.DUMMYFUNCTION("""COMPUTED_VALUE"""),-0.661042085629769)</f>
        <v>-0.66104208562976896</v>
      </c>
      <c r="FX32" s="3">
        <f ca="1">IFERROR(__xludf.DUMMYFUNCTION("""COMPUTED_VALUE"""),-0.641440325158556)</f>
        <v>-0.64144032515855598</v>
      </c>
      <c r="FY32" s="3">
        <f ca="1">IFERROR(__xludf.DUMMYFUNCTION("""COMPUTED_VALUE"""),-0.742615059293894)</f>
        <v>-0.74261505929389404</v>
      </c>
      <c r="FZ32" s="3">
        <f ca="1">IFERROR(__xludf.DUMMYFUNCTION("""COMPUTED_VALUE"""),-0.77184964514117)</f>
        <v>-0.77184964514117005</v>
      </c>
      <c r="GA32" s="3">
        <f ca="1">IFERROR(__xludf.DUMMYFUNCTION("""COMPUTED_VALUE"""),-0.755936770257487)</f>
        <v>-0.75593677025748696</v>
      </c>
      <c r="GB32" s="3">
        <f ca="1">IFERROR(__xludf.DUMMYFUNCTION("""COMPUTED_VALUE"""),-0.752087901852917)</f>
        <v>-0.75208790185291696</v>
      </c>
      <c r="GC32" s="3">
        <f ca="1">IFERROR(__xludf.DUMMYFUNCTION("""COMPUTED_VALUE"""),-0.758188497024668)</f>
        <v>-0.75818849702466795</v>
      </c>
      <c r="GD32" s="3">
        <f ca="1">IFERROR(__xludf.DUMMYFUNCTION("""COMPUTED_VALUE"""),-0.652978595452827)</f>
        <v>-0.65297859545282699</v>
      </c>
      <c r="GE32" s="3">
        <f ca="1">IFERROR(__xludf.DUMMYFUNCTION("""COMPUTED_VALUE"""),-0.634434391118115)</f>
        <v>-0.63443439111811495</v>
      </c>
      <c r="GF32" s="3">
        <f ca="1">IFERROR(__xludf.DUMMYFUNCTION("""COMPUTED_VALUE"""),-0.743204751113308)</f>
        <v>-0.74320475111330797</v>
      </c>
      <c r="GG32" s="3">
        <f ca="1">IFERROR(__xludf.DUMMYFUNCTION("""COMPUTED_VALUE"""),-0.780394716234143)</f>
        <v>-0.78039471623414303</v>
      </c>
      <c r="GH32" s="3">
        <f ca="1">IFERROR(__xludf.DUMMYFUNCTION("""COMPUTED_VALUE"""),-0.771321438044047)</f>
        <v>-0.77132143804404696</v>
      </c>
      <c r="GI32" s="3">
        <f ca="1">IFERROR(__xludf.DUMMYFUNCTION("""COMPUTED_VALUE"""),-0.770482443436595)</f>
        <v>-0.770482443436595</v>
      </c>
      <c r="GJ32" s="3">
        <f ca="1">IFERROR(__xludf.DUMMYFUNCTION("""COMPUTED_VALUE"""),-0.759604931703004)</f>
        <v>-0.75960493170300403</v>
      </c>
      <c r="GK32" s="3">
        <f ca="1">IFERROR(__xludf.DUMMYFUNCTION("""COMPUTED_VALUE"""),-0.641636640975767)</f>
        <v>-0.641636640975767</v>
      </c>
      <c r="GL32" s="3">
        <f ca="1">IFERROR(__xludf.DUMMYFUNCTION("""COMPUTED_VALUE"""),-0.655594600986386)</f>
        <v>-0.655594600986386</v>
      </c>
      <c r="GM32" s="3">
        <f ca="1">IFERROR(__xludf.DUMMYFUNCTION("""COMPUTED_VALUE"""),-0.74428305752207)</f>
        <v>-0.74428305752207002</v>
      </c>
      <c r="GN32" s="3">
        <f ca="1">IFERROR(__xludf.DUMMYFUNCTION("""COMPUTED_VALUE"""),-0.770337178279374)</f>
        <v>-0.77033717827937398</v>
      </c>
      <c r="GO32" s="3">
        <f ca="1">IFERROR(__xludf.DUMMYFUNCTION("""COMPUTED_VALUE"""),-0.776424790360431)</f>
        <v>-0.77642479036043099</v>
      </c>
      <c r="GP32" s="3">
        <f ca="1">IFERROR(__xludf.DUMMYFUNCTION("""COMPUTED_VALUE"""),-0.768262117403797)</f>
        <v>-0.76826211740379702</v>
      </c>
      <c r="GQ32" s="3">
        <f ca="1">IFERROR(__xludf.DUMMYFUNCTION("""COMPUTED_VALUE"""),-0.75019131056307)</f>
        <v>-0.75019131056306998</v>
      </c>
      <c r="GR32" s="3">
        <f ca="1">IFERROR(__xludf.DUMMYFUNCTION("""COMPUTED_VALUE"""),-0.680844206484791)</f>
        <v>-0.68084420648479105</v>
      </c>
      <c r="GS32" s="3">
        <f ca="1">IFERROR(__xludf.DUMMYFUNCTION("""COMPUTED_VALUE"""),-0.674682269764638)</f>
        <v>-0.67468226976463797</v>
      </c>
      <c r="GT32" s="3">
        <f ca="1">IFERROR(__xludf.DUMMYFUNCTION("""COMPUTED_VALUE"""),-0.751006982482491)</f>
        <v>-0.75100698248249098</v>
      </c>
      <c r="GU32" s="3">
        <f ca="1">IFERROR(__xludf.DUMMYFUNCTION("""COMPUTED_VALUE"""),-0.757266480425794)</f>
        <v>-0.75726648042579403</v>
      </c>
      <c r="GV32" s="3">
        <f ca="1">IFERROR(__xludf.DUMMYFUNCTION("""COMPUTED_VALUE"""),-0.754341074832365)</f>
        <v>-0.75434107483236501</v>
      </c>
      <c r="GW32" s="3">
        <f ca="1">IFERROR(__xludf.DUMMYFUNCTION("""COMPUTED_VALUE"""),-0.745984098380553)</f>
        <v>-0.74598409838055302</v>
      </c>
      <c r="GX32" s="3">
        <f ca="1">IFERROR(__xludf.DUMMYFUNCTION("""COMPUTED_VALUE"""),-0.72752173706195)</f>
        <v>-0.72752173706195</v>
      </c>
      <c r="GY32" s="3">
        <f ca="1">IFERROR(__xludf.DUMMYFUNCTION("""COMPUTED_VALUE"""),-0.646798357778893)</f>
        <v>-0.64679835777889305</v>
      </c>
      <c r="GZ32" s="3">
        <f ca="1">IFERROR(__xludf.DUMMYFUNCTION("""COMPUTED_VALUE"""),-0.641195577746715)</f>
        <v>-0.64119557774671498</v>
      </c>
      <c r="HA32" s="3">
        <f ca="1">IFERROR(__xludf.DUMMYFUNCTION("""COMPUTED_VALUE"""),-0.736747480087244)</f>
        <v>-0.736747480087244</v>
      </c>
      <c r="HB32" s="3">
        <f ca="1">IFERROR(__xludf.DUMMYFUNCTION("""COMPUTED_VALUE"""),-0.754122655711567)</f>
        <v>-0.754122655711567</v>
      </c>
      <c r="HC32" s="3">
        <f ca="1">IFERROR(__xludf.DUMMYFUNCTION("""COMPUTED_VALUE"""),-0.754836911934082)</f>
        <v>-0.75483691193408198</v>
      </c>
      <c r="HD32" s="3">
        <f ca="1">IFERROR(__xludf.DUMMYFUNCTION("""COMPUTED_VALUE"""),-0.744703330034935)</f>
        <v>-0.74470333003493505</v>
      </c>
      <c r="HE32" s="3">
        <f ca="1">IFERROR(__xludf.DUMMYFUNCTION("""COMPUTED_VALUE"""),-0.72641016595418)</f>
        <v>-0.72641016595417995</v>
      </c>
      <c r="HF32" s="3">
        <f ca="1">IFERROR(__xludf.DUMMYFUNCTION("""COMPUTED_VALUE"""),-0.617973296773772)</f>
        <v>-0.617973296773772</v>
      </c>
      <c r="HG32" s="3">
        <f ca="1">IFERROR(__xludf.DUMMYFUNCTION("""COMPUTED_VALUE"""),-0.628152460393012)</f>
        <v>-0.62815246039301198</v>
      </c>
      <c r="HH32" s="3">
        <f ca="1">IFERROR(__xludf.DUMMYFUNCTION("""COMPUTED_VALUE"""),-0.712339536270965)</f>
        <v>-0.71233953627096502</v>
      </c>
      <c r="HI32" s="3">
        <f ca="1">IFERROR(__xludf.DUMMYFUNCTION("""COMPUTED_VALUE"""),-0.749196194529834)</f>
        <v>-0.74919619452983399</v>
      </c>
      <c r="HJ32" s="3">
        <f ca="1">IFERROR(__xludf.DUMMYFUNCTION("""COMPUTED_VALUE"""),-0.747371270490027)</f>
        <v>-0.74737127049002705</v>
      </c>
      <c r="HK32" s="3">
        <f ca="1">IFERROR(__xludf.DUMMYFUNCTION("""COMPUTED_VALUE"""),-0.769397938450847)</f>
        <v>-0.76939793845084703</v>
      </c>
      <c r="HL32" s="3">
        <f ca="1">IFERROR(__xludf.DUMMYFUNCTION("""COMPUTED_VALUE"""),-0.761951459396526)</f>
        <v>-0.76195145939652598</v>
      </c>
      <c r="HM32" s="3">
        <f ca="1">IFERROR(__xludf.DUMMYFUNCTION("""COMPUTED_VALUE"""),-0.675677649067862)</f>
        <v>-0.67567764906786199</v>
      </c>
      <c r="HN32" s="3">
        <f ca="1">IFERROR(__xludf.DUMMYFUNCTION("""COMPUTED_VALUE"""),-0.631054465420525)</f>
        <v>-0.63105446542052501</v>
      </c>
      <c r="HO32" s="3">
        <f ca="1">IFERROR(__xludf.DUMMYFUNCTION("""COMPUTED_VALUE"""),-0.716225770573565)</f>
        <v>-0.71622577057356496</v>
      </c>
      <c r="HP32" s="3">
        <f ca="1">IFERROR(__xludf.DUMMYFUNCTION("""COMPUTED_VALUE"""),-0.730160799021134)</f>
        <v>-0.73016079902113395</v>
      </c>
      <c r="HQ32" s="3">
        <f ca="1">IFERROR(__xludf.DUMMYFUNCTION("""COMPUTED_VALUE"""),-0.736673755980097)</f>
        <v>-0.73667375598009699</v>
      </c>
      <c r="HR32" s="3">
        <f ca="1">IFERROR(__xludf.DUMMYFUNCTION("""COMPUTED_VALUE"""),-0.743677058241203)</f>
        <v>-0.743677058241203</v>
      </c>
      <c r="HS32" s="3">
        <f ca="1">IFERROR(__xludf.DUMMYFUNCTION("""COMPUTED_VALUE"""),-0.710022335470285)</f>
        <v>-0.71002233547028504</v>
      </c>
      <c r="HT32" s="3">
        <f ca="1">IFERROR(__xludf.DUMMYFUNCTION("""COMPUTED_VALUE"""),-0.647623211405255)</f>
        <v>-0.64762321140525503</v>
      </c>
      <c r="HU32" s="3">
        <f ca="1">IFERROR(__xludf.DUMMYFUNCTION("""COMPUTED_VALUE"""),-0.662480153515044)</f>
        <v>-0.66248015351504397</v>
      </c>
      <c r="HV32" s="3">
        <f ca="1">IFERROR(__xludf.DUMMYFUNCTION("""COMPUTED_VALUE"""),-0.732708196633867)</f>
        <v>-0.73270819663386699</v>
      </c>
      <c r="HW32" s="3">
        <f ca="1">IFERROR(__xludf.DUMMYFUNCTION("""COMPUTED_VALUE"""),-0.75475538825185)</f>
        <v>-0.75475538825184996</v>
      </c>
      <c r="HX32" s="3">
        <f ca="1">IFERROR(__xludf.DUMMYFUNCTION("""COMPUTED_VALUE"""),-0.734569983211294)</f>
        <v>-0.73456998321129396</v>
      </c>
      <c r="HY32" s="3">
        <f ca="1">IFERROR(__xludf.DUMMYFUNCTION("""COMPUTED_VALUE"""),-0.727737745364651)</f>
        <v>-0.72773774536465097</v>
      </c>
      <c r="HZ32" s="3">
        <f ca="1">IFERROR(__xludf.DUMMYFUNCTION("""COMPUTED_VALUE"""),-0.672926871629413)</f>
        <v>-0.672926871629413</v>
      </c>
      <c r="IA32" s="3">
        <f ca="1">IFERROR(__xludf.DUMMYFUNCTION("""COMPUTED_VALUE"""),-0.609844794561912)</f>
        <v>-0.60984479456191198</v>
      </c>
      <c r="IB32" s="3">
        <f ca="1">IFERROR(__xludf.DUMMYFUNCTION("""COMPUTED_VALUE"""),-0.627697234325761)</f>
        <v>-0.62769723432576097</v>
      </c>
      <c r="IC32" s="3">
        <f ca="1">IFERROR(__xludf.DUMMYFUNCTION("""COMPUTED_VALUE"""),-0.732648423859557)</f>
        <v>-0.73264842385955697</v>
      </c>
      <c r="ID32" s="3">
        <f ca="1">IFERROR(__xludf.DUMMYFUNCTION("""COMPUTED_VALUE"""),-0.737339222135283)</f>
        <v>-0.73733922213528302</v>
      </c>
      <c r="IE32" s="3">
        <f ca="1">IFERROR(__xludf.DUMMYFUNCTION("""COMPUTED_VALUE"""),-0.749337976477025)</f>
        <v>-0.74933797647702505</v>
      </c>
      <c r="IF32" s="3">
        <f ca="1">IFERROR(__xludf.DUMMYFUNCTION("""COMPUTED_VALUE"""),-0.746364299252863)</f>
        <v>-0.74636429925286296</v>
      </c>
      <c r="IG32" s="3">
        <f ca="1">IFERROR(__xludf.DUMMYFUNCTION("""COMPUTED_VALUE"""),-0.760489555129122)</f>
        <v>-0.76048955512912197</v>
      </c>
      <c r="IH32" s="3">
        <f ca="1">IFERROR(__xludf.DUMMYFUNCTION("""COMPUTED_VALUE"""),-0.615891160247374)</f>
        <v>-0.615891160247374</v>
      </c>
      <c r="II32" s="3">
        <f ca="1">IFERROR(__xludf.DUMMYFUNCTION("""COMPUTED_VALUE"""),-0.655058830027691)</f>
        <v>-0.65505883002769105</v>
      </c>
      <c r="IJ32" s="3">
        <f ca="1">IFERROR(__xludf.DUMMYFUNCTION("""COMPUTED_VALUE"""),-0.742093256418015)</f>
        <v>-0.74209325641801505</v>
      </c>
      <c r="IK32" s="3">
        <f ca="1">IFERROR(__xludf.DUMMYFUNCTION("""COMPUTED_VALUE"""),-0.729442424007797)</f>
        <v>-0.72944242400779702</v>
      </c>
      <c r="IL32" s="3">
        <f ca="1">IFERROR(__xludf.DUMMYFUNCTION("""COMPUTED_VALUE"""),-0.726413801049008)</f>
        <v>-0.72641380104900799</v>
      </c>
      <c r="IM32" s="3">
        <f ca="1">IFERROR(__xludf.DUMMYFUNCTION("""COMPUTED_VALUE"""),-0.729168207772322)</f>
        <v>-0.72916820777232205</v>
      </c>
      <c r="IN32" s="3">
        <f ca="1">IFERROR(__xludf.DUMMYFUNCTION("""COMPUTED_VALUE"""),-0.704300773798758)</f>
        <v>-0.704300773798758</v>
      </c>
      <c r="IO32" s="3">
        <f ca="1">IFERROR(__xludf.DUMMYFUNCTION("""COMPUTED_VALUE"""),-0.565654659780891)</f>
        <v>-0.56565465978089102</v>
      </c>
      <c r="IP32" s="3">
        <f ca="1">IFERROR(__xludf.DUMMYFUNCTION("""COMPUTED_VALUE"""),-0.607511898393879)</f>
        <v>-0.60751189839387898</v>
      </c>
      <c r="IQ32" s="3">
        <f ca="1">IFERROR(__xludf.DUMMYFUNCTION("""COMPUTED_VALUE"""),-0.663262013799742)</f>
        <v>-0.66326201379974203</v>
      </c>
      <c r="IR32" s="3">
        <f ca="1">IFERROR(__xludf.DUMMYFUNCTION("""COMPUTED_VALUE"""),-0.701232642809614)</f>
        <v>-0.70123264280961395</v>
      </c>
      <c r="IS32" s="3">
        <f ca="1">IFERROR(__xludf.DUMMYFUNCTION("""COMPUTED_VALUE"""),-0.683263488577594)</f>
        <v>-0.683263488577594</v>
      </c>
      <c r="IT32" s="3">
        <f ca="1">IFERROR(__xludf.DUMMYFUNCTION("""COMPUTED_VALUE"""),-0.686505347079837)</f>
        <v>-0.68650534707983701</v>
      </c>
      <c r="IU32" s="3">
        <f ca="1">IFERROR(__xludf.DUMMYFUNCTION("""COMPUTED_VALUE"""),-0.674718937464664)</f>
        <v>-0.67471893746466405</v>
      </c>
      <c r="IV32" s="3">
        <f ca="1">IFERROR(__xludf.DUMMYFUNCTION("""COMPUTED_VALUE"""),-0.580711320119619)</f>
        <v>-0.58071132011961901</v>
      </c>
      <c r="IW32" s="3">
        <f ca="1">IFERROR(__xludf.DUMMYFUNCTION("""COMPUTED_VALUE"""),-0.611276685631063)</f>
        <v>-0.61127668563106297</v>
      </c>
      <c r="IX32" s="3">
        <f ca="1">IFERROR(__xludf.DUMMYFUNCTION("""COMPUTED_VALUE"""),-0.667362176782692)</f>
        <v>-0.66736217678269205</v>
      </c>
      <c r="IY32" s="3">
        <f ca="1">IFERROR(__xludf.DUMMYFUNCTION("""COMPUTED_VALUE"""),-0.690016473716486)</f>
        <v>-0.690016473716486</v>
      </c>
      <c r="IZ32" s="3">
        <f ca="1">IFERROR(__xludf.DUMMYFUNCTION("""COMPUTED_VALUE"""),-0.679062644985653)</f>
        <v>-0.67906264498565305</v>
      </c>
      <c r="JA32" s="3">
        <f ca="1">IFERROR(__xludf.DUMMYFUNCTION("""COMPUTED_VALUE"""),-0.698829108677349)</f>
        <v>-0.69882910867734904</v>
      </c>
      <c r="JB32" s="3">
        <f ca="1">IFERROR(__xludf.DUMMYFUNCTION("""COMPUTED_VALUE"""),-0.680253419152664)</f>
        <v>-0.68025341915266402</v>
      </c>
      <c r="JC32" s="3">
        <f ca="1">IFERROR(__xludf.DUMMYFUNCTION("""COMPUTED_VALUE"""),-0.608320794472939)</f>
        <v>-0.60832079447293896</v>
      </c>
      <c r="JD32" s="3">
        <f ca="1">IFERROR(__xludf.DUMMYFUNCTION("""COMPUTED_VALUE"""),-0.630942109280294)</f>
        <v>-0.63094210928029404</v>
      </c>
      <c r="JE32" s="3">
        <f ca="1">IFERROR(__xludf.DUMMYFUNCTION("""COMPUTED_VALUE"""),-0.673494962452763)</f>
        <v>-0.67349496245276297</v>
      </c>
      <c r="JF32" s="3">
        <f ca="1">IFERROR(__xludf.DUMMYFUNCTION("""COMPUTED_VALUE"""),-0.673987052953865)</f>
        <v>-0.67398705295386496</v>
      </c>
      <c r="JG32" s="3">
        <f ca="1">IFERROR(__xludf.DUMMYFUNCTION("""COMPUTED_VALUE"""),-0.687078885204782)</f>
        <v>-0.687078885204782</v>
      </c>
      <c r="JH32" s="3">
        <f ca="1">IFERROR(__xludf.DUMMYFUNCTION("""COMPUTED_VALUE"""),-0.694443127999982)</f>
        <v>-0.69444312799998198</v>
      </c>
      <c r="JI32" s="3">
        <f ca="1">IFERROR(__xludf.DUMMYFUNCTION("""COMPUTED_VALUE"""),-0.692309912223501)</f>
        <v>-0.69230991222350102</v>
      </c>
      <c r="JJ32" s="3">
        <f ca="1">IFERROR(__xludf.DUMMYFUNCTION("""COMPUTED_VALUE"""),-0.59012390924639)</f>
        <v>-0.59012390924639002</v>
      </c>
      <c r="JK32" s="3">
        <f ca="1">IFERROR(__xludf.DUMMYFUNCTION("""COMPUTED_VALUE"""),-0.613158651147446)</f>
        <v>-0.61315865114744605</v>
      </c>
      <c r="JL32" s="3">
        <f ca="1">IFERROR(__xludf.DUMMYFUNCTION("""COMPUTED_VALUE"""),-0.672263102811923)</f>
        <v>-0.67226310281192303</v>
      </c>
      <c r="JM32" s="3">
        <f ca="1">IFERROR(__xludf.DUMMYFUNCTION("""COMPUTED_VALUE"""),-0.682655889884436)</f>
        <v>-0.68265588988443604</v>
      </c>
      <c r="JN32" s="3">
        <f ca="1">IFERROR(__xludf.DUMMYFUNCTION("""COMPUTED_VALUE"""),-0.67709389355714)</f>
        <v>-0.67709389355714</v>
      </c>
      <c r="JO32" s="3">
        <f ca="1">IFERROR(__xludf.DUMMYFUNCTION("""COMPUTED_VALUE"""),-0.697700965203068)</f>
        <v>-0.69770096520306801</v>
      </c>
      <c r="JP32" s="3">
        <f ca="1">IFERROR(__xludf.DUMMYFUNCTION("""COMPUTED_VALUE"""),-0.668788036599703)</f>
        <v>-0.66878803659970298</v>
      </c>
      <c r="JQ32" s="3">
        <f ca="1">IFERROR(__xludf.DUMMYFUNCTION("""COMPUTED_VALUE"""),-0.583698504268917)</f>
        <v>-0.58369850426891701</v>
      </c>
      <c r="JR32" s="3">
        <f ca="1">IFERROR(__xludf.DUMMYFUNCTION("""COMPUTED_VALUE"""),-0.589994169071498)</f>
        <v>-0.58999416907149804</v>
      </c>
      <c r="JS32" s="3">
        <f ca="1">IFERROR(__xludf.DUMMYFUNCTION("""COMPUTED_VALUE"""),-0.655102327766153)</f>
        <v>-0.65510232776615296</v>
      </c>
      <c r="JT32" s="3">
        <f ca="1">IFERROR(__xludf.DUMMYFUNCTION("""COMPUTED_VALUE"""),-0.636840216120441)</f>
        <v>-0.63684021612044095</v>
      </c>
      <c r="JU32" s="3">
        <f ca="1">IFERROR(__xludf.DUMMYFUNCTION("""COMPUTED_VALUE"""),-0.676469086141116)</f>
        <v>-0.676469086141116</v>
      </c>
      <c r="JV32" s="3">
        <f ca="1">IFERROR(__xludf.DUMMYFUNCTION("""COMPUTED_VALUE"""),-0.688336928271961)</f>
        <v>-0.68833692827196102</v>
      </c>
      <c r="JW32" s="3">
        <f ca="1">IFERROR(__xludf.DUMMYFUNCTION("""COMPUTED_VALUE"""),-0.675151797856202)</f>
        <v>-0.67515179785620205</v>
      </c>
      <c r="JX32" s="3">
        <f ca="1">IFERROR(__xludf.DUMMYFUNCTION("""COMPUTED_VALUE"""),-0.557637177124206)</f>
        <v>-0.55763717712420602</v>
      </c>
      <c r="JY32" s="3">
        <f ca="1">IFERROR(__xludf.DUMMYFUNCTION("""COMPUTED_VALUE"""),-0.657698478381207)</f>
        <v>-0.65769847838120699</v>
      </c>
      <c r="JZ32" s="3">
        <f ca="1">IFERROR(__xludf.DUMMYFUNCTION("""COMPUTED_VALUE"""),-0.681081211698882)</f>
        <v>-0.68108121169888203</v>
      </c>
      <c r="KA32" s="3">
        <f ca="1">IFERROR(__xludf.DUMMYFUNCTION("""COMPUTED_VALUE"""),-0.63032131024645)</f>
        <v>-0.63032131024645</v>
      </c>
      <c r="KB32" s="3">
        <f ca="1">IFERROR(__xludf.DUMMYFUNCTION("""COMPUTED_VALUE"""),-0.668839156246875)</f>
        <v>-0.66883915624687496</v>
      </c>
      <c r="KC32" s="3">
        <f ca="1">IFERROR(__xludf.DUMMYFUNCTION("""COMPUTED_VALUE"""),-0.661400679846949)</f>
        <v>-0.66140067984694895</v>
      </c>
      <c r="KD32" s="3">
        <f ca="1">IFERROR(__xludf.DUMMYFUNCTION("""COMPUTED_VALUE"""),-0.661391120169853)</f>
        <v>-0.66139112016985302</v>
      </c>
      <c r="KE32" s="3">
        <f ca="1">IFERROR(__xludf.DUMMYFUNCTION("""COMPUTED_VALUE"""),-0.502955166463362)</f>
        <v>-0.50295516646336202</v>
      </c>
      <c r="KF32" s="3">
        <f ca="1">IFERROR(__xludf.DUMMYFUNCTION("""COMPUTED_VALUE"""),-0.492268500945911)</f>
        <v>-0.49226850094591101</v>
      </c>
      <c r="KG32" s="3">
        <f ca="1">IFERROR(__xludf.DUMMYFUNCTION("""COMPUTED_VALUE"""),-0.629526083591561)</f>
        <v>-0.62952608359156104</v>
      </c>
      <c r="KH32" s="3">
        <f ca="1">IFERROR(__xludf.DUMMYFUNCTION("""COMPUTED_VALUE"""),-0.602663478570472)</f>
        <v>-0.60266347857047198</v>
      </c>
      <c r="KI32" s="3">
        <f ca="1">IFERROR(__xludf.DUMMYFUNCTION("""COMPUTED_VALUE"""),-0.648150405518812)</f>
        <v>-0.64815040551881198</v>
      </c>
      <c r="KJ32" s="3">
        <f ca="1">IFERROR(__xludf.DUMMYFUNCTION("""COMPUTED_VALUE"""),-0.643902967856933)</f>
        <v>-0.64390296785693302</v>
      </c>
      <c r="KK32" s="3">
        <f ca="1">IFERROR(__xludf.DUMMYFUNCTION("""COMPUTED_VALUE"""),-0.652231420676803)</f>
        <v>-0.65223142067680295</v>
      </c>
      <c r="KL32" s="3">
        <f ca="1">IFERROR(__xludf.DUMMYFUNCTION("""COMPUTED_VALUE"""),-0.564584947030429)</f>
        <v>-0.56458494703042905</v>
      </c>
      <c r="KM32" s="3">
        <f ca="1">IFERROR(__xludf.DUMMYFUNCTION("""COMPUTED_VALUE"""),-0.560297853895375)</f>
        <v>-0.56029785389537501</v>
      </c>
      <c r="KN32" s="3">
        <f ca="1">IFERROR(__xludf.DUMMYFUNCTION("""COMPUTED_VALUE"""),-0.685807452381159)</f>
        <v>-0.68580745238115903</v>
      </c>
      <c r="KO32" s="3">
        <f ca="1">IFERROR(__xludf.DUMMYFUNCTION("""COMPUTED_VALUE"""),-0.684475576551649)</f>
        <v>-0.68447557655164903</v>
      </c>
      <c r="KP32" s="3">
        <f ca="1">IFERROR(__xludf.DUMMYFUNCTION("""COMPUTED_VALUE"""),-0.6794075799558)</f>
        <v>-0.67940757995580003</v>
      </c>
      <c r="KQ32" s="3">
        <f ca="1">IFERROR(__xludf.DUMMYFUNCTION("""COMPUTED_VALUE"""),-0.678294193234741)</f>
        <v>-0.67829419323474105</v>
      </c>
      <c r="KR32" s="3">
        <f ca="1">IFERROR(__xludf.DUMMYFUNCTION("""COMPUTED_VALUE"""),-0.646731626146185)</f>
        <v>-0.64673162614618496</v>
      </c>
      <c r="KS32" s="3">
        <f ca="1">IFERROR(__xludf.DUMMYFUNCTION("""COMPUTED_VALUE"""),-0.583321582085531)</f>
        <v>-0.58332158208553098</v>
      </c>
      <c r="KT32" s="3">
        <f ca="1">IFERROR(__xludf.DUMMYFUNCTION("""COMPUTED_VALUE"""),-0.573319772148438)</f>
        <v>-0.57331977214843799</v>
      </c>
      <c r="KU32" s="3">
        <f ca="1">IFERROR(__xludf.DUMMYFUNCTION("""COMPUTED_VALUE"""),-0.65499161231751)</f>
        <v>-0.65499161231751002</v>
      </c>
      <c r="KV32" s="3">
        <f ca="1">IFERROR(__xludf.DUMMYFUNCTION("""COMPUTED_VALUE"""),-0.712983737391494)</f>
        <v>-0.71298373739149401</v>
      </c>
      <c r="KW32" s="3">
        <f ca="1">IFERROR(__xludf.DUMMYFUNCTION("""COMPUTED_VALUE"""),-0.711849712310304)</f>
        <v>-0.71184971231030403</v>
      </c>
      <c r="KX32" s="3">
        <f ca="1">IFERROR(__xludf.DUMMYFUNCTION("""COMPUTED_VALUE"""),-0.72057583762059)</f>
        <v>-0.72057583762058997</v>
      </c>
      <c r="KY32" s="3">
        <f ca="1">IFERROR(__xludf.DUMMYFUNCTION("""COMPUTED_VALUE"""),-0.694972037438915)</f>
        <v>-0.694972037438915</v>
      </c>
      <c r="KZ32" s="3">
        <f ca="1">IFERROR(__xludf.DUMMYFUNCTION("""COMPUTED_VALUE"""),-0.581406071895488)</f>
        <v>-0.58140607189548799</v>
      </c>
      <c r="LA32" s="3">
        <f ca="1">IFERROR(__xludf.DUMMYFUNCTION("""COMPUTED_VALUE"""),-0.623799880060226)</f>
        <v>-0.62379988006022602</v>
      </c>
      <c r="LB32" s="3">
        <f ca="1">IFERROR(__xludf.DUMMYFUNCTION("""COMPUTED_VALUE"""),-0.687225879257083)</f>
        <v>-0.68722587925708301</v>
      </c>
      <c r="LC32" s="3">
        <f ca="1">IFERROR(__xludf.DUMMYFUNCTION("""COMPUTED_VALUE"""),-0.711857920212455)</f>
        <v>-0.71185792021245498</v>
      </c>
      <c r="LD32" s="3">
        <f ca="1">IFERROR(__xludf.DUMMYFUNCTION("""COMPUTED_VALUE"""),-0.697633307603827)</f>
        <v>-0.69763330760382702</v>
      </c>
      <c r="LE32" s="3">
        <f ca="1">IFERROR(__xludf.DUMMYFUNCTION("""COMPUTED_VALUE"""),-0.720969922030481)</f>
        <v>-0.72096992203048105</v>
      </c>
      <c r="LF32" s="3">
        <f ca="1">IFERROR(__xludf.DUMMYFUNCTION("""COMPUTED_VALUE"""),-0.653610627608761)</f>
        <v>-0.65361062760876099</v>
      </c>
      <c r="LG32" s="3">
        <f ca="1">IFERROR(__xludf.DUMMYFUNCTION("""COMPUTED_VALUE"""),-0.656832388426092)</f>
        <v>-0.65683238842609204</v>
      </c>
      <c r="LH32" s="3">
        <f ca="1">IFERROR(__xludf.DUMMYFUNCTION("""COMPUTED_VALUE"""),-0.644370620326869)</f>
        <v>-0.64437062032686898</v>
      </c>
      <c r="LI32" s="3">
        <f ca="1">IFERROR(__xludf.DUMMYFUNCTION("""COMPUTED_VALUE"""),-0.688141875958343)</f>
        <v>-0.68814187595834297</v>
      </c>
      <c r="LJ32" s="3">
        <f ca="1">IFERROR(__xludf.DUMMYFUNCTION("""COMPUTED_VALUE"""),-0.7481588342213)</f>
        <v>-0.74815883422130003</v>
      </c>
      <c r="LK32" s="3">
        <f ca="1">IFERROR(__xludf.DUMMYFUNCTION("""COMPUTED_VALUE"""),-0.714338682266332)</f>
        <v>-0.71433868226633201</v>
      </c>
      <c r="LL32" s="3">
        <f ca="1">IFERROR(__xludf.DUMMYFUNCTION("""COMPUTED_VALUE"""),-0.727606190046956)</f>
        <v>-0.72760619004695604</v>
      </c>
      <c r="LM32" s="3">
        <f ca="1">IFERROR(__xludf.DUMMYFUNCTION("""COMPUTED_VALUE"""),-0.759228614161601)</f>
        <v>-0.75922861416160103</v>
      </c>
      <c r="LN32" s="3">
        <f ca="1">IFERROR(__xludf.DUMMYFUNCTION("""COMPUTED_VALUE"""),-0.728624397624017)</f>
        <v>-0.72862439762401698</v>
      </c>
      <c r="LO32" s="3">
        <f ca="1">IFERROR(__xludf.DUMMYFUNCTION("""COMPUTED_VALUE"""),-0.655401823714803)</f>
        <v>-0.65540182371480304</v>
      </c>
      <c r="LP32" s="3">
        <f ca="1">IFERROR(__xludf.DUMMYFUNCTION("""COMPUTED_VALUE"""),-0.721045023431922)</f>
        <v>-0.72104502343192201</v>
      </c>
      <c r="LQ32" s="3">
        <f ca="1">IFERROR(__xludf.DUMMYFUNCTION("""COMPUTED_VALUE"""),-0.767782154222518)</f>
        <v>-0.76778215422251805</v>
      </c>
      <c r="LR32" s="3">
        <f ca="1">IFERROR(__xludf.DUMMYFUNCTION("""COMPUTED_VALUE"""),-0.752745499471231)</f>
        <v>-0.75274549947123104</v>
      </c>
      <c r="LS32" s="3">
        <f ca="1">IFERROR(__xludf.DUMMYFUNCTION("""COMPUTED_VALUE"""),-0.754016821596301)</f>
        <v>-0.75401682159630101</v>
      </c>
      <c r="LT32" s="3">
        <f ca="1">IFERROR(__xludf.DUMMYFUNCTION("""COMPUTED_VALUE"""),-0.70598159539249)</f>
        <v>-0.70598159539248995</v>
      </c>
      <c r="LU32" s="3">
        <f ca="1">IFERROR(__xludf.DUMMYFUNCTION("""COMPUTED_VALUE"""),-0.688342847623454)</f>
        <v>-0.68834284762345399</v>
      </c>
      <c r="LV32" s="3">
        <f ca="1">IFERROR(__xludf.DUMMYFUNCTION("""COMPUTED_VALUE"""),-0.69149879636585)</f>
        <v>-0.69149879636584999</v>
      </c>
      <c r="LW32" s="3">
        <f ca="1">IFERROR(__xludf.DUMMYFUNCTION("""COMPUTED_VALUE"""),-0.773904693694129)</f>
        <v>-0.77390469369412895</v>
      </c>
      <c r="LX32" s="3">
        <f ca="1">IFERROR(__xludf.DUMMYFUNCTION("""COMPUTED_VALUE"""),-0.779652205643328)</f>
        <v>-0.77965220564332804</v>
      </c>
      <c r="LY32" s="3">
        <f ca="1">IFERROR(__xludf.DUMMYFUNCTION("""COMPUTED_VALUE"""),-0.796674117224975)</f>
        <v>-0.79667411722497505</v>
      </c>
      <c r="LZ32" s="3">
        <f ca="1">IFERROR(__xludf.DUMMYFUNCTION("""COMPUTED_VALUE"""),-0.781450860953262)</f>
        <v>-0.78145086095326199</v>
      </c>
      <c r="MA32" s="3">
        <f ca="1">IFERROR(__xludf.DUMMYFUNCTION("""COMPUTED_VALUE"""),-0.815936593473929)</f>
        <v>-0.81593659347392899</v>
      </c>
      <c r="MB32" s="3">
        <f ca="1">IFERROR(__xludf.DUMMYFUNCTION("""COMPUTED_VALUE"""),-0.705390651911687)</f>
        <v>-0.70539065191168704</v>
      </c>
      <c r="MC32" s="3">
        <f ca="1">IFERROR(__xludf.DUMMYFUNCTION("""COMPUTED_VALUE"""),-0.741271769321503)</f>
        <v>-0.74127176932150296</v>
      </c>
      <c r="MD32" s="3">
        <f ca="1">IFERROR(__xludf.DUMMYFUNCTION("""COMPUTED_VALUE"""),-0.767825549573441)</f>
        <v>-0.76782554957344096</v>
      </c>
      <c r="ME32" s="3">
        <f ca="1">IFERROR(__xludf.DUMMYFUNCTION("""COMPUTED_VALUE"""),-0.805896962489908)</f>
        <v>-0.80589696248990805</v>
      </c>
      <c r="MF32" s="3">
        <f ca="1">IFERROR(__xludf.DUMMYFUNCTION("""COMPUTED_VALUE"""),-0.823620864532159)</f>
        <v>-0.82362086453215899</v>
      </c>
      <c r="MG32" s="3">
        <f ca="1">IFERROR(__xludf.DUMMYFUNCTION("""COMPUTED_VALUE"""),-0.816194972013589)</f>
        <v>-0.81619497201358904</v>
      </c>
      <c r="MH32" s="3">
        <f ca="1">IFERROR(__xludf.DUMMYFUNCTION("""COMPUTED_VALUE"""),-0.809022970266971)</f>
        <v>-0.80902297026697101</v>
      </c>
      <c r="MI32" s="3">
        <f ca="1">IFERROR(__xludf.DUMMYFUNCTION("""COMPUTED_VALUE"""),-0.733923218055905)</f>
        <v>-0.73392321805590499</v>
      </c>
      <c r="MJ32" s="3">
        <f ca="1">IFERROR(__xludf.DUMMYFUNCTION("""COMPUTED_VALUE"""),-0.783578913533175)</f>
        <v>-0.78357891353317499</v>
      </c>
      <c r="MK32" s="3">
        <f ca="1">IFERROR(__xludf.DUMMYFUNCTION("""COMPUTED_VALUE"""),-0.799655566098866)</f>
        <v>-0.79965556609886601</v>
      </c>
      <c r="ML32" s="3">
        <f ca="1">IFERROR(__xludf.DUMMYFUNCTION("""COMPUTED_VALUE"""),-0.826922725750313)</f>
        <v>-0.826922725750313</v>
      </c>
      <c r="MM32" s="3">
        <f ca="1">IFERROR(__xludf.DUMMYFUNCTION("""COMPUTED_VALUE"""),-0.832348554106379)</f>
        <v>-0.83234855410637898</v>
      </c>
      <c r="MN32" s="3">
        <f ca="1">IFERROR(__xludf.DUMMYFUNCTION("""COMPUTED_VALUE"""),-0.838857217496962)</f>
        <v>-0.83885721749696196</v>
      </c>
      <c r="MO32" s="3">
        <f ca="1">IFERROR(__xludf.DUMMYFUNCTION("""COMPUTED_VALUE"""),-0.796951062347478)</f>
        <v>-0.79695106234747803</v>
      </c>
      <c r="MP32" s="3">
        <f ca="1">IFERROR(__xludf.DUMMYFUNCTION("""COMPUTED_VALUE"""),-0.744429047478261)</f>
        <v>-0.744429047478261</v>
      </c>
      <c r="MQ32" s="3">
        <f ca="1">IFERROR(__xludf.DUMMYFUNCTION("""COMPUTED_VALUE"""),-0.786497181613052)</f>
        <v>-0.78649718161305204</v>
      </c>
      <c r="MR32" s="3">
        <f ca="1">IFERROR(__xludf.DUMMYFUNCTION("""COMPUTED_VALUE"""),-0.837135566140394)</f>
        <v>-0.83713556614039397</v>
      </c>
      <c r="MS32" s="3">
        <f ca="1">IFERROR(__xludf.DUMMYFUNCTION("""COMPUTED_VALUE"""),-0.822988806367279)</f>
        <v>-0.822988806367279</v>
      </c>
      <c r="MT32" s="3">
        <f ca="1">IFERROR(__xludf.DUMMYFUNCTION("""COMPUTED_VALUE"""),-0.818317868981542)</f>
        <v>-0.81831786898154202</v>
      </c>
      <c r="MU32" s="3">
        <f ca="1">IFERROR(__xludf.DUMMYFUNCTION("""COMPUTED_VALUE"""),-0.84090214510244)</f>
        <v>-0.84090214510243999</v>
      </c>
      <c r="MV32" s="3">
        <f ca="1">IFERROR(__xludf.DUMMYFUNCTION("""COMPUTED_VALUE"""),-0.803291411619408)</f>
        <v>-0.80329141161940798</v>
      </c>
      <c r="MW32" s="3">
        <f ca="1">IFERROR(__xludf.DUMMYFUNCTION("""COMPUTED_VALUE"""),-0.729694617423806)</f>
        <v>-0.72969461742380604</v>
      </c>
      <c r="MX32" s="3">
        <f ca="1">IFERROR(__xludf.DUMMYFUNCTION("""COMPUTED_VALUE"""),-0.764523586856946)</f>
        <v>-0.76452358685694599</v>
      </c>
      <c r="MY32" s="3">
        <f ca="1">IFERROR(__xludf.DUMMYFUNCTION("""COMPUTED_VALUE"""),-0.829169818308245)</f>
        <v>-0.82916981830824499</v>
      </c>
      <c r="MZ32" s="3">
        <f ca="1">IFERROR(__xludf.DUMMYFUNCTION("""COMPUTED_VALUE"""),-0.881397410085881)</f>
        <v>-0.88139741008588102</v>
      </c>
      <c r="NA32" s="3">
        <f ca="1">IFERROR(__xludf.DUMMYFUNCTION("""COMPUTED_VALUE"""),-0.811423965395072)</f>
        <v>-0.811423965395072</v>
      </c>
      <c r="NB32" s="3">
        <f ca="1">IFERROR(__xludf.DUMMYFUNCTION("""COMPUTED_VALUE"""),-0.841052604958234)</f>
        <v>-0.84105260495823397</v>
      </c>
      <c r="NC32" s="3">
        <f ca="1">IFERROR(__xludf.DUMMYFUNCTION("""COMPUTED_VALUE"""),-0.847992986580308)</f>
        <v>-0.84799298658030797</v>
      </c>
      <c r="ND32" s="3">
        <f ca="1">IFERROR(__xludf.DUMMYFUNCTION("""COMPUTED_VALUE"""),-0.789499769240885)</f>
        <v>-0.78949976924088505</v>
      </c>
      <c r="NE32" s="3">
        <f ca="1">IFERROR(__xludf.DUMMYFUNCTION("""COMPUTED_VALUE"""),-0.746275216684487)</f>
        <v>-0.74627521668448704</v>
      </c>
      <c r="NF32" s="3">
        <f ca="1">IFERROR(__xludf.DUMMYFUNCTION("""COMPUTED_VALUE"""),-0.828700111198179)</f>
        <v>-0.82870011119817899</v>
      </c>
      <c r="NG32" s="3">
        <f ca="1">IFERROR(__xludf.DUMMYFUNCTION("""COMPUTED_VALUE"""),-0.835974418819299)</f>
        <v>-0.83597441881929901</v>
      </c>
      <c r="NH32" s="3">
        <f ca="1">IFERROR(__xludf.DUMMYFUNCTION("""COMPUTED_VALUE"""),-0.820864795510282)</f>
        <v>-0.82086479551028202</v>
      </c>
      <c r="NI32" s="3">
        <f ca="1">IFERROR(__xludf.DUMMYFUNCTION("""COMPUTED_VALUE"""),-0.821988713095145)</f>
        <v>-0.82198871309514498</v>
      </c>
      <c r="NJ32" s="3">
        <f ca="1">IFERROR(__xludf.DUMMYFUNCTION("""COMPUTED_VALUE"""),-0.783930183622658)</f>
        <v>-0.78393018362265798</v>
      </c>
      <c r="NK32" s="3">
        <f ca="1">IFERROR(__xludf.DUMMYFUNCTION("""COMPUTED_VALUE"""),-0.679907732424046)</f>
        <v>-0.67990773242404601</v>
      </c>
      <c r="NL32" s="3">
        <f ca="1">IFERROR(__xludf.DUMMYFUNCTION("""COMPUTED_VALUE"""),-0.711701962910863)</f>
        <v>-0.71170196291086296</v>
      </c>
      <c r="NM32" s="3">
        <f ca="1">IFERROR(__xludf.DUMMYFUNCTION("""COMPUTED_VALUE"""),-0.796343278043134)</f>
        <v>-0.79634327804313398</v>
      </c>
      <c r="NN32" s="3">
        <f ca="1">IFERROR(__xludf.DUMMYFUNCTION("""COMPUTED_VALUE"""),-0.837998149803948)</f>
        <v>-0.83799814980394804</v>
      </c>
      <c r="NO32" s="3">
        <f ca="1">IFERROR(__xludf.DUMMYFUNCTION("""COMPUTED_VALUE"""),-0.805250424125104)</f>
        <v>-0.80525042412510395</v>
      </c>
      <c r="NP32" s="3">
        <f ca="1">IFERROR(__xludf.DUMMYFUNCTION("""COMPUTED_VALUE"""),-0.809139245456913)</f>
        <v>-0.80913924545691296</v>
      </c>
      <c r="NQ32" s="3">
        <f ca="1">IFERROR(__xludf.DUMMYFUNCTION("""COMPUTED_VALUE"""),-0.8031677649039)</f>
        <v>-0.80316776490389996</v>
      </c>
      <c r="NR32" s="3">
        <f ca="1">IFERROR(__xludf.DUMMYFUNCTION("""COMPUTED_VALUE"""),-0.717829068086395)</f>
        <v>-0.71782906808639502</v>
      </c>
      <c r="NS32" s="3">
        <f ca="1">IFERROR(__xludf.DUMMYFUNCTION("""COMPUTED_VALUE"""),-0.763416173135704)</f>
        <v>-0.76341617313570398</v>
      </c>
      <c r="NT32" s="3">
        <f ca="1">IFERROR(__xludf.DUMMYFUNCTION("""COMPUTED_VALUE"""),-0.810123607326869)</f>
        <v>-0.81012360732686906</v>
      </c>
      <c r="NU32" s="3">
        <f ca="1">IFERROR(__xludf.DUMMYFUNCTION("""COMPUTED_VALUE"""),-0.802719555846253)</f>
        <v>-0.80271955584625299</v>
      </c>
      <c r="NV32" s="3">
        <f ca="1">IFERROR(__xludf.DUMMYFUNCTION("""COMPUTED_VALUE"""),-0.784833059240303)</f>
        <v>-0.784833059240303</v>
      </c>
      <c r="NW32" s="3">
        <f ca="1">IFERROR(__xludf.DUMMYFUNCTION("""COMPUTED_VALUE"""),-0.739562843185292)</f>
        <v>-0.73956284318529197</v>
      </c>
      <c r="NX32" s="3">
        <f ca="1">IFERROR(__xludf.DUMMYFUNCTION("""COMPUTED_VALUE"""),-0.751675520180655)</f>
        <v>-0.75167552018065498</v>
      </c>
      <c r="NY32" s="3">
        <f ca="1">IFERROR(__xludf.DUMMYFUNCTION("""COMPUTED_VALUE"""),-0.624976262837844)</f>
        <v>-0.62497626283784402</v>
      </c>
      <c r="NZ32" s="3">
        <f ca="1">IFERROR(__xludf.DUMMYFUNCTION("""COMPUTED_VALUE"""),-0.643970642701982)</f>
        <v>-0.64397064270198201</v>
      </c>
      <c r="OA32" s="3">
        <f ca="1">IFERROR(__xludf.DUMMYFUNCTION("""COMPUTED_VALUE"""),-0.742855350825602)</f>
        <v>-0.74285535082560195</v>
      </c>
      <c r="OB32" s="3">
        <f ca="1">IFERROR(__xludf.DUMMYFUNCTION("""COMPUTED_VALUE"""),-0.767316056534445)</f>
        <v>-0.76731605653444501</v>
      </c>
      <c r="OC32" s="3">
        <f ca="1">IFERROR(__xludf.DUMMYFUNCTION("""COMPUTED_VALUE"""),-0.588590414704372)</f>
        <v>-0.58859041470437201</v>
      </c>
      <c r="OD32" s="3">
        <f ca="1">IFERROR(__xludf.DUMMYFUNCTION("""COMPUTED_VALUE"""),-0.645082160175361)</f>
        <v>-0.64508216017536102</v>
      </c>
      <c r="OE32" s="3">
        <f ca="1">IFERROR(__xludf.DUMMYFUNCTION("""COMPUTED_VALUE"""),-0.566937791157508)</f>
        <v>-0.56693779115750798</v>
      </c>
      <c r="OF32" s="3">
        <f ca="1">IFERROR(__xludf.DUMMYFUNCTION("""COMPUTED_VALUE"""),-0.31596491922329)</f>
        <v>-0.31596491922329001</v>
      </c>
      <c r="OG32" s="3">
        <f ca="1">IFERROR(__xludf.DUMMYFUNCTION("""COMPUTED_VALUE"""),-0.330789527075184)</f>
        <v>-0.330789527075184</v>
      </c>
      <c r="OH32" s="3">
        <f ca="1">IFERROR(__xludf.DUMMYFUNCTION("""COMPUTED_VALUE"""),-0.409381715941159)</f>
        <v>-0.40938171594115902</v>
      </c>
      <c r="OI32" s="3">
        <f ca="1">IFERROR(__xludf.DUMMYFUNCTION("""COMPUTED_VALUE"""),-0.223124506645106)</f>
        <v>-0.223124506645106</v>
      </c>
      <c r="OJ32" s="3">
        <f ca="1">IFERROR(__xludf.DUMMYFUNCTION("""COMPUTED_VALUE"""),0.00122697730364618)</f>
        <v>1.22697730364618E-3</v>
      </c>
      <c r="OK32" s="3">
        <f ca="1">IFERROR(__xludf.DUMMYFUNCTION("""COMPUTED_VALUE"""),-0.150331830631378)</f>
        <v>-0.15033183063137801</v>
      </c>
      <c r="OL32" s="3">
        <f ca="1">IFERROR(__xludf.DUMMYFUNCTION("""COMPUTED_VALUE"""),-0.15106740581187)</f>
        <v>-0.15106740581187</v>
      </c>
      <c r="OM32" s="3">
        <f ca="1">IFERROR(__xludf.DUMMYFUNCTION("""COMPUTED_VALUE"""),-0.0530760274306937)</f>
        <v>-5.3076027430693701E-2</v>
      </c>
      <c r="ON32" s="3">
        <f ca="1">IFERROR(__xludf.DUMMYFUNCTION("""COMPUTED_VALUE"""),-0.0433504105218184)</f>
        <v>-4.33504105218184E-2</v>
      </c>
      <c r="OO32" s="3">
        <f ca="1">IFERROR(__xludf.DUMMYFUNCTION("""COMPUTED_VALUE"""),-0.0803557246666937)</f>
        <v>-8.0355724666693704E-2</v>
      </c>
      <c r="OP32" s="3">
        <f ca="1">IFERROR(__xludf.DUMMYFUNCTION("""COMPUTED_VALUE"""),-0.0494136351499565)</f>
        <v>-4.9413635149956503E-2</v>
      </c>
      <c r="OQ32" s="3">
        <f ca="1">IFERROR(__xludf.DUMMYFUNCTION("""COMPUTED_VALUE"""),0.164450528337797)</f>
        <v>0.164450528337797</v>
      </c>
      <c r="OR32" s="3">
        <f ca="1">IFERROR(__xludf.DUMMYFUNCTION("""COMPUTED_VALUE"""),-0.0655503688493047)</f>
        <v>-6.5550368849304694E-2</v>
      </c>
      <c r="OS32" s="3">
        <f ca="1">IFERROR(__xludf.DUMMYFUNCTION("""COMPUTED_VALUE"""),-0.0544515304411165)</f>
        <v>-5.4451530441116502E-2</v>
      </c>
      <c r="OT32" s="3">
        <f ca="1">IFERROR(__xludf.DUMMYFUNCTION("""COMPUTED_VALUE"""),0.0526310236131721)</f>
        <v>5.2631023613172102E-2</v>
      </c>
      <c r="OU32" s="3">
        <f ca="1">IFERROR(__xludf.DUMMYFUNCTION("""COMPUTED_VALUE"""),0.0391636651881293)</f>
        <v>3.9163665188129297E-2</v>
      </c>
      <c r="OV32" s="3">
        <f ca="1">IFERROR(__xludf.DUMMYFUNCTION("""COMPUTED_VALUE"""),-0.0581216747380384)</f>
        <v>-5.8121674738038399E-2</v>
      </c>
      <c r="OW32" s="3">
        <f ca="1">IFERROR(__xludf.DUMMYFUNCTION("""COMPUTED_VALUE"""),-0.074003542119418)</f>
        <v>-7.4003542119417995E-2</v>
      </c>
      <c r="OX32" s="3">
        <f ca="1">IFERROR(__xludf.DUMMYFUNCTION("""COMPUTED_VALUE"""),-0.0395423888743248)</f>
        <v>-3.9542388874324798E-2</v>
      </c>
      <c r="OY32" s="3">
        <f ca="1">IFERROR(__xludf.DUMMYFUNCTION("""COMPUTED_VALUE"""),-0.0542814880619075)</f>
        <v>-5.4281488061907503E-2</v>
      </c>
      <c r="OZ32" s="3">
        <f ca="1">IFERROR(__xludf.DUMMYFUNCTION("""COMPUTED_VALUE"""),0.0319403702583527)</f>
        <v>3.1940370258352703E-2</v>
      </c>
      <c r="PA32" s="3">
        <f ca="1">IFERROR(__xludf.DUMMYFUNCTION("""COMPUTED_VALUE"""),0.0134750278983879)</f>
        <v>1.3475027898387899E-2</v>
      </c>
      <c r="PB32" s="3">
        <f ca="1">IFERROR(__xludf.DUMMYFUNCTION("""COMPUTED_VALUE"""),0.11051799907244)</f>
        <v>0.11051799907244</v>
      </c>
      <c r="PC32" s="3">
        <f ca="1">IFERROR(__xludf.DUMMYFUNCTION("""COMPUTED_VALUE"""),-0.0245818301185557)</f>
        <v>-2.4581830118555699E-2</v>
      </c>
      <c r="PD32" s="3">
        <f ca="1">IFERROR(__xludf.DUMMYFUNCTION("""COMPUTED_VALUE"""),0.0745003367715642)</f>
        <v>7.4500336771564202E-2</v>
      </c>
      <c r="PE32" s="3">
        <f ca="1">IFERROR(__xludf.DUMMYFUNCTION("""COMPUTED_VALUE"""),0.0830279100622839)</f>
        <v>8.3027910062283897E-2</v>
      </c>
      <c r="PF32" s="3">
        <f ca="1">IFERROR(__xludf.DUMMYFUNCTION("""COMPUTED_VALUE"""),-0.0227079394147715)</f>
        <v>-2.2707939414771498E-2</v>
      </c>
      <c r="PG32" s="3">
        <f ca="1">IFERROR(__xludf.DUMMYFUNCTION("""COMPUTED_VALUE"""),-0.166096314855838)</f>
        <v>-0.16609631485583801</v>
      </c>
      <c r="PH32" s="3">
        <f ca="1">IFERROR(__xludf.DUMMYFUNCTION("""COMPUTED_VALUE"""),0.0713077860016158)</f>
        <v>7.1307786001615803E-2</v>
      </c>
      <c r="PI32" s="3">
        <f ca="1">IFERROR(__xludf.DUMMYFUNCTION("""COMPUTED_VALUE"""),0.0738425859970386)</f>
        <v>7.3842585997038607E-2</v>
      </c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</row>
    <row r="33" spans="1:477" ht="15.75" customHeight="1">
      <c r="A33" s="1" t="str">
        <f ca="1">IFERROR(__xludf.DUMMYFUNCTION("""COMPUTED_VALUE"""),"SMART")</f>
        <v>SMART</v>
      </c>
      <c r="B33" s="1" t="str">
        <f ca="1">IFERROR(__xludf.DUMMYFUNCTION("""COMPUTED_VALUE"""),"Detroit")</f>
        <v>Detroit</v>
      </c>
      <c r="C33" s="1" t="str">
        <f ca="1">IFERROR(__xludf.DUMMYFUNCTION("""COMPUTED_VALUE"""),"United States")</f>
        <v>United States</v>
      </c>
      <c r="D33" s="1" t="str">
        <f ca="1">IFERROR(__xludf.DUMMYFUNCTION("""COMPUTED_VALUE"""),"Michigan")</f>
        <v>Michigan</v>
      </c>
      <c r="E33" s="3">
        <f ca="1">IFERROR(__xludf.DUMMYFUNCTION("""COMPUTED_VALUE"""),-0.456844978582194)</f>
        <v>-0.45684497858219397</v>
      </c>
      <c r="F33" s="3">
        <f ca="1">IFERROR(__xludf.DUMMYFUNCTION("""COMPUTED_VALUE"""),-0.520185325176054)</f>
        <v>-0.52018532517605398</v>
      </c>
      <c r="G33" s="3">
        <f ca="1">IFERROR(__xludf.DUMMYFUNCTION("""COMPUTED_VALUE"""),-0.570022771075817)</f>
        <v>-0.570022771075817</v>
      </c>
      <c r="H33" s="3">
        <f ca="1">IFERROR(__xludf.DUMMYFUNCTION("""COMPUTED_VALUE"""),-0.529598387802009)</f>
        <v>-0.52959838780200896</v>
      </c>
      <c r="I33" s="3">
        <f ca="1">IFERROR(__xludf.DUMMYFUNCTION("""COMPUTED_VALUE"""),-0.551929813223104)</f>
        <v>-0.55192981322310397</v>
      </c>
      <c r="J33" s="3">
        <f ca="1">IFERROR(__xludf.DUMMYFUNCTION("""COMPUTED_VALUE"""),-0.559872407758417)</f>
        <v>-0.55987240775841696</v>
      </c>
      <c r="K33" s="3">
        <f ca="1">IFERROR(__xludf.DUMMYFUNCTION("""COMPUTED_VALUE"""),-0.491467007705797)</f>
        <v>-0.49146700770579699</v>
      </c>
      <c r="L33" s="3">
        <f ca="1">IFERROR(__xludf.DUMMYFUNCTION("""COMPUTED_VALUE"""),-0.48682322588751)</f>
        <v>-0.48682322588750998</v>
      </c>
      <c r="M33" s="3">
        <f ca="1">IFERROR(__xludf.DUMMYFUNCTION("""COMPUTED_VALUE"""),-0.580346119599799)</f>
        <v>-0.58034611959979898</v>
      </c>
      <c r="N33" s="3">
        <f ca="1">IFERROR(__xludf.DUMMYFUNCTION("""COMPUTED_VALUE"""),-0.575128200732266)</f>
        <v>-0.575128200732266</v>
      </c>
      <c r="O33" s="3">
        <f ca="1">IFERROR(__xludf.DUMMYFUNCTION("""COMPUTED_VALUE"""),-0.536743511188049)</f>
        <v>-0.53674351118804897</v>
      </c>
      <c r="P33" s="3">
        <f ca="1">IFERROR(__xludf.DUMMYFUNCTION("""COMPUTED_VALUE"""),-0.530234414223028)</f>
        <v>-0.53023441422302797</v>
      </c>
      <c r="Q33" s="3">
        <f ca="1">IFERROR(__xludf.DUMMYFUNCTION("""COMPUTED_VALUE"""),-0.533655617908039)</f>
        <v>-0.53365561790803895</v>
      </c>
      <c r="R33" s="3">
        <f ca="1">IFERROR(__xludf.DUMMYFUNCTION("""COMPUTED_VALUE"""),-0.509415456388139)</f>
        <v>-0.50941545638813901</v>
      </c>
      <c r="S33" s="3">
        <f ca="1">IFERROR(__xludf.DUMMYFUNCTION("""COMPUTED_VALUE"""),-0.476781626929055)</f>
        <v>-0.47678162692905501</v>
      </c>
      <c r="T33" s="3">
        <f ca="1">IFERROR(__xludf.DUMMYFUNCTION("""COMPUTED_VALUE"""),-0.568990116304007)</f>
        <v>-0.56899011630400698</v>
      </c>
      <c r="U33" s="3">
        <f ca="1">IFERROR(__xludf.DUMMYFUNCTION("""COMPUTED_VALUE"""),-0.593542345264808)</f>
        <v>-0.59354234526480798</v>
      </c>
      <c r="V33" s="3">
        <f ca="1">IFERROR(__xludf.DUMMYFUNCTION("""COMPUTED_VALUE"""),-0.542452520825474)</f>
        <v>-0.54245252082547402</v>
      </c>
      <c r="W33" s="3">
        <f ca="1">IFERROR(__xludf.DUMMYFUNCTION("""COMPUTED_VALUE"""),-0.56205468865707)</f>
        <v>-0.56205468865706998</v>
      </c>
      <c r="X33" s="3">
        <f ca="1">IFERROR(__xludf.DUMMYFUNCTION("""COMPUTED_VALUE"""),-0.508403493281591)</f>
        <v>-0.50840349328159096</v>
      </c>
      <c r="Y33" s="3">
        <f ca="1">IFERROR(__xludf.DUMMYFUNCTION("""COMPUTED_VALUE"""),-0.448186080437428)</f>
        <v>-0.44818608043742802</v>
      </c>
      <c r="Z33" s="3">
        <f ca="1">IFERROR(__xludf.DUMMYFUNCTION("""COMPUTED_VALUE"""),-0.470036635700526)</f>
        <v>-0.47003663570052601</v>
      </c>
      <c r="AA33" s="3">
        <f ca="1">IFERROR(__xludf.DUMMYFUNCTION("""COMPUTED_VALUE"""),-0.582478846057383)</f>
        <v>-0.58247884605738298</v>
      </c>
      <c r="AB33" s="3">
        <f ca="1">IFERROR(__xludf.DUMMYFUNCTION("""COMPUTED_VALUE"""),-0.584350516360659)</f>
        <v>-0.58435051636065904</v>
      </c>
      <c r="AC33" s="3">
        <f ca="1">IFERROR(__xludf.DUMMYFUNCTION("""COMPUTED_VALUE"""),-0.56298314133869)</f>
        <v>-0.56298314133868999</v>
      </c>
      <c r="AD33" s="3">
        <f ca="1">IFERROR(__xludf.DUMMYFUNCTION("""COMPUTED_VALUE"""),-0.607088522681343)</f>
        <v>-0.60708852268134295</v>
      </c>
      <c r="AE33" s="3">
        <f ca="1">IFERROR(__xludf.DUMMYFUNCTION("""COMPUTED_VALUE"""),-0.589524540466959)</f>
        <v>-0.58952454046695901</v>
      </c>
      <c r="AF33" s="3">
        <f ca="1">IFERROR(__xludf.DUMMYFUNCTION("""COMPUTED_VALUE"""),-0.396129629606901)</f>
        <v>-0.39612962960690101</v>
      </c>
      <c r="AG33" s="3">
        <f ca="1">IFERROR(__xludf.DUMMYFUNCTION("""COMPUTED_VALUE"""),-0.417349522019687)</f>
        <v>-0.417349522019687</v>
      </c>
      <c r="AH33" s="3">
        <f ca="1">IFERROR(__xludf.DUMMYFUNCTION("""COMPUTED_VALUE"""),-0.454759487255075)</f>
        <v>-0.45475948725507498</v>
      </c>
      <c r="AI33" s="3">
        <f ca="1">IFERROR(__xludf.DUMMYFUNCTION("""COMPUTED_VALUE"""),-0.501587637116185)</f>
        <v>-0.50158763711618504</v>
      </c>
      <c r="AJ33" s="3">
        <f ca="1">IFERROR(__xludf.DUMMYFUNCTION("""COMPUTED_VALUE"""),-0.525319166786137)</f>
        <v>-0.52531916678613699</v>
      </c>
      <c r="AK33" s="3">
        <f ca="1">IFERROR(__xludf.DUMMYFUNCTION("""COMPUTED_VALUE"""),-0.513907844609401)</f>
        <v>-0.51390784460940098</v>
      </c>
      <c r="AL33" s="3">
        <f ca="1">IFERROR(__xludf.DUMMYFUNCTION("""COMPUTED_VALUE"""),-0.489931490067239)</f>
        <v>-0.48993149006723902</v>
      </c>
      <c r="AM33" s="3">
        <f ca="1">IFERROR(__xludf.DUMMYFUNCTION("""COMPUTED_VALUE"""),-0.413317555027364)</f>
        <v>-0.413317555027364</v>
      </c>
      <c r="AN33" s="3">
        <f ca="1">IFERROR(__xludf.DUMMYFUNCTION("""COMPUTED_VALUE"""),-0.454671739707675)</f>
        <v>-0.45467173970767499</v>
      </c>
      <c r="AO33" s="3">
        <f ca="1">IFERROR(__xludf.DUMMYFUNCTION("""COMPUTED_VALUE"""),-0.533810918282602)</f>
        <v>-0.53381091828260196</v>
      </c>
      <c r="AP33" s="3">
        <f ca="1">IFERROR(__xludf.DUMMYFUNCTION("""COMPUTED_VALUE"""),-0.548589995287814)</f>
        <v>-0.54858999528781405</v>
      </c>
      <c r="AQ33" s="3">
        <f ca="1">IFERROR(__xludf.DUMMYFUNCTION("""COMPUTED_VALUE"""),-0.527893048230473)</f>
        <v>-0.52789304823047301</v>
      </c>
      <c r="AR33" s="3">
        <f ca="1">IFERROR(__xludf.DUMMYFUNCTION("""COMPUTED_VALUE"""),-0.506941176670146)</f>
        <v>-0.50694117667014604</v>
      </c>
      <c r="AS33" s="3">
        <f ca="1">IFERROR(__xludf.DUMMYFUNCTION("""COMPUTED_VALUE"""),-0.477481883537781)</f>
        <v>-0.47748188353778098</v>
      </c>
      <c r="AT33" s="3">
        <f ca="1">IFERROR(__xludf.DUMMYFUNCTION("""COMPUTED_VALUE"""),-0.401287466508708)</f>
        <v>-0.401287466508708</v>
      </c>
      <c r="AU33" s="3">
        <f ca="1">IFERROR(__xludf.DUMMYFUNCTION("""COMPUTED_VALUE"""),-0.453865952186456)</f>
        <v>-0.45386595218645598</v>
      </c>
      <c r="AV33" s="3">
        <f ca="1">IFERROR(__xludf.DUMMYFUNCTION("""COMPUTED_VALUE"""),-0.536512421649617)</f>
        <v>-0.53651242164961699</v>
      </c>
      <c r="AW33" s="3">
        <f ca="1">IFERROR(__xludf.DUMMYFUNCTION("""COMPUTED_VALUE"""),-0.51758719070302)</f>
        <v>-0.51758719070301995</v>
      </c>
      <c r="AX33" s="3">
        <f ca="1">IFERROR(__xludf.DUMMYFUNCTION("""COMPUTED_VALUE"""),-0.504295816691804)</f>
        <v>-0.50429581669180401</v>
      </c>
      <c r="AY33" s="3">
        <f ca="1">IFERROR(__xludf.DUMMYFUNCTION("""COMPUTED_VALUE"""),-0.514093271110096)</f>
        <v>-0.51409327111009595</v>
      </c>
      <c r="AZ33" s="3">
        <f ca="1">IFERROR(__xludf.DUMMYFUNCTION("""COMPUTED_VALUE"""),-0.489768715671614)</f>
        <v>-0.48976871567161401</v>
      </c>
      <c r="BA33" s="3">
        <f ca="1">IFERROR(__xludf.DUMMYFUNCTION("""COMPUTED_VALUE"""),-0.521241757541526)</f>
        <v>-0.52124175754152602</v>
      </c>
      <c r="BB33" s="3">
        <f ca="1">IFERROR(__xludf.DUMMYFUNCTION("""COMPUTED_VALUE"""),-0.490046875009348)</f>
        <v>-0.49004687500934802</v>
      </c>
      <c r="BC33" s="3">
        <f ca="1">IFERROR(__xludf.DUMMYFUNCTION("""COMPUTED_VALUE"""),-0.573455613409285)</f>
        <v>-0.57345561340928497</v>
      </c>
      <c r="BD33" s="3">
        <f ca="1">IFERROR(__xludf.DUMMYFUNCTION("""COMPUTED_VALUE"""),-0.604414670447468)</f>
        <v>-0.60441467044746799</v>
      </c>
      <c r="BE33" s="3">
        <f ca="1">IFERROR(__xludf.DUMMYFUNCTION("""COMPUTED_VALUE"""),-0.564580529766627)</f>
        <v>-0.56458052976662698</v>
      </c>
      <c r="BF33" s="3">
        <f ca="1">IFERROR(__xludf.DUMMYFUNCTION("""COMPUTED_VALUE"""),-0.605593498002604)</f>
        <v>-0.60559349800260398</v>
      </c>
      <c r="BG33" s="3">
        <f ca="1">IFERROR(__xludf.DUMMYFUNCTION("""COMPUTED_VALUE"""),-0.573631728268375)</f>
        <v>-0.57363172826837505</v>
      </c>
      <c r="BH33" s="3">
        <f ca="1">IFERROR(__xludf.DUMMYFUNCTION("""COMPUTED_VALUE"""),-0.467428376939353)</f>
        <v>-0.46742837693935302</v>
      </c>
      <c r="BI33" s="3">
        <f ca="1">IFERROR(__xludf.DUMMYFUNCTION("""COMPUTED_VALUE"""),-0.549790065383119)</f>
        <v>-0.54979006538311903</v>
      </c>
      <c r="BJ33" s="3">
        <f ca="1">IFERROR(__xludf.DUMMYFUNCTION("""COMPUTED_VALUE"""),-0.631127059876458)</f>
        <v>-0.63112705987645801</v>
      </c>
      <c r="BK33" s="3">
        <f ca="1">IFERROR(__xludf.DUMMYFUNCTION("""COMPUTED_VALUE"""),-0.620864859743326)</f>
        <v>-0.62086485974332595</v>
      </c>
      <c r="BL33" s="3">
        <f ca="1">IFERROR(__xludf.DUMMYFUNCTION("""COMPUTED_VALUE"""),-0.622069974589538)</f>
        <v>-0.62206997458953806</v>
      </c>
      <c r="BM33" s="3">
        <f ca="1">IFERROR(__xludf.DUMMYFUNCTION("""COMPUTED_VALUE"""),-0.639775596410236)</f>
        <v>-0.63977559641023596</v>
      </c>
      <c r="BN33" s="3">
        <f ca="1">IFERROR(__xludf.DUMMYFUNCTION("""COMPUTED_VALUE"""),-0.625617495916402)</f>
        <v>-0.62561749591640203</v>
      </c>
      <c r="BO33" s="3">
        <f ca="1">IFERROR(__xludf.DUMMYFUNCTION("""COMPUTED_VALUE"""),-0.583193347201201)</f>
        <v>-0.58319334720120097</v>
      </c>
      <c r="BP33" s="3">
        <f ca="1">IFERROR(__xludf.DUMMYFUNCTION("""COMPUTED_VALUE"""),-0.599878936729858)</f>
        <v>-0.59987893672985804</v>
      </c>
      <c r="BQ33" s="3">
        <f ca="1">IFERROR(__xludf.DUMMYFUNCTION("""COMPUTED_VALUE"""),-0.677231881513952)</f>
        <v>-0.67723188151395197</v>
      </c>
      <c r="BR33" s="3">
        <f ca="1">IFERROR(__xludf.DUMMYFUNCTION("""COMPUTED_VALUE"""),-0.597158291255276)</f>
        <v>-0.59715829125527597</v>
      </c>
      <c r="BS33" s="3">
        <f ca="1">IFERROR(__xludf.DUMMYFUNCTION("""COMPUTED_VALUE"""),-0.607457222154662)</f>
        <v>-0.60745722215466202</v>
      </c>
      <c r="BT33" s="3">
        <f ca="1">IFERROR(__xludf.DUMMYFUNCTION("""COMPUTED_VALUE"""),-0.635315017554562)</f>
        <v>-0.63531501755456199</v>
      </c>
      <c r="BU33" s="3">
        <f ca="1">IFERROR(__xludf.DUMMYFUNCTION("""COMPUTED_VALUE"""),-0.637193347642853)</f>
        <v>-0.63719334764285296</v>
      </c>
      <c r="BV33" s="3">
        <f ca="1">IFERROR(__xludf.DUMMYFUNCTION("""COMPUTED_VALUE"""),-0.579763587167323)</f>
        <v>-0.57976358716732301</v>
      </c>
      <c r="BW33" s="3">
        <f ca="1">IFERROR(__xludf.DUMMYFUNCTION("""COMPUTED_VALUE"""),-0.595577150388902)</f>
        <v>-0.59557715038890202</v>
      </c>
      <c r="BX33" s="3">
        <f ca="1">IFERROR(__xludf.DUMMYFUNCTION("""COMPUTED_VALUE"""),-0.651099974216384)</f>
        <v>-0.65109997421638399</v>
      </c>
      <c r="BY33" s="3">
        <f ca="1">IFERROR(__xludf.DUMMYFUNCTION("""COMPUTED_VALUE"""),-0.664224691220763)</f>
        <v>-0.664224691220763</v>
      </c>
      <c r="BZ33" s="3">
        <f ca="1">IFERROR(__xludf.DUMMYFUNCTION("""COMPUTED_VALUE"""),-0.629404746495252)</f>
        <v>-0.62940474649525202</v>
      </c>
      <c r="CA33" s="3">
        <f ca="1">IFERROR(__xludf.DUMMYFUNCTION("""COMPUTED_VALUE"""),-0.658182925269389)</f>
        <v>-0.65818292526938904</v>
      </c>
      <c r="CB33" s="3">
        <f ca="1">IFERROR(__xludf.DUMMYFUNCTION("""COMPUTED_VALUE"""),-0.661295383805131)</f>
        <v>-0.66129538380513098</v>
      </c>
      <c r="CC33" s="3">
        <f ca="1">IFERROR(__xludf.DUMMYFUNCTION("""COMPUTED_VALUE"""),-0.578619944166925)</f>
        <v>-0.57861994416692497</v>
      </c>
      <c r="CD33" s="3">
        <f ca="1">IFERROR(__xludf.DUMMYFUNCTION("""COMPUTED_VALUE"""),-0.605672556513313)</f>
        <v>-0.60567255651331298</v>
      </c>
      <c r="CE33" s="3">
        <f ca="1">IFERROR(__xludf.DUMMYFUNCTION("""COMPUTED_VALUE"""),-0.662970903003191)</f>
        <v>-0.66297090300319095</v>
      </c>
      <c r="CF33" s="3">
        <f ca="1">IFERROR(__xludf.DUMMYFUNCTION("""COMPUTED_VALUE"""),-0.650543987023962)</f>
        <v>-0.65054398702396199</v>
      </c>
      <c r="CG33" s="3">
        <f ca="1">IFERROR(__xludf.DUMMYFUNCTION("""COMPUTED_VALUE"""),-0.688644902959469)</f>
        <v>-0.68864490295946901</v>
      </c>
      <c r="CH33" s="3">
        <f ca="1">IFERROR(__xludf.DUMMYFUNCTION("""COMPUTED_VALUE"""),-0.675352341165069)</f>
        <v>-0.67535234116506904</v>
      </c>
      <c r="CI33" s="3">
        <f ca="1">IFERROR(__xludf.DUMMYFUNCTION("""COMPUTED_VALUE"""),-0.66321351244948)</f>
        <v>-0.66321351244948001</v>
      </c>
      <c r="CJ33" s="3">
        <f ca="1">IFERROR(__xludf.DUMMYFUNCTION("""COMPUTED_VALUE"""),-0.544493673345461)</f>
        <v>-0.54449367334546095</v>
      </c>
      <c r="CK33" s="3">
        <f ca="1">IFERROR(__xludf.DUMMYFUNCTION("""COMPUTED_VALUE"""),-0.569544730337137)</f>
        <v>-0.56954473033713704</v>
      </c>
      <c r="CL33" s="3">
        <f ca="1">IFERROR(__xludf.DUMMYFUNCTION("""COMPUTED_VALUE"""),-0.66805345384622)</f>
        <v>-0.66805345384621995</v>
      </c>
      <c r="CM33" s="3">
        <f ca="1">IFERROR(__xludf.DUMMYFUNCTION("""COMPUTED_VALUE"""),-0.632709291016031)</f>
        <v>-0.63270929101603102</v>
      </c>
      <c r="CN33" s="3">
        <f ca="1">IFERROR(__xludf.DUMMYFUNCTION("""COMPUTED_VALUE"""),-0.641571153574731)</f>
        <v>-0.64157115357473105</v>
      </c>
      <c r="CO33" s="3">
        <f ca="1">IFERROR(__xludf.DUMMYFUNCTION("""COMPUTED_VALUE"""),-0.671035113744131)</f>
        <v>-0.67103511374413105</v>
      </c>
      <c r="CP33" s="3">
        <f ca="1">IFERROR(__xludf.DUMMYFUNCTION("""COMPUTED_VALUE"""),-0.630747976565105)</f>
        <v>-0.63074797656510495</v>
      </c>
      <c r="CQ33" s="3">
        <f ca="1">IFERROR(__xludf.DUMMYFUNCTION("""COMPUTED_VALUE"""),-0.579835223025046)</f>
        <v>-0.57983522302504598</v>
      </c>
      <c r="CR33" s="3">
        <f ca="1">IFERROR(__xludf.DUMMYFUNCTION("""COMPUTED_VALUE"""),-0.537770567606291)</f>
        <v>-0.53777056760629105</v>
      </c>
      <c r="CS33" s="3">
        <f ca="1">IFERROR(__xludf.DUMMYFUNCTION("""COMPUTED_VALUE"""),-0.673843516034122)</f>
        <v>-0.67384351603412196</v>
      </c>
      <c r="CT33" s="3">
        <f ca="1">IFERROR(__xludf.DUMMYFUNCTION("""COMPUTED_VALUE"""),-0.656427926177354)</f>
        <v>-0.65642792617735402</v>
      </c>
      <c r="CU33" s="3">
        <f ca="1">IFERROR(__xludf.DUMMYFUNCTION("""COMPUTED_VALUE"""),-0.629039713253716)</f>
        <v>-0.62903971325371599</v>
      </c>
      <c r="CV33" s="3">
        <f ca="1">IFERROR(__xludf.DUMMYFUNCTION("""COMPUTED_VALUE"""),-0.631918046794639)</f>
        <v>-0.63191804679463903</v>
      </c>
      <c r="CW33" s="3">
        <f ca="1">IFERROR(__xludf.DUMMYFUNCTION("""COMPUTED_VALUE"""),-0.637373647068493)</f>
        <v>-0.63737364706849298</v>
      </c>
      <c r="CX33" s="3">
        <f ca="1">IFERROR(__xludf.DUMMYFUNCTION("""COMPUTED_VALUE"""),-0.603678298301132)</f>
        <v>-0.60367829830113195</v>
      </c>
      <c r="CY33" s="3">
        <f ca="1">IFERROR(__xludf.DUMMYFUNCTION("""COMPUTED_VALUE"""),-0.605269621386863)</f>
        <v>-0.60526962138686302</v>
      </c>
      <c r="CZ33" s="3">
        <f ca="1">IFERROR(__xludf.DUMMYFUNCTION("""COMPUTED_VALUE"""),-0.777056356485293)</f>
        <v>-0.77705635648529303</v>
      </c>
      <c r="DA33" s="3">
        <f ca="1">IFERROR(__xludf.DUMMYFUNCTION("""COMPUTED_VALUE"""),-0.657687663774815)</f>
        <v>-0.65768766377481502</v>
      </c>
      <c r="DB33" s="3">
        <f ca="1">IFERROR(__xludf.DUMMYFUNCTION("""COMPUTED_VALUE"""),-0.57188158536763)</f>
        <v>-0.57188158536763001</v>
      </c>
      <c r="DC33" s="3">
        <f ca="1">IFERROR(__xludf.DUMMYFUNCTION("""COMPUTED_VALUE"""),-0.620055677255912)</f>
        <v>-0.62005567725591204</v>
      </c>
      <c r="DD33" s="3">
        <f ca="1">IFERROR(__xludf.DUMMYFUNCTION("""COMPUTED_VALUE"""),-0.653422162446297)</f>
        <v>-0.65342216244629703</v>
      </c>
      <c r="DE33" s="3">
        <f ca="1">IFERROR(__xludf.DUMMYFUNCTION("""COMPUTED_VALUE"""),-0.638079734645006)</f>
        <v>-0.638079734645006</v>
      </c>
      <c r="DF33" s="3">
        <f ca="1">IFERROR(__xludf.DUMMYFUNCTION("""COMPUTED_VALUE"""),-0.669436781905573)</f>
        <v>-0.66943678190557299</v>
      </c>
      <c r="DG33" s="3">
        <f ca="1">IFERROR(__xludf.DUMMYFUNCTION("""COMPUTED_VALUE"""),-0.852652187017461)</f>
        <v>-0.85265218701746104</v>
      </c>
      <c r="DH33" s="3">
        <f ca="1">IFERROR(__xludf.DUMMYFUNCTION("""COMPUTED_VALUE"""),-0.714230094251192)</f>
        <v>-0.71423009425119199</v>
      </c>
      <c r="DI33" s="3">
        <f ca="1">IFERROR(__xludf.DUMMYFUNCTION("""COMPUTED_VALUE"""),-0.458534193107682)</f>
        <v>-0.45853419310768201</v>
      </c>
      <c r="DJ33" s="3">
        <f ca="1">IFERROR(__xludf.DUMMYFUNCTION("""COMPUTED_VALUE"""),-0.591250879475815)</f>
        <v>-0.59125087947581501</v>
      </c>
      <c r="DK33" s="3">
        <f ca="1">IFERROR(__xludf.DUMMYFUNCTION("""COMPUTED_VALUE"""),-0.636662202321838)</f>
        <v>-0.63666220232183801</v>
      </c>
      <c r="DL33" s="3">
        <f ca="1">IFERROR(__xludf.DUMMYFUNCTION("""COMPUTED_VALUE"""),-0.608187430716209)</f>
        <v>-0.60818743071620895</v>
      </c>
      <c r="DM33" s="3">
        <f ca="1">IFERROR(__xludf.DUMMYFUNCTION("""COMPUTED_VALUE"""),-0.645970303703275)</f>
        <v>-0.64597030370327502</v>
      </c>
      <c r="DN33" s="3">
        <f ca="1">IFERROR(__xludf.DUMMYFUNCTION("""COMPUTED_VALUE"""),-0.669158094699181)</f>
        <v>-0.66915809469918097</v>
      </c>
      <c r="DO33" s="3">
        <f ca="1">IFERROR(__xludf.DUMMYFUNCTION("""COMPUTED_VALUE"""),-0.652962744358598)</f>
        <v>-0.65296274435859802</v>
      </c>
      <c r="DP33" s="3">
        <f ca="1">IFERROR(__xludf.DUMMYFUNCTION("""COMPUTED_VALUE"""),-0.607125794602751)</f>
        <v>-0.60712579460275096</v>
      </c>
      <c r="DQ33" s="3">
        <f ca="1">IFERROR(__xludf.DUMMYFUNCTION("""COMPUTED_VALUE"""),-0.654838179397172)</f>
        <v>-0.65483817939717204</v>
      </c>
      <c r="DR33" s="3">
        <f ca="1">IFERROR(__xludf.DUMMYFUNCTION("""COMPUTED_VALUE"""),-0.648356650355896)</f>
        <v>-0.64835665035589596</v>
      </c>
      <c r="DS33" s="3">
        <f ca="1">IFERROR(__xludf.DUMMYFUNCTION("""COMPUTED_VALUE"""),-0.596784168913064)</f>
        <v>-0.59678416891306396</v>
      </c>
      <c r="DT33" s="3">
        <f ca="1">IFERROR(__xludf.DUMMYFUNCTION("""COMPUTED_VALUE"""),-0.658825719613017)</f>
        <v>-0.65882571961301695</v>
      </c>
      <c r="DU33" s="3">
        <f ca="1">IFERROR(__xludf.DUMMYFUNCTION("""COMPUTED_VALUE"""),-0.684403802852875)</f>
        <v>-0.68440380285287505</v>
      </c>
      <c r="DV33" s="3">
        <f ca="1">IFERROR(__xludf.DUMMYFUNCTION("""COMPUTED_VALUE"""),-0.672371731456759)</f>
        <v>-0.67237173145675899</v>
      </c>
      <c r="DW33" s="3">
        <f ca="1">IFERROR(__xludf.DUMMYFUNCTION("""COMPUTED_VALUE"""),-0.691360058178552)</f>
        <v>-0.69136005817855195</v>
      </c>
      <c r="DX33" s="3">
        <f ca="1">IFERROR(__xludf.DUMMYFUNCTION("""COMPUTED_VALUE"""),-0.676832628062311)</f>
        <v>-0.67683262806231104</v>
      </c>
      <c r="DY33" s="3">
        <f ca="1">IFERROR(__xludf.DUMMYFUNCTION("""COMPUTED_VALUE"""),-0.702441578468038)</f>
        <v>-0.70244157846803801</v>
      </c>
      <c r="DZ33" s="3">
        <f ca="1">IFERROR(__xludf.DUMMYFUNCTION("""COMPUTED_VALUE"""),-0.630350538490613)</f>
        <v>-0.63035053849061295</v>
      </c>
      <c r="EA33" s="3">
        <f ca="1">IFERROR(__xludf.DUMMYFUNCTION("""COMPUTED_VALUE"""),-0.632623691585713)</f>
        <v>-0.63262369158571297</v>
      </c>
      <c r="EB33" s="3">
        <f ca="1">IFERROR(__xludf.DUMMYFUNCTION("""COMPUTED_VALUE"""),-0.676324669356919)</f>
        <v>-0.67632466935691904</v>
      </c>
      <c r="EC33" s="3">
        <f ca="1">IFERROR(__xludf.DUMMYFUNCTION("""COMPUTED_VALUE"""),-0.621921571943101)</f>
        <v>-0.62192157194310105</v>
      </c>
      <c r="ED33" s="3">
        <f ca="1">IFERROR(__xludf.DUMMYFUNCTION("""COMPUTED_VALUE"""),-0.704458490096219)</f>
        <v>-0.70445849009621897</v>
      </c>
      <c r="EE33" s="3">
        <f ca="1">IFERROR(__xludf.DUMMYFUNCTION("""COMPUTED_VALUE"""),-0.698828741310357)</f>
        <v>-0.69882874131035699</v>
      </c>
      <c r="EF33" s="3">
        <f ca="1">IFERROR(__xludf.DUMMYFUNCTION("""COMPUTED_VALUE"""),-0.69218756912321)</f>
        <v>-0.69218756912321</v>
      </c>
      <c r="EG33" s="3">
        <f ca="1">IFERROR(__xludf.DUMMYFUNCTION("""COMPUTED_VALUE"""),-0.60471996553334)</f>
        <v>-0.60471996553333995</v>
      </c>
      <c r="EH33" s="3">
        <f ca="1">IFERROR(__xludf.DUMMYFUNCTION("""COMPUTED_VALUE"""),-0.660560025457029)</f>
        <v>-0.66056002545702897</v>
      </c>
      <c r="EI33" s="3">
        <f ca="1">IFERROR(__xludf.DUMMYFUNCTION("""COMPUTED_VALUE"""),-0.725797202130622)</f>
        <v>-0.72579720213062204</v>
      </c>
      <c r="EJ33" s="3">
        <f ca="1">IFERROR(__xludf.DUMMYFUNCTION("""COMPUTED_VALUE"""),-0.780809858477696)</f>
        <v>-0.78080985847769602</v>
      </c>
      <c r="EK33" s="3">
        <f ca="1">IFERROR(__xludf.DUMMYFUNCTION("""COMPUTED_VALUE"""),-0.708255614638004)</f>
        <v>-0.70825561463800402</v>
      </c>
      <c r="EL33" s="3">
        <f ca="1">IFERROR(__xludf.DUMMYFUNCTION("""COMPUTED_VALUE"""),-0.71591260229932)</f>
        <v>-0.71591260229931997</v>
      </c>
      <c r="EM33" s="3">
        <f ca="1">IFERROR(__xludf.DUMMYFUNCTION("""COMPUTED_VALUE"""),-0.7085599932213)</f>
        <v>-0.70855999322130003</v>
      </c>
      <c r="EN33" s="3">
        <f ca="1">IFERROR(__xludf.DUMMYFUNCTION("""COMPUTED_VALUE"""),-0.689809936693218)</f>
        <v>-0.689809936693218</v>
      </c>
      <c r="EO33" s="3">
        <f ca="1">IFERROR(__xludf.DUMMYFUNCTION("""COMPUTED_VALUE"""),-0.611612315601876)</f>
        <v>-0.61161231560187601</v>
      </c>
      <c r="EP33" s="3">
        <f ca="1">IFERROR(__xludf.DUMMYFUNCTION("""COMPUTED_VALUE"""),-0.648652097527518)</f>
        <v>-0.64865209752751796</v>
      </c>
      <c r="EQ33" s="3">
        <f ca="1">IFERROR(__xludf.DUMMYFUNCTION("""COMPUTED_VALUE"""),-0.650932188997613)</f>
        <v>-0.65093218899761296</v>
      </c>
      <c r="ER33" s="3">
        <f ca="1">IFERROR(__xludf.DUMMYFUNCTION("""COMPUTED_VALUE"""),-0.691738393754785)</f>
        <v>-0.69173839375478496</v>
      </c>
      <c r="ES33" s="3">
        <f ca="1">IFERROR(__xludf.DUMMYFUNCTION("""COMPUTED_VALUE"""),-0.699299845614875)</f>
        <v>-0.69929984561487502</v>
      </c>
      <c r="ET33" s="3">
        <f ca="1">IFERROR(__xludf.DUMMYFUNCTION("""COMPUTED_VALUE"""),-0.692017943704338)</f>
        <v>-0.692017943704338</v>
      </c>
      <c r="EU33" s="3">
        <f ca="1">IFERROR(__xludf.DUMMYFUNCTION("""COMPUTED_VALUE"""),-0.642538906252774)</f>
        <v>-0.64253890625277399</v>
      </c>
      <c r="EV33" s="3">
        <f ca="1">IFERROR(__xludf.DUMMYFUNCTION("""COMPUTED_VALUE"""),-0.61607616066048)</f>
        <v>-0.61607616066047999</v>
      </c>
      <c r="EW33" s="3">
        <f ca="1">IFERROR(__xludf.DUMMYFUNCTION("""COMPUTED_VALUE"""),-0.729876562887068)</f>
        <v>-0.72987656288706804</v>
      </c>
      <c r="EX33" s="3">
        <f ca="1">IFERROR(__xludf.DUMMYFUNCTION("""COMPUTED_VALUE"""),-0.708927976786146)</f>
        <v>-0.70892797678614605</v>
      </c>
      <c r="EY33" s="3">
        <f ca="1">IFERROR(__xludf.DUMMYFUNCTION("""COMPUTED_VALUE"""),-0.674702256704655)</f>
        <v>-0.674702256704655</v>
      </c>
      <c r="EZ33" s="3">
        <f ca="1">IFERROR(__xludf.DUMMYFUNCTION("""COMPUTED_VALUE"""),-0.651762816089022)</f>
        <v>-0.65176281608902198</v>
      </c>
      <c r="FA33" s="3">
        <f ca="1">IFERROR(__xludf.DUMMYFUNCTION("""COMPUTED_VALUE"""),-0.665358287678639)</f>
        <v>-0.66535828767863903</v>
      </c>
      <c r="FB33" s="3">
        <f ca="1">IFERROR(__xludf.DUMMYFUNCTION("""COMPUTED_VALUE"""),-0.599229667485688)</f>
        <v>-0.59922966748568796</v>
      </c>
      <c r="FC33" s="3">
        <f ca="1">IFERROR(__xludf.DUMMYFUNCTION("""COMPUTED_VALUE"""),-0.603194495769987)</f>
        <v>-0.60319449576998696</v>
      </c>
      <c r="FD33" s="3">
        <f ca="1">IFERROR(__xludf.DUMMYFUNCTION("""COMPUTED_VALUE"""),-0.690890926657644)</f>
        <v>-0.69089092665764396</v>
      </c>
      <c r="FE33" s="3">
        <f ca="1">IFERROR(__xludf.DUMMYFUNCTION("""COMPUTED_VALUE"""),-0.714318312171209)</f>
        <v>-0.714318312171209</v>
      </c>
      <c r="FF33" s="3">
        <f ca="1">IFERROR(__xludf.DUMMYFUNCTION("""COMPUTED_VALUE"""),-0.683337938223879)</f>
        <v>-0.683337938223879</v>
      </c>
      <c r="FG33" s="3">
        <f ca="1">IFERROR(__xludf.DUMMYFUNCTION("""COMPUTED_VALUE"""),-0.685596907779777)</f>
        <v>-0.685596907779777</v>
      </c>
      <c r="FH33" s="3">
        <f ca="1">IFERROR(__xludf.DUMMYFUNCTION("""COMPUTED_VALUE"""),-0.699592776332604)</f>
        <v>-0.69959277633260397</v>
      </c>
      <c r="FI33" s="3">
        <f ca="1">IFERROR(__xludf.DUMMYFUNCTION("""COMPUTED_VALUE"""),-0.649315483370304)</f>
        <v>-0.64931548337030398</v>
      </c>
      <c r="FJ33" s="3">
        <f ca="1">IFERROR(__xludf.DUMMYFUNCTION("""COMPUTED_VALUE"""),-0.593212898822048)</f>
        <v>-0.59321289882204797</v>
      </c>
      <c r="FK33" s="3">
        <f ca="1">IFERROR(__xludf.DUMMYFUNCTION("""COMPUTED_VALUE"""),-0.705200700712713)</f>
        <v>-0.70520070071271301</v>
      </c>
      <c r="FL33" s="3">
        <f ca="1">IFERROR(__xludf.DUMMYFUNCTION("""COMPUTED_VALUE"""),-0.707196212331953)</f>
        <v>-0.70719621233195296</v>
      </c>
      <c r="FM33" s="3">
        <f ca="1">IFERROR(__xludf.DUMMYFUNCTION("""COMPUTED_VALUE"""),-0.697024228057989)</f>
        <v>-0.69702422805798903</v>
      </c>
      <c r="FN33" s="3">
        <f ca="1">IFERROR(__xludf.DUMMYFUNCTION("""COMPUTED_VALUE"""),-0.712571100718564)</f>
        <v>-0.712571100718564</v>
      </c>
      <c r="FO33" s="3">
        <f ca="1">IFERROR(__xludf.DUMMYFUNCTION("""COMPUTED_VALUE"""),-0.69349714469808)</f>
        <v>-0.69349714469807999</v>
      </c>
      <c r="FP33" s="3">
        <f ca="1">IFERROR(__xludf.DUMMYFUNCTION("""COMPUTED_VALUE"""),-0.58494701282566)</f>
        <v>-0.58494701282565997</v>
      </c>
      <c r="FQ33" s="3">
        <f ca="1">IFERROR(__xludf.DUMMYFUNCTION("""COMPUTED_VALUE"""),-0.577147650971518)</f>
        <v>-0.57714765097151799</v>
      </c>
      <c r="FR33" s="3">
        <f ca="1">IFERROR(__xludf.DUMMYFUNCTION("""COMPUTED_VALUE"""),-0.671543168554581)</f>
        <v>-0.67154316855458096</v>
      </c>
      <c r="FS33" s="3">
        <f ca="1">IFERROR(__xludf.DUMMYFUNCTION("""COMPUTED_VALUE"""),-0.682007144556245)</f>
        <v>-0.682007144556245</v>
      </c>
      <c r="FT33" s="3">
        <f ca="1">IFERROR(__xludf.DUMMYFUNCTION("""COMPUTED_VALUE"""),-0.672005426192766)</f>
        <v>-0.67200542619276604</v>
      </c>
      <c r="FU33" s="3">
        <f ca="1">IFERROR(__xludf.DUMMYFUNCTION("""COMPUTED_VALUE"""),-0.649450044101379)</f>
        <v>-0.64945004410137896</v>
      </c>
      <c r="FV33" s="3">
        <f ca="1">IFERROR(__xludf.DUMMYFUNCTION("""COMPUTED_VALUE"""),-0.657140175738273)</f>
        <v>-0.65714017573827299</v>
      </c>
      <c r="FW33" s="3">
        <f ca="1">IFERROR(__xludf.DUMMYFUNCTION("""COMPUTED_VALUE"""),-0.541104922880692)</f>
        <v>-0.54110492288069201</v>
      </c>
      <c r="FX33" s="3">
        <f ca="1">IFERROR(__xludf.DUMMYFUNCTION("""COMPUTED_VALUE"""),-0.570759714640007)</f>
        <v>-0.57075971464000697</v>
      </c>
      <c r="FY33" s="3">
        <f ca="1">IFERROR(__xludf.DUMMYFUNCTION("""COMPUTED_VALUE"""),-0.64370334999429)</f>
        <v>-0.64370334999429002</v>
      </c>
      <c r="FZ33" s="3">
        <f ca="1">IFERROR(__xludf.DUMMYFUNCTION("""COMPUTED_VALUE"""),-0.669294838381416)</f>
        <v>-0.66929483838141601</v>
      </c>
      <c r="GA33" s="3">
        <f ca="1">IFERROR(__xludf.DUMMYFUNCTION("""COMPUTED_VALUE"""),-0.661861788838849)</f>
        <v>-0.66186178883884905</v>
      </c>
      <c r="GB33" s="3">
        <f ca="1">IFERROR(__xludf.DUMMYFUNCTION("""COMPUTED_VALUE"""),-0.633096702185791)</f>
        <v>-0.63309670218579095</v>
      </c>
      <c r="GC33" s="3">
        <f ca="1">IFERROR(__xludf.DUMMYFUNCTION("""COMPUTED_VALUE"""),-0.633066791831043)</f>
        <v>-0.63306679183104297</v>
      </c>
      <c r="GD33" s="3">
        <f ca="1">IFERROR(__xludf.DUMMYFUNCTION("""COMPUTED_VALUE"""),-0.538872142824179)</f>
        <v>-0.53887214282417895</v>
      </c>
      <c r="GE33" s="3">
        <f ca="1">IFERROR(__xludf.DUMMYFUNCTION("""COMPUTED_VALUE"""),-0.533254019257692)</f>
        <v>-0.533254019257692</v>
      </c>
      <c r="GF33" s="3">
        <f ca="1">IFERROR(__xludf.DUMMYFUNCTION("""COMPUTED_VALUE"""),-0.620107178097257)</f>
        <v>-0.62010717809725702</v>
      </c>
      <c r="GG33" s="3">
        <f ca="1">IFERROR(__xludf.DUMMYFUNCTION("""COMPUTED_VALUE"""),-0.651657307565886)</f>
        <v>-0.65165730756588602</v>
      </c>
      <c r="GH33" s="3">
        <f ca="1">IFERROR(__xludf.DUMMYFUNCTION("""COMPUTED_VALUE"""),-0.647233992404252)</f>
        <v>-0.64723399240425195</v>
      </c>
      <c r="GI33" s="3">
        <f ca="1">IFERROR(__xludf.DUMMYFUNCTION("""COMPUTED_VALUE"""),-0.65963382321039)</f>
        <v>-0.65963382321038999</v>
      </c>
      <c r="GJ33" s="3">
        <f ca="1">IFERROR(__xludf.DUMMYFUNCTION("""COMPUTED_VALUE"""),-0.667296861172787)</f>
        <v>-0.66729686117278697</v>
      </c>
      <c r="GK33" s="3">
        <f ca="1">IFERROR(__xludf.DUMMYFUNCTION("""COMPUTED_VALUE"""),-0.796848500267128)</f>
        <v>-0.79684850026712795</v>
      </c>
      <c r="GL33" s="3">
        <f ca="1">IFERROR(__xludf.DUMMYFUNCTION("""COMPUTED_VALUE"""),-0.751405774497754)</f>
        <v>-0.75140577449775403</v>
      </c>
      <c r="GM33" s="3">
        <f ca="1">IFERROR(__xludf.DUMMYFUNCTION("""COMPUTED_VALUE"""),-0.702168953633741)</f>
        <v>-0.70216895363374099</v>
      </c>
      <c r="GN33" s="3">
        <f ca="1">IFERROR(__xludf.DUMMYFUNCTION("""COMPUTED_VALUE"""),-0.640855128606917)</f>
        <v>-0.64085512860691696</v>
      </c>
      <c r="GO33" s="3">
        <f ca="1">IFERROR(__xludf.DUMMYFUNCTION("""COMPUTED_VALUE"""),-0.682584344995081)</f>
        <v>-0.68258434499508103</v>
      </c>
      <c r="GP33" s="3">
        <f ca="1">IFERROR(__xludf.DUMMYFUNCTION("""COMPUTED_VALUE"""),-0.651800662085867)</f>
        <v>-0.65180066208586696</v>
      </c>
      <c r="GQ33" s="3">
        <f ca="1">IFERROR(__xludf.DUMMYFUNCTION("""COMPUTED_VALUE"""),-0.64953537792662)</f>
        <v>-0.64953537792661997</v>
      </c>
      <c r="GR33" s="3">
        <f ca="1">IFERROR(__xludf.DUMMYFUNCTION("""COMPUTED_VALUE"""),-0.461932606770448)</f>
        <v>-0.46193260677044801</v>
      </c>
      <c r="GS33" s="3">
        <f ca="1">IFERROR(__xludf.DUMMYFUNCTION("""COMPUTED_VALUE"""),-0.502068968740994)</f>
        <v>-0.50206896874099405</v>
      </c>
      <c r="GT33" s="3">
        <f ca="1">IFERROR(__xludf.DUMMYFUNCTION("""COMPUTED_VALUE"""),-0.617215191936486)</f>
        <v>-0.617215191936486</v>
      </c>
      <c r="GU33" s="3">
        <f ca="1">IFERROR(__xludf.DUMMYFUNCTION("""COMPUTED_VALUE"""),-0.637144497085554)</f>
        <v>-0.63714449708555398</v>
      </c>
      <c r="GV33" s="3">
        <f ca="1">IFERROR(__xludf.DUMMYFUNCTION("""COMPUTED_VALUE"""),-0.66567375933491)</f>
        <v>-0.66567375933491002</v>
      </c>
      <c r="GW33" s="3">
        <f ca="1">IFERROR(__xludf.DUMMYFUNCTION("""COMPUTED_VALUE"""),-0.651550782340768)</f>
        <v>-0.65155078234076802</v>
      </c>
      <c r="GX33" s="3">
        <f ca="1">IFERROR(__xludf.DUMMYFUNCTION("""COMPUTED_VALUE"""),-0.638812308029247)</f>
        <v>-0.63881230802924704</v>
      </c>
      <c r="GY33" s="3">
        <f ca="1">IFERROR(__xludf.DUMMYFUNCTION("""COMPUTED_VALUE"""),-0.494473811216754)</f>
        <v>-0.49447381121675399</v>
      </c>
      <c r="GZ33" s="3">
        <f ca="1">IFERROR(__xludf.DUMMYFUNCTION("""COMPUTED_VALUE"""),-0.52012821713993)</f>
        <v>-0.52012821713992996</v>
      </c>
      <c r="HA33" s="3">
        <f ca="1">IFERROR(__xludf.DUMMYFUNCTION("""COMPUTED_VALUE"""),-0.654969907507246)</f>
        <v>-0.65496990750724604</v>
      </c>
      <c r="HB33" s="3">
        <f ca="1">IFERROR(__xludf.DUMMYFUNCTION("""COMPUTED_VALUE"""),-0.651520664779465)</f>
        <v>-0.65152066477946502</v>
      </c>
      <c r="HC33" s="3">
        <f ca="1">IFERROR(__xludf.DUMMYFUNCTION("""COMPUTED_VALUE"""),-0.665173184999055)</f>
        <v>-0.66517318499905498</v>
      </c>
      <c r="HD33" s="3">
        <f ca="1">IFERROR(__xludf.DUMMYFUNCTION("""COMPUTED_VALUE"""),-0.655100236044253)</f>
        <v>-0.65510023604425305</v>
      </c>
      <c r="HE33" s="3">
        <f ca="1">IFERROR(__xludf.DUMMYFUNCTION("""COMPUTED_VALUE"""),-0.625008932204879)</f>
        <v>-0.62500893220487896</v>
      </c>
      <c r="HF33" s="3">
        <f ca="1">IFERROR(__xludf.DUMMYFUNCTION("""COMPUTED_VALUE"""),-0.51010008524872)</f>
        <v>-0.51010008524871997</v>
      </c>
      <c r="HG33" s="3">
        <f ca="1">IFERROR(__xludf.DUMMYFUNCTION("""COMPUTED_VALUE"""),-0.564452335444122)</f>
        <v>-0.56445233544412199</v>
      </c>
      <c r="HH33" s="3">
        <f ca="1">IFERROR(__xludf.DUMMYFUNCTION("""COMPUTED_VALUE"""),-0.631655892431937)</f>
        <v>-0.63165589243193698</v>
      </c>
      <c r="HI33" s="3">
        <f ca="1">IFERROR(__xludf.DUMMYFUNCTION("""COMPUTED_VALUE"""),-0.673454895726558)</f>
        <v>-0.67345489572655803</v>
      </c>
      <c r="HJ33" s="3">
        <f ca="1">IFERROR(__xludf.DUMMYFUNCTION("""COMPUTED_VALUE"""),-0.651856774247597)</f>
        <v>-0.65185677424759703</v>
      </c>
      <c r="HK33" s="3">
        <f ca="1">IFERROR(__xludf.DUMMYFUNCTION("""COMPUTED_VALUE"""),-0.700188332341852)</f>
        <v>-0.70018833234185196</v>
      </c>
      <c r="HL33" s="3">
        <f ca="1">IFERROR(__xludf.DUMMYFUNCTION("""COMPUTED_VALUE"""),-0.644328252276723)</f>
        <v>-0.64432825227672297</v>
      </c>
      <c r="HM33" s="3">
        <f ca="1">IFERROR(__xludf.DUMMYFUNCTION("""COMPUTED_VALUE"""),-0.51368384145227)</f>
        <v>-0.51368384145226997</v>
      </c>
      <c r="HN33" s="3">
        <f ca="1">IFERROR(__xludf.DUMMYFUNCTION("""COMPUTED_VALUE"""),-0.536124733694371)</f>
        <v>-0.53612473369437097</v>
      </c>
      <c r="HO33" s="3">
        <f ca="1">IFERROR(__xludf.DUMMYFUNCTION("""COMPUTED_VALUE"""),-0.625965617619883)</f>
        <v>-0.62596561761988301</v>
      </c>
      <c r="HP33" s="3">
        <f ca="1">IFERROR(__xludf.DUMMYFUNCTION("""COMPUTED_VALUE"""),-0.616852717546331)</f>
        <v>-0.61685271754633098</v>
      </c>
      <c r="HQ33" s="3">
        <f ca="1">IFERROR(__xludf.DUMMYFUNCTION("""COMPUTED_VALUE"""),-0.651995327269712)</f>
        <v>-0.65199532726971199</v>
      </c>
      <c r="HR33" s="3">
        <f ca="1">IFERROR(__xludf.DUMMYFUNCTION("""COMPUTED_VALUE"""),-0.643693058941625)</f>
        <v>-0.64369305894162498</v>
      </c>
      <c r="HS33" s="3">
        <f ca="1">IFERROR(__xludf.DUMMYFUNCTION("""COMPUTED_VALUE"""),-0.543567341816104)</f>
        <v>-0.543567341816104</v>
      </c>
      <c r="HT33" s="3">
        <f ca="1">IFERROR(__xludf.DUMMYFUNCTION("""COMPUTED_VALUE"""),-0.50835852996476)</f>
        <v>-0.50835852996476005</v>
      </c>
      <c r="HU33" s="3">
        <f ca="1">IFERROR(__xludf.DUMMYFUNCTION("""COMPUTED_VALUE"""),-0.519125898970106)</f>
        <v>-0.51912589897010597</v>
      </c>
      <c r="HV33" s="3">
        <f ca="1">IFERROR(__xludf.DUMMYFUNCTION("""COMPUTED_VALUE"""),-0.669516515450228)</f>
        <v>-0.66951651545022794</v>
      </c>
      <c r="HW33" s="3">
        <f ca="1">IFERROR(__xludf.DUMMYFUNCTION("""COMPUTED_VALUE"""),-0.632662240888541)</f>
        <v>-0.63266224088854095</v>
      </c>
      <c r="HX33" s="3">
        <f ca="1">IFERROR(__xludf.DUMMYFUNCTION("""COMPUTED_VALUE"""),-0.665675410133292)</f>
        <v>-0.66567541013329201</v>
      </c>
      <c r="HY33" s="3">
        <f ca="1">IFERROR(__xludf.DUMMYFUNCTION("""COMPUTED_VALUE"""),-0.617273259916303)</f>
        <v>-0.617273259916303</v>
      </c>
      <c r="HZ33" s="3">
        <f ca="1">IFERROR(__xludf.DUMMYFUNCTION("""COMPUTED_VALUE"""),-0.517216036957436)</f>
        <v>-0.51721603695743601</v>
      </c>
      <c r="IA33" s="3">
        <f ca="1">IFERROR(__xludf.DUMMYFUNCTION("""COMPUTED_VALUE"""),-0.437403527564897)</f>
        <v>-0.43740352756489698</v>
      </c>
      <c r="IB33" s="3">
        <f ca="1">IFERROR(__xludf.DUMMYFUNCTION("""COMPUTED_VALUE"""),-0.519963299744475)</f>
        <v>-0.51996329974447497</v>
      </c>
      <c r="IC33" s="3">
        <f ca="1">IFERROR(__xludf.DUMMYFUNCTION("""COMPUTED_VALUE"""),-0.623515078733963)</f>
        <v>-0.62351507873396295</v>
      </c>
      <c r="ID33" s="3">
        <f ca="1">IFERROR(__xludf.DUMMYFUNCTION("""COMPUTED_VALUE"""),-0.605773706338541)</f>
        <v>-0.605773706338541</v>
      </c>
      <c r="IE33" s="3">
        <f ca="1">IFERROR(__xludf.DUMMYFUNCTION("""COMPUTED_VALUE"""),-0.626082029611736)</f>
        <v>-0.62608202961173598</v>
      </c>
      <c r="IF33" s="3">
        <f ca="1">IFERROR(__xludf.DUMMYFUNCTION("""COMPUTED_VALUE"""),-0.619586787938209)</f>
        <v>-0.61958678793820898</v>
      </c>
      <c r="IG33" s="3">
        <f ca="1">IFERROR(__xludf.DUMMYFUNCTION("""COMPUTED_VALUE"""),-0.615873405137319)</f>
        <v>-0.61587340513731903</v>
      </c>
      <c r="IH33" s="3">
        <f ca="1">IFERROR(__xludf.DUMMYFUNCTION("""COMPUTED_VALUE"""),-0.527069725856884)</f>
        <v>-0.52706972585688405</v>
      </c>
      <c r="II33" s="3">
        <f ca="1">IFERROR(__xludf.DUMMYFUNCTION("""COMPUTED_VALUE"""),-0.549816879965755)</f>
        <v>-0.54981687996575501</v>
      </c>
      <c r="IJ33" s="3">
        <f ca="1">IFERROR(__xludf.DUMMYFUNCTION("""COMPUTED_VALUE"""),-0.600229351460858)</f>
        <v>-0.60022935146085798</v>
      </c>
      <c r="IK33" s="3">
        <f ca="1">IFERROR(__xludf.DUMMYFUNCTION("""COMPUTED_VALUE"""),-0.599469908316716)</f>
        <v>-0.59946990831671598</v>
      </c>
      <c r="IL33" s="3">
        <f ca="1">IFERROR(__xludf.DUMMYFUNCTION("""COMPUTED_VALUE"""),-0.627206987795888)</f>
        <v>-0.62720698779588802</v>
      </c>
      <c r="IM33" s="3">
        <f ca="1">IFERROR(__xludf.DUMMYFUNCTION("""COMPUTED_VALUE"""),-0.60237089403956)</f>
        <v>-0.60237089403956001</v>
      </c>
      <c r="IN33" s="3">
        <f ca="1">IFERROR(__xludf.DUMMYFUNCTION("""COMPUTED_VALUE"""),-0.606141026943706)</f>
        <v>-0.60614102694370597</v>
      </c>
      <c r="IO33" s="3">
        <f ca="1">IFERROR(__xludf.DUMMYFUNCTION("""COMPUTED_VALUE"""),-0.566535835950856)</f>
        <v>-0.56653583595085599</v>
      </c>
      <c r="IP33" s="3">
        <f ca="1">IFERROR(__xludf.DUMMYFUNCTION("""COMPUTED_VALUE"""),-0.562452503036019)</f>
        <v>-0.56245250303601901</v>
      </c>
      <c r="IQ33" s="3">
        <f ca="1">IFERROR(__xludf.DUMMYFUNCTION("""COMPUTED_VALUE"""),-0.627821392769847)</f>
        <v>-0.62782139276984705</v>
      </c>
      <c r="IR33" s="3">
        <f ca="1">IFERROR(__xludf.DUMMYFUNCTION("""COMPUTED_VALUE"""),-0.651384807841832)</f>
        <v>-0.65138480784183195</v>
      </c>
      <c r="IS33" s="3">
        <f ca="1">IFERROR(__xludf.DUMMYFUNCTION("""COMPUTED_VALUE"""),-0.604827825797539)</f>
        <v>-0.60482782579753902</v>
      </c>
      <c r="IT33" s="3">
        <f ca="1">IFERROR(__xludf.DUMMYFUNCTION("""COMPUTED_VALUE"""),-0.642423223830364)</f>
        <v>-0.64242322383036399</v>
      </c>
      <c r="IU33" s="3">
        <f ca="1">IFERROR(__xludf.DUMMYFUNCTION("""COMPUTED_VALUE"""),-0.635017070397878)</f>
        <v>-0.63501707039787803</v>
      </c>
      <c r="IV33" s="3">
        <f ca="1">IFERROR(__xludf.DUMMYFUNCTION("""COMPUTED_VALUE"""),-0.653346825532122)</f>
        <v>-0.65334682553212198</v>
      </c>
      <c r="IW33" s="3">
        <f ca="1">IFERROR(__xludf.DUMMYFUNCTION("""COMPUTED_VALUE"""),-0.609841724625901)</f>
        <v>-0.60984172462590103</v>
      </c>
      <c r="IX33" s="3">
        <f ca="1">IFERROR(__xludf.DUMMYFUNCTION("""COMPUTED_VALUE"""),-0.617585179534504)</f>
        <v>-0.61758517953450398</v>
      </c>
      <c r="IY33" s="3">
        <f ca="1">IFERROR(__xludf.DUMMYFUNCTION("""COMPUTED_VALUE"""),-0.627189431052718)</f>
        <v>-0.62718943105271796</v>
      </c>
      <c r="IZ33" s="3">
        <f ca="1">IFERROR(__xludf.DUMMYFUNCTION("""COMPUTED_VALUE"""),-0.63884490355177)</f>
        <v>-0.63884490355177004</v>
      </c>
      <c r="JA33" s="3">
        <f ca="1">IFERROR(__xludf.DUMMYFUNCTION("""COMPUTED_VALUE"""),-0.62498564591406)</f>
        <v>-0.62498564591406003</v>
      </c>
      <c r="JB33" s="3">
        <f ca="1">IFERROR(__xludf.DUMMYFUNCTION("""COMPUTED_VALUE"""),-0.63170829814981)</f>
        <v>-0.63170829814981</v>
      </c>
      <c r="JC33" s="3">
        <f ca="1">IFERROR(__xludf.DUMMYFUNCTION("""COMPUTED_VALUE"""),-0.559910699068054)</f>
        <v>-0.55991069906805402</v>
      </c>
      <c r="JD33" s="3">
        <f ca="1">IFERROR(__xludf.DUMMYFUNCTION("""COMPUTED_VALUE"""),-0.56681037499308)</f>
        <v>-0.56681037499307996</v>
      </c>
      <c r="JE33" s="3">
        <f ca="1">IFERROR(__xludf.DUMMYFUNCTION("""COMPUTED_VALUE"""),-0.591313685130685)</f>
        <v>-0.59131368513068505</v>
      </c>
      <c r="JF33" s="3">
        <f ca="1">IFERROR(__xludf.DUMMYFUNCTION("""COMPUTED_VALUE"""),-0.630158985979221)</f>
        <v>-0.63015898597922104</v>
      </c>
      <c r="JG33" s="3">
        <f ca="1">IFERROR(__xludf.DUMMYFUNCTION("""COMPUTED_VALUE"""),-0.642567171011948)</f>
        <v>-0.64256717101194805</v>
      </c>
      <c r="JH33" s="3">
        <f ca="1">IFERROR(__xludf.DUMMYFUNCTION("""COMPUTED_VALUE"""),-0.629956670790944)</f>
        <v>-0.62995667079094397</v>
      </c>
      <c r="JI33" s="3">
        <f ca="1">IFERROR(__xludf.DUMMYFUNCTION("""COMPUTED_VALUE"""),-0.604812490014528)</f>
        <v>-0.60481249001452797</v>
      </c>
      <c r="JJ33" s="3">
        <f ca="1">IFERROR(__xludf.DUMMYFUNCTION("""COMPUTED_VALUE"""),-0.627121552005719)</f>
        <v>-0.62712155200571895</v>
      </c>
      <c r="JK33" s="3">
        <f ca="1">IFERROR(__xludf.DUMMYFUNCTION("""COMPUTED_VALUE"""),-0.527115873080925)</f>
        <v>-0.527115873080925</v>
      </c>
      <c r="JL33" s="3">
        <f ca="1">IFERROR(__xludf.DUMMYFUNCTION("""COMPUTED_VALUE"""),-0.589386090585467)</f>
        <v>-0.58938609058546698</v>
      </c>
      <c r="JM33" s="3">
        <f ca="1">IFERROR(__xludf.DUMMYFUNCTION("""COMPUTED_VALUE"""),-0.66533142628891)</f>
        <v>-0.66533142628890996</v>
      </c>
      <c r="JN33" s="3">
        <f ca="1">IFERROR(__xludf.DUMMYFUNCTION("""COMPUTED_VALUE"""),-0.623948349595862)</f>
        <v>-0.62394834959586198</v>
      </c>
      <c r="JO33" s="3">
        <f ca="1">IFERROR(__xludf.DUMMYFUNCTION("""COMPUTED_VALUE"""),-0.570296208644601)</f>
        <v>-0.57029620864460095</v>
      </c>
      <c r="JP33" s="3">
        <f ca="1">IFERROR(__xludf.DUMMYFUNCTION("""COMPUTED_VALUE"""),-0.605794546190823)</f>
        <v>-0.60579454619082296</v>
      </c>
      <c r="JQ33" s="3">
        <f ca="1">IFERROR(__xludf.DUMMYFUNCTION("""COMPUTED_VALUE"""),-0.516469118496131)</f>
        <v>-0.51646911849613097</v>
      </c>
      <c r="JR33" s="3">
        <f ca="1">IFERROR(__xludf.DUMMYFUNCTION("""COMPUTED_VALUE"""),-0.464765668970327)</f>
        <v>-0.46476566897032701</v>
      </c>
      <c r="JS33" s="3">
        <f ca="1">IFERROR(__xludf.DUMMYFUNCTION("""COMPUTED_VALUE"""),-0.586496354626399)</f>
        <v>-0.58649635462639904</v>
      </c>
      <c r="JT33" s="3">
        <f ca="1">IFERROR(__xludf.DUMMYFUNCTION("""COMPUTED_VALUE"""),-0.58301017932957)</f>
        <v>-0.58301017932957</v>
      </c>
      <c r="JU33" s="3">
        <f ca="1">IFERROR(__xludf.DUMMYFUNCTION("""COMPUTED_VALUE"""),-0.64350789225622)</f>
        <v>-0.64350789225621996</v>
      </c>
      <c r="JV33" s="3">
        <f ca="1">IFERROR(__xludf.DUMMYFUNCTION("""COMPUTED_VALUE"""),-0.640056772139152)</f>
        <v>-0.64005677213915202</v>
      </c>
      <c r="JW33" s="3">
        <f ca="1">IFERROR(__xludf.DUMMYFUNCTION("""COMPUTED_VALUE"""),-0.62007200989627)</f>
        <v>-0.62007200989626998</v>
      </c>
      <c r="JX33" s="3">
        <f ca="1">IFERROR(__xludf.DUMMYFUNCTION("""COMPUTED_VALUE"""),-0.577500930713668)</f>
        <v>-0.57750093071366804</v>
      </c>
      <c r="JY33" s="3">
        <f ca="1">IFERROR(__xludf.DUMMYFUNCTION("""COMPUTED_VALUE"""),-0.596362804220808)</f>
        <v>-0.59636280422080801</v>
      </c>
      <c r="JZ33" s="3">
        <f ca="1">IFERROR(__xludf.DUMMYFUNCTION("""COMPUTED_VALUE"""),-0.600164949062876)</f>
        <v>-0.60016494906287599</v>
      </c>
      <c r="KA33" s="3">
        <f ca="1">IFERROR(__xludf.DUMMYFUNCTION("""COMPUTED_VALUE"""),-0.519595730605807)</f>
        <v>-0.51959573060580699</v>
      </c>
      <c r="KB33" s="3">
        <f ca="1">IFERROR(__xludf.DUMMYFUNCTION("""COMPUTED_VALUE"""),-0.57890829125179)</f>
        <v>-0.57890829125179</v>
      </c>
      <c r="KC33" s="3">
        <f ca="1">IFERROR(__xludf.DUMMYFUNCTION("""COMPUTED_VALUE"""),-0.5874008628936)</f>
        <v>-0.58740086289360005</v>
      </c>
      <c r="KD33" s="3">
        <f ca="1">IFERROR(__xludf.DUMMYFUNCTION("""COMPUTED_VALUE"""),-0.566925971665582)</f>
        <v>-0.56692597166558201</v>
      </c>
      <c r="KE33" s="3">
        <f ca="1">IFERROR(__xludf.DUMMYFUNCTION("""COMPUTED_VALUE"""),-0.442541968683807)</f>
        <v>-0.44254196868380702</v>
      </c>
      <c r="KF33" s="3">
        <f ca="1">IFERROR(__xludf.DUMMYFUNCTION("""COMPUTED_VALUE"""),-0.517228496325325)</f>
        <v>-0.51722849632532497</v>
      </c>
      <c r="KG33" s="3">
        <f ca="1">IFERROR(__xludf.DUMMYFUNCTION("""COMPUTED_VALUE"""),-0.508448291191764)</f>
        <v>-0.50844829119176405</v>
      </c>
      <c r="KH33" s="3">
        <f ca="1">IFERROR(__xludf.DUMMYFUNCTION("""COMPUTED_VALUE"""),-0.413412189292274)</f>
        <v>-0.41341218929227402</v>
      </c>
      <c r="KI33" s="3">
        <f ca="1">IFERROR(__xludf.DUMMYFUNCTION("""COMPUTED_VALUE"""),-0.530758326389345)</f>
        <v>-0.53075832638934495</v>
      </c>
      <c r="KJ33" s="3">
        <f ca="1">IFERROR(__xludf.DUMMYFUNCTION("""COMPUTED_VALUE"""),-0.606428150746105)</f>
        <v>-0.60642815074610501</v>
      </c>
      <c r="KK33" s="3">
        <f ca="1">IFERROR(__xludf.DUMMYFUNCTION("""COMPUTED_VALUE"""),-0.595825370574642)</f>
        <v>-0.59582537057464202</v>
      </c>
      <c r="KL33" s="3">
        <f ca="1">IFERROR(__xludf.DUMMYFUNCTION("""COMPUTED_VALUE"""),-0.499728595219436)</f>
        <v>-0.49972859521943602</v>
      </c>
      <c r="KM33" s="3">
        <f ca="1">IFERROR(__xludf.DUMMYFUNCTION("""COMPUTED_VALUE"""),-0.501267162032998)</f>
        <v>-0.50126716203299804</v>
      </c>
      <c r="KN33" s="3">
        <f ca="1">IFERROR(__xludf.DUMMYFUNCTION("""COMPUTED_VALUE"""),-0.559584250579705)</f>
        <v>-0.55958425057970496</v>
      </c>
      <c r="KO33" s="3">
        <f ca="1">IFERROR(__xludf.DUMMYFUNCTION("""COMPUTED_VALUE"""),-0.50518643604691)</f>
        <v>-0.50518643604691005</v>
      </c>
      <c r="KP33" s="3">
        <f ca="1">IFERROR(__xludf.DUMMYFUNCTION("""COMPUTED_VALUE"""),-0.585488686950269)</f>
        <v>-0.58548868695026901</v>
      </c>
      <c r="KQ33" s="3">
        <f ca="1">IFERROR(__xludf.DUMMYFUNCTION("""COMPUTED_VALUE"""),-0.563539614198049)</f>
        <v>-0.56353961419804899</v>
      </c>
      <c r="KR33" s="3">
        <f ca="1">IFERROR(__xludf.DUMMYFUNCTION("""COMPUTED_VALUE"""),-0.525303273481865)</f>
        <v>-0.52530327348186501</v>
      </c>
      <c r="KS33" s="3">
        <f ca="1">IFERROR(__xludf.DUMMYFUNCTION("""COMPUTED_VALUE"""),-0.485995890648489)</f>
        <v>-0.48599589064848903</v>
      </c>
      <c r="KT33" s="3">
        <f ca="1">IFERROR(__xludf.DUMMYFUNCTION("""COMPUTED_VALUE"""),-0.465692990645638)</f>
        <v>-0.46569299064563802</v>
      </c>
      <c r="KU33" s="3">
        <f ca="1">IFERROR(__xludf.DUMMYFUNCTION("""COMPUTED_VALUE"""),-0.553386388852963)</f>
        <v>-0.55338638885296298</v>
      </c>
      <c r="KV33" s="3">
        <f ca="1">IFERROR(__xludf.DUMMYFUNCTION("""COMPUTED_VALUE"""),-0.552827477634297)</f>
        <v>-0.55282747763429696</v>
      </c>
      <c r="KW33" s="3">
        <f ca="1">IFERROR(__xludf.DUMMYFUNCTION("""COMPUTED_VALUE"""),-0.643700410972549)</f>
        <v>-0.64370041097254904</v>
      </c>
      <c r="KX33" s="3">
        <f ca="1">IFERROR(__xludf.DUMMYFUNCTION("""COMPUTED_VALUE"""),-0.561263742561322)</f>
        <v>-0.56126374256132205</v>
      </c>
      <c r="KY33" s="3">
        <f ca="1">IFERROR(__xludf.DUMMYFUNCTION("""COMPUTED_VALUE"""),-0.523979282976315)</f>
        <v>-0.52397928297631502</v>
      </c>
      <c r="KZ33" s="3">
        <f ca="1">IFERROR(__xludf.DUMMYFUNCTION("""COMPUTED_VALUE"""),-0.465288082487747)</f>
        <v>-0.465288082487747</v>
      </c>
      <c r="LA33" s="3">
        <f ca="1">IFERROR(__xludf.DUMMYFUNCTION("""COMPUTED_VALUE"""),-0.502902549279252)</f>
        <v>-0.50290254927925204</v>
      </c>
      <c r="LB33" s="3">
        <f ca="1">IFERROR(__xludf.DUMMYFUNCTION("""COMPUTED_VALUE"""),-0.611361135682937)</f>
        <v>-0.61136113568293704</v>
      </c>
      <c r="LC33" s="3">
        <f ca="1">IFERROR(__xludf.DUMMYFUNCTION("""COMPUTED_VALUE"""),-0.595358290559916)</f>
        <v>-0.59535829055991596</v>
      </c>
      <c r="LD33" s="3">
        <f ca="1">IFERROR(__xludf.DUMMYFUNCTION("""COMPUTED_VALUE"""),-0.636009403000277)</f>
        <v>-0.63600940300027697</v>
      </c>
      <c r="LE33" s="3">
        <f ca="1">IFERROR(__xludf.DUMMYFUNCTION("""COMPUTED_VALUE"""),-0.688803317003516)</f>
        <v>-0.68880331700351605</v>
      </c>
      <c r="LF33" s="3">
        <f ca="1">IFERROR(__xludf.DUMMYFUNCTION("""COMPUTED_VALUE"""),-0.600335984805362)</f>
        <v>-0.60033598480536199</v>
      </c>
      <c r="LG33" s="3">
        <f ca="1">IFERROR(__xludf.DUMMYFUNCTION("""COMPUTED_VALUE"""),-0.583110232392121)</f>
        <v>-0.58311023239212101</v>
      </c>
      <c r="LH33" s="3">
        <f ca="1">IFERROR(__xludf.DUMMYFUNCTION("""COMPUTED_VALUE"""),-0.54243936627826)</f>
        <v>-0.54243936627825995</v>
      </c>
      <c r="LI33" s="3">
        <f ca="1">IFERROR(__xludf.DUMMYFUNCTION("""COMPUTED_VALUE"""),-0.715885663634922)</f>
        <v>-0.71588566363492201</v>
      </c>
      <c r="LJ33" s="3">
        <f ca="1">IFERROR(__xludf.DUMMYFUNCTION("""COMPUTED_VALUE"""),-0.666808102345498)</f>
        <v>-0.66680810234549803</v>
      </c>
      <c r="LK33" s="3">
        <f ca="1">IFERROR(__xludf.DUMMYFUNCTION("""COMPUTED_VALUE"""),-0.648210161367786)</f>
        <v>-0.64821016136778598</v>
      </c>
      <c r="LL33" s="3">
        <f ca="1">IFERROR(__xludf.DUMMYFUNCTION("""COMPUTED_VALUE"""),-0.695055030735627)</f>
        <v>-0.69505503073562702</v>
      </c>
      <c r="LM33" s="3">
        <f ca="1">IFERROR(__xludf.DUMMYFUNCTION("""COMPUTED_VALUE"""),-0.654160300220766)</f>
        <v>-0.65416030022076599</v>
      </c>
      <c r="LN33" s="3">
        <f ca="1">IFERROR(__xludf.DUMMYFUNCTION("""COMPUTED_VALUE"""),-0.539041451983835)</f>
        <v>-0.53904145198383502</v>
      </c>
      <c r="LO33" s="3">
        <f ca="1">IFERROR(__xludf.DUMMYFUNCTION("""COMPUTED_VALUE"""),-0.576512129754969)</f>
        <v>-0.57651212975496902</v>
      </c>
      <c r="LP33" s="3">
        <f ca="1">IFERROR(__xludf.DUMMYFUNCTION("""COMPUTED_VALUE"""),-0.696835125594931)</f>
        <v>-0.69683512559493099</v>
      </c>
      <c r="LQ33" s="3">
        <f ca="1">IFERROR(__xludf.DUMMYFUNCTION("""COMPUTED_VALUE"""),-0.687084309685697)</f>
        <v>-0.687084309685697</v>
      </c>
      <c r="LR33" s="3">
        <f ca="1">IFERROR(__xludf.DUMMYFUNCTION("""COMPUTED_VALUE"""),-0.689759976267656)</f>
        <v>-0.68975997626765595</v>
      </c>
      <c r="LS33" s="3">
        <f ca="1">IFERROR(__xludf.DUMMYFUNCTION("""COMPUTED_VALUE"""),-0.714903899909442)</f>
        <v>-0.71490389990944203</v>
      </c>
      <c r="LT33" s="3">
        <f ca="1">IFERROR(__xludf.DUMMYFUNCTION("""COMPUTED_VALUE"""),-0.743321801763076)</f>
        <v>-0.74332180176307605</v>
      </c>
      <c r="LU33" s="3">
        <f ca="1">IFERROR(__xludf.DUMMYFUNCTION("""COMPUTED_VALUE"""),-0.653969931232514)</f>
        <v>-0.65396993123251401</v>
      </c>
      <c r="LV33" s="3">
        <f ca="1">IFERROR(__xludf.DUMMYFUNCTION("""COMPUTED_VALUE"""),-0.575334991398486)</f>
        <v>-0.57533499139848598</v>
      </c>
      <c r="LW33" s="3">
        <f ca="1">IFERROR(__xludf.DUMMYFUNCTION("""COMPUTED_VALUE"""),-0.726371091381382)</f>
        <v>-0.72637109138138201</v>
      </c>
      <c r="LX33" s="3">
        <f ca="1">IFERROR(__xludf.DUMMYFUNCTION("""COMPUTED_VALUE"""),-0.743165825401571)</f>
        <v>-0.74316582540157095</v>
      </c>
      <c r="LY33" s="3">
        <f ca="1">IFERROR(__xludf.DUMMYFUNCTION("""COMPUTED_VALUE"""),-0.731700252018387)</f>
        <v>-0.73170025201838695</v>
      </c>
      <c r="LZ33" s="3">
        <f ca="1">IFERROR(__xludf.DUMMYFUNCTION("""COMPUTED_VALUE"""),-0.741163618375236)</f>
        <v>-0.74116361837523603</v>
      </c>
      <c r="MA33" s="3">
        <f ca="1">IFERROR(__xludf.DUMMYFUNCTION("""COMPUTED_VALUE"""),-0.73391905305384)</f>
        <v>-0.73391905305383998</v>
      </c>
      <c r="MB33" s="3">
        <f ca="1">IFERROR(__xludf.DUMMYFUNCTION("""COMPUTED_VALUE"""),-0.633750734594393)</f>
        <v>-0.63375073459439302</v>
      </c>
      <c r="MC33" s="3">
        <f ca="1">IFERROR(__xludf.DUMMYFUNCTION("""COMPUTED_VALUE"""),-0.722070676727283)</f>
        <v>-0.72207067672728298</v>
      </c>
      <c r="MD33" s="3">
        <f ca="1">IFERROR(__xludf.DUMMYFUNCTION("""COMPUTED_VALUE"""),-0.729515048713223)</f>
        <v>-0.72951504871322304</v>
      </c>
      <c r="ME33" s="3">
        <f ca="1">IFERROR(__xludf.DUMMYFUNCTION("""COMPUTED_VALUE"""),-0.673435238838205)</f>
        <v>-0.673435238838205</v>
      </c>
      <c r="MF33" s="3">
        <f ca="1">IFERROR(__xludf.DUMMYFUNCTION("""COMPUTED_VALUE"""),-0.729888270743249)</f>
        <v>-0.72988827074324902</v>
      </c>
      <c r="MG33" s="3">
        <f ca="1">IFERROR(__xludf.DUMMYFUNCTION("""COMPUTED_VALUE"""),-0.694191069226548)</f>
        <v>-0.69419106922654805</v>
      </c>
      <c r="MH33" s="3">
        <f ca="1">IFERROR(__xludf.DUMMYFUNCTION("""COMPUTED_VALUE"""),-0.688370757858398)</f>
        <v>-0.68837075785839796</v>
      </c>
      <c r="MI33" s="3">
        <f ca="1">IFERROR(__xludf.DUMMYFUNCTION("""COMPUTED_VALUE"""),-0.469173516373463)</f>
        <v>-0.469173516373463</v>
      </c>
      <c r="MJ33" s="3">
        <f ca="1">IFERROR(__xludf.DUMMYFUNCTION("""COMPUTED_VALUE"""),-0.587571360987671)</f>
        <v>-0.58757136098767104</v>
      </c>
      <c r="MK33" s="3">
        <f ca="1">IFERROR(__xludf.DUMMYFUNCTION("""COMPUTED_VALUE"""),-0.707356743646771)</f>
        <v>-0.70735674364677104</v>
      </c>
      <c r="ML33" s="3">
        <f ca="1">IFERROR(__xludf.DUMMYFUNCTION("""COMPUTED_VALUE"""),-0.723359325521698)</f>
        <v>-0.72335932552169802</v>
      </c>
      <c r="MM33" s="3">
        <f ca="1">IFERROR(__xludf.DUMMYFUNCTION("""COMPUTED_VALUE"""),-0.742870944010577)</f>
        <v>-0.74287094401057696</v>
      </c>
      <c r="MN33" s="3">
        <f ca="1">IFERROR(__xludf.DUMMYFUNCTION("""COMPUTED_VALUE"""),-0.716482504976479)</f>
        <v>-0.71648250497647903</v>
      </c>
      <c r="MO33" s="3">
        <f ca="1">IFERROR(__xludf.DUMMYFUNCTION("""COMPUTED_VALUE"""),-0.715822046436775)</f>
        <v>-0.71582204643677505</v>
      </c>
      <c r="MP33" s="3">
        <f ca="1">IFERROR(__xludf.DUMMYFUNCTION("""COMPUTED_VALUE"""),-0.6542190898638)</f>
        <v>-0.65421908986379995</v>
      </c>
      <c r="MQ33" s="3">
        <f ca="1">IFERROR(__xludf.DUMMYFUNCTION("""COMPUTED_VALUE"""),-0.632893836053246)</f>
        <v>-0.63289383605324601</v>
      </c>
      <c r="MR33" s="3">
        <f ca="1">IFERROR(__xludf.DUMMYFUNCTION("""COMPUTED_VALUE"""),-0.753526701252151)</f>
        <v>-0.75352670125215104</v>
      </c>
      <c r="MS33" s="3">
        <f ca="1">IFERROR(__xludf.DUMMYFUNCTION("""COMPUTED_VALUE"""),-0.772233242043203)</f>
        <v>-0.77223324204320298</v>
      </c>
      <c r="MT33" s="3">
        <f ca="1">IFERROR(__xludf.DUMMYFUNCTION("""COMPUTED_VALUE"""),-0.761411010992833)</f>
        <v>-0.76141101099283304</v>
      </c>
      <c r="MU33" s="3">
        <f ca="1">IFERROR(__xludf.DUMMYFUNCTION("""COMPUTED_VALUE"""),-0.746690084787617)</f>
        <v>-0.746690084787617</v>
      </c>
      <c r="MV33" s="3">
        <f ca="1">IFERROR(__xludf.DUMMYFUNCTION("""COMPUTED_VALUE"""),-0.657804440713727)</f>
        <v>-0.65780444071372701</v>
      </c>
      <c r="MW33" s="3">
        <f ca="1">IFERROR(__xludf.DUMMYFUNCTION("""COMPUTED_VALUE"""),-0.620250545153649)</f>
        <v>-0.62025054515364897</v>
      </c>
      <c r="MX33" s="3">
        <f ca="1">IFERROR(__xludf.DUMMYFUNCTION("""COMPUTED_VALUE"""),-0.665363983056696)</f>
        <v>-0.66536398305669597</v>
      </c>
      <c r="MY33" s="3">
        <f ca="1">IFERROR(__xludf.DUMMYFUNCTION("""COMPUTED_VALUE"""),-0.742234462900858)</f>
        <v>-0.74223446290085804</v>
      </c>
      <c r="MZ33" s="3">
        <f ca="1">IFERROR(__xludf.DUMMYFUNCTION("""COMPUTED_VALUE"""),-0.745262893592491)</f>
        <v>-0.74526289359249098</v>
      </c>
      <c r="NA33" s="3">
        <f ca="1">IFERROR(__xludf.DUMMYFUNCTION("""COMPUTED_VALUE"""),-0.731939476996238)</f>
        <v>-0.73193947699623796</v>
      </c>
      <c r="NB33" s="3">
        <f ca="1">IFERROR(__xludf.DUMMYFUNCTION("""COMPUTED_VALUE"""),-0.704482242701418)</f>
        <v>-0.70448224270141802</v>
      </c>
      <c r="NC33" s="3">
        <f ca="1">IFERROR(__xludf.DUMMYFUNCTION("""COMPUTED_VALUE"""),-0.702185503586268)</f>
        <v>-0.70218550358626797</v>
      </c>
      <c r="ND33" s="3">
        <f ca="1">IFERROR(__xludf.DUMMYFUNCTION("""COMPUTED_VALUE"""),-0.633151013270078)</f>
        <v>-0.63315101327007794</v>
      </c>
      <c r="NE33" s="3">
        <f ca="1">IFERROR(__xludf.DUMMYFUNCTION("""COMPUTED_VALUE"""),-0.592301163208438)</f>
        <v>-0.59230116320843795</v>
      </c>
      <c r="NF33" s="3">
        <f ca="1">IFERROR(__xludf.DUMMYFUNCTION("""COMPUTED_VALUE"""),-0.692282882286483)</f>
        <v>-0.69228288228648305</v>
      </c>
      <c r="NG33" s="3">
        <f ca="1">IFERROR(__xludf.DUMMYFUNCTION("""COMPUTED_VALUE"""),-0.706595892998656)</f>
        <v>-0.70659589299865599</v>
      </c>
      <c r="NH33" s="3">
        <f ca="1">IFERROR(__xludf.DUMMYFUNCTION("""COMPUTED_VALUE"""),-0.616738805176749)</f>
        <v>-0.61673880517674895</v>
      </c>
      <c r="NI33" s="3">
        <f ca="1">IFERROR(__xludf.DUMMYFUNCTION("""COMPUTED_VALUE"""),-0.576793212017099)</f>
        <v>-0.57679321201709899</v>
      </c>
      <c r="NJ33" s="3">
        <f ca="1">IFERROR(__xludf.DUMMYFUNCTION("""COMPUTED_VALUE"""),-0.562616200808654)</f>
        <v>-0.56261620080865404</v>
      </c>
      <c r="NK33" s="3">
        <f ca="1">IFERROR(__xludf.DUMMYFUNCTION("""COMPUTED_VALUE"""),-0.395690576666893)</f>
        <v>-0.395690576666893</v>
      </c>
      <c r="NL33" s="3">
        <f ca="1">IFERROR(__xludf.DUMMYFUNCTION("""COMPUTED_VALUE"""),-0.584443394062016)</f>
        <v>-0.58444339406201595</v>
      </c>
      <c r="NM33" s="3">
        <f ca="1">IFERROR(__xludf.DUMMYFUNCTION("""COMPUTED_VALUE"""),-0.56877884604195)</f>
        <v>-0.56877884604194995</v>
      </c>
      <c r="NN33" s="3">
        <f ca="1">IFERROR(__xludf.DUMMYFUNCTION("""COMPUTED_VALUE"""),-0.606235898191011)</f>
        <v>-0.60623589819101098</v>
      </c>
      <c r="NO33" s="3">
        <f ca="1">IFERROR(__xludf.DUMMYFUNCTION("""COMPUTED_VALUE"""),-0.620431023814259)</f>
        <v>-0.62043102381425896</v>
      </c>
      <c r="NP33" s="3">
        <f ca="1">IFERROR(__xludf.DUMMYFUNCTION("""COMPUTED_VALUE"""),-0.603975280750036)</f>
        <v>-0.60397528075003604</v>
      </c>
      <c r="NQ33" s="3">
        <f ca="1">IFERROR(__xludf.DUMMYFUNCTION("""COMPUTED_VALUE"""),-0.544212741585837)</f>
        <v>-0.54421274158583699</v>
      </c>
      <c r="NR33" s="3">
        <f ca="1">IFERROR(__xludf.DUMMYFUNCTION("""COMPUTED_VALUE"""),-0.553771266011744)</f>
        <v>-0.55377126601174398</v>
      </c>
      <c r="NS33" s="3">
        <f ca="1">IFERROR(__xludf.DUMMYFUNCTION("""COMPUTED_VALUE"""),-0.570723107548611)</f>
        <v>-0.570723107548611</v>
      </c>
      <c r="NT33" s="3">
        <f ca="1">IFERROR(__xludf.DUMMYFUNCTION("""COMPUTED_VALUE"""),-0.565174996387277)</f>
        <v>-0.56517499638727697</v>
      </c>
      <c r="NU33" s="3">
        <f ca="1">IFERROR(__xludf.DUMMYFUNCTION("""COMPUTED_VALUE"""),-0.606280334444544)</f>
        <v>-0.60628033444454399</v>
      </c>
      <c r="NV33" s="3">
        <f ca="1">IFERROR(__xludf.DUMMYFUNCTION("""COMPUTED_VALUE"""),-0.552002150763729)</f>
        <v>-0.55200215076372905</v>
      </c>
      <c r="NW33" s="3">
        <f ca="1">IFERROR(__xludf.DUMMYFUNCTION("""COMPUTED_VALUE"""),-0.600120649269261)</f>
        <v>-0.60012064926926101</v>
      </c>
      <c r="NX33" s="3">
        <f ca="1">IFERROR(__xludf.DUMMYFUNCTION("""COMPUTED_VALUE"""),-0.470324463311073)</f>
        <v>-0.47032446331107303</v>
      </c>
      <c r="NY33" s="3">
        <f ca="1">IFERROR(__xludf.DUMMYFUNCTION("""COMPUTED_VALUE"""),-0.392654191350841)</f>
        <v>-0.39265419135084101</v>
      </c>
      <c r="NZ33" s="3">
        <f ca="1">IFERROR(__xludf.DUMMYFUNCTION("""COMPUTED_VALUE"""),-0.346014006410513)</f>
        <v>-0.346014006410513</v>
      </c>
      <c r="OA33" s="3">
        <f ca="1">IFERROR(__xludf.DUMMYFUNCTION("""COMPUTED_VALUE"""),-0.478495010105315)</f>
        <v>-0.47849501010531498</v>
      </c>
      <c r="OB33" s="3">
        <f ca="1">IFERROR(__xludf.DUMMYFUNCTION("""COMPUTED_VALUE"""),-0.482524082204505)</f>
        <v>-0.48252408220450499</v>
      </c>
      <c r="OC33" s="3">
        <f ca="1">IFERROR(__xludf.DUMMYFUNCTION("""COMPUTED_VALUE"""),-0.526340739318896)</f>
        <v>-0.52634073931889602</v>
      </c>
      <c r="OD33" s="3">
        <f ca="1">IFERROR(__xludf.DUMMYFUNCTION("""COMPUTED_VALUE"""),-0.589120599034087)</f>
        <v>-0.58912059903408698</v>
      </c>
      <c r="OE33" s="3">
        <f ca="1">IFERROR(__xludf.DUMMYFUNCTION("""COMPUTED_VALUE"""),-0.308578124019774)</f>
        <v>-0.30857812401977402</v>
      </c>
      <c r="OF33" s="3">
        <f ca="1">IFERROR(__xludf.DUMMYFUNCTION("""COMPUTED_VALUE"""),-0.103129016183238)</f>
        <v>-0.103129016183238</v>
      </c>
      <c r="OG33" s="3">
        <f ca="1">IFERROR(__xludf.DUMMYFUNCTION("""COMPUTED_VALUE"""),-0.10048395008761)</f>
        <v>-0.10048395008761001</v>
      </c>
      <c r="OH33" s="3">
        <f ca="1">IFERROR(__xludf.DUMMYFUNCTION("""COMPUTED_VALUE"""),-0.113932703979839)</f>
        <v>-0.113932703979839</v>
      </c>
      <c r="OI33" s="3">
        <f ca="1">IFERROR(__xludf.DUMMYFUNCTION("""COMPUTED_VALUE"""),-0.0861279625230735)</f>
        <v>-8.6127962523073504E-2</v>
      </c>
      <c r="OJ33" s="3">
        <f ca="1">IFERROR(__xludf.DUMMYFUNCTION("""COMPUTED_VALUE"""),-0.0690409002081247)</f>
        <v>-6.90409002081247E-2</v>
      </c>
      <c r="OK33" s="3">
        <f ca="1">IFERROR(__xludf.DUMMYFUNCTION("""COMPUTED_VALUE"""),-0.0609745165656582)</f>
        <v>-6.09745165656582E-2</v>
      </c>
      <c r="OL33" s="3">
        <f ca="1">IFERROR(__xludf.DUMMYFUNCTION("""COMPUTED_VALUE"""),-0.0304547573038057)</f>
        <v>-3.0454757303805698E-2</v>
      </c>
      <c r="OM33" s="3">
        <f ca="1">IFERROR(__xludf.DUMMYFUNCTION("""COMPUTED_VALUE"""),0.0455481913834703)</f>
        <v>4.5548191383470299E-2</v>
      </c>
      <c r="ON33" s="3">
        <f ca="1">IFERROR(__xludf.DUMMYFUNCTION("""COMPUTED_VALUE"""),0.105857161613568)</f>
        <v>0.10585716161356799</v>
      </c>
      <c r="OO33" s="3">
        <f ca="1">IFERROR(__xludf.DUMMYFUNCTION("""COMPUTED_VALUE"""),-0.0232724791399945)</f>
        <v>-2.3272479139994501E-2</v>
      </c>
      <c r="OP33" s="3">
        <f ca="1">IFERROR(__xludf.DUMMYFUNCTION("""COMPUTED_VALUE"""),0.0647787527414787)</f>
        <v>6.4778752741478707E-2</v>
      </c>
      <c r="OQ33" s="3">
        <f ca="1">IFERROR(__xludf.DUMMYFUNCTION("""COMPUTED_VALUE"""),0.103216584240827)</f>
        <v>0.103216584240827</v>
      </c>
      <c r="OR33" s="3">
        <f ca="1">IFERROR(__xludf.DUMMYFUNCTION("""COMPUTED_VALUE"""),0.114424962757692)</f>
        <v>0.114424962757692</v>
      </c>
      <c r="OS33" s="3">
        <f ca="1">IFERROR(__xludf.DUMMYFUNCTION("""COMPUTED_VALUE"""),0.0620535838591613)</f>
        <v>6.20535838591613E-2</v>
      </c>
      <c r="OT33" s="3">
        <f ca="1">IFERROR(__xludf.DUMMYFUNCTION("""COMPUTED_VALUE"""),0.096603549166039)</f>
        <v>9.6603549166038999E-2</v>
      </c>
      <c r="OU33" s="3">
        <f ca="1">IFERROR(__xludf.DUMMYFUNCTION("""COMPUTED_VALUE"""),-0.0230300265277964)</f>
        <v>-2.3030026527796399E-2</v>
      </c>
      <c r="OV33" s="3">
        <f ca="1">IFERROR(__xludf.DUMMYFUNCTION("""COMPUTED_VALUE"""),-0.00840945760057709)</f>
        <v>-8.4094576005770902E-3</v>
      </c>
      <c r="OW33" s="3">
        <f ca="1">IFERROR(__xludf.DUMMYFUNCTION("""COMPUTED_VALUE"""),-0.155296709717828)</f>
        <v>-0.155296709717828</v>
      </c>
      <c r="OX33" s="3">
        <f ca="1">IFERROR(__xludf.DUMMYFUNCTION("""COMPUTED_VALUE"""),-0.103315078609244)</f>
        <v>-0.10331507860924399</v>
      </c>
      <c r="OY33" s="3">
        <f ca="1">IFERROR(__xludf.DUMMYFUNCTION("""COMPUTED_VALUE"""),0.0250609945656901)</f>
        <v>2.5060994565690099E-2</v>
      </c>
      <c r="OZ33" s="3">
        <f ca="1">IFERROR(__xludf.DUMMYFUNCTION("""COMPUTED_VALUE"""),0.101568082977076)</f>
        <v>0.10156808297707599</v>
      </c>
      <c r="PA33" s="3">
        <f ca="1">IFERROR(__xludf.DUMMYFUNCTION("""COMPUTED_VALUE"""),0.178607949371154)</f>
        <v>0.17860794937115401</v>
      </c>
      <c r="PB33" s="3">
        <f ca="1">IFERROR(__xludf.DUMMYFUNCTION("""COMPUTED_VALUE"""),0.0594666941248749)</f>
        <v>5.9466694124874903E-2</v>
      </c>
      <c r="PC33" s="3">
        <f ca="1">IFERROR(__xludf.DUMMYFUNCTION("""COMPUTED_VALUE"""),-0.0326710646672226)</f>
        <v>-3.2671064667222603E-2</v>
      </c>
      <c r="PD33" s="3">
        <f ca="1">IFERROR(__xludf.DUMMYFUNCTION("""COMPUTED_VALUE"""),-0.0271115248936304)</f>
        <v>-2.71115248936304E-2</v>
      </c>
      <c r="PE33" s="3">
        <f ca="1">IFERROR(__xludf.DUMMYFUNCTION("""COMPUTED_VALUE"""),-0.0153243056441857)</f>
        <v>-1.5324305644185699E-2</v>
      </c>
      <c r="PF33" s="3">
        <f ca="1">IFERROR(__xludf.DUMMYFUNCTION("""COMPUTED_VALUE"""),0.116816512291569)</f>
        <v>0.116816512291569</v>
      </c>
      <c r="PG33" s="3">
        <f ca="1">IFERROR(__xludf.DUMMYFUNCTION("""COMPUTED_VALUE"""),0.0235522820700408)</f>
        <v>2.35522820700408E-2</v>
      </c>
      <c r="PH33" s="3">
        <f ca="1">IFERROR(__xludf.DUMMYFUNCTION("""COMPUTED_VALUE"""),0.039741602125185)</f>
        <v>3.9741602125185002E-2</v>
      </c>
      <c r="PI33" s="3">
        <f ca="1">IFERROR(__xludf.DUMMYFUNCTION("""COMPUTED_VALUE"""),0.00111466561889717)</f>
        <v>1.11466561889717E-3</v>
      </c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</row>
    <row r="34" spans="1:477" ht="15.75" customHeight="1">
      <c r="A34" s="1" t="str">
        <f ca="1">IFERROR(__xludf.DUMMYFUNCTION("""COMPUTED_VALUE"""),"DDOT")</f>
        <v>DDOT</v>
      </c>
      <c r="B34" s="1" t="str">
        <f ca="1">IFERROR(__xludf.DUMMYFUNCTION("""COMPUTED_VALUE"""),"Detroit")</f>
        <v>Detroit</v>
      </c>
      <c r="C34" s="1" t="str">
        <f ca="1">IFERROR(__xludf.DUMMYFUNCTION("""COMPUTED_VALUE"""),"United States")</f>
        <v>United States</v>
      </c>
      <c r="D34" s="1" t="str">
        <f ca="1">IFERROR(__xludf.DUMMYFUNCTION("""COMPUTED_VALUE"""),"Michigan")</f>
        <v>Michigan</v>
      </c>
      <c r="E34" s="3">
        <f ca="1">IFERROR(__xludf.DUMMYFUNCTION("""COMPUTED_VALUE"""),-0.508327242222691)</f>
        <v>-0.50832724222269099</v>
      </c>
      <c r="F34" s="3">
        <f ca="1">IFERROR(__xludf.DUMMYFUNCTION("""COMPUTED_VALUE"""),-0.530627664957662)</f>
        <v>-0.530627664957662</v>
      </c>
      <c r="G34" s="3">
        <f ca="1">IFERROR(__xludf.DUMMYFUNCTION("""COMPUTED_VALUE"""),-0.576261642621824)</f>
        <v>-0.576261642621824</v>
      </c>
      <c r="H34" s="3">
        <f ca="1">IFERROR(__xludf.DUMMYFUNCTION("""COMPUTED_VALUE"""),-0.55007330168428)</f>
        <v>-0.55007330168428004</v>
      </c>
      <c r="I34" s="3">
        <f ca="1">IFERROR(__xludf.DUMMYFUNCTION("""COMPUTED_VALUE"""),-0.578007862947259)</f>
        <v>-0.57800786294725903</v>
      </c>
      <c r="J34" s="3">
        <f ca="1">IFERROR(__xludf.DUMMYFUNCTION("""COMPUTED_VALUE"""),-0.595319375988627)</f>
        <v>-0.59531937598862705</v>
      </c>
      <c r="K34" s="3">
        <f ca="1">IFERROR(__xludf.DUMMYFUNCTION("""COMPUTED_VALUE"""),-0.51720227321365)</f>
        <v>-0.51720227321364998</v>
      </c>
      <c r="L34" s="3">
        <f ca="1">IFERROR(__xludf.DUMMYFUNCTION("""COMPUTED_VALUE"""),-0.522111700373767)</f>
        <v>-0.52211170037376697</v>
      </c>
      <c r="M34" s="3">
        <f ca="1">IFERROR(__xludf.DUMMYFUNCTION("""COMPUTED_VALUE"""),-0.593121588014063)</f>
        <v>-0.59312158801406301</v>
      </c>
      <c r="N34" s="3">
        <f ca="1">IFERROR(__xludf.DUMMYFUNCTION("""COMPUTED_VALUE"""),-0.575690108150669)</f>
        <v>-0.57569010815066901</v>
      </c>
      <c r="O34" s="3">
        <f ca="1">IFERROR(__xludf.DUMMYFUNCTION("""COMPUTED_VALUE"""),-0.549103252978147)</f>
        <v>-0.54910325297814699</v>
      </c>
      <c r="P34" s="3">
        <f ca="1">IFERROR(__xludf.DUMMYFUNCTION("""COMPUTED_VALUE"""),-0.542693398789496)</f>
        <v>-0.54269339878949596</v>
      </c>
      <c r="Q34" s="3">
        <f ca="1">IFERROR(__xludf.DUMMYFUNCTION("""COMPUTED_VALUE"""),-0.548119814509608)</f>
        <v>-0.54811981450960801</v>
      </c>
      <c r="R34" s="3">
        <f ca="1">IFERROR(__xludf.DUMMYFUNCTION("""COMPUTED_VALUE"""),-0.551249076881405)</f>
        <v>-0.55124907688140501</v>
      </c>
      <c r="S34" s="3">
        <f ca="1">IFERROR(__xludf.DUMMYFUNCTION("""COMPUTED_VALUE"""),-0.505845221893248)</f>
        <v>-0.50584522189324799</v>
      </c>
      <c r="T34" s="3">
        <f ca="1">IFERROR(__xludf.DUMMYFUNCTION("""COMPUTED_VALUE"""),-0.58069024031505)</f>
        <v>-0.58069024031505001</v>
      </c>
      <c r="U34" s="3">
        <f ca="1">IFERROR(__xludf.DUMMYFUNCTION("""COMPUTED_VALUE"""),-0.581691394117669)</f>
        <v>-0.58169139411766901</v>
      </c>
      <c r="V34" s="3">
        <f ca="1">IFERROR(__xludf.DUMMYFUNCTION("""COMPUTED_VALUE"""),-0.547497603957624)</f>
        <v>-0.54749760395762403</v>
      </c>
      <c r="W34" s="3">
        <f ca="1">IFERROR(__xludf.DUMMYFUNCTION("""COMPUTED_VALUE"""),-0.575972636966191)</f>
        <v>-0.57597263696619105</v>
      </c>
      <c r="X34" s="3">
        <f ca="1">IFERROR(__xludf.DUMMYFUNCTION("""COMPUTED_VALUE"""),-0.524019189347017)</f>
        <v>-0.52401918934701697</v>
      </c>
      <c r="Y34" s="3">
        <f ca="1">IFERROR(__xludf.DUMMYFUNCTION("""COMPUTED_VALUE"""),-0.480818495094945)</f>
        <v>-0.48081849509494501</v>
      </c>
      <c r="Z34" s="3">
        <f ca="1">IFERROR(__xludf.DUMMYFUNCTION("""COMPUTED_VALUE"""),-0.491097477798699)</f>
        <v>-0.491097477798699</v>
      </c>
      <c r="AA34" s="3">
        <f ca="1">IFERROR(__xludf.DUMMYFUNCTION("""COMPUTED_VALUE"""),-0.589622095022964)</f>
        <v>-0.58962209502296403</v>
      </c>
      <c r="AB34" s="3">
        <f ca="1">IFERROR(__xludf.DUMMYFUNCTION("""COMPUTED_VALUE"""),-0.570769240888221)</f>
        <v>-0.57076924088822101</v>
      </c>
      <c r="AC34" s="3">
        <f ca="1">IFERROR(__xludf.DUMMYFUNCTION("""COMPUTED_VALUE"""),-0.560943689200338)</f>
        <v>-0.56094368920033799</v>
      </c>
      <c r="AD34" s="3">
        <f ca="1">IFERROR(__xludf.DUMMYFUNCTION("""COMPUTED_VALUE"""),-0.618941351612704)</f>
        <v>-0.61894135161270403</v>
      </c>
      <c r="AE34" s="3">
        <f ca="1">IFERROR(__xludf.DUMMYFUNCTION("""COMPUTED_VALUE"""),-0.587068341397)</f>
        <v>-0.58706834139700004</v>
      </c>
      <c r="AF34" s="3">
        <f ca="1">IFERROR(__xludf.DUMMYFUNCTION("""COMPUTED_VALUE"""),-0.412306371219893)</f>
        <v>-0.412306371219893</v>
      </c>
      <c r="AG34" s="3">
        <f ca="1">IFERROR(__xludf.DUMMYFUNCTION("""COMPUTED_VALUE"""),-0.446758998428776)</f>
        <v>-0.44675899842877598</v>
      </c>
      <c r="AH34" s="3">
        <f ca="1">IFERROR(__xludf.DUMMYFUNCTION("""COMPUTED_VALUE"""),-0.488446328258501)</f>
        <v>-0.48844632825850098</v>
      </c>
      <c r="AI34" s="3">
        <f ca="1">IFERROR(__xludf.DUMMYFUNCTION("""COMPUTED_VALUE"""),-0.509074172577164)</f>
        <v>-0.50907417257716403</v>
      </c>
      <c r="AJ34" s="3">
        <f ca="1">IFERROR(__xludf.DUMMYFUNCTION("""COMPUTED_VALUE"""),-0.515599288727628)</f>
        <v>-0.51559928872762795</v>
      </c>
      <c r="AK34" s="3">
        <f ca="1">IFERROR(__xludf.DUMMYFUNCTION("""COMPUTED_VALUE"""),-0.531723251919485)</f>
        <v>-0.531723251919485</v>
      </c>
      <c r="AL34" s="3">
        <f ca="1">IFERROR(__xludf.DUMMYFUNCTION("""COMPUTED_VALUE"""),-0.50419836952032)</f>
        <v>-0.50419836952032004</v>
      </c>
      <c r="AM34" s="3">
        <f ca="1">IFERROR(__xludf.DUMMYFUNCTION("""COMPUTED_VALUE"""),-0.44626157580351)</f>
        <v>-0.44626157580351</v>
      </c>
      <c r="AN34" s="3">
        <f ca="1">IFERROR(__xludf.DUMMYFUNCTION("""COMPUTED_VALUE"""),-0.500452888953223)</f>
        <v>-0.50045288895322304</v>
      </c>
      <c r="AO34" s="3">
        <f ca="1">IFERROR(__xludf.DUMMYFUNCTION("""COMPUTED_VALUE"""),-0.531874881423309)</f>
        <v>-0.53187488142330897</v>
      </c>
      <c r="AP34" s="3">
        <f ca="1">IFERROR(__xludf.DUMMYFUNCTION("""COMPUTED_VALUE"""),-0.55315121190377)</f>
        <v>-0.55315121190377003</v>
      </c>
      <c r="AQ34" s="3">
        <f ca="1">IFERROR(__xludf.DUMMYFUNCTION("""COMPUTED_VALUE"""),-0.515519795845261)</f>
        <v>-0.51551979584526098</v>
      </c>
      <c r="AR34" s="3">
        <f ca="1">IFERROR(__xludf.DUMMYFUNCTION("""COMPUTED_VALUE"""),-0.52427557948066)</f>
        <v>-0.52427557948065995</v>
      </c>
      <c r="AS34" s="3">
        <f ca="1">IFERROR(__xludf.DUMMYFUNCTION("""COMPUTED_VALUE"""),-0.500966463759799)</f>
        <v>-0.50096646375979903</v>
      </c>
      <c r="AT34" s="3">
        <f ca="1">IFERROR(__xludf.DUMMYFUNCTION("""COMPUTED_VALUE"""),-0.389041564742535)</f>
        <v>-0.38904156474253498</v>
      </c>
      <c r="AU34" s="3">
        <f ca="1">IFERROR(__xludf.DUMMYFUNCTION("""COMPUTED_VALUE"""),-0.471689379714687)</f>
        <v>-0.471689379714687</v>
      </c>
      <c r="AV34" s="3">
        <f ca="1">IFERROR(__xludf.DUMMYFUNCTION("""COMPUTED_VALUE"""),-0.538487340947006)</f>
        <v>-0.53848734094700601</v>
      </c>
      <c r="AW34" s="3">
        <f ca="1">IFERROR(__xludf.DUMMYFUNCTION("""COMPUTED_VALUE"""),-0.525118592489189)</f>
        <v>-0.52511859248918902</v>
      </c>
      <c r="AX34" s="3">
        <f ca="1">IFERROR(__xludf.DUMMYFUNCTION("""COMPUTED_VALUE"""),-0.506653721928161)</f>
        <v>-0.50665372192816105</v>
      </c>
      <c r="AY34" s="3">
        <f ca="1">IFERROR(__xludf.DUMMYFUNCTION("""COMPUTED_VALUE"""),-0.519939497813638)</f>
        <v>-0.51993949781363802</v>
      </c>
      <c r="AZ34" s="3">
        <f ca="1">IFERROR(__xludf.DUMMYFUNCTION("""COMPUTED_VALUE"""),-0.513927849420082)</f>
        <v>-0.51392784942008196</v>
      </c>
      <c r="BA34" s="3">
        <f ca="1">IFERROR(__xludf.DUMMYFUNCTION("""COMPUTED_VALUE"""),-0.514915613061812)</f>
        <v>-0.51491561306181199</v>
      </c>
      <c r="BB34" s="3">
        <f ca="1">IFERROR(__xludf.DUMMYFUNCTION("""COMPUTED_VALUE"""),-0.527918954711311)</f>
        <v>-0.52791895471131101</v>
      </c>
      <c r="BC34" s="3">
        <f ca="1">IFERROR(__xludf.DUMMYFUNCTION("""COMPUTED_VALUE"""),-0.578506342368703)</f>
        <v>-0.57850634236870302</v>
      </c>
      <c r="BD34" s="3">
        <f ca="1">IFERROR(__xludf.DUMMYFUNCTION("""COMPUTED_VALUE"""),-0.60542817184267)</f>
        <v>-0.60542817184266995</v>
      </c>
      <c r="BE34" s="3">
        <f ca="1">IFERROR(__xludf.DUMMYFUNCTION("""COMPUTED_VALUE"""),-0.564679545100414)</f>
        <v>-0.56467954510041396</v>
      </c>
      <c r="BF34" s="3">
        <f ca="1">IFERROR(__xludf.DUMMYFUNCTION("""COMPUTED_VALUE"""),-0.585655817743592)</f>
        <v>-0.58565581774359199</v>
      </c>
      <c r="BG34" s="3">
        <f ca="1">IFERROR(__xludf.DUMMYFUNCTION("""COMPUTED_VALUE"""),-0.583189851708248)</f>
        <v>-0.583189851708248</v>
      </c>
      <c r="BH34" s="3">
        <f ca="1">IFERROR(__xludf.DUMMYFUNCTION("""COMPUTED_VALUE"""),-0.480341485031897)</f>
        <v>-0.480341485031897</v>
      </c>
      <c r="BI34" s="3">
        <f ca="1">IFERROR(__xludf.DUMMYFUNCTION("""COMPUTED_VALUE"""),-0.558875580181637)</f>
        <v>-0.55887558018163697</v>
      </c>
      <c r="BJ34" s="3">
        <f ca="1">IFERROR(__xludf.DUMMYFUNCTION("""COMPUTED_VALUE"""),-0.626580967551203)</f>
        <v>-0.62658096755120296</v>
      </c>
      <c r="BK34" s="3">
        <f ca="1">IFERROR(__xludf.DUMMYFUNCTION("""COMPUTED_VALUE"""),-0.616868080533259)</f>
        <v>-0.61686808053325903</v>
      </c>
      <c r="BL34" s="3">
        <f ca="1">IFERROR(__xludf.DUMMYFUNCTION("""COMPUTED_VALUE"""),-0.630828323400839)</f>
        <v>-0.63082832340083905</v>
      </c>
      <c r="BM34" s="3">
        <f ca="1">IFERROR(__xludf.DUMMYFUNCTION("""COMPUTED_VALUE"""),-0.633644498869677)</f>
        <v>-0.633644498869677</v>
      </c>
      <c r="BN34" s="3">
        <f ca="1">IFERROR(__xludf.DUMMYFUNCTION("""COMPUTED_VALUE"""),-0.633730847138125)</f>
        <v>-0.633730847138125</v>
      </c>
      <c r="BO34" s="3">
        <f ca="1">IFERROR(__xludf.DUMMYFUNCTION("""COMPUTED_VALUE"""),-0.579684311797031)</f>
        <v>-0.57968431179703095</v>
      </c>
      <c r="BP34" s="3">
        <f ca="1">IFERROR(__xludf.DUMMYFUNCTION("""COMPUTED_VALUE"""),-0.615481755383878)</f>
        <v>-0.61548175538387795</v>
      </c>
      <c r="BQ34" s="3">
        <f ca="1">IFERROR(__xludf.DUMMYFUNCTION("""COMPUTED_VALUE"""),-0.677867651701225)</f>
        <v>-0.67786765170122498</v>
      </c>
      <c r="BR34" s="3">
        <f ca="1">IFERROR(__xludf.DUMMYFUNCTION("""COMPUTED_VALUE"""),-0.617227300863187)</f>
        <v>-0.617227300863187</v>
      </c>
      <c r="BS34" s="3">
        <f ca="1">IFERROR(__xludf.DUMMYFUNCTION("""COMPUTED_VALUE"""),-0.613062109413567)</f>
        <v>-0.61306210941356698</v>
      </c>
      <c r="BT34" s="3">
        <f ca="1">IFERROR(__xludf.DUMMYFUNCTION("""COMPUTED_VALUE"""),-0.652689716588449)</f>
        <v>-0.65268971658844899</v>
      </c>
      <c r="BU34" s="3">
        <f ca="1">IFERROR(__xludf.DUMMYFUNCTION("""COMPUTED_VALUE"""),-0.631587789824728)</f>
        <v>-0.63158778982472796</v>
      </c>
      <c r="BV34" s="3">
        <f ca="1">IFERROR(__xludf.DUMMYFUNCTION("""COMPUTED_VALUE"""),-0.570451301893581)</f>
        <v>-0.57045130189358095</v>
      </c>
      <c r="BW34" s="3">
        <f ca="1">IFERROR(__xludf.DUMMYFUNCTION("""COMPUTED_VALUE"""),-0.596129775251537)</f>
        <v>-0.59612977525153699</v>
      </c>
      <c r="BX34" s="3">
        <f ca="1">IFERROR(__xludf.DUMMYFUNCTION("""COMPUTED_VALUE"""),-0.658390285576317)</f>
        <v>-0.65839028557631696</v>
      </c>
      <c r="BY34" s="3">
        <f ca="1">IFERROR(__xludf.DUMMYFUNCTION("""COMPUTED_VALUE"""),-0.66692938131657)</f>
        <v>-0.66692938131656998</v>
      </c>
      <c r="BZ34" s="3">
        <f ca="1">IFERROR(__xludf.DUMMYFUNCTION("""COMPUTED_VALUE"""),-0.633126376124362)</f>
        <v>-0.63312637612436196</v>
      </c>
      <c r="CA34" s="3">
        <f ca="1">IFERROR(__xludf.DUMMYFUNCTION("""COMPUTED_VALUE"""),-0.659665420261433)</f>
        <v>-0.65966542026143304</v>
      </c>
      <c r="CB34" s="3">
        <f ca="1">IFERROR(__xludf.DUMMYFUNCTION("""COMPUTED_VALUE"""),-0.648055915555091)</f>
        <v>-0.64805591555509101</v>
      </c>
      <c r="CC34" s="3">
        <f ca="1">IFERROR(__xludf.DUMMYFUNCTION("""COMPUTED_VALUE"""),-0.587153090004237)</f>
        <v>-0.58715309000423699</v>
      </c>
      <c r="CD34" s="3">
        <f ca="1">IFERROR(__xludf.DUMMYFUNCTION("""COMPUTED_VALUE"""),-0.613067738608347)</f>
        <v>-0.61306773860834696</v>
      </c>
      <c r="CE34" s="3">
        <f ca="1">IFERROR(__xludf.DUMMYFUNCTION("""COMPUTED_VALUE"""),-0.675944110707501)</f>
        <v>-0.67594411070750104</v>
      </c>
      <c r="CF34" s="3">
        <f ca="1">IFERROR(__xludf.DUMMYFUNCTION("""COMPUTED_VALUE"""),-0.655600320115524)</f>
        <v>-0.65560032011552405</v>
      </c>
      <c r="CG34" s="3">
        <f ca="1">IFERROR(__xludf.DUMMYFUNCTION("""COMPUTED_VALUE"""),-0.688431281806612)</f>
        <v>-0.68843128180661195</v>
      </c>
      <c r="CH34" s="3">
        <f ca="1">IFERROR(__xludf.DUMMYFUNCTION("""COMPUTED_VALUE"""),-0.670169543111446)</f>
        <v>-0.67016954311144605</v>
      </c>
      <c r="CI34" s="3">
        <f ca="1">IFERROR(__xludf.DUMMYFUNCTION("""COMPUTED_VALUE"""),-0.66288338358426)</f>
        <v>-0.66288338358426002</v>
      </c>
      <c r="CJ34" s="3">
        <f ca="1">IFERROR(__xludf.DUMMYFUNCTION("""COMPUTED_VALUE"""),-0.559911466098765)</f>
        <v>-0.55991146609876496</v>
      </c>
      <c r="CK34" s="3">
        <f ca="1">IFERROR(__xludf.DUMMYFUNCTION("""COMPUTED_VALUE"""),-0.565800735141232)</f>
        <v>-0.56580073514123197</v>
      </c>
      <c r="CL34" s="3">
        <f ca="1">IFERROR(__xludf.DUMMYFUNCTION("""COMPUTED_VALUE"""),-0.670499205681378)</f>
        <v>-0.670499205681378</v>
      </c>
      <c r="CM34" s="3">
        <f ca="1">IFERROR(__xludf.DUMMYFUNCTION("""COMPUTED_VALUE"""),-0.634184453626117)</f>
        <v>-0.63418445362611697</v>
      </c>
      <c r="CN34" s="3">
        <f ca="1">IFERROR(__xludf.DUMMYFUNCTION("""COMPUTED_VALUE"""),-0.637325278676043)</f>
        <v>-0.63732527867604305</v>
      </c>
      <c r="CO34" s="3">
        <f ca="1">IFERROR(__xludf.DUMMYFUNCTION("""COMPUTED_VALUE"""),-0.672962108152147)</f>
        <v>-0.67296210815214696</v>
      </c>
      <c r="CP34" s="3">
        <f ca="1">IFERROR(__xludf.DUMMYFUNCTION("""COMPUTED_VALUE"""),-0.640403751738075)</f>
        <v>-0.64040375173807496</v>
      </c>
      <c r="CQ34" s="3">
        <f ca="1">IFERROR(__xludf.DUMMYFUNCTION("""COMPUTED_VALUE"""),-0.59081224387046)</f>
        <v>-0.59081224387046005</v>
      </c>
      <c r="CR34" s="3">
        <f ca="1">IFERROR(__xludf.DUMMYFUNCTION("""COMPUTED_VALUE"""),-0.547473891427654)</f>
        <v>-0.54747389142765401</v>
      </c>
      <c r="CS34" s="3">
        <f ca="1">IFERROR(__xludf.DUMMYFUNCTION("""COMPUTED_VALUE"""),-0.686330717923635)</f>
        <v>-0.68633071792363498</v>
      </c>
      <c r="CT34" s="3">
        <f ca="1">IFERROR(__xludf.DUMMYFUNCTION("""COMPUTED_VALUE"""),-0.668752814240701)</f>
        <v>-0.66875281424070099</v>
      </c>
      <c r="CU34" s="3">
        <f ca="1">IFERROR(__xludf.DUMMYFUNCTION("""COMPUTED_VALUE"""),-0.637213353750259)</f>
        <v>-0.637213353750259</v>
      </c>
      <c r="CV34" s="3">
        <f ca="1">IFERROR(__xludf.DUMMYFUNCTION("""COMPUTED_VALUE"""),-0.64125056447568)</f>
        <v>-0.64125056447567996</v>
      </c>
      <c r="CW34" s="3">
        <f ca="1">IFERROR(__xludf.DUMMYFUNCTION("""COMPUTED_VALUE"""),-0.630999337666466)</f>
        <v>-0.63099933766646599</v>
      </c>
      <c r="CX34" s="3">
        <f ca="1">IFERROR(__xludf.DUMMYFUNCTION("""COMPUTED_VALUE"""),-0.617469454081311)</f>
        <v>-0.61746945408131104</v>
      </c>
      <c r="CY34" s="3">
        <f ca="1">IFERROR(__xludf.DUMMYFUNCTION("""COMPUTED_VALUE"""),-0.600839652808606)</f>
        <v>-0.60083965280860596</v>
      </c>
      <c r="CZ34" s="3">
        <f ca="1">IFERROR(__xludf.DUMMYFUNCTION("""COMPUTED_VALUE"""),-0.754513253358139)</f>
        <v>-0.75451325335813901</v>
      </c>
      <c r="DA34" s="3">
        <f ca="1">IFERROR(__xludf.DUMMYFUNCTION("""COMPUTED_VALUE"""),-0.648304463494862)</f>
        <v>-0.64830446349486204</v>
      </c>
      <c r="DB34" s="3">
        <f ca="1">IFERROR(__xludf.DUMMYFUNCTION("""COMPUTED_VALUE"""),-0.570094690675331)</f>
        <v>-0.57009469067533103</v>
      </c>
      <c r="DC34" s="3">
        <f ca="1">IFERROR(__xludf.DUMMYFUNCTION("""COMPUTED_VALUE"""),-0.598889134062509)</f>
        <v>-0.59888913406250899</v>
      </c>
      <c r="DD34" s="3">
        <f ca="1">IFERROR(__xludf.DUMMYFUNCTION("""COMPUTED_VALUE"""),-0.630885804413254)</f>
        <v>-0.63088580441325404</v>
      </c>
      <c r="DE34" s="3">
        <f ca="1">IFERROR(__xludf.DUMMYFUNCTION("""COMPUTED_VALUE"""),-0.620292522761531)</f>
        <v>-0.62029252276153102</v>
      </c>
      <c r="DF34" s="3">
        <f ca="1">IFERROR(__xludf.DUMMYFUNCTION("""COMPUTED_VALUE"""),-0.644245849956534)</f>
        <v>-0.644245849956534</v>
      </c>
      <c r="DG34" s="3">
        <f ca="1">IFERROR(__xludf.DUMMYFUNCTION("""COMPUTED_VALUE"""),-0.825011044180234)</f>
        <v>-0.82501104418023397</v>
      </c>
      <c r="DH34" s="3">
        <f ca="1">IFERROR(__xludf.DUMMYFUNCTION("""COMPUTED_VALUE"""),-0.692391948613865)</f>
        <v>-0.69239194861386499</v>
      </c>
      <c r="DI34" s="3">
        <f ca="1">IFERROR(__xludf.DUMMYFUNCTION("""COMPUTED_VALUE"""),-0.463681925356919)</f>
        <v>-0.46368192535691899</v>
      </c>
      <c r="DJ34" s="3">
        <f ca="1">IFERROR(__xludf.DUMMYFUNCTION("""COMPUTED_VALUE"""),-0.573571503283355)</f>
        <v>-0.57357150328335504</v>
      </c>
      <c r="DK34" s="3">
        <f ca="1">IFERROR(__xludf.DUMMYFUNCTION("""COMPUTED_VALUE"""),-0.626306110687921)</f>
        <v>-0.62630611068792097</v>
      </c>
      <c r="DL34" s="3">
        <f ca="1">IFERROR(__xludf.DUMMYFUNCTION("""COMPUTED_VALUE"""),-0.595955997318623)</f>
        <v>-0.59595599731862303</v>
      </c>
      <c r="DM34" s="3">
        <f ca="1">IFERROR(__xludf.DUMMYFUNCTION("""COMPUTED_VALUE"""),-0.642647936239084)</f>
        <v>-0.64264793623908401</v>
      </c>
      <c r="DN34" s="3">
        <f ca="1">IFERROR(__xludf.DUMMYFUNCTION("""COMPUTED_VALUE"""),-0.649876232117339)</f>
        <v>-0.64987623211733903</v>
      </c>
      <c r="DO34" s="3">
        <f ca="1">IFERROR(__xludf.DUMMYFUNCTION("""COMPUTED_VALUE"""),-0.644095506468915)</f>
        <v>-0.644095506468915</v>
      </c>
      <c r="DP34" s="3">
        <f ca="1">IFERROR(__xludf.DUMMYFUNCTION("""COMPUTED_VALUE"""),-0.606857745400172)</f>
        <v>-0.60685774540017201</v>
      </c>
      <c r="DQ34" s="3">
        <f ca="1">IFERROR(__xludf.DUMMYFUNCTION("""COMPUTED_VALUE"""),-0.642347595148058)</f>
        <v>-0.64234759514805795</v>
      </c>
      <c r="DR34" s="3">
        <f ca="1">IFERROR(__xludf.DUMMYFUNCTION("""COMPUTED_VALUE"""),-0.632599126670346)</f>
        <v>-0.63259912667034601</v>
      </c>
      <c r="DS34" s="3">
        <f ca="1">IFERROR(__xludf.DUMMYFUNCTION("""COMPUTED_VALUE"""),-0.570283181783814)</f>
        <v>-0.57028318178381399</v>
      </c>
      <c r="DT34" s="3">
        <f ca="1">IFERROR(__xludf.DUMMYFUNCTION("""COMPUTED_VALUE"""),-0.643417186520247)</f>
        <v>-0.64341718652024704</v>
      </c>
      <c r="DU34" s="3">
        <f ca="1">IFERROR(__xludf.DUMMYFUNCTION("""COMPUTED_VALUE"""),-0.643503184942116)</f>
        <v>-0.643503184942116</v>
      </c>
      <c r="DV34" s="3">
        <f ca="1">IFERROR(__xludf.DUMMYFUNCTION("""COMPUTED_VALUE"""),-0.648687011600402)</f>
        <v>-0.64868701160040199</v>
      </c>
      <c r="DW34" s="3">
        <f ca="1">IFERROR(__xludf.DUMMYFUNCTION("""COMPUTED_VALUE"""),-0.662633467807517)</f>
        <v>-0.66263346780751697</v>
      </c>
      <c r="DX34" s="3">
        <f ca="1">IFERROR(__xludf.DUMMYFUNCTION("""COMPUTED_VALUE"""),-0.660574804947599)</f>
        <v>-0.66057480494759901</v>
      </c>
      <c r="DY34" s="3">
        <f ca="1">IFERROR(__xludf.DUMMYFUNCTION("""COMPUTED_VALUE"""),-0.673504590229757)</f>
        <v>-0.67350459022975695</v>
      </c>
      <c r="DZ34" s="3">
        <f ca="1">IFERROR(__xludf.DUMMYFUNCTION("""COMPUTED_VALUE"""),-0.613731259485369)</f>
        <v>-0.613731259485369</v>
      </c>
      <c r="EA34" s="3">
        <f ca="1">IFERROR(__xludf.DUMMYFUNCTION("""COMPUTED_VALUE"""),-0.607656505060226)</f>
        <v>-0.60765650506022595</v>
      </c>
      <c r="EB34" s="3">
        <f ca="1">IFERROR(__xludf.DUMMYFUNCTION("""COMPUTED_VALUE"""),-0.652905206829437)</f>
        <v>-0.65290520682943698</v>
      </c>
      <c r="EC34" s="3">
        <f ca="1">IFERROR(__xludf.DUMMYFUNCTION("""COMPUTED_VALUE"""),-0.593584527479434)</f>
        <v>-0.59358452747943402</v>
      </c>
      <c r="ED34" s="3">
        <f ca="1">IFERROR(__xludf.DUMMYFUNCTION("""COMPUTED_VALUE"""),-0.662710505122632)</f>
        <v>-0.66271050512263197</v>
      </c>
      <c r="EE34" s="3">
        <f ca="1">IFERROR(__xludf.DUMMYFUNCTION("""COMPUTED_VALUE"""),-0.681661181300826)</f>
        <v>-0.68166118130082598</v>
      </c>
      <c r="EF34" s="3">
        <f ca="1">IFERROR(__xludf.DUMMYFUNCTION("""COMPUTED_VALUE"""),-0.673045537087835)</f>
        <v>-0.67304553708783499</v>
      </c>
      <c r="EG34" s="3">
        <f ca="1">IFERROR(__xludf.DUMMYFUNCTION("""COMPUTED_VALUE"""),-0.581540045615648)</f>
        <v>-0.58154004561564798</v>
      </c>
      <c r="EH34" s="3">
        <f ca="1">IFERROR(__xludf.DUMMYFUNCTION("""COMPUTED_VALUE"""),-0.622418293373622)</f>
        <v>-0.62241829337362198</v>
      </c>
      <c r="EI34" s="3">
        <f ca="1">IFERROR(__xludf.DUMMYFUNCTION("""COMPUTED_VALUE"""),-0.669383306479383)</f>
        <v>-0.66938330647938304</v>
      </c>
      <c r="EJ34" s="3">
        <f ca="1">IFERROR(__xludf.DUMMYFUNCTION("""COMPUTED_VALUE"""),-0.727880158651622)</f>
        <v>-0.72788015865162203</v>
      </c>
      <c r="EK34" s="3">
        <f ca="1">IFERROR(__xludf.DUMMYFUNCTION("""COMPUTED_VALUE"""),-0.668635528669226)</f>
        <v>-0.66863552866922604</v>
      </c>
      <c r="EL34" s="3">
        <f ca="1">IFERROR(__xludf.DUMMYFUNCTION("""COMPUTED_VALUE"""),-0.688893093855876)</f>
        <v>-0.68889309385587605</v>
      </c>
      <c r="EM34" s="3">
        <f ca="1">IFERROR(__xludf.DUMMYFUNCTION("""COMPUTED_VALUE"""),-0.678753287050212)</f>
        <v>-0.67875328705021198</v>
      </c>
      <c r="EN34" s="3">
        <f ca="1">IFERROR(__xludf.DUMMYFUNCTION("""COMPUTED_VALUE"""),-0.663269038758823)</f>
        <v>-0.66326903875882304</v>
      </c>
      <c r="EO34" s="3">
        <f ca="1">IFERROR(__xludf.DUMMYFUNCTION("""COMPUTED_VALUE"""),-0.57179078188797)</f>
        <v>-0.57179078188796995</v>
      </c>
      <c r="EP34" s="3">
        <f ca="1">IFERROR(__xludf.DUMMYFUNCTION("""COMPUTED_VALUE"""),-0.619940528724962)</f>
        <v>-0.61994052872496197</v>
      </c>
      <c r="EQ34" s="3">
        <f ca="1">IFERROR(__xludf.DUMMYFUNCTION("""COMPUTED_VALUE"""),-0.617884278621474)</f>
        <v>-0.61788427862147399</v>
      </c>
      <c r="ER34" s="3">
        <f ca="1">IFERROR(__xludf.DUMMYFUNCTION("""COMPUTED_VALUE"""),-0.650715491316388)</f>
        <v>-0.65071549131638795</v>
      </c>
      <c r="ES34" s="3">
        <f ca="1">IFERROR(__xludf.DUMMYFUNCTION("""COMPUTED_VALUE"""),-0.669750801001531)</f>
        <v>-0.66975080100153095</v>
      </c>
      <c r="ET34" s="3">
        <f ca="1">IFERROR(__xludf.DUMMYFUNCTION("""COMPUTED_VALUE"""),-0.651927590735794)</f>
        <v>-0.65192759073579398</v>
      </c>
      <c r="EU34" s="3">
        <f ca="1">IFERROR(__xludf.DUMMYFUNCTION("""COMPUTED_VALUE"""),-0.611982712689179)</f>
        <v>-0.61198271268917903</v>
      </c>
      <c r="EV34" s="3">
        <f ca="1">IFERROR(__xludf.DUMMYFUNCTION("""COMPUTED_VALUE"""),-0.572195030234708)</f>
        <v>-0.57219503023470797</v>
      </c>
      <c r="EW34" s="3">
        <f ca="1">IFERROR(__xludf.DUMMYFUNCTION("""COMPUTED_VALUE"""),-0.705267307856814)</f>
        <v>-0.70526730785681402</v>
      </c>
      <c r="EX34" s="3">
        <f ca="1">IFERROR(__xludf.DUMMYFUNCTION("""COMPUTED_VALUE"""),-0.673332938243006)</f>
        <v>-0.673332938243006</v>
      </c>
      <c r="EY34" s="3">
        <f ca="1">IFERROR(__xludf.DUMMYFUNCTION("""COMPUTED_VALUE"""),-0.645519623611673)</f>
        <v>-0.64551962361167303</v>
      </c>
      <c r="EZ34" s="3">
        <f ca="1">IFERROR(__xludf.DUMMYFUNCTION("""COMPUTED_VALUE"""),-0.609701213025259)</f>
        <v>-0.60970121302525904</v>
      </c>
      <c r="FA34" s="3">
        <f ca="1">IFERROR(__xludf.DUMMYFUNCTION("""COMPUTED_VALUE"""),-0.62109044243389)</f>
        <v>-0.62109044243389</v>
      </c>
      <c r="FB34" s="3">
        <f ca="1">IFERROR(__xludf.DUMMYFUNCTION("""COMPUTED_VALUE"""),-0.549413096077774)</f>
        <v>-0.549413096077774</v>
      </c>
      <c r="FC34" s="3">
        <f ca="1">IFERROR(__xludf.DUMMYFUNCTION("""COMPUTED_VALUE"""),-0.575812725762679)</f>
        <v>-0.57581272576267895</v>
      </c>
      <c r="FD34" s="3">
        <f ca="1">IFERROR(__xludf.DUMMYFUNCTION("""COMPUTED_VALUE"""),-0.650293373578346)</f>
        <v>-0.65029337357834605</v>
      </c>
      <c r="FE34" s="3">
        <f ca="1">IFERROR(__xludf.DUMMYFUNCTION("""COMPUTED_VALUE"""),-0.6762064558877)</f>
        <v>-0.67620645588770001</v>
      </c>
      <c r="FF34" s="3">
        <f ca="1">IFERROR(__xludf.DUMMYFUNCTION("""COMPUTED_VALUE"""),-0.648959566843964)</f>
        <v>-0.64895956684396405</v>
      </c>
      <c r="FG34" s="3">
        <f ca="1">IFERROR(__xludf.DUMMYFUNCTION("""COMPUTED_VALUE"""),-0.638613796966167)</f>
        <v>-0.63861379696616705</v>
      </c>
      <c r="FH34" s="3">
        <f ca="1">IFERROR(__xludf.DUMMYFUNCTION("""COMPUTED_VALUE"""),-0.664575055548946)</f>
        <v>-0.66457505554894603</v>
      </c>
      <c r="FI34" s="3">
        <f ca="1">IFERROR(__xludf.DUMMYFUNCTION("""COMPUTED_VALUE"""),-0.629120947276189)</f>
        <v>-0.62912094727618895</v>
      </c>
      <c r="FJ34" s="3">
        <f ca="1">IFERROR(__xludf.DUMMYFUNCTION("""COMPUTED_VALUE"""),-0.579461108612584)</f>
        <v>-0.57946110861258404</v>
      </c>
      <c r="FK34" s="3">
        <f ca="1">IFERROR(__xludf.DUMMYFUNCTION("""COMPUTED_VALUE"""),-0.667426415709801)</f>
        <v>-0.66742641570980099</v>
      </c>
      <c r="FL34" s="3">
        <f ca="1">IFERROR(__xludf.DUMMYFUNCTION("""COMPUTED_VALUE"""),-0.679323338154539)</f>
        <v>-0.67932333815453905</v>
      </c>
      <c r="FM34" s="3">
        <f ca="1">IFERROR(__xludf.DUMMYFUNCTION("""COMPUTED_VALUE"""),-0.654808994861632)</f>
        <v>-0.65480899486163202</v>
      </c>
      <c r="FN34" s="3">
        <f ca="1">IFERROR(__xludf.DUMMYFUNCTION("""COMPUTED_VALUE"""),-0.671936887864035)</f>
        <v>-0.67193688786403505</v>
      </c>
      <c r="FO34" s="3">
        <f ca="1">IFERROR(__xludf.DUMMYFUNCTION("""COMPUTED_VALUE"""),-0.655793070654158)</f>
        <v>-0.65579307065415804</v>
      </c>
      <c r="FP34" s="3">
        <f ca="1">IFERROR(__xludf.DUMMYFUNCTION("""COMPUTED_VALUE"""),-0.572220229660551)</f>
        <v>-0.57222022966055097</v>
      </c>
      <c r="FQ34" s="3">
        <f ca="1">IFERROR(__xludf.DUMMYFUNCTION("""COMPUTED_VALUE"""),-0.564294183774699)</f>
        <v>-0.56429418377469898</v>
      </c>
      <c r="FR34" s="3">
        <f ca="1">IFERROR(__xludf.DUMMYFUNCTION("""COMPUTED_VALUE"""),-0.623338383997815)</f>
        <v>-0.62333838399781505</v>
      </c>
      <c r="FS34" s="3">
        <f ca="1">IFERROR(__xludf.DUMMYFUNCTION("""COMPUTED_VALUE"""),-0.638776284008733)</f>
        <v>-0.63877628400873299</v>
      </c>
      <c r="FT34" s="3">
        <f ca="1">IFERROR(__xludf.DUMMYFUNCTION("""COMPUTED_VALUE"""),-0.628718387830962)</f>
        <v>-0.62871838783096201</v>
      </c>
      <c r="FU34" s="3">
        <f ca="1">IFERROR(__xludf.DUMMYFUNCTION("""COMPUTED_VALUE"""),-0.614420715716966)</f>
        <v>-0.61442071571696599</v>
      </c>
      <c r="FV34" s="3">
        <f ca="1">IFERROR(__xludf.DUMMYFUNCTION("""COMPUTED_VALUE"""),-0.614176026981137)</f>
        <v>-0.61417602698113705</v>
      </c>
      <c r="FW34" s="3">
        <f ca="1">IFERROR(__xludf.DUMMYFUNCTION("""COMPUTED_VALUE"""),-0.550190022279254)</f>
        <v>-0.55019002227925395</v>
      </c>
      <c r="FX34" s="3">
        <f ca="1">IFERROR(__xludf.DUMMYFUNCTION("""COMPUTED_VALUE"""),-0.55179137687163)</f>
        <v>-0.55179137687163005</v>
      </c>
      <c r="FY34" s="3">
        <f ca="1">IFERROR(__xludf.DUMMYFUNCTION("""COMPUTED_VALUE"""),-0.599399243268)</f>
        <v>-0.59939924326799998</v>
      </c>
      <c r="FZ34" s="3">
        <f ca="1">IFERROR(__xludf.DUMMYFUNCTION("""COMPUTED_VALUE"""),-0.63648330126113)</f>
        <v>-0.63648330126112995</v>
      </c>
      <c r="GA34" s="3">
        <f ca="1">IFERROR(__xludf.DUMMYFUNCTION("""COMPUTED_VALUE"""),-0.619974200137223)</f>
        <v>-0.61997420013722304</v>
      </c>
      <c r="GB34" s="3">
        <f ca="1">IFERROR(__xludf.DUMMYFUNCTION("""COMPUTED_VALUE"""),-0.590511460496093)</f>
        <v>-0.59051146049609304</v>
      </c>
      <c r="GC34" s="3">
        <f ca="1">IFERROR(__xludf.DUMMYFUNCTION("""COMPUTED_VALUE"""),-0.614065189844343)</f>
        <v>-0.614065189844343</v>
      </c>
      <c r="GD34" s="3">
        <f ca="1">IFERROR(__xludf.DUMMYFUNCTION("""COMPUTED_VALUE"""),-0.511564875322952)</f>
        <v>-0.51156487532295203</v>
      </c>
      <c r="GE34" s="3">
        <f ca="1">IFERROR(__xludf.DUMMYFUNCTION("""COMPUTED_VALUE"""),-0.506223037565921)</f>
        <v>-0.50622303756592102</v>
      </c>
      <c r="GF34" s="3">
        <f ca="1">IFERROR(__xludf.DUMMYFUNCTION("""COMPUTED_VALUE"""),-0.58535204295419)</f>
        <v>-0.58535204295418997</v>
      </c>
      <c r="GG34" s="3">
        <f ca="1">IFERROR(__xludf.DUMMYFUNCTION("""COMPUTED_VALUE"""),-0.614180293833769)</f>
        <v>-0.61418029383376904</v>
      </c>
      <c r="GH34" s="3">
        <f ca="1">IFERROR(__xludf.DUMMYFUNCTION("""COMPUTED_VALUE"""),-0.614084949117898)</f>
        <v>-0.61408494911789802</v>
      </c>
      <c r="GI34" s="3">
        <f ca="1">IFERROR(__xludf.DUMMYFUNCTION("""COMPUTED_VALUE"""),-0.627785976806711)</f>
        <v>-0.627785976806711</v>
      </c>
      <c r="GJ34" s="3">
        <f ca="1">IFERROR(__xludf.DUMMYFUNCTION("""COMPUTED_VALUE"""),-0.613518087633349)</f>
        <v>-0.61351808763334903</v>
      </c>
      <c r="GK34" s="3">
        <f ca="1">IFERROR(__xludf.DUMMYFUNCTION("""COMPUTED_VALUE"""),-0.803165692438431)</f>
        <v>-0.80316569243843094</v>
      </c>
      <c r="GL34" s="3">
        <f ca="1">IFERROR(__xludf.DUMMYFUNCTION("""COMPUTED_VALUE"""),-0.744710224864069)</f>
        <v>-0.74471022486406901</v>
      </c>
      <c r="GM34" s="3">
        <f ca="1">IFERROR(__xludf.DUMMYFUNCTION("""COMPUTED_VALUE"""),-0.681371619473139)</f>
        <v>-0.68137161947313896</v>
      </c>
      <c r="GN34" s="3">
        <f ca="1">IFERROR(__xludf.DUMMYFUNCTION("""COMPUTED_VALUE"""),-0.612633356633814)</f>
        <v>-0.61263335663381402</v>
      </c>
      <c r="GO34" s="3">
        <f ca="1">IFERROR(__xludf.DUMMYFUNCTION("""COMPUTED_VALUE"""),-0.639625349893954)</f>
        <v>-0.63962534989395403</v>
      </c>
      <c r="GP34" s="3">
        <f ca="1">IFERROR(__xludf.DUMMYFUNCTION("""COMPUTED_VALUE"""),-0.617516455957905)</f>
        <v>-0.61751645595790505</v>
      </c>
      <c r="GQ34" s="3">
        <f ca="1">IFERROR(__xludf.DUMMYFUNCTION("""COMPUTED_VALUE"""),-0.616022360380148)</f>
        <v>-0.61602236038014802</v>
      </c>
      <c r="GR34" s="3">
        <f ca="1">IFERROR(__xludf.DUMMYFUNCTION("""COMPUTED_VALUE"""),-0.441602288594389)</f>
        <v>-0.44160228859438899</v>
      </c>
      <c r="GS34" s="3">
        <f ca="1">IFERROR(__xludf.DUMMYFUNCTION("""COMPUTED_VALUE"""),-0.462671454115464)</f>
        <v>-0.46267145411546401</v>
      </c>
      <c r="GT34" s="3">
        <f ca="1">IFERROR(__xludf.DUMMYFUNCTION("""COMPUTED_VALUE"""),-0.578104614556212)</f>
        <v>-0.57810461455621198</v>
      </c>
      <c r="GU34" s="3">
        <f ca="1">IFERROR(__xludf.DUMMYFUNCTION("""COMPUTED_VALUE"""),-0.596458414095778)</f>
        <v>-0.59645841409577804</v>
      </c>
      <c r="GV34" s="3">
        <f ca="1">IFERROR(__xludf.DUMMYFUNCTION("""COMPUTED_VALUE"""),-0.607462576269017)</f>
        <v>-0.60746257626901701</v>
      </c>
      <c r="GW34" s="3">
        <f ca="1">IFERROR(__xludf.DUMMYFUNCTION("""COMPUTED_VALUE"""),-0.62267201042534)</f>
        <v>-0.62267201042534004</v>
      </c>
      <c r="GX34" s="3">
        <f ca="1">IFERROR(__xludf.DUMMYFUNCTION("""COMPUTED_VALUE"""),-0.582855206831191)</f>
        <v>-0.58285520683119096</v>
      </c>
      <c r="GY34" s="3">
        <f ca="1">IFERROR(__xludf.DUMMYFUNCTION("""COMPUTED_VALUE"""),-0.474373343658806)</f>
        <v>-0.47437334365880601</v>
      </c>
      <c r="GZ34" s="3">
        <f ca="1">IFERROR(__xludf.DUMMYFUNCTION("""COMPUTED_VALUE"""),-0.506508664911466)</f>
        <v>-0.50650866491146596</v>
      </c>
      <c r="HA34" s="3">
        <f ca="1">IFERROR(__xludf.DUMMYFUNCTION("""COMPUTED_VALUE"""),-0.606776871159609)</f>
        <v>-0.60677687115960899</v>
      </c>
      <c r="HB34" s="3">
        <f ca="1">IFERROR(__xludf.DUMMYFUNCTION("""COMPUTED_VALUE"""),-0.611048277945194)</f>
        <v>-0.61104827794519401</v>
      </c>
      <c r="HC34" s="3">
        <f ca="1">IFERROR(__xludf.DUMMYFUNCTION("""COMPUTED_VALUE"""),-0.625949147166512)</f>
        <v>-0.62594914716651195</v>
      </c>
      <c r="HD34" s="3">
        <f ca="1">IFERROR(__xludf.DUMMYFUNCTION("""COMPUTED_VALUE"""),-0.614469907184029)</f>
        <v>-0.61446990718402905</v>
      </c>
      <c r="HE34" s="3">
        <f ca="1">IFERROR(__xludf.DUMMYFUNCTION("""COMPUTED_VALUE"""),-0.58993667756323)</f>
        <v>-0.58993667756322998</v>
      </c>
      <c r="HF34" s="3">
        <f ca="1">IFERROR(__xludf.DUMMYFUNCTION("""COMPUTED_VALUE"""),-0.470362777087668)</f>
        <v>-0.47036277708766799</v>
      </c>
      <c r="HG34" s="3">
        <f ca="1">IFERROR(__xludf.DUMMYFUNCTION("""COMPUTED_VALUE"""),-0.543284622177908)</f>
        <v>-0.54328462217790796</v>
      </c>
      <c r="HH34" s="3">
        <f ca="1">IFERROR(__xludf.DUMMYFUNCTION("""COMPUTED_VALUE"""),-0.589699680160551)</f>
        <v>-0.58969968016055097</v>
      </c>
      <c r="HI34" s="3">
        <f ca="1">IFERROR(__xludf.DUMMYFUNCTION("""COMPUTED_VALUE"""),-0.62637338727522)</f>
        <v>-0.62637338727521996</v>
      </c>
      <c r="HJ34" s="3">
        <f ca="1">IFERROR(__xludf.DUMMYFUNCTION("""COMPUTED_VALUE"""),-0.622877654040754)</f>
        <v>-0.62287765404075401</v>
      </c>
      <c r="HK34" s="3">
        <f ca="1">IFERROR(__xludf.DUMMYFUNCTION("""COMPUTED_VALUE"""),-0.672118482493573)</f>
        <v>-0.67211848249357298</v>
      </c>
      <c r="HL34" s="3">
        <f ca="1">IFERROR(__xludf.DUMMYFUNCTION("""COMPUTED_VALUE"""),-0.648957941811116)</f>
        <v>-0.64895794181111599</v>
      </c>
      <c r="HM34" s="3">
        <f ca="1">IFERROR(__xludf.DUMMYFUNCTION("""COMPUTED_VALUE"""),-0.497100105301475)</f>
        <v>-0.49710010530147503</v>
      </c>
      <c r="HN34" s="3">
        <f ca="1">IFERROR(__xludf.DUMMYFUNCTION("""COMPUTED_VALUE"""),-0.550040552676074)</f>
        <v>-0.55004055267607399</v>
      </c>
      <c r="HO34" s="3">
        <f ca="1">IFERROR(__xludf.DUMMYFUNCTION("""COMPUTED_VALUE"""),-0.58954434580147)</f>
        <v>-0.58954434580146997</v>
      </c>
      <c r="HP34" s="3">
        <f ca="1">IFERROR(__xludf.DUMMYFUNCTION("""COMPUTED_VALUE"""),-0.58947532151674)</f>
        <v>-0.58947532151673998</v>
      </c>
      <c r="HQ34" s="3">
        <f ca="1">IFERROR(__xludf.DUMMYFUNCTION("""COMPUTED_VALUE"""),-0.611884605668796)</f>
        <v>-0.61188460566879599</v>
      </c>
      <c r="HR34" s="3">
        <f ca="1">IFERROR(__xludf.DUMMYFUNCTION("""COMPUTED_VALUE"""),-0.61683846674086)</f>
        <v>-0.61683846674085996</v>
      </c>
      <c r="HS34" s="3">
        <f ca="1">IFERROR(__xludf.DUMMYFUNCTION("""COMPUTED_VALUE"""),-0.534665664781191)</f>
        <v>-0.53466566478119104</v>
      </c>
      <c r="HT34" s="3">
        <f ca="1">IFERROR(__xludf.DUMMYFUNCTION("""COMPUTED_VALUE"""),-0.501690360027853)</f>
        <v>-0.50169036002785306</v>
      </c>
      <c r="HU34" s="3">
        <f ca="1">IFERROR(__xludf.DUMMYFUNCTION("""COMPUTED_VALUE"""),-0.519935538720547)</f>
        <v>-0.51993553872054699</v>
      </c>
      <c r="HV34" s="3">
        <f ca="1">IFERROR(__xludf.DUMMYFUNCTION("""COMPUTED_VALUE"""),-0.643865258130799)</f>
        <v>-0.64386525813079898</v>
      </c>
      <c r="HW34" s="3">
        <f ca="1">IFERROR(__xludf.DUMMYFUNCTION("""COMPUTED_VALUE"""),-0.601030209085033)</f>
        <v>-0.60103020908503302</v>
      </c>
      <c r="HX34" s="3">
        <f ca="1">IFERROR(__xludf.DUMMYFUNCTION("""COMPUTED_VALUE"""),-0.638043985839438)</f>
        <v>-0.638043985839438</v>
      </c>
      <c r="HY34" s="3">
        <f ca="1">IFERROR(__xludf.DUMMYFUNCTION("""COMPUTED_VALUE"""),-0.593470201901659)</f>
        <v>-0.593470201901659</v>
      </c>
      <c r="HZ34" s="3">
        <f ca="1">IFERROR(__xludf.DUMMYFUNCTION("""COMPUTED_VALUE"""),-0.503550472317367)</f>
        <v>-0.50355047231736705</v>
      </c>
      <c r="IA34" s="3">
        <f ca="1">IFERROR(__xludf.DUMMYFUNCTION("""COMPUTED_VALUE"""),-0.461024180792022)</f>
        <v>-0.46102418079202201</v>
      </c>
      <c r="IB34" s="3">
        <f ca="1">IFERROR(__xludf.DUMMYFUNCTION("""COMPUTED_VALUE"""),-0.510471400721488)</f>
        <v>-0.510471400721488</v>
      </c>
      <c r="IC34" s="3">
        <f ca="1">IFERROR(__xludf.DUMMYFUNCTION("""COMPUTED_VALUE"""),-0.584066501129723)</f>
        <v>-0.58406650112972303</v>
      </c>
      <c r="ID34" s="3">
        <f ca="1">IFERROR(__xludf.DUMMYFUNCTION("""COMPUTED_VALUE"""),-0.581747107464859)</f>
        <v>-0.58174710746485903</v>
      </c>
      <c r="IE34" s="3">
        <f ca="1">IFERROR(__xludf.DUMMYFUNCTION("""COMPUTED_VALUE"""),-0.583847719655926)</f>
        <v>-0.58384771965592597</v>
      </c>
      <c r="IF34" s="3">
        <f ca="1">IFERROR(__xludf.DUMMYFUNCTION("""COMPUTED_VALUE"""),-0.573315846156186)</f>
        <v>-0.57331584615618603</v>
      </c>
      <c r="IG34" s="3">
        <f ca="1">IFERROR(__xludf.DUMMYFUNCTION("""COMPUTED_VALUE"""),-0.576143926322322)</f>
        <v>-0.57614392632232203</v>
      </c>
      <c r="IH34" s="3">
        <f ca="1">IFERROR(__xludf.DUMMYFUNCTION("""COMPUTED_VALUE"""),-0.52328108026486)</f>
        <v>-0.52328108026485998</v>
      </c>
      <c r="II34" s="3">
        <f ca="1">IFERROR(__xludf.DUMMYFUNCTION("""COMPUTED_VALUE"""),-0.540387480718019)</f>
        <v>-0.54038748071801901</v>
      </c>
      <c r="IJ34" s="3">
        <f ca="1">IFERROR(__xludf.DUMMYFUNCTION("""COMPUTED_VALUE"""),-0.562271826657524)</f>
        <v>-0.56227182665752395</v>
      </c>
      <c r="IK34" s="3">
        <f ca="1">IFERROR(__xludf.DUMMYFUNCTION("""COMPUTED_VALUE"""),-0.561459365901549)</f>
        <v>-0.56145936590154899</v>
      </c>
      <c r="IL34" s="3">
        <f ca="1">IFERROR(__xludf.DUMMYFUNCTION("""COMPUTED_VALUE"""),-0.588535067349052)</f>
        <v>-0.58853506734905203</v>
      </c>
      <c r="IM34" s="3">
        <f ca="1">IFERROR(__xludf.DUMMYFUNCTION("""COMPUTED_VALUE"""),-0.58198399631456)</f>
        <v>-0.58198399631455999</v>
      </c>
      <c r="IN34" s="3">
        <f ca="1">IFERROR(__xludf.DUMMYFUNCTION("""COMPUTED_VALUE"""),-0.574610453323711)</f>
        <v>-0.57461045332371097</v>
      </c>
      <c r="IO34" s="3">
        <f ca="1">IFERROR(__xludf.DUMMYFUNCTION("""COMPUTED_VALUE"""),-0.550532135906014)</f>
        <v>-0.55053213590601402</v>
      </c>
      <c r="IP34" s="3">
        <f ca="1">IFERROR(__xludf.DUMMYFUNCTION("""COMPUTED_VALUE"""),-0.564579397117181)</f>
        <v>-0.56457939711718097</v>
      </c>
      <c r="IQ34" s="3">
        <f ca="1">IFERROR(__xludf.DUMMYFUNCTION("""COMPUTED_VALUE"""),-0.588244301926752)</f>
        <v>-0.58824430192675203</v>
      </c>
      <c r="IR34" s="3">
        <f ca="1">IFERROR(__xludf.DUMMYFUNCTION("""COMPUTED_VALUE"""),-0.623834335102151)</f>
        <v>-0.62383433510215103</v>
      </c>
      <c r="IS34" s="3">
        <f ca="1">IFERROR(__xludf.DUMMYFUNCTION("""COMPUTED_VALUE"""),-0.580193660110714)</f>
        <v>-0.58019366011071405</v>
      </c>
      <c r="IT34" s="3">
        <f ca="1">IFERROR(__xludf.DUMMYFUNCTION("""COMPUTED_VALUE"""),-0.610100236556186)</f>
        <v>-0.61010023655618595</v>
      </c>
      <c r="IU34" s="3">
        <f ca="1">IFERROR(__xludf.DUMMYFUNCTION("""COMPUTED_VALUE"""),-0.596813662648936)</f>
        <v>-0.59681366264893598</v>
      </c>
      <c r="IV34" s="3">
        <f ca="1">IFERROR(__xludf.DUMMYFUNCTION("""COMPUTED_VALUE"""),-0.657554712717489)</f>
        <v>-0.657554712717489</v>
      </c>
      <c r="IW34" s="3">
        <f ca="1">IFERROR(__xludf.DUMMYFUNCTION("""COMPUTED_VALUE"""),-0.621998645113415)</f>
        <v>-0.62199864511341496</v>
      </c>
      <c r="IX34" s="3">
        <f ca="1">IFERROR(__xludf.DUMMYFUNCTION("""COMPUTED_VALUE"""),-0.586140355075622)</f>
        <v>-0.58614035507562201</v>
      </c>
      <c r="IY34" s="3">
        <f ca="1">IFERROR(__xludf.DUMMYFUNCTION("""COMPUTED_VALUE"""),-0.597240961581829)</f>
        <v>-0.59724096158182904</v>
      </c>
      <c r="IZ34" s="3">
        <f ca="1">IFERROR(__xludf.DUMMYFUNCTION("""COMPUTED_VALUE"""),-0.622603539861486)</f>
        <v>-0.62260353986148598</v>
      </c>
      <c r="JA34" s="3">
        <f ca="1">IFERROR(__xludf.DUMMYFUNCTION("""COMPUTED_VALUE"""),-0.598843059339685)</f>
        <v>-0.59884305933968496</v>
      </c>
      <c r="JB34" s="3">
        <f ca="1">IFERROR(__xludf.DUMMYFUNCTION("""COMPUTED_VALUE"""),-0.610341106661971)</f>
        <v>-0.61034110666197094</v>
      </c>
      <c r="JC34" s="3">
        <f ca="1">IFERROR(__xludf.DUMMYFUNCTION("""COMPUTED_VALUE"""),-0.538050689223202)</f>
        <v>-0.53805068922320198</v>
      </c>
      <c r="JD34" s="3">
        <f ca="1">IFERROR(__xludf.DUMMYFUNCTION("""COMPUTED_VALUE"""),-0.564885024685649)</f>
        <v>-0.56488502468564905</v>
      </c>
      <c r="JE34" s="3">
        <f ca="1">IFERROR(__xludf.DUMMYFUNCTION("""COMPUTED_VALUE"""),-0.554046987106089)</f>
        <v>-0.55404698710608902</v>
      </c>
      <c r="JF34" s="3">
        <f ca="1">IFERROR(__xludf.DUMMYFUNCTION("""COMPUTED_VALUE"""),-0.609749420966174)</f>
        <v>-0.60974942096617402</v>
      </c>
      <c r="JG34" s="3">
        <f ca="1">IFERROR(__xludf.DUMMYFUNCTION("""COMPUTED_VALUE"""),-0.621484001834734)</f>
        <v>-0.62148400183473396</v>
      </c>
      <c r="JH34" s="3">
        <f ca="1">IFERROR(__xludf.DUMMYFUNCTION("""COMPUTED_VALUE"""),-0.610954439880825)</f>
        <v>-0.61095443988082498</v>
      </c>
      <c r="JI34" s="3">
        <f ca="1">IFERROR(__xludf.DUMMYFUNCTION("""COMPUTED_VALUE"""),-0.585256327888016)</f>
        <v>-0.58525632788801596</v>
      </c>
      <c r="JJ34" s="3">
        <f ca="1">IFERROR(__xludf.DUMMYFUNCTION("""COMPUTED_VALUE"""),-0.617898091290131)</f>
        <v>-0.61789809129013096</v>
      </c>
      <c r="JK34" s="3">
        <f ca="1">IFERROR(__xludf.DUMMYFUNCTION("""COMPUTED_VALUE"""),-0.545650624517146)</f>
        <v>-0.54565062451714597</v>
      </c>
      <c r="JL34" s="3">
        <f ca="1">IFERROR(__xludf.DUMMYFUNCTION("""COMPUTED_VALUE"""),-0.553124618686173)</f>
        <v>-0.55312461868617302</v>
      </c>
      <c r="JM34" s="3">
        <f ca="1">IFERROR(__xludf.DUMMYFUNCTION("""COMPUTED_VALUE"""),-0.651934228291596)</f>
        <v>-0.65193422829159597</v>
      </c>
      <c r="JN34" s="3">
        <f ca="1">IFERROR(__xludf.DUMMYFUNCTION("""COMPUTED_VALUE"""),-0.599380555960036)</f>
        <v>-0.59938055596003603</v>
      </c>
      <c r="JO34" s="3">
        <f ca="1">IFERROR(__xludf.DUMMYFUNCTION("""COMPUTED_VALUE"""),-0.547321065250266)</f>
        <v>-0.54732106525026603</v>
      </c>
      <c r="JP34" s="3">
        <f ca="1">IFERROR(__xludf.DUMMYFUNCTION("""COMPUTED_VALUE"""),-0.580245038783818)</f>
        <v>-0.58024503878381795</v>
      </c>
      <c r="JQ34" s="3">
        <f ca="1">IFERROR(__xludf.DUMMYFUNCTION("""COMPUTED_VALUE"""),-0.502612666389057)</f>
        <v>-0.50261266638905699</v>
      </c>
      <c r="JR34" s="3">
        <f ca="1">IFERROR(__xludf.DUMMYFUNCTION("""COMPUTED_VALUE"""),-0.471432265206846)</f>
        <v>-0.471432265206846</v>
      </c>
      <c r="JS34" s="3">
        <f ca="1">IFERROR(__xludf.DUMMYFUNCTION("""COMPUTED_VALUE"""),-0.558379300684782)</f>
        <v>-0.55837930068478203</v>
      </c>
      <c r="JT34" s="3">
        <f ca="1">IFERROR(__xludf.DUMMYFUNCTION("""COMPUTED_VALUE"""),-0.562851326093629)</f>
        <v>-0.56285132609362898</v>
      </c>
      <c r="JU34" s="3">
        <f ca="1">IFERROR(__xludf.DUMMYFUNCTION("""COMPUTED_VALUE"""),-0.616875513491404)</f>
        <v>-0.61687551349140402</v>
      </c>
      <c r="JV34" s="3">
        <f ca="1">IFERROR(__xludf.DUMMYFUNCTION("""COMPUTED_VALUE"""),-0.59018338803481)</f>
        <v>-0.59018338803480996</v>
      </c>
      <c r="JW34" s="3">
        <f ca="1">IFERROR(__xludf.DUMMYFUNCTION("""COMPUTED_VALUE"""),-0.595102093900971)</f>
        <v>-0.59510209390097102</v>
      </c>
      <c r="JX34" s="3">
        <f ca="1">IFERROR(__xludf.DUMMYFUNCTION("""COMPUTED_VALUE"""),-0.575541794067984)</f>
        <v>-0.575541794067984</v>
      </c>
      <c r="JY34" s="3">
        <f ca="1">IFERROR(__xludf.DUMMYFUNCTION("""COMPUTED_VALUE"""),-0.604540355082001)</f>
        <v>-0.60454035508200099</v>
      </c>
      <c r="JZ34" s="3">
        <f ca="1">IFERROR(__xludf.DUMMYFUNCTION("""COMPUTED_VALUE"""),-0.559831890978243)</f>
        <v>-0.55983189097824304</v>
      </c>
      <c r="KA34" s="3">
        <f ca="1">IFERROR(__xludf.DUMMYFUNCTION("""COMPUTED_VALUE"""),-0.493346465273133)</f>
        <v>-0.49334646527313297</v>
      </c>
      <c r="KB34" s="3">
        <f ca="1">IFERROR(__xludf.DUMMYFUNCTION("""COMPUTED_VALUE"""),-0.535620769725754)</f>
        <v>-0.53562076972575401</v>
      </c>
      <c r="KC34" s="3">
        <f ca="1">IFERROR(__xludf.DUMMYFUNCTION("""COMPUTED_VALUE"""),-0.531508083311602)</f>
        <v>-0.53150808331160204</v>
      </c>
      <c r="KD34" s="3">
        <f ca="1">IFERROR(__xludf.DUMMYFUNCTION("""COMPUTED_VALUE"""),-0.524646732446873)</f>
        <v>-0.52464673244687299</v>
      </c>
      <c r="KE34" s="3">
        <f ca="1">IFERROR(__xludf.DUMMYFUNCTION("""COMPUTED_VALUE"""),-0.42971369039942)</f>
        <v>-0.42971369039941998</v>
      </c>
      <c r="KF34" s="3">
        <f ca="1">IFERROR(__xludf.DUMMYFUNCTION("""COMPUTED_VALUE"""),-0.514567243575347)</f>
        <v>-0.514567243575347</v>
      </c>
      <c r="KG34" s="3">
        <f ca="1">IFERROR(__xludf.DUMMYFUNCTION("""COMPUTED_VALUE"""),-0.454522000138687)</f>
        <v>-0.45452200013868699</v>
      </c>
      <c r="KH34" s="3">
        <f ca="1">IFERROR(__xludf.DUMMYFUNCTION("""COMPUTED_VALUE"""),-0.403305523473245)</f>
        <v>-0.403305523473245</v>
      </c>
      <c r="KI34" s="3">
        <f ca="1">IFERROR(__xludf.DUMMYFUNCTION("""COMPUTED_VALUE"""),-0.496372534338184)</f>
        <v>-0.49637253433818401</v>
      </c>
      <c r="KJ34" s="3">
        <f ca="1">IFERROR(__xludf.DUMMYFUNCTION("""COMPUTED_VALUE"""),-0.568010248473253)</f>
        <v>-0.56801024847325299</v>
      </c>
      <c r="KK34" s="3">
        <f ca="1">IFERROR(__xludf.DUMMYFUNCTION("""COMPUTED_VALUE"""),-0.542006091338638)</f>
        <v>-0.54200609133863797</v>
      </c>
      <c r="KL34" s="3">
        <f ca="1">IFERROR(__xludf.DUMMYFUNCTION("""COMPUTED_VALUE"""),-0.457099179324021)</f>
        <v>-0.457099179324021</v>
      </c>
      <c r="KM34" s="3">
        <f ca="1">IFERROR(__xludf.DUMMYFUNCTION("""COMPUTED_VALUE"""),-0.485107567530773)</f>
        <v>-0.485107567530773</v>
      </c>
      <c r="KN34" s="3">
        <f ca="1">IFERROR(__xludf.DUMMYFUNCTION("""COMPUTED_VALUE"""),-0.484906473828828)</f>
        <v>-0.48490647382882801</v>
      </c>
      <c r="KO34" s="3">
        <f ca="1">IFERROR(__xludf.DUMMYFUNCTION("""COMPUTED_VALUE"""),-0.483079787709638)</f>
        <v>-0.483079787709638</v>
      </c>
      <c r="KP34" s="3">
        <f ca="1">IFERROR(__xludf.DUMMYFUNCTION("""COMPUTED_VALUE"""),-0.543077690190756)</f>
        <v>-0.54307769019075602</v>
      </c>
      <c r="KQ34" s="3">
        <f ca="1">IFERROR(__xludf.DUMMYFUNCTION("""COMPUTED_VALUE"""),-0.532909896101538)</f>
        <v>-0.53290989610153805</v>
      </c>
      <c r="KR34" s="3">
        <f ca="1">IFERROR(__xludf.DUMMYFUNCTION("""COMPUTED_VALUE"""),-0.480946099231775)</f>
        <v>-0.480946099231775</v>
      </c>
      <c r="KS34" s="3">
        <f ca="1">IFERROR(__xludf.DUMMYFUNCTION("""COMPUTED_VALUE"""),-0.438022478241539)</f>
        <v>-0.438022478241539</v>
      </c>
      <c r="KT34" s="3">
        <f ca="1">IFERROR(__xludf.DUMMYFUNCTION("""COMPUTED_VALUE"""),-0.480784449774964)</f>
        <v>-0.48078444977496398</v>
      </c>
      <c r="KU34" s="3">
        <f ca="1">IFERROR(__xludf.DUMMYFUNCTION("""COMPUTED_VALUE"""),-0.512963307092259)</f>
        <v>-0.51296330709225901</v>
      </c>
      <c r="KV34" s="3">
        <f ca="1">IFERROR(__xludf.DUMMYFUNCTION("""COMPUTED_VALUE"""),-0.514222066715882)</f>
        <v>-0.514222066715882</v>
      </c>
      <c r="KW34" s="3">
        <f ca="1">IFERROR(__xludf.DUMMYFUNCTION("""COMPUTED_VALUE"""),-0.632903531749588)</f>
        <v>-0.63290353174958802</v>
      </c>
      <c r="KX34" s="3">
        <f ca="1">IFERROR(__xludf.DUMMYFUNCTION("""COMPUTED_VALUE"""),-0.556246482672482)</f>
        <v>-0.556246482672482</v>
      </c>
      <c r="KY34" s="3">
        <f ca="1">IFERROR(__xludf.DUMMYFUNCTION("""COMPUTED_VALUE"""),-0.520203695907776)</f>
        <v>-0.52020369590777604</v>
      </c>
      <c r="KZ34" s="3">
        <f ca="1">IFERROR(__xludf.DUMMYFUNCTION("""COMPUTED_VALUE"""),-0.454271092133179)</f>
        <v>-0.45427109213317901</v>
      </c>
      <c r="LA34" s="3">
        <f ca="1">IFERROR(__xludf.DUMMYFUNCTION("""COMPUTED_VALUE"""),-0.492014242086812)</f>
        <v>-0.49201424208681199</v>
      </c>
      <c r="LB34" s="3">
        <f ca="1">IFERROR(__xludf.DUMMYFUNCTION("""COMPUTED_VALUE"""),-0.596179643248998)</f>
        <v>-0.59617964324899797</v>
      </c>
      <c r="LC34" s="3">
        <f ca="1">IFERROR(__xludf.DUMMYFUNCTION("""COMPUTED_VALUE"""),-0.604084301848592)</f>
        <v>-0.60408430184859196</v>
      </c>
      <c r="LD34" s="3">
        <f ca="1">IFERROR(__xludf.DUMMYFUNCTION("""COMPUTED_VALUE"""),-0.617243706286765)</f>
        <v>-0.61724370628676495</v>
      </c>
      <c r="LE34" s="3">
        <f ca="1">IFERROR(__xludf.DUMMYFUNCTION("""COMPUTED_VALUE"""),-0.667072475745134)</f>
        <v>-0.66707247574513395</v>
      </c>
      <c r="LF34" s="3">
        <f ca="1">IFERROR(__xludf.DUMMYFUNCTION("""COMPUTED_VALUE"""),-0.601147980426565)</f>
        <v>-0.60114798042656503</v>
      </c>
      <c r="LG34" s="3">
        <f ca="1">IFERROR(__xludf.DUMMYFUNCTION("""COMPUTED_VALUE"""),-0.577968243699189)</f>
        <v>-0.57796824369918898</v>
      </c>
      <c r="LH34" s="3">
        <f ca="1">IFERROR(__xludf.DUMMYFUNCTION("""COMPUTED_VALUE"""),-0.512346366259294)</f>
        <v>-0.51234636625929397</v>
      </c>
      <c r="LI34" s="3">
        <f ca="1">IFERROR(__xludf.DUMMYFUNCTION("""COMPUTED_VALUE"""),-0.688288932334108)</f>
        <v>-0.68828893233410804</v>
      </c>
      <c r="LJ34" s="3">
        <f ca="1">IFERROR(__xludf.DUMMYFUNCTION("""COMPUTED_VALUE"""),-0.662958354293855)</f>
        <v>-0.66295835429385497</v>
      </c>
      <c r="LK34" s="3">
        <f ca="1">IFERROR(__xludf.DUMMYFUNCTION("""COMPUTED_VALUE"""),-0.609593321761372)</f>
        <v>-0.60959332176137204</v>
      </c>
      <c r="LL34" s="3">
        <f ca="1">IFERROR(__xludf.DUMMYFUNCTION("""COMPUTED_VALUE"""),-0.664823308982613)</f>
        <v>-0.66482330898261299</v>
      </c>
      <c r="LM34" s="3">
        <f ca="1">IFERROR(__xludf.DUMMYFUNCTION("""COMPUTED_VALUE"""),-0.646672996680949)</f>
        <v>-0.64667299668094902</v>
      </c>
      <c r="LN34" s="3">
        <f ca="1">IFERROR(__xludf.DUMMYFUNCTION("""COMPUTED_VALUE"""),-0.497544668366655)</f>
        <v>-0.49754466836665501</v>
      </c>
      <c r="LO34" s="3">
        <f ca="1">IFERROR(__xludf.DUMMYFUNCTION("""COMPUTED_VALUE"""),-0.548515829647298)</f>
        <v>-0.54851582964729795</v>
      </c>
      <c r="LP34" s="3">
        <f ca="1">IFERROR(__xludf.DUMMYFUNCTION("""COMPUTED_VALUE"""),-0.682098888951437)</f>
        <v>-0.682098888951437</v>
      </c>
      <c r="LQ34" s="3">
        <f ca="1">IFERROR(__xludf.DUMMYFUNCTION("""COMPUTED_VALUE"""),-0.664769729521641)</f>
        <v>-0.66476972952164104</v>
      </c>
      <c r="LR34" s="3">
        <f ca="1">IFERROR(__xludf.DUMMYFUNCTION("""COMPUTED_VALUE"""),-0.654735814060958)</f>
        <v>-0.65473581406095804</v>
      </c>
      <c r="LS34" s="3">
        <f ca="1">IFERROR(__xludf.DUMMYFUNCTION("""COMPUTED_VALUE"""),-0.716250976824437)</f>
        <v>-0.71625097682443695</v>
      </c>
      <c r="LT34" s="3">
        <f ca="1">IFERROR(__xludf.DUMMYFUNCTION("""COMPUTED_VALUE"""),-0.721660448018639)</f>
        <v>-0.72166044801863904</v>
      </c>
      <c r="LU34" s="3">
        <f ca="1">IFERROR(__xludf.DUMMYFUNCTION("""COMPUTED_VALUE"""),-0.646190718414609)</f>
        <v>-0.64619071841460896</v>
      </c>
      <c r="LV34" s="3">
        <f ca="1">IFERROR(__xludf.DUMMYFUNCTION("""COMPUTED_VALUE"""),-0.558747152355794)</f>
        <v>-0.55874715235579397</v>
      </c>
      <c r="LW34" s="3">
        <f ca="1">IFERROR(__xludf.DUMMYFUNCTION("""COMPUTED_VALUE"""),-0.712031364298414)</f>
        <v>-0.71203136429841396</v>
      </c>
      <c r="LX34" s="3">
        <f ca="1">IFERROR(__xludf.DUMMYFUNCTION("""COMPUTED_VALUE"""),-0.723244411306279)</f>
        <v>-0.72324441130627903</v>
      </c>
      <c r="LY34" s="3">
        <f ca="1">IFERROR(__xludf.DUMMYFUNCTION("""COMPUTED_VALUE"""),-0.714524636543855)</f>
        <v>-0.71452463654385501</v>
      </c>
      <c r="LZ34" s="3">
        <f ca="1">IFERROR(__xludf.DUMMYFUNCTION("""COMPUTED_VALUE"""),-0.697270548266958)</f>
        <v>-0.697270548266958</v>
      </c>
      <c r="MA34" s="3">
        <f ca="1">IFERROR(__xludf.DUMMYFUNCTION("""COMPUTED_VALUE"""),-0.73033370560333)</f>
        <v>-0.73033370560333</v>
      </c>
      <c r="MB34" s="3">
        <f ca="1">IFERROR(__xludf.DUMMYFUNCTION("""COMPUTED_VALUE"""),-0.62707383178281)</f>
        <v>-0.62707383178280995</v>
      </c>
      <c r="MC34" s="3">
        <f ca="1">IFERROR(__xludf.DUMMYFUNCTION("""COMPUTED_VALUE"""),-0.682821393038721)</f>
        <v>-0.68282139303872103</v>
      </c>
      <c r="MD34" s="3">
        <f ca="1">IFERROR(__xludf.DUMMYFUNCTION("""COMPUTED_VALUE"""),-0.716047347327234)</f>
        <v>-0.71604734732723396</v>
      </c>
      <c r="ME34" s="3">
        <f ca="1">IFERROR(__xludf.DUMMYFUNCTION("""COMPUTED_VALUE"""),-0.665608971453691)</f>
        <v>-0.66560897145369102</v>
      </c>
      <c r="MF34" s="3">
        <f ca="1">IFERROR(__xludf.DUMMYFUNCTION("""COMPUTED_VALUE"""),-0.711958637164856)</f>
        <v>-0.71195863716485597</v>
      </c>
      <c r="MG34" s="3">
        <f ca="1">IFERROR(__xludf.DUMMYFUNCTION("""COMPUTED_VALUE"""),-0.686225059505517)</f>
        <v>-0.68622505950551704</v>
      </c>
      <c r="MH34" s="3">
        <f ca="1">IFERROR(__xludf.DUMMYFUNCTION("""COMPUTED_VALUE"""),-0.695072164201167)</f>
        <v>-0.69507216420116702</v>
      </c>
      <c r="MI34" s="3">
        <f ca="1">IFERROR(__xludf.DUMMYFUNCTION("""COMPUTED_VALUE"""),-0.469502179747304)</f>
        <v>-0.46950217974730402</v>
      </c>
      <c r="MJ34" s="3">
        <f ca="1">IFERROR(__xludf.DUMMYFUNCTION("""COMPUTED_VALUE"""),-0.602057241408819)</f>
        <v>-0.602057241408819</v>
      </c>
      <c r="MK34" s="3">
        <f ca="1">IFERROR(__xludf.DUMMYFUNCTION("""COMPUTED_VALUE"""),-0.691329653544094)</f>
        <v>-0.69132965354409404</v>
      </c>
      <c r="ML34" s="3">
        <f ca="1">IFERROR(__xludf.DUMMYFUNCTION("""COMPUTED_VALUE"""),-0.73581327657384)</f>
        <v>-0.73581327657383999</v>
      </c>
      <c r="MM34" s="3">
        <f ca="1">IFERROR(__xludf.DUMMYFUNCTION("""COMPUTED_VALUE"""),-0.749251355013026)</f>
        <v>-0.74925135501302598</v>
      </c>
      <c r="MN34" s="3">
        <f ca="1">IFERROR(__xludf.DUMMYFUNCTION("""COMPUTED_VALUE"""),-0.675159280656572)</f>
        <v>-0.67515928065657205</v>
      </c>
      <c r="MO34" s="3">
        <f ca="1">IFERROR(__xludf.DUMMYFUNCTION("""COMPUTED_VALUE"""),-0.705970505963439)</f>
        <v>-0.70597050596343902</v>
      </c>
      <c r="MP34" s="3">
        <f ca="1">IFERROR(__xludf.DUMMYFUNCTION("""COMPUTED_VALUE"""),-0.650952205207437)</f>
        <v>-0.65095220520743702</v>
      </c>
      <c r="MQ34" s="3">
        <f ca="1">IFERROR(__xludf.DUMMYFUNCTION("""COMPUTED_VALUE"""),-0.642649571563932)</f>
        <v>-0.64264957156393199</v>
      </c>
      <c r="MR34" s="3">
        <f ca="1">IFERROR(__xludf.DUMMYFUNCTION("""COMPUTED_VALUE"""),-0.71982707635116)</f>
        <v>-0.71982707635115994</v>
      </c>
      <c r="MS34" s="3">
        <f ca="1">IFERROR(__xludf.DUMMYFUNCTION("""COMPUTED_VALUE"""),-0.757320000221052)</f>
        <v>-0.75732000022105195</v>
      </c>
      <c r="MT34" s="3">
        <f ca="1">IFERROR(__xludf.DUMMYFUNCTION("""COMPUTED_VALUE"""),-0.73018552757355)</f>
        <v>-0.73018552757355004</v>
      </c>
      <c r="MU34" s="3">
        <f ca="1">IFERROR(__xludf.DUMMYFUNCTION("""COMPUTED_VALUE"""),-0.734429629217703)</f>
        <v>-0.73442962921770305</v>
      </c>
      <c r="MV34" s="3">
        <f ca="1">IFERROR(__xludf.DUMMYFUNCTION("""COMPUTED_VALUE"""),-0.624108377155021)</f>
        <v>-0.62410837715502099</v>
      </c>
      <c r="MW34" s="3">
        <f ca="1">IFERROR(__xludf.DUMMYFUNCTION("""COMPUTED_VALUE"""),-0.626842772398115)</f>
        <v>-0.62684277239811503</v>
      </c>
      <c r="MX34" s="3">
        <f ca="1">IFERROR(__xludf.DUMMYFUNCTION("""COMPUTED_VALUE"""),-0.667339158946178)</f>
        <v>-0.66733915894617801</v>
      </c>
      <c r="MY34" s="3">
        <f ca="1">IFERROR(__xludf.DUMMYFUNCTION("""COMPUTED_VALUE"""),-0.730502026709371)</f>
        <v>-0.73050202670937103</v>
      </c>
      <c r="MZ34" s="3">
        <f ca="1">IFERROR(__xludf.DUMMYFUNCTION("""COMPUTED_VALUE"""),-0.72955818230743)</f>
        <v>-0.72955818230742997</v>
      </c>
      <c r="NA34" s="3">
        <f ca="1">IFERROR(__xludf.DUMMYFUNCTION("""COMPUTED_VALUE"""),-0.731881437355085)</f>
        <v>-0.73188143735508504</v>
      </c>
      <c r="NB34" s="3">
        <f ca="1">IFERROR(__xludf.DUMMYFUNCTION("""COMPUTED_VALUE"""),-0.702059019188169)</f>
        <v>-0.70205901918816904</v>
      </c>
      <c r="NC34" s="3">
        <f ca="1">IFERROR(__xludf.DUMMYFUNCTION("""COMPUTED_VALUE"""),-0.703714389469974)</f>
        <v>-0.703714389469974</v>
      </c>
      <c r="ND34" s="3">
        <f ca="1">IFERROR(__xludf.DUMMYFUNCTION("""COMPUTED_VALUE"""),-0.637701760021734)</f>
        <v>-0.63770176002173395</v>
      </c>
      <c r="NE34" s="3">
        <f ca="1">IFERROR(__xludf.DUMMYFUNCTION("""COMPUTED_VALUE"""),-0.580849313670723)</f>
        <v>-0.58084931367072301</v>
      </c>
      <c r="NF34" s="3">
        <f ca="1">IFERROR(__xludf.DUMMYFUNCTION("""COMPUTED_VALUE"""),-0.675438733733847)</f>
        <v>-0.675438733733847</v>
      </c>
      <c r="NG34" s="3">
        <f ca="1">IFERROR(__xludf.DUMMYFUNCTION("""COMPUTED_VALUE"""),-0.669931914859303)</f>
        <v>-0.66993191485930303</v>
      </c>
      <c r="NH34" s="3">
        <f ca="1">IFERROR(__xludf.DUMMYFUNCTION("""COMPUTED_VALUE"""),-0.593397107743967)</f>
        <v>-0.59339710774396703</v>
      </c>
      <c r="NI34" s="3">
        <f ca="1">IFERROR(__xludf.DUMMYFUNCTION("""COMPUTED_VALUE"""),-0.605286798113507)</f>
        <v>-0.60528679811350705</v>
      </c>
      <c r="NJ34" s="3">
        <f ca="1">IFERROR(__xludf.DUMMYFUNCTION("""COMPUTED_VALUE"""),-0.560743184025419)</f>
        <v>-0.56074318402541901</v>
      </c>
      <c r="NK34" s="3">
        <f ca="1">IFERROR(__xludf.DUMMYFUNCTION("""COMPUTED_VALUE"""),-0.434207851898096)</f>
        <v>-0.43420785189809602</v>
      </c>
      <c r="NL34" s="3">
        <f ca="1">IFERROR(__xludf.DUMMYFUNCTION("""COMPUTED_VALUE"""),-0.575639967557631)</f>
        <v>-0.57563996755763103</v>
      </c>
      <c r="NM34" s="3">
        <f ca="1">IFERROR(__xludf.DUMMYFUNCTION("""COMPUTED_VALUE"""),-0.548256765318185)</f>
        <v>-0.54825676531818501</v>
      </c>
      <c r="NN34" s="3">
        <f ca="1">IFERROR(__xludf.DUMMYFUNCTION("""COMPUTED_VALUE"""),-0.54481890198336)</f>
        <v>-0.54481890198336003</v>
      </c>
      <c r="NO34" s="3">
        <f ca="1">IFERROR(__xludf.DUMMYFUNCTION("""COMPUTED_VALUE"""),-0.593302655357525)</f>
        <v>-0.59330265535752502</v>
      </c>
      <c r="NP34" s="3">
        <f ca="1">IFERROR(__xludf.DUMMYFUNCTION("""COMPUTED_VALUE"""),-0.588845027883254)</f>
        <v>-0.58884502788325399</v>
      </c>
      <c r="NQ34" s="3">
        <f ca="1">IFERROR(__xludf.DUMMYFUNCTION("""COMPUTED_VALUE"""),-0.534500678378474)</f>
        <v>-0.53450067837847404</v>
      </c>
      <c r="NR34" s="3">
        <f ca="1">IFERROR(__xludf.DUMMYFUNCTION("""COMPUTED_VALUE"""),-0.504482248822371)</f>
        <v>-0.50448224882237103</v>
      </c>
      <c r="NS34" s="3">
        <f ca="1">IFERROR(__xludf.DUMMYFUNCTION("""COMPUTED_VALUE"""),-0.560392125948474)</f>
        <v>-0.56039212594847398</v>
      </c>
      <c r="NT34" s="3">
        <f ca="1">IFERROR(__xludf.DUMMYFUNCTION("""COMPUTED_VALUE"""),-0.583866077548167)</f>
        <v>-0.583866077548167</v>
      </c>
      <c r="NU34" s="3">
        <f ca="1">IFERROR(__xludf.DUMMYFUNCTION("""COMPUTED_VALUE"""),-0.573926244574652)</f>
        <v>-0.57392624457465202</v>
      </c>
      <c r="NV34" s="3">
        <f ca="1">IFERROR(__xludf.DUMMYFUNCTION("""COMPUTED_VALUE"""),-0.526233925252752)</f>
        <v>-0.52623392525275203</v>
      </c>
      <c r="NW34" s="3">
        <f ca="1">IFERROR(__xludf.DUMMYFUNCTION("""COMPUTED_VALUE"""),-0.618431746257164)</f>
        <v>-0.61843174625716402</v>
      </c>
      <c r="NX34" s="3">
        <f ca="1">IFERROR(__xludf.DUMMYFUNCTION("""COMPUTED_VALUE"""),-0.497221705676998)</f>
        <v>-0.49722170567699803</v>
      </c>
      <c r="NY34" s="3">
        <f ca="1">IFERROR(__xludf.DUMMYFUNCTION("""COMPUTED_VALUE"""),-0.40162194363035)</f>
        <v>-0.40162194363034998</v>
      </c>
      <c r="NZ34" s="3">
        <f ca="1">IFERROR(__xludf.DUMMYFUNCTION("""COMPUTED_VALUE"""),-0.396306934981524)</f>
        <v>-0.39630693498152397</v>
      </c>
      <c r="OA34" s="3">
        <f ca="1">IFERROR(__xludf.DUMMYFUNCTION("""COMPUTED_VALUE"""),-0.491303389504877)</f>
        <v>-0.49130338950487701</v>
      </c>
      <c r="OB34" s="3">
        <f ca="1">IFERROR(__xludf.DUMMYFUNCTION("""COMPUTED_VALUE"""),-0.476720451974525)</f>
        <v>-0.47672045197452501</v>
      </c>
      <c r="OC34" s="3">
        <f ca="1">IFERROR(__xludf.DUMMYFUNCTION("""COMPUTED_VALUE"""),-0.536055038738341)</f>
        <v>-0.53605503873834104</v>
      </c>
      <c r="OD34" s="3">
        <f ca="1">IFERROR(__xludf.DUMMYFUNCTION("""COMPUTED_VALUE"""),-0.61057858377271)</f>
        <v>-0.61057858377271002</v>
      </c>
      <c r="OE34" s="3">
        <f ca="1">IFERROR(__xludf.DUMMYFUNCTION("""COMPUTED_VALUE"""),-0.348546632431278)</f>
        <v>-0.34854663243127798</v>
      </c>
      <c r="OF34" s="3">
        <f ca="1">IFERROR(__xludf.DUMMYFUNCTION("""COMPUTED_VALUE"""),-0.122148165677604)</f>
        <v>-0.122148165677604</v>
      </c>
      <c r="OG34" s="3">
        <f ca="1">IFERROR(__xludf.DUMMYFUNCTION("""COMPUTED_VALUE"""),-0.106963396115286)</f>
        <v>-0.10696339611528601</v>
      </c>
      <c r="OH34" s="3">
        <f ca="1">IFERROR(__xludf.DUMMYFUNCTION("""COMPUTED_VALUE"""),-0.131078992783094)</f>
        <v>-0.13107899278309401</v>
      </c>
      <c r="OI34" s="3">
        <f ca="1">IFERROR(__xludf.DUMMYFUNCTION("""COMPUTED_VALUE"""),-0.0387432023365935)</f>
        <v>-3.87432023365935E-2</v>
      </c>
      <c r="OJ34" s="3">
        <f ca="1">IFERROR(__xludf.DUMMYFUNCTION("""COMPUTED_VALUE"""),-0.0138289652970965)</f>
        <v>-1.3828965297096501E-2</v>
      </c>
      <c r="OK34" s="3">
        <f ca="1">IFERROR(__xludf.DUMMYFUNCTION("""COMPUTED_VALUE"""),-0.12045584526017)</f>
        <v>-0.12045584526017</v>
      </c>
      <c r="OL34" s="3">
        <f ca="1">IFERROR(__xludf.DUMMYFUNCTION("""COMPUTED_VALUE"""),0.0028017773720903)</f>
        <v>2.8017773720903001E-3</v>
      </c>
      <c r="OM34" s="3">
        <f ca="1">IFERROR(__xludf.DUMMYFUNCTION("""COMPUTED_VALUE"""),0.0270757323973009)</f>
        <v>2.7075732397300899E-2</v>
      </c>
      <c r="ON34" s="3">
        <f ca="1">IFERROR(__xludf.DUMMYFUNCTION("""COMPUTED_VALUE"""),0.0896193910651761)</f>
        <v>8.9619391065176093E-2</v>
      </c>
      <c r="OO34" s="3">
        <f ca="1">IFERROR(__xludf.DUMMYFUNCTION("""COMPUTED_VALUE"""),-0.0333192965144155)</f>
        <v>-3.3319296514415501E-2</v>
      </c>
      <c r="OP34" s="3">
        <f ca="1">IFERROR(__xludf.DUMMYFUNCTION("""COMPUTED_VALUE"""),0.0447581915486545)</f>
        <v>4.47581915486545E-2</v>
      </c>
      <c r="OQ34" s="3">
        <f ca="1">IFERROR(__xludf.DUMMYFUNCTION("""COMPUTED_VALUE"""),0.0761460809322212)</f>
        <v>7.6146080932221194E-2</v>
      </c>
      <c r="OR34" s="3">
        <f ca="1">IFERROR(__xludf.DUMMYFUNCTION("""COMPUTED_VALUE"""),0.0657700268015741)</f>
        <v>6.5770026801574094E-2</v>
      </c>
      <c r="OS34" s="3">
        <f ca="1">IFERROR(__xludf.DUMMYFUNCTION("""COMPUTED_VALUE"""),0.0101540471520922)</f>
        <v>1.0154047152092199E-2</v>
      </c>
      <c r="OT34" s="3">
        <f ca="1">IFERROR(__xludf.DUMMYFUNCTION("""COMPUTED_VALUE"""),0.118131511082004)</f>
        <v>0.118131511082004</v>
      </c>
      <c r="OU34" s="3">
        <f ca="1">IFERROR(__xludf.DUMMYFUNCTION("""COMPUTED_VALUE"""),0.023629368993002)</f>
        <v>2.3629368993002001E-2</v>
      </c>
      <c r="OV34" s="3">
        <f ca="1">IFERROR(__xludf.DUMMYFUNCTION("""COMPUTED_VALUE"""),0.00872397189954599)</f>
        <v>8.7239718995459903E-3</v>
      </c>
      <c r="OW34" s="3">
        <f ca="1">IFERROR(__xludf.DUMMYFUNCTION("""COMPUTED_VALUE"""),-0.148517877996219)</f>
        <v>-0.14851787799621899</v>
      </c>
      <c r="OX34" s="3">
        <f ca="1">IFERROR(__xludf.DUMMYFUNCTION("""COMPUTED_VALUE"""),-0.113893576641382)</f>
        <v>-0.113893576641382</v>
      </c>
      <c r="OY34" s="3">
        <f ca="1">IFERROR(__xludf.DUMMYFUNCTION("""COMPUTED_VALUE"""),-0.018160903329812)</f>
        <v>-1.8160903329812E-2</v>
      </c>
      <c r="OZ34" s="3">
        <f ca="1">IFERROR(__xludf.DUMMYFUNCTION("""COMPUTED_VALUE"""),0.0860220741981774)</f>
        <v>8.6022074198177395E-2</v>
      </c>
      <c r="PA34" s="3">
        <f ca="1">IFERROR(__xludf.DUMMYFUNCTION("""COMPUTED_VALUE"""),0.156537243780622)</f>
        <v>0.156537243780622</v>
      </c>
      <c r="PB34" s="3">
        <f ca="1">IFERROR(__xludf.DUMMYFUNCTION("""COMPUTED_VALUE"""),0.0773513750226326)</f>
        <v>7.7351375022632604E-2</v>
      </c>
      <c r="PC34" s="3">
        <f ca="1">IFERROR(__xludf.DUMMYFUNCTION("""COMPUTED_VALUE"""),-0.058303803826833)</f>
        <v>-5.8303803826832999E-2</v>
      </c>
      <c r="PD34" s="3">
        <f ca="1">IFERROR(__xludf.DUMMYFUNCTION("""COMPUTED_VALUE"""),-0.0672009935411966)</f>
        <v>-6.7200993541196602E-2</v>
      </c>
      <c r="PE34" s="3">
        <f ca="1">IFERROR(__xludf.DUMMYFUNCTION("""COMPUTED_VALUE"""),-0.0194078909405845)</f>
        <v>-1.94078909405845E-2</v>
      </c>
      <c r="PF34" s="3">
        <f ca="1">IFERROR(__xludf.DUMMYFUNCTION("""COMPUTED_VALUE"""),0.102631638731957)</f>
        <v>0.10263163873195701</v>
      </c>
      <c r="PG34" s="3">
        <f ca="1">IFERROR(__xludf.DUMMYFUNCTION("""COMPUTED_VALUE"""),-0.00919599392150671)</f>
        <v>-9.1959939215067107E-3</v>
      </c>
      <c r="PH34" s="3">
        <f ca="1">IFERROR(__xludf.DUMMYFUNCTION("""COMPUTED_VALUE"""),0.0374003195682193)</f>
        <v>3.7400319568219299E-2</v>
      </c>
      <c r="PI34" s="3">
        <f ca="1">IFERROR(__xludf.DUMMYFUNCTION("""COMPUTED_VALUE"""),-0.0072046020937363)</f>
        <v>-7.2046020937363E-3</v>
      </c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</row>
    <row r="35" spans="1:477" ht="15.75" customHeight="1">
      <c r="A35" s="1" t="str">
        <f ca="1">IFERROR(__xludf.DUMMYFUNCTION("""COMPUTED_VALUE"""),"St. Albert Transit")</f>
        <v>St. Albert Transit</v>
      </c>
      <c r="B35" s="1" t="str">
        <f ca="1">IFERROR(__xludf.DUMMYFUNCTION("""COMPUTED_VALUE"""),"Edmonton")</f>
        <v>Edmonton</v>
      </c>
      <c r="C35" s="1" t="str">
        <f ca="1">IFERROR(__xludf.DUMMYFUNCTION("""COMPUTED_VALUE"""),"Canada")</f>
        <v>Canada</v>
      </c>
      <c r="D35" s="1" t="str">
        <f ca="1">IFERROR(__xludf.DUMMYFUNCTION("""COMPUTED_VALUE"""),"Alberta")</f>
        <v>Alberta</v>
      </c>
      <c r="E35" s="3">
        <f ca="1">IFERROR(__xludf.DUMMYFUNCTION("""COMPUTED_VALUE"""),-0.623370935658665)</f>
        <v>-0.62337093565866497</v>
      </c>
      <c r="F35" s="3">
        <f ca="1">IFERROR(__xludf.DUMMYFUNCTION("""COMPUTED_VALUE"""),-0.652192618909993)</f>
        <v>-0.65219261890999303</v>
      </c>
      <c r="G35" s="3">
        <f ca="1">IFERROR(__xludf.DUMMYFUNCTION("""COMPUTED_VALUE"""),-0.710071088934614)</f>
        <v>-0.71007108893461401</v>
      </c>
      <c r="H35" s="3">
        <f ca="1">IFERROR(__xludf.DUMMYFUNCTION("""COMPUTED_VALUE"""),-0.720375257099606)</f>
        <v>-0.72037525709960604</v>
      </c>
      <c r="I35" s="3">
        <f ca="1">IFERROR(__xludf.DUMMYFUNCTION("""COMPUTED_VALUE"""),-0.746687623183308)</f>
        <v>-0.74668762318330795</v>
      </c>
      <c r="J35" s="3">
        <f ca="1">IFERROR(__xludf.DUMMYFUNCTION("""COMPUTED_VALUE"""),-0.71596210157525)</f>
        <v>-0.71596210157524998</v>
      </c>
      <c r="K35" s="3">
        <f ca="1">IFERROR(__xludf.DUMMYFUNCTION("""COMPUTED_VALUE"""),-0.616156527356347)</f>
        <v>-0.61615652735634696</v>
      </c>
      <c r="L35" s="3">
        <f ca="1">IFERROR(__xludf.DUMMYFUNCTION("""COMPUTED_VALUE"""),-0.688803578529474)</f>
        <v>-0.68880357852947405</v>
      </c>
      <c r="M35" s="3">
        <f ca="1">IFERROR(__xludf.DUMMYFUNCTION("""COMPUTED_VALUE"""),-0.761457331745052)</f>
        <v>-0.76145733174505204</v>
      </c>
      <c r="N35" s="3">
        <f ca="1">IFERROR(__xludf.DUMMYFUNCTION("""COMPUTED_VALUE"""),-0.746182916757312)</f>
        <v>-0.74618291675731196</v>
      </c>
      <c r="O35" s="3">
        <f ca="1">IFERROR(__xludf.DUMMYFUNCTION("""COMPUTED_VALUE"""),-0.743373265755955)</f>
        <v>-0.74337326575595497</v>
      </c>
      <c r="P35" s="3">
        <f ca="1">IFERROR(__xludf.DUMMYFUNCTION("""COMPUTED_VALUE"""),-0.748192028536023)</f>
        <v>-0.74819202853602296</v>
      </c>
      <c r="Q35" s="3">
        <f ca="1">IFERROR(__xludf.DUMMYFUNCTION("""COMPUTED_VALUE"""),-0.74919590142877)</f>
        <v>-0.74919590142877002</v>
      </c>
      <c r="R35" s="3">
        <f ca="1">IFERROR(__xludf.DUMMYFUNCTION("""COMPUTED_VALUE"""),-0.614908777776667)</f>
        <v>-0.61490877777666697</v>
      </c>
      <c r="S35" s="3">
        <f ca="1">IFERROR(__xludf.DUMMYFUNCTION("""COMPUTED_VALUE"""),-0.640466505726339)</f>
        <v>-0.64046650572633901</v>
      </c>
      <c r="T35" s="3">
        <f ca="1">IFERROR(__xludf.DUMMYFUNCTION("""COMPUTED_VALUE"""),-0.687739120930598)</f>
        <v>-0.68773912093059797</v>
      </c>
      <c r="U35" s="3">
        <f ca="1">IFERROR(__xludf.DUMMYFUNCTION("""COMPUTED_VALUE"""),-0.682668970635335)</f>
        <v>-0.68266897063533505</v>
      </c>
      <c r="V35" s="3">
        <f ca="1">IFERROR(__xludf.DUMMYFUNCTION("""COMPUTED_VALUE"""),-0.680576348046118)</f>
        <v>-0.680576348046118</v>
      </c>
      <c r="W35" s="3">
        <f ca="1">IFERROR(__xludf.DUMMYFUNCTION("""COMPUTED_VALUE"""),-0.701666609560184)</f>
        <v>-0.70166660956018401</v>
      </c>
      <c r="X35" s="3">
        <f ca="1">IFERROR(__xludf.DUMMYFUNCTION("""COMPUTED_VALUE"""),-0.647690945986103)</f>
        <v>-0.64769094598610299</v>
      </c>
      <c r="Y35" s="3">
        <f ca="1">IFERROR(__xludf.DUMMYFUNCTION("""COMPUTED_VALUE"""),-0.616330706443625)</f>
        <v>-0.61633070644362498</v>
      </c>
      <c r="Z35" s="3">
        <f ca="1">IFERROR(__xludf.DUMMYFUNCTION("""COMPUTED_VALUE"""),-0.578574856036977)</f>
        <v>-0.578574856036977</v>
      </c>
      <c r="AA35" s="3">
        <f ca="1">IFERROR(__xludf.DUMMYFUNCTION("""COMPUTED_VALUE"""),-0.63590221076915)</f>
        <v>-0.63590221076914999</v>
      </c>
      <c r="AB35" s="3">
        <f ca="1">IFERROR(__xludf.DUMMYFUNCTION("""COMPUTED_VALUE"""),-0.687215678921674)</f>
        <v>-0.68721567892167401</v>
      </c>
      <c r="AC35" s="3">
        <f ca="1">IFERROR(__xludf.DUMMYFUNCTION("""COMPUTED_VALUE"""),-0.686880888427401)</f>
        <v>-0.68688088842740103</v>
      </c>
      <c r="AD35" s="3">
        <f ca="1">IFERROR(__xludf.DUMMYFUNCTION("""COMPUTED_VALUE"""),-0.683167754260601)</f>
        <v>-0.68316775426060095</v>
      </c>
      <c r="AE35" s="3">
        <f ca="1">IFERROR(__xludf.DUMMYFUNCTION("""COMPUTED_VALUE"""),-0.659334430788561)</f>
        <v>-0.65933443078856102</v>
      </c>
      <c r="AF35" s="3">
        <f ca="1">IFERROR(__xludf.DUMMYFUNCTION("""COMPUTED_VALUE"""),-0.632637033934874)</f>
        <v>-0.63263703393487403</v>
      </c>
      <c r="AG35" s="3">
        <f ca="1">IFERROR(__xludf.DUMMYFUNCTION("""COMPUTED_VALUE"""),-0.640964986372469)</f>
        <v>-0.64096498637246901</v>
      </c>
      <c r="AH35" s="3">
        <f ca="1">IFERROR(__xludf.DUMMYFUNCTION("""COMPUTED_VALUE"""),-0.713267956067632)</f>
        <v>-0.71326795606763205</v>
      </c>
      <c r="AI35" s="3">
        <f ca="1">IFERROR(__xludf.DUMMYFUNCTION("""COMPUTED_VALUE"""),-0.705788915800938)</f>
        <v>-0.70578891580093805</v>
      </c>
      <c r="AJ35" s="3">
        <f ca="1">IFERROR(__xludf.DUMMYFUNCTION("""COMPUTED_VALUE"""),-0.703652636181938)</f>
        <v>-0.70365263618193796</v>
      </c>
      <c r="AK35" s="3">
        <f ca="1">IFERROR(__xludf.DUMMYFUNCTION("""COMPUTED_VALUE"""),-0.717482614949501)</f>
        <v>-0.71748261494950105</v>
      </c>
      <c r="AL35" s="3">
        <f ca="1">IFERROR(__xludf.DUMMYFUNCTION("""COMPUTED_VALUE"""),-0.681664312573882)</f>
        <v>-0.68166431257388205</v>
      </c>
      <c r="AM35" s="3">
        <f ca="1">IFERROR(__xludf.DUMMYFUNCTION("""COMPUTED_VALUE"""),-0.596183393261439)</f>
        <v>-0.59618339326143899</v>
      </c>
      <c r="AN35" s="3">
        <f ca="1">IFERROR(__xludf.DUMMYFUNCTION("""COMPUTED_VALUE"""),-0.615999083279852)</f>
        <v>-0.61599908327985198</v>
      </c>
      <c r="AO35" s="3">
        <f ca="1">IFERROR(__xludf.DUMMYFUNCTION("""COMPUTED_VALUE"""),-0.691634322347217)</f>
        <v>-0.691634322347217</v>
      </c>
      <c r="AP35" s="3">
        <f ca="1">IFERROR(__xludf.DUMMYFUNCTION("""COMPUTED_VALUE"""),-0.696713114273259)</f>
        <v>-0.69671311427325899</v>
      </c>
      <c r="AQ35" s="3">
        <f ca="1">IFERROR(__xludf.DUMMYFUNCTION("""COMPUTED_VALUE"""),-0.706276945726847)</f>
        <v>-0.70627694572684696</v>
      </c>
      <c r="AR35" s="3">
        <f ca="1">IFERROR(__xludf.DUMMYFUNCTION("""COMPUTED_VALUE"""),-0.686841020528256)</f>
        <v>-0.68684102052825602</v>
      </c>
      <c r="AS35" s="3">
        <f ca="1">IFERROR(__xludf.DUMMYFUNCTION("""COMPUTED_VALUE"""),-0.666492099625395)</f>
        <v>-0.66649209962539502</v>
      </c>
      <c r="AT35" s="3">
        <f ca="1">IFERROR(__xludf.DUMMYFUNCTION("""COMPUTED_VALUE"""),-0.557877192980244)</f>
        <v>-0.55787719298024396</v>
      </c>
      <c r="AU35" s="3">
        <f ca="1">IFERROR(__xludf.DUMMYFUNCTION("""COMPUTED_VALUE"""),-0.613688020129799)</f>
        <v>-0.61368802012979895</v>
      </c>
      <c r="AV35" s="3">
        <f ca="1">IFERROR(__xludf.DUMMYFUNCTION("""COMPUTED_VALUE"""),-0.741332504843713)</f>
        <v>-0.74133250484371305</v>
      </c>
      <c r="AW35" s="3">
        <f ca="1">IFERROR(__xludf.DUMMYFUNCTION("""COMPUTED_VALUE"""),-0.708107888570905)</f>
        <v>-0.70810788857090501</v>
      </c>
      <c r="AX35" s="3">
        <f ca="1">IFERROR(__xludf.DUMMYFUNCTION("""COMPUTED_VALUE"""),-0.709151828760715)</f>
        <v>-0.70915182876071503</v>
      </c>
      <c r="AY35" s="3">
        <f ca="1">IFERROR(__xludf.DUMMYFUNCTION("""COMPUTED_VALUE"""),-0.688347008106811)</f>
        <v>-0.68834700810681104</v>
      </c>
      <c r="AZ35" s="3">
        <f ca="1">IFERROR(__xludf.DUMMYFUNCTION("""COMPUTED_VALUE"""),-0.631512739260104)</f>
        <v>-0.63151273926010398</v>
      </c>
      <c r="BA35" s="3">
        <f ca="1">IFERROR(__xludf.DUMMYFUNCTION("""COMPUTED_VALUE"""),-0.617197973591956)</f>
        <v>-0.61719797359195605</v>
      </c>
      <c r="BB35" s="3">
        <f ca="1">IFERROR(__xludf.DUMMYFUNCTION("""COMPUTED_VALUE"""),-0.615702657540424)</f>
        <v>-0.61570265754042397</v>
      </c>
      <c r="BC35" s="3">
        <f ca="1">IFERROR(__xludf.DUMMYFUNCTION("""COMPUTED_VALUE"""),-0.692191656527766)</f>
        <v>-0.69219165652776604</v>
      </c>
      <c r="BD35" s="3">
        <f ca="1">IFERROR(__xludf.DUMMYFUNCTION("""COMPUTED_VALUE"""),-0.731512344145534)</f>
        <v>-0.73151234414553401</v>
      </c>
      <c r="BE35" s="3">
        <f ca="1">IFERROR(__xludf.DUMMYFUNCTION("""COMPUTED_VALUE"""),-0.73703689900677)</f>
        <v>-0.73703689900677005</v>
      </c>
      <c r="BF35" s="3">
        <f ca="1">IFERROR(__xludf.DUMMYFUNCTION("""COMPUTED_VALUE"""),-0.763036444841034)</f>
        <v>-0.76303644484103395</v>
      </c>
      <c r="BG35" s="3">
        <f ca="1">IFERROR(__xludf.DUMMYFUNCTION("""COMPUTED_VALUE"""),-0.786702245982112)</f>
        <v>-0.78670224598211203</v>
      </c>
      <c r="BH35" s="3">
        <f ca="1">IFERROR(__xludf.DUMMYFUNCTION("""COMPUTED_VALUE"""),-0.634582965751372)</f>
        <v>-0.63458296575137196</v>
      </c>
      <c r="BI35" s="3">
        <f ca="1">IFERROR(__xludf.DUMMYFUNCTION("""COMPUTED_VALUE"""),-0.662933185915761)</f>
        <v>-0.662933185915761</v>
      </c>
      <c r="BJ35" s="3">
        <f ca="1">IFERROR(__xludf.DUMMYFUNCTION("""COMPUTED_VALUE"""),-0.795989580337718)</f>
        <v>-0.79598958033771805</v>
      </c>
      <c r="BK35" s="3">
        <f ca="1">IFERROR(__xludf.DUMMYFUNCTION("""COMPUTED_VALUE"""),-0.804499274079693)</f>
        <v>-0.80449927407969302</v>
      </c>
      <c r="BL35" s="3">
        <f ca="1">IFERROR(__xludf.DUMMYFUNCTION("""COMPUTED_VALUE"""),-0.814396638103477)</f>
        <v>-0.81439663810347696</v>
      </c>
      <c r="BM35" s="3">
        <f ca="1">IFERROR(__xludf.DUMMYFUNCTION("""COMPUTED_VALUE"""),-0.778197843807141)</f>
        <v>-0.77819784380714097</v>
      </c>
      <c r="BN35" s="3">
        <f ca="1">IFERROR(__xludf.DUMMYFUNCTION("""COMPUTED_VALUE"""),-0.738059361461414)</f>
        <v>-0.73805936146141404</v>
      </c>
      <c r="BO35" s="3">
        <f ca="1">IFERROR(__xludf.DUMMYFUNCTION("""COMPUTED_VALUE"""),-0.692568806262981)</f>
        <v>-0.69256880626298101</v>
      </c>
      <c r="BP35" s="3">
        <f ca="1">IFERROR(__xludf.DUMMYFUNCTION("""COMPUTED_VALUE"""),-0.749840300018661)</f>
        <v>-0.74984030001866098</v>
      </c>
      <c r="BQ35" s="3">
        <f ca="1">IFERROR(__xludf.DUMMYFUNCTION("""COMPUTED_VALUE"""),-0.79091970753803)</f>
        <v>-0.79091970753802998</v>
      </c>
      <c r="BR35" s="3">
        <f ca="1">IFERROR(__xludf.DUMMYFUNCTION("""COMPUTED_VALUE"""),-0.776278215083439)</f>
        <v>-0.77627821508343897</v>
      </c>
      <c r="BS35" s="3">
        <f ca="1">IFERROR(__xludf.DUMMYFUNCTION("""COMPUTED_VALUE"""),-0.777597230158644)</f>
        <v>-0.77759723015864401</v>
      </c>
      <c r="BT35" s="3">
        <f ca="1">IFERROR(__xludf.DUMMYFUNCTION("""COMPUTED_VALUE"""),-0.79206847126899)</f>
        <v>-0.79206847126899005</v>
      </c>
      <c r="BU35" s="3">
        <f ca="1">IFERROR(__xludf.DUMMYFUNCTION("""COMPUTED_VALUE"""),-0.756473538308889)</f>
        <v>-0.75647353830888897</v>
      </c>
      <c r="BV35" s="3">
        <f ca="1">IFERROR(__xludf.DUMMYFUNCTION("""COMPUTED_VALUE"""),-0.631862332981888)</f>
        <v>-0.63186233298188799</v>
      </c>
      <c r="BW35" s="3">
        <f ca="1">IFERROR(__xludf.DUMMYFUNCTION("""COMPUTED_VALUE"""),-0.721870275678076)</f>
        <v>-0.72187027567807605</v>
      </c>
      <c r="BX35" s="3">
        <f ca="1">IFERROR(__xludf.DUMMYFUNCTION("""COMPUTED_VALUE"""),-0.814008601631624)</f>
        <v>-0.81400860163162403</v>
      </c>
      <c r="BY35" s="3">
        <f ca="1">IFERROR(__xludf.DUMMYFUNCTION("""COMPUTED_VALUE"""),-0.814309126069104)</f>
        <v>-0.81430912606910399</v>
      </c>
      <c r="BZ35" s="3">
        <f ca="1">IFERROR(__xludf.DUMMYFUNCTION("""COMPUTED_VALUE"""),-0.819050235948041)</f>
        <v>-0.81905023594804105</v>
      </c>
      <c r="CA35" s="3">
        <f ca="1">IFERROR(__xludf.DUMMYFUNCTION("""COMPUTED_VALUE"""),-0.808195508710834)</f>
        <v>-0.80819550871083401</v>
      </c>
      <c r="CB35" s="3">
        <f ca="1">IFERROR(__xludf.DUMMYFUNCTION("""COMPUTED_VALUE"""),-0.765305540369938)</f>
        <v>-0.76530554036993803</v>
      </c>
      <c r="CC35" s="3">
        <f ca="1">IFERROR(__xludf.DUMMYFUNCTION("""COMPUTED_VALUE"""),-0.644680379364503)</f>
        <v>-0.64468037936450295</v>
      </c>
      <c r="CD35" s="3">
        <f ca="1">IFERROR(__xludf.DUMMYFUNCTION("""COMPUTED_VALUE"""),-0.710417573717314)</f>
        <v>-0.71041757371731395</v>
      </c>
      <c r="CE35" s="3">
        <f ca="1">IFERROR(__xludf.DUMMYFUNCTION("""COMPUTED_VALUE"""),-0.778554966169221)</f>
        <v>-0.77855496616922104</v>
      </c>
      <c r="CF35" s="3">
        <f ca="1">IFERROR(__xludf.DUMMYFUNCTION("""COMPUTED_VALUE"""),-0.789346627776355)</f>
        <v>-0.789346627776355</v>
      </c>
      <c r="CG35" s="3">
        <f ca="1">IFERROR(__xludf.DUMMYFUNCTION("""COMPUTED_VALUE"""),-0.804773375287868)</f>
        <v>-0.80477337528786796</v>
      </c>
      <c r="CH35" s="3">
        <f ca="1">IFERROR(__xludf.DUMMYFUNCTION("""COMPUTED_VALUE"""),-0.786583821844966)</f>
        <v>-0.786583821844966</v>
      </c>
      <c r="CI35" s="3">
        <f ca="1">IFERROR(__xludf.DUMMYFUNCTION("""COMPUTED_VALUE"""),-0.740530926562474)</f>
        <v>-0.74053092656247399</v>
      </c>
      <c r="CJ35" s="3">
        <f ca="1">IFERROR(__xludf.DUMMYFUNCTION("""COMPUTED_VALUE"""),-0.632610109186211)</f>
        <v>-0.63261010918621097</v>
      </c>
      <c r="CK35" s="3">
        <f ca="1">IFERROR(__xludf.DUMMYFUNCTION("""COMPUTED_VALUE"""),-0.689566072170031)</f>
        <v>-0.68956607217003096</v>
      </c>
      <c r="CL35" s="3">
        <f ca="1">IFERROR(__xludf.DUMMYFUNCTION("""COMPUTED_VALUE"""),-0.798581634869608)</f>
        <v>-0.79858163486960798</v>
      </c>
      <c r="CM35" s="3">
        <f ca="1">IFERROR(__xludf.DUMMYFUNCTION("""COMPUTED_VALUE"""),-0.8063109795592)</f>
        <v>-0.80631097955919995</v>
      </c>
      <c r="CN35" s="3">
        <f ca="1">IFERROR(__xludf.DUMMYFUNCTION("""COMPUTED_VALUE"""),-0.798116828490619)</f>
        <v>-0.79811682849061905</v>
      </c>
      <c r="CO35" s="3">
        <f ca="1">IFERROR(__xludf.DUMMYFUNCTION("""COMPUTED_VALUE"""),-0.766281930015508)</f>
        <v>-0.76628193001550804</v>
      </c>
      <c r="CP35" s="3">
        <f ca="1">IFERROR(__xludf.DUMMYFUNCTION("""COMPUTED_VALUE"""),-0.731750691725116)</f>
        <v>-0.73175069172511598</v>
      </c>
      <c r="CQ35" s="3">
        <f ca="1">IFERROR(__xludf.DUMMYFUNCTION("""COMPUTED_VALUE"""),-0.594815060773486)</f>
        <v>-0.594815060773486</v>
      </c>
      <c r="CR35" s="3">
        <f ca="1">IFERROR(__xludf.DUMMYFUNCTION("""COMPUTED_VALUE"""),-0.718828731114846)</f>
        <v>-0.71882873111484602</v>
      </c>
      <c r="CS35" s="3">
        <f ca="1">IFERROR(__xludf.DUMMYFUNCTION("""COMPUTED_VALUE"""),-0.823774119218555)</f>
        <v>-0.82377411921855503</v>
      </c>
      <c r="CT35" s="3">
        <f ca="1">IFERROR(__xludf.DUMMYFUNCTION("""COMPUTED_VALUE"""),-0.824772668343619)</f>
        <v>-0.82477266834361895</v>
      </c>
      <c r="CU35" s="3">
        <f ca="1">IFERROR(__xludf.DUMMYFUNCTION("""COMPUTED_VALUE"""),-0.794134392450595)</f>
        <v>-0.79413439245059503</v>
      </c>
      <c r="CV35" s="3">
        <f ca="1">IFERROR(__xludf.DUMMYFUNCTION("""COMPUTED_VALUE"""),-0.790908874656979)</f>
        <v>-0.79090887465697901</v>
      </c>
      <c r="CW35" s="3">
        <f ca="1">IFERROR(__xludf.DUMMYFUNCTION("""COMPUTED_VALUE"""),-0.76381924898434)</f>
        <v>-0.76381924898433995</v>
      </c>
      <c r="CX35" s="3">
        <f ca="1">IFERROR(__xludf.DUMMYFUNCTION("""COMPUTED_VALUE"""),-0.641099710170406)</f>
        <v>-0.64109971017040601</v>
      </c>
      <c r="CY35" s="3">
        <f ca="1">IFERROR(__xludf.DUMMYFUNCTION("""COMPUTED_VALUE"""),-0.765726802981209)</f>
        <v>-0.76572680298120899</v>
      </c>
      <c r="CZ35" s="3">
        <f ca="1">IFERROR(__xludf.DUMMYFUNCTION("""COMPUTED_VALUE"""),-0.897533348862168)</f>
        <v>-0.89753334886216796</v>
      </c>
      <c r="DA35" s="3">
        <f ca="1">IFERROR(__xludf.DUMMYFUNCTION("""COMPUTED_VALUE"""),-0.75052772294728)</f>
        <v>-0.75052772294727998</v>
      </c>
      <c r="DB35" s="3">
        <f ca="1">IFERROR(__xludf.DUMMYFUNCTION("""COMPUTED_VALUE"""),-0.698344147474877)</f>
        <v>-0.69834414747487705</v>
      </c>
      <c r="DC35" s="3">
        <f ca="1">IFERROR(__xludf.DUMMYFUNCTION("""COMPUTED_VALUE"""),-0.72502532985014)</f>
        <v>-0.72502532985014001</v>
      </c>
      <c r="DD35" s="3">
        <f ca="1">IFERROR(__xludf.DUMMYFUNCTION("""COMPUTED_VALUE"""),-0.735590789388732)</f>
        <v>-0.73559078938873201</v>
      </c>
      <c r="DE35" s="3">
        <f ca="1">IFERROR(__xludf.DUMMYFUNCTION("""COMPUTED_VALUE"""),-0.734479800393848)</f>
        <v>-0.73447980039384797</v>
      </c>
      <c r="DF35" s="3">
        <f ca="1">IFERROR(__xludf.DUMMYFUNCTION("""COMPUTED_VALUE"""),-0.812730106456137)</f>
        <v>-0.81273010645613697</v>
      </c>
      <c r="DG35" s="3">
        <f ca="1">IFERROR(__xludf.DUMMYFUNCTION("""COMPUTED_VALUE"""),-0.905046286937715)</f>
        <v>-0.90504628693771505</v>
      </c>
      <c r="DH35" s="3">
        <f ca="1">IFERROR(__xludf.DUMMYFUNCTION("""COMPUTED_VALUE"""),-0.692204725283327)</f>
        <v>-0.69220472528332699</v>
      </c>
      <c r="DI35" s="3">
        <f ca="1">IFERROR(__xludf.DUMMYFUNCTION("""COMPUTED_VALUE"""),-0.611116447276389)</f>
        <v>-0.61111644727638903</v>
      </c>
      <c r="DJ35" s="3">
        <f ca="1">IFERROR(__xludf.DUMMYFUNCTION("""COMPUTED_VALUE"""),-0.667072067894308)</f>
        <v>-0.66707206789430795</v>
      </c>
      <c r="DK35" s="3">
        <f ca="1">IFERROR(__xludf.DUMMYFUNCTION("""COMPUTED_VALUE"""),-0.6728320749735)</f>
        <v>-0.67283207497349995</v>
      </c>
      <c r="DL35" s="3">
        <f ca="1">IFERROR(__xludf.DUMMYFUNCTION("""COMPUTED_VALUE"""),-0.686455846454834)</f>
        <v>-0.68645584645483404</v>
      </c>
      <c r="DM35" s="3">
        <f ca="1">IFERROR(__xludf.DUMMYFUNCTION("""COMPUTED_VALUE"""),-0.707546241348672)</f>
        <v>-0.70754624134867194</v>
      </c>
      <c r="DN35" s="3">
        <f ca="1">IFERROR(__xludf.DUMMYFUNCTION("""COMPUTED_VALUE"""),-0.764066163707506)</f>
        <v>-0.76406616370750602</v>
      </c>
      <c r="DO35" s="3">
        <f ca="1">IFERROR(__xludf.DUMMYFUNCTION("""COMPUTED_VALUE"""),-0.733333162963014)</f>
        <v>-0.73333316296301398</v>
      </c>
      <c r="DP35" s="3">
        <f ca="1">IFERROR(__xludf.DUMMYFUNCTION("""COMPUTED_VALUE"""),-0.725390291002724)</f>
        <v>-0.72539029100272401</v>
      </c>
      <c r="DQ35" s="3">
        <f ca="1">IFERROR(__xludf.DUMMYFUNCTION("""COMPUTED_VALUE"""),-0.759418052274906)</f>
        <v>-0.759418052274906</v>
      </c>
      <c r="DR35" s="3">
        <f ca="1">IFERROR(__xludf.DUMMYFUNCTION("""COMPUTED_VALUE"""),-0.757529831050852)</f>
        <v>-0.75752983105085203</v>
      </c>
      <c r="DS35" s="3">
        <f ca="1">IFERROR(__xludf.DUMMYFUNCTION("""COMPUTED_VALUE"""),-0.716629269223555)</f>
        <v>-0.71662926922355497</v>
      </c>
      <c r="DT35" s="3">
        <f ca="1">IFERROR(__xludf.DUMMYFUNCTION("""COMPUTED_VALUE"""),-0.679781613100842)</f>
        <v>-0.67978161310084195</v>
      </c>
      <c r="DU35" s="3">
        <f ca="1">IFERROR(__xludf.DUMMYFUNCTION("""COMPUTED_VALUE"""),-0.770770967481334)</f>
        <v>-0.770770967481334</v>
      </c>
      <c r="DV35" s="3">
        <f ca="1">IFERROR(__xludf.DUMMYFUNCTION("""COMPUTED_VALUE"""),-0.759348985138339)</f>
        <v>-0.75934898513833904</v>
      </c>
      <c r="DW35" s="3">
        <f ca="1">IFERROR(__xludf.DUMMYFUNCTION("""COMPUTED_VALUE"""),-0.761946491387605)</f>
        <v>-0.76194649138760495</v>
      </c>
      <c r="DX35" s="3">
        <f ca="1">IFERROR(__xludf.DUMMYFUNCTION("""COMPUTED_VALUE"""),-0.744551898000353)</f>
        <v>-0.74455189800035304</v>
      </c>
      <c r="DY35" s="3">
        <f ca="1">IFERROR(__xludf.DUMMYFUNCTION("""COMPUTED_VALUE"""),-0.720052404249914)</f>
        <v>-0.72005240424991401</v>
      </c>
      <c r="DZ35" s="3">
        <f ca="1">IFERROR(__xludf.DUMMYFUNCTION("""COMPUTED_VALUE"""),-0.640366965695798)</f>
        <v>-0.64036696569579798</v>
      </c>
      <c r="EA35" s="3">
        <f ca="1">IFERROR(__xludf.DUMMYFUNCTION("""COMPUTED_VALUE"""),-0.65316727079699)</f>
        <v>-0.65316727079699</v>
      </c>
      <c r="EB35" s="3">
        <f ca="1">IFERROR(__xludf.DUMMYFUNCTION("""COMPUTED_VALUE"""),-0.780893615081288)</f>
        <v>-0.78089361508128796</v>
      </c>
      <c r="EC35" s="3">
        <f ca="1">IFERROR(__xludf.DUMMYFUNCTION("""COMPUTED_VALUE"""),-0.78326078268504)</f>
        <v>-0.78326078268503996</v>
      </c>
      <c r="ED35" s="3">
        <f ca="1">IFERROR(__xludf.DUMMYFUNCTION("""COMPUTED_VALUE"""),-0.768102530572601)</f>
        <v>-0.76810253057260103</v>
      </c>
      <c r="EE35" s="3">
        <f ca="1">IFERROR(__xludf.DUMMYFUNCTION("""COMPUTED_VALUE"""),-0.737856485226841)</f>
        <v>-0.737856485226841</v>
      </c>
      <c r="EF35" s="3">
        <f ca="1">IFERROR(__xludf.DUMMYFUNCTION("""COMPUTED_VALUE"""),-0.698047863044679)</f>
        <v>-0.69804786304467903</v>
      </c>
      <c r="EG35" s="3">
        <f ca="1">IFERROR(__xludf.DUMMYFUNCTION("""COMPUTED_VALUE"""),-0.592601880320285)</f>
        <v>-0.59260188032028505</v>
      </c>
      <c r="EH35" s="3">
        <f ca="1">IFERROR(__xludf.DUMMYFUNCTION("""COMPUTED_VALUE"""),-0.684284287358021)</f>
        <v>-0.68428428735802105</v>
      </c>
      <c r="EI35" s="3">
        <f ca="1">IFERROR(__xludf.DUMMYFUNCTION("""COMPUTED_VALUE"""),-0.701999869398344)</f>
        <v>-0.70199986939834402</v>
      </c>
      <c r="EJ35" s="3">
        <f ca="1">IFERROR(__xludf.DUMMYFUNCTION("""COMPUTED_VALUE"""),-0.705300122950288)</f>
        <v>-0.70530012295028799</v>
      </c>
      <c r="EK35" s="3">
        <f ca="1">IFERROR(__xludf.DUMMYFUNCTION("""COMPUTED_VALUE"""),-0.699422412099163)</f>
        <v>-0.699422412099163</v>
      </c>
      <c r="EL35" s="3">
        <f ca="1">IFERROR(__xludf.DUMMYFUNCTION("""COMPUTED_VALUE"""),-0.708263864948746)</f>
        <v>-0.70826386494874605</v>
      </c>
      <c r="EM35" s="3">
        <f ca="1">IFERROR(__xludf.DUMMYFUNCTION("""COMPUTED_VALUE"""),-0.6467671121703)</f>
        <v>-0.64676711217030003</v>
      </c>
      <c r="EN35" s="3">
        <f ca="1">IFERROR(__xludf.DUMMYFUNCTION("""COMPUTED_VALUE"""),-0.587077559634399)</f>
        <v>-0.587077559634399</v>
      </c>
      <c r="EO35" s="3">
        <f ca="1">IFERROR(__xludf.DUMMYFUNCTION("""COMPUTED_VALUE"""),-0.633065695815296)</f>
        <v>-0.63306569581529604</v>
      </c>
      <c r="EP35" s="3">
        <f ca="1">IFERROR(__xludf.DUMMYFUNCTION("""COMPUTED_VALUE"""),-0.678726386876248)</f>
        <v>-0.67872638687624798</v>
      </c>
      <c r="EQ35" s="3">
        <f ca="1">IFERROR(__xludf.DUMMYFUNCTION("""COMPUTED_VALUE"""),-0.678779451834247)</f>
        <v>-0.67877945183424704</v>
      </c>
      <c r="ER35" s="3">
        <f ca="1">IFERROR(__xludf.DUMMYFUNCTION("""COMPUTED_VALUE"""),-0.644058015159223)</f>
        <v>-0.64405801515922301</v>
      </c>
      <c r="ES35" s="3">
        <f ca="1">IFERROR(__xludf.DUMMYFUNCTION("""COMPUTED_VALUE"""),-0.634618534861772)</f>
        <v>-0.634618534861772</v>
      </c>
      <c r="ET35" s="3">
        <f ca="1">IFERROR(__xludf.DUMMYFUNCTION("""COMPUTED_VALUE"""),-0.516139218493938)</f>
        <v>-0.51613921849393796</v>
      </c>
      <c r="EU35" s="3">
        <f ca="1">IFERROR(__xludf.DUMMYFUNCTION("""COMPUTED_VALUE"""),-0.584297339300194)</f>
        <v>-0.58429733930019401</v>
      </c>
      <c r="EV35" s="3">
        <f ca="1">IFERROR(__xludf.DUMMYFUNCTION("""COMPUTED_VALUE"""),-0.646569101412912)</f>
        <v>-0.64656910141291202</v>
      </c>
      <c r="EW35" s="3">
        <f ca="1">IFERROR(__xludf.DUMMYFUNCTION("""COMPUTED_VALUE"""),-0.691486318847675)</f>
        <v>-0.69148631884767497</v>
      </c>
      <c r="EX35" s="3">
        <f ca="1">IFERROR(__xludf.DUMMYFUNCTION("""COMPUTED_VALUE"""),-0.752129171925296)</f>
        <v>-0.75212917192529605</v>
      </c>
      <c r="EY35" s="3">
        <f ca="1">IFERROR(__xludf.DUMMYFUNCTION("""COMPUTED_VALUE"""),-0.78815602327725)</f>
        <v>-0.78815602327724998</v>
      </c>
      <c r="EZ35" s="3">
        <f ca="1">IFERROR(__xludf.DUMMYFUNCTION("""COMPUTED_VALUE"""),-0.577556925893522)</f>
        <v>-0.57755692589352203</v>
      </c>
      <c r="FA35" s="3">
        <f ca="1">IFERROR(__xludf.DUMMYFUNCTION("""COMPUTED_VALUE"""),-0.450357288339838)</f>
        <v>-0.45035728833983801</v>
      </c>
      <c r="FB35" s="3">
        <f ca="1">IFERROR(__xludf.DUMMYFUNCTION("""COMPUTED_VALUE"""),-0.547445592583317)</f>
        <v>-0.54744559258331704</v>
      </c>
      <c r="FC35" s="3">
        <f ca="1">IFERROR(__xludf.DUMMYFUNCTION("""COMPUTED_VALUE"""),-0.581711608549767)</f>
        <v>-0.581711608549767</v>
      </c>
      <c r="FD35" s="3">
        <f ca="1">IFERROR(__xludf.DUMMYFUNCTION("""COMPUTED_VALUE"""),-0.677778138575411)</f>
        <v>-0.67777813857541103</v>
      </c>
      <c r="FE35" s="3">
        <f ca="1">IFERROR(__xludf.DUMMYFUNCTION("""COMPUTED_VALUE"""),-0.662477287647644)</f>
        <v>-0.66247728764764402</v>
      </c>
      <c r="FF35" s="3">
        <f ca="1">IFERROR(__xludf.DUMMYFUNCTION("""COMPUTED_VALUE"""),-0.660782502164139)</f>
        <v>-0.66078250216413903</v>
      </c>
      <c r="FG35" s="3">
        <f ca="1">IFERROR(__xludf.DUMMYFUNCTION("""COMPUTED_VALUE"""),-0.634581977236089)</f>
        <v>-0.634581977236089</v>
      </c>
      <c r="FH35" s="3">
        <f ca="1">IFERROR(__xludf.DUMMYFUNCTION("""COMPUTED_VALUE"""),-0.522709352679006)</f>
        <v>-0.52270935267900598</v>
      </c>
      <c r="FI35" s="3">
        <f ca="1">IFERROR(__xludf.DUMMYFUNCTION("""COMPUTED_VALUE"""),-0.495024026876284)</f>
        <v>-0.495024026876284</v>
      </c>
      <c r="FJ35" s="3">
        <f ca="1">IFERROR(__xludf.DUMMYFUNCTION("""COMPUTED_VALUE"""),-0.612035406264454)</f>
        <v>-0.61203540626445396</v>
      </c>
      <c r="FK35" s="3">
        <f ca="1">IFERROR(__xludf.DUMMYFUNCTION("""COMPUTED_VALUE"""),-0.64825266238032)</f>
        <v>-0.64825266238031998</v>
      </c>
      <c r="FL35" s="3">
        <f ca="1">IFERROR(__xludf.DUMMYFUNCTION("""COMPUTED_VALUE"""),-0.665855632019396)</f>
        <v>-0.66585563201939602</v>
      </c>
      <c r="FM35" s="3">
        <f ca="1">IFERROR(__xludf.DUMMYFUNCTION("""COMPUTED_VALUE"""),-0.673003398800138)</f>
        <v>-0.67300339880013804</v>
      </c>
      <c r="FN35" s="3">
        <f ca="1">IFERROR(__xludf.DUMMYFUNCTION("""COMPUTED_VALUE"""),-0.662890573737347)</f>
        <v>-0.66289057373734706</v>
      </c>
      <c r="FO35" s="3">
        <f ca="1">IFERROR(__xludf.DUMMYFUNCTION("""COMPUTED_VALUE"""),-0.61650244825639)</f>
        <v>-0.61650244825639</v>
      </c>
      <c r="FP35" s="3">
        <f ca="1">IFERROR(__xludf.DUMMYFUNCTION("""COMPUTED_VALUE"""),-0.534795880706289)</f>
        <v>-0.53479588070628903</v>
      </c>
      <c r="FQ35" s="3">
        <f ca="1">IFERROR(__xludf.DUMMYFUNCTION("""COMPUTED_VALUE"""),-0.608568370829698)</f>
        <v>-0.60856837082969795</v>
      </c>
      <c r="FR35" s="3">
        <f ca="1">IFERROR(__xludf.DUMMYFUNCTION("""COMPUTED_VALUE"""),-0.691539881359005)</f>
        <v>-0.69153988135900502</v>
      </c>
      <c r="FS35" s="3">
        <f ca="1">IFERROR(__xludf.DUMMYFUNCTION("""COMPUTED_VALUE"""),-0.69107727115208)</f>
        <v>-0.69107727115207995</v>
      </c>
      <c r="FT35" s="3">
        <f ca="1">IFERROR(__xludf.DUMMYFUNCTION("""COMPUTED_VALUE"""),-0.618410700634812)</f>
        <v>-0.61841070063481196</v>
      </c>
      <c r="FU35" s="3">
        <f ca="1">IFERROR(__xludf.DUMMYFUNCTION("""COMPUTED_VALUE"""),-0.58622659271861)</f>
        <v>-0.58622659271861</v>
      </c>
      <c r="FV35" s="3">
        <f ca="1">IFERROR(__xludf.DUMMYFUNCTION("""COMPUTED_VALUE"""),-0.470265928947719)</f>
        <v>-0.47026592894771901</v>
      </c>
      <c r="FW35" s="3">
        <f ca="1">IFERROR(__xludf.DUMMYFUNCTION("""COMPUTED_VALUE"""),-0.506198652767546)</f>
        <v>-0.50619865276754605</v>
      </c>
      <c r="FX35" s="3">
        <f ca="1">IFERROR(__xludf.DUMMYFUNCTION("""COMPUTED_VALUE"""),-0.616281927481698)</f>
        <v>-0.61628192748169797</v>
      </c>
      <c r="FY35" s="3">
        <f ca="1">IFERROR(__xludf.DUMMYFUNCTION("""COMPUTED_VALUE"""),-0.663860310941042)</f>
        <v>-0.66386031094104203</v>
      </c>
      <c r="FZ35" s="3">
        <f ca="1">IFERROR(__xludf.DUMMYFUNCTION("""COMPUTED_VALUE"""),-0.638184202463987)</f>
        <v>-0.63818420246398699</v>
      </c>
      <c r="GA35" s="3">
        <f ca="1">IFERROR(__xludf.DUMMYFUNCTION("""COMPUTED_VALUE"""),-0.659267967896237)</f>
        <v>-0.65926796789623698</v>
      </c>
      <c r="GB35" s="3">
        <f ca="1">IFERROR(__xludf.DUMMYFUNCTION("""COMPUTED_VALUE"""),-0.683837538282465)</f>
        <v>-0.68383753828246496</v>
      </c>
      <c r="GC35" s="3">
        <f ca="1">IFERROR(__xludf.DUMMYFUNCTION("""COMPUTED_VALUE"""),-0.69645388063147)</f>
        <v>-0.69645388063146996</v>
      </c>
      <c r="GD35" s="3">
        <f ca="1">IFERROR(__xludf.DUMMYFUNCTION("""COMPUTED_VALUE"""),-0.509944380190469)</f>
        <v>-0.50994438019046895</v>
      </c>
      <c r="GE35" s="3">
        <f ca="1">IFERROR(__xludf.DUMMYFUNCTION("""COMPUTED_VALUE"""),-0.59792469537472)</f>
        <v>-0.59792469537472004</v>
      </c>
      <c r="GF35" s="3">
        <f ca="1">IFERROR(__xludf.DUMMYFUNCTION("""COMPUTED_VALUE"""),-0.655667390056411)</f>
        <v>-0.65566739005641095</v>
      </c>
      <c r="GG35" s="3">
        <f ca="1">IFERROR(__xludf.DUMMYFUNCTION("""COMPUTED_VALUE"""),-0.660113801028516)</f>
        <v>-0.66011380102851602</v>
      </c>
      <c r="GH35" s="3">
        <f ca="1">IFERROR(__xludf.DUMMYFUNCTION("""COMPUTED_VALUE"""),-0.643552355668232)</f>
        <v>-0.64355235566823199</v>
      </c>
      <c r="GI35" s="3">
        <f ca="1">IFERROR(__xludf.DUMMYFUNCTION("""COMPUTED_VALUE"""),-0.611790025217605)</f>
        <v>-0.61179002521760495</v>
      </c>
      <c r="GJ35" s="3">
        <f ca="1">IFERROR(__xludf.DUMMYFUNCTION("""COMPUTED_VALUE"""),-0.521372610343706)</f>
        <v>-0.52137261034370597</v>
      </c>
      <c r="GK35" s="3">
        <f ca="1">IFERROR(__xludf.DUMMYFUNCTION("""COMPUTED_VALUE"""),-0.542197814393807)</f>
        <v>-0.54219781439380699</v>
      </c>
      <c r="GL35" s="3">
        <f ca="1">IFERROR(__xludf.DUMMYFUNCTION("""COMPUTED_VALUE"""),-0.55746015886958)</f>
        <v>-0.55746015886958</v>
      </c>
      <c r="GM35" s="3">
        <f ca="1">IFERROR(__xludf.DUMMYFUNCTION("""COMPUTED_VALUE"""),-0.649901337743437)</f>
        <v>-0.64990133774343695</v>
      </c>
      <c r="GN35" s="3">
        <f ca="1">IFERROR(__xludf.DUMMYFUNCTION("""COMPUTED_VALUE"""),-0.633903926986057)</f>
        <v>-0.63390392698605702</v>
      </c>
      <c r="GO35" s="3">
        <f ca="1">IFERROR(__xludf.DUMMYFUNCTION("""COMPUTED_VALUE"""),-0.594069135180653)</f>
        <v>-0.59406913518065296</v>
      </c>
      <c r="GP35" s="3">
        <f ca="1">IFERROR(__xludf.DUMMYFUNCTION("""COMPUTED_VALUE"""),-0.571544291036189)</f>
        <v>-0.57154429103618898</v>
      </c>
      <c r="GQ35" s="3">
        <f ca="1">IFERROR(__xludf.DUMMYFUNCTION("""COMPUTED_VALUE"""),-0.528891959796513)</f>
        <v>-0.52889195979651304</v>
      </c>
      <c r="GR35" s="3">
        <f ca="1">IFERROR(__xludf.DUMMYFUNCTION("""COMPUTED_VALUE"""),-0.549422235947115)</f>
        <v>-0.54942223594711503</v>
      </c>
      <c r="GS35" s="3">
        <f ca="1">IFERROR(__xludf.DUMMYFUNCTION("""COMPUTED_VALUE"""),-0.574642518228197)</f>
        <v>-0.57464251822819701</v>
      </c>
      <c r="GT35" s="3">
        <f ca="1">IFERROR(__xludf.DUMMYFUNCTION("""COMPUTED_VALUE"""),-0.660621538801777)</f>
        <v>-0.66062153880177699</v>
      </c>
      <c r="GU35" s="3">
        <f ca="1">IFERROR(__xludf.DUMMYFUNCTION("""COMPUTED_VALUE"""),-0.658942059426327)</f>
        <v>-0.658942059426327</v>
      </c>
      <c r="GV35" s="3">
        <f ca="1">IFERROR(__xludf.DUMMYFUNCTION("""COMPUTED_VALUE"""),-0.654626385929391)</f>
        <v>-0.65462638592939104</v>
      </c>
      <c r="GW35" s="3">
        <f ca="1">IFERROR(__xludf.DUMMYFUNCTION("""COMPUTED_VALUE"""),-0.657485609909527)</f>
        <v>-0.65748560990952698</v>
      </c>
      <c r="GX35" s="3">
        <f ca="1">IFERROR(__xludf.DUMMYFUNCTION("""COMPUTED_VALUE"""),-0.598884640757581)</f>
        <v>-0.59888464075758097</v>
      </c>
      <c r="GY35" s="3">
        <f ca="1">IFERROR(__xludf.DUMMYFUNCTION("""COMPUTED_VALUE"""),-0.516858546229146)</f>
        <v>-0.51685854622914595</v>
      </c>
      <c r="GZ35" s="3">
        <f ca="1">IFERROR(__xludf.DUMMYFUNCTION("""COMPUTED_VALUE"""),-0.593557207558823)</f>
        <v>-0.59355720755882302</v>
      </c>
      <c r="HA35" s="3">
        <f ca="1">IFERROR(__xludf.DUMMYFUNCTION("""COMPUTED_VALUE"""),-0.66347901503974)</f>
        <v>-0.66347901503974005</v>
      </c>
      <c r="HB35" s="3">
        <f ca="1">IFERROR(__xludf.DUMMYFUNCTION("""COMPUTED_VALUE"""),-0.64591618904593)</f>
        <v>-0.64591618904592996</v>
      </c>
      <c r="HC35" s="3">
        <f ca="1">IFERROR(__xludf.DUMMYFUNCTION("""COMPUTED_VALUE"""),-0.651563036612327)</f>
        <v>-0.65156303661232695</v>
      </c>
      <c r="HD35" s="3">
        <f ca="1">IFERROR(__xludf.DUMMYFUNCTION("""COMPUTED_VALUE"""),-0.642563336789974)</f>
        <v>-0.64256333678997402</v>
      </c>
      <c r="HE35" s="3">
        <f ca="1">IFERROR(__xludf.DUMMYFUNCTION("""COMPUTED_VALUE"""),-0.568606182968234)</f>
        <v>-0.56860618296823395</v>
      </c>
      <c r="HF35" s="3">
        <f ca="1">IFERROR(__xludf.DUMMYFUNCTION("""COMPUTED_VALUE"""),-0.551892481994748)</f>
        <v>-0.55189248199474805</v>
      </c>
      <c r="HG35" s="3">
        <f ca="1">IFERROR(__xludf.DUMMYFUNCTION("""COMPUTED_VALUE"""),-0.581239551803098)</f>
        <v>-0.58123955180309805</v>
      </c>
      <c r="HH35" s="3">
        <f ca="1">IFERROR(__xludf.DUMMYFUNCTION("""COMPUTED_VALUE"""),-0.622449149035926)</f>
        <v>-0.62244914903592596</v>
      </c>
      <c r="HI35" s="3">
        <f ca="1">IFERROR(__xludf.DUMMYFUNCTION("""COMPUTED_VALUE"""),-0.647283570293932)</f>
        <v>-0.64728357029393202</v>
      </c>
      <c r="HJ35" s="3">
        <f ca="1">IFERROR(__xludf.DUMMYFUNCTION("""COMPUTED_VALUE"""),-0.636346668986031)</f>
        <v>-0.63634666898603098</v>
      </c>
      <c r="HK35" s="3">
        <f ca="1">IFERROR(__xludf.DUMMYFUNCTION("""COMPUTED_VALUE"""),-0.666626184534078)</f>
        <v>-0.66662618453407796</v>
      </c>
      <c r="HL35" s="3">
        <f ca="1">IFERROR(__xludf.DUMMYFUNCTION("""COMPUTED_VALUE"""),-0.731696009841683)</f>
        <v>-0.73169600984168304</v>
      </c>
      <c r="HM35" s="3">
        <f ca="1">IFERROR(__xludf.DUMMYFUNCTION("""COMPUTED_VALUE"""),-0.544250704560098)</f>
        <v>-0.54425070456009805</v>
      </c>
      <c r="HN35" s="3">
        <f ca="1">IFERROR(__xludf.DUMMYFUNCTION("""COMPUTED_VALUE"""),-0.535041007456164)</f>
        <v>-0.53504100745616401</v>
      </c>
      <c r="HO35" s="3">
        <f ca="1">IFERROR(__xludf.DUMMYFUNCTION("""COMPUTED_VALUE"""),-0.604063165521489)</f>
        <v>-0.60406316552148898</v>
      </c>
      <c r="HP35" s="3">
        <f ca="1">IFERROR(__xludf.DUMMYFUNCTION("""COMPUTED_VALUE"""),-0.632656942641243)</f>
        <v>-0.63265694264124295</v>
      </c>
      <c r="HQ35" s="3">
        <f ca="1">IFERROR(__xludf.DUMMYFUNCTION("""COMPUTED_VALUE"""),-0.644905186763331)</f>
        <v>-0.64490518676333097</v>
      </c>
      <c r="HR35" s="3">
        <f ca="1">IFERROR(__xludf.DUMMYFUNCTION("""COMPUTED_VALUE"""),-0.608359455010644)</f>
        <v>-0.60835945501064403</v>
      </c>
      <c r="HS35" s="3">
        <f ca="1">IFERROR(__xludf.DUMMYFUNCTION("""COMPUTED_VALUE"""),-0.487166632784734)</f>
        <v>-0.48716663278473399</v>
      </c>
      <c r="HT35" s="3">
        <f ca="1">IFERROR(__xludf.DUMMYFUNCTION("""COMPUTED_VALUE"""),-0.481587955077527)</f>
        <v>-0.481587955077527</v>
      </c>
      <c r="HU35" s="3">
        <f ca="1">IFERROR(__xludf.DUMMYFUNCTION("""COMPUTED_VALUE"""),-0.594445882784492)</f>
        <v>-0.59444588278449195</v>
      </c>
      <c r="HV35" s="3">
        <f ca="1">IFERROR(__xludf.DUMMYFUNCTION("""COMPUTED_VALUE"""),-0.644380162886358)</f>
        <v>-0.64438016288635802</v>
      </c>
      <c r="HW35" s="3">
        <f ca="1">IFERROR(__xludf.DUMMYFUNCTION("""COMPUTED_VALUE"""),-0.665946366613664)</f>
        <v>-0.66594636661366402</v>
      </c>
      <c r="HX35" s="3">
        <f ca="1">IFERROR(__xludf.DUMMYFUNCTION("""COMPUTED_VALUE"""),-0.680057970431417)</f>
        <v>-0.68005797043141702</v>
      </c>
      <c r="HY35" s="3">
        <f ca="1">IFERROR(__xludf.DUMMYFUNCTION("""COMPUTED_VALUE"""),-0.625878195387507)</f>
        <v>-0.625878195387507</v>
      </c>
      <c r="HZ35" s="3">
        <f ca="1">IFERROR(__xludf.DUMMYFUNCTION("""COMPUTED_VALUE"""),-0.499618922960054)</f>
        <v>-0.499618922960054</v>
      </c>
      <c r="IA35" s="3">
        <f ca="1">IFERROR(__xludf.DUMMYFUNCTION("""COMPUTED_VALUE"""),-0.543021210952177)</f>
        <v>-0.54302121095217704</v>
      </c>
      <c r="IB35" s="3">
        <f ca="1">IFERROR(__xludf.DUMMYFUNCTION("""COMPUTED_VALUE"""),-0.543335059429529)</f>
        <v>-0.54333505942952898</v>
      </c>
      <c r="IC35" s="3">
        <f ca="1">IFERROR(__xludf.DUMMYFUNCTION("""COMPUTED_VALUE"""),-0.565629116414778)</f>
        <v>-0.56562911641477798</v>
      </c>
      <c r="ID35" s="3">
        <f ca="1">IFERROR(__xludf.DUMMYFUNCTION("""COMPUTED_VALUE"""),-0.571376512298285)</f>
        <v>-0.57137651229828501</v>
      </c>
      <c r="IE35" s="3">
        <f ca="1">IFERROR(__xludf.DUMMYFUNCTION("""COMPUTED_VALUE"""),-0.57422456601077)</f>
        <v>-0.57422456601076999</v>
      </c>
      <c r="IF35" s="3">
        <f ca="1">IFERROR(__xludf.DUMMYFUNCTION("""COMPUTED_VALUE"""),-0.584129429923214)</f>
        <v>-0.58412942992321404</v>
      </c>
      <c r="IG35" s="3">
        <f ca="1">IFERROR(__xludf.DUMMYFUNCTION("""COMPUTED_VALUE"""),-0.540764789334995)</f>
        <v>-0.54076478933499506</v>
      </c>
      <c r="IH35" s="3">
        <f ca="1">IFERROR(__xludf.DUMMYFUNCTION("""COMPUTED_VALUE"""),-0.5906124764887)</f>
        <v>-0.59061247648869997</v>
      </c>
      <c r="II35" s="3">
        <f ca="1">IFERROR(__xludf.DUMMYFUNCTION("""COMPUTED_VALUE"""),-0.581727978123581)</f>
        <v>-0.58172797812358101</v>
      </c>
      <c r="IJ35" s="3">
        <f ca="1">IFERROR(__xludf.DUMMYFUNCTION("""COMPUTED_VALUE"""),-0.543557742664815)</f>
        <v>-0.54355774266481505</v>
      </c>
      <c r="IK35" s="3">
        <f ca="1">IFERROR(__xludf.DUMMYFUNCTION("""COMPUTED_VALUE"""),-0.550132908205973)</f>
        <v>-0.55013290820597305</v>
      </c>
      <c r="IL35" s="3">
        <f ca="1">IFERROR(__xludf.DUMMYFUNCTION("""COMPUTED_VALUE"""),-0.571801906367173)</f>
        <v>-0.57180190636717299</v>
      </c>
      <c r="IM35" s="3">
        <f ca="1">IFERROR(__xludf.DUMMYFUNCTION("""COMPUTED_VALUE"""),-0.509088225510173)</f>
        <v>-0.50908822551017296</v>
      </c>
      <c r="IN35" s="3">
        <f ca="1">IFERROR(__xludf.DUMMYFUNCTION("""COMPUTED_VALUE"""),-0.470220915091071)</f>
        <v>-0.470220915091071</v>
      </c>
      <c r="IO35" s="3">
        <f ca="1">IFERROR(__xludf.DUMMYFUNCTION("""COMPUTED_VALUE"""),-0.586697416819874)</f>
        <v>-0.58669741681987397</v>
      </c>
      <c r="IP35" s="3">
        <f ca="1">IFERROR(__xludf.DUMMYFUNCTION("""COMPUTED_VALUE"""),-0.546109320658133)</f>
        <v>-0.546109320658133</v>
      </c>
      <c r="IQ35" s="3">
        <f ca="1">IFERROR(__xludf.DUMMYFUNCTION("""COMPUTED_VALUE"""),-0.602843068405335)</f>
        <v>-0.60284306840533497</v>
      </c>
      <c r="IR35" s="3">
        <f ca="1">IFERROR(__xludf.DUMMYFUNCTION("""COMPUTED_VALUE"""),-0.548662119288452)</f>
        <v>-0.54866211928845199</v>
      </c>
      <c r="IS35" s="3">
        <f ca="1">IFERROR(__xludf.DUMMYFUNCTION("""COMPUTED_VALUE"""),-0.53070970963775)</f>
        <v>-0.53070970963774999</v>
      </c>
      <c r="IT35" s="3">
        <f ca="1">IFERROR(__xludf.DUMMYFUNCTION("""COMPUTED_VALUE"""),-0.594401859546585)</f>
        <v>-0.59440185954658498</v>
      </c>
      <c r="IU35" s="3">
        <f ca="1">IFERROR(__xludf.DUMMYFUNCTION("""COMPUTED_VALUE"""),-0.681392291206821)</f>
        <v>-0.68139229120682099</v>
      </c>
      <c r="IV35" s="3">
        <f ca="1">IFERROR(__xludf.DUMMYFUNCTION("""COMPUTED_VALUE"""),-0.559989271960896)</f>
        <v>-0.55998927196089598</v>
      </c>
      <c r="IW35" s="3">
        <f ca="1">IFERROR(__xludf.DUMMYFUNCTION("""COMPUTED_VALUE"""),-0.525204783844958)</f>
        <v>-0.52520478384495795</v>
      </c>
      <c r="IX35" s="3">
        <f ca="1">IFERROR(__xludf.DUMMYFUNCTION("""COMPUTED_VALUE"""),-0.567336315352384)</f>
        <v>-0.56733631535238405</v>
      </c>
      <c r="IY35" s="3">
        <f ca="1">IFERROR(__xludf.DUMMYFUNCTION("""COMPUTED_VALUE"""),-0.560159649033448)</f>
        <v>-0.56015964903344795</v>
      </c>
      <c r="IZ35" s="3">
        <f ca="1">IFERROR(__xludf.DUMMYFUNCTION("""COMPUTED_VALUE"""),-0.562024487605565)</f>
        <v>-0.562024487605565</v>
      </c>
      <c r="JA35" s="3">
        <f ca="1">IFERROR(__xludf.DUMMYFUNCTION("""COMPUTED_VALUE"""),-0.528998052909592)</f>
        <v>-0.52899805290959201</v>
      </c>
      <c r="JB35" s="3">
        <f ca="1">IFERROR(__xludf.DUMMYFUNCTION("""COMPUTED_VALUE"""),-0.513185517009729)</f>
        <v>-0.51318551700972903</v>
      </c>
      <c r="JC35" s="3">
        <f ca="1">IFERROR(__xludf.DUMMYFUNCTION("""COMPUTED_VALUE"""),-0.57551597192113)</f>
        <v>-0.57551597192113002</v>
      </c>
      <c r="JD35" s="3">
        <f ca="1">IFERROR(__xludf.DUMMYFUNCTION("""COMPUTED_VALUE"""),-0.55236427200892)</f>
        <v>-0.55236427200892002</v>
      </c>
      <c r="JE35" s="3">
        <f ca="1">IFERROR(__xludf.DUMMYFUNCTION("""COMPUTED_VALUE"""),-0.563253297783195)</f>
        <v>-0.56325329778319499</v>
      </c>
      <c r="JF35" s="3">
        <f ca="1">IFERROR(__xludf.DUMMYFUNCTION("""COMPUTED_VALUE"""),-0.584606396002921)</f>
        <v>-0.58460639600292097</v>
      </c>
      <c r="JG35" s="3">
        <f ca="1">IFERROR(__xludf.DUMMYFUNCTION("""COMPUTED_VALUE"""),-0.602135410837008)</f>
        <v>-0.60213541083700794</v>
      </c>
      <c r="JH35" s="3">
        <f ca="1">IFERROR(__xludf.DUMMYFUNCTION("""COMPUTED_VALUE"""),-0.602005340774815)</f>
        <v>-0.60200534077481505</v>
      </c>
      <c r="JI35" s="3">
        <f ca="1">IFERROR(__xludf.DUMMYFUNCTION("""COMPUTED_VALUE"""),-0.546063387888394)</f>
        <v>-0.54606338788839404</v>
      </c>
      <c r="JJ35" s="3">
        <f ca="1">IFERROR(__xludf.DUMMYFUNCTION("""COMPUTED_VALUE"""),-0.572717955968403)</f>
        <v>-0.57271795596840303</v>
      </c>
      <c r="JK35" s="3">
        <f ca="1">IFERROR(__xludf.DUMMYFUNCTION("""COMPUTED_VALUE"""),-0.544561427243653)</f>
        <v>-0.54456142724365297</v>
      </c>
      <c r="JL35" s="3">
        <f ca="1">IFERROR(__xludf.DUMMYFUNCTION("""COMPUTED_VALUE"""),-0.591701919580683)</f>
        <v>-0.59170191958068297</v>
      </c>
      <c r="JM35" s="3">
        <f ca="1">IFERROR(__xludf.DUMMYFUNCTION("""COMPUTED_VALUE"""),-0.623941250487382)</f>
        <v>-0.62394125048738203</v>
      </c>
      <c r="JN35" s="3">
        <f ca="1">IFERROR(__xludf.DUMMYFUNCTION("""COMPUTED_VALUE"""),-0.605850102850345)</f>
        <v>-0.60585010285034502</v>
      </c>
      <c r="JO35" s="3">
        <f ca="1">IFERROR(__xludf.DUMMYFUNCTION("""COMPUTED_VALUE"""),-0.636811507524952)</f>
        <v>-0.63681150752495197</v>
      </c>
      <c r="JP35" s="3">
        <f ca="1">IFERROR(__xludf.DUMMYFUNCTION("""COMPUTED_VALUE"""),-0.613587899939703)</f>
        <v>-0.61358789993970297</v>
      </c>
      <c r="JQ35" s="3">
        <f ca="1">IFERROR(__xludf.DUMMYFUNCTION("""COMPUTED_VALUE"""),-0.641225812746085)</f>
        <v>-0.64122581274608503</v>
      </c>
      <c r="JR35" s="3">
        <f ca="1">IFERROR(__xludf.DUMMYFUNCTION("""COMPUTED_VALUE"""),-0.597985466583022)</f>
        <v>-0.59798546658302199</v>
      </c>
      <c r="JS35" s="3">
        <f ca="1">IFERROR(__xludf.DUMMYFUNCTION("""COMPUTED_VALUE"""),-0.661901498084496)</f>
        <v>-0.66190149808449605</v>
      </c>
      <c r="JT35" s="3">
        <f ca="1">IFERROR(__xludf.DUMMYFUNCTION("""COMPUTED_VALUE"""),-0.643437989258706)</f>
        <v>-0.64343798925870599</v>
      </c>
      <c r="JU35" s="3">
        <f ca="1">IFERROR(__xludf.DUMMYFUNCTION("""COMPUTED_VALUE"""),-0.64829973072181)</f>
        <v>-0.64829973072181002</v>
      </c>
      <c r="JV35" s="3">
        <f ca="1">IFERROR(__xludf.DUMMYFUNCTION("""COMPUTED_VALUE"""),-0.613842171969448)</f>
        <v>-0.61384217196944801</v>
      </c>
      <c r="JW35" s="3">
        <f ca="1">IFERROR(__xludf.DUMMYFUNCTION("""COMPUTED_VALUE"""),-0.56920349256791)</f>
        <v>-0.56920349256791003</v>
      </c>
      <c r="JX35" s="3">
        <f ca="1">IFERROR(__xludf.DUMMYFUNCTION("""COMPUTED_VALUE"""),-0.596986578861997)</f>
        <v>-0.59698657886199702</v>
      </c>
      <c r="JY35" s="3">
        <f ca="1">IFERROR(__xludf.DUMMYFUNCTION("""COMPUTED_VALUE"""),-0.580476290645116)</f>
        <v>-0.58047629064511597</v>
      </c>
      <c r="JZ35" s="3">
        <f ca="1">IFERROR(__xludf.DUMMYFUNCTION("""COMPUTED_VALUE"""),-0.644961292197592)</f>
        <v>-0.64496129219759202</v>
      </c>
      <c r="KA35" s="3">
        <f ca="1">IFERROR(__xludf.DUMMYFUNCTION("""COMPUTED_VALUE"""),-0.730800803969079)</f>
        <v>-0.73080080396907898</v>
      </c>
      <c r="KB35" s="3">
        <f ca="1">IFERROR(__xludf.DUMMYFUNCTION("""COMPUTED_VALUE"""),-0.790142227991988)</f>
        <v>-0.79014222799198797</v>
      </c>
      <c r="KC35" s="3">
        <f ca="1">IFERROR(__xludf.DUMMYFUNCTION("""COMPUTED_VALUE"""),-0.670050507766876)</f>
        <v>-0.67005050776687602</v>
      </c>
      <c r="KD35" s="3">
        <f ca="1">IFERROR(__xludf.DUMMYFUNCTION("""COMPUTED_VALUE"""),-0.569046471113038)</f>
        <v>-0.56904647111303797</v>
      </c>
      <c r="KE35" s="3">
        <f ca="1">IFERROR(__xludf.DUMMYFUNCTION("""COMPUTED_VALUE"""),-0.570207328619608)</f>
        <v>-0.57020732861960799</v>
      </c>
      <c r="KF35" s="3">
        <f ca="1">IFERROR(__xludf.DUMMYFUNCTION("""COMPUTED_VALUE"""),-0.616827096918404)</f>
        <v>-0.61682709691840398</v>
      </c>
      <c r="KG35" s="3">
        <f ca="1">IFERROR(__xludf.DUMMYFUNCTION("""COMPUTED_VALUE"""),-0.674411478564153)</f>
        <v>-0.67441147856415296</v>
      </c>
      <c r="KH35" s="3">
        <f ca="1">IFERROR(__xludf.DUMMYFUNCTION("""COMPUTED_VALUE"""),-0.713274668703222)</f>
        <v>-0.71327466870322198</v>
      </c>
      <c r="KI35" s="3">
        <f ca="1">IFERROR(__xludf.DUMMYFUNCTION("""COMPUTED_VALUE"""),-0.716086478901691)</f>
        <v>-0.71608647890169097</v>
      </c>
      <c r="KJ35" s="3">
        <f ca="1">IFERROR(__xludf.DUMMYFUNCTION("""COMPUTED_VALUE"""),-0.676659932368942)</f>
        <v>-0.67665993236894195</v>
      </c>
      <c r="KK35" s="3">
        <f ca="1">IFERROR(__xludf.DUMMYFUNCTION("""COMPUTED_VALUE"""),-0.602129913134432)</f>
        <v>-0.60212991313443198</v>
      </c>
      <c r="KL35" s="3">
        <f ca="1">IFERROR(__xludf.DUMMYFUNCTION("""COMPUTED_VALUE"""),-0.673520773095964)</f>
        <v>-0.67352077309596403</v>
      </c>
      <c r="KM35" s="3">
        <f ca="1">IFERROR(__xludf.DUMMYFUNCTION("""COMPUTED_VALUE"""),-0.572166734230855)</f>
        <v>-0.57216673423085496</v>
      </c>
      <c r="KN35" s="3">
        <f ca="1">IFERROR(__xludf.DUMMYFUNCTION("""COMPUTED_VALUE"""),-0.677259189322289)</f>
        <v>-0.67725918932228901</v>
      </c>
      <c r="KO35" s="3">
        <f ca="1">IFERROR(__xludf.DUMMYFUNCTION("""COMPUTED_VALUE"""),-0.717166414358151)</f>
        <v>-0.71716641435815098</v>
      </c>
      <c r="KP35" s="3">
        <f ca="1">IFERROR(__xludf.DUMMYFUNCTION("""COMPUTED_VALUE"""),-0.721515520123653)</f>
        <v>-0.72151552012365305</v>
      </c>
      <c r="KQ35" s="3">
        <f ca="1">IFERROR(__xludf.DUMMYFUNCTION("""COMPUTED_VALUE"""),-0.719409613152095)</f>
        <v>-0.71940961315209495</v>
      </c>
      <c r="KR35" s="3">
        <f ca="1">IFERROR(__xludf.DUMMYFUNCTION("""COMPUTED_VALUE"""),-0.697254665594756)</f>
        <v>-0.69725466559475602</v>
      </c>
      <c r="KS35" s="3">
        <f ca="1">IFERROR(__xludf.DUMMYFUNCTION("""COMPUTED_VALUE"""),-0.53709151504042)</f>
        <v>-0.53709151504041996</v>
      </c>
      <c r="KT35" s="3">
        <f ca="1">IFERROR(__xludf.DUMMYFUNCTION("""COMPUTED_VALUE"""),-0.582987900506772)</f>
        <v>-0.58298790050677196</v>
      </c>
      <c r="KU35" s="3">
        <f ca="1">IFERROR(__xludf.DUMMYFUNCTION("""COMPUTED_VALUE"""),-0.671773086400221)</f>
        <v>-0.67177308640022104</v>
      </c>
      <c r="KV35" s="3">
        <f ca="1">IFERROR(__xludf.DUMMYFUNCTION("""COMPUTED_VALUE"""),-0.705167141363003)</f>
        <v>-0.70516714136300296</v>
      </c>
      <c r="KW35" s="3">
        <f ca="1">IFERROR(__xludf.DUMMYFUNCTION("""COMPUTED_VALUE"""),-0.694807999050973)</f>
        <v>-0.69480799905097301</v>
      </c>
      <c r="KX35" s="3">
        <f ca="1">IFERROR(__xludf.DUMMYFUNCTION("""COMPUTED_VALUE"""),-0.733906136025713)</f>
        <v>-0.73390613602571297</v>
      </c>
      <c r="KY35" s="3">
        <f ca="1">IFERROR(__xludf.DUMMYFUNCTION("""COMPUTED_VALUE"""),-0.694854123454844)</f>
        <v>-0.69485412345484399</v>
      </c>
      <c r="KZ35" s="3">
        <f ca="1">IFERROR(__xludf.DUMMYFUNCTION("""COMPUTED_VALUE"""),-0.706428068245881)</f>
        <v>-0.706428068245881</v>
      </c>
      <c r="LA35" s="3">
        <f ca="1">IFERROR(__xludf.DUMMYFUNCTION("""COMPUTED_VALUE"""),-0.667228769891953)</f>
        <v>-0.66722876989195301</v>
      </c>
      <c r="LB35" s="3">
        <f ca="1">IFERROR(__xludf.DUMMYFUNCTION("""COMPUTED_VALUE"""),-0.700419539341892)</f>
        <v>-0.70041953934189205</v>
      </c>
      <c r="LC35" s="3">
        <f ca="1">IFERROR(__xludf.DUMMYFUNCTION("""COMPUTED_VALUE"""),-0.721045265232284)</f>
        <v>-0.72104526523228396</v>
      </c>
      <c r="LD35" s="3">
        <f ca="1">IFERROR(__xludf.DUMMYFUNCTION("""COMPUTED_VALUE"""),-0.721388706458856)</f>
        <v>-0.721388706458856</v>
      </c>
      <c r="LE35" s="3">
        <f ca="1">IFERROR(__xludf.DUMMYFUNCTION("""COMPUTED_VALUE"""),-0.687526160450642)</f>
        <v>-0.68752616045064197</v>
      </c>
      <c r="LF35" s="3">
        <f ca="1">IFERROR(__xludf.DUMMYFUNCTION("""COMPUTED_VALUE"""),-0.670031174353549)</f>
        <v>-0.67003117435354898</v>
      </c>
      <c r="LG35" s="3">
        <f ca="1">IFERROR(__xludf.DUMMYFUNCTION("""COMPUTED_VALUE"""),-0.662738440619921)</f>
        <v>-0.66273844061992104</v>
      </c>
      <c r="LH35" s="3">
        <f ca="1">IFERROR(__xludf.DUMMYFUNCTION("""COMPUTED_VALUE"""),-0.623354197667212)</f>
        <v>-0.62335419766721201</v>
      </c>
      <c r="LI35" s="3">
        <f ca="1">IFERROR(__xludf.DUMMYFUNCTION("""COMPUTED_VALUE"""),-0.730408763018421)</f>
        <v>-0.73040876301842095</v>
      </c>
      <c r="LJ35" s="3">
        <f ca="1">IFERROR(__xludf.DUMMYFUNCTION("""COMPUTED_VALUE"""),-0.738445431885895)</f>
        <v>-0.73844543188589495</v>
      </c>
      <c r="LK35" s="3">
        <f ca="1">IFERROR(__xludf.DUMMYFUNCTION("""COMPUTED_VALUE"""),-0.745269580780001)</f>
        <v>-0.74526958078000105</v>
      </c>
      <c r="LL35" s="3">
        <f ca="1">IFERROR(__xludf.DUMMYFUNCTION("""COMPUTED_VALUE"""),-0.720149125006226)</f>
        <v>-0.72014912500622597</v>
      </c>
      <c r="LM35" s="3">
        <f ca="1">IFERROR(__xludf.DUMMYFUNCTION("""COMPUTED_VALUE"""),-0.648395374484107)</f>
        <v>-0.648395374484107</v>
      </c>
      <c r="LN35" s="3">
        <f ca="1">IFERROR(__xludf.DUMMYFUNCTION("""COMPUTED_VALUE"""),-0.647651221784896)</f>
        <v>-0.64765122178489598</v>
      </c>
      <c r="LO35" s="3">
        <f ca="1">IFERROR(__xludf.DUMMYFUNCTION("""COMPUTED_VALUE"""),-0.688815727217267)</f>
        <v>-0.68881572721726703</v>
      </c>
      <c r="LP35" s="3">
        <f ca="1">IFERROR(__xludf.DUMMYFUNCTION("""COMPUTED_VALUE"""),-0.77635376322756)</f>
        <v>-0.77635376322756</v>
      </c>
      <c r="LQ35" s="3">
        <f ca="1">IFERROR(__xludf.DUMMYFUNCTION("""COMPUTED_VALUE"""),-0.806617977292261)</f>
        <v>-0.80661797729226103</v>
      </c>
      <c r="LR35" s="3">
        <f ca="1">IFERROR(__xludf.DUMMYFUNCTION("""COMPUTED_VALUE"""),-0.772005130708098)</f>
        <v>-0.77200513070809795</v>
      </c>
      <c r="LS35" s="3">
        <f ca="1">IFERROR(__xludf.DUMMYFUNCTION("""COMPUTED_VALUE"""),-0.749704796631824)</f>
        <v>-0.74970479663182399</v>
      </c>
      <c r="LT35" s="3">
        <f ca="1">IFERROR(__xludf.DUMMYFUNCTION("""COMPUTED_VALUE"""),-0.729208992894904)</f>
        <v>-0.72920899289490404</v>
      </c>
      <c r="LU35" s="3">
        <f ca="1">IFERROR(__xludf.DUMMYFUNCTION("""COMPUTED_VALUE"""),-0.687262336206737)</f>
        <v>-0.68726233620673705</v>
      </c>
      <c r="LV35" s="3">
        <f ca="1">IFERROR(__xludf.DUMMYFUNCTION("""COMPUTED_VALUE"""),-0.683405184448166)</f>
        <v>-0.683405184448166</v>
      </c>
      <c r="LW35" s="3">
        <f ca="1">IFERROR(__xludf.DUMMYFUNCTION("""COMPUTED_VALUE"""),-0.784760918170432)</f>
        <v>-0.78476091817043203</v>
      </c>
      <c r="LX35" s="3">
        <f ca="1">IFERROR(__xludf.DUMMYFUNCTION("""COMPUTED_VALUE"""),-0.795481867811322)</f>
        <v>-0.79548186781132202</v>
      </c>
      <c r="LY35" s="3">
        <f ca="1">IFERROR(__xludf.DUMMYFUNCTION("""COMPUTED_VALUE"""),-0.79279270523421)</f>
        <v>-0.79279270523420997</v>
      </c>
      <c r="LZ35" s="3">
        <f ca="1">IFERROR(__xludf.DUMMYFUNCTION("""COMPUTED_VALUE"""),-0.773046863435458)</f>
        <v>-0.77304686343545803</v>
      </c>
      <c r="MA35" s="3">
        <f ca="1">IFERROR(__xludf.DUMMYFUNCTION("""COMPUTED_VALUE"""),-0.72211557513447)</f>
        <v>-0.72211557513447</v>
      </c>
      <c r="MB35" s="3">
        <f ca="1">IFERROR(__xludf.DUMMYFUNCTION("""COMPUTED_VALUE"""),-0.761836108938913)</f>
        <v>-0.76183610893891296</v>
      </c>
      <c r="MC35" s="3">
        <f ca="1">IFERROR(__xludf.DUMMYFUNCTION("""COMPUTED_VALUE"""),-0.765098689973978)</f>
        <v>-0.76509868997397801</v>
      </c>
      <c r="MD35" s="3">
        <f ca="1">IFERROR(__xludf.DUMMYFUNCTION("""COMPUTED_VALUE"""),-0.799607735486339)</f>
        <v>-0.79960773548633901</v>
      </c>
      <c r="ME35" s="3">
        <f ca="1">IFERROR(__xludf.DUMMYFUNCTION("""COMPUTED_VALUE"""),-0.825941912481998)</f>
        <v>-0.825941912481998</v>
      </c>
      <c r="MF35" s="3">
        <f ca="1">IFERROR(__xludf.DUMMYFUNCTION("""COMPUTED_VALUE"""),-0.807836868423507)</f>
        <v>-0.80783686842350699</v>
      </c>
      <c r="MG35" s="3">
        <f ca="1">IFERROR(__xludf.DUMMYFUNCTION("""COMPUTED_VALUE"""),-0.804134676344245)</f>
        <v>-0.80413467634424496</v>
      </c>
      <c r="MH35" s="3">
        <f ca="1">IFERROR(__xludf.DUMMYFUNCTION("""COMPUTED_VALUE"""),-0.813354533453246)</f>
        <v>-0.81335453345324604</v>
      </c>
      <c r="MI35" s="3">
        <f ca="1">IFERROR(__xludf.DUMMYFUNCTION("""COMPUTED_VALUE"""),-0.785866796476667)</f>
        <v>-0.78586679647666702</v>
      </c>
      <c r="MJ35" s="3">
        <f ca="1">IFERROR(__xludf.DUMMYFUNCTION("""COMPUTED_VALUE"""),-0.761512531859917)</f>
        <v>-0.76151253185991696</v>
      </c>
      <c r="MK35" s="3">
        <f ca="1">IFERROR(__xludf.DUMMYFUNCTION("""COMPUTED_VALUE"""),-0.826686795649654)</f>
        <v>-0.82668679564965397</v>
      </c>
      <c r="ML35" s="3">
        <f ca="1">IFERROR(__xludf.DUMMYFUNCTION("""COMPUTED_VALUE"""),-0.831461929219923)</f>
        <v>-0.83146192921992301</v>
      </c>
      <c r="MM35" s="3">
        <f ca="1">IFERROR(__xludf.DUMMYFUNCTION("""COMPUTED_VALUE"""),-0.823575673977232)</f>
        <v>-0.82357567397723197</v>
      </c>
      <c r="MN35" s="3">
        <f ca="1">IFERROR(__xludf.DUMMYFUNCTION("""COMPUTED_VALUE"""),-0.81379111160619)</f>
        <v>-0.81379111160619</v>
      </c>
      <c r="MO35" s="3">
        <f ca="1">IFERROR(__xludf.DUMMYFUNCTION("""COMPUTED_VALUE"""),-0.78465651348358)</f>
        <v>-0.78465651348358001</v>
      </c>
      <c r="MP35" s="3">
        <f ca="1">IFERROR(__xludf.DUMMYFUNCTION("""COMPUTED_VALUE"""),-0.783605777183848)</f>
        <v>-0.78360577718384805</v>
      </c>
      <c r="MQ35" s="3">
        <f ca="1">IFERROR(__xludf.DUMMYFUNCTION("""COMPUTED_VALUE"""),-0.777479833190883)</f>
        <v>-0.77747983319088299</v>
      </c>
      <c r="MR35" s="3">
        <f ca="1">IFERROR(__xludf.DUMMYFUNCTION("""COMPUTED_VALUE"""),-0.814166087884006)</f>
        <v>-0.81416608788400602</v>
      </c>
      <c r="MS35" s="3">
        <f ca="1">IFERROR(__xludf.DUMMYFUNCTION("""COMPUTED_VALUE"""),-0.841179523029063)</f>
        <v>-0.84117952302906296</v>
      </c>
      <c r="MT35" s="3">
        <f ca="1">IFERROR(__xludf.DUMMYFUNCTION("""COMPUTED_VALUE"""),-0.83646845236311)</f>
        <v>-0.83646845236310996</v>
      </c>
      <c r="MU35" s="3">
        <f ca="1">IFERROR(__xludf.DUMMYFUNCTION("""COMPUTED_VALUE"""),-0.820723674372864)</f>
        <v>-0.82072367437286398</v>
      </c>
      <c r="MV35" s="3">
        <f ca="1">IFERROR(__xludf.DUMMYFUNCTION("""COMPUTED_VALUE"""),-0.765822426976942)</f>
        <v>-0.76582242697694203</v>
      </c>
      <c r="MW35" s="3">
        <f ca="1">IFERROR(__xludf.DUMMYFUNCTION("""COMPUTED_VALUE"""),-0.747003848813555)</f>
        <v>-0.74700384881355497</v>
      </c>
      <c r="MX35" s="3">
        <f ca="1">IFERROR(__xludf.DUMMYFUNCTION("""COMPUTED_VALUE"""),-0.781636124768228)</f>
        <v>-0.78163612476822797</v>
      </c>
      <c r="MY35" s="3">
        <f ca="1">IFERROR(__xludf.DUMMYFUNCTION("""COMPUTED_VALUE"""),-0.827269770462384)</f>
        <v>-0.82726977046238404</v>
      </c>
      <c r="MZ35" s="3">
        <f ca="1">IFERROR(__xludf.DUMMYFUNCTION("""COMPUTED_VALUE"""),-0.845861098382963)</f>
        <v>-0.84586109838296297</v>
      </c>
      <c r="NA35" s="3">
        <f ca="1">IFERROR(__xludf.DUMMYFUNCTION("""COMPUTED_VALUE"""),-0.850495467308077)</f>
        <v>-0.85049546730807701</v>
      </c>
      <c r="NB35" s="3">
        <f ca="1">IFERROR(__xludf.DUMMYFUNCTION("""COMPUTED_VALUE"""),-0.830856690721909)</f>
        <v>-0.83085669072190904</v>
      </c>
      <c r="NC35" s="3">
        <f ca="1">IFERROR(__xludf.DUMMYFUNCTION("""COMPUTED_VALUE"""),-0.796409357276175)</f>
        <v>-0.79640935727617501</v>
      </c>
      <c r="ND35" s="3">
        <f ca="1">IFERROR(__xludf.DUMMYFUNCTION("""COMPUTED_VALUE"""),-0.837202051439527)</f>
        <v>-0.83720205143952697</v>
      </c>
      <c r="NE35" s="3">
        <f ca="1">IFERROR(__xludf.DUMMYFUNCTION("""COMPUTED_VALUE"""),-0.866878776118906)</f>
        <v>-0.86687877611890596</v>
      </c>
      <c r="NF35" s="3">
        <f ca="1">IFERROR(__xludf.DUMMYFUNCTION("""COMPUTED_VALUE"""),-0.892183857190328)</f>
        <v>-0.892183857190328</v>
      </c>
      <c r="NG35" s="3">
        <f ca="1">IFERROR(__xludf.DUMMYFUNCTION("""COMPUTED_VALUE"""),-0.854372102115032)</f>
        <v>-0.85437210211503201</v>
      </c>
      <c r="NH35" s="3">
        <f ca="1">IFERROR(__xludf.DUMMYFUNCTION("""COMPUTED_VALUE"""),-0.837274432886378)</f>
        <v>-0.83727443288637804</v>
      </c>
      <c r="NI35" s="3">
        <f ca="1">IFERROR(__xludf.DUMMYFUNCTION("""COMPUTED_VALUE"""),-0.84678512201282)</f>
        <v>-0.84678512201281997</v>
      </c>
      <c r="NJ35" s="3">
        <f ca="1">IFERROR(__xludf.DUMMYFUNCTION("""COMPUTED_VALUE"""),-0.792646199422105)</f>
        <v>-0.79264619942210501</v>
      </c>
      <c r="NK35" s="3">
        <f ca="1">IFERROR(__xludf.DUMMYFUNCTION("""COMPUTED_VALUE"""),-0.794475996866483)</f>
        <v>-0.79447599686648296</v>
      </c>
      <c r="NL35" s="3">
        <f ca="1">IFERROR(__xludf.DUMMYFUNCTION("""COMPUTED_VALUE"""),-0.795493665995279)</f>
        <v>-0.79549366599527904</v>
      </c>
      <c r="NM35" s="3">
        <f ca="1">IFERROR(__xludf.DUMMYFUNCTION("""COMPUTED_VALUE"""),-0.794307879712227)</f>
        <v>-0.79430787971222705</v>
      </c>
      <c r="NN35" s="3">
        <f ca="1">IFERROR(__xludf.DUMMYFUNCTION("""COMPUTED_VALUE"""),-0.829561336930556)</f>
        <v>-0.829561336930556</v>
      </c>
      <c r="NO35" s="3">
        <f ca="1">IFERROR(__xludf.DUMMYFUNCTION("""COMPUTED_VALUE"""),-0.809738219794663)</f>
        <v>-0.80973821979466298</v>
      </c>
      <c r="NP35" s="3">
        <f ca="1">IFERROR(__xludf.DUMMYFUNCTION("""COMPUTED_VALUE"""),-0.79476607446286)</f>
        <v>-0.79476607446285996</v>
      </c>
      <c r="NQ35" s="3">
        <f ca="1">IFERROR(__xludf.DUMMYFUNCTION("""COMPUTED_VALUE"""),-0.776086716333749)</f>
        <v>-0.77608671633374904</v>
      </c>
      <c r="NR35" s="3">
        <f ca="1">IFERROR(__xludf.DUMMYFUNCTION("""COMPUTED_VALUE"""),-0.793168672326171)</f>
        <v>-0.79316867232617105</v>
      </c>
      <c r="NS35" s="3">
        <f ca="1">IFERROR(__xludf.DUMMYFUNCTION("""COMPUTED_VALUE"""),-0.814703245768798)</f>
        <v>-0.81470324576879805</v>
      </c>
      <c r="NT35" s="3">
        <f ca="1">IFERROR(__xludf.DUMMYFUNCTION("""COMPUTED_VALUE"""),-0.811742191598003)</f>
        <v>-0.81174219159800298</v>
      </c>
      <c r="NU35" s="3">
        <f ca="1">IFERROR(__xludf.DUMMYFUNCTION("""COMPUTED_VALUE"""),-0.81232614180937)</f>
        <v>-0.81232614180937002</v>
      </c>
      <c r="NV35" s="3">
        <f ca="1">IFERROR(__xludf.DUMMYFUNCTION("""COMPUTED_VALUE"""),-0.805789339413696)</f>
        <v>-0.80578933941369602</v>
      </c>
      <c r="NW35" s="3">
        <f ca="1">IFERROR(__xludf.DUMMYFUNCTION("""COMPUTED_VALUE"""),-0.789889801436338)</f>
        <v>-0.78988980143633802</v>
      </c>
      <c r="NX35" s="3">
        <f ca="1">IFERROR(__xludf.DUMMYFUNCTION("""COMPUTED_VALUE"""),-0.771373911756939)</f>
        <v>-0.77137391175693903</v>
      </c>
      <c r="NY35" s="3">
        <f ca="1">IFERROR(__xludf.DUMMYFUNCTION("""COMPUTED_VALUE"""),-0.73975165142546)</f>
        <v>-0.73975165142545996</v>
      </c>
      <c r="NZ35" s="3">
        <f ca="1">IFERROR(__xludf.DUMMYFUNCTION("""COMPUTED_VALUE"""),-0.70469897312223)</f>
        <v>-0.70469897312222995</v>
      </c>
      <c r="OA35" s="3">
        <f ca="1">IFERROR(__xludf.DUMMYFUNCTION("""COMPUTED_VALUE"""),-0.689783905674115)</f>
        <v>-0.68978390567411496</v>
      </c>
      <c r="OB35" s="3">
        <f ca="1">IFERROR(__xludf.DUMMYFUNCTION("""COMPUTED_VALUE"""),-0.667869068008391)</f>
        <v>-0.66786906800839096</v>
      </c>
      <c r="OC35" s="3">
        <f ca="1">IFERROR(__xludf.DUMMYFUNCTION("""COMPUTED_VALUE"""),-0.549698696926225)</f>
        <v>-0.54969869692622497</v>
      </c>
      <c r="OD35" s="3">
        <f ca="1">IFERROR(__xludf.DUMMYFUNCTION("""COMPUTED_VALUE"""),-0.49447584616027)</f>
        <v>-0.49447584616027002</v>
      </c>
      <c r="OE35" s="3">
        <f ca="1">IFERROR(__xludf.DUMMYFUNCTION("""COMPUTED_VALUE"""),-0.607829643764395)</f>
        <v>-0.60782964376439497</v>
      </c>
      <c r="OF35" s="3">
        <f ca="1">IFERROR(__xludf.DUMMYFUNCTION("""COMPUTED_VALUE"""),-0.429055212538221)</f>
        <v>-0.42905521253822099</v>
      </c>
      <c r="OG35" s="3">
        <f ca="1">IFERROR(__xludf.DUMMYFUNCTION("""COMPUTED_VALUE"""),-0.371534960367425)</f>
        <v>-0.371534960367425</v>
      </c>
      <c r="OH35" s="3">
        <f ca="1">IFERROR(__xludf.DUMMYFUNCTION("""COMPUTED_VALUE"""),-0.218885790413084)</f>
        <v>-0.21888579041308401</v>
      </c>
      <c r="OI35" s="3">
        <f ca="1">IFERROR(__xludf.DUMMYFUNCTION("""COMPUTED_VALUE"""),-0.0567999350739512)</f>
        <v>-5.6799935073951202E-2</v>
      </c>
      <c r="OJ35" s="3">
        <f ca="1">IFERROR(__xludf.DUMMYFUNCTION("""COMPUTED_VALUE"""),-0.0350194169743758)</f>
        <v>-3.50194169743758E-2</v>
      </c>
      <c r="OK35" s="3">
        <f ca="1">IFERROR(__xludf.DUMMYFUNCTION("""COMPUTED_VALUE"""),0.0297140482329447)</f>
        <v>2.9714048232944702E-2</v>
      </c>
      <c r="OL35" s="3">
        <f ca="1">IFERROR(__xludf.DUMMYFUNCTION("""COMPUTED_VALUE"""),-0.0515122588454682)</f>
        <v>-5.1512258845468201E-2</v>
      </c>
      <c r="OM35" s="3">
        <f ca="1">IFERROR(__xludf.DUMMYFUNCTION("""COMPUTED_VALUE"""),-0.153709794097713)</f>
        <v>-0.15370979409771299</v>
      </c>
      <c r="ON35" s="3">
        <f ca="1">IFERROR(__xludf.DUMMYFUNCTION("""COMPUTED_VALUE"""),-0.118657801561696)</f>
        <v>-0.118657801561696</v>
      </c>
      <c r="OO35" s="3">
        <f ca="1">IFERROR(__xludf.DUMMYFUNCTION("""COMPUTED_VALUE"""),0.0203604772282326)</f>
        <v>2.0360477228232601E-2</v>
      </c>
      <c r="OP35" s="3">
        <f ca="1">IFERROR(__xludf.DUMMYFUNCTION("""COMPUTED_VALUE"""),0.0247985789203146)</f>
        <v>2.4798578920314601E-2</v>
      </c>
      <c r="OQ35" s="3">
        <f ca="1">IFERROR(__xludf.DUMMYFUNCTION("""COMPUTED_VALUE"""),0.0674728017790684)</f>
        <v>6.7472801779068406E-2</v>
      </c>
      <c r="OR35" s="3">
        <f ca="1">IFERROR(__xludf.DUMMYFUNCTION("""COMPUTED_VALUE"""),0.0604818068103489)</f>
        <v>6.0481806810348898E-2</v>
      </c>
      <c r="OS35" s="3">
        <f ca="1">IFERROR(__xludf.DUMMYFUNCTION("""COMPUTED_VALUE"""),0.0887935299238653)</f>
        <v>8.87935299238653E-2</v>
      </c>
      <c r="OT35" s="3">
        <f ca="1">IFERROR(__xludf.DUMMYFUNCTION("""COMPUTED_VALUE"""),-0.0220906667889766)</f>
        <v>-2.2090666788976601E-2</v>
      </c>
      <c r="OU35" s="3">
        <f ca="1">IFERROR(__xludf.DUMMYFUNCTION("""COMPUTED_VALUE"""),-0.13061603525038)</f>
        <v>-0.13061603525038001</v>
      </c>
      <c r="OV35" s="3">
        <f ca="1">IFERROR(__xludf.DUMMYFUNCTION("""COMPUTED_VALUE"""),0.0256074274978737)</f>
        <v>2.5607427497873699E-2</v>
      </c>
      <c r="OW35" s="3">
        <f ca="1">IFERROR(__xludf.DUMMYFUNCTION("""COMPUTED_VALUE"""),0.0372215607257484)</f>
        <v>3.72215607257484E-2</v>
      </c>
      <c r="OX35" s="3">
        <f ca="1">IFERROR(__xludf.DUMMYFUNCTION("""COMPUTED_VALUE"""),0.0764649333151801)</f>
        <v>7.6464933315180103E-2</v>
      </c>
      <c r="OY35" s="3">
        <f ca="1">IFERROR(__xludf.DUMMYFUNCTION("""COMPUTED_VALUE"""),0.206251354344563)</f>
        <v>0.20625135434456299</v>
      </c>
      <c r="OZ35" s="3">
        <f ca="1">IFERROR(__xludf.DUMMYFUNCTION("""COMPUTED_VALUE"""),0.201346786324148)</f>
        <v>0.20134678632414801</v>
      </c>
      <c r="PA35" s="3">
        <f ca="1">IFERROR(__xludf.DUMMYFUNCTION("""COMPUTED_VALUE"""),-0.0834403834649272)</f>
        <v>-8.3440383464927201E-2</v>
      </c>
      <c r="PB35" s="3">
        <f ca="1">IFERROR(__xludf.DUMMYFUNCTION("""COMPUTED_VALUE"""),0.0362636584203452)</f>
        <v>3.62636584203452E-2</v>
      </c>
      <c r="PC35" s="3">
        <f ca="1">IFERROR(__xludf.DUMMYFUNCTION("""COMPUTED_VALUE"""),-0.0677497888676826)</f>
        <v>-6.7749788867682598E-2</v>
      </c>
      <c r="PD35" s="3">
        <f ca="1">IFERROR(__xludf.DUMMYFUNCTION("""COMPUTED_VALUE"""),-0.0460580056833412)</f>
        <v>-4.6058005683341202E-2</v>
      </c>
      <c r="PE35" s="3">
        <f ca="1">IFERROR(__xludf.DUMMYFUNCTION("""COMPUTED_VALUE"""),-0.140151291692698)</f>
        <v>-0.14015129169269799</v>
      </c>
      <c r="PF35" s="3">
        <f ca="1">IFERROR(__xludf.DUMMYFUNCTION("""COMPUTED_VALUE"""),-0.327450910685818)</f>
        <v>-0.327450910685818</v>
      </c>
      <c r="PG35" s="3">
        <f ca="1">IFERROR(__xludf.DUMMYFUNCTION("""COMPUTED_VALUE"""),-0.516620206948091)</f>
        <v>-0.51662020694809097</v>
      </c>
      <c r="PH35" s="3">
        <f ca="1">IFERROR(__xludf.DUMMYFUNCTION("""COMPUTED_VALUE"""),-0.0157611539835959)</f>
        <v>-1.5761153983595899E-2</v>
      </c>
      <c r="PI35" s="3">
        <f ca="1">IFERROR(__xludf.DUMMYFUNCTION("""COMPUTED_VALUE"""),-0.0275635249420447)</f>
        <v>-2.7563524942044702E-2</v>
      </c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</row>
    <row r="36" spans="1:477" ht="15.75" customHeight="1">
      <c r="A36" s="1" t="str">
        <f ca="1">IFERROR(__xludf.DUMMYFUNCTION("""COMPUTED_VALUE"""),"Edmonton Transit")</f>
        <v>Edmonton Transit</v>
      </c>
      <c r="B36" s="1" t="str">
        <f ca="1">IFERROR(__xludf.DUMMYFUNCTION("""COMPUTED_VALUE"""),"Edmonton")</f>
        <v>Edmonton</v>
      </c>
      <c r="C36" s="1" t="str">
        <f ca="1">IFERROR(__xludf.DUMMYFUNCTION("""COMPUTED_VALUE"""),"Canada")</f>
        <v>Canada</v>
      </c>
      <c r="D36" s="1" t="str">
        <f ca="1">IFERROR(__xludf.DUMMYFUNCTION("""COMPUTED_VALUE"""),"Alberta")</f>
        <v>Alberta</v>
      </c>
      <c r="E36" s="3">
        <f ca="1">IFERROR(__xludf.DUMMYFUNCTION("""COMPUTED_VALUE"""),-0.604270849224955)</f>
        <v>-0.604270849224955</v>
      </c>
      <c r="F36" s="3">
        <f ca="1">IFERROR(__xludf.DUMMYFUNCTION("""COMPUTED_VALUE"""),-0.562855349056665)</f>
        <v>-0.56285534905666501</v>
      </c>
      <c r="G36" s="3">
        <f ca="1">IFERROR(__xludf.DUMMYFUNCTION("""COMPUTED_VALUE"""),-0.613321745977802)</f>
        <v>-0.61332174597780198</v>
      </c>
      <c r="H36" s="3">
        <f ca="1">IFERROR(__xludf.DUMMYFUNCTION("""COMPUTED_VALUE"""),-0.607469895097836)</f>
        <v>-0.607469895097836</v>
      </c>
      <c r="I36" s="3">
        <f ca="1">IFERROR(__xludf.DUMMYFUNCTION("""COMPUTED_VALUE"""),-0.652609354075271)</f>
        <v>-0.65260935407527099</v>
      </c>
      <c r="J36" s="3">
        <f ca="1">IFERROR(__xludf.DUMMYFUNCTION("""COMPUTED_VALUE"""),-0.700840422171576)</f>
        <v>-0.70084042217157605</v>
      </c>
      <c r="K36" s="3">
        <f ca="1">IFERROR(__xludf.DUMMYFUNCTION("""COMPUTED_VALUE"""),-0.583214877729939)</f>
        <v>-0.58321487772993896</v>
      </c>
      <c r="L36" s="3">
        <f ca="1">IFERROR(__xludf.DUMMYFUNCTION("""COMPUTED_VALUE"""),-0.580080554210496)</f>
        <v>-0.58008055421049598</v>
      </c>
      <c r="M36" s="3">
        <f ca="1">IFERROR(__xludf.DUMMYFUNCTION("""COMPUTED_VALUE"""),-0.711620396623731)</f>
        <v>-0.711620396623731</v>
      </c>
      <c r="N36" s="3">
        <f ca="1">IFERROR(__xludf.DUMMYFUNCTION("""COMPUTED_VALUE"""),-0.652136386679457)</f>
        <v>-0.65213638667945695</v>
      </c>
      <c r="O36" s="3">
        <f ca="1">IFERROR(__xludf.DUMMYFUNCTION("""COMPUTED_VALUE"""),-0.654093623754465)</f>
        <v>-0.654093623754465</v>
      </c>
      <c r="P36" s="3">
        <f ca="1">IFERROR(__xludf.DUMMYFUNCTION("""COMPUTED_VALUE"""),-0.665779048284137)</f>
        <v>-0.66577904828413703</v>
      </c>
      <c r="Q36" s="3">
        <f ca="1">IFERROR(__xludf.DUMMYFUNCTION("""COMPUTED_VALUE"""),-0.712293439399235)</f>
        <v>-0.71229343939923495</v>
      </c>
      <c r="R36" s="3">
        <f ca="1">IFERROR(__xludf.DUMMYFUNCTION("""COMPUTED_VALUE"""),-0.535621287214174)</f>
        <v>-0.53562128721417401</v>
      </c>
      <c r="S36" s="3">
        <f ca="1">IFERROR(__xludf.DUMMYFUNCTION("""COMPUTED_VALUE"""),-0.573711089808957)</f>
        <v>-0.57371108980895702</v>
      </c>
      <c r="T36" s="3">
        <f ca="1">IFERROR(__xludf.DUMMYFUNCTION("""COMPUTED_VALUE"""),-0.59227808522136)</f>
        <v>-0.59227808522136005</v>
      </c>
      <c r="U36" s="3">
        <f ca="1">IFERROR(__xludf.DUMMYFUNCTION("""COMPUTED_VALUE"""),-0.592133873879395)</f>
        <v>-0.59213387387939498</v>
      </c>
      <c r="V36" s="3">
        <f ca="1">IFERROR(__xludf.DUMMYFUNCTION("""COMPUTED_VALUE"""),-0.590152865671838)</f>
        <v>-0.590152865671838</v>
      </c>
      <c r="W36" s="3">
        <f ca="1">IFERROR(__xludf.DUMMYFUNCTION("""COMPUTED_VALUE"""),-0.594982646957395)</f>
        <v>-0.594982646957395</v>
      </c>
      <c r="X36" s="3">
        <f ca="1">IFERROR(__xludf.DUMMYFUNCTION("""COMPUTED_VALUE"""),-0.61211273300022)</f>
        <v>-0.61211273300021996</v>
      </c>
      <c r="Y36" s="3">
        <f ca="1">IFERROR(__xludf.DUMMYFUNCTION("""COMPUTED_VALUE"""),-0.542755895090415)</f>
        <v>-0.542755895090415</v>
      </c>
      <c r="Z36" s="3">
        <f ca="1">IFERROR(__xludf.DUMMYFUNCTION("""COMPUTED_VALUE"""),-0.567031745586528)</f>
        <v>-0.56703174558652802</v>
      </c>
      <c r="AA36" s="3">
        <f ca="1">IFERROR(__xludf.DUMMYFUNCTION("""COMPUTED_VALUE"""),-0.576544140410269)</f>
        <v>-0.57654414041026902</v>
      </c>
      <c r="AB36" s="3">
        <f ca="1">IFERROR(__xludf.DUMMYFUNCTION("""COMPUTED_VALUE"""),-0.635822705849742)</f>
        <v>-0.63582270584974199</v>
      </c>
      <c r="AC36" s="3">
        <f ca="1">IFERROR(__xludf.DUMMYFUNCTION("""COMPUTED_VALUE"""),-0.627457475858879)</f>
        <v>-0.62745747585887901</v>
      </c>
      <c r="AD36" s="3">
        <f ca="1">IFERROR(__xludf.DUMMYFUNCTION("""COMPUTED_VALUE"""),-0.626895996448285)</f>
        <v>-0.62689599644828498</v>
      </c>
      <c r="AE36" s="3">
        <f ca="1">IFERROR(__xludf.DUMMYFUNCTION("""COMPUTED_VALUE"""),-0.621757436647324)</f>
        <v>-0.62175743664732397</v>
      </c>
      <c r="AF36" s="3">
        <f ca="1">IFERROR(__xludf.DUMMYFUNCTION("""COMPUTED_VALUE"""),-0.576805466245106)</f>
        <v>-0.57680546624510598</v>
      </c>
      <c r="AG36" s="3">
        <f ca="1">IFERROR(__xludf.DUMMYFUNCTION("""COMPUTED_VALUE"""),-0.579035897450317)</f>
        <v>-0.57903589745031703</v>
      </c>
      <c r="AH36" s="3">
        <f ca="1">IFERROR(__xludf.DUMMYFUNCTION("""COMPUTED_VALUE"""),-0.686864938977802)</f>
        <v>-0.68686493897780199</v>
      </c>
      <c r="AI36" s="3">
        <f ca="1">IFERROR(__xludf.DUMMYFUNCTION("""COMPUTED_VALUE"""),-0.652489266000641)</f>
        <v>-0.65248926600064105</v>
      </c>
      <c r="AJ36" s="3">
        <f ca="1">IFERROR(__xludf.DUMMYFUNCTION("""COMPUTED_VALUE"""),-0.658464194300889)</f>
        <v>-0.65846419430088898</v>
      </c>
      <c r="AK36" s="3">
        <f ca="1">IFERROR(__xludf.DUMMYFUNCTION("""COMPUTED_VALUE"""),-0.67395202161031)</f>
        <v>-0.67395202161030998</v>
      </c>
      <c r="AL36" s="3">
        <f ca="1">IFERROR(__xludf.DUMMYFUNCTION("""COMPUTED_VALUE"""),-0.647197702084543)</f>
        <v>-0.64719770208454297</v>
      </c>
      <c r="AM36" s="3">
        <f ca="1">IFERROR(__xludf.DUMMYFUNCTION("""COMPUTED_VALUE"""),-0.565592870199389)</f>
        <v>-0.56559287019938898</v>
      </c>
      <c r="AN36" s="3">
        <f ca="1">IFERROR(__xludf.DUMMYFUNCTION("""COMPUTED_VALUE"""),-0.589993499107157)</f>
        <v>-0.58999349910715704</v>
      </c>
      <c r="AO36" s="3">
        <f ca="1">IFERROR(__xludf.DUMMYFUNCTION("""COMPUTED_VALUE"""),-0.632575861659064)</f>
        <v>-0.63257586165906399</v>
      </c>
      <c r="AP36" s="3">
        <f ca="1">IFERROR(__xludf.DUMMYFUNCTION("""COMPUTED_VALUE"""),-0.642673941559718)</f>
        <v>-0.64267394155971802</v>
      </c>
      <c r="AQ36" s="3">
        <f ca="1">IFERROR(__xludf.DUMMYFUNCTION("""COMPUTED_VALUE"""),-0.663620755694367)</f>
        <v>-0.66362075569436696</v>
      </c>
      <c r="AR36" s="3">
        <f ca="1">IFERROR(__xludf.DUMMYFUNCTION("""COMPUTED_VALUE"""),-0.657529348964883)</f>
        <v>-0.65752934896488302</v>
      </c>
      <c r="AS36" s="3">
        <f ca="1">IFERROR(__xludf.DUMMYFUNCTION("""COMPUTED_VALUE"""),-0.630361266549507)</f>
        <v>-0.63036126654950697</v>
      </c>
      <c r="AT36" s="3">
        <f ca="1">IFERROR(__xludf.DUMMYFUNCTION("""COMPUTED_VALUE"""),-0.564822465857551)</f>
        <v>-0.56482246585755103</v>
      </c>
      <c r="AU36" s="3">
        <f ca="1">IFERROR(__xludf.DUMMYFUNCTION("""COMPUTED_VALUE"""),-0.585009758052229)</f>
        <v>-0.58500975805222899</v>
      </c>
      <c r="AV36" s="3">
        <f ca="1">IFERROR(__xludf.DUMMYFUNCTION("""COMPUTED_VALUE"""),-0.721256459823999)</f>
        <v>-0.721256459823999</v>
      </c>
      <c r="AW36" s="3">
        <f ca="1">IFERROR(__xludf.DUMMYFUNCTION("""COMPUTED_VALUE"""),-0.708174676617639)</f>
        <v>-0.708174676617639</v>
      </c>
      <c r="AX36" s="3">
        <f ca="1">IFERROR(__xludf.DUMMYFUNCTION("""COMPUTED_VALUE"""),-0.65374432957728)</f>
        <v>-0.65374432957728001</v>
      </c>
      <c r="AY36" s="3">
        <f ca="1">IFERROR(__xludf.DUMMYFUNCTION("""COMPUTED_VALUE"""),-0.681022228725896)</f>
        <v>-0.68102222872589602</v>
      </c>
      <c r="AZ36" s="3">
        <f ca="1">IFERROR(__xludf.DUMMYFUNCTION("""COMPUTED_VALUE"""),-0.599507907423218)</f>
        <v>-0.59950790742321802</v>
      </c>
      <c r="BA36" s="3">
        <f ca="1">IFERROR(__xludf.DUMMYFUNCTION("""COMPUTED_VALUE"""),-0.592304994175278)</f>
        <v>-0.59230499417527804</v>
      </c>
      <c r="BB36" s="3">
        <f ca="1">IFERROR(__xludf.DUMMYFUNCTION("""COMPUTED_VALUE"""),-0.587250623221579)</f>
        <v>-0.58725062322157895</v>
      </c>
      <c r="BC36" s="3">
        <f ca="1">IFERROR(__xludf.DUMMYFUNCTION("""COMPUTED_VALUE"""),-0.641111853339613)</f>
        <v>-0.64111185333961296</v>
      </c>
      <c r="BD36" s="3">
        <f ca="1">IFERROR(__xludf.DUMMYFUNCTION("""COMPUTED_VALUE"""),-0.679754775030136)</f>
        <v>-0.67975477503013604</v>
      </c>
      <c r="BE36" s="3">
        <f ca="1">IFERROR(__xludf.DUMMYFUNCTION("""COMPUTED_VALUE"""),-0.682972699877496)</f>
        <v>-0.68297269987749598</v>
      </c>
      <c r="BF36" s="3">
        <f ca="1">IFERROR(__xludf.DUMMYFUNCTION("""COMPUTED_VALUE"""),-0.672209815998432)</f>
        <v>-0.67220981599843199</v>
      </c>
      <c r="BG36" s="3">
        <f ca="1">IFERROR(__xludf.DUMMYFUNCTION("""COMPUTED_VALUE"""),-0.775069340770571)</f>
        <v>-0.77506934077057099</v>
      </c>
      <c r="BH36" s="3">
        <f ca="1">IFERROR(__xludf.DUMMYFUNCTION("""COMPUTED_VALUE"""),-0.581913642233479)</f>
        <v>-0.58191364223347897</v>
      </c>
      <c r="BI36" s="3">
        <f ca="1">IFERROR(__xludf.DUMMYFUNCTION("""COMPUTED_VALUE"""),-0.628054648115538)</f>
        <v>-0.62805464811553802</v>
      </c>
      <c r="BJ36" s="3">
        <f ca="1">IFERROR(__xludf.DUMMYFUNCTION("""COMPUTED_VALUE"""),-0.727582751750877)</f>
        <v>-0.72758275175087705</v>
      </c>
      <c r="BK36" s="3">
        <f ca="1">IFERROR(__xludf.DUMMYFUNCTION("""COMPUTED_VALUE"""),-0.752725445672084)</f>
        <v>-0.75272544567208399</v>
      </c>
      <c r="BL36" s="3">
        <f ca="1">IFERROR(__xludf.DUMMYFUNCTION("""COMPUTED_VALUE"""),-0.778188332058022)</f>
        <v>-0.77818833205802196</v>
      </c>
      <c r="BM36" s="3">
        <f ca="1">IFERROR(__xludf.DUMMYFUNCTION("""COMPUTED_VALUE"""),-0.746244225936773)</f>
        <v>-0.74624422593677298</v>
      </c>
      <c r="BN36" s="3">
        <f ca="1">IFERROR(__xludf.DUMMYFUNCTION("""COMPUTED_VALUE"""),-0.69360615786684)</f>
        <v>-0.69360615786683999</v>
      </c>
      <c r="BO36" s="3">
        <f ca="1">IFERROR(__xludf.DUMMYFUNCTION("""COMPUTED_VALUE"""),-0.673514773101293)</f>
        <v>-0.67351477310129304</v>
      </c>
      <c r="BP36" s="3">
        <f ca="1">IFERROR(__xludf.DUMMYFUNCTION("""COMPUTED_VALUE"""),-0.690482429726465)</f>
        <v>-0.69048242972646501</v>
      </c>
      <c r="BQ36" s="3">
        <f ca="1">IFERROR(__xludf.DUMMYFUNCTION("""COMPUTED_VALUE"""),-0.721538454863914)</f>
        <v>-0.72153845486391399</v>
      </c>
      <c r="BR36" s="3">
        <f ca="1">IFERROR(__xludf.DUMMYFUNCTION("""COMPUTED_VALUE"""),-0.717178763306431)</f>
        <v>-0.71717876330643104</v>
      </c>
      <c r="BS36" s="3">
        <f ca="1">IFERROR(__xludf.DUMMYFUNCTION("""COMPUTED_VALUE"""),-0.731693769235077)</f>
        <v>-0.73169376923507701</v>
      </c>
      <c r="BT36" s="3">
        <f ca="1">IFERROR(__xludf.DUMMYFUNCTION("""COMPUTED_VALUE"""),-0.723974459181543)</f>
        <v>-0.72397445918154302</v>
      </c>
      <c r="BU36" s="3">
        <f ca="1">IFERROR(__xludf.DUMMYFUNCTION("""COMPUTED_VALUE"""),-0.736800977476949)</f>
        <v>-0.73680097747694895</v>
      </c>
      <c r="BV36" s="3">
        <f ca="1">IFERROR(__xludf.DUMMYFUNCTION("""COMPUTED_VALUE"""),-0.616837228945605)</f>
        <v>-0.616837228945605</v>
      </c>
      <c r="BW36" s="3">
        <f ca="1">IFERROR(__xludf.DUMMYFUNCTION("""COMPUTED_VALUE"""),-0.669118563535012)</f>
        <v>-0.66911856353501198</v>
      </c>
      <c r="BX36" s="3">
        <f ca="1">IFERROR(__xludf.DUMMYFUNCTION("""COMPUTED_VALUE"""),-0.772068273274409)</f>
        <v>-0.77206827327440897</v>
      </c>
      <c r="BY36" s="3">
        <f ca="1">IFERROR(__xludf.DUMMYFUNCTION("""COMPUTED_VALUE"""),-0.767816928537806)</f>
        <v>-0.76781692853780603</v>
      </c>
      <c r="BZ36" s="3">
        <f ca="1">IFERROR(__xludf.DUMMYFUNCTION("""COMPUTED_VALUE"""),-0.770169245680631)</f>
        <v>-0.77016924568063105</v>
      </c>
      <c r="CA36" s="3">
        <f ca="1">IFERROR(__xludf.DUMMYFUNCTION("""COMPUTED_VALUE"""),-0.762604260417821)</f>
        <v>-0.76260426041782103</v>
      </c>
      <c r="CB36" s="3">
        <f ca="1">IFERROR(__xludf.DUMMYFUNCTION("""COMPUTED_VALUE"""),-0.767281222752811)</f>
        <v>-0.76728122275281097</v>
      </c>
      <c r="CC36" s="3">
        <f ca="1">IFERROR(__xludf.DUMMYFUNCTION("""COMPUTED_VALUE"""),-0.64226824976824)</f>
        <v>-0.64226824976824004</v>
      </c>
      <c r="CD36" s="3">
        <f ca="1">IFERROR(__xludf.DUMMYFUNCTION("""COMPUTED_VALUE"""),-0.672092164448633)</f>
        <v>-0.67209216444863296</v>
      </c>
      <c r="CE36" s="3">
        <f ca="1">IFERROR(__xludf.DUMMYFUNCTION("""COMPUTED_VALUE"""),-0.723745656280314)</f>
        <v>-0.72374565628031395</v>
      </c>
      <c r="CF36" s="3">
        <f ca="1">IFERROR(__xludf.DUMMYFUNCTION("""COMPUTED_VALUE"""),-0.728111585052838)</f>
        <v>-0.72811158505283802</v>
      </c>
      <c r="CG36" s="3">
        <f ca="1">IFERROR(__xludf.DUMMYFUNCTION("""COMPUTED_VALUE"""),-0.740477795906505)</f>
        <v>-0.74047779590650498</v>
      </c>
      <c r="CH36" s="3">
        <f ca="1">IFERROR(__xludf.DUMMYFUNCTION("""COMPUTED_VALUE"""),-0.721807713997996)</f>
        <v>-0.72180771399799604</v>
      </c>
      <c r="CI36" s="3">
        <f ca="1">IFERROR(__xludf.DUMMYFUNCTION("""COMPUTED_VALUE"""),-0.711516883291845)</f>
        <v>-0.71151688329184504</v>
      </c>
      <c r="CJ36" s="3">
        <f ca="1">IFERROR(__xludf.DUMMYFUNCTION("""COMPUTED_VALUE"""),-0.595625454312309)</f>
        <v>-0.59562545431230896</v>
      </c>
      <c r="CK36" s="3">
        <f ca="1">IFERROR(__xludf.DUMMYFUNCTION("""COMPUTED_VALUE"""),-0.64576739865376)</f>
        <v>-0.64576739865375998</v>
      </c>
      <c r="CL36" s="3">
        <f ca="1">IFERROR(__xludf.DUMMYFUNCTION("""COMPUTED_VALUE"""),-0.741938514305919)</f>
        <v>-0.74193851430591895</v>
      </c>
      <c r="CM36" s="3">
        <f ca="1">IFERROR(__xludf.DUMMYFUNCTION("""COMPUTED_VALUE"""),-0.742349261099695)</f>
        <v>-0.74234926109969501</v>
      </c>
      <c r="CN36" s="3">
        <f ca="1">IFERROR(__xludf.DUMMYFUNCTION("""COMPUTED_VALUE"""),-0.749955293153186)</f>
        <v>-0.74995529315318599</v>
      </c>
      <c r="CO36" s="3">
        <f ca="1">IFERROR(__xludf.DUMMYFUNCTION("""COMPUTED_VALUE"""),-0.695355680672936)</f>
        <v>-0.69535568067293596</v>
      </c>
      <c r="CP36" s="3">
        <f ca="1">IFERROR(__xludf.DUMMYFUNCTION("""COMPUTED_VALUE"""),-0.690178413309599)</f>
        <v>-0.69017841330959895</v>
      </c>
      <c r="CQ36" s="3">
        <f ca="1">IFERROR(__xludf.DUMMYFUNCTION("""COMPUTED_VALUE"""),-0.56822044868019)</f>
        <v>-0.56822044868018995</v>
      </c>
      <c r="CR36" s="3">
        <f ca="1">IFERROR(__xludf.DUMMYFUNCTION("""COMPUTED_VALUE"""),-0.651681873286502)</f>
        <v>-0.65168187328650196</v>
      </c>
      <c r="CS36" s="3">
        <f ca="1">IFERROR(__xludf.DUMMYFUNCTION("""COMPUTED_VALUE"""),-0.79228602204402)</f>
        <v>-0.79228602204401999</v>
      </c>
      <c r="CT36" s="3">
        <f ca="1">IFERROR(__xludf.DUMMYFUNCTION("""COMPUTED_VALUE"""),-0.80853334509066)</f>
        <v>-0.80853334509065999</v>
      </c>
      <c r="CU36" s="3">
        <f ca="1">IFERROR(__xludf.DUMMYFUNCTION("""COMPUTED_VALUE"""),-0.775021203738512)</f>
        <v>-0.77502120373851202</v>
      </c>
      <c r="CV36" s="3">
        <f ca="1">IFERROR(__xludf.DUMMYFUNCTION("""COMPUTED_VALUE"""),-0.759885757002104)</f>
        <v>-0.75988575700210403</v>
      </c>
      <c r="CW36" s="3">
        <f ca="1">IFERROR(__xludf.DUMMYFUNCTION("""COMPUTED_VALUE"""),-0.762138693769175)</f>
        <v>-0.76213869376917498</v>
      </c>
      <c r="CX36" s="3">
        <f ca="1">IFERROR(__xludf.DUMMYFUNCTION("""COMPUTED_VALUE"""),-0.614224900790718)</f>
        <v>-0.61422490079071801</v>
      </c>
      <c r="CY36" s="3">
        <f ca="1">IFERROR(__xludf.DUMMYFUNCTION("""COMPUTED_VALUE"""),-0.654368161579568)</f>
        <v>-0.65436816157956801</v>
      </c>
      <c r="CZ36" s="3">
        <f ca="1">IFERROR(__xludf.DUMMYFUNCTION("""COMPUTED_VALUE"""),-0.829348357355986)</f>
        <v>-0.829348357355986</v>
      </c>
      <c r="DA36" s="3">
        <f ca="1">IFERROR(__xludf.DUMMYFUNCTION("""COMPUTED_VALUE"""),-0.76561929791489)</f>
        <v>-0.76561929791489003</v>
      </c>
      <c r="DB36" s="3">
        <f ca="1">IFERROR(__xludf.DUMMYFUNCTION("""COMPUTED_VALUE"""),-0.681140749936595)</f>
        <v>-0.68114074993659501</v>
      </c>
      <c r="DC36" s="3">
        <f ca="1">IFERROR(__xludf.DUMMYFUNCTION("""COMPUTED_VALUE"""),-0.71294618721097)</f>
        <v>-0.71294618721097003</v>
      </c>
      <c r="DD36" s="3">
        <f ca="1">IFERROR(__xludf.DUMMYFUNCTION("""COMPUTED_VALUE"""),-0.7439563521023)</f>
        <v>-0.74395635210230004</v>
      </c>
      <c r="DE36" s="3">
        <f ca="1">IFERROR(__xludf.DUMMYFUNCTION("""COMPUTED_VALUE"""),-0.629293944993975)</f>
        <v>-0.62929394499397495</v>
      </c>
      <c r="DF36" s="3">
        <f ca="1">IFERROR(__xludf.DUMMYFUNCTION("""COMPUTED_VALUE"""),-0.638837839565576)</f>
        <v>-0.63883783956557605</v>
      </c>
      <c r="DG36" s="3">
        <f ca="1">IFERROR(__xludf.DUMMYFUNCTION("""COMPUTED_VALUE"""),-0.875935615907123)</f>
        <v>-0.87593561590712299</v>
      </c>
      <c r="DH36" s="3">
        <f ca="1">IFERROR(__xludf.DUMMYFUNCTION("""COMPUTED_VALUE"""),-0.747880636492276)</f>
        <v>-0.74788063649227599</v>
      </c>
      <c r="DI36" s="3">
        <f ca="1">IFERROR(__xludf.DUMMYFUNCTION("""COMPUTED_VALUE"""),-0.579036810855321)</f>
        <v>-0.57903681085532099</v>
      </c>
      <c r="DJ36" s="3">
        <f ca="1">IFERROR(__xludf.DUMMYFUNCTION("""COMPUTED_VALUE"""),-0.681991138430852)</f>
        <v>-0.68199113843085202</v>
      </c>
      <c r="DK36" s="3">
        <f ca="1">IFERROR(__xludf.DUMMYFUNCTION("""COMPUTED_VALUE"""),-0.688649673247981)</f>
        <v>-0.68864967324798099</v>
      </c>
      <c r="DL36" s="3">
        <f ca="1">IFERROR(__xludf.DUMMYFUNCTION("""COMPUTED_VALUE"""),-0.652730601687929)</f>
        <v>-0.65273060168792896</v>
      </c>
      <c r="DM36" s="3">
        <f ca="1">IFERROR(__xludf.DUMMYFUNCTION("""COMPUTED_VALUE"""),-0.663601904117847)</f>
        <v>-0.66360190411784703</v>
      </c>
      <c r="DN36" s="3">
        <f ca="1">IFERROR(__xludf.DUMMYFUNCTION("""COMPUTED_VALUE"""),-0.756705546478841)</f>
        <v>-0.75670554647884103</v>
      </c>
      <c r="DO36" s="3">
        <f ca="1">IFERROR(__xludf.DUMMYFUNCTION("""COMPUTED_VALUE"""),-0.761554213990885)</f>
        <v>-0.76155421399088497</v>
      </c>
      <c r="DP36" s="3">
        <f ca="1">IFERROR(__xludf.DUMMYFUNCTION("""COMPUTED_VALUE"""),-0.703784145520487)</f>
        <v>-0.70378414552048696</v>
      </c>
      <c r="DQ36" s="3">
        <f ca="1">IFERROR(__xludf.DUMMYFUNCTION("""COMPUTED_VALUE"""),-0.746624859362312)</f>
        <v>-0.74662485936231204</v>
      </c>
      <c r="DR36" s="3">
        <f ca="1">IFERROR(__xludf.DUMMYFUNCTION("""COMPUTED_VALUE"""),-0.768073477136838)</f>
        <v>-0.76807347713683805</v>
      </c>
      <c r="DS36" s="3">
        <f ca="1">IFERROR(__xludf.DUMMYFUNCTION("""COMPUTED_VALUE"""),-0.684550369538932)</f>
        <v>-0.684550369538932</v>
      </c>
      <c r="DT36" s="3">
        <f ca="1">IFERROR(__xludf.DUMMYFUNCTION("""COMPUTED_VALUE"""),-0.639250382779435)</f>
        <v>-0.63925038277943502</v>
      </c>
      <c r="DU36" s="3">
        <f ca="1">IFERROR(__xludf.DUMMYFUNCTION("""COMPUTED_VALUE"""),-0.75358218964377)</f>
        <v>-0.75358218964377</v>
      </c>
      <c r="DV36" s="3">
        <f ca="1">IFERROR(__xludf.DUMMYFUNCTION("""COMPUTED_VALUE"""),-0.762760875686208)</f>
        <v>-0.76276087568620798</v>
      </c>
      <c r="DW36" s="3">
        <f ca="1">IFERROR(__xludf.DUMMYFUNCTION("""COMPUTED_VALUE"""),-0.761846999978373)</f>
        <v>-0.76184699997837302</v>
      </c>
      <c r="DX36" s="3">
        <f ca="1">IFERROR(__xludf.DUMMYFUNCTION("""COMPUTED_VALUE"""),-0.737771394460492)</f>
        <v>-0.737771394460492</v>
      </c>
      <c r="DY36" s="3">
        <f ca="1">IFERROR(__xludf.DUMMYFUNCTION("""COMPUTED_VALUE"""),-0.751947737145661)</f>
        <v>-0.75194773714566099</v>
      </c>
      <c r="DZ36" s="3">
        <f ca="1">IFERROR(__xludf.DUMMYFUNCTION("""COMPUTED_VALUE"""),-0.610190585562682)</f>
        <v>-0.61019058556268202</v>
      </c>
      <c r="EA36" s="3">
        <f ca="1">IFERROR(__xludf.DUMMYFUNCTION("""COMPUTED_VALUE"""),-0.630256817332022)</f>
        <v>-0.63025681733202199</v>
      </c>
      <c r="EB36" s="3">
        <f ca="1">IFERROR(__xludf.DUMMYFUNCTION("""COMPUTED_VALUE"""),-0.752980485349481)</f>
        <v>-0.75298048534948103</v>
      </c>
      <c r="EC36" s="3">
        <f ca="1">IFERROR(__xludf.DUMMYFUNCTION("""COMPUTED_VALUE"""),-0.76756877233292)</f>
        <v>-0.76756877233291998</v>
      </c>
      <c r="ED36" s="3">
        <f ca="1">IFERROR(__xludf.DUMMYFUNCTION("""COMPUTED_VALUE"""),-0.758645424505819)</f>
        <v>-0.75864542450581895</v>
      </c>
      <c r="EE36" s="3">
        <f ca="1">IFERROR(__xludf.DUMMYFUNCTION("""COMPUTED_VALUE"""),-0.733277250567662)</f>
        <v>-0.73327725056766202</v>
      </c>
      <c r="EF36" s="3">
        <f ca="1">IFERROR(__xludf.DUMMYFUNCTION("""COMPUTED_VALUE"""),-0.712364336032725)</f>
        <v>-0.71236433603272498</v>
      </c>
      <c r="EG36" s="3">
        <f ca="1">IFERROR(__xludf.DUMMYFUNCTION("""COMPUTED_VALUE"""),-0.565241633344754)</f>
        <v>-0.56524163334475397</v>
      </c>
      <c r="EH36" s="3">
        <f ca="1">IFERROR(__xludf.DUMMYFUNCTION("""COMPUTED_VALUE"""),-0.628071775280491)</f>
        <v>-0.62807177528049096</v>
      </c>
      <c r="EI36" s="3">
        <f ca="1">IFERROR(__xludf.DUMMYFUNCTION("""COMPUTED_VALUE"""),-0.626710003654902)</f>
        <v>-0.62671000365490204</v>
      </c>
      <c r="EJ36" s="3">
        <f ca="1">IFERROR(__xludf.DUMMYFUNCTION("""COMPUTED_VALUE"""),-0.65545271357148)</f>
        <v>-0.65545271357148005</v>
      </c>
      <c r="EK36" s="3">
        <f ca="1">IFERROR(__xludf.DUMMYFUNCTION("""COMPUTED_VALUE"""),-0.651364573980209)</f>
        <v>-0.65136457398020897</v>
      </c>
      <c r="EL36" s="3">
        <f ca="1">IFERROR(__xludf.DUMMYFUNCTION("""COMPUTED_VALUE"""),-0.654980192739172)</f>
        <v>-0.65498019273917196</v>
      </c>
      <c r="EM36" s="3">
        <f ca="1">IFERROR(__xludf.DUMMYFUNCTION("""COMPUTED_VALUE"""),-0.637603954753657)</f>
        <v>-0.63760395475365705</v>
      </c>
      <c r="EN36" s="3">
        <f ca="1">IFERROR(__xludf.DUMMYFUNCTION("""COMPUTED_VALUE"""),-0.545735520578801)</f>
        <v>-0.54573552057880104</v>
      </c>
      <c r="EO36" s="3">
        <f ca="1">IFERROR(__xludf.DUMMYFUNCTION("""COMPUTED_VALUE"""),-0.570524486460066)</f>
        <v>-0.57052448646006604</v>
      </c>
      <c r="EP36" s="3">
        <f ca="1">IFERROR(__xludf.DUMMYFUNCTION("""COMPUTED_VALUE"""),-0.601308302482194)</f>
        <v>-0.60130830248219402</v>
      </c>
      <c r="EQ36" s="3">
        <f ca="1">IFERROR(__xludf.DUMMYFUNCTION("""COMPUTED_VALUE"""),-0.635450565731937)</f>
        <v>-0.63545056573193703</v>
      </c>
      <c r="ER36" s="3">
        <f ca="1">IFERROR(__xludf.DUMMYFUNCTION("""COMPUTED_VALUE"""),-0.594718317880949)</f>
        <v>-0.59471831788094898</v>
      </c>
      <c r="ES36" s="3">
        <f ca="1">IFERROR(__xludf.DUMMYFUNCTION("""COMPUTED_VALUE"""),-0.596040378073794)</f>
        <v>-0.59604037807379395</v>
      </c>
      <c r="ET36" s="3">
        <f ca="1">IFERROR(__xludf.DUMMYFUNCTION("""COMPUTED_VALUE"""),-0.513941373436745)</f>
        <v>-0.51394137343674495</v>
      </c>
      <c r="EU36" s="3">
        <f ca="1">IFERROR(__xludf.DUMMYFUNCTION("""COMPUTED_VALUE"""),-0.539682232476893)</f>
        <v>-0.53968223247689295</v>
      </c>
      <c r="EV36" s="3">
        <f ca="1">IFERROR(__xludf.DUMMYFUNCTION("""COMPUTED_VALUE"""),-0.582515181677983)</f>
        <v>-0.582515181677983</v>
      </c>
      <c r="EW36" s="3">
        <f ca="1">IFERROR(__xludf.DUMMYFUNCTION("""COMPUTED_VALUE"""),-0.643556251629483)</f>
        <v>-0.64355625162948304</v>
      </c>
      <c r="EX36" s="3">
        <f ca="1">IFERROR(__xludf.DUMMYFUNCTION("""COMPUTED_VALUE"""),-0.630765489107386)</f>
        <v>-0.63076548910738595</v>
      </c>
      <c r="EY36" s="3">
        <f ca="1">IFERROR(__xludf.DUMMYFUNCTION("""COMPUTED_VALUE"""),-0.722341469740842)</f>
        <v>-0.72234146974084201</v>
      </c>
      <c r="EZ36" s="3">
        <f ca="1">IFERROR(__xludf.DUMMYFUNCTION("""COMPUTED_VALUE"""),-0.562288343401345)</f>
        <v>-0.56228834340134504</v>
      </c>
      <c r="FA36" s="3">
        <f ca="1">IFERROR(__xludf.DUMMYFUNCTION("""COMPUTED_VALUE"""),-0.477924992522194)</f>
        <v>-0.477924992522194</v>
      </c>
      <c r="FB36" s="3">
        <f ca="1">IFERROR(__xludf.DUMMYFUNCTION("""COMPUTED_VALUE"""),-0.5003383850849)</f>
        <v>-0.50033838508490003</v>
      </c>
      <c r="FC36" s="3">
        <f ca="1">IFERROR(__xludf.DUMMYFUNCTION("""COMPUTED_VALUE"""),-0.518056216263124)</f>
        <v>-0.51805621626312404</v>
      </c>
      <c r="FD36" s="3">
        <f ca="1">IFERROR(__xludf.DUMMYFUNCTION("""COMPUTED_VALUE"""),-0.609398879907844)</f>
        <v>-0.60939887990784403</v>
      </c>
      <c r="FE36" s="3">
        <f ca="1">IFERROR(__xludf.DUMMYFUNCTION("""COMPUTED_VALUE"""),-0.626641963736099)</f>
        <v>-0.62664196373609904</v>
      </c>
      <c r="FF36" s="3">
        <f ca="1">IFERROR(__xludf.DUMMYFUNCTION("""COMPUTED_VALUE"""),-0.597778458895866)</f>
        <v>-0.59777845889586601</v>
      </c>
      <c r="FG36" s="3">
        <f ca="1">IFERROR(__xludf.DUMMYFUNCTION("""COMPUTED_VALUE"""),-0.615549447886243)</f>
        <v>-0.615549447886243</v>
      </c>
      <c r="FH36" s="3">
        <f ca="1">IFERROR(__xludf.DUMMYFUNCTION("""COMPUTED_VALUE"""),-0.52350466962239)</f>
        <v>-0.52350466962238995</v>
      </c>
      <c r="FI36" s="3">
        <f ca="1">IFERROR(__xludf.DUMMYFUNCTION("""COMPUTED_VALUE"""),-0.490304066561584)</f>
        <v>-0.49030406656158398</v>
      </c>
      <c r="FJ36" s="3">
        <f ca="1">IFERROR(__xludf.DUMMYFUNCTION("""COMPUTED_VALUE"""),-0.5042650665947)</f>
        <v>-0.50426506659470005</v>
      </c>
      <c r="FK36" s="3">
        <f ca="1">IFERROR(__xludf.DUMMYFUNCTION("""COMPUTED_VALUE"""),-0.57089663535997)</f>
        <v>-0.57089663535997004</v>
      </c>
      <c r="FL36" s="3">
        <f ca="1">IFERROR(__xludf.DUMMYFUNCTION("""COMPUTED_VALUE"""),-0.630513240680595)</f>
        <v>-0.630513240680595</v>
      </c>
      <c r="FM36" s="3">
        <f ca="1">IFERROR(__xludf.DUMMYFUNCTION("""COMPUTED_VALUE"""),-0.591390412226013)</f>
        <v>-0.59139041222601296</v>
      </c>
      <c r="FN36" s="3">
        <f ca="1">IFERROR(__xludf.DUMMYFUNCTION("""COMPUTED_VALUE"""),-0.611700401081684)</f>
        <v>-0.611700401081684</v>
      </c>
      <c r="FO36" s="3">
        <f ca="1">IFERROR(__xludf.DUMMYFUNCTION("""COMPUTED_VALUE"""),-0.590500624268874)</f>
        <v>-0.59050062426887395</v>
      </c>
      <c r="FP36" s="3">
        <f ca="1">IFERROR(__xludf.DUMMYFUNCTION("""COMPUTED_VALUE"""),-0.510726603251512)</f>
        <v>-0.51072660325151198</v>
      </c>
      <c r="FQ36" s="3">
        <f ca="1">IFERROR(__xludf.DUMMYFUNCTION("""COMPUTED_VALUE"""),-0.562453749740755)</f>
        <v>-0.56245374974075502</v>
      </c>
      <c r="FR36" s="3">
        <f ca="1">IFERROR(__xludf.DUMMYFUNCTION("""COMPUTED_VALUE"""),-0.633781297461692)</f>
        <v>-0.63378129746169198</v>
      </c>
      <c r="FS36" s="3">
        <f ca="1">IFERROR(__xludf.DUMMYFUNCTION("""COMPUTED_VALUE"""),-0.646752386352559)</f>
        <v>-0.64675238635255905</v>
      </c>
      <c r="FT36" s="3">
        <f ca="1">IFERROR(__xludf.DUMMYFUNCTION("""COMPUTED_VALUE"""),-0.572736411577923)</f>
        <v>-0.57273641157792299</v>
      </c>
      <c r="FU36" s="3">
        <f ca="1">IFERROR(__xludf.DUMMYFUNCTION("""COMPUTED_VALUE"""),-0.559369012171622)</f>
        <v>-0.55936901217162205</v>
      </c>
      <c r="FV36" s="3">
        <f ca="1">IFERROR(__xludf.DUMMYFUNCTION("""COMPUTED_VALUE"""),-0.466256938755389)</f>
        <v>-0.46625693875538898</v>
      </c>
      <c r="FW36" s="3">
        <f ca="1">IFERROR(__xludf.DUMMYFUNCTION("""COMPUTED_VALUE"""),-0.50851070259687)</f>
        <v>-0.50851070259687003</v>
      </c>
      <c r="FX36" s="3">
        <f ca="1">IFERROR(__xludf.DUMMYFUNCTION("""COMPUTED_VALUE"""),-0.557335653824303)</f>
        <v>-0.55733565382430295</v>
      </c>
      <c r="FY36" s="3">
        <f ca="1">IFERROR(__xludf.DUMMYFUNCTION("""COMPUTED_VALUE"""),-0.597284667315627)</f>
        <v>-0.59728466731562702</v>
      </c>
      <c r="FZ36" s="3">
        <f ca="1">IFERROR(__xludf.DUMMYFUNCTION("""COMPUTED_VALUE"""),-0.588571112994951)</f>
        <v>-0.58857111299495102</v>
      </c>
      <c r="GA36" s="3">
        <f ca="1">IFERROR(__xludf.DUMMYFUNCTION("""COMPUTED_VALUE"""),-0.620367171056083)</f>
        <v>-0.62036717105608297</v>
      </c>
      <c r="GB36" s="3">
        <f ca="1">IFERROR(__xludf.DUMMYFUNCTION("""COMPUTED_VALUE"""),-0.585396062392614)</f>
        <v>-0.58539606239261399</v>
      </c>
      <c r="GC36" s="3">
        <f ca="1">IFERROR(__xludf.DUMMYFUNCTION("""COMPUTED_VALUE"""),-0.7236878674173)</f>
        <v>-0.72368786741729996</v>
      </c>
      <c r="GD36" s="3">
        <f ca="1">IFERROR(__xludf.DUMMYFUNCTION("""COMPUTED_VALUE"""),-0.512837971799663)</f>
        <v>-0.51283797179966295</v>
      </c>
      <c r="GE36" s="3">
        <f ca="1">IFERROR(__xludf.DUMMYFUNCTION("""COMPUTED_VALUE"""),-0.55535081721853)</f>
        <v>-0.55535081721852997</v>
      </c>
      <c r="GF36" s="3">
        <f ca="1">IFERROR(__xludf.DUMMYFUNCTION("""COMPUTED_VALUE"""),-0.610203229054235)</f>
        <v>-0.61020322905423496</v>
      </c>
      <c r="GG36" s="3">
        <f ca="1">IFERROR(__xludf.DUMMYFUNCTION("""COMPUTED_VALUE"""),-0.598718545441266)</f>
        <v>-0.59871854544126601</v>
      </c>
      <c r="GH36" s="3">
        <f ca="1">IFERROR(__xludf.DUMMYFUNCTION("""COMPUTED_VALUE"""),-0.58178389476569)</f>
        <v>-0.58178389476569004</v>
      </c>
      <c r="GI36" s="3">
        <f ca="1">IFERROR(__xludf.DUMMYFUNCTION("""COMPUTED_VALUE"""),-0.583062616931112)</f>
        <v>-0.58306261693111205</v>
      </c>
      <c r="GJ36" s="3">
        <f ca="1">IFERROR(__xludf.DUMMYFUNCTION("""COMPUTED_VALUE"""),-0.498473919046606)</f>
        <v>-0.49847391904660598</v>
      </c>
      <c r="GK36" s="3">
        <f ca="1">IFERROR(__xludf.DUMMYFUNCTION("""COMPUTED_VALUE"""),-0.493701920136665)</f>
        <v>-0.49370192013666497</v>
      </c>
      <c r="GL36" s="3">
        <f ca="1">IFERROR(__xludf.DUMMYFUNCTION("""COMPUTED_VALUE"""),-0.495754167661349)</f>
        <v>-0.495754167661349</v>
      </c>
      <c r="GM36" s="3">
        <f ca="1">IFERROR(__xludf.DUMMYFUNCTION("""COMPUTED_VALUE"""),-0.586990507997809)</f>
        <v>-0.58699050799780905</v>
      </c>
      <c r="GN36" s="3">
        <f ca="1">IFERROR(__xludf.DUMMYFUNCTION("""COMPUTED_VALUE"""),-0.570983691510501)</f>
        <v>-0.57098369151050099</v>
      </c>
      <c r="GO36" s="3">
        <f ca="1">IFERROR(__xludf.DUMMYFUNCTION("""COMPUTED_VALUE"""),-0.572280512486281)</f>
        <v>-0.57228051248628098</v>
      </c>
      <c r="GP36" s="3">
        <f ca="1">IFERROR(__xludf.DUMMYFUNCTION("""COMPUTED_VALUE"""),-0.573212925607795)</f>
        <v>-0.57321292560779502</v>
      </c>
      <c r="GQ36" s="3">
        <f ca="1">IFERROR(__xludf.DUMMYFUNCTION("""COMPUTED_VALUE"""),-0.55880849861701)</f>
        <v>-0.55880849861700999</v>
      </c>
      <c r="GR36" s="3">
        <f ca="1">IFERROR(__xludf.DUMMYFUNCTION("""COMPUTED_VALUE"""),-0.479021769643161)</f>
        <v>-0.47902176964316101</v>
      </c>
      <c r="GS36" s="3">
        <f ca="1">IFERROR(__xludf.DUMMYFUNCTION("""COMPUTED_VALUE"""),-0.496174013359921)</f>
        <v>-0.49617401335992101</v>
      </c>
      <c r="GT36" s="3">
        <f ca="1">IFERROR(__xludf.DUMMYFUNCTION("""COMPUTED_VALUE"""),-0.57858947864879)</f>
        <v>-0.57858947864878996</v>
      </c>
      <c r="GU36" s="3">
        <f ca="1">IFERROR(__xludf.DUMMYFUNCTION("""COMPUTED_VALUE"""),-0.574958160005098)</f>
        <v>-0.57495816000509803</v>
      </c>
      <c r="GV36" s="3">
        <f ca="1">IFERROR(__xludf.DUMMYFUNCTION("""COMPUTED_VALUE"""),-0.574633566318171)</f>
        <v>-0.57463356631817097</v>
      </c>
      <c r="GW36" s="3">
        <f ca="1">IFERROR(__xludf.DUMMYFUNCTION("""COMPUTED_VALUE"""),-0.571401120609157)</f>
        <v>-0.57140112060915704</v>
      </c>
      <c r="GX36" s="3">
        <f ca="1">IFERROR(__xludf.DUMMYFUNCTION("""COMPUTED_VALUE"""),-0.538832846012286)</f>
        <v>-0.53883284601228598</v>
      </c>
      <c r="GY36" s="3">
        <f ca="1">IFERROR(__xludf.DUMMYFUNCTION("""COMPUTED_VALUE"""),-0.460595855550657)</f>
        <v>-0.46059585555065702</v>
      </c>
      <c r="GZ36" s="3">
        <f ca="1">IFERROR(__xludf.DUMMYFUNCTION("""COMPUTED_VALUE"""),-0.510100032390036)</f>
        <v>-0.51010003239003598</v>
      </c>
      <c r="HA36" s="3">
        <f ca="1">IFERROR(__xludf.DUMMYFUNCTION("""COMPUTED_VALUE"""),-0.559562211164375)</f>
        <v>-0.55956221116437499</v>
      </c>
      <c r="HB36" s="3">
        <f ca="1">IFERROR(__xludf.DUMMYFUNCTION("""COMPUTED_VALUE"""),-0.553111395415292)</f>
        <v>-0.55311139541529197</v>
      </c>
      <c r="HC36" s="3">
        <f ca="1">IFERROR(__xludf.DUMMYFUNCTION("""COMPUTED_VALUE"""),-0.55525487683671)</f>
        <v>-0.55525487683671004</v>
      </c>
      <c r="HD36" s="3">
        <f ca="1">IFERROR(__xludf.DUMMYFUNCTION("""COMPUTED_VALUE"""),-0.556416358312976)</f>
        <v>-0.55641635831297598</v>
      </c>
      <c r="HE36" s="3">
        <f ca="1">IFERROR(__xludf.DUMMYFUNCTION("""COMPUTED_VALUE"""),-0.530296405985085)</f>
        <v>-0.53029640598508498</v>
      </c>
      <c r="HF36" s="3">
        <f ca="1">IFERROR(__xludf.DUMMYFUNCTION("""COMPUTED_VALUE"""),-0.506164796627596)</f>
        <v>-0.50616479662759595</v>
      </c>
      <c r="HG36" s="3">
        <f ca="1">IFERROR(__xludf.DUMMYFUNCTION("""COMPUTED_VALUE"""),-0.530888642683257)</f>
        <v>-0.53088864268325697</v>
      </c>
      <c r="HH36" s="3">
        <f ca="1">IFERROR(__xludf.DUMMYFUNCTION("""COMPUTED_VALUE"""),-0.528925315746058)</f>
        <v>-0.52892531574605794</v>
      </c>
      <c r="HI36" s="3">
        <f ca="1">IFERROR(__xludf.DUMMYFUNCTION("""COMPUTED_VALUE"""),-0.549162961987434)</f>
        <v>-0.54916296198743397</v>
      </c>
      <c r="HJ36" s="3">
        <f ca="1">IFERROR(__xludf.DUMMYFUNCTION("""COMPUTED_VALUE"""),-0.536459501643774)</f>
        <v>-0.53645950164377398</v>
      </c>
      <c r="HK36" s="3">
        <f ca="1">IFERROR(__xludf.DUMMYFUNCTION("""COMPUTED_VALUE"""),-0.512567764198552)</f>
        <v>-0.51256776419855199</v>
      </c>
      <c r="HL36" s="3">
        <f ca="1">IFERROR(__xludf.DUMMYFUNCTION("""COMPUTED_VALUE"""),-0.726407142265025)</f>
        <v>-0.72640714226502501</v>
      </c>
      <c r="HM36" s="3">
        <f ca="1">IFERROR(__xludf.DUMMYFUNCTION("""COMPUTED_VALUE"""),-0.479066153424238)</f>
        <v>-0.47906615342423797</v>
      </c>
      <c r="HN36" s="3">
        <f ca="1">IFERROR(__xludf.DUMMYFUNCTION("""COMPUTED_VALUE"""),-0.483509995466721)</f>
        <v>-0.48350999546672102</v>
      </c>
      <c r="HO36" s="3">
        <f ca="1">IFERROR(__xludf.DUMMYFUNCTION("""COMPUTED_VALUE"""),-0.517729085770209)</f>
        <v>-0.51772908577020904</v>
      </c>
      <c r="HP36" s="3">
        <f ca="1">IFERROR(__xludf.DUMMYFUNCTION("""COMPUTED_VALUE"""),-0.546214060706591)</f>
        <v>-0.54621406070659095</v>
      </c>
      <c r="HQ36" s="3">
        <f ca="1">IFERROR(__xludf.DUMMYFUNCTION("""COMPUTED_VALUE"""),-0.585786873531167)</f>
        <v>-0.58578687353116698</v>
      </c>
      <c r="HR36" s="3">
        <f ca="1">IFERROR(__xludf.DUMMYFUNCTION("""COMPUTED_VALUE"""),-0.618788850373232)</f>
        <v>-0.61878885037323195</v>
      </c>
      <c r="HS36" s="3">
        <f ca="1">IFERROR(__xludf.DUMMYFUNCTION("""COMPUTED_VALUE"""),-0.513045028949093)</f>
        <v>-0.51304502894909298</v>
      </c>
      <c r="HT36" s="3">
        <f ca="1">IFERROR(__xludf.DUMMYFUNCTION("""COMPUTED_VALUE"""),-0.43612607394971)</f>
        <v>-0.43612607394970998</v>
      </c>
      <c r="HU36" s="3">
        <f ca="1">IFERROR(__xludf.DUMMYFUNCTION("""COMPUTED_VALUE"""),-0.534977544325747)</f>
        <v>-0.53497754432574696</v>
      </c>
      <c r="HV36" s="3">
        <f ca="1">IFERROR(__xludf.DUMMYFUNCTION("""COMPUTED_VALUE"""),-0.620509896605746)</f>
        <v>-0.62050989660574596</v>
      </c>
      <c r="HW36" s="3">
        <f ca="1">IFERROR(__xludf.DUMMYFUNCTION("""COMPUTED_VALUE"""),-0.637654364775641)</f>
        <v>-0.63765436477564097</v>
      </c>
      <c r="HX36" s="3">
        <f ca="1">IFERROR(__xludf.DUMMYFUNCTION("""COMPUTED_VALUE"""),-0.668878252536923)</f>
        <v>-0.66887825253692301</v>
      </c>
      <c r="HY36" s="3">
        <f ca="1">IFERROR(__xludf.DUMMYFUNCTION("""COMPUTED_VALUE"""),-0.670686930940247)</f>
        <v>-0.67068693094024701</v>
      </c>
      <c r="HZ36" s="3">
        <f ca="1">IFERROR(__xludf.DUMMYFUNCTION("""COMPUTED_VALUE"""),-0.552801194624417)</f>
        <v>-0.55280119462441701</v>
      </c>
      <c r="IA36" s="3">
        <f ca="1">IFERROR(__xludf.DUMMYFUNCTION("""COMPUTED_VALUE"""),-0.509262732178241)</f>
        <v>-0.50926273217824103</v>
      </c>
      <c r="IB36" s="3">
        <f ca="1">IFERROR(__xludf.DUMMYFUNCTION("""COMPUTED_VALUE"""),-0.539441484789457)</f>
        <v>-0.53944148478945697</v>
      </c>
      <c r="IC36" s="3">
        <f ca="1">IFERROR(__xludf.DUMMYFUNCTION("""COMPUTED_VALUE"""),-0.552496949872707)</f>
        <v>-0.55249694987270703</v>
      </c>
      <c r="ID36" s="3">
        <f ca="1">IFERROR(__xludf.DUMMYFUNCTION("""COMPUTED_VALUE"""),-0.57231430474953)</f>
        <v>-0.57231430474953005</v>
      </c>
      <c r="IE36" s="3">
        <f ca="1">IFERROR(__xludf.DUMMYFUNCTION("""COMPUTED_VALUE"""),-0.568030524675721)</f>
        <v>-0.56803052467572102</v>
      </c>
      <c r="IF36" s="3">
        <f ca="1">IFERROR(__xludf.DUMMYFUNCTION("""COMPUTED_VALUE"""),-0.56905629251417)</f>
        <v>-0.56905629251417</v>
      </c>
      <c r="IG36" s="3">
        <f ca="1">IFERROR(__xludf.DUMMYFUNCTION("""COMPUTED_VALUE"""),-0.547977677327728)</f>
        <v>-0.54797767732772795</v>
      </c>
      <c r="IH36" s="3">
        <f ca="1">IFERROR(__xludf.DUMMYFUNCTION("""COMPUTED_VALUE"""),-0.502261124836009)</f>
        <v>-0.50226112483600904</v>
      </c>
      <c r="II36" s="3">
        <f ca="1">IFERROR(__xludf.DUMMYFUNCTION("""COMPUTED_VALUE"""),-0.521494851208109)</f>
        <v>-0.52149485120810901</v>
      </c>
      <c r="IJ36" s="3">
        <f ca="1">IFERROR(__xludf.DUMMYFUNCTION("""COMPUTED_VALUE"""),-0.524173071544994)</f>
        <v>-0.52417307154499404</v>
      </c>
      <c r="IK36" s="3">
        <f ca="1">IFERROR(__xludf.DUMMYFUNCTION("""COMPUTED_VALUE"""),-0.551192589506776)</f>
        <v>-0.55119258950677597</v>
      </c>
      <c r="IL36" s="3">
        <f ca="1">IFERROR(__xludf.DUMMYFUNCTION("""COMPUTED_VALUE"""),-0.542295458277386)</f>
        <v>-0.54229545827738601</v>
      </c>
      <c r="IM36" s="3">
        <f ca="1">IFERROR(__xludf.DUMMYFUNCTION("""COMPUTED_VALUE"""),-0.552674146490096)</f>
        <v>-0.55267414649009605</v>
      </c>
      <c r="IN36" s="3">
        <f ca="1">IFERROR(__xludf.DUMMYFUNCTION("""COMPUTED_VALUE"""),-0.476660701350099)</f>
        <v>-0.47666070135009903</v>
      </c>
      <c r="IO36" s="3">
        <f ca="1">IFERROR(__xludf.DUMMYFUNCTION("""COMPUTED_VALUE"""),-0.521513728280131)</f>
        <v>-0.52151372828013098</v>
      </c>
      <c r="IP36" s="3">
        <f ca="1">IFERROR(__xludf.DUMMYFUNCTION("""COMPUTED_VALUE"""),-0.54226811223485)</f>
        <v>-0.54226811223485005</v>
      </c>
      <c r="IQ36" s="3">
        <f ca="1">IFERROR(__xludf.DUMMYFUNCTION("""COMPUTED_VALUE"""),-0.582406988443814)</f>
        <v>-0.582406988443814</v>
      </c>
      <c r="IR36" s="3">
        <f ca="1">IFERROR(__xludf.DUMMYFUNCTION("""COMPUTED_VALUE"""),-0.551542788657703)</f>
        <v>-0.55154278865770301</v>
      </c>
      <c r="IS36" s="3">
        <f ca="1">IFERROR(__xludf.DUMMYFUNCTION("""COMPUTED_VALUE"""),-0.526968595579958)</f>
        <v>-0.52696859557995801</v>
      </c>
      <c r="IT36" s="3">
        <f ca="1">IFERROR(__xludf.DUMMYFUNCTION("""COMPUTED_VALUE"""),-0.537458620279821)</f>
        <v>-0.53745862027982105</v>
      </c>
      <c r="IU36" s="3">
        <f ca="1">IFERROR(__xludf.DUMMYFUNCTION("""COMPUTED_VALUE"""),-0.645099326756257)</f>
        <v>-0.64509932675625703</v>
      </c>
      <c r="IV36" s="3">
        <f ca="1">IFERROR(__xludf.DUMMYFUNCTION("""COMPUTED_VALUE"""),-0.521753792086369)</f>
        <v>-0.52175379208636896</v>
      </c>
      <c r="IW36" s="3">
        <f ca="1">IFERROR(__xludf.DUMMYFUNCTION("""COMPUTED_VALUE"""),-0.510660489146829)</f>
        <v>-0.51066048914682904</v>
      </c>
      <c r="IX36" s="3">
        <f ca="1">IFERROR(__xludf.DUMMYFUNCTION("""COMPUTED_VALUE"""),-0.56838094852137)</f>
        <v>-0.56838094852137</v>
      </c>
      <c r="IY36" s="3">
        <f ca="1">IFERROR(__xludf.DUMMYFUNCTION("""COMPUTED_VALUE"""),-0.571096961749718)</f>
        <v>-0.57109696174971802</v>
      </c>
      <c r="IZ36" s="3">
        <f ca="1">IFERROR(__xludf.DUMMYFUNCTION("""COMPUTED_VALUE"""),-0.558410868126597)</f>
        <v>-0.55841086812659702</v>
      </c>
      <c r="JA36" s="3">
        <f ca="1">IFERROR(__xludf.DUMMYFUNCTION("""COMPUTED_VALUE"""),-0.568520145197492)</f>
        <v>-0.56852014519749206</v>
      </c>
      <c r="JB36" s="3">
        <f ca="1">IFERROR(__xludf.DUMMYFUNCTION("""COMPUTED_VALUE"""),-0.532957977417156)</f>
        <v>-0.532957977417156</v>
      </c>
      <c r="JC36" s="3">
        <f ca="1">IFERROR(__xludf.DUMMYFUNCTION("""COMPUTED_VALUE"""),-0.542214057167431)</f>
        <v>-0.54221405716743099</v>
      </c>
      <c r="JD36" s="3">
        <f ca="1">IFERROR(__xludf.DUMMYFUNCTION("""COMPUTED_VALUE"""),-0.524687918610103)</f>
        <v>-0.524687918610103</v>
      </c>
      <c r="JE36" s="3">
        <f ca="1">IFERROR(__xludf.DUMMYFUNCTION("""COMPUTED_VALUE"""),-0.585367050088188)</f>
        <v>-0.58536705008818801</v>
      </c>
      <c r="JF36" s="3">
        <f ca="1">IFERROR(__xludf.DUMMYFUNCTION("""COMPUTED_VALUE"""),-0.589276406304292)</f>
        <v>-0.58927640630429201</v>
      </c>
      <c r="JG36" s="3">
        <f ca="1">IFERROR(__xludf.DUMMYFUNCTION("""COMPUTED_VALUE"""),-0.590155248896493)</f>
        <v>-0.59015524889649296</v>
      </c>
      <c r="JH36" s="3">
        <f ca="1">IFERROR(__xludf.DUMMYFUNCTION("""COMPUTED_VALUE"""),-0.596861093636585)</f>
        <v>-0.59686109363658502</v>
      </c>
      <c r="JI36" s="3">
        <f ca="1">IFERROR(__xludf.DUMMYFUNCTION("""COMPUTED_VALUE"""),-0.575585472606742)</f>
        <v>-0.57558547260674198</v>
      </c>
      <c r="JJ36" s="3">
        <f ca="1">IFERROR(__xludf.DUMMYFUNCTION("""COMPUTED_VALUE"""),-0.542870644573309)</f>
        <v>-0.54287064457330902</v>
      </c>
      <c r="JK36" s="3">
        <f ca="1">IFERROR(__xludf.DUMMYFUNCTION("""COMPUTED_VALUE"""),-0.536245268867542)</f>
        <v>-0.53624526886754198</v>
      </c>
      <c r="JL36" s="3">
        <f ca="1">IFERROR(__xludf.DUMMYFUNCTION("""COMPUTED_VALUE"""),-0.598283125828357)</f>
        <v>-0.59828312582835697</v>
      </c>
      <c r="JM36" s="3">
        <f ca="1">IFERROR(__xludf.DUMMYFUNCTION("""COMPUTED_VALUE"""),-0.623389288328106)</f>
        <v>-0.62338928832810603</v>
      </c>
      <c r="JN36" s="3">
        <f ca="1">IFERROR(__xludf.DUMMYFUNCTION("""COMPUTED_VALUE"""),-0.605819279477685)</f>
        <v>-0.60581927947768499</v>
      </c>
      <c r="JO36" s="3">
        <f ca="1">IFERROR(__xludf.DUMMYFUNCTION("""COMPUTED_VALUE"""),-0.629753477829117)</f>
        <v>-0.62975347782911695</v>
      </c>
      <c r="JP36" s="3">
        <f ca="1">IFERROR(__xludf.DUMMYFUNCTION("""COMPUTED_VALUE"""),-0.630630065862319)</f>
        <v>-0.63063006586231896</v>
      </c>
      <c r="JQ36" s="3">
        <f ca="1">IFERROR(__xludf.DUMMYFUNCTION("""COMPUTED_VALUE"""),-0.588837352319426)</f>
        <v>-0.58883735231942602</v>
      </c>
      <c r="JR36" s="3">
        <f ca="1">IFERROR(__xludf.DUMMYFUNCTION("""COMPUTED_VALUE"""),-0.56770477432515)</f>
        <v>-0.56770477432514999</v>
      </c>
      <c r="JS36" s="3">
        <f ca="1">IFERROR(__xludf.DUMMYFUNCTION("""COMPUTED_VALUE"""),-0.631435313534265)</f>
        <v>-0.63143531353426496</v>
      </c>
      <c r="JT36" s="3">
        <f ca="1">IFERROR(__xludf.DUMMYFUNCTION("""COMPUTED_VALUE"""),-0.630160973575414)</f>
        <v>-0.63016097357541401</v>
      </c>
      <c r="JU36" s="3">
        <f ca="1">IFERROR(__xludf.DUMMYFUNCTION("""COMPUTED_VALUE"""),-0.662082718776759)</f>
        <v>-0.66208271877675895</v>
      </c>
      <c r="JV36" s="3">
        <f ca="1">IFERROR(__xludf.DUMMYFUNCTION("""COMPUTED_VALUE"""),-0.665027688064851)</f>
        <v>-0.66502768806485102</v>
      </c>
      <c r="JW36" s="3">
        <f ca="1">IFERROR(__xludf.DUMMYFUNCTION("""COMPUTED_VALUE"""),-0.569558339093292)</f>
        <v>-0.56955833909329201</v>
      </c>
      <c r="JX36" s="3">
        <f ca="1">IFERROR(__xludf.DUMMYFUNCTION("""COMPUTED_VALUE"""),-0.569539100119257)</f>
        <v>-0.56953910011925701</v>
      </c>
      <c r="JY36" s="3">
        <f ca="1">IFERROR(__xludf.DUMMYFUNCTION("""COMPUTED_VALUE"""),-0.578285873395367)</f>
        <v>-0.57828587339536697</v>
      </c>
      <c r="JZ36" s="3">
        <f ca="1">IFERROR(__xludf.DUMMYFUNCTION("""COMPUTED_VALUE"""),-0.627505477489566)</f>
        <v>-0.62750547748956598</v>
      </c>
      <c r="KA36" s="3">
        <f ca="1">IFERROR(__xludf.DUMMYFUNCTION("""COMPUTED_VALUE"""),-0.661744026039691)</f>
        <v>-0.66174402603969096</v>
      </c>
      <c r="KB36" s="3">
        <f ca="1">IFERROR(__xludf.DUMMYFUNCTION("""COMPUTED_VALUE"""),-0.756809594020903)</f>
        <v>-0.75680959402090298</v>
      </c>
      <c r="KC36" s="3">
        <f ca="1">IFERROR(__xludf.DUMMYFUNCTION("""COMPUTED_VALUE"""),-0.702465087482269)</f>
        <v>-0.70246508748226899</v>
      </c>
      <c r="KD36" s="3">
        <f ca="1">IFERROR(__xludf.DUMMYFUNCTION("""COMPUTED_VALUE"""),-0.612314094629905)</f>
        <v>-0.61231409462990505</v>
      </c>
      <c r="KE36" s="3">
        <f ca="1">IFERROR(__xludf.DUMMYFUNCTION("""COMPUTED_VALUE"""),-0.566158353893764)</f>
        <v>-0.56615835389376401</v>
      </c>
      <c r="KF36" s="3">
        <f ca="1">IFERROR(__xludf.DUMMYFUNCTION("""COMPUTED_VALUE"""),-0.595647063456291)</f>
        <v>-0.59564706345629104</v>
      </c>
      <c r="KG36" s="3">
        <f ca="1">IFERROR(__xludf.DUMMYFUNCTION("""COMPUTED_VALUE"""),-0.667648302236678)</f>
        <v>-0.66764830223667804</v>
      </c>
      <c r="KH36" s="3">
        <f ca="1">IFERROR(__xludf.DUMMYFUNCTION("""COMPUTED_VALUE"""),-0.684553964031883)</f>
        <v>-0.68455396403188296</v>
      </c>
      <c r="KI36" s="3">
        <f ca="1">IFERROR(__xludf.DUMMYFUNCTION("""COMPUTED_VALUE"""),-0.687881957160241)</f>
        <v>-0.68788195716024103</v>
      </c>
      <c r="KJ36" s="3">
        <f ca="1">IFERROR(__xludf.DUMMYFUNCTION("""COMPUTED_VALUE"""),-0.696942061563801)</f>
        <v>-0.69694206156380101</v>
      </c>
      <c r="KK36" s="3">
        <f ca="1">IFERROR(__xludf.DUMMYFUNCTION("""COMPUTED_VALUE"""),-0.642049060936929)</f>
        <v>-0.64204906093692904</v>
      </c>
      <c r="KL36" s="3">
        <f ca="1">IFERROR(__xludf.DUMMYFUNCTION("""COMPUTED_VALUE"""),-0.613769667506574)</f>
        <v>-0.61376966750657402</v>
      </c>
      <c r="KM36" s="3">
        <f ca="1">IFERROR(__xludf.DUMMYFUNCTION("""COMPUTED_VALUE"""),-0.5861705698118)</f>
        <v>-0.58617056981180005</v>
      </c>
      <c r="KN36" s="3">
        <f ca="1">IFERROR(__xludf.DUMMYFUNCTION("""COMPUTED_VALUE"""),-0.673010305598238)</f>
        <v>-0.67301030559823805</v>
      </c>
      <c r="KO36" s="3">
        <f ca="1">IFERROR(__xludf.DUMMYFUNCTION("""COMPUTED_VALUE"""),-0.713081056589082)</f>
        <v>-0.71308105658908205</v>
      </c>
      <c r="KP36" s="3">
        <f ca="1">IFERROR(__xludf.DUMMYFUNCTION("""COMPUTED_VALUE"""),-0.7306284509939)</f>
        <v>-0.73062845099389995</v>
      </c>
      <c r="KQ36" s="3">
        <f ca="1">IFERROR(__xludf.DUMMYFUNCTION("""COMPUTED_VALUE"""),-0.704497308603901)</f>
        <v>-0.70449730860390103</v>
      </c>
      <c r="KR36" s="3">
        <f ca="1">IFERROR(__xludf.DUMMYFUNCTION("""COMPUTED_VALUE"""),-0.725713979876023)</f>
        <v>-0.72571397987602304</v>
      </c>
      <c r="KS36" s="3">
        <f ca="1">IFERROR(__xludf.DUMMYFUNCTION("""COMPUTED_VALUE"""),-0.545306557723231)</f>
        <v>-0.545306557723231</v>
      </c>
      <c r="KT36" s="3">
        <f ca="1">IFERROR(__xludf.DUMMYFUNCTION("""COMPUTED_VALUE"""),-0.581808358153072)</f>
        <v>-0.58180835815307197</v>
      </c>
      <c r="KU36" s="3">
        <f ca="1">IFERROR(__xludf.DUMMYFUNCTION("""COMPUTED_VALUE"""),-0.677184030868303)</f>
        <v>-0.67718403086830303</v>
      </c>
      <c r="KV36" s="3">
        <f ca="1">IFERROR(__xludf.DUMMYFUNCTION("""COMPUTED_VALUE"""),-0.708268233737279)</f>
        <v>-0.70826823373727898</v>
      </c>
      <c r="KW36" s="3">
        <f ca="1">IFERROR(__xludf.DUMMYFUNCTION("""COMPUTED_VALUE"""),-0.681950679573446)</f>
        <v>-0.68195067957344602</v>
      </c>
      <c r="KX36" s="3">
        <f ca="1">IFERROR(__xludf.DUMMYFUNCTION("""COMPUTED_VALUE"""),-0.714848267062249)</f>
        <v>-0.71484826706224902</v>
      </c>
      <c r="KY36" s="3">
        <f ca="1">IFERROR(__xludf.DUMMYFUNCTION("""COMPUTED_VALUE"""),-0.716374332860772)</f>
        <v>-0.71637433286077201</v>
      </c>
      <c r="KZ36" s="3">
        <f ca="1">IFERROR(__xludf.DUMMYFUNCTION("""COMPUTED_VALUE"""),-0.637655677280231)</f>
        <v>-0.63765567728023098</v>
      </c>
      <c r="LA36" s="3">
        <f ca="1">IFERROR(__xludf.DUMMYFUNCTION("""COMPUTED_VALUE"""),-0.678817825111334)</f>
        <v>-0.67881782511133404</v>
      </c>
      <c r="LB36" s="3">
        <f ca="1">IFERROR(__xludf.DUMMYFUNCTION("""COMPUTED_VALUE"""),-0.682531405066995)</f>
        <v>-0.68253140506699495</v>
      </c>
      <c r="LC36" s="3">
        <f ca="1">IFERROR(__xludf.DUMMYFUNCTION("""COMPUTED_VALUE"""),-0.73332326723919)</f>
        <v>-0.73332326723918995</v>
      </c>
      <c r="LD36" s="3">
        <f ca="1">IFERROR(__xludf.DUMMYFUNCTION("""COMPUTED_VALUE"""),-0.731943228221145)</f>
        <v>-0.73194322822114499</v>
      </c>
      <c r="LE36" s="3">
        <f ca="1">IFERROR(__xludf.DUMMYFUNCTION("""COMPUTED_VALUE"""),-0.704831360675943)</f>
        <v>-0.70483136067594299</v>
      </c>
      <c r="LF36" s="3">
        <f ca="1">IFERROR(__xludf.DUMMYFUNCTION("""COMPUTED_VALUE"""),-0.714301268860601)</f>
        <v>-0.71430126886060097</v>
      </c>
      <c r="LG36" s="3">
        <f ca="1">IFERROR(__xludf.DUMMYFUNCTION("""COMPUTED_VALUE"""),-0.626403039951899)</f>
        <v>-0.62640303995189905</v>
      </c>
      <c r="LH36" s="3">
        <f ca="1">IFERROR(__xludf.DUMMYFUNCTION("""COMPUTED_VALUE"""),-0.626284676376457)</f>
        <v>-0.62628467637645702</v>
      </c>
      <c r="LI36" s="3">
        <f ca="1">IFERROR(__xludf.DUMMYFUNCTION("""COMPUTED_VALUE"""),-0.728962561901124)</f>
        <v>-0.72896256190112396</v>
      </c>
      <c r="LJ36" s="3">
        <f ca="1">IFERROR(__xludf.DUMMYFUNCTION("""COMPUTED_VALUE"""),-0.745285316424261)</f>
        <v>-0.74528531642426099</v>
      </c>
      <c r="LK36" s="3">
        <f ca="1">IFERROR(__xludf.DUMMYFUNCTION("""COMPUTED_VALUE"""),-0.751936001487676)</f>
        <v>-0.75193600148767603</v>
      </c>
      <c r="LL36" s="3">
        <f ca="1">IFERROR(__xludf.DUMMYFUNCTION("""COMPUTED_VALUE"""),-0.745428974521088)</f>
        <v>-0.74542897452108803</v>
      </c>
      <c r="LM36" s="3">
        <f ca="1">IFERROR(__xludf.DUMMYFUNCTION("""COMPUTED_VALUE"""),-0.706150944838394)</f>
        <v>-0.70615094483839402</v>
      </c>
      <c r="LN36" s="3">
        <f ca="1">IFERROR(__xludf.DUMMYFUNCTION("""COMPUTED_VALUE"""),-0.615556001278999)</f>
        <v>-0.61555600127899901</v>
      </c>
      <c r="LO36" s="3">
        <f ca="1">IFERROR(__xludf.DUMMYFUNCTION("""COMPUTED_VALUE"""),-0.667296885707478)</f>
        <v>-0.66729688570747803</v>
      </c>
      <c r="LP36" s="3">
        <f ca="1">IFERROR(__xludf.DUMMYFUNCTION("""COMPUTED_VALUE"""),-0.788058186736684)</f>
        <v>-0.78805818673668404</v>
      </c>
      <c r="LQ36" s="3">
        <f ca="1">IFERROR(__xludf.DUMMYFUNCTION("""COMPUTED_VALUE"""),-0.818490945847284)</f>
        <v>-0.81849094584728399</v>
      </c>
      <c r="LR36" s="3">
        <f ca="1">IFERROR(__xludf.DUMMYFUNCTION("""COMPUTED_VALUE"""),-0.774262787283109)</f>
        <v>-0.77426278728310904</v>
      </c>
      <c r="LS36" s="3">
        <f ca="1">IFERROR(__xludf.DUMMYFUNCTION("""COMPUTED_VALUE"""),-0.769127554269514)</f>
        <v>-0.76912755426951396</v>
      </c>
      <c r="LT36" s="3">
        <f ca="1">IFERROR(__xludf.DUMMYFUNCTION("""COMPUTED_VALUE"""),-0.785883635103791)</f>
        <v>-0.785883635103791</v>
      </c>
      <c r="LU36" s="3">
        <f ca="1">IFERROR(__xludf.DUMMYFUNCTION("""COMPUTED_VALUE"""),-0.658446033362701)</f>
        <v>-0.65844603336270102</v>
      </c>
      <c r="LV36" s="3">
        <f ca="1">IFERROR(__xludf.DUMMYFUNCTION("""COMPUTED_VALUE"""),-0.693954158413694)</f>
        <v>-0.69395415841369401</v>
      </c>
      <c r="LW36" s="3">
        <f ca="1">IFERROR(__xludf.DUMMYFUNCTION("""COMPUTED_VALUE"""),-0.794001965434158)</f>
        <v>-0.79400196543415802</v>
      </c>
      <c r="LX36" s="3">
        <f ca="1">IFERROR(__xludf.DUMMYFUNCTION("""COMPUTED_VALUE"""),-0.804727370382695)</f>
        <v>-0.80472737038269504</v>
      </c>
      <c r="LY36" s="3">
        <f ca="1">IFERROR(__xludf.DUMMYFUNCTION("""COMPUTED_VALUE"""),-0.805272601193606)</f>
        <v>-0.805272601193606</v>
      </c>
      <c r="LZ36" s="3">
        <f ca="1">IFERROR(__xludf.DUMMYFUNCTION("""COMPUTED_VALUE"""),-0.807978613129599)</f>
        <v>-0.80797861312959895</v>
      </c>
      <c r="MA36" s="3">
        <f ca="1">IFERROR(__xludf.DUMMYFUNCTION("""COMPUTED_VALUE"""),-0.774158115390928)</f>
        <v>-0.77415811539092805</v>
      </c>
      <c r="MB36" s="3">
        <f ca="1">IFERROR(__xludf.DUMMYFUNCTION("""COMPUTED_VALUE"""),-0.717761054583493)</f>
        <v>-0.71776105458349304</v>
      </c>
      <c r="MC36" s="3">
        <f ca="1">IFERROR(__xludf.DUMMYFUNCTION("""COMPUTED_VALUE"""),-0.755092112685518)</f>
        <v>-0.75509211268551801</v>
      </c>
      <c r="MD36" s="3">
        <f ca="1">IFERROR(__xludf.DUMMYFUNCTION("""COMPUTED_VALUE"""),-0.819279875878415)</f>
        <v>-0.819279875878415</v>
      </c>
      <c r="ME36" s="3">
        <f ca="1">IFERROR(__xludf.DUMMYFUNCTION("""COMPUTED_VALUE"""),-0.826781665498118)</f>
        <v>-0.82678166549811805</v>
      </c>
      <c r="MF36" s="3">
        <f ca="1">IFERROR(__xludf.DUMMYFUNCTION("""COMPUTED_VALUE"""),-0.815981665374202)</f>
        <v>-0.81598166537420203</v>
      </c>
      <c r="MG36" s="3">
        <f ca="1">IFERROR(__xludf.DUMMYFUNCTION("""COMPUTED_VALUE"""),-0.810434105699467)</f>
        <v>-0.81043410569946694</v>
      </c>
      <c r="MH36" s="3">
        <f ca="1">IFERROR(__xludf.DUMMYFUNCTION("""COMPUTED_VALUE"""),-0.836711537252012)</f>
        <v>-0.83671153725201197</v>
      </c>
      <c r="MI36" s="3">
        <f ca="1">IFERROR(__xludf.DUMMYFUNCTION("""COMPUTED_VALUE"""),-0.748787853093157)</f>
        <v>-0.74878785309315699</v>
      </c>
      <c r="MJ36" s="3">
        <f ca="1">IFERROR(__xludf.DUMMYFUNCTION("""COMPUTED_VALUE"""),-0.743845343125597)</f>
        <v>-0.74384534312559702</v>
      </c>
      <c r="MK36" s="3">
        <f ca="1">IFERROR(__xludf.DUMMYFUNCTION("""COMPUTED_VALUE"""),-0.820011652172964)</f>
        <v>-0.82001165217296401</v>
      </c>
      <c r="ML36" s="3">
        <f ca="1">IFERROR(__xludf.DUMMYFUNCTION("""COMPUTED_VALUE"""),-0.847224609042594)</f>
        <v>-0.847224609042594</v>
      </c>
      <c r="MM36" s="3">
        <f ca="1">IFERROR(__xludf.DUMMYFUNCTION("""COMPUTED_VALUE"""),-0.834423753829514)</f>
        <v>-0.83442375382951395</v>
      </c>
      <c r="MN36" s="3">
        <f ca="1">IFERROR(__xludf.DUMMYFUNCTION("""COMPUTED_VALUE"""),-0.833518524432154)</f>
        <v>-0.83351852443215402</v>
      </c>
      <c r="MO36" s="3">
        <f ca="1">IFERROR(__xludf.DUMMYFUNCTION("""COMPUTED_VALUE"""),-0.818103959468227)</f>
        <v>-0.818103959468227</v>
      </c>
      <c r="MP36" s="3">
        <f ca="1">IFERROR(__xludf.DUMMYFUNCTION("""COMPUTED_VALUE"""),-0.743612759158447)</f>
        <v>-0.74361275915844705</v>
      </c>
      <c r="MQ36" s="3">
        <f ca="1">IFERROR(__xludf.DUMMYFUNCTION("""COMPUTED_VALUE"""),-0.776058704652233)</f>
        <v>-0.77605870465223303</v>
      </c>
      <c r="MR36" s="3">
        <f ca="1">IFERROR(__xludf.DUMMYFUNCTION("""COMPUTED_VALUE"""),-0.815527694346772)</f>
        <v>-0.81552769434677197</v>
      </c>
      <c r="MS36" s="3">
        <f ca="1">IFERROR(__xludf.DUMMYFUNCTION("""COMPUTED_VALUE"""),-0.846727129959023)</f>
        <v>-0.84672712995902299</v>
      </c>
      <c r="MT36" s="3">
        <f ca="1">IFERROR(__xludf.DUMMYFUNCTION("""COMPUTED_VALUE"""),-0.845704662692687)</f>
        <v>-0.84570466269268696</v>
      </c>
      <c r="MU36" s="3">
        <f ca="1">IFERROR(__xludf.DUMMYFUNCTION("""COMPUTED_VALUE"""),-0.831345414423219)</f>
        <v>-0.83134541442321896</v>
      </c>
      <c r="MV36" s="3">
        <f ca="1">IFERROR(__xludf.DUMMYFUNCTION("""COMPUTED_VALUE"""),-0.797220364676943)</f>
        <v>-0.79722036467694302</v>
      </c>
      <c r="MW36" s="3">
        <f ca="1">IFERROR(__xludf.DUMMYFUNCTION("""COMPUTED_VALUE"""),-0.743503628952014)</f>
        <v>-0.74350362895201405</v>
      </c>
      <c r="MX36" s="3">
        <f ca="1">IFERROR(__xludf.DUMMYFUNCTION("""COMPUTED_VALUE"""),-0.77856050951515)</f>
        <v>-0.77856050951514999</v>
      </c>
      <c r="MY36" s="3">
        <f ca="1">IFERROR(__xludf.DUMMYFUNCTION("""COMPUTED_VALUE"""),-0.82362092123271)</f>
        <v>-0.82362092123271002</v>
      </c>
      <c r="MZ36" s="3">
        <f ca="1">IFERROR(__xludf.DUMMYFUNCTION("""COMPUTED_VALUE"""),-0.858655368459598)</f>
        <v>-0.858655368459598</v>
      </c>
      <c r="NA36" s="3">
        <f ca="1">IFERROR(__xludf.DUMMYFUNCTION("""COMPUTED_VALUE"""),-0.84702930202179)</f>
        <v>-0.84702930202179005</v>
      </c>
      <c r="NB36" s="3">
        <f ca="1">IFERROR(__xludf.DUMMYFUNCTION("""COMPUTED_VALUE"""),-0.850418438372394)</f>
        <v>-0.85041843837239395</v>
      </c>
      <c r="NC36" s="3">
        <f ca="1">IFERROR(__xludf.DUMMYFUNCTION("""COMPUTED_VALUE"""),-0.827278601079241)</f>
        <v>-0.827278601079241</v>
      </c>
      <c r="ND36" s="3">
        <f ca="1">IFERROR(__xludf.DUMMYFUNCTION("""COMPUTED_VALUE"""),-0.783010990652873)</f>
        <v>-0.78301099065287305</v>
      </c>
      <c r="NE36" s="3">
        <f ca="1">IFERROR(__xludf.DUMMYFUNCTION("""COMPUTED_VALUE"""),-0.79634943051712)</f>
        <v>-0.79634943051712004</v>
      </c>
      <c r="NF36" s="3">
        <f ca="1">IFERROR(__xludf.DUMMYFUNCTION("""COMPUTED_VALUE"""),-0.854001039100274)</f>
        <v>-0.85400103910027403</v>
      </c>
      <c r="NG36" s="3">
        <f ca="1">IFERROR(__xludf.DUMMYFUNCTION("""COMPUTED_VALUE"""),-0.849645881145985)</f>
        <v>-0.84964588114598505</v>
      </c>
      <c r="NH36" s="3">
        <f ca="1">IFERROR(__xludf.DUMMYFUNCTION("""COMPUTED_VALUE"""),-0.836674266730575)</f>
        <v>-0.83667426673057499</v>
      </c>
      <c r="NI36" s="3">
        <f ca="1">IFERROR(__xludf.DUMMYFUNCTION("""COMPUTED_VALUE"""),-0.844965789940515)</f>
        <v>-0.84496578994051497</v>
      </c>
      <c r="NJ36" s="3">
        <f ca="1">IFERROR(__xludf.DUMMYFUNCTION("""COMPUTED_VALUE"""),-0.835424694864161)</f>
        <v>-0.83542469486416104</v>
      </c>
      <c r="NK36" s="3">
        <f ca="1">IFERROR(__xludf.DUMMYFUNCTION("""COMPUTED_VALUE"""),-0.760422380547059)</f>
        <v>-0.76042238054705902</v>
      </c>
      <c r="NL36" s="3">
        <f ca="1">IFERROR(__xludf.DUMMYFUNCTION("""COMPUTED_VALUE"""),-0.774063463842603)</f>
        <v>-0.77406346384260305</v>
      </c>
      <c r="NM36" s="3">
        <f ca="1">IFERROR(__xludf.DUMMYFUNCTION("""COMPUTED_VALUE"""),-0.807026380608601)</f>
        <v>-0.80702638060860099</v>
      </c>
      <c r="NN36" s="3">
        <f ca="1">IFERROR(__xludf.DUMMYFUNCTION("""COMPUTED_VALUE"""),-0.823009463207207)</f>
        <v>-0.82300946320720703</v>
      </c>
      <c r="NO36" s="3">
        <f ca="1">IFERROR(__xludf.DUMMYFUNCTION("""COMPUTED_VALUE"""),-0.81114595509071)</f>
        <v>-0.81114595509070997</v>
      </c>
      <c r="NP36" s="3">
        <f ca="1">IFERROR(__xludf.DUMMYFUNCTION("""COMPUTED_VALUE"""),-0.813937335489193)</f>
        <v>-0.813937335489193</v>
      </c>
      <c r="NQ36" s="3">
        <f ca="1">IFERROR(__xludf.DUMMYFUNCTION("""COMPUTED_VALUE"""),-0.819393597091766)</f>
        <v>-0.81939359709176596</v>
      </c>
      <c r="NR36" s="3">
        <f ca="1">IFERROR(__xludf.DUMMYFUNCTION("""COMPUTED_VALUE"""),-0.755354239355206)</f>
        <v>-0.75535423935520596</v>
      </c>
      <c r="NS36" s="3">
        <f ca="1">IFERROR(__xludf.DUMMYFUNCTION("""COMPUTED_VALUE"""),-0.784574962935646)</f>
        <v>-0.78457496293564599</v>
      </c>
      <c r="NT36" s="3">
        <f ca="1">IFERROR(__xludf.DUMMYFUNCTION("""COMPUTED_VALUE"""),-0.816161779644145)</f>
        <v>-0.81616177964414505</v>
      </c>
      <c r="NU36" s="3">
        <f ca="1">IFERROR(__xludf.DUMMYFUNCTION("""COMPUTED_VALUE"""),-0.825943378831415)</f>
        <v>-0.825943378831415</v>
      </c>
      <c r="NV36" s="3">
        <f ca="1">IFERROR(__xludf.DUMMYFUNCTION("""COMPUTED_VALUE"""),-0.820970744145734)</f>
        <v>-0.82097074414573401</v>
      </c>
      <c r="NW36" s="3">
        <f ca="1">IFERROR(__xludf.DUMMYFUNCTION("""COMPUTED_VALUE"""),-0.8053153072421)</f>
        <v>-0.80531530724209999</v>
      </c>
      <c r="NX36" s="3">
        <f ca="1">IFERROR(__xludf.DUMMYFUNCTION("""COMPUTED_VALUE"""),-0.797178698423027)</f>
        <v>-0.79717869842302702</v>
      </c>
      <c r="NY36" s="3">
        <f ca="1">IFERROR(__xludf.DUMMYFUNCTION("""COMPUTED_VALUE"""),-0.687581209115685)</f>
        <v>-0.68758120911568499</v>
      </c>
      <c r="NZ36" s="3">
        <f ca="1">IFERROR(__xludf.DUMMYFUNCTION("""COMPUTED_VALUE"""),-0.695633631584309)</f>
        <v>-0.69563363158430902</v>
      </c>
      <c r="OA36" s="3">
        <f ca="1">IFERROR(__xludf.DUMMYFUNCTION("""COMPUTED_VALUE"""),-0.714046010365428)</f>
        <v>-0.71404601036542803</v>
      </c>
      <c r="OB36" s="3">
        <f ca="1">IFERROR(__xludf.DUMMYFUNCTION("""COMPUTED_VALUE"""),-0.6907971674158)</f>
        <v>-0.6907971674158</v>
      </c>
      <c r="OC36" s="3">
        <f ca="1">IFERROR(__xludf.DUMMYFUNCTION("""COMPUTED_VALUE"""),-0.613930721135801)</f>
        <v>-0.61393072113580105</v>
      </c>
      <c r="OD36" s="3">
        <f ca="1">IFERROR(__xludf.DUMMYFUNCTION("""COMPUTED_VALUE"""),-0.488442235256519)</f>
        <v>-0.48844223525651898</v>
      </c>
      <c r="OE36" s="3">
        <f ca="1">IFERROR(__xludf.DUMMYFUNCTION("""COMPUTED_VALUE"""),-0.584476062979001)</f>
        <v>-0.58447606297900101</v>
      </c>
      <c r="OF36" s="3">
        <f ca="1">IFERROR(__xludf.DUMMYFUNCTION("""COMPUTED_VALUE"""),-0.363347573163483)</f>
        <v>-0.36334757316348298</v>
      </c>
      <c r="OG36" s="3">
        <f ca="1">IFERROR(__xludf.DUMMYFUNCTION("""COMPUTED_VALUE"""),-0.341966289674872)</f>
        <v>-0.34196628967487203</v>
      </c>
      <c r="OH36" s="3">
        <f ca="1">IFERROR(__xludf.DUMMYFUNCTION("""COMPUTED_VALUE"""),-0.241592348462211)</f>
        <v>-0.241592348462211</v>
      </c>
      <c r="OI36" s="3">
        <f ca="1">IFERROR(__xludf.DUMMYFUNCTION("""COMPUTED_VALUE"""),-0.0410030641577823)</f>
        <v>-4.10030641577823E-2</v>
      </c>
      <c r="OJ36" s="3">
        <f ca="1">IFERROR(__xludf.DUMMYFUNCTION("""COMPUTED_VALUE"""),-0.0296634429264414)</f>
        <v>-2.9663442926441401E-2</v>
      </c>
      <c r="OK36" s="3">
        <f ca="1">IFERROR(__xludf.DUMMYFUNCTION("""COMPUTED_VALUE"""),0.00268167919664974)</f>
        <v>2.6816791966497401E-3</v>
      </c>
      <c r="OL36" s="3">
        <f ca="1">IFERROR(__xludf.DUMMYFUNCTION("""COMPUTED_VALUE"""),0.0230401196918776)</f>
        <v>2.3040119691877602E-2</v>
      </c>
      <c r="OM36" s="3">
        <f ca="1">IFERROR(__xludf.DUMMYFUNCTION("""COMPUTED_VALUE"""),-0.0657715142267114)</f>
        <v>-6.5771514226711403E-2</v>
      </c>
      <c r="ON36" s="3">
        <f ca="1">IFERROR(__xludf.DUMMYFUNCTION("""COMPUTED_VALUE"""),-0.101516901723871)</f>
        <v>-0.101516901723871</v>
      </c>
      <c r="OO36" s="3">
        <f ca="1">IFERROR(__xludf.DUMMYFUNCTION("""COMPUTED_VALUE"""),0.0248716501433319)</f>
        <v>2.4871650143331901E-2</v>
      </c>
      <c r="OP36" s="3">
        <f ca="1">IFERROR(__xludf.DUMMYFUNCTION("""COMPUTED_VALUE"""),0.0342357433040969)</f>
        <v>3.4235743304096899E-2</v>
      </c>
      <c r="OQ36" s="3">
        <f ca="1">IFERROR(__xludf.DUMMYFUNCTION("""COMPUTED_VALUE"""),0.0156967232344984)</f>
        <v>1.5696723234498399E-2</v>
      </c>
      <c r="OR36" s="3">
        <f ca="1">IFERROR(__xludf.DUMMYFUNCTION("""COMPUTED_VALUE"""),0.0293579395401619)</f>
        <v>2.9357939540161901E-2</v>
      </c>
      <c r="OS36" s="3">
        <f ca="1">IFERROR(__xludf.DUMMYFUNCTION("""COMPUTED_VALUE"""),0.06032346396922)</f>
        <v>6.0323463969219997E-2</v>
      </c>
      <c r="OT36" s="3">
        <f ca="1">IFERROR(__xludf.DUMMYFUNCTION("""COMPUTED_VALUE"""),0.0491887257687602)</f>
        <v>4.9188725768760197E-2</v>
      </c>
      <c r="OU36" s="3">
        <f ca="1">IFERROR(__xludf.DUMMYFUNCTION("""COMPUTED_VALUE"""),-0.0281104880570692)</f>
        <v>-2.81104880570692E-2</v>
      </c>
      <c r="OV36" s="3">
        <f ca="1">IFERROR(__xludf.DUMMYFUNCTION("""COMPUTED_VALUE"""),-0.0635537448720517)</f>
        <v>-6.3553744872051704E-2</v>
      </c>
      <c r="OW36" s="3">
        <f ca="1">IFERROR(__xludf.DUMMYFUNCTION("""COMPUTED_VALUE"""),-0.044792394036437)</f>
        <v>-4.4792394036436999E-2</v>
      </c>
      <c r="OX36" s="3">
        <f ca="1">IFERROR(__xludf.DUMMYFUNCTION("""COMPUTED_VALUE"""),0.0521756515335944)</f>
        <v>5.2175651533594401E-2</v>
      </c>
      <c r="OY36" s="3">
        <f ca="1">IFERROR(__xludf.DUMMYFUNCTION("""COMPUTED_VALUE"""),0.0455640179815488)</f>
        <v>4.5564017981548799E-2</v>
      </c>
      <c r="OZ36" s="3">
        <f ca="1">IFERROR(__xludf.DUMMYFUNCTION("""COMPUTED_VALUE"""),0.24388893619316)</f>
        <v>0.24388893619315999</v>
      </c>
      <c r="PA36" s="3">
        <f ca="1">IFERROR(__xludf.DUMMYFUNCTION("""COMPUTED_VALUE"""),-0.0156677006852955)</f>
        <v>-1.5667700685295501E-2</v>
      </c>
      <c r="PB36" s="3">
        <f ca="1">IFERROR(__xludf.DUMMYFUNCTION("""COMPUTED_VALUE"""),0.0413807926997733)</f>
        <v>4.1380792699773301E-2</v>
      </c>
      <c r="PC36" s="3">
        <f ca="1">IFERROR(__xludf.DUMMYFUNCTION("""COMPUTED_VALUE"""),0.0146820321925242)</f>
        <v>1.4682032192524201E-2</v>
      </c>
      <c r="PD36" s="3">
        <f ca="1">IFERROR(__xludf.DUMMYFUNCTION("""COMPUTED_VALUE"""),-0.0116351973150139)</f>
        <v>-1.16351973150139E-2</v>
      </c>
      <c r="PE36" s="3">
        <f ca="1">IFERROR(__xludf.DUMMYFUNCTION("""COMPUTED_VALUE"""),-0.0322571855947918)</f>
        <v>-3.22571855947918E-2</v>
      </c>
      <c r="PF36" s="3">
        <f ca="1">IFERROR(__xludf.DUMMYFUNCTION("""COMPUTED_VALUE"""),-0.190144470884308)</f>
        <v>-0.190144470884308</v>
      </c>
      <c r="PG36" s="3">
        <f ca="1">IFERROR(__xludf.DUMMYFUNCTION("""COMPUTED_VALUE"""),-0.445057634482774)</f>
        <v>-0.44505763448277402</v>
      </c>
      <c r="PH36" s="3">
        <f ca="1">IFERROR(__xludf.DUMMYFUNCTION("""COMPUTED_VALUE"""),0.0492032852956658)</f>
        <v>4.9203285295665797E-2</v>
      </c>
      <c r="PI36" s="3">
        <f ca="1">IFERROR(__xludf.DUMMYFUNCTION("""COMPUTED_VALUE"""),-0.0192047679187622)</f>
        <v>-1.9204767918762199E-2</v>
      </c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</row>
    <row r="37" spans="1:477" ht="15.75" customHeight="1">
      <c r="A37" s="1" t="str">
        <f ca="1">IFERROR(__xludf.DUMMYFUNCTION("""COMPUTED_VALUE"""),"Strathcona County Transit")</f>
        <v>Strathcona County Transit</v>
      </c>
      <c r="B37" s="1" t="str">
        <f ca="1">IFERROR(__xludf.DUMMYFUNCTION("""COMPUTED_VALUE"""),"Edmonton")</f>
        <v>Edmonton</v>
      </c>
      <c r="C37" s="1" t="str">
        <f ca="1">IFERROR(__xludf.DUMMYFUNCTION("""COMPUTED_VALUE"""),"Canada")</f>
        <v>Canada</v>
      </c>
      <c r="D37" s="1" t="str">
        <f ca="1">IFERROR(__xludf.DUMMYFUNCTION("""COMPUTED_VALUE"""),"Alberta")</f>
        <v>Alberta</v>
      </c>
      <c r="E37" s="3">
        <f ca="1">IFERROR(__xludf.DUMMYFUNCTION("""COMPUTED_VALUE"""),-0.575785553453833)</f>
        <v>-0.57578555345383298</v>
      </c>
      <c r="F37" s="3">
        <f ca="1">IFERROR(__xludf.DUMMYFUNCTION("""COMPUTED_VALUE"""),-0.558898264766811)</f>
        <v>-0.55889826476681104</v>
      </c>
      <c r="G37" s="3">
        <f ca="1">IFERROR(__xludf.DUMMYFUNCTION("""COMPUTED_VALUE"""),-0.686393397770462)</f>
        <v>-0.68639339777046204</v>
      </c>
      <c r="H37" s="3">
        <f ca="1">IFERROR(__xludf.DUMMYFUNCTION("""COMPUTED_VALUE"""),-0.742257718199777)</f>
        <v>-0.74225771819977704</v>
      </c>
      <c r="I37" s="3">
        <f ca="1">IFERROR(__xludf.DUMMYFUNCTION("""COMPUTED_VALUE"""),-0.761714312515958)</f>
        <v>-0.761714312515958</v>
      </c>
      <c r="J37" s="3">
        <f ca="1">IFERROR(__xludf.DUMMYFUNCTION("""COMPUTED_VALUE"""),-0.755610541412966)</f>
        <v>-0.75561054141296602</v>
      </c>
      <c r="K37" s="3">
        <f ca="1">IFERROR(__xludf.DUMMYFUNCTION("""COMPUTED_VALUE"""),-0.673866969179886)</f>
        <v>-0.67386696917988598</v>
      </c>
      <c r="L37" s="3">
        <f ca="1">IFERROR(__xludf.DUMMYFUNCTION("""COMPUTED_VALUE"""),-0.837408424129549)</f>
        <v>-0.83740842412954897</v>
      </c>
      <c r="M37" s="3">
        <f ca="1">IFERROR(__xludf.DUMMYFUNCTION("""COMPUTED_VALUE"""),-0.873569996793923)</f>
        <v>-0.873569996793923</v>
      </c>
      <c r="N37" s="3">
        <f ca="1">IFERROR(__xludf.DUMMYFUNCTION("""COMPUTED_VALUE"""),-0.769808442830644)</f>
        <v>-0.76980844283064398</v>
      </c>
      <c r="O37" s="3">
        <f ca="1">IFERROR(__xludf.DUMMYFUNCTION("""COMPUTED_VALUE"""),-0.7823575370669)</f>
        <v>-0.78235753706690003</v>
      </c>
      <c r="P37" s="3">
        <f ca="1">IFERROR(__xludf.DUMMYFUNCTION("""COMPUTED_VALUE"""),-0.78743236250884)</f>
        <v>-0.78743236250883997</v>
      </c>
      <c r="Q37" s="3">
        <f ca="1">IFERROR(__xludf.DUMMYFUNCTION("""COMPUTED_VALUE"""),-0.773290335800187)</f>
        <v>-0.77329033580018702</v>
      </c>
      <c r="R37" s="3">
        <f ca="1">IFERROR(__xludf.DUMMYFUNCTION("""COMPUTED_VALUE"""),-0.693407456519834)</f>
        <v>-0.69340745651983404</v>
      </c>
      <c r="S37" s="3">
        <f ca="1">IFERROR(__xludf.DUMMYFUNCTION("""COMPUTED_VALUE"""),-0.697644672635725)</f>
        <v>-0.69764467263572505</v>
      </c>
      <c r="T37" s="3">
        <f ca="1">IFERROR(__xludf.DUMMYFUNCTION("""COMPUTED_VALUE"""),-0.72614837855976)</f>
        <v>-0.72614837855976</v>
      </c>
      <c r="U37" s="3">
        <f ca="1">IFERROR(__xludf.DUMMYFUNCTION("""COMPUTED_VALUE"""),-0.703111278451256)</f>
        <v>-0.70311127845125598</v>
      </c>
      <c r="V37" s="3">
        <f ca="1">IFERROR(__xludf.DUMMYFUNCTION("""COMPUTED_VALUE"""),-0.7116946580818)</f>
        <v>-0.71169465808179999</v>
      </c>
      <c r="W37" s="3">
        <f ca="1">IFERROR(__xludf.DUMMYFUNCTION("""COMPUTED_VALUE"""),-0.728816831310273)</f>
        <v>-0.72881683131027297</v>
      </c>
      <c r="X37" s="3">
        <f ca="1">IFERROR(__xludf.DUMMYFUNCTION("""COMPUTED_VALUE"""),-0.673734083808464)</f>
        <v>-0.673734083808464</v>
      </c>
      <c r="Y37" s="3">
        <f ca="1">IFERROR(__xludf.DUMMYFUNCTION("""COMPUTED_VALUE"""),-0.634938102324132)</f>
        <v>-0.63493810232413195</v>
      </c>
      <c r="Z37" s="3">
        <f ca="1">IFERROR(__xludf.DUMMYFUNCTION("""COMPUTED_VALUE"""),-0.655198855873873)</f>
        <v>-0.65519885587387305</v>
      </c>
      <c r="AA37" s="3">
        <f ca="1">IFERROR(__xludf.DUMMYFUNCTION("""COMPUTED_VALUE"""),-0.685447316994389)</f>
        <v>-0.68544731699438899</v>
      </c>
      <c r="AB37" s="3">
        <f ca="1">IFERROR(__xludf.DUMMYFUNCTION("""COMPUTED_VALUE"""),-0.716839964598938)</f>
        <v>-0.71683996459893795</v>
      </c>
      <c r="AC37" s="3">
        <f ca="1">IFERROR(__xludf.DUMMYFUNCTION("""COMPUTED_VALUE"""),-0.736948651663444)</f>
        <v>-0.73694865166344403</v>
      </c>
      <c r="AD37" s="3">
        <f ca="1">IFERROR(__xludf.DUMMYFUNCTION("""COMPUTED_VALUE"""),-0.728730659405646)</f>
        <v>-0.72873065940564596</v>
      </c>
      <c r="AE37" s="3">
        <f ca="1">IFERROR(__xludf.DUMMYFUNCTION("""COMPUTED_VALUE"""),-0.692386844833639)</f>
        <v>-0.69238684483363899</v>
      </c>
      <c r="AF37" s="3">
        <f ca="1">IFERROR(__xludf.DUMMYFUNCTION("""COMPUTED_VALUE"""),-0.649933943844573)</f>
        <v>-0.64993394384457304</v>
      </c>
      <c r="AG37" s="3">
        <f ca="1">IFERROR(__xludf.DUMMYFUNCTION("""COMPUTED_VALUE"""),-0.683205721743815)</f>
        <v>-0.683205721743815</v>
      </c>
      <c r="AH37" s="3">
        <f ca="1">IFERROR(__xludf.DUMMYFUNCTION("""COMPUTED_VALUE"""),-0.736875051879316)</f>
        <v>-0.73687505187931601</v>
      </c>
      <c r="AI37" s="3">
        <f ca="1">IFERROR(__xludf.DUMMYFUNCTION("""COMPUTED_VALUE"""),-0.724697490974497)</f>
        <v>-0.72469749097449698</v>
      </c>
      <c r="AJ37" s="3">
        <f ca="1">IFERROR(__xludf.DUMMYFUNCTION("""COMPUTED_VALUE"""),-0.718772853294646)</f>
        <v>-0.71877285329464602</v>
      </c>
      <c r="AK37" s="3">
        <f ca="1">IFERROR(__xludf.DUMMYFUNCTION("""COMPUTED_VALUE"""),-0.759033097627568)</f>
        <v>-0.75903309762756799</v>
      </c>
      <c r="AL37" s="3">
        <f ca="1">IFERROR(__xludf.DUMMYFUNCTION("""COMPUTED_VALUE"""),-0.714202462240485)</f>
        <v>-0.714202462240485</v>
      </c>
      <c r="AM37" s="3">
        <f ca="1">IFERROR(__xludf.DUMMYFUNCTION("""COMPUTED_VALUE"""),-0.651326275811817)</f>
        <v>-0.65132627581181701</v>
      </c>
      <c r="AN37" s="3">
        <f ca="1">IFERROR(__xludf.DUMMYFUNCTION("""COMPUTED_VALUE"""),-0.666154468515933)</f>
        <v>-0.66615446851593296</v>
      </c>
      <c r="AO37" s="3">
        <f ca="1">IFERROR(__xludf.DUMMYFUNCTION("""COMPUTED_VALUE"""),-0.715869148873179)</f>
        <v>-0.71586914887317898</v>
      </c>
      <c r="AP37" s="3">
        <f ca="1">IFERROR(__xludf.DUMMYFUNCTION("""COMPUTED_VALUE"""),-0.722061089730024)</f>
        <v>-0.72206108973002403</v>
      </c>
      <c r="AQ37" s="3">
        <f ca="1">IFERROR(__xludf.DUMMYFUNCTION("""COMPUTED_VALUE"""),-0.741116687755958)</f>
        <v>-0.74111668775595796</v>
      </c>
      <c r="AR37" s="3">
        <f ca="1">IFERROR(__xludf.DUMMYFUNCTION("""COMPUTED_VALUE"""),-0.725722435187617)</f>
        <v>-0.72572243518761703</v>
      </c>
      <c r="AS37" s="3">
        <f ca="1">IFERROR(__xludf.DUMMYFUNCTION("""COMPUTED_VALUE"""),-0.69101037098907)</f>
        <v>-0.69101037098907003</v>
      </c>
      <c r="AT37" s="3">
        <f ca="1">IFERROR(__xludf.DUMMYFUNCTION("""COMPUTED_VALUE"""),-0.642308948034556)</f>
        <v>-0.64230894803455596</v>
      </c>
      <c r="AU37" s="3">
        <f ca="1">IFERROR(__xludf.DUMMYFUNCTION("""COMPUTED_VALUE"""),-0.667688674522371)</f>
        <v>-0.66768867452237102</v>
      </c>
      <c r="AV37" s="3">
        <f ca="1">IFERROR(__xludf.DUMMYFUNCTION("""COMPUTED_VALUE"""),-0.740733639588715)</f>
        <v>-0.74073363958871496</v>
      </c>
      <c r="AW37" s="3">
        <f ca="1">IFERROR(__xludf.DUMMYFUNCTION("""COMPUTED_VALUE"""),-0.737663074234185)</f>
        <v>-0.73766307423418498</v>
      </c>
      <c r="AX37" s="3">
        <f ca="1">IFERROR(__xludf.DUMMYFUNCTION("""COMPUTED_VALUE"""),-0.736813850726344)</f>
        <v>-0.73681385072634398</v>
      </c>
      <c r="AY37" s="3">
        <f ca="1">IFERROR(__xludf.DUMMYFUNCTION("""COMPUTED_VALUE"""),-0.723666928046311)</f>
        <v>-0.72366692804631105</v>
      </c>
      <c r="AZ37" s="3">
        <f ca="1">IFERROR(__xludf.DUMMYFUNCTION("""COMPUTED_VALUE"""),-0.68202480970395)</f>
        <v>-0.68202480970394996</v>
      </c>
      <c r="BA37" s="3">
        <f ca="1">IFERROR(__xludf.DUMMYFUNCTION("""COMPUTED_VALUE"""),-0.700022316953052)</f>
        <v>-0.70002231695305195</v>
      </c>
      <c r="BB37" s="3">
        <f ca="1">IFERROR(__xludf.DUMMYFUNCTION("""COMPUTED_VALUE"""),-0.705621881461112)</f>
        <v>-0.70562188146111204</v>
      </c>
      <c r="BC37" s="3">
        <f ca="1">IFERROR(__xludf.DUMMYFUNCTION("""COMPUTED_VALUE"""),-0.737614555396255)</f>
        <v>-0.73761455539625498</v>
      </c>
      <c r="BD37" s="3">
        <f ca="1">IFERROR(__xludf.DUMMYFUNCTION("""COMPUTED_VALUE"""),-0.77451818098539)</f>
        <v>-0.77451818098539005</v>
      </c>
      <c r="BE37" s="3">
        <f ca="1">IFERROR(__xludf.DUMMYFUNCTION("""COMPUTED_VALUE"""),-0.776513588465678)</f>
        <v>-0.77651358846567797</v>
      </c>
      <c r="BF37" s="3">
        <f ca="1">IFERROR(__xludf.DUMMYFUNCTION("""COMPUTED_VALUE"""),-0.787864649948709)</f>
        <v>-0.78786464994870897</v>
      </c>
      <c r="BG37" s="3">
        <f ca="1">IFERROR(__xludf.DUMMYFUNCTION("""COMPUTED_VALUE"""),-0.822557785241444)</f>
        <v>-0.82255778524144396</v>
      </c>
      <c r="BH37" s="3">
        <f ca="1">IFERROR(__xludf.DUMMYFUNCTION("""COMPUTED_VALUE"""),-0.666797720836052)</f>
        <v>-0.66679772083605204</v>
      </c>
      <c r="BI37" s="3">
        <f ca="1">IFERROR(__xludf.DUMMYFUNCTION("""COMPUTED_VALUE"""),-0.722498090096565)</f>
        <v>-0.72249809009656496</v>
      </c>
      <c r="BJ37" s="3">
        <f ca="1">IFERROR(__xludf.DUMMYFUNCTION("""COMPUTED_VALUE"""),-0.829960336010143)</f>
        <v>-0.82996033601014296</v>
      </c>
      <c r="BK37" s="3">
        <f ca="1">IFERROR(__xludf.DUMMYFUNCTION("""COMPUTED_VALUE"""),-0.839820269701364)</f>
        <v>-0.83982026970136403</v>
      </c>
      <c r="BL37" s="3">
        <f ca="1">IFERROR(__xludf.DUMMYFUNCTION("""COMPUTED_VALUE"""),-0.847110111709735)</f>
        <v>-0.84711011170973505</v>
      </c>
      <c r="BM37" s="3">
        <f ca="1">IFERROR(__xludf.DUMMYFUNCTION("""COMPUTED_VALUE"""),-0.802880621283471)</f>
        <v>-0.80288062128347104</v>
      </c>
      <c r="BN37" s="3">
        <f ca="1">IFERROR(__xludf.DUMMYFUNCTION("""COMPUTED_VALUE"""),-0.751850903219046)</f>
        <v>-0.75185090321904602</v>
      </c>
      <c r="BO37" s="3">
        <f ca="1">IFERROR(__xludf.DUMMYFUNCTION("""COMPUTED_VALUE"""),-0.679824378804236)</f>
        <v>-0.67982437880423596</v>
      </c>
      <c r="BP37" s="3">
        <f ca="1">IFERROR(__xludf.DUMMYFUNCTION("""COMPUTED_VALUE"""),-0.772837867393379)</f>
        <v>-0.77283786739337901</v>
      </c>
      <c r="BQ37" s="3">
        <f ca="1">IFERROR(__xludf.DUMMYFUNCTION("""COMPUTED_VALUE"""),-0.815920989102026)</f>
        <v>-0.81592098910202604</v>
      </c>
      <c r="BR37" s="3">
        <f ca="1">IFERROR(__xludf.DUMMYFUNCTION("""COMPUTED_VALUE"""),-0.827158680578524)</f>
        <v>-0.82715868057852404</v>
      </c>
      <c r="BS37" s="3">
        <f ca="1">IFERROR(__xludf.DUMMYFUNCTION("""COMPUTED_VALUE"""),-0.824857914637335)</f>
        <v>-0.82485791463733504</v>
      </c>
      <c r="BT37" s="3">
        <f ca="1">IFERROR(__xludf.DUMMYFUNCTION("""COMPUTED_VALUE"""),-0.822135904938257)</f>
        <v>-0.82213590493825695</v>
      </c>
      <c r="BU37" s="3">
        <f ca="1">IFERROR(__xludf.DUMMYFUNCTION("""COMPUTED_VALUE"""),-0.784022748538654)</f>
        <v>-0.78402274853865395</v>
      </c>
      <c r="BV37" s="3">
        <f ca="1">IFERROR(__xludf.DUMMYFUNCTION("""COMPUTED_VALUE"""),-0.642440446114938)</f>
        <v>-0.642440446114938</v>
      </c>
      <c r="BW37" s="3">
        <f ca="1">IFERROR(__xludf.DUMMYFUNCTION("""COMPUTED_VALUE"""),-0.772211899979636)</f>
        <v>-0.77221189997963602</v>
      </c>
      <c r="BX37" s="3">
        <f ca="1">IFERROR(__xludf.DUMMYFUNCTION("""COMPUTED_VALUE"""),-0.849176252067876)</f>
        <v>-0.84917625206787595</v>
      </c>
      <c r="BY37" s="3">
        <f ca="1">IFERROR(__xludf.DUMMYFUNCTION("""COMPUTED_VALUE"""),-0.841699751427575)</f>
        <v>-0.84169975142757503</v>
      </c>
      <c r="BZ37" s="3">
        <f ca="1">IFERROR(__xludf.DUMMYFUNCTION("""COMPUTED_VALUE"""),-0.853929162412921)</f>
        <v>-0.85392916241292105</v>
      </c>
      <c r="CA37" s="3">
        <f ca="1">IFERROR(__xludf.DUMMYFUNCTION("""COMPUTED_VALUE"""),-0.835693474948637)</f>
        <v>-0.83569347494863699</v>
      </c>
      <c r="CB37" s="3">
        <f ca="1">IFERROR(__xludf.DUMMYFUNCTION("""COMPUTED_VALUE"""),-0.793121184578324)</f>
        <v>-0.79312118457832403</v>
      </c>
      <c r="CC37" s="3">
        <f ca="1">IFERROR(__xludf.DUMMYFUNCTION("""COMPUTED_VALUE"""),-0.654553531100281)</f>
        <v>-0.65455353110028103</v>
      </c>
      <c r="CD37" s="3">
        <f ca="1">IFERROR(__xludf.DUMMYFUNCTION("""COMPUTED_VALUE"""),-0.740454866937091)</f>
        <v>-0.74045486693709095</v>
      </c>
      <c r="CE37" s="3">
        <f ca="1">IFERROR(__xludf.DUMMYFUNCTION("""COMPUTED_VALUE"""),-0.814983186663461)</f>
        <v>-0.81498318666346103</v>
      </c>
      <c r="CF37" s="3">
        <f ca="1">IFERROR(__xludf.DUMMYFUNCTION("""COMPUTED_VALUE"""),-0.822163162680303)</f>
        <v>-0.82216316268030298</v>
      </c>
      <c r="CG37" s="3">
        <f ca="1">IFERROR(__xludf.DUMMYFUNCTION("""COMPUTED_VALUE"""),-0.837496155815042)</f>
        <v>-0.837496155815042</v>
      </c>
      <c r="CH37" s="3">
        <f ca="1">IFERROR(__xludf.DUMMYFUNCTION("""COMPUTED_VALUE"""),-0.821642211310666)</f>
        <v>-0.82164221131066595</v>
      </c>
      <c r="CI37" s="3">
        <f ca="1">IFERROR(__xludf.DUMMYFUNCTION("""COMPUTED_VALUE"""),-0.791874826979059)</f>
        <v>-0.79187482697905898</v>
      </c>
      <c r="CJ37" s="3">
        <f ca="1">IFERROR(__xludf.DUMMYFUNCTION("""COMPUTED_VALUE"""),-0.618727263776612)</f>
        <v>-0.61872726377661202</v>
      </c>
      <c r="CK37" s="3">
        <f ca="1">IFERROR(__xludf.DUMMYFUNCTION("""COMPUTED_VALUE"""),-0.737691479558226)</f>
        <v>-0.737691479558226</v>
      </c>
      <c r="CL37" s="3">
        <f ca="1">IFERROR(__xludf.DUMMYFUNCTION("""COMPUTED_VALUE"""),-0.835481891468046)</f>
        <v>-0.83548189146804597</v>
      </c>
      <c r="CM37" s="3">
        <f ca="1">IFERROR(__xludf.DUMMYFUNCTION("""COMPUTED_VALUE"""),-0.840217648238409)</f>
        <v>-0.84021764823840905</v>
      </c>
      <c r="CN37" s="3">
        <f ca="1">IFERROR(__xludf.DUMMYFUNCTION("""COMPUTED_VALUE"""),-0.839121224236384)</f>
        <v>-0.83912122423638402</v>
      </c>
      <c r="CO37" s="3">
        <f ca="1">IFERROR(__xludf.DUMMYFUNCTION("""COMPUTED_VALUE"""),-0.800863489651274)</f>
        <v>-0.80086348965127396</v>
      </c>
      <c r="CP37" s="3">
        <f ca="1">IFERROR(__xludf.DUMMYFUNCTION("""COMPUTED_VALUE"""),-0.78035657708554)</f>
        <v>-0.78035657708553996</v>
      </c>
      <c r="CQ37" s="3">
        <f ca="1">IFERROR(__xludf.DUMMYFUNCTION("""COMPUTED_VALUE"""),-0.578711525817832)</f>
        <v>-0.57871152581783203</v>
      </c>
      <c r="CR37" s="3">
        <f ca="1">IFERROR(__xludf.DUMMYFUNCTION("""COMPUTED_VALUE"""),-0.733636448391566)</f>
        <v>-0.73363644839156605</v>
      </c>
      <c r="CS37" s="3">
        <f ca="1">IFERROR(__xludf.DUMMYFUNCTION("""COMPUTED_VALUE"""),-0.856587327924949)</f>
        <v>-0.85658732792494896</v>
      </c>
      <c r="CT37" s="3">
        <f ca="1">IFERROR(__xludf.DUMMYFUNCTION("""COMPUTED_VALUE"""),-0.855664572277247)</f>
        <v>-0.85566457227724702</v>
      </c>
      <c r="CU37" s="3">
        <f ca="1">IFERROR(__xludf.DUMMYFUNCTION("""COMPUTED_VALUE"""),-0.838492060085036)</f>
        <v>-0.83849206008503596</v>
      </c>
      <c r="CV37" s="3">
        <f ca="1">IFERROR(__xludf.DUMMYFUNCTION("""COMPUTED_VALUE"""),-0.820811255165852)</f>
        <v>-0.82081125516585196</v>
      </c>
      <c r="CW37" s="3">
        <f ca="1">IFERROR(__xludf.DUMMYFUNCTION("""COMPUTED_VALUE"""),-0.807042440752788)</f>
        <v>-0.80704244075278797</v>
      </c>
      <c r="CX37" s="3">
        <f ca="1">IFERROR(__xludf.DUMMYFUNCTION("""COMPUTED_VALUE"""),-0.651117585659092)</f>
        <v>-0.65111758565909195</v>
      </c>
      <c r="CY37" s="3">
        <f ca="1">IFERROR(__xludf.DUMMYFUNCTION("""COMPUTED_VALUE"""),-0.834630988375074)</f>
        <v>-0.83463098837507399</v>
      </c>
      <c r="CZ37" s="3">
        <f ca="1">IFERROR(__xludf.DUMMYFUNCTION("""COMPUTED_VALUE"""),-0.906693050046432)</f>
        <v>-0.90669305004643197</v>
      </c>
      <c r="DA37" s="3">
        <f ca="1">IFERROR(__xludf.DUMMYFUNCTION("""COMPUTED_VALUE"""),-0.811935426852572)</f>
        <v>-0.81193542685257203</v>
      </c>
      <c r="DB37" s="3">
        <f ca="1">IFERROR(__xludf.DUMMYFUNCTION("""COMPUTED_VALUE"""),-0.785246471342106)</f>
        <v>-0.78524647134210601</v>
      </c>
      <c r="DC37" s="3">
        <f ca="1">IFERROR(__xludf.DUMMYFUNCTION("""COMPUTED_VALUE"""),-0.766312760553101)</f>
        <v>-0.76631276055310105</v>
      </c>
      <c r="DD37" s="3">
        <f ca="1">IFERROR(__xludf.DUMMYFUNCTION("""COMPUTED_VALUE"""),-0.75623234821833)</f>
        <v>-0.75623234821832996</v>
      </c>
      <c r="DE37" s="3">
        <f ca="1">IFERROR(__xludf.DUMMYFUNCTION("""COMPUTED_VALUE"""),-0.657017786333356)</f>
        <v>-0.65701778633335595</v>
      </c>
      <c r="DF37" s="3">
        <f ca="1">IFERROR(__xludf.DUMMYFUNCTION("""COMPUTED_VALUE"""),-0.823007751015021)</f>
        <v>-0.82300775101502099</v>
      </c>
      <c r="DG37" s="3">
        <f ca="1">IFERROR(__xludf.DUMMYFUNCTION("""COMPUTED_VALUE"""),-0.92197002832451)</f>
        <v>-0.92197002832451003</v>
      </c>
      <c r="DH37" s="3">
        <f ca="1">IFERROR(__xludf.DUMMYFUNCTION("""COMPUTED_VALUE"""),-0.763808225304617)</f>
        <v>-0.76380822530461701</v>
      </c>
      <c r="DI37" s="3">
        <f ca="1">IFERROR(__xludf.DUMMYFUNCTION("""COMPUTED_VALUE"""),-0.703548135462685)</f>
        <v>-0.70354813546268502</v>
      </c>
      <c r="DJ37" s="3">
        <f ca="1">IFERROR(__xludf.DUMMYFUNCTION("""COMPUTED_VALUE"""),-0.729312400576241)</f>
        <v>-0.72931240057624103</v>
      </c>
      <c r="DK37" s="3">
        <f ca="1">IFERROR(__xludf.DUMMYFUNCTION("""COMPUTED_VALUE"""),-0.684811162831223)</f>
        <v>-0.68481116283122301</v>
      </c>
      <c r="DL37" s="3">
        <f ca="1">IFERROR(__xludf.DUMMYFUNCTION("""COMPUTED_VALUE"""),-0.696738133303261)</f>
        <v>-0.69673813330326095</v>
      </c>
      <c r="DM37" s="3">
        <f ca="1">IFERROR(__xludf.DUMMYFUNCTION("""COMPUTED_VALUE"""),-0.698824572299901)</f>
        <v>-0.69882457229990103</v>
      </c>
      <c r="DN37" s="3">
        <f ca="1">IFERROR(__xludf.DUMMYFUNCTION("""COMPUTED_VALUE"""),-0.78897673094105)</f>
        <v>-0.78897673094105003</v>
      </c>
      <c r="DO37" s="3">
        <f ca="1">IFERROR(__xludf.DUMMYFUNCTION("""COMPUTED_VALUE"""),-0.767545037769915)</f>
        <v>-0.76754503776991501</v>
      </c>
      <c r="DP37" s="3">
        <f ca="1">IFERROR(__xludf.DUMMYFUNCTION("""COMPUTED_VALUE"""),-0.781878254915006)</f>
        <v>-0.78187825491500595</v>
      </c>
      <c r="DQ37" s="3">
        <f ca="1">IFERROR(__xludf.DUMMYFUNCTION("""COMPUTED_VALUE"""),-0.79598923694771)</f>
        <v>-0.79598923694770995</v>
      </c>
      <c r="DR37" s="3">
        <f ca="1">IFERROR(__xludf.DUMMYFUNCTION("""COMPUTED_VALUE"""),-0.770436874403201)</f>
        <v>-0.77043687440320097</v>
      </c>
      <c r="DS37" s="3">
        <f ca="1">IFERROR(__xludf.DUMMYFUNCTION("""COMPUTED_VALUE"""),-0.682752719378422)</f>
        <v>-0.68275271937842197</v>
      </c>
      <c r="DT37" s="3">
        <f ca="1">IFERROR(__xludf.DUMMYFUNCTION("""COMPUTED_VALUE"""),-0.674091550390532)</f>
        <v>-0.67409155039053203</v>
      </c>
      <c r="DU37" s="3">
        <f ca="1">IFERROR(__xludf.DUMMYFUNCTION("""COMPUTED_VALUE"""),-0.797296090013512)</f>
        <v>-0.79729609001351198</v>
      </c>
      <c r="DV37" s="3">
        <f ca="1">IFERROR(__xludf.DUMMYFUNCTION("""COMPUTED_VALUE"""),-0.811779354808456)</f>
        <v>-0.81177935480845598</v>
      </c>
      <c r="DW37" s="3">
        <f ca="1">IFERROR(__xludf.DUMMYFUNCTION("""COMPUTED_VALUE"""),-0.801328368905635)</f>
        <v>-0.80132836890563497</v>
      </c>
      <c r="DX37" s="3">
        <f ca="1">IFERROR(__xludf.DUMMYFUNCTION("""COMPUTED_VALUE"""),-0.781566562454853)</f>
        <v>-0.78156656245485301</v>
      </c>
      <c r="DY37" s="3">
        <f ca="1">IFERROR(__xludf.DUMMYFUNCTION("""COMPUTED_VALUE"""),-0.783735451775937)</f>
        <v>-0.78373545177593695</v>
      </c>
      <c r="DZ37" s="3">
        <f ca="1">IFERROR(__xludf.DUMMYFUNCTION("""COMPUTED_VALUE"""),-0.635953465055881)</f>
        <v>-0.63595346505588102</v>
      </c>
      <c r="EA37" s="3">
        <f ca="1">IFERROR(__xludf.DUMMYFUNCTION("""COMPUTED_VALUE"""),-0.670115276899873)</f>
        <v>-0.67011527689987305</v>
      </c>
      <c r="EB37" s="3">
        <f ca="1">IFERROR(__xludf.DUMMYFUNCTION("""COMPUTED_VALUE"""),-0.793025358756115)</f>
        <v>-0.79302535875611502</v>
      </c>
      <c r="EC37" s="3">
        <f ca="1">IFERROR(__xludf.DUMMYFUNCTION("""COMPUTED_VALUE"""),-0.803450503370074)</f>
        <v>-0.80345050337007395</v>
      </c>
      <c r="ED37" s="3">
        <f ca="1">IFERROR(__xludf.DUMMYFUNCTION("""COMPUTED_VALUE"""),-0.782490204722468)</f>
        <v>-0.782490204722468</v>
      </c>
      <c r="EE37" s="3">
        <f ca="1">IFERROR(__xludf.DUMMYFUNCTION("""COMPUTED_VALUE"""),-0.756890077406368)</f>
        <v>-0.75689007740636804</v>
      </c>
      <c r="EF37" s="3">
        <f ca="1">IFERROR(__xludf.DUMMYFUNCTION("""COMPUTED_VALUE"""),-0.725977045978611)</f>
        <v>-0.72597704597861101</v>
      </c>
      <c r="EG37" s="3">
        <f ca="1">IFERROR(__xludf.DUMMYFUNCTION("""COMPUTED_VALUE"""),-0.610278353948301)</f>
        <v>-0.61027835394830099</v>
      </c>
      <c r="EH37" s="3">
        <f ca="1">IFERROR(__xludf.DUMMYFUNCTION("""COMPUTED_VALUE"""),-0.679245536745341)</f>
        <v>-0.67924553674534105</v>
      </c>
      <c r="EI37" s="3">
        <f ca="1">IFERROR(__xludf.DUMMYFUNCTION("""COMPUTED_VALUE"""),-0.71055815546742)</f>
        <v>-0.71055815546741996</v>
      </c>
      <c r="EJ37" s="3">
        <f ca="1">IFERROR(__xludf.DUMMYFUNCTION("""COMPUTED_VALUE"""),-0.724848158165895)</f>
        <v>-0.72484815816589498</v>
      </c>
      <c r="EK37" s="3">
        <f ca="1">IFERROR(__xludf.DUMMYFUNCTION("""COMPUTED_VALUE"""),-0.718592871783916)</f>
        <v>-0.71859287178391595</v>
      </c>
      <c r="EL37" s="3">
        <f ca="1">IFERROR(__xludf.DUMMYFUNCTION("""COMPUTED_VALUE"""),-0.707232271989054)</f>
        <v>-0.70723227198905403</v>
      </c>
      <c r="EM37" s="3">
        <f ca="1">IFERROR(__xludf.DUMMYFUNCTION("""COMPUTED_VALUE"""),-0.691050619130177)</f>
        <v>-0.69105061913017696</v>
      </c>
      <c r="EN37" s="3">
        <f ca="1">IFERROR(__xludf.DUMMYFUNCTION("""COMPUTED_VALUE"""),-0.564266559920165)</f>
        <v>-0.56426655992016495</v>
      </c>
      <c r="EO37" s="3">
        <f ca="1">IFERROR(__xludf.DUMMYFUNCTION("""COMPUTED_VALUE"""),-0.657061130398855)</f>
        <v>-0.65706113039885505</v>
      </c>
      <c r="EP37" s="3">
        <f ca="1">IFERROR(__xludf.DUMMYFUNCTION("""COMPUTED_VALUE"""),-0.718646561188154)</f>
        <v>-0.71864656118815395</v>
      </c>
      <c r="EQ37" s="3">
        <f ca="1">IFERROR(__xludf.DUMMYFUNCTION("""COMPUTED_VALUE"""),-0.708811692918784)</f>
        <v>-0.70881169291878399</v>
      </c>
      <c r="ER37" s="3">
        <f ca="1">IFERROR(__xludf.DUMMYFUNCTION("""COMPUTED_VALUE"""),-0.69138477453563)</f>
        <v>-0.69138477453562996</v>
      </c>
      <c r="ES37" s="3">
        <f ca="1">IFERROR(__xludf.DUMMYFUNCTION("""COMPUTED_VALUE"""),-0.664037466651283)</f>
        <v>-0.66403746665128305</v>
      </c>
      <c r="ET37" s="3">
        <f ca="1">IFERROR(__xludf.DUMMYFUNCTION("""COMPUTED_VALUE"""),-0.596786749360146)</f>
        <v>-0.59678674936014597</v>
      </c>
      <c r="EU37" s="3">
        <f ca="1">IFERROR(__xludf.DUMMYFUNCTION("""COMPUTED_VALUE"""),-0.57625491247472)</f>
        <v>-0.57625491247472005</v>
      </c>
      <c r="EV37" s="3">
        <f ca="1">IFERROR(__xludf.DUMMYFUNCTION("""COMPUTED_VALUE"""),-0.650943016407779)</f>
        <v>-0.65094301640777896</v>
      </c>
      <c r="EW37" s="3">
        <f ca="1">IFERROR(__xludf.DUMMYFUNCTION("""COMPUTED_VALUE"""),-0.724573292502406)</f>
        <v>-0.72457329250240599</v>
      </c>
      <c r="EX37" s="3">
        <f ca="1">IFERROR(__xludf.DUMMYFUNCTION("""COMPUTED_VALUE"""),-0.775637924189066)</f>
        <v>-0.77563792418906596</v>
      </c>
      <c r="EY37" s="3">
        <f ca="1">IFERROR(__xludf.DUMMYFUNCTION("""COMPUTED_VALUE"""),-0.813824866678369)</f>
        <v>-0.81382486667836895</v>
      </c>
      <c r="EZ37" s="3">
        <f ca="1">IFERROR(__xludf.DUMMYFUNCTION("""COMPUTED_VALUE"""),-0.623367893435327)</f>
        <v>-0.62336789343532695</v>
      </c>
      <c r="FA37" s="3">
        <f ca="1">IFERROR(__xludf.DUMMYFUNCTION("""COMPUTED_VALUE"""),-0.548564196314289)</f>
        <v>-0.54856419631428899</v>
      </c>
      <c r="FB37" s="3">
        <f ca="1">IFERROR(__xludf.DUMMYFUNCTION("""COMPUTED_VALUE"""),-0.537320180904336)</f>
        <v>-0.53732018090433598</v>
      </c>
      <c r="FC37" s="3">
        <f ca="1">IFERROR(__xludf.DUMMYFUNCTION("""COMPUTED_VALUE"""),-0.627472006560631)</f>
        <v>-0.62747200656063096</v>
      </c>
      <c r="FD37" s="3">
        <f ca="1">IFERROR(__xludf.DUMMYFUNCTION("""COMPUTED_VALUE"""),-0.704345408488126)</f>
        <v>-0.70434540848812599</v>
      </c>
      <c r="FE37" s="3">
        <f ca="1">IFERROR(__xludf.DUMMYFUNCTION("""COMPUTED_VALUE"""),-0.696185481648264)</f>
        <v>-0.69618548164826399</v>
      </c>
      <c r="FF37" s="3">
        <f ca="1">IFERROR(__xludf.DUMMYFUNCTION("""COMPUTED_VALUE"""),-0.694396799135051)</f>
        <v>-0.69439679913505103</v>
      </c>
      <c r="FG37" s="3">
        <f ca="1">IFERROR(__xludf.DUMMYFUNCTION("""COMPUTED_VALUE"""),-0.667985673831938)</f>
        <v>-0.66798567383193796</v>
      </c>
      <c r="FH37" s="3">
        <f ca="1">IFERROR(__xludf.DUMMYFUNCTION("""COMPUTED_VALUE"""),-0.573388490816943)</f>
        <v>-0.57338849081694299</v>
      </c>
      <c r="FI37" s="3">
        <f ca="1">IFERROR(__xludf.DUMMYFUNCTION("""COMPUTED_VALUE"""),-0.531541772457401)</f>
        <v>-0.53154177245740097</v>
      </c>
      <c r="FJ37" s="3">
        <f ca="1">IFERROR(__xludf.DUMMYFUNCTION("""COMPUTED_VALUE"""),-0.607094712500094)</f>
        <v>-0.60709471250009395</v>
      </c>
      <c r="FK37" s="3">
        <f ca="1">IFERROR(__xludf.DUMMYFUNCTION("""COMPUTED_VALUE"""),-0.693969919414664)</f>
        <v>-0.69396991941466402</v>
      </c>
      <c r="FL37" s="3">
        <f ca="1">IFERROR(__xludf.DUMMYFUNCTION("""COMPUTED_VALUE"""),-0.690824545773711)</f>
        <v>-0.690824545773711</v>
      </c>
      <c r="FM37" s="3">
        <f ca="1">IFERROR(__xludf.DUMMYFUNCTION("""COMPUTED_VALUE"""),-0.696972702847463)</f>
        <v>-0.69697270284746304</v>
      </c>
      <c r="FN37" s="3">
        <f ca="1">IFERROR(__xludf.DUMMYFUNCTION("""COMPUTED_VALUE"""),-0.689132116992391)</f>
        <v>-0.68913211699239096</v>
      </c>
      <c r="FO37" s="3">
        <f ca="1">IFERROR(__xludf.DUMMYFUNCTION("""COMPUTED_VALUE"""),-0.656486244848005)</f>
        <v>-0.656486244848005</v>
      </c>
      <c r="FP37" s="3">
        <f ca="1">IFERROR(__xludf.DUMMYFUNCTION("""COMPUTED_VALUE"""),-0.593958579214145)</f>
        <v>-0.59395857921414497</v>
      </c>
      <c r="FQ37" s="3">
        <f ca="1">IFERROR(__xludf.DUMMYFUNCTION("""COMPUTED_VALUE"""),-0.638920455131455)</f>
        <v>-0.63892045513145501</v>
      </c>
      <c r="FR37" s="3">
        <f ca="1">IFERROR(__xludf.DUMMYFUNCTION("""COMPUTED_VALUE"""),-0.714232954283852)</f>
        <v>-0.71423295428385203</v>
      </c>
      <c r="FS37" s="3">
        <f ca="1">IFERROR(__xludf.DUMMYFUNCTION("""COMPUTED_VALUE"""),-0.705732100737554)</f>
        <v>-0.70573210073755399</v>
      </c>
      <c r="FT37" s="3">
        <f ca="1">IFERROR(__xludf.DUMMYFUNCTION("""COMPUTED_VALUE"""),-0.65453149861172)</f>
        <v>-0.65453149861172</v>
      </c>
      <c r="FU37" s="3">
        <f ca="1">IFERROR(__xludf.DUMMYFUNCTION("""COMPUTED_VALUE"""),-0.625417318138871)</f>
        <v>-0.62541731813887103</v>
      </c>
      <c r="FV37" s="3">
        <f ca="1">IFERROR(__xludf.DUMMYFUNCTION("""COMPUTED_VALUE"""),-0.556424390137884)</f>
        <v>-0.55642439013788403</v>
      </c>
      <c r="FW37" s="3">
        <f ca="1">IFERROR(__xludf.DUMMYFUNCTION("""COMPUTED_VALUE"""),-0.571089846100788)</f>
        <v>-0.57108984610078795</v>
      </c>
      <c r="FX37" s="3">
        <f ca="1">IFERROR(__xludf.DUMMYFUNCTION("""COMPUTED_VALUE"""),-0.630538513001548)</f>
        <v>-0.63053851300154795</v>
      </c>
      <c r="FY37" s="3">
        <f ca="1">IFERROR(__xludf.DUMMYFUNCTION("""COMPUTED_VALUE"""),-0.6956017718859)</f>
        <v>-0.6956017718859</v>
      </c>
      <c r="FZ37" s="3">
        <f ca="1">IFERROR(__xludf.DUMMYFUNCTION("""COMPUTED_VALUE"""),-0.681591773873361)</f>
        <v>-0.68159177387336101</v>
      </c>
      <c r="GA37" s="3">
        <f ca="1">IFERROR(__xludf.DUMMYFUNCTION("""COMPUTED_VALUE"""),-0.708246673027588)</f>
        <v>-0.70824667302758804</v>
      </c>
      <c r="GB37" s="3">
        <f ca="1">IFERROR(__xludf.DUMMYFUNCTION("""COMPUTED_VALUE"""),-0.718795176650266)</f>
        <v>-0.71879517665026604</v>
      </c>
      <c r="GC37" s="3">
        <f ca="1">IFERROR(__xludf.DUMMYFUNCTION("""COMPUTED_VALUE"""),-0.773978634986372)</f>
        <v>-0.77397863498637198</v>
      </c>
      <c r="GD37" s="3">
        <f ca="1">IFERROR(__xludf.DUMMYFUNCTION("""COMPUTED_VALUE"""),-0.564717824745153)</f>
        <v>-0.56471782474515297</v>
      </c>
      <c r="GE37" s="3">
        <f ca="1">IFERROR(__xludf.DUMMYFUNCTION("""COMPUTED_VALUE"""),-0.614629487869291)</f>
        <v>-0.61462948786929095</v>
      </c>
      <c r="GF37" s="3">
        <f ca="1">IFERROR(__xludf.DUMMYFUNCTION("""COMPUTED_VALUE"""),-0.694833625403582)</f>
        <v>-0.69483362540358196</v>
      </c>
      <c r="GG37" s="3">
        <f ca="1">IFERROR(__xludf.DUMMYFUNCTION("""COMPUTED_VALUE"""),-0.685462016106302)</f>
        <v>-0.68546201610630197</v>
      </c>
      <c r="GH37" s="3">
        <f ca="1">IFERROR(__xludf.DUMMYFUNCTION("""COMPUTED_VALUE"""),-0.692675835617983)</f>
        <v>-0.69267583561798296</v>
      </c>
      <c r="GI37" s="3">
        <f ca="1">IFERROR(__xludf.DUMMYFUNCTION("""COMPUTED_VALUE"""),-0.646730084287024)</f>
        <v>-0.64673008428702405</v>
      </c>
      <c r="GJ37" s="3">
        <f ca="1">IFERROR(__xludf.DUMMYFUNCTION("""COMPUTED_VALUE"""),-0.552789245211589)</f>
        <v>-0.55278924521158901</v>
      </c>
      <c r="GK37" s="3">
        <f ca="1">IFERROR(__xludf.DUMMYFUNCTION("""COMPUTED_VALUE"""),-0.561391729115162)</f>
        <v>-0.561391729115162</v>
      </c>
      <c r="GL37" s="3">
        <f ca="1">IFERROR(__xludf.DUMMYFUNCTION("""COMPUTED_VALUE"""),-0.617835808011348)</f>
        <v>-0.61783580801134796</v>
      </c>
      <c r="GM37" s="3">
        <f ca="1">IFERROR(__xludf.DUMMYFUNCTION("""COMPUTED_VALUE"""),-0.692684940381909)</f>
        <v>-0.69268494038190898</v>
      </c>
      <c r="GN37" s="3">
        <f ca="1">IFERROR(__xludf.DUMMYFUNCTION("""COMPUTED_VALUE"""),-0.682893489912958)</f>
        <v>-0.68289348991295795</v>
      </c>
      <c r="GO37" s="3">
        <f ca="1">IFERROR(__xludf.DUMMYFUNCTION("""COMPUTED_VALUE"""),-0.705258880076377)</f>
        <v>-0.70525888007637705</v>
      </c>
      <c r="GP37" s="3">
        <f ca="1">IFERROR(__xludf.DUMMYFUNCTION("""COMPUTED_VALUE"""),-0.702981361061079)</f>
        <v>-0.702981361061079</v>
      </c>
      <c r="GQ37" s="3">
        <f ca="1">IFERROR(__xludf.DUMMYFUNCTION("""COMPUTED_VALUE"""),-0.647654963247364)</f>
        <v>-0.64765496324736405</v>
      </c>
      <c r="GR37" s="3">
        <f ca="1">IFERROR(__xludf.DUMMYFUNCTION("""COMPUTED_VALUE"""),-0.552523751175627)</f>
        <v>-0.55252375117562702</v>
      </c>
      <c r="GS37" s="3">
        <f ca="1">IFERROR(__xludf.DUMMYFUNCTION("""COMPUTED_VALUE"""),-0.636987273426743)</f>
        <v>-0.63698727342674299</v>
      </c>
      <c r="GT37" s="3">
        <f ca="1">IFERROR(__xludf.DUMMYFUNCTION("""COMPUTED_VALUE"""),-0.697409603593144)</f>
        <v>-0.69740960359314397</v>
      </c>
      <c r="GU37" s="3">
        <f ca="1">IFERROR(__xludf.DUMMYFUNCTION("""COMPUTED_VALUE"""),-0.697548248436463)</f>
        <v>-0.69754824843646301</v>
      </c>
      <c r="GV37" s="3">
        <f ca="1">IFERROR(__xludf.DUMMYFUNCTION("""COMPUTED_VALUE"""),-0.707522716119433)</f>
        <v>-0.70752271611943296</v>
      </c>
      <c r="GW37" s="3">
        <f ca="1">IFERROR(__xludf.DUMMYFUNCTION("""COMPUTED_VALUE"""),-0.682701356342896)</f>
        <v>-0.68270135634289597</v>
      </c>
      <c r="GX37" s="3">
        <f ca="1">IFERROR(__xludf.DUMMYFUNCTION("""COMPUTED_VALUE"""),-0.648785665806469)</f>
        <v>-0.64878566580646901</v>
      </c>
      <c r="GY37" s="3">
        <f ca="1">IFERROR(__xludf.DUMMYFUNCTION("""COMPUTED_VALUE"""),-0.585949681827853)</f>
        <v>-0.58594968182785301</v>
      </c>
      <c r="GZ37" s="3">
        <f ca="1">IFERROR(__xludf.DUMMYFUNCTION("""COMPUTED_VALUE"""),-0.651251700305501)</f>
        <v>-0.65125170030550095</v>
      </c>
      <c r="HA37" s="3">
        <f ca="1">IFERROR(__xludf.DUMMYFUNCTION("""COMPUTED_VALUE"""),-0.701933982584121)</f>
        <v>-0.70193398258412099</v>
      </c>
      <c r="HB37" s="3">
        <f ca="1">IFERROR(__xludf.DUMMYFUNCTION("""COMPUTED_VALUE"""),-0.679810419248656)</f>
        <v>-0.67981041924865604</v>
      </c>
      <c r="HC37" s="3">
        <f ca="1">IFERROR(__xludf.DUMMYFUNCTION("""COMPUTED_VALUE"""),-0.687209771265917)</f>
        <v>-0.68720977126591698</v>
      </c>
      <c r="HD37" s="3">
        <f ca="1">IFERROR(__xludf.DUMMYFUNCTION("""COMPUTED_VALUE"""),-0.688795972980623)</f>
        <v>-0.68879597298062301</v>
      </c>
      <c r="HE37" s="3">
        <f ca="1">IFERROR(__xludf.DUMMYFUNCTION("""COMPUTED_VALUE"""),-0.62508486838093)</f>
        <v>-0.62508486838093003</v>
      </c>
      <c r="HF37" s="3">
        <f ca="1">IFERROR(__xludf.DUMMYFUNCTION("""COMPUTED_VALUE"""),-0.605936644317898)</f>
        <v>-0.60593664431789795</v>
      </c>
      <c r="HG37" s="3">
        <f ca="1">IFERROR(__xludf.DUMMYFUNCTION("""COMPUTED_VALUE"""),-0.628586022549989)</f>
        <v>-0.62858602254998897</v>
      </c>
      <c r="HH37" s="3">
        <f ca="1">IFERROR(__xludf.DUMMYFUNCTION("""COMPUTED_VALUE"""),-0.671564565700383)</f>
        <v>-0.67156456570038303</v>
      </c>
      <c r="HI37" s="3">
        <f ca="1">IFERROR(__xludf.DUMMYFUNCTION("""COMPUTED_VALUE"""),-0.675155121725853)</f>
        <v>-0.67515512172585301</v>
      </c>
      <c r="HJ37" s="3">
        <f ca="1">IFERROR(__xludf.DUMMYFUNCTION("""COMPUTED_VALUE"""),-0.668194937656018)</f>
        <v>-0.66819493765601801</v>
      </c>
      <c r="HK37" s="3">
        <f ca="1">IFERROR(__xludf.DUMMYFUNCTION("""COMPUTED_VALUE"""),-0.724874597344901)</f>
        <v>-0.72487459734490101</v>
      </c>
      <c r="HL37" s="3">
        <f ca="1">IFERROR(__xludf.DUMMYFUNCTION("""COMPUTED_VALUE"""),-0.777907213836071)</f>
        <v>-0.77790721383607098</v>
      </c>
      <c r="HM37" s="3">
        <f ca="1">IFERROR(__xludf.DUMMYFUNCTION("""COMPUTED_VALUE"""),-0.573698535090881)</f>
        <v>-0.57369853509088098</v>
      </c>
      <c r="HN37" s="3">
        <f ca="1">IFERROR(__xludf.DUMMYFUNCTION("""COMPUTED_VALUE"""),-0.580251559777098)</f>
        <v>-0.58025155977709797</v>
      </c>
      <c r="HO37" s="3">
        <f ca="1">IFERROR(__xludf.DUMMYFUNCTION("""COMPUTED_VALUE"""),-0.669693087371802)</f>
        <v>-0.669693087371802</v>
      </c>
      <c r="HP37" s="3">
        <f ca="1">IFERROR(__xludf.DUMMYFUNCTION("""COMPUTED_VALUE"""),-0.685116546006669)</f>
        <v>-0.68511654600666905</v>
      </c>
      <c r="HQ37" s="3">
        <f ca="1">IFERROR(__xludf.DUMMYFUNCTION("""COMPUTED_VALUE"""),-0.717007290394388)</f>
        <v>-0.71700729039438804</v>
      </c>
      <c r="HR37" s="3">
        <f ca="1">IFERROR(__xludf.DUMMYFUNCTION("""COMPUTED_VALUE"""),-0.672434163980731)</f>
        <v>-0.67243416398073097</v>
      </c>
      <c r="HS37" s="3">
        <f ca="1">IFERROR(__xludf.DUMMYFUNCTION("""COMPUTED_VALUE"""),-0.575125591593654)</f>
        <v>-0.57512559159365395</v>
      </c>
      <c r="HT37" s="3">
        <f ca="1">IFERROR(__xludf.DUMMYFUNCTION("""COMPUTED_VALUE"""),-0.540882854804814)</f>
        <v>-0.54088285480481402</v>
      </c>
      <c r="HU37" s="3">
        <f ca="1">IFERROR(__xludf.DUMMYFUNCTION("""COMPUTED_VALUE"""),-0.624233241716032)</f>
        <v>-0.62423324171603201</v>
      </c>
      <c r="HV37" s="3">
        <f ca="1">IFERROR(__xludf.DUMMYFUNCTION("""COMPUTED_VALUE"""),-0.699826029025967)</f>
        <v>-0.69982602902596702</v>
      </c>
      <c r="HW37" s="3">
        <f ca="1">IFERROR(__xludf.DUMMYFUNCTION("""COMPUTED_VALUE"""),-0.707666287557886)</f>
        <v>-0.70766628755788596</v>
      </c>
      <c r="HX37" s="3">
        <f ca="1">IFERROR(__xludf.DUMMYFUNCTION("""COMPUTED_VALUE"""),-0.721070634187704)</f>
        <v>-0.72107063418770401</v>
      </c>
      <c r="HY37" s="3">
        <f ca="1">IFERROR(__xludf.DUMMYFUNCTION("""COMPUTED_VALUE"""),-0.667766670954199)</f>
        <v>-0.66776667095419895</v>
      </c>
      <c r="HZ37" s="3">
        <f ca="1">IFERROR(__xludf.DUMMYFUNCTION("""COMPUTED_VALUE"""),-0.565061576082696)</f>
        <v>-0.56506157608269603</v>
      </c>
      <c r="IA37" s="3">
        <f ca="1">IFERROR(__xludf.DUMMYFUNCTION("""COMPUTED_VALUE"""),-0.596682399576773)</f>
        <v>-0.59668239957677305</v>
      </c>
      <c r="IB37" s="3">
        <f ca="1">IFERROR(__xludf.DUMMYFUNCTION("""COMPUTED_VALUE"""),-0.584757647052773)</f>
        <v>-0.584757647052773</v>
      </c>
      <c r="IC37" s="3">
        <f ca="1">IFERROR(__xludf.DUMMYFUNCTION("""COMPUTED_VALUE"""),-0.601291077734078)</f>
        <v>-0.60129107773407797</v>
      </c>
      <c r="ID37" s="3">
        <f ca="1">IFERROR(__xludf.DUMMYFUNCTION("""COMPUTED_VALUE"""),-0.617454559836792)</f>
        <v>-0.61745455983679198</v>
      </c>
      <c r="IE37" s="3">
        <f ca="1">IFERROR(__xludf.DUMMYFUNCTION("""COMPUTED_VALUE"""),-0.611730330084032)</f>
        <v>-0.61173033008403199</v>
      </c>
      <c r="IF37" s="3">
        <f ca="1">IFERROR(__xludf.DUMMYFUNCTION("""COMPUTED_VALUE"""),-0.632365757059756)</f>
        <v>-0.63236575705975595</v>
      </c>
      <c r="IG37" s="3">
        <f ca="1">IFERROR(__xludf.DUMMYFUNCTION("""COMPUTED_VALUE"""),-0.623885575697453)</f>
        <v>-0.62388557569745295</v>
      </c>
      <c r="IH37" s="3">
        <f ca="1">IFERROR(__xludf.DUMMYFUNCTION("""COMPUTED_VALUE"""),-0.657334694333799)</f>
        <v>-0.65733469433379899</v>
      </c>
      <c r="II37" s="3">
        <f ca="1">IFERROR(__xludf.DUMMYFUNCTION("""COMPUTED_VALUE"""),-0.578223766324129)</f>
        <v>-0.57822376632412897</v>
      </c>
      <c r="IJ37" s="3">
        <f ca="1">IFERROR(__xludf.DUMMYFUNCTION("""COMPUTED_VALUE"""),-0.56261532160259)</f>
        <v>-0.56261532160258998</v>
      </c>
      <c r="IK37" s="3">
        <f ca="1">IFERROR(__xludf.DUMMYFUNCTION("""COMPUTED_VALUE"""),-0.580664154319236)</f>
        <v>-0.58066415431923601</v>
      </c>
      <c r="IL37" s="3">
        <f ca="1">IFERROR(__xludf.DUMMYFUNCTION("""COMPUTED_VALUE"""),-0.587417268630807)</f>
        <v>-0.58741726863080701</v>
      </c>
      <c r="IM37" s="3">
        <f ca="1">IFERROR(__xludf.DUMMYFUNCTION("""COMPUTED_VALUE"""),-0.580590984994809)</f>
        <v>-0.58059098499480899</v>
      </c>
      <c r="IN37" s="3">
        <f ca="1">IFERROR(__xludf.DUMMYFUNCTION("""COMPUTED_VALUE"""),-0.544559698888148)</f>
        <v>-0.54455969888814804</v>
      </c>
      <c r="IO37" s="3">
        <f ca="1">IFERROR(__xludf.DUMMYFUNCTION("""COMPUTED_VALUE"""),-0.645851692868509)</f>
        <v>-0.64585169286850896</v>
      </c>
      <c r="IP37" s="3">
        <f ca="1">IFERROR(__xludf.DUMMYFUNCTION("""COMPUTED_VALUE"""),-0.587416486326626)</f>
        <v>-0.58741648632662602</v>
      </c>
      <c r="IQ37" s="3">
        <f ca="1">IFERROR(__xludf.DUMMYFUNCTION("""COMPUTED_VALUE"""),-0.615859753906067)</f>
        <v>-0.61585975390606695</v>
      </c>
      <c r="IR37" s="3">
        <f ca="1">IFERROR(__xludf.DUMMYFUNCTION("""COMPUTED_VALUE"""),-0.586636670887823)</f>
        <v>-0.58663667088782301</v>
      </c>
      <c r="IS37" s="3">
        <f ca="1">IFERROR(__xludf.DUMMYFUNCTION("""COMPUTED_VALUE"""),-0.577041183589229)</f>
        <v>-0.57704118358922896</v>
      </c>
      <c r="IT37" s="3">
        <f ca="1">IFERROR(__xludf.DUMMYFUNCTION("""COMPUTED_VALUE"""),-0.634529385092231)</f>
        <v>-0.634529385092231</v>
      </c>
      <c r="IU37" s="3">
        <f ca="1">IFERROR(__xludf.DUMMYFUNCTION("""COMPUTED_VALUE"""),-0.759252148527177)</f>
        <v>-0.75925214852717704</v>
      </c>
      <c r="IV37" s="3">
        <f ca="1">IFERROR(__xludf.DUMMYFUNCTION("""COMPUTED_VALUE"""),-0.646318940701529)</f>
        <v>-0.64631894070152895</v>
      </c>
      <c r="IW37" s="3">
        <f ca="1">IFERROR(__xludf.DUMMYFUNCTION("""COMPUTED_VALUE"""),-0.576238489658912)</f>
        <v>-0.576238489658912</v>
      </c>
      <c r="IX37" s="3">
        <f ca="1">IFERROR(__xludf.DUMMYFUNCTION("""COMPUTED_VALUE"""),-0.571556965261296)</f>
        <v>-0.57155696526129596</v>
      </c>
      <c r="IY37" s="3">
        <f ca="1">IFERROR(__xludf.DUMMYFUNCTION("""COMPUTED_VALUE"""),-0.560254690127705)</f>
        <v>-0.56025469012770501</v>
      </c>
      <c r="IZ37" s="3">
        <f ca="1">IFERROR(__xludf.DUMMYFUNCTION("""COMPUTED_VALUE"""),-0.561626186007624)</f>
        <v>-0.56162618600762404</v>
      </c>
      <c r="JA37" s="3">
        <f ca="1">IFERROR(__xludf.DUMMYFUNCTION("""COMPUTED_VALUE"""),-0.573107773278899)</f>
        <v>-0.57310777327889895</v>
      </c>
      <c r="JB37" s="3">
        <f ca="1">IFERROR(__xludf.DUMMYFUNCTION("""COMPUTED_VALUE"""),-0.564424541701096)</f>
        <v>-0.56442454170109602</v>
      </c>
      <c r="JC37" s="3">
        <f ca="1">IFERROR(__xludf.DUMMYFUNCTION("""COMPUTED_VALUE"""),-0.607536676886093)</f>
        <v>-0.60753667688609303</v>
      </c>
      <c r="JD37" s="3">
        <f ca="1">IFERROR(__xludf.DUMMYFUNCTION("""COMPUTED_VALUE"""),-0.59599700307932)</f>
        <v>-0.59599700307932002</v>
      </c>
      <c r="JE37" s="3">
        <f ca="1">IFERROR(__xludf.DUMMYFUNCTION("""COMPUTED_VALUE"""),-0.601926943233211)</f>
        <v>-0.60192694323321105</v>
      </c>
      <c r="JF37" s="3">
        <f ca="1">IFERROR(__xludf.DUMMYFUNCTION("""COMPUTED_VALUE"""),-0.626200923656456)</f>
        <v>-0.62620092365645597</v>
      </c>
      <c r="JG37" s="3">
        <f ca="1">IFERROR(__xludf.DUMMYFUNCTION("""COMPUTED_VALUE"""),-0.630074751315131)</f>
        <v>-0.63007475131513102</v>
      </c>
      <c r="JH37" s="3">
        <f ca="1">IFERROR(__xludf.DUMMYFUNCTION("""COMPUTED_VALUE"""),-0.613844116992224)</f>
        <v>-0.61384411699222396</v>
      </c>
      <c r="JI37" s="3">
        <f ca="1">IFERROR(__xludf.DUMMYFUNCTION("""COMPUTED_VALUE"""),-0.619313723306258)</f>
        <v>-0.619313723306258</v>
      </c>
      <c r="JJ37" s="3">
        <f ca="1">IFERROR(__xludf.DUMMYFUNCTION("""COMPUTED_VALUE"""),-0.634615030087464)</f>
        <v>-0.634615030087464</v>
      </c>
      <c r="JK37" s="3">
        <f ca="1">IFERROR(__xludf.DUMMYFUNCTION("""COMPUTED_VALUE"""),-0.584970634771977)</f>
        <v>-0.58497063477197697</v>
      </c>
      <c r="JL37" s="3">
        <f ca="1">IFERROR(__xludf.DUMMYFUNCTION("""COMPUTED_VALUE"""),-0.638467947067223)</f>
        <v>-0.63846794706722299</v>
      </c>
      <c r="JM37" s="3">
        <f ca="1">IFERROR(__xludf.DUMMYFUNCTION("""COMPUTED_VALUE"""),-0.651341396283324)</f>
        <v>-0.65134139628332399</v>
      </c>
      <c r="JN37" s="3">
        <f ca="1">IFERROR(__xludf.DUMMYFUNCTION("""COMPUTED_VALUE"""),-0.617402832425761)</f>
        <v>-0.61740283242576099</v>
      </c>
      <c r="JO37" s="3">
        <f ca="1">IFERROR(__xludf.DUMMYFUNCTION("""COMPUTED_VALUE"""),-0.652830635360016)</f>
        <v>-0.65283063536001595</v>
      </c>
      <c r="JP37" s="3">
        <f ca="1">IFERROR(__xludf.DUMMYFUNCTION("""COMPUTED_VALUE"""),-0.625975657643409)</f>
        <v>-0.62597565764340901</v>
      </c>
      <c r="JQ37" s="3">
        <f ca="1">IFERROR(__xludf.DUMMYFUNCTION("""COMPUTED_VALUE"""),-0.685892702527667)</f>
        <v>-0.68589270252766699</v>
      </c>
      <c r="JR37" s="3">
        <f ca="1">IFERROR(__xludf.DUMMYFUNCTION("""COMPUTED_VALUE"""),-0.61952407590058)</f>
        <v>-0.61952407590058001</v>
      </c>
      <c r="JS37" s="3">
        <f ca="1">IFERROR(__xludf.DUMMYFUNCTION("""COMPUTED_VALUE"""),-0.674146620774638)</f>
        <v>-0.67414662077463805</v>
      </c>
      <c r="JT37" s="3">
        <f ca="1">IFERROR(__xludf.DUMMYFUNCTION("""COMPUTED_VALUE"""),-0.653058196595481)</f>
        <v>-0.65305819659548103</v>
      </c>
      <c r="JU37" s="3">
        <f ca="1">IFERROR(__xludf.DUMMYFUNCTION("""COMPUTED_VALUE"""),-0.663529115686985)</f>
        <v>-0.66352911568698503</v>
      </c>
      <c r="JV37" s="3">
        <f ca="1">IFERROR(__xludf.DUMMYFUNCTION("""COMPUTED_VALUE"""),-0.632281272096803)</f>
        <v>-0.63228127209680296</v>
      </c>
      <c r="JW37" s="3">
        <f ca="1">IFERROR(__xludf.DUMMYFUNCTION("""COMPUTED_VALUE"""),-0.581168356084762)</f>
        <v>-0.58116835608476203</v>
      </c>
      <c r="JX37" s="3">
        <f ca="1">IFERROR(__xludf.DUMMYFUNCTION("""COMPUTED_VALUE"""),-0.655780351014155)</f>
        <v>-0.65578035101415499</v>
      </c>
      <c r="JY37" s="3">
        <f ca="1">IFERROR(__xludf.DUMMYFUNCTION("""COMPUTED_VALUE"""),-0.617432082299204)</f>
        <v>-0.61743208229920399</v>
      </c>
      <c r="JZ37" s="3">
        <f ca="1">IFERROR(__xludf.DUMMYFUNCTION("""COMPUTED_VALUE"""),-0.673765577562799)</f>
        <v>-0.67376557756279898</v>
      </c>
      <c r="KA37" s="3">
        <f ca="1">IFERROR(__xludf.DUMMYFUNCTION("""COMPUTED_VALUE"""),-0.729472834424187)</f>
        <v>-0.72947283442418698</v>
      </c>
      <c r="KB37" s="3">
        <f ca="1">IFERROR(__xludf.DUMMYFUNCTION("""COMPUTED_VALUE"""),-0.821417210889633)</f>
        <v>-0.82141721088963304</v>
      </c>
      <c r="KC37" s="3">
        <f ca="1">IFERROR(__xludf.DUMMYFUNCTION("""COMPUTED_VALUE"""),-0.697235063035792)</f>
        <v>-0.69723506303579197</v>
      </c>
      <c r="KD37" s="3">
        <f ca="1">IFERROR(__xludf.DUMMYFUNCTION("""COMPUTED_VALUE"""),-0.602374076143522)</f>
        <v>-0.60237407614352201</v>
      </c>
      <c r="KE37" s="3">
        <f ca="1">IFERROR(__xludf.DUMMYFUNCTION("""COMPUTED_VALUE"""),-0.645152790226716)</f>
        <v>-0.64515279022671601</v>
      </c>
      <c r="KF37" s="3">
        <f ca="1">IFERROR(__xludf.DUMMYFUNCTION("""COMPUTED_VALUE"""),-0.624000573279002)</f>
        <v>-0.62400057327900205</v>
      </c>
      <c r="KG37" s="3">
        <f ca="1">IFERROR(__xludf.DUMMYFUNCTION("""COMPUTED_VALUE"""),-0.678601319370383)</f>
        <v>-0.67860131937038304</v>
      </c>
      <c r="KH37" s="3">
        <f ca="1">IFERROR(__xludf.DUMMYFUNCTION("""COMPUTED_VALUE"""),-0.695111712476609)</f>
        <v>-0.69511171247660897</v>
      </c>
      <c r="KI37" s="3">
        <f ca="1">IFERROR(__xludf.DUMMYFUNCTION("""COMPUTED_VALUE"""),-0.702657302102721)</f>
        <v>-0.70265730210272104</v>
      </c>
      <c r="KJ37" s="3">
        <f ca="1">IFERROR(__xludf.DUMMYFUNCTION("""COMPUTED_VALUE"""),-0.670575726237213)</f>
        <v>-0.67057572623721295</v>
      </c>
      <c r="KK37" s="3">
        <f ca="1">IFERROR(__xludf.DUMMYFUNCTION("""COMPUTED_VALUE"""),-0.654263793041778)</f>
        <v>-0.65426379304177795</v>
      </c>
      <c r="KL37" s="3">
        <f ca="1">IFERROR(__xludf.DUMMYFUNCTION("""COMPUTED_VALUE"""),-0.685474299669244)</f>
        <v>-0.685474299669244</v>
      </c>
      <c r="KM37" s="3">
        <f ca="1">IFERROR(__xludf.DUMMYFUNCTION("""COMPUTED_VALUE"""),-0.569030553245102)</f>
        <v>-0.56903055324510199</v>
      </c>
      <c r="KN37" s="3">
        <f ca="1">IFERROR(__xludf.DUMMYFUNCTION("""COMPUTED_VALUE"""),-0.682679550498125)</f>
        <v>-0.68267955049812501</v>
      </c>
      <c r="KO37" s="3">
        <f ca="1">IFERROR(__xludf.DUMMYFUNCTION("""COMPUTED_VALUE"""),-0.746018381947215)</f>
        <v>-0.74601838194721504</v>
      </c>
      <c r="KP37" s="3">
        <f ca="1">IFERROR(__xludf.DUMMYFUNCTION("""COMPUTED_VALUE"""),-0.739405292404167)</f>
        <v>-0.73940529240416697</v>
      </c>
      <c r="KQ37" s="3">
        <f ca="1">IFERROR(__xludf.DUMMYFUNCTION("""COMPUTED_VALUE"""),-0.736340260183038)</f>
        <v>-0.736340260183038</v>
      </c>
      <c r="KR37" s="3">
        <f ca="1">IFERROR(__xludf.DUMMYFUNCTION("""COMPUTED_VALUE"""),-0.734052933653261)</f>
        <v>-0.73405293365326096</v>
      </c>
      <c r="KS37" s="3">
        <f ca="1">IFERROR(__xludf.DUMMYFUNCTION("""COMPUTED_VALUE"""),-0.599010066961204)</f>
        <v>-0.59901006696120396</v>
      </c>
      <c r="KT37" s="3">
        <f ca="1">IFERROR(__xludf.DUMMYFUNCTION("""COMPUTED_VALUE"""),-0.588175144009098)</f>
        <v>-0.58817514400909798</v>
      </c>
      <c r="KU37" s="3">
        <f ca="1">IFERROR(__xludf.DUMMYFUNCTION("""COMPUTED_VALUE"""),-0.701427587926772)</f>
        <v>-0.70142758792677196</v>
      </c>
      <c r="KV37" s="3">
        <f ca="1">IFERROR(__xludf.DUMMYFUNCTION("""COMPUTED_VALUE"""),-0.717347683585196)</f>
        <v>-0.71734768358519596</v>
      </c>
      <c r="KW37" s="3">
        <f ca="1">IFERROR(__xludf.DUMMYFUNCTION("""COMPUTED_VALUE"""),-0.69819245251056)</f>
        <v>-0.69819245251055995</v>
      </c>
      <c r="KX37" s="3">
        <f ca="1">IFERROR(__xludf.DUMMYFUNCTION("""COMPUTED_VALUE"""),-0.759502614636072)</f>
        <v>-0.75950261463607205</v>
      </c>
      <c r="KY37" s="3">
        <f ca="1">IFERROR(__xludf.DUMMYFUNCTION("""COMPUTED_VALUE"""),-0.729311342328105)</f>
        <v>-0.72931134232810502</v>
      </c>
      <c r="KZ37" s="3">
        <f ca="1">IFERROR(__xludf.DUMMYFUNCTION("""COMPUTED_VALUE"""),-0.740391209703694)</f>
        <v>-0.74039120970369399</v>
      </c>
      <c r="LA37" s="3">
        <f ca="1">IFERROR(__xludf.DUMMYFUNCTION("""COMPUTED_VALUE"""),-0.703361829125825)</f>
        <v>-0.70336182912582501</v>
      </c>
      <c r="LB37" s="3">
        <f ca="1">IFERROR(__xludf.DUMMYFUNCTION("""COMPUTED_VALUE"""),-0.730822362265676)</f>
        <v>-0.73082236226567598</v>
      </c>
      <c r="LC37" s="3">
        <f ca="1">IFERROR(__xludf.DUMMYFUNCTION("""COMPUTED_VALUE"""),-0.744139047202228)</f>
        <v>-0.74413904720222801</v>
      </c>
      <c r="LD37" s="3">
        <f ca="1">IFERROR(__xludf.DUMMYFUNCTION("""COMPUTED_VALUE"""),-0.748293069702755)</f>
        <v>-0.748293069702755</v>
      </c>
      <c r="LE37" s="3">
        <f ca="1">IFERROR(__xludf.DUMMYFUNCTION("""COMPUTED_VALUE"""),-0.741817542443857)</f>
        <v>-0.741817542443857</v>
      </c>
      <c r="LF37" s="3">
        <f ca="1">IFERROR(__xludf.DUMMYFUNCTION("""COMPUTED_VALUE"""),-0.727090710578872)</f>
        <v>-0.72709071057887198</v>
      </c>
      <c r="LG37" s="3">
        <f ca="1">IFERROR(__xludf.DUMMYFUNCTION("""COMPUTED_VALUE"""),-0.726667853651968)</f>
        <v>-0.72666785365196795</v>
      </c>
      <c r="LH37" s="3">
        <f ca="1">IFERROR(__xludf.DUMMYFUNCTION("""COMPUTED_VALUE"""),-0.672239776352504)</f>
        <v>-0.67223977635250398</v>
      </c>
      <c r="LI37" s="3">
        <f ca="1">IFERROR(__xludf.DUMMYFUNCTION("""COMPUTED_VALUE"""),-0.759243968147441)</f>
        <v>-0.759243968147441</v>
      </c>
      <c r="LJ37" s="3">
        <f ca="1">IFERROR(__xludf.DUMMYFUNCTION("""COMPUTED_VALUE"""),-0.784053938525862)</f>
        <v>-0.78405393852586203</v>
      </c>
      <c r="LK37" s="3">
        <f ca="1">IFERROR(__xludf.DUMMYFUNCTION("""COMPUTED_VALUE"""),-0.777448915982945)</f>
        <v>-0.77744891598294497</v>
      </c>
      <c r="LL37" s="3">
        <f ca="1">IFERROR(__xludf.DUMMYFUNCTION("""COMPUTED_VALUE"""),-0.765711740889846)</f>
        <v>-0.76571174088984595</v>
      </c>
      <c r="LM37" s="3">
        <f ca="1">IFERROR(__xludf.DUMMYFUNCTION("""COMPUTED_VALUE"""),-0.7361138288433)</f>
        <v>-0.73611382884330001</v>
      </c>
      <c r="LN37" s="3">
        <f ca="1">IFERROR(__xludf.DUMMYFUNCTION("""COMPUTED_VALUE"""),-0.754472284873206)</f>
        <v>-0.75447228487320595</v>
      </c>
      <c r="LO37" s="3">
        <f ca="1">IFERROR(__xludf.DUMMYFUNCTION("""COMPUTED_VALUE"""),-0.730757491445815)</f>
        <v>-0.73075749144581503</v>
      </c>
      <c r="LP37" s="3">
        <f ca="1">IFERROR(__xludf.DUMMYFUNCTION("""COMPUTED_VALUE"""),-0.82145279392769)</f>
        <v>-0.82145279392768999</v>
      </c>
      <c r="LQ37" s="3">
        <f ca="1">IFERROR(__xludf.DUMMYFUNCTION("""COMPUTED_VALUE"""),-0.835540148235844)</f>
        <v>-0.83554014823584399</v>
      </c>
      <c r="LR37" s="3">
        <f ca="1">IFERROR(__xludf.DUMMYFUNCTION("""COMPUTED_VALUE"""),-0.804692812196409)</f>
        <v>-0.80469281219640898</v>
      </c>
      <c r="LS37" s="3">
        <f ca="1">IFERROR(__xludf.DUMMYFUNCTION("""COMPUTED_VALUE"""),-0.817734111916308)</f>
        <v>-0.81773411191630796</v>
      </c>
      <c r="LT37" s="3">
        <f ca="1">IFERROR(__xludf.DUMMYFUNCTION("""COMPUTED_VALUE"""),-0.832751089674466)</f>
        <v>-0.83275108967446598</v>
      </c>
      <c r="LU37" s="3">
        <f ca="1">IFERROR(__xludf.DUMMYFUNCTION("""COMPUTED_VALUE"""),-0.750994644611936)</f>
        <v>-0.75099464461193599</v>
      </c>
      <c r="LV37" s="3">
        <f ca="1">IFERROR(__xludf.DUMMYFUNCTION("""COMPUTED_VALUE"""),-0.72633617311402)</f>
        <v>-0.72633617311401999</v>
      </c>
      <c r="LW37" s="3">
        <f ca="1">IFERROR(__xludf.DUMMYFUNCTION("""COMPUTED_VALUE"""),-0.825765305730104)</f>
        <v>-0.82576530573010398</v>
      </c>
      <c r="LX37" s="3">
        <f ca="1">IFERROR(__xludf.DUMMYFUNCTION("""COMPUTED_VALUE"""),-0.809727872439299)</f>
        <v>-0.809727872439299</v>
      </c>
      <c r="LY37" s="3">
        <f ca="1">IFERROR(__xludf.DUMMYFUNCTION("""COMPUTED_VALUE"""),-0.814034120069699)</f>
        <v>-0.814034120069699</v>
      </c>
      <c r="LZ37" s="3">
        <f ca="1">IFERROR(__xludf.DUMMYFUNCTION("""COMPUTED_VALUE"""),-0.801493575877776)</f>
        <v>-0.80149357587777603</v>
      </c>
      <c r="MA37" s="3">
        <f ca="1">IFERROR(__xludf.DUMMYFUNCTION("""COMPUTED_VALUE"""),-0.77038374260827)</f>
        <v>-0.77038374260827003</v>
      </c>
      <c r="MB37" s="3">
        <f ca="1">IFERROR(__xludf.DUMMYFUNCTION("""COMPUTED_VALUE"""),-0.78960087568814)</f>
        <v>-0.78960087568813997</v>
      </c>
      <c r="MC37" s="3">
        <f ca="1">IFERROR(__xludf.DUMMYFUNCTION("""COMPUTED_VALUE"""),-0.783002608251593)</f>
        <v>-0.78300260825159296</v>
      </c>
      <c r="MD37" s="3">
        <f ca="1">IFERROR(__xludf.DUMMYFUNCTION("""COMPUTED_VALUE"""),-0.827659220337642)</f>
        <v>-0.82765922033764205</v>
      </c>
      <c r="ME37" s="3">
        <f ca="1">IFERROR(__xludf.DUMMYFUNCTION("""COMPUTED_VALUE"""),-0.832378715960057)</f>
        <v>-0.83237871596005697</v>
      </c>
      <c r="MF37" s="3">
        <f ca="1">IFERROR(__xludf.DUMMYFUNCTION("""COMPUTED_VALUE"""),-0.832120484550369)</f>
        <v>-0.83212048455036902</v>
      </c>
      <c r="MG37" s="3">
        <f ca="1">IFERROR(__xludf.DUMMYFUNCTION("""COMPUTED_VALUE"""),-0.831333232795013)</f>
        <v>-0.83133323279501303</v>
      </c>
      <c r="MH37" s="3">
        <f ca="1">IFERROR(__xludf.DUMMYFUNCTION("""COMPUTED_VALUE"""),-0.844057261698324)</f>
        <v>-0.84405726169832396</v>
      </c>
      <c r="MI37" s="3">
        <f ca="1">IFERROR(__xludf.DUMMYFUNCTION("""COMPUTED_VALUE"""),-0.803892304876811)</f>
        <v>-0.80389230487681096</v>
      </c>
      <c r="MJ37" s="3">
        <f ca="1">IFERROR(__xludf.DUMMYFUNCTION("""COMPUTED_VALUE"""),-0.780572346702154)</f>
        <v>-0.78057234670215403</v>
      </c>
      <c r="MK37" s="3">
        <f ca="1">IFERROR(__xludf.DUMMYFUNCTION("""COMPUTED_VALUE"""),-0.843394318094673)</f>
        <v>-0.84339431809467302</v>
      </c>
      <c r="ML37" s="3">
        <f ca="1">IFERROR(__xludf.DUMMYFUNCTION("""COMPUTED_VALUE"""),-0.848225133727507)</f>
        <v>-0.84822513372750696</v>
      </c>
      <c r="MM37" s="3">
        <f ca="1">IFERROR(__xludf.DUMMYFUNCTION("""COMPUTED_VALUE"""),-0.83855851343095)</f>
        <v>-0.83855851343095</v>
      </c>
      <c r="MN37" s="3">
        <f ca="1">IFERROR(__xludf.DUMMYFUNCTION("""COMPUTED_VALUE"""),-0.852035296277724)</f>
        <v>-0.85203529627772401</v>
      </c>
      <c r="MO37" s="3">
        <f ca="1">IFERROR(__xludf.DUMMYFUNCTION("""COMPUTED_VALUE"""),-0.794436300747195)</f>
        <v>-0.79443630074719496</v>
      </c>
      <c r="MP37" s="3">
        <f ca="1">IFERROR(__xludf.DUMMYFUNCTION("""COMPUTED_VALUE"""),-0.794878638953428)</f>
        <v>-0.79487863895342803</v>
      </c>
      <c r="MQ37" s="3">
        <f ca="1">IFERROR(__xludf.DUMMYFUNCTION("""COMPUTED_VALUE"""),-0.783866869782887)</f>
        <v>-0.783866869782887</v>
      </c>
      <c r="MR37" s="3">
        <f ca="1">IFERROR(__xludf.DUMMYFUNCTION("""COMPUTED_VALUE"""),-0.822448377168907)</f>
        <v>-0.82244837716890695</v>
      </c>
      <c r="MS37" s="3">
        <f ca="1">IFERROR(__xludf.DUMMYFUNCTION("""COMPUTED_VALUE"""),-0.84773312664316)</f>
        <v>-0.84773312664316003</v>
      </c>
      <c r="MT37" s="3">
        <f ca="1">IFERROR(__xludf.DUMMYFUNCTION("""COMPUTED_VALUE"""),-0.848264788632239)</f>
        <v>-0.84826478863223898</v>
      </c>
      <c r="MU37" s="3">
        <f ca="1">IFERROR(__xludf.DUMMYFUNCTION("""COMPUTED_VALUE"""),-0.828620012863919)</f>
        <v>-0.82862001286391895</v>
      </c>
      <c r="MV37" s="3">
        <f ca="1">IFERROR(__xludf.DUMMYFUNCTION("""COMPUTED_VALUE"""),-0.783757963336814)</f>
        <v>-0.78375796333681402</v>
      </c>
      <c r="MW37" s="3">
        <f ca="1">IFERROR(__xludf.DUMMYFUNCTION("""COMPUTED_VALUE"""),-0.775798348541257)</f>
        <v>-0.77579834854125695</v>
      </c>
      <c r="MX37" s="3">
        <f ca="1">IFERROR(__xludf.DUMMYFUNCTION("""COMPUTED_VALUE"""),-0.789765947468714)</f>
        <v>-0.78976594746871398</v>
      </c>
      <c r="MY37" s="3">
        <f ca="1">IFERROR(__xludf.DUMMYFUNCTION("""COMPUTED_VALUE"""),-0.807943635159403)</f>
        <v>-0.80794363515940304</v>
      </c>
      <c r="MZ37" s="3">
        <f ca="1">IFERROR(__xludf.DUMMYFUNCTION("""COMPUTED_VALUE"""),-0.87137703734716)</f>
        <v>-0.87137703734715999</v>
      </c>
      <c r="NA37" s="3">
        <f ca="1">IFERROR(__xludf.DUMMYFUNCTION("""COMPUTED_VALUE"""),-0.860770395990177)</f>
        <v>-0.86077039599017702</v>
      </c>
      <c r="NB37" s="3">
        <f ca="1">IFERROR(__xludf.DUMMYFUNCTION("""COMPUTED_VALUE"""),-0.847638777879998)</f>
        <v>-0.84763877787999797</v>
      </c>
      <c r="NC37" s="3">
        <f ca="1">IFERROR(__xludf.DUMMYFUNCTION("""COMPUTED_VALUE"""),-0.84795808765349)</f>
        <v>-0.84795808765349001</v>
      </c>
      <c r="ND37" s="3">
        <f ca="1">IFERROR(__xludf.DUMMYFUNCTION("""COMPUTED_VALUE"""),-0.889516045382848)</f>
        <v>-0.88951604538284801</v>
      </c>
      <c r="NE37" s="3">
        <f ca="1">IFERROR(__xludf.DUMMYFUNCTION("""COMPUTED_VALUE"""),-0.898873900980404)</f>
        <v>-0.89887390098040398</v>
      </c>
      <c r="NF37" s="3">
        <f ca="1">IFERROR(__xludf.DUMMYFUNCTION("""COMPUTED_VALUE"""),-0.908606752068619)</f>
        <v>-0.90860675206861896</v>
      </c>
      <c r="NG37" s="3">
        <f ca="1">IFERROR(__xludf.DUMMYFUNCTION("""COMPUTED_VALUE"""),-0.856966336303465)</f>
        <v>-0.85696633630346497</v>
      </c>
      <c r="NH37" s="3">
        <f ca="1">IFERROR(__xludf.DUMMYFUNCTION("""COMPUTED_VALUE"""),-0.852466895444647)</f>
        <v>-0.85246689544464704</v>
      </c>
      <c r="NI37" s="3">
        <f ca="1">IFERROR(__xludf.DUMMYFUNCTION("""COMPUTED_VALUE"""),-0.863805803815939)</f>
        <v>-0.86380580381593897</v>
      </c>
      <c r="NJ37" s="3">
        <f ca="1">IFERROR(__xludf.DUMMYFUNCTION("""COMPUTED_VALUE"""),-0.823573659410497)</f>
        <v>-0.82357365941049698</v>
      </c>
      <c r="NK37" s="3">
        <f ca="1">IFERROR(__xludf.DUMMYFUNCTION("""COMPUTED_VALUE"""),-0.827792582978696)</f>
        <v>-0.82779258297869596</v>
      </c>
      <c r="NL37" s="3">
        <f ca="1">IFERROR(__xludf.DUMMYFUNCTION("""COMPUTED_VALUE"""),-0.818960437906898)</f>
        <v>-0.81896043790689799</v>
      </c>
      <c r="NM37" s="3">
        <f ca="1">IFERROR(__xludf.DUMMYFUNCTION("""COMPUTED_VALUE"""),-0.814468350944712)</f>
        <v>-0.81446835094471204</v>
      </c>
      <c r="NN37" s="3">
        <f ca="1">IFERROR(__xludf.DUMMYFUNCTION("""COMPUTED_VALUE"""),-0.8624125759402)</f>
        <v>-0.86241257594020004</v>
      </c>
      <c r="NO37" s="3">
        <f ca="1">IFERROR(__xludf.DUMMYFUNCTION("""COMPUTED_VALUE"""),-0.842871315000033)</f>
        <v>-0.84287131500003298</v>
      </c>
      <c r="NP37" s="3">
        <f ca="1">IFERROR(__xludf.DUMMYFUNCTION("""COMPUTED_VALUE"""),-0.845958171714821)</f>
        <v>-0.84595817171482102</v>
      </c>
      <c r="NQ37" s="3">
        <f ca="1">IFERROR(__xludf.DUMMYFUNCTION("""COMPUTED_VALUE"""),-0.880556297076085)</f>
        <v>-0.88055629707608496</v>
      </c>
      <c r="NR37" s="3">
        <f ca="1">IFERROR(__xludf.DUMMYFUNCTION("""COMPUTED_VALUE"""),-0.847774793913996)</f>
        <v>-0.84777479391399602</v>
      </c>
      <c r="NS37" s="3">
        <f ca="1">IFERROR(__xludf.DUMMYFUNCTION("""COMPUTED_VALUE"""),-0.922021102891519)</f>
        <v>-0.92202110289151895</v>
      </c>
      <c r="NT37" s="3">
        <f ca="1">IFERROR(__xludf.DUMMYFUNCTION("""COMPUTED_VALUE"""),-0.900343047033525)</f>
        <v>-0.90034304703352497</v>
      </c>
      <c r="NU37" s="3">
        <f ca="1">IFERROR(__xludf.DUMMYFUNCTION("""COMPUTED_VALUE"""),-0.860379792937227)</f>
        <v>-0.86037979293722699</v>
      </c>
      <c r="NV37" s="3">
        <f ca="1">IFERROR(__xludf.DUMMYFUNCTION("""COMPUTED_VALUE"""),-0.829100388534706)</f>
        <v>-0.82910038853470602</v>
      </c>
      <c r="NW37" s="3">
        <f ca="1">IFERROR(__xludf.DUMMYFUNCTION("""COMPUTED_VALUE"""),-0.830045005390458)</f>
        <v>-0.830045005390458</v>
      </c>
      <c r="NX37" s="3">
        <f ca="1">IFERROR(__xludf.DUMMYFUNCTION("""COMPUTED_VALUE"""),-0.798416185602654)</f>
        <v>-0.79841618560265404</v>
      </c>
      <c r="NY37" s="3">
        <f ca="1">IFERROR(__xludf.DUMMYFUNCTION("""COMPUTED_VALUE"""),-0.7868516055826)</f>
        <v>-0.78685160558260003</v>
      </c>
      <c r="NZ37" s="3">
        <f ca="1">IFERROR(__xludf.DUMMYFUNCTION("""COMPUTED_VALUE"""),-0.752462727943863)</f>
        <v>-0.75246272794386304</v>
      </c>
      <c r="OA37" s="3">
        <f ca="1">IFERROR(__xludf.DUMMYFUNCTION("""COMPUTED_VALUE"""),-0.727398571158123)</f>
        <v>-0.72739857115812301</v>
      </c>
      <c r="OB37" s="3">
        <f ca="1">IFERROR(__xludf.DUMMYFUNCTION("""COMPUTED_VALUE"""),-0.705389719035072)</f>
        <v>-0.70538971903507197</v>
      </c>
      <c r="OC37" s="3">
        <f ca="1">IFERROR(__xludf.DUMMYFUNCTION("""COMPUTED_VALUE"""),-0.608963173207607)</f>
        <v>-0.60896317320760696</v>
      </c>
      <c r="OD37" s="3">
        <f ca="1">IFERROR(__xludf.DUMMYFUNCTION("""COMPUTED_VALUE"""),-0.581713469118756)</f>
        <v>-0.58171346911875599</v>
      </c>
      <c r="OE37" s="3">
        <f ca="1">IFERROR(__xludf.DUMMYFUNCTION("""COMPUTED_VALUE"""),-0.654626191933329)</f>
        <v>-0.65462619193332905</v>
      </c>
      <c r="OF37" s="3">
        <f ca="1">IFERROR(__xludf.DUMMYFUNCTION("""COMPUTED_VALUE"""),-0.476838304245582)</f>
        <v>-0.47683830424558199</v>
      </c>
      <c r="OG37" s="3">
        <f ca="1">IFERROR(__xludf.DUMMYFUNCTION("""COMPUTED_VALUE"""),-0.462474891921571)</f>
        <v>-0.46247489192157099</v>
      </c>
      <c r="OH37" s="3">
        <f ca="1">IFERROR(__xludf.DUMMYFUNCTION("""COMPUTED_VALUE"""),-0.251681983879473)</f>
        <v>-0.25168198387947299</v>
      </c>
      <c r="OI37" s="3">
        <f ca="1">IFERROR(__xludf.DUMMYFUNCTION("""COMPUTED_VALUE"""),0.00562317810405699)</f>
        <v>5.62317810405699E-3</v>
      </c>
      <c r="OJ37" s="3">
        <f ca="1">IFERROR(__xludf.DUMMYFUNCTION("""COMPUTED_VALUE"""),0.00622207896428728)</f>
        <v>6.22207896428728E-3</v>
      </c>
      <c r="OK37" s="3">
        <f ca="1">IFERROR(__xludf.DUMMYFUNCTION("""COMPUTED_VALUE"""),0.0594314150539125)</f>
        <v>5.9431415053912501E-2</v>
      </c>
      <c r="OL37" s="3">
        <f ca="1">IFERROR(__xludf.DUMMYFUNCTION("""COMPUTED_VALUE"""),-0.0445333658446702)</f>
        <v>-4.45333658446702E-2</v>
      </c>
      <c r="OM37" s="3">
        <f ca="1">IFERROR(__xludf.DUMMYFUNCTION("""COMPUTED_VALUE"""),-0.251027790837683)</f>
        <v>-0.25102779083768301</v>
      </c>
      <c r="ON37" s="3">
        <f ca="1">IFERROR(__xludf.DUMMYFUNCTION("""COMPUTED_VALUE"""),-0.145125531430757)</f>
        <v>-0.14512553143075699</v>
      </c>
      <c r="OO37" s="3">
        <f ca="1">IFERROR(__xludf.DUMMYFUNCTION("""COMPUTED_VALUE"""),0.067347714402739)</f>
        <v>6.7347714402738998E-2</v>
      </c>
      <c r="OP37" s="3">
        <f ca="1">IFERROR(__xludf.DUMMYFUNCTION("""COMPUTED_VALUE"""),0.0696252046904692)</f>
        <v>6.9625204690469206E-2</v>
      </c>
      <c r="OQ37" s="3">
        <f ca="1">IFERROR(__xludf.DUMMYFUNCTION("""COMPUTED_VALUE"""),0.119236743379959)</f>
        <v>0.119236743379959</v>
      </c>
      <c r="OR37" s="3">
        <f ca="1">IFERROR(__xludf.DUMMYFUNCTION("""COMPUTED_VALUE"""),0.101727903348148)</f>
        <v>0.101727903348148</v>
      </c>
      <c r="OS37" s="3">
        <f ca="1">IFERROR(__xludf.DUMMYFUNCTION("""COMPUTED_VALUE"""),0.0690971053941771)</f>
        <v>6.90971053941771E-2</v>
      </c>
      <c r="OT37" s="3">
        <f ca="1">IFERROR(__xludf.DUMMYFUNCTION("""COMPUTED_VALUE"""),-0.222905822257822)</f>
        <v>-0.22290582225782199</v>
      </c>
      <c r="OU37" s="3">
        <f ca="1">IFERROR(__xludf.DUMMYFUNCTION("""COMPUTED_VALUE"""),-0.126768802561706)</f>
        <v>-0.126768802561706</v>
      </c>
      <c r="OV37" s="3">
        <f ca="1">IFERROR(__xludf.DUMMYFUNCTION("""COMPUTED_VALUE"""),0.103405136998417)</f>
        <v>0.103405136998417</v>
      </c>
      <c r="OW37" s="3">
        <f ca="1">IFERROR(__xludf.DUMMYFUNCTION("""COMPUTED_VALUE"""),0.134488083641328)</f>
        <v>0.134488083641328</v>
      </c>
      <c r="OX37" s="3">
        <f ca="1">IFERROR(__xludf.DUMMYFUNCTION("""COMPUTED_VALUE"""),0.117197802366209)</f>
        <v>0.117197802366209</v>
      </c>
      <c r="OY37" s="3">
        <f ca="1">IFERROR(__xludf.DUMMYFUNCTION("""COMPUTED_VALUE"""),0.227179699189393)</f>
        <v>0.22717969918939299</v>
      </c>
      <c r="OZ37" s="3">
        <f ca="1">IFERROR(__xludf.DUMMYFUNCTION("""COMPUTED_VALUE"""),0.211585176804772)</f>
        <v>0.21158517680477201</v>
      </c>
      <c r="PA37" s="3">
        <f ca="1">IFERROR(__xludf.DUMMYFUNCTION("""COMPUTED_VALUE"""),-0.263834882799881)</f>
        <v>-0.26383488279988099</v>
      </c>
      <c r="PB37" s="3">
        <f ca="1">IFERROR(__xludf.DUMMYFUNCTION("""COMPUTED_VALUE"""),0.0151209114643149)</f>
        <v>1.51209114643149E-2</v>
      </c>
      <c r="PC37" s="3">
        <f ca="1">IFERROR(__xludf.DUMMYFUNCTION("""COMPUTED_VALUE"""),-0.0214927632347332)</f>
        <v>-2.14927632347332E-2</v>
      </c>
      <c r="PD37" s="3">
        <f ca="1">IFERROR(__xludf.DUMMYFUNCTION("""COMPUTED_VALUE"""),-0.110974619619379)</f>
        <v>-0.110974619619379</v>
      </c>
      <c r="PE37" s="3">
        <f ca="1">IFERROR(__xludf.DUMMYFUNCTION("""COMPUTED_VALUE"""),-0.181995111153297)</f>
        <v>-0.181995111153297</v>
      </c>
      <c r="PF37" s="3">
        <f ca="1">IFERROR(__xludf.DUMMYFUNCTION("""COMPUTED_VALUE"""),-0.358178119545243)</f>
        <v>-0.35817811954524298</v>
      </c>
      <c r="PG37" s="3">
        <f ca="1">IFERROR(__xludf.DUMMYFUNCTION("""COMPUTED_VALUE"""),-0.604090311181513)</f>
        <v>-0.60409031118151302</v>
      </c>
      <c r="PH37" s="3">
        <f ca="1">IFERROR(__xludf.DUMMYFUNCTION("""COMPUTED_VALUE"""),-0.215369468004825)</f>
        <v>-0.21536946800482501</v>
      </c>
      <c r="PI37" s="3">
        <f ca="1">IFERROR(__xludf.DUMMYFUNCTION("""COMPUTED_VALUE"""),-0.0907560739785822)</f>
        <v>-9.0756073978582194E-2</v>
      </c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</row>
    <row r="38" spans="1:477" ht="15.75" customHeight="1">
      <c r="A38" s="1" t="str">
        <f ca="1">IFERROR(__xludf.DUMMYFUNCTION("""COMPUTED_VALUE"""),"STO")</f>
        <v>STO</v>
      </c>
      <c r="B38" s="1" t="str">
        <f ca="1">IFERROR(__xludf.DUMMYFUNCTION("""COMPUTED_VALUE"""),"Gatineau")</f>
        <v>Gatineau</v>
      </c>
      <c r="C38" s="1" t="str">
        <f ca="1">IFERROR(__xludf.DUMMYFUNCTION("""COMPUTED_VALUE"""),"Canada")</f>
        <v>Canada</v>
      </c>
      <c r="D38" s="1" t="str">
        <f ca="1">IFERROR(__xludf.DUMMYFUNCTION("""COMPUTED_VALUE"""),"Quebec")</f>
        <v>Quebec</v>
      </c>
      <c r="E38" s="3">
        <f ca="1">IFERROR(__xludf.DUMMYFUNCTION("""COMPUTED_VALUE"""),-0.634552568616477)</f>
        <v>-0.63455256861647702</v>
      </c>
      <c r="F38" s="3">
        <f ca="1">IFERROR(__xludf.DUMMYFUNCTION("""COMPUTED_VALUE"""),-0.692038867892215)</f>
        <v>-0.69203886789221503</v>
      </c>
      <c r="G38" s="3">
        <f ca="1">IFERROR(__xludf.DUMMYFUNCTION("""COMPUTED_VALUE"""),-0.746294839341732)</f>
        <v>-0.74629483934173202</v>
      </c>
      <c r="H38" s="3">
        <f ca="1">IFERROR(__xludf.DUMMYFUNCTION("""COMPUTED_VALUE"""),-0.726091859770695)</f>
        <v>-0.72609185977069501</v>
      </c>
      <c r="I38" s="3">
        <f ca="1">IFERROR(__xludf.DUMMYFUNCTION("""COMPUTED_VALUE"""),-0.713782174921823)</f>
        <v>-0.71378217492182305</v>
      </c>
      <c r="J38" s="3">
        <f ca="1">IFERROR(__xludf.DUMMYFUNCTION("""COMPUTED_VALUE"""),-0.733900507821098)</f>
        <v>-0.73390050782109795</v>
      </c>
      <c r="K38" s="3">
        <f ca="1">IFERROR(__xludf.DUMMYFUNCTION("""COMPUTED_VALUE"""),-0.674481139981537)</f>
        <v>-0.67448113998153703</v>
      </c>
      <c r="L38" s="3">
        <f ca="1">IFERROR(__xludf.DUMMYFUNCTION("""COMPUTED_VALUE"""),-0.63582277625344)</f>
        <v>-0.63582277625343997</v>
      </c>
      <c r="M38" s="3">
        <f ca="1">IFERROR(__xludf.DUMMYFUNCTION("""COMPUTED_VALUE"""),-0.746896958766958)</f>
        <v>-0.74689695876695805</v>
      </c>
      <c r="N38" s="3">
        <f ca="1">IFERROR(__xludf.DUMMYFUNCTION("""COMPUTED_VALUE"""),-0.650632407462557)</f>
        <v>-0.65063240746255702</v>
      </c>
      <c r="O38" s="3">
        <f ca="1">IFERROR(__xludf.DUMMYFUNCTION("""COMPUTED_VALUE"""),-0.651528201738435)</f>
        <v>-0.65152820173843495</v>
      </c>
      <c r="P38" s="3">
        <f ca="1">IFERROR(__xludf.DUMMYFUNCTION("""COMPUTED_VALUE"""),-0.632029206665743)</f>
        <v>-0.63202920666574303</v>
      </c>
      <c r="Q38" s="3">
        <f ca="1">IFERROR(__xludf.DUMMYFUNCTION("""COMPUTED_VALUE"""),-0.635643554012425)</f>
        <v>-0.635643554012425</v>
      </c>
      <c r="R38" s="3">
        <f ca="1">IFERROR(__xludf.DUMMYFUNCTION("""COMPUTED_VALUE"""),-0.571491158110167)</f>
        <v>-0.57149115811016704</v>
      </c>
      <c r="S38" s="3">
        <f ca="1">IFERROR(__xludf.DUMMYFUNCTION("""COMPUTED_VALUE"""),-0.539856204186529)</f>
        <v>-0.53985620418652902</v>
      </c>
      <c r="T38" s="3">
        <f ca="1">IFERROR(__xludf.DUMMYFUNCTION("""COMPUTED_VALUE"""),-0.693353595196887)</f>
        <v>-0.693353595196887</v>
      </c>
      <c r="U38" s="3">
        <f ca="1">IFERROR(__xludf.DUMMYFUNCTION("""COMPUTED_VALUE"""),-0.651940689709931)</f>
        <v>-0.65194068970993102</v>
      </c>
      <c r="V38" s="3">
        <f ca="1">IFERROR(__xludf.DUMMYFUNCTION("""COMPUTED_VALUE"""),-0.67246073456229)</f>
        <v>-0.67246073456229005</v>
      </c>
      <c r="W38" s="3">
        <f ca="1">IFERROR(__xludf.DUMMYFUNCTION("""COMPUTED_VALUE"""),-0.646985671783842)</f>
        <v>-0.64698567178384203</v>
      </c>
      <c r="X38" s="3">
        <f ca="1">IFERROR(__xludf.DUMMYFUNCTION("""COMPUTED_VALUE"""),-0.651863520048809)</f>
        <v>-0.65186352004880899</v>
      </c>
      <c r="Y38" s="3">
        <f ca="1">IFERROR(__xludf.DUMMYFUNCTION("""COMPUTED_VALUE"""),-0.508057135049945)</f>
        <v>-0.50805713504994499</v>
      </c>
      <c r="Z38" s="3">
        <f ca="1">IFERROR(__xludf.DUMMYFUNCTION("""COMPUTED_VALUE"""),-0.541968025788654)</f>
        <v>-0.541968025788654</v>
      </c>
      <c r="AA38" s="3">
        <f ca="1">IFERROR(__xludf.DUMMYFUNCTION("""COMPUTED_VALUE"""),-0.659111967017843)</f>
        <v>-0.65911196701784303</v>
      </c>
      <c r="AB38" s="3">
        <f ca="1">IFERROR(__xludf.DUMMYFUNCTION("""COMPUTED_VALUE"""),-0.652278938719271)</f>
        <v>-0.65227893871927101</v>
      </c>
      <c r="AC38" s="3">
        <f ca="1">IFERROR(__xludf.DUMMYFUNCTION("""COMPUTED_VALUE"""),-0.668471472640158)</f>
        <v>-0.66847147264015805</v>
      </c>
      <c r="AD38" s="3">
        <f ca="1">IFERROR(__xludf.DUMMYFUNCTION("""COMPUTED_VALUE"""),-0.676317131297884)</f>
        <v>-0.67631713129788396</v>
      </c>
      <c r="AE38" s="3">
        <f ca="1">IFERROR(__xludf.DUMMYFUNCTION("""COMPUTED_VALUE"""),-0.661253911811285)</f>
        <v>-0.66125391181128501</v>
      </c>
      <c r="AF38" s="3">
        <f ca="1">IFERROR(__xludf.DUMMYFUNCTION("""COMPUTED_VALUE"""),-0.516736955276582)</f>
        <v>-0.51673695527658203</v>
      </c>
      <c r="AG38" s="3">
        <f ca="1">IFERROR(__xludf.DUMMYFUNCTION("""COMPUTED_VALUE"""),-0.532879294402715)</f>
        <v>-0.53287929440271498</v>
      </c>
      <c r="AH38" s="3">
        <f ca="1">IFERROR(__xludf.DUMMYFUNCTION("""COMPUTED_VALUE"""),-0.636153000259551)</f>
        <v>-0.63615300025955102</v>
      </c>
      <c r="AI38" s="3">
        <f ca="1">IFERROR(__xludf.DUMMYFUNCTION("""COMPUTED_VALUE"""),-0.650041180698117)</f>
        <v>-0.650041180698117</v>
      </c>
      <c r="AJ38" s="3">
        <f ca="1">IFERROR(__xludf.DUMMYFUNCTION("""COMPUTED_VALUE"""),-0.669192350996949)</f>
        <v>-0.66919235099694896</v>
      </c>
      <c r="AK38" s="3">
        <f ca="1">IFERROR(__xludf.DUMMYFUNCTION("""COMPUTED_VALUE"""),-0.671757077375654)</f>
        <v>-0.67175707737565404</v>
      </c>
      <c r="AL38" s="3">
        <f ca="1">IFERROR(__xludf.DUMMYFUNCTION("""COMPUTED_VALUE"""),-0.66437099044075)</f>
        <v>-0.66437099044074999</v>
      </c>
      <c r="AM38" s="3">
        <f ca="1">IFERROR(__xludf.DUMMYFUNCTION("""COMPUTED_VALUE"""),-0.505490267713902)</f>
        <v>-0.50549026771390204</v>
      </c>
      <c r="AN38" s="3">
        <f ca="1">IFERROR(__xludf.DUMMYFUNCTION("""COMPUTED_VALUE"""),-0.532448889285011)</f>
        <v>-0.532448889285011</v>
      </c>
      <c r="AO38" s="3">
        <f ca="1">IFERROR(__xludf.DUMMYFUNCTION("""COMPUTED_VALUE"""),-0.654602589697645)</f>
        <v>-0.65460258969764495</v>
      </c>
      <c r="AP38" s="3">
        <f ca="1">IFERROR(__xludf.DUMMYFUNCTION("""COMPUTED_VALUE"""),-0.66379857376344)</f>
        <v>-0.66379857376343998</v>
      </c>
      <c r="AQ38" s="3">
        <f ca="1">IFERROR(__xludf.DUMMYFUNCTION("""COMPUTED_VALUE"""),-0.658252614468287)</f>
        <v>-0.65825261446828698</v>
      </c>
      <c r="AR38" s="3">
        <f ca="1">IFERROR(__xludf.DUMMYFUNCTION("""COMPUTED_VALUE"""),-0.673353051890149)</f>
        <v>-0.67335305189014905</v>
      </c>
      <c r="AS38" s="3">
        <f ca="1">IFERROR(__xludf.DUMMYFUNCTION("""COMPUTED_VALUE"""),-0.641116420663556)</f>
        <v>-0.64111642066355601</v>
      </c>
      <c r="AT38" s="3">
        <f ca="1">IFERROR(__xludf.DUMMYFUNCTION("""COMPUTED_VALUE"""),-0.432534039440593)</f>
        <v>-0.43253403944059299</v>
      </c>
      <c r="AU38" s="3">
        <f ca="1">IFERROR(__xludf.DUMMYFUNCTION("""COMPUTED_VALUE"""),-0.520809612983232)</f>
        <v>-0.52080961298323203</v>
      </c>
      <c r="AV38" s="3">
        <f ca="1">IFERROR(__xludf.DUMMYFUNCTION("""COMPUTED_VALUE"""),-0.621083425036441)</f>
        <v>-0.62108342503644098</v>
      </c>
      <c r="AW38" s="3">
        <f ca="1">IFERROR(__xludf.DUMMYFUNCTION("""COMPUTED_VALUE"""),-0.644831804399373)</f>
        <v>-0.64483180439937304</v>
      </c>
      <c r="AX38" s="3">
        <f ca="1">IFERROR(__xludf.DUMMYFUNCTION("""COMPUTED_VALUE"""),-0.651323193200127)</f>
        <v>-0.65132319320012699</v>
      </c>
      <c r="AY38" s="3">
        <f ca="1">IFERROR(__xludf.DUMMYFUNCTION("""COMPUTED_VALUE"""),-0.665615846585329)</f>
        <v>-0.66561584658532902</v>
      </c>
      <c r="AZ38" s="3">
        <f ca="1">IFERROR(__xludf.DUMMYFUNCTION("""COMPUTED_VALUE"""),-0.63534778455351)</f>
        <v>-0.63534778455351004</v>
      </c>
      <c r="BA38" s="3">
        <f ca="1">IFERROR(__xludf.DUMMYFUNCTION("""COMPUTED_VALUE"""),-0.517747001924632)</f>
        <v>-0.51774700192463197</v>
      </c>
      <c r="BB38" s="3">
        <f ca="1">IFERROR(__xludf.DUMMYFUNCTION("""COMPUTED_VALUE"""),-0.556123538981731)</f>
        <v>-0.55612353898173095</v>
      </c>
      <c r="BC38" s="3">
        <f ca="1">IFERROR(__xludf.DUMMYFUNCTION("""COMPUTED_VALUE"""),-0.667978212441156)</f>
        <v>-0.66797821244115596</v>
      </c>
      <c r="BD38" s="3">
        <f ca="1">IFERROR(__xludf.DUMMYFUNCTION("""COMPUTED_VALUE"""),-0.691680250786544)</f>
        <v>-0.69168025078654405</v>
      </c>
      <c r="BE38" s="3">
        <f ca="1">IFERROR(__xludf.DUMMYFUNCTION("""COMPUTED_VALUE"""),-0.613395015629478)</f>
        <v>-0.61339501562947796</v>
      </c>
      <c r="BF38" s="3">
        <f ca="1">IFERROR(__xludf.DUMMYFUNCTION("""COMPUTED_VALUE"""),-0.655442178656591)</f>
        <v>-0.65544217865659105</v>
      </c>
      <c r="BG38" s="3">
        <f ca="1">IFERROR(__xludf.DUMMYFUNCTION("""COMPUTED_VALUE"""),-0.697307307180264)</f>
        <v>-0.69730730718026401</v>
      </c>
      <c r="BH38" s="3">
        <f ca="1">IFERROR(__xludf.DUMMYFUNCTION("""COMPUTED_VALUE"""),-0.560813036644057)</f>
        <v>-0.56081303664405702</v>
      </c>
      <c r="BI38" s="3">
        <f ca="1">IFERROR(__xludf.DUMMYFUNCTION("""COMPUTED_VALUE"""),-0.626510667342098)</f>
        <v>-0.62651066734209804</v>
      </c>
      <c r="BJ38" s="3">
        <f ca="1">IFERROR(__xludf.DUMMYFUNCTION("""COMPUTED_VALUE"""),-0.724089587333746)</f>
        <v>-0.72408958733374595</v>
      </c>
      <c r="BK38" s="3">
        <f ca="1">IFERROR(__xludf.DUMMYFUNCTION("""COMPUTED_VALUE"""),-0.724171630451528)</f>
        <v>-0.72417163045152799</v>
      </c>
      <c r="BL38" s="3">
        <f ca="1">IFERROR(__xludf.DUMMYFUNCTION("""COMPUTED_VALUE"""),-0.739204421631152)</f>
        <v>-0.73920442163115196</v>
      </c>
      <c r="BM38" s="3">
        <f ca="1">IFERROR(__xludf.DUMMYFUNCTION("""COMPUTED_VALUE"""),-0.72871441190156)</f>
        <v>-0.72871441190156006</v>
      </c>
      <c r="BN38" s="3">
        <f ca="1">IFERROR(__xludf.DUMMYFUNCTION("""COMPUTED_VALUE"""),-0.71520420173591)</f>
        <v>-0.71520420173591004</v>
      </c>
      <c r="BO38" s="3">
        <f ca="1">IFERROR(__xludf.DUMMYFUNCTION("""COMPUTED_VALUE"""),-0.642722583204701)</f>
        <v>-0.64272258320470099</v>
      </c>
      <c r="BP38" s="3">
        <f ca="1">IFERROR(__xludf.DUMMYFUNCTION("""COMPUTED_VALUE"""),-0.649369906945899)</f>
        <v>-0.64936990694589902</v>
      </c>
      <c r="BQ38" s="3">
        <f ca="1">IFERROR(__xludf.DUMMYFUNCTION("""COMPUTED_VALUE"""),-0.761552793920238)</f>
        <v>-0.761552793920238</v>
      </c>
      <c r="BR38" s="3">
        <f ca="1">IFERROR(__xludf.DUMMYFUNCTION("""COMPUTED_VALUE"""),-0.755797913190037)</f>
        <v>-0.75579791319003697</v>
      </c>
      <c r="BS38" s="3">
        <f ca="1">IFERROR(__xludf.DUMMYFUNCTION("""COMPUTED_VALUE"""),-0.76713250849504)</f>
        <v>-0.76713250849504</v>
      </c>
      <c r="BT38" s="3">
        <f ca="1">IFERROR(__xludf.DUMMYFUNCTION("""COMPUTED_VALUE"""),-0.768148997112766)</f>
        <v>-0.76814899711276596</v>
      </c>
      <c r="BU38" s="3">
        <f ca="1">IFERROR(__xludf.DUMMYFUNCTION("""COMPUTED_VALUE"""),-0.775552356635122)</f>
        <v>-0.77555235663512201</v>
      </c>
      <c r="BV38" s="3">
        <f ca="1">IFERROR(__xludf.DUMMYFUNCTION("""COMPUTED_VALUE"""),-0.65037180541047)</f>
        <v>-0.65037180541047002</v>
      </c>
      <c r="BW38" s="3">
        <f ca="1">IFERROR(__xludf.DUMMYFUNCTION("""COMPUTED_VALUE"""),-0.699366578599884)</f>
        <v>-0.69936657859988405</v>
      </c>
      <c r="BX38" s="3">
        <f ca="1">IFERROR(__xludf.DUMMYFUNCTION("""COMPUTED_VALUE"""),-0.798300409009176)</f>
        <v>-0.79830040900917598</v>
      </c>
      <c r="BY38" s="3">
        <f ca="1">IFERROR(__xludf.DUMMYFUNCTION("""COMPUTED_VALUE"""),-0.786689538285376)</f>
        <v>-0.78668953828537602</v>
      </c>
      <c r="BZ38" s="3">
        <f ca="1">IFERROR(__xludf.DUMMYFUNCTION("""COMPUTED_VALUE"""),-0.786468560633801)</f>
        <v>-0.78646856063380099</v>
      </c>
      <c r="CA38" s="3">
        <f ca="1">IFERROR(__xludf.DUMMYFUNCTION("""COMPUTED_VALUE"""),-0.786074900599125)</f>
        <v>-0.78607490059912499</v>
      </c>
      <c r="CB38" s="3">
        <f ca="1">IFERROR(__xludf.DUMMYFUNCTION("""COMPUTED_VALUE"""),-0.782360230393599)</f>
        <v>-0.78236023039359903</v>
      </c>
      <c r="CC38" s="3">
        <f ca="1">IFERROR(__xludf.DUMMYFUNCTION("""COMPUTED_VALUE"""),-0.668250117501234)</f>
        <v>-0.66825011750123398</v>
      </c>
      <c r="CD38" s="3">
        <f ca="1">IFERROR(__xludf.DUMMYFUNCTION("""COMPUTED_VALUE"""),-0.690542084044183)</f>
        <v>-0.69054208404418305</v>
      </c>
      <c r="CE38" s="3">
        <f ca="1">IFERROR(__xludf.DUMMYFUNCTION("""COMPUTED_VALUE"""),-0.76951521952717)</f>
        <v>-0.76951521952716995</v>
      </c>
      <c r="CF38" s="3">
        <f ca="1">IFERROR(__xludf.DUMMYFUNCTION("""COMPUTED_VALUE"""),-0.777682003827157)</f>
        <v>-0.77768200382715702</v>
      </c>
      <c r="CG38" s="3">
        <f ca="1">IFERROR(__xludf.DUMMYFUNCTION("""COMPUTED_VALUE"""),-0.783298737866526)</f>
        <v>-0.78329873786652604</v>
      </c>
      <c r="CH38" s="3">
        <f ca="1">IFERROR(__xludf.DUMMYFUNCTION("""COMPUTED_VALUE"""),-0.779896014666233)</f>
        <v>-0.77989601466623304</v>
      </c>
      <c r="CI38" s="3">
        <f ca="1">IFERROR(__xludf.DUMMYFUNCTION("""COMPUTED_VALUE"""),-0.762264479255622)</f>
        <v>-0.76226447925562202</v>
      </c>
      <c r="CJ38" s="3">
        <f ca="1">IFERROR(__xludf.DUMMYFUNCTION("""COMPUTED_VALUE"""),-0.638771716300407)</f>
        <v>-0.63877171630040697</v>
      </c>
      <c r="CK38" s="3">
        <f ca="1">IFERROR(__xludf.DUMMYFUNCTION("""COMPUTED_VALUE"""),-0.69991053667464)</f>
        <v>-0.69991053667463998</v>
      </c>
      <c r="CL38" s="3">
        <f ca="1">IFERROR(__xludf.DUMMYFUNCTION("""COMPUTED_VALUE"""),-0.782733378221716)</f>
        <v>-0.78273337822171596</v>
      </c>
      <c r="CM38" s="3">
        <f ca="1">IFERROR(__xludf.DUMMYFUNCTION("""COMPUTED_VALUE"""),-0.793480922258004)</f>
        <v>-0.79348092225800404</v>
      </c>
      <c r="CN38" s="3">
        <f ca="1">IFERROR(__xludf.DUMMYFUNCTION("""COMPUTED_VALUE"""),-0.787729349332341)</f>
        <v>-0.78772934933234096</v>
      </c>
      <c r="CO38" s="3">
        <f ca="1">IFERROR(__xludf.DUMMYFUNCTION("""COMPUTED_VALUE"""),-0.791528892337735)</f>
        <v>-0.79152889233773505</v>
      </c>
      <c r="CP38" s="3">
        <f ca="1">IFERROR(__xludf.DUMMYFUNCTION("""COMPUTED_VALUE"""),-0.7718089910342)</f>
        <v>-0.77180899103419998</v>
      </c>
      <c r="CQ38" s="3">
        <f ca="1">IFERROR(__xludf.DUMMYFUNCTION("""COMPUTED_VALUE"""),-0.646613388992112)</f>
        <v>-0.64661338899211196</v>
      </c>
      <c r="CR38" s="3">
        <f ca="1">IFERROR(__xludf.DUMMYFUNCTION("""COMPUTED_VALUE"""),-0.651117953552853)</f>
        <v>-0.65111795355285296</v>
      </c>
      <c r="CS38" s="3">
        <f ca="1">IFERROR(__xludf.DUMMYFUNCTION("""COMPUTED_VALUE"""),-0.728912083407281)</f>
        <v>-0.72891208340728098</v>
      </c>
      <c r="CT38" s="3">
        <f ca="1">IFERROR(__xludf.DUMMYFUNCTION("""COMPUTED_VALUE"""),-0.734958388075582)</f>
        <v>-0.734958388075582</v>
      </c>
      <c r="CU38" s="3">
        <f ca="1">IFERROR(__xludf.DUMMYFUNCTION("""COMPUTED_VALUE"""),-0.70230110912815)</f>
        <v>-0.70230110912815003</v>
      </c>
      <c r="CV38" s="3">
        <f ca="1">IFERROR(__xludf.DUMMYFUNCTION("""COMPUTED_VALUE"""),-0.741414731893427)</f>
        <v>-0.74141473189342699</v>
      </c>
      <c r="CW38" s="3">
        <f ca="1">IFERROR(__xludf.DUMMYFUNCTION("""COMPUTED_VALUE"""),-0.731858988941326)</f>
        <v>-0.73185898894132595</v>
      </c>
      <c r="CX38" s="3">
        <f ca="1">IFERROR(__xludf.DUMMYFUNCTION("""COMPUTED_VALUE"""),-0.637370685097074)</f>
        <v>-0.63737068509707395</v>
      </c>
      <c r="CY38" s="3">
        <f ca="1">IFERROR(__xludf.DUMMYFUNCTION("""COMPUTED_VALUE"""),-0.650732732166092)</f>
        <v>-0.65073273216609195</v>
      </c>
      <c r="CZ38" s="3">
        <f ca="1">IFERROR(__xludf.DUMMYFUNCTION("""COMPUTED_VALUE"""),-0.821673550967286)</f>
        <v>-0.821673550967286</v>
      </c>
      <c r="DA38" s="3">
        <f ca="1">IFERROR(__xludf.DUMMYFUNCTION("""COMPUTED_VALUE"""),-0.70183841779683)</f>
        <v>-0.70183841779682998</v>
      </c>
      <c r="DB38" s="3">
        <f ca="1">IFERROR(__xludf.DUMMYFUNCTION("""COMPUTED_VALUE"""),-0.562221560790938)</f>
        <v>-0.56222156079093799</v>
      </c>
      <c r="DC38" s="3">
        <f ca="1">IFERROR(__xludf.DUMMYFUNCTION("""COMPUTED_VALUE"""),-0.696799919012498)</f>
        <v>-0.69679991901249805</v>
      </c>
      <c r="DD38" s="3">
        <f ca="1">IFERROR(__xludf.DUMMYFUNCTION("""COMPUTED_VALUE"""),-0.719737890240148)</f>
        <v>-0.719737890240148</v>
      </c>
      <c r="DE38" s="3">
        <f ca="1">IFERROR(__xludf.DUMMYFUNCTION("""COMPUTED_VALUE"""),-0.602964436263283)</f>
        <v>-0.602964436263283</v>
      </c>
      <c r="DF38" s="3">
        <f ca="1">IFERROR(__xludf.DUMMYFUNCTION("""COMPUTED_VALUE"""),-0.659191745857111)</f>
        <v>-0.65919174585711104</v>
      </c>
      <c r="DG38" s="3">
        <f ca="1">IFERROR(__xludf.DUMMYFUNCTION("""COMPUTED_VALUE"""),-0.832158505671842)</f>
        <v>-0.83215850567184202</v>
      </c>
      <c r="DH38" s="3">
        <f ca="1">IFERROR(__xludf.DUMMYFUNCTION("""COMPUTED_VALUE"""),-0.613535207842478)</f>
        <v>-0.61353520784247795</v>
      </c>
      <c r="DI38" s="3">
        <f ca="1">IFERROR(__xludf.DUMMYFUNCTION("""COMPUTED_VALUE"""),-0.328289822864596)</f>
        <v>-0.32828982286459601</v>
      </c>
      <c r="DJ38" s="3">
        <f ca="1">IFERROR(__xludf.DUMMYFUNCTION("""COMPUTED_VALUE"""),-0.546804939426554)</f>
        <v>-0.54680493942655395</v>
      </c>
      <c r="DK38" s="3">
        <f ca="1">IFERROR(__xludf.DUMMYFUNCTION("""COMPUTED_VALUE"""),-0.577459629663988)</f>
        <v>-0.57745962966398801</v>
      </c>
      <c r="DL38" s="3">
        <f ca="1">IFERROR(__xludf.DUMMYFUNCTION("""COMPUTED_VALUE"""),-0.488760324757661)</f>
        <v>-0.48876032475766101</v>
      </c>
      <c r="DM38" s="3">
        <f ca="1">IFERROR(__xludf.DUMMYFUNCTION("""COMPUTED_VALUE"""),-0.506913630769889)</f>
        <v>-0.50691363076988905</v>
      </c>
      <c r="DN38" s="3">
        <f ca="1">IFERROR(__xludf.DUMMYFUNCTION("""COMPUTED_VALUE"""),-0.610735594266548)</f>
        <v>-0.610735594266548</v>
      </c>
      <c r="DO38" s="3">
        <f ca="1">IFERROR(__xludf.DUMMYFUNCTION("""COMPUTED_VALUE"""),-0.61211249055282)</f>
        <v>-0.61211249055282002</v>
      </c>
      <c r="DP38" s="3">
        <f ca="1">IFERROR(__xludf.DUMMYFUNCTION("""COMPUTED_VALUE"""),-0.577471391711584)</f>
        <v>-0.57747139171158401</v>
      </c>
      <c r="DQ38" s="3">
        <f ca="1">IFERROR(__xludf.DUMMYFUNCTION("""COMPUTED_VALUE"""),-0.64453026383345)</f>
        <v>-0.64453026383345002</v>
      </c>
      <c r="DR38" s="3">
        <f ca="1">IFERROR(__xludf.DUMMYFUNCTION("""COMPUTED_VALUE"""),-0.641048960113306)</f>
        <v>-0.64104896011330603</v>
      </c>
      <c r="DS38" s="3">
        <f ca="1">IFERROR(__xludf.DUMMYFUNCTION("""COMPUTED_VALUE"""),-0.555990309879986)</f>
        <v>-0.55599030987998599</v>
      </c>
      <c r="DT38" s="3">
        <f ca="1">IFERROR(__xludf.DUMMYFUNCTION("""COMPUTED_VALUE"""),-0.568788804586269)</f>
        <v>-0.56878880458626901</v>
      </c>
      <c r="DU38" s="3">
        <f ca="1">IFERROR(__xludf.DUMMYFUNCTION("""COMPUTED_VALUE"""),-0.637721660804129)</f>
        <v>-0.63772166080412895</v>
      </c>
      <c r="DV38" s="3">
        <f ca="1">IFERROR(__xludf.DUMMYFUNCTION("""COMPUTED_VALUE"""),-0.664945314041011)</f>
        <v>-0.66494531404101098</v>
      </c>
      <c r="DW38" s="3">
        <f ca="1">IFERROR(__xludf.DUMMYFUNCTION("""COMPUTED_VALUE"""),-0.668186368428455)</f>
        <v>-0.66818636842845502</v>
      </c>
      <c r="DX38" s="3">
        <f ca="1">IFERROR(__xludf.DUMMYFUNCTION("""COMPUTED_VALUE"""),-0.679253205183121)</f>
        <v>-0.67925320518312104</v>
      </c>
      <c r="DY38" s="3">
        <f ca="1">IFERROR(__xludf.DUMMYFUNCTION("""COMPUTED_VALUE"""),-0.668731563454286)</f>
        <v>-0.66873156345428597</v>
      </c>
      <c r="DZ38" s="3">
        <f ca="1">IFERROR(__xludf.DUMMYFUNCTION("""COMPUTED_VALUE"""),-0.544872001455588)</f>
        <v>-0.54487200145558801</v>
      </c>
      <c r="EA38" s="3">
        <f ca="1">IFERROR(__xludf.DUMMYFUNCTION("""COMPUTED_VALUE"""),-0.559097133491719)</f>
        <v>-0.55909713349171897</v>
      </c>
      <c r="EB38" s="3">
        <f ca="1">IFERROR(__xludf.DUMMYFUNCTION("""COMPUTED_VALUE"""),-0.644580116256947)</f>
        <v>-0.644580116256947</v>
      </c>
      <c r="EC38" s="3">
        <f ca="1">IFERROR(__xludf.DUMMYFUNCTION("""COMPUTED_VALUE"""),-0.671809692852535)</f>
        <v>-0.671809692852535</v>
      </c>
      <c r="ED38" s="3">
        <f ca="1">IFERROR(__xludf.DUMMYFUNCTION("""COMPUTED_VALUE"""),-0.693571862779261)</f>
        <v>-0.69357186277926097</v>
      </c>
      <c r="EE38" s="3">
        <f ca="1">IFERROR(__xludf.DUMMYFUNCTION("""COMPUTED_VALUE"""),-0.680268028520795)</f>
        <v>-0.68026802852079504</v>
      </c>
      <c r="EF38" s="3">
        <f ca="1">IFERROR(__xludf.DUMMYFUNCTION("""COMPUTED_VALUE"""),-0.652060945361595)</f>
        <v>-0.65206094536159498</v>
      </c>
      <c r="EG38" s="3">
        <f ca="1">IFERROR(__xludf.DUMMYFUNCTION("""COMPUTED_VALUE"""),-0.477771532880018)</f>
        <v>-0.477771532880018</v>
      </c>
      <c r="EH38" s="3">
        <f ca="1">IFERROR(__xludf.DUMMYFUNCTION("""COMPUTED_VALUE"""),-0.536164682541452)</f>
        <v>-0.536164682541452</v>
      </c>
      <c r="EI38" s="3">
        <f ca="1">IFERROR(__xludf.DUMMYFUNCTION("""COMPUTED_VALUE"""),-0.61934413866105)</f>
        <v>-0.61934413866104998</v>
      </c>
      <c r="EJ38" s="3">
        <f ca="1">IFERROR(__xludf.DUMMYFUNCTION("""COMPUTED_VALUE"""),-0.682074368418699)</f>
        <v>-0.68207436841869895</v>
      </c>
      <c r="EK38" s="3">
        <f ca="1">IFERROR(__xludf.DUMMYFUNCTION("""COMPUTED_VALUE"""),-0.686207143162961)</f>
        <v>-0.68620714316296105</v>
      </c>
      <c r="EL38" s="3">
        <f ca="1">IFERROR(__xludf.DUMMYFUNCTION("""COMPUTED_VALUE"""),-0.685160794937835)</f>
        <v>-0.68516079493783499</v>
      </c>
      <c r="EM38" s="3">
        <f ca="1">IFERROR(__xludf.DUMMYFUNCTION("""COMPUTED_VALUE"""),-0.682381338600578)</f>
        <v>-0.68238133860057804</v>
      </c>
      <c r="EN38" s="3">
        <f ca="1">IFERROR(__xludf.DUMMYFUNCTION("""COMPUTED_VALUE"""),-0.528846392124811)</f>
        <v>-0.52884639212481099</v>
      </c>
      <c r="EO38" s="3">
        <f ca="1">IFERROR(__xludf.DUMMYFUNCTION("""COMPUTED_VALUE"""),-0.557713258641746)</f>
        <v>-0.55771325864174603</v>
      </c>
      <c r="EP38" s="3">
        <f ca="1">IFERROR(__xludf.DUMMYFUNCTION("""COMPUTED_VALUE"""),-0.66736030212548)</f>
        <v>-0.66736030212548003</v>
      </c>
      <c r="EQ38" s="3">
        <f ca="1">IFERROR(__xludf.DUMMYFUNCTION("""COMPUTED_VALUE"""),-0.698072528140378)</f>
        <v>-0.69807252814037801</v>
      </c>
      <c r="ER38" s="3">
        <f ca="1">IFERROR(__xludf.DUMMYFUNCTION("""COMPUTED_VALUE"""),-0.707850971192499)</f>
        <v>-0.70785097119249896</v>
      </c>
      <c r="ES38" s="3">
        <f ca="1">IFERROR(__xludf.DUMMYFUNCTION("""COMPUTED_VALUE"""),-0.704855969487737)</f>
        <v>-0.70485596948773699</v>
      </c>
      <c r="ET38" s="3">
        <f ca="1">IFERROR(__xludf.DUMMYFUNCTION("""COMPUTED_VALUE"""),-0.683098984957726)</f>
        <v>-0.68309898495772603</v>
      </c>
      <c r="EU38" s="3">
        <f ca="1">IFERROR(__xludf.DUMMYFUNCTION("""COMPUTED_VALUE"""),-0.577555095067676)</f>
        <v>-0.57755509506767599</v>
      </c>
      <c r="EV38" s="3">
        <f ca="1">IFERROR(__xludf.DUMMYFUNCTION("""COMPUTED_VALUE"""),-0.557293851016555)</f>
        <v>-0.55729385101655504</v>
      </c>
      <c r="EW38" s="3">
        <f ca="1">IFERROR(__xludf.DUMMYFUNCTION("""COMPUTED_VALUE"""),-0.680681965060164)</f>
        <v>-0.68068196506016398</v>
      </c>
      <c r="EX38" s="3">
        <f ca="1">IFERROR(__xludf.DUMMYFUNCTION("""COMPUTED_VALUE"""),-0.694769041591354)</f>
        <v>-0.694769041591354</v>
      </c>
      <c r="EY38" s="3">
        <f ca="1">IFERROR(__xludf.DUMMYFUNCTION("""COMPUTED_VALUE"""),-0.694582248182136)</f>
        <v>-0.69458224818213599</v>
      </c>
      <c r="EZ38" s="3">
        <f ca="1">IFERROR(__xludf.DUMMYFUNCTION("""COMPUTED_VALUE"""),-0.684428839783932)</f>
        <v>-0.68442883978393199</v>
      </c>
      <c r="FA38" s="3">
        <f ca="1">IFERROR(__xludf.DUMMYFUNCTION("""COMPUTED_VALUE"""),-0.649893200745149)</f>
        <v>-0.649893200745149</v>
      </c>
      <c r="FB38" s="3">
        <f ca="1">IFERROR(__xludf.DUMMYFUNCTION("""COMPUTED_VALUE"""),-0.494105105441826)</f>
        <v>-0.49410510544182601</v>
      </c>
      <c r="FC38" s="3">
        <f ca="1">IFERROR(__xludf.DUMMYFUNCTION("""COMPUTED_VALUE"""),-0.508899128689421)</f>
        <v>-0.508899128689421</v>
      </c>
      <c r="FD38" s="3">
        <f ca="1">IFERROR(__xludf.DUMMYFUNCTION("""COMPUTED_VALUE"""),-0.653033167307837)</f>
        <v>-0.653033167307837</v>
      </c>
      <c r="FE38" s="3">
        <f ca="1">IFERROR(__xludf.DUMMYFUNCTION("""COMPUTED_VALUE"""),-0.682778590228173)</f>
        <v>-0.682778590228173</v>
      </c>
      <c r="FF38" s="3">
        <f ca="1">IFERROR(__xludf.DUMMYFUNCTION("""COMPUTED_VALUE"""),-0.699111152802772)</f>
        <v>-0.69911115280277203</v>
      </c>
      <c r="FG38" s="3">
        <f ca="1">IFERROR(__xludf.DUMMYFUNCTION("""COMPUTED_VALUE"""),-0.701670297505475)</f>
        <v>-0.70167029750547505</v>
      </c>
      <c r="FH38" s="3">
        <f ca="1">IFERROR(__xludf.DUMMYFUNCTION("""COMPUTED_VALUE"""),-0.677005453886333)</f>
        <v>-0.67700545388633304</v>
      </c>
      <c r="FI38" s="3">
        <f ca="1">IFERROR(__xludf.DUMMYFUNCTION("""COMPUTED_VALUE"""),-0.543823887064628)</f>
        <v>-0.54382388706462803</v>
      </c>
      <c r="FJ38" s="3">
        <f ca="1">IFERROR(__xludf.DUMMYFUNCTION("""COMPUTED_VALUE"""),-0.515578199791382)</f>
        <v>-0.51557819979138197</v>
      </c>
      <c r="FK38" s="3">
        <f ca="1">IFERROR(__xludf.DUMMYFUNCTION("""COMPUTED_VALUE"""),-0.659704928198195)</f>
        <v>-0.65970492819819504</v>
      </c>
      <c r="FL38" s="3">
        <f ca="1">IFERROR(__xludf.DUMMYFUNCTION("""COMPUTED_VALUE"""),-0.692913019233281)</f>
        <v>-0.69291301923328097</v>
      </c>
      <c r="FM38" s="3">
        <f ca="1">IFERROR(__xludf.DUMMYFUNCTION("""COMPUTED_VALUE"""),-0.688987006658812)</f>
        <v>-0.68898700665881196</v>
      </c>
      <c r="FN38" s="3">
        <f ca="1">IFERROR(__xludf.DUMMYFUNCTION("""COMPUTED_VALUE"""),-0.680003561538031)</f>
        <v>-0.68000356153803099</v>
      </c>
      <c r="FO38" s="3">
        <f ca="1">IFERROR(__xludf.DUMMYFUNCTION("""COMPUTED_VALUE"""),-0.685274981552225)</f>
        <v>-0.68527498155222499</v>
      </c>
      <c r="FP38" s="3">
        <f ca="1">IFERROR(__xludf.DUMMYFUNCTION("""COMPUTED_VALUE"""),-0.535197100899241)</f>
        <v>-0.535197100899241</v>
      </c>
      <c r="FQ38" s="3">
        <f ca="1">IFERROR(__xludf.DUMMYFUNCTION("""COMPUTED_VALUE"""),-0.561471365794157)</f>
        <v>-0.56147136579415702</v>
      </c>
      <c r="FR38" s="3">
        <f ca="1">IFERROR(__xludf.DUMMYFUNCTION("""COMPUTED_VALUE"""),-0.639227726077682)</f>
        <v>-0.63922772607768197</v>
      </c>
      <c r="FS38" s="3">
        <f ca="1">IFERROR(__xludf.DUMMYFUNCTION("""COMPUTED_VALUE"""),-0.69642102903176)</f>
        <v>-0.69642102903175995</v>
      </c>
      <c r="FT38" s="3">
        <f ca="1">IFERROR(__xludf.DUMMYFUNCTION("""COMPUTED_VALUE"""),-0.701729168408725)</f>
        <v>-0.70172916840872501</v>
      </c>
      <c r="FU38" s="3">
        <f ca="1">IFERROR(__xludf.DUMMYFUNCTION("""COMPUTED_VALUE"""),-0.679725679862685)</f>
        <v>-0.67972567986268495</v>
      </c>
      <c r="FV38" s="3">
        <f ca="1">IFERROR(__xludf.DUMMYFUNCTION("""COMPUTED_VALUE"""),-0.629524888606645)</f>
        <v>-0.62952488860664502</v>
      </c>
      <c r="FW38" s="3">
        <f ca="1">IFERROR(__xludf.DUMMYFUNCTION("""COMPUTED_VALUE"""),-0.557831271706672)</f>
        <v>-0.55783127170667202</v>
      </c>
      <c r="FX38" s="3">
        <f ca="1">IFERROR(__xludf.DUMMYFUNCTION("""COMPUTED_VALUE"""),-0.542389682238813)</f>
        <v>-0.54238968223881301</v>
      </c>
      <c r="FY38" s="3">
        <f ca="1">IFERROR(__xludf.DUMMYFUNCTION("""COMPUTED_VALUE"""),-0.671069618441122)</f>
        <v>-0.67106961844112201</v>
      </c>
      <c r="FZ38" s="3">
        <f ca="1">IFERROR(__xludf.DUMMYFUNCTION("""COMPUTED_VALUE"""),-0.698803090917929)</f>
        <v>-0.69880309091792903</v>
      </c>
      <c r="GA38" s="3">
        <f ca="1">IFERROR(__xludf.DUMMYFUNCTION("""COMPUTED_VALUE"""),-0.696427191406705)</f>
        <v>-0.69642719140670495</v>
      </c>
      <c r="GB38" s="3">
        <f ca="1">IFERROR(__xludf.DUMMYFUNCTION("""COMPUTED_VALUE"""),-0.707072019588423)</f>
        <v>-0.70707201958842303</v>
      </c>
      <c r="GC38" s="3">
        <f ca="1">IFERROR(__xludf.DUMMYFUNCTION("""COMPUTED_VALUE"""),-0.750058445514877)</f>
        <v>-0.75005844551487699</v>
      </c>
      <c r="GD38" s="3">
        <f ca="1">IFERROR(__xludf.DUMMYFUNCTION("""COMPUTED_VALUE"""),-0.560286774048978)</f>
        <v>-0.56028677404897798</v>
      </c>
      <c r="GE38" s="3">
        <f ca="1">IFERROR(__xludf.DUMMYFUNCTION("""COMPUTED_VALUE"""),-0.536624263994712)</f>
        <v>-0.53662426399471197</v>
      </c>
      <c r="GF38" s="3">
        <f ca="1">IFERROR(__xludf.DUMMYFUNCTION("""COMPUTED_VALUE"""),-0.644704824987303)</f>
        <v>-0.64470482498730297</v>
      </c>
      <c r="GG38" s="3">
        <f ca="1">IFERROR(__xludf.DUMMYFUNCTION("""COMPUTED_VALUE"""),-0.666360021512674)</f>
        <v>-0.66636002151267404</v>
      </c>
      <c r="GH38" s="3">
        <f ca="1">IFERROR(__xludf.DUMMYFUNCTION("""COMPUTED_VALUE"""),-0.677380857870254)</f>
        <v>-0.67738085787025404</v>
      </c>
      <c r="GI38" s="3">
        <f ca="1">IFERROR(__xludf.DUMMYFUNCTION("""COMPUTED_VALUE"""),-0.660437096323703)</f>
        <v>-0.66043709632370295</v>
      </c>
      <c r="GJ38" s="3">
        <f ca="1">IFERROR(__xludf.DUMMYFUNCTION("""COMPUTED_VALUE"""),-0.600302279733348)</f>
        <v>-0.60030227973334804</v>
      </c>
      <c r="GK38" s="3">
        <f ca="1">IFERROR(__xludf.DUMMYFUNCTION("""COMPUTED_VALUE"""),-0.536198320536355)</f>
        <v>-0.53619832053635497</v>
      </c>
      <c r="GL38" s="3">
        <f ca="1">IFERROR(__xludf.DUMMYFUNCTION("""COMPUTED_VALUE"""),-0.50691612495015)</f>
        <v>-0.50691612495015004</v>
      </c>
      <c r="GM38" s="3">
        <f ca="1">IFERROR(__xludf.DUMMYFUNCTION("""COMPUTED_VALUE"""),-0.683741992074763)</f>
        <v>-0.68374199207476305</v>
      </c>
      <c r="GN38" s="3">
        <f ca="1">IFERROR(__xludf.DUMMYFUNCTION("""COMPUTED_VALUE"""),-0.667770098714302)</f>
        <v>-0.66777009871430204</v>
      </c>
      <c r="GO38" s="3">
        <f ca="1">IFERROR(__xludf.DUMMYFUNCTION("""COMPUTED_VALUE"""),-0.670029364138542)</f>
        <v>-0.67002936413854197</v>
      </c>
      <c r="GP38" s="3">
        <f ca="1">IFERROR(__xludf.DUMMYFUNCTION("""COMPUTED_VALUE"""),-0.673633220845972)</f>
        <v>-0.67363322084597199</v>
      </c>
      <c r="GQ38" s="3">
        <f ca="1">IFERROR(__xludf.DUMMYFUNCTION("""COMPUTED_VALUE"""),-0.658879909761579)</f>
        <v>-0.65887990976157895</v>
      </c>
      <c r="GR38" s="3">
        <f ca="1">IFERROR(__xludf.DUMMYFUNCTION("""COMPUTED_VALUE"""),-0.466755405867466)</f>
        <v>-0.466755405867466</v>
      </c>
      <c r="GS38" s="3">
        <f ca="1">IFERROR(__xludf.DUMMYFUNCTION("""COMPUTED_VALUE"""),-0.494471791269763)</f>
        <v>-0.49447179126976298</v>
      </c>
      <c r="GT38" s="3">
        <f ca="1">IFERROR(__xludf.DUMMYFUNCTION("""COMPUTED_VALUE"""),-0.652805243411688)</f>
        <v>-0.652805243411688</v>
      </c>
      <c r="GU38" s="3">
        <f ca="1">IFERROR(__xludf.DUMMYFUNCTION("""COMPUTED_VALUE"""),-0.663569080143732)</f>
        <v>-0.66356908014373195</v>
      </c>
      <c r="GV38" s="3">
        <f ca="1">IFERROR(__xludf.DUMMYFUNCTION("""COMPUTED_VALUE"""),-0.657198733680412)</f>
        <v>-0.65719873368041204</v>
      </c>
      <c r="GW38" s="3">
        <f ca="1">IFERROR(__xludf.DUMMYFUNCTION("""COMPUTED_VALUE"""),-0.648846844249877)</f>
        <v>-0.64884684424987704</v>
      </c>
      <c r="GX38" s="3">
        <f ca="1">IFERROR(__xludf.DUMMYFUNCTION("""COMPUTED_VALUE"""),-0.636311284772688)</f>
        <v>-0.63631128477268795</v>
      </c>
      <c r="GY38" s="3">
        <f ca="1">IFERROR(__xludf.DUMMYFUNCTION("""COMPUTED_VALUE"""),-0.464746230116026)</f>
        <v>-0.464746230116026</v>
      </c>
      <c r="GZ38" s="3">
        <f ca="1">IFERROR(__xludf.DUMMYFUNCTION("""COMPUTED_VALUE"""),-0.492107527412822)</f>
        <v>-0.49210752741282199</v>
      </c>
      <c r="HA38" s="3">
        <f ca="1">IFERROR(__xludf.DUMMYFUNCTION("""COMPUTED_VALUE"""),-0.643259539866803)</f>
        <v>-0.64325953986680295</v>
      </c>
      <c r="HB38" s="3">
        <f ca="1">IFERROR(__xludf.DUMMYFUNCTION("""COMPUTED_VALUE"""),-0.628459069355886)</f>
        <v>-0.62845906935588602</v>
      </c>
      <c r="HC38" s="3">
        <f ca="1">IFERROR(__xludf.DUMMYFUNCTION("""COMPUTED_VALUE"""),-0.650198418670601)</f>
        <v>-0.65019841867060102</v>
      </c>
      <c r="HD38" s="3">
        <f ca="1">IFERROR(__xludf.DUMMYFUNCTION("""COMPUTED_VALUE"""),-0.650360053182626)</f>
        <v>-0.65036005318262602</v>
      </c>
      <c r="HE38" s="3">
        <f ca="1">IFERROR(__xludf.DUMMYFUNCTION("""COMPUTED_VALUE"""),-0.630650054909843)</f>
        <v>-0.63065005490984305</v>
      </c>
      <c r="HF38" s="3">
        <f ca="1">IFERROR(__xludf.DUMMYFUNCTION("""COMPUTED_VALUE"""),-0.512258102063666)</f>
        <v>-0.51225810206366595</v>
      </c>
      <c r="HG38" s="3">
        <f ca="1">IFERROR(__xludf.DUMMYFUNCTION("""COMPUTED_VALUE"""),-0.453188256208946)</f>
        <v>-0.45318825620894598</v>
      </c>
      <c r="HH38" s="3">
        <f ca="1">IFERROR(__xludf.DUMMYFUNCTION("""COMPUTED_VALUE"""),-0.614886959622494)</f>
        <v>-0.61488695962249396</v>
      </c>
      <c r="HI38" s="3">
        <f ca="1">IFERROR(__xludf.DUMMYFUNCTION("""COMPUTED_VALUE"""),-0.658355712138446)</f>
        <v>-0.65835571213844601</v>
      </c>
      <c r="HJ38" s="3">
        <f ca="1">IFERROR(__xludf.DUMMYFUNCTION("""COMPUTED_VALUE"""),-0.654489774040691)</f>
        <v>-0.65448977404069097</v>
      </c>
      <c r="HK38" s="3">
        <f ca="1">IFERROR(__xludf.DUMMYFUNCTION("""COMPUTED_VALUE"""),-0.630806845337052)</f>
        <v>-0.630806845337052</v>
      </c>
      <c r="HL38" s="3">
        <f ca="1">IFERROR(__xludf.DUMMYFUNCTION("""COMPUTED_VALUE"""),-0.72487671434833)</f>
        <v>-0.72487671434833001</v>
      </c>
      <c r="HM38" s="3">
        <f ca="1">IFERROR(__xludf.DUMMYFUNCTION("""COMPUTED_VALUE"""),-0.414657123261856)</f>
        <v>-0.414657123261856</v>
      </c>
      <c r="HN38" s="3">
        <f ca="1">IFERROR(__xludf.DUMMYFUNCTION("""COMPUTED_VALUE"""),-0.469190119230478)</f>
        <v>-0.46919011923047799</v>
      </c>
      <c r="HO38" s="3">
        <f ca="1">IFERROR(__xludf.DUMMYFUNCTION("""COMPUTED_VALUE"""),-0.589784694443647)</f>
        <v>-0.58978469444364701</v>
      </c>
      <c r="HP38" s="3">
        <f ca="1">IFERROR(__xludf.DUMMYFUNCTION("""COMPUTED_VALUE"""),-0.613597321766592)</f>
        <v>-0.61359732176659199</v>
      </c>
      <c r="HQ38" s="3">
        <f ca="1">IFERROR(__xludf.DUMMYFUNCTION("""COMPUTED_VALUE"""),-0.638665747064296)</f>
        <v>-0.63866574706429602</v>
      </c>
      <c r="HR38" s="3">
        <f ca="1">IFERROR(__xludf.DUMMYFUNCTION("""COMPUTED_VALUE"""),-0.621553377144206)</f>
        <v>-0.621553377144206</v>
      </c>
      <c r="HS38" s="3">
        <f ca="1">IFERROR(__xludf.DUMMYFUNCTION("""COMPUTED_VALUE"""),-0.485590116037571)</f>
        <v>-0.48559011603757102</v>
      </c>
      <c r="HT38" s="3">
        <f ca="1">IFERROR(__xludf.DUMMYFUNCTION("""COMPUTED_VALUE"""),-0.452208553567925)</f>
        <v>-0.452208553567925</v>
      </c>
      <c r="HU38" s="3">
        <f ca="1">IFERROR(__xludf.DUMMYFUNCTION("""COMPUTED_VALUE"""),-0.525250219024384)</f>
        <v>-0.52525021902438396</v>
      </c>
      <c r="HV38" s="3">
        <f ca="1">IFERROR(__xludf.DUMMYFUNCTION("""COMPUTED_VALUE"""),-0.593203583422694)</f>
        <v>-0.59320358342269397</v>
      </c>
      <c r="HW38" s="3">
        <f ca="1">IFERROR(__xludf.DUMMYFUNCTION("""COMPUTED_VALUE"""),-0.632559676339932)</f>
        <v>-0.63255967633993204</v>
      </c>
      <c r="HX38" s="3">
        <f ca="1">IFERROR(__xludf.DUMMYFUNCTION("""COMPUTED_VALUE"""),-0.615763053481089)</f>
        <v>-0.61576305348108895</v>
      </c>
      <c r="HY38" s="3">
        <f ca="1">IFERROR(__xludf.DUMMYFUNCTION("""COMPUTED_VALUE"""),-0.581707154209501)</f>
        <v>-0.58170715420950103</v>
      </c>
      <c r="HZ38" s="3">
        <f ca="1">IFERROR(__xludf.DUMMYFUNCTION("""COMPUTED_VALUE"""),-0.452855539879207)</f>
        <v>-0.45285553987920701</v>
      </c>
      <c r="IA38" s="3">
        <f ca="1">IFERROR(__xludf.DUMMYFUNCTION("""COMPUTED_VALUE"""),-0.469260367381968)</f>
        <v>-0.46926036738196802</v>
      </c>
      <c r="IB38" s="3">
        <f ca="1">IFERROR(__xludf.DUMMYFUNCTION("""COMPUTED_VALUE"""),-0.382164622950339)</f>
        <v>-0.38216462295033898</v>
      </c>
      <c r="IC38" s="3">
        <f ca="1">IFERROR(__xludf.DUMMYFUNCTION("""COMPUTED_VALUE"""),-0.568506602698348)</f>
        <v>-0.56850660269834796</v>
      </c>
      <c r="ID38" s="3">
        <f ca="1">IFERROR(__xludf.DUMMYFUNCTION("""COMPUTED_VALUE"""),-0.589733142606007)</f>
        <v>-0.58973314260600695</v>
      </c>
      <c r="IE38" s="3">
        <f ca="1">IFERROR(__xludf.DUMMYFUNCTION("""COMPUTED_VALUE"""),-0.570404098159019)</f>
        <v>-0.57040409815901905</v>
      </c>
      <c r="IF38" s="3">
        <f ca="1">IFERROR(__xludf.DUMMYFUNCTION("""COMPUTED_VALUE"""),-0.574124957543562)</f>
        <v>-0.57412495754356196</v>
      </c>
      <c r="IG38" s="3">
        <f ca="1">IFERROR(__xludf.DUMMYFUNCTION("""COMPUTED_VALUE"""),-0.519711660550034)</f>
        <v>-0.51971166055003404</v>
      </c>
      <c r="IH38" s="3">
        <f ca="1">IFERROR(__xludf.DUMMYFUNCTION("""COMPUTED_VALUE"""),-0.487931275865958)</f>
        <v>-0.48793127586595803</v>
      </c>
      <c r="II38" s="3">
        <f ca="1">IFERROR(__xludf.DUMMYFUNCTION("""COMPUTED_VALUE"""),-0.370405293374168)</f>
        <v>-0.370405293374168</v>
      </c>
      <c r="IJ38" s="3">
        <f ca="1">IFERROR(__xludf.DUMMYFUNCTION("""COMPUTED_VALUE"""),-0.535460478020107)</f>
        <v>-0.53546047802010699</v>
      </c>
      <c r="IK38" s="3">
        <f ca="1">IFERROR(__xludf.DUMMYFUNCTION("""COMPUTED_VALUE"""),-0.550340571234478)</f>
        <v>-0.55034057123447799</v>
      </c>
      <c r="IL38" s="3">
        <f ca="1">IFERROR(__xludf.DUMMYFUNCTION("""COMPUTED_VALUE"""),-0.567788637568615)</f>
        <v>-0.56778863756861497</v>
      </c>
      <c r="IM38" s="3">
        <f ca="1">IFERROR(__xludf.DUMMYFUNCTION("""COMPUTED_VALUE"""),-0.571624000077297)</f>
        <v>-0.57162400007729697</v>
      </c>
      <c r="IN38" s="3">
        <f ca="1">IFERROR(__xludf.DUMMYFUNCTION("""COMPUTED_VALUE"""),-0.504550083919382)</f>
        <v>-0.50455008391938205</v>
      </c>
      <c r="IO38" s="3">
        <f ca="1">IFERROR(__xludf.DUMMYFUNCTION("""COMPUTED_VALUE"""),-0.456977330849823)</f>
        <v>-0.456977330849823</v>
      </c>
      <c r="IP38" s="3">
        <f ca="1">IFERROR(__xludf.DUMMYFUNCTION("""COMPUTED_VALUE"""),-0.388621767075283)</f>
        <v>-0.38862176707528301</v>
      </c>
      <c r="IQ38" s="3">
        <f ca="1">IFERROR(__xludf.DUMMYFUNCTION("""COMPUTED_VALUE"""),-0.516344321012149)</f>
        <v>-0.516344321012149</v>
      </c>
      <c r="IR38" s="3">
        <f ca="1">IFERROR(__xludf.DUMMYFUNCTION("""COMPUTED_VALUE"""),-0.52583251535643)</f>
        <v>-0.52583251535643005</v>
      </c>
      <c r="IS38" s="3">
        <f ca="1">IFERROR(__xludf.DUMMYFUNCTION("""COMPUTED_VALUE"""),-0.565497239482197)</f>
        <v>-0.56549723948219699</v>
      </c>
      <c r="IT38" s="3">
        <f ca="1">IFERROR(__xludf.DUMMYFUNCTION("""COMPUTED_VALUE"""),-0.602462353783109)</f>
        <v>-0.60246235378310897</v>
      </c>
      <c r="IU38" s="3">
        <f ca="1">IFERROR(__xludf.DUMMYFUNCTION("""COMPUTED_VALUE"""),-0.523191373416977)</f>
        <v>-0.52319137341697697</v>
      </c>
      <c r="IV38" s="3">
        <f ca="1">IFERROR(__xludf.DUMMYFUNCTION("""COMPUTED_VALUE"""),-0.507694358087998)</f>
        <v>-0.50769435808799801</v>
      </c>
      <c r="IW38" s="3">
        <f ca="1">IFERROR(__xludf.DUMMYFUNCTION("""COMPUTED_VALUE"""),-0.41495625911611)</f>
        <v>-0.41495625911611</v>
      </c>
      <c r="IX38" s="3">
        <f ca="1">IFERROR(__xludf.DUMMYFUNCTION("""COMPUTED_VALUE"""),-0.52268102563063)</f>
        <v>-0.52268102563063001</v>
      </c>
      <c r="IY38" s="3">
        <f ca="1">IFERROR(__xludf.DUMMYFUNCTION("""COMPUTED_VALUE"""),-0.570182381867493)</f>
        <v>-0.57018238186749304</v>
      </c>
      <c r="IZ38" s="3">
        <f ca="1">IFERROR(__xludf.DUMMYFUNCTION("""COMPUTED_VALUE"""),-0.574270648298268)</f>
        <v>-0.57427064829826802</v>
      </c>
      <c r="JA38" s="3">
        <f ca="1">IFERROR(__xludf.DUMMYFUNCTION("""COMPUTED_VALUE"""),-0.568259721126671)</f>
        <v>-0.568259721126671</v>
      </c>
      <c r="JB38" s="3">
        <f ca="1">IFERROR(__xludf.DUMMYFUNCTION("""COMPUTED_VALUE"""),-0.546590005832322)</f>
        <v>-0.54659000583232198</v>
      </c>
      <c r="JC38" s="3">
        <f ca="1">IFERROR(__xludf.DUMMYFUNCTION("""COMPUTED_VALUE"""),-0.447803985514794)</f>
        <v>-0.447803985514794</v>
      </c>
      <c r="JD38" s="3">
        <f ca="1">IFERROR(__xludf.DUMMYFUNCTION("""COMPUTED_VALUE"""),-0.428387590313782)</f>
        <v>-0.42838759031378199</v>
      </c>
      <c r="JE38" s="3">
        <f ca="1">IFERROR(__xludf.DUMMYFUNCTION("""COMPUTED_VALUE"""),-0.545555050837524)</f>
        <v>-0.54555505083752398</v>
      </c>
      <c r="JF38" s="3">
        <f ca="1">IFERROR(__xludf.DUMMYFUNCTION("""COMPUTED_VALUE"""),-0.599788219483318)</f>
        <v>-0.59978821948331795</v>
      </c>
      <c r="JG38" s="3">
        <f ca="1">IFERROR(__xludf.DUMMYFUNCTION("""COMPUTED_VALUE"""),-0.622908506770594)</f>
        <v>-0.62290850677059395</v>
      </c>
      <c r="JH38" s="3">
        <f ca="1">IFERROR(__xludf.DUMMYFUNCTION("""COMPUTED_VALUE"""),-0.597249797044788)</f>
        <v>-0.59724979704478798</v>
      </c>
      <c r="JI38" s="3">
        <f ca="1">IFERROR(__xludf.DUMMYFUNCTION("""COMPUTED_VALUE"""),-0.561857856397378)</f>
        <v>-0.56185785639737795</v>
      </c>
      <c r="JJ38" s="3">
        <f ca="1">IFERROR(__xludf.DUMMYFUNCTION("""COMPUTED_VALUE"""),-0.465711487955633)</f>
        <v>-0.465711487955633</v>
      </c>
      <c r="JK38" s="3">
        <f ca="1">IFERROR(__xludf.DUMMYFUNCTION("""COMPUTED_VALUE"""),-0.43702036190892)</f>
        <v>-0.43702036190892002</v>
      </c>
      <c r="JL38" s="3">
        <f ca="1">IFERROR(__xludf.DUMMYFUNCTION("""COMPUTED_VALUE"""),-0.550433220415476)</f>
        <v>-0.55043322041547604</v>
      </c>
      <c r="JM38" s="3">
        <f ca="1">IFERROR(__xludf.DUMMYFUNCTION("""COMPUTED_VALUE"""),-0.608210217034473)</f>
        <v>-0.60821021703447298</v>
      </c>
      <c r="JN38" s="3">
        <f ca="1">IFERROR(__xludf.DUMMYFUNCTION("""COMPUTED_VALUE"""),-0.596767867148293)</f>
        <v>-0.596767867148293</v>
      </c>
      <c r="JO38" s="3">
        <f ca="1">IFERROR(__xludf.DUMMYFUNCTION("""COMPUTED_VALUE"""),-0.591300402945816)</f>
        <v>-0.59130040294581598</v>
      </c>
      <c r="JP38" s="3">
        <f ca="1">IFERROR(__xludf.DUMMYFUNCTION("""COMPUTED_VALUE"""),-0.58510575198861)</f>
        <v>-0.58510575198861003</v>
      </c>
      <c r="JQ38" s="3">
        <f ca="1">IFERROR(__xludf.DUMMYFUNCTION("""COMPUTED_VALUE"""),-0.478024172597664)</f>
        <v>-0.478024172597664</v>
      </c>
      <c r="JR38" s="3">
        <f ca="1">IFERROR(__xludf.DUMMYFUNCTION("""COMPUTED_VALUE"""),-0.512255009121051)</f>
        <v>-0.51225500912105104</v>
      </c>
      <c r="JS38" s="3">
        <f ca="1">IFERROR(__xludf.DUMMYFUNCTION("""COMPUTED_VALUE"""),-0.579259878763757)</f>
        <v>-0.57925987876375695</v>
      </c>
      <c r="JT38" s="3">
        <f ca="1">IFERROR(__xludf.DUMMYFUNCTION("""COMPUTED_VALUE"""),-0.612875159951595)</f>
        <v>-0.61287515995159503</v>
      </c>
      <c r="JU38" s="3">
        <f ca="1">IFERROR(__xludf.DUMMYFUNCTION("""COMPUTED_VALUE"""),-0.609526109438258)</f>
        <v>-0.60952610943825802</v>
      </c>
      <c r="JV38" s="3">
        <f ca="1">IFERROR(__xludf.DUMMYFUNCTION("""COMPUTED_VALUE"""),-0.607911873322053)</f>
        <v>-0.60791187332205299</v>
      </c>
      <c r="JW38" s="3">
        <f ca="1">IFERROR(__xludf.DUMMYFUNCTION("""COMPUTED_VALUE"""),-0.559211909335557)</f>
        <v>-0.55921190933555698</v>
      </c>
      <c r="JX38" s="3">
        <f ca="1">IFERROR(__xludf.DUMMYFUNCTION("""COMPUTED_VALUE"""),-0.48959946567965)</f>
        <v>-0.48959946567965001</v>
      </c>
      <c r="JY38" s="3">
        <f ca="1">IFERROR(__xludf.DUMMYFUNCTION("""COMPUTED_VALUE"""),-0.468463941056369)</f>
        <v>-0.46846394105636902</v>
      </c>
      <c r="JZ38" s="3">
        <f ca="1">IFERROR(__xludf.DUMMYFUNCTION("""COMPUTED_VALUE"""),-0.584007136680522)</f>
        <v>-0.58400713668052195</v>
      </c>
      <c r="KA38" s="3">
        <f ca="1">IFERROR(__xludf.DUMMYFUNCTION("""COMPUTED_VALUE"""),-0.63303294138301)</f>
        <v>-0.63303294138301003</v>
      </c>
      <c r="KB38" s="3">
        <f ca="1">IFERROR(__xludf.DUMMYFUNCTION("""COMPUTED_VALUE"""),-0.65078955043417)</f>
        <v>-0.65078955043416997</v>
      </c>
      <c r="KC38" s="3">
        <f ca="1">IFERROR(__xludf.DUMMYFUNCTION("""COMPUTED_VALUE"""),-0.606480863547573)</f>
        <v>-0.60648086354757302</v>
      </c>
      <c r="KD38" s="3">
        <f ca="1">IFERROR(__xludf.DUMMYFUNCTION("""COMPUTED_VALUE"""),-0.580782732578903)</f>
        <v>-0.580782732578903</v>
      </c>
      <c r="KE38" s="3">
        <f ca="1">IFERROR(__xludf.DUMMYFUNCTION("""COMPUTED_VALUE"""),-0.551468250829833)</f>
        <v>-0.55146825082983297</v>
      </c>
      <c r="KF38" s="3">
        <f ca="1">IFERROR(__xludf.DUMMYFUNCTION("""COMPUTED_VALUE"""),-0.567157426706432)</f>
        <v>-0.56715742670643199</v>
      </c>
      <c r="KG38" s="3">
        <f ca="1">IFERROR(__xludf.DUMMYFUNCTION("""COMPUTED_VALUE"""),-0.624865399396427)</f>
        <v>-0.62486539939642705</v>
      </c>
      <c r="KH38" s="3">
        <f ca="1">IFERROR(__xludf.DUMMYFUNCTION("""COMPUTED_VALUE"""),-0.632503495736876)</f>
        <v>-0.63250349573687603</v>
      </c>
      <c r="KI38" s="3">
        <f ca="1">IFERROR(__xludf.DUMMYFUNCTION("""COMPUTED_VALUE"""),-0.693518928265789)</f>
        <v>-0.69351892826578898</v>
      </c>
      <c r="KJ38" s="3">
        <f ca="1">IFERROR(__xludf.DUMMYFUNCTION("""COMPUTED_VALUE"""),-0.662829968820146)</f>
        <v>-0.662829968820146</v>
      </c>
      <c r="KK38" s="3">
        <f ca="1">IFERROR(__xludf.DUMMYFUNCTION("""COMPUTED_VALUE"""),-0.627217265723859)</f>
        <v>-0.62721726572385905</v>
      </c>
      <c r="KL38" s="3">
        <f ca="1">IFERROR(__xludf.DUMMYFUNCTION("""COMPUTED_VALUE"""),-0.549349979531233)</f>
        <v>-0.54934997953123299</v>
      </c>
      <c r="KM38" s="3">
        <f ca="1">IFERROR(__xludf.DUMMYFUNCTION("""COMPUTED_VALUE"""),-0.536021998605536)</f>
        <v>-0.53602199860553601</v>
      </c>
      <c r="KN38" s="3">
        <f ca="1">IFERROR(__xludf.DUMMYFUNCTION("""COMPUTED_VALUE"""),-0.635258735314582)</f>
        <v>-0.63525873531458199</v>
      </c>
      <c r="KO38" s="3">
        <f ca="1">IFERROR(__xludf.DUMMYFUNCTION("""COMPUTED_VALUE"""),-0.672178503670651)</f>
        <v>-0.67217850367065102</v>
      </c>
      <c r="KP38" s="3">
        <f ca="1">IFERROR(__xludf.DUMMYFUNCTION("""COMPUTED_VALUE"""),-0.682480134342193)</f>
        <v>-0.68248013434219301</v>
      </c>
      <c r="KQ38" s="3">
        <f ca="1">IFERROR(__xludf.DUMMYFUNCTION("""COMPUTED_VALUE"""),-0.685573533872708)</f>
        <v>-0.68557353387270803</v>
      </c>
      <c r="KR38" s="3">
        <f ca="1">IFERROR(__xludf.DUMMYFUNCTION("""COMPUTED_VALUE"""),-0.661665547233001)</f>
        <v>-0.66166554723300097</v>
      </c>
      <c r="KS38" s="3">
        <f ca="1">IFERROR(__xludf.DUMMYFUNCTION("""COMPUTED_VALUE"""),-0.59149101919962)</f>
        <v>-0.59149101919961999</v>
      </c>
      <c r="KT38" s="3">
        <f ca="1">IFERROR(__xludf.DUMMYFUNCTION("""COMPUTED_VALUE"""),-0.613191960118276)</f>
        <v>-0.61319196011827604</v>
      </c>
      <c r="KU38" s="3">
        <f ca="1">IFERROR(__xludf.DUMMYFUNCTION("""COMPUTED_VALUE"""),-0.714470250030305)</f>
        <v>-0.71447025003030495</v>
      </c>
      <c r="KV38" s="3">
        <f ca="1">IFERROR(__xludf.DUMMYFUNCTION("""COMPUTED_VALUE"""),-0.721574137933427)</f>
        <v>-0.72157413793342695</v>
      </c>
      <c r="KW38" s="3">
        <f ca="1">IFERROR(__xludf.DUMMYFUNCTION("""COMPUTED_VALUE"""),-0.747286816301136)</f>
        <v>-0.74728681630113603</v>
      </c>
      <c r="KX38" s="3">
        <f ca="1">IFERROR(__xludf.DUMMYFUNCTION("""COMPUTED_VALUE"""),-0.729505485145403)</f>
        <v>-0.72950548514540303</v>
      </c>
      <c r="KY38" s="3">
        <f ca="1">IFERROR(__xludf.DUMMYFUNCTION("""COMPUTED_VALUE"""),-0.709921761610849)</f>
        <v>-0.70992176161084897</v>
      </c>
      <c r="KZ38" s="3">
        <f ca="1">IFERROR(__xludf.DUMMYFUNCTION("""COMPUTED_VALUE"""),-0.595963283395687)</f>
        <v>-0.59596328339568705</v>
      </c>
      <c r="LA38" s="3">
        <f ca="1">IFERROR(__xludf.DUMMYFUNCTION("""COMPUTED_VALUE"""),-0.659207545894152)</f>
        <v>-0.65920754589415198</v>
      </c>
      <c r="LB38" s="3">
        <f ca="1">IFERROR(__xludf.DUMMYFUNCTION("""COMPUTED_VALUE"""),-0.69119920184601)</f>
        <v>-0.69119920184601003</v>
      </c>
      <c r="LC38" s="3">
        <f ca="1">IFERROR(__xludf.DUMMYFUNCTION("""COMPUTED_VALUE"""),-0.715132426094959)</f>
        <v>-0.71513242609495897</v>
      </c>
      <c r="LD38" s="3">
        <f ca="1">IFERROR(__xludf.DUMMYFUNCTION("""COMPUTED_VALUE"""),-0.745680046842626)</f>
        <v>-0.74568004684262601</v>
      </c>
      <c r="LE38" s="3">
        <f ca="1">IFERROR(__xludf.DUMMYFUNCTION("""COMPUTED_VALUE"""),-0.745511624215887)</f>
        <v>-0.74551162421588701</v>
      </c>
      <c r="LF38" s="3">
        <f ca="1">IFERROR(__xludf.DUMMYFUNCTION("""COMPUTED_VALUE"""),-0.707272166350744)</f>
        <v>-0.70727216635074397</v>
      </c>
      <c r="LG38" s="3">
        <f ca="1">IFERROR(__xludf.DUMMYFUNCTION("""COMPUTED_VALUE"""),-0.584718216626124)</f>
        <v>-0.584718216626124</v>
      </c>
      <c r="LH38" s="3">
        <f ca="1">IFERROR(__xludf.DUMMYFUNCTION("""COMPUTED_VALUE"""),-0.654878731600222)</f>
        <v>-0.65487873160022203</v>
      </c>
      <c r="LI38" s="3">
        <f ca="1">IFERROR(__xludf.DUMMYFUNCTION("""COMPUTED_VALUE"""),-0.729674621447838)</f>
        <v>-0.72967462144783801</v>
      </c>
      <c r="LJ38" s="3">
        <f ca="1">IFERROR(__xludf.DUMMYFUNCTION("""COMPUTED_VALUE"""),-0.748616864831162)</f>
        <v>-0.74861686483116197</v>
      </c>
      <c r="LK38" s="3">
        <f ca="1">IFERROR(__xludf.DUMMYFUNCTION("""COMPUTED_VALUE"""),-0.707635710350753)</f>
        <v>-0.70763571035075301</v>
      </c>
      <c r="LL38" s="3">
        <f ca="1">IFERROR(__xludf.DUMMYFUNCTION("""COMPUTED_VALUE"""),-0.723251172902358)</f>
        <v>-0.72325117290235796</v>
      </c>
      <c r="LM38" s="3">
        <f ca="1">IFERROR(__xludf.DUMMYFUNCTION("""COMPUTED_VALUE"""),-0.685080146731398)</f>
        <v>-0.68508014673139805</v>
      </c>
      <c r="LN38" s="3">
        <f ca="1">IFERROR(__xludf.DUMMYFUNCTION("""COMPUTED_VALUE"""),-0.614578771779929)</f>
        <v>-0.61457877177992903</v>
      </c>
      <c r="LO38" s="3">
        <f ca="1">IFERROR(__xludf.DUMMYFUNCTION("""COMPUTED_VALUE"""),-0.631794917455677)</f>
        <v>-0.63179491745567695</v>
      </c>
      <c r="LP38" s="3">
        <f ca="1">IFERROR(__xludf.DUMMYFUNCTION("""COMPUTED_VALUE"""),-0.748769158524009)</f>
        <v>-0.74876915852400905</v>
      </c>
      <c r="LQ38" s="3">
        <f ca="1">IFERROR(__xludf.DUMMYFUNCTION("""COMPUTED_VALUE"""),-0.76792045156507)</f>
        <v>-0.76792045156507005</v>
      </c>
      <c r="LR38" s="3">
        <f ca="1">IFERROR(__xludf.DUMMYFUNCTION("""COMPUTED_VALUE"""),-0.761969889521932)</f>
        <v>-0.76196988952193201</v>
      </c>
      <c r="LS38" s="3">
        <f ca="1">IFERROR(__xludf.DUMMYFUNCTION("""COMPUTED_VALUE"""),-0.760426396387241)</f>
        <v>-0.76042639638724097</v>
      </c>
      <c r="LT38" s="3">
        <f ca="1">IFERROR(__xludf.DUMMYFUNCTION("""COMPUTED_VALUE"""),-0.748411139198916)</f>
        <v>-0.748411139198916</v>
      </c>
      <c r="LU38" s="3">
        <f ca="1">IFERROR(__xludf.DUMMYFUNCTION("""COMPUTED_VALUE"""),-0.714268087864429)</f>
        <v>-0.71426808786442897</v>
      </c>
      <c r="LV38" s="3">
        <f ca="1">IFERROR(__xludf.DUMMYFUNCTION("""COMPUTED_VALUE"""),-0.68551992019411)</f>
        <v>-0.68551992019411001</v>
      </c>
      <c r="LW38" s="3">
        <f ca="1">IFERROR(__xludf.DUMMYFUNCTION("""COMPUTED_VALUE"""),-0.806696020271768)</f>
        <v>-0.80669602027176801</v>
      </c>
      <c r="LX38" s="3">
        <f ca="1">IFERROR(__xludf.DUMMYFUNCTION("""COMPUTED_VALUE"""),-0.810395730584185)</f>
        <v>-0.81039573058418501</v>
      </c>
      <c r="LY38" s="3">
        <f ca="1">IFERROR(__xludf.DUMMYFUNCTION("""COMPUTED_VALUE"""),-0.79601592799545)</f>
        <v>-0.79601592799544996</v>
      </c>
      <c r="LZ38" s="3">
        <f ca="1">IFERROR(__xludf.DUMMYFUNCTION("""COMPUTED_VALUE"""),-0.809004248510416)</f>
        <v>-0.80900424851041597</v>
      </c>
      <c r="MA38" s="3">
        <f ca="1">IFERROR(__xludf.DUMMYFUNCTION("""COMPUTED_VALUE"""),-0.740764542963746)</f>
        <v>-0.74076454296374605</v>
      </c>
      <c r="MB38" s="3">
        <f ca="1">IFERROR(__xludf.DUMMYFUNCTION("""COMPUTED_VALUE"""),-0.738063889250132)</f>
        <v>-0.738063889250132</v>
      </c>
      <c r="MC38" s="3">
        <f ca="1">IFERROR(__xludf.DUMMYFUNCTION("""COMPUTED_VALUE"""),-0.746141337874099)</f>
        <v>-0.74614133787409898</v>
      </c>
      <c r="MD38" s="3">
        <f ca="1">IFERROR(__xludf.DUMMYFUNCTION("""COMPUTED_VALUE"""),-0.812023021735422)</f>
        <v>-0.81202302173542196</v>
      </c>
      <c r="ME38" s="3">
        <f ca="1">IFERROR(__xludf.DUMMYFUNCTION("""COMPUTED_VALUE"""),-0.815657973802667)</f>
        <v>-0.81565797380266702</v>
      </c>
      <c r="MF38" s="3">
        <f ca="1">IFERROR(__xludf.DUMMYFUNCTION("""COMPUTED_VALUE"""),-0.809223156798322)</f>
        <v>-0.80922315679832202</v>
      </c>
      <c r="MG38" s="3">
        <f ca="1">IFERROR(__xludf.DUMMYFUNCTION("""COMPUTED_VALUE"""),-0.822421716200207)</f>
        <v>-0.82242171620020699</v>
      </c>
      <c r="MH38" s="3">
        <f ca="1">IFERROR(__xludf.DUMMYFUNCTION("""COMPUTED_VALUE"""),-0.797629024638355)</f>
        <v>-0.79762902463835506</v>
      </c>
      <c r="MI38" s="3">
        <f ca="1">IFERROR(__xludf.DUMMYFUNCTION("""COMPUTED_VALUE"""),-0.736880449865769)</f>
        <v>-0.73688044986576895</v>
      </c>
      <c r="MJ38" s="3">
        <f ca="1">IFERROR(__xludf.DUMMYFUNCTION("""COMPUTED_VALUE"""),-0.756123012464377)</f>
        <v>-0.75612301246437696</v>
      </c>
      <c r="MK38" s="3">
        <f ca="1">IFERROR(__xludf.DUMMYFUNCTION("""COMPUTED_VALUE"""),-0.82407385389171)</f>
        <v>-0.82407385389170995</v>
      </c>
      <c r="ML38" s="3">
        <f ca="1">IFERROR(__xludf.DUMMYFUNCTION("""COMPUTED_VALUE"""),-0.850877795151518)</f>
        <v>-0.85087779515151796</v>
      </c>
      <c r="MM38" s="3">
        <f ca="1">IFERROR(__xludf.DUMMYFUNCTION("""COMPUTED_VALUE"""),-0.840809761051763)</f>
        <v>-0.84080976105176297</v>
      </c>
      <c r="MN38" s="3">
        <f ca="1">IFERROR(__xludf.DUMMYFUNCTION("""COMPUTED_VALUE"""),-0.833309887550262)</f>
        <v>-0.83330988755026203</v>
      </c>
      <c r="MO38" s="3">
        <f ca="1">IFERROR(__xludf.DUMMYFUNCTION("""COMPUTED_VALUE"""),-0.796711491343632)</f>
        <v>-0.79671149134363195</v>
      </c>
      <c r="MP38" s="3">
        <f ca="1">IFERROR(__xludf.DUMMYFUNCTION("""COMPUTED_VALUE"""),-0.77197027734014)</f>
        <v>-0.77197027734014001</v>
      </c>
      <c r="MQ38" s="3">
        <f ca="1">IFERROR(__xludf.DUMMYFUNCTION("""COMPUTED_VALUE"""),-0.773017597213087)</f>
        <v>-0.77301759721308705</v>
      </c>
      <c r="MR38" s="3">
        <f ca="1">IFERROR(__xludf.DUMMYFUNCTION("""COMPUTED_VALUE"""),-0.819491124953375)</f>
        <v>-0.81949112495337495</v>
      </c>
      <c r="MS38" s="3">
        <f ca="1">IFERROR(__xludf.DUMMYFUNCTION("""COMPUTED_VALUE"""),-0.847030257026035)</f>
        <v>-0.84703025702603496</v>
      </c>
      <c r="MT38" s="3">
        <f ca="1">IFERROR(__xludf.DUMMYFUNCTION("""COMPUTED_VALUE"""),-0.842818055615002)</f>
        <v>-0.842818055615002</v>
      </c>
      <c r="MU38" s="3">
        <f ca="1">IFERROR(__xludf.DUMMYFUNCTION("""COMPUTED_VALUE"""),-0.847268005588035)</f>
        <v>-0.84726800558803494</v>
      </c>
      <c r="MV38" s="3">
        <f ca="1">IFERROR(__xludf.DUMMYFUNCTION("""COMPUTED_VALUE"""),-0.787791609894845)</f>
        <v>-0.78779160989484498</v>
      </c>
      <c r="MW38" s="3">
        <f ca="1">IFERROR(__xludf.DUMMYFUNCTION("""COMPUTED_VALUE"""),-0.784834649855715)</f>
        <v>-0.78483464985571505</v>
      </c>
      <c r="MX38" s="3">
        <f ca="1">IFERROR(__xludf.DUMMYFUNCTION("""COMPUTED_VALUE"""),-0.787526971491271)</f>
        <v>-0.78752697149127104</v>
      </c>
      <c r="MY38" s="3">
        <f ca="1">IFERROR(__xludf.DUMMYFUNCTION("""COMPUTED_VALUE"""),-0.822153843077268)</f>
        <v>-0.82215384307726802</v>
      </c>
      <c r="MZ38" s="3">
        <f ca="1">IFERROR(__xludf.DUMMYFUNCTION("""COMPUTED_VALUE"""),-0.854069189156389)</f>
        <v>-0.85406918915638896</v>
      </c>
      <c r="NA38" s="3">
        <f ca="1">IFERROR(__xludf.DUMMYFUNCTION("""COMPUTED_VALUE"""),-0.848709441075828)</f>
        <v>-0.84870944107582802</v>
      </c>
      <c r="NB38" s="3">
        <f ca="1">IFERROR(__xludf.DUMMYFUNCTION("""COMPUTED_VALUE"""),-0.839441471592832)</f>
        <v>-0.839441471592832</v>
      </c>
      <c r="NC38" s="3">
        <f ca="1">IFERROR(__xludf.DUMMYFUNCTION("""COMPUTED_VALUE"""),-0.83643917042868)</f>
        <v>-0.83643917042867999</v>
      </c>
      <c r="ND38" s="3">
        <f ca="1">IFERROR(__xludf.DUMMYFUNCTION("""COMPUTED_VALUE"""),-0.807159230402618)</f>
        <v>-0.80715923040261806</v>
      </c>
      <c r="NE38" s="3">
        <f ca="1">IFERROR(__xludf.DUMMYFUNCTION("""COMPUTED_VALUE"""),-0.797916628287344)</f>
        <v>-0.797916628287344</v>
      </c>
      <c r="NF38" s="3">
        <f ca="1">IFERROR(__xludf.DUMMYFUNCTION("""COMPUTED_VALUE"""),-0.850102404790252)</f>
        <v>-0.85010240479025201</v>
      </c>
      <c r="NG38" s="3">
        <f ca="1">IFERROR(__xludf.DUMMYFUNCTION("""COMPUTED_VALUE"""),-0.85624140085888)</f>
        <v>-0.85624140085888001</v>
      </c>
      <c r="NH38" s="3">
        <f ca="1">IFERROR(__xludf.DUMMYFUNCTION("""COMPUTED_VALUE"""),-0.84289357161649)</f>
        <v>-0.84289357161649003</v>
      </c>
      <c r="NI38" s="3">
        <f ca="1">IFERROR(__xludf.DUMMYFUNCTION("""COMPUTED_VALUE"""),-0.837178909334974)</f>
        <v>-0.83717890933497396</v>
      </c>
      <c r="NJ38" s="3">
        <f ca="1">IFERROR(__xludf.DUMMYFUNCTION("""COMPUTED_VALUE"""),-0.816239537570004)</f>
        <v>-0.816239537570004</v>
      </c>
      <c r="NK38" s="3">
        <f ca="1">IFERROR(__xludf.DUMMYFUNCTION("""COMPUTED_VALUE"""),-0.796525008219666)</f>
        <v>-0.79652500821966599</v>
      </c>
      <c r="NL38" s="3">
        <f ca="1">IFERROR(__xludf.DUMMYFUNCTION("""COMPUTED_VALUE"""),-0.785241110048005)</f>
        <v>-0.78524111004800501</v>
      </c>
      <c r="NM38" s="3">
        <f ca="1">IFERROR(__xludf.DUMMYFUNCTION("""COMPUTED_VALUE"""),-0.85028770345325)</f>
        <v>-0.85028770345325</v>
      </c>
      <c r="NN38" s="3">
        <f ca="1">IFERROR(__xludf.DUMMYFUNCTION("""COMPUTED_VALUE"""),-0.83797740547278)</f>
        <v>-0.83797740547277999</v>
      </c>
      <c r="NO38" s="3">
        <f ca="1">IFERROR(__xludf.DUMMYFUNCTION("""COMPUTED_VALUE"""),-0.828022649831745)</f>
        <v>-0.82802264983174501</v>
      </c>
      <c r="NP38" s="3">
        <f ca="1">IFERROR(__xludf.DUMMYFUNCTION("""COMPUTED_VALUE"""),-0.834939370947187)</f>
        <v>-0.83493937094718695</v>
      </c>
      <c r="NQ38" s="3">
        <f ca="1">IFERROR(__xludf.DUMMYFUNCTION("""COMPUTED_VALUE"""),-0.833532061462559)</f>
        <v>-0.83353206146255898</v>
      </c>
      <c r="NR38" s="3">
        <f ca="1">IFERROR(__xludf.DUMMYFUNCTION("""COMPUTED_VALUE"""),-0.794257940903317)</f>
        <v>-0.79425794090331703</v>
      </c>
      <c r="NS38" s="3">
        <f ca="1">IFERROR(__xludf.DUMMYFUNCTION("""COMPUTED_VALUE"""),-0.80272294694717)</f>
        <v>-0.80272294694716995</v>
      </c>
      <c r="NT38" s="3">
        <f ca="1">IFERROR(__xludf.DUMMYFUNCTION("""COMPUTED_VALUE"""),-0.849667414511156)</f>
        <v>-0.84966741451115602</v>
      </c>
      <c r="NU38" s="3">
        <f ca="1">IFERROR(__xludf.DUMMYFUNCTION("""COMPUTED_VALUE"""),-0.854534134764408)</f>
        <v>-0.85453413476440798</v>
      </c>
      <c r="NV38" s="3">
        <f ca="1">IFERROR(__xludf.DUMMYFUNCTION("""COMPUTED_VALUE"""),-0.856076851145309)</f>
        <v>-0.85607685114530896</v>
      </c>
      <c r="NW38" s="3">
        <f ca="1">IFERROR(__xludf.DUMMYFUNCTION("""COMPUTED_VALUE"""),-0.842494451056063)</f>
        <v>-0.84249445105606302</v>
      </c>
      <c r="NX38" s="3">
        <f ca="1">IFERROR(__xludf.DUMMYFUNCTION("""COMPUTED_VALUE"""),-0.817798903188574)</f>
        <v>-0.81779890318857396</v>
      </c>
      <c r="NY38" s="3">
        <f ca="1">IFERROR(__xludf.DUMMYFUNCTION("""COMPUTED_VALUE"""),-0.687417312071595)</f>
        <v>-0.68741731207159495</v>
      </c>
      <c r="NZ38" s="3">
        <f ca="1">IFERROR(__xludf.DUMMYFUNCTION("""COMPUTED_VALUE"""),-0.725771785566968)</f>
        <v>-0.72577178556696798</v>
      </c>
      <c r="OA38" s="3">
        <f ca="1">IFERROR(__xludf.DUMMYFUNCTION("""COMPUTED_VALUE"""),-0.785420710202014)</f>
        <v>-0.78542071020201398</v>
      </c>
      <c r="OB38" s="3">
        <f ca="1">IFERROR(__xludf.DUMMYFUNCTION("""COMPUTED_VALUE"""),-0.767860409161446)</f>
        <v>-0.76786040916144604</v>
      </c>
      <c r="OC38" s="3">
        <f ca="1">IFERROR(__xludf.DUMMYFUNCTION("""COMPUTED_VALUE"""),-0.739257257061668)</f>
        <v>-0.739257257061668</v>
      </c>
      <c r="OD38" s="3">
        <f ca="1">IFERROR(__xludf.DUMMYFUNCTION("""COMPUTED_VALUE"""),-0.695177071270641)</f>
        <v>-0.69517707127064099</v>
      </c>
      <c r="OE38" s="3">
        <f ca="1">IFERROR(__xludf.DUMMYFUNCTION("""COMPUTED_VALUE"""),-0.57906692563404)</f>
        <v>-0.57906692563404005</v>
      </c>
      <c r="OF38" s="3">
        <f ca="1">IFERROR(__xludf.DUMMYFUNCTION("""COMPUTED_VALUE"""),-0.340355529899566)</f>
        <v>-0.34035552989956602</v>
      </c>
      <c r="OG38" s="3">
        <f ca="1">IFERROR(__xludf.DUMMYFUNCTION("""COMPUTED_VALUE"""),-0.302409780507173)</f>
        <v>-0.30240978050717299</v>
      </c>
      <c r="OH38" s="3">
        <f ca="1">IFERROR(__xludf.DUMMYFUNCTION("""COMPUTED_VALUE"""),-0.214705165797304)</f>
        <v>-0.214705165797304</v>
      </c>
      <c r="OI38" s="3">
        <f ca="1">IFERROR(__xludf.DUMMYFUNCTION("""COMPUTED_VALUE"""),-0.0625623311733317)</f>
        <v>-6.2562331173331695E-2</v>
      </c>
      <c r="OJ38" s="3">
        <f ca="1">IFERROR(__xludf.DUMMYFUNCTION("""COMPUTED_VALUE"""),-0.0244687524475967)</f>
        <v>-2.4468752447596699E-2</v>
      </c>
      <c r="OK38" s="3">
        <f ca="1">IFERROR(__xludf.DUMMYFUNCTION("""COMPUTED_VALUE"""),-0.0327839207913276)</f>
        <v>-3.2783920791327602E-2</v>
      </c>
      <c r="OL38" s="3">
        <f ca="1">IFERROR(__xludf.DUMMYFUNCTION("""COMPUTED_VALUE"""),-0.0142016364760539)</f>
        <v>-1.42016364760539E-2</v>
      </c>
      <c r="OM38" s="3">
        <f ca="1">IFERROR(__xludf.DUMMYFUNCTION("""COMPUTED_VALUE"""),-0.0966738371942488)</f>
        <v>-9.6673837194248796E-2</v>
      </c>
      <c r="ON38" s="3">
        <f ca="1">IFERROR(__xludf.DUMMYFUNCTION("""COMPUTED_VALUE"""),-0.0278873555085431)</f>
        <v>-2.7887355508543099E-2</v>
      </c>
      <c r="OO38" s="3">
        <f ca="1">IFERROR(__xludf.DUMMYFUNCTION("""COMPUTED_VALUE"""),-0.0873627671479749)</f>
        <v>-8.7362767147974904E-2</v>
      </c>
      <c r="OP38" s="3">
        <f ca="1">IFERROR(__xludf.DUMMYFUNCTION("""COMPUTED_VALUE"""),-0.0486076999769177)</f>
        <v>-4.8607699976917697E-2</v>
      </c>
      <c r="OQ38" s="3">
        <f ca="1">IFERROR(__xludf.DUMMYFUNCTION("""COMPUTED_VALUE"""),-0.0445996671729167)</f>
        <v>-4.4599667172916697E-2</v>
      </c>
      <c r="OR38" s="3">
        <f ca="1">IFERROR(__xludf.DUMMYFUNCTION("""COMPUTED_VALUE"""),-0.0345623620736319)</f>
        <v>-3.4562362073631898E-2</v>
      </c>
      <c r="OS38" s="3">
        <f ca="1">IFERROR(__xludf.DUMMYFUNCTION("""COMPUTED_VALUE"""),-0.0646869340765535)</f>
        <v>-6.4686934076553501E-2</v>
      </c>
      <c r="OT38" s="3">
        <f ca="1">IFERROR(__xludf.DUMMYFUNCTION("""COMPUTED_VALUE"""),0.0303854780975958)</f>
        <v>3.03854780975958E-2</v>
      </c>
      <c r="OU38" s="3">
        <f ca="1">IFERROR(__xludf.DUMMYFUNCTION("""COMPUTED_VALUE"""),-0.0106998983399276)</f>
        <v>-1.0699898339927599E-2</v>
      </c>
      <c r="OV38" s="3">
        <f ca="1">IFERROR(__xludf.DUMMYFUNCTION("""COMPUTED_VALUE"""),0.0676771504196107)</f>
        <v>6.7677150419610699E-2</v>
      </c>
      <c r="OW38" s="3">
        <f ca="1">IFERROR(__xludf.DUMMYFUNCTION("""COMPUTED_VALUE"""),-0.162609372326921)</f>
        <v>-0.16260937232692099</v>
      </c>
      <c r="OX38" s="3">
        <f ca="1">IFERROR(__xludf.DUMMYFUNCTION("""COMPUTED_VALUE"""),0.0926377626879342)</f>
        <v>9.2637762687934194E-2</v>
      </c>
      <c r="OY38" s="3">
        <f ca="1">IFERROR(__xludf.DUMMYFUNCTION("""COMPUTED_VALUE"""),0.0459493574953373)</f>
        <v>4.5949357495337302E-2</v>
      </c>
      <c r="OZ38" s="3">
        <f ca="1">IFERROR(__xludf.DUMMYFUNCTION("""COMPUTED_VALUE"""),0.119717300990986)</f>
        <v>0.119717300990986</v>
      </c>
      <c r="PA38" s="3">
        <f ca="1">IFERROR(__xludf.DUMMYFUNCTION("""COMPUTED_VALUE"""),-0.0173523499137574)</f>
        <v>-1.7352349913757399E-2</v>
      </c>
      <c r="PB38" s="3">
        <f ca="1">IFERROR(__xludf.DUMMYFUNCTION("""COMPUTED_VALUE"""),-0.0448376635128512)</f>
        <v>-4.4837663512851199E-2</v>
      </c>
      <c r="PC38" s="3">
        <f ca="1">IFERROR(__xludf.DUMMYFUNCTION("""COMPUTED_VALUE"""),-0.0537517666903101)</f>
        <v>-5.37517666903101E-2</v>
      </c>
      <c r="PD38" s="3">
        <f ca="1">IFERROR(__xludf.DUMMYFUNCTION("""COMPUTED_VALUE"""),-0.0464893744245377)</f>
        <v>-4.6489374424537697E-2</v>
      </c>
      <c r="PE38" s="3">
        <f ca="1">IFERROR(__xludf.DUMMYFUNCTION("""COMPUTED_VALUE"""),0.157168859398559)</f>
        <v>0.15716885939855901</v>
      </c>
      <c r="PF38" s="3">
        <f ca="1">IFERROR(__xludf.DUMMYFUNCTION("""COMPUTED_VALUE"""),0.0135307242981781)</f>
        <v>1.3530724298178099E-2</v>
      </c>
      <c r="PG38" s="3">
        <f ca="1">IFERROR(__xludf.DUMMYFUNCTION("""COMPUTED_VALUE"""),-0.0390827767530754)</f>
        <v>-3.90827767530754E-2</v>
      </c>
      <c r="PH38" s="3">
        <f ca="1">IFERROR(__xludf.DUMMYFUNCTION("""COMPUTED_VALUE"""),0.0400220697873912)</f>
        <v>4.0022069787391201E-2</v>
      </c>
      <c r="PI38" s="3">
        <f ca="1">IFERROR(__xludf.DUMMYFUNCTION("""COMPUTED_VALUE"""),-0.0279262740455346)</f>
        <v>-2.7926274045534601E-2</v>
      </c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</row>
    <row r="39" spans="1:477" ht="15.75" customHeight="1">
      <c r="A39" s="1" t="str">
        <f ca="1">IFERROR(__xludf.DUMMYFUNCTION("""COMPUTED_VALUE"""),"The Rapid")</f>
        <v>The Rapid</v>
      </c>
      <c r="B39" s="1" t="str">
        <f ca="1">IFERROR(__xludf.DUMMYFUNCTION("""COMPUTED_VALUE"""),"Grand Rapids")</f>
        <v>Grand Rapids</v>
      </c>
      <c r="C39" s="1" t="str">
        <f ca="1">IFERROR(__xludf.DUMMYFUNCTION("""COMPUTED_VALUE"""),"United States")</f>
        <v>United States</v>
      </c>
      <c r="D39" s="1" t="str">
        <f ca="1">IFERROR(__xludf.DUMMYFUNCTION("""COMPUTED_VALUE"""),"Michigan")</f>
        <v>Michigan</v>
      </c>
      <c r="E39" s="3">
        <f ca="1">IFERROR(__xludf.DUMMYFUNCTION("""COMPUTED_VALUE"""),-0.749648418364687)</f>
        <v>-0.74964841836468699</v>
      </c>
      <c r="F39" s="3">
        <f ca="1">IFERROR(__xludf.DUMMYFUNCTION("""COMPUTED_VALUE"""),-0.754102089955302)</f>
        <v>-0.75410208995530204</v>
      </c>
      <c r="G39" s="3">
        <f ca="1">IFERROR(__xludf.DUMMYFUNCTION("""COMPUTED_VALUE"""),-0.784387178887238)</f>
        <v>-0.78438717888723797</v>
      </c>
      <c r="H39" s="3">
        <f ca="1">IFERROR(__xludf.DUMMYFUNCTION("""COMPUTED_VALUE"""),-0.798032775447073)</f>
        <v>-0.79803277544707296</v>
      </c>
      <c r="I39" s="3">
        <f ca="1">IFERROR(__xludf.DUMMYFUNCTION("""COMPUTED_VALUE"""),-0.778832171815275)</f>
        <v>-0.77883217181527498</v>
      </c>
      <c r="J39" s="3">
        <f ca="1">IFERROR(__xludf.DUMMYFUNCTION("""COMPUTED_VALUE"""),-0.78520433794543)</f>
        <v>-0.78520433794542999</v>
      </c>
      <c r="K39" s="3">
        <f ca="1">IFERROR(__xludf.DUMMYFUNCTION("""COMPUTED_VALUE"""),-0.824611829850794)</f>
        <v>-0.82461182985079395</v>
      </c>
      <c r="L39" s="3">
        <f ca="1">IFERROR(__xludf.DUMMYFUNCTION("""COMPUTED_VALUE"""),-0.8054129607397)</f>
        <v>-0.80541296073970003</v>
      </c>
      <c r="M39" s="3">
        <f ca="1">IFERROR(__xludf.DUMMYFUNCTION("""COMPUTED_VALUE"""),-0.814747981842336)</f>
        <v>-0.81474798184233599</v>
      </c>
      <c r="N39" s="3">
        <f ca="1">IFERROR(__xludf.DUMMYFUNCTION("""COMPUTED_VALUE"""),-0.742550587317267)</f>
        <v>-0.74255058731726697</v>
      </c>
      <c r="O39" s="3">
        <f ca="1">IFERROR(__xludf.DUMMYFUNCTION("""COMPUTED_VALUE"""),-0.767926752555047)</f>
        <v>-0.76792675255504705</v>
      </c>
      <c r="P39" s="3">
        <f ca="1">IFERROR(__xludf.DUMMYFUNCTION("""COMPUTED_VALUE"""),-0.775869933895916)</f>
        <v>-0.77586993389591596</v>
      </c>
      <c r="Q39" s="3">
        <f ca="1">IFERROR(__xludf.DUMMYFUNCTION("""COMPUTED_VALUE"""),-0.732893484786359)</f>
        <v>-0.73289348478635896</v>
      </c>
      <c r="R39" s="3">
        <f ca="1">IFERROR(__xludf.DUMMYFUNCTION("""COMPUTED_VALUE"""),-0.767925858821544)</f>
        <v>-0.76792585882154396</v>
      </c>
      <c r="S39" s="3">
        <f ca="1">IFERROR(__xludf.DUMMYFUNCTION("""COMPUTED_VALUE"""),-0.784834662395965)</f>
        <v>-0.784834662395965</v>
      </c>
      <c r="T39" s="3">
        <f ca="1">IFERROR(__xludf.DUMMYFUNCTION("""COMPUTED_VALUE"""),-0.718327777941238)</f>
        <v>-0.71832777794123803</v>
      </c>
      <c r="U39" s="3">
        <f ca="1">IFERROR(__xludf.DUMMYFUNCTION("""COMPUTED_VALUE"""),-0.749345277514433)</f>
        <v>-0.74934527751443303</v>
      </c>
      <c r="V39" s="3">
        <f ca="1">IFERROR(__xludf.DUMMYFUNCTION("""COMPUTED_VALUE"""),-0.724250345864252)</f>
        <v>-0.72425034586425197</v>
      </c>
      <c r="W39" s="3">
        <f ca="1">IFERROR(__xludf.DUMMYFUNCTION("""COMPUTED_VALUE"""),-0.738527066088499)</f>
        <v>-0.73852706608849905</v>
      </c>
      <c r="X39" s="3">
        <f ca="1">IFERROR(__xludf.DUMMYFUNCTION("""COMPUTED_VALUE"""),-0.695465927028197)</f>
        <v>-0.69546592702819698</v>
      </c>
      <c r="Y39" s="3">
        <f ca="1">IFERROR(__xludf.DUMMYFUNCTION("""COMPUTED_VALUE"""),-0.744338023072569)</f>
        <v>-0.74433802307256902</v>
      </c>
      <c r="Z39" s="3">
        <f ca="1">IFERROR(__xludf.DUMMYFUNCTION("""COMPUTED_VALUE"""),-0.718727049546594)</f>
        <v>-0.71872704954659405</v>
      </c>
      <c r="AA39" s="3">
        <f ca="1">IFERROR(__xludf.DUMMYFUNCTION("""COMPUTED_VALUE"""),-0.7296639544591)</f>
        <v>-0.72966395445910004</v>
      </c>
      <c r="AB39" s="3">
        <f ca="1">IFERROR(__xludf.DUMMYFUNCTION("""COMPUTED_VALUE"""),-0.76863195916401)</f>
        <v>-0.76863195916400995</v>
      </c>
      <c r="AC39" s="3">
        <f ca="1">IFERROR(__xludf.DUMMYFUNCTION("""COMPUTED_VALUE"""),-0.737962384664633)</f>
        <v>-0.73796238466463304</v>
      </c>
      <c r="AD39" s="3">
        <f ca="1">IFERROR(__xludf.DUMMYFUNCTION("""COMPUTED_VALUE"""),-0.72503578807123)</f>
        <v>-0.72503578807123004</v>
      </c>
      <c r="AE39" s="3">
        <f ca="1">IFERROR(__xludf.DUMMYFUNCTION("""COMPUTED_VALUE"""),-0.742264297082441)</f>
        <v>-0.74226429708244102</v>
      </c>
      <c r="AF39" s="3">
        <f ca="1">IFERROR(__xludf.DUMMYFUNCTION("""COMPUTED_VALUE"""),-0.741127774428672)</f>
        <v>-0.74112777442867195</v>
      </c>
      <c r="AG39" s="3">
        <f ca="1">IFERROR(__xludf.DUMMYFUNCTION("""COMPUTED_VALUE"""),-0.712760833917753)</f>
        <v>-0.71276083391775302</v>
      </c>
      <c r="AH39" s="3">
        <f ca="1">IFERROR(__xludf.DUMMYFUNCTION("""COMPUTED_VALUE"""),-0.690716397568142)</f>
        <v>-0.69071639756814196</v>
      </c>
      <c r="AI39" s="3">
        <f ca="1">IFERROR(__xludf.DUMMYFUNCTION("""COMPUTED_VALUE"""),-0.730797704261947)</f>
        <v>-0.73079770426194701</v>
      </c>
      <c r="AJ39" s="3">
        <f ca="1">IFERROR(__xludf.DUMMYFUNCTION("""COMPUTED_VALUE"""),-0.722327709499061)</f>
        <v>-0.722327709499061</v>
      </c>
      <c r="AK39" s="3">
        <f ca="1">IFERROR(__xludf.DUMMYFUNCTION("""COMPUTED_VALUE"""),-0.72281010533969)</f>
        <v>-0.72281010533969003</v>
      </c>
      <c r="AL39" s="3">
        <f ca="1">IFERROR(__xludf.DUMMYFUNCTION("""COMPUTED_VALUE"""),-0.704503404076381)</f>
        <v>-0.70450340407638101</v>
      </c>
      <c r="AM39" s="3">
        <f ca="1">IFERROR(__xludf.DUMMYFUNCTION("""COMPUTED_VALUE"""),-0.727081860990318)</f>
        <v>-0.72708186099031802</v>
      </c>
      <c r="AN39" s="3">
        <f ca="1">IFERROR(__xludf.DUMMYFUNCTION("""COMPUTED_VALUE"""),-0.665548582645644)</f>
        <v>-0.66554858264564398</v>
      </c>
      <c r="AO39" s="3">
        <f ca="1">IFERROR(__xludf.DUMMYFUNCTION("""COMPUTED_VALUE"""),-0.735997567028146)</f>
        <v>-0.735997567028146</v>
      </c>
      <c r="AP39" s="3">
        <f ca="1">IFERROR(__xludf.DUMMYFUNCTION("""COMPUTED_VALUE"""),-0.69798785259081)</f>
        <v>-0.69798785259080998</v>
      </c>
      <c r="AQ39" s="3">
        <f ca="1">IFERROR(__xludf.DUMMYFUNCTION("""COMPUTED_VALUE"""),-0.675537041555498)</f>
        <v>-0.67553704155549799</v>
      </c>
      <c r="AR39" s="3">
        <f ca="1">IFERROR(__xludf.DUMMYFUNCTION("""COMPUTED_VALUE"""),-0.687104299680151)</f>
        <v>-0.68710429968015097</v>
      </c>
      <c r="AS39" s="3">
        <f ca="1">IFERROR(__xludf.DUMMYFUNCTION("""COMPUTED_VALUE"""),-0.666810908463182)</f>
        <v>-0.66681090846318203</v>
      </c>
      <c r="AT39" s="3">
        <f ca="1">IFERROR(__xludf.DUMMYFUNCTION("""COMPUTED_VALUE"""),-0.617024229747367)</f>
        <v>-0.61702422974736704</v>
      </c>
      <c r="AU39" s="3">
        <f ca="1">IFERROR(__xludf.DUMMYFUNCTION("""COMPUTED_VALUE"""),-0.576466784143611)</f>
        <v>-0.57646678414361097</v>
      </c>
      <c r="AV39" s="3">
        <f ca="1">IFERROR(__xludf.DUMMYFUNCTION("""COMPUTED_VALUE"""),-0.720279366431893)</f>
        <v>-0.72027936643189305</v>
      </c>
      <c r="AW39" s="3">
        <f ca="1">IFERROR(__xludf.DUMMYFUNCTION("""COMPUTED_VALUE"""),-0.700219482475814)</f>
        <v>-0.700219482475814</v>
      </c>
      <c r="AX39" s="3">
        <f ca="1">IFERROR(__xludf.DUMMYFUNCTION("""COMPUTED_VALUE"""),-0.702774660607463)</f>
        <v>-0.70277466060746296</v>
      </c>
      <c r="AY39" s="3">
        <f ca="1">IFERROR(__xludf.DUMMYFUNCTION("""COMPUTED_VALUE"""),-0.683965207908394)</f>
        <v>-0.68396520790839399</v>
      </c>
      <c r="AZ39" s="3">
        <f ca="1">IFERROR(__xludf.DUMMYFUNCTION("""COMPUTED_VALUE"""),-0.616202775530494)</f>
        <v>-0.61620277553049396</v>
      </c>
      <c r="BA39" s="3">
        <f ca="1">IFERROR(__xludf.DUMMYFUNCTION("""COMPUTED_VALUE"""),-0.648522081463935)</f>
        <v>-0.64852208146393497</v>
      </c>
      <c r="BB39" s="3">
        <f ca="1">IFERROR(__xludf.DUMMYFUNCTION("""COMPUTED_VALUE"""),-0.671332016344176)</f>
        <v>-0.67133201634417605</v>
      </c>
      <c r="BC39" s="3">
        <f ca="1">IFERROR(__xludf.DUMMYFUNCTION("""COMPUTED_VALUE"""),-0.736753044344207)</f>
        <v>-0.73675304434420696</v>
      </c>
      <c r="BD39" s="3">
        <f ca="1">IFERROR(__xludf.DUMMYFUNCTION("""COMPUTED_VALUE"""),-0.733390701831925)</f>
        <v>-0.73339070183192501</v>
      </c>
      <c r="BE39" s="3">
        <f ca="1">IFERROR(__xludf.DUMMYFUNCTION("""COMPUTED_VALUE"""),-0.755344869693529)</f>
        <v>-0.75534486969352899</v>
      </c>
      <c r="BF39" s="3">
        <f ca="1">IFERROR(__xludf.DUMMYFUNCTION("""COMPUTED_VALUE"""),-0.750826833920048)</f>
        <v>-0.75082683392004801</v>
      </c>
      <c r="BG39" s="3">
        <f ca="1">IFERROR(__xludf.DUMMYFUNCTION("""COMPUTED_VALUE"""),-0.727234586127776)</f>
        <v>-0.72723458612777603</v>
      </c>
      <c r="BH39" s="3">
        <f ca="1">IFERROR(__xludf.DUMMYFUNCTION("""COMPUTED_VALUE"""),-0.717154012381512)</f>
        <v>-0.717154012381512</v>
      </c>
      <c r="BI39" s="3">
        <f ca="1">IFERROR(__xludf.DUMMYFUNCTION("""COMPUTED_VALUE"""),-0.716834826849935)</f>
        <v>-0.71683482684993505</v>
      </c>
      <c r="BJ39" s="3">
        <f ca="1">IFERROR(__xludf.DUMMYFUNCTION("""COMPUTED_VALUE"""),-0.757148088320963)</f>
        <v>-0.75714808832096303</v>
      </c>
      <c r="BK39" s="3">
        <f ca="1">IFERROR(__xludf.DUMMYFUNCTION("""COMPUTED_VALUE"""),-0.749108382608451)</f>
        <v>-0.74910838260845103</v>
      </c>
      <c r="BL39" s="3">
        <f ca="1">IFERROR(__xludf.DUMMYFUNCTION("""COMPUTED_VALUE"""),-0.717668700440218)</f>
        <v>-0.71766870044021802</v>
      </c>
      <c r="BM39" s="3">
        <f ca="1">IFERROR(__xludf.DUMMYFUNCTION("""COMPUTED_VALUE"""),-0.689523468234103)</f>
        <v>-0.68952346823410304</v>
      </c>
      <c r="BN39" s="3">
        <f ca="1">IFERROR(__xludf.DUMMYFUNCTION("""COMPUTED_VALUE"""),-0.688197882844164)</f>
        <v>-0.68819788284416405</v>
      </c>
      <c r="BO39" s="3">
        <f ca="1">IFERROR(__xludf.DUMMYFUNCTION("""COMPUTED_VALUE"""),-0.694248335904591)</f>
        <v>-0.69424833590459101</v>
      </c>
      <c r="BP39" s="3">
        <f ca="1">IFERROR(__xludf.DUMMYFUNCTION("""COMPUTED_VALUE"""),-0.696901517621074)</f>
        <v>-0.696901517621074</v>
      </c>
      <c r="BQ39" s="3">
        <f ca="1">IFERROR(__xludf.DUMMYFUNCTION("""COMPUTED_VALUE"""),-0.740689735047763)</f>
        <v>-0.74068973504776303</v>
      </c>
      <c r="BR39" s="3">
        <f ca="1">IFERROR(__xludf.DUMMYFUNCTION("""COMPUTED_VALUE"""),-0.686363221248938)</f>
        <v>-0.686363221248938</v>
      </c>
      <c r="BS39" s="3">
        <f ca="1">IFERROR(__xludf.DUMMYFUNCTION("""COMPUTED_VALUE"""),-0.705626812140047)</f>
        <v>-0.70562681214004697</v>
      </c>
      <c r="BT39" s="3">
        <f ca="1">IFERROR(__xludf.DUMMYFUNCTION("""COMPUTED_VALUE"""),-0.698846875843557)</f>
        <v>-0.69884687584355698</v>
      </c>
      <c r="BU39" s="3">
        <f ca="1">IFERROR(__xludf.DUMMYFUNCTION("""COMPUTED_VALUE"""),-0.700951148697551)</f>
        <v>-0.70095114869755104</v>
      </c>
      <c r="BV39" s="3">
        <f ca="1">IFERROR(__xludf.DUMMYFUNCTION("""COMPUTED_VALUE"""),-0.796957286338145)</f>
        <v>-0.796957286338145</v>
      </c>
      <c r="BW39" s="3">
        <f ca="1">IFERROR(__xludf.DUMMYFUNCTION("""COMPUTED_VALUE"""),-0.760464803784465)</f>
        <v>-0.76046480378446502</v>
      </c>
      <c r="BX39" s="3">
        <f ca="1">IFERROR(__xludf.DUMMYFUNCTION("""COMPUTED_VALUE"""),-0.749238096787758)</f>
        <v>-0.74923809678775799</v>
      </c>
      <c r="BY39" s="3">
        <f ca="1">IFERROR(__xludf.DUMMYFUNCTION("""COMPUTED_VALUE"""),-0.715374714122209)</f>
        <v>-0.71537471412220899</v>
      </c>
      <c r="BZ39" s="3">
        <f ca="1">IFERROR(__xludf.DUMMYFUNCTION("""COMPUTED_VALUE"""),-0.725880538540811)</f>
        <v>-0.72588053854081103</v>
      </c>
      <c r="CA39" s="3">
        <f ca="1">IFERROR(__xludf.DUMMYFUNCTION("""COMPUTED_VALUE"""),-0.682013385656299)</f>
        <v>-0.68201338565629899</v>
      </c>
      <c r="CB39" s="3">
        <f ca="1">IFERROR(__xludf.DUMMYFUNCTION("""COMPUTED_VALUE"""),-0.623881744560497)</f>
        <v>-0.62388174456049705</v>
      </c>
      <c r="CC39" s="3">
        <f ca="1">IFERROR(__xludf.DUMMYFUNCTION("""COMPUTED_VALUE"""),-0.699638418523348)</f>
        <v>-0.69963841852334796</v>
      </c>
      <c r="CD39" s="3">
        <f ca="1">IFERROR(__xludf.DUMMYFUNCTION("""COMPUTED_VALUE"""),-0.748303111024713)</f>
        <v>-0.74830311102471303</v>
      </c>
      <c r="CE39" s="3">
        <f ca="1">IFERROR(__xludf.DUMMYFUNCTION("""COMPUTED_VALUE"""),-0.747913285692995)</f>
        <v>-0.74791328569299498</v>
      </c>
      <c r="CF39" s="3">
        <f ca="1">IFERROR(__xludf.DUMMYFUNCTION("""COMPUTED_VALUE"""),-0.649282480350862)</f>
        <v>-0.649282480350862</v>
      </c>
      <c r="CG39" s="3">
        <f ca="1">IFERROR(__xludf.DUMMYFUNCTION("""COMPUTED_VALUE"""),-0.690029850750416)</f>
        <v>-0.69002985075041601</v>
      </c>
      <c r="CH39" s="3">
        <f ca="1">IFERROR(__xludf.DUMMYFUNCTION("""COMPUTED_VALUE"""),-0.610389644586225)</f>
        <v>-0.61038964458622502</v>
      </c>
      <c r="CI39" s="3">
        <f ca="1">IFERROR(__xludf.DUMMYFUNCTION("""COMPUTED_VALUE"""),-0.783070385905875)</f>
        <v>-0.78307038590587497</v>
      </c>
      <c r="CJ39" s="3">
        <f ca="1">IFERROR(__xludf.DUMMYFUNCTION("""COMPUTED_VALUE"""),-0.812864512253042)</f>
        <v>-0.81286451225304202</v>
      </c>
      <c r="CK39" s="3">
        <f ca="1">IFERROR(__xludf.DUMMYFUNCTION("""COMPUTED_VALUE"""),-0.866213311581987)</f>
        <v>-0.866213311581987</v>
      </c>
      <c r="CL39" s="3">
        <f ca="1">IFERROR(__xludf.DUMMYFUNCTION("""COMPUTED_VALUE"""),-0.882767847990292)</f>
        <v>-0.88276784799029195</v>
      </c>
      <c r="CM39" s="3">
        <f ca="1">IFERROR(__xludf.DUMMYFUNCTION("""COMPUTED_VALUE"""),-0.891200386494459)</f>
        <v>-0.89120038649445898</v>
      </c>
      <c r="CN39" s="3">
        <f ca="1">IFERROR(__xludf.DUMMYFUNCTION("""COMPUTED_VALUE"""),-0.879397973542619)</f>
        <v>-0.87939797354261895</v>
      </c>
      <c r="CO39" s="3">
        <f ca="1">IFERROR(__xludf.DUMMYFUNCTION("""COMPUTED_VALUE"""),-0.907450514922162)</f>
        <v>-0.907450514922162</v>
      </c>
      <c r="CP39" s="3">
        <f ca="1">IFERROR(__xludf.DUMMYFUNCTION("""COMPUTED_VALUE"""),-0.829369587567631)</f>
        <v>-0.82936958756763102</v>
      </c>
      <c r="CQ39" s="3">
        <f ca="1">IFERROR(__xludf.DUMMYFUNCTION("""COMPUTED_VALUE"""),-0.84192745490938)</f>
        <v>-0.84192745490938004</v>
      </c>
      <c r="CR39" s="3">
        <f ca="1">IFERROR(__xludf.DUMMYFUNCTION("""COMPUTED_VALUE"""),-0.8607839069464)</f>
        <v>-0.86078390694639995</v>
      </c>
      <c r="CS39" s="3">
        <f ca="1">IFERROR(__xludf.DUMMYFUNCTION("""COMPUTED_VALUE"""),-0.857965080283739)</f>
        <v>-0.85796508028373897</v>
      </c>
      <c r="CT39" s="3">
        <f ca="1">IFERROR(__xludf.DUMMYFUNCTION("""COMPUTED_VALUE"""),-0.867040010399517)</f>
        <v>-0.86704001039951695</v>
      </c>
      <c r="CU39" s="3">
        <f ca="1">IFERROR(__xludf.DUMMYFUNCTION("""COMPUTED_VALUE"""),-0.825244678826793)</f>
        <v>-0.82524467882679298</v>
      </c>
      <c r="CV39" s="3">
        <f ca="1">IFERROR(__xludf.DUMMYFUNCTION("""COMPUTED_VALUE"""),-0.840614208126237)</f>
        <v>-0.84061420812623699</v>
      </c>
      <c r="CW39" s="3">
        <f ca="1">IFERROR(__xludf.DUMMYFUNCTION("""COMPUTED_VALUE"""),-0.867119699363676)</f>
        <v>-0.86711969936367606</v>
      </c>
      <c r="CX39" s="3">
        <f ca="1">IFERROR(__xludf.DUMMYFUNCTION("""COMPUTED_VALUE"""),-0.829198079331242)</f>
        <v>-0.82919807933124201</v>
      </c>
      <c r="CY39" s="3">
        <f ca="1">IFERROR(__xludf.DUMMYFUNCTION("""COMPUTED_VALUE"""),-0.791485771879707)</f>
        <v>-0.79148577187970703</v>
      </c>
      <c r="CZ39" s="3">
        <f ca="1">IFERROR(__xludf.DUMMYFUNCTION("""COMPUTED_VALUE"""),-0.966124998035972)</f>
        <v>-0.96612499803597196</v>
      </c>
      <c r="DA39" s="3">
        <f ca="1">IFERROR(__xludf.DUMMYFUNCTION("""COMPUTED_VALUE"""),-0.82719747137401)</f>
        <v>-0.82719747137401001</v>
      </c>
      <c r="DB39" s="3">
        <f ca="1">IFERROR(__xludf.DUMMYFUNCTION("""COMPUTED_VALUE"""),-0.683153239847682)</f>
        <v>-0.68315323984768195</v>
      </c>
      <c r="DC39" s="3">
        <f ca="1">IFERROR(__xludf.DUMMYFUNCTION("""COMPUTED_VALUE"""),-0.835196466322177)</f>
        <v>-0.83519646632217703</v>
      </c>
      <c r="DD39" s="3">
        <f ca="1">IFERROR(__xludf.DUMMYFUNCTION("""COMPUTED_VALUE"""),-0.867444740709191)</f>
        <v>-0.86744474070919098</v>
      </c>
      <c r="DE39" s="3">
        <f ca="1">IFERROR(__xludf.DUMMYFUNCTION("""COMPUTED_VALUE"""),-0.780349338390491)</f>
        <v>-0.78034933839049103</v>
      </c>
      <c r="DF39" s="3">
        <f ca="1">IFERROR(__xludf.DUMMYFUNCTION("""COMPUTED_VALUE"""),-0.746841058706827)</f>
        <v>-0.74684105870682704</v>
      </c>
      <c r="DG39" s="3">
        <f ca="1">IFERROR(__xludf.DUMMYFUNCTION("""COMPUTED_VALUE"""),-0.984989364616967)</f>
        <v>-0.98498936461696696</v>
      </c>
      <c r="DH39" s="3">
        <f ca="1">IFERROR(__xludf.DUMMYFUNCTION("""COMPUTED_VALUE"""),-0.777307875912966)</f>
        <v>-0.77730787591296602</v>
      </c>
      <c r="DI39" s="3">
        <f ca="1">IFERROR(__xludf.DUMMYFUNCTION("""COMPUTED_VALUE"""),-0.467206305689953)</f>
        <v>-0.46720630568995303</v>
      </c>
      <c r="DJ39" s="3">
        <f ca="1">IFERROR(__xludf.DUMMYFUNCTION("""COMPUTED_VALUE"""),-0.731016830072096)</f>
        <v>-0.73101683007209595</v>
      </c>
      <c r="DK39" s="3">
        <f ca="1">IFERROR(__xludf.DUMMYFUNCTION("""COMPUTED_VALUE"""),-0.75020020776912)</f>
        <v>-0.75020020776912</v>
      </c>
      <c r="DL39" s="3">
        <f ca="1">IFERROR(__xludf.DUMMYFUNCTION("""COMPUTED_VALUE"""),-0.75841027210804)</f>
        <v>-0.75841027210804002</v>
      </c>
      <c r="DM39" s="3">
        <f ca="1">IFERROR(__xludf.DUMMYFUNCTION("""COMPUTED_VALUE"""),-0.773362404893016)</f>
        <v>-0.773362404893016</v>
      </c>
      <c r="DN39" s="3">
        <f ca="1">IFERROR(__xludf.DUMMYFUNCTION("""COMPUTED_VALUE"""),-0.746684630092671)</f>
        <v>-0.74668463009267105</v>
      </c>
      <c r="DO39" s="3">
        <f ca="1">IFERROR(__xludf.DUMMYFUNCTION("""COMPUTED_VALUE"""),-0.769186662165824)</f>
        <v>-0.76918666216582399</v>
      </c>
      <c r="DP39" s="3">
        <f ca="1">IFERROR(__xludf.DUMMYFUNCTION("""COMPUTED_VALUE"""),-0.769937846608026)</f>
        <v>-0.769937846608026</v>
      </c>
      <c r="DQ39" s="3">
        <f ca="1">IFERROR(__xludf.DUMMYFUNCTION("""COMPUTED_VALUE"""),-0.795118363570622)</f>
        <v>-0.79511836357062204</v>
      </c>
      <c r="DR39" s="3">
        <f ca="1">IFERROR(__xludf.DUMMYFUNCTION("""COMPUTED_VALUE"""),-0.772831345562839)</f>
        <v>-0.77283134556283895</v>
      </c>
      <c r="DS39" s="3">
        <f ca="1">IFERROR(__xludf.DUMMYFUNCTION("""COMPUTED_VALUE"""),-0.770592041100443)</f>
        <v>-0.77059204110044299</v>
      </c>
      <c r="DT39" s="3">
        <f ca="1">IFERROR(__xludf.DUMMYFUNCTION("""COMPUTED_VALUE"""),-0.771300696554259)</f>
        <v>-0.77130069655425904</v>
      </c>
      <c r="DU39" s="3">
        <f ca="1">IFERROR(__xludf.DUMMYFUNCTION("""COMPUTED_VALUE"""),-0.816009363619568)</f>
        <v>-0.816009363619568</v>
      </c>
      <c r="DV39" s="3">
        <f ca="1">IFERROR(__xludf.DUMMYFUNCTION("""COMPUTED_VALUE"""),-0.822134197455147)</f>
        <v>-0.82213419745514704</v>
      </c>
      <c r="DW39" s="3">
        <f ca="1">IFERROR(__xludf.DUMMYFUNCTION("""COMPUTED_VALUE"""),-0.846602039320001)</f>
        <v>-0.846602039320001</v>
      </c>
      <c r="DX39" s="3">
        <f ca="1">IFERROR(__xludf.DUMMYFUNCTION("""COMPUTED_VALUE"""),-0.839945500116025)</f>
        <v>-0.83994550011602498</v>
      </c>
      <c r="DY39" s="3">
        <f ca="1">IFERROR(__xludf.DUMMYFUNCTION("""COMPUTED_VALUE"""),-0.820045983515105)</f>
        <v>-0.82004598351510505</v>
      </c>
      <c r="DZ39" s="3">
        <f ca="1">IFERROR(__xludf.DUMMYFUNCTION("""COMPUTED_VALUE"""),-0.763470988747431)</f>
        <v>-0.76347098874743102</v>
      </c>
      <c r="EA39" s="3">
        <f ca="1">IFERROR(__xludf.DUMMYFUNCTION("""COMPUTED_VALUE"""),-0.755456776865341)</f>
        <v>-0.75545677686534096</v>
      </c>
      <c r="EB39" s="3">
        <f ca="1">IFERROR(__xludf.DUMMYFUNCTION("""COMPUTED_VALUE"""),-0.787916547234155)</f>
        <v>-0.78791654723415505</v>
      </c>
      <c r="EC39" s="3">
        <f ca="1">IFERROR(__xludf.DUMMYFUNCTION("""COMPUTED_VALUE"""),-0.785594319530101)</f>
        <v>-0.78559431953010095</v>
      </c>
      <c r="ED39" s="3">
        <f ca="1">IFERROR(__xludf.DUMMYFUNCTION("""COMPUTED_VALUE"""),-0.832304246743161)</f>
        <v>-0.83230424674316095</v>
      </c>
      <c r="EE39" s="3">
        <f ca="1">IFERROR(__xludf.DUMMYFUNCTION("""COMPUTED_VALUE"""),-0.845736880930156)</f>
        <v>-0.84573688093015598</v>
      </c>
      <c r="EF39" s="3">
        <f ca="1">IFERROR(__xludf.DUMMYFUNCTION("""COMPUTED_VALUE"""),-0.85657479852088)</f>
        <v>-0.85657479852088003</v>
      </c>
      <c r="EG39" s="3">
        <f ca="1">IFERROR(__xludf.DUMMYFUNCTION("""COMPUTED_VALUE"""),-0.848798434425685)</f>
        <v>-0.84879843442568503</v>
      </c>
      <c r="EH39" s="3">
        <f ca="1">IFERROR(__xludf.DUMMYFUNCTION("""COMPUTED_VALUE"""),-0.857462426609966)</f>
        <v>-0.85746242660996597</v>
      </c>
      <c r="EI39" s="3">
        <f ca="1">IFERROR(__xludf.DUMMYFUNCTION("""COMPUTED_VALUE"""),-0.899370353906481)</f>
        <v>-0.89937035390648101</v>
      </c>
      <c r="EJ39" s="3">
        <f ca="1">IFERROR(__xludf.DUMMYFUNCTION("""COMPUTED_VALUE"""),-0.977115470038135)</f>
        <v>-0.97711547003813504</v>
      </c>
      <c r="EK39" s="3">
        <f ca="1">IFERROR(__xludf.DUMMYFUNCTION("""COMPUTED_VALUE"""),-0.845257885624643)</f>
        <v>-0.84525788562464299</v>
      </c>
      <c r="EL39" s="3">
        <f ca="1">IFERROR(__xludf.DUMMYFUNCTION("""COMPUTED_VALUE"""),-0.846901065687782)</f>
        <v>-0.84690106568778201</v>
      </c>
      <c r="EM39" s="3">
        <f ca="1">IFERROR(__xludf.DUMMYFUNCTION("""COMPUTED_VALUE"""),-0.86248054717703)</f>
        <v>-0.86248054717703004</v>
      </c>
      <c r="EN39" s="3">
        <f ca="1">IFERROR(__xludf.DUMMYFUNCTION("""COMPUTED_VALUE"""),-0.805109709695113)</f>
        <v>-0.80510970969511297</v>
      </c>
      <c r="EO39" s="3">
        <f ca="1">IFERROR(__xludf.DUMMYFUNCTION("""COMPUTED_VALUE"""),-0.773988114510492)</f>
        <v>-0.77398811451049199</v>
      </c>
      <c r="EP39" s="3">
        <f ca="1">IFERROR(__xludf.DUMMYFUNCTION("""COMPUTED_VALUE"""),-0.814361085890386)</f>
        <v>-0.81436108589038603</v>
      </c>
      <c r="EQ39" s="3">
        <f ca="1">IFERROR(__xludf.DUMMYFUNCTION("""COMPUTED_VALUE"""),-0.807062488952691)</f>
        <v>-0.80706248895269095</v>
      </c>
      <c r="ER39" s="3">
        <f ca="1">IFERROR(__xludf.DUMMYFUNCTION("""COMPUTED_VALUE"""),-0.810096940178236)</f>
        <v>-0.81009694017823597</v>
      </c>
      <c r="ES39" s="3">
        <f ca="1">IFERROR(__xludf.DUMMYFUNCTION("""COMPUTED_VALUE"""),-0.788494775580591)</f>
        <v>-0.788494775580591</v>
      </c>
      <c r="ET39" s="3">
        <f ca="1">IFERROR(__xludf.DUMMYFUNCTION("""COMPUTED_VALUE"""),-0.812490518315778)</f>
        <v>-0.81249051831577801</v>
      </c>
      <c r="EU39" s="3">
        <f ca="1">IFERROR(__xludf.DUMMYFUNCTION("""COMPUTED_VALUE"""),-0.760594525917701)</f>
        <v>-0.76059452591770105</v>
      </c>
      <c r="EV39" s="3">
        <f ca="1">IFERROR(__xludf.DUMMYFUNCTION("""COMPUTED_VALUE"""),-0.745584261026234)</f>
        <v>-0.74558426102623399</v>
      </c>
      <c r="EW39" s="3">
        <f ca="1">IFERROR(__xludf.DUMMYFUNCTION("""COMPUTED_VALUE"""),-0.76975543426428)</f>
        <v>-0.76975543426427995</v>
      </c>
      <c r="EX39" s="3">
        <f ca="1">IFERROR(__xludf.DUMMYFUNCTION("""COMPUTED_VALUE"""),-0.765492038458065)</f>
        <v>-0.76549203845806502</v>
      </c>
      <c r="EY39" s="3">
        <f ca="1">IFERROR(__xludf.DUMMYFUNCTION("""COMPUTED_VALUE"""),-0.780828644185759)</f>
        <v>-0.78082864418575904</v>
      </c>
      <c r="EZ39" s="3">
        <f ca="1">IFERROR(__xludf.DUMMYFUNCTION("""COMPUTED_VALUE"""),-0.748860048147932)</f>
        <v>-0.74886004814793194</v>
      </c>
      <c r="FA39" s="3">
        <f ca="1">IFERROR(__xludf.DUMMYFUNCTION("""COMPUTED_VALUE"""),-0.769338968759348)</f>
        <v>-0.76933896875934804</v>
      </c>
      <c r="FB39" s="3">
        <f ca="1">IFERROR(__xludf.DUMMYFUNCTION("""COMPUTED_VALUE"""),-0.723943423886339)</f>
        <v>-0.72394342388633903</v>
      </c>
      <c r="FC39" s="3">
        <f ca="1">IFERROR(__xludf.DUMMYFUNCTION("""COMPUTED_VALUE"""),-0.718621835740402)</f>
        <v>-0.71862183574040195</v>
      </c>
      <c r="FD39" s="3">
        <f ca="1">IFERROR(__xludf.DUMMYFUNCTION("""COMPUTED_VALUE"""),-0.76418359907531)</f>
        <v>-0.76418359907530997</v>
      </c>
      <c r="FE39" s="3">
        <f ca="1">IFERROR(__xludf.DUMMYFUNCTION("""COMPUTED_VALUE"""),-0.750222617327172)</f>
        <v>-0.75022261732717199</v>
      </c>
      <c r="FF39" s="3">
        <f ca="1">IFERROR(__xludf.DUMMYFUNCTION("""COMPUTED_VALUE"""),-0.74537200268175)</f>
        <v>-0.74537200268174997</v>
      </c>
      <c r="FG39" s="3">
        <f ca="1">IFERROR(__xludf.DUMMYFUNCTION("""COMPUTED_VALUE"""),-0.755209697843002)</f>
        <v>-0.75520969784300196</v>
      </c>
      <c r="FH39" s="3">
        <f ca="1">IFERROR(__xludf.DUMMYFUNCTION("""COMPUTED_VALUE"""),-0.757701853233035)</f>
        <v>-0.75770185323303496</v>
      </c>
      <c r="FI39" s="3">
        <f ca="1">IFERROR(__xludf.DUMMYFUNCTION("""COMPUTED_VALUE"""),-0.659137080691796)</f>
        <v>-0.659137080691796</v>
      </c>
      <c r="FJ39" s="3">
        <f ca="1">IFERROR(__xludf.DUMMYFUNCTION("""COMPUTED_VALUE"""),-0.661136089206347)</f>
        <v>-0.66113608920634703</v>
      </c>
      <c r="FK39" s="3">
        <f ca="1">IFERROR(__xludf.DUMMYFUNCTION("""COMPUTED_VALUE"""),-0.736682951900016)</f>
        <v>-0.73668295190001598</v>
      </c>
      <c r="FL39" s="3">
        <f ca="1">IFERROR(__xludf.DUMMYFUNCTION("""COMPUTED_VALUE"""),-0.722591429731426)</f>
        <v>-0.72259142973142598</v>
      </c>
      <c r="FM39" s="3">
        <f ca="1">IFERROR(__xludf.DUMMYFUNCTION("""COMPUTED_VALUE"""),-0.705650965871804)</f>
        <v>-0.70565096587180398</v>
      </c>
      <c r="FN39" s="3">
        <f ca="1">IFERROR(__xludf.DUMMYFUNCTION("""COMPUTED_VALUE"""),-0.712399106088058)</f>
        <v>-0.71239910608805801</v>
      </c>
      <c r="FO39" s="3">
        <f ca="1">IFERROR(__xludf.DUMMYFUNCTION("""COMPUTED_VALUE"""),-0.697839599648978)</f>
        <v>-0.69783959964897802</v>
      </c>
      <c r="FP39" s="3">
        <f ca="1">IFERROR(__xludf.DUMMYFUNCTION("""COMPUTED_VALUE"""),-0.736356992263803)</f>
        <v>-0.73635699226380302</v>
      </c>
      <c r="FQ39" s="3">
        <f ca="1">IFERROR(__xludf.DUMMYFUNCTION("""COMPUTED_VALUE"""),-0.663324778624678)</f>
        <v>-0.66332477862467798</v>
      </c>
      <c r="FR39" s="3">
        <f ca="1">IFERROR(__xludf.DUMMYFUNCTION("""COMPUTED_VALUE"""),-0.744142911406447)</f>
        <v>-0.74414291140644695</v>
      </c>
      <c r="FS39" s="3">
        <f ca="1">IFERROR(__xludf.DUMMYFUNCTION("""COMPUTED_VALUE"""),-0.746765315281247)</f>
        <v>-0.74676531528124701</v>
      </c>
      <c r="FT39" s="3">
        <f ca="1">IFERROR(__xludf.DUMMYFUNCTION("""COMPUTED_VALUE"""),-0.711784022668034)</f>
        <v>-0.71178402266803398</v>
      </c>
      <c r="FU39" s="3">
        <f ca="1">IFERROR(__xludf.DUMMYFUNCTION("""COMPUTED_VALUE"""),-0.6874682858135)</f>
        <v>-0.68746828581349995</v>
      </c>
      <c r="FV39" s="3">
        <f ca="1">IFERROR(__xludf.DUMMYFUNCTION("""COMPUTED_VALUE"""),-0.704149826666313)</f>
        <v>-0.70414982666631298</v>
      </c>
      <c r="FW39" s="3">
        <f ca="1">IFERROR(__xludf.DUMMYFUNCTION("""COMPUTED_VALUE"""),-0.599990209167714)</f>
        <v>-0.59999020916771395</v>
      </c>
      <c r="FX39" s="3">
        <f ca="1">IFERROR(__xludf.DUMMYFUNCTION("""COMPUTED_VALUE"""),-0.723879766047752)</f>
        <v>-0.72387976604775195</v>
      </c>
      <c r="FY39" s="3">
        <f ca="1">IFERROR(__xludf.DUMMYFUNCTION("""COMPUTED_VALUE"""),-0.762600414677488)</f>
        <v>-0.76260041467748796</v>
      </c>
      <c r="FZ39" s="3">
        <f ca="1">IFERROR(__xludf.DUMMYFUNCTION("""COMPUTED_VALUE"""),-0.68974365965946)</f>
        <v>-0.68974365965946005</v>
      </c>
      <c r="GA39" s="3">
        <f ca="1">IFERROR(__xludf.DUMMYFUNCTION("""COMPUTED_VALUE"""),-0.739541450088937)</f>
        <v>-0.73954145008893701</v>
      </c>
      <c r="GB39" s="3">
        <f ca="1">IFERROR(__xludf.DUMMYFUNCTION("""COMPUTED_VALUE"""),-0.696281301875006)</f>
        <v>-0.69628130187500603</v>
      </c>
      <c r="GC39" s="3">
        <f ca="1">IFERROR(__xludf.DUMMYFUNCTION("""COMPUTED_VALUE"""),-0.716802632711598)</f>
        <v>-0.71680263271159805</v>
      </c>
      <c r="GD39" s="3">
        <f ca="1">IFERROR(__xludf.DUMMYFUNCTION("""COMPUTED_VALUE"""),-0.646597975933649)</f>
        <v>-0.64659797593364898</v>
      </c>
      <c r="GE39" s="3">
        <f ca="1">IFERROR(__xludf.DUMMYFUNCTION("""COMPUTED_VALUE"""),-0.72383302907256)</f>
        <v>-0.72383302907255997</v>
      </c>
      <c r="GF39" s="3">
        <f ca="1">IFERROR(__xludf.DUMMYFUNCTION("""COMPUTED_VALUE"""),-0.746589854322882)</f>
        <v>-0.74658985432288205</v>
      </c>
      <c r="GG39" s="3">
        <f ca="1">IFERROR(__xludf.DUMMYFUNCTION("""COMPUTED_VALUE"""),-0.696742711923112)</f>
        <v>-0.69674271192311199</v>
      </c>
      <c r="GH39" s="3">
        <f ca="1">IFERROR(__xludf.DUMMYFUNCTION("""COMPUTED_VALUE"""),-0.683868797627468)</f>
        <v>-0.68386879762746799</v>
      </c>
      <c r="GI39" s="3">
        <f ca="1">IFERROR(__xludf.DUMMYFUNCTION("""COMPUTED_VALUE"""),-0.731155724640864)</f>
        <v>-0.73115572464086398</v>
      </c>
      <c r="GJ39" s="3">
        <f ca="1">IFERROR(__xludf.DUMMYFUNCTION("""COMPUTED_VALUE"""),-0.714041334559231)</f>
        <v>-0.71404133455923102</v>
      </c>
      <c r="GK39" s="3">
        <f ca="1">IFERROR(__xludf.DUMMYFUNCTION("""COMPUTED_VALUE"""),-0.7375228973765)</f>
        <v>-0.73752289737650001</v>
      </c>
      <c r="GL39" s="3">
        <f ca="1">IFERROR(__xludf.DUMMYFUNCTION("""COMPUTED_VALUE"""),-0.74684427496819)</f>
        <v>-0.74684427496818995</v>
      </c>
      <c r="GM39" s="3">
        <f ca="1">IFERROR(__xludf.DUMMYFUNCTION("""COMPUTED_VALUE"""),-0.731558582178137)</f>
        <v>-0.73155858217813696</v>
      </c>
      <c r="GN39" s="3">
        <f ca="1">IFERROR(__xludf.DUMMYFUNCTION("""COMPUTED_VALUE"""),-0.676986492526675)</f>
        <v>-0.67698649252667498</v>
      </c>
      <c r="GO39" s="3">
        <f ca="1">IFERROR(__xludf.DUMMYFUNCTION("""COMPUTED_VALUE"""),-0.681309721453879)</f>
        <v>-0.68130972145387902</v>
      </c>
      <c r="GP39" s="3">
        <f ca="1">IFERROR(__xludf.DUMMYFUNCTION("""COMPUTED_VALUE"""),-0.672691096366212)</f>
        <v>-0.67269109636621205</v>
      </c>
      <c r="GQ39" s="3">
        <f ca="1">IFERROR(__xludf.DUMMYFUNCTION("""COMPUTED_VALUE"""),-0.696850217533437)</f>
        <v>-0.69685021753343701</v>
      </c>
      <c r="GR39" s="3">
        <f ca="1">IFERROR(__xludf.DUMMYFUNCTION("""COMPUTED_VALUE"""),-0.721153487365519)</f>
        <v>-0.72115348736551899</v>
      </c>
      <c r="GS39" s="3">
        <f ca="1">IFERROR(__xludf.DUMMYFUNCTION("""COMPUTED_VALUE"""),-0.670553412537215)</f>
        <v>-0.67055341253721501</v>
      </c>
      <c r="GT39" s="3">
        <f ca="1">IFERROR(__xludf.DUMMYFUNCTION("""COMPUTED_VALUE"""),-0.71706872407965)</f>
        <v>-0.71706872407965006</v>
      </c>
      <c r="GU39" s="3">
        <f ca="1">IFERROR(__xludf.DUMMYFUNCTION("""COMPUTED_VALUE"""),-0.689314329175551)</f>
        <v>-0.68931432917555102</v>
      </c>
      <c r="GV39" s="3">
        <f ca="1">IFERROR(__xludf.DUMMYFUNCTION("""COMPUTED_VALUE"""),-0.64745917072432)</f>
        <v>-0.64745917072432002</v>
      </c>
      <c r="GW39" s="3">
        <f ca="1">IFERROR(__xludf.DUMMYFUNCTION("""COMPUTED_VALUE"""),-0.675932130769441)</f>
        <v>-0.67593213076944103</v>
      </c>
      <c r="GX39" s="3">
        <f ca="1">IFERROR(__xludf.DUMMYFUNCTION("""COMPUTED_VALUE"""),-0.694316374299491)</f>
        <v>-0.694316374299491</v>
      </c>
      <c r="GY39" s="3">
        <f ca="1">IFERROR(__xludf.DUMMYFUNCTION("""COMPUTED_VALUE"""),-0.674869176270889)</f>
        <v>-0.67486917627088905</v>
      </c>
      <c r="GZ39" s="3">
        <f ca="1">IFERROR(__xludf.DUMMYFUNCTION("""COMPUTED_VALUE"""),-0.676968718030495)</f>
        <v>-0.67696871803049496</v>
      </c>
      <c r="HA39" s="3">
        <f ca="1">IFERROR(__xludf.DUMMYFUNCTION("""COMPUTED_VALUE"""),-0.752336740026827)</f>
        <v>-0.75233674002682704</v>
      </c>
      <c r="HB39" s="3">
        <f ca="1">IFERROR(__xludf.DUMMYFUNCTION("""COMPUTED_VALUE"""),-0.687538657158026)</f>
        <v>-0.68753865715802598</v>
      </c>
      <c r="HC39" s="3">
        <f ca="1">IFERROR(__xludf.DUMMYFUNCTION("""COMPUTED_VALUE"""),-0.650280544537631)</f>
        <v>-0.65028054453763096</v>
      </c>
      <c r="HD39" s="3">
        <f ca="1">IFERROR(__xludf.DUMMYFUNCTION("""COMPUTED_VALUE"""),-0.646975098911752)</f>
        <v>-0.64697509891175198</v>
      </c>
      <c r="HE39" s="3">
        <f ca="1">IFERROR(__xludf.DUMMYFUNCTION("""COMPUTED_VALUE"""),-0.652886590845038)</f>
        <v>-0.65288659084503797</v>
      </c>
      <c r="HF39" s="3">
        <f ca="1">IFERROR(__xludf.DUMMYFUNCTION("""COMPUTED_VALUE"""),-0.65119764159799)</f>
        <v>-0.65119764159798998</v>
      </c>
      <c r="HG39" s="3">
        <f ca="1">IFERROR(__xludf.DUMMYFUNCTION("""COMPUTED_VALUE"""),-0.730411783285074)</f>
        <v>-0.73041178328507395</v>
      </c>
      <c r="HH39" s="3">
        <f ca="1">IFERROR(__xludf.DUMMYFUNCTION("""COMPUTED_VALUE"""),-0.730525519438914)</f>
        <v>-0.73052551943891397</v>
      </c>
      <c r="HI39" s="3">
        <f ca="1">IFERROR(__xludf.DUMMYFUNCTION("""COMPUTED_VALUE"""),-0.675904887667158)</f>
        <v>-0.67590488766715795</v>
      </c>
      <c r="HJ39" s="3">
        <f ca="1">IFERROR(__xludf.DUMMYFUNCTION("""COMPUTED_VALUE"""),-0.635742597491019)</f>
        <v>-0.63574259749101902</v>
      </c>
      <c r="HK39" s="3">
        <f ca="1">IFERROR(__xludf.DUMMYFUNCTION("""COMPUTED_VALUE"""),-0.638694911574024)</f>
        <v>-0.63869491157402403</v>
      </c>
      <c r="HL39" s="3">
        <f ca="1">IFERROR(__xludf.DUMMYFUNCTION("""COMPUTED_VALUE"""),-0.937384404378254)</f>
        <v>-0.93738440437825399</v>
      </c>
      <c r="HM39" s="3">
        <f ca="1">IFERROR(__xludf.DUMMYFUNCTION("""COMPUTED_VALUE"""),-0.734896498770688)</f>
        <v>-0.73489649877068797</v>
      </c>
      <c r="HN39" s="3">
        <f ca="1">IFERROR(__xludf.DUMMYFUNCTION("""COMPUTED_VALUE"""),-0.765073354246877)</f>
        <v>-0.76507335424687695</v>
      </c>
      <c r="HO39" s="3">
        <f ca="1">IFERROR(__xludf.DUMMYFUNCTION("""COMPUTED_VALUE"""),-0.722204084601063)</f>
        <v>-0.722204084601063</v>
      </c>
      <c r="HP39" s="3">
        <f ca="1">IFERROR(__xludf.DUMMYFUNCTION("""COMPUTED_VALUE"""),-0.586677185405345)</f>
        <v>-0.58667718540534497</v>
      </c>
      <c r="HQ39" s="3">
        <f ca="1">IFERROR(__xludf.DUMMYFUNCTION("""COMPUTED_VALUE"""),-0.588417460327186)</f>
        <v>-0.588417460327186</v>
      </c>
      <c r="HR39" s="3">
        <f ca="1">IFERROR(__xludf.DUMMYFUNCTION("""COMPUTED_VALUE"""),-0.527681142982005)</f>
        <v>-0.52768114298200497</v>
      </c>
      <c r="HS39" s="3">
        <f ca="1">IFERROR(__xludf.DUMMYFUNCTION("""COMPUTED_VALUE"""),-0.278127502256362)</f>
        <v>-0.27812750225636201</v>
      </c>
      <c r="HT39" s="3">
        <f ca="1">IFERROR(__xludf.DUMMYFUNCTION("""COMPUTED_VALUE"""),-0.591302585287048)</f>
        <v>-0.59130258528704804</v>
      </c>
      <c r="HU39" s="3">
        <f ca="1">IFERROR(__xludf.DUMMYFUNCTION("""COMPUTED_VALUE"""),-0.669444269715534)</f>
        <v>-0.66944426971553395</v>
      </c>
      <c r="HV39" s="3">
        <f ca="1">IFERROR(__xludf.DUMMYFUNCTION("""COMPUTED_VALUE"""),-0.77190277590454)</f>
        <v>-0.77190277590454004</v>
      </c>
      <c r="HW39" s="3">
        <f ca="1">IFERROR(__xludf.DUMMYFUNCTION("""COMPUTED_VALUE"""),-0.760945591326644)</f>
        <v>-0.76094559132664397</v>
      </c>
      <c r="HX39" s="3">
        <f ca="1">IFERROR(__xludf.DUMMYFUNCTION("""COMPUTED_VALUE"""),-0.714476640845617)</f>
        <v>-0.71447664084561702</v>
      </c>
      <c r="HY39" s="3">
        <f ca="1">IFERROR(__xludf.DUMMYFUNCTION("""COMPUTED_VALUE"""),-0.820583355320811)</f>
        <v>-0.82058335532081095</v>
      </c>
      <c r="HZ39" s="3">
        <f ca="1">IFERROR(__xludf.DUMMYFUNCTION("""COMPUTED_VALUE"""),-0.773294360252236)</f>
        <v>-0.77329436025223597</v>
      </c>
      <c r="IA39" s="3">
        <f ca="1">IFERROR(__xludf.DUMMYFUNCTION("""COMPUTED_VALUE"""),-0.80901415753183)</f>
        <v>-0.80901415753183004</v>
      </c>
      <c r="IB39" s="3">
        <f ca="1">IFERROR(__xludf.DUMMYFUNCTION("""COMPUTED_VALUE"""),-0.821043102641785)</f>
        <v>-0.82104310264178504</v>
      </c>
      <c r="IC39" s="3">
        <f ca="1">IFERROR(__xludf.DUMMYFUNCTION("""COMPUTED_VALUE"""),-0.815137247214188)</f>
        <v>-0.81513724721418801</v>
      </c>
      <c r="ID39" s="3">
        <f ca="1">IFERROR(__xludf.DUMMYFUNCTION("""COMPUTED_VALUE"""),-0.834161549644212)</f>
        <v>-0.83416154964421196</v>
      </c>
      <c r="IE39" s="3">
        <f ca="1">IFERROR(__xludf.DUMMYFUNCTION("""COMPUTED_VALUE"""),-0.828493043248795)</f>
        <v>-0.82849304324879502</v>
      </c>
      <c r="IF39" s="3">
        <f ca="1">IFERROR(__xludf.DUMMYFUNCTION("""COMPUTED_VALUE"""),-0.857955391586877)</f>
        <v>-0.85795539158687695</v>
      </c>
      <c r="IG39" s="3">
        <f ca="1">IFERROR(__xludf.DUMMYFUNCTION("""COMPUTED_VALUE"""),-0.868441744656805)</f>
        <v>-0.86844174465680501</v>
      </c>
      <c r="IH39" s="3">
        <f ca="1">IFERROR(__xludf.DUMMYFUNCTION("""COMPUTED_VALUE"""),-0.794964672280337)</f>
        <v>-0.79496467228033696</v>
      </c>
      <c r="II39" s="3">
        <f ca="1">IFERROR(__xludf.DUMMYFUNCTION("""COMPUTED_VALUE"""),-0.778674368137419)</f>
        <v>-0.77867436813741897</v>
      </c>
      <c r="IJ39" s="3">
        <f ca="1">IFERROR(__xludf.DUMMYFUNCTION("""COMPUTED_VALUE"""),-0.783312792745992)</f>
        <v>-0.78331279274599197</v>
      </c>
      <c r="IK39" s="3">
        <f ca="1">IFERROR(__xludf.DUMMYFUNCTION("""COMPUTED_VALUE"""),-0.714136936713018)</f>
        <v>-0.71413693671301803</v>
      </c>
      <c r="IL39" s="3">
        <f ca="1">IFERROR(__xludf.DUMMYFUNCTION("""COMPUTED_VALUE"""),-0.763158313448213)</f>
        <v>-0.76315831344821305</v>
      </c>
      <c r="IM39" s="3">
        <f ca="1">IFERROR(__xludf.DUMMYFUNCTION("""COMPUTED_VALUE"""),-0.748108527768364)</f>
        <v>-0.74810852776836401</v>
      </c>
      <c r="IN39" s="3">
        <f ca="1">IFERROR(__xludf.DUMMYFUNCTION("""COMPUTED_VALUE"""),-0.669939143108696)</f>
        <v>-0.66993914310869596</v>
      </c>
      <c r="IO39" s="3">
        <f ca="1">IFERROR(__xludf.DUMMYFUNCTION("""COMPUTED_VALUE"""),-0.534819029332992)</f>
        <v>-0.53481902933299197</v>
      </c>
      <c r="IP39" s="3">
        <f ca="1">IFERROR(__xludf.DUMMYFUNCTION("""COMPUTED_VALUE"""),-0.553133322174001)</f>
        <v>-0.55313332217400102</v>
      </c>
      <c r="IQ39" s="3">
        <f ca="1">IFERROR(__xludf.DUMMYFUNCTION("""COMPUTED_VALUE"""),-0.607996171581063)</f>
        <v>-0.60799617158106301</v>
      </c>
      <c r="IR39" s="3">
        <f ca="1">IFERROR(__xludf.DUMMYFUNCTION("""COMPUTED_VALUE"""),-0.623815704998973)</f>
        <v>-0.62381570499897299</v>
      </c>
      <c r="IS39" s="3">
        <f ca="1">IFERROR(__xludf.DUMMYFUNCTION("""COMPUTED_VALUE"""),-0.653995087742559)</f>
        <v>-0.65399508774255899</v>
      </c>
      <c r="IT39" s="3">
        <f ca="1">IFERROR(__xludf.DUMMYFUNCTION("""COMPUTED_VALUE"""),-0.638512617725607)</f>
        <v>-0.63851261772560697</v>
      </c>
      <c r="IU39" s="3">
        <f ca="1">IFERROR(__xludf.DUMMYFUNCTION("""COMPUTED_VALUE"""),-0.560562329125817)</f>
        <v>-0.56056232912581705</v>
      </c>
      <c r="IV39" s="3">
        <f ca="1">IFERROR(__xludf.DUMMYFUNCTION("""COMPUTED_VALUE"""),-0.48325409571988)</f>
        <v>-0.48325409571987998</v>
      </c>
      <c r="IW39" s="3">
        <f ca="1">IFERROR(__xludf.DUMMYFUNCTION("""COMPUTED_VALUE"""),-0.5955938940856)</f>
        <v>-0.59559389408560004</v>
      </c>
      <c r="IX39" s="3">
        <f ca="1">IFERROR(__xludf.DUMMYFUNCTION("""COMPUTED_VALUE"""),-0.587020766476206)</f>
        <v>-0.58702076647620605</v>
      </c>
      <c r="IY39" s="3">
        <f ca="1">IFERROR(__xludf.DUMMYFUNCTION("""COMPUTED_VALUE"""),-0.620336447989251)</f>
        <v>-0.62033644798925103</v>
      </c>
      <c r="IZ39" s="3">
        <f ca="1">IFERROR(__xludf.DUMMYFUNCTION("""COMPUTED_VALUE"""),-0.648421258657716)</f>
        <v>-0.64842125865771605</v>
      </c>
      <c r="JA39" s="3">
        <f ca="1">IFERROR(__xludf.DUMMYFUNCTION("""COMPUTED_VALUE"""),-0.603947780995113)</f>
        <v>-0.60394778099511304</v>
      </c>
      <c r="JB39" s="3">
        <f ca="1">IFERROR(__xludf.DUMMYFUNCTION("""COMPUTED_VALUE"""),-0.65154900810984)</f>
        <v>-0.65154900810983996</v>
      </c>
      <c r="JC39" s="3">
        <f ca="1">IFERROR(__xludf.DUMMYFUNCTION("""COMPUTED_VALUE"""),-0.505490626197831)</f>
        <v>-0.50549062619783103</v>
      </c>
      <c r="JD39" s="3">
        <f ca="1">IFERROR(__xludf.DUMMYFUNCTION("""COMPUTED_VALUE"""),-0.575212283098096)</f>
        <v>-0.57521228309809602</v>
      </c>
      <c r="JE39" s="3">
        <f ca="1">IFERROR(__xludf.DUMMYFUNCTION("""COMPUTED_VALUE"""),-0.566014407562364)</f>
        <v>-0.56601440756236399</v>
      </c>
      <c r="JF39" s="3">
        <f ca="1">IFERROR(__xludf.DUMMYFUNCTION("""COMPUTED_VALUE"""),-0.630053633763826)</f>
        <v>-0.63005363376382595</v>
      </c>
      <c r="JG39" s="3">
        <f ca="1">IFERROR(__xludf.DUMMYFUNCTION("""COMPUTED_VALUE"""),-0.699832014888214)</f>
        <v>-0.699832014888214</v>
      </c>
      <c r="JH39" s="3">
        <f ca="1">IFERROR(__xludf.DUMMYFUNCTION("""COMPUTED_VALUE"""),-0.722517470508286)</f>
        <v>-0.72251747050828596</v>
      </c>
      <c r="JI39" s="3">
        <f ca="1">IFERROR(__xludf.DUMMYFUNCTION("""COMPUTED_VALUE"""),-0.656287793516095)</f>
        <v>-0.65628779351609501</v>
      </c>
      <c r="JJ39" s="3">
        <f ca="1">IFERROR(__xludf.DUMMYFUNCTION("""COMPUTED_VALUE"""),-0.453607474510804)</f>
        <v>-0.45360747451080402</v>
      </c>
      <c r="JK39" s="3">
        <f ca="1">IFERROR(__xludf.DUMMYFUNCTION("""COMPUTED_VALUE"""),-0.573270412390224)</f>
        <v>-0.57327041239022403</v>
      </c>
      <c r="JL39" s="3">
        <f ca="1">IFERROR(__xludf.DUMMYFUNCTION("""COMPUTED_VALUE"""),-0.679727733957162)</f>
        <v>-0.67972773395716202</v>
      </c>
      <c r="JM39" s="3">
        <f ca="1">IFERROR(__xludf.DUMMYFUNCTION("""COMPUTED_VALUE"""),-0.679244623175777)</f>
        <v>-0.67924462317577705</v>
      </c>
      <c r="JN39" s="3">
        <f ca="1">IFERROR(__xludf.DUMMYFUNCTION("""COMPUTED_VALUE"""),-0.703198509289094)</f>
        <v>-0.703198509289094</v>
      </c>
      <c r="JO39" s="3">
        <f ca="1">IFERROR(__xludf.DUMMYFUNCTION("""COMPUTED_VALUE"""),-0.705880915410364)</f>
        <v>-0.70588091541036402</v>
      </c>
      <c r="JP39" s="3">
        <f ca="1">IFERROR(__xludf.DUMMYFUNCTION("""COMPUTED_VALUE"""),-0.671717402697437)</f>
        <v>-0.67171740269743696</v>
      </c>
      <c r="JQ39" s="3">
        <f ca="1">IFERROR(__xludf.DUMMYFUNCTION("""COMPUTED_VALUE"""),-0.621728435385709)</f>
        <v>-0.62172843538570899</v>
      </c>
      <c r="JR39" s="3">
        <f ca="1">IFERROR(__xludf.DUMMYFUNCTION("""COMPUTED_VALUE"""),-0.634781949232359)</f>
        <v>-0.63478194923235898</v>
      </c>
      <c r="JS39" s="3">
        <f ca="1">IFERROR(__xludf.DUMMYFUNCTION("""COMPUTED_VALUE"""),-0.666501246698377)</f>
        <v>-0.66650124669837696</v>
      </c>
      <c r="JT39" s="3">
        <f ca="1">IFERROR(__xludf.DUMMYFUNCTION("""COMPUTED_VALUE"""),-0.560699165578533)</f>
        <v>-0.56069916557853305</v>
      </c>
      <c r="JU39" s="3">
        <f ca="1">IFERROR(__xludf.DUMMYFUNCTION("""COMPUTED_VALUE"""),-0.641628869163443)</f>
        <v>-0.64162886916344297</v>
      </c>
      <c r="JV39" s="3">
        <f ca="1">IFERROR(__xludf.DUMMYFUNCTION("""COMPUTED_VALUE"""),-0.633081067704129)</f>
        <v>-0.63308106770412897</v>
      </c>
      <c r="JW39" s="3">
        <f ca="1">IFERROR(__xludf.DUMMYFUNCTION("""COMPUTED_VALUE"""),-0.620083343096982)</f>
        <v>-0.62008334309698199</v>
      </c>
      <c r="JX39" s="3">
        <f ca="1">IFERROR(__xludf.DUMMYFUNCTION("""COMPUTED_VALUE"""),-0.485112860606313)</f>
        <v>-0.48511286060631298</v>
      </c>
      <c r="JY39" s="3">
        <f ca="1">IFERROR(__xludf.DUMMYFUNCTION("""COMPUTED_VALUE"""),-0.922452231840041)</f>
        <v>-0.92245223184004099</v>
      </c>
      <c r="JZ39" s="3">
        <f ca="1">IFERROR(__xludf.DUMMYFUNCTION("""COMPUTED_VALUE"""),-0.676532853037416)</f>
        <v>-0.67653285303741595</v>
      </c>
      <c r="KA39" s="3">
        <f ca="1">IFERROR(__xludf.DUMMYFUNCTION("""COMPUTED_VALUE"""),-0.487715721956976)</f>
        <v>-0.48771572195697599</v>
      </c>
      <c r="KB39" s="3">
        <f ca="1">IFERROR(__xludf.DUMMYFUNCTION("""COMPUTED_VALUE"""),-0.691522519532899)</f>
        <v>-0.691522519532899</v>
      </c>
      <c r="KC39" s="3">
        <f ca="1">IFERROR(__xludf.DUMMYFUNCTION("""COMPUTED_VALUE"""),-0.681837564970001)</f>
        <v>-0.68183756497000103</v>
      </c>
      <c r="KD39" s="3">
        <f ca="1">IFERROR(__xludf.DUMMYFUNCTION("""COMPUTED_VALUE"""),-0.682797226892348)</f>
        <v>-0.68279722689234801</v>
      </c>
      <c r="KE39" s="3">
        <f ca="1">IFERROR(__xludf.DUMMYFUNCTION("""COMPUTED_VALUE"""),-0.533229613937678)</f>
        <v>-0.53322961393767798</v>
      </c>
      <c r="KF39" s="3">
        <f ca="1">IFERROR(__xludf.DUMMYFUNCTION("""COMPUTED_VALUE"""),-0.556881385107555)</f>
        <v>-0.55688138510755503</v>
      </c>
      <c r="KG39" s="3">
        <f ca="1">IFERROR(__xludf.DUMMYFUNCTION("""COMPUTED_VALUE"""),-0.593036304694446)</f>
        <v>-0.59303630469444601</v>
      </c>
      <c r="KH39" s="3">
        <f ca="1">IFERROR(__xludf.DUMMYFUNCTION("""COMPUTED_VALUE"""),-0.551395860926187)</f>
        <v>-0.55139586092618698</v>
      </c>
      <c r="KI39" s="3">
        <f ca="1">IFERROR(__xludf.DUMMYFUNCTION("""COMPUTED_VALUE"""),-0.7417837068617)</f>
        <v>-0.74178370686170003</v>
      </c>
      <c r="KJ39" s="3">
        <f ca="1">IFERROR(__xludf.DUMMYFUNCTION("""COMPUTED_VALUE"""),-0.75957801886301)</f>
        <v>-0.75957801886301002</v>
      </c>
      <c r="KK39" s="3">
        <f ca="1">IFERROR(__xludf.DUMMYFUNCTION("""COMPUTED_VALUE"""),-0.706781399310305)</f>
        <v>-0.70678139931030504</v>
      </c>
      <c r="KL39" s="3">
        <f ca="1">IFERROR(__xludf.DUMMYFUNCTION("""COMPUTED_VALUE"""),-0.43520255770243)</f>
        <v>-0.43520255770242999</v>
      </c>
      <c r="KM39" s="3">
        <f ca="1">IFERROR(__xludf.DUMMYFUNCTION("""COMPUTED_VALUE"""),-0.673042741032233)</f>
        <v>-0.67304274103223305</v>
      </c>
      <c r="KN39" s="3">
        <f ca="1">IFERROR(__xludf.DUMMYFUNCTION("""COMPUTED_VALUE"""),-0.681280887694462)</f>
        <v>-0.68128088769446205</v>
      </c>
      <c r="KO39" s="3">
        <f ca="1">IFERROR(__xludf.DUMMYFUNCTION("""COMPUTED_VALUE"""),-0.727887603127645)</f>
        <v>-0.727887603127645</v>
      </c>
      <c r="KP39" s="3">
        <f ca="1">IFERROR(__xludf.DUMMYFUNCTION("""COMPUTED_VALUE"""),-0.746079097273911)</f>
        <v>-0.74607909727391097</v>
      </c>
      <c r="KQ39" s="3">
        <f ca="1">IFERROR(__xludf.DUMMYFUNCTION("""COMPUTED_VALUE"""),-0.689991911438381)</f>
        <v>-0.68999191143838101</v>
      </c>
      <c r="KR39" s="3">
        <f ca="1">IFERROR(__xludf.DUMMYFUNCTION("""COMPUTED_VALUE"""),-0.751664687041803)</f>
        <v>-0.751664687041803</v>
      </c>
      <c r="KS39" s="3">
        <f ca="1">IFERROR(__xludf.DUMMYFUNCTION("""COMPUTED_VALUE"""),-0.500129387517132)</f>
        <v>-0.50012938751713198</v>
      </c>
      <c r="KT39" s="3">
        <f ca="1">IFERROR(__xludf.DUMMYFUNCTION("""COMPUTED_VALUE"""),-0.693158501564047)</f>
        <v>-0.69315850156404701</v>
      </c>
      <c r="KU39" s="3">
        <f ca="1">IFERROR(__xludf.DUMMYFUNCTION("""COMPUTED_VALUE"""),-0.771217181588751)</f>
        <v>-0.77121718158875097</v>
      </c>
      <c r="KV39" s="3">
        <f ca="1">IFERROR(__xludf.DUMMYFUNCTION("""COMPUTED_VALUE"""),-0.73885997272931)</f>
        <v>-0.73885997272931003</v>
      </c>
      <c r="KW39" s="3">
        <f ca="1">IFERROR(__xludf.DUMMYFUNCTION("""COMPUTED_VALUE"""),-0.812676053058481)</f>
        <v>-0.81267605305848101</v>
      </c>
      <c r="KX39" s="3">
        <f ca="1">IFERROR(__xludf.DUMMYFUNCTION("""COMPUTED_VALUE"""),-0.780556927889339)</f>
        <v>-0.78055692788933895</v>
      </c>
      <c r="KY39" s="3">
        <f ca="1">IFERROR(__xludf.DUMMYFUNCTION("""COMPUTED_VALUE"""),-0.775209700575894)</f>
        <v>-0.775209700575894</v>
      </c>
      <c r="KZ39" s="3">
        <f ca="1">IFERROR(__xludf.DUMMYFUNCTION("""COMPUTED_VALUE"""),-0.672667951395388)</f>
        <v>-0.67266795139538804</v>
      </c>
      <c r="LA39" s="3">
        <f ca="1">IFERROR(__xludf.DUMMYFUNCTION("""COMPUTED_VALUE"""),-0.735471667201769)</f>
        <v>-0.73547166720176904</v>
      </c>
      <c r="LB39" s="3">
        <f ca="1">IFERROR(__xludf.DUMMYFUNCTION("""COMPUTED_VALUE"""),-0.762135668030208)</f>
        <v>-0.76213566803020805</v>
      </c>
      <c r="LC39" s="3">
        <f ca="1">IFERROR(__xludf.DUMMYFUNCTION("""COMPUTED_VALUE"""),-0.841742146196116)</f>
        <v>-0.84174214619611598</v>
      </c>
      <c r="LD39" s="3">
        <f ca="1">IFERROR(__xludf.DUMMYFUNCTION("""COMPUTED_VALUE"""),-0.828067237125049)</f>
        <v>-0.82806723712504904</v>
      </c>
      <c r="LE39" s="3">
        <f ca="1">IFERROR(__xludf.DUMMYFUNCTION("""COMPUTED_VALUE"""),-0.833296986274061)</f>
        <v>-0.83329698627406101</v>
      </c>
      <c r="LF39" s="3">
        <f ca="1">IFERROR(__xludf.DUMMYFUNCTION("""COMPUTED_VALUE"""),-0.784972081146666)</f>
        <v>-0.78497208114666595</v>
      </c>
      <c r="LG39" s="3">
        <f ca="1">IFERROR(__xludf.DUMMYFUNCTION("""COMPUTED_VALUE"""),-0.582890775268486)</f>
        <v>-0.58289077526848598</v>
      </c>
      <c r="LH39" s="3">
        <f ca="1">IFERROR(__xludf.DUMMYFUNCTION("""COMPUTED_VALUE"""),-0.721358923377309)</f>
        <v>-0.721358923377309</v>
      </c>
      <c r="LI39" s="3">
        <f ca="1">IFERROR(__xludf.DUMMYFUNCTION("""COMPUTED_VALUE"""),-0.780721743973154)</f>
        <v>-0.78072174397315397</v>
      </c>
      <c r="LJ39" s="3">
        <f ca="1">IFERROR(__xludf.DUMMYFUNCTION("""COMPUTED_VALUE"""),-0.871960571682775)</f>
        <v>-0.87196057168277497</v>
      </c>
      <c r="LK39" s="3">
        <f ca="1">IFERROR(__xludf.DUMMYFUNCTION("""COMPUTED_VALUE"""),-0.836397568105269)</f>
        <v>-0.836397568105269</v>
      </c>
      <c r="LL39" s="3">
        <f ca="1">IFERROR(__xludf.DUMMYFUNCTION("""COMPUTED_VALUE"""),-0.852497228849864)</f>
        <v>-0.85249722884986401</v>
      </c>
      <c r="LM39" s="3">
        <f ca="1">IFERROR(__xludf.DUMMYFUNCTION("""COMPUTED_VALUE"""),-0.944619362834542)</f>
        <v>-0.94461936283454195</v>
      </c>
      <c r="LN39" s="3">
        <f ca="1">IFERROR(__xludf.DUMMYFUNCTION("""COMPUTED_VALUE"""),-0.648727183200677)</f>
        <v>-0.64872718320067702</v>
      </c>
      <c r="LO39" s="3">
        <f ca="1">IFERROR(__xludf.DUMMYFUNCTION("""COMPUTED_VALUE"""),-0.881565214225114)</f>
        <v>-0.88156521422511402</v>
      </c>
      <c r="LP39" s="3">
        <f ca="1">IFERROR(__xludf.DUMMYFUNCTION("""COMPUTED_VALUE"""),-0.915617274860831)</f>
        <v>-0.915617274860831</v>
      </c>
      <c r="LQ39" s="3">
        <f ca="1">IFERROR(__xludf.DUMMYFUNCTION("""COMPUTED_VALUE"""),-0.927062372874213)</f>
        <v>-0.927062372874213</v>
      </c>
      <c r="LR39" s="3">
        <f ca="1">IFERROR(__xludf.DUMMYFUNCTION("""COMPUTED_VALUE"""),-0.883545773990103)</f>
        <v>-0.88354577399010303</v>
      </c>
      <c r="LS39" s="3">
        <f ca="1">IFERROR(__xludf.DUMMYFUNCTION("""COMPUTED_VALUE"""),-0.922225981577867)</f>
        <v>-0.92222598157786695</v>
      </c>
      <c r="LT39" s="3">
        <f ca="1">IFERROR(__xludf.DUMMYFUNCTION("""COMPUTED_VALUE"""),-0.868634486772476)</f>
        <v>-0.86863448677247601</v>
      </c>
      <c r="LU39" s="3">
        <f ca="1">IFERROR(__xludf.DUMMYFUNCTION("""COMPUTED_VALUE"""),-0.760069925680578)</f>
        <v>-0.76006992568057796</v>
      </c>
      <c r="LV39" s="3">
        <f ca="1">IFERROR(__xludf.DUMMYFUNCTION("""COMPUTED_VALUE"""),-0.881935702135282)</f>
        <v>-0.88193570213528205</v>
      </c>
      <c r="LW39" s="3">
        <f ca="1">IFERROR(__xludf.DUMMYFUNCTION("""COMPUTED_VALUE"""),-0.904437813131977)</f>
        <v>-0.90443781313197702</v>
      </c>
      <c r="LX39" s="3">
        <f ca="1">IFERROR(__xludf.DUMMYFUNCTION("""COMPUTED_VALUE"""),-0.943330811078507)</f>
        <v>-0.94333081107850703</v>
      </c>
      <c r="LY39" s="3">
        <f ca="1">IFERROR(__xludf.DUMMYFUNCTION("""COMPUTED_VALUE"""),-0.900491847561744)</f>
        <v>-0.90049184756174405</v>
      </c>
      <c r="LZ39" s="3">
        <f ca="1">IFERROR(__xludf.DUMMYFUNCTION("""COMPUTED_VALUE"""),-0.908461979128567)</f>
        <v>-0.90846197912856697</v>
      </c>
      <c r="MA39" s="3">
        <f ca="1">IFERROR(__xludf.DUMMYFUNCTION("""COMPUTED_VALUE"""),-0.9181409771976)</f>
        <v>-0.91814097719760002</v>
      </c>
      <c r="MB39" s="3">
        <f ca="1">IFERROR(__xludf.DUMMYFUNCTION("""COMPUTED_VALUE"""),-0.875387670281011)</f>
        <v>-0.87538767028101105</v>
      </c>
      <c r="MC39" s="3">
        <f ca="1">IFERROR(__xludf.DUMMYFUNCTION("""COMPUTED_VALUE"""),-0.884074035040532)</f>
        <v>-0.88407403504053195</v>
      </c>
      <c r="MD39" s="3">
        <f ca="1">IFERROR(__xludf.DUMMYFUNCTION("""COMPUTED_VALUE"""),-0.883961399915723)</f>
        <v>-0.88396139991572298</v>
      </c>
      <c r="ME39" s="3">
        <f ca="1">IFERROR(__xludf.DUMMYFUNCTION("""COMPUTED_VALUE"""),-0.928970165821391)</f>
        <v>-0.92897016582139103</v>
      </c>
      <c r="MF39" s="3">
        <f ca="1">IFERROR(__xludf.DUMMYFUNCTION("""COMPUTED_VALUE"""),-0.920018274945523)</f>
        <v>-0.92001827494552302</v>
      </c>
      <c r="MG39" s="3">
        <f ca="1">IFERROR(__xludf.DUMMYFUNCTION("""COMPUTED_VALUE"""),-0.929935234071874)</f>
        <v>-0.92993523407187395</v>
      </c>
      <c r="MH39" s="3">
        <f ca="1">IFERROR(__xludf.DUMMYFUNCTION("""COMPUTED_VALUE"""),-0.920673694772738)</f>
        <v>-0.92067369477273797</v>
      </c>
      <c r="MI39" s="3">
        <f ca="1">IFERROR(__xludf.DUMMYFUNCTION("""COMPUTED_VALUE"""),-0.813350027991172)</f>
        <v>-0.81335002799117195</v>
      </c>
      <c r="MJ39" s="3">
        <f ca="1">IFERROR(__xludf.DUMMYFUNCTION("""COMPUTED_VALUE"""),-0.905099232460042)</f>
        <v>-0.90509923246004198</v>
      </c>
      <c r="MK39" s="3">
        <f ca="1">IFERROR(__xludf.DUMMYFUNCTION("""COMPUTED_VALUE"""),-0.924851521006498)</f>
        <v>-0.92485152100649803</v>
      </c>
      <c r="ML39" s="3">
        <f ca="1">IFERROR(__xludf.DUMMYFUNCTION("""COMPUTED_VALUE"""),-0.948344561632754)</f>
        <v>-0.94834456163275405</v>
      </c>
      <c r="MM39" s="3">
        <f ca="1">IFERROR(__xludf.DUMMYFUNCTION("""COMPUTED_VALUE"""),-0.940822689022368)</f>
        <v>-0.94082268902236799</v>
      </c>
      <c r="MN39" s="3">
        <f ca="1">IFERROR(__xludf.DUMMYFUNCTION("""COMPUTED_VALUE"""),-0.934397229281002)</f>
        <v>-0.934397229281002</v>
      </c>
      <c r="MO39" s="3">
        <f ca="1">IFERROR(__xludf.DUMMYFUNCTION("""COMPUTED_VALUE"""),-0.940325379783209)</f>
        <v>-0.94032537978320896</v>
      </c>
      <c r="MP39" s="3">
        <f ca="1">IFERROR(__xludf.DUMMYFUNCTION("""COMPUTED_VALUE"""),-0.894245670635117)</f>
        <v>-0.89424567063511695</v>
      </c>
      <c r="MQ39" s="3">
        <f ca="1">IFERROR(__xludf.DUMMYFUNCTION("""COMPUTED_VALUE"""),-0.946909318857364)</f>
        <v>-0.94690931885736396</v>
      </c>
      <c r="MR39" s="3">
        <f ca="1">IFERROR(__xludf.DUMMYFUNCTION("""COMPUTED_VALUE"""),-0.955390168590195)</f>
        <v>-0.95539016859019499</v>
      </c>
      <c r="MS39" s="3">
        <f ca="1">IFERROR(__xludf.DUMMYFUNCTION("""COMPUTED_VALUE"""),-0.964666815303168)</f>
        <v>-0.964666815303168</v>
      </c>
      <c r="MT39" s="3">
        <f ca="1">IFERROR(__xludf.DUMMYFUNCTION("""COMPUTED_VALUE"""),-0.963456796914745)</f>
        <v>-0.96345679691474495</v>
      </c>
      <c r="MU39" s="3">
        <f ca="1">IFERROR(__xludf.DUMMYFUNCTION("""COMPUTED_VALUE"""),-0.963130005388811)</f>
        <v>-0.96313000538881099</v>
      </c>
      <c r="MV39" s="3">
        <f ca="1">IFERROR(__xludf.DUMMYFUNCTION("""COMPUTED_VALUE"""),-0.960004444042418)</f>
        <v>-0.96000444404241803</v>
      </c>
      <c r="MW39" s="3">
        <f ca="1">IFERROR(__xludf.DUMMYFUNCTION("""COMPUTED_VALUE"""),-0.921957888436905)</f>
        <v>-0.92195788843690496</v>
      </c>
      <c r="MX39" s="3">
        <f ca="1">IFERROR(__xludf.DUMMYFUNCTION("""COMPUTED_VALUE"""),-0.944938861967328)</f>
        <v>-0.94493886196732801</v>
      </c>
      <c r="MY39" s="3">
        <f ca="1">IFERROR(__xludf.DUMMYFUNCTION("""COMPUTED_VALUE"""),-0.963752193191895)</f>
        <v>-0.96375219319189498</v>
      </c>
      <c r="MZ39" s="3">
        <f ca="1">IFERROR(__xludf.DUMMYFUNCTION("""COMPUTED_VALUE"""),-0.95293549234925)</f>
        <v>-0.95293549234925001</v>
      </c>
      <c r="NA39" s="3">
        <f ca="1">IFERROR(__xludf.DUMMYFUNCTION("""COMPUTED_VALUE"""),-0.953360899650926)</f>
        <v>-0.95336089965092596</v>
      </c>
      <c r="NB39" s="3">
        <f ca="1">IFERROR(__xludf.DUMMYFUNCTION("""COMPUTED_VALUE"""),-0.941469872725177)</f>
        <v>-0.94146987272517701</v>
      </c>
      <c r="NC39" s="3">
        <f ca="1">IFERROR(__xludf.DUMMYFUNCTION("""COMPUTED_VALUE"""),-0.965511806986432)</f>
        <v>-0.96551180698643202</v>
      </c>
      <c r="ND39" s="3">
        <f ca="1">IFERROR(__xludf.DUMMYFUNCTION("""COMPUTED_VALUE"""),-0.92805463909753)</f>
        <v>-0.92805463909753005</v>
      </c>
      <c r="NE39" s="3">
        <f ca="1">IFERROR(__xludf.DUMMYFUNCTION("""COMPUTED_VALUE"""),-0.949121019657013)</f>
        <v>-0.94912101965701301</v>
      </c>
      <c r="NF39" s="3">
        <f ca="1">IFERROR(__xludf.DUMMYFUNCTION("""COMPUTED_VALUE"""),-0.936398046859128)</f>
        <v>-0.93639804685912797</v>
      </c>
      <c r="NG39" s="3">
        <f ca="1">IFERROR(__xludf.DUMMYFUNCTION("""COMPUTED_VALUE"""),-0.949968480991062)</f>
        <v>-0.94996848099106201</v>
      </c>
      <c r="NH39" s="3">
        <f ca="1">IFERROR(__xludf.DUMMYFUNCTION("""COMPUTED_VALUE"""),-0.950408761153175)</f>
        <v>-0.95040876115317496</v>
      </c>
      <c r="NI39" s="3">
        <f ca="1">IFERROR(__xludf.DUMMYFUNCTION("""COMPUTED_VALUE"""),-0.950440653885028)</f>
        <v>-0.95044065388502796</v>
      </c>
      <c r="NJ39" s="3">
        <f ca="1">IFERROR(__xludf.DUMMYFUNCTION("""COMPUTED_VALUE"""),-0.941319341043714)</f>
        <v>-0.94131934104371395</v>
      </c>
      <c r="NK39" s="3">
        <f ca="1">IFERROR(__xludf.DUMMYFUNCTION("""COMPUTED_VALUE"""),-0.911573095272963)</f>
        <v>-0.91157309527296304</v>
      </c>
      <c r="NL39" s="3">
        <f ca="1">IFERROR(__xludf.DUMMYFUNCTION("""COMPUTED_VALUE"""),-0.94227887965841)</f>
        <v>-0.94227887965840995</v>
      </c>
      <c r="NM39" s="3">
        <f ca="1">IFERROR(__xludf.DUMMYFUNCTION("""COMPUTED_VALUE"""),-0.885998758056822)</f>
        <v>-0.88599875805682204</v>
      </c>
      <c r="NN39" s="3">
        <f ca="1">IFERROR(__xludf.DUMMYFUNCTION("""COMPUTED_VALUE"""),-0.9272199188416)</f>
        <v>-0.92721991884160004</v>
      </c>
      <c r="NO39" s="3">
        <f ca="1">IFERROR(__xludf.DUMMYFUNCTION("""COMPUTED_VALUE"""),-0.932895977088338)</f>
        <v>-0.93289597708833805</v>
      </c>
      <c r="NP39" s="3">
        <f ca="1">IFERROR(__xludf.DUMMYFUNCTION("""COMPUTED_VALUE"""),-0.929990552848334)</f>
        <v>-0.92999055284833398</v>
      </c>
      <c r="NQ39" s="3">
        <f ca="1">IFERROR(__xludf.DUMMYFUNCTION("""COMPUTED_VALUE"""),-0.912676716180156)</f>
        <v>-0.912676716180156</v>
      </c>
      <c r="NR39" s="3">
        <f ca="1">IFERROR(__xludf.DUMMYFUNCTION("""COMPUTED_VALUE"""),-0.866023734544727)</f>
        <v>-0.86602373454472703</v>
      </c>
      <c r="NS39" s="3">
        <f ca="1">IFERROR(__xludf.DUMMYFUNCTION("""COMPUTED_VALUE"""),-0.902184797535984)</f>
        <v>-0.90218479753598402</v>
      </c>
      <c r="NT39" s="3">
        <f ca="1">IFERROR(__xludf.DUMMYFUNCTION("""COMPUTED_VALUE"""),-0.870490824256896)</f>
        <v>-0.87049082425689595</v>
      </c>
      <c r="NU39" s="3">
        <f ca="1">IFERROR(__xludf.DUMMYFUNCTION("""COMPUTED_VALUE"""),-0.866675503922442)</f>
        <v>-0.86667550392244197</v>
      </c>
      <c r="NV39" s="3">
        <f ca="1">IFERROR(__xludf.DUMMYFUNCTION("""COMPUTED_VALUE"""),-0.879847645256755)</f>
        <v>-0.87984764525675496</v>
      </c>
      <c r="NW39" s="3">
        <f ca="1">IFERROR(__xludf.DUMMYFUNCTION("""COMPUTED_VALUE"""),-0.801330612894037)</f>
        <v>-0.80133061289403695</v>
      </c>
      <c r="NX39" s="3">
        <f ca="1">IFERROR(__xludf.DUMMYFUNCTION("""COMPUTED_VALUE"""),-0.732824167790389)</f>
        <v>-0.73282416779038895</v>
      </c>
      <c r="NY39" s="3">
        <f ca="1">IFERROR(__xludf.DUMMYFUNCTION("""COMPUTED_VALUE"""),-0.783741123459234)</f>
        <v>-0.78374112345923397</v>
      </c>
      <c r="NZ39" s="3">
        <f ca="1">IFERROR(__xludf.DUMMYFUNCTION("""COMPUTED_VALUE"""),-0.758748971849914)</f>
        <v>-0.75874897184991397</v>
      </c>
      <c r="OA39" s="3">
        <f ca="1">IFERROR(__xludf.DUMMYFUNCTION("""COMPUTED_VALUE"""),-0.726618257686444)</f>
        <v>-0.72661825768644395</v>
      </c>
      <c r="OB39" s="3">
        <f ca="1">IFERROR(__xludf.DUMMYFUNCTION("""COMPUTED_VALUE"""),-0.725134767486844)</f>
        <v>-0.72513476748684402</v>
      </c>
      <c r="OC39" s="3">
        <f ca="1">IFERROR(__xludf.DUMMYFUNCTION("""COMPUTED_VALUE"""),-0.739691625416957)</f>
        <v>-0.73969162541695699</v>
      </c>
      <c r="OD39" s="3">
        <f ca="1">IFERROR(__xludf.DUMMYFUNCTION("""COMPUTED_VALUE"""),-0.656586257790403)</f>
        <v>-0.65658625779040303</v>
      </c>
      <c r="OE39" s="3">
        <f ca="1">IFERROR(__xludf.DUMMYFUNCTION("""COMPUTED_VALUE"""),-0.62380500285687)</f>
        <v>-0.62380500285687002</v>
      </c>
      <c r="OF39" s="3">
        <f ca="1">IFERROR(__xludf.DUMMYFUNCTION("""COMPUTED_VALUE"""),-0.538566123603978)</f>
        <v>-0.53856612360397804</v>
      </c>
      <c r="OG39" s="3">
        <f ca="1">IFERROR(__xludf.DUMMYFUNCTION("""COMPUTED_VALUE"""),-0.434063473940577)</f>
        <v>-0.43406347394057698</v>
      </c>
      <c r="OH39" s="3">
        <f ca="1">IFERROR(__xludf.DUMMYFUNCTION("""COMPUTED_VALUE"""),-0.471586882515252)</f>
        <v>-0.47158688251525199</v>
      </c>
      <c r="OI39" s="3">
        <f ca="1">IFERROR(__xludf.DUMMYFUNCTION("""COMPUTED_VALUE"""),-0.215200975904493)</f>
        <v>-0.215200975904493</v>
      </c>
      <c r="OJ39" s="3">
        <f ca="1">IFERROR(__xludf.DUMMYFUNCTION("""COMPUTED_VALUE"""),-0.101110264649548)</f>
        <v>-0.101110264649548</v>
      </c>
      <c r="OK39" s="3">
        <f ca="1">IFERROR(__xludf.DUMMYFUNCTION("""COMPUTED_VALUE"""),-0.0287262243038829)</f>
        <v>-2.87262243038829E-2</v>
      </c>
      <c r="OL39" s="3">
        <f ca="1">IFERROR(__xludf.DUMMYFUNCTION("""COMPUTED_VALUE"""),0.0434384376519463)</f>
        <v>4.3438437651946299E-2</v>
      </c>
      <c r="OM39" s="3">
        <f ca="1">IFERROR(__xludf.DUMMYFUNCTION("""COMPUTED_VALUE"""),-0.22099545674221)</f>
        <v>-0.22099545674220999</v>
      </c>
      <c r="ON39" s="3">
        <f ca="1">IFERROR(__xludf.DUMMYFUNCTION("""COMPUTED_VALUE"""),-0.126216706969712)</f>
        <v>-0.12621670696971199</v>
      </c>
      <c r="OO39" s="3">
        <f ca="1">IFERROR(__xludf.DUMMYFUNCTION("""COMPUTED_VALUE"""),-0.39680538397198)</f>
        <v>-0.39680538397198001</v>
      </c>
      <c r="OP39" s="3">
        <f ca="1">IFERROR(__xludf.DUMMYFUNCTION("""COMPUTED_VALUE"""),-0.193903529694771)</f>
        <v>-0.19390352969477101</v>
      </c>
      <c r="OQ39" s="3">
        <f ca="1">IFERROR(__xludf.DUMMYFUNCTION("""COMPUTED_VALUE"""),-0.231114186502993)</f>
        <v>-0.23111418650299301</v>
      </c>
      <c r="OR39" s="3">
        <f ca="1">IFERROR(__xludf.DUMMYFUNCTION("""COMPUTED_VALUE"""),-0.334173963573676)</f>
        <v>-0.33417396357367601</v>
      </c>
      <c r="OS39" s="3">
        <f ca="1">IFERROR(__xludf.DUMMYFUNCTION("""COMPUTED_VALUE"""),-0.213357477891219)</f>
        <v>-0.21335747789121901</v>
      </c>
      <c r="OT39" s="3">
        <f ca="1">IFERROR(__xludf.DUMMYFUNCTION("""COMPUTED_VALUE"""),-0.274179615185164)</f>
        <v>-0.27417961518516398</v>
      </c>
      <c r="OU39" s="3">
        <f ca="1">IFERROR(__xludf.DUMMYFUNCTION("""COMPUTED_VALUE"""),-0.0818171289530909)</f>
        <v>-8.1817128953090901E-2</v>
      </c>
      <c r="OV39" s="3">
        <f ca="1">IFERROR(__xludf.DUMMYFUNCTION("""COMPUTED_VALUE"""),-0.111520611737203)</f>
        <v>-0.111520611737203</v>
      </c>
      <c r="OW39" s="3">
        <f ca="1">IFERROR(__xludf.DUMMYFUNCTION("""COMPUTED_VALUE"""),0.0827912009321767)</f>
        <v>8.2791200932176706E-2</v>
      </c>
      <c r="OX39" s="3">
        <f ca="1">IFERROR(__xludf.DUMMYFUNCTION("""COMPUTED_VALUE"""),0.0823416968404282)</f>
        <v>8.2341696840428205E-2</v>
      </c>
      <c r="OY39" s="3">
        <f ca="1">IFERROR(__xludf.DUMMYFUNCTION("""COMPUTED_VALUE"""),0.0946618662483258)</f>
        <v>9.4661866248325802E-2</v>
      </c>
      <c r="OZ39" s="3">
        <f ca="1">IFERROR(__xludf.DUMMYFUNCTION("""COMPUTED_VALUE"""),0.187926798429732)</f>
        <v>0.18792679842973201</v>
      </c>
      <c r="PA39" s="3">
        <f ca="1">IFERROR(__xludf.DUMMYFUNCTION("""COMPUTED_VALUE"""),0.316450927497288)</f>
        <v>0.31645092749728798</v>
      </c>
      <c r="PB39" s="3">
        <f ca="1">IFERROR(__xludf.DUMMYFUNCTION("""COMPUTED_VALUE"""),0.314763078903072)</f>
        <v>0.31476307890307198</v>
      </c>
      <c r="PC39" s="3">
        <f ca="1">IFERROR(__xludf.DUMMYFUNCTION("""COMPUTED_VALUE"""),0.0585805019103786)</f>
        <v>5.8580501910378599E-2</v>
      </c>
      <c r="PD39" s="3">
        <f ca="1">IFERROR(__xludf.DUMMYFUNCTION("""COMPUTED_VALUE"""),0.0480873171695623)</f>
        <v>4.8087317169562299E-2</v>
      </c>
      <c r="PE39" s="3">
        <f ca="1">IFERROR(__xludf.DUMMYFUNCTION("""COMPUTED_VALUE"""),-0.00266191774749302)</f>
        <v>-2.6619177474930199E-3</v>
      </c>
      <c r="PF39" s="3">
        <f ca="1">IFERROR(__xludf.DUMMYFUNCTION("""COMPUTED_VALUE"""),-0.0486921807272203)</f>
        <v>-4.8692180727220299E-2</v>
      </c>
      <c r="PG39" s="3">
        <f ca="1">IFERROR(__xludf.DUMMYFUNCTION("""COMPUTED_VALUE"""),0.034631634656528)</f>
        <v>3.4631634656528E-2</v>
      </c>
      <c r="PH39" s="3">
        <f ca="1">IFERROR(__xludf.DUMMYFUNCTION("""COMPUTED_VALUE"""),-0.0398830591391438)</f>
        <v>-3.9883059139143799E-2</v>
      </c>
      <c r="PI39" s="3">
        <f ca="1">IFERROR(__xludf.DUMMYFUNCTION("""COMPUTED_VALUE"""),-0.0369929810205295)</f>
        <v>-3.6992981020529503E-2</v>
      </c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</row>
    <row r="40" spans="1:477" ht="15.75" customHeight="1">
      <c r="A40" s="1" t="str">
        <f ca="1">IFERROR(__xludf.DUMMYFUNCTION("""COMPUTED_VALUE"""),"Halifax Transit")</f>
        <v>Halifax Transit</v>
      </c>
      <c r="B40" s="1" t="str">
        <f ca="1">IFERROR(__xludf.DUMMYFUNCTION("""COMPUTED_VALUE"""),"Halifax")</f>
        <v>Halifax</v>
      </c>
      <c r="C40" s="1" t="str">
        <f ca="1">IFERROR(__xludf.DUMMYFUNCTION("""COMPUTED_VALUE"""),"Canada")</f>
        <v>Canada</v>
      </c>
      <c r="D40" s="1" t="str">
        <f ca="1">IFERROR(__xludf.DUMMYFUNCTION("""COMPUTED_VALUE"""),"Nova Scotia")</f>
        <v>Nova Scotia</v>
      </c>
      <c r="E40" s="3">
        <f ca="1">IFERROR(__xludf.DUMMYFUNCTION("""COMPUTED_VALUE"""),-0.441923174439625)</f>
        <v>-0.44192317443962498</v>
      </c>
      <c r="F40" s="3">
        <f ca="1">IFERROR(__xludf.DUMMYFUNCTION("""COMPUTED_VALUE"""),-0.448207799870215)</f>
        <v>-0.44820779987021497</v>
      </c>
      <c r="G40" s="3">
        <f ca="1">IFERROR(__xludf.DUMMYFUNCTION("""COMPUTED_VALUE"""),-0.524778078437155)</f>
        <v>-0.52477807843715496</v>
      </c>
      <c r="H40" s="3">
        <f ca="1">IFERROR(__xludf.DUMMYFUNCTION("""COMPUTED_VALUE"""),-0.51243454632785)</f>
        <v>-0.51243454632785002</v>
      </c>
      <c r="I40" s="3">
        <f ca="1">IFERROR(__xludf.DUMMYFUNCTION("""COMPUTED_VALUE"""),-0.53751132002557)</f>
        <v>-0.53751132002557001</v>
      </c>
      <c r="J40" s="3">
        <f ca="1">IFERROR(__xludf.DUMMYFUNCTION("""COMPUTED_VALUE"""),-0.615962284167283)</f>
        <v>-0.61596228416728305</v>
      </c>
      <c r="K40" s="3">
        <f ca="1">IFERROR(__xludf.DUMMYFUNCTION("""COMPUTED_VALUE"""),-0.680934397166931)</f>
        <v>-0.68093439716693105</v>
      </c>
      <c r="L40" s="3">
        <f ca="1">IFERROR(__xludf.DUMMYFUNCTION("""COMPUTED_VALUE"""),-0.488531613360205)</f>
        <v>-0.48853161336020501</v>
      </c>
      <c r="M40" s="3">
        <f ca="1">IFERROR(__xludf.DUMMYFUNCTION("""COMPUTED_VALUE"""),-0.743079852686301)</f>
        <v>-0.74307985268630095</v>
      </c>
      <c r="N40" s="3">
        <f ca="1">IFERROR(__xludf.DUMMYFUNCTION("""COMPUTED_VALUE"""),-0.561384374966985)</f>
        <v>-0.56138437496698501</v>
      </c>
      <c r="O40" s="3">
        <f ca="1">IFERROR(__xludf.DUMMYFUNCTION("""COMPUTED_VALUE"""),-0.509652391550918)</f>
        <v>-0.50965239155091802</v>
      </c>
      <c r="P40" s="3">
        <f ca="1">IFERROR(__xludf.DUMMYFUNCTION("""COMPUTED_VALUE"""),-0.51000683143719)</f>
        <v>-0.51000683143718994</v>
      </c>
      <c r="Q40" s="3">
        <f ca="1">IFERROR(__xludf.DUMMYFUNCTION("""COMPUTED_VALUE"""),-0.565915401792598)</f>
        <v>-0.56591540179259803</v>
      </c>
      <c r="R40" s="3">
        <f ca="1">IFERROR(__xludf.DUMMYFUNCTION("""COMPUTED_VALUE"""),-0.509472385024438)</f>
        <v>-0.50947238502443803</v>
      </c>
      <c r="S40" s="3">
        <f ca="1">IFERROR(__xludf.DUMMYFUNCTION("""COMPUTED_VALUE"""),-0.49581571711836)</f>
        <v>-0.49581571711835998</v>
      </c>
      <c r="T40" s="3">
        <f ca="1">IFERROR(__xludf.DUMMYFUNCTION("""COMPUTED_VALUE"""),-0.544654162417714)</f>
        <v>-0.54465416241771403</v>
      </c>
      <c r="U40" s="3">
        <f ca="1">IFERROR(__xludf.DUMMYFUNCTION("""COMPUTED_VALUE"""),-0.554275991084119)</f>
        <v>-0.55427599108411896</v>
      </c>
      <c r="V40" s="3">
        <f ca="1">IFERROR(__xludf.DUMMYFUNCTION("""COMPUTED_VALUE"""),-0.534036634322699)</f>
        <v>-0.53403663432269899</v>
      </c>
      <c r="W40" s="3">
        <f ca="1">IFERROR(__xludf.DUMMYFUNCTION("""COMPUTED_VALUE"""),-0.556745026637204)</f>
        <v>-0.55674502663720404</v>
      </c>
      <c r="X40" s="3">
        <f ca="1">IFERROR(__xludf.DUMMYFUNCTION("""COMPUTED_VALUE"""),-0.54902176030659)</f>
        <v>-0.54902176030659</v>
      </c>
      <c r="Y40" s="3">
        <f ca="1">IFERROR(__xludf.DUMMYFUNCTION("""COMPUTED_VALUE"""),-0.496899634100347)</f>
        <v>-0.49689963410034699</v>
      </c>
      <c r="Z40" s="3">
        <f ca="1">IFERROR(__xludf.DUMMYFUNCTION("""COMPUTED_VALUE"""),-0.476122050962803)</f>
        <v>-0.47612205096280302</v>
      </c>
      <c r="AA40" s="3">
        <f ca="1">IFERROR(__xludf.DUMMYFUNCTION("""COMPUTED_VALUE"""),-0.594325457623359)</f>
        <v>-0.59432545762335898</v>
      </c>
      <c r="AB40" s="3">
        <f ca="1">IFERROR(__xludf.DUMMYFUNCTION("""COMPUTED_VALUE"""),-0.604917890002702)</f>
        <v>-0.60491789000270202</v>
      </c>
      <c r="AC40" s="3">
        <f ca="1">IFERROR(__xludf.DUMMYFUNCTION("""COMPUTED_VALUE"""),-0.559693072445358)</f>
        <v>-0.55969307244535804</v>
      </c>
      <c r="AD40" s="3">
        <f ca="1">IFERROR(__xludf.DUMMYFUNCTION("""COMPUTED_VALUE"""),-0.583984291819831)</f>
        <v>-0.58398429181983103</v>
      </c>
      <c r="AE40" s="3">
        <f ca="1">IFERROR(__xludf.DUMMYFUNCTION("""COMPUTED_VALUE"""),-0.590531993377633)</f>
        <v>-0.59053199337763296</v>
      </c>
      <c r="AF40" s="3">
        <f ca="1">IFERROR(__xludf.DUMMYFUNCTION("""COMPUTED_VALUE"""),-0.509009642785889)</f>
        <v>-0.509009642785889</v>
      </c>
      <c r="AG40" s="3">
        <f ca="1">IFERROR(__xludf.DUMMYFUNCTION("""COMPUTED_VALUE"""),-0.526729135151615)</f>
        <v>-0.52672913515161501</v>
      </c>
      <c r="AH40" s="3">
        <f ca="1">IFERROR(__xludf.DUMMYFUNCTION("""COMPUTED_VALUE"""),-0.535453602832259)</f>
        <v>-0.53545360283225896</v>
      </c>
      <c r="AI40" s="3">
        <f ca="1">IFERROR(__xludf.DUMMYFUNCTION("""COMPUTED_VALUE"""),-0.593311020049675)</f>
        <v>-0.59331102004967495</v>
      </c>
      <c r="AJ40" s="3">
        <f ca="1">IFERROR(__xludf.DUMMYFUNCTION("""COMPUTED_VALUE"""),-0.577826326076456)</f>
        <v>-0.57782632607645601</v>
      </c>
      <c r="AK40" s="3">
        <f ca="1">IFERROR(__xludf.DUMMYFUNCTION("""COMPUTED_VALUE"""),-0.61137635478439)</f>
        <v>-0.61137635478439001</v>
      </c>
      <c r="AL40" s="3">
        <f ca="1">IFERROR(__xludf.DUMMYFUNCTION("""COMPUTED_VALUE"""),-0.535056141541292)</f>
        <v>-0.535056141541292</v>
      </c>
      <c r="AM40" s="3">
        <f ca="1">IFERROR(__xludf.DUMMYFUNCTION("""COMPUTED_VALUE"""),-0.499037908229159)</f>
        <v>-0.499037908229159</v>
      </c>
      <c r="AN40" s="3">
        <f ca="1">IFERROR(__xludf.DUMMYFUNCTION("""COMPUTED_VALUE"""),-0.55051670620957)</f>
        <v>-0.55051670620957005</v>
      </c>
      <c r="AO40" s="3">
        <f ca="1">IFERROR(__xludf.DUMMYFUNCTION("""COMPUTED_VALUE"""),-0.58362290019665)</f>
        <v>-0.58362290019664997</v>
      </c>
      <c r="AP40" s="3">
        <f ca="1">IFERROR(__xludf.DUMMYFUNCTION("""COMPUTED_VALUE"""),-0.598103257421352)</f>
        <v>-0.59810325742135195</v>
      </c>
      <c r="AQ40" s="3">
        <f ca="1">IFERROR(__xludf.DUMMYFUNCTION("""COMPUTED_VALUE"""),-0.59633577656206)</f>
        <v>-0.59633577656206005</v>
      </c>
      <c r="AR40" s="3">
        <f ca="1">IFERROR(__xludf.DUMMYFUNCTION("""COMPUTED_VALUE"""),-0.628602270858714)</f>
        <v>-0.62860227085871401</v>
      </c>
      <c r="AS40" s="3">
        <f ca="1">IFERROR(__xludf.DUMMYFUNCTION("""COMPUTED_VALUE"""),-0.581902662937453)</f>
        <v>-0.58190266293745296</v>
      </c>
      <c r="AT40" s="3">
        <f ca="1">IFERROR(__xludf.DUMMYFUNCTION("""COMPUTED_VALUE"""),-0.46875486129911)</f>
        <v>-0.46875486129910998</v>
      </c>
      <c r="AU40" s="3">
        <f ca="1">IFERROR(__xludf.DUMMYFUNCTION("""COMPUTED_VALUE"""),-0.517620412071779)</f>
        <v>-0.517620412071779</v>
      </c>
      <c r="AV40" s="3">
        <f ca="1">IFERROR(__xludf.DUMMYFUNCTION("""COMPUTED_VALUE"""),-0.572534340420514)</f>
        <v>-0.57253434042051399</v>
      </c>
      <c r="AW40" s="3">
        <f ca="1">IFERROR(__xludf.DUMMYFUNCTION("""COMPUTED_VALUE"""),-0.574814319050854)</f>
        <v>-0.57481431905085401</v>
      </c>
      <c r="AX40" s="3">
        <f ca="1">IFERROR(__xludf.DUMMYFUNCTION("""COMPUTED_VALUE"""),-0.551023678710803)</f>
        <v>-0.55102367871080304</v>
      </c>
      <c r="AY40" s="3">
        <f ca="1">IFERROR(__xludf.DUMMYFUNCTION("""COMPUTED_VALUE"""),-0.604511118537086)</f>
        <v>-0.60451111853708595</v>
      </c>
      <c r="AZ40" s="3">
        <f ca="1">IFERROR(__xludf.DUMMYFUNCTION("""COMPUTED_VALUE"""),-0.466756431071499)</f>
        <v>-0.466756431071499</v>
      </c>
      <c r="BA40" s="3">
        <f ca="1">IFERROR(__xludf.DUMMYFUNCTION("""COMPUTED_VALUE"""),-0.48685257505407)</f>
        <v>-0.48685257505406998</v>
      </c>
      <c r="BB40" s="3">
        <f ca="1">IFERROR(__xludf.DUMMYFUNCTION("""COMPUTED_VALUE"""),-0.539857223495256)</f>
        <v>-0.539857223495256</v>
      </c>
      <c r="BC40" s="3">
        <f ca="1">IFERROR(__xludf.DUMMYFUNCTION("""COMPUTED_VALUE"""),-0.514770142987657)</f>
        <v>-0.514770142987657</v>
      </c>
      <c r="BD40" s="3">
        <f ca="1">IFERROR(__xludf.DUMMYFUNCTION("""COMPUTED_VALUE"""),-0.549590552964093)</f>
        <v>-0.54959055296409298</v>
      </c>
      <c r="BE40" s="3">
        <f ca="1">IFERROR(__xludf.DUMMYFUNCTION("""COMPUTED_VALUE"""),-0.399792897632803)</f>
        <v>-0.39979289763280301</v>
      </c>
      <c r="BF40" s="3">
        <f ca="1">IFERROR(__xludf.DUMMYFUNCTION("""COMPUTED_VALUE"""),-0.6332571165374)</f>
        <v>-0.63325711653740002</v>
      </c>
      <c r="BG40" s="3">
        <f ca="1">IFERROR(__xludf.DUMMYFUNCTION("""COMPUTED_VALUE"""),-0.6845137538505)</f>
        <v>-0.68451375385049995</v>
      </c>
      <c r="BH40" s="3">
        <f ca="1">IFERROR(__xludf.DUMMYFUNCTION("""COMPUTED_VALUE"""),-0.434053061040465)</f>
        <v>-0.43405306104046498</v>
      </c>
      <c r="BI40" s="3">
        <f ca="1">IFERROR(__xludf.DUMMYFUNCTION("""COMPUTED_VALUE"""),-0.454007449986592)</f>
        <v>-0.45400744998659198</v>
      </c>
      <c r="BJ40" s="3">
        <f ca="1">IFERROR(__xludf.DUMMYFUNCTION("""COMPUTED_VALUE"""),-0.518566888497494)</f>
        <v>-0.51856688849749399</v>
      </c>
      <c r="BK40" s="3">
        <f ca="1">IFERROR(__xludf.DUMMYFUNCTION("""COMPUTED_VALUE"""),-0.567114965556999)</f>
        <v>-0.56711496555699903</v>
      </c>
      <c r="BL40" s="3">
        <f ca="1">IFERROR(__xludf.DUMMYFUNCTION("""COMPUTED_VALUE"""),-0.565316725240747)</f>
        <v>-0.56531672524074705</v>
      </c>
      <c r="BM40" s="3">
        <f ca="1">IFERROR(__xludf.DUMMYFUNCTION("""COMPUTED_VALUE"""),-0.562538019468231)</f>
        <v>-0.56253801946823101</v>
      </c>
      <c r="BN40" s="3">
        <f ca="1">IFERROR(__xludf.DUMMYFUNCTION("""COMPUTED_VALUE"""),-0.696689781271431)</f>
        <v>-0.696689781271431</v>
      </c>
      <c r="BO40" s="3">
        <f ca="1">IFERROR(__xludf.DUMMYFUNCTION("""COMPUTED_VALUE"""),-0.576734069331197)</f>
        <v>-0.57673406933119697</v>
      </c>
      <c r="BP40" s="3">
        <f ca="1">IFERROR(__xludf.DUMMYFUNCTION("""COMPUTED_VALUE"""),-0.488450505830659)</f>
        <v>-0.48845050583065902</v>
      </c>
      <c r="BQ40" s="3">
        <f ca="1">IFERROR(__xludf.DUMMYFUNCTION("""COMPUTED_VALUE"""),-0.539766200935039)</f>
        <v>-0.53976620093503902</v>
      </c>
      <c r="BR40" s="3">
        <f ca="1">IFERROR(__xludf.DUMMYFUNCTION("""COMPUTED_VALUE"""),-0.598084322079588)</f>
        <v>-0.59808432207958795</v>
      </c>
      <c r="BS40" s="3">
        <f ca="1">IFERROR(__xludf.DUMMYFUNCTION("""COMPUTED_VALUE"""),-0.586779041716686)</f>
        <v>-0.58677904171668605</v>
      </c>
      <c r="BT40" s="3">
        <f ca="1">IFERROR(__xludf.DUMMYFUNCTION("""COMPUTED_VALUE"""),-0.761324610162916)</f>
        <v>-0.76132461016291597</v>
      </c>
      <c r="BU40" s="3">
        <f ca="1">IFERROR(__xludf.DUMMYFUNCTION("""COMPUTED_VALUE"""),-0.627465652286943)</f>
        <v>-0.62746565228694295</v>
      </c>
      <c r="BV40" s="3">
        <f ca="1">IFERROR(__xludf.DUMMYFUNCTION("""COMPUTED_VALUE"""),-0.497689127020432)</f>
        <v>-0.497689127020432</v>
      </c>
      <c r="BW40" s="3">
        <f ca="1">IFERROR(__xludf.DUMMYFUNCTION("""COMPUTED_VALUE"""),-0.550687997973918)</f>
        <v>-0.55068799797391799</v>
      </c>
      <c r="BX40" s="3">
        <f ca="1">IFERROR(__xludf.DUMMYFUNCTION("""COMPUTED_VALUE"""),-0.58532345524011)</f>
        <v>-0.58532345524010998</v>
      </c>
      <c r="BY40" s="3">
        <f ca="1">IFERROR(__xludf.DUMMYFUNCTION("""COMPUTED_VALUE"""),-0.639798112550552)</f>
        <v>-0.63979811255055197</v>
      </c>
      <c r="BZ40" s="3">
        <f ca="1">IFERROR(__xludf.DUMMYFUNCTION("""COMPUTED_VALUE"""),-0.62535552596441)</f>
        <v>-0.62535552596441002</v>
      </c>
      <c r="CA40" s="3">
        <f ca="1">IFERROR(__xludf.DUMMYFUNCTION("""COMPUTED_VALUE"""),-0.627698502370241)</f>
        <v>-0.62769850237024105</v>
      </c>
      <c r="CB40" s="3">
        <f ca="1">IFERROR(__xludf.DUMMYFUNCTION("""COMPUTED_VALUE"""),-0.630617502936038)</f>
        <v>-0.63061750293603802</v>
      </c>
      <c r="CC40" s="3">
        <f ca="1">IFERROR(__xludf.DUMMYFUNCTION("""COMPUTED_VALUE"""),-0.513504214744535)</f>
        <v>-0.513504214744535</v>
      </c>
      <c r="CD40" s="3">
        <f ca="1">IFERROR(__xludf.DUMMYFUNCTION("""COMPUTED_VALUE"""),-0.541258583551274)</f>
        <v>-0.54125858355127399</v>
      </c>
      <c r="CE40" s="3">
        <f ca="1">IFERROR(__xludf.DUMMYFUNCTION("""COMPUTED_VALUE"""),-0.540583164780655)</f>
        <v>-0.54058316478065505</v>
      </c>
      <c r="CF40" s="3">
        <f ca="1">IFERROR(__xludf.DUMMYFUNCTION("""COMPUTED_VALUE"""),-0.668240911796626)</f>
        <v>-0.66824091179662604</v>
      </c>
      <c r="CG40" s="3">
        <f ca="1">IFERROR(__xludf.DUMMYFUNCTION("""COMPUTED_VALUE"""),-0.657766189213364)</f>
        <v>-0.65776618921336405</v>
      </c>
      <c r="CH40" s="3">
        <f ca="1">IFERROR(__xludf.DUMMYFUNCTION("""COMPUTED_VALUE"""),-0.655177593851942)</f>
        <v>-0.65517759385194196</v>
      </c>
      <c r="CI40" s="3">
        <f ca="1">IFERROR(__xludf.DUMMYFUNCTION("""COMPUTED_VALUE"""),-0.666850216226145)</f>
        <v>-0.66685021622614504</v>
      </c>
      <c r="CJ40" s="3">
        <f ca="1">IFERROR(__xludf.DUMMYFUNCTION("""COMPUTED_VALUE"""),-0.500546466793916)</f>
        <v>-0.50054646679391601</v>
      </c>
      <c r="CK40" s="3">
        <f ca="1">IFERROR(__xludf.DUMMYFUNCTION("""COMPUTED_VALUE"""),-0.58877037885547)</f>
        <v>-0.58877037885547001</v>
      </c>
      <c r="CL40" s="3">
        <f ca="1">IFERROR(__xludf.DUMMYFUNCTION("""COMPUTED_VALUE"""),-0.646988022395336)</f>
        <v>-0.64698802239533604</v>
      </c>
      <c r="CM40" s="3">
        <f ca="1">IFERROR(__xludf.DUMMYFUNCTION("""COMPUTED_VALUE"""),-0.672712532455522)</f>
        <v>-0.67271253245552198</v>
      </c>
      <c r="CN40" s="3">
        <f ca="1">IFERROR(__xludf.DUMMYFUNCTION("""COMPUTED_VALUE"""),-0.590171282536476)</f>
        <v>-0.59017128253647599</v>
      </c>
      <c r="CO40" s="3">
        <f ca="1">IFERROR(__xludf.DUMMYFUNCTION("""COMPUTED_VALUE"""),-0.66017780679192)</f>
        <v>-0.66017780679191995</v>
      </c>
      <c r="CP40" s="3">
        <f ca="1">IFERROR(__xludf.DUMMYFUNCTION("""COMPUTED_VALUE"""),-0.651264451169078)</f>
        <v>-0.65126445116907805</v>
      </c>
      <c r="CQ40" s="3">
        <f ca="1">IFERROR(__xludf.DUMMYFUNCTION("""COMPUTED_VALUE"""),-0.507719422689127)</f>
        <v>-0.50771942268912695</v>
      </c>
      <c r="CR40" s="3">
        <f ca="1">IFERROR(__xludf.DUMMYFUNCTION("""COMPUTED_VALUE"""),-0.572362178747514)</f>
        <v>-0.57236217874751405</v>
      </c>
      <c r="CS40" s="3">
        <f ca="1">IFERROR(__xludf.DUMMYFUNCTION("""COMPUTED_VALUE"""),-0.646893871542493)</f>
        <v>-0.646893871542493</v>
      </c>
      <c r="CT40" s="3">
        <f ca="1">IFERROR(__xludf.DUMMYFUNCTION("""COMPUTED_VALUE"""),-0.669470520232659)</f>
        <v>-0.66947052023265896</v>
      </c>
      <c r="CU40" s="3">
        <f ca="1">IFERROR(__xludf.DUMMYFUNCTION("""COMPUTED_VALUE"""),-0.475698334711362)</f>
        <v>-0.47569833471136203</v>
      </c>
      <c r="CV40" s="3">
        <f ca="1">IFERROR(__xludf.DUMMYFUNCTION("""COMPUTED_VALUE"""),-0.632197146791543)</f>
        <v>-0.63219714679154304</v>
      </c>
      <c r="CW40" s="3">
        <f ca="1">IFERROR(__xludf.DUMMYFUNCTION("""COMPUTED_VALUE"""),-0.629676968674994)</f>
        <v>-0.62967696867499401</v>
      </c>
      <c r="CX40" s="3">
        <f ca="1">IFERROR(__xludf.DUMMYFUNCTION("""COMPUTED_VALUE"""),-0.521380954812575)</f>
        <v>-0.52138095481257496</v>
      </c>
      <c r="CY40" s="3">
        <f ca="1">IFERROR(__xludf.DUMMYFUNCTION("""COMPUTED_VALUE"""),-0.628099222888468)</f>
        <v>-0.62809922288846798</v>
      </c>
      <c r="CZ40" s="3">
        <f ca="1">IFERROR(__xludf.DUMMYFUNCTION("""COMPUTED_VALUE"""),-0.811231933242218)</f>
        <v>-0.81123193324221798</v>
      </c>
      <c r="DA40" s="3">
        <f ca="1">IFERROR(__xludf.DUMMYFUNCTION("""COMPUTED_VALUE"""),-0.585585326978147)</f>
        <v>-0.58558532697814702</v>
      </c>
      <c r="DB40" s="3">
        <f ca="1">IFERROR(__xludf.DUMMYFUNCTION("""COMPUTED_VALUE"""),-0.108185590757438)</f>
        <v>-0.108185590757438</v>
      </c>
      <c r="DC40" s="3">
        <f ca="1">IFERROR(__xludf.DUMMYFUNCTION("""COMPUTED_VALUE"""),-0.553030567098261)</f>
        <v>-0.55303056709826104</v>
      </c>
      <c r="DD40" s="3">
        <f ca="1">IFERROR(__xludf.DUMMYFUNCTION("""COMPUTED_VALUE"""),-0.638020876672797)</f>
        <v>-0.63802087667279705</v>
      </c>
      <c r="DE40" s="3">
        <f ca="1">IFERROR(__xludf.DUMMYFUNCTION("""COMPUTED_VALUE"""),-0.409850285095582)</f>
        <v>-0.40985028509558202</v>
      </c>
      <c r="DF40" s="3">
        <f ca="1">IFERROR(__xludf.DUMMYFUNCTION("""COMPUTED_VALUE"""),-0.752240565266851)</f>
        <v>-0.75224056526685101</v>
      </c>
      <c r="DG40" s="3">
        <f ca="1">IFERROR(__xludf.DUMMYFUNCTION("""COMPUTED_VALUE"""),-0.844373537461879)</f>
        <v>-0.84437353746187904</v>
      </c>
      <c r="DH40" s="3">
        <f ca="1">IFERROR(__xludf.DUMMYFUNCTION("""COMPUTED_VALUE"""),-0.573695179513126)</f>
        <v>-0.57369517951312599</v>
      </c>
      <c r="DI40" s="3">
        <f ca="1">IFERROR(__xludf.DUMMYFUNCTION("""COMPUTED_VALUE"""),-0.252844305645222)</f>
        <v>-0.25284430564522198</v>
      </c>
      <c r="DJ40" s="3">
        <f ca="1">IFERROR(__xludf.DUMMYFUNCTION("""COMPUTED_VALUE"""),-0.47072420360182)</f>
        <v>-0.47072420360181999</v>
      </c>
      <c r="DK40" s="3">
        <f ca="1">IFERROR(__xludf.DUMMYFUNCTION("""COMPUTED_VALUE"""),-0.545345778296517)</f>
        <v>-0.54534577829651698</v>
      </c>
      <c r="DL40" s="3">
        <f ca="1">IFERROR(__xludf.DUMMYFUNCTION("""COMPUTED_VALUE"""),-0.537128544872671)</f>
        <v>-0.53712854487267103</v>
      </c>
      <c r="DM40" s="3">
        <f ca="1">IFERROR(__xludf.DUMMYFUNCTION("""COMPUTED_VALUE"""),-0.528672811893058)</f>
        <v>-0.52867281189305804</v>
      </c>
      <c r="DN40" s="3">
        <f ca="1">IFERROR(__xludf.DUMMYFUNCTION("""COMPUTED_VALUE"""),-0.578945722369313)</f>
        <v>-0.57894572236931297</v>
      </c>
      <c r="DO40" s="3">
        <f ca="1">IFERROR(__xludf.DUMMYFUNCTION("""COMPUTED_VALUE"""),-0.553470634495375)</f>
        <v>-0.55347063449537504</v>
      </c>
      <c r="DP40" s="3">
        <f ca="1">IFERROR(__xludf.DUMMYFUNCTION("""COMPUTED_VALUE"""),-0.525339617445837)</f>
        <v>-0.52533961744583701</v>
      </c>
      <c r="DQ40" s="3">
        <f ca="1">IFERROR(__xludf.DUMMYFUNCTION("""COMPUTED_VALUE"""),-0.56914722944045)</f>
        <v>-0.56914722944045004</v>
      </c>
      <c r="DR40" s="3">
        <f ca="1">IFERROR(__xludf.DUMMYFUNCTION("""COMPUTED_VALUE"""),-0.615670132122144)</f>
        <v>-0.61567013212214405</v>
      </c>
      <c r="DS40" s="3">
        <f ca="1">IFERROR(__xludf.DUMMYFUNCTION("""COMPUTED_VALUE"""),-0.636436622742501)</f>
        <v>-0.63643662274250101</v>
      </c>
      <c r="DT40" s="3">
        <f ca="1">IFERROR(__xludf.DUMMYFUNCTION("""COMPUTED_VALUE"""),-0.608325982687097)</f>
        <v>-0.60832598268709703</v>
      </c>
      <c r="DU40" s="3">
        <f ca="1">IFERROR(__xludf.DUMMYFUNCTION("""COMPUTED_VALUE"""),-0.65468223412627)</f>
        <v>-0.65468223412627002</v>
      </c>
      <c r="DV40" s="3">
        <f ca="1">IFERROR(__xludf.DUMMYFUNCTION("""COMPUTED_VALUE"""),-0.64482593815994)</f>
        <v>-0.64482593815994005</v>
      </c>
      <c r="DW40" s="3">
        <f ca="1">IFERROR(__xludf.DUMMYFUNCTION("""COMPUTED_VALUE"""),-0.67483051113438)</f>
        <v>-0.67483051113437997</v>
      </c>
      <c r="DX40" s="3">
        <f ca="1">IFERROR(__xludf.DUMMYFUNCTION("""COMPUTED_VALUE"""),-0.66520898136348)</f>
        <v>-0.66520898136347995</v>
      </c>
      <c r="DY40" s="3">
        <f ca="1">IFERROR(__xludf.DUMMYFUNCTION("""COMPUTED_VALUE"""),-0.668004862303138)</f>
        <v>-0.66800486230313805</v>
      </c>
      <c r="DZ40" s="3">
        <f ca="1">IFERROR(__xludf.DUMMYFUNCTION("""COMPUTED_VALUE"""),-0.653430611295787)</f>
        <v>-0.65343061129578695</v>
      </c>
      <c r="EA40" s="3">
        <f ca="1">IFERROR(__xludf.DUMMYFUNCTION("""COMPUTED_VALUE"""),-0.694018940762853)</f>
        <v>-0.69401894076285298</v>
      </c>
      <c r="EB40" s="3">
        <f ca="1">IFERROR(__xludf.DUMMYFUNCTION("""COMPUTED_VALUE"""),-0.699074829009965)</f>
        <v>-0.69907482900996498</v>
      </c>
      <c r="EC40" s="3">
        <f ca="1">IFERROR(__xludf.DUMMYFUNCTION("""COMPUTED_VALUE"""),-0.741612749002044)</f>
        <v>-0.74161274900204399</v>
      </c>
      <c r="ED40" s="3">
        <f ca="1">IFERROR(__xludf.DUMMYFUNCTION("""COMPUTED_VALUE"""),-0.70610331943304)</f>
        <v>-0.70610331943304006</v>
      </c>
      <c r="EE40" s="3">
        <f ca="1">IFERROR(__xludf.DUMMYFUNCTION("""COMPUTED_VALUE"""),-0.695992831781392)</f>
        <v>-0.69599283178139204</v>
      </c>
      <c r="EF40" s="3">
        <f ca="1">IFERROR(__xludf.DUMMYFUNCTION("""COMPUTED_VALUE"""),-0.678620226244711)</f>
        <v>-0.67862022624471097</v>
      </c>
      <c r="EG40" s="3">
        <f ca="1">IFERROR(__xludf.DUMMYFUNCTION("""COMPUTED_VALUE"""),-0.648735954109462)</f>
        <v>-0.64873595410946205</v>
      </c>
      <c r="EH40" s="3">
        <f ca="1">IFERROR(__xludf.DUMMYFUNCTION("""COMPUTED_VALUE"""),-0.677263420679558)</f>
        <v>-0.67726342067955803</v>
      </c>
      <c r="EI40" s="3">
        <f ca="1">IFERROR(__xludf.DUMMYFUNCTION("""COMPUTED_VALUE"""),-0.687122555927243)</f>
        <v>-0.68712255592724303</v>
      </c>
      <c r="EJ40" s="3">
        <f ca="1">IFERROR(__xludf.DUMMYFUNCTION("""COMPUTED_VALUE"""),-0.713317143973835)</f>
        <v>-0.71331714397383505</v>
      </c>
      <c r="EK40" s="3">
        <f ca="1">IFERROR(__xludf.DUMMYFUNCTION("""COMPUTED_VALUE"""),-0.68864172974091)</f>
        <v>-0.68864172974090998</v>
      </c>
      <c r="EL40" s="3">
        <f ca="1">IFERROR(__xludf.DUMMYFUNCTION("""COMPUTED_VALUE"""),-0.674119663877428)</f>
        <v>-0.67411966387742805</v>
      </c>
      <c r="EM40" s="3">
        <f ca="1">IFERROR(__xludf.DUMMYFUNCTION("""COMPUTED_VALUE"""),-0.670620461086033)</f>
        <v>-0.67062046108603302</v>
      </c>
      <c r="EN40" s="3">
        <f ca="1">IFERROR(__xludf.DUMMYFUNCTION("""COMPUTED_VALUE"""),-0.553904844327856)</f>
        <v>-0.55390484432785603</v>
      </c>
      <c r="EO40" s="3">
        <f ca="1">IFERROR(__xludf.DUMMYFUNCTION("""COMPUTED_VALUE"""),-0.544245614315036)</f>
        <v>-0.54424561431503604</v>
      </c>
      <c r="EP40" s="3">
        <f ca="1">IFERROR(__xludf.DUMMYFUNCTION("""COMPUTED_VALUE"""),-0.592994750287747)</f>
        <v>-0.59299475028774695</v>
      </c>
      <c r="EQ40" s="3">
        <f ca="1">IFERROR(__xludf.DUMMYFUNCTION("""COMPUTED_VALUE"""),-0.633980039638783)</f>
        <v>-0.63398003963878302</v>
      </c>
      <c r="ER40" s="3">
        <f ca="1">IFERROR(__xludf.DUMMYFUNCTION("""COMPUTED_VALUE"""),-0.588058936421247)</f>
        <v>-0.58805893642124696</v>
      </c>
      <c r="ES40" s="3">
        <f ca="1">IFERROR(__xludf.DUMMYFUNCTION("""COMPUTED_VALUE"""),-0.554835079157079)</f>
        <v>-0.55483507915707897</v>
      </c>
      <c r="ET40" s="3">
        <f ca="1">IFERROR(__xludf.DUMMYFUNCTION("""COMPUTED_VALUE"""),-0.555190015965442)</f>
        <v>-0.55519001596544204</v>
      </c>
      <c r="EU40" s="3">
        <f ca="1">IFERROR(__xludf.DUMMYFUNCTION("""COMPUTED_VALUE"""),-0.482386406062924)</f>
        <v>-0.48238640606292399</v>
      </c>
      <c r="EV40" s="3">
        <f ca="1">IFERROR(__xludf.DUMMYFUNCTION("""COMPUTED_VALUE"""),-0.494825636689494)</f>
        <v>-0.49482563668949398</v>
      </c>
      <c r="EW40" s="3">
        <f ca="1">IFERROR(__xludf.DUMMYFUNCTION("""COMPUTED_VALUE"""),-0.519292766941119)</f>
        <v>-0.51929276694111903</v>
      </c>
      <c r="EX40" s="3">
        <f ca="1">IFERROR(__xludf.DUMMYFUNCTION("""COMPUTED_VALUE"""),-0.505666117624449)</f>
        <v>-0.50566611762444902</v>
      </c>
      <c r="EY40" s="3">
        <f ca="1">IFERROR(__xludf.DUMMYFUNCTION("""COMPUTED_VALUE"""),-0.726932510908338)</f>
        <v>-0.72693251090833799</v>
      </c>
      <c r="EZ40" s="3">
        <f ca="1">IFERROR(__xludf.DUMMYFUNCTION("""COMPUTED_VALUE"""),-0.483803060580069)</f>
        <v>-0.483803060580069</v>
      </c>
      <c r="FA40" s="3">
        <f ca="1">IFERROR(__xludf.DUMMYFUNCTION("""COMPUTED_VALUE"""),-0.461036292171714)</f>
        <v>-0.46103629217171399</v>
      </c>
      <c r="FB40" s="3">
        <f ca="1">IFERROR(__xludf.DUMMYFUNCTION("""COMPUTED_VALUE"""),-0.469580696897525)</f>
        <v>-0.46958069689752502</v>
      </c>
      <c r="FC40" s="3">
        <f ca="1">IFERROR(__xludf.DUMMYFUNCTION("""COMPUTED_VALUE"""),-0.430890646135789)</f>
        <v>-0.43089064613578898</v>
      </c>
      <c r="FD40" s="3">
        <f ca="1">IFERROR(__xludf.DUMMYFUNCTION("""COMPUTED_VALUE"""),-0.505634791110982)</f>
        <v>-0.50563479111098197</v>
      </c>
      <c r="FE40" s="3">
        <f ca="1">IFERROR(__xludf.DUMMYFUNCTION("""COMPUTED_VALUE"""),-0.554735056829948)</f>
        <v>-0.55473505682994795</v>
      </c>
      <c r="FF40" s="3">
        <f ca="1">IFERROR(__xludf.DUMMYFUNCTION("""COMPUTED_VALUE"""),-0.546404466952351)</f>
        <v>-0.54640446695235101</v>
      </c>
      <c r="FG40" s="3">
        <f ca="1">IFERROR(__xludf.DUMMYFUNCTION("""COMPUTED_VALUE"""),-0.37996277501215)</f>
        <v>-0.37996277501214998</v>
      </c>
      <c r="FH40" s="3">
        <f ca="1">IFERROR(__xludf.DUMMYFUNCTION("""COMPUTED_VALUE"""),-0.491020049349293)</f>
        <v>-0.491020049349293</v>
      </c>
      <c r="FI40" s="3">
        <f ca="1">IFERROR(__xludf.DUMMYFUNCTION("""COMPUTED_VALUE"""),-0.493004106931189)</f>
        <v>-0.49300410693118901</v>
      </c>
      <c r="FJ40" s="3">
        <f ca="1">IFERROR(__xludf.DUMMYFUNCTION("""COMPUTED_VALUE"""),-0.44841414302561)</f>
        <v>-0.44841414302561</v>
      </c>
      <c r="FK40" s="3">
        <f ca="1">IFERROR(__xludf.DUMMYFUNCTION("""COMPUTED_VALUE"""),-0.52210352906616)</f>
        <v>-0.52210352906615998</v>
      </c>
      <c r="FL40" s="3">
        <f ca="1">IFERROR(__xludf.DUMMYFUNCTION("""COMPUTED_VALUE"""),-0.570267190877628)</f>
        <v>-0.57026719087762801</v>
      </c>
      <c r="FM40" s="3">
        <f ca="1">IFERROR(__xludf.DUMMYFUNCTION("""COMPUTED_VALUE"""),-0.556319183774412)</f>
        <v>-0.55631918377441203</v>
      </c>
      <c r="FN40" s="3">
        <f ca="1">IFERROR(__xludf.DUMMYFUNCTION("""COMPUTED_VALUE"""),-0.552607702802856)</f>
        <v>-0.55260770280285598</v>
      </c>
      <c r="FO40" s="3">
        <f ca="1">IFERROR(__xludf.DUMMYFUNCTION("""COMPUTED_VALUE"""),-0.556439146201651)</f>
        <v>-0.55643914620165102</v>
      </c>
      <c r="FP40" s="3">
        <f ca="1">IFERROR(__xludf.DUMMYFUNCTION("""COMPUTED_VALUE"""),-0.453361848827798)</f>
        <v>-0.45336184882779801</v>
      </c>
      <c r="FQ40" s="3">
        <f ca="1">IFERROR(__xludf.DUMMYFUNCTION("""COMPUTED_VALUE"""),-0.503967518741083)</f>
        <v>-0.50396751874108303</v>
      </c>
      <c r="FR40" s="3">
        <f ca="1">IFERROR(__xludf.DUMMYFUNCTION("""COMPUTED_VALUE"""),-0.517835383313135)</f>
        <v>-0.51783538331313494</v>
      </c>
      <c r="FS40" s="3">
        <f ca="1">IFERROR(__xludf.DUMMYFUNCTION("""COMPUTED_VALUE"""),-0.534989138329723)</f>
        <v>-0.53498913832972295</v>
      </c>
      <c r="FT40" s="3">
        <f ca="1">IFERROR(__xludf.DUMMYFUNCTION("""COMPUTED_VALUE"""),-0.565819806865584)</f>
        <v>-0.56581980686558397</v>
      </c>
      <c r="FU40" s="3">
        <f ca="1">IFERROR(__xludf.DUMMYFUNCTION("""COMPUTED_VALUE"""),-0.555950794585631)</f>
        <v>-0.55595079458563101</v>
      </c>
      <c r="FV40" s="3">
        <f ca="1">IFERROR(__xludf.DUMMYFUNCTION("""COMPUTED_VALUE"""),-0.463488088000796)</f>
        <v>-0.46348808800079599</v>
      </c>
      <c r="FW40" s="3">
        <f ca="1">IFERROR(__xludf.DUMMYFUNCTION("""COMPUTED_VALUE"""),-0.42553461380012)</f>
        <v>-0.42553461380011998</v>
      </c>
      <c r="FX40" s="3">
        <f ca="1">IFERROR(__xludf.DUMMYFUNCTION("""COMPUTED_VALUE"""),-0.521124464431049)</f>
        <v>-0.52112446443104898</v>
      </c>
      <c r="FY40" s="3">
        <f ca="1">IFERROR(__xludf.DUMMYFUNCTION("""COMPUTED_VALUE"""),-0.516195237803666)</f>
        <v>-0.51619523780366605</v>
      </c>
      <c r="FZ40" s="3">
        <f ca="1">IFERROR(__xludf.DUMMYFUNCTION("""COMPUTED_VALUE"""),-0.538636861165179)</f>
        <v>-0.53863686116517895</v>
      </c>
      <c r="GA40" s="3">
        <f ca="1">IFERROR(__xludf.DUMMYFUNCTION("""COMPUTED_VALUE"""),-0.647710224644583)</f>
        <v>-0.64771022464458305</v>
      </c>
      <c r="GB40" s="3">
        <f ca="1">IFERROR(__xludf.DUMMYFUNCTION("""COMPUTED_VALUE"""),-0.575354820507273)</f>
        <v>-0.57535482050727305</v>
      </c>
      <c r="GC40" s="3">
        <f ca="1">IFERROR(__xludf.DUMMYFUNCTION("""COMPUTED_VALUE"""),-0.71803187179513)</f>
        <v>-0.71803187179512995</v>
      </c>
      <c r="GD40" s="3">
        <f ca="1">IFERROR(__xludf.DUMMYFUNCTION("""COMPUTED_VALUE"""),-0.496873722982507)</f>
        <v>-0.49687372298250698</v>
      </c>
      <c r="GE40" s="3">
        <f ca="1">IFERROR(__xludf.DUMMYFUNCTION("""COMPUTED_VALUE"""),-0.501134733053596)</f>
        <v>-0.50113473305359602</v>
      </c>
      <c r="GF40" s="3">
        <f ca="1">IFERROR(__xludf.DUMMYFUNCTION("""COMPUTED_VALUE"""),-0.543890137666919)</f>
        <v>-0.54389013766691896</v>
      </c>
      <c r="GG40" s="3">
        <f ca="1">IFERROR(__xludf.DUMMYFUNCTION("""COMPUTED_VALUE"""),-0.558005456620428)</f>
        <v>-0.558005456620428</v>
      </c>
      <c r="GH40" s="3">
        <f ca="1">IFERROR(__xludf.DUMMYFUNCTION("""COMPUTED_VALUE"""),-0.565672948080098)</f>
        <v>-0.56567294808009805</v>
      </c>
      <c r="GI40" s="3">
        <f ca="1">IFERROR(__xludf.DUMMYFUNCTION("""COMPUTED_VALUE"""),-0.559077435347794)</f>
        <v>-0.55907743534779397</v>
      </c>
      <c r="GJ40" s="3">
        <f ca="1">IFERROR(__xludf.DUMMYFUNCTION("""COMPUTED_VALUE"""),-0.483900496461747)</f>
        <v>-0.48390049646174699</v>
      </c>
      <c r="GK40" s="3">
        <f ca="1">IFERROR(__xludf.DUMMYFUNCTION("""COMPUTED_VALUE"""),-0.416080781127063)</f>
        <v>-0.41608078112706298</v>
      </c>
      <c r="GL40" s="3">
        <f ca="1">IFERROR(__xludf.DUMMYFUNCTION("""COMPUTED_VALUE"""),-0.421445592316118)</f>
        <v>-0.421445592316118</v>
      </c>
      <c r="GM40" s="3">
        <f ca="1">IFERROR(__xludf.DUMMYFUNCTION("""COMPUTED_VALUE"""),-0.524998694378406)</f>
        <v>-0.52499869437840596</v>
      </c>
      <c r="GN40" s="3">
        <f ca="1">IFERROR(__xludf.DUMMYFUNCTION("""COMPUTED_VALUE"""),-0.563648695512214)</f>
        <v>-0.56364869551221397</v>
      </c>
      <c r="GO40" s="3">
        <f ca="1">IFERROR(__xludf.DUMMYFUNCTION("""COMPUTED_VALUE"""),-0.593194674656898)</f>
        <v>-0.59319467465689801</v>
      </c>
      <c r="GP40" s="3">
        <f ca="1">IFERROR(__xludf.DUMMYFUNCTION("""COMPUTED_VALUE"""),-0.561626670360156)</f>
        <v>-0.56162667036015601</v>
      </c>
      <c r="GQ40" s="3">
        <f ca="1">IFERROR(__xludf.DUMMYFUNCTION("""COMPUTED_VALUE"""),-0.573404080950546)</f>
        <v>-0.57340408095054596</v>
      </c>
      <c r="GR40" s="3">
        <f ca="1">IFERROR(__xludf.DUMMYFUNCTION("""COMPUTED_VALUE"""),-0.467145136218503)</f>
        <v>-0.46714513621850301</v>
      </c>
      <c r="GS40" s="3">
        <f ca="1">IFERROR(__xludf.DUMMYFUNCTION("""COMPUTED_VALUE"""),-0.438272191372834)</f>
        <v>-0.43827219137283402</v>
      </c>
      <c r="GT40" s="3">
        <f ca="1">IFERROR(__xludf.DUMMYFUNCTION("""COMPUTED_VALUE"""),-0.552443666966327)</f>
        <v>-0.55244366696632696</v>
      </c>
      <c r="GU40" s="3">
        <f ca="1">IFERROR(__xludf.DUMMYFUNCTION("""COMPUTED_VALUE"""),-0.551938402620242)</f>
        <v>-0.55193840262024196</v>
      </c>
      <c r="GV40" s="3">
        <f ca="1">IFERROR(__xludf.DUMMYFUNCTION("""COMPUTED_VALUE"""),-0.733695614228636)</f>
        <v>-0.73369561422863605</v>
      </c>
      <c r="GW40" s="3">
        <f ca="1">IFERROR(__xludf.DUMMYFUNCTION("""COMPUTED_VALUE"""),-0.73670844451542)</f>
        <v>-0.73670844451541995</v>
      </c>
      <c r="GX40" s="3">
        <f ca="1">IFERROR(__xludf.DUMMYFUNCTION("""COMPUTED_VALUE"""),-0.566274572013794)</f>
        <v>-0.56627457201379405</v>
      </c>
      <c r="GY40" s="3">
        <f ca="1">IFERROR(__xludf.DUMMYFUNCTION("""COMPUTED_VALUE"""),-0.47335988081087)</f>
        <v>-0.47335988081086999</v>
      </c>
      <c r="GZ40" s="3">
        <f ca="1">IFERROR(__xludf.DUMMYFUNCTION("""COMPUTED_VALUE"""),-0.48116934379149)</f>
        <v>-0.48116934379149001</v>
      </c>
      <c r="HA40" s="3">
        <f ca="1">IFERROR(__xludf.DUMMYFUNCTION("""COMPUTED_VALUE"""),-0.562323404525972)</f>
        <v>-0.56232340452597196</v>
      </c>
      <c r="HB40" s="3">
        <f ca="1">IFERROR(__xludf.DUMMYFUNCTION("""COMPUTED_VALUE"""),-0.580469040452706)</f>
        <v>-0.58046904045270598</v>
      </c>
      <c r="HC40" s="3">
        <f ca="1">IFERROR(__xludf.DUMMYFUNCTION("""COMPUTED_VALUE"""),-0.573911252995352)</f>
        <v>-0.57391125299535195</v>
      </c>
      <c r="HD40" s="3">
        <f ca="1">IFERROR(__xludf.DUMMYFUNCTION("""COMPUTED_VALUE"""),-0.574759675653211)</f>
        <v>-0.57475967565321096</v>
      </c>
      <c r="HE40" s="3">
        <f ca="1">IFERROR(__xludf.DUMMYFUNCTION("""COMPUTED_VALUE"""),-0.536754797250526)</f>
        <v>-0.53675479725052599</v>
      </c>
      <c r="HF40" s="3">
        <f ca="1">IFERROR(__xludf.DUMMYFUNCTION("""COMPUTED_VALUE"""),-0.284785699278578)</f>
        <v>-0.284785699278578</v>
      </c>
      <c r="HG40" s="3">
        <f ca="1">IFERROR(__xludf.DUMMYFUNCTION("""COMPUTED_VALUE"""),-0.290414306654739)</f>
        <v>-0.290414306654739</v>
      </c>
      <c r="HH40" s="3">
        <f ca="1">IFERROR(__xludf.DUMMYFUNCTION("""COMPUTED_VALUE"""),-0.564614617150154)</f>
        <v>-0.56461461715015404</v>
      </c>
      <c r="HI40" s="3">
        <f ca="1">IFERROR(__xludf.DUMMYFUNCTION("""COMPUTED_VALUE"""),-0.588295429896601)</f>
        <v>-0.588295429896601</v>
      </c>
      <c r="HJ40" s="3">
        <f ca="1">IFERROR(__xludf.DUMMYFUNCTION("""COMPUTED_VALUE"""),-0.577850805478071)</f>
        <v>-0.57785080547807099</v>
      </c>
      <c r="HK40" s="3">
        <f ca="1">IFERROR(__xludf.DUMMYFUNCTION("""COMPUTED_VALUE"""),-0.549484784036878)</f>
        <v>-0.54948478403687795</v>
      </c>
      <c r="HL40" s="3">
        <f ca="1">IFERROR(__xludf.DUMMYFUNCTION("""COMPUTED_VALUE"""),-0.654293376024321)</f>
        <v>-0.65429337602432103</v>
      </c>
      <c r="HM40" s="3">
        <f ca="1">IFERROR(__xludf.DUMMYFUNCTION("""COMPUTED_VALUE"""),-0.249851241412789)</f>
        <v>-0.249851241412789</v>
      </c>
      <c r="HN40" s="3">
        <f ca="1">IFERROR(__xludf.DUMMYFUNCTION("""COMPUTED_VALUE"""),-0.213199006114978)</f>
        <v>-0.213199006114978</v>
      </c>
      <c r="HO40" s="3">
        <f ca="1">IFERROR(__xludf.DUMMYFUNCTION("""COMPUTED_VALUE"""),-0.564661683609334)</f>
        <v>-0.564661683609334</v>
      </c>
      <c r="HP40" s="3">
        <f ca="1">IFERROR(__xludf.DUMMYFUNCTION("""COMPUTED_VALUE"""),-0.593082134119963)</f>
        <v>-0.59308213411996302</v>
      </c>
      <c r="HQ40" s="3">
        <f ca="1">IFERROR(__xludf.DUMMYFUNCTION("""COMPUTED_VALUE"""),-0.584178517177715)</f>
        <v>-0.58417851717771496</v>
      </c>
      <c r="HR40" s="3">
        <f ca="1">IFERROR(__xludf.DUMMYFUNCTION("""COMPUTED_VALUE"""),-0.575787534556451)</f>
        <v>-0.57578753455645104</v>
      </c>
      <c r="HS40" s="3">
        <f ca="1">IFERROR(__xludf.DUMMYFUNCTION("""COMPUTED_VALUE"""),-0.354688373498748)</f>
        <v>-0.35468837349874799</v>
      </c>
      <c r="HT40" s="3">
        <f ca="1">IFERROR(__xludf.DUMMYFUNCTION("""COMPUTED_VALUE"""),-0.258684757460852)</f>
        <v>-0.25868475746085201</v>
      </c>
      <c r="HU40" s="3">
        <f ca="1">IFERROR(__xludf.DUMMYFUNCTION("""COMPUTED_VALUE"""),-0.178365562291938)</f>
        <v>-0.17836556229193801</v>
      </c>
      <c r="HV40" s="3">
        <f ca="1">IFERROR(__xludf.DUMMYFUNCTION("""COMPUTED_VALUE"""),-0.523799507573911)</f>
        <v>-0.52379950757391103</v>
      </c>
      <c r="HW40" s="3">
        <f ca="1">IFERROR(__xludf.DUMMYFUNCTION("""COMPUTED_VALUE"""),-0.513031304427299)</f>
        <v>-0.51303130442729905</v>
      </c>
      <c r="HX40" s="3">
        <f ca="1">IFERROR(__xludf.DUMMYFUNCTION("""COMPUTED_VALUE"""),-0.551472789677948)</f>
        <v>-0.55147278967794799</v>
      </c>
      <c r="HY40" s="3">
        <f ca="1">IFERROR(__xludf.DUMMYFUNCTION("""COMPUTED_VALUE"""),-0.568747394197202)</f>
        <v>-0.56874739419720199</v>
      </c>
      <c r="HZ40" s="3">
        <f ca="1">IFERROR(__xludf.DUMMYFUNCTION("""COMPUTED_VALUE"""),-0.363813632361308)</f>
        <v>-0.36381363236130798</v>
      </c>
      <c r="IA40" s="3">
        <f ca="1">IFERROR(__xludf.DUMMYFUNCTION("""COMPUTED_VALUE"""),-0.377618118843382)</f>
        <v>-0.37761811884338198</v>
      </c>
      <c r="IB40" s="3">
        <f ca="1">IFERROR(__xludf.DUMMYFUNCTION("""COMPUTED_VALUE"""),-0.350055663918479)</f>
        <v>-0.35005566391847898</v>
      </c>
      <c r="IC40" s="3">
        <f ca="1">IFERROR(__xludf.DUMMYFUNCTION("""COMPUTED_VALUE"""),-0.445386100951177)</f>
        <v>-0.44538610095117698</v>
      </c>
      <c r="ID40" s="3">
        <f ca="1">IFERROR(__xludf.DUMMYFUNCTION("""COMPUTED_VALUE"""),-0.437519870957906)</f>
        <v>-0.43751987095790601</v>
      </c>
      <c r="IE40" s="3">
        <f ca="1">IFERROR(__xludf.DUMMYFUNCTION("""COMPUTED_VALUE"""),-0.441645639669512)</f>
        <v>-0.44164563966951198</v>
      </c>
      <c r="IF40" s="3">
        <f ca="1">IFERROR(__xludf.DUMMYFUNCTION("""COMPUTED_VALUE"""),-0.433847887162574)</f>
        <v>-0.433847887162574</v>
      </c>
      <c r="IG40" s="3">
        <f ca="1">IFERROR(__xludf.DUMMYFUNCTION("""COMPUTED_VALUE"""),-0.494124461580322)</f>
        <v>-0.49412446158032203</v>
      </c>
      <c r="IH40" s="3">
        <f ca="1">IFERROR(__xludf.DUMMYFUNCTION("""COMPUTED_VALUE"""),-0.375316981353607)</f>
        <v>-0.37531698135360703</v>
      </c>
      <c r="II40" s="3">
        <f ca="1">IFERROR(__xludf.DUMMYFUNCTION("""COMPUTED_VALUE"""),-0.405483016234696)</f>
        <v>-0.40548301623469601</v>
      </c>
      <c r="IJ40" s="3">
        <f ca="1">IFERROR(__xludf.DUMMYFUNCTION("""COMPUTED_VALUE"""),-0.43018662407349)</f>
        <v>-0.43018662407349001</v>
      </c>
      <c r="IK40" s="3">
        <f ca="1">IFERROR(__xludf.DUMMYFUNCTION("""COMPUTED_VALUE"""),-0.434441099326625)</f>
        <v>-0.434441099326625</v>
      </c>
      <c r="IL40" s="3">
        <f ca="1">IFERROR(__xludf.DUMMYFUNCTION("""COMPUTED_VALUE"""),-0.454646663487371)</f>
        <v>-0.45464666348737098</v>
      </c>
      <c r="IM40" s="3">
        <f ca="1">IFERROR(__xludf.DUMMYFUNCTION("""COMPUTED_VALUE"""),-0.477438423886602)</f>
        <v>-0.47743842388660201</v>
      </c>
      <c r="IN40" s="3">
        <f ca="1">IFERROR(__xludf.DUMMYFUNCTION("""COMPUTED_VALUE"""),-0.396840271116774)</f>
        <v>-0.396840271116774</v>
      </c>
      <c r="IO40" s="3">
        <f ca="1">IFERROR(__xludf.DUMMYFUNCTION("""COMPUTED_VALUE"""),-0.372891538982984)</f>
        <v>-0.37289153898298399</v>
      </c>
      <c r="IP40" s="3">
        <f ca="1">IFERROR(__xludf.DUMMYFUNCTION("""COMPUTED_VALUE"""),-0.408884361629823)</f>
        <v>-0.408884361629823</v>
      </c>
      <c r="IQ40" s="3">
        <f ca="1">IFERROR(__xludf.DUMMYFUNCTION("""COMPUTED_VALUE"""),-0.447591200515004)</f>
        <v>-0.44759120051500401</v>
      </c>
      <c r="IR40" s="3">
        <f ca="1">IFERROR(__xludf.DUMMYFUNCTION("""COMPUTED_VALUE"""),-0.448829556876052)</f>
        <v>-0.44882955687605203</v>
      </c>
      <c r="IS40" s="3">
        <f ca="1">IFERROR(__xludf.DUMMYFUNCTION("""COMPUTED_VALUE"""),-0.462144460003626)</f>
        <v>-0.46214446000362602</v>
      </c>
      <c r="IT40" s="3">
        <f ca="1">IFERROR(__xludf.DUMMYFUNCTION("""COMPUTED_VALUE"""),-0.42570956832965)</f>
        <v>-0.42570956832965001</v>
      </c>
      <c r="IU40" s="3">
        <f ca="1">IFERROR(__xludf.DUMMYFUNCTION("""COMPUTED_VALUE"""),-0.555675895809462)</f>
        <v>-0.55567589580946197</v>
      </c>
      <c r="IV40" s="3">
        <f ca="1">IFERROR(__xludf.DUMMYFUNCTION("""COMPUTED_VALUE"""),-0.378895074265705)</f>
        <v>-0.37889507426570501</v>
      </c>
      <c r="IW40" s="3">
        <f ca="1">IFERROR(__xludf.DUMMYFUNCTION("""COMPUTED_VALUE"""),-0.428895460714821)</f>
        <v>-0.42889546071482099</v>
      </c>
      <c r="IX40" s="3">
        <f ca="1">IFERROR(__xludf.DUMMYFUNCTION("""COMPUTED_VALUE"""),-0.42281673415903)</f>
        <v>-0.42281673415902998</v>
      </c>
      <c r="IY40" s="3">
        <f ca="1">IFERROR(__xludf.DUMMYFUNCTION("""COMPUTED_VALUE"""),-0.403758261619812)</f>
        <v>-0.40375826161981199</v>
      </c>
      <c r="IZ40" s="3">
        <f ca="1">IFERROR(__xludf.DUMMYFUNCTION("""COMPUTED_VALUE"""),-0.425851792540746)</f>
        <v>-0.42585179254074601</v>
      </c>
      <c r="JA40" s="3">
        <f ca="1">IFERROR(__xludf.DUMMYFUNCTION("""COMPUTED_VALUE"""),-0.405990101105338)</f>
        <v>-0.40599010110533801</v>
      </c>
      <c r="JB40" s="3">
        <f ca="1">IFERROR(__xludf.DUMMYFUNCTION("""COMPUTED_VALUE"""),-0.407453699912251)</f>
        <v>-0.407453699912251</v>
      </c>
      <c r="JC40" s="3">
        <f ca="1">IFERROR(__xludf.DUMMYFUNCTION("""COMPUTED_VALUE"""),-0.413974623332583)</f>
        <v>-0.413974623332583</v>
      </c>
      <c r="JD40" s="3">
        <f ca="1">IFERROR(__xludf.DUMMYFUNCTION("""COMPUTED_VALUE"""),-0.374651778785239)</f>
        <v>-0.37465177878523898</v>
      </c>
      <c r="JE40" s="3">
        <f ca="1">IFERROR(__xludf.DUMMYFUNCTION("""COMPUTED_VALUE"""),-0.450347566272305)</f>
        <v>-0.45034756627230499</v>
      </c>
      <c r="JF40" s="3">
        <f ca="1">IFERROR(__xludf.DUMMYFUNCTION("""COMPUTED_VALUE"""),-0.511632837845055)</f>
        <v>-0.51163283784505498</v>
      </c>
      <c r="JG40" s="3">
        <f ca="1">IFERROR(__xludf.DUMMYFUNCTION("""COMPUTED_VALUE"""),-0.43435376161564)</f>
        <v>-0.43435376161563999</v>
      </c>
      <c r="JH40" s="3">
        <f ca="1">IFERROR(__xludf.DUMMYFUNCTION("""COMPUTED_VALUE"""),-0.431888311426313)</f>
        <v>-0.43188831142631301</v>
      </c>
      <c r="JI40" s="3">
        <f ca="1">IFERROR(__xludf.DUMMYFUNCTION("""COMPUTED_VALUE"""),-0.437152803945972)</f>
        <v>-0.437152803945972</v>
      </c>
      <c r="JJ40" s="3">
        <f ca="1">IFERROR(__xludf.DUMMYFUNCTION("""COMPUTED_VALUE"""),-0.343931096078306)</f>
        <v>-0.34393109607830602</v>
      </c>
      <c r="JK40" s="3">
        <f ca="1">IFERROR(__xludf.DUMMYFUNCTION("""COMPUTED_VALUE"""),-0.390664958709891)</f>
        <v>-0.39066495870989099</v>
      </c>
      <c r="JL40" s="3">
        <f ca="1">IFERROR(__xludf.DUMMYFUNCTION("""COMPUTED_VALUE"""),-0.442479207089205)</f>
        <v>-0.44247920708920502</v>
      </c>
      <c r="JM40" s="3">
        <f ca="1">IFERROR(__xludf.DUMMYFUNCTION("""COMPUTED_VALUE"""),-0.480053431114207)</f>
        <v>-0.48005343111420701</v>
      </c>
      <c r="JN40" s="3">
        <f ca="1">IFERROR(__xludf.DUMMYFUNCTION("""COMPUTED_VALUE"""),-0.509795945883876)</f>
        <v>-0.509795945883876</v>
      </c>
      <c r="JO40" s="3">
        <f ca="1">IFERROR(__xludf.DUMMYFUNCTION("""COMPUTED_VALUE"""),-0.537656104150432)</f>
        <v>-0.53765610415043197</v>
      </c>
      <c r="JP40" s="3">
        <f ca="1">IFERROR(__xludf.DUMMYFUNCTION("""COMPUTED_VALUE"""),-0.476599544646568)</f>
        <v>-0.47659954464656801</v>
      </c>
      <c r="JQ40" s="3">
        <f ca="1">IFERROR(__xludf.DUMMYFUNCTION("""COMPUTED_VALUE"""),-0.499478184397058)</f>
        <v>-0.49947818439705799</v>
      </c>
      <c r="JR40" s="3">
        <f ca="1">IFERROR(__xludf.DUMMYFUNCTION("""COMPUTED_VALUE"""),-0.518968099529619)</f>
        <v>-0.51896809952961898</v>
      </c>
      <c r="JS40" s="3">
        <f ca="1">IFERROR(__xludf.DUMMYFUNCTION("""COMPUTED_VALUE"""),-0.486850395189689)</f>
        <v>-0.48685039518968898</v>
      </c>
      <c r="JT40" s="3">
        <f ca="1">IFERROR(__xludf.DUMMYFUNCTION("""COMPUTED_VALUE"""),-0.545429120357106)</f>
        <v>-0.545429120357106</v>
      </c>
      <c r="JU40" s="3">
        <f ca="1">IFERROR(__xludf.DUMMYFUNCTION("""COMPUTED_VALUE"""),-0.526476660398852)</f>
        <v>-0.52647666039885199</v>
      </c>
      <c r="JV40" s="3">
        <f ca="1">IFERROR(__xludf.DUMMYFUNCTION("""COMPUTED_VALUE"""),-0.49748981056209)</f>
        <v>-0.49748981056209002</v>
      </c>
      <c r="JW40" s="3">
        <f ca="1">IFERROR(__xludf.DUMMYFUNCTION("""COMPUTED_VALUE"""),-0.526252104257486)</f>
        <v>-0.52625210425748603</v>
      </c>
      <c r="JX40" s="3">
        <f ca="1">IFERROR(__xludf.DUMMYFUNCTION("""COMPUTED_VALUE"""),-0.463796222093471)</f>
        <v>-0.46379622209347099</v>
      </c>
      <c r="JY40" s="3">
        <f ca="1">IFERROR(__xludf.DUMMYFUNCTION("""COMPUTED_VALUE"""),-0.474356000219752)</f>
        <v>-0.47435600021975199</v>
      </c>
      <c r="JZ40" s="3">
        <f ca="1">IFERROR(__xludf.DUMMYFUNCTION("""COMPUTED_VALUE"""),-0.522333522285176)</f>
        <v>-0.52233352228517604</v>
      </c>
      <c r="KA40" s="3">
        <f ca="1">IFERROR(__xludf.DUMMYFUNCTION("""COMPUTED_VALUE"""),-0.516294582606013)</f>
        <v>-0.51629458260601302</v>
      </c>
      <c r="KB40" s="3">
        <f ca="1">IFERROR(__xludf.DUMMYFUNCTION("""COMPUTED_VALUE"""),-0.617304037021431)</f>
        <v>-0.617304037021431</v>
      </c>
      <c r="KC40" s="3">
        <f ca="1">IFERROR(__xludf.DUMMYFUNCTION("""COMPUTED_VALUE"""),-0.545297401379245)</f>
        <v>-0.54529740137924498</v>
      </c>
      <c r="KD40" s="3">
        <f ca="1">IFERROR(__xludf.DUMMYFUNCTION("""COMPUTED_VALUE"""),-0.513500980700895)</f>
        <v>-0.513500980700895</v>
      </c>
      <c r="KE40" s="3">
        <f ca="1">IFERROR(__xludf.DUMMYFUNCTION("""COMPUTED_VALUE"""),-0.587807189562806)</f>
        <v>-0.58780718956280598</v>
      </c>
      <c r="KF40" s="3">
        <f ca="1">IFERROR(__xludf.DUMMYFUNCTION("""COMPUTED_VALUE"""),-0.472555896441927)</f>
        <v>-0.47255589644192703</v>
      </c>
      <c r="KG40" s="3">
        <f ca="1">IFERROR(__xludf.DUMMYFUNCTION("""COMPUTED_VALUE"""),-0.546057428701748)</f>
        <v>-0.546057428701748</v>
      </c>
      <c r="KH40" s="3">
        <f ca="1">IFERROR(__xludf.DUMMYFUNCTION("""COMPUTED_VALUE"""),-0.587831091423058)</f>
        <v>-0.58783109142305801</v>
      </c>
      <c r="KI40" s="3">
        <f ca="1">IFERROR(__xludf.DUMMYFUNCTION("""COMPUTED_VALUE"""),-0.581376266455818)</f>
        <v>-0.58137626645581797</v>
      </c>
      <c r="KJ40" s="3">
        <f ca="1">IFERROR(__xludf.DUMMYFUNCTION("""COMPUTED_VALUE"""),-0.575690409170552)</f>
        <v>-0.57569040917055203</v>
      </c>
      <c r="KK40" s="3">
        <f ca="1">IFERROR(__xludf.DUMMYFUNCTION("""COMPUTED_VALUE"""),-0.563227806273857)</f>
        <v>-0.56322780627385705</v>
      </c>
      <c r="KL40" s="3">
        <f ca="1">IFERROR(__xludf.DUMMYFUNCTION("""COMPUTED_VALUE"""),-0.576620262450139)</f>
        <v>-0.57662026245013898</v>
      </c>
      <c r="KM40" s="3">
        <f ca="1">IFERROR(__xludf.DUMMYFUNCTION("""COMPUTED_VALUE"""),-0.517104843213544)</f>
        <v>-0.517104843213544</v>
      </c>
      <c r="KN40" s="3">
        <f ca="1">IFERROR(__xludf.DUMMYFUNCTION("""COMPUTED_VALUE"""),-0.605703197592469)</f>
        <v>-0.60570319759246904</v>
      </c>
      <c r="KO40" s="3">
        <f ca="1">IFERROR(__xludf.DUMMYFUNCTION("""COMPUTED_VALUE"""),-0.623622177341377)</f>
        <v>-0.62362217734137704</v>
      </c>
      <c r="KP40" s="3">
        <f ca="1">IFERROR(__xludf.DUMMYFUNCTION("""COMPUTED_VALUE"""),-0.64162765023269)</f>
        <v>-0.64162765023268997</v>
      </c>
      <c r="KQ40" s="3">
        <f ca="1">IFERROR(__xludf.DUMMYFUNCTION("""COMPUTED_VALUE"""),-0.616906957270647)</f>
        <v>-0.61690695727064704</v>
      </c>
      <c r="KR40" s="3">
        <f ca="1">IFERROR(__xludf.DUMMYFUNCTION("""COMPUTED_VALUE"""),-0.634733626039768)</f>
        <v>-0.63473362603976802</v>
      </c>
      <c r="KS40" s="3">
        <f ca="1">IFERROR(__xludf.DUMMYFUNCTION("""COMPUTED_VALUE"""),-0.619348644706394)</f>
        <v>-0.61934864470639395</v>
      </c>
      <c r="KT40" s="3">
        <f ca="1">IFERROR(__xludf.DUMMYFUNCTION("""COMPUTED_VALUE"""),-0.645436572336153)</f>
        <v>-0.64543657233615304</v>
      </c>
      <c r="KU40" s="3">
        <f ca="1">IFERROR(__xludf.DUMMYFUNCTION("""COMPUTED_VALUE"""),-0.690779573108753)</f>
        <v>-0.69077957310875304</v>
      </c>
      <c r="KV40" s="3">
        <f ca="1">IFERROR(__xludf.DUMMYFUNCTION("""COMPUTED_VALUE"""),-0.688738206451505)</f>
        <v>-0.68873820645150496</v>
      </c>
      <c r="KW40" s="3">
        <f ca="1">IFERROR(__xludf.DUMMYFUNCTION("""COMPUTED_VALUE"""),-0.679305548295517)</f>
        <v>-0.67930554829551704</v>
      </c>
      <c r="KX40" s="3">
        <f ca="1">IFERROR(__xludf.DUMMYFUNCTION("""COMPUTED_VALUE"""),-0.694789925965963)</f>
        <v>-0.69478992596596301</v>
      </c>
      <c r="KY40" s="3">
        <f ca="1">IFERROR(__xludf.DUMMYFUNCTION("""COMPUTED_VALUE"""),-0.680151292577098)</f>
        <v>-0.68015129257709805</v>
      </c>
      <c r="KZ40" s="3">
        <f ca="1">IFERROR(__xludf.DUMMYFUNCTION("""COMPUTED_VALUE"""),-0.660303740032229)</f>
        <v>-0.66030374003222903</v>
      </c>
      <c r="LA40" s="3">
        <f ca="1">IFERROR(__xludf.DUMMYFUNCTION("""COMPUTED_VALUE"""),-0.753249156452743)</f>
        <v>-0.75324915645274304</v>
      </c>
      <c r="LB40" s="3">
        <f ca="1">IFERROR(__xludf.DUMMYFUNCTION("""COMPUTED_VALUE"""),-0.729160062139455)</f>
        <v>-0.72916006213945495</v>
      </c>
      <c r="LC40" s="3">
        <f ca="1">IFERROR(__xludf.DUMMYFUNCTION("""COMPUTED_VALUE"""),-0.743190892103925)</f>
        <v>-0.74319089210392497</v>
      </c>
      <c r="LD40" s="3">
        <f ca="1">IFERROR(__xludf.DUMMYFUNCTION("""COMPUTED_VALUE"""),-0.808621354227401)</f>
        <v>-0.808621354227401</v>
      </c>
      <c r="LE40" s="3">
        <f ca="1">IFERROR(__xludf.DUMMYFUNCTION("""COMPUTED_VALUE"""),-0.786172574749752)</f>
        <v>-0.786172574749752</v>
      </c>
      <c r="LF40" s="3">
        <f ca="1">IFERROR(__xludf.DUMMYFUNCTION("""COMPUTED_VALUE"""),-0.751834179142411)</f>
        <v>-0.75183417914241102</v>
      </c>
      <c r="LG40" s="3">
        <f ca="1">IFERROR(__xludf.DUMMYFUNCTION("""COMPUTED_VALUE"""),-0.735920270596568)</f>
        <v>-0.73592027059656795</v>
      </c>
      <c r="LH40" s="3">
        <f ca="1">IFERROR(__xludf.DUMMYFUNCTION("""COMPUTED_VALUE"""),-0.821042899017274)</f>
        <v>-0.82104289901727401</v>
      </c>
      <c r="LI40" s="3">
        <f ca="1">IFERROR(__xludf.DUMMYFUNCTION("""COMPUTED_VALUE"""),-0.804687823449451)</f>
        <v>-0.804687823449451</v>
      </c>
      <c r="LJ40" s="3">
        <f ca="1">IFERROR(__xludf.DUMMYFUNCTION("""COMPUTED_VALUE"""),-0.785214095829041)</f>
        <v>-0.785214095829041</v>
      </c>
      <c r="LK40" s="3">
        <f ca="1">IFERROR(__xludf.DUMMYFUNCTION("""COMPUTED_VALUE"""),-0.799797122018207)</f>
        <v>-0.79979712201820696</v>
      </c>
      <c r="LL40" s="3">
        <f ca="1">IFERROR(__xludf.DUMMYFUNCTION("""COMPUTED_VALUE"""),-0.830014853815074)</f>
        <v>-0.83001485381507401</v>
      </c>
      <c r="LM40" s="3">
        <f ca="1">IFERROR(__xludf.DUMMYFUNCTION("""COMPUTED_VALUE"""),-0.778905152964019)</f>
        <v>-0.77890515296401897</v>
      </c>
      <c r="LN40" s="3">
        <f ca="1">IFERROR(__xludf.DUMMYFUNCTION("""COMPUTED_VALUE"""),-0.777890586870268)</f>
        <v>-0.77789058687026802</v>
      </c>
      <c r="LO40" s="3">
        <f ca="1">IFERROR(__xludf.DUMMYFUNCTION("""COMPUTED_VALUE"""),-0.816738417218724)</f>
        <v>-0.81673841721872398</v>
      </c>
      <c r="LP40" s="3">
        <f ca="1">IFERROR(__xludf.DUMMYFUNCTION("""COMPUTED_VALUE"""),-0.813052356007181)</f>
        <v>-0.81305235600718095</v>
      </c>
      <c r="LQ40" s="3">
        <f ca="1">IFERROR(__xludf.DUMMYFUNCTION("""COMPUTED_VALUE"""),-0.839453451782027)</f>
        <v>-0.83945345178202702</v>
      </c>
      <c r="LR40" s="3">
        <f ca="1">IFERROR(__xludf.DUMMYFUNCTION("""COMPUTED_VALUE"""),-0.855422233587723)</f>
        <v>-0.85542223358772296</v>
      </c>
      <c r="LS40" s="3">
        <f ca="1">IFERROR(__xludf.DUMMYFUNCTION("""COMPUTED_VALUE"""),-0.845295842261217)</f>
        <v>-0.84529584226121701</v>
      </c>
      <c r="LT40" s="3">
        <f ca="1">IFERROR(__xludf.DUMMYFUNCTION("""COMPUTED_VALUE"""),-0.852581458877616)</f>
        <v>-0.85258145887761605</v>
      </c>
      <c r="LU40" s="3">
        <f ca="1">IFERROR(__xludf.DUMMYFUNCTION("""COMPUTED_VALUE"""),-0.803742532726943)</f>
        <v>-0.80374253272694296</v>
      </c>
      <c r="LV40" s="3">
        <f ca="1">IFERROR(__xludf.DUMMYFUNCTION("""COMPUTED_VALUE"""),-0.869463076519629)</f>
        <v>-0.86946307651962895</v>
      </c>
      <c r="LW40" s="3">
        <f ca="1">IFERROR(__xludf.DUMMYFUNCTION("""COMPUTED_VALUE"""),-0.867241583891879)</f>
        <v>-0.867241583891879</v>
      </c>
      <c r="LX40" s="3">
        <f ca="1">IFERROR(__xludf.DUMMYFUNCTION("""COMPUTED_VALUE"""),-0.874928690143387)</f>
        <v>-0.87492869014338703</v>
      </c>
      <c r="LY40" s="3">
        <f ca="1">IFERROR(__xludf.DUMMYFUNCTION("""COMPUTED_VALUE"""),-0.876697337386823)</f>
        <v>-0.87669733738682298</v>
      </c>
      <c r="LZ40" s="3">
        <f ca="1">IFERROR(__xludf.DUMMYFUNCTION("""COMPUTED_VALUE"""),-0.880635268544009)</f>
        <v>-0.88063526854400898</v>
      </c>
      <c r="MA40" s="3">
        <f ca="1">IFERROR(__xludf.DUMMYFUNCTION("""COMPUTED_VALUE"""),-0.834790646848092)</f>
        <v>-0.83479064684809201</v>
      </c>
      <c r="MB40" s="3">
        <f ca="1">IFERROR(__xludf.DUMMYFUNCTION("""COMPUTED_VALUE"""),-0.843878232446221)</f>
        <v>-0.84387823244622095</v>
      </c>
      <c r="MC40" s="3">
        <f ca="1">IFERROR(__xludf.DUMMYFUNCTION("""COMPUTED_VALUE"""),-0.871246155564913)</f>
        <v>-0.87124615556491303</v>
      </c>
      <c r="MD40" s="3">
        <f ca="1">IFERROR(__xludf.DUMMYFUNCTION("""COMPUTED_VALUE"""),-0.878453598450955)</f>
        <v>-0.87845359845095505</v>
      </c>
      <c r="ME40" s="3">
        <f ca="1">IFERROR(__xludf.DUMMYFUNCTION("""COMPUTED_VALUE"""),-0.891956942080877)</f>
        <v>-0.89195694208087695</v>
      </c>
      <c r="MF40" s="3">
        <f ca="1">IFERROR(__xludf.DUMMYFUNCTION("""COMPUTED_VALUE"""),-0.872893718546178)</f>
        <v>-0.87289371854617803</v>
      </c>
      <c r="MG40" s="3">
        <f ca="1">IFERROR(__xludf.DUMMYFUNCTION("""COMPUTED_VALUE"""),-0.885787073105172)</f>
        <v>-0.88578707310517202</v>
      </c>
      <c r="MH40" s="3">
        <f ca="1">IFERROR(__xludf.DUMMYFUNCTION("""COMPUTED_VALUE"""),-0.892686939036969)</f>
        <v>-0.89268693903696905</v>
      </c>
      <c r="MI40" s="3">
        <f ca="1">IFERROR(__xludf.DUMMYFUNCTION("""COMPUTED_VALUE"""),-0.862039539228109)</f>
        <v>-0.86203953922810905</v>
      </c>
      <c r="MJ40" s="3">
        <f ca="1">IFERROR(__xludf.DUMMYFUNCTION("""COMPUTED_VALUE"""),-0.883189630743855)</f>
        <v>-0.88318963074385504</v>
      </c>
      <c r="MK40" s="3">
        <f ca="1">IFERROR(__xludf.DUMMYFUNCTION("""COMPUTED_VALUE"""),-0.909752517871612)</f>
        <v>-0.90975251787161204</v>
      </c>
      <c r="ML40" s="3">
        <f ca="1">IFERROR(__xludf.DUMMYFUNCTION("""COMPUTED_VALUE"""),-0.900933210601485)</f>
        <v>-0.90093321060148501</v>
      </c>
      <c r="MM40" s="3">
        <f ca="1">IFERROR(__xludf.DUMMYFUNCTION("""COMPUTED_VALUE"""),-0.903228773039736)</f>
        <v>-0.90322877303973603</v>
      </c>
      <c r="MN40" s="3">
        <f ca="1">IFERROR(__xludf.DUMMYFUNCTION("""COMPUTED_VALUE"""),-0.925503994671386)</f>
        <v>-0.925503994671386</v>
      </c>
      <c r="MO40" s="3">
        <f ca="1">IFERROR(__xludf.DUMMYFUNCTION("""COMPUTED_VALUE"""),-0.900631378289659)</f>
        <v>-0.900631378289659</v>
      </c>
      <c r="MP40" s="3">
        <f ca="1">IFERROR(__xludf.DUMMYFUNCTION("""COMPUTED_VALUE"""),-0.858914205392516)</f>
        <v>-0.85891420539251595</v>
      </c>
      <c r="MQ40" s="3">
        <f ca="1">IFERROR(__xludf.DUMMYFUNCTION("""COMPUTED_VALUE"""),-0.871431355670242)</f>
        <v>-0.87143135567024199</v>
      </c>
      <c r="MR40" s="3">
        <f ca="1">IFERROR(__xludf.DUMMYFUNCTION("""COMPUTED_VALUE"""),-0.905957823875195)</f>
        <v>-0.90595782387519497</v>
      </c>
      <c r="MS40" s="3">
        <f ca="1">IFERROR(__xludf.DUMMYFUNCTION("""COMPUTED_VALUE"""),-0.91362738237713)</f>
        <v>-0.91362738237713004</v>
      </c>
      <c r="MT40" s="3">
        <f ca="1">IFERROR(__xludf.DUMMYFUNCTION("""COMPUTED_VALUE"""),-0.923586998221555)</f>
        <v>-0.92358699822155499</v>
      </c>
      <c r="MU40" s="3">
        <f ca="1">IFERROR(__xludf.DUMMYFUNCTION("""COMPUTED_VALUE"""),-0.912813885400648)</f>
        <v>-0.91281388540064801</v>
      </c>
      <c r="MV40" s="3">
        <f ca="1">IFERROR(__xludf.DUMMYFUNCTION("""COMPUTED_VALUE"""),-0.895690554706413)</f>
        <v>-0.89569055470641301</v>
      </c>
      <c r="MW40" s="3">
        <f ca="1">IFERROR(__xludf.DUMMYFUNCTION("""COMPUTED_VALUE"""),-0.892411911753532)</f>
        <v>-0.89241191175353196</v>
      </c>
      <c r="MX40" s="3">
        <f ca="1">IFERROR(__xludf.DUMMYFUNCTION("""COMPUTED_VALUE"""),-0.89165052158278)</f>
        <v>-0.89165052158278002</v>
      </c>
      <c r="MY40" s="3">
        <f ca="1">IFERROR(__xludf.DUMMYFUNCTION("""COMPUTED_VALUE"""),-0.905206141105131)</f>
        <v>-0.90520614110513098</v>
      </c>
      <c r="MZ40" s="3">
        <f ca="1">IFERROR(__xludf.DUMMYFUNCTION("""COMPUTED_VALUE"""),-0.921231198100456)</f>
        <v>-0.92123119810045595</v>
      </c>
      <c r="NA40" s="3">
        <f ca="1">IFERROR(__xludf.DUMMYFUNCTION("""COMPUTED_VALUE"""),-0.925098943977128)</f>
        <v>-0.925098943977128</v>
      </c>
      <c r="NB40" s="3">
        <f ca="1">IFERROR(__xludf.DUMMYFUNCTION("""COMPUTED_VALUE"""),-0.904078622582433)</f>
        <v>-0.90407862258243299</v>
      </c>
      <c r="NC40" s="3">
        <f ca="1">IFERROR(__xludf.DUMMYFUNCTION("""COMPUTED_VALUE"""),-0.898626045494663)</f>
        <v>-0.89862604549466296</v>
      </c>
      <c r="ND40" s="3">
        <f ca="1">IFERROR(__xludf.DUMMYFUNCTION("""COMPUTED_VALUE"""),-0.902493882675487)</f>
        <v>-0.90249388267548702</v>
      </c>
      <c r="NE40" s="3">
        <f ca="1">IFERROR(__xludf.DUMMYFUNCTION("""COMPUTED_VALUE"""),-0.881619738437626)</f>
        <v>-0.88161973843762598</v>
      </c>
      <c r="NF40" s="3">
        <f ca="1">IFERROR(__xludf.DUMMYFUNCTION("""COMPUTED_VALUE"""),-0.932259113750778)</f>
        <v>-0.93225911375077797</v>
      </c>
      <c r="NG40" s="3">
        <f ca="1">IFERROR(__xludf.DUMMYFUNCTION("""COMPUTED_VALUE"""),-0.914479635672477)</f>
        <v>-0.91447963567247703</v>
      </c>
      <c r="NH40" s="3">
        <f ca="1">IFERROR(__xludf.DUMMYFUNCTION("""COMPUTED_VALUE"""),-0.908988610157413)</f>
        <v>-0.90898861015741295</v>
      </c>
      <c r="NI40" s="3">
        <f ca="1">IFERROR(__xludf.DUMMYFUNCTION("""COMPUTED_VALUE"""),-0.904172428792358)</f>
        <v>-0.90417242879235804</v>
      </c>
      <c r="NJ40" s="3">
        <f ca="1">IFERROR(__xludf.DUMMYFUNCTION("""COMPUTED_VALUE"""),-0.874572981547161)</f>
        <v>-0.87457298154716101</v>
      </c>
      <c r="NK40" s="3">
        <f ca="1">IFERROR(__xludf.DUMMYFUNCTION("""COMPUTED_VALUE"""),-0.865918000809379)</f>
        <v>-0.86591800080937897</v>
      </c>
      <c r="NL40" s="3">
        <f ca="1">IFERROR(__xludf.DUMMYFUNCTION("""COMPUTED_VALUE"""),-0.874631047115755)</f>
        <v>-0.87463104711575501</v>
      </c>
      <c r="NM40" s="3">
        <f ca="1">IFERROR(__xludf.DUMMYFUNCTION("""COMPUTED_VALUE"""),-0.893525766527263)</f>
        <v>-0.89352576652726301</v>
      </c>
      <c r="NN40" s="3">
        <f ca="1">IFERROR(__xludf.DUMMYFUNCTION("""COMPUTED_VALUE"""),-0.914433643878079)</f>
        <v>-0.91443364387807902</v>
      </c>
      <c r="NO40" s="3">
        <f ca="1">IFERROR(__xludf.DUMMYFUNCTION("""COMPUTED_VALUE"""),-0.88919135662647)</f>
        <v>-0.88919135662646998</v>
      </c>
      <c r="NP40" s="3">
        <f ca="1">IFERROR(__xludf.DUMMYFUNCTION("""COMPUTED_VALUE"""),-0.889751719555294)</f>
        <v>-0.88975171955529397</v>
      </c>
      <c r="NQ40" s="3">
        <f ca="1">IFERROR(__xludf.DUMMYFUNCTION("""COMPUTED_VALUE"""),-0.864129142026742)</f>
        <v>-0.86412914202674196</v>
      </c>
      <c r="NR40" s="3">
        <f ca="1">IFERROR(__xludf.DUMMYFUNCTION("""COMPUTED_VALUE"""),-0.843775241679646)</f>
        <v>-0.84377524167964602</v>
      </c>
      <c r="NS40" s="3">
        <f ca="1">IFERROR(__xludf.DUMMYFUNCTION("""COMPUTED_VALUE"""),-0.853684145102856)</f>
        <v>-0.85368414510285595</v>
      </c>
      <c r="NT40" s="3">
        <f ca="1">IFERROR(__xludf.DUMMYFUNCTION("""COMPUTED_VALUE"""),-0.866857900989715)</f>
        <v>-0.86685790098971505</v>
      </c>
      <c r="NU40" s="3">
        <f ca="1">IFERROR(__xludf.DUMMYFUNCTION("""COMPUTED_VALUE"""),-0.881657186995774)</f>
        <v>-0.881657186995774</v>
      </c>
      <c r="NV40" s="3">
        <f ca="1">IFERROR(__xludf.DUMMYFUNCTION("""COMPUTED_VALUE"""),-0.845798067629777)</f>
        <v>-0.84579806762977705</v>
      </c>
      <c r="NW40" s="3">
        <f ca="1">IFERROR(__xludf.DUMMYFUNCTION("""COMPUTED_VALUE"""),-0.855824402777254)</f>
        <v>-0.85582440277725402</v>
      </c>
      <c r="NX40" s="3">
        <f ca="1">IFERROR(__xludf.DUMMYFUNCTION("""COMPUTED_VALUE"""),-0.766393241633647)</f>
        <v>-0.76639324163364697</v>
      </c>
      <c r="NY40" s="3">
        <f ca="1">IFERROR(__xludf.DUMMYFUNCTION("""COMPUTED_VALUE"""),-0.764273871838278)</f>
        <v>-0.764273871838278</v>
      </c>
      <c r="NZ40" s="3">
        <f ca="1">IFERROR(__xludf.DUMMYFUNCTION("""COMPUTED_VALUE"""),-0.738625328881918)</f>
        <v>-0.73862532888191801</v>
      </c>
      <c r="OA40" s="3">
        <f ca="1">IFERROR(__xludf.DUMMYFUNCTION("""COMPUTED_VALUE"""),-0.745820851300649)</f>
        <v>-0.74582085130064901</v>
      </c>
      <c r="OB40" s="3">
        <f ca="1">IFERROR(__xludf.DUMMYFUNCTION("""COMPUTED_VALUE"""),-0.722555830176597)</f>
        <v>-0.72255583017659697</v>
      </c>
      <c r="OC40" s="3">
        <f ca="1">IFERROR(__xludf.DUMMYFUNCTION("""COMPUTED_VALUE"""),-0.682947637224737)</f>
        <v>-0.68294763722473695</v>
      </c>
      <c r="OD40" s="3">
        <f ca="1">IFERROR(__xludf.DUMMYFUNCTION("""COMPUTED_VALUE"""),-0.600713661685678)</f>
        <v>-0.60071366168567797</v>
      </c>
      <c r="OE40" s="3">
        <f ca="1">IFERROR(__xludf.DUMMYFUNCTION("""COMPUTED_VALUE"""),-0.504642879012091)</f>
        <v>-0.50464287901209104</v>
      </c>
      <c r="OF40" s="3">
        <f ca="1">IFERROR(__xludf.DUMMYFUNCTION("""COMPUTED_VALUE"""),-0.269219183904646)</f>
        <v>-0.269219183904646</v>
      </c>
      <c r="OG40" s="3">
        <f ca="1">IFERROR(__xludf.DUMMYFUNCTION("""COMPUTED_VALUE"""),-0.201667123969707)</f>
        <v>-0.20166712396970701</v>
      </c>
      <c r="OH40" s="3">
        <f ca="1">IFERROR(__xludf.DUMMYFUNCTION("""COMPUTED_VALUE"""),-0.138345789186125)</f>
        <v>-0.138345789186125</v>
      </c>
      <c r="OI40" s="3">
        <f ca="1">IFERROR(__xludf.DUMMYFUNCTION("""COMPUTED_VALUE"""),-0.0888231001293058)</f>
        <v>-8.8823100129305804E-2</v>
      </c>
      <c r="OJ40" s="3">
        <f ca="1">IFERROR(__xludf.DUMMYFUNCTION("""COMPUTED_VALUE"""),-0.0466615581313972)</f>
        <v>-4.6661558131397197E-2</v>
      </c>
      <c r="OK40" s="3">
        <f ca="1">IFERROR(__xludf.DUMMYFUNCTION("""COMPUTED_VALUE"""),-0.0759920158107817)</f>
        <v>-7.5992015810781702E-2</v>
      </c>
      <c r="OL40" s="3">
        <f ca="1">IFERROR(__xludf.DUMMYFUNCTION("""COMPUTED_VALUE"""),0.0414759424908985)</f>
        <v>4.1475942490898497E-2</v>
      </c>
      <c r="OM40" s="3">
        <f ca="1">IFERROR(__xludf.DUMMYFUNCTION("""COMPUTED_VALUE"""),-0.0448637641509915)</f>
        <v>-4.4863764150991498E-2</v>
      </c>
      <c r="ON40" s="3">
        <f ca="1">IFERROR(__xludf.DUMMYFUNCTION("""COMPUTED_VALUE"""),-0.181681829896965)</f>
        <v>-0.18168182989696499</v>
      </c>
      <c r="OO40" s="3">
        <f ca="1">IFERROR(__xludf.DUMMYFUNCTION("""COMPUTED_VALUE"""),-0.0229698386490503)</f>
        <v>-2.2969838649050299E-2</v>
      </c>
      <c r="OP40" s="3">
        <f ca="1">IFERROR(__xludf.DUMMYFUNCTION("""COMPUTED_VALUE"""),-0.0452007084497705)</f>
        <v>-4.5200708449770498E-2</v>
      </c>
      <c r="OQ40" s="3">
        <f ca="1">IFERROR(__xludf.DUMMYFUNCTION("""COMPUTED_VALUE"""),-0.0269004321037192)</f>
        <v>-2.6900432103719198E-2</v>
      </c>
      <c r="OR40" s="3">
        <f ca="1">IFERROR(__xludf.DUMMYFUNCTION("""COMPUTED_VALUE"""),-0.0608651295010914)</f>
        <v>-6.0865129501091401E-2</v>
      </c>
      <c r="OS40" s="3">
        <f ca="1">IFERROR(__xludf.DUMMYFUNCTION("""COMPUTED_VALUE"""),0.0670194098818384)</f>
        <v>6.7019409881838396E-2</v>
      </c>
      <c r="OT40" s="3">
        <f ca="1">IFERROR(__xludf.DUMMYFUNCTION("""COMPUTED_VALUE"""),0.0540265072156898)</f>
        <v>5.4026507215689801E-2</v>
      </c>
      <c r="OU40" s="3">
        <f ca="1">IFERROR(__xludf.DUMMYFUNCTION("""COMPUTED_VALUE"""),-0.00395641776372734)</f>
        <v>-3.9564177637273403E-3</v>
      </c>
      <c r="OV40" s="3">
        <f ca="1">IFERROR(__xludf.DUMMYFUNCTION("""COMPUTED_VALUE"""),0.00880259985687881)</f>
        <v>8.8025998568788105E-3</v>
      </c>
      <c r="OW40" s="3">
        <f ca="1">IFERROR(__xludf.DUMMYFUNCTION("""COMPUTED_VALUE"""),-0.0371068645128928)</f>
        <v>-3.7106864512892801E-2</v>
      </c>
      <c r="OX40" s="3">
        <f ca="1">IFERROR(__xludf.DUMMYFUNCTION("""COMPUTED_VALUE"""),0.0218598991767029)</f>
        <v>2.1859899176702901E-2</v>
      </c>
      <c r="OY40" s="3">
        <f ca="1">IFERROR(__xludf.DUMMYFUNCTION("""COMPUTED_VALUE"""),-0.0237416709469122)</f>
        <v>-2.3741670946912201E-2</v>
      </c>
      <c r="OZ40" s="3">
        <f ca="1">IFERROR(__xludf.DUMMYFUNCTION("""COMPUTED_VALUE"""),0.285442547450107)</f>
        <v>0.285442547450107</v>
      </c>
      <c r="PA40" s="3">
        <f ca="1">IFERROR(__xludf.DUMMYFUNCTION("""COMPUTED_VALUE"""),-0.00648023720817703)</f>
        <v>-6.4802372081770301E-3</v>
      </c>
      <c r="PB40" s="3">
        <f ca="1">IFERROR(__xludf.DUMMYFUNCTION("""COMPUTED_VALUE"""),-0.0234425885160735)</f>
        <v>-2.34425885160735E-2</v>
      </c>
      <c r="PC40" s="3">
        <f ca="1">IFERROR(__xludf.DUMMYFUNCTION("""COMPUTED_VALUE"""),-0.0976207902409066)</f>
        <v>-9.7620790240906599E-2</v>
      </c>
      <c r="PD40" s="3">
        <f ca="1">IFERROR(__xludf.DUMMYFUNCTION("""COMPUTED_VALUE"""),-0.119756952616977)</f>
        <v>-0.119756952616977</v>
      </c>
      <c r="PE40" s="3">
        <f ca="1">IFERROR(__xludf.DUMMYFUNCTION("""COMPUTED_VALUE"""),0.140592210907903)</f>
        <v>0.140592210907903</v>
      </c>
      <c r="PF40" s="3">
        <f ca="1">IFERROR(__xludf.DUMMYFUNCTION("""COMPUTED_VALUE"""),-0.0473177086266974)</f>
        <v>-4.7317708626697402E-2</v>
      </c>
      <c r="PG40" s="3">
        <f ca="1">IFERROR(__xludf.DUMMYFUNCTION("""COMPUTED_VALUE"""),-0.407724824431543)</f>
        <v>-0.40772482443154301</v>
      </c>
      <c r="PH40" s="3">
        <f ca="1">IFERROR(__xludf.DUMMYFUNCTION("""COMPUTED_VALUE"""),0.0142326697579697)</f>
        <v>1.4232669757969701E-2</v>
      </c>
      <c r="PI40" s="3">
        <f ca="1">IFERROR(__xludf.DUMMYFUNCTION("""COMPUTED_VALUE"""),-0.00206198935235824)</f>
        <v>-2.06198935235824E-3</v>
      </c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</row>
    <row r="41" spans="1:477" ht="15.75" customHeight="1">
      <c r="A41" s="1" t="str">
        <f ca="1">IFERROR(__xludf.DUMMYFUNCTION("""COMPUTED_VALUE"""),"Busit")</f>
        <v>Busit</v>
      </c>
      <c r="B41" s="1" t="str">
        <f ca="1">IFERROR(__xludf.DUMMYFUNCTION("""COMPUTED_VALUE"""),"Hamilton")</f>
        <v>Hamilton</v>
      </c>
      <c r="C41" s="1" t="str">
        <f ca="1">IFERROR(__xludf.DUMMYFUNCTION("""COMPUTED_VALUE"""),"New Zealand")</f>
        <v>New Zealand</v>
      </c>
      <c r="D41" s="1" t="str">
        <f ca="1">IFERROR(__xludf.DUMMYFUNCTION("""COMPUTED_VALUE"""),"Waikato")</f>
        <v>Waikato</v>
      </c>
      <c r="E41" s="3">
        <f ca="1">IFERROR(__xludf.DUMMYFUNCTION("""COMPUTED_VALUE"""),-0.150595827701927)</f>
        <v>-0.150595827701927</v>
      </c>
      <c r="F41" s="3">
        <f ca="1">IFERROR(__xludf.DUMMYFUNCTION("""COMPUTED_VALUE"""),-0.0694065281238213)</f>
        <v>-6.9406528123821296E-2</v>
      </c>
      <c r="G41" s="3">
        <f ca="1">IFERROR(__xludf.DUMMYFUNCTION("""COMPUTED_VALUE"""),0.119200077494138)</f>
        <v>0.119200077494138</v>
      </c>
      <c r="H41" s="3">
        <f ca="1">IFERROR(__xludf.DUMMYFUNCTION("""COMPUTED_VALUE"""),0.111118381997468)</f>
        <v>0.111118381997468</v>
      </c>
      <c r="I41" s="3">
        <f ca="1">IFERROR(__xludf.DUMMYFUNCTION("""COMPUTED_VALUE"""),-0.00147889190223715)</f>
        <v>-1.47889190223715E-3</v>
      </c>
      <c r="J41" s="3">
        <f ca="1">IFERROR(__xludf.DUMMYFUNCTION("""COMPUTED_VALUE"""),-0.315402551035554)</f>
        <v>-0.31540255103555398</v>
      </c>
      <c r="K41" s="3">
        <f ca="1">IFERROR(__xludf.DUMMYFUNCTION("""COMPUTED_VALUE"""),-0.656849096890569)</f>
        <v>-0.65684909689056903</v>
      </c>
      <c r="L41" s="3">
        <f ca="1">IFERROR(__xludf.DUMMYFUNCTION("""COMPUTED_VALUE"""),-0.426344580752746)</f>
        <v>-0.42634458075274601</v>
      </c>
      <c r="M41" s="3">
        <f ca="1">IFERROR(__xludf.DUMMYFUNCTION("""COMPUTED_VALUE"""),-0.430171931022328)</f>
        <v>-0.43017193102232798</v>
      </c>
      <c r="N41" s="3">
        <f ca="1">IFERROR(__xludf.DUMMYFUNCTION("""COMPUTED_VALUE"""),-0.668053436276187)</f>
        <v>-0.66805343627618696</v>
      </c>
      <c r="O41" s="3">
        <f ca="1">IFERROR(__xludf.DUMMYFUNCTION("""COMPUTED_VALUE"""),-0.000775913133525651)</f>
        <v>-7.7591313352565097E-4</v>
      </c>
      <c r="P41" s="3">
        <f ca="1">IFERROR(__xludf.DUMMYFUNCTION("""COMPUTED_VALUE"""),-0.0707762877722489)</f>
        <v>-7.0776287772248897E-2</v>
      </c>
      <c r="Q41" s="3">
        <f ca="1">IFERROR(__xludf.DUMMYFUNCTION("""COMPUTED_VALUE"""),-0.0995224338486014)</f>
        <v>-9.9522433848601405E-2</v>
      </c>
      <c r="R41" s="3">
        <f ca="1">IFERROR(__xludf.DUMMYFUNCTION("""COMPUTED_VALUE"""),-0.053908060972969)</f>
        <v>-5.3908060972968998E-2</v>
      </c>
      <c r="S41" s="3">
        <f ca="1">IFERROR(__xludf.DUMMYFUNCTION("""COMPUTED_VALUE"""),-0.235696648918825)</f>
        <v>-0.235696648918825</v>
      </c>
      <c r="T41" s="3">
        <f ca="1">IFERROR(__xludf.DUMMYFUNCTION("""COMPUTED_VALUE"""),-0.298228250543635)</f>
        <v>-0.298228250543635</v>
      </c>
      <c r="U41" s="3">
        <f ca="1">IFERROR(__xludf.DUMMYFUNCTION("""COMPUTED_VALUE"""),-0.0994092732379461)</f>
        <v>-9.94092732379461E-2</v>
      </c>
      <c r="V41" s="3">
        <f ca="1">IFERROR(__xludf.DUMMYFUNCTION("""COMPUTED_VALUE"""),-0.00769320524558281)</f>
        <v>-7.69320524558281E-3</v>
      </c>
      <c r="W41" s="3">
        <f ca="1">IFERROR(__xludf.DUMMYFUNCTION("""COMPUTED_VALUE"""),-0.0170188441428883)</f>
        <v>-1.70188441428883E-2</v>
      </c>
      <c r="X41" s="3">
        <f ca="1">IFERROR(__xludf.DUMMYFUNCTION("""COMPUTED_VALUE"""),0.0265258869842452)</f>
        <v>2.6525886984245201E-2</v>
      </c>
      <c r="Y41" s="3">
        <f ca="1">IFERROR(__xludf.DUMMYFUNCTION("""COMPUTED_VALUE"""),-0.0391253424430071)</f>
        <v>-3.9125342443007097E-2</v>
      </c>
      <c r="Z41" s="3">
        <f ca="1">IFERROR(__xludf.DUMMYFUNCTION("""COMPUTED_VALUE"""),-0.103379202167637)</f>
        <v>-0.103379202167637</v>
      </c>
      <c r="AA41" s="3">
        <f ca="1">IFERROR(__xludf.DUMMYFUNCTION("""COMPUTED_VALUE"""),-0.123692681009174)</f>
        <v>-0.12369268100917399</v>
      </c>
      <c r="AB41" s="3">
        <f ca="1">IFERROR(__xludf.DUMMYFUNCTION("""COMPUTED_VALUE"""),-0.0816304528235205)</f>
        <v>-8.1630452823520494E-2</v>
      </c>
      <c r="AC41" s="3">
        <f ca="1">IFERROR(__xludf.DUMMYFUNCTION("""COMPUTED_VALUE"""),-0.0402334028747071)</f>
        <v>-4.02334028747071E-2</v>
      </c>
      <c r="AD41" s="3">
        <f ca="1">IFERROR(__xludf.DUMMYFUNCTION("""COMPUTED_VALUE"""),0.0239988670994288)</f>
        <v>2.3998867099428799E-2</v>
      </c>
      <c r="AE41" s="3">
        <f ca="1">IFERROR(__xludf.DUMMYFUNCTION("""COMPUTED_VALUE"""),0.0316837019845659)</f>
        <v>3.1683701984565903E-2</v>
      </c>
      <c r="AF41" s="3">
        <f ca="1">IFERROR(__xludf.DUMMYFUNCTION("""COMPUTED_VALUE"""),-0.0745664331590008)</f>
        <v>-7.45664331590008E-2</v>
      </c>
      <c r="AG41" s="3">
        <f ca="1">IFERROR(__xludf.DUMMYFUNCTION("""COMPUTED_VALUE"""),-0.179885755712872)</f>
        <v>-0.17988575571287199</v>
      </c>
      <c r="AH41" s="3">
        <f ca="1">IFERROR(__xludf.DUMMYFUNCTION("""COMPUTED_VALUE"""),-0.234590587223515)</f>
        <v>-0.234590587223515</v>
      </c>
      <c r="AI41" s="3">
        <f ca="1">IFERROR(__xludf.DUMMYFUNCTION("""COMPUTED_VALUE"""),-0.135461465973038)</f>
        <v>-0.13546146597303799</v>
      </c>
      <c r="AJ41" s="3">
        <f ca="1">IFERROR(__xludf.DUMMYFUNCTION("""COMPUTED_VALUE"""),-0.0647792741062226)</f>
        <v>-6.4779274106222598E-2</v>
      </c>
      <c r="AK41" s="3">
        <f ca="1">IFERROR(__xludf.DUMMYFUNCTION("""COMPUTED_VALUE"""),-0.100927011709567)</f>
        <v>-0.100927011709567</v>
      </c>
      <c r="AL41" s="3">
        <f ca="1">IFERROR(__xludf.DUMMYFUNCTION("""COMPUTED_VALUE"""),-0.0634624650919014)</f>
        <v>-6.3462465091901399E-2</v>
      </c>
      <c r="AM41" s="3">
        <f ca="1">IFERROR(__xludf.DUMMYFUNCTION("""COMPUTED_VALUE"""),0.00853454457894642)</f>
        <v>8.5345445789464201E-3</v>
      </c>
      <c r="AN41" s="3">
        <f ca="1">IFERROR(__xludf.DUMMYFUNCTION("""COMPUTED_VALUE"""),-0.237240721951925)</f>
        <v>-0.237240721951925</v>
      </c>
      <c r="AO41" s="3">
        <f ca="1">IFERROR(__xludf.DUMMYFUNCTION("""COMPUTED_VALUE"""),-0.277988844815564)</f>
        <v>-0.27798884481556402</v>
      </c>
      <c r="AP41" s="3">
        <f ca="1">IFERROR(__xludf.DUMMYFUNCTION("""COMPUTED_VALUE"""),-0.139085248437559)</f>
        <v>-0.13908524843755901</v>
      </c>
      <c r="AQ41" s="3">
        <f ca="1">IFERROR(__xludf.DUMMYFUNCTION("""COMPUTED_VALUE"""),-0.189446597588392)</f>
        <v>-0.189446597588392</v>
      </c>
      <c r="AR41" s="3">
        <f ca="1">IFERROR(__xludf.DUMMYFUNCTION("""COMPUTED_VALUE"""),-0.116824591040144)</f>
        <v>-0.116824591040144</v>
      </c>
      <c r="AS41" s="3">
        <f ca="1">IFERROR(__xludf.DUMMYFUNCTION("""COMPUTED_VALUE"""),-0.116419766662285)</f>
        <v>-0.116419766662285</v>
      </c>
      <c r="AT41" s="3">
        <f ca="1">IFERROR(__xludf.DUMMYFUNCTION("""COMPUTED_VALUE"""),-0.146997294708746)</f>
        <v>-0.14699729470874601</v>
      </c>
      <c r="AU41" s="3">
        <f ca="1">IFERROR(__xludf.DUMMYFUNCTION("""COMPUTED_VALUE"""),-0.261952726790017)</f>
        <v>-0.26195272679001702</v>
      </c>
      <c r="AV41" s="3">
        <f ca="1">IFERROR(__xludf.DUMMYFUNCTION("""COMPUTED_VALUE"""),-0.210548980878782)</f>
        <v>-0.21054898087878199</v>
      </c>
      <c r="AW41" s="3">
        <f ca="1">IFERROR(__xludf.DUMMYFUNCTION("""COMPUTED_VALUE"""),-0.106567976168797)</f>
        <v>-0.106567976168797</v>
      </c>
      <c r="AX41" s="3">
        <f ca="1">IFERROR(__xludf.DUMMYFUNCTION("""COMPUTED_VALUE"""),-0.133829226183733)</f>
        <v>-0.133829226183733</v>
      </c>
      <c r="AY41" s="3">
        <f ca="1">IFERROR(__xludf.DUMMYFUNCTION("""COMPUTED_VALUE"""),-0.156149953019415)</f>
        <v>-0.15614995301941501</v>
      </c>
      <c r="AZ41" s="3">
        <f ca="1">IFERROR(__xludf.DUMMYFUNCTION("""COMPUTED_VALUE"""),-0.088408151364435)</f>
        <v>-8.8408151364435E-2</v>
      </c>
      <c r="BA41" s="3">
        <f ca="1">IFERROR(__xludf.DUMMYFUNCTION("""COMPUTED_VALUE"""),-0.131117564722612)</f>
        <v>-0.13111756472261199</v>
      </c>
      <c r="BB41" s="3">
        <f ca="1">IFERROR(__xludf.DUMMYFUNCTION("""COMPUTED_VALUE"""),-0.183564150994612)</f>
        <v>-0.18356415099461201</v>
      </c>
      <c r="BC41" s="3">
        <f ca="1">IFERROR(__xludf.DUMMYFUNCTION("""COMPUTED_VALUE"""),-0.178588616104308)</f>
        <v>-0.17858861610430801</v>
      </c>
      <c r="BD41" s="3">
        <f ca="1">IFERROR(__xludf.DUMMYFUNCTION("""COMPUTED_VALUE"""),-0.160638855654457)</f>
        <v>-0.16063885565445701</v>
      </c>
      <c r="BE41" s="3">
        <f ca="1">IFERROR(__xludf.DUMMYFUNCTION("""COMPUTED_VALUE"""),-0.14158234574154)</f>
        <v>-0.14158234574153999</v>
      </c>
      <c r="BF41" s="3">
        <f ca="1">IFERROR(__xludf.DUMMYFUNCTION("""COMPUTED_VALUE"""),-0.235354493897777)</f>
        <v>-0.23535449389777699</v>
      </c>
      <c r="BG41" s="3">
        <f ca="1">IFERROR(__xludf.DUMMYFUNCTION("""COMPUTED_VALUE"""),-0.183552674280219)</f>
        <v>-0.18355267428021901</v>
      </c>
      <c r="BH41" s="3">
        <f ca="1">IFERROR(__xludf.DUMMYFUNCTION("""COMPUTED_VALUE"""),-0.28426609769403)</f>
        <v>-0.28426609769403</v>
      </c>
      <c r="BI41" s="3">
        <f ca="1">IFERROR(__xludf.DUMMYFUNCTION("""COMPUTED_VALUE"""),-0.103215128099851)</f>
        <v>-0.10321512809985101</v>
      </c>
      <c r="BJ41" s="3">
        <f ca="1">IFERROR(__xludf.DUMMYFUNCTION("""COMPUTED_VALUE"""),-0.22836316031432)</f>
        <v>-0.22836316031432</v>
      </c>
      <c r="BK41" s="3">
        <f ca="1">IFERROR(__xludf.DUMMYFUNCTION("""COMPUTED_VALUE"""),-0.0212972589824439)</f>
        <v>-2.12972589824439E-2</v>
      </c>
      <c r="BL41" s="3">
        <f ca="1">IFERROR(__xludf.DUMMYFUNCTION("""COMPUTED_VALUE"""),0.133981302886284)</f>
        <v>0.13398130288628399</v>
      </c>
      <c r="BM41" s="3">
        <f ca="1">IFERROR(__xludf.DUMMYFUNCTION("""COMPUTED_VALUE"""),-0.0525964115133763)</f>
        <v>-5.2596411513376302E-2</v>
      </c>
      <c r="BN41" s="3">
        <f ca="1">IFERROR(__xludf.DUMMYFUNCTION("""COMPUTED_VALUE"""),-0.107900376706222)</f>
        <v>-0.107900376706222</v>
      </c>
      <c r="BO41" s="3">
        <f ca="1">IFERROR(__xludf.DUMMYFUNCTION("""COMPUTED_VALUE"""),-0.678914779568092)</f>
        <v>-0.67891477956809199</v>
      </c>
      <c r="BP41" s="3">
        <f ca="1">IFERROR(__xludf.DUMMYFUNCTION("""COMPUTED_VALUE"""),-0.220610751646258)</f>
        <v>-0.22061075164625801</v>
      </c>
      <c r="BQ41" s="3">
        <f ca="1">IFERROR(__xludf.DUMMYFUNCTION("""COMPUTED_VALUE"""),-0.279177100022364)</f>
        <v>-0.27917710002236401</v>
      </c>
      <c r="BR41" s="3">
        <f ca="1">IFERROR(__xludf.DUMMYFUNCTION("""COMPUTED_VALUE"""),0.0267139956613002)</f>
        <v>2.6713995661300199E-2</v>
      </c>
      <c r="BS41" s="3">
        <f ca="1">IFERROR(__xludf.DUMMYFUNCTION("""COMPUTED_VALUE"""),0.128421318562968)</f>
        <v>0.12842131856296801</v>
      </c>
      <c r="BT41" s="3">
        <f ca="1">IFERROR(__xludf.DUMMYFUNCTION("""COMPUTED_VALUE"""),-0.217648433653296)</f>
        <v>-0.217648433653296</v>
      </c>
      <c r="BU41" s="3">
        <f ca="1">IFERROR(__xludf.DUMMYFUNCTION("""COMPUTED_VALUE"""),-0.214611263963225)</f>
        <v>-0.214611263963225</v>
      </c>
      <c r="BV41" s="3">
        <f ca="1">IFERROR(__xludf.DUMMYFUNCTION("""COMPUTED_VALUE"""),-0.582587077208471)</f>
        <v>-0.58258707720847103</v>
      </c>
      <c r="BW41" s="3">
        <f ca="1">IFERROR(__xludf.DUMMYFUNCTION("""COMPUTED_VALUE"""),-0.353064344152703)</f>
        <v>-0.35306434415270299</v>
      </c>
      <c r="BX41" s="3">
        <f ca="1">IFERROR(__xludf.DUMMYFUNCTION("""COMPUTED_VALUE"""),-0.281409241452166)</f>
        <v>-0.281409241452166</v>
      </c>
      <c r="BY41" s="3">
        <f ca="1">IFERROR(__xludf.DUMMYFUNCTION("""COMPUTED_VALUE"""),-0.254807047125283)</f>
        <v>-0.25480704712528301</v>
      </c>
      <c r="BZ41" s="3">
        <f ca="1">IFERROR(__xludf.DUMMYFUNCTION("""COMPUTED_VALUE"""),-0.00787989715287262)</f>
        <v>-7.8798971528726194E-3</v>
      </c>
      <c r="CA41" s="3">
        <f ca="1">IFERROR(__xludf.DUMMYFUNCTION("""COMPUTED_VALUE"""),-0.245757689446927)</f>
        <v>-0.245757689446927</v>
      </c>
      <c r="CB41" s="3">
        <f ca="1">IFERROR(__xludf.DUMMYFUNCTION("""COMPUTED_VALUE"""),-0.305245464632343)</f>
        <v>-0.30524546463234298</v>
      </c>
      <c r="CC41" s="3">
        <f ca="1">IFERROR(__xludf.DUMMYFUNCTION("""COMPUTED_VALUE"""),-0.144685361853842)</f>
        <v>-0.14468536185384201</v>
      </c>
      <c r="CD41" s="3">
        <f ca="1">IFERROR(__xludf.DUMMYFUNCTION("""COMPUTED_VALUE"""),-0.328309223687789)</f>
        <v>-0.32830922368778898</v>
      </c>
      <c r="CE41" s="3">
        <f ca="1">IFERROR(__xludf.DUMMYFUNCTION("""COMPUTED_VALUE"""),-0.141560717672242)</f>
        <v>-0.14156071767224199</v>
      </c>
      <c r="CF41" s="3">
        <f ca="1">IFERROR(__xludf.DUMMYFUNCTION("""COMPUTED_VALUE"""),-0.215560219358629)</f>
        <v>-0.21556021935862901</v>
      </c>
      <c r="CG41" s="3">
        <f ca="1">IFERROR(__xludf.DUMMYFUNCTION("""COMPUTED_VALUE"""),-0.257241302210753)</f>
        <v>-0.25724130221075298</v>
      </c>
      <c r="CH41" s="3">
        <f ca="1">IFERROR(__xludf.DUMMYFUNCTION("""COMPUTED_VALUE"""),-0.236478263161386)</f>
        <v>-0.23647826316138601</v>
      </c>
      <c r="CI41" s="3">
        <f ca="1">IFERROR(__xludf.DUMMYFUNCTION("""COMPUTED_VALUE"""),-0.259441766598717)</f>
        <v>-0.25944176659871698</v>
      </c>
      <c r="CJ41" s="3">
        <f ca="1">IFERROR(__xludf.DUMMYFUNCTION("""COMPUTED_VALUE"""),-0.172744393645369)</f>
        <v>-0.172744393645369</v>
      </c>
      <c r="CK41" s="3">
        <f ca="1">IFERROR(__xludf.DUMMYFUNCTION("""COMPUTED_VALUE"""),-0.287699759109563)</f>
        <v>-0.28769975910956302</v>
      </c>
      <c r="CL41" s="3">
        <f ca="1">IFERROR(__xludf.DUMMYFUNCTION("""COMPUTED_VALUE"""),-0.204750010111196)</f>
        <v>-0.20475001011119601</v>
      </c>
      <c r="CM41" s="3">
        <f ca="1">IFERROR(__xludf.DUMMYFUNCTION("""COMPUTED_VALUE"""),-0.202392128256356)</f>
        <v>-0.202392128256356</v>
      </c>
      <c r="CN41" s="3">
        <f ca="1">IFERROR(__xludf.DUMMYFUNCTION("""COMPUTED_VALUE"""),-0.127518654834089)</f>
        <v>-0.127518654834089</v>
      </c>
      <c r="CO41" s="3">
        <f ca="1">IFERROR(__xludf.DUMMYFUNCTION("""COMPUTED_VALUE"""),-0.14110848625884)</f>
        <v>-0.14110848625884001</v>
      </c>
      <c r="CP41" s="3">
        <f ca="1">IFERROR(__xludf.DUMMYFUNCTION("""COMPUTED_VALUE"""),-0.167988334768971)</f>
        <v>-0.16798833476897099</v>
      </c>
      <c r="CQ41" s="3">
        <f ca="1">IFERROR(__xludf.DUMMYFUNCTION("""COMPUTED_VALUE"""),-0.330807128300819)</f>
        <v>-0.33080712830081899</v>
      </c>
      <c r="CR41" s="3">
        <f ca="1">IFERROR(__xludf.DUMMYFUNCTION("""COMPUTED_VALUE"""),-0.311331515599425)</f>
        <v>-0.31133151559942501</v>
      </c>
      <c r="CS41" s="3">
        <f ca="1">IFERROR(__xludf.DUMMYFUNCTION("""COMPUTED_VALUE"""),-0.208491995315669)</f>
        <v>-0.208491995315669</v>
      </c>
      <c r="CT41" s="3">
        <f ca="1">IFERROR(__xludf.DUMMYFUNCTION("""COMPUTED_VALUE"""),-0.270031294266064)</f>
        <v>-0.27003129426606398</v>
      </c>
      <c r="CU41" s="3">
        <f ca="1">IFERROR(__xludf.DUMMYFUNCTION("""COMPUTED_VALUE"""),-0.147271700211968)</f>
        <v>-0.147271700211968</v>
      </c>
      <c r="CV41" s="3">
        <f ca="1">IFERROR(__xludf.DUMMYFUNCTION("""COMPUTED_VALUE"""),-0.182054653185534)</f>
        <v>-0.18205465318553399</v>
      </c>
      <c r="CW41" s="3">
        <f ca="1">IFERROR(__xludf.DUMMYFUNCTION("""COMPUTED_VALUE"""),-0.345722431823185)</f>
        <v>-0.34572243182318502</v>
      </c>
      <c r="CX41" s="3">
        <f ca="1">IFERROR(__xludf.DUMMYFUNCTION("""COMPUTED_VALUE"""),-0.531136211949925)</f>
        <v>-0.531136211949925</v>
      </c>
      <c r="CY41" s="3">
        <f ca="1">IFERROR(__xludf.DUMMYFUNCTION("""COMPUTED_VALUE"""),-0.327099513216924)</f>
        <v>-0.32709951321692399</v>
      </c>
      <c r="CZ41" s="3">
        <f ca="1">IFERROR(__xludf.DUMMYFUNCTION("""COMPUTED_VALUE"""),-0.494837545863136)</f>
        <v>-0.494837545863136</v>
      </c>
      <c r="DA41" s="3">
        <f ca="1">IFERROR(__xludf.DUMMYFUNCTION("""COMPUTED_VALUE"""),-0.599786683751626)</f>
        <v>-0.59978668375162603</v>
      </c>
      <c r="DB41" s="3">
        <f ca="1">IFERROR(__xludf.DUMMYFUNCTION("""COMPUTED_VALUE"""),-0.203136524762927)</f>
        <v>-0.20313652476292701</v>
      </c>
      <c r="DC41" s="3">
        <f ca="1">IFERROR(__xludf.DUMMYFUNCTION("""COMPUTED_VALUE"""),0.238424967074463)</f>
        <v>0.23842496707446301</v>
      </c>
      <c r="DD41" s="3">
        <f ca="1">IFERROR(__xludf.DUMMYFUNCTION("""COMPUTED_VALUE"""),-0.210185475162182)</f>
        <v>-0.210185475162182</v>
      </c>
      <c r="DE41" s="3">
        <f ca="1">IFERROR(__xludf.DUMMYFUNCTION("""COMPUTED_VALUE"""),-0.48484043021589)</f>
        <v>-0.48484043021589002</v>
      </c>
      <c r="DF41" s="3">
        <f ca="1">IFERROR(__xludf.DUMMYFUNCTION("""COMPUTED_VALUE"""),-0.329069598987911)</f>
        <v>-0.32906959898791099</v>
      </c>
      <c r="DG41" s="3">
        <f ca="1">IFERROR(__xludf.DUMMYFUNCTION("""COMPUTED_VALUE"""),-0.257993131147714)</f>
        <v>-0.25799313114771399</v>
      </c>
      <c r="DH41" s="3">
        <f ca="1">IFERROR(__xludf.DUMMYFUNCTION("""COMPUTED_VALUE"""),-0.791214716769152)</f>
        <v>-0.791214716769152</v>
      </c>
      <c r="DI41" s="3">
        <f ca="1">IFERROR(__xludf.DUMMYFUNCTION("""COMPUTED_VALUE"""),-0.271600268419166)</f>
        <v>-0.27160026841916601</v>
      </c>
      <c r="DJ41" s="3">
        <f ca="1">IFERROR(__xludf.DUMMYFUNCTION("""COMPUTED_VALUE"""),0.510169972243812)</f>
        <v>0.510169972243812</v>
      </c>
      <c r="DK41" s="3">
        <f ca="1">IFERROR(__xludf.DUMMYFUNCTION("""COMPUTED_VALUE"""),0.0269471174590001)</f>
        <v>2.6947117459000101E-2</v>
      </c>
      <c r="DL41" s="3">
        <f ca="1">IFERROR(__xludf.DUMMYFUNCTION("""COMPUTED_VALUE"""),-0.0735843740346596)</f>
        <v>-7.3584374034659603E-2</v>
      </c>
      <c r="DM41" s="3">
        <f ca="1">IFERROR(__xludf.DUMMYFUNCTION("""COMPUTED_VALUE"""),-0.221602660369152)</f>
        <v>-0.22160266036915199</v>
      </c>
      <c r="DN41" s="3">
        <f ca="1">IFERROR(__xludf.DUMMYFUNCTION("""COMPUTED_VALUE"""),-0.198240546040253)</f>
        <v>-0.19824054604025301</v>
      </c>
      <c r="DO41" s="3">
        <f ca="1">IFERROR(__xludf.DUMMYFUNCTION("""COMPUTED_VALUE"""),-0.0595256248870599)</f>
        <v>-5.9525624887059897E-2</v>
      </c>
      <c r="DP41" s="3">
        <f ca="1">IFERROR(__xludf.DUMMYFUNCTION("""COMPUTED_VALUE"""),0.00572411994381338)</f>
        <v>5.7241199438133796E-3</v>
      </c>
      <c r="DQ41" s="3">
        <f ca="1">IFERROR(__xludf.DUMMYFUNCTION("""COMPUTED_VALUE"""),0.260592855236218)</f>
        <v>0.260592855236218</v>
      </c>
      <c r="DR41" s="3">
        <f ca="1">IFERROR(__xludf.DUMMYFUNCTION("""COMPUTED_VALUE"""),-0.0605338396061038)</f>
        <v>-6.0533839606103798E-2</v>
      </c>
      <c r="DS41" s="3">
        <f ca="1">IFERROR(__xludf.DUMMYFUNCTION("""COMPUTED_VALUE"""),-0.0836549223650925)</f>
        <v>-8.3654922365092504E-2</v>
      </c>
      <c r="DT41" s="3">
        <f ca="1">IFERROR(__xludf.DUMMYFUNCTION("""COMPUTED_VALUE"""),-0.267912906006897)</f>
        <v>-0.26791290600689699</v>
      </c>
      <c r="DU41" s="3">
        <f ca="1">IFERROR(__xludf.DUMMYFUNCTION("""COMPUTED_VALUE"""),-0.222945556866834)</f>
        <v>-0.22294555686683401</v>
      </c>
      <c r="DV41" s="3">
        <f ca="1">IFERROR(__xludf.DUMMYFUNCTION("""COMPUTED_VALUE"""),-0.171827068646278)</f>
        <v>-0.171827068646278</v>
      </c>
      <c r="DW41" s="3">
        <f ca="1">IFERROR(__xludf.DUMMYFUNCTION("""COMPUTED_VALUE"""),-0.122412132449178)</f>
        <v>-0.12241213244917799</v>
      </c>
      <c r="DX41" s="3">
        <f ca="1">IFERROR(__xludf.DUMMYFUNCTION("""COMPUTED_VALUE"""),-0.105496447359511)</f>
        <v>-0.105496447359511</v>
      </c>
      <c r="DY41" s="3">
        <f ca="1">IFERROR(__xludf.DUMMYFUNCTION("""COMPUTED_VALUE"""),-0.153955834698581)</f>
        <v>-0.15395583469858101</v>
      </c>
      <c r="DZ41" s="3">
        <f ca="1">IFERROR(__xludf.DUMMYFUNCTION("""COMPUTED_VALUE"""),-0.205507903144648)</f>
        <v>-0.20550790314464801</v>
      </c>
      <c r="EA41" s="3">
        <f ca="1">IFERROR(__xludf.DUMMYFUNCTION("""COMPUTED_VALUE"""),-0.268120384055815)</f>
        <v>-0.26812038405581501</v>
      </c>
      <c r="EB41" s="3">
        <f ca="1">IFERROR(__xludf.DUMMYFUNCTION("""COMPUTED_VALUE"""),-0.251840371809582)</f>
        <v>-0.25184037180958202</v>
      </c>
      <c r="EC41" s="3">
        <f ca="1">IFERROR(__xludf.DUMMYFUNCTION("""COMPUTED_VALUE"""),-0.206461741755716)</f>
        <v>-0.20646174175571599</v>
      </c>
      <c r="ED41" s="3">
        <f ca="1">IFERROR(__xludf.DUMMYFUNCTION("""COMPUTED_VALUE"""),-0.131887359058866)</f>
        <v>-0.131887359058866</v>
      </c>
      <c r="EE41" s="3">
        <f ca="1">IFERROR(__xludf.DUMMYFUNCTION("""COMPUTED_VALUE"""),-0.0966686755651805)</f>
        <v>-9.6668675565180495E-2</v>
      </c>
      <c r="EF41" s="3">
        <f ca="1">IFERROR(__xludf.DUMMYFUNCTION("""COMPUTED_VALUE"""),-0.108132531280053)</f>
        <v>-0.108132531280053</v>
      </c>
      <c r="EG41" s="3">
        <f ca="1">IFERROR(__xludf.DUMMYFUNCTION("""COMPUTED_VALUE"""),-0.144638736147737)</f>
        <v>-0.14463873614773701</v>
      </c>
      <c r="EH41" s="3">
        <f ca="1">IFERROR(__xludf.DUMMYFUNCTION("""COMPUTED_VALUE"""),-0.466942464762355)</f>
        <v>-0.46694246476235501</v>
      </c>
      <c r="EI41" s="3">
        <f ca="1">IFERROR(__xludf.DUMMYFUNCTION("""COMPUTED_VALUE"""),-0.243273569455338)</f>
        <v>-0.24327356945533801</v>
      </c>
      <c r="EJ41" s="3">
        <f ca="1">IFERROR(__xludf.DUMMYFUNCTION("""COMPUTED_VALUE"""),-0.071546405829789)</f>
        <v>-7.1546405829788995E-2</v>
      </c>
      <c r="EK41" s="3">
        <f ca="1">IFERROR(__xludf.DUMMYFUNCTION("""COMPUTED_VALUE"""),-0.137822811392274)</f>
        <v>-0.13782281139227401</v>
      </c>
      <c r="EL41" s="3">
        <f ca="1">IFERROR(__xludf.DUMMYFUNCTION("""COMPUTED_VALUE"""),-0.178612152380193)</f>
        <v>-0.17861215238019301</v>
      </c>
      <c r="EM41" s="3">
        <f ca="1">IFERROR(__xludf.DUMMYFUNCTION("""COMPUTED_VALUE"""),-0.112773507816423)</f>
        <v>-0.11277350781642299</v>
      </c>
      <c r="EN41" s="3">
        <f ca="1">IFERROR(__xludf.DUMMYFUNCTION("""COMPUTED_VALUE"""),-0.23187908993015)</f>
        <v>-0.23187908993015</v>
      </c>
      <c r="EO41" s="3">
        <f ca="1">IFERROR(__xludf.DUMMYFUNCTION("""COMPUTED_VALUE"""),-0.440500335587291)</f>
        <v>-0.44050033558729101</v>
      </c>
      <c r="EP41" s="3">
        <f ca="1">IFERROR(__xludf.DUMMYFUNCTION("""COMPUTED_VALUE"""),-0.368968750836653)</f>
        <v>-0.36896875083665298</v>
      </c>
      <c r="EQ41" s="3">
        <f ca="1">IFERROR(__xludf.DUMMYFUNCTION("""COMPUTED_VALUE"""),-0.265564609567874)</f>
        <v>-0.26556460956787398</v>
      </c>
      <c r="ER41" s="3">
        <f ca="1">IFERROR(__xludf.DUMMYFUNCTION("""COMPUTED_VALUE"""),-0.21256531951053)</f>
        <v>-0.21256531951053001</v>
      </c>
      <c r="ES41" s="3">
        <f ca="1">IFERROR(__xludf.DUMMYFUNCTION("""COMPUTED_VALUE"""),-0.24164516088081)</f>
        <v>-0.24164516088081001</v>
      </c>
      <c r="ET41" s="3">
        <f ca="1">IFERROR(__xludf.DUMMYFUNCTION("""COMPUTED_VALUE"""),-0.254647326797467)</f>
        <v>-0.25464732679746699</v>
      </c>
      <c r="EU41" s="3">
        <f ca="1">IFERROR(__xludf.DUMMYFUNCTION("""COMPUTED_VALUE"""),-0.176466469230692)</f>
        <v>-0.17646646923069201</v>
      </c>
      <c r="EV41" s="3">
        <f ca="1">IFERROR(__xludf.DUMMYFUNCTION("""COMPUTED_VALUE"""),-0.441393350991781)</f>
        <v>-0.44139335099178101</v>
      </c>
      <c r="EW41" s="3">
        <f ca="1">IFERROR(__xludf.DUMMYFUNCTION("""COMPUTED_VALUE"""),-0.359132995426398)</f>
        <v>-0.35913299542639798</v>
      </c>
      <c r="EX41" s="3">
        <f ca="1">IFERROR(__xludf.DUMMYFUNCTION("""COMPUTED_VALUE"""),-0.196391346862099)</f>
        <v>-0.196391346862099</v>
      </c>
      <c r="EY41" s="3">
        <f ca="1">IFERROR(__xludf.DUMMYFUNCTION("""COMPUTED_VALUE"""),-0.197197406724192)</f>
        <v>-0.197197406724192</v>
      </c>
      <c r="EZ41" s="3">
        <f ca="1">IFERROR(__xludf.DUMMYFUNCTION("""COMPUTED_VALUE"""),-0.205829054163339)</f>
        <v>-0.20582905416333899</v>
      </c>
      <c r="FA41" s="3">
        <f ca="1">IFERROR(__xludf.DUMMYFUNCTION("""COMPUTED_VALUE"""),-0.258977071319048)</f>
        <v>-0.25897707131904801</v>
      </c>
      <c r="FB41" s="3">
        <f ca="1">IFERROR(__xludf.DUMMYFUNCTION("""COMPUTED_VALUE"""),-0.162392934412334)</f>
        <v>-0.16239293441233399</v>
      </c>
      <c r="FC41" s="3">
        <f ca="1">IFERROR(__xludf.DUMMYFUNCTION("""COMPUTED_VALUE"""),-0.469448763400219)</f>
        <v>-0.46944876340021902</v>
      </c>
      <c r="FD41" s="3">
        <f ca="1">IFERROR(__xludf.DUMMYFUNCTION("""COMPUTED_VALUE"""),-0.388599238291926)</f>
        <v>-0.388599238291926</v>
      </c>
      <c r="FE41" s="3">
        <f ca="1">IFERROR(__xludf.DUMMYFUNCTION("""COMPUTED_VALUE"""),-0.144181995020564)</f>
        <v>-0.144181995020564</v>
      </c>
      <c r="FF41" s="3">
        <f ca="1">IFERROR(__xludf.DUMMYFUNCTION("""COMPUTED_VALUE"""),-0.253648647856777)</f>
        <v>-0.25364864785677699</v>
      </c>
      <c r="FG41" s="3">
        <f ca="1">IFERROR(__xludf.DUMMYFUNCTION("""COMPUTED_VALUE"""),-0.228611155458468)</f>
        <v>-0.228611155458468</v>
      </c>
      <c r="FH41" s="3">
        <f ca="1">IFERROR(__xludf.DUMMYFUNCTION("""COMPUTED_VALUE"""),-0.182104485958561)</f>
        <v>-0.18210448595856099</v>
      </c>
      <c r="FI41" s="3">
        <f ca="1">IFERROR(__xludf.DUMMYFUNCTION("""COMPUTED_VALUE"""),-0.0848842961121951)</f>
        <v>-8.4884296112195098E-2</v>
      </c>
      <c r="FJ41" s="3">
        <f ca="1">IFERROR(__xludf.DUMMYFUNCTION("""COMPUTED_VALUE"""),-0.420620275503689)</f>
        <v>-0.42062027550368902</v>
      </c>
      <c r="FK41" s="3">
        <f ca="1">IFERROR(__xludf.DUMMYFUNCTION("""COMPUTED_VALUE"""),-0.371391605294983)</f>
        <v>-0.371391605294983</v>
      </c>
      <c r="FL41" s="3">
        <f ca="1">IFERROR(__xludf.DUMMYFUNCTION("""COMPUTED_VALUE"""),-0.176190682847009)</f>
        <v>-0.17619068284700901</v>
      </c>
      <c r="FM41" s="3">
        <f ca="1">IFERROR(__xludf.DUMMYFUNCTION("""COMPUTED_VALUE"""),-0.1320982956797)</f>
        <v>-0.1320982956797</v>
      </c>
      <c r="FN41" s="3">
        <f ca="1">IFERROR(__xludf.DUMMYFUNCTION("""COMPUTED_VALUE"""),-0.182208783812168)</f>
        <v>-0.18220878381216801</v>
      </c>
      <c r="FO41" s="3">
        <f ca="1">IFERROR(__xludf.DUMMYFUNCTION("""COMPUTED_VALUE"""),-0.199812764974114)</f>
        <v>-0.19981276497411399</v>
      </c>
      <c r="FP41" s="3">
        <f ca="1">IFERROR(__xludf.DUMMYFUNCTION("""COMPUTED_VALUE"""),-0.530976876150249)</f>
        <v>-0.53097687615024902</v>
      </c>
      <c r="FQ41" s="3">
        <f ca="1">IFERROR(__xludf.DUMMYFUNCTION("""COMPUTED_VALUE"""),-0.429976996600404)</f>
        <v>-0.429976996600404</v>
      </c>
      <c r="FR41" s="3">
        <f ca="1">IFERROR(__xludf.DUMMYFUNCTION("""COMPUTED_VALUE"""),-0.412763103565206)</f>
        <v>-0.41276310356520601</v>
      </c>
      <c r="FS41" s="3">
        <f ca="1">IFERROR(__xludf.DUMMYFUNCTION("""COMPUTED_VALUE"""),-0.218554467652642)</f>
        <v>-0.218554467652642</v>
      </c>
      <c r="FT41" s="3">
        <f ca="1">IFERROR(__xludf.DUMMYFUNCTION("""COMPUTED_VALUE"""),-0.246334257850418)</f>
        <v>-0.24633425785041799</v>
      </c>
      <c r="FU41" s="3">
        <f ca="1">IFERROR(__xludf.DUMMYFUNCTION("""COMPUTED_VALUE"""),-0.23442642275188)</f>
        <v>-0.23442642275188</v>
      </c>
      <c r="FV41" s="3">
        <f ca="1">IFERROR(__xludf.DUMMYFUNCTION("""COMPUTED_VALUE"""),-0.206269098139213)</f>
        <v>-0.20626909813921299</v>
      </c>
      <c r="FW41" s="3">
        <f ca="1">IFERROR(__xludf.DUMMYFUNCTION("""COMPUTED_VALUE"""),-0.0453374263282487)</f>
        <v>-4.5337426328248699E-2</v>
      </c>
      <c r="FX41" s="3">
        <f ca="1">IFERROR(__xludf.DUMMYFUNCTION("""COMPUTED_VALUE"""),-0.366922450804945)</f>
        <v>-0.36692245080494501</v>
      </c>
      <c r="FY41" s="3">
        <f ca="1">IFERROR(__xludf.DUMMYFUNCTION("""COMPUTED_VALUE"""),-0.315040934811194)</f>
        <v>-0.315040934811194</v>
      </c>
      <c r="FZ41" s="3">
        <f ca="1">IFERROR(__xludf.DUMMYFUNCTION("""COMPUTED_VALUE"""),-0.162284474483247)</f>
        <v>-0.16228447448324701</v>
      </c>
      <c r="GA41" s="3">
        <f ca="1">IFERROR(__xludf.DUMMYFUNCTION("""COMPUTED_VALUE"""),-0.246967102456522)</f>
        <v>-0.24696710245652201</v>
      </c>
      <c r="GB41" s="3">
        <f ca="1">IFERROR(__xludf.DUMMYFUNCTION("""COMPUTED_VALUE"""),-0.192297541352915)</f>
        <v>-0.19229754135291499</v>
      </c>
      <c r="GC41" s="3">
        <f ca="1">IFERROR(__xludf.DUMMYFUNCTION("""COMPUTED_VALUE"""),-0.192239391162686)</f>
        <v>-0.19223939116268601</v>
      </c>
      <c r="GD41" s="3">
        <f ca="1">IFERROR(__xludf.DUMMYFUNCTION("""COMPUTED_VALUE"""),-0.186827345976279)</f>
        <v>-0.18682734597627901</v>
      </c>
      <c r="GE41" s="3">
        <f ca="1">IFERROR(__xludf.DUMMYFUNCTION("""COMPUTED_VALUE"""),-0.411565294214773)</f>
        <v>-0.411565294214773</v>
      </c>
      <c r="GF41" s="3">
        <f ca="1">IFERROR(__xludf.DUMMYFUNCTION("""COMPUTED_VALUE"""),-0.443306838197928)</f>
        <v>-0.44330683819792799</v>
      </c>
      <c r="GG41" s="3">
        <f ca="1">IFERROR(__xludf.DUMMYFUNCTION("""COMPUTED_VALUE"""),-0.352013978655681)</f>
        <v>-0.35201397865568101</v>
      </c>
      <c r="GH41" s="3">
        <f ca="1">IFERROR(__xludf.DUMMYFUNCTION("""COMPUTED_VALUE"""),-0.344981126934229)</f>
        <v>-0.344981126934229</v>
      </c>
      <c r="GI41" s="3">
        <f ca="1">IFERROR(__xludf.DUMMYFUNCTION("""COMPUTED_VALUE"""),-0.356970303346128)</f>
        <v>-0.356970303346128</v>
      </c>
      <c r="GJ41" s="3">
        <f ca="1">IFERROR(__xludf.DUMMYFUNCTION("""COMPUTED_VALUE"""),-0.344353285848055)</f>
        <v>-0.34435328584805502</v>
      </c>
      <c r="GK41" s="3">
        <f ca="1">IFERROR(__xludf.DUMMYFUNCTION("""COMPUTED_VALUE"""),-0.386847516100417)</f>
        <v>-0.38684751610041701</v>
      </c>
      <c r="GL41" s="3">
        <f ca="1">IFERROR(__xludf.DUMMYFUNCTION("""COMPUTED_VALUE"""),-0.344858114841555)</f>
        <v>-0.34485811484155499</v>
      </c>
      <c r="GM41" s="3">
        <f ca="1">IFERROR(__xludf.DUMMYFUNCTION("""COMPUTED_VALUE"""),-0.373357642689558)</f>
        <v>-0.37335764268955801</v>
      </c>
      <c r="GN41" s="3">
        <f ca="1">IFERROR(__xludf.DUMMYFUNCTION("""COMPUTED_VALUE"""),-0.364759873604333)</f>
        <v>-0.36475987360433298</v>
      </c>
      <c r="GO41" s="3">
        <f ca="1">IFERROR(__xludf.DUMMYFUNCTION("""COMPUTED_VALUE"""),-0.400226070359227)</f>
        <v>-0.40022607035922703</v>
      </c>
      <c r="GP41" s="3">
        <f ca="1">IFERROR(__xludf.DUMMYFUNCTION("""COMPUTED_VALUE"""),-0.395128962570212)</f>
        <v>-0.39512896257021202</v>
      </c>
      <c r="GQ41" s="3">
        <f ca="1">IFERROR(__xludf.DUMMYFUNCTION("""COMPUTED_VALUE"""),-0.339823167967132)</f>
        <v>-0.33982316796713202</v>
      </c>
      <c r="GR41" s="3">
        <f ca="1">IFERROR(__xludf.DUMMYFUNCTION("""COMPUTED_VALUE"""),-0.329748082340099)</f>
        <v>-0.329748082340099</v>
      </c>
      <c r="GS41" s="3">
        <f ca="1">IFERROR(__xludf.DUMMYFUNCTION("""COMPUTED_VALUE"""),-0.440036591160123)</f>
        <v>-0.440036591160123</v>
      </c>
      <c r="GT41" s="3">
        <f ca="1">IFERROR(__xludf.DUMMYFUNCTION("""COMPUTED_VALUE"""),-0.366156724932146)</f>
        <v>-0.36615672493214602</v>
      </c>
      <c r="GU41" s="3">
        <f ca="1">IFERROR(__xludf.DUMMYFUNCTION("""COMPUTED_VALUE"""),-0.197228111158499)</f>
        <v>-0.197228111158499</v>
      </c>
      <c r="GV41" s="3">
        <f ca="1">IFERROR(__xludf.DUMMYFUNCTION("""COMPUTED_VALUE"""),-0.319037668543013)</f>
        <v>-0.31903766854301302</v>
      </c>
      <c r="GW41" s="3">
        <f ca="1">IFERROR(__xludf.DUMMYFUNCTION("""COMPUTED_VALUE"""),-0.190945863093574)</f>
        <v>-0.190945863093574</v>
      </c>
      <c r="GX41" s="3">
        <f ca="1">IFERROR(__xludf.DUMMYFUNCTION("""COMPUTED_VALUE"""),-0.191385843179405)</f>
        <v>-0.19138584317940499</v>
      </c>
      <c r="GY41" s="3">
        <f ca="1">IFERROR(__xludf.DUMMYFUNCTION("""COMPUTED_VALUE"""),-0.228618592115104)</f>
        <v>-0.22861859211510399</v>
      </c>
      <c r="GZ41" s="3">
        <f ca="1">IFERROR(__xludf.DUMMYFUNCTION("""COMPUTED_VALUE"""),-0.357297553850533)</f>
        <v>-0.35729755385053302</v>
      </c>
      <c r="HA41" s="3">
        <f ca="1">IFERROR(__xludf.DUMMYFUNCTION("""COMPUTED_VALUE"""),-0.371427542127252)</f>
        <v>-0.37142754212725199</v>
      </c>
      <c r="HB41" s="3">
        <f ca="1">IFERROR(__xludf.DUMMYFUNCTION("""COMPUTED_VALUE"""),-0.256671665607255)</f>
        <v>-0.25667166560725502</v>
      </c>
      <c r="HC41" s="3">
        <f ca="1">IFERROR(__xludf.DUMMYFUNCTION("""COMPUTED_VALUE"""),-0.282579304155341)</f>
        <v>-0.28257930415534099</v>
      </c>
      <c r="HD41" s="3">
        <f ca="1">IFERROR(__xludf.DUMMYFUNCTION("""COMPUTED_VALUE"""),-0.258727891102871)</f>
        <v>-0.25872789110287098</v>
      </c>
      <c r="HE41" s="3">
        <f ca="1">IFERROR(__xludf.DUMMYFUNCTION("""COMPUTED_VALUE"""),-0.272319594968384)</f>
        <v>-0.27231959496838398</v>
      </c>
      <c r="HF41" s="3">
        <f ca="1">IFERROR(__xludf.DUMMYFUNCTION("""COMPUTED_VALUE"""),-0.288986317262658)</f>
        <v>-0.288986317262658</v>
      </c>
      <c r="HG41" s="3">
        <f ca="1">IFERROR(__xludf.DUMMYFUNCTION("""COMPUTED_VALUE"""),-0.442032930904838)</f>
        <v>-0.44203293090483797</v>
      </c>
      <c r="HH41" s="3">
        <f ca="1">IFERROR(__xludf.DUMMYFUNCTION("""COMPUTED_VALUE"""),-0.391097529251326)</f>
        <v>-0.39109752925132601</v>
      </c>
      <c r="HI41" s="3">
        <f ca="1">IFERROR(__xludf.DUMMYFUNCTION("""COMPUTED_VALUE"""),-0.28451134060128)</f>
        <v>-0.28451134060128003</v>
      </c>
      <c r="HJ41" s="3">
        <f ca="1">IFERROR(__xludf.DUMMYFUNCTION("""COMPUTED_VALUE"""),-0.339202321181044)</f>
        <v>-0.33920232118104399</v>
      </c>
      <c r="HK41" s="3">
        <f ca="1">IFERROR(__xludf.DUMMYFUNCTION("""COMPUTED_VALUE"""),-0.329886277782078)</f>
        <v>-0.32988627778207802</v>
      </c>
      <c r="HL41" s="3">
        <f ca="1">IFERROR(__xludf.DUMMYFUNCTION("""COMPUTED_VALUE"""),-0.295480237455256)</f>
        <v>-0.29548023745525598</v>
      </c>
      <c r="HM41" s="3">
        <f ca="1">IFERROR(__xludf.DUMMYFUNCTION("""COMPUTED_VALUE"""),-0.279263125036899)</f>
        <v>-0.27926312503689898</v>
      </c>
      <c r="HN41" s="3">
        <f ca="1">IFERROR(__xludf.DUMMYFUNCTION("""COMPUTED_VALUE"""),-0.420936737857164)</f>
        <v>-0.42093673785716401</v>
      </c>
      <c r="HO41" s="3">
        <f ca="1">IFERROR(__xludf.DUMMYFUNCTION("""COMPUTED_VALUE"""),-0.399944017945966)</f>
        <v>-0.39994401794596601</v>
      </c>
      <c r="HP41" s="3">
        <f ca="1">IFERROR(__xludf.DUMMYFUNCTION("""COMPUTED_VALUE"""),-0.345108894331868)</f>
        <v>-0.34510889433186798</v>
      </c>
      <c r="HQ41" s="3">
        <f ca="1">IFERROR(__xludf.DUMMYFUNCTION("""COMPUTED_VALUE"""),-0.340026469402069)</f>
        <v>-0.34002646940206899</v>
      </c>
      <c r="HR41" s="3">
        <f ca="1">IFERROR(__xludf.DUMMYFUNCTION("""COMPUTED_VALUE"""),-0.316996093225587)</f>
        <v>-0.31699609322558697</v>
      </c>
      <c r="HS41" s="3">
        <f ca="1">IFERROR(__xludf.DUMMYFUNCTION("""COMPUTED_VALUE"""),-0.283588832488918)</f>
        <v>-0.28358883248891797</v>
      </c>
      <c r="HT41" s="3">
        <f ca="1">IFERROR(__xludf.DUMMYFUNCTION("""COMPUTED_VALUE"""),-0.261624034492837)</f>
        <v>-0.261624034492837</v>
      </c>
      <c r="HU41" s="3">
        <f ca="1">IFERROR(__xludf.DUMMYFUNCTION("""COMPUTED_VALUE"""),-0.437438556867185)</f>
        <v>-0.43743855686718502</v>
      </c>
      <c r="HV41" s="3">
        <f ca="1">IFERROR(__xludf.DUMMYFUNCTION("""COMPUTED_VALUE"""),-0.384421668500102)</f>
        <v>-0.38442166850010201</v>
      </c>
      <c r="HW41" s="3">
        <f ca="1">IFERROR(__xludf.DUMMYFUNCTION("""COMPUTED_VALUE"""),-0.364486793478023)</f>
        <v>-0.36448679347802299</v>
      </c>
      <c r="HX41" s="3">
        <f ca="1">IFERROR(__xludf.DUMMYFUNCTION("""COMPUTED_VALUE"""),-0.265764586360452)</f>
        <v>-0.26576458636045203</v>
      </c>
      <c r="HY41" s="3">
        <f ca="1">IFERROR(__xludf.DUMMYFUNCTION("""COMPUTED_VALUE"""),-0.314091940818328)</f>
        <v>-0.31409194081832797</v>
      </c>
      <c r="HZ41" s="3">
        <f ca="1">IFERROR(__xludf.DUMMYFUNCTION("""COMPUTED_VALUE"""),-0.291734540247218)</f>
        <v>-0.29173454024721801</v>
      </c>
      <c r="IA41" s="3">
        <f ca="1">IFERROR(__xludf.DUMMYFUNCTION("""COMPUTED_VALUE"""),-0.264386582944548)</f>
        <v>-0.26438658294454798</v>
      </c>
      <c r="IB41" s="3">
        <f ca="1">IFERROR(__xludf.DUMMYFUNCTION("""COMPUTED_VALUE"""),-0.393687935430406)</f>
        <v>-0.39368793543040598</v>
      </c>
      <c r="IC41" s="3">
        <f ca="1">IFERROR(__xludf.DUMMYFUNCTION("""COMPUTED_VALUE"""),-0.394858528921433)</f>
        <v>-0.39485852892143303</v>
      </c>
      <c r="ID41" s="3">
        <f ca="1">IFERROR(__xludf.DUMMYFUNCTION("""COMPUTED_VALUE"""),-0.300825068852029)</f>
        <v>-0.30082506885202898</v>
      </c>
      <c r="IE41" s="3">
        <f ca="1">IFERROR(__xludf.DUMMYFUNCTION("""COMPUTED_VALUE"""),-0.317773224979008)</f>
        <v>-0.31777322497900801</v>
      </c>
      <c r="IF41" s="3">
        <f ca="1">IFERROR(__xludf.DUMMYFUNCTION("""COMPUTED_VALUE"""),-0.303135297531903)</f>
        <v>-0.30313529753190299</v>
      </c>
      <c r="IG41" s="3">
        <f ca="1">IFERROR(__xludf.DUMMYFUNCTION("""COMPUTED_VALUE"""),-0.249997118389778)</f>
        <v>-0.24999711838977801</v>
      </c>
      <c r="IH41" s="3">
        <f ca="1">IFERROR(__xludf.DUMMYFUNCTION("""COMPUTED_VALUE"""),-0.303353950084868)</f>
        <v>-0.30335395008486798</v>
      </c>
      <c r="II41" s="3">
        <f ca="1">IFERROR(__xludf.DUMMYFUNCTION("""COMPUTED_VALUE"""),-0.464800184001785)</f>
        <v>-0.46480018400178502</v>
      </c>
      <c r="IJ41" s="3">
        <f ca="1">IFERROR(__xludf.DUMMYFUNCTION("""COMPUTED_VALUE"""),-0.416098057284865)</f>
        <v>-0.41609805728486499</v>
      </c>
      <c r="IK41" s="3">
        <f ca="1">IFERROR(__xludf.DUMMYFUNCTION("""COMPUTED_VALUE"""),-0.309451691341732)</f>
        <v>-0.309451691341732</v>
      </c>
      <c r="IL41" s="3">
        <f ca="1">IFERROR(__xludf.DUMMYFUNCTION("""COMPUTED_VALUE"""),-0.22536403624764)</f>
        <v>-0.22536403624764001</v>
      </c>
      <c r="IM41" s="3">
        <f ca="1">IFERROR(__xludf.DUMMYFUNCTION("""COMPUTED_VALUE"""),-0.243467258614496)</f>
        <v>-0.243467258614496</v>
      </c>
      <c r="IN41" s="3">
        <f ca="1">IFERROR(__xludf.DUMMYFUNCTION("""COMPUTED_VALUE"""),-0.171908190970812)</f>
        <v>-0.171908190970812</v>
      </c>
      <c r="IO41" s="3">
        <f ca="1">IFERROR(__xludf.DUMMYFUNCTION("""COMPUTED_VALUE"""),-0.152582855847731)</f>
        <v>-0.15258285584773101</v>
      </c>
      <c r="IP41" s="3">
        <f ca="1">IFERROR(__xludf.DUMMYFUNCTION("""COMPUTED_VALUE"""),-0.315318996211487)</f>
        <v>-0.31531899621148701</v>
      </c>
      <c r="IQ41" s="3">
        <f ca="1">IFERROR(__xludf.DUMMYFUNCTION("""COMPUTED_VALUE"""),-0.315400111827046)</f>
        <v>-0.31540011182704603</v>
      </c>
      <c r="IR41" s="3">
        <f ca="1">IFERROR(__xludf.DUMMYFUNCTION("""COMPUTED_VALUE"""),-0.216888687000245)</f>
        <v>-0.216888687000245</v>
      </c>
      <c r="IS41" s="3">
        <f ca="1">IFERROR(__xludf.DUMMYFUNCTION("""COMPUTED_VALUE"""),-0.142162315118317)</f>
        <v>-0.14216231511831701</v>
      </c>
      <c r="IT41" s="3">
        <f ca="1">IFERROR(__xludf.DUMMYFUNCTION("""COMPUTED_VALUE"""),-0.187408585998689)</f>
        <v>-0.18740858599868901</v>
      </c>
      <c r="IU41" s="3">
        <f ca="1">IFERROR(__xludf.DUMMYFUNCTION("""COMPUTED_VALUE"""),-0.091608450399132)</f>
        <v>-9.1608450399131999E-2</v>
      </c>
      <c r="IV41" s="3">
        <f ca="1">IFERROR(__xludf.DUMMYFUNCTION("""COMPUTED_VALUE"""),-0.172336118058479)</f>
        <v>-0.17233611805847901</v>
      </c>
      <c r="IW41" s="3">
        <f ca="1">IFERROR(__xludf.DUMMYFUNCTION("""COMPUTED_VALUE"""),-0.256091373104736)</f>
        <v>-0.25609137310473601</v>
      </c>
      <c r="IX41" s="3">
        <f ca="1">IFERROR(__xludf.DUMMYFUNCTION("""COMPUTED_VALUE"""),-0.236256957797058)</f>
        <v>-0.23625695779705799</v>
      </c>
      <c r="IY41" s="3">
        <f ca="1">IFERROR(__xludf.DUMMYFUNCTION("""COMPUTED_VALUE"""),-0.205217581433492)</f>
        <v>-0.205217581433492</v>
      </c>
      <c r="IZ41" s="3">
        <f ca="1">IFERROR(__xludf.DUMMYFUNCTION("""COMPUTED_VALUE"""),-0.193265016143214)</f>
        <v>-0.19326501614321401</v>
      </c>
      <c r="JA41" s="3">
        <f ca="1">IFERROR(__xludf.DUMMYFUNCTION("""COMPUTED_VALUE"""),-0.222308019435165)</f>
        <v>-0.22230801943516501</v>
      </c>
      <c r="JB41" s="3">
        <f ca="1">IFERROR(__xludf.DUMMYFUNCTION("""COMPUTED_VALUE"""),-0.160428936945129)</f>
        <v>-0.160428936945129</v>
      </c>
      <c r="JC41" s="3">
        <f ca="1">IFERROR(__xludf.DUMMYFUNCTION("""COMPUTED_VALUE"""),-0.165672427570837)</f>
        <v>-0.165672427570837</v>
      </c>
      <c r="JD41" s="3">
        <f ca="1">IFERROR(__xludf.DUMMYFUNCTION("""COMPUTED_VALUE"""),-0.321618470786035)</f>
        <v>-0.321618470786035</v>
      </c>
      <c r="JE41" s="3">
        <f ca="1">IFERROR(__xludf.DUMMYFUNCTION("""COMPUTED_VALUE"""),-0.316889412376629)</f>
        <v>-0.31688941237662899</v>
      </c>
      <c r="JF41" s="3">
        <f ca="1">IFERROR(__xludf.DUMMYFUNCTION("""COMPUTED_VALUE"""),-0.156577356121533)</f>
        <v>-0.15657735612153301</v>
      </c>
      <c r="JG41" s="3">
        <f ca="1">IFERROR(__xludf.DUMMYFUNCTION("""COMPUTED_VALUE"""),-0.0845683182369938)</f>
        <v>-8.4568318236993803E-2</v>
      </c>
      <c r="JH41" s="3">
        <f ca="1">IFERROR(__xludf.DUMMYFUNCTION("""COMPUTED_VALUE"""),-0.14527966820006)</f>
        <v>-0.14527966820006</v>
      </c>
      <c r="JI41" s="3">
        <f ca="1">IFERROR(__xludf.DUMMYFUNCTION("""COMPUTED_VALUE"""),0.0081361354600864)</f>
        <v>8.1361354600864005E-3</v>
      </c>
      <c r="JJ41" s="3">
        <f ca="1">IFERROR(__xludf.DUMMYFUNCTION("""COMPUTED_VALUE"""),-0.122011115817254)</f>
        <v>-0.122011115817254</v>
      </c>
      <c r="JK41" s="3">
        <f ca="1">IFERROR(__xludf.DUMMYFUNCTION("""COMPUTED_VALUE"""),-0.295123370364423)</f>
        <v>-0.29512337036442299</v>
      </c>
      <c r="JL41" s="3">
        <f ca="1">IFERROR(__xludf.DUMMYFUNCTION("""COMPUTED_VALUE"""),-0.340444217692786)</f>
        <v>-0.34044421769278599</v>
      </c>
      <c r="JM41" s="3">
        <f ca="1">IFERROR(__xludf.DUMMYFUNCTION("""COMPUTED_VALUE"""),-0.264631923945039)</f>
        <v>-0.26463192394503898</v>
      </c>
      <c r="JN41" s="3">
        <f ca="1">IFERROR(__xludf.DUMMYFUNCTION("""COMPUTED_VALUE"""),-0.311750213586291)</f>
        <v>-0.31175021358629101</v>
      </c>
      <c r="JO41" s="3">
        <f ca="1">IFERROR(__xludf.DUMMYFUNCTION("""COMPUTED_VALUE"""),-0.324882785446006)</f>
        <v>-0.32488278544600602</v>
      </c>
      <c r="JP41" s="3">
        <f ca="1">IFERROR(__xludf.DUMMYFUNCTION("""COMPUTED_VALUE"""),-0.276359251452132)</f>
        <v>-0.27635925145213203</v>
      </c>
      <c r="JQ41" s="3">
        <f ca="1">IFERROR(__xludf.DUMMYFUNCTION("""COMPUTED_VALUE"""),-0.36876587612699)</f>
        <v>-0.36876587612699002</v>
      </c>
      <c r="JR41" s="3">
        <f ca="1">IFERROR(__xludf.DUMMYFUNCTION("""COMPUTED_VALUE"""),-0.271920364843796)</f>
        <v>-0.271920364843796</v>
      </c>
      <c r="JS41" s="3">
        <f ca="1">IFERROR(__xludf.DUMMYFUNCTION("""COMPUTED_VALUE"""),-0.314864242346362)</f>
        <v>-0.31486424234636201</v>
      </c>
      <c r="JT41" s="3">
        <f ca="1">IFERROR(__xludf.DUMMYFUNCTION("""COMPUTED_VALUE"""),-0.322949058986502)</f>
        <v>-0.322949058986502</v>
      </c>
      <c r="JU41" s="3">
        <f ca="1">IFERROR(__xludf.DUMMYFUNCTION("""COMPUTED_VALUE"""),-0.311252900809633)</f>
        <v>-0.31125290080963303</v>
      </c>
      <c r="JV41" s="3">
        <f ca="1">IFERROR(__xludf.DUMMYFUNCTION("""COMPUTED_VALUE"""),-0.398687449233604)</f>
        <v>-0.398687449233604</v>
      </c>
      <c r="JW41" s="3">
        <f ca="1">IFERROR(__xludf.DUMMYFUNCTION("""COMPUTED_VALUE"""),-0.392581715723156)</f>
        <v>-0.39258171572315598</v>
      </c>
      <c r="JX41" s="3">
        <f ca="1">IFERROR(__xludf.DUMMYFUNCTION("""COMPUTED_VALUE"""),-0.302427340790551)</f>
        <v>-0.302427340790551</v>
      </c>
      <c r="JY41" s="3">
        <f ca="1">IFERROR(__xludf.DUMMYFUNCTION("""COMPUTED_VALUE"""),0.0380488992313665)</f>
        <v>3.8048899231366499E-2</v>
      </c>
      <c r="JZ41" s="3">
        <f ca="1">IFERROR(__xludf.DUMMYFUNCTION("""COMPUTED_VALUE"""),-0.00121253188953041)</f>
        <v>-1.21253188953041E-3</v>
      </c>
      <c r="KA41" s="3">
        <f ca="1">IFERROR(__xludf.DUMMYFUNCTION("""COMPUTED_VALUE"""),0.163915411146547)</f>
        <v>0.16391541114654701</v>
      </c>
      <c r="KB41" s="3">
        <f ca="1">IFERROR(__xludf.DUMMYFUNCTION("""COMPUTED_VALUE"""),0.040372914891225)</f>
        <v>4.0372914891224999E-2</v>
      </c>
      <c r="KC41" s="3">
        <f ca="1">IFERROR(__xludf.DUMMYFUNCTION("""COMPUTED_VALUE"""),0.0364125602049252)</f>
        <v>3.6412560204925198E-2</v>
      </c>
      <c r="KD41" s="3">
        <f ca="1">IFERROR(__xludf.DUMMYFUNCTION("""COMPUTED_VALUE"""),0.011726442177574)</f>
        <v>1.1726442177574001E-2</v>
      </c>
      <c r="KE41" s="3">
        <f ca="1">IFERROR(__xludf.DUMMYFUNCTION("""COMPUTED_VALUE"""),0.0267496292071234)</f>
        <v>2.6749629207123399E-2</v>
      </c>
      <c r="KF41" s="3">
        <f ca="1">IFERROR(__xludf.DUMMYFUNCTION("""COMPUTED_VALUE"""),0.0567487749825028)</f>
        <v>5.6748774982502803E-2</v>
      </c>
      <c r="KG41" s="3">
        <f ca="1">IFERROR(__xludf.DUMMYFUNCTION("""COMPUTED_VALUE"""),-0.0721890695361875)</f>
        <v>-7.2189069536187506E-2</v>
      </c>
      <c r="KH41" s="3">
        <f ca="1">IFERROR(__xludf.DUMMYFUNCTION("""COMPUTED_VALUE"""),0.0366843539559027)</f>
        <v>3.66843539559027E-2</v>
      </c>
      <c r="KI41" s="3">
        <f ca="1">IFERROR(__xludf.DUMMYFUNCTION("""COMPUTED_VALUE"""),0.0060051349988095)</f>
        <v>6.0051349988095E-3</v>
      </c>
      <c r="KJ41" s="3">
        <f ca="1">IFERROR(__xludf.DUMMYFUNCTION("""COMPUTED_VALUE"""),-0.0235800353042242)</f>
        <v>-2.3580035304224201E-2</v>
      </c>
      <c r="KK41" s="3">
        <f ca="1">IFERROR(__xludf.DUMMYFUNCTION("""COMPUTED_VALUE"""),0.041814135499256)</f>
        <v>4.1814135499256E-2</v>
      </c>
      <c r="KL41" s="3">
        <f ca="1">IFERROR(__xludf.DUMMYFUNCTION("""COMPUTED_VALUE"""),0.107798984064196)</f>
        <v>0.107798984064196</v>
      </c>
      <c r="KM41" s="3">
        <f ca="1">IFERROR(__xludf.DUMMYFUNCTION("""COMPUTED_VALUE"""),-0.00583611979321874)</f>
        <v>-5.8361197932187397E-3</v>
      </c>
      <c r="KN41" s="3">
        <f ca="1">IFERROR(__xludf.DUMMYFUNCTION("""COMPUTED_VALUE"""),-0.00968826644080789)</f>
        <v>-9.6882664408078894E-3</v>
      </c>
      <c r="KO41" s="3">
        <f ca="1">IFERROR(__xludf.DUMMYFUNCTION("""COMPUTED_VALUE"""),-0.134800989632148)</f>
        <v>-0.13480098963214801</v>
      </c>
      <c r="KP41" s="3">
        <f ca="1">IFERROR(__xludf.DUMMYFUNCTION("""COMPUTED_VALUE"""),-0.0887539536192502)</f>
        <v>-8.8753953619250203E-2</v>
      </c>
      <c r="KQ41" s="3">
        <f ca="1">IFERROR(__xludf.DUMMYFUNCTION("""COMPUTED_VALUE"""),-0.0842875090587877)</f>
        <v>-8.4287509058787694E-2</v>
      </c>
      <c r="KR41" s="3">
        <f ca="1">IFERROR(__xludf.DUMMYFUNCTION("""COMPUTED_VALUE"""),-0.0530676700312293)</f>
        <v>-5.3067670031229301E-2</v>
      </c>
      <c r="KS41" s="3">
        <f ca="1">IFERROR(__xludf.DUMMYFUNCTION("""COMPUTED_VALUE"""),0.020969280357449)</f>
        <v>2.0969280357449001E-2</v>
      </c>
      <c r="KT41" s="3">
        <f ca="1">IFERROR(__xludf.DUMMYFUNCTION("""COMPUTED_VALUE"""),0.185484439928724)</f>
        <v>0.18548443992872399</v>
      </c>
      <c r="KU41" s="3">
        <f ca="1">IFERROR(__xludf.DUMMYFUNCTION("""COMPUTED_VALUE"""),-0.0109122428311386)</f>
        <v>-1.09122428311386E-2</v>
      </c>
      <c r="KV41" s="3">
        <f ca="1">IFERROR(__xludf.DUMMYFUNCTION("""COMPUTED_VALUE"""),-0.112974282528686)</f>
        <v>-0.11297428252868599</v>
      </c>
      <c r="KW41" s="3">
        <f ca="1">IFERROR(__xludf.DUMMYFUNCTION("""COMPUTED_VALUE"""),-0.0833650177838756)</f>
        <v>-8.3365017783875603E-2</v>
      </c>
      <c r="KX41" s="3">
        <f ca="1">IFERROR(__xludf.DUMMYFUNCTION("""COMPUTED_VALUE"""),-0.121302157777322)</f>
        <v>-0.12130215777732201</v>
      </c>
      <c r="KY41" s="3">
        <f ca="1">IFERROR(__xludf.DUMMYFUNCTION("""COMPUTED_VALUE"""),-0.0711176698553286)</f>
        <v>-7.1117669855328594E-2</v>
      </c>
      <c r="KZ41" s="3">
        <f ca="1">IFERROR(__xludf.DUMMYFUNCTION("""COMPUTED_VALUE"""),0.0605560992003699)</f>
        <v>6.0556099200369903E-2</v>
      </c>
      <c r="LA41" s="3">
        <f ca="1">IFERROR(__xludf.DUMMYFUNCTION("""COMPUTED_VALUE"""),-0.216808739245887)</f>
        <v>-0.21680873924588701</v>
      </c>
      <c r="LB41" s="3">
        <f ca="1">IFERROR(__xludf.DUMMYFUNCTION("""COMPUTED_VALUE"""),-0.141973151745701)</f>
        <v>-0.14197315174570099</v>
      </c>
      <c r="LC41" s="3">
        <f ca="1">IFERROR(__xludf.DUMMYFUNCTION("""COMPUTED_VALUE"""),-0.179801761550368)</f>
        <v>-0.17980176155036801</v>
      </c>
      <c r="LD41" s="3">
        <f ca="1">IFERROR(__xludf.DUMMYFUNCTION("""COMPUTED_VALUE"""),-0.188878405022251)</f>
        <v>-0.18887840502225101</v>
      </c>
      <c r="LE41" s="3">
        <f ca="1">IFERROR(__xludf.DUMMYFUNCTION("""COMPUTED_VALUE"""),-0.215250918597376)</f>
        <v>-0.215250918597376</v>
      </c>
      <c r="LF41" s="3">
        <f ca="1">IFERROR(__xludf.DUMMYFUNCTION("""COMPUTED_VALUE"""),-0.309044130925348)</f>
        <v>-0.30904413092534799</v>
      </c>
      <c r="LG41" s="3">
        <f ca="1">IFERROR(__xludf.DUMMYFUNCTION("""COMPUTED_VALUE"""),-0.602389163503111)</f>
        <v>-0.602389163503111</v>
      </c>
      <c r="LH41" s="3">
        <f ca="1">IFERROR(__xludf.DUMMYFUNCTION("""COMPUTED_VALUE"""),-0.214231830633038)</f>
        <v>-0.214231830633038</v>
      </c>
      <c r="LI41" s="3">
        <f ca="1">IFERROR(__xludf.DUMMYFUNCTION("""COMPUTED_VALUE"""),-0.338558607269423)</f>
        <v>-0.338558607269423</v>
      </c>
      <c r="LJ41" s="3">
        <f ca="1">IFERROR(__xludf.DUMMYFUNCTION("""COMPUTED_VALUE"""),-0.300360081855909)</f>
        <v>-0.30036008185590901</v>
      </c>
      <c r="LK41" s="3">
        <f ca="1">IFERROR(__xludf.DUMMYFUNCTION("""COMPUTED_VALUE"""),-0.40432924103077)</f>
        <v>-0.40432924103077</v>
      </c>
      <c r="LL41" s="3">
        <f ca="1">IFERROR(__xludf.DUMMYFUNCTION("""COMPUTED_VALUE"""),-0.388431662575743)</f>
        <v>-0.38843166257574302</v>
      </c>
      <c r="LM41" s="3">
        <f ca="1">IFERROR(__xludf.DUMMYFUNCTION("""COMPUTED_VALUE"""),-0.284402035796048)</f>
        <v>-0.284402035796048</v>
      </c>
      <c r="LN41" s="3">
        <f ca="1">IFERROR(__xludf.DUMMYFUNCTION("""COMPUTED_VALUE"""),-0.263934318462858)</f>
        <v>-0.26393431846285798</v>
      </c>
      <c r="LO41" s="3">
        <f ca="1">IFERROR(__xludf.DUMMYFUNCTION("""COMPUTED_VALUE"""),-0.367606521169819)</f>
        <v>-0.36760652116981901</v>
      </c>
      <c r="LP41" s="3">
        <f ca="1">IFERROR(__xludf.DUMMYFUNCTION("""COMPUTED_VALUE"""),-0.396426254178052)</f>
        <v>-0.396426254178052</v>
      </c>
      <c r="LQ41" s="3">
        <f ca="1">IFERROR(__xludf.DUMMYFUNCTION("""COMPUTED_VALUE"""),-0.435733785151323)</f>
        <v>-0.43573378515132299</v>
      </c>
      <c r="LR41" s="3">
        <f ca="1">IFERROR(__xludf.DUMMYFUNCTION("""COMPUTED_VALUE"""),-0.455671646387679)</f>
        <v>-0.45567164638767899</v>
      </c>
      <c r="LS41" s="3">
        <f ca="1">IFERROR(__xludf.DUMMYFUNCTION("""COMPUTED_VALUE"""),-0.42633934375744)</f>
        <v>-0.42633934375743998</v>
      </c>
      <c r="LT41" s="3">
        <f ca="1">IFERROR(__xludf.DUMMYFUNCTION("""COMPUTED_VALUE"""),-0.356224965273436)</f>
        <v>-0.356224965273436</v>
      </c>
      <c r="LU41" s="3">
        <f ca="1">IFERROR(__xludf.DUMMYFUNCTION("""COMPUTED_VALUE"""),-0.367837321735938)</f>
        <v>-0.36783732173593803</v>
      </c>
      <c r="LV41" s="3">
        <f ca="1">IFERROR(__xludf.DUMMYFUNCTION("""COMPUTED_VALUE"""),-0.532517167501922)</f>
        <v>-0.53251716750192202</v>
      </c>
      <c r="LW41" s="3">
        <f ca="1">IFERROR(__xludf.DUMMYFUNCTION("""COMPUTED_VALUE"""),-0.608727972824205)</f>
        <v>-0.60872797282420499</v>
      </c>
      <c r="LX41" s="3">
        <f ca="1">IFERROR(__xludf.DUMMYFUNCTION("""COMPUTED_VALUE"""),-0.706806400814746)</f>
        <v>-0.70680640081474599</v>
      </c>
      <c r="LY41" s="3">
        <f ca="1">IFERROR(__xludf.DUMMYFUNCTION("""COMPUTED_VALUE"""),-0.776629772918055)</f>
        <v>-0.77662977291805502</v>
      </c>
      <c r="LZ41" s="3">
        <f ca="1">IFERROR(__xludf.DUMMYFUNCTION("""COMPUTED_VALUE"""),-0.847282917191677)</f>
        <v>-0.84728291719167703</v>
      </c>
      <c r="MA41" s="3">
        <f ca="1">IFERROR(__xludf.DUMMYFUNCTION("""COMPUTED_VALUE"""),-0.88377946412648)</f>
        <v>-0.88377946412648001</v>
      </c>
      <c r="MB41" s="3">
        <f ca="1">IFERROR(__xludf.DUMMYFUNCTION("""COMPUTED_VALUE"""),-0.883452205930978)</f>
        <v>-0.88345220593097795</v>
      </c>
      <c r="MC41" s="3">
        <f ca="1">IFERROR(__xludf.DUMMYFUNCTION("""COMPUTED_VALUE"""),-0.820700740123808)</f>
        <v>-0.820700740123808</v>
      </c>
      <c r="MD41" s="3">
        <f ca="1">IFERROR(__xludf.DUMMYFUNCTION("""COMPUTED_VALUE"""),-0.888398222145574)</f>
        <v>-0.88839822214557396</v>
      </c>
      <c r="ME41" s="3">
        <f ca="1">IFERROR(__xludf.DUMMYFUNCTION("""COMPUTED_VALUE"""),-0.884387198048994)</f>
        <v>-0.88438719804899402</v>
      </c>
      <c r="MF41" s="3">
        <f ca="1">IFERROR(__xludf.DUMMYFUNCTION("""COMPUTED_VALUE"""),-0.892047555682956)</f>
        <v>-0.89204755568295602</v>
      </c>
      <c r="MG41" s="3">
        <f ca="1">IFERROR(__xludf.DUMMYFUNCTION("""COMPUTED_VALUE"""),-0.901110780781846)</f>
        <v>-0.90111078078184603</v>
      </c>
      <c r="MH41" s="3">
        <f ca="1">IFERROR(__xludf.DUMMYFUNCTION("""COMPUTED_VALUE"""),-0.913994173629195)</f>
        <v>-0.91399417362919499</v>
      </c>
      <c r="MI41" s="3">
        <f ca="1">IFERROR(__xludf.DUMMYFUNCTION("""COMPUTED_VALUE"""),-0.89885873372574)</f>
        <v>-0.89885873372573999</v>
      </c>
      <c r="MJ41" s="3">
        <f ca="1">IFERROR(__xludf.DUMMYFUNCTION("""COMPUTED_VALUE"""),-0.817994563531679)</f>
        <v>-0.81799456353167899</v>
      </c>
      <c r="MK41" s="3">
        <f ca="1">IFERROR(__xludf.DUMMYFUNCTION("""COMPUTED_VALUE"""),-0.874258253591853)</f>
        <v>-0.87425825359185305</v>
      </c>
      <c r="ML41" s="3">
        <f ca="1">IFERROR(__xludf.DUMMYFUNCTION("""COMPUTED_VALUE"""),-0.848201007027551)</f>
        <v>-0.84820100702755097</v>
      </c>
      <c r="MM41" s="3">
        <f ca="1">IFERROR(__xludf.DUMMYFUNCTION("""COMPUTED_VALUE"""),-0.898143794838683)</f>
        <v>-0.89814379483868301</v>
      </c>
      <c r="MN41" s="3">
        <f ca="1">IFERROR(__xludf.DUMMYFUNCTION("""COMPUTED_VALUE"""),-0.904894594043182)</f>
        <v>-0.90489459404318195</v>
      </c>
      <c r="MO41" s="3">
        <f ca="1">IFERROR(__xludf.DUMMYFUNCTION("""COMPUTED_VALUE"""),-0.908034303363622)</f>
        <v>-0.90803430336362201</v>
      </c>
      <c r="MP41" s="3">
        <f ca="1">IFERROR(__xludf.DUMMYFUNCTION("""COMPUTED_VALUE"""),-0.929655553843415)</f>
        <v>-0.92965555384341503</v>
      </c>
      <c r="MQ41" s="3">
        <f ca="1">IFERROR(__xludf.DUMMYFUNCTION("""COMPUTED_VALUE"""),-0.866497972663065)</f>
        <v>-0.86649797266306505</v>
      </c>
      <c r="MR41" s="3">
        <f ca="1">IFERROR(__xludf.DUMMYFUNCTION("""COMPUTED_VALUE"""),-0.932529840296232)</f>
        <v>-0.93252984029623198</v>
      </c>
      <c r="MS41" s="3">
        <f ca="1">IFERROR(__xludf.DUMMYFUNCTION("""COMPUTED_VALUE"""),-0.894307098723317)</f>
        <v>-0.89430709872331704</v>
      </c>
      <c r="MT41" s="3">
        <f ca="1">IFERROR(__xludf.DUMMYFUNCTION("""COMPUTED_VALUE"""),-0.919536272199276)</f>
        <v>-0.91953627219927603</v>
      </c>
      <c r="MU41" s="3">
        <f ca="1">IFERROR(__xludf.DUMMYFUNCTION("""COMPUTED_VALUE"""),-0.937783794648305)</f>
        <v>-0.93778379464830497</v>
      </c>
      <c r="MV41" s="3">
        <f ca="1">IFERROR(__xludf.DUMMYFUNCTION("""COMPUTED_VALUE"""),-0.887916031992473)</f>
        <v>-0.88791603199247304</v>
      </c>
      <c r="MW41" s="3">
        <f ca="1">IFERROR(__xludf.DUMMYFUNCTION("""COMPUTED_VALUE"""),-0.934760326195338)</f>
        <v>-0.934760326195338</v>
      </c>
      <c r="MX41" s="3">
        <f ca="1">IFERROR(__xludf.DUMMYFUNCTION("""COMPUTED_VALUE"""),-0.890269232213508)</f>
        <v>-0.89026923221350796</v>
      </c>
      <c r="MY41" s="3">
        <f ca="1">IFERROR(__xludf.DUMMYFUNCTION("""COMPUTED_VALUE"""),-0.931812527090488)</f>
        <v>-0.93181252709048801</v>
      </c>
      <c r="MZ41" s="3">
        <f ca="1">IFERROR(__xludf.DUMMYFUNCTION("""COMPUTED_VALUE"""),-0.919694377711073)</f>
        <v>-0.91969437771107299</v>
      </c>
      <c r="NA41" s="3">
        <f ca="1">IFERROR(__xludf.DUMMYFUNCTION("""COMPUTED_VALUE"""),-0.93900015901077)</f>
        <v>-0.93900015901077005</v>
      </c>
      <c r="NB41" s="3">
        <f ca="1">IFERROR(__xludf.DUMMYFUNCTION("""COMPUTED_VALUE"""),-0.937157016485438)</f>
        <v>-0.93715701648543803</v>
      </c>
      <c r="NC41" s="3">
        <f ca="1">IFERROR(__xludf.DUMMYFUNCTION("""COMPUTED_VALUE"""),-0.937132376686428)</f>
        <v>-0.93713237668642801</v>
      </c>
      <c r="ND41" s="3">
        <f ca="1">IFERROR(__xludf.DUMMYFUNCTION("""COMPUTED_VALUE"""),-0.949912225645691)</f>
        <v>-0.949912225645691</v>
      </c>
      <c r="NE41" s="3">
        <f ca="1">IFERROR(__xludf.DUMMYFUNCTION("""COMPUTED_VALUE"""),-0.876647303804537)</f>
        <v>-0.87664730380453704</v>
      </c>
      <c r="NF41" s="3">
        <f ca="1">IFERROR(__xludf.DUMMYFUNCTION("""COMPUTED_VALUE"""),-0.936169885214782)</f>
        <v>-0.93616988521478195</v>
      </c>
      <c r="NG41" s="3">
        <f ca="1">IFERROR(__xludf.DUMMYFUNCTION("""COMPUTED_VALUE"""),-0.95726136155257)</f>
        <v>-0.95726136155257002</v>
      </c>
      <c r="NH41" s="3">
        <f ca="1">IFERROR(__xludf.DUMMYFUNCTION("""COMPUTED_VALUE"""),-0.952173175086825)</f>
        <v>-0.95217317508682497</v>
      </c>
      <c r="NI41" s="3">
        <f ca="1">IFERROR(__xludf.DUMMYFUNCTION("""COMPUTED_VALUE"""),-0.947912883373368)</f>
        <v>-0.94791288337336799</v>
      </c>
      <c r="NJ41" s="3">
        <f ca="1">IFERROR(__xludf.DUMMYFUNCTION("""COMPUTED_VALUE"""),-0.943747482915814)</f>
        <v>-0.94374748291581401</v>
      </c>
      <c r="NK41" s="3">
        <f ca="1">IFERROR(__xludf.DUMMYFUNCTION("""COMPUTED_VALUE"""),-0.961554010855439)</f>
        <v>-0.96155401085543901</v>
      </c>
      <c r="NL41" s="3">
        <f ca="1">IFERROR(__xludf.DUMMYFUNCTION("""COMPUTED_VALUE"""),-0.887243000124628)</f>
        <v>-0.88724300012462798</v>
      </c>
      <c r="NM41" s="3">
        <f ca="1">IFERROR(__xludf.DUMMYFUNCTION("""COMPUTED_VALUE"""),-0.923883516657661)</f>
        <v>-0.923883516657661</v>
      </c>
      <c r="NN41" s="3">
        <f ca="1">IFERROR(__xludf.DUMMYFUNCTION("""COMPUTED_VALUE"""),-0.955987100505489)</f>
        <v>-0.95598710050548896</v>
      </c>
      <c r="NO41" s="3">
        <f ca="1">IFERROR(__xludf.DUMMYFUNCTION("""COMPUTED_VALUE"""),-0.951101664183241)</f>
        <v>-0.95110166418324105</v>
      </c>
      <c r="NP41" s="3">
        <f ca="1">IFERROR(__xludf.DUMMYFUNCTION("""COMPUTED_VALUE"""),-0.950075373207688)</f>
        <v>-0.95007537320768798</v>
      </c>
      <c r="NQ41" s="3">
        <f ca="1">IFERROR(__xludf.DUMMYFUNCTION("""COMPUTED_VALUE"""),-0.954795439815372)</f>
        <v>-0.95479543981537196</v>
      </c>
      <c r="NR41" s="3">
        <f ca="1">IFERROR(__xludf.DUMMYFUNCTION("""COMPUTED_VALUE"""),-0.943078699045238)</f>
        <v>-0.943078699045238</v>
      </c>
      <c r="NS41" s="3">
        <f ca="1">IFERROR(__xludf.DUMMYFUNCTION("""COMPUTED_VALUE"""),-0.912796502057562)</f>
        <v>-0.91279650205756202</v>
      </c>
      <c r="NT41" s="3">
        <f ca="1">IFERROR(__xludf.DUMMYFUNCTION("""COMPUTED_VALUE"""),-0.914394994146938)</f>
        <v>-0.91439499414693803</v>
      </c>
      <c r="NU41" s="3">
        <f ca="1">IFERROR(__xludf.DUMMYFUNCTION("""COMPUTED_VALUE"""),-0.934101572093679)</f>
        <v>-0.93410157209367894</v>
      </c>
      <c r="NV41" s="3">
        <f ca="1">IFERROR(__xludf.DUMMYFUNCTION("""COMPUTED_VALUE"""),-0.9223630536647)</f>
        <v>-0.92236305366469995</v>
      </c>
      <c r="NW41" s="3">
        <f ca="1">IFERROR(__xludf.DUMMYFUNCTION("""COMPUTED_VALUE"""),-0.845144085742833)</f>
        <v>-0.84514408574283295</v>
      </c>
      <c r="NX41" s="3">
        <f ca="1">IFERROR(__xludf.DUMMYFUNCTION("""COMPUTED_VALUE"""),-0.709691178064018)</f>
        <v>-0.70969117806401805</v>
      </c>
      <c r="NY41" s="3">
        <f ca="1">IFERROR(__xludf.DUMMYFUNCTION("""COMPUTED_VALUE"""),-0.383785284369569)</f>
        <v>-0.38378528436956899</v>
      </c>
      <c r="NZ41" s="3">
        <f ca="1">IFERROR(__xludf.DUMMYFUNCTION("""COMPUTED_VALUE"""),-0.357488325829481)</f>
        <v>-0.35748832582948098</v>
      </c>
      <c r="OA41" s="3">
        <f ca="1">IFERROR(__xludf.DUMMYFUNCTION("""COMPUTED_VALUE"""),-0.258979596930749)</f>
        <v>-0.25897959693074901</v>
      </c>
      <c r="OB41" s="3">
        <f ca="1">IFERROR(__xludf.DUMMYFUNCTION("""COMPUTED_VALUE"""),-0.258719093608897)</f>
        <v>-0.258719093608897</v>
      </c>
      <c r="OC41" s="3">
        <f ca="1">IFERROR(__xludf.DUMMYFUNCTION("""COMPUTED_VALUE"""),-0.129827196570987)</f>
        <v>-0.12982719657098701</v>
      </c>
      <c r="OD41" s="3">
        <f ca="1">IFERROR(__xludf.DUMMYFUNCTION("""COMPUTED_VALUE"""),-0.031277546880816)</f>
        <v>-3.1277546880816E-2</v>
      </c>
      <c r="OE41" s="3">
        <f ca="1">IFERROR(__xludf.DUMMYFUNCTION("""COMPUTED_VALUE"""),-0.00784546462241231)</f>
        <v>-7.8454646224123108E-3</v>
      </c>
      <c r="OF41" s="3">
        <f ca="1">IFERROR(__xludf.DUMMYFUNCTION("""COMPUTED_VALUE"""),-0.0600877789436705)</f>
        <v>-6.0087778943670497E-2</v>
      </c>
      <c r="OG41" s="3">
        <f ca="1">IFERROR(__xludf.DUMMYFUNCTION("""COMPUTED_VALUE"""),0.071096070545193)</f>
        <v>7.1096070545192999E-2</v>
      </c>
      <c r="OH41" s="3">
        <f ca="1">IFERROR(__xludf.DUMMYFUNCTION("""COMPUTED_VALUE"""),-0.0225231364136639)</f>
        <v>-2.2523136413663901E-2</v>
      </c>
      <c r="OI41" s="3">
        <f ca="1">IFERROR(__xludf.DUMMYFUNCTION("""COMPUTED_VALUE"""),0.0434442437231674)</f>
        <v>4.3444243723167401E-2</v>
      </c>
      <c r="OJ41" s="3">
        <f ca="1">IFERROR(__xludf.DUMMYFUNCTION("""COMPUTED_VALUE"""),0.0348530383030729)</f>
        <v>3.4853038303072903E-2</v>
      </c>
      <c r="OK41" s="3">
        <f ca="1">IFERROR(__xludf.DUMMYFUNCTION("""COMPUTED_VALUE"""),0.0524110821183376)</f>
        <v>5.2411082118337601E-2</v>
      </c>
      <c r="OL41" s="3">
        <f ca="1">IFERROR(__xludf.DUMMYFUNCTION("""COMPUTED_VALUE"""),0.0692216342651697)</f>
        <v>6.9221634265169696E-2</v>
      </c>
      <c r="OM41" s="3">
        <f ca="1">IFERROR(__xludf.DUMMYFUNCTION("""COMPUTED_VALUE"""),-0.0180180698832369)</f>
        <v>-1.8018069883236901E-2</v>
      </c>
      <c r="ON41" s="3">
        <f ca="1">IFERROR(__xludf.DUMMYFUNCTION("""COMPUTED_VALUE"""),0.122740836332739)</f>
        <v>0.122740836332739</v>
      </c>
      <c r="OO41" s="3">
        <f ca="1">IFERROR(__xludf.DUMMYFUNCTION("""COMPUTED_VALUE"""),0.0899800712232787)</f>
        <v>8.9980071223278696E-2</v>
      </c>
      <c r="OP41" s="3">
        <f ca="1">IFERROR(__xludf.DUMMYFUNCTION("""COMPUTED_VALUE"""),0.0288635940110708)</f>
        <v>2.88635940110708E-2</v>
      </c>
      <c r="OQ41" s="3">
        <f ca="1">IFERROR(__xludf.DUMMYFUNCTION("""COMPUTED_VALUE"""),0.0248578634078124)</f>
        <v>2.4857863407812399E-2</v>
      </c>
      <c r="OR41" s="3">
        <f ca="1">IFERROR(__xludf.DUMMYFUNCTION("""COMPUTED_VALUE"""),0.0655600851964961)</f>
        <v>6.5560085196496101E-2</v>
      </c>
      <c r="OS41" s="3">
        <f ca="1">IFERROR(__xludf.DUMMYFUNCTION("""COMPUTED_VALUE"""),0.12535868149094)</f>
        <v>0.12535868149094001</v>
      </c>
      <c r="OT41" s="3">
        <f ca="1">IFERROR(__xludf.DUMMYFUNCTION("""COMPUTED_VALUE"""),0.0051204881271607)</f>
        <v>5.1204881271606998E-3</v>
      </c>
      <c r="OU41" s="3">
        <f ca="1">IFERROR(__xludf.DUMMYFUNCTION("""COMPUTED_VALUE"""),0.19807163652879)</f>
        <v>0.19807163652879001</v>
      </c>
      <c r="OV41" s="3">
        <f ca="1">IFERROR(__xludf.DUMMYFUNCTION("""COMPUTED_VALUE"""),0.0388340393781623)</f>
        <v>3.8834039378162301E-2</v>
      </c>
      <c r="OW41" s="3">
        <f ca="1">IFERROR(__xludf.DUMMYFUNCTION("""COMPUTED_VALUE"""),-0.0180755431417967)</f>
        <v>-1.8075543141796699E-2</v>
      </c>
      <c r="OX41" s="3">
        <f ca="1">IFERROR(__xludf.DUMMYFUNCTION("""COMPUTED_VALUE"""),0.0111037520515093)</f>
        <v>1.11037520515093E-2</v>
      </c>
      <c r="OY41" s="3">
        <f ca="1">IFERROR(__xludf.DUMMYFUNCTION("""COMPUTED_VALUE"""),0.0418790983206891)</f>
        <v>4.1879098320689097E-2</v>
      </c>
      <c r="OZ41" s="3">
        <f ca="1">IFERROR(__xludf.DUMMYFUNCTION("""COMPUTED_VALUE"""),0.0520404612494302)</f>
        <v>5.2040461249430202E-2</v>
      </c>
      <c r="PA41" s="3">
        <f ca="1">IFERROR(__xludf.DUMMYFUNCTION("""COMPUTED_VALUE"""),-0.00387281268148587)</f>
        <v>-3.8728126814858701E-3</v>
      </c>
      <c r="PB41" s="3">
        <f ca="1">IFERROR(__xludf.DUMMYFUNCTION("""COMPUTED_VALUE"""),0.187236236178733)</f>
        <v>0.187236236178733</v>
      </c>
      <c r="PC41" s="3">
        <f ca="1">IFERROR(__xludf.DUMMYFUNCTION("""COMPUTED_VALUE"""),-0.0616548130953559)</f>
        <v>-6.16548130953559E-2</v>
      </c>
      <c r="PD41" s="3">
        <f ca="1">IFERROR(__xludf.DUMMYFUNCTION("""COMPUTED_VALUE"""),0.0375169692003189)</f>
        <v>3.7516969200318898E-2</v>
      </c>
      <c r="PE41" s="3">
        <f ca="1">IFERROR(__xludf.DUMMYFUNCTION("""COMPUTED_VALUE"""),-0.0116896282664086)</f>
        <v>-1.1689628266408601E-2</v>
      </c>
      <c r="PF41" s="3">
        <f ca="1">IFERROR(__xludf.DUMMYFUNCTION("""COMPUTED_VALUE"""),0.0342942097885032)</f>
        <v>3.4294209788503199E-2</v>
      </c>
      <c r="PG41" s="3">
        <f ca="1">IFERROR(__xludf.DUMMYFUNCTION("""COMPUTED_VALUE"""),0.06100786333241)</f>
        <v>6.1007863332409998E-2</v>
      </c>
      <c r="PH41" s="3">
        <f ca="1">IFERROR(__xludf.DUMMYFUNCTION("""COMPUTED_VALUE"""),-0.0193464354473971)</f>
        <v>-1.9346435447397101E-2</v>
      </c>
      <c r="PI41" s="3">
        <f ca="1">IFERROR(__xludf.DUMMYFUNCTION("""COMPUTED_VALUE"""),0.0146259183425376)</f>
        <v>1.4625918342537601E-2</v>
      </c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</row>
    <row r="42" spans="1:477" ht="15.75" customHeight="1">
      <c r="A42" s="1" t="str">
        <f ca="1">IFERROR(__xludf.DUMMYFUNCTION("""COMPUTED_VALUE"""),"HRT")</f>
        <v>HRT</v>
      </c>
      <c r="B42" s="1" t="str">
        <f ca="1">IFERROR(__xludf.DUMMYFUNCTION("""COMPUTED_VALUE"""),"Hampton")</f>
        <v>Hampton</v>
      </c>
      <c r="C42" s="1" t="str">
        <f ca="1">IFERROR(__xludf.DUMMYFUNCTION("""COMPUTED_VALUE"""),"United States")</f>
        <v>United States</v>
      </c>
      <c r="D42" s="1" t="str">
        <f ca="1">IFERROR(__xludf.DUMMYFUNCTION("""COMPUTED_VALUE"""),"Virginia")</f>
        <v>Virginia</v>
      </c>
      <c r="E42" s="3">
        <f ca="1">IFERROR(__xludf.DUMMYFUNCTION("""COMPUTED_VALUE"""),-0.356692948883111)</f>
        <v>-0.35669294888311098</v>
      </c>
      <c r="F42" s="3">
        <f ca="1">IFERROR(__xludf.DUMMYFUNCTION("""COMPUTED_VALUE"""),-0.39064132682855)</f>
        <v>-0.39064132682855002</v>
      </c>
      <c r="G42" s="3">
        <f ca="1">IFERROR(__xludf.DUMMYFUNCTION("""COMPUTED_VALUE"""),-0.412024886570445)</f>
        <v>-0.412024886570445</v>
      </c>
      <c r="H42" s="3">
        <f ca="1">IFERROR(__xludf.DUMMYFUNCTION("""COMPUTED_VALUE"""),-0.50683141215656)</f>
        <v>-0.50683141215656002</v>
      </c>
      <c r="I42" s="3">
        <f ca="1">IFERROR(__xludf.DUMMYFUNCTION("""COMPUTED_VALUE"""),-0.443795176309231)</f>
        <v>-0.44379517630923099</v>
      </c>
      <c r="J42" s="3">
        <f ca="1">IFERROR(__xludf.DUMMYFUNCTION("""COMPUTED_VALUE"""),-0.461528429759366)</f>
        <v>-0.46152842975936598</v>
      </c>
      <c r="K42" s="3">
        <f ca="1">IFERROR(__xludf.DUMMYFUNCTION("""COMPUTED_VALUE"""),-0.4558414541076)</f>
        <v>-0.45584145410760002</v>
      </c>
      <c r="L42" s="3">
        <f ca="1">IFERROR(__xludf.DUMMYFUNCTION("""COMPUTED_VALUE"""),-0.316374584205591)</f>
        <v>-0.316374584205591</v>
      </c>
      <c r="M42" s="3">
        <f ca="1">IFERROR(__xludf.DUMMYFUNCTION("""COMPUTED_VALUE"""),-0.423619270292683)</f>
        <v>-0.42361927029268298</v>
      </c>
      <c r="N42" s="3">
        <f ca="1">IFERROR(__xludf.DUMMYFUNCTION("""COMPUTED_VALUE"""),-0.518423226352951)</f>
        <v>-0.51842322635295102</v>
      </c>
      <c r="O42" s="3">
        <f ca="1">IFERROR(__xludf.DUMMYFUNCTION("""COMPUTED_VALUE"""),-0.4737526608203)</f>
        <v>-0.47375266082029999</v>
      </c>
      <c r="P42" s="3">
        <f ca="1">IFERROR(__xludf.DUMMYFUNCTION("""COMPUTED_VALUE"""),-0.403586407417591)</f>
        <v>-0.403586407417591</v>
      </c>
      <c r="Q42" s="3">
        <f ca="1">IFERROR(__xludf.DUMMYFUNCTION("""COMPUTED_VALUE"""),-0.421442479331483)</f>
        <v>-0.42144247933148299</v>
      </c>
      <c r="R42" s="3">
        <f ca="1">IFERROR(__xludf.DUMMYFUNCTION("""COMPUTED_VALUE"""),-0.509735870063153)</f>
        <v>-0.50973587006315302</v>
      </c>
      <c r="S42" s="3">
        <f ca="1">IFERROR(__xludf.DUMMYFUNCTION("""COMPUTED_VALUE"""),-0.368082664570698)</f>
        <v>-0.36808266457069799</v>
      </c>
      <c r="T42" s="3">
        <f ca="1">IFERROR(__xludf.DUMMYFUNCTION("""COMPUTED_VALUE"""),-0.392511672069917)</f>
        <v>-0.39251167206991699</v>
      </c>
      <c r="U42" s="3">
        <f ca="1">IFERROR(__xludf.DUMMYFUNCTION("""COMPUTED_VALUE"""),-0.398745570488195)</f>
        <v>-0.39874557048819498</v>
      </c>
      <c r="V42" s="3">
        <f ca="1">IFERROR(__xludf.DUMMYFUNCTION("""COMPUTED_VALUE"""),-0.428643257774715)</f>
        <v>-0.42864325777471501</v>
      </c>
      <c r="W42" s="3">
        <f ca="1">IFERROR(__xludf.DUMMYFUNCTION("""COMPUTED_VALUE"""),-0.446714780300648)</f>
        <v>-0.44671478030064798</v>
      </c>
      <c r="X42" s="3">
        <f ca="1">IFERROR(__xludf.DUMMYFUNCTION("""COMPUTED_VALUE"""),-0.449074809358338)</f>
        <v>-0.44907480935833799</v>
      </c>
      <c r="Y42" s="3">
        <f ca="1">IFERROR(__xludf.DUMMYFUNCTION("""COMPUTED_VALUE"""),-0.464029597893099)</f>
        <v>-0.464029597893099</v>
      </c>
      <c r="Z42" s="3">
        <f ca="1">IFERROR(__xludf.DUMMYFUNCTION("""COMPUTED_VALUE"""),-0.47693380628385)</f>
        <v>-0.47693380628385001</v>
      </c>
      <c r="AA42" s="3">
        <f ca="1">IFERROR(__xludf.DUMMYFUNCTION("""COMPUTED_VALUE"""),-0.510378339020858)</f>
        <v>-0.51037833902085805</v>
      </c>
      <c r="AB42" s="3">
        <f ca="1">IFERROR(__xludf.DUMMYFUNCTION("""COMPUTED_VALUE"""),-0.46380436444554)</f>
        <v>-0.46380436444554002</v>
      </c>
      <c r="AC42" s="3">
        <f ca="1">IFERROR(__xludf.DUMMYFUNCTION("""COMPUTED_VALUE"""),-0.399206036406628)</f>
        <v>-0.399206036406628</v>
      </c>
      <c r="AD42" s="3">
        <f ca="1">IFERROR(__xludf.DUMMYFUNCTION("""COMPUTED_VALUE"""),-0.44400508542515)</f>
        <v>-0.44400508542514999</v>
      </c>
      <c r="AE42" s="3">
        <f ca="1">IFERROR(__xludf.DUMMYFUNCTION("""COMPUTED_VALUE"""),-0.426668209675865)</f>
        <v>-0.426668209675865</v>
      </c>
      <c r="AF42" s="3">
        <f ca="1">IFERROR(__xludf.DUMMYFUNCTION("""COMPUTED_VALUE"""),-0.481091533329176)</f>
        <v>-0.48109153332917598</v>
      </c>
      <c r="AG42" s="3">
        <f ca="1">IFERROR(__xludf.DUMMYFUNCTION("""COMPUTED_VALUE"""),-0.419039568834761)</f>
        <v>-0.41903956883476101</v>
      </c>
      <c r="AH42" s="3">
        <f ca="1">IFERROR(__xludf.DUMMYFUNCTION("""COMPUTED_VALUE"""),-0.498549892775691)</f>
        <v>-0.49854989277569101</v>
      </c>
      <c r="AI42" s="3">
        <f ca="1">IFERROR(__xludf.DUMMYFUNCTION("""COMPUTED_VALUE"""),-0.482220700059251)</f>
        <v>-0.482220700059251</v>
      </c>
      <c r="AJ42" s="3">
        <f ca="1">IFERROR(__xludf.DUMMYFUNCTION("""COMPUTED_VALUE"""),-0.435067900655422)</f>
        <v>-0.435067900655422</v>
      </c>
      <c r="AK42" s="3">
        <f ca="1">IFERROR(__xludf.DUMMYFUNCTION("""COMPUTED_VALUE"""),-0.53970539124844)</f>
        <v>-0.53970539124843997</v>
      </c>
      <c r="AL42" s="3">
        <f ca="1">IFERROR(__xludf.DUMMYFUNCTION("""COMPUTED_VALUE"""),-0.503123804586774)</f>
        <v>-0.50312380458677397</v>
      </c>
      <c r="AM42" s="3">
        <f ca="1">IFERROR(__xludf.DUMMYFUNCTION("""COMPUTED_VALUE"""),-0.571757679813585)</f>
        <v>-0.57175767981358505</v>
      </c>
      <c r="AN42" s="3">
        <f ca="1">IFERROR(__xludf.DUMMYFUNCTION("""COMPUTED_VALUE"""),-0.442418089298203)</f>
        <v>-0.44241808929820298</v>
      </c>
      <c r="AO42" s="3">
        <f ca="1">IFERROR(__xludf.DUMMYFUNCTION("""COMPUTED_VALUE"""),-0.519424145037035)</f>
        <v>-0.51942414503703505</v>
      </c>
      <c r="AP42" s="3">
        <f ca="1">IFERROR(__xludf.DUMMYFUNCTION("""COMPUTED_VALUE"""),-0.498484375596973)</f>
        <v>-0.49848437559697301</v>
      </c>
      <c r="AQ42" s="3">
        <f ca="1">IFERROR(__xludf.DUMMYFUNCTION("""COMPUTED_VALUE"""),-0.5042764096271)</f>
        <v>-0.50427640962709996</v>
      </c>
      <c r="AR42" s="3">
        <f ca="1">IFERROR(__xludf.DUMMYFUNCTION("""COMPUTED_VALUE"""),-0.557940292364466)</f>
        <v>-0.55794029236446596</v>
      </c>
      <c r="AS42" s="3">
        <f ca="1">IFERROR(__xludf.DUMMYFUNCTION("""COMPUTED_VALUE"""),-0.524196485865232)</f>
        <v>-0.52419648586523204</v>
      </c>
      <c r="AT42" s="3">
        <f ca="1">IFERROR(__xludf.DUMMYFUNCTION("""COMPUTED_VALUE"""),-0.442341182660801)</f>
        <v>-0.44234118266080102</v>
      </c>
      <c r="AU42" s="3">
        <f ca="1">IFERROR(__xludf.DUMMYFUNCTION("""COMPUTED_VALUE"""),-0.45521221646201)</f>
        <v>-0.45521221646200999</v>
      </c>
      <c r="AV42" s="3">
        <f ca="1">IFERROR(__xludf.DUMMYFUNCTION("""COMPUTED_VALUE"""),-0.487780634518169)</f>
        <v>-0.487780634518169</v>
      </c>
      <c r="AW42" s="3">
        <f ca="1">IFERROR(__xludf.DUMMYFUNCTION("""COMPUTED_VALUE"""),-0.540063374617342)</f>
        <v>-0.540063374617342</v>
      </c>
      <c r="AX42" s="3">
        <f ca="1">IFERROR(__xludf.DUMMYFUNCTION("""COMPUTED_VALUE"""),-0.43438292474061)</f>
        <v>-0.43438292474061002</v>
      </c>
      <c r="AY42" s="3">
        <f ca="1">IFERROR(__xludf.DUMMYFUNCTION("""COMPUTED_VALUE"""),-0.485253397149614)</f>
        <v>-0.48525339714961402</v>
      </c>
      <c r="AZ42" s="3">
        <f ca="1">IFERROR(__xludf.DUMMYFUNCTION("""COMPUTED_VALUE"""),-0.54319523307988)</f>
        <v>-0.54319523307988005</v>
      </c>
      <c r="BA42" s="3">
        <f ca="1">IFERROR(__xludf.DUMMYFUNCTION("""COMPUTED_VALUE"""),-0.559538618675164)</f>
        <v>-0.55953861867516397</v>
      </c>
      <c r="BB42" s="3">
        <f ca="1">IFERROR(__xludf.DUMMYFUNCTION("""COMPUTED_VALUE"""),-0.479930798218372)</f>
        <v>-0.47993079821837198</v>
      </c>
      <c r="BC42" s="3">
        <f ca="1">IFERROR(__xludf.DUMMYFUNCTION("""COMPUTED_VALUE"""),-0.558272013346731)</f>
        <v>-0.55827201334673104</v>
      </c>
      <c r="BD42" s="3">
        <f ca="1">IFERROR(__xludf.DUMMYFUNCTION("""COMPUTED_VALUE"""),-0.670071039608373)</f>
        <v>-0.670071039608373</v>
      </c>
      <c r="BE42" s="3">
        <f ca="1">IFERROR(__xludf.DUMMYFUNCTION("""COMPUTED_VALUE"""),-0.547378619317867)</f>
        <v>-0.54737861931786702</v>
      </c>
      <c r="BF42" s="3">
        <f ca="1">IFERROR(__xludf.DUMMYFUNCTION("""COMPUTED_VALUE"""),-0.589371500653695)</f>
        <v>-0.58937150065369504</v>
      </c>
      <c r="BG42" s="3">
        <f ca="1">IFERROR(__xludf.DUMMYFUNCTION("""COMPUTED_VALUE"""),-0.564443791794236)</f>
        <v>-0.56444379179423598</v>
      </c>
      <c r="BH42" s="3">
        <f ca="1">IFERROR(__xludf.DUMMYFUNCTION("""COMPUTED_VALUE"""),-0.40546221356147)</f>
        <v>-0.40546221356147</v>
      </c>
      <c r="BI42" s="3">
        <f ca="1">IFERROR(__xludf.DUMMYFUNCTION("""COMPUTED_VALUE"""),-0.557996099182751)</f>
        <v>-0.55799609918275095</v>
      </c>
      <c r="BJ42" s="3">
        <f ca="1">IFERROR(__xludf.DUMMYFUNCTION("""COMPUTED_VALUE"""),-0.489526285209783)</f>
        <v>-0.48952628520978297</v>
      </c>
      <c r="BK42" s="3">
        <f ca="1">IFERROR(__xludf.DUMMYFUNCTION("""COMPUTED_VALUE"""),-0.513621549512444)</f>
        <v>-0.51362154951244399</v>
      </c>
      <c r="BL42" s="3">
        <f ca="1">IFERROR(__xludf.DUMMYFUNCTION("""COMPUTED_VALUE"""),-0.474196819633748)</f>
        <v>-0.47419681963374799</v>
      </c>
      <c r="BM42" s="3">
        <f ca="1">IFERROR(__xludf.DUMMYFUNCTION("""COMPUTED_VALUE"""),-0.471730551160307)</f>
        <v>-0.47173055116030699</v>
      </c>
      <c r="BN42" s="3">
        <f ca="1">IFERROR(__xludf.DUMMYFUNCTION("""COMPUTED_VALUE"""),-0.481062198277379)</f>
        <v>-0.48106219827737901</v>
      </c>
      <c r="BO42" s="3">
        <f ca="1">IFERROR(__xludf.DUMMYFUNCTION("""COMPUTED_VALUE"""),-0.37051867535301)</f>
        <v>-0.37051867535300997</v>
      </c>
      <c r="BP42" s="3">
        <f ca="1">IFERROR(__xludf.DUMMYFUNCTION("""COMPUTED_VALUE"""),-0.449849601319231)</f>
        <v>-0.44984960131923102</v>
      </c>
      <c r="BQ42" s="3">
        <f ca="1">IFERROR(__xludf.DUMMYFUNCTION("""COMPUTED_VALUE"""),-0.52415824002017)</f>
        <v>-0.52415824002016997</v>
      </c>
      <c r="BR42" s="3">
        <f ca="1">IFERROR(__xludf.DUMMYFUNCTION("""COMPUTED_VALUE"""),-0.485430451127772)</f>
        <v>-0.485430451127772</v>
      </c>
      <c r="BS42" s="3">
        <f ca="1">IFERROR(__xludf.DUMMYFUNCTION("""COMPUTED_VALUE"""),-0.454096708555133)</f>
        <v>-0.45409670855513301</v>
      </c>
      <c r="BT42" s="3">
        <f ca="1">IFERROR(__xludf.DUMMYFUNCTION("""COMPUTED_VALUE"""),-0.546908357872845)</f>
        <v>-0.54690835787284497</v>
      </c>
      <c r="BU42" s="3">
        <f ca="1">IFERROR(__xludf.DUMMYFUNCTION("""COMPUTED_VALUE"""),-0.497416396497763)</f>
        <v>-0.49741639649776298</v>
      </c>
      <c r="BV42" s="3">
        <f ca="1">IFERROR(__xludf.DUMMYFUNCTION("""COMPUTED_VALUE"""),-0.50144831939171)</f>
        <v>-0.50144831939170997</v>
      </c>
      <c r="BW42" s="3">
        <f ca="1">IFERROR(__xludf.DUMMYFUNCTION("""COMPUTED_VALUE"""),-0.476954419813245)</f>
        <v>-0.47695441981324499</v>
      </c>
      <c r="BX42" s="3">
        <f ca="1">IFERROR(__xludf.DUMMYFUNCTION("""COMPUTED_VALUE"""),-0.531178532086869)</f>
        <v>-0.53117853208686905</v>
      </c>
      <c r="BY42" s="3">
        <f ca="1">IFERROR(__xludf.DUMMYFUNCTION("""COMPUTED_VALUE"""),-0.563046432355704)</f>
        <v>-0.56304643235570395</v>
      </c>
      <c r="BZ42" s="3">
        <f ca="1">IFERROR(__xludf.DUMMYFUNCTION("""COMPUTED_VALUE"""),-0.464372723552161)</f>
        <v>-0.46437272355216103</v>
      </c>
      <c r="CA42" s="3">
        <f ca="1">IFERROR(__xludf.DUMMYFUNCTION("""COMPUTED_VALUE"""),-0.486599650417926)</f>
        <v>-0.48659965041792602</v>
      </c>
      <c r="CB42" s="3">
        <f ca="1">IFERROR(__xludf.DUMMYFUNCTION("""COMPUTED_VALUE"""),-0.497984816315098)</f>
        <v>-0.497984816315098</v>
      </c>
      <c r="CC42" s="3">
        <f ca="1">IFERROR(__xludf.DUMMYFUNCTION("""COMPUTED_VALUE"""),-0.470651657507794)</f>
        <v>-0.47065165750779397</v>
      </c>
      <c r="CD42" s="3">
        <f ca="1">IFERROR(__xludf.DUMMYFUNCTION("""COMPUTED_VALUE"""),-0.458294492409118)</f>
        <v>-0.45829449240911801</v>
      </c>
      <c r="CE42" s="3">
        <f ca="1">IFERROR(__xludf.DUMMYFUNCTION("""COMPUTED_VALUE"""),-0.487296972949192)</f>
        <v>-0.487296972949192</v>
      </c>
      <c r="CF42" s="3">
        <f ca="1">IFERROR(__xludf.DUMMYFUNCTION("""COMPUTED_VALUE"""),-0.461048758902727)</f>
        <v>-0.46104875890272701</v>
      </c>
      <c r="CG42" s="3">
        <f ca="1">IFERROR(__xludf.DUMMYFUNCTION("""COMPUTED_VALUE"""),-0.468018789669442)</f>
        <v>-0.46801878966944199</v>
      </c>
      <c r="CH42" s="3">
        <f ca="1">IFERROR(__xludf.DUMMYFUNCTION("""COMPUTED_VALUE"""),-0.486774263870401)</f>
        <v>-0.48677426387040101</v>
      </c>
      <c r="CI42" s="3">
        <f ca="1">IFERROR(__xludf.DUMMYFUNCTION("""COMPUTED_VALUE"""),-0.446276226724562)</f>
        <v>-0.44627622672456202</v>
      </c>
      <c r="CJ42" s="3">
        <f ca="1">IFERROR(__xludf.DUMMYFUNCTION("""COMPUTED_VALUE"""),-0.386032255134309)</f>
        <v>-0.386032255134309</v>
      </c>
      <c r="CK42" s="3">
        <f ca="1">IFERROR(__xludf.DUMMYFUNCTION("""COMPUTED_VALUE"""),-0.455396291186082)</f>
        <v>-0.45539629118608199</v>
      </c>
      <c r="CL42" s="3">
        <f ca="1">IFERROR(__xludf.DUMMYFUNCTION("""COMPUTED_VALUE"""),-0.529991673771286)</f>
        <v>-0.52999167377128598</v>
      </c>
      <c r="CM42" s="3">
        <f ca="1">IFERROR(__xludf.DUMMYFUNCTION("""COMPUTED_VALUE"""),-0.534857357842279)</f>
        <v>-0.53485735784227895</v>
      </c>
      <c r="CN42" s="3">
        <f ca="1">IFERROR(__xludf.DUMMYFUNCTION("""COMPUTED_VALUE"""),-0.490533334607244)</f>
        <v>-0.49053333460724402</v>
      </c>
      <c r="CO42" s="3">
        <f ca="1">IFERROR(__xludf.DUMMYFUNCTION("""COMPUTED_VALUE"""),-0.441020824920359)</f>
        <v>-0.44102082492035899</v>
      </c>
      <c r="CP42" s="3">
        <f ca="1">IFERROR(__xludf.DUMMYFUNCTION("""COMPUTED_VALUE"""),-0.460811077391523)</f>
        <v>-0.46081107739152299</v>
      </c>
      <c r="CQ42" s="3">
        <f ca="1">IFERROR(__xludf.DUMMYFUNCTION("""COMPUTED_VALUE"""),-0.48303933808588)</f>
        <v>-0.48303933808588001</v>
      </c>
      <c r="CR42" s="3">
        <f ca="1">IFERROR(__xludf.DUMMYFUNCTION("""COMPUTED_VALUE"""),-0.343941131727098)</f>
        <v>-0.343941131727098</v>
      </c>
      <c r="CS42" s="3">
        <f ca="1">IFERROR(__xludf.DUMMYFUNCTION("""COMPUTED_VALUE"""),-0.569756613996124)</f>
        <v>-0.56975661399612398</v>
      </c>
      <c r="CT42" s="3">
        <f ca="1">IFERROR(__xludf.DUMMYFUNCTION("""COMPUTED_VALUE"""),-0.45290317549213)</f>
        <v>-0.45290317549212999</v>
      </c>
      <c r="CU42" s="3">
        <f ca="1">IFERROR(__xludf.DUMMYFUNCTION("""COMPUTED_VALUE"""),-0.386215221941311)</f>
        <v>-0.38621522194131103</v>
      </c>
      <c r="CV42" s="3">
        <f ca="1">IFERROR(__xludf.DUMMYFUNCTION("""COMPUTED_VALUE"""),-0.466775049889504)</f>
        <v>-0.46677504988950402</v>
      </c>
      <c r="CW42" s="3">
        <f ca="1">IFERROR(__xludf.DUMMYFUNCTION("""COMPUTED_VALUE"""),-0.440411134043865)</f>
        <v>-0.440411134043865</v>
      </c>
      <c r="CX42" s="3">
        <f ca="1">IFERROR(__xludf.DUMMYFUNCTION("""COMPUTED_VALUE"""),-0.418712934309436)</f>
        <v>-0.41871293430943601</v>
      </c>
      <c r="CY42" s="3">
        <f ca="1">IFERROR(__xludf.DUMMYFUNCTION("""COMPUTED_VALUE"""),-0.427307963093365)</f>
        <v>-0.427307963093365</v>
      </c>
      <c r="CZ42" s="3">
        <f ca="1">IFERROR(__xludf.DUMMYFUNCTION("""COMPUTED_VALUE"""),-0.607933472443292)</f>
        <v>-0.60793347244329199</v>
      </c>
      <c r="DA42" s="3">
        <f ca="1">IFERROR(__xludf.DUMMYFUNCTION("""COMPUTED_VALUE"""),-0.516351684509999)</f>
        <v>-0.51635168450999902</v>
      </c>
      <c r="DB42" s="3">
        <f ca="1">IFERROR(__xludf.DUMMYFUNCTION("""COMPUTED_VALUE"""),-0.208824510943355)</f>
        <v>-0.208824510943355</v>
      </c>
      <c r="DC42" s="3">
        <f ca="1">IFERROR(__xludf.DUMMYFUNCTION("""COMPUTED_VALUE"""),-0.473068825968955)</f>
        <v>-0.473068825968955</v>
      </c>
      <c r="DD42" s="3">
        <f ca="1">IFERROR(__xludf.DUMMYFUNCTION("""COMPUTED_VALUE"""),-0.490699252970801)</f>
        <v>-0.49069925297080103</v>
      </c>
      <c r="DE42" s="3">
        <f ca="1">IFERROR(__xludf.DUMMYFUNCTION("""COMPUTED_VALUE"""),-0.501825093059142)</f>
        <v>-0.50182509305914202</v>
      </c>
      <c r="DF42" s="3">
        <f ca="1">IFERROR(__xludf.DUMMYFUNCTION("""COMPUTED_VALUE"""),-0.459415665547668)</f>
        <v>-0.459415665547668</v>
      </c>
      <c r="DG42" s="3">
        <f ca="1">IFERROR(__xludf.DUMMYFUNCTION("""COMPUTED_VALUE"""),-0.794229892615181)</f>
        <v>-0.79422989261518095</v>
      </c>
      <c r="DH42" s="3">
        <f ca="1">IFERROR(__xludf.DUMMYFUNCTION("""COMPUTED_VALUE"""),-0.588064437121162)</f>
        <v>-0.58806443712116196</v>
      </c>
      <c r="DI42" s="3">
        <f ca="1">IFERROR(__xludf.DUMMYFUNCTION("""COMPUTED_VALUE"""),-0.124590638945319)</f>
        <v>-0.12459063894531899</v>
      </c>
      <c r="DJ42" s="3">
        <f ca="1">IFERROR(__xludf.DUMMYFUNCTION("""COMPUTED_VALUE"""),-0.492839884015559)</f>
        <v>-0.492839884015559</v>
      </c>
      <c r="DK42" s="3">
        <f ca="1">IFERROR(__xludf.DUMMYFUNCTION("""COMPUTED_VALUE"""),-0.41603702779625)</f>
        <v>-0.41603702779625001</v>
      </c>
      <c r="DL42" s="3">
        <f ca="1">IFERROR(__xludf.DUMMYFUNCTION("""COMPUTED_VALUE"""),-0.452394400192695)</f>
        <v>-0.452394400192695</v>
      </c>
      <c r="DM42" s="3">
        <f ca="1">IFERROR(__xludf.DUMMYFUNCTION("""COMPUTED_VALUE"""),-0.421820146623317)</f>
        <v>-0.42182014662331702</v>
      </c>
      <c r="DN42" s="3">
        <f ca="1">IFERROR(__xludf.DUMMYFUNCTION("""COMPUTED_VALUE"""),-0.494643873202828)</f>
        <v>-0.49464387320282799</v>
      </c>
      <c r="DO42" s="3">
        <f ca="1">IFERROR(__xludf.DUMMYFUNCTION("""COMPUTED_VALUE"""),-0.421065268275583)</f>
        <v>-0.42106526827558299</v>
      </c>
      <c r="DP42" s="3">
        <f ca="1">IFERROR(__xludf.DUMMYFUNCTION("""COMPUTED_VALUE"""),-0.43413528918971)</f>
        <v>-0.43413528918971001</v>
      </c>
      <c r="DQ42" s="3">
        <f ca="1">IFERROR(__xludf.DUMMYFUNCTION("""COMPUTED_VALUE"""),-0.442992471267168)</f>
        <v>-0.44299247126716801</v>
      </c>
      <c r="DR42" s="3">
        <f ca="1">IFERROR(__xludf.DUMMYFUNCTION("""COMPUTED_VALUE"""),-0.626760534129174)</f>
        <v>-0.62676053412917399</v>
      </c>
      <c r="DS42" s="3">
        <f ca="1">IFERROR(__xludf.DUMMYFUNCTION("""COMPUTED_VALUE"""),-0.428535530927517)</f>
        <v>-0.42853553092751701</v>
      </c>
      <c r="DT42" s="3">
        <f ca="1">IFERROR(__xludf.DUMMYFUNCTION("""COMPUTED_VALUE"""),-0.454083623712028)</f>
        <v>-0.45408362371202798</v>
      </c>
      <c r="DU42" s="3">
        <f ca="1">IFERROR(__xludf.DUMMYFUNCTION("""COMPUTED_VALUE"""),-0.444869091957989)</f>
        <v>-0.44486909195798902</v>
      </c>
      <c r="DV42" s="3">
        <f ca="1">IFERROR(__xludf.DUMMYFUNCTION("""COMPUTED_VALUE"""),-0.546572552873062)</f>
        <v>-0.54657255287306195</v>
      </c>
      <c r="DW42" s="3">
        <f ca="1">IFERROR(__xludf.DUMMYFUNCTION("""COMPUTED_VALUE"""),-0.510012765236963)</f>
        <v>-0.51001276523696304</v>
      </c>
      <c r="DX42" s="3">
        <f ca="1">IFERROR(__xludf.DUMMYFUNCTION("""COMPUTED_VALUE"""),-0.485162392136665)</f>
        <v>-0.48516239213666501</v>
      </c>
      <c r="DY42" s="3">
        <f ca="1">IFERROR(__xludf.DUMMYFUNCTION("""COMPUTED_VALUE"""),-0.492772400172887)</f>
        <v>-0.49277240017288698</v>
      </c>
      <c r="DZ42" s="3">
        <f ca="1">IFERROR(__xludf.DUMMYFUNCTION("""COMPUTED_VALUE"""),-0.431945368180598)</f>
        <v>-0.43194536818059798</v>
      </c>
      <c r="EA42" s="3">
        <f ca="1">IFERROR(__xludf.DUMMYFUNCTION("""COMPUTED_VALUE"""),-0.485696806185914)</f>
        <v>-0.48569680618591399</v>
      </c>
      <c r="EB42" s="3">
        <f ca="1">IFERROR(__xludf.DUMMYFUNCTION("""COMPUTED_VALUE"""),-0.404846713979004)</f>
        <v>-0.40484671397900401</v>
      </c>
      <c r="EC42" s="3">
        <f ca="1">IFERROR(__xludf.DUMMYFUNCTION("""COMPUTED_VALUE"""),-0.317209282356695)</f>
        <v>-0.31720928235669499</v>
      </c>
      <c r="ED42" s="3">
        <f ca="1">IFERROR(__xludf.DUMMYFUNCTION("""COMPUTED_VALUE"""),-0.41385526147044)</f>
        <v>-0.41385526147043999</v>
      </c>
      <c r="EE42" s="3">
        <f ca="1">IFERROR(__xludf.DUMMYFUNCTION("""COMPUTED_VALUE"""),-0.434264122978416)</f>
        <v>-0.43426412297841599</v>
      </c>
      <c r="EF42" s="3">
        <f ca="1">IFERROR(__xludf.DUMMYFUNCTION("""COMPUTED_VALUE"""),-0.483924091756195)</f>
        <v>-0.483924091756195</v>
      </c>
      <c r="EG42" s="3">
        <f ca="1">IFERROR(__xludf.DUMMYFUNCTION("""COMPUTED_VALUE"""),-0.469572785087017)</f>
        <v>-0.469572785087017</v>
      </c>
      <c r="EH42" s="3">
        <f ca="1">IFERROR(__xludf.DUMMYFUNCTION("""COMPUTED_VALUE"""),-0.43864353761474)</f>
        <v>-0.43864353761474001</v>
      </c>
      <c r="EI42" s="3">
        <f ca="1">IFERROR(__xludf.DUMMYFUNCTION("""COMPUTED_VALUE"""),-0.431328520690679)</f>
        <v>-0.43132852069067901</v>
      </c>
      <c r="EJ42" s="3">
        <f ca="1">IFERROR(__xludf.DUMMYFUNCTION("""COMPUTED_VALUE"""),-0.64693404931784)</f>
        <v>-0.64693404931784004</v>
      </c>
      <c r="EK42" s="3">
        <f ca="1">IFERROR(__xludf.DUMMYFUNCTION("""COMPUTED_VALUE"""),-0.451684785839064)</f>
        <v>-0.45168478583906402</v>
      </c>
      <c r="EL42" s="3">
        <f ca="1">IFERROR(__xludf.DUMMYFUNCTION("""COMPUTED_VALUE"""),-0.519510186389804)</f>
        <v>-0.51951018638980395</v>
      </c>
      <c r="EM42" s="3">
        <f ca="1">IFERROR(__xludf.DUMMYFUNCTION("""COMPUTED_VALUE"""),-0.513591775337725)</f>
        <v>-0.51359177533772504</v>
      </c>
      <c r="EN42" s="3">
        <f ca="1">IFERROR(__xludf.DUMMYFUNCTION("""COMPUTED_VALUE"""),-0.337710266005998)</f>
        <v>-0.33771026600599802</v>
      </c>
      <c r="EO42" s="3">
        <f ca="1">IFERROR(__xludf.DUMMYFUNCTION("""COMPUTED_VALUE"""),-0.359048986084408)</f>
        <v>-0.359048986084408</v>
      </c>
      <c r="EP42" s="3">
        <f ca="1">IFERROR(__xludf.DUMMYFUNCTION("""COMPUTED_VALUE"""),-0.450949692074808)</f>
        <v>-0.45094969207480801</v>
      </c>
      <c r="EQ42" s="3">
        <f ca="1">IFERROR(__xludf.DUMMYFUNCTION("""COMPUTED_VALUE"""),-0.336156731812863)</f>
        <v>-0.33615673181286299</v>
      </c>
      <c r="ER42" s="3">
        <f ca="1">IFERROR(__xludf.DUMMYFUNCTION("""COMPUTED_VALUE"""),-0.43892935977299)</f>
        <v>-0.43892935977299002</v>
      </c>
      <c r="ES42" s="3">
        <f ca="1">IFERROR(__xludf.DUMMYFUNCTION("""COMPUTED_VALUE"""),-0.451696154541851)</f>
        <v>-0.45169615454185102</v>
      </c>
      <c r="ET42" s="3">
        <f ca="1">IFERROR(__xludf.DUMMYFUNCTION("""COMPUTED_VALUE"""),-0.447976729138129)</f>
        <v>-0.44797672913812903</v>
      </c>
      <c r="EU42" s="3">
        <f ca="1">IFERROR(__xludf.DUMMYFUNCTION("""COMPUTED_VALUE"""),-0.292631347372972)</f>
        <v>-0.29263134737297197</v>
      </c>
      <c r="EV42" s="3">
        <f ca="1">IFERROR(__xludf.DUMMYFUNCTION("""COMPUTED_VALUE"""),-0.383449732229916)</f>
        <v>-0.38344973222991602</v>
      </c>
      <c r="EW42" s="3">
        <f ca="1">IFERROR(__xludf.DUMMYFUNCTION("""COMPUTED_VALUE"""),-0.401404754853376)</f>
        <v>-0.40140475485337601</v>
      </c>
      <c r="EX42" s="3">
        <f ca="1">IFERROR(__xludf.DUMMYFUNCTION("""COMPUTED_VALUE"""),-0.590028380100286)</f>
        <v>-0.59002838010028602</v>
      </c>
      <c r="EY42" s="3">
        <f ca="1">IFERROR(__xludf.DUMMYFUNCTION("""COMPUTED_VALUE"""),-0.555828364033987)</f>
        <v>-0.55582836403398705</v>
      </c>
      <c r="EZ42" s="3">
        <f ca="1">IFERROR(__xludf.DUMMYFUNCTION("""COMPUTED_VALUE"""),-0.437245867342944)</f>
        <v>-0.43724586734294402</v>
      </c>
      <c r="FA42" s="3">
        <f ca="1">IFERROR(__xludf.DUMMYFUNCTION("""COMPUTED_VALUE"""),-0.515008796202159)</f>
        <v>-0.515008796202159</v>
      </c>
      <c r="FB42" s="3">
        <f ca="1">IFERROR(__xludf.DUMMYFUNCTION("""COMPUTED_VALUE"""),-0.419269269460818)</f>
        <v>-0.41926926946081799</v>
      </c>
      <c r="FC42" s="3">
        <f ca="1">IFERROR(__xludf.DUMMYFUNCTION("""COMPUTED_VALUE"""),-0.438221075667022)</f>
        <v>-0.43822107566702201</v>
      </c>
      <c r="FD42" s="3">
        <f ca="1">IFERROR(__xludf.DUMMYFUNCTION("""COMPUTED_VALUE"""),-0.447151897436178)</f>
        <v>-0.447151897436178</v>
      </c>
      <c r="FE42" s="3">
        <f ca="1">IFERROR(__xludf.DUMMYFUNCTION("""COMPUTED_VALUE"""),-0.433344947426783)</f>
        <v>-0.43334494742678298</v>
      </c>
      <c r="FF42" s="3">
        <f ca="1">IFERROR(__xludf.DUMMYFUNCTION("""COMPUTED_VALUE"""),-0.476484523757014)</f>
        <v>-0.476484523757014</v>
      </c>
      <c r="FG42" s="3">
        <f ca="1">IFERROR(__xludf.DUMMYFUNCTION("""COMPUTED_VALUE"""),-0.334218299486523)</f>
        <v>-0.33421829948652299</v>
      </c>
      <c r="FH42" s="3">
        <f ca="1">IFERROR(__xludf.DUMMYFUNCTION("""COMPUTED_VALUE"""),-0.411735671372487)</f>
        <v>-0.41173567137248701</v>
      </c>
      <c r="FI42" s="3">
        <f ca="1">IFERROR(__xludf.DUMMYFUNCTION("""COMPUTED_VALUE"""),-0.439227076374142)</f>
        <v>-0.43922707637414199</v>
      </c>
      <c r="FJ42" s="3">
        <f ca="1">IFERROR(__xludf.DUMMYFUNCTION("""COMPUTED_VALUE"""),-0.427687056881208)</f>
        <v>-0.42768705688120801</v>
      </c>
      <c r="FK42" s="3">
        <f ca="1">IFERROR(__xludf.DUMMYFUNCTION("""COMPUTED_VALUE"""),-0.483491662406148)</f>
        <v>-0.48349166240614799</v>
      </c>
      <c r="FL42" s="3">
        <f ca="1">IFERROR(__xludf.DUMMYFUNCTION("""COMPUTED_VALUE"""),-0.527373972995073)</f>
        <v>-0.52737397299507305</v>
      </c>
      <c r="FM42" s="3">
        <f ca="1">IFERROR(__xludf.DUMMYFUNCTION("""COMPUTED_VALUE"""),-0.52392695618513)</f>
        <v>-0.52392695618512997</v>
      </c>
      <c r="FN42" s="3">
        <f ca="1">IFERROR(__xludf.DUMMYFUNCTION("""COMPUTED_VALUE"""),-0.520820662195321)</f>
        <v>-0.52082066219532097</v>
      </c>
      <c r="FO42" s="3">
        <f ca="1">IFERROR(__xludf.DUMMYFUNCTION("""COMPUTED_VALUE"""),-0.458024683147903)</f>
        <v>-0.45802468314790301</v>
      </c>
      <c r="FP42" s="3">
        <f ca="1">IFERROR(__xludf.DUMMYFUNCTION("""COMPUTED_VALUE"""),-0.432826097776679)</f>
        <v>-0.43282609777667902</v>
      </c>
      <c r="FQ42" s="3">
        <f ca="1">IFERROR(__xludf.DUMMYFUNCTION("""COMPUTED_VALUE"""),-0.359271300007995)</f>
        <v>-0.35927130000799501</v>
      </c>
      <c r="FR42" s="3">
        <f ca="1">IFERROR(__xludf.DUMMYFUNCTION("""COMPUTED_VALUE"""),-0.468136661761003)</f>
        <v>-0.46813666176100299</v>
      </c>
      <c r="FS42" s="3">
        <f ca="1">IFERROR(__xludf.DUMMYFUNCTION("""COMPUTED_VALUE"""),-0.524923046664246)</f>
        <v>-0.52492304666424605</v>
      </c>
      <c r="FT42" s="3">
        <f ca="1">IFERROR(__xludf.DUMMYFUNCTION("""COMPUTED_VALUE"""),-0.412266921633381)</f>
        <v>-0.41226692163338102</v>
      </c>
      <c r="FU42" s="3">
        <f ca="1">IFERROR(__xludf.DUMMYFUNCTION("""COMPUTED_VALUE"""),-0.489524743008831)</f>
        <v>-0.48952474300883098</v>
      </c>
      <c r="FV42" s="3">
        <f ca="1">IFERROR(__xludf.DUMMYFUNCTION("""COMPUTED_VALUE"""),-0.496429634500934)</f>
        <v>-0.49642963450093402</v>
      </c>
      <c r="FW42" s="3">
        <f ca="1">IFERROR(__xludf.DUMMYFUNCTION("""COMPUTED_VALUE"""),-0.358221102376079)</f>
        <v>-0.35822110237607901</v>
      </c>
      <c r="FX42" s="3">
        <f ca="1">IFERROR(__xludf.DUMMYFUNCTION("""COMPUTED_VALUE"""),-0.36417241443588)</f>
        <v>-0.36417241443588</v>
      </c>
      <c r="FY42" s="3">
        <f ca="1">IFERROR(__xludf.DUMMYFUNCTION("""COMPUTED_VALUE"""),-0.470751431653294)</f>
        <v>-0.47075143165329397</v>
      </c>
      <c r="FZ42" s="3">
        <f ca="1">IFERROR(__xludf.DUMMYFUNCTION("""COMPUTED_VALUE"""),-0.505350422057764)</f>
        <v>-0.50535042205776404</v>
      </c>
      <c r="GA42" s="3">
        <f ca="1">IFERROR(__xludf.DUMMYFUNCTION("""COMPUTED_VALUE"""),-0.48659005131936)</f>
        <v>-0.48659005131936001</v>
      </c>
      <c r="GB42" s="3">
        <f ca="1">IFERROR(__xludf.DUMMYFUNCTION("""COMPUTED_VALUE"""),-0.5182842531708)</f>
        <v>-0.51828425317079996</v>
      </c>
      <c r="GC42" s="3">
        <f ca="1">IFERROR(__xludf.DUMMYFUNCTION("""COMPUTED_VALUE"""),-0.53086179883831)</f>
        <v>-0.53086179883830997</v>
      </c>
      <c r="GD42" s="3">
        <f ca="1">IFERROR(__xludf.DUMMYFUNCTION("""COMPUTED_VALUE"""),-0.425715679342931)</f>
        <v>-0.42571567934293097</v>
      </c>
      <c r="GE42" s="3">
        <f ca="1">IFERROR(__xludf.DUMMYFUNCTION("""COMPUTED_VALUE"""),-0.514054400871885)</f>
        <v>-0.51405440087188503</v>
      </c>
      <c r="GF42" s="3">
        <f ca="1">IFERROR(__xludf.DUMMYFUNCTION("""COMPUTED_VALUE"""),-0.495447949117756)</f>
        <v>-0.49544794911775603</v>
      </c>
      <c r="GG42" s="3">
        <f ca="1">IFERROR(__xludf.DUMMYFUNCTION("""COMPUTED_VALUE"""),-0.50890522118826)</f>
        <v>-0.50890522118825998</v>
      </c>
      <c r="GH42" s="3">
        <f ca="1">IFERROR(__xludf.DUMMYFUNCTION("""COMPUTED_VALUE"""),-0.461276225889028)</f>
        <v>-0.461276225889028</v>
      </c>
      <c r="GI42" s="3">
        <f ca="1">IFERROR(__xludf.DUMMYFUNCTION("""COMPUTED_VALUE"""),-0.519129078611423)</f>
        <v>-0.51912907861142299</v>
      </c>
      <c r="GJ42" s="3">
        <f ca="1">IFERROR(__xludf.DUMMYFUNCTION("""COMPUTED_VALUE"""),-0.499486182017081)</f>
        <v>-0.499486182017081</v>
      </c>
      <c r="GK42" s="3">
        <f ca="1">IFERROR(__xludf.DUMMYFUNCTION("""COMPUTED_VALUE"""),-0.337135228584423)</f>
        <v>-0.33713522858442302</v>
      </c>
      <c r="GL42" s="3">
        <f ca="1">IFERROR(__xludf.DUMMYFUNCTION("""COMPUTED_VALUE"""),-0.464424606797212)</f>
        <v>-0.46442460679721198</v>
      </c>
      <c r="GM42" s="3">
        <f ca="1">IFERROR(__xludf.DUMMYFUNCTION("""COMPUTED_VALUE"""),-0.457965819200495)</f>
        <v>-0.45796581920049501</v>
      </c>
      <c r="GN42" s="3">
        <f ca="1">IFERROR(__xludf.DUMMYFUNCTION("""COMPUTED_VALUE"""),-0.509852749367612)</f>
        <v>-0.50985274936761205</v>
      </c>
      <c r="GO42" s="3">
        <f ca="1">IFERROR(__xludf.DUMMYFUNCTION("""COMPUTED_VALUE"""),-0.440541321237422)</f>
        <v>-0.44054132123742201</v>
      </c>
      <c r="GP42" s="3">
        <f ca="1">IFERROR(__xludf.DUMMYFUNCTION("""COMPUTED_VALUE"""),-0.567922439822625)</f>
        <v>-0.56792243982262502</v>
      </c>
      <c r="GQ42" s="3">
        <f ca="1">IFERROR(__xludf.DUMMYFUNCTION("""COMPUTED_VALUE"""),-0.490208996028591)</f>
        <v>-0.49020899602859103</v>
      </c>
      <c r="GR42" s="3">
        <f ca="1">IFERROR(__xludf.DUMMYFUNCTION("""COMPUTED_VALUE"""),-0.479381246500534)</f>
        <v>-0.47938124650053399</v>
      </c>
      <c r="GS42" s="3">
        <f ca="1">IFERROR(__xludf.DUMMYFUNCTION("""COMPUTED_VALUE"""),-0.491511210498988)</f>
        <v>-0.49151121049898799</v>
      </c>
      <c r="GT42" s="3">
        <f ca="1">IFERROR(__xludf.DUMMYFUNCTION("""COMPUTED_VALUE"""),-0.469364585157138)</f>
        <v>-0.46936458515713803</v>
      </c>
      <c r="GU42" s="3">
        <f ca="1">IFERROR(__xludf.DUMMYFUNCTION("""COMPUTED_VALUE"""),-0.487574148119321)</f>
        <v>-0.48757414811932098</v>
      </c>
      <c r="GV42" s="3">
        <f ca="1">IFERROR(__xludf.DUMMYFUNCTION("""COMPUTED_VALUE"""),-0.471337449316837)</f>
        <v>-0.47133744931683702</v>
      </c>
      <c r="GW42" s="3">
        <f ca="1">IFERROR(__xludf.DUMMYFUNCTION("""COMPUTED_VALUE"""),-0.483237836966521)</f>
        <v>-0.48323783696652101</v>
      </c>
      <c r="GX42" s="3">
        <f ca="1">IFERROR(__xludf.DUMMYFUNCTION("""COMPUTED_VALUE"""),-0.481808486655139)</f>
        <v>-0.48180848665513898</v>
      </c>
      <c r="GY42" s="3">
        <f ca="1">IFERROR(__xludf.DUMMYFUNCTION("""COMPUTED_VALUE"""),-0.454271268626439)</f>
        <v>-0.45427126862643902</v>
      </c>
      <c r="GZ42" s="3">
        <f ca="1">IFERROR(__xludf.DUMMYFUNCTION("""COMPUTED_VALUE"""),-0.436450448416642)</f>
        <v>-0.43645044841664199</v>
      </c>
      <c r="HA42" s="3">
        <f ca="1">IFERROR(__xludf.DUMMYFUNCTION("""COMPUTED_VALUE"""),-0.490527674185565)</f>
        <v>-0.49052767418556498</v>
      </c>
      <c r="HB42" s="3">
        <f ca="1">IFERROR(__xludf.DUMMYFUNCTION("""COMPUTED_VALUE"""),-0.553536514291263)</f>
        <v>-0.55353651429126305</v>
      </c>
      <c r="HC42" s="3">
        <f ca="1">IFERROR(__xludf.DUMMYFUNCTION("""COMPUTED_VALUE"""),-0.43291590435318)</f>
        <v>-0.43291590435318</v>
      </c>
      <c r="HD42" s="3">
        <f ca="1">IFERROR(__xludf.DUMMYFUNCTION("""COMPUTED_VALUE"""),-0.52535302714984)</f>
        <v>-0.52535302714984</v>
      </c>
      <c r="HE42" s="3">
        <f ca="1">IFERROR(__xludf.DUMMYFUNCTION("""COMPUTED_VALUE"""),-0.522253366758747)</f>
        <v>-0.52225336675874701</v>
      </c>
      <c r="HF42" s="3">
        <f ca="1">IFERROR(__xludf.DUMMYFUNCTION("""COMPUTED_VALUE"""),-0.409135633310557)</f>
        <v>-0.40913563331055702</v>
      </c>
      <c r="HG42" s="3">
        <f ca="1">IFERROR(__xludf.DUMMYFUNCTION("""COMPUTED_VALUE"""),-0.511326792370049)</f>
        <v>-0.51132679237004897</v>
      </c>
      <c r="HH42" s="3">
        <f ca="1">IFERROR(__xludf.DUMMYFUNCTION("""COMPUTED_VALUE"""),-0.26783286061494)</f>
        <v>-0.26783286061493999</v>
      </c>
      <c r="HI42" s="3">
        <f ca="1">IFERROR(__xludf.DUMMYFUNCTION("""COMPUTED_VALUE"""),-0.45421707584446)</f>
        <v>-0.45421707584446003</v>
      </c>
      <c r="HJ42" s="3">
        <f ca="1">IFERROR(__xludf.DUMMYFUNCTION("""COMPUTED_VALUE"""),-0.577721702301837)</f>
        <v>-0.57772170230183695</v>
      </c>
      <c r="HK42" s="3">
        <f ca="1">IFERROR(__xludf.DUMMYFUNCTION("""COMPUTED_VALUE"""),-0.502989416485793)</f>
        <v>-0.50298941648579298</v>
      </c>
      <c r="HL42" s="3">
        <f ca="1">IFERROR(__xludf.DUMMYFUNCTION("""COMPUTED_VALUE"""),-0.492972412487138)</f>
        <v>-0.49297241248713802</v>
      </c>
      <c r="HM42" s="3">
        <f ca="1">IFERROR(__xludf.DUMMYFUNCTION("""COMPUTED_VALUE"""),-0.380383661033262)</f>
        <v>-0.38038366103326199</v>
      </c>
      <c r="HN42" s="3">
        <f ca="1">IFERROR(__xludf.DUMMYFUNCTION("""COMPUTED_VALUE"""),-0.489889896365938)</f>
        <v>-0.48988989636593799</v>
      </c>
      <c r="HO42" s="3">
        <f ca="1">IFERROR(__xludf.DUMMYFUNCTION("""COMPUTED_VALUE"""),-0.280918621324927)</f>
        <v>-0.28091862132492701</v>
      </c>
      <c r="HP42" s="3">
        <f ca="1">IFERROR(__xludf.DUMMYFUNCTION("""COMPUTED_VALUE"""),-0.450136335242321)</f>
        <v>-0.450136335242321</v>
      </c>
      <c r="HQ42" s="3">
        <f ca="1">IFERROR(__xludf.DUMMYFUNCTION("""COMPUTED_VALUE"""),-0.505146580087744)</f>
        <v>-0.50514658008774405</v>
      </c>
      <c r="HR42" s="3">
        <f ca="1">IFERROR(__xludf.DUMMYFUNCTION("""COMPUTED_VALUE"""),-0.533905002942539)</f>
        <v>-0.53390500294253895</v>
      </c>
      <c r="HS42" s="3">
        <f ca="1">IFERROR(__xludf.DUMMYFUNCTION("""COMPUTED_VALUE"""),-0.496314951749719)</f>
        <v>-0.49631495174971901</v>
      </c>
      <c r="HT42" s="3">
        <f ca="1">IFERROR(__xludf.DUMMYFUNCTION("""COMPUTED_VALUE"""),-0.467616151080894)</f>
        <v>-0.46761615108089399</v>
      </c>
      <c r="HU42" s="3">
        <f ca="1">IFERROR(__xludf.DUMMYFUNCTION("""COMPUTED_VALUE"""),-0.538392006184395)</f>
        <v>-0.53839200618439498</v>
      </c>
      <c r="HV42" s="3">
        <f ca="1">IFERROR(__xludf.DUMMYFUNCTION("""COMPUTED_VALUE"""),-0.4196444152952)</f>
        <v>-0.41964441529520002</v>
      </c>
      <c r="HW42" s="3">
        <f ca="1">IFERROR(__xludf.DUMMYFUNCTION("""COMPUTED_VALUE"""),-0.545927683879099)</f>
        <v>-0.54592768387909896</v>
      </c>
      <c r="HX42" s="3">
        <f ca="1">IFERROR(__xludf.DUMMYFUNCTION("""COMPUTED_VALUE"""),-0.55629571219513)</f>
        <v>-0.55629571219512997</v>
      </c>
      <c r="HY42" s="3">
        <f ca="1">IFERROR(__xludf.DUMMYFUNCTION("""COMPUTED_VALUE"""),-0.466197101619041)</f>
        <v>-0.46619710161904099</v>
      </c>
      <c r="HZ42" s="3">
        <f ca="1">IFERROR(__xludf.DUMMYFUNCTION("""COMPUTED_VALUE"""),-0.498678600000276)</f>
        <v>-0.49867860000027597</v>
      </c>
      <c r="IA42" s="3">
        <f ca="1">IFERROR(__xludf.DUMMYFUNCTION("""COMPUTED_VALUE"""),-0.432634488853039)</f>
        <v>-0.43263448885303901</v>
      </c>
      <c r="IB42" s="3">
        <f ca="1">IFERROR(__xludf.DUMMYFUNCTION("""COMPUTED_VALUE"""),-0.533570192575975)</f>
        <v>-0.53357019257597504</v>
      </c>
      <c r="IC42" s="3">
        <f ca="1">IFERROR(__xludf.DUMMYFUNCTION("""COMPUTED_VALUE"""),-0.521766441242861)</f>
        <v>-0.52176644124286098</v>
      </c>
      <c r="ID42" s="3">
        <f ca="1">IFERROR(__xludf.DUMMYFUNCTION("""COMPUTED_VALUE"""),-0.548162191379097)</f>
        <v>-0.54816219137909705</v>
      </c>
      <c r="IE42" s="3">
        <f ca="1">IFERROR(__xludf.DUMMYFUNCTION("""COMPUTED_VALUE"""),-0.56527644581532)</f>
        <v>-0.56527644581531999</v>
      </c>
      <c r="IF42" s="3">
        <f ca="1">IFERROR(__xludf.DUMMYFUNCTION("""COMPUTED_VALUE"""),-0.492302868499317)</f>
        <v>-0.49230286849931698</v>
      </c>
      <c r="IG42" s="3">
        <f ca="1">IFERROR(__xludf.DUMMYFUNCTION("""COMPUTED_VALUE"""),-0.454721583645664)</f>
        <v>-0.45472158364566401</v>
      </c>
      <c r="IH42" s="3">
        <f ca="1">IFERROR(__xludf.DUMMYFUNCTION("""COMPUTED_VALUE"""),-0.401579624123671)</f>
        <v>-0.40157962412367099</v>
      </c>
      <c r="II42" s="3">
        <f ca="1">IFERROR(__xludf.DUMMYFUNCTION("""COMPUTED_VALUE"""),-0.585184910989346)</f>
        <v>-0.585184910989346</v>
      </c>
      <c r="IJ42" s="3">
        <f ca="1">IFERROR(__xludf.DUMMYFUNCTION("""COMPUTED_VALUE"""),-0.57913656702509)</f>
        <v>-0.57913656702508998</v>
      </c>
      <c r="IK42" s="3">
        <f ca="1">IFERROR(__xludf.DUMMYFUNCTION("""COMPUTED_VALUE"""),-0.501087942322059)</f>
        <v>-0.501087942322059</v>
      </c>
      <c r="IL42" s="3">
        <f ca="1">IFERROR(__xludf.DUMMYFUNCTION("""COMPUTED_VALUE"""),-0.532541373310306)</f>
        <v>-0.53254137331030604</v>
      </c>
      <c r="IM42" s="3">
        <f ca="1">IFERROR(__xludf.DUMMYFUNCTION("""COMPUTED_VALUE"""),-0.48222796398147)</f>
        <v>-0.48222796398147</v>
      </c>
      <c r="IN42" s="3">
        <f ca="1">IFERROR(__xludf.DUMMYFUNCTION("""COMPUTED_VALUE"""),-0.442582190914768)</f>
        <v>-0.44258219091476803</v>
      </c>
      <c r="IO42" s="3">
        <f ca="1">IFERROR(__xludf.DUMMYFUNCTION("""COMPUTED_VALUE"""),-0.416218888717414)</f>
        <v>-0.41621888871741403</v>
      </c>
      <c r="IP42" s="3">
        <f ca="1">IFERROR(__xludf.DUMMYFUNCTION("""COMPUTED_VALUE"""),-0.497823785482437)</f>
        <v>-0.497823785482437</v>
      </c>
      <c r="IQ42" s="3">
        <f ca="1">IFERROR(__xludf.DUMMYFUNCTION("""COMPUTED_VALUE"""),-0.4370972541121)</f>
        <v>-0.43709725411209999</v>
      </c>
      <c r="IR42" s="3">
        <f ca="1">IFERROR(__xludf.DUMMYFUNCTION("""COMPUTED_VALUE"""),-0.580981677953652)</f>
        <v>-0.58098167795365196</v>
      </c>
      <c r="IS42" s="3">
        <f ca="1">IFERROR(__xludf.DUMMYFUNCTION("""COMPUTED_VALUE"""),-0.500311342407209)</f>
        <v>-0.50031134240720898</v>
      </c>
      <c r="IT42" s="3">
        <f ca="1">IFERROR(__xludf.DUMMYFUNCTION("""COMPUTED_VALUE"""),-0.611307041908541)</f>
        <v>-0.61130704190854102</v>
      </c>
      <c r="IU42" s="3">
        <f ca="1">IFERROR(__xludf.DUMMYFUNCTION("""COMPUTED_VALUE"""),-0.480298935459777)</f>
        <v>-0.48029893545977698</v>
      </c>
      <c r="IV42" s="3">
        <f ca="1">IFERROR(__xludf.DUMMYFUNCTION("""COMPUTED_VALUE"""),-0.434355107883947)</f>
        <v>-0.43435510788394699</v>
      </c>
      <c r="IW42" s="3">
        <f ca="1">IFERROR(__xludf.DUMMYFUNCTION("""COMPUTED_VALUE"""),-0.464920709882287)</f>
        <v>-0.46492070988228701</v>
      </c>
      <c r="IX42" s="3">
        <f ca="1">IFERROR(__xludf.DUMMYFUNCTION("""COMPUTED_VALUE"""),-0.460603960365407)</f>
        <v>-0.46060396036540702</v>
      </c>
      <c r="IY42" s="3">
        <f ca="1">IFERROR(__xludf.DUMMYFUNCTION("""COMPUTED_VALUE"""),-0.502080479583612)</f>
        <v>-0.50208047958361202</v>
      </c>
      <c r="IZ42" s="3">
        <f ca="1">IFERROR(__xludf.DUMMYFUNCTION("""COMPUTED_VALUE"""),-0.557979827123779)</f>
        <v>-0.55797982712377903</v>
      </c>
      <c r="JA42" s="3">
        <f ca="1">IFERROR(__xludf.DUMMYFUNCTION("""COMPUTED_VALUE"""),-0.498342250903297)</f>
        <v>-0.49834225090329698</v>
      </c>
      <c r="JB42" s="3">
        <f ca="1">IFERROR(__xludf.DUMMYFUNCTION("""COMPUTED_VALUE"""),-0.571470551238002)</f>
        <v>-0.57147055123800194</v>
      </c>
      <c r="JC42" s="3">
        <f ca="1">IFERROR(__xludf.DUMMYFUNCTION("""COMPUTED_VALUE"""),-0.413228079113468)</f>
        <v>-0.41322807911346798</v>
      </c>
      <c r="JD42" s="3">
        <f ca="1">IFERROR(__xludf.DUMMYFUNCTION("""COMPUTED_VALUE"""),-0.449098323778717)</f>
        <v>-0.449098323778717</v>
      </c>
      <c r="JE42" s="3">
        <f ca="1">IFERROR(__xludf.DUMMYFUNCTION("""COMPUTED_VALUE"""),-0.456916797800589)</f>
        <v>-0.45691679780058903</v>
      </c>
      <c r="JF42" s="3">
        <f ca="1">IFERROR(__xludf.DUMMYFUNCTION("""COMPUTED_VALUE"""),-0.615189419645979)</f>
        <v>-0.61518941964597895</v>
      </c>
      <c r="JG42" s="3">
        <f ca="1">IFERROR(__xludf.DUMMYFUNCTION("""COMPUTED_VALUE"""),-0.545633101380989)</f>
        <v>-0.54563310138098897</v>
      </c>
      <c r="JH42" s="3">
        <f ca="1">IFERROR(__xludf.DUMMYFUNCTION("""COMPUTED_VALUE"""),-0.572142323994482)</f>
        <v>-0.57214232399448195</v>
      </c>
      <c r="JI42" s="3">
        <f ca="1">IFERROR(__xludf.DUMMYFUNCTION("""COMPUTED_VALUE"""),-0.542288598286107)</f>
        <v>-0.54228859828610698</v>
      </c>
      <c r="JJ42" s="3">
        <f ca="1">IFERROR(__xludf.DUMMYFUNCTION("""COMPUTED_VALUE"""),-0.477517241731651)</f>
        <v>-0.477517241731651</v>
      </c>
      <c r="JK42" s="3">
        <f ca="1">IFERROR(__xludf.DUMMYFUNCTION("""COMPUTED_VALUE"""),-0.441079050350247)</f>
        <v>-0.44107905035024703</v>
      </c>
      <c r="JL42" s="3">
        <f ca="1">IFERROR(__xludf.DUMMYFUNCTION("""COMPUTED_VALUE"""),-0.537786653238324)</f>
        <v>-0.53778665323832398</v>
      </c>
      <c r="JM42" s="3">
        <f ca="1">IFERROR(__xludf.DUMMYFUNCTION("""COMPUTED_VALUE"""),-0.445312616151608)</f>
        <v>-0.445312616151608</v>
      </c>
      <c r="JN42" s="3">
        <f ca="1">IFERROR(__xludf.DUMMYFUNCTION("""COMPUTED_VALUE"""),-0.547706510064797)</f>
        <v>-0.54770651006479698</v>
      </c>
      <c r="JO42" s="3">
        <f ca="1">IFERROR(__xludf.DUMMYFUNCTION("""COMPUTED_VALUE"""),-0.53428574501752)</f>
        <v>-0.53428574501752002</v>
      </c>
      <c r="JP42" s="3">
        <f ca="1">IFERROR(__xludf.DUMMYFUNCTION("""COMPUTED_VALUE"""),-0.60264958347758)</f>
        <v>-0.60264958347758002</v>
      </c>
      <c r="JQ42" s="3">
        <f ca="1">IFERROR(__xludf.DUMMYFUNCTION("""COMPUTED_VALUE"""),-0.422494798215947)</f>
        <v>-0.42249479821594699</v>
      </c>
      <c r="JR42" s="3">
        <f ca="1">IFERROR(__xludf.DUMMYFUNCTION("""COMPUTED_VALUE"""),-0.52052243385028)</f>
        <v>-0.52052243385027996</v>
      </c>
      <c r="JS42" s="3">
        <f ca="1">IFERROR(__xludf.DUMMYFUNCTION("""COMPUTED_VALUE"""),-0.433760672180944)</f>
        <v>-0.433760672180944</v>
      </c>
      <c r="JT42" s="3">
        <f ca="1">IFERROR(__xludf.DUMMYFUNCTION("""COMPUTED_VALUE"""),-0.475949006484781)</f>
        <v>-0.475949006484781</v>
      </c>
      <c r="JU42" s="3">
        <f ca="1">IFERROR(__xludf.DUMMYFUNCTION("""COMPUTED_VALUE"""),-0.517764864929429)</f>
        <v>-0.51776486492942897</v>
      </c>
      <c r="JV42" s="3">
        <f ca="1">IFERROR(__xludf.DUMMYFUNCTION("""COMPUTED_VALUE"""),-0.514324021220825)</f>
        <v>-0.51432402122082499</v>
      </c>
      <c r="JW42" s="3">
        <f ca="1">IFERROR(__xludf.DUMMYFUNCTION("""COMPUTED_VALUE"""),-0.543318140711498)</f>
        <v>-0.54331814071149798</v>
      </c>
      <c r="JX42" s="3">
        <f ca="1">IFERROR(__xludf.DUMMYFUNCTION("""COMPUTED_VALUE"""),-0.340171054633003)</f>
        <v>-0.34017105463300301</v>
      </c>
      <c r="JY42" s="3">
        <f ca="1">IFERROR(__xludf.DUMMYFUNCTION("""COMPUTED_VALUE"""),-0.421582466906397)</f>
        <v>-0.421582466906397</v>
      </c>
      <c r="JZ42" s="3">
        <f ca="1">IFERROR(__xludf.DUMMYFUNCTION("""COMPUTED_VALUE"""),-0.395502469085956)</f>
        <v>-0.39550246908595599</v>
      </c>
      <c r="KA42" s="3">
        <f ca="1">IFERROR(__xludf.DUMMYFUNCTION("""COMPUTED_VALUE"""),-0.30355349532073)</f>
        <v>-0.30355349532073</v>
      </c>
      <c r="KB42" s="3">
        <f ca="1">IFERROR(__xludf.DUMMYFUNCTION("""COMPUTED_VALUE"""),-0.466283842836745)</f>
        <v>-0.46628384283674501</v>
      </c>
      <c r="KC42" s="3">
        <f ca="1">IFERROR(__xludf.DUMMYFUNCTION("""COMPUTED_VALUE"""),-0.416899353913819)</f>
        <v>-0.41689935391381899</v>
      </c>
      <c r="KD42" s="3">
        <f ca="1">IFERROR(__xludf.DUMMYFUNCTION("""COMPUTED_VALUE"""),-0.389980179222243)</f>
        <v>-0.38998017922224298</v>
      </c>
      <c r="KE42" s="3">
        <f ca="1">IFERROR(__xludf.DUMMYFUNCTION("""COMPUTED_VALUE"""),-0.179309743752654)</f>
        <v>-0.17930974375265399</v>
      </c>
      <c r="KF42" s="3">
        <f ca="1">IFERROR(__xludf.DUMMYFUNCTION("""COMPUTED_VALUE"""),-0.299468243288649)</f>
        <v>-0.29946824328864902</v>
      </c>
      <c r="KG42" s="3">
        <f ca="1">IFERROR(__xludf.DUMMYFUNCTION("""COMPUTED_VALUE"""),-0.317108295614927)</f>
        <v>-0.31710829561492698</v>
      </c>
      <c r="KH42" s="3">
        <f ca="1">IFERROR(__xludf.DUMMYFUNCTION("""COMPUTED_VALUE"""),-0.28757405383844)</f>
        <v>-0.28757405383843998</v>
      </c>
      <c r="KI42" s="3">
        <f ca="1">IFERROR(__xludf.DUMMYFUNCTION("""COMPUTED_VALUE"""),-0.324909443839341)</f>
        <v>-0.32490944383934101</v>
      </c>
      <c r="KJ42" s="3">
        <f ca="1">IFERROR(__xludf.DUMMYFUNCTION("""COMPUTED_VALUE"""),-0.383611713653223)</f>
        <v>-0.383611713653223</v>
      </c>
      <c r="KK42" s="3">
        <f ca="1">IFERROR(__xludf.DUMMYFUNCTION("""COMPUTED_VALUE"""),-0.454858020332986)</f>
        <v>-0.454858020332986</v>
      </c>
      <c r="KL42" s="3">
        <f ca="1">IFERROR(__xludf.DUMMYFUNCTION("""COMPUTED_VALUE"""),-0.400367805184341)</f>
        <v>-0.40036780518434101</v>
      </c>
      <c r="KM42" s="3">
        <f ca="1">IFERROR(__xludf.DUMMYFUNCTION("""COMPUTED_VALUE"""),-0.417982202618006)</f>
        <v>-0.417982202618006</v>
      </c>
      <c r="KN42" s="3">
        <f ca="1">IFERROR(__xludf.DUMMYFUNCTION("""COMPUTED_VALUE"""),-0.406039819545138)</f>
        <v>-0.40603981954513801</v>
      </c>
      <c r="KO42" s="3">
        <f ca="1">IFERROR(__xludf.DUMMYFUNCTION("""COMPUTED_VALUE"""),-0.277025039741278)</f>
        <v>-0.27702503974127801</v>
      </c>
      <c r="KP42" s="3">
        <f ca="1">IFERROR(__xludf.DUMMYFUNCTION("""COMPUTED_VALUE"""),-0.437734572181806)</f>
        <v>-0.437734572181806</v>
      </c>
      <c r="KQ42" s="3">
        <f ca="1">IFERROR(__xludf.DUMMYFUNCTION("""COMPUTED_VALUE"""),-0.53746179468303)</f>
        <v>-0.53746179468303001</v>
      </c>
      <c r="KR42" s="3">
        <f ca="1">IFERROR(__xludf.DUMMYFUNCTION("""COMPUTED_VALUE"""),-0.579489498014743)</f>
        <v>-0.57948949801474303</v>
      </c>
      <c r="KS42" s="3">
        <f ca="1">IFERROR(__xludf.DUMMYFUNCTION("""COMPUTED_VALUE"""),-0.59483361040347)</f>
        <v>-0.59483361040347005</v>
      </c>
      <c r="KT42" s="3">
        <f ca="1">IFERROR(__xludf.DUMMYFUNCTION("""COMPUTED_VALUE"""),-0.670418070716273)</f>
        <v>-0.67041807071627302</v>
      </c>
      <c r="KU42" s="3">
        <f ca="1">IFERROR(__xludf.DUMMYFUNCTION("""COMPUTED_VALUE"""),-0.614007916511893)</f>
        <v>-0.61400791651189301</v>
      </c>
      <c r="KV42" s="3">
        <f ca="1">IFERROR(__xludf.DUMMYFUNCTION("""COMPUTED_VALUE"""),-0.600975895433271)</f>
        <v>-0.60097589543327101</v>
      </c>
      <c r="KW42" s="3">
        <f ca="1">IFERROR(__xludf.DUMMYFUNCTION("""COMPUTED_VALUE"""),-0.611947632025304)</f>
        <v>-0.611947632025304</v>
      </c>
      <c r="KX42" s="3">
        <f ca="1">IFERROR(__xludf.DUMMYFUNCTION("""COMPUTED_VALUE"""),-0.619716943994841)</f>
        <v>-0.61971694399484101</v>
      </c>
      <c r="KY42" s="3">
        <f ca="1">IFERROR(__xludf.DUMMYFUNCTION("""COMPUTED_VALUE"""),-0.601714596510997)</f>
        <v>-0.60171459651099701</v>
      </c>
      <c r="KZ42" s="3">
        <f ca="1">IFERROR(__xludf.DUMMYFUNCTION("""COMPUTED_VALUE"""),-0.596065613890139)</f>
        <v>-0.59606561389013901</v>
      </c>
      <c r="LA42" s="3">
        <f ca="1">IFERROR(__xludf.DUMMYFUNCTION("""COMPUTED_VALUE"""),-0.583118408294228)</f>
        <v>-0.58311840829422801</v>
      </c>
      <c r="LB42" s="3">
        <f ca="1">IFERROR(__xludf.DUMMYFUNCTION("""COMPUTED_VALUE"""),-0.649014126581881)</f>
        <v>-0.64901412658188096</v>
      </c>
      <c r="LC42" s="3">
        <f ca="1">IFERROR(__xludf.DUMMYFUNCTION("""COMPUTED_VALUE"""),-0.607715314161551)</f>
        <v>-0.607715314161551</v>
      </c>
      <c r="LD42" s="3">
        <f ca="1">IFERROR(__xludf.DUMMYFUNCTION("""COMPUTED_VALUE"""),-0.700525700511689)</f>
        <v>-0.70052570051168905</v>
      </c>
      <c r="LE42" s="3">
        <f ca="1">IFERROR(__xludf.DUMMYFUNCTION("""COMPUTED_VALUE"""),-0.696056210131222)</f>
        <v>-0.69605621013122199</v>
      </c>
      <c r="LF42" s="3">
        <f ca="1">IFERROR(__xludf.DUMMYFUNCTION("""COMPUTED_VALUE"""),-0.620386376884652)</f>
        <v>-0.62038637688465204</v>
      </c>
      <c r="LG42" s="3">
        <f ca="1">IFERROR(__xludf.DUMMYFUNCTION("""COMPUTED_VALUE"""),-0.689369404030878)</f>
        <v>-0.68936940403087799</v>
      </c>
      <c r="LH42" s="3">
        <f ca="1">IFERROR(__xludf.DUMMYFUNCTION("""COMPUTED_VALUE"""),-0.644658184097588)</f>
        <v>-0.64465818409758802</v>
      </c>
      <c r="LI42" s="3">
        <f ca="1">IFERROR(__xludf.DUMMYFUNCTION("""COMPUTED_VALUE"""),-0.591216329921949)</f>
        <v>-0.59121632992194895</v>
      </c>
      <c r="LJ42" s="3">
        <f ca="1">IFERROR(__xludf.DUMMYFUNCTION("""COMPUTED_VALUE"""),-0.664339448109216)</f>
        <v>-0.66433944810921597</v>
      </c>
      <c r="LK42" s="3">
        <f ca="1">IFERROR(__xludf.DUMMYFUNCTION("""COMPUTED_VALUE"""),-0.593137639387802)</f>
        <v>-0.59313763938780195</v>
      </c>
      <c r="LL42" s="3">
        <f ca="1">IFERROR(__xludf.DUMMYFUNCTION("""COMPUTED_VALUE"""),-0.642460150660697)</f>
        <v>-0.64246015066069695</v>
      </c>
      <c r="LM42" s="3">
        <f ca="1">IFERROR(__xludf.DUMMYFUNCTION("""COMPUTED_VALUE"""),-0.770423296149573)</f>
        <v>-0.77042329614957294</v>
      </c>
      <c r="LN42" s="3">
        <f ca="1">IFERROR(__xludf.DUMMYFUNCTION("""COMPUTED_VALUE"""),-0.672329924447479)</f>
        <v>-0.67232992444747897</v>
      </c>
      <c r="LO42" s="3">
        <f ca="1">IFERROR(__xludf.DUMMYFUNCTION("""COMPUTED_VALUE"""),-0.591958585032031)</f>
        <v>-0.59195858503203103</v>
      </c>
      <c r="LP42" s="3">
        <f ca="1">IFERROR(__xludf.DUMMYFUNCTION("""COMPUTED_VALUE"""),-0.723325759714412)</f>
        <v>-0.72332575971441204</v>
      </c>
      <c r="LQ42" s="3">
        <f ca="1">IFERROR(__xludf.DUMMYFUNCTION("""COMPUTED_VALUE"""),-0.683848951994221)</f>
        <v>-0.68384895199422102</v>
      </c>
      <c r="LR42" s="3">
        <f ca="1">IFERROR(__xludf.DUMMYFUNCTION("""COMPUTED_VALUE"""),-0.668538637646718)</f>
        <v>-0.66853863764671795</v>
      </c>
      <c r="LS42" s="3">
        <f ca="1">IFERROR(__xludf.DUMMYFUNCTION("""COMPUTED_VALUE"""),-0.715993353297116)</f>
        <v>-0.715993353297116</v>
      </c>
      <c r="LT42" s="3">
        <f ca="1">IFERROR(__xludf.DUMMYFUNCTION("""COMPUTED_VALUE"""),-0.732653904943437)</f>
        <v>-0.73265390494343696</v>
      </c>
      <c r="LU42" s="3">
        <f ca="1">IFERROR(__xludf.DUMMYFUNCTION("""COMPUTED_VALUE"""),-0.570018854904455)</f>
        <v>-0.57001885490445503</v>
      </c>
      <c r="LV42" s="3">
        <f ca="1">IFERROR(__xludf.DUMMYFUNCTION("""COMPUTED_VALUE"""),-0.616595005868291)</f>
        <v>-0.61659500586829097</v>
      </c>
      <c r="LW42" s="3">
        <f ca="1">IFERROR(__xludf.DUMMYFUNCTION("""COMPUTED_VALUE"""),-0.593702526772541)</f>
        <v>-0.59370252677254098</v>
      </c>
      <c r="LX42" s="3">
        <f ca="1">IFERROR(__xludf.DUMMYFUNCTION("""COMPUTED_VALUE"""),-0.681867213571784)</f>
        <v>-0.68186721357178404</v>
      </c>
      <c r="LY42" s="3">
        <f ca="1">IFERROR(__xludf.DUMMYFUNCTION("""COMPUTED_VALUE"""),-0.659924902096862)</f>
        <v>-0.65992490209686205</v>
      </c>
      <c r="LZ42" s="3">
        <f ca="1">IFERROR(__xludf.DUMMYFUNCTION("""COMPUTED_VALUE"""),-0.692438692847686)</f>
        <v>-0.692438692847686</v>
      </c>
      <c r="MA42" s="3">
        <f ca="1">IFERROR(__xludf.DUMMYFUNCTION("""COMPUTED_VALUE"""),-0.744168357821842)</f>
        <v>-0.74416835782184199</v>
      </c>
      <c r="MB42" s="3">
        <f ca="1">IFERROR(__xludf.DUMMYFUNCTION("""COMPUTED_VALUE"""),-0.668546007775366)</f>
        <v>-0.66854600777536599</v>
      </c>
      <c r="MC42" s="3">
        <f ca="1">IFERROR(__xludf.DUMMYFUNCTION("""COMPUTED_VALUE"""),-0.694670612879059)</f>
        <v>-0.69467061287905896</v>
      </c>
      <c r="MD42" s="3">
        <f ca="1">IFERROR(__xludf.DUMMYFUNCTION("""COMPUTED_VALUE"""),-0.717416580633346)</f>
        <v>-0.71741658063334601</v>
      </c>
      <c r="ME42" s="3">
        <f ca="1">IFERROR(__xludf.DUMMYFUNCTION("""COMPUTED_VALUE"""),-0.67666027309615)</f>
        <v>-0.67666027309614996</v>
      </c>
      <c r="MF42" s="3">
        <f ca="1">IFERROR(__xludf.DUMMYFUNCTION("""COMPUTED_VALUE"""),-0.65993502335122)</f>
        <v>-0.65993502335122001</v>
      </c>
      <c r="MG42" s="3">
        <f ca="1">IFERROR(__xludf.DUMMYFUNCTION("""COMPUTED_VALUE"""),-0.686379198180187)</f>
        <v>-0.686379198180187</v>
      </c>
      <c r="MH42" s="3">
        <f ca="1">IFERROR(__xludf.DUMMYFUNCTION("""COMPUTED_VALUE"""),-0.674328738707273)</f>
        <v>-0.67432873870727295</v>
      </c>
      <c r="MI42" s="3">
        <f ca="1">IFERROR(__xludf.DUMMYFUNCTION("""COMPUTED_VALUE"""),-0.615153565717502)</f>
        <v>-0.61515356571750202</v>
      </c>
      <c r="MJ42" s="3">
        <f ca="1">IFERROR(__xludf.DUMMYFUNCTION("""COMPUTED_VALUE"""),-0.642284647588539)</f>
        <v>-0.64228464758853898</v>
      </c>
      <c r="MK42" s="3">
        <f ca="1">IFERROR(__xludf.DUMMYFUNCTION("""COMPUTED_VALUE"""),-0.643743881613299)</f>
        <v>-0.64374388161329898</v>
      </c>
      <c r="ML42" s="3">
        <f ca="1">IFERROR(__xludf.DUMMYFUNCTION("""COMPUTED_VALUE"""),-0.694366964969347)</f>
        <v>-0.69436696496934702</v>
      </c>
      <c r="MM42" s="3">
        <f ca="1">IFERROR(__xludf.DUMMYFUNCTION("""COMPUTED_VALUE"""),-0.677605067700246)</f>
        <v>-0.67760506770024598</v>
      </c>
      <c r="MN42" s="3">
        <f ca="1">IFERROR(__xludf.DUMMYFUNCTION("""COMPUTED_VALUE"""),-0.692691379626506)</f>
        <v>-0.69269137962650595</v>
      </c>
      <c r="MO42" s="3">
        <f ca="1">IFERROR(__xludf.DUMMYFUNCTION("""COMPUTED_VALUE"""),-0.62658029300107)</f>
        <v>-0.62658029300106999</v>
      </c>
      <c r="MP42" s="3">
        <f ca="1">IFERROR(__xludf.DUMMYFUNCTION("""COMPUTED_VALUE"""),-0.550766974572931)</f>
        <v>-0.550766974572931</v>
      </c>
      <c r="MQ42" s="3">
        <f ca="1">IFERROR(__xludf.DUMMYFUNCTION("""COMPUTED_VALUE"""),-0.605252313982141)</f>
        <v>-0.60525231398214097</v>
      </c>
      <c r="MR42" s="3">
        <f ca="1">IFERROR(__xludf.DUMMYFUNCTION("""COMPUTED_VALUE"""),-0.607801032693257)</f>
        <v>-0.60780103269325703</v>
      </c>
      <c r="MS42" s="3">
        <f ca="1">IFERROR(__xludf.DUMMYFUNCTION("""COMPUTED_VALUE"""),-0.574796400841185)</f>
        <v>-0.574796400841185</v>
      </c>
      <c r="MT42" s="3">
        <f ca="1">IFERROR(__xludf.DUMMYFUNCTION("""COMPUTED_VALUE"""),-0.609276115577988)</f>
        <v>-0.609276115577988</v>
      </c>
      <c r="MU42" s="3">
        <f ca="1">IFERROR(__xludf.DUMMYFUNCTION("""COMPUTED_VALUE"""),-0.685355754756122)</f>
        <v>-0.68535575475612198</v>
      </c>
      <c r="MV42" s="3">
        <f ca="1">IFERROR(__xludf.DUMMYFUNCTION("""COMPUTED_VALUE"""),-0.681489142967955)</f>
        <v>-0.68148914296795504</v>
      </c>
      <c r="MW42" s="3">
        <f ca="1">IFERROR(__xludf.DUMMYFUNCTION("""COMPUTED_VALUE"""),-0.554737654122338)</f>
        <v>-0.554737654122338</v>
      </c>
      <c r="MX42" s="3">
        <f ca="1">IFERROR(__xludf.DUMMYFUNCTION("""COMPUTED_VALUE"""),-0.68125009670328)</f>
        <v>-0.68125009670327996</v>
      </c>
      <c r="MY42" s="3">
        <f ca="1">IFERROR(__xludf.DUMMYFUNCTION("""COMPUTED_VALUE"""),-0.677630201135574)</f>
        <v>-0.67763020113557404</v>
      </c>
      <c r="MZ42" s="3">
        <f ca="1">IFERROR(__xludf.DUMMYFUNCTION("""COMPUTED_VALUE"""),-0.732360445118603)</f>
        <v>-0.73236044511860299</v>
      </c>
      <c r="NA42" s="3">
        <f ca="1">IFERROR(__xludf.DUMMYFUNCTION("""COMPUTED_VALUE"""),-0.721494738899751)</f>
        <v>-0.72149473889975102</v>
      </c>
      <c r="NB42" s="3">
        <f ca="1">IFERROR(__xludf.DUMMYFUNCTION("""COMPUTED_VALUE"""),-0.685286553653614)</f>
        <v>-0.68528655365361402</v>
      </c>
      <c r="NC42" s="3">
        <f ca="1">IFERROR(__xludf.DUMMYFUNCTION("""COMPUTED_VALUE"""),-0.715365380620411)</f>
        <v>-0.715365380620411</v>
      </c>
      <c r="ND42" s="3">
        <f ca="1">IFERROR(__xludf.DUMMYFUNCTION("""COMPUTED_VALUE"""),-0.532238093250866)</f>
        <v>-0.53223809325086602</v>
      </c>
      <c r="NE42" s="3">
        <f ca="1">IFERROR(__xludf.DUMMYFUNCTION("""COMPUTED_VALUE"""),-0.610717724583335)</f>
        <v>-0.61071772458333495</v>
      </c>
      <c r="NF42" s="3">
        <f ca="1">IFERROR(__xludf.DUMMYFUNCTION("""COMPUTED_VALUE"""),-0.645262295875064)</f>
        <v>-0.64526229587506401</v>
      </c>
      <c r="NG42" s="3">
        <f ca="1">IFERROR(__xludf.DUMMYFUNCTION("""COMPUTED_VALUE"""),-0.713306008324869)</f>
        <v>-0.71330600832486901</v>
      </c>
      <c r="NH42" s="3">
        <f ca="1">IFERROR(__xludf.DUMMYFUNCTION("""COMPUTED_VALUE"""),-0.68739843984609)</f>
        <v>-0.68739843984608995</v>
      </c>
      <c r="NI42" s="3">
        <f ca="1">IFERROR(__xludf.DUMMYFUNCTION("""COMPUTED_VALUE"""),-0.580549131988302)</f>
        <v>-0.58054913198830205</v>
      </c>
      <c r="NJ42" s="3">
        <f ca="1">IFERROR(__xludf.DUMMYFUNCTION("""COMPUTED_VALUE"""),-0.579729506153651)</f>
        <v>-0.57972950615365104</v>
      </c>
      <c r="NK42" s="3">
        <f ca="1">IFERROR(__xludf.DUMMYFUNCTION("""COMPUTED_VALUE"""),-0.582898018969956)</f>
        <v>-0.58289801896995597</v>
      </c>
      <c r="NL42" s="3">
        <f ca="1">IFERROR(__xludf.DUMMYFUNCTION("""COMPUTED_VALUE"""),-0.55827280825592)</f>
        <v>-0.55827280825591996</v>
      </c>
      <c r="NM42" s="3">
        <f ca="1">IFERROR(__xludf.DUMMYFUNCTION("""COMPUTED_VALUE"""),-0.527646210086464)</f>
        <v>-0.52764621008646395</v>
      </c>
      <c r="NN42" s="3">
        <f ca="1">IFERROR(__xludf.DUMMYFUNCTION("""COMPUTED_VALUE"""),-0.645351762294688)</f>
        <v>-0.64535176229468805</v>
      </c>
      <c r="NO42" s="3">
        <f ca="1">IFERROR(__xludf.DUMMYFUNCTION("""COMPUTED_VALUE"""),-0.592644292528115)</f>
        <v>-0.59264429252811501</v>
      </c>
      <c r="NP42" s="3">
        <f ca="1">IFERROR(__xludf.DUMMYFUNCTION("""COMPUTED_VALUE"""),-0.274717067254857)</f>
        <v>-0.27471706725485701</v>
      </c>
      <c r="NQ42" s="3">
        <f ca="1">IFERROR(__xludf.DUMMYFUNCTION("""COMPUTED_VALUE"""),-0.369393546933519)</f>
        <v>-0.369393546933519</v>
      </c>
      <c r="NR42" s="3">
        <f ca="1">IFERROR(__xludf.DUMMYFUNCTION("""COMPUTED_VALUE"""),-0.531891491230635)</f>
        <v>-0.53189149123063495</v>
      </c>
      <c r="NS42" s="3">
        <f ca="1">IFERROR(__xludf.DUMMYFUNCTION("""COMPUTED_VALUE"""),-0.410210486932651)</f>
        <v>-0.410210486932651</v>
      </c>
      <c r="NT42" s="3">
        <f ca="1">IFERROR(__xludf.DUMMYFUNCTION("""COMPUTED_VALUE"""),-0.455642070803161)</f>
        <v>-0.45564207080316099</v>
      </c>
      <c r="NU42" s="3">
        <f ca="1">IFERROR(__xludf.DUMMYFUNCTION("""COMPUTED_VALUE"""),-0.34521696297053)</f>
        <v>-0.34521696297053001</v>
      </c>
      <c r="NV42" s="3">
        <f ca="1">IFERROR(__xludf.DUMMYFUNCTION("""COMPUTED_VALUE"""),-0.504069890411716)</f>
        <v>-0.50406989041171602</v>
      </c>
      <c r="NW42" s="3">
        <f ca="1">IFERROR(__xludf.DUMMYFUNCTION("""COMPUTED_VALUE"""),-0.348661757637268)</f>
        <v>-0.34866175763726798</v>
      </c>
      <c r="NX42" s="3">
        <f ca="1">IFERROR(__xludf.DUMMYFUNCTION("""COMPUTED_VALUE"""),-0.500628617546847)</f>
        <v>-0.50062861754684695</v>
      </c>
      <c r="NY42" s="3">
        <f ca="1">IFERROR(__xludf.DUMMYFUNCTION("""COMPUTED_VALUE"""),-0.249641437050338)</f>
        <v>-0.24964143705033801</v>
      </c>
      <c r="NZ42" s="3">
        <f ca="1">IFERROR(__xludf.DUMMYFUNCTION("""COMPUTED_VALUE"""),-0.418498019837611)</f>
        <v>-0.41849801983761098</v>
      </c>
      <c r="OA42" s="3">
        <f ca="1">IFERROR(__xludf.DUMMYFUNCTION("""COMPUTED_VALUE"""),-0.408510745125868)</f>
        <v>-0.40851074512586799</v>
      </c>
      <c r="OB42" s="3">
        <f ca="1">IFERROR(__xludf.DUMMYFUNCTION("""COMPUTED_VALUE"""),-0.388944719935932)</f>
        <v>-0.38894471993593199</v>
      </c>
      <c r="OC42" s="3">
        <f ca="1">IFERROR(__xludf.DUMMYFUNCTION("""COMPUTED_VALUE"""),-0.160290303550997)</f>
        <v>-0.16029030355099699</v>
      </c>
      <c r="OD42" s="3">
        <f ca="1">IFERROR(__xludf.DUMMYFUNCTION("""COMPUTED_VALUE"""),-0.180760077628513)</f>
        <v>-0.18076007762851301</v>
      </c>
      <c r="OE42" s="3">
        <f ca="1">IFERROR(__xludf.DUMMYFUNCTION("""COMPUTED_VALUE"""),-0.254319192180287)</f>
        <v>-0.25431919218028698</v>
      </c>
      <c r="OF42" s="3">
        <f ca="1">IFERROR(__xludf.DUMMYFUNCTION("""COMPUTED_VALUE"""),-0.296515253858703)</f>
        <v>-0.29651525385870298</v>
      </c>
      <c r="OG42" s="3">
        <f ca="1">IFERROR(__xludf.DUMMYFUNCTION("""COMPUTED_VALUE"""),-0.11944014280889)</f>
        <v>-0.11944014280889</v>
      </c>
      <c r="OH42" s="3">
        <f ca="1">IFERROR(__xludf.DUMMYFUNCTION("""COMPUTED_VALUE"""),-0.126121489541674)</f>
        <v>-0.12612148954167399</v>
      </c>
      <c r="OI42" s="3">
        <f ca="1">IFERROR(__xludf.DUMMYFUNCTION("""COMPUTED_VALUE"""),-0.112121047410128)</f>
        <v>-0.112121047410128</v>
      </c>
      <c r="OJ42" s="3">
        <f ca="1">IFERROR(__xludf.DUMMYFUNCTION("""COMPUTED_VALUE"""),0.0118105379420792)</f>
        <v>1.1810537942079201E-2</v>
      </c>
      <c r="OK42" s="3">
        <f ca="1">IFERROR(__xludf.DUMMYFUNCTION("""COMPUTED_VALUE"""),-0.149239062912012)</f>
        <v>-0.149239062912012</v>
      </c>
      <c r="OL42" s="3">
        <f ca="1">IFERROR(__xludf.DUMMYFUNCTION("""COMPUTED_VALUE"""),-0.0305943739585982)</f>
        <v>-3.0594373958598198E-2</v>
      </c>
      <c r="OM42" s="3">
        <f ca="1">IFERROR(__xludf.DUMMYFUNCTION("""COMPUTED_VALUE"""),-0.147956478801329)</f>
        <v>-0.14795647880132901</v>
      </c>
      <c r="ON42" s="3">
        <f ca="1">IFERROR(__xludf.DUMMYFUNCTION("""COMPUTED_VALUE"""),0.0186197574548168)</f>
        <v>1.8619757454816799E-2</v>
      </c>
      <c r="OO42" s="3">
        <f ca="1">IFERROR(__xludf.DUMMYFUNCTION("""COMPUTED_VALUE"""),-0.148306595786827)</f>
        <v>-0.14830659578682701</v>
      </c>
      <c r="OP42" s="3">
        <f ca="1">IFERROR(__xludf.DUMMYFUNCTION("""COMPUTED_VALUE"""),0.0225294263529372)</f>
        <v>2.2529426352937199E-2</v>
      </c>
      <c r="OQ42" s="3">
        <f ca="1">IFERROR(__xludf.DUMMYFUNCTION("""COMPUTED_VALUE"""),0.0370287852020625)</f>
        <v>3.70287852020625E-2</v>
      </c>
      <c r="OR42" s="3">
        <f ca="1">IFERROR(__xludf.DUMMYFUNCTION("""COMPUTED_VALUE"""),-0.14688641327925)</f>
        <v>-0.14688641327925001</v>
      </c>
      <c r="OS42" s="3">
        <f ca="1">IFERROR(__xludf.DUMMYFUNCTION("""COMPUTED_VALUE"""),-0.0457118850617871)</f>
        <v>-4.5711885061787097E-2</v>
      </c>
      <c r="OT42" s="3">
        <f ca="1">IFERROR(__xludf.DUMMYFUNCTION("""COMPUTED_VALUE"""),-0.0664401253316574)</f>
        <v>-6.6440125331657399E-2</v>
      </c>
      <c r="OU42" s="3">
        <f ca="1">IFERROR(__xludf.DUMMYFUNCTION("""COMPUTED_VALUE"""),0.074737951546121)</f>
        <v>7.4737951546121006E-2</v>
      </c>
      <c r="OV42" s="3">
        <f ca="1">IFERROR(__xludf.DUMMYFUNCTION("""COMPUTED_VALUE"""),0.12827775408274)</f>
        <v>0.12827775408274</v>
      </c>
      <c r="OW42" s="3">
        <f ca="1">IFERROR(__xludf.DUMMYFUNCTION("""COMPUTED_VALUE"""),-0.00278398609012453)</f>
        <v>-2.7839860901245298E-3</v>
      </c>
      <c r="OX42" s="3">
        <f ca="1">IFERROR(__xludf.DUMMYFUNCTION("""COMPUTED_VALUE"""),0.145786248595866)</f>
        <v>0.145786248595866</v>
      </c>
      <c r="OY42" s="3">
        <f ca="1">IFERROR(__xludf.DUMMYFUNCTION("""COMPUTED_VALUE"""),-0.160861527105385)</f>
        <v>-0.16086152710538501</v>
      </c>
      <c r="OZ42" s="3">
        <f ca="1">IFERROR(__xludf.DUMMYFUNCTION("""COMPUTED_VALUE"""),-0.0722059407066633)</f>
        <v>-7.2205940706663294E-2</v>
      </c>
      <c r="PA42" s="3">
        <f ca="1">IFERROR(__xludf.DUMMYFUNCTION("""COMPUTED_VALUE"""),0.0462571039018615)</f>
        <v>4.6257103901861503E-2</v>
      </c>
      <c r="PB42" s="3">
        <f ca="1">IFERROR(__xludf.DUMMYFUNCTION("""COMPUTED_VALUE"""),0.0646153479876563)</f>
        <v>6.4615347987656294E-2</v>
      </c>
      <c r="PC42" s="3">
        <f ca="1">IFERROR(__xludf.DUMMYFUNCTION("""COMPUTED_VALUE"""),-0.183682830345562)</f>
        <v>-0.18368283034556199</v>
      </c>
      <c r="PD42" s="3">
        <f ca="1">IFERROR(__xludf.DUMMYFUNCTION("""COMPUTED_VALUE"""),-0.125941046825669)</f>
        <v>-0.12594104682566901</v>
      </c>
      <c r="PE42" s="3">
        <f ca="1">IFERROR(__xludf.DUMMYFUNCTION("""COMPUTED_VALUE"""),0.0561252950102253)</f>
        <v>5.6125295010225298E-2</v>
      </c>
      <c r="PF42" s="3">
        <f ca="1">IFERROR(__xludf.DUMMYFUNCTION("""COMPUTED_VALUE"""),0.007493089670908)</f>
        <v>7.4930896709079998E-3</v>
      </c>
      <c r="PG42" s="3">
        <f ca="1">IFERROR(__xludf.DUMMYFUNCTION("""COMPUTED_VALUE"""),-0.0578690358785261)</f>
        <v>-5.7869035878526098E-2</v>
      </c>
      <c r="PH42" s="3">
        <f ca="1">IFERROR(__xludf.DUMMYFUNCTION("""COMPUTED_VALUE"""),-0.00633891161640798)</f>
        <v>-6.3389116164079802E-3</v>
      </c>
      <c r="PI42" s="3">
        <f ca="1">IFERROR(__xludf.DUMMYFUNCTION("""COMPUTED_VALUE"""),0.105009752043122)</f>
        <v>0.105009752043122</v>
      </c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</row>
    <row r="43" spans="1:477" ht="15.75" customHeight="1">
      <c r="A43" s="1" t="str">
        <f ca="1">IFERROR(__xludf.DUMMYFUNCTION("""COMPUTED_VALUE"""),"METRO")</f>
        <v>METRO</v>
      </c>
      <c r="B43" s="1" t="str">
        <f ca="1">IFERROR(__xludf.DUMMYFUNCTION("""COMPUTED_VALUE"""),"Houston")</f>
        <v>Houston</v>
      </c>
      <c r="C43" s="1" t="str">
        <f ca="1">IFERROR(__xludf.DUMMYFUNCTION("""COMPUTED_VALUE"""),"United States")</f>
        <v>United States</v>
      </c>
      <c r="D43" s="1" t="str">
        <f ca="1">IFERROR(__xludf.DUMMYFUNCTION("""COMPUTED_VALUE"""),"Texas")</f>
        <v>Texas</v>
      </c>
      <c r="E43" s="3">
        <f ca="1">IFERROR(__xludf.DUMMYFUNCTION("""COMPUTED_VALUE"""),-0.409196953651206)</f>
        <v>-0.40919695365120601</v>
      </c>
      <c r="F43" s="3">
        <f ca="1">IFERROR(__xludf.DUMMYFUNCTION("""COMPUTED_VALUE"""),-0.507421154507636)</f>
        <v>-0.50742115450763603</v>
      </c>
      <c r="G43" s="3">
        <f ca="1">IFERROR(__xludf.DUMMYFUNCTION("""COMPUTED_VALUE"""),-0.511156456300842)</f>
        <v>-0.51115645630084205</v>
      </c>
      <c r="H43" s="3">
        <f ca="1">IFERROR(__xludf.DUMMYFUNCTION("""COMPUTED_VALUE"""),-0.576850772742938)</f>
        <v>-0.57685077274293795</v>
      </c>
      <c r="I43" s="3">
        <f ca="1">IFERROR(__xludf.DUMMYFUNCTION("""COMPUTED_VALUE"""),-0.557477678924715)</f>
        <v>-0.557477678924715</v>
      </c>
      <c r="J43" s="3">
        <f ca="1">IFERROR(__xludf.DUMMYFUNCTION("""COMPUTED_VALUE"""),-0.542633654748944)</f>
        <v>-0.54263365474894398</v>
      </c>
      <c r="K43" s="3">
        <f ca="1">IFERROR(__xludf.DUMMYFUNCTION("""COMPUTED_VALUE"""),-0.460117057460557)</f>
        <v>-0.46011705746055698</v>
      </c>
      <c r="L43" s="3">
        <f ca="1">IFERROR(__xludf.DUMMYFUNCTION("""COMPUTED_VALUE"""),-0.467656744026414)</f>
        <v>-0.467656744026414</v>
      </c>
      <c r="M43" s="3">
        <f ca="1">IFERROR(__xludf.DUMMYFUNCTION("""COMPUTED_VALUE"""),-0.587393471490173)</f>
        <v>-0.58739347149017296</v>
      </c>
      <c r="N43" s="3">
        <f ca="1">IFERROR(__xludf.DUMMYFUNCTION("""COMPUTED_VALUE"""),-0.533238250115939)</f>
        <v>-0.53323825011593895</v>
      </c>
      <c r="O43" s="3">
        <f ca="1">IFERROR(__xludf.DUMMYFUNCTION("""COMPUTED_VALUE"""),-0.574117210928569)</f>
        <v>-0.57411721092856904</v>
      </c>
      <c r="P43" s="3">
        <f ca="1">IFERROR(__xludf.DUMMYFUNCTION("""COMPUTED_VALUE"""),-0.584598336601813)</f>
        <v>-0.58459833660181304</v>
      </c>
      <c r="Q43" s="3">
        <f ca="1">IFERROR(__xludf.DUMMYFUNCTION("""COMPUTED_VALUE"""),-0.574826167372396)</f>
        <v>-0.574826167372396</v>
      </c>
      <c r="R43" s="3">
        <f ca="1">IFERROR(__xludf.DUMMYFUNCTION("""COMPUTED_VALUE"""),-0.447580907539879)</f>
        <v>-0.447580907539879</v>
      </c>
      <c r="S43" s="3">
        <f ca="1">IFERROR(__xludf.DUMMYFUNCTION("""COMPUTED_VALUE"""),-0.486323952016327)</f>
        <v>-0.486323952016327</v>
      </c>
      <c r="T43" s="3">
        <f ca="1">IFERROR(__xludf.DUMMYFUNCTION("""COMPUTED_VALUE"""),-0.541208854020437)</f>
        <v>-0.54120885402043695</v>
      </c>
      <c r="U43" s="3">
        <f ca="1">IFERROR(__xludf.DUMMYFUNCTION("""COMPUTED_VALUE"""),-0.549735962250635)</f>
        <v>-0.54973596225063504</v>
      </c>
      <c r="V43" s="3">
        <f ca="1">IFERROR(__xludf.DUMMYFUNCTION("""COMPUTED_VALUE"""),-0.5793185646081)</f>
        <v>-0.57931856460810005</v>
      </c>
      <c r="W43" s="3">
        <f ca="1">IFERROR(__xludf.DUMMYFUNCTION("""COMPUTED_VALUE"""),-0.565806425875463)</f>
        <v>-0.56580642587546304</v>
      </c>
      <c r="X43" s="3">
        <f ca="1">IFERROR(__xludf.DUMMYFUNCTION("""COMPUTED_VALUE"""),-0.553644127410316)</f>
        <v>-0.55364412741031599</v>
      </c>
      <c r="Y43" s="3">
        <f ca="1">IFERROR(__xludf.DUMMYFUNCTION("""COMPUTED_VALUE"""),-0.449076565865341)</f>
        <v>-0.449076565865341</v>
      </c>
      <c r="Z43" s="3">
        <f ca="1">IFERROR(__xludf.DUMMYFUNCTION("""COMPUTED_VALUE"""),-0.454197139516157)</f>
        <v>-0.45419713951615698</v>
      </c>
      <c r="AA43" s="3">
        <f ca="1">IFERROR(__xludf.DUMMYFUNCTION("""COMPUTED_VALUE"""),-0.563921871646357)</f>
        <v>-0.56392187164635699</v>
      </c>
      <c r="AB43" s="3">
        <f ca="1">IFERROR(__xludf.DUMMYFUNCTION("""COMPUTED_VALUE"""),-0.564987550614989)</f>
        <v>-0.56498755061498895</v>
      </c>
      <c r="AC43" s="3">
        <f ca="1">IFERROR(__xludf.DUMMYFUNCTION("""COMPUTED_VALUE"""),-0.591295706290611)</f>
        <v>-0.59129570629061101</v>
      </c>
      <c r="AD43" s="3">
        <f ca="1">IFERROR(__xludf.DUMMYFUNCTION("""COMPUTED_VALUE"""),-0.576731994876854)</f>
        <v>-0.576731994876854</v>
      </c>
      <c r="AE43" s="3">
        <f ca="1">IFERROR(__xludf.DUMMYFUNCTION("""COMPUTED_VALUE"""),-0.564637154001668)</f>
        <v>-0.56463715400166803</v>
      </c>
      <c r="AF43" s="3">
        <f ca="1">IFERROR(__xludf.DUMMYFUNCTION("""COMPUTED_VALUE"""),-0.515635011825964)</f>
        <v>-0.51563501182596405</v>
      </c>
      <c r="AG43" s="3">
        <f ca="1">IFERROR(__xludf.DUMMYFUNCTION("""COMPUTED_VALUE"""),-0.479172547423206)</f>
        <v>-0.47917254742320597</v>
      </c>
      <c r="AH43" s="3">
        <f ca="1">IFERROR(__xludf.DUMMYFUNCTION("""COMPUTED_VALUE"""),-0.543300899631063)</f>
        <v>-0.54330089963106298</v>
      </c>
      <c r="AI43" s="3">
        <f ca="1">IFERROR(__xludf.DUMMYFUNCTION("""COMPUTED_VALUE"""),-0.55063094232324)</f>
        <v>-0.55063094232323995</v>
      </c>
      <c r="AJ43" s="3">
        <f ca="1">IFERROR(__xludf.DUMMYFUNCTION("""COMPUTED_VALUE"""),-0.543642365705646)</f>
        <v>-0.54364236570564595</v>
      </c>
      <c r="AK43" s="3">
        <f ca="1">IFERROR(__xludf.DUMMYFUNCTION("""COMPUTED_VALUE"""),-0.540245555573914)</f>
        <v>-0.54024555557391396</v>
      </c>
      <c r="AL43" s="3">
        <f ca="1">IFERROR(__xludf.DUMMYFUNCTION("""COMPUTED_VALUE"""),-0.536484403285143)</f>
        <v>-0.53648440328514302</v>
      </c>
      <c r="AM43" s="3">
        <f ca="1">IFERROR(__xludf.DUMMYFUNCTION("""COMPUTED_VALUE"""),-0.450126483624852)</f>
        <v>-0.45012648362485203</v>
      </c>
      <c r="AN43" s="3">
        <f ca="1">IFERROR(__xludf.DUMMYFUNCTION("""COMPUTED_VALUE"""),-0.453226487925332)</f>
        <v>-0.45322648792533199</v>
      </c>
      <c r="AO43" s="3">
        <f ca="1">IFERROR(__xludf.DUMMYFUNCTION("""COMPUTED_VALUE"""),-0.541773974412322)</f>
        <v>-0.541773974412322</v>
      </c>
      <c r="AP43" s="3">
        <f ca="1">IFERROR(__xludf.DUMMYFUNCTION("""COMPUTED_VALUE"""),-0.548497721347993)</f>
        <v>-0.54849772134799302</v>
      </c>
      <c r="AQ43" s="3">
        <f ca="1">IFERROR(__xludf.DUMMYFUNCTION("""COMPUTED_VALUE"""),-0.535036951990507)</f>
        <v>-0.53503695199050705</v>
      </c>
      <c r="AR43" s="3">
        <f ca="1">IFERROR(__xludf.DUMMYFUNCTION("""COMPUTED_VALUE"""),-0.534734128022381)</f>
        <v>-0.53473412802238096</v>
      </c>
      <c r="AS43" s="3">
        <f ca="1">IFERROR(__xludf.DUMMYFUNCTION("""COMPUTED_VALUE"""),-0.560405461633008)</f>
        <v>-0.56040546163300797</v>
      </c>
      <c r="AT43" s="3">
        <f ca="1">IFERROR(__xludf.DUMMYFUNCTION("""COMPUTED_VALUE"""),-0.461736047026748)</f>
        <v>-0.46173604702674798</v>
      </c>
      <c r="AU43" s="3">
        <f ca="1">IFERROR(__xludf.DUMMYFUNCTION("""COMPUTED_VALUE"""),-0.491925108631377)</f>
        <v>-0.49192510863137701</v>
      </c>
      <c r="AV43" s="3">
        <f ca="1">IFERROR(__xludf.DUMMYFUNCTION("""COMPUTED_VALUE"""),-0.558412110385712)</f>
        <v>-0.55841211038571203</v>
      </c>
      <c r="AW43" s="3">
        <f ca="1">IFERROR(__xludf.DUMMYFUNCTION("""COMPUTED_VALUE"""),-0.612080696981408)</f>
        <v>-0.61208069698140799</v>
      </c>
      <c r="AX43" s="3">
        <f ca="1">IFERROR(__xludf.DUMMYFUNCTION("""COMPUTED_VALUE"""),-0.584740259645548)</f>
        <v>-0.58474025964554799</v>
      </c>
      <c r="AY43" s="3">
        <f ca="1">IFERROR(__xludf.DUMMYFUNCTION("""COMPUTED_VALUE"""),-0.57147759288371)</f>
        <v>-0.57147759288371003</v>
      </c>
      <c r="AZ43" s="3">
        <f ca="1">IFERROR(__xludf.DUMMYFUNCTION("""COMPUTED_VALUE"""),-0.578871072224253)</f>
        <v>-0.57887107222425305</v>
      </c>
      <c r="BA43" s="3">
        <f ca="1">IFERROR(__xludf.DUMMYFUNCTION("""COMPUTED_VALUE"""),-0.54068396167427)</f>
        <v>-0.54068396167427002</v>
      </c>
      <c r="BB43" s="3">
        <f ca="1">IFERROR(__xludf.DUMMYFUNCTION("""COMPUTED_VALUE"""),-0.575767823958455)</f>
        <v>-0.57576782395845505</v>
      </c>
      <c r="BC43" s="3">
        <f ca="1">IFERROR(__xludf.DUMMYFUNCTION("""COMPUTED_VALUE"""),-0.71050632769832)</f>
        <v>-0.71050632769832001</v>
      </c>
      <c r="BD43" s="3">
        <f ca="1">IFERROR(__xludf.DUMMYFUNCTION("""COMPUTED_VALUE"""),-0.825969497782439)</f>
        <v>-0.825969497782439</v>
      </c>
      <c r="BE43" s="3">
        <f ca="1">IFERROR(__xludf.DUMMYFUNCTION("""COMPUTED_VALUE"""),-0.898215778411262)</f>
        <v>-0.89821577841126199</v>
      </c>
      <c r="BF43" s="3">
        <f ca="1">IFERROR(__xludf.DUMMYFUNCTION("""COMPUTED_VALUE"""),-0.922713731977397)</f>
        <v>-0.92271373197739703</v>
      </c>
      <c r="BG43" s="3">
        <f ca="1">IFERROR(__xludf.DUMMYFUNCTION("""COMPUTED_VALUE"""),-0.929699941670582)</f>
        <v>-0.92969994167058201</v>
      </c>
      <c r="BH43" s="3">
        <f ca="1">IFERROR(__xludf.DUMMYFUNCTION("""COMPUTED_VALUE"""),-0.583558978159719)</f>
        <v>-0.58355897815971902</v>
      </c>
      <c r="BI43" s="3">
        <f ca="1">IFERROR(__xludf.DUMMYFUNCTION("""COMPUTED_VALUE"""),-0.568472371871412)</f>
        <v>-0.56847237187141197</v>
      </c>
      <c r="BJ43" s="3">
        <f ca="1">IFERROR(__xludf.DUMMYFUNCTION("""COMPUTED_VALUE"""),-0.658982885394402)</f>
        <v>-0.65898288539440197</v>
      </c>
      <c r="BK43" s="3">
        <f ca="1">IFERROR(__xludf.DUMMYFUNCTION("""COMPUTED_VALUE"""),-0.666761729145202)</f>
        <v>-0.66676172914520204</v>
      </c>
      <c r="BL43" s="3">
        <f ca="1">IFERROR(__xludf.DUMMYFUNCTION("""COMPUTED_VALUE"""),-0.597051924749158)</f>
        <v>-0.59705192474915803</v>
      </c>
      <c r="BM43" s="3">
        <f ca="1">IFERROR(__xludf.DUMMYFUNCTION("""COMPUTED_VALUE"""),-0.5859628970728)</f>
        <v>-0.58596289707280003</v>
      </c>
      <c r="BN43" s="3">
        <f ca="1">IFERROR(__xludf.DUMMYFUNCTION("""COMPUTED_VALUE"""),-0.580795701539065)</f>
        <v>-0.58079570153906501</v>
      </c>
      <c r="BO43" s="3">
        <f ca="1">IFERROR(__xludf.DUMMYFUNCTION("""COMPUTED_VALUE"""),-0.53204611683083)</f>
        <v>-0.53204611683083003</v>
      </c>
      <c r="BP43" s="3">
        <f ca="1">IFERROR(__xludf.DUMMYFUNCTION("""COMPUTED_VALUE"""),-0.533913405167388)</f>
        <v>-0.53391340516738806</v>
      </c>
      <c r="BQ43" s="3">
        <f ca="1">IFERROR(__xludf.DUMMYFUNCTION("""COMPUTED_VALUE"""),-0.640537894782876)</f>
        <v>-0.64053789478287604</v>
      </c>
      <c r="BR43" s="3">
        <f ca="1">IFERROR(__xludf.DUMMYFUNCTION("""COMPUTED_VALUE"""),-0.610724754391857)</f>
        <v>-0.61072475439185703</v>
      </c>
      <c r="BS43" s="3">
        <f ca="1">IFERROR(__xludf.DUMMYFUNCTION("""COMPUTED_VALUE"""),-0.58974010388571)</f>
        <v>-0.58974010388570997</v>
      </c>
      <c r="BT43" s="3">
        <f ca="1">IFERROR(__xludf.DUMMYFUNCTION("""COMPUTED_VALUE"""),-0.598386852895085)</f>
        <v>-0.59838685289508498</v>
      </c>
      <c r="BU43" s="3">
        <f ca="1">IFERROR(__xludf.DUMMYFUNCTION("""COMPUTED_VALUE"""),-0.608046004261994)</f>
        <v>-0.60804600426199396</v>
      </c>
      <c r="BV43" s="3">
        <f ca="1">IFERROR(__xludf.DUMMYFUNCTION("""COMPUTED_VALUE"""),-0.552606337530019)</f>
        <v>-0.55260633753001898</v>
      </c>
      <c r="BW43" s="3">
        <f ca="1">IFERROR(__xludf.DUMMYFUNCTION("""COMPUTED_VALUE"""),-0.56121444909932)</f>
        <v>-0.56121444909931995</v>
      </c>
      <c r="BX43" s="3">
        <f ca="1">IFERROR(__xludf.DUMMYFUNCTION("""COMPUTED_VALUE"""),-0.601643929144089)</f>
        <v>-0.60164392914408904</v>
      </c>
      <c r="BY43" s="3">
        <f ca="1">IFERROR(__xludf.DUMMYFUNCTION("""COMPUTED_VALUE"""),-0.633556581998473)</f>
        <v>-0.63355658199847298</v>
      </c>
      <c r="BZ43" s="3">
        <f ca="1">IFERROR(__xludf.DUMMYFUNCTION("""COMPUTED_VALUE"""),-0.584550636938961)</f>
        <v>-0.58455063693896103</v>
      </c>
      <c r="CA43" s="3">
        <f ca="1">IFERROR(__xludf.DUMMYFUNCTION("""COMPUTED_VALUE"""),-0.580920930920948)</f>
        <v>-0.58092093092094799</v>
      </c>
      <c r="CB43" s="3">
        <f ca="1">IFERROR(__xludf.DUMMYFUNCTION("""COMPUTED_VALUE"""),-0.569298818935827)</f>
        <v>-0.56929881893582701</v>
      </c>
      <c r="CC43" s="3">
        <f ca="1">IFERROR(__xludf.DUMMYFUNCTION("""COMPUTED_VALUE"""),-0.547575611486671)</f>
        <v>-0.547575611486671</v>
      </c>
      <c r="CD43" s="3">
        <f ca="1">IFERROR(__xludf.DUMMYFUNCTION("""COMPUTED_VALUE"""),-0.527326162073496)</f>
        <v>-0.52732616207349603</v>
      </c>
      <c r="CE43" s="3">
        <f ca="1">IFERROR(__xludf.DUMMYFUNCTION("""COMPUTED_VALUE"""),-0.609264377591015)</f>
        <v>-0.60926437759101504</v>
      </c>
      <c r="CF43" s="3">
        <f ca="1">IFERROR(__xludf.DUMMYFUNCTION("""COMPUTED_VALUE"""),-0.637874230416705)</f>
        <v>-0.63787423041670499</v>
      </c>
      <c r="CG43" s="3">
        <f ca="1">IFERROR(__xludf.DUMMYFUNCTION("""COMPUTED_VALUE"""),-0.589926232330614)</f>
        <v>-0.58992623233061403</v>
      </c>
      <c r="CH43" s="3">
        <f ca="1">IFERROR(__xludf.DUMMYFUNCTION("""COMPUTED_VALUE"""),-0.596229473496859)</f>
        <v>-0.59622947349685895</v>
      </c>
      <c r="CI43" s="3">
        <f ca="1">IFERROR(__xludf.DUMMYFUNCTION("""COMPUTED_VALUE"""),-0.628195714479594)</f>
        <v>-0.62819571447959399</v>
      </c>
      <c r="CJ43" s="3">
        <f ca="1">IFERROR(__xludf.DUMMYFUNCTION("""COMPUTED_VALUE"""),-0.57808248602921)</f>
        <v>-0.57808248602920997</v>
      </c>
      <c r="CK43" s="3">
        <f ca="1">IFERROR(__xludf.DUMMYFUNCTION("""COMPUTED_VALUE"""),-0.526214916082824)</f>
        <v>-0.526214916082824</v>
      </c>
      <c r="CL43" s="3">
        <f ca="1">IFERROR(__xludf.DUMMYFUNCTION("""COMPUTED_VALUE"""),-0.602922605599539)</f>
        <v>-0.60292260559953903</v>
      </c>
      <c r="CM43" s="3">
        <f ca="1">IFERROR(__xludf.DUMMYFUNCTION("""COMPUTED_VALUE"""),-0.615507002432215)</f>
        <v>-0.61550700243221501</v>
      </c>
      <c r="CN43" s="3">
        <f ca="1">IFERROR(__xludf.DUMMYFUNCTION("""COMPUTED_VALUE"""),-0.591112270042498)</f>
        <v>-0.591112270042498</v>
      </c>
      <c r="CO43" s="3">
        <f ca="1">IFERROR(__xludf.DUMMYFUNCTION("""COMPUTED_VALUE"""),-0.622180917290852)</f>
        <v>-0.62218091729085201</v>
      </c>
      <c r="CP43" s="3">
        <f ca="1">IFERROR(__xludf.DUMMYFUNCTION("""COMPUTED_VALUE"""),-0.628639587335213)</f>
        <v>-0.62863958733521297</v>
      </c>
      <c r="CQ43" s="3">
        <f ca="1">IFERROR(__xludf.DUMMYFUNCTION("""COMPUTED_VALUE"""),-0.703991656518112)</f>
        <v>-0.70399165651811202</v>
      </c>
      <c r="CR43" s="3">
        <f ca="1">IFERROR(__xludf.DUMMYFUNCTION("""COMPUTED_VALUE"""),-0.530679987807906)</f>
        <v>-0.53067998780790604</v>
      </c>
      <c r="CS43" s="3">
        <f ca="1">IFERROR(__xludf.DUMMYFUNCTION("""COMPUTED_VALUE"""),-0.594703541248319)</f>
        <v>-0.59470354124831903</v>
      </c>
      <c r="CT43" s="3">
        <f ca="1">IFERROR(__xludf.DUMMYFUNCTION("""COMPUTED_VALUE"""),-0.605278119001894)</f>
        <v>-0.60527811900189399</v>
      </c>
      <c r="CU43" s="3">
        <f ca="1">IFERROR(__xludf.DUMMYFUNCTION("""COMPUTED_VALUE"""),-0.55872492344571)</f>
        <v>-0.55872492344571001</v>
      </c>
      <c r="CV43" s="3">
        <f ca="1">IFERROR(__xludf.DUMMYFUNCTION("""COMPUTED_VALUE"""),-0.586358541079849)</f>
        <v>-0.58635854107984897</v>
      </c>
      <c r="CW43" s="3">
        <f ca="1">IFERROR(__xludf.DUMMYFUNCTION("""COMPUTED_VALUE"""),-0.579408548387544)</f>
        <v>-0.57940854838754396</v>
      </c>
      <c r="CX43" s="3">
        <f ca="1">IFERROR(__xludf.DUMMYFUNCTION("""COMPUTED_VALUE"""),-0.553137232923253)</f>
        <v>-0.55313723292325301</v>
      </c>
      <c r="CY43" s="3">
        <f ca="1">IFERROR(__xludf.DUMMYFUNCTION("""COMPUTED_VALUE"""),-0.58050400900273)</f>
        <v>-0.58050400900273003</v>
      </c>
      <c r="CZ43" s="3">
        <f ca="1">IFERROR(__xludf.DUMMYFUNCTION("""COMPUTED_VALUE"""),-0.7178542622239)</f>
        <v>-0.71785426222390003</v>
      </c>
      <c r="DA43" s="3">
        <f ca="1">IFERROR(__xludf.DUMMYFUNCTION("""COMPUTED_VALUE"""),-0.67461584561162)</f>
        <v>-0.67461584561162002</v>
      </c>
      <c r="DB43" s="3">
        <f ca="1">IFERROR(__xludf.DUMMYFUNCTION("""COMPUTED_VALUE"""),-0.445459531215487)</f>
        <v>-0.44545953121548698</v>
      </c>
      <c r="DC43" s="3">
        <f ca="1">IFERROR(__xludf.DUMMYFUNCTION("""COMPUTED_VALUE"""),-0.56155552160594)</f>
        <v>-0.56155552160594002</v>
      </c>
      <c r="DD43" s="3">
        <f ca="1">IFERROR(__xludf.DUMMYFUNCTION("""COMPUTED_VALUE"""),-0.607128930374926)</f>
        <v>-0.60712893037492599</v>
      </c>
      <c r="DE43" s="3">
        <f ca="1">IFERROR(__xludf.DUMMYFUNCTION("""COMPUTED_VALUE"""),-0.559305956466272)</f>
        <v>-0.55930595646627201</v>
      </c>
      <c r="DF43" s="3">
        <f ca="1">IFERROR(__xludf.DUMMYFUNCTION("""COMPUTED_VALUE"""),-0.575741509246829)</f>
        <v>-0.57574150924682899</v>
      </c>
      <c r="DG43" s="3">
        <f ca="1">IFERROR(__xludf.DUMMYFUNCTION("""COMPUTED_VALUE"""),-0.821088237913875)</f>
        <v>-0.82108823791387497</v>
      </c>
      <c r="DH43" s="3">
        <f ca="1">IFERROR(__xludf.DUMMYFUNCTION("""COMPUTED_VALUE"""),-0.645502503493583)</f>
        <v>-0.64550250349358296</v>
      </c>
      <c r="DI43" s="3">
        <f ca="1">IFERROR(__xludf.DUMMYFUNCTION("""COMPUTED_VALUE"""),-0.37342775317269)</f>
        <v>-0.37342775317269</v>
      </c>
      <c r="DJ43" s="3">
        <f ca="1">IFERROR(__xludf.DUMMYFUNCTION("""COMPUTED_VALUE"""),-0.5361708464225)</f>
        <v>-0.53617084642250001</v>
      </c>
      <c r="DK43" s="3">
        <f ca="1">IFERROR(__xludf.DUMMYFUNCTION("""COMPUTED_VALUE"""),-0.563803199819785)</f>
        <v>-0.56380319981978499</v>
      </c>
      <c r="DL43" s="3">
        <f ca="1">IFERROR(__xludf.DUMMYFUNCTION("""COMPUTED_VALUE"""),-0.531937223548353)</f>
        <v>-0.53193722354835304</v>
      </c>
      <c r="DM43" s="3">
        <f ca="1">IFERROR(__xludf.DUMMYFUNCTION("""COMPUTED_VALUE"""),-0.607772134629549)</f>
        <v>-0.60777213462954904</v>
      </c>
      <c r="DN43" s="3">
        <f ca="1">IFERROR(__xludf.DUMMYFUNCTION("""COMPUTED_VALUE"""),-0.585706749433134)</f>
        <v>-0.58570674943313406</v>
      </c>
      <c r="DO43" s="3">
        <f ca="1">IFERROR(__xludf.DUMMYFUNCTION("""COMPUTED_VALUE"""),-0.601364502069409)</f>
        <v>-0.60136450206940895</v>
      </c>
      <c r="DP43" s="3">
        <f ca="1">IFERROR(__xludf.DUMMYFUNCTION("""COMPUTED_VALUE"""),-0.52579108787172)</f>
        <v>-0.52579108787172002</v>
      </c>
      <c r="DQ43" s="3">
        <f ca="1">IFERROR(__xludf.DUMMYFUNCTION("""COMPUTED_VALUE"""),-0.582560846226394)</f>
        <v>-0.58256084622639404</v>
      </c>
      <c r="DR43" s="3">
        <f ca="1">IFERROR(__xludf.DUMMYFUNCTION("""COMPUTED_VALUE"""),-0.613345764952668)</f>
        <v>-0.61334576495266802</v>
      </c>
      <c r="DS43" s="3">
        <f ca="1">IFERROR(__xludf.DUMMYFUNCTION("""COMPUTED_VALUE"""),-0.661522944715813)</f>
        <v>-0.66152294471581297</v>
      </c>
      <c r="DT43" s="3">
        <f ca="1">IFERROR(__xludf.DUMMYFUNCTION("""COMPUTED_VALUE"""),-0.552408457223934)</f>
        <v>-0.55240845722393395</v>
      </c>
      <c r="DU43" s="3">
        <f ca="1">IFERROR(__xludf.DUMMYFUNCTION("""COMPUTED_VALUE"""),-0.626662986099963)</f>
        <v>-0.62666298609996296</v>
      </c>
      <c r="DV43" s="3">
        <f ca="1">IFERROR(__xludf.DUMMYFUNCTION("""COMPUTED_VALUE"""),-0.60965452084234)</f>
        <v>-0.60965452084233995</v>
      </c>
      <c r="DW43" s="3">
        <f ca="1">IFERROR(__xludf.DUMMYFUNCTION("""COMPUTED_VALUE"""),-0.618230254619369)</f>
        <v>-0.61823025461936898</v>
      </c>
      <c r="DX43" s="3">
        <f ca="1">IFERROR(__xludf.DUMMYFUNCTION("""COMPUTED_VALUE"""),-0.61408737841432)</f>
        <v>-0.61408737841432004</v>
      </c>
      <c r="DY43" s="3">
        <f ca="1">IFERROR(__xludf.DUMMYFUNCTION("""COMPUTED_VALUE"""),-0.60982493744057)</f>
        <v>-0.60982493744056998</v>
      </c>
      <c r="DZ43" s="3">
        <f ca="1">IFERROR(__xludf.DUMMYFUNCTION("""COMPUTED_VALUE"""),-0.570154863651505)</f>
        <v>-0.57015486365150503</v>
      </c>
      <c r="EA43" s="3">
        <f ca="1">IFERROR(__xludf.DUMMYFUNCTION("""COMPUTED_VALUE"""),-0.586828473808809)</f>
        <v>-0.58682847380880898</v>
      </c>
      <c r="EB43" s="3">
        <f ca="1">IFERROR(__xludf.DUMMYFUNCTION("""COMPUTED_VALUE"""),-0.581890642465621)</f>
        <v>-0.58189064246562106</v>
      </c>
      <c r="EC43" s="3">
        <f ca="1">IFERROR(__xludf.DUMMYFUNCTION("""COMPUTED_VALUE"""),-0.537281390247599)</f>
        <v>-0.53728139024759902</v>
      </c>
      <c r="ED43" s="3">
        <f ca="1">IFERROR(__xludf.DUMMYFUNCTION("""COMPUTED_VALUE"""),-0.682342969840843)</f>
        <v>-0.68234296984084297</v>
      </c>
      <c r="EE43" s="3">
        <f ca="1">IFERROR(__xludf.DUMMYFUNCTION("""COMPUTED_VALUE"""),-0.631378346330558)</f>
        <v>-0.631378346330558</v>
      </c>
      <c r="EF43" s="3">
        <f ca="1">IFERROR(__xludf.DUMMYFUNCTION("""COMPUTED_VALUE"""),-0.629670134668115)</f>
        <v>-0.62967013466811494</v>
      </c>
      <c r="EG43" s="3">
        <f ca="1">IFERROR(__xludf.DUMMYFUNCTION("""COMPUTED_VALUE"""),-0.621897237429003)</f>
        <v>-0.62189723742900305</v>
      </c>
      <c r="EH43" s="3">
        <f ca="1">IFERROR(__xludf.DUMMYFUNCTION("""COMPUTED_VALUE"""),-0.664990326288317)</f>
        <v>-0.664990326288317</v>
      </c>
      <c r="EI43" s="3">
        <f ca="1">IFERROR(__xludf.DUMMYFUNCTION("""COMPUTED_VALUE"""),-0.685098725760688)</f>
        <v>-0.68509872576068798</v>
      </c>
      <c r="EJ43" s="3">
        <f ca="1">IFERROR(__xludf.DUMMYFUNCTION("""COMPUTED_VALUE"""),-0.761791167588595)</f>
        <v>-0.761791167588595</v>
      </c>
      <c r="EK43" s="3">
        <f ca="1">IFERROR(__xludf.DUMMYFUNCTION("""COMPUTED_VALUE"""),-0.625849967492015)</f>
        <v>-0.62584996749201505</v>
      </c>
      <c r="EL43" s="3">
        <f ca="1">IFERROR(__xludf.DUMMYFUNCTION("""COMPUTED_VALUE"""),-0.636211493953167)</f>
        <v>-0.63621149395316701</v>
      </c>
      <c r="EM43" s="3">
        <f ca="1">IFERROR(__xludf.DUMMYFUNCTION("""COMPUTED_VALUE"""),-0.649710952551169)</f>
        <v>-0.64971095255116895</v>
      </c>
      <c r="EN43" s="3">
        <f ca="1">IFERROR(__xludf.DUMMYFUNCTION("""COMPUTED_VALUE"""),-0.557797213109202)</f>
        <v>-0.55779721310920205</v>
      </c>
      <c r="EO43" s="3">
        <f ca="1">IFERROR(__xludf.DUMMYFUNCTION("""COMPUTED_VALUE"""),-0.55874796240698)</f>
        <v>-0.55874796240697999</v>
      </c>
      <c r="EP43" s="3">
        <f ca="1">IFERROR(__xludf.DUMMYFUNCTION("""COMPUTED_VALUE"""),-0.563762883592747)</f>
        <v>-0.56376288359274696</v>
      </c>
      <c r="EQ43" s="3">
        <f ca="1">IFERROR(__xludf.DUMMYFUNCTION("""COMPUTED_VALUE"""),-0.547740556551287)</f>
        <v>-0.54774055655128695</v>
      </c>
      <c r="ER43" s="3">
        <f ca="1">IFERROR(__xludf.DUMMYFUNCTION("""COMPUTED_VALUE"""),-0.591190477197783)</f>
        <v>-0.59119047719778295</v>
      </c>
      <c r="ES43" s="3">
        <f ca="1">IFERROR(__xludf.DUMMYFUNCTION("""COMPUTED_VALUE"""),-0.590697441960256)</f>
        <v>-0.59069744196025598</v>
      </c>
      <c r="ET43" s="3">
        <f ca="1">IFERROR(__xludf.DUMMYFUNCTION("""COMPUTED_VALUE"""),-0.610747634547558)</f>
        <v>-0.61074763454755798</v>
      </c>
      <c r="EU43" s="3">
        <f ca="1">IFERROR(__xludf.DUMMYFUNCTION("""COMPUTED_VALUE"""),-0.572464685768495)</f>
        <v>-0.57246468576849496</v>
      </c>
      <c r="EV43" s="3">
        <f ca="1">IFERROR(__xludf.DUMMYFUNCTION("""COMPUTED_VALUE"""),-0.547517380523632)</f>
        <v>-0.54751738052363197</v>
      </c>
      <c r="EW43" s="3">
        <f ca="1">IFERROR(__xludf.DUMMYFUNCTION("""COMPUTED_VALUE"""),-0.594703988647459)</f>
        <v>-0.59470398864745899</v>
      </c>
      <c r="EX43" s="3">
        <f ca="1">IFERROR(__xludf.DUMMYFUNCTION("""COMPUTED_VALUE"""),-0.598796011457288)</f>
        <v>-0.598796011457288</v>
      </c>
      <c r="EY43" s="3">
        <f ca="1">IFERROR(__xludf.DUMMYFUNCTION("""COMPUTED_VALUE"""),-0.565536966441136)</f>
        <v>-0.56553696644113605</v>
      </c>
      <c r="EZ43" s="3">
        <f ca="1">IFERROR(__xludf.DUMMYFUNCTION("""COMPUTED_VALUE"""),-0.600570002004777)</f>
        <v>-0.60057000200477695</v>
      </c>
      <c r="FA43" s="3">
        <f ca="1">IFERROR(__xludf.DUMMYFUNCTION("""COMPUTED_VALUE"""),-0.595121666160036)</f>
        <v>-0.59512166616003603</v>
      </c>
      <c r="FB43" s="3">
        <f ca="1">IFERROR(__xludf.DUMMYFUNCTION("""COMPUTED_VALUE"""),-0.567260658715333)</f>
        <v>-0.56726065871533304</v>
      </c>
      <c r="FC43" s="3">
        <f ca="1">IFERROR(__xludf.DUMMYFUNCTION("""COMPUTED_VALUE"""),-0.551545950810289)</f>
        <v>-0.55154595081028901</v>
      </c>
      <c r="FD43" s="3">
        <f ca="1">IFERROR(__xludf.DUMMYFUNCTION("""COMPUTED_VALUE"""),-0.5780830951951)</f>
        <v>-0.57808309519510004</v>
      </c>
      <c r="FE43" s="3">
        <f ca="1">IFERROR(__xludf.DUMMYFUNCTION("""COMPUTED_VALUE"""),-0.600089217728116)</f>
        <v>-0.60008921772811596</v>
      </c>
      <c r="FF43" s="3">
        <f ca="1">IFERROR(__xludf.DUMMYFUNCTION("""COMPUTED_VALUE"""),-0.578411654239594)</f>
        <v>-0.57841165423959395</v>
      </c>
      <c r="FG43" s="3">
        <f ca="1">IFERROR(__xludf.DUMMYFUNCTION("""COMPUTED_VALUE"""),-0.618640573447547)</f>
        <v>-0.61864057344754697</v>
      </c>
      <c r="FH43" s="3">
        <f ca="1">IFERROR(__xludf.DUMMYFUNCTION("""COMPUTED_VALUE"""),-0.61216480665812)</f>
        <v>-0.61216480665812001</v>
      </c>
      <c r="FI43" s="3">
        <f ca="1">IFERROR(__xludf.DUMMYFUNCTION("""COMPUTED_VALUE"""),-0.571507124489953)</f>
        <v>-0.571507124489953</v>
      </c>
      <c r="FJ43" s="3">
        <f ca="1">IFERROR(__xludf.DUMMYFUNCTION("""COMPUTED_VALUE"""),-0.558274066087995)</f>
        <v>-0.55827406608799501</v>
      </c>
      <c r="FK43" s="3">
        <f ca="1">IFERROR(__xludf.DUMMYFUNCTION("""COMPUTED_VALUE"""),-0.563844876704835)</f>
        <v>-0.56384487670483496</v>
      </c>
      <c r="FL43" s="3">
        <f ca="1">IFERROR(__xludf.DUMMYFUNCTION("""COMPUTED_VALUE"""),-0.609856634612962)</f>
        <v>-0.60985663461296202</v>
      </c>
      <c r="FM43" s="3">
        <f ca="1">IFERROR(__xludf.DUMMYFUNCTION("""COMPUTED_VALUE"""),-0.662418356077729)</f>
        <v>-0.66241835607772903</v>
      </c>
      <c r="FN43" s="3">
        <f ca="1">IFERROR(__xludf.DUMMYFUNCTION("""COMPUTED_VALUE"""),-0.640310922236575)</f>
        <v>-0.64031092223657504</v>
      </c>
      <c r="FO43" s="3">
        <f ca="1">IFERROR(__xludf.DUMMYFUNCTION("""COMPUTED_VALUE"""),-0.623278254587953)</f>
        <v>-0.62327825458795305</v>
      </c>
      <c r="FP43" s="3">
        <f ca="1">IFERROR(__xludf.DUMMYFUNCTION("""COMPUTED_VALUE"""),-0.575959389786545)</f>
        <v>-0.57595938978654504</v>
      </c>
      <c r="FQ43" s="3">
        <f ca="1">IFERROR(__xludf.DUMMYFUNCTION("""COMPUTED_VALUE"""),-0.585495044006736)</f>
        <v>-0.58549504400673602</v>
      </c>
      <c r="FR43" s="3">
        <f ca="1">IFERROR(__xludf.DUMMYFUNCTION("""COMPUTED_VALUE"""),-0.611422239089117)</f>
        <v>-0.61142223908911697</v>
      </c>
      <c r="FS43" s="3">
        <f ca="1">IFERROR(__xludf.DUMMYFUNCTION("""COMPUTED_VALUE"""),-0.623344444847277)</f>
        <v>-0.62334444484727702</v>
      </c>
      <c r="FT43" s="3">
        <f ca="1">IFERROR(__xludf.DUMMYFUNCTION("""COMPUTED_VALUE"""),-0.635497914874296)</f>
        <v>-0.63549791487429597</v>
      </c>
      <c r="FU43" s="3">
        <f ca="1">IFERROR(__xludf.DUMMYFUNCTION("""COMPUTED_VALUE"""),-0.616372046723365)</f>
        <v>-0.61637204672336499</v>
      </c>
      <c r="FV43" s="3">
        <f ca="1">IFERROR(__xludf.DUMMYFUNCTION("""COMPUTED_VALUE"""),-0.623772813477387)</f>
        <v>-0.623772813477387</v>
      </c>
      <c r="FW43" s="3">
        <f ca="1">IFERROR(__xludf.DUMMYFUNCTION("""COMPUTED_VALUE"""),-0.568626642222642)</f>
        <v>-0.56862664222264203</v>
      </c>
      <c r="FX43" s="3">
        <f ca="1">IFERROR(__xludf.DUMMYFUNCTION("""COMPUTED_VALUE"""),-0.57316282482563)</f>
        <v>-0.57316282482562997</v>
      </c>
      <c r="FY43" s="3">
        <f ca="1">IFERROR(__xludf.DUMMYFUNCTION("""COMPUTED_VALUE"""),-0.656661662907889)</f>
        <v>-0.65666166290788897</v>
      </c>
      <c r="FZ43" s="3">
        <f ca="1">IFERROR(__xludf.DUMMYFUNCTION("""COMPUTED_VALUE"""),-0.634963557883578)</f>
        <v>-0.63496355788357794</v>
      </c>
      <c r="GA43" s="3">
        <f ca="1">IFERROR(__xludf.DUMMYFUNCTION("""COMPUTED_VALUE"""),-0.653212886734084)</f>
        <v>-0.65321288673408395</v>
      </c>
      <c r="GB43" s="3">
        <f ca="1">IFERROR(__xludf.DUMMYFUNCTION("""COMPUTED_VALUE"""),-0.649077715879851)</f>
        <v>-0.64907771587985097</v>
      </c>
      <c r="GC43" s="3">
        <f ca="1">IFERROR(__xludf.DUMMYFUNCTION("""COMPUTED_VALUE"""),-0.651274668809411)</f>
        <v>-0.65127466880941098</v>
      </c>
      <c r="GD43" s="3">
        <f ca="1">IFERROR(__xludf.DUMMYFUNCTION("""COMPUTED_VALUE"""),-0.565926452225725)</f>
        <v>-0.56592645222572502</v>
      </c>
      <c r="GE43" s="3">
        <f ca="1">IFERROR(__xludf.DUMMYFUNCTION("""COMPUTED_VALUE"""),-0.564396369021403)</f>
        <v>-0.564396369021403</v>
      </c>
      <c r="GF43" s="3">
        <f ca="1">IFERROR(__xludf.DUMMYFUNCTION("""COMPUTED_VALUE"""),-0.69133933410538)</f>
        <v>-0.69133933410537995</v>
      </c>
      <c r="GG43" s="3">
        <f ca="1">IFERROR(__xludf.DUMMYFUNCTION("""COMPUTED_VALUE"""),-0.671782999098162)</f>
        <v>-0.67178299909816197</v>
      </c>
      <c r="GH43" s="3">
        <f ca="1">IFERROR(__xludf.DUMMYFUNCTION("""COMPUTED_VALUE"""),-0.6470198795565)</f>
        <v>-0.64701987955649998</v>
      </c>
      <c r="GI43" s="3">
        <f ca="1">IFERROR(__xludf.DUMMYFUNCTION("""COMPUTED_VALUE"""),-0.679802362083714)</f>
        <v>-0.67980236208371403</v>
      </c>
      <c r="GJ43" s="3">
        <f ca="1">IFERROR(__xludf.DUMMYFUNCTION("""COMPUTED_VALUE"""),-0.654845712391149)</f>
        <v>-0.65484571239114897</v>
      </c>
      <c r="GK43" s="3">
        <f ca="1">IFERROR(__xludf.DUMMYFUNCTION("""COMPUTED_VALUE"""),-0.599004543305051)</f>
        <v>-0.59900454330505104</v>
      </c>
      <c r="GL43" s="3">
        <f ca="1">IFERROR(__xludf.DUMMYFUNCTION("""COMPUTED_VALUE"""),-0.592118954368911)</f>
        <v>-0.59211895436891104</v>
      </c>
      <c r="GM43" s="3">
        <f ca="1">IFERROR(__xludf.DUMMYFUNCTION("""COMPUTED_VALUE"""),-0.65411982889981)</f>
        <v>-0.65411982889981002</v>
      </c>
      <c r="GN43" s="3">
        <f ca="1">IFERROR(__xludf.DUMMYFUNCTION("""COMPUTED_VALUE"""),-0.663402037734371)</f>
        <v>-0.66340203773437101</v>
      </c>
      <c r="GO43" s="3">
        <f ca="1">IFERROR(__xludf.DUMMYFUNCTION("""COMPUTED_VALUE"""),-0.678845207264412)</f>
        <v>-0.678845207264412</v>
      </c>
      <c r="GP43" s="3">
        <f ca="1">IFERROR(__xludf.DUMMYFUNCTION("""COMPUTED_VALUE"""),-0.685218579261577)</f>
        <v>-0.68521857926157703</v>
      </c>
      <c r="GQ43" s="3">
        <f ca="1">IFERROR(__xludf.DUMMYFUNCTION("""COMPUTED_VALUE"""),-0.688618349335913)</f>
        <v>-0.68861834933591304</v>
      </c>
      <c r="GR43" s="3">
        <f ca="1">IFERROR(__xludf.DUMMYFUNCTION("""COMPUTED_VALUE"""),-0.637977347131551)</f>
        <v>-0.63797734713155096</v>
      </c>
      <c r="GS43" s="3">
        <f ca="1">IFERROR(__xludf.DUMMYFUNCTION("""COMPUTED_VALUE"""),-0.599882575521776)</f>
        <v>-0.59988257552177604</v>
      </c>
      <c r="GT43" s="3">
        <f ca="1">IFERROR(__xludf.DUMMYFUNCTION("""COMPUTED_VALUE"""),-0.642402932428688)</f>
        <v>-0.64240293242868796</v>
      </c>
      <c r="GU43" s="3">
        <f ca="1">IFERROR(__xludf.DUMMYFUNCTION("""COMPUTED_VALUE"""),-0.675420991868825)</f>
        <v>-0.67542099186882498</v>
      </c>
      <c r="GV43" s="3">
        <f ca="1">IFERROR(__xludf.DUMMYFUNCTION("""COMPUTED_VALUE"""),-0.676403164232983)</f>
        <v>-0.67640316423298297</v>
      </c>
      <c r="GW43" s="3">
        <f ca="1">IFERROR(__xludf.DUMMYFUNCTION("""COMPUTED_VALUE"""),-0.748033723485776)</f>
        <v>-0.74803372348577601</v>
      </c>
      <c r="GX43" s="3">
        <f ca="1">IFERROR(__xludf.DUMMYFUNCTION("""COMPUTED_VALUE"""),-0.729538939290085)</f>
        <v>-0.72953893929008495</v>
      </c>
      <c r="GY43" s="3">
        <f ca="1">IFERROR(__xludf.DUMMYFUNCTION("""COMPUTED_VALUE"""),-0.652004187713333)</f>
        <v>-0.65200418771333302</v>
      </c>
      <c r="GZ43" s="3">
        <f ca="1">IFERROR(__xludf.DUMMYFUNCTION("""COMPUTED_VALUE"""),-0.630618653397462)</f>
        <v>-0.63061865339746204</v>
      </c>
      <c r="HA43" s="3">
        <f ca="1">IFERROR(__xludf.DUMMYFUNCTION("""COMPUTED_VALUE"""),-0.661278449526257)</f>
        <v>-0.66127844952625703</v>
      </c>
      <c r="HB43" s="3">
        <f ca="1">IFERROR(__xludf.DUMMYFUNCTION("""COMPUTED_VALUE"""),-0.640611909252911)</f>
        <v>-0.640611909252911</v>
      </c>
      <c r="HC43" s="3">
        <f ca="1">IFERROR(__xludf.DUMMYFUNCTION("""COMPUTED_VALUE"""),-0.64970544542399)</f>
        <v>-0.64970544542399</v>
      </c>
      <c r="HD43" s="3">
        <f ca="1">IFERROR(__xludf.DUMMYFUNCTION("""COMPUTED_VALUE"""),-0.665930855721242)</f>
        <v>-0.665930855721242</v>
      </c>
      <c r="HE43" s="3">
        <f ca="1">IFERROR(__xludf.DUMMYFUNCTION("""COMPUTED_VALUE"""),-0.670866665699706)</f>
        <v>-0.67086666569970599</v>
      </c>
      <c r="HF43" s="3">
        <f ca="1">IFERROR(__xludf.DUMMYFUNCTION("""COMPUTED_VALUE"""),-0.573831250819152)</f>
        <v>-0.57383125081915198</v>
      </c>
      <c r="HG43" s="3">
        <f ca="1">IFERROR(__xludf.DUMMYFUNCTION("""COMPUTED_VALUE"""),-0.582920381001722)</f>
        <v>-0.58292038100172205</v>
      </c>
      <c r="HH43" s="3">
        <f ca="1">IFERROR(__xludf.DUMMYFUNCTION("""COMPUTED_VALUE"""),-0.659022133217641)</f>
        <v>-0.65902213321764103</v>
      </c>
      <c r="HI43" s="3">
        <f ca="1">IFERROR(__xludf.DUMMYFUNCTION("""COMPUTED_VALUE"""),-0.635047572692673)</f>
        <v>-0.63504757269267298</v>
      </c>
      <c r="HJ43" s="3">
        <f ca="1">IFERROR(__xludf.DUMMYFUNCTION("""COMPUTED_VALUE"""),-0.655593882280247)</f>
        <v>-0.65559388228024695</v>
      </c>
      <c r="HK43" s="3">
        <f ca="1">IFERROR(__xludf.DUMMYFUNCTION("""COMPUTED_VALUE"""),-0.666965707021212)</f>
        <v>-0.66696570702121205</v>
      </c>
      <c r="HL43" s="3">
        <f ca="1">IFERROR(__xludf.DUMMYFUNCTION("""COMPUTED_VALUE"""),-0.704193787204466)</f>
        <v>-0.70419378720446602</v>
      </c>
      <c r="HM43" s="3">
        <f ca="1">IFERROR(__xludf.DUMMYFUNCTION("""COMPUTED_VALUE"""),-0.603040741727427)</f>
        <v>-0.60304074172742705</v>
      </c>
      <c r="HN43" s="3">
        <f ca="1">IFERROR(__xludf.DUMMYFUNCTION("""COMPUTED_VALUE"""),-0.616600938857689)</f>
        <v>-0.61660093885768896</v>
      </c>
      <c r="HO43" s="3">
        <f ca="1">IFERROR(__xludf.DUMMYFUNCTION("""COMPUTED_VALUE"""),-0.67839163123421)</f>
        <v>-0.67839163123420998</v>
      </c>
      <c r="HP43" s="3">
        <f ca="1">IFERROR(__xludf.DUMMYFUNCTION("""COMPUTED_VALUE"""),-0.666117040303737)</f>
        <v>-0.66611704030373697</v>
      </c>
      <c r="HQ43" s="3">
        <f ca="1">IFERROR(__xludf.DUMMYFUNCTION("""COMPUTED_VALUE"""),-0.68830259012507)</f>
        <v>-0.68830259012507</v>
      </c>
      <c r="HR43" s="3">
        <f ca="1">IFERROR(__xludf.DUMMYFUNCTION("""COMPUTED_VALUE"""),-0.666405005579427)</f>
        <v>-0.66640500557942695</v>
      </c>
      <c r="HS43" s="3">
        <f ca="1">IFERROR(__xludf.DUMMYFUNCTION("""COMPUTED_VALUE"""),-0.63973954386052)</f>
        <v>-0.63973954386052001</v>
      </c>
      <c r="HT43" s="3">
        <f ca="1">IFERROR(__xludf.DUMMYFUNCTION("""COMPUTED_VALUE"""),-0.585003626673688)</f>
        <v>-0.58500362667368799</v>
      </c>
      <c r="HU43" s="3">
        <f ca="1">IFERROR(__xludf.DUMMYFUNCTION("""COMPUTED_VALUE"""),-0.619598400167839)</f>
        <v>-0.61959840016783896</v>
      </c>
      <c r="HV43" s="3">
        <f ca="1">IFERROR(__xludf.DUMMYFUNCTION("""COMPUTED_VALUE"""),-0.673986678955941)</f>
        <v>-0.673986678955941</v>
      </c>
      <c r="HW43" s="3">
        <f ca="1">IFERROR(__xludf.DUMMYFUNCTION("""COMPUTED_VALUE"""),-0.734911138332439)</f>
        <v>-0.73491113833243904</v>
      </c>
      <c r="HX43" s="3">
        <f ca="1">IFERROR(__xludf.DUMMYFUNCTION("""COMPUTED_VALUE"""),-0.740652526807387)</f>
        <v>-0.74065252680738702</v>
      </c>
      <c r="HY43" s="3">
        <f ca="1">IFERROR(__xludf.DUMMYFUNCTION("""COMPUTED_VALUE"""),-0.678063069914568)</f>
        <v>-0.678063069914568</v>
      </c>
      <c r="HZ43" s="3">
        <f ca="1">IFERROR(__xludf.DUMMYFUNCTION("""COMPUTED_VALUE"""),-0.601559929369857)</f>
        <v>-0.60155992936985703</v>
      </c>
      <c r="IA43" s="3">
        <f ca="1">IFERROR(__xludf.DUMMYFUNCTION("""COMPUTED_VALUE"""),-0.537548690552055)</f>
        <v>-0.53754869055205501</v>
      </c>
      <c r="IB43" s="3">
        <f ca="1">IFERROR(__xludf.DUMMYFUNCTION("""COMPUTED_VALUE"""),-0.620610177962455)</f>
        <v>-0.62061017796245499</v>
      </c>
      <c r="IC43" s="3">
        <f ca="1">IFERROR(__xludf.DUMMYFUNCTION("""COMPUTED_VALUE"""),-0.6703700503163)</f>
        <v>-0.67037005031630004</v>
      </c>
      <c r="ID43" s="3">
        <f ca="1">IFERROR(__xludf.DUMMYFUNCTION("""COMPUTED_VALUE"""),-0.699636520571628)</f>
        <v>-0.69963652057162795</v>
      </c>
      <c r="IE43" s="3">
        <f ca="1">IFERROR(__xludf.DUMMYFUNCTION("""COMPUTED_VALUE"""),-0.675110647096593)</f>
        <v>-0.67511064709659296</v>
      </c>
      <c r="IF43" s="3">
        <f ca="1">IFERROR(__xludf.DUMMYFUNCTION("""COMPUTED_VALUE"""),-0.666119190192176)</f>
        <v>-0.66611919019217603</v>
      </c>
      <c r="IG43" s="3">
        <f ca="1">IFERROR(__xludf.DUMMYFUNCTION("""COMPUTED_VALUE"""),-0.683778926169516)</f>
        <v>-0.68377892616951597</v>
      </c>
      <c r="IH43" s="3">
        <f ca="1">IFERROR(__xludf.DUMMYFUNCTION("""COMPUTED_VALUE"""),-0.595535681898789)</f>
        <v>-0.59553568189878903</v>
      </c>
      <c r="II43" s="3">
        <f ca="1">IFERROR(__xludf.DUMMYFUNCTION("""COMPUTED_VALUE"""),-0.577799164884984)</f>
        <v>-0.57779916488498395</v>
      </c>
      <c r="IJ43" s="3">
        <f ca="1">IFERROR(__xludf.DUMMYFUNCTION("""COMPUTED_VALUE"""),-0.645092845200866)</f>
        <v>-0.64509284520086596</v>
      </c>
      <c r="IK43" s="3">
        <f ca="1">IFERROR(__xludf.DUMMYFUNCTION("""COMPUTED_VALUE"""),-0.6493660899362)</f>
        <v>-0.64936608993620004</v>
      </c>
      <c r="IL43" s="3">
        <f ca="1">IFERROR(__xludf.DUMMYFUNCTION("""COMPUTED_VALUE"""),-0.656418712793235)</f>
        <v>-0.65641871279323505</v>
      </c>
      <c r="IM43" s="3">
        <f ca="1">IFERROR(__xludf.DUMMYFUNCTION("""COMPUTED_VALUE"""),-0.654701659976407)</f>
        <v>-0.65470165997640695</v>
      </c>
      <c r="IN43" s="3">
        <f ca="1">IFERROR(__xludf.DUMMYFUNCTION("""COMPUTED_VALUE"""),-0.649661510521306)</f>
        <v>-0.64966151052130605</v>
      </c>
      <c r="IO43" s="3">
        <f ca="1">IFERROR(__xludf.DUMMYFUNCTION("""COMPUTED_VALUE"""),-0.57091227951275)</f>
        <v>-0.57091227951275003</v>
      </c>
      <c r="IP43" s="3">
        <f ca="1">IFERROR(__xludf.DUMMYFUNCTION("""COMPUTED_VALUE"""),-0.583982941341473)</f>
        <v>-0.58398294134147299</v>
      </c>
      <c r="IQ43" s="3">
        <f ca="1">IFERROR(__xludf.DUMMYFUNCTION("""COMPUTED_VALUE"""),-0.627481967444206)</f>
        <v>-0.62748196744420603</v>
      </c>
      <c r="IR43" s="3">
        <f ca="1">IFERROR(__xludf.DUMMYFUNCTION("""COMPUTED_VALUE"""),-0.639257789504704)</f>
        <v>-0.63925778950470402</v>
      </c>
      <c r="IS43" s="3">
        <f ca="1">IFERROR(__xludf.DUMMYFUNCTION("""COMPUTED_VALUE"""),-0.650536495591548)</f>
        <v>-0.65053649559154803</v>
      </c>
      <c r="IT43" s="3">
        <f ca="1">IFERROR(__xludf.DUMMYFUNCTION("""COMPUTED_VALUE"""),-0.636083066659971)</f>
        <v>-0.63608306665997105</v>
      </c>
      <c r="IU43" s="3">
        <f ca="1">IFERROR(__xludf.DUMMYFUNCTION("""COMPUTED_VALUE"""),-0.609743075871524)</f>
        <v>-0.60974307587152399</v>
      </c>
      <c r="IV43" s="3">
        <f ca="1">IFERROR(__xludf.DUMMYFUNCTION("""COMPUTED_VALUE"""),-0.587729475233964)</f>
        <v>-0.58772947523396402</v>
      </c>
      <c r="IW43" s="3">
        <f ca="1">IFERROR(__xludf.DUMMYFUNCTION("""COMPUTED_VALUE"""),-0.630026068063957)</f>
        <v>-0.630026068063957</v>
      </c>
      <c r="IX43" s="3">
        <f ca="1">IFERROR(__xludf.DUMMYFUNCTION("""COMPUTED_VALUE"""),-0.626864324859059)</f>
        <v>-0.62686432485905896</v>
      </c>
      <c r="IY43" s="3">
        <f ca="1">IFERROR(__xludf.DUMMYFUNCTION("""COMPUTED_VALUE"""),-0.652825975496713)</f>
        <v>-0.65282597549671295</v>
      </c>
      <c r="IZ43" s="3">
        <f ca="1">IFERROR(__xludf.DUMMYFUNCTION("""COMPUTED_VALUE"""),-0.680486189493864)</f>
        <v>-0.68048618949386397</v>
      </c>
      <c r="JA43" s="3">
        <f ca="1">IFERROR(__xludf.DUMMYFUNCTION("""COMPUTED_VALUE"""),-0.679711604702882)</f>
        <v>-0.67971160470288206</v>
      </c>
      <c r="JB43" s="3">
        <f ca="1">IFERROR(__xludf.DUMMYFUNCTION("""COMPUTED_VALUE"""),-0.637996692928507)</f>
        <v>-0.63799669292850703</v>
      </c>
      <c r="JC43" s="3">
        <f ca="1">IFERROR(__xludf.DUMMYFUNCTION("""COMPUTED_VALUE"""),-0.632420027933595)</f>
        <v>-0.63242002793359497</v>
      </c>
      <c r="JD43" s="3">
        <f ca="1">IFERROR(__xludf.DUMMYFUNCTION("""COMPUTED_VALUE"""),-0.688396144234631)</f>
        <v>-0.68839614423463102</v>
      </c>
      <c r="JE43" s="3">
        <f ca="1">IFERROR(__xludf.DUMMYFUNCTION("""COMPUTED_VALUE"""),-0.662021822923002)</f>
        <v>-0.66202182292300205</v>
      </c>
      <c r="JF43" s="3">
        <f ca="1">IFERROR(__xludf.DUMMYFUNCTION("""COMPUTED_VALUE"""),-0.633867614465683)</f>
        <v>-0.63386761446568296</v>
      </c>
      <c r="JG43" s="3">
        <f ca="1">IFERROR(__xludf.DUMMYFUNCTION("""COMPUTED_VALUE"""),-0.683995749405393)</f>
        <v>-0.68399574940539298</v>
      </c>
      <c r="JH43" s="3">
        <f ca="1">IFERROR(__xludf.DUMMYFUNCTION("""COMPUTED_VALUE"""),-0.66569858678717)</f>
        <v>-0.66569858678716998</v>
      </c>
      <c r="JI43" s="3">
        <f ca="1">IFERROR(__xludf.DUMMYFUNCTION("""COMPUTED_VALUE"""),-0.644107879109028)</f>
        <v>-0.644107879109028</v>
      </c>
      <c r="JJ43" s="3">
        <f ca="1">IFERROR(__xludf.DUMMYFUNCTION("""COMPUTED_VALUE"""),-0.560230738957461)</f>
        <v>-0.56023073895746101</v>
      </c>
      <c r="JK43" s="3">
        <f ca="1">IFERROR(__xludf.DUMMYFUNCTION("""COMPUTED_VALUE"""),-0.55419413184503)</f>
        <v>-0.55419413184502997</v>
      </c>
      <c r="JL43" s="3">
        <f ca="1">IFERROR(__xludf.DUMMYFUNCTION("""COMPUTED_VALUE"""),-0.618530572460567)</f>
        <v>-0.61853057246056697</v>
      </c>
      <c r="JM43" s="3">
        <f ca="1">IFERROR(__xludf.DUMMYFUNCTION("""COMPUTED_VALUE"""),-0.621564905078234)</f>
        <v>-0.62156490507823403</v>
      </c>
      <c r="JN43" s="3">
        <f ca="1">IFERROR(__xludf.DUMMYFUNCTION("""COMPUTED_VALUE"""),-0.649685512534057)</f>
        <v>-0.64968551253405704</v>
      </c>
      <c r="JO43" s="3">
        <f ca="1">IFERROR(__xludf.DUMMYFUNCTION("""COMPUTED_VALUE"""),-0.639465355993509)</f>
        <v>-0.63946535599350895</v>
      </c>
      <c r="JP43" s="3">
        <f ca="1">IFERROR(__xludf.DUMMYFUNCTION("""COMPUTED_VALUE"""),-0.585877451639268)</f>
        <v>-0.58587745163926797</v>
      </c>
      <c r="JQ43" s="3">
        <f ca="1">IFERROR(__xludf.DUMMYFUNCTION("""COMPUTED_VALUE"""),-0.533567236136345)</f>
        <v>-0.53356723613634505</v>
      </c>
      <c r="JR43" s="3">
        <f ca="1">IFERROR(__xludf.DUMMYFUNCTION("""COMPUTED_VALUE"""),-0.50443968836046)</f>
        <v>-0.50443968836046005</v>
      </c>
      <c r="JS43" s="3">
        <f ca="1">IFERROR(__xludf.DUMMYFUNCTION("""COMPUTED_VALUE"""),-0.559671980554046)</f>
        <v>-0.55967198055404599</v>
      </c>
      <c r="JT43" s="3">
        <f ca="1">IFERROR(__xludf.DUMMYFUNCTION("""COMPUTED_VALUE"""),-0.540169908510237)</f>
        <v>-0.54016990851023705</v>
      </c>
      <c r="JU43" s="3">
        <f ca="1">IFERROR(__xludf.DUMMYFUNCTION("""COMPUTED_VALUE"""),-0.591850421288623)</f>
        <v>-0.59185042128862297</v>
      </c>
      <c r="JV43" s="3">
        <f ca="1">IFERROR(__xludf.DUMMYFUNCTION("""COMPUTED_VALUE"""),-0.608687032095145)</f>
        <v>-0.60868703209514496</v>
      </c>
      <c r="JW43" s="3">
        <f ca="1">IFERROR(__xludf.DUMMYFUNCTION("""COMPUTED_VALUE"""),-0.578820936245429)</f>
        <v>-0.57882093624542896</v>
      </c>
      <c r="JX43" s="3">
        <f ca="1">IFERROR(__xludf.DUMMYFUNCTION("""COMPUTED_VALUE"""),-0.525113980382518)</f>
        <v>-0.525113980382518</v>
      </c>
      <c r="JY43" s="3">
        <f ca="1">IFERROR(__xludf.DUMMYFUNCTION("""COMPUTED_VALUE"""),-0.546283496749609)</f>
        <v>-0.54628349674960897</v>
      </c>
      <c r="JZ43" s="3">
        <f ca="1">IFERROR(__xludf.DUMMYFUNCTION("""COMPUTED_VALUE"""),-0.571674392936278)</f>
        <v>-0.57167439293627798</v>
      </c>
      <c r="KA43" s="3">
        <f ca="1">IFERROR(__xludf.DUMMYFUNCTION("""COMPUTED_VALUE"""),-0.49950057783148)</f>
        <v>-0.49950057783148</v>
      </c>
      <c r="KB43" s="3">
        <f ca="1">IFERROR(__xludf.DUMMYFUNCTION("""COMPUTED_VALUE"""),-0.551968691361535)</f>
        <v>-0.55196869136153504</v>
      </c>
      <c r="KC43" s="3">
        <f ca="1">IFERROR(__xludf.DUMMYFUNCTION("""COMPUTED_VALUE"""),-0.562381748874647)</f>
        <v>-0.56238174887464698</v>
      </c>
      <c r="KD43" s="3">
        <f ca="1">IFERROR(__xludf.DUMMYFUNCTION("""COMPUTED_VALUE"""),-0.571722069418948)</f>
        <v>-0.57172206941894799</v>
      </c>
      <c r="KE43" s="3">
        <f ca="1">IFERROR(__xludf.DUMMYFUNCTION("""COMPUTED_VALUE"""),-0.48700045435621)</f>
        <v>-0.48700045435620998</v>
      </c>
      <c r="KF43" s="3">
        <f ca="1">IFERROR(__xludf.DUMMYFUNCTION("""COMPUTED_VALUE"""),-0.514619154753042)</f>
        <v>-0.51461915475304199</v>
      </c>
      <c r="KG43" s="3">
        <f ca="1">IFERROR(__xludf.DUMMYFUNCTION("""COMPUTED_VALUE"""),-0.560095955008584)</f>
        <v>-0.560095955008584</v>
      </c>
      <c r="KH43" s="3">
        <f ca="1">IFERROR(__xludf.DUMMYFUNCTION("""COMPUTED_VALUE"""),-0.548855496598691)</f>
        <v>-0.54885549659869104</v>
      </c>
      <c r="KI43" s="3">
        <f ca="1">IFERROR(__xludf.DUMMYFUNCTION("""COMPUTED_VALUE"""),-0.580941858035139)</f>
        <v>-0.58094185803513898</v>
      </c>
      <c r="KJ43" s="3">
        <f ca="1">IFERROR(__xludf.DUMMYFUNCTION("""COMPUTED_VALUE"""),-0.559092974998525)</f>
        <v>-0.55909297499852495</v>
      </c>
      <c r="KK43" s="3">
        <f ca="1">IFERROR(__xludf.DUMMYFUNCTION("""COMPUTED_VALUE"""),-0.617522805955464)</f>
        <v>-0.61752280595546405</v>
      </c>
      <c r="KL43" s="3">
        <f ca="1">IFERROR(__xludf.DUMMYFUNCTION("""COMPUTED_VALUE"""),-0.457033209167878)</f>
        <v>-0.45703320916787799</v>
      </c>
      <c r="KM43" s="3">
        <f ca="1">IFERROR(__xludf.DUMMYFUNCTION("""COMPUTED_VALUE"""),-0.475076012969022)</f>
        <v>-0.47507601296902202</v>
      </c>
      <c r="KN43" s="3">
        <f ca="1">IFERROR(__xludf.DUMMYFUNCTION("""COMPUTED_VALUE"""),-0.526977499237025)</f>
        <v>-0.52697749923702497</v>
      </c>
      <c r="KO43" s="3">
        <f ca="1">IFERROR(__xludf.DUMMYFUNCTION("""COMPUTED_VALUE"""),-0.560763688410725)</f>
        <v>-0.56076368841072499</v>
      </c>
      <c r="KP43" s="3">
        <f ca="1">IFERROR(__xludf.DUMMYFUNCTION("""COMPUTED_VALUE"""),-0.566585958867114)</f>
        <v>-0.56658595886711405</v>
      </c>
      <c r="KQ43" s="3">
        <f ca="1">IFERROR(__xludf.DUMMYFUNCTION("""COMPUTED_VALUE"""),-0.545551977301608)</f>
        <v>-0.54555197730160798</v>
      </c>
      <c r="KR43" s="3">
        <f ca="1">IFERROR(__xludf.DUMMYFUNCTION("""COMPUTED_VALUE"""),-0.475585050051178)</f>
        <v>-0.47558505005117802</v>
      </c>
      <c r="KS43" s="3">
        <f ca="1">IFERROR(__xludf.DUMMYFUNCTION("""COMPUTED_VALUE"""),-0.352994907378736)</f>
        <v>-0.35299490737873601</v>
      </c>
      <c r="KT43" s="3">
        <f ca="1">IFERROR(__xludf.DUMMYFUNCTION("""COMPUTED_VALUE"""),-0.447593238743613)</f>
        <v>-0.44759323874361301</v>
      </c>
      <c r="KU43" s="3">
        <f ca="1">IFERROR(__xludf.DUMMYFUNCTION("""COMPUTED_VALUE"""),-0.538435997348568)</f>
        <v>-0.53843599734856795</v>
      </c>
      <c r="KV43" s="3">
        <f ca="1">IFERROR(__xludf.DUMMYFUNCTION("""COMPUTED_VALUE"""),-0.544529120950966)</f>
        <v>-0.54452912095096595</v>
      </c>
      <c r="KW43" s="3">
        <f ca="1">IFERROR(__xludf.DUMMYFUNCTION("""COMPUTED_VALUE"""),-0.527371987699811)</f>
        <v>-0.52737198769981097</v>
      </c>
      <c r="KX43" s="3">
        <f ca="1">IFERROR(__xludf.DUMMYFUNCTION("""COMPUTED_VALUE"""),-0.550708567418812)</f>
        <v>-0.55070856741881202</v>
      </c>
      <c r="KY43" s="3">
        <f ca="1">IFERROR(__xludf.DUMMYFUNCTION("""COMPUTED_VALUE"""),-0.550683012686142)</f>
        <v>-0.55068301268614195</v>
      </c>
      <c r="KZ43" s="3">
        <f ca="1">IFERROR(__xludf.DUMMYFUNCTION("""COMPUTED_VALUE"""),-0.439951919464268)</f>
        <v>-0.43995191946426798</v>
      </c>
      <c r="LA43" s="3">
        <f ca="1">IFERROR(__xludf.DUMMYFUNCTION("""COMPUTED_VALUE"""),-0.478484560391794)</f>
        <v>-0.47848456039179399</v>
      </c>
      <c r="LB43" s="3">
        <f ca="1">IFERROR(__xludf.DUMMYFUNCTION("""COMPUTED_VALUE"""),-0.525914143147945)</f>
        <v>-0.52591414314794505</v>
      </c>
      <c r="LC43" s="3">
        <f ca="1">IFERROR(__xludf.DUMMYFUNCTION("""COMPUTED_VALUE"""),-0.542561592536827)</f>
        <v>-0.54256159253682701</v>
      </c>
      <c r="LD43" s="3">
        <f ca="1">IFERROR(__xludf.DUMMYFUNCTION("""COMPUTED_VALUE"""),-0.536646800544193)</f>
        <v>-0.536646800544193</v>
      </c>
      <c r="LE43" s="3">
        <f ca="1">IFERROR(__xludf.DUMMYFUNCTION("""COMPUTED_VALUE"""),-0.516065982003493)</f>
        <v>-0.51606598200349296</v>
      </c>
      <c r="LF43" s="3">
        <f ca="1">IFERROR(__xludf.DUMMYFUNCTION("""COMPUTED_VALUE"""),-0.514384011209411)</f>
        <v>-0.51438401120941102</v>
      </c>
      <c r="LG43" s="3">
        <f ca="1">IFERROR(__xludf.DUMMYFUNCTION("""COMPUTED_VALUE"""),-0.504540108860369)</f>
        <v>-0.50454010886036904</v>
      </c>
      <c r="LH43" s="3">
        <f ca="1">IFERROR(__xludf.DUMMYFUNCTION("""COMPUTED_VALUE"""),-0.435907774802501)</f>
        <v>-0.43590777480250098</v>
      </c>
      <c r="LI43" s="3">
        <f ca="1">IFERROR(__xludf.DUMMYFUNCTION("""COMPUTED_VALUE"""),-0.516151287364017)</f>
        <v>-0.51615128736401705</v>
      </c>
      <c r="LJ43" s="3">
        <f ca="1">IFERROR(__xludf.DUMMYFUNCTION("""COMPUTED_VALUE"""),-0.578483983981546)</f>
        <v>-0.57848398398154599</v>
      </c>
      <c r="LK43" s="3">
        <f ca="1">IFERROR(__xludf.DUMMYFUNCTION("""COMPUTED_VALUE"""),-0.55261131625811)</f>
        <v>-0.55261131625811</v>
      </c>
      <c r="LL43" s="3">
        <f ca="1">IFERROR(__xludf.DUMMYFUNCTION("""COMPUTED_VALUE"""),-0.582643580844099)</f>
        <v>-0.58264358084409895</v>
      </c>
      <c r="LM43" s="3">
        <f ca="1">IFERROR(__xludf.DUMMYFUNCTION("""COMPUTED_VALUE"""),-0.6073877042245)</f>
        <v>-0.60738770422449995</v>
      </c>
      <c r="LN43" s="3">
        <f ca="1">IFERROR(__xludf.DUMMYFUNCTION("""COMPUTED_VALUE"""),-0.505736193500209)</f>
        <v>-0.50573619350020904</v>
      </c>
      <c r="LO43" s="3">
        <f ca="1">IFERROR(__xludf.DUMMYFUNCTION("""COMPUTED_VALUE"""),-0.473275426686524)</f>
        <v>-0.473275426686524</v>
      </c>
      <c r="LP43" s="3">
        <f ca="1">IFERROR(__xludf.DUMMYFUNCTION("""COMPUTED_VALUE"""),-0.575637381512052)</f>
        <v>-0.57563738151205202</v>
      </c>
      <c r="LQ43" s="3">
        <f ca="1">IFERROR(__xludf.DUMMYFUNCTION("""COMPUTED_VALUE"""),-0.540436625331448)</f>
        <v>-0.54043662533144798</v>
      </c>
      <c r="LR43" s="3">
        <f ca="1">IFERROR(__xludf.DUMMYFUNCTION("""COMPUTED_VALUE"""),-0.587936216415285)</f>
        <v>-0.58793621641528504</v>
      </c>
      <c r="LS43" s="3">
        <f ca="1">IFERROR(__xludf.DUMMYFUNCTION("""COMPUTED_VALUE"""),-0.570832174676343)</f>
        <v>-0.57083217467634295</v>
      </c>
      <c r="LT43" s="3">
        <f ca="1">IFERROR(__xludf.DUMMYFUNCTION("""COMPUTED_VALUE"""),-0.542735986324929)</f>
        <v>-0.54273598632492903</v>
      </c>
      <c r="LU43" s="3">
        <f ca="1">IFERROR(__xludf.DUMMYFUNCTION("""COMPUTED_VALUE"""),-0.495268175052573)</f>
        <v>-0.49526817505257298</v>
      </c>
      <c r="LV43" s="3">
        <f ca="1">IFERROR(__xludf.DUMMYFUNCTION("""COMPUTED_VALUE"""),-0.534476283836421)</f>
        <v>-0.53447628383642098</v>
      </c>
      <c r="LW43" s="3">
        <f ca="1">IFERROR(__xludf.DUMMYFUNCTION("""COMPUTED_VALUE"""),-0.637833795749767)</f>
        <v>-0.63783379574976695</v>
      </c>
      <c r="LX43" s="3">
        <f ca="1">IFERROR(__xludf.DUMMYFUNCTION("""COMPUTED_VALUE"""),-0.566883854513128)</f>
        <v>-0.56688385451312795</v>
      </c>
      <c r="LY43" s="3">
        <f ca="1">IFERROR(__xludf.DUMMYFUNCTION("""COMPUTED_VALUE"""),-0.610799463911092)</f>
        <v>-0.61079946391109197</v>
      </c>
      <c r="LZ43" s="3">
        <f ca="1">IFERROR(__xludf.DUMMYFUNCTION("""COMPUTED_VALUE"""),-0.610668694007847)</f>
        <v>-0.61066869400784696</v>
      </c>
      <c r="MA43" s="3">
        <f ca="1">IFERROR(__xludf.DUMMYFUNCTION("""COMPUTED_VALUE"""),-0.623085234270937)</f>
        <v>-0.62308523427093698</v>
      </c>
      <c r="MB43" s="3">
        <f ca="1">IFERROR(__xludf.DUMMYFUNCTION("""COMPUTED_VALUE"""),-0.513490759189308)</f>
        <v>-0.51349075918930798</v>
      </c>
      <c r="MC43" s="3">
        <f ca="1">IFERROR(__xludf.DUMMYFUNCTION("""COMPUTED_VALUE"""),-0.507343954968984)</f>
        <v>-0.50734395496898399</v>
      </c>
      <c r="MD43" s="3">
        <f ca="1">IFERROR(__xludf.DUMMYFUNCTION("""COMPUTED_VALUE"""),-0.597534776483453)</f>
        <v>-0.59753477648345299</v>
      </c>
      <c r="ME43" s="3">
        <f ca="1">IFERROR(__xludf.DUMMYFUNCTION("""COMPUTED_VALUE"""),-0.630764606991034)</f>
        <v>-0.63076460699103398</v>
      </c>
      <c r="MF43" s="3">
        <f ca="1">IFERROR(__xludf.DUMMYFUNCTION("""COMPUTED_VALUE"""),-0.605642621090623)</f>
        <v>-0.60564262109062295</v>
      </c>
      <c r="MG43" s="3">
        <f ca="1">IFERROR(__xludf.DUMMYFUNCTION("""COMPUTED_VALUE"""),-0.631772678897079)</f>
        <v>-0.631772678897079</v>
      </c>
      <c r="MH43" s="3">
        <f ca="1">IFERROR(__xludf.DUMMYFUNCTION("""COMPUTED_VALUE"""),-0.643239628202139)</f>
        <v>-0.64323962820213898</v>
      </c>
      <c r="MI43" s="3">
        <f ca="1">IFERROR(__xludf.DUMMYFUNCTION("""COMPUTED_VALUE"""),-0.539411633270736)</f>
        <v>-0.53941163327073605</v>
      </c>
      <c r="MJ43" s="3">
        <f ca="1">IFERROR(__xludf.DUMMYFUNCTION("""COMPUTED_VALUE"""),-0.520585517897241)</f>
        <v>-0.52058551789724095</v>
      </c>
      <c r="MK43" s="3">
        <f ca="1">IFERROR(__xludf.DUMMYFUNCTION("""COMPUTED_VALUE"""),-0.624326442124848)</f>
        <v>-0.624326442124848</v>
      </c>
      <c r="ML43" s="3">
        <f ca="1">IFERROR(__xludf.DUMMYFUNCTION("""COMPUTED_VALUE"""),-0.647912041197676)</f>
        <v>-0.64791204119767598</v>
      </c>
      <c r="MM43" s="3">
        <f ca="1">IFERROR(__xludf.DUMMYFUNCTION("""COMPUTED_VALUE"""),-0.666584910611217)</f>
        <v>-0.66658491061121705</v>
      </c>
      <c r="MN43" s="3">
        <f ca="1">IFERROR(__xludf.DUMMYFUNCTION("""COMPUTED_VALUE"""),-0.707677208269358)</f>
        <v>-0.70767720826935798</v>
      </c>
      <c r="MO43" s="3">
        <f ca="1">IFERROR(__xludf.DUMMYFUNCTION("""COMPUTED_VALUE"""),-0.657001738903776)</f>
        <v>-0.657001738903776</v>
      </c>
      <c r="MP43" s="3">
        <f ca="1">IFERROR(__xludf.DUMMYFUNCTION("""COMPUTED_VALUE"""),-0.516928147097065)</f>
        <v>-0.51692814709706503</v>
      </c>
      <c r="MQ43" s="3">
        <f ca="1">IFERROR(__xludf.DUMMYFUNCTION("""COMPUTED_VALUE"""),-0.648161652284022)</f>
        <v>-0.64816165228402201</v>
      </c>
      <c r="MR43" s="3">
        <f ca="1">IFERROR(__xludf.DUMMYFUNCTION("""COMPUTED_VALUE"""),-0.65198886720132)</f>
        <v>-0.65198886720131999</v>
      </c>
      <c r="MS43" s="3">
        <f ca="1">IFERROR(__xludf.DUMMYFUNCTION("""COMPUTED_VALUE"""),-0.669778619140744)</f>
        <v>-0.66977861914074399</v>
      </c>
      <c r="MT43" s="3">
        <f ca="1">IFERROR(__xludf.DUMMYFUNCTION("""COMPUTED_VALUE"""),-0.682491193196592)</f>
        <v>-0.68249119319659202</v>
      </c>
      <c r="MU43" s="3">
        <f ca="1">IFERROR(__xludf.DUMMYFUNCTION("""COMPUTED_VALUE"""),-0.64742129204326)</f>
        <v>-0.64742129204326004</v>
      </c>
      <c r="MV43" s="3">
        <f ca="1">IFERROR(__xludf.DUMMYFUNCTION("""COMPUTED_VALUE"""),-0.647111229313296)</f>
        <v>-0.64711122931329601</v>
      </c>
      <c r="MW43" s="3">
        <f ca="1">IFERROR(__xludf.DUMMYFUNCTION("""COMPUTED_VALUE"""),-0.596349609479068)</f>
        <v>-0.59634960947906801</v>
      </c>
      <c r="MX43" s="3">
        <f ca="1">IFERROR(__xludf.DUMMYFUNCTION("""COMPUTED_VALUE"""),-0.68682639864452)</f>
        <v>-0.68682639864452</v>
      </c>
      <c r="MY43" s="3">
        <f ca="1">IFERROR(__xludf.DUMMYFUNCTION("""COMPUTED_VALUE"""),-0.686223658659075)</f>
        <v>-0.68622365865907498</v>
      </c>
      <c r="MZ43" s="3">
        <f ca="1">IFERROR(__xludf.DUMMYFUNCTION("""COMPUTED_VALUE"""),-0.724641478208261)</f>
        <v>-0.72464147820826097</v>
      </c>
      <c r="NA43" s="3">
        <f ca="1">IFERROR(__xludf.DUMMYFUNCTION("""COMPUTED_VALUE"""),-0.72927234030782)</f>
        <v>-0.72927234030781996</v>
      </c>
      <c r="NB43" s="3">
        <f ca="1">IFERROR(__xludf.DUMMYFUNCTION("""COMPUTED_VALUE"""),-0.718439926687126)</f>
        <v>-0.71843992668712597</v>
      </c>
      <c r="NC43" s="3">
        <f ca="1">IFERROR(__xludf.DUMMYFUNCTION("""COMPUTED_VALUE"""),-0.693753655024252)</f>
        <v>-0.69375365502425201</v>
      </c>
      <c r="ND43" s="3">
        <f ca="1">IFERROR(__xludf.DUMMYFUNCTION("""COMPUTED_VALUE"""),-0.568543776735528)</f>
        <v>-0.56854377673552803</v>
      </c>
      <c r="NE43" s="3">
        <f ca="1">IFERROR(__xludf.DUMMYFUNCTION("""COMPUTED_VALUE"""),-0.63875740801275)</f>
        <v>-0.63875740801275005</v>
      </c>
      <c r="NF43" s="3">
        <f ca="1">IFERROR(__xludf.DUMMYFUNCTION("""COMPUTED_VALUE"""),-0.64958499622672)</f>
        <v>-0.64958499622671995</v>
      </c>
      <c r="NG43" s="3">
        <f ca="1">IFERROR(__xludf.DUMMYFUNCTION("""COMPUTED_VALUE"""),-0.649263074329277)</f>
        <v>-0.64926307432927699</v>
      </c>
      <c r="NH43" s="3">
        <f ca="1">IFERROR(__xludf.DUMMYFUNCTION("""COMPUTED_VALUE"""),-0.666444600545577)</f>
        <v>-0.66644460054557697</v>
      </c>
      <c r="NI43" s="3">
        <f ca="1">IFERROR(__xludf.DUMMYFUNCTION("""COMPUTED_VALUE"""),-0.705518943670136)</f>
        <v>-0.70551894367013601</v>
      </c>
      <c r="NJ43" s="3">
        <f ca="1">IFERROR(__xludf.DUMMYFUNCTION("""COMPUTED_VALUE"""),-0.646810897296259)</f>
        <v>-0.64681089729625896</v>
      </c>
      <c r="NK43" s="3">
        <f ca="1">IFERROR(__xludf.DUMMYFUNCTION("""COMPUTED_VALUE"""),-0.523113719620406)</f>
        <v>-0.52311371962040598</v>
      </c>
      <c r="NL43" s="3">
        <f ca="1">IFERROR(__xludf.DUMMYFUNCTION("""COMPUTED_VALUE"""),-0.714917927897044)</f>
        <v>-0.714917927897044</v>
      </c>
      <c r="NM43" s="3">
        <f ca="1">IFERROR(__xludf.DUMMYFUNCTION("""COMPUTED_VALUE"""),-0.647293364923473)</f>
        <v>-0.647293364923473</v>
      </c>
      <c r="NN43" s="3">
        <f ca="1">IFERROR(__xludf.DUMMYFUNCTION("""COMPUTED_VALUE"""),-0.637218164887376)</f>
        <v>-0.63721816488737604</v>
      </c>
      <c r="NO43" s="3">
        <f ca="1">IFERROR(__xludf.DUMMYFUNCTION("""COMPUTED_VALUE"""),-0.628761332147213)</f>
        <v>-0.62876133214721297</v>
      </c>
      <c r="NP43" s="3">
        <f ca="1">IFERROR(__xludf.DUMMYFUNCTION("""COMPUTED_VALUE"""),-0.62627207260832)</f>
        <v>-0.62627207260831996</v>
      </c>
      <c r="NQ43" s="3">
        <f ca="1">IFERROR(__xludf.DUMMYFUNCTION("""COMPUTED_VALUE"""),-0.580331974517936)</f>
        <v>-0.58033197451793594</v>
      </c>
      <c r="NR43" s="3">
        <f ca="1">IFERROR(__xludf.DUMMYFUNCTION("""COMPUTED_VALUE"""),-0.407507463170323)</f>
        <v>-0.40750746317032299</v>
      </c>
      <c r="NS43" s="3">
        <f ca="1">IFERROR(__xludf.DUMMYFUNCTION("""COMPUTED_VALUE"""),-0.592253154153291)</f>
        <v>-0.59225315415329105</v>
      </c>
      <c r="NT43" s="3">
        <f ca="1">IFERROR(__xludf.DUMMYFUNCTION("""COMPUTED_VALUE"""),-0.596604604706827)</f>
        <v>-0.59660460470682697</v>
      </c>
      <c r="NU43" s="3">
        <f ca="1">IFERROR(__xludf.DUMMYFUNCTION("""COMPUTED_VALUE"""),-0.602926342124899)</f>
        <v>-0.60292634212489904</v>
      </c>
      <c r="NV43" s="3">
        <f ca="1">IFERROR(__xludf.DUMMYFUNCTION("""COMPUTED_VALUE"""),-0.573556549857933)</f>
        <v>-0.57355654985793303</v>
      </c>
      <c r="NW43" s="3">
        <f ca="1">IFERROR(__xludf.DUMMYFUNCTION("""COMPUTED_VALUE"""),-0.518975816974604)</f>
        <v>-0.51897581697460404</v>
      </c>
      <c r="NX43" s="3">
        <f ca="1">IFERROR(__xludf.DUMMYFUNCTION("""COMPUTED_VALUE"""),-0.436370779144288)</f>
        <v>-0.43637077914428801</v>
      </c>
      <c r="NY43" s="3">
        <f ca="1">IFERROR(__xludf.DUMMYFUNCTION("""COMPUTED_VALUE"""),-0.426257252025444)</f>
        <v>-0.42625725202544401</v>
      </c>
      <c r="NZ43" s="3">
        <f ca="1">IFERROR(__xludf.DUMMYFUNCTION("""COMPUTED_VALUE"""),-0.529328645736189)</f>
        <v>-0.52932864573618899</v>
      </c>
      <c r="OA43" s="3">
        <f ca="1">IFERROR(__xludf.DUMMYFUNCTION("""COMPUTED_VALUE"""),-0.539636924095887)</f>
        <v>-0.53963692409588704</v>
      </c>
      <c r="OB43" s="3">
        <f ca="1">IFERROR(__xludf.DUMMYFUNCTION("""COMPUTED_VALUE"""),-0.447658344058285)</f>
        <v>-0.44765834405828497</v>
      </c>
      <c r="OC43" s="3">
        <f ca="1">IFERROR(__xludf.DUMMYFUNCTION("""COMPUTED_VALUE"""),-0.40402598599362)</f>
        <v>-0.40402598599362</v>
      </c>
      <c r="OD43" s="3">
        <f ca="1">IFERROR(__xludf.DUMMYFUNCTION("""COMPUTED_VALUE"""),-0.431058903587307)</f>
        <v>-0.43105890358730697</v>
      </c>
      <c r="OE43" s="3">
        <f ca="1">IFERROR(__xludf.DUMMYFUNCTION("""COMPUTED_VALUE"""),-0.277177373091287)</f>
        <v>-0.27717737309128698</v>
      </c>
      <c r="OF43" s="3">
        <f ca="1">IFERROR(__xludf.DUMMYFUNCTION("""COMPUTED_VALUE"""),-0.10921222733776)</f>
        <v>-0.10921222733776</v>
      </c>
      <c r="OG43" s="3">
        <f ca="1">IFERROR(__xludf.DUMMYFUNCTION("""COMPUTED_VALUE"""),-0.230993994819195)</f>
        <v>-0.230993994819195</v>
      </c>
      <c r="OH43" s="3">
        <f ca="1">IFERROR(__xludf.DUMMYFUNCTION("""COMPUTED_VALUE"""),-0.249563284174772)</f>
        <v>-0.249563284174772</v>
      </c>
      <c r="OI43" s="3">
        <f ca="1">IFERROR(__xludf.DUMMYFUNCTION("""COMPUTED_VALUE"""),-0.0851896930990805)</f>
        <v>-8.5189693099080505E-2</v>
      </c>
      <c r="OJ43" s="3">
        <f ca="1">IFERROR(__xludf.DUMMYFUNCTION("""COMPUTED_VALUE"""),-0.0710487573692165)</f>
        <v>-7.1048757369216495E-2</v>
      </c>
      <c r="OK43" s="3">
        <f ca="1">IFERROR(__xludf.DUMMYFUNCTION("""COMPUTED_VALUE"""),0.0733942147950432)</f>
        <v>7.3394214795043197E-2</v>
      </c>
      <c r="OL43" s="3">
        <f ca="1">IFERROR(__xludf.DUMMYFUNCTION("""COMPUTED_VALUE"""),-0.00651623928288402)</f>
        <v>-6.5162392828840201E-3</v>
      </c>
      <c r="OM43" s="3">
        <f ca="1">IFERROR(__xludf.DUMMYFUNCTION("""COMPUTED_VALUE"""),-0.0479041422963218)</f>
        <v>-4.7904142296321797E-2</v>
      </c>
      <c r="ON43" s="3">
        <f ca="1">IFERROR(__xludf.DUMMYFUNCTION("""COMPUTED_VALUE"""),0.00469361949193669)</f>
        <v>4.6936194919366897E-3</v>
      </c>
      <c r="OO43" s="3">
        <f ca="1">IFERROR(__xludf.DUMMYFUNCTION("""COMPUTED_VALUE"""),0.0359185299371564)</f>
        <v>3.5918529937156399E-2</v>
      </c>
      <c r="OP43" s="3">
        <f ca="1">IFERROR(__xludf.DUMMYFUNCTION("""COMPUTED_VALUE"""),0.0414947791999471)</f>
        <v>4.1494779199947103E-2</v>
      </c>
      <c r="OQ43" s="3">
        <f ca="1">IFERROR(__xludf.DUMMYFUNCTION("""COMPUTED_VALUE"""),0.0142771650973547)</f>
        <v>1.42771650973547E-2</v>
      </c>
      <c r="OR43" s="3">
        <f ca="1">IFERROR(__xludf.DUMMYFUNCTION("""COMPUTED_VALUE"""),0.10764004037132)</f>
        <v>0.10764004037131999</v>
      </c>
      <c r="OS43" s="3">
        <f ca="1">IFERROR(__xludf.DUMMYFUNCTION("""COMPUTED_VALUE"""),0.0751644504858617)</f>
        <v>7.5164450485861706E-2</v>
      </c>
      <c r="OT43" s="3">
        <f ca="1">IFERROR(__xludf.DUMMYFUNCTION("""COMPUTED_VALUE"""),0.0423900160996359)</f>
        <v>4.2390016099635899E-2</v>
      </c>
      <c r="OU43" s="3">
        <f ca="1">IFERROR(__xludf.DUMMYFUNCTION("""COMPUTED_VALUE"""),-0.0625187494960108)</f>
        <v>-6.25187494960108E-2</v>
      </c>
      <c r="OV43" s="3">
        <f ca="1">IFERROR(__xludf.DUMMYFUNCTION("""COMPUTED_VALUE"""),-0.0726084667281007)</f>
        <v>-7.2608466728100701E-2</v>
      </c>
      <c r="OW43" s="3">
        <f ca="1">IFERROR(__xludf.DUMMYFUNCTION("""COMPUTED_VALUE"""),0.0736638620663447)</f>
        <v>7.3663862066344704E-2</v>
      </c>
      <c r="OX43" s="3">
        <f ca="1">IFERROR(__xludf.DUMMYFUNCTION("""COMPUTED_VALUE"""),0.0129661528337097)</f>
        <v>1.29661528337097E-2</v>
      </c>
      <c r="OY43" s="3">
        <f ca="1">IFERROR(__xludf.DUMMYFUNCTION("""COMPUTED_VALUE"""),0.0979514930191434)</f>
        <v>9.7951493019143396E-2</v>
      </c>
      <c r="OZ43" s="3">
        <f ca="1">IFERROR(__xludf.DUMMYFUNCTION("""COMPUTED_VALUE"""),-0.0361769167468588)</f>
        <v>-3.61769167468588E-2</v>
      </c>
      <c r="PA43" s="3">
        <f ca="1">IFERROR(__xludf.DUMMYFUNCTION("""COMPUTED_VALUE"""),0.0645716685162842)</f>
        <v>6.4571668516284195E-2</v>
      </c>
      <c r="PB43" s="3">
        <f ca="1">IFERROR(__xludf.DUMMYFUNCTION("""COMPUTED_VALUE"""),0.0101199763263837)</f>
        <v>1.0119976326383701E-2</v>
      </c>
      <c r="PC43" s="3">
        <f ca="1">IFERROR(__xludf.DUMMYFUNCTION("""COMPUTED_VALUE"""),0.0139214841448211)</f>
        <v>1.3921484144821099E-2</v>
      </c>
      <c r="PD43" s="3">
        <f ca="1">IFERROR(__xludf.DUMMYFUNCTION("""COMPUTED_VALUE"""),-0.0345976557137136)</f>
        <v>-3.45976557137136E-2</v>
      </c>
      <c r="PE43" s="3">
        <f ca="1">IFERROR(__xludf.DUMMYFUNCTION("""COMPUTED_VALUE"""),-0.0358040518986972)</f>
        <v>-3.5804051898697203E-2</v>
      </c>
      <c r="PF43" s="3">
        <f ca="1">IFERROR(__xludf.DUMMYFUNCTION("""COMPUTED_VALUE"""),0.0615179378887718)</f>
        <v>6.1517937888771801E-2</v>
      </c>
      <c r="PG43" s="3">
        <f ca="1">IFERROR(__xludf.DUMMYFUNCTION("""COMPUTED_VALUE"""),-0.0830018355283925)</f>
        <v>-8.3001835528392506E-2</v>
      </c>
      <c r="PH43" s="3">
        <f ca="1">IFERROR(__xludf.DUMMYFUNCTION("""COMPUTED_VALUE"""),0.0392060322601863)</f>
        <v>3.9206032260186298E-2</v>
      </c>
      <c r="PI43" s="3">
        <f ca="1">IFERROR(__xludf.DUMMYFUNCTION("""COMPUTED_VALUE"""),0.0789496666637477)</f>
        <v>7.8949666663747697E-2</v>
      </c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</row>
    <row r="44" spans="1:477" ht="15.75" customHeight="1">
      <c r="A44" s="1" t="str">
        <f ca="1">IFERROR(__xludf.DUMMYFUNCTION("""COMPUTED_VALUE"""),"IndyGo")</f>
        <v>IndyGo</v>
      </c>
      <c r="B44" s="1" t="str">
        <f ca="1">IFERROR(__xludf.DUMMYFUNCTION("""COMPUTED_VALUE"""),"Indianapolis")</f>
        <v>Indianapolis</v>
      </c>
      <c r="C44" s="1" t="str">
        <f ca="1">IFERROR(__xludf.DUMMYFUNCTION("""COMPUTED_VALUE"""),"United States")</f>
        <v>United States</v>
      </c>
      <c r="D44" s="1" t="str">
        <f ca="1">IFERROR(__xludf.DUMMYFUNCTION("""COMPUTED_VALUE"""),"Indiana")</f>
        <v>Indiana</v>
      </c>
      <c r="E44" s="3">
        <f ca="1">IFERROR(__xludf.DUMMYFUNCTION("""COMPUTED_VALUE"""),-0.544615508815185)</f>
        <v>-0.54461550881518495</v>
      </c>
      <c r="F44" s="3">
        <f ca="1">IFERROR(__xludf.DUMMYFUNCTION("""COMPUTED_VALUE"""),-0.208083994446537)</f>
        <v>-0.208083994446537</v>
      </c>
      <c r="G44" s="3">
        <f ca="1">IFERROR(__xludf.DUMMYFUNCTION("""COMPUTED_VALUE"""),-0.215770160138871)</f>
        <v>-0.21577016013887099</v>
      </c>
      <c r="H44" s="3">
        <f ca="1">IFERROR(__xludf.DUMMYFUNCTION("""COMPUTED_VALUE"""),-0.179014024815315)</f>
        <v>-0.179014024815315</v>
      </c>
      <c r="I44" s="3">
        <f ca="1">IFERROR(__xludf.DUMMYFUNCTION("""COMPUTED_VALUE"""),-0.195377440702149)</f>
        <v>-0.19537744070214899</v>
      </c>
      <c r="J44" s="3">
        <f ca="1">IFERROR(__xludf.DUMMYFUNCTION("""COMPUTED_VALUE"""),-0.175618766674678)</f>
        <v>-0.17561876667467799</v>
      </c>
      <c r="K44" s="3">
        <f ca="1">IFERROR(__xludf.DUMMYFUNCTION("""COMPUTED_VALUE"""),-0.112984618196747)</f>
        <v>-0.112984618196747</v>
      </c>
      <c r="L44" s="3">
        <f ca="1">IFERROR(__xludf.DUMMYFUNCTION("""COMPUTED_VALUE"""),-0.27614836196442)</f>
        <v>-0.27614836196442</v>
      </c>
      <c r="M44" s="3">
        <f ca="1">IFERROR(__xludf.DUMMYFUNCTION("""COMPUTED_VALUE"""),-0.197457987355841)</f>
        <v>-0.197457987355841</v>
      </c>
      <c r="N44" s="3">
        <f ca="1">IFERROR(__xludf.DUMMYFUNCTION("""COMPUTED_VALUE"""),-0.174600398679833)</f>
        <v>-0.17460039867983301</v>
      </c>
      <c r="O44" s="3">
        <f ca="1">IFERROR(__xludf.DUMMYFUNCTION("""COMPUTED_VALUE"""),-0.231608886030377)</f>
        <v>-0.23160888603037699</v>
      </c>
      <c r="P44" s="3">
        <f ca="1">IFERROR(__xludf.DUMMYFUNCTION("""COMPUTED_VALUE"""),-0.188179205980286)</f>
        <v>-0.18817920598028601</v>
      </c>
      <c r="Q44" s="3">
        <f ca="1">IFERROR(__xludf.DUMMYFUNCTION("""COMPUTED_VALUE"""),-0.430968835985504)</f>
        <v>-0.43096883598550401</v>
      </c>
      <c r="R44" s="3">
        <f ca="1">IFERROR(__xludf.DUMMYFUNCTION("""COMPUTED_VALUE"""),-0.182329366095538)</f>
        <v>-0.18232936609553799</v>
      </c>
      <c r="S44" s="3">
        <f ca="1">IFERROR(__xludf.DUMMYFUNCTION("""COMPUTED_VALUE"""),-0.17624290741823)</f>
        <v>-0.17624290741823001</v>
      </c>
      <c r="T44" s="3">
        <f ca="1">IFERROR(__xludf.DUMMYFUNCTION("""COMPUTED_VALUE"""),-0.150638472166508)</f>
        <v>-0.150638472166508</v>
      </c>
      <c r="U44" s="3">
        <f ca="1">IFERROR(__xludf.DUMMYFUNCTION("""COMPUTED_VALUE"""),-0.149628769449255)</f>
        <v>-0.14962876944925499</v>
      </c>
      <c r="V44" s="3">
        <f ca="1">IFERROR(__xludf.DUMMYFUNCTION("""COMPUTED_VALUE"""),-0.28068760774661)</f>
        <v>-0.28068760774661</v>
      </c>
      <c r="W44" s="3">
        <f ca="1">IFERROR(__xludf.DUMMYFUNCTION("""COMPUTED_VALUE"""),-0.185849328386999)</f>
        <v>-0.185849328386999</v>
      </c>
      <c r="X44" s="3">
        <f ca="1">IFERROR(__xludf.DUMMYFUNCTION("""COMPUTED_VALUE"""),-0.302739538918894)</f>
        <v>-0.30273953891889399</v>
      </c>
      <c r="Y44" s="3">
        <f ca="1">IFERROR(__xludf.DUMMYFUNCTION("""COMPUTED_VALUE"""),-0.11723093918051)</f>
        <v>-0.11723093918051</v>
      </c>
      <c r="Z44" s="3">
        <f ca="1">IFERROR(__xludf.DUMMYFUNCTION("""COMPUTED_VALUE"""),-0.143792892909893)</f>
        <v>-0.143792892909893</v>
      </c>
      <c r="AA44" s="3">
        <f ca="1">IFERROR(__xludf.DUMMYFUNCTION("""COMPUTED_VALUE"""),-0.198790766733357)</f>
        <v>-0.19879076673335699</v>
      </c>
      <c r="AB44" s="3">
        <f ca="1">IFERROR(__xludf.DUMMYFUNCTION("""COMPUTED_VALUE"""),-0.322298991170374)</f>
        <v>-0.32229899117037403</v>
      </c>
      <c r="AC44" s="3">
        <f ca="1">IFERROR(__xludf.DUMMYFUNCTION("""COMPUTED_VALUE"""),-0.279080320845694)</f>
        <v>-0.27908032084569401</v>
      </c>
      <c r="AD44" s="3">
        <f ca="1">IFERROR(__xludf.DUMMYFUNCTION("""COMPUTED_VALUE"""),-0.225289684919509)</f>
        <v>-0.22528968491950899</v>
      </c>
      <c r="AE44" s="3">
        <f ca="1">IFERROR(__xludf.DUMMYFUNCTION("""COMPUTED_VALUE"""),-0.267802834905805)</f>
        <v>-0.26780283490580498</v>
      </c>
      <c r="AF44" s="3">
        <f ca="1">IFERROR(__xludf.DUMMYFUNCTION("""COMPUTED_VALUE"""),-0.303311061035161)</f>
        <v>-0.30331106103516098</v>
      </c>
      <c r="AG44" s="3">
        <f ca="1">IFERROR(__xludf.DUMMYFUNCTION("""COMPUTED_VALUE"""),-0.0729615926202437)</f>
        <v>-7.2961592620243695E-2</v>
      </c>
      <c r="AH44" s="3">
        <f ca="1">IFERROR(__xludf.DUMMYFUNCTION("""COMPUTED_VALUE"""),-0.305630687811962)</f>
        <v>-0.30563068781196201</v>
      </c>
      <c r="AI44" s="3">
        <f ca="1">IFERROR(__xludf.DUMMYFUNCTION("""COMPUTED_VALUE"""),-0.361656844854857)</f>
        <v>-0.361656844854857</v>
      </c>
      <c r="AJ44" s="3">
        <f ca="1">IFERROR(__xludf.DUMMYFUNCTION("""COMPUTED_VALUE"""),-0.241720057074013)</f>
        <v>-0.24172005707401301</v>
      </c>
      <c r="AK44" s="3">
        <f ca="1">IFERROR(__xludf.DUMMYFUNCTION("""COMPUTED_VALUE"""),-0.373223435269811)</f>
        <v>-0.373223435269811</v>
      </c>
      <c r="AL44" s="3">
        <f ca="1">IFERROR(__xludf.DUMMYFUNCTION("""COMPUTED_VALUE"""),-0.0954467792962755)</f>
        <v>-9.54467792962755E-2</v>
      </c>
      <c r="AM44" s="3">
        <f ca="1">IFERROR(__xludf.DUMMYFUNCTION("""COMPUTED_VALUE"""),-0.135654162787727)</f>
        <v>-0.13565416278772699</v>
      </c>
      <c r="AN44" s="3">
        <f ca="1">IFERROR(__xludf.DUMMYFUNCTION("""COMPUTED_VALUE"""),-0.270401466040344)</f>
        <v>-0.27040146604034399</v>
      </c>
      <c r="AO44" s="3">
        <f ca="1">IFERROR(__xludf.DUMMYFUNCTION("""COMPUTED_VALUE"""),-0.249911763832396)</f>
        <v>-0.24991176383239599</v>
      </c>
      <c r="AP44" s="3">
        <f ca="1">IFERROR(__xludf.DUMMYFUNCTION("""COMPUTED_VALUE"""),-0.152589566480022)</f>
        <v>-0.152589566480022</v>
      </c>
      <c r="AQ44" s="3">
        <f ca="1">IFERROR(__xludf.DUMMYFUNCTION("""COMPUTED_VALUE"""),-0.154594193036791)</f>
        <v>-0.15459419303679101</v>
      </c>
      <c r="AR44" s="3">
        <f ca="1">IFERROR(__xludf.DUMMYFUNCTION("""COMPUTED_VALUE"""),-0.366045569401756)</f>
        <v>-0.36604556940175598</v>
      </c>
      <c r="AS44" s="3">
        <f ca="1">IFERROR(__xludf.DUMMYFUNCTION("""COMPUTED_VALUE"""),-0.170762117459307)</f>
        <v>-0.170762117459307</v>
      </c>
      <c r="AT44" s="3">
        <f ca="1">IFERROR(__xludf.DUMMYFUNCTION("""COMPUTED_VALUE"""),0.0166859589199908)</f>
        <v>1.66859589199908E-2</v>
      </c>
      <c r="AU44" s="3">
        <f ca="1">IFERROR(__xludf.DUMMYFUNCTION("""COMPUTED_VALUE"""),-0.0769276355287492)</f>
        <v>-7.6927635528749205E-2</v>
      </c>
      <c r="AV44" s="3">
        <f ca="1">IFERROR(__xludf.DUMMYFUNCTION("""COMPUTED_VALUE"""),-0.316408264560269)</f>
        <v>-0.31640826456026899</v>
      </c>
      <c r="AW44" s="3">
        <f ca="1">IFERROR(__xludf.DUMMYFUNCTION("""COMPUTED_VALUE"""),-0.283252141082257)</f>
        <v>-0.28325214108225699</v>
      </c>
      <c r="AX44" s="3">
        <f ca="1">IFERROR(__xludf.DUMMYFUNCTION("""COMPUTED_VALUE"""),-0.291133620446809)</f>
        <v>-0.29113362044680902</v>
      </c>
      <c r="AY44" s="3">
        <f ca="1">IFERROR(__xludf.DUMMYFUNCTION("""COMPUTED_VALUE"""),-0.251985438634645)</f>
        <v>-0.25198543863464501</v>
      </c>
      <c r="AZ44" s="3">
        <f ca="1">IFERROR(__xludf.DUMMYFUNCTION("""COMPUTED_VALUE"""),-0.0875910891883319)</f>
        <v>-8.7591089188331903E-2</v>
      </c>
      <c r="BA44" s="3">
        <f ca="1">IFERROR(__xludf.DUMMYFUNCTION("""COMPUTED_VALUE"""),0.0200964339857552)</f>
        <v>2.00964339857552E-2</v>
      </c>
      <c r="BB44" s="3">
        <f ca="1">IFERROR(__xludf.DUMMYFUNCTION("""COMPUTED_VALUE"""),-0.266778256771705)</f>
        <v>-0.26677825677170502</v>
      </c>
      <c r="BC44" s="3">
        <f ca="1">IFERROR(__xludf.DUMMYFUNCTION("""COMPUTED_VALUE"""),-0.025209585677978)</f>
        <v>-2.5209585677978E-2</v>
      </c>
      <c r="BD44" s="3">
        <f ca="1">IFERROR(__xludf.DUMMYFUNCTION("""COMPUTED_VALUE"""),-0.180393326732296)</f>
        <v>-0.18039332673229599</v>
      </c>
      <c r="BE44" s="3">
        <f ca="1">IFERROR(__xludf.DUMMYFUNCTION("""COMPUTED_VALUE"""),-0.237861485875861)</f>
        <v>-0.23786148587586101</v>
      </c>
      <c r="BF44" s="3">
        <f ca="1">IFERROR(__xludf.DUMMYFUNCTION("""COMPUTED_VALUE"""),-0.430254607482237)</f>
        <v>-0.43025460748223698</v>
      </c>
      <c r="BG44" s="3">
        <f ca="1">IFERROR(__xludf.DUMMYFUNCTION("""COMPUTED_VALUE"""),-0.376657536584837)</f>
        <v>-0.37665753658483703</v>
      </c>
      <c r="BH44" s="3">
        <f ca="1">IFERROR(__xludf.DUMMYFUNCTION("""COMPUTED_VALUE"""),-0.216172752595608)</f>
        <v>-0.216172752595608</v>
      </c>
      <c r="BI44" s="3">
        <f ca="1">IFERROR(__xludf.DUMMYFUNCTION("""COMPUTED_VALUE"""),-0.261641876864691)</f>
        <v>-0.26164187686469098</v>
      </c>
      <c r="BJ44" s="3">
        <f ca="1">IFERROR(__xludf.DUMMYFUNCTION("""COMPUTED_VALUE"""),-0.224389676548072)</f>
        <v>-0.22438967654807199</v>
      </c>
      <c r="BK44" s="3">
        <f ca="1">IFERROR(__xludf.DUMMYFUNCTION("""COMPUTED_VALUE"""),-0.369590740744295)</f>
        <v>-0.36959074074429499</v>
      </c>
      <c r="BL44" s="3">
        <f ca="1">IFERROR(__xludf.DUMMYFUNCTION("""COMPUTED_VALUE"""),-0.334476375483695)</f>
        <v>-0.33447637548369502</v>
      </c>
      <c r="BM44" s="3">
        <f ca="1">IFERROR(__xludf.DUMMYFUNCTION("""COMPUTED_VALUE"""),-0.455216713869046)</f>
        <v>-0.455216713869046</v>
      </c>
      <c r="BN44" s="3">
        <f ca="1">IFERROR(__xludf.DUMMYFUNCTION("""COMPUTED_VALUE"""),-0.432951618289612)</f>
        <v>-0.43295161828961198</v>
      </c>
      <c r="BO44" s="3">
        <f ca="1">IFERROR(__xludf.DUMMYFUNCTION("""COMPUTED_VALUE"""),-0.448507366161521)</f>
        <v>-0.44850736616152098</v>
      </c>
      <c r="BP44" s="3">
        <f ca="1">IFERROR(__xludf.DUMMYFUNCTION("""COMPUTED_VALUE"""),-0.264381233423182)</f>
        <v>-0.26438123342318198</v>
      </c>
      <c r="BQ44" s="3">
        <f ca="1">IFERROR(__xludf.DUMMYFUNCTION("""COMPUTED_VALUE"""),-0.28332642012114)</f>
        <v>-0.28332642012114001</v>
      </c>
      <c r="BR44" s="3">
        <f ca="1">IFERROR(__xludf.DUMMYFUNCTION("""COMPUTED_VALUE"""),-0.384155118122802)</f>
        <v>-0.38415511812280201</v>
      </c>
      <c r="BS44" s="3">
        <f ca="1">IFERROR(__xludf.DUMMYFUNCTION("""COMPUTED_VALUE"""),-0.472102582222013)</f>
        <v>-0.47210258222201301</v>
      </c>
      <c r="BT44" s="3">
        <f ca="1">IFERROR(__xludf.DUMMYFUNCTION("""COMPUTED_VALUE"""),-0.573643048955085)</f>
        <v>-0.573643048955085</v>
      </c>
      <c r="BU44" s="3">
        <f ca="1">IFERROR(__xludf.DUMMYFUNCTION("""COMPUTED_VALUE"""),-0.362008138439429)</f>
        <v>-0.36200813843942897</v>
      </c>
      <c r="BV44" s="3">
        <f ca="1">IFERROR(__xludf.DUMMYFUNCTION("""COMPUTED_VALUE"""),-0.317990251262483)</f>
        <v>-0.31799025126248298</v>
      </c>
      <c r="BW44" s="3">
        <f ca="1">IFERROR(__xludf.DUMMYFUNCTION("""COMPUTED_VALUE"""),-0.271566677276684)</f>
        <v>-0.27156667727668399</v>
      </c>
      <c r="BX44" s="3">
        <f ca="1">IFERROR(__xludf.DUMMYFUNCTION("""COMPUTED_VALUE"""),-0.368639834236922)</f>
        <v>-0.36863983423692198</v>
      </c>
      <c r="BY44" s="3">
        <f ca="1">IFERROR(__xludf.DUMMYFUNCTION("""COMPUTED_VALUE"""),-0.281265481586008)</f>
        <v>-0.281265481586008</v>
      </c>
      <c r="BZ44" s="3">
        <f ca="1">IFERROR(__xludf.DUMMYFUNCTION("""COMPUTED_VALUE"""),-0.349939816994038)</f>
        <v>-0.34993981699403798</v>
      </c>
      <c r="CA44" s="3">
        <f ca="1">IFERROR(__xludf.DUMMYFUNCTION("""COMPUTED_VALUE"""),-0.267743473430261)</f>
        <v>-0.267743473430261</v>
      </c>
      <c r="CB44" s="3">
        <f ca="1">IFERROR(__xludf.DUMMYFUNCTION("""COMPUTED_VALUE"""),-0.357132774404824)</f>
        <v>-0.35713277440482399</v>
      </c>
      <c r="CC44" s="3">
        <f ca="1">IFERROR(__xludf.DUMMYFUNCTION("""COMPUTED_VALUE"""),-0.0403923268007166)</f>
        <v>-4.0392326800716603E-2</v>
      </c>
      <c r="CD44" s="3">
        <f ca="1">IFERROR(__xludf.DUMMYFUNCTION("""COMPUTED_VALUE"""),-0.127499074823534)</f>
        <v>-0.12749907482353401</v>
      </c>
      <c r="CE44" s="3">
        <f ca="1">IFERROR(__xludf.DUMMYFUNCTION("""COMPUTED_VALUE"""),-0.285927191713545)</f>
        <v>-0.28592719171354503</v>
      </c>
      <c r="CF44" s="3">
        <f ca="1">IFERROR(__xludf.DUMMYFUNCTION("""COMPUTED_VALUE"""),-0.318064248047343)</f>
        <v>-0.31806424804734301</v>
      </c>
      <c r="CG44" s="3">
        <f ca="1">IFERROR(__xludf.DUMMYFUNCTION("""COMPUTED_VALUE"""),-0.461900218241061)</f>
        <v>-0.46190021824106098</v>
      </c>
      <c r="CH44" s="3">
        <f ca="1">IFERROR(__xludf.DUMMYFUNCTION("""COMPUTED_VALUE"""),-0.384949135178025)</f>
        <v>-0.38494913517802498</v>
      </c>
      <c r="CI44" s="3">
        <f ca="1">IFERROR(__xludf.DUMMYFUNCTION("""COMPUTED_VALUE"""),-0.259881262269806)</f>
        <v>-0.25988126226980601</v>
      </c>
      <c r="CJ44" s="3">
        <f ca="1">IFERROR(__xludf.DUMMYFUNCTION("""COMPUTED_VALUE"""),-0.253777522601417)</f>
        <v>-0.253777522601417</v>
      </c>
      <c r="CK44" s="3">
        <f ca="1">IFERROR(__xludf.DUMMYFUNCTION("""COMPUTED_VALUE"""),-0.185172846093386)</f>
        <v>-0.185172846093386</v>
      </c>
      <c r="CL44" s="3">
        <f ca="1">IFERROR(__xludf.DUMMYFUNCTION("""COMPUTED_VALUE"""),-0.198737979972195)</f>
        <v>-0.198737979972195</v>
      </c>
      <c r="CM44" s="3">
        <f ca="1">IFERROR(__xludf.DUMMYFUNCTION("""COMPUTED_VALUE"""),-0.328838325359516)</f>
        <v>-0.32883832535951601</v>
      </c>
      <c r="CN44" s="3">
        <f ca="1">IFERROR(__xludf.DUMMYFUNCTION("""COMPUTED_VALUE"""),-0.306784288457191)</f>
        <v>-0.30678428845719102</v>
      </c>
      <c r="CO44" s="3">
        <f ca="1">IFERROR(__xludf.DUMMYFUNCTION("""COMPUTED_VALUE"""),-0.446746498735961)</f>
        <v>-0.44674649873596101</v>
      </c>
      <c r="CP44" s="3">
        <f ca="1">IFERROR(__xludf.DUMMYFUNCTION("""COMPUTED_VALUE"""),-0.297352046438806)</f>
        <v>-0.29735204643880597</v>
      </c>
      <c r="CQ44" s="3">
        <f ca="1">IFERROR(__xludf.DUMMYFUNCTION("""COMPUTED_VALUE"""),-0.36878133131933)</f>
        <v>-0.36878133131933</v>
      </c>
      <c r="CR44" s="3">
        <f ca="1">IFERROR(__xludf.DUMMYFUNCTION("""COMPUTED_VALUE"""),-0.298251348071658)</f>
        <v>-0.29825134807165798</v>
      </c>
      <c r="CS44" s="3">
        <f ca="1">IFERROR(__xludf.DUMMYFUNCTION("""COMPUTED_VALUE"""),-0.374062972175445)</f>
        <v>-0.37406297217544499</v>
      </c>
      <c r="CT44" s="3">
        <f ca="1">IFERROR(__xludf.DUMMYFUNCTION("""COMPUTED_VALUE"""),-0.424708186896759)</f>
        <v>-0.42470818689675899</v>
      </c>
      <c r="CU44" s="3">
        <f ca="1">IFERROR(__xludf.DUMMYFUNCTION("""COMPUTED_VALUE"""),-0.311573878082442)</f>
        <v>-0.31157387808244202</v>
      </c>
      <c r="CV44" s="3">
        <f ca="1">IFERROR(__xludf.DUMMYFUNCTION("""COMPUTED_VALUE"""),-0.570029651080312)</f>
        <v>-0.57002965108031201</v>
      </c>
      <c r="CW44" s="3">
        <f ca="1">IFERROR(__xludf.DUMMYFUNCTION("""COMPUTED_VALUE"""),-0.383910974465814)</f>
        <v>-0.38391097446581401</v>
      </c>
      <c r="CX44" s="3">
        <f ca="1">IFERROR(__xludf.DUMMYFUNCTION("""COMPUTED_VALUE"""),-0.071773257576591)</f>
        <v>-7.1773257576591004E-2</v>
      </c>
      <c r="CY44" s="3">
        <f ca="1">IFERROR(__xludf.DUMMYFUNCTION("""COMPUTED_VALUE"""),-0.282578899930759)</f>
        <v>-0.28257889993075902</v>
      </c>
      <c r="CZ44" s="3">
        <f ca="1">IFERROR(__xludf.DUMMYFUNCTION("""COMPUTED_VALUE"""),-0.486148910883373)</f>
        <v>-0.48614891088337298</v>
      </c>
      <c r="DA44" s="3">
        <f ca="1">IFERROR(__xludf.DUMMYFUNCTION("""COMPUTED_VALUE"""),-0.284028422907306)</f>
        <v>-0.28402842290730601</v>
      </c>
      <c r="DB44" s="3">
        <f ca="1">IFERROR(__xludf.DUMMYFUNCTION("""COMPUTED_VALUE"""),-0.117199620983342)</f>
        <v>-0.117199620983342</v>
      </c>
      <c r="DC44" s="3">
        <f ca="1">IFERROR(__xludf.DUMMYFUNCTION("""COMPUTED_VALUE"""),-0.307825998789464)</f>
        <v>-0.30782599878946398</v>
      </c>
      <c r="DD44" s="3">
        <f ca="1">IFERROR(__xludf.DUMMYFUNCTION("""COMPUTED_VALUE"""),-0.369205286096161)</f>
        <v>-0.36920528609616099</v>
      </c>
      <c r="DE44" s="3">
        <f ca="1">IFERROR(__xludf.DUMMYFUNCTION("""COMPUTED_VALUE"""),-0.37821282227098)</f>
        <v>-0.37821282227098002</v>
      </c>
      <c r="DF44" s="3">
        <f ca="1">IFERROR(__xludf.DUMMYFUNCTION("""COMPUTED_VALUE"""),-0.439045327200964)</f>
        <v>-0.43904532720096401</v>
      </c>
      <c r="DG44" s="3">
        <f ca="1">IFERROR(__xludf.DUMMYFUNCTION("""COMPUTED_VALUE"""),-0.757793077753342)</f>
        <v>-0.75779307775334204</v>
      </c>
      <c r="DH44" s="3">
        <f ca="1">IFERROR(__xludf.DUMMYFUNCTION("""COMPUTED_VALUE"""),-0.59207324538359)</f>
        <v>-0.59207324538358996</v>
      </c>
      <c r="DI44" s="3">
        <f ca="1">IFERROR(__xludf.DUMMYFUNCTION("""COMPUTED_VALUE"""),-0.217333203903664)</f>
        <v>-0.21733320390366401</v>
      </c>
      <c r="DJ44" s="3">
        <f ca="1">IFERROR(__xludf.DUMMYFUNCTION("""COMPUTED_VALUE"""),-0.396399014974563)</f>
        <v>-0.39639901497456298</v>
      </c>
      <c r="DK44" s="3">
        <f ca="1">IFERROR(__xludf.DUMMYFUNCTION("""COMPUTED_VALUE"""),-0.397529356662411)</f>
        <v>-0.39752935666241102</v>
      </c>
      <c r="DL44" s="3">
        <f ca="1">IFERROR(__xludf.DUMMYFUNCTION("""COMPUTED_VALUE"""),-0.406413013508767)</f>
        <v>-0.40641301350876702</v>
      </c>
      <c r="DM44" s="3">
        <f ca="1">IFERROR(__xludf.DUMMYFUNCTION("""COMPUTED_VALUE"""),-0.515060746733725)</f>
        <v>-0.51506074673372504</v>
      </c>
      <c r="DN44" s="3">
        <f ca="1">IFERROR(__xludf.DUMMYFUNCTION("""COMPUTED_VALUE"""),-0.290521481719348)</f>
        <v>-0.290521481719348</v>
      </c>
      <c r="DO44" s="3">
        <f ca="1">IFERROR(__xludf.DUMMYFUNCTION("""COMPUTED_VALUE"""),-0.344411333999367)</f>
        <v>-0.34441133399936702</v>
      </c>
      <c r="DP44" s="3">
        <f ca="1">IFERROR(__xludf.DUMMYFUNCTION("""COMPUTED_VALUE"""),-0.283082880208992)</f>
        <v>-0.28308288020899203</v>
      </c>
      <c r="DQ44" s="3">
        <f ca="1">IFERROR(__xludf.DUMMYFUNCTION("""COMPUTED_VALUE"""),-0.234088762111781)</f>
        <v>-0.23408876211178101</v>
      </c>
      <c r="DR44" s="3">
        <f ca="1">IFERROR(__xludf.DUMMYFUNCTION("""COMPUTED_VALUE"""),-0.38183203289026)</f>
        <v>-0.38183203289026002</v>
      </c>
      <c r="DS44" s="3">
        <f ca="1">IFERROR(__xludf.DUMMYFUNCTION("""COMPUTED_VALUE"""),-0.418661872291504)</f>
        <v>-0.41866187229150398</v>
      </c>
      <c r="DT44" s="3">
        <f ca="1">IFERROR(__xludf.DUMMYFUNCTION("""COMPUTED_VALUE"""),-0.521019800016877)</f>
        <v>-0.52101980001687698</v>
      </c>
      <c r="DU44" s="3">
        <f ca="1">IFERROR(__xludf.DUMMYFUNCTION("""COMPUTED_VALUE"""),-0.30927081215561)</f>
        <v>-0.30927081215560998</v>
      </c>
      <c r="DV44" s="3">
        <f ca="1">IFERROR(__xludf.DUMMYFUNCTION("""COMPUTED_VALUE"""),-0.280610356126825)</f>
        <v>-0.280610356126825</v>
      </c>
      <c r="DW44" s="3">
        <f ca="1">IFERROR(__xludf.DUMMYFUNCTION("""COMPUTED_VALUE"""),-0.384861039406559)</f>
        <v>-0.38486103940655902</v>
      </c>
      <c r="DX44" s="3">
        <f ca="1">IFERROR(__xludf.DUMMYFUNCTION("""COMPUTED_VALUE"""),-0.437649609001467)</f>
        <v>-0.43764960900146699</v>
      </c>
      <c r="DY44" s="3">
        <f ca="1">IFERROR(__xludf.DUMMYFUNCTION("""COMPUTED_VALUE"""),-0.342389710405406)</f>
        <v>-0.342389710405406</v>
      </c>
      <c r="DZ44" s="3">
        <f ca="1">IFERROR(__xludf.DUMMYFUNCTION("""COMPUTED_VALUE"""),-0.306207111545649)</f>
        <v>-0.306207111545649</v>
      </c>
      <c r="EA44" s="3">
        <f ca="1">IFERROR(__xludf.DUMMYFUNCTION("""COMPUTED_VALUE"""),-0.412082783976577)</f>
        <v>-0.41208278397657699</v>
      </c>
      <c r="EB44" s="3">
        <f ca="1">IFERROR(__xludf.DUMMYFUNCTION("""COMPUTED_VALUE"""),-0.472448871126738)</f>
        <v>-0.472448871126738</v>
      </c>
      <c r="EC44" s="3">
        <f ca="1">IFERROR(__xludf.DUMMYFUNCTION("""COMPUTED_VALUE"""),-0.234610097157001)</f>
        <v>-0.23461009715700101</v>
      </c>
      <c r="ED44" s="3">
        <f ca="1">IFERROR(__xludf.DUMMYFUNCTION("""COMPUTED_VALUE"""),-0.355167529983753)</f>
        <v>-0.35516752998375301</v>
      </c>
      <c r="EE44" s="3">
        <f ca="1">IFERROR(__xludf.DUMMYFUNCTION("""COMPUTED_VALUE"""),-0.376864225927979)</f>
        <v>-0.37686422592797902</v>
      </c>
      <c r="EF44" s="3">
        <f ca="1">IFERROR(__xludf.DUMMYFUNCTION("""COMPUTED_VALUE"""),-0.432939012420122)</f>
        <v>-0.432939012420122</v>
      </c>
      <c r="EG44" s="3">
        <f ca="1">IFERROR(__xludf.DUMMYFUNCTION("""COMPUTED_VALUE"""),-0.224380346148896)</f>
        <v>-0.22438034614889599</v>
      </c>
      <c r="EH44" s="3">
        <f ca="1">IFERROR(__xludf.DUMMYFUNCTION("""COMPUTED_VALUE"""),-0.273206062859882)</f>
        <v>-0.27320606285988203</v>
      </c>
      <c r="EI44" s="3">
        <f ca="1">IFERROR(__xludf.DUMMYFUNCTION("""COMPUTED_VALUE"""),-0.348886042127506)</f>
        <v>-0.34888604212750601</v>
      </c>
      <c r="EJ44" s="3">
        <f ca="1">IFERROR(__xludf.DUMMYFUNCTION("""COMPUTED_VALUE"""),-0.636222540818424)</f>
        <v>-0.636222540818424</v>
      </c>
      <c r="EK44" s="3">
        <f ca="1">IFERROR(__xludf.DUMMYFUNCTION("""COMPUTED_VALUE"""),-0.438964509154426)</f>
        <v>-0.43896450915442597</v>
      </c>
      <c r="EL44" s="3">
        <f ca="1">IFERROR(__xludf.DUMMYFUNCTION("""COMPUTED_VALUE"""),-0.43742469994835)</f>
        <v>-0.43742469994834998</v>
      </c>
      <c r="EM44" s="3">
        <f ca="1">IFERROR(__xludf.DUMMYFUNCTION("""COMPUTED_VALUE"""),-0.410405711334768)</f>
        <v>-0.410405711334768</v>
      </c>
      <c r="EN44" s="3">
        <f ca="1">IFERROR(__xludf.DUMMYFUNCTION("""COMPUTED_VALUE"""),-0.536804618245683)</f>
        <v>-0.53680461824568304</v>
      </c>
      <c r="EO44" s="3">
        <f ca="1">IFERROR(__xludf.DUMMYFUNCTION("""COMPUTED_VALUE"""),-0.420536375454695)</f>
        <v>-0.42053637545469502</v>
      </c>
      <c r="EP44" s="3">
        <f ca="1">IFERROR(__xludf.DUMMYFUNCTION("""COMPUTED_VALUE"""),-0.313608568965408)</f>
        <v>-0.31360856896540801</v>
      </c>
      <c r="EQ44" s="3">
        <f ca="1">IFERROR(__xludf.DUMMYFUNCTION("""COMPUTED_VALUE"""),-0.478415057000811)</f>
        <v>-0.47841505700081099</v>
      </c>
      <c r="ER44" s="3">
        <f ca="1">IFERROR(__xludf.DUMMYFUNCTION("""COMPUTED_VALUE"""),-0.346151777334115)</f>
        <v>-0.34615177733411501</v>
      </c>
      <c r="ES44" s="3">
        <f ca="1">IFERROR(__xludf.DUMMYFUNCTION("""COMPUTED_VALUE"""),-0.453814634057301)</f>
        <v>-0.45381463405730099</v>
      </c>
      <c r="ET44" s="3">
        <f ca="1">IFERROR(__xludf.DUMMYFUNCTION("""COMPUTED_VALUE"""),-0.551883630424171)</f>
        <v>-0.55188363042417099</v>
      </c>
      <c r="EU44" s="3">
        <f ca="1">IFERROR(__xludf.DUMMYFUNCTION("""COMPUTED_VALUE"""),-0.596859710196498)</f>
        <v>-0.59685971019649797</v>
      </c>
      <c r="EV44" s="3">
        <f ca="1">IFERROR(__xludf.DUMMYFUNCTION("""COMPUTED_VALUE"""),-0.384971170994045)</f>
        <v>-0.38497117099404499</v>
      </c>
      <c r="EW44" s="3">
        <f ca="1">IFERROR(__xludf.DUMMYFUNCTION("""COMPUTED_VALUE"""),-0.45558469359409)</f>
        <v>-0.45558469359408998</v>
      </c>
      <c r="EX44" s="3">
        <f ca="1">IFERROR(__xludf.DUMMYFUNCTION("""COMPUTED_VALUE"""),-0.458913912018801)</f>
        <v>-0.458913912018801</v>
      </c>
      <c r="EY44" s="3">
        <f ca="1">IFERROR(__xludf.DUMMYFUNCTION("""COMPUTED_VALUE"""),-0.366420326167303)</f>
        <v>-0.36642032616730302</v>
      </c>
      <c r="EZ44" s="3">
        <f ca="1">IFERROR(__xludf.DUMMYFUNCTION("""COMPUTED_VALUE"""),-0.526860895078647)</f>
        <v>-0.52686089507864697</v>
      </c>
      <c r="FA44" s="3">
        <f ca="1">IFERROR(__xludf.DUMMYFUNCTION("""COMPUTED_VALUE"""),-0.564958093391942)</f>
        <v>-0.56495809339194203</v>
      </c>
      <c r="FB44" s="3">
        <f ca="1">IFERROR(__xludf.DUMMYFUNCTION("""COMPUTED_VALUE"""),-0.529970734971728)</f>
        <v>-0.52997073497172797</v>
      </c>
      <c r="FC44" s="3">
        <f ca="1">IFERROR(__xludf.DUMMYFUNCTION("""COMPUTED_VALUE"""),-0.318129520527581)</f>
        <v>-0.31812952052758098</v>
      </c>
      <c r="FD44" s="3">
        <f ca="1">IFERROR(__xludf.DUMMYFUNCTION("""COMPUTED_VALUE"""),-0.516464439390999)</f>
        <v>-0.51646443939099895</v>
      </c>
      <c r="FE44" s="3">
        <f ca="1">IFERROR(__xludf.DUMMYFUNCTION("""COMPUTED_VALUE"""),-0.532702956860841)</f>
        <v>-0.53270295686084101</v>
      </c>
      <c r="FF44" s="3">
        <f ca="1">IFERROR(__xludf.DUMMYFUNCTION("""COMPUTED_VALUE"""),-0.491215017095992)</f>
        <v>-0.49121501709599202</v>
      </c>
      <c r="FG44" s="3">
        <f ca="1">IFERROR(__xludf.DUMMYFUNCTION("""COMPUTED_VALUE"""),-0.439693517481397)</f>
        <v>-0.43969351748139701</v>
      </c>
      <c r="FH44" s="3">
        <f ca="1">IFERROR(__xludf.DUMMYFUNCTION("""COMPUTED_VALUE"""),-0.612683950844918)</f>
        <v>-0.612683950844918</v>
      </c>
      <c r="FI44" s="3">
        <f ca="1">IFERROR(__xludf.DUMMYFUNCTION("""COMPUTED_VALUE"""),-0.659599109180341)</f>
        <v>-0.65959910918034104</v>
      </c>
      <c r="FJ44" s="3">
        <f ca="1">IFERROR(__xludf.DUMMYFUNCTION("""COMPUTED_VALUE"""),-0.460287021411556)</f>
        <v>-0.46028702141155597</v>
      </c>
      <c r="FK44" s="3">
        <f ca="1">IFERROR(__xludf.DUMMYFUNCTION("""COMPUTED_VALUE"""),-0.596048995879423)</f>
        <v>-0.59604899587942295</v>
      </c>
      <c r="FL44" s="3">
        <f ca="1">IFERROR(__xludf.DUMMYFUNCTION("""COMPUTED_VALUE"""),-0.58347121741562)</f>
        <v>-0.58347121741562002</v>
      </c>
      <c r="FM44" s="3">
        <f ca="1">IFERROR(__xludf.DUMMYFUNCTION("""COMPUTED_VALUE"""),-0.564926261218848)</f>
        <v>-0.56492626121884804</v>
      </c>
      <c r="FN44" s="3">
        <f ca="1">IFERROR(__xludf.DUMMYFUNCTION("""COMPUTED_VALUE"""),-0.505885368493707)</f>
        <v>-0.50588536849370702</v>
      </c>
      <c r="FO44" s="3">
        <f ca="1">IFERROR(__xludf.DUMMYFUNCTION("""COMPUTED_VALUE"""),-0.703700603219048)</f>
        <v>-0.70370060321904804</v>
      </c>
      <c r="FP44" s="3">
        <f ca="1">IFERROR(__xludf.DUMMYFUNCTION("""COMPUTED_VALUE"""),-0.45726358094962)</f>
        <v>-0.45726358094962</v>
      </c>
      <c r="FQ44" s="3">
        <f ca="1">IFERROR(__xludf.DUMMYFUNCTION("""COMPUTED_VALUE"""),-0.547246469244755)</f>
        <v>-0.54724646924475495</v>
      </c>
      <c r="FR44" s="3">
        <f ca="1">IFERROR(__xludf.DUMMYFUNCTION("""COMPUTED_VALUE"""),-0.621590062720952)</f>
        <v>-0.62159006272095196</v>
      </c>
      <c r="FS44" s="3">
        <f ca="1">IFERROR(__xludf.DUMMYFUNCTION("""COMPUTED_VALUE"""),-0.522546437965164)</f>
        <v>-0.52254643796516398</v>
      </c>
      <c r="FT44" s="3">
        <f ca="1">IFERROR(__xludf.DUMMYFUNCTION("""COMPUTED_VALUE"""),-0.563654029324224)</f>
        <v>-0.56365402932422404</v>
      </c>
      <c r="FU44" s="3">
        <f ca="1">IFERROR(__xludf.DUMMYFUNCTION("""COMPUTED_VALUE"""),-0.591806187572282)</f>
        <v>-0.59180618757228198</v>
      </c>
      <c r="FV44" s="3">
        <f ca="1">IFERROR(__xludf.DUMMYFUNCTION("""COMPUTED_VALUE"""),-0.601499504472537)</f>
        <v>-0.60149950447253697</v>
      </c>
      <c r="FW44" s="3">
        <f ca="1">IFERROR(__xludf.DUMMYFUNCTION("""COMPUTED_VALUE"""),-0.541969431945708)</f>
        <v>-0.54196943194570801</v>
      </c>
      <c r="FX44" s="3">
        <f ca="1">IFERROR(__xludf.DUMMYFUNCTION("""COMPUTED_VALUE"""),-0.53120996443807)</f>
        <v>-0.53120996443807</v>
      </c>
      <c r="FY44" s="3">
        <f ca="1">IFERROR(__xludf.DUMMYFUNCTION("""COMPUTED_VALUE"""),-0.579075431721031)</f>
        <v>-0.57907543172103104</v>
      </c>
      <c r="FZ44" s="3">
        <f ca="1">IFERROR(__xludf.DUMMYFUNCTION("""COMPUTED_VALUE"""),-0.613193966208704)</f>
        <v>-0.61319396620870403</v>
      </c>
      <c r="GA44" s="3">
        <f ca="1">IFERROR(__xludf.DUMMYFUNCTION("""COMPUTED_VALUE"""),-0.534510326961045)</f>
        <v>-0.53451032696104495</v>
      </c>
      <c r="GB44" s="3">
        <f ca="1">IFERROR(__xludf.DUMMYFUNCTION("""COMPUTED_VALUE"""),-0.595184560230795)</f>
        <v>-0.59518456023079502</v>
      </c>
      <c r="GC44" s="3">
        <f ca="1">IFERROR(__xludf.DUMMYFUNCTION("""COMPUTED_VALUE"""),-0.574380351872947)</f>
        <v>-0.574380351872947</v>
      </c>
      <c r="GD44" s="3">
        <f ca="1">IFERROR(__xludf.DUMMYFUNCTION("""COMPUTED_VALUE"""),-0.624048208355096)</f>
        <v>-0.624048208355096</v>
      </c>
      <c r="GE44" s="3">
        <f ca="1">IFERROR(__xludf.DUMMYFUNCTION("""COMPUTED_VALUE"""),-0.619220371053348)</f>
        <v>-0.61922037105334804</v>
      </c>
      <c r="GF44" s="3">
        <f ca="1">IFERROR(__xludf.DUMMYFUNCTION("""COMPUTED_VALUE"""),-0.68685173653883)</f>
        <v>-0.68685173653883003</v>
      </c>
      <c r="GG44" s="3">
        <f ca="1">IFERROR(__xludf.DUMMYFUNCTION("""COMPUTED_VALUE"""),-0.666753656697264)</f>
        <v>-0.66675365669726405</v>
      </c>
      <c r="GH44" s="3">
        <f ca="1">IFERROR(__xludf.DUMMYFUNCTION("""COMPUTED_VALUE"""),-0.576608607077207)</f>
        <v>-0.57660860707720696</v>
      </c>
      <c r="GI44" s="3">
        <f ca="1">IFERROR(__xludf.DUMMYFUNCTION("""COMPUTED_VALUE"""),-0.617270455339848)</f>
        <v>-0.61727045533984803</v>
      </c>
      <c r="GJ44" s="3">
        <f ca="1">IFERROR(__xludf.DUMMYFUNCTION("""COMPUTED_VALUE"""),-0.62276616639985)</f>
        <v>-0.62276616639985005</v>
      </c>
      <c r="GK44" s="3">
        <f ca="1">IFERROR(__xludf.DUMMYFUNCTION("""COMPUTED_VALUE"""),-0.623231890042108)</f>
        <v>-0.62323189004210799</v>
      </c>
      <c r="GL44" s="3">
        <f ca="1">IFERROR(__xludf.DUMMYFUNCTION("""COMPUTED_VALUE"""),-0.712342453740451)</f>
        <v>-0.71234245374045102</v>
      </c>
      <c r="GM44" s="3">
        <f ca="1">IFERROR(__xludf.DUMMYFUNCTION("""COMPUTED_VALUE"""),-0.604426814705715)</f>
        <v>-0.60442681470571502</v>
      </c>
      <c r="GN44" s="3">
        <f ca="1">IFERROR(__xludf.DUMMYFUNCTION("""COMPUTED_VALUE"""),-0.642007647132344)</f>
        <v>-0.64200764713234404</v>
      </c>
      <c r="GO44" s="3">
        <f ca="1">IFERROR(__xludf.DUMMYFUNCTION("""COMPUTED_VALUE"""),-0.638012768735285)</f>
        <v>-0.63801276873528501</v>
      </c>
      <c r="GP44" s="3">
        <f ca="1">IFERROR(__xludf.DUMMYFUNCTION("""COMPUTED_VALUE"""),-0.563280208619135)</f>
        <v>-0.56328020861913497</v>
      </c>
      <c r="GQ44" s="3">
        <f ca="1">IFERROR(__xludf.DUMMYFUNCTION("""COMPUTED_VALUE"""),-0.615442009815446)</f>
        <v>-0.61544200981544595</v>
      </c>
      <c r="GR44" s="3">
        <f ca="1">IFERROR(__xludf.DUMMYFUNCTION("""COMPUTED_VALUE"""),-0.607283149155013)</f>
        <v>-0.60728314915501302</v>
      </c>
      <c r="GS44" s="3">
        <f ca="1">IFERROR(__xludf.DUMMYFUNCTION("""COMPUTED_VALUE"""),-0.557201348315198)</f>
        <v>-0.55720134831519796</v>
      </c>
      <c r="GT44" s="3">
        <f ca="1">IFERROR(__xludf.DUMMYFUNCTION("""COMPUTED_VALUE"""),-0.656519832018434)</f>
        <v>-0.656519832018434</v>
      </c>
      <c r="GU44" s="3">
        <f ca="1">IFERROR(__xludf.DUMMYFUNCTION("""COMPUTED_VALUE"""),-0.625009362846268)</f>
        <v>-0.62500936284626796</v>
      </c>
      <c r="GV44" s="3">
        <f ca="1">IFERROR(__xludf.DUMMYFUNCTION("""COMPUTED_VALUE"""),-0.7072422608251)</f>
        <v>-0.7072422608251</v>
      </c>
      <c r="GW44" s="3">
        <f ca="1">IFERROR(__xludf.DUMMYFUNCTION("""COMPUTED_VALUE"""),-0.616955487094131)</f>
        <v>-0.61695548709413095</v>
      </c>
      <c r="GX44" s="3">
        <f ca="1">IFERROR(__xludf.DUMMYFUNCTION("""COMPUTED_VALUE"""),-0.608912677027533)</f>
        <v>-0.60891267702753304</v>
      </c>
      <c r="GY44" s="3">
        <f ca="1">IFERROR(__xludf.DUMMYFUNCTION("""COMPUTED_VALUE"""),-0.567676614105161)</f>
        <v>-0.56767661410516101</v>
      </c>
      <c r="GZ44" s="3">
        <f ca="1">IFERROR(__xludf.DUMMYFUNCTION("""COMPUTED_VALUE"""),-0.506341128734551)</f>
        <v>-0.50634112873455095</v>
      </c>
      <c r="HA44" s="3">
        <f ca="1">IFERROR(__xludf.DUMMYFUNCTION("""COMPUTED_VALUE"""),-0.686365920858017)</f>
        <v>-0.68636592085801695</v>
      </c>
      <c r="HB44" s="3">
        <f ca="1">IFERROR(__xludf.DUMMYFUNCTION("""COMPUTED_VALUE"""),-0.63683665723625)</f>
        <v>-0.63683665723625005</v>
      </c>
      <c r="HC44" s="3">
        <f ca="1">IFERROR(__xludf.DUMMYFUNCTION("""COMPUTED_VALUE"""),-0.633895727784502)</f>
        <v>-0.63389572778450198</v>
      </c>
      <c r="HD44" s="3">
        <f ca="1">IFERROR(__xludf.DUMMYFUNCTION("""COMPUTED_VALUE"""),-0.656019950752449)</f>
        <v>-0.65601995075244901</v>
      </c>
      <c r="HE44" s="3">
        <f ca="1">IFERROR(__xludf.DUMMYFUNCTION("""COMPUTED_VALUE"""),-0.623999779668946)</f>
        <v>-0.62399977966894604</v>
      </c>
      <c r="HF44" s="3">
        <f ca="1">IFERROR(__xludf.DUMMYFUNCTION("""COMPUTED_VALUE"""),-0.523025771884229)</f>
        <v>-0.52302577188422905</v>
      </c>
      <c r="HG44" s="3">
        <f ca="1">IFERROR(__xludf.DUMMYFUNCTION("""COMPUTED_VALUE"""),-0.656532721164563)</f>
        <v>-0.65653272116456296</v>
      </c>
      <c r="HH44" s="3">
        <f ca="1">IFERROR(__xludf.DUMMYFUNCTION("""COMPUTED_VALUE"""),-0.738794692103785)</f>
        <v>-0.73879469210378501</v>
      </c>
      <c r="HI44" s="3">
        <f ca="1">IFERROR(__xludf.DUMMYFUNCTION("""COMPUTED_VALUE"""),-0.682901264968249)</f>
        <v>-0.68290126496824899</v>
      </c>
      <c r="HJ44" s="3">
        <f ca="1">IFERROR(__xludf.DUMMYFUNCTION("""COMPUTED_VALUE"""),-0.704534959627715)</f>
        <v>-0.70453495962771495</v>
      </c>
      <c r="HK44" s="3">
        <f ca="1">IFERROR(__xludf.DUMMYFUNCTION("""COMPUTED_VALUE"""),-0.675510245351458)</f>
        <v>-0.67551024535145798</v>
      </c>
      <c r="HL44" s="3">
        <f ca="1">IFERROR(__xludf.DUMMYFUNCTION("""COMPUTED_VALUE"""),-0.623989900740882)</f>
        <v>-0.62398990074088201</v>
      </c>
      <c r="HM44" s="3">
        <f ca="1">IFERROR(__xludf.DUMMYFUNCTION("""COMPUTED_VALUE"""),-0.521471722872749)</f>
        <v>-0.52147172287274901</v>
      </c>
      <c r="HN44" s="3">
        <f ca="1">IFERROR(__xludf.DUMMYFUNCTION("""COMPUTED_VALUE"""),-0.621132776033061)</f>
        <v>-0.62113277603306105</v>
      </c>
      <c r="HO44" s="3">
        <f ca="1">IFERROR(__xludf.DUMMYFUNCTION("""COMPUTED_VALUE"""),-0.65482960416606)</f>
        <v>-0.65482960416605995</v>
      </c>
      <c r="HP44" s="3">
        <f ca="1">IFERROR(__xludf.DUMMYFUNCTION("""COMPUTED_VALUE"""),-0.634137038904716)</f>
        <v>-0.63413703890471596</v>
      </c>
      <c r="HQ44" s="3">
        <f ca="1">IFERROR(__xludf.DUMMYFUNCTION("""COMPUTED_VALUE"""),-0.636777758441783)</f>
        <v>-0.63677775844178297</v>
      </c>
      <c r="HR44" s="3">
        <f ca="1">IFERROR(__xludf.DUMMYFUNCTION("""COMPUTED_VALUE"""),-0.62897899988093)</f>
        <v>-0.62897899988092998</v>
      </c>
      <c r="HS44" s="3">
        <f ca="1">IFERROR(__xludf.DUMMYFUNCTION("""COMPUTED_VALUE"""),-0.638432541451067)</f>
        <v>-0.63843254145106698</v>
      </c>
      <c r="HT44" s="3">
        <f ca="1">IFERROR(__xludf.DUMMYFUNCTION("""COMPUTED_VALUE"""),-0.541688119734766)</f>
        <v>-0.54168811973476605</v>
      </c>
      <c r="HU44" s="3">
        <f ca="1">IFERROR(__xludf.DUMMYFUNCTION("""COMPUTED_VALUE"""),-0.604391404547681)</f>
        <v>-0.60439140454768103</v>
      </c>
      <c r="HV44" s="3">
        <f ca="1">IFERROR(__xludf.DUMMYFUNCTION("""COMPUTED_VALUE"""),-0.618376360589023)</f>
        <v>-0.61837636058902301</v>
      </c>
      <c r="HW44" s="3">
        <f ca="1">IFERROR(__xludf.DUMMYFUNCTION("""COMPUTED_VALUE"""),-0.525872283289324)</f>
        <v>-0.52587228328932401</v>
      </c>
      <c r="HX44" s="3">
        <f ca="1">IFERROR(__xludf.DUMMYFUNCTION("""COMPUTED_VALUE"""),-0.50381276975059)</f>
        <v>-0.50381276975058997</v>
      </c>
      <c r="HY44" s="3">
        <f ca="1">IFERROR(__xludf.DUMMYFUNCTION("""COMPUTED_VALUE"""),-0.54508663642401)</f>
        <v>-0.54508663642401001</v>
      </c>
      <c r="HZ44" s="3">
        <f ca="1">IFERROR(__xludf.DUMMYFUNCTION("""COMPUTED_VALUE"""),-0.406178490978332)</f>
        <v>-0.40617849097833197</v>
      </c>
      <c r="IA44" s="3">
        <f ca="1">IFERROR(__xludf.DUMMYFUNCTION("""COMPUTED_VALUE"""),-0.552547711848055)</f>
        <v>-0.55254771184805496</v>
      </c>
      <c r="IB44" s="3">
        <f ca="1">IFERROR(__xludf.DUMMYFUNCTION("""COMPUTED_VALUE"""),-0.477293896782698)</f>
        <v>-0.47729389678269801</v>
      </c>
      <c r="IC44" s="3">
        <f ca="1">IFERROR(__xludf.DUMMYFUNCTION("""COMPUTED_VALUE"""),-0.485172574531368)</f>
        <v>-0.48517257453136797</v>
      </c>
      <c r="ID44" s="3">
        <f ca="1">IFERROR(__xludf.DUMMYFUNCTION("""COMPUTED_VALUE"""),-0.485653443521305)</f>
        <v>-0.48565344352130502</v>
      </c>
      <c r="IE44" s="3">
        <f ca="1">IFERROR(__xludf.DUMMYFUNCTION("""COMPUTED_VALUE"""),-0.510784802459467)</f>
        <v>-0.510784802459467</v>
      </c>
      <c r="IF44" s="3">
        <f ca="1">IFERROR(__xludf.DUMMYFUNCTION("""COMPUTED_VALUE"""),-0.440579583407937)</f>
        <v>-0.44057958340793701</v>
      </c>
      <c r="IG44" s="3">
        <f ca="1">IFERROR(__xludf.DUMMYFUNCTION("""COMPUTED_VALUE"""),-0.56387911785623)</f>
        <v>-0.56387911785623002</v>
      </c>
      <c r="IH44" s="3">
        <f ca="1">IFERROR(__xludf.DUMMYFUNCTION("""COMPUTED_VALUE"""),-0.40423025219833)</f>
        <v>-0.40423025219832998</v>
      </c>
      <c r="II44" s="3">
        <f ca="1">IFERROR(__xludf.DUMMYFUNCTION("""COMPUTED_VALUE"""),-0.48048239187304)</f>
        <v>-0.48048239187303998</v>
      </c>
      <c r="IJ44" s="3">
        <f ca="1">IFERROR(__xludf.DUMMYFUNCTION("""COMPUTED_VALUE"""),-0.482629144480991)</f>
        <v>-0.48262914448099098</v>
      </c>
      <c r="IK44" s="3">
        <f ca="1">IFERROR(__xludf.DUMMYFUNCTION("""COMPUTED_VALUE"""),-0.403499494990803)</f>
        <v>-0.40349949499080301</v>
      </c>
      <c r="IL44" s="3">
        <f ca="1">IFERROR(__xludf.DUMMYFUNCTION("""COMPUTED_VALUE"""),-0.331297948040701)</f>
        <v>-0.33129794804070101</v>
      </c>
      <c r="IM44" s="3">
        <f ca="1">IFERROR(__xludf.DUMMYFUNCTION("""COMPUTED_VALUE"""),-0.408867174478448)</f>
        <v>-0.408867174478448</v>
      </c>
      <c r="IN44" s="3">
        <f ca="1">IFERROR(__xludf.DUMMYFUNCTION("""COMPUTED_VALUE"""),-0.406521557934221)</f>
        <v>-0.40652155793422101</v>
      </c>
      <c r="IO44" s="3">
        <f ca="1">IFERROR(__xludf.DUMMYFUNCTION("""COMPUTED_VALUE"""),-0.348605636701571)</f>
        <v>-0.34860563670157102</v>
      </c>
      <c r="IP44" s="3">
        <f ca="1">IFERROR(__xludf.DUMMYFUNCTION("""COMPUTED_VALUE"""),-0.324208475169687)</f>
        <v>-0.32420847516968698</v>
      </c>
      <c r="IQ44" s="3">
        <f ca="1">IFERROR(__xludf.DUMMYFUNCTION("""COMPUTED_VALUE"""),-0.33172402759094)</f>
        <v>-0.33172402759094</v>
      </c>
      <c r="IR44" s="3">
        <f ca="1">IFERROR(__xludf.DUMMYFUNCTION("""COMPUTED_VALUE"""),-0.336111998981215)</f>
        <v>-0.33611199898121502</v>
      </c>
      <c r="IS44" s="3">
        <f ca="1">IFERROR(__xludf.DUMMYFUNCTION("""COMPUTED_VALUE"""),-0.467856438854525)</f>
        <v>-0.46785643885452499</v>
      </c>
      <c r="IT44" s="3">
        <f ca="1">IFERROR(__xludf.DUMMYFUNCTION("""COMPUTED_VALUE"""),-0.282532947644312)</f>
        <v>-0.28253294764431203</v>
      </c>
      <c r="IU44" s="3">
        <f ca="1">IFERROR(__xludf.DUMMYFUNCTION("""COMPUTED_VALUE"""),-0.342686430355284)</f>
        <v>-0.34268643035528401</v>
      </c>
      <c r="IV44" s="3">
        <f ca="1">IFERROR(__xludf.DUMMYFUNCTION("""COMPUTED_VALUE"""),-0.247745717409751)</f>
        <v>-0.24774571740975099</v>
      </c>
      <c r="IW44" s="3">
        <f ca="1">IFERROR(__xludf.DUMMYFUNCTION("""COMPUTED_VALUE"""),-0.500549368637514)</f>
        <v>-0.50054936863751398</v>
      </c>
      <c r="IX44" s="3">
        <f ca="1">IFERROR(__xludf.DUMMYFUNCTION("""COMPUTED_VALUE"""),-0.380632458820624)</f>
        <v>-0.38063245882062402</v>
      </c>
      <c r="IY44" s="3">
        <f ca="1">IFERROR(__xludf.DUMMYFUNCTION("""COMPUTED_VALUE"""),-0.472083474090545)</f>
        <v>-0.47208347409054502</v>
      </c>
      <c r="IZ44" s="3">
        <f ca="1">IFERROR(__xludf.DUMMYFUNCTION("""COMPUTED_VALUE"""),-0.506088118606392)</f>
        <v>-0.50608811860639202</v>
      </c>
      <c r="JA44" s="3">
        <f ca="1">IFERROR(__xludf.DUMMYFUNCTION("""COMPUTED_VALUE"""),-0.390307923148437)</f>
        <v>-0.39030792314843699</v>
      </c>
      <c r="JB44" s="3">
        <f ca="1">IFERROR(__xludf.DUMMYFUNCTION("""COMPUTED_VALUE"""),-0.51130105849742)</f>
        <v>-0.51130105849742002</v>
      </c>
      <c r="JC44" s="3">
        <f ca="1">IFERROR(__xludf.DUMMYFUNCTION("""COMPUTED_VALUE"""),-0.353528394215876)</f>
        <v>-0.35352839421587601</v>
      </c>
      <c r="JD44" s="3">
        <f ca="1">IFERROR(__xludf.DUMMYFUNCTION("""COMPUTED_VALUE"""),-0.432185943137167)</f>
        <v>-0.43218594313716702</v>
      </c>
      <c r="JE44" s="3">
        <f ca="1">IFERROR(__xludf.DUMMYFUNCTION("""COMPUTED_VALUE"""),-0.50246639457349)</f>
        <v>-0.50246639457348996</v>
      </c>
      <c r="JF44" s="3">
        <f ca="1">IFERROR(__xludf.DUMMYFUNCTION("""COMPUTED_VALUE"""),-0.405861212690897)</f>
        <v>-0.40586121269089698</v>
      </c>
      <c r="JG44" s="3">
        <f ca="1">IFERROR(__xludf.DUMMYFUNCTION("""COMPUTED_VALUE"""),-0.530068360991736)</f>
        <v>-0.53006836099173604</v>
      </c>
      <c r="JH44" s="3">
        <f ca="1">IFERROR(__xludf.DUMMYFUNCTION("""COMPUTED_VALUE"""),-0.440260023359981)</f>
        <v>-0.44026002335998099</v>
      </c>
      <c r="JI44" s="3">
        <f ca="1">IFERROR(__xludf.DUMMYFUNCTION("""COMPUTED_VALUE"""),-0.427354694141356)</f>
        <v>-0.42735469414135602</v>
      </c>
      <c r="JJ44" s="3">
        <f ca="1">IFERROR(__xludf.DUMMYFUNCTION("""COMPUTED_VALUE"""),-0.317810190527974)</f>
        <v>-0.31781019052797399</v>
      </c>
      <c r="JK44" s="3">
        <f ca="1">IFERROR(__xludf.DUMMYFUNCTION("""COMPUTED_VALUE"""),-0.344292473527132)</f>
        <v>-0.34429247352713199</v>
      </c>
      <c r="JL44" s="3">
        <f ca="1">IFERROR(__xludf.DUMMYFUNCTION("""COMPUTED_VALUE"""),-0.391018433932187)</f>
        <v>-0.39101843393218699</v>
      </c>
      <c r="JM44" s="3">
        <f ca="1">IFERROR(__xludf.DUMMYFUNCTION("""COMPUTED_VALUE"""),-0.404169294894027)</f>
        <v>-0.40416929489402698</v>
      </c>
      <c r="JN44" s="3">
        <f ca="1">IFERROR(__xludf.DUMMYFUNCTION("""COMPUTED_VALUE"""),-0.383055133099658)</f>
        <v>-0.383055133099658</v>
      </c>
      <c r="JO44" s="3">
        <f ca="1">IFERROR(__xludf.DUMMYFUNCTION("""COMPUTED_VALUE"""),-0.418034197829871)</f>
        <v>-0.418034197829871</v>
      </c>
      <c r="JP44" s="3">
        <f ca="1">IFERROR(__xludf.DUMMYFUNCTION("""COMPUTED_VALUE"""),-0.433056153083377)</f>
        <v>-0.43305615308337703</v>
      </c>
      <c r="JQ44" s="3">
        <f ca="1">IFERROR(__xludf.DUMMYFUNCTION("""COMPUTED_VALUE"""),-0.468591890121181)</f>
        <v>-0.46859189012118102</v>
      </c>
      <c r="JR44" s="3">
        <f ca="1">IFERROR(__xludf.DUMMYFUNCTION("""COMPUTED_VALUE"""),-0.54671376113365)</f>
        <v>-0.54671376113365</v>
      </c>
      <c r="JS44" s="3">
        <f ca="1">IFERROR(__xludf.DUMMYFUNCTION("""COMPUTED_VALUE"""),-0.476256064253736)</f>
        <v>-0.47625606425373601</v>
      </c>
      <c r="JT44" s="3">
        <f ca="1">IFERROR(__xludf.DUMMYFUNCTION("""COMPUTED_VALUE"""),-0.371385796306566)</f>
        <v>-0.37138579630656599</v>
      </c>
      <c r="JU44" s="3">
        <f ca="1">IFERROR(__xludf.DUMMYFUNCTION("""COMPUTED_VALUE"""),-0.405922004230648)</f>
        <v>-0.405922004230648</v>
      </c>
      <c r="JV44" s="3">
        <f ca="1">IFERROR(__xludf.DUMMYFUNCTION("""COMPUTED_VALUE"""),-0.342054366976904)</f>
        <v>-0.342054366976904</v>
      </c>
      <c r="JW44" s="3">
        <f ca="1">IFERROR(__xludf.DUMMYFUNCTION("""COMPUTED_VALUE"""),-0.479325998900799)</f>
        <v>-0.47932599890079902</v>
      </c>
      <c r="JX44" s="3">
        <f ca="1">IFERROR(__xludf.DUMMYFUNCTION("""COMPUTED_VALUE"""),-0.557018231756201)</f>
        <v>-0.55701823175620102</v>
      </c>
      <c r="JY44" s="3">
        <f ca="1">IFERROR(__xludf.DUMMYFUNCTION("""COMPUTED_VALUE"""),-0.510807123487788)</f>
        <v>-0.51080712348778801</v>
      </c>
      <c r="JZ44" s="3">
        <f ca="1">IFERROR(__xludf.DUMMYFUNCTION("""COMPUTED_VALUE"""),-0.452124094387665)</f>
        <v>-0.45212409438766499</v>
      </c>
      <c r="KA44" s="3">
        <f ca="1">IFERROR(__xludf.DUMMYFUNCTION("""COMPUTED_VALUE"""),-0.319304138677319)</f>
        <v>-0.31930413867731899</v>
      </c>
      <c r="KB44" s="3">
        <f ca="1">IFERROR(__xludf.DUMMYFUNCTION("""COMPUTED_VALUE"""),-0.37434628104732)</f>
        <v>-0.37434628104731998</v>
      </c>
      <c r="KC44" s="3">
        <f ca="1">IFERROR(__xludf.DUMMYFUNCTION("""COMPUTED_VALUE"""),-0.400900363007358)</f>
        <v>-0.40090036300735798</v>
      </c>
      <c r="KD44" s="3">
        <f ca="1">IFERROR(__xludf.DUMMYFUNCTION("""COMPUTED_VALUE"""),-0.465793491059216)</f>
        <v>-0.46579349105921602</v>
      </c>
      <c r="KE44" s="3">
        <f ca="1">IFERROR(__xludf.DUMMYFUNCTION("""COMPUTED_VALUE"""),-0.756525815354264)</f>
        <v>-0.756525815354264</v>
      </c>
      <c r="KF44" s="3">
        <f ca="1">IFERROR(__xludf.DUMMYFUNCTION("""COMPUTED_VALUE"""),-0.568726426425489)</f>
        <v>-0.56872642642548898</v>
      </c>
      <c r="KG44" s="3">
        <f ca="1">IFERROR(__xludf.DUMMYFUNCTION("""COMPUTED_VALUE"""),-0.405457908660786)</f>
        <v>-0.40545790866078601</v>
      </c>
      <c r="KH44" s="3">
        <f ca="1">IFERROR(__xludf.DUMMYFUNCTION("""COMPUTED_VALUE"""),-0.509619821109307)</f>
        <v>-0.50961982110930704</v>
      </c>
      <c r="KI44" s="3">
        <f ca="1">IFERROR(__xludf.DUMMYFUNCTION("""COMPUTED_VALUE"""),-0.459906493462641)</f>
        <v>-0.45990649346264101</v>
      </c>
      <c r="KJ44" s="3">
        <f ca="1">IFERROR(__xludf.DUMMYFUNCTION("""COMPUTED_VALUE"""),-0.397529460931589)</f>
        <v>-0.39752946093158897</v>
      </c>
      <c r="KK44" s="3">
        <f ca="1">IFERROR(__xludf.DUMMYFUNCTION("""COMPUTED_VALUE"""),-0.220516444104086)</f>
        <v>-0.220516444104086</v>
      </c>
      <c r="KL44" s="3">
        <f ca="1">IFERROR(__xludf.DUMMYFUNCTION("""COMPUTED_VALUE"""),-0.498956557480922)</f>
        <v>-0.49895655748092199</v>
      </c>
      <c r="KM44" s="3">
        <f ca="1">IFERROR(__xludf.DUMMYFUNCTION("""COMPUTED_VALUE"""),-0.410638955222283)</f>
        <v>-0.410638955222283</v>
      </c>
      <c r="KN44" s="3">
        <f ca="1">IFERROR(__xludf.DUMMYFUNCTION("""COMPUTED_VALUE"""),-0.391928913425155)</f>
        <v>-0.39192891342515501</v>
      </c>
      <c r="KO44" s="3">
        <f ca="1">IFERROR(__xludf.DUMMYFUNCTION("""COMPUTED_VALUE"""),-0.456793087895165)</f>
        <v>-0.45679308789516498</v>
      </c>
      <c r="KP44" s="3">
        <f ca="1">IFERROR(__xludf.DUMMYFUNCTION("""COMPUTED_VALUE"""),-0.533219298821636)</f>
        <v>-0.53321929882163599</v>
      </c>
      <c r="KQ44" s="3">
        <f ca="1">IFERROR(__xludf.DUMMYFUNCTION("""COMPUTED_VALUE"""),-0.415878270163694)</f>
        <v>-0.415878270163694</v>
      </c>
      <c r="KR44" s="3">
        <f ca="1">IFERROR(__xludf.DUMMYFUNCTION("""COMPUTED_VALUE"""),-0.476698120432245)</f>
        <v>-0.47669812043224502</v>
      </c>
      <c r="KS44" s="3">
        <f ca="1">IFERROR(__xludf.DUMMYFUNCTION("""COMPUTED_VALUE"""),-0.375614946038605)</f>
        <v>-0.37561494603860501</v>
      </c>
      <c r="KT44" s="3">
        <f ca="1">IFERROR(__xludf.DUMMYFUNCTION("""COMPUTED_VALUE"""),-0.534455729112352)</f>
        <v>-0.53445572911235195</v>
      </c>
      <c r="KU44" s="3">
        <f ca="1">IFERROR(__xludf.DUMMYFUNCTION("""COMPUTED_VALUE"""),-0.469282898970122)</f>
        <v>-0.46928289897012199</v>
      </c>
      <c r="KV44" s="3">
        <f ca="1">IFERROR(__xludf.DUMMYFUNCTION("""COMPUTED_VALUE"""),-0.38187847663754)</f>
        <v>-0.38187847663753999</v>
      </c>
      <c r="KW44" s="3">
        <f ca="1">IFERROR(__xludf.DUMMYFUNCTION("""COMPUTED_VALUE"""),-0.513428058030087)</f>
        <v>-0.51342805803008695</v>
      </c>
      <c r="KX44" s="3">
        <f ca="1">IFERROR(__xludf.DUMMYFUNCTION("""COMPUTED_VALUE"""),-0.617753207189457)</f>
        <v>-0.61775320718945703</v>
      </c>
      <c r="KY44" s="3">
        <f ca="1">IFERROR(__xludf.DUMMYFUNCTION("""COMPUTED_VALUE"""),-0.350001862616788)</f>
        <v>-0.35000186261678801</v>
      </c>
      <c r="KZ44" s="3">
        <f ca="1">IFERROR(__xludf.DUMMYFUNCTION("""COMPUTED_VALUE"""),-0.36488963887174)</f>
        <v>-0.36488963887173997</v>
      </c>
      <c r="LA44" s="3">
        <f ca="1">IFERROR(__xludf.DUMMYFUNCTION("""COMPUTED_VALUE"""),-0.41864408038196)</f>
        <v>-0.41864408038195999</v>
      </c>
      <c r="LB44" s="3">
        <f ca="1">IFERROR(__xludf.DUMMYFUNCTION("""COMPUTED_VALUE"""),-0.528809479737568)</f>
        <v>-0.52880947973756798</v>
      </c>
      <c r="LC44" s="3">
        <f ca="1">IFERROR(__xludf.DUMMYFUNCTION("""COMPUTED_VALUE"""),-0.401371263299413)</f>
        <v>-0.40137126329941297</v>
      </c>
      <c r="LD44" s="3">
        <f ca="1">IFERROR(__xludf.DUMMYFUNCTION("""COMPUTED_VALUE"""),-0.349567908639414)</f>
        <v>-0.349567908639414</v>
      </c>
      <c r="LE44" s="3">
        <f ca="1">IFERROR(__xludf.DUMMYFUNCTION("""COMPUTED_VALUE"""),-0.647040356917829)</f>
        <v>-0.64704035691782902</v>
      </c>
      <c r="LF44" s="3">
        <f ca="1">IFERROR(__xludf.DUMMYFUNCTION("""COMPUTED_VALUE"""),-0.326090890672957)</f>
        <v>-0.32609089067295699</v>
      </c>
      <c r="LG44" s="3">
        <f ca="1">IFERROR(__xludf.DUMMYFUNCTION("""COMPUTED_VALUE"""),-0.597919966664131)</f>
        <v>-0.59791996666413105</v>
      </c>
      <c r="LH44" s="3">
        <f ca="1">IFERROR(__xludf.DUMMYFUNCTION("""COMPUTED_VALUE"""),-0.474608502859022)</f>
        <v>-0.47460850285902201</v>
      </c>
      <c r="LI44" s="3">
        <f ca="1">IFERROR(__xludf.DUMMYFUNCTION("""COMPUTED_VALUE"""),-0.56071195758599)</f>
        <v>-0.56071195758599002</v>
      </c>
      <c r="LJ44" s="3">
        <f ca="1">IFERROR(__xludf.DUMMYFUNCTION("""COMPUTED_VALUE"""),-0.52596075197219)</f>
        <v>-0.52596075197219005</v>
      </c>
      <c r="LK44" s="3">
        <f ca="1">IFERROR(__xludf.DUMMYFUNCTION("""COMPUTED_VALUE"""),-0.669327849047557)</f>
        <v>-0.66932784904755704</v>
      </c>
      <c r="LL44" s="3">
        <f ca="1">IFERROR(__xludf.DUMMYFUNCTION("""COMPUTED_VALUE"""),-0.525926539463702)</f>
        <v>-0.52592653946370205</v>
      </c>
      <c r="LM44" s="3">
        <f ca="1">IFERROR(__xludf.DUMMYFUNCTION("""COMPUTED_VALUE"""),-0.465687916981038)</f>
        <v>-0.46568791698103801</v>
      </c>
      <c r="LN44" s="3">
        <f ca="1">IFERROR(__xludf.DUMMYFUNCTION("""COMPUTED_VALUE"""),-0.533468940710561)</f>
        <v>-0.53346894071056095</v>
      </c>
      <c r="LO44" s="3">
        <f ca="1">IFERROR(__xludf.DUMMYFUNCTION("""COMPUTED_VALUE"""),-0.683024474802922)</f>
        <v>-0.68302447480292205</v>
      </c>
      <c r="LP44" s="3">
        <f ca="1">IFERROR(__xludf.DUMMYFUNCTION("""COMPUTED_VALUE"""),-0.65081318400023)</f>
        <v>-0.65081318400023003</v>
      </c>
      <c r="LQ44" s="3">
        <f ca="1">IFERROR(__xludf.DUMMYFUNCTION("""COMPUTED_VALUE"""),-0.538442202507283)</f>
        <v>-0.53844220250728303</v>
      </c>
      <c r="LR44" s="3">
        <f ca="1">IFERROR(__xludf.DUMMYFUNCTION("""COMPUTED_VALUE"""),-0.592844774328997)</f>
        <v>-0.59284477432899696</v>
      </c>
      <c r="LS44" s="3">
        <f ca="1">IFERROR(__xludf.DUMMYFUNCTION("""COMPUTED_VALUE"""),-0.694636933841642)</f>
        <v>-0.69463693384164205</v>
      </c>
      <c r="LT44" s="3">
        <f ca="1">IFERROR(__xludf.DUMMYFUNCTION("""COMPUTED_VALUE"""),-0.442192532606387)</f>
        <v>-0.44219253260638702</v>
      </c>
      <c r="LU44" s="3">
        <f ca="1">IFERROR(__xludf.DUMMYFUNCTION("""COMPUTED_VALUE"""),-0.602085160065194)</f>
        <v>-0.60208516006519397</v>
      </c>
      <c r="LV44" s="3">
        <f ca="1">IFERROR(__xludf.DUMMYFUNCTION("""COMPUTED_VALUE"""),-0.700622571492428)</f>
        <v>-0.70062257149242801</v>
      </c>
      <c r="LW44" s="3">
        <f ca="1">IFERROR(__xludf.DUMMYFUNCTION("""COMPUTED_VALUE"""),-0.663775651606792)</f>
        <v>-0.66377565160679197</v>
      </c>
      <c r="LX44" s="3">
        <f ca="1">IFERROR(__xludf.DUMMYFUNCTION("""COMPUTED_VALUE"""),-0.74144586140033)</f>
        <v>-0.74144586140032998</v>
      </c>
      <c r="LY44" s="3">
        <f ca="1">IFERROR(__xludf.DUMMYFUNCTION("""COMPUTED_VALUE"""),-0.630790916687836)</f>
        <v>-0.63079091668783605</v>
      </c>
      <c r="LZ44" s="3">
        <f ca="1">IFERROR(__xludf.DUMMYFUNCTION("""COMPUTED_VALUE"""),-0.611322379684631)</f>
        <v>-0.61132237968463099</v>
      </c>
      <c r="MA44" s="3">
        <f ca="1">IFERROR(__xludf.DUMMYFUNCTION("""COMPUTED_VALUE"""),-0.705465146113106)</f>
        <v>-0.70546514611310596</v>
      </c>
      <c r="MB44" s="3">
        <f ca="1">IFERROR(__xludf.DUMMYFUNCTION("""COMPUTED_VALUE"""),-0.659297109973475)</f>
        <v>-0.65929710997347502</v>
      </c>
      <c r="MC44" s="3">
        <f ca="1">IFERROR(__xludf.DUMMYFUNCTION("""COMPUTED_VALUE"""),-0.676948197226588)</f>
        <v>-0.67694819722658806</v>
      </c>
      <c r="MD44" s="3">
        <f ca="1">IFERROR(__xludf.DUMMYFUNCTION("""COMPUTED_VALUE"""),-0.733102856457993)</f>
        <v>-0.733102856457993</v>
      </c>
      <c r="ME44" s="3">
        <f ca="1">IFERROR(__xludf.DUMMYFUNCTION("""COMPUTED_VALUE"""),-0.726820854451727)</f>
        <v>-0.72682085445172695</v>
      </c>
      <c r="MF44" s="3">
        <f ca="1">IFERROR(__xludf.DUMMYFUNCTION("""COMPUTED_VALUE"""),-0.630386717785073)</f>
        <v>-0.63038671778507305</v>
      </c>
      <c r="MG44" s="3">
        <f ca="1">IFERROR(__xludf.DUMMYFUNCTION("""COMPUTED_VALUE"""),-0.534888983219266)</f>
        <v>-0.53488898321926603</v>
      </c>
      <c r="MH44" s="3">
        <f ca="1">IFERROR(__xludf.DUMMYFUNCTION("""COMPUTED_VALUE"""),-0.48239477217665)</f>
        <v>-0.48239477217665</v>
      </c>
      <c r="MI44" s="3">
        <f ca="1">IFERROR(__xludf.DUMMYFUNCTION("""COMPUTED_VALUE"""),-0.597430619808765)</f>
        <v>-0.597430619808765</v>
      </c>
      <c r="MJ44" s="3">
        <f ca="1">IFERROR(__xludf.DUMMYFUNCTION("""COMPUTED_VALUE"""),-0.276317316839981)</f>
        <v>-0.27631731683998101</v>
      </c>
      <c r="MK44" s="3">
        <f ca="1">IFERROR(__xludf.DUMMYFUNCTION("""COMPUTED_VALUE"""),-0.444924631511183)</f>
        <v>-0.444924631511183</v>
      </c>
      <c r="ML44" s="3">
        <f ca="1">IFERROR(__xludf.DUMMYFUNCTION("""COMPUTED_VALUE"""),-0.45986369595123)</f>
        <v>-0.45986369595123</v>
      </c>
      <c r="MM44" s="3">
        <f ca="1">IFERROR(__xludf.DUMMYFUNCTION("""COMPUTED_VALUE"""),-0.687834918350611)</f>
        <v>-0.68783491835061095</v>
      </c>
      <c r="MN44" s="3">
        <f ca="1">IFERROR(__xludf.DUMMYFUNCTION("""COMPUTED_VALUE"""),-0.408100959929148)</f>
        <v>-0.40810095992914802</v>
      </c>
      <c r="MO44" s="3">
        <f ca="1">IFERROR(__xludf.DUMMYFUNCTION("""COMPUTED_VALUE"""),-0.440581621086107)</f>
        <v>-0.44058162108610699</v>
      </c>
      <c r="MP44" s="3">
        <f ca="1">IFERROR(__xludf.DUMMYFUNCTION("""COMPUTED_VALUE"""),-0.132326502765118)</f>
        <v>-0.13232650276511801</v>
      </c>
      <c r="MQ44" s="3">
        <f ca="1">IFERROR(__xludf.DUMMYFUNCTION("""COMPUTED_VALUE"""),-0.417432505222155)</f>
        <v>-0.41743250522215503</v>
      </c>
      <c r="MR44" s="3">
        <f ca="1">IFERROR(__xludf.DUMMYFUNCTION("""COMPUTED_VALUE"""),-0.506285357434144)</f>
        <v>-0.50628535743414405</v>
      </c>
      <c r="MS44" s="3">
        <f ca="1">IFERROR(__xludf.DUMMYFUNCTION("""COMPUTED_VALUE"""),-0.489162816268845)</f>
        <v>-0.489162816268845</v>
      </c>
      <c r="MT44" s="3">
        <f ca="1">IFERROR(__xludf.DUMMYFUNCTION("""COMPUTED_VALUE"""),-0.476344702546063)</f>
        <v>-0.47634470254606298</v>
      </c>
      <c r="MU44" s="3">
        <f ca="1">IFERROR(__xludf.DUMMYFUNCTION("""COMPUTED_VALUE"""),-0.440277209020583)</f>
        <v>-0.44027720902058298</v>
      </c>
      <c r="MV44" s="3">
        <f ca="1">IFERROR(__xludf.DUMMYFUNCTION("""COMPUTED_VALUE"""),-0.524089355542475)</f>
        <v>-0.52408935554247504</v>
      </c>
      <c r="MW44" s="3">
        <f ca="1">IFERROR(__xludf.DUMMYFUNCTION("""COMPUTED_VALUE"""),-0.451158884994776)</f>
        <v>-0.45115888499477602</v>
      </c>
      <c r="MX44" s="3">
        <f ca="1">IFERROR(__xludf.DUMMYFUNCTION("""COMPUTED_VALUE"""),-0.468818695236803)</f>
        <v>-0.46881869523680297</v>
      </c>
      <c r="MY44" s="3">
        <f ca="1">IFERROR(__xludf.DUMMYFUNCTION("""COMPUTED_VALUE"""),-0.620915519263746)</f>
        <v>-0.620915519263746</v>
      </c>
      <c r="MZ44" s="3">
        <f ca="1">IFERROR(__xludf.DUMMYFUNCTION("""COMPUTED_VALUE"""),-0.597294015485024)</f>
        <v>-0.59729401548502403</v>
      </c>
      <c r="NA44" s="3">
        <f ca="1">IFERROR(__xludf.DUMMYFUNCTION("""COMPUTED_VALUE"""),-0.667937567646554)</f>
        <v>-0.66793756764655399</v>
      </c>
      <c r="NB44" s="3">
        <f ca="1">IFERROR(__xludf.DUMMYFUNCTION("""COMPUTED_VALUE"""),-0.528655945053641)</f>
        <v>-0.528655945053641</v>
      </c>
      <c r="NC44" s="3">
        <f ca="1">IFERROR(__xludf.DUMMYFUNCTION("""COMPUTED_VALUE"""),-0.480127827465263)</f>
        <v>-0.480127827465263</v>
      </c>
      <c r="ND44" s="3">
        <f ca="1">IFERROR(__xludf.DUMMYFUNCTION("""COMPUTED_VALUE"""),-0.411725061256032)</f>
        <v>-0.41172506125603198</v>
      </c>
      <c r="NE44" s="3">
        <f ca="1">IFERROR(__xludf.DUMMYFUNCTION("""COMPUTED_VALUE"""),-0.54683714722392)</f>
        <v>-0.54683714722391996</v>
      </c>
      <c r="NF44" s="3">
        <f ca="1">IFERROR(__xludf.DUMMYFUNCTION("""COMPUTED_VALUE"""),-0.547724195751667)</f>
        <v>-0.54772419575166698</v>
      </c>
      <c r="NG44" s="3">
        <f ca="1">IFERROR(__xludf.DUMMYFUNCTION("""COMPUTED_VALUE"""),-0.49083678364118)</f>
        <v>-0.49083678364118</v>
      </c>
      <c r="NH44" s="3">
        <f ca="1">IFERROR(__xludf.DUMMYFUNCTION("""COMPUTED_VALUE"""),-0.32204074497412)</f>
        <v>-0.32204074497412</v>
      </c>
      <c r="NI44" s="3">
        <f ca="1">IFERROR(__xludf.DUMMYFUNCTION("""COMPUTED_VALUE"""),-0.359376943234195)</f>
        <v>-0.359376943234195</v>
      </c>
      <c r="NJ44" s="3">
        <f ca="1">IFERROR(__xludf.DUMMYFUNCTION("""COMPUTED_VALUE"""),-0.522867892951685)</f>
        <v>-0.52286789295168501</v>
      </c>
      <c r="NK44" s="3">
        <f ca="1">IFERROR(__xludf.DUMMYFUNCTION("""COMPUTED_VALUE"""),-0.256340639498283)</f>
        <v>-0.25634063949828301</v>
      </c>
      <c r="NL44" s="3">
        <f ca="1">IFERROR(__xludf.DUMMYFUNCTION("""COMPUTED_VALUE"""),-0.586194029450649)</f>
        <v>-0.58619402945064902</v>
      </c>
      <c r="NM44" s="3">
        <f ca="1">IFERROR(__xludf.DUMMYFUNCTION("""COMPUTED_VALUE"""),-0.505694263874909)</f>
        <v>-0.50569426387490901</v>
      </c>
      <c r="NN44" s="3">
        <f ca="1">IFERROR(__xludf.DUMMYFUNCTION("""COMPUTED_VALUE"""),-0.463587670581858)</f>
        <v>-0.46358767058185801</v>
      </c>
      <c r="NO44" s="3">
        <f ca="1">IFERROR(__xludf.DUMMYFUNCTION("""COMPUTED_VALUE"""),-0.654944169684383)</f>
        <v>-0.65494416968438296</v>
      </c>
      <c r="NP44" s="3">
        <f ca="1">IFERROR(__xludf.DUMMYFUNCTION("""COMPUTED_VALUE"""),-0.497060566814916)</f>
        <v>-0.49706056681491601</v>
      </c>
      <c r="NQ44" s="3">
        <f ca="1">IFERROR(__xludf.DUMMYFUNCTION("""COMPUTED_VALUE"""),-0.547361574079378)</f>
        <v>-0.54736157407937802</v>
      </c>
      <c r="NR44" s="3">
        <f ca="1">IFERROR(__xludf.DUMMYFUNCTION("""COMPUTED_VALUE"""),-0.487579725141879)</f>
        <v>-0.48757972514187897</v>
      </c>
      <c r="NS44" s="3">
        <f ca="1">IFERROR(__xludf.DUMMYFUNCTION("""COMPUTED_VALUE"""),-0.664288301445641)</f>
        <v>-0.66428830144564099</v>
      </c>
      <c r="NT44" s="3">
        <f ca="1">IFERROR(__xludf.DUMMYFUNCTION("""COMPUTED_VALUE"""),-0.666161757767637)</f>
        <v>-0.66616175776763698</v>
      </c>
      <c r="NU44" s="3">
        <f ca="1">IFERROR(__xludf.DUMMYFUNCTION("""COMPUTED_VALUE"""),-0.648649012526938)</f>
        <v>-0.64864901252693796</v>
      </c>
      <c r="NV44" s="3">
        <f ca="1">IFERROR(__xludf.DUMMYFUNCTION("""COMPUTED_VALUE"""),-0.622087144171442)</f>
        <v>-0.62208714417144195</v>
      </c>
      <c r="NW44" s="3">
        <f ca="1">IFERROR(__xludf.DUMMYFUNCTION("""COMPUTED_VALUE"""),-0.644590652650751)</f>
        <v>-0.64459065265075099</v>
      </c>
      <c r="NX44" s="3">
        <f ca="1">IFERROR(__xludf.DUMMYFUNCTION("""COMPUTED_VALUE"""),-0.656912380437834)</f>
        <v>-0.65691238043783395</v>
      </c>
      <c r="NY44" s="3">
        <f ca="1">IFERROR(__xludf.DUMMYFUNCTION("""COMPUTED_VALUE"""),-0.666991135539076)</f>
        <v>-0.66699113553907596</v>
      </c>
      <c r="NZ44" s="3">
        <f ca="1">IFERROR(__xludf.DUMMYFUNCTION("""COMPUTED_VALUE"""),-0.546861150925996)</f>
        <v>-0.54686115092599596</v>
      </c>
      <c r="OA44" s="3">
        <f ca="1">IFERROR(__xludf.DUMMYFUNCTION("""COMPUTED_VALUE"""),-0.553927988227314)</f>
        <v>-0.55392798822731404</v>
      </c>
      <c r="OB44" s="3">
        <f ca="1">IFERROR(__xludf.DUMMYFUNCTION("""COMPUTED_VALUE"""),-0.64334756691122)</f>
        <v>-0.64334756691121997</v>
      </c>
      <c r="OC44" s="3">
        <f ca="1">IFERROR(__xludf.DUMMYFUNCTION("""COMPUTED_VALUE"""),-0.57890490423024)</f>
        <v>-0.57890490423023999</v>
      </c>
      <c r="OD44" s="3">
        <f ca="1">IFERROR(__xludf.DUMMYFUNCTION("""COMPUTED_VALUE"""),-0.0762361563648305)</f>
        <v>-7.6236156364830499E-2</v>
      </c>
      <c r="OE44" s="3">
        <f ca="1">IFERROR(__xludf.DUMMYFUNCTION("""COMPUTED_VALUE"""),-0.336916772919369)</f>
        <v>-0.336916772919369</v>
      </c>
      <c r="OF44" s="3">
        <f ca="1">IFERROR(__xludf.DUMMYFUNCTION("""COMPUTED_VALUE"""),-0.177179041708599)</f>
        <v>-0.17717904170859899</v>
      </c>
      <c r="OG44" s="3">
        <f ca="1">IFERROR(__xludf.DUMMYFUNCTION("""COMPUTED_VALUE"""),-0.426341472511435)</f>
        <v>-0.426341472511435</v>
      </c>
      <c r="OH44" s="3">
        <f ca="1">IFERROR(__xludf.DUMMYFUNCTION("""COMPUTED_VALUE"""),-0.111724204782661)</f>
        <v>-0.111724204782661</v>
      </c>
      <c r="OI44" s="3">
        <f ca="1">IFERROR(__xludf.DUMMYFUNCTION("""COMPUTED_VALUE"""),-0.261954940291848)</f>
        <v>-0.26195494029184802</v>
      </c>
      <c r="OJ44" s="3">
        <f ca="1">IFERROR(__xludf.DUMMYFUNCTION("""COMPUTED_VALUE"""),-0.108149522387853)</f>
        <v>-0.108149522387853</v>
      </c>
      <c r="OK44" s="3">
        <f ca="1">IFERROR(__xludf.DUMMYFUNCTION("""COMPUTED_VALUE"""),0.0140046475887776)</f>
        <v>1.40046475887776E-2</v>
      </c>
      <c r="OL44" s="3">
        <f ca="1">IFERROR(__xludf.DUMMYFUNCTION("""COMPUTED_VALUE"""),-0.159961689974449)</f>
        <v>-0.15996168997444901</v>
      </c>
      <c r="OM44" s="3">
        <f ca="1">IFERROR(__xludf.DUMMYFUNCTION("""COMPUTED_VALUE"""),-0.0725653952277867)</f>
        <v>-7.2565395227786697E-2</v>
      </c>
      <c r="ON44" s="3">
        <f ca="1">IFERROR(__xludf.DUMMYFUNCTION("""COMPUTED_VALUE"""),-0.134588751926642)</f>
        <v>-0.13458875192664199</v>
      </c>
      <c r="OO44" s="3">
        <f ca="1">IFERROR(__xludf.DUMMYFUNCTION("""COMPUTED_VALUE"""),-0.32279715479895)</f>
        <v>-0.32279715479894999</v>
      </c>
      <c r="OP44" s="3">
        <f ca="1">IFERROR(__xludf.DUMMYFUNCTION("""COMPUTED_VALUE"""),-0.0788044891550635)</f>
        <v>-7.8804489155063495E-2</v>
      </c>
      <c r="OQ44" s="3">
        <f ca="1">IFERROR(__xludf.DUMMYFUNCTION("""COMPUTED_VALUE"""),0.0739113581561732)</f>
        <v>7.3911358156173196E-2</v>
      </c>
      <c r="OR44" s="3">
        <f ca="1">IFERROR(__xludf.DUMMYFUNCTION("""COMPUTED_VALUE"""),-0.132577932070958)</f>
        <v>-0.132577932070958</v>
      </c>
      <c r="OS44" s="3">
        <f ca="1">IFERROR(__xludf.DUMMYFUNCTION("""COMPUTED_VALUE"""),-0.0961781705423192)</f>
        <v>-9.6178170542319197E-2</v>
      </c>
      <c r="OT44" s="3">
        <f ca="1">IFERROR(__xludf.DUMMYFUNCTION("""COMPUTED_VALUE"""),0.119455658738617)</f>
        <v>0.11945565873861699</v>
      </c>
      <c r="OU44" s="3">
        <f ca="1">IFERROR(__xludf.DUMMYFUNCTION("""COMPUTED_VALUE"""),-0.0633641232344778)</f>
        <v>-6.3364123234477807E-2</v>
      </c>
      <c r="OV44" s="3">
        <f ca="1">IFERROR(__xludf.DUMMYFUNCTION("""COMPUTED_VALUE"""),-0.0972130885225303)</f>
        <v>-9.72130885225303E-2</v>
      </c>
      <c r="OW44" s="3">
        <f ca="1">IFERROR(__xludf.DUMMYFUNCTION("""COMPUTED_VALUE"""),-0.161368621926195)</f>
        <v>-0.161368621926195</v>
      </c>
      <c r="OX44" s="3">
        <f ca="1">IFERROR(__xludf.DUMMYFUNCTION("""COMPUTED_VALUE"""),-0.121678336283546)</f>
        <v>-0.121678336283546</v>
      </c>
      <c r="OY44" s="3">
        <f ca="1">IFERROR(__xludf.DUMMYFUNCTION("""COMPUTED_VALUE"""),-0.169990601579246)</f>
        <v>-0.169990601579246</v>
      </c>
      <c r="OZ44" s="3">
        <f ca="1">IFERROR(__xludf.DUMMYFUNCTION("""COMPUTED_VALUE"""),-0.147823559833574)</f>
        <v>-0.14782355983357401</v>
      </c>
      <c r="PA44" s="3">
        <f ca="1">IFERROR(__xludf.DUMMYFUNCTION("""COMPUTED_VALUE"""),0.120195153565116)</f>
        <v>0.12019515356511599</v>
      </c>
      <c r="PB44" s="3">
        <f ca="1">IFERROR(__xludf.DUMMYFUNCTION("""COMPUTED_VALUE"""),0.244715426849694)</f>
        <v>0.244715426849694</v>
      </c>
      <c r="PC44" s="3">
        <f ca="1">IFERROR(__xludf.DUMMYFUNCTION("""COMPUTED_VALUE"""),0.0108236197709343)</f>
        <v>1.08236197709343E-2</v>
      </c>
      <c r="PD44" s="3">
        <f ca="1">IFERROR(__xludf.DUMMYFUNCTION("""COMPUTED_VALUE"""),-0.0069293399773358)</f>
        <v>-6.9293399773357996E-3</v>
      </c>
      <c r="PE44" s="3">
        <f ca="1">IFERROR(__xludf.DUMMYFUNCTION("""COMPUTED_VALUE"""),0.0584892093376776)</f>
        <v>5.8489209337677601E-2</v>
      </c>
      <c r="PF44" s="3">
        <f ca="1">IFERROR(__xludf.DUMMYFUNCTION("""COMPUTED_VALUE"""),0.458567083727074)</f>
        <v>0.458567083727074</v>
      </c>
      <c r="PG44" s="3">
        <f ca="1">IFERROR(__xludf.DUMMYFUNCTION("""COMPUTED_VALUE"""),0.0965711370446003)</f>
        <v>9.6571137044600297E-2</v>
      </c>
      <c r="PH44" s="3">
        <f ca="1">IFERROR(__xludf.DUMMYFUNCTION("""COMPUTED_VALUE"""),0.36482774464571)</f>
        <v>0.36482774464570999</v>
      </c>
      <c r="PI44" s="3">
        <f ca="1">IFERROR(__xludf.DUMMYFUNCTION("""COMPUTED_VALUE"""),-0.087075307028402)</f>
        <v>-8.7075307028401994E-2</v>
      </c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</row>
    <row r="45" spans="1:477" ht="15.75" customHeight="1">
      <c r="A45" s="1" t="str">
        <f ca="1">IFERROR(__xludf.DUMMYFUNCTION("""COMPUTED_VALUE"""),"TCAT")</f>
        <v>TCAT</v>
      </c>
      <c r="B45" s="1" t="str">
        <f ca="1">IFERROR(__xludf.DUMMYFUNCTION("""COMPUTED_VALUE"""),"Ithaca")</f>
        <v>Ithaca</v>
      </c>
      <c r="C45" s="1" t="str">
        <f ca="1">IFERROR(__xludf.DUMMYFUNCTION("""COMPUTED_VALUE"""),"United States")</f>
        <v>United States</v>
      </c>
      <c r="D45" s="1" t="str">
        <f ca="1">IFERROR(__xludf.DUMMYFUNCTION("""COMPUTED_VALUE"""),"New York")</f>
        <v>New York</v>
      </c>
      <c r="E45" s="3">
        <f ca="1">IFERROR(__xludf.DUMMYFUNCTION("""COMPUTED_VALUE"""),-0.339591794800689)</f>
        <v>-0.33959179480068902</v>
      </c>
      <c r="F45" s="3">
        <f ca="1">IFERROR(__xludf.DUMMYFUNCTION("""COMPUTED_VALUE"""),-0.502195024573269)</f>
        <v>-0.50219502457326903</v>
      </c>
      <c r="G45" s="3">
        <f ca="1">IFERROR(__xludf.DUMMYFUNCTION("""COMPUTED_VALUE"""),-0.494003257513451)</f>
        <v>-0.49400325751345098</v>
      </c>
      <c r="H45" s="3">
        <f ca="1">IFERROR(__xludf.DUMMYFUNCTION("""COMPUTED_VALUE"""),-0.580360407841255)</f>
        <v>-0.58036040784125498</v>
      </c>
      <c r="I45" s="3">
        <f ca="1">IFERROR(__xludf.DUMMYFUNCTION("""COMPUTED_VALUE"""),-0.634691159678895)</f>
        <v>-0.634691159678895</v>
      </c>
      <c r="J45" s="3">
        <f ca="1">IFERROR(__xludf.DUMMYFUNCTION("""COMPUTED_VALUE"""),-0.556391150694597)</f>
        <v>-0.55639115069459699</v>
      </c>
      <c r="K45" s="3">
        <f ca="1">IFERROR(__xludf.DUMMYFUNCTION("""COMPUTED_VALUE"""),-0.42141314527235)</f>
        <v>-0.42141314527235002</v>
      </c>
      <c r="L45" s="3">
        <f ca="1">IFERROR(__xludf.DUMMYFUNCTION("""COMPUTED_VALUE"""),-0.382355856328078)</f>
        <v>-0.382355856328078</v>
      </c>
      <c r="M45" s="3">
        <f ca="1">IFERROR(__xludf.DUMMYFUNCTION("""COMPUTED_VALUE"""),-0.53410242712241)</f>
        <v>-0.53410242712240996</v>
      </c>
      <c r="N45" s="3">
        <f ca="1">IFERROR(__xludf.DUMMYFUNCTION("""COMPUTED_VALUE"""),-0.557440634226903)</f>
        <v>-0.55744063422690304</v>
      </c>
      <c r="O45" s="3">
        <f ca="1">IFERROR(__xludf.DUMMYFUNCTION("""COMPUTED_VALUE"""),-0.571722444178543)</f>
        <v>-0.57172244417854301</v>
      </c>
      <c r="P45" s="3">
        <f ca="1">IFERROR(__xludf.DUMMYFUNCTION("""COMPUTED_VALUE"""),-0.654539449805695)</f>
        <v>-0.65453944980569501</v>
      </c>
      <c r="Q45" s="3">
        <f ca="1">IFERROR(__xludf.DUMMYFUNCTION("""COMPUTED_VALUE"""),-0.57291872297353)</f>
        <v>-0.57291872297352997</v>
      </c>
      <c r="R45" s="3">
        <f ca="1">IFERROR(__xludf.DUMMYFUNCTION("""COMPUTED_VALUE"""),-0.484151740673526)</f>
        <v>-0.48415174067352601</v>
      </c>
      <c r="S45" s="3">
        <f ca="1">IFERROR(__xludf.DUMMYFUNCTION("""COMPUTED_VALUE"""),-0.393561454299472)</f>
        <v>-0.39356145429947198</v>
      </c>
      <c r="T45" s="3">
        <f ca="1">IFERROR(__xludf.DUMMYFUNCTION("""COMPUTED_VALUE"""),-0.583347222250408)</f>
        <v>-0.58334722225040803</v>
      </c>
      <c r="U45" s="3">
        <f ca="1">IFERROR(__xludf.DUMMYFUNCTION("""COMPUTED_VALUE"""),-0.629697561986039)</f>
        <v>-0.62969756198603899</v>
      </c>
      <c r="V45" s="3">
        <f ca="1">IFERROR(__xludf.DUMMYFUNCTION("""COMPUTED_VALUE"""),-0.643571252959354)</f>
        <v>-0.64357125295935402</v>
      </c>
      <c r="W45" s="3">
        <f ca="1">IFERROR(__xludf.DUMMYFUNCTION("""COMPUTED_VALUE"""),-0.730662670208455)</f>
        <v>-0.73066267020845499</v>
      </c>
      <c r="X45" s="3">
        <f ca="1">IFERROR(__xludf.DUMMYFUNCTION("""COMPUTED_VALUE"""),-0.719474372675079)</f>
        <v>-0.71947437267507897</v>
      </c>
      <c r="Y45" s="3">
        <f ca="1">IFERROR(__xludf.DUMMYFUNCTION("""COMPUTED_VALUE"""),-0.613024735115064)</f>
        <v>-0.61302473511506395</v>
      </c>
      <c r="Z45" s="3">
        <f ca="1">IFERROR(__xludf.DUMMYFUNCTION("""COMPUTED_VALUE"""),-0.515628747610378)</f>
        <v>-0.51562874761037802</v>
      </c>
      <c r="AA45" s="3">
        <f ca="1">IFERROR(__xludf.DUMMYFUNCTION("""COMPUTED_VALUE"""),-0.732176605188789)</f>
        <v>-0.73217660518878902</v>
      </c>
      <c r="AB45" s="3">
        <f ca="1">IFERROR(__xludf.DUMMYFUNCTION("""COMPUTED_VALUE"""),-0.724026131089142)</f>
        <v>-0.72402613108914204</v>
      </c>
      <c r="AC45" s="3">
        <f ca="1">IFERROR(__xludf.DUMMYFUNCTION("""COMPUTED_VALUE"""),-0.725460161758308)</f>
        <v>-0.72546016175830796</v>
      </c>
      <c r="AD45" s="3">
        <f ca="1">IFERROR(__xludf.DUMMYFUNCTION("""COMPUTED_VALUE"""),-0.752404230487731)</f>
        <v>-0.75240423048773097</v>
      </c>
      <c r="AE45" s="3">
        <f ca="1">IFERROR(__xludf.DUMMYFUNCTION("""COMPUTED_VALUE"""),-0.714402952369047)</f>
        <v>-0.71440295236904705</v>
      </c>
      <c r="AF45" s="3">
        <f ca="1">IFERROR(__xludf.DUMMYFUNCTION("""COMPUTED_VALUE"""),-0.690602538136529)</f>
        <v>-0.69060253813652905</v>
      </c>
      <c r="AG45" s="3">
        <f ca="1">IFERROR(__xludf.DUMMYFUNCTION("""COMPUTED_VALUE"""),-0.652405854393989)</f>
        <v>-0.65240585439398902</v>
      </c>
      <c r="AH45" s="3">
        <f ca="1">IFERROR(__xludf.DUMMYFUNCTION("""COMPUTED_VALUE"""),-0.713375942944822)</f>
        <v>-0.71337594294482198</v>
      </c>
      <c r="AI45" s="3">
        <f ca="1">IFERROR(__xludf.DUMMYFUNCTION("""COMPUTED_VALUE"""),-0.758805525351343)</f>
        <v>-0.75880552535134305</v>
      </c>
      <c r="AJ45" s="3">
        <f ca="1">IFERROR(__xludf.DUMMYFUNCTION("""COMPUTED_VALUE"""),-0.708884673828264)</f>
        <v>-0.70888467382826403</v>
      </c>
      <c r="AK45" s="3">
        <f ca="1">IFERROR(__xludf.DUMMYFUNCTION("""COMPUTED_VALUE"""),-0.686480212258004)</f>
        <v>-0.68648021225800404</v>
      </c>
      <c r="AL45" s="3">
        <f ca="1">IFERROR(__xludf.DUMMYFUNCTION("""COMPUTED_VALUE"""),-0.753097627473616)</f>
        <v>-0.75309762747361597</v>
      </c>
      <c r="AM45" s="3">
        <f ca="1">IFERROR(__xludf.DUMMYFUNCTION("""COMPUTED_VALUE"""),-0.630213212147888)</f>
        <v>-0.63021321214788795</v>
      </c>
      <c r="AN45" s="3">
        <f ca="1">IFERROR(__xludf.DUMMYFUNCTION("""COMPUTED_VALUE"""),-0.603771357077785)</f>
        <v>-0.60377135707778495</v>
      </c>
      <c r="AO45" s="3">
        <f ca="1">IFERROR(__xludf.DUMMYFUNCTION("""COMPUTED_VALUE"""),-0.701361495453422)</f>
        <v>-0.70136149545342197</v>
      </c>
      <c r="AP45" s="3">
        <f ca="1">IFERROR(__xludf.DUMMYFUNCTION("""COMPUTED_VALUE"""),-0.7412535580633)</f>
        <v>-0.74125355806329996</v>
      </c>
      <c r="AQ45" s="3">
        <f ca="1">IFERROR(__xludf.DUMMYFUNCTION("""COMPUTED_VALUE"""),-0.751423083076308)</f>
        <v>-0.75142308307630801</v>
      </c>
      <c r="AR45" s="3">
        <f ca="1">IFERROR(__xludf.DUMMYFUNCTION("""COMPUTED_VALUE"""),-0.693116134452762)</f>
        <v>-0.69311613445276199</v>
      </c>
      <c r="AS45" s="3">
        <f ca="1">IFERROR(__xludf.DUMMYFUNCTION("""COMPUTED_VALUE"""),-0.668324693370389)</f>
        <v>-0.66832469337038902</v>
      </c>
      <c r="AT45" s="3">
        <f ca="1">IFERROR(__xludf.DUMMYFUNCTION("""COMPUTED_VALUE"""),-0.566240135969064)</f>
        <v>-0.56624013596906397</v>
      </c>
      <c r="AU45" s="3">
        <f ca="1">IFERROR(__xludf.DUMMYFUNCTION("""COMPUTED_VALUE"""),-0.60281269468675)</f>
        <v>-0.60281269468675003</v>
      </c>
      <c r="AV45" s="3">
        <f ca="1">IFERROR(__xludf.DUMMYFUNCTION("""COMPUTED_VALUE"""),-0.686998303773966)</f>
        <v>-0.68699830377396598</v>
      </c>
      <c r="AW45" s="3">
        <f ca="1">IFERROR(__xludf.DUMMYFUNCTION("""COMPUTED_VALUE"""),-0.706994816864297)</f>
        <v>-0.70699481686429699</v>
      </c>
      <c r="AX45" s="3">
        <f ca="1">IFERROR(__xludf.DUMMYFUNCTION("""COMPUTED_VALUE"""),-0.762014328381526)</f>
        <v>-0.76201432838152605</v>
      </c>
      <c r="AY45" s="3">
        <f ca="1">IFERROR(__xludf.DUMMYFUNCTION("""COMPUTED_VALUE"""),-0.712572420599039)</f>
        <v>-0.71257242059903902</v>
      </c>
      <c r="AZ45" s="3">
        <f ca="1">IFERROR(__xludf.DUMMYFUNCTION("""COMPUTED_VALUE"""),-0.699905584740489)</f>
        <v>-0.69990558474048903</v>
      </c>
      <c r="BA45" s="3">
        <f ca="1">IFERROR(__xludf.DUMMYFUNCTION("""COMPUTED_VALUE"""),-0.596926864871885)</f>
        <v>-0.59692686487188495</v>
      </c>
      <c r="BB45" s="3">
        <f ca="1">IFERROR(__xludf.DUMMYFUNCTION("""COMPUTED_VALUE"""),-0.580618936097063)</f>
        <v>-0.58061893609706305</v>
      </c>
      <c r="BC45" s="3">
        <f ca="1">IFERROR(__xludf.DUMMYFUNCTION("""COMPUTED_VALUE"""),-0.656854502549728)</f>
        <v>-0.65685450254972799</v>
      </c>
      <c r="BD45" s="3">
        <f ca="1">IFERROR(__xludf.DUMMYFUNCTION("""COMPUTED_VALUE"""),-0.730318188097324)</f>
        <v>-0.73031818809732396</v>
      </c>
      <c r="BE45" s="3">
        <f ca="1">IFERROR(__xludf.DUMMYFUNCTION("""COMPUTED_VALUE"""),-0.743900362553329)</f>
        <v>-0.74390036255332903</v>
      </c>
      <c r="BF45" s="3">
        <f ca="1">IFERROR(__xludf.DUMMYFUNCTION("""COMPUTED_VALUE"""),-0.718470698959285)</f>
        <v>-0.71847069895928495</v>
      </c>
      <c r="BG45" s="3">
        <f ca="1">IFERROR(__xludf.DUMMYFUNCTION("""COMPUTED_VALUE"""),-0.712727167691315)</f>
        <v>-0.71272716769131494</v>
      </c>
      <c r="BH45" s="3">
        <f ca="1">IFERROR(__xludf.DUMMYFUNCTION("""COMPUTED_VALUE"""),-0.536630995380498)</f>
        <v>-0.53663099538049797</v>
      </c>
      <c r="BI45" s="3">
        <f ca="1">IFERROR(__xludf.DUMMYFUNCTION("""COMPUTED_VALUE"""),-0.597614445400626)</f>
        <v>-0.59761444540062603</v>
      </c>
      <c r="BJ45" s="3">
        <f ca="1">IFERROR(__xludf.DUMMYFUNCTION("""COMPUTED_VALUE"""),-0.672602281905939)</f>
        <v>-0.67260228190593896</v>
      </c>
      <c r="BK45" s="3">
        <f ca="1">IFERROR(__xludf.DUMMYFUNCTION("""COMPUTED_VALUE"""),-0.756535612476047)</f>
        <v>-0.75653561247604695</v>
      </c>
      <c r="BL45" s="3">
        <f ca="1">IFERROR(__xludf.DUMMYFUNCTION("""COMPUTED_VALUE"""),-0.744344232819498)</f>
        <v>-0.74434423281949802</v>
      </c>
      <c r="BM45" s="3">
        <f ca="1">IFERROR(__xludf.DUMMYFUNCTION("""COMPUTED_VALUE"""),-0.716987236199611)</f>
        <v>-0.71698723619961102</v>
      </c>
      <c r="BN45" s="3">
        <f ca="1">IFERROR(__xludf.DUMMYFUNCTION("""COMPUTED_VALUE"""),-0.740130871424617)</f>
        <v>-0.74013087142461698</v>
      </c>
      <c r="BO45" s="3">
        <f ca="1">IFERROR(__xludf.DUMMYFUNCTION("""COMPUTED_VALUE"""),-0.625623986127418)</f>
        <v>-0.62562398612741799</v>
      </c>
      <c r="BP45" s="3">
        <f ca="1">IFERROR(__xludf.DUMMYFUNCTION("""COMPUTED_VALUE"""),-0.660391619714757)</f>
        <v>-0.66039161971475702</v>
      </c>
      <c r="BQ45" s="3">
        <f ca="1">IFERROR(__xludf.DUMMYFUNCTION("""COMPUTED_VALUE"""),-0.708035854121157)</f>
        <v>-0.70803585412115699</v>
      </c>
      <c r="BR45" s="3">
        <f ca="1">IFERROR(__xludf.DUMMYFUNCTION("""COMPUTED_VALUE"""),-0.731194093857892)</f>
        <v>-0.73119409385789202</v>
      </c>
      <c r="BS45" s="3">
        <f ca="1">IFERROR(__xludf.DUMMYFUNCTION("""COMPUTED_VALUE"""),-0.770437021440129)</f>
        <v>-0.77043702144012904</v>
      </c>
      <c r="BT45" s="3">
        <f ca="1">IFERROR(__xludf.DUMMYFUNCTION("""COMPUTED_VALUE"""),-0.742697820853797)</f>
        <v>-0.74269782085379699</v>
      </c>
      <c r="BU45" s="3">
        <f ca="1">IFERROR(__xludf.DUMMYFUNCTION("""COMPUTED_VALUE"""),-0.761385762966025)</f>
        <v>-0.761385762966025</v>
      </c>
      <c r="BV45" s="3">
        <f ca="1">IFERROR(__xludf.DUMMYFUNCTION("""COMPUTED_VALUE"""),-0.71916994839325)</f>
        <v>-0.71916994839324999</v>
      </c>
      <c r="BW45" s="3">
        <f ca="1">IFERROR(__xludf.DUMMYFUNCTION("""COMPUTED_VALUE"""),-0.740627349790521)</f>
        <v>-0.74062734979052103</v>
      </c>
      <c r="BX45" s="3">
        <f ca="1">IFERROR(__xludf.DUMMYFUNCTION("""COMPUTED_VALUE"""),-0.8124491087899)</f>
        <v>-0.81244910878989995</v>
      </c>
      <c r="BY45" s="3">
        <f ca="1">IFERROR(__xludf.DUMMYFUNCTION("""COMPUTED_VALUE"""),-0.845353869936986)</f>
        <v>-0.84535386993698602</v>
      </c>
      <c r="BZ45" s="3">
        <f ca="1">IFERROR(__xludf.DUMMYFUNCTION("""COMPUTED_VALUE"""),-0.864583875097625)</f>
        <v>-0.86458387509762502</v>
      </c>
      <c r="CA45" s="3">
        <f ca="1">IFERROR(__xludf.DUMMYFUNCTION("""COMPUTED_VALUE"""),-0.886340832828006)</f>
        <v>-0.88634083282800602</v>
      </c>
      <c r="CB45" s="3">
        <f ca="1">IFERROR(__xludf.DUMMYFUNCTION("""COMPUTED_VALUE"""),-0.902031390768915)</f>
        <v>-0.90203139076891503</v>
      </c>
      <c r="CC45" s="3">
        <f ca="1">IFERROR(__xludf.DUMMYFUNCTION("""COMPUTED_VALUE"""),-0.842245914187549)</f>
        <v>-0.84224591418754902</v>
      </c>
      <c r="CD45" s="3">
        <f ca="1">IFERROR(__xludf.DUMMYFUNCTION("""COMPUTED_VALUE"""),-0.859281521202008)</f>
        <v>-0.85928152120200796</v>
      </c>
      <c r="CE45" s="3">
        <f ca="1">IFERROR(__xludf.DUMMYFUNCTION("""COMPUTED_VALUE"""),-0.898867266521605)</f>
        <v>-0.89886726652160498</v>
      </c>
      <c r="CF45" s="3">
        <f ca="1">IFERROR(__xludf.DUMMYFUNCTION("""COMPUTED_VALUE"""),-0.91680618405504)</f>
        <v>-0.91680618405504</v>
      </c>
      <c r="CG45" s="3">
        <f ca="1">IFERROR(__xludf.DUMMYFUNCTION("""COMPUTED_VALUE"""),-0.897192114537604)</f>
        <v>-0.89719211453760395</v>
      </c>
      <c r="CH45" s="3">
        <f ca="1">IFERROR(__xludf.DUMMYFUNCTION("""COMPUTED_VALUE"""),-0.904537374406152)</f>
        <v>-0.90453737440615201</v>
      </c>
      <c r="CI45" s="3">
        <f ca="1">IFERROR(__xludf.DUMMYFUNCTION("""COMPUTED_VALUE"""),-0.902134997224173)</f>
        <v>-0.90213499722417301</v>
      </c>
      <c r="CJ45" s="3">
        <f ca="1">IFERROR(__xludf.DUMMYFUNCTION("""COMPUTED_VALUE"""),-0.872652114298887)</f>
        <v>-0.87265211429888701</v>
      </c>
      <c r="CK45" s="3">
        <f ca="1">IFERROR(__xludf.DUMMYFUNCTION("""COMPUTED_VALUE"""),-0.860636844552113)</f>
        <v>-0.86063684455211298</v>
      </c>
      <c r="CL45" s="3">
        <f ca="1">IFERROR(__xludf.DUMMYFUNCTION("""COMPUTED_VALUE"""),-0.91002832055876)</f>
        <v>-0.91002832055876004</v>
      </c>
      <c r="CM45" s="3">
        <f ca="1">IFERROR(__xludf.DUMMYFUNCTION("""COMPUTED_VALUE"""),-0.90965292830018)</f>
        <v>-0.90965292830017996</v>
      </c>
      <c r="CN45" s="3">
        <f ca="1">IFERROR(__xludf.DUMMYFUNCTION("""COMPUTED_VALUE"""),-0.894687826759075)</f>
        <v>-0.89468782675907499</v>
      </c>
      <c r="CO45" s="3">
        <f ca="1">IFERROR(__xludf.DUMMYFUNCTION("""COMPUTED_VALUE"""),-0.87999943510328)</f>
        <v>-0.87999943510328005</v>
      </c>
      <c r="CP45" s="3">
        <f ca="1">IFERROR(__xludf.DUMMYFUNCTION("""COMPUTED_VALUE"""),-0.818270493698357)</f>
        <v>-0.81827049369835703</v>
      </c>
      <c r="CQ45" s="3">
        <f ca="1">IFERROR(__xludf.DUMMYFUNCTION("""COMPUTED_VALUE"""),-0.774865118203391)</f>
        <v>-0.77486511820339099</v>
      </c>
      <c r="CR45" s="3">
        <f ca="1">IFERROR(__xludf.DUMMYFUNCTION("""COMPUTED_VALUE"""),-0.67495117886236)</f>
        <v>-0.67495117886236</v>
      </c>
      <c r="CS45" s="3">
        <f ca="1">IFERROR(__xludf.DUMMYFUNCTION("""COMPUTED_VALUE"""),-0.731635894534288)</f>
        <v>-0.73163589453428801</v>
      </c>
      <c r="CT45" s="3">
        <f ca="1">IFERROR(__xludf.DUMMYFUNCTION("""COMPUTED_VALUE"""),-0.780038810927085)</f>
        <v>-0.78003881092708505</v>
      </c>
      <c r="CU45" s="3">
        <f ca="1">IFERROR(__xludf.DUMMYFUNCTION("""COMPUTED_VALUE"""),-0.634218525903887)</f>
        <v>-0.63421852590388705</v>
      </c>
      <c r="CV45" s="3">
        <f ca="1">IFERROR(__xludf.DUMMYFUNCTION("""COMPUTED_VALUE"""),-0.691389272160167)</f>
        <v>-0.69138927216016699</v>
      </c>
      <c r="CW45" s="3">
        <f ca="1">IFERROR(__xludf.DUMMYFUNCTION("""COMPUTED_VALUE"""),-0.654341642656586)</f>
        <v>-0.65434164265658601</v>
      </c>
      <c r="CX45" s="3">
        <f ca="1">IFERROR(__xludf.DUMMYFUNCTION("""COMPUTED_VALUE"""),-0.530443322071669)</f>
        <v>-0.530443322071669</v>
      </c>
      <c r="CY45" s="3">
        <f ca="1">IFERROR(__xludf.DUMMYFUNCTION("""COMPUTED_VALUE"""),-0.390312490486325)</f>
        <v>-0.39031249048632499</v>
      </c>
      <c r="CZ45" s="3">
        <f ca="1">IFERROR(__xludf.DUMMYFUNCTION("""COMPUTED_VALUE"""),-0.915861319833953)</f>
        <v>-0.91586131983395302</v>
      </c>
      <c r="DA45" s="3">
        <f ca="1">IFERROR(__xludf.DUMMYFUNCTION("""COMPUTED_VALUE"""),-0.710286077496364)</f>
        <v>-0.71028607749636397</v>
      </c>
      <c r="DB45" s="3">
        <f ca="1">IFERROR(__xludf.DUMMYFUNCTION("""COMPUTED_VALUE"""),-0.350334163861673)</f>
        <v>-0.35033416386167299</v>
      </c>
      <c r="DC45" s="3">
        <f ca="1">IFERROR(__xludf.DUMMYFUNCTION("""COMPUTED_VALUE"""),-0.554809658957873)</f>
        <v>-0.55480965895787304</v>
      </c>
      <c r="DD45" s="3">
        <f ca="1">IFERROR(__xludf.DUMMYFUNCTION("""COMPUTED_VALUE"""),-0.666619573991479)</f>
        <v>-0.66661957399147898</v>
      </c>
      <c r="DE45" s="3">
        <f ca="1">IFERROR(__xludf.DUMMYFUNCTION("""COMPUTED_VALUE"""),-0.640267748718981)</f>
        <v>-0.64026774871898096</v>
      </c>
      <c r="DF45" s="3">
        <f ca="1">IFERROR(__xludf.DUMMYFUNCTION("""COMPUTED_VALUE"""),-0.674732806127208)</f>
        <v>-0.67473280612720798</v>
      </c>
      <c r="DG45" s="3">
        <f ca="1">IFERROR(__xludf.DUMMYFUNCTION("""COMPUTED_VALUE"""),-0.957500618566298)</f>
        <v>-0.95750061856629798</v>
      </c>
      <c r="DH45" s="3">
        <f ca="1">IFERROR(__xludf.DUMMYFUNCTION("""COMPUTED_VALUE"""),-0.867121071304374)</f>
        <v>-0.86712107130437399</v>
      </c>
      <c r="DI45" s="3">
        <f ca="1">IFERROR(__xludf.DUMMYFUNCTION("""COMPUTED_VALUE"""),-0.706545327168383)</f>
        <v>-0.70654532716838303</v>
      </c>
      <c r="DJ45" s="3">
        <f ca="1">IFERROR(__xludf.DUMMYFUNCTION("""COMPUTED_VALUE"""),-0.762815230655873)</f>
        <v>-0.76281523065587298</v>
      </c>
      <c r="DK45" s="3">
        <f ca="1">IFERROR(__xludf.DUMMYFUNCTION("""COMPUTED_VALUE"""),-0.757494337967142)</f>
        <v>-0.75749433796714205</v>
      </c>
      <c r="DL45" s="3">
        <f ca="1">IFERROR(__xludf.DUMMYFUNCTION("""COMPUTED_VALUE"""),-0.838888807590027)</f>
        <v>-0.83888880759002704</v>
      </c>
      <c r="DM45" s="3">
        <f ca="1">IFERROR(__xludf.DUMMYFUNCTION("""COMPUTED_VALUE"""),-0.794865603080795)</f>
        <v>-0.79486560308079501</v>
      </c>
      <c r="DN45" s="3">
        <f ca="1">IFERROR(__xludf.DUMMYFUNCTION("""COMPUTED_VALUE"""),-0.766207523662581)</f>
        <v>-0.76620752366258105</v>
      </c>
      <c r="DO45" s="3">
        <f ca="1">IFERROR(__xludf.DUMMYFUNCTION("""COMPUTED_VALUE"""),-0.840735445142946)</f>
        <v>-0.84073544514294596</v>
      </c>
      <c r="DP45" s="3">
        <f ca="1">IFERROR(__xludf.DUMMYFUNCTION("""COMPUTED_VALUE"""),-0.859871162610908)</f>
        <v>-0.85987116261090801</v>
      </c>
      <c r="DQ45" s="3">
        <f ca="1">IFERROR(__xludf.DUMMYFUNCTION("""COMPUTED_VALUE"""),-0.869788120176581)</f>
        <v>-0.86978812017658103</v>
      </c>
      <c r="DR45" s="3">
        <f ca="1">IFERROR(__xludf.DUMMYFUNCTION("""COMPUTED_VALUE"""),-0.887619918842337)</f>
        <v>-0.88761991884233704</v>
      </c>
      <c r="DS45" s="3">
        <f ca="1">IFERROR(__xludf.DUMMYFUNCTION("""COMPUTED_VALUE"""),-0.85786601541347)</f>
        <v>-0.85786601541346996</v>
      </c>
      <c r="DT45" s="3">
        <f ca="1">IFERROR(__xludf.DUMMYFUNCTION("""COMPUTED_VALUE"""),-0.851735654371241)</f>
        <v>-0.85173565437124099</v>
      </c>
      <c r="DU45" s="3">
        <f ca="1">IFERROR(__xludf.DUMMYFUNCTION("""COMPUTED_VALUE"""),-0.894976897484233)</f>
        <v>-0.89497689748423304</v>
      </c>
      <c r="DV45" s="3">
        <f ca="1">IFERROR(__xludf.DUMMYFUNCTION("""COMPUTED_VALUE"""),-0.911759320941468)</f>
        <v>-0.91175932094146805</v>
      </c>
      <c r="DW45" s="3">
        <f ca="1">IFERROR(__xludf.DUMMYFUNCTION("""COMPUTED_VALUE"""),-0.893155495311629)</f>
        <v>-0.89315549531162897</v>
      </c>
      <c r="DX45" s="3">
        <f ca="1">IFERROR(__xludf.DUMMYFUNCTION("""COMPUTED_VALUE"""),-0.911161216703866)</f>
        <v>-0.91116121670386596</v>
      </c>
      <c r="DY45" s="3">
        <f ca="1">IFERROR(__xludf.DUMMYFUNCTION("""COMPUTED_VALUE"""),-0.866121462675064)</f>
        <v>-0.86612146267506396</v>
      </c>
      <c r="DZ45" s="3">
        <f ca="1">IFERROR(__xludf.DUMMYFUNCTION("""COMPUTED_VALUE"""),-0.847600658294126)</f>
        <v>-0.84760065829412601</v>
      </c>
      <c r="EA45" s="3">
        <f ca="1">IFERROR(__xludf.DUMMYFUNCTION("""COMPUTED_VALUE"""),-0.851358755185396)</f>
        <v>-0.85135875518539605</v>
      </c>
      <c r="EB45" s="3">
        <f ca="1">IFERROR(__xludf.DUMMYFUNCTION("""COMPUTED_VALUE"""),-0.877589159615178)</f>
        <v>-0.87758915961517803</v>
      </c>
      <c r="EC45" s="3">
        <f ca="1">IFERROR(__xludf.DUMMYFUNCTION("""COMPUTED_VALUE"""),-0.854002755014782)</f>
        <v>-0.85400275501478196</v>
      </c>
      <c r="ED45" s="3">
        <f ca="1">IFERROR(__xludf.DUMMYFUNCTION("""COMPUTED_VALUE"""),-0.867807442251554)</f>
        <v>-0.86780744225155404</v>
      </c>
      <c r="EE45" s="3">
        <f ca="1">IFERROR(__xludf.DUMMYFUNCTION("""COMPUTED_VALUE"""),-0.885447177483286)</f>
        <v>-0.88544717748328605</v>
      </c>
      <c r="EF45" s="3">
        <f ca="1">IFERROR(__xludf.DUMMYFUNCTION("""COMPUTED_VALUE"""),-0.869808361327568)</f>
        <v>-0.869808361327568</v>
      </c>
      <c r="EG45" s="3">
        <f ca="1">IFERROR(__xludf.DUMMYFUNCTION("""COMPUTED_VALUE"""),-0.869098750249085)</f>
        <v>-0.86909875024908501</v>
      </c>
      <c r="EH45" s="3">
        <f ca="1">IFERROR(__xludf.DUMMYFUNCTION("""COMPUTED_VALUE"""),-0.853446488528169)</f>
        <v>-0.85344648852816896</v>
      </c>
      <c r="EI45" s="3">
        <f ca="1">IFERROR(__xludf.DUMMYFUNCTION("""COMPUTED_VALUE"""),-0.888244203298479)</f>
        <v>-0.88824420329847897</v>
      </c>
      <c r="EJ45" s="3">
        <f ca="1">IFERROR(__xludf.DUMMYFUNCTION("""COMPUTED_VALUE"""),-0.987556030884971)</f>
        <v>-0.98755603088497101</v>
      </c>
      <c r="EK45" s="3">
        <f ca="1">IFERROR(__xludf.DUMMYFUNCTION("""COMPUTED_VALUE"""),-0.865725117743325)</f>
        <v>-0.86572511774332495</v>
      </c>
      <c r="EL45" s="3">
        <f ca="1">IFERROR(__xludf.DUMMYFUNCTION("""COMPUTED_VALUE"""),-0.834722710662727)</f>
        <v>-0.83472271066272696</v>
      </c>
      <c r="EM45" s="3">
        <f ca="1">IFERROR(__xludf.DUMMYFUNCTION("""COMPUTED_VALUE"""),-0.741339886639575)</f>
        <v>-0.74133988663957495</v>
      </c>
      <c r="EN45" s="3">
        <f ca="1">IFERROR(__xludf.DUMMYFUNCTION("""COMPUTED_VALUE"""),-0.770140029729095)</f>
        <v>-0.77014002972909501</v>
      </c>
      <c r="EO45" s="3">
        <f ca="1">IFERROR(__xludf.DUMMYFUNCTION("""COMPUTED_VALUE"""),-0.720934976453706)</f>
        <v>-0.72093497645370597</v>
      </c>
      <c r="EP45" s="3">
        <f ca="1">IFERROR(__xludf.DUMMYFUNCTION("""COMPUTED_VALUE"""),-0.742228940021225)</f>
        <v>-0.74222894002122497</v>
      </c>
      <c r="EQ45" s="3">
        <f ca="1">IFERROR(__xludf.DUMMYFUNCTION("""COMPUTED_VALUE"""),-0.714863216859651)</f>
        <v>-0.71486321685965104</v>
      </c>
      <c r="ER45" s="3">
        <f ca="1">IFERROR(__xludf.DUMMYFUNCTION("""COMPUTED_VALUE"""),-0.739109649097071)</f>
        <v>-0.739109649097071</v>
      </c>
      <c r="ES45" s="3">
        <f ca="1">IFERROR(__xludf.DUMMYFUNCTION("""COMPUTED_VALUE"""),-0.794894573718933)</f>
        <v>-0.79489457371893302</v>
      </c>
      <c r="ET45" s="3">
        <f ca="1">IFERROR(__xludf.DUMMYFUNCTION("""COMPUTED_VALUE"""),-0.782126740511736)</f>
        <v>-0.78212674051173603</v>
      </c>
      <c r="EU45" s="3">
        <f ca="1">IFERROR(__xludf.DUMMYFUNCTION("""COMPUTED_VALUE"""),-0.714947411557575)</f>
        <v>-0.71494741155757502</v>
      </c>
      <c r="EV45" s="3">
        <f ca="1">IFERROR(__xludf.DUMMYFUNCTION("""COMPUTED_VALUE"""),-0.656497052510985)</f>
        <v>-0.656497052510985</v>
      </c>
      <c r="EW45" s="3">
        <f ca="1">IFERROR(__xludf.DUMMYFUNCTION("""COMPUTED_VALUE"""),-0.759290488948953)</f>
        <v>-0.75929048894895301</v>
      </c>
      <c r="EX45" s="3">
        <f ca="1">IFERROR(__xludf.DUMMYFUNCTION("""COMPUTED_VALUE"""),-0.787751241378892)</f>
        <v>-0.78775124137889196</v>
      </c>
      <c r="EY45" s="3">
        <f ca="1">IFERROR(__xludf.DUMMYFUNCTION("""COMPUTED_VALUE"""),-0.806102451088691)</f>
        <v>-0.80610245108869105</v>
      </c>
      <c r="EZ45" s="3">
        <f ca="1">IFERROR(__xludf.DUMMYFUNCTION("""COMPUTED_VALUE"""),-0.811519493647343)</f>
        <v>-0.81151949364734299</v>
      </c>
      <c r="FA45" s="3">
        <f ca="1">IFERROR(__xludf.DUMMYFUNCTION("""COMPUTED_VALUE"""),-0.805895964761788)</f>
        <v>-0.80589596476178804</v>
      </c>
      <c r="FB45" s="3">
        <f ca="1">IFERROR(__xludf.DUMMYFUNCTION("""COMPUTED_VALUE"""),-0.772510893097918)</f>
        <v>-0.77251089309791798</v>
      </c>
      <c r="FC45" s="3">
        <f ca="1">IFERROR(__xludf.DUMMYFUNCTION("""COMPUTED_VALUE"""),-0.621724051790403)</f>
        <v>-0.62172405179040302</v>
      </c>
      <c r="FD45" s="3">
        <f ca="1">IFERROR(__xludf.DUMMYFUNCTION("""COMPUTED_VALUE"""),-0.800509365414126)</f>
        <v>-0.80050936541412598</v>
      </c>
      <c r="FE45" s="3">
        <f ca="1">IFERROR(__xludf.DUMMYFUNCTION("""COMPUTED_VALUE"""),-0.802967615676971)</f>
        <v>-0.80296761567697095</v>
      </c>
      <c r="FF45" s="3">
        <f ca="1">IFERROR(__xludf.DUMMYFUNCTION("""COMPUTED_VALUE"""),-0.804279523232356)</f>
        <v>-0.80427952323235596</v>
      </c>
      <c r="FG45" s="3">
        <f ca="1">IFERROR(__xludf.DUMMYFUNCTION("""COMPUTED_VALUE"""),-0.777214362109562)</f>
        <v>-0.77721436210956196</v>
      </c>
      <c r="FH45" s="3">
        <f ca="1">IFERROR(__xludf.DUMMYFUNCTION("""COMPUTED_VALUE"""),-0.759859202456696)</f>
        <v>-0.75985920245669603</v>
      </c>
      <c r="FI45" s="3">
        <f ca="1">IFERROR(__xludf.DUMMYFUNCTION("""COMPUTED_VALUE"""),-0.740958875129371)</f>
        <v>-0.74095887512937098</v>
      </c>
      <c r="FJ45" s="3">
        <f ca="1">IFERROR(__xludf.DUMMYFUNCTION("""COMPUTED_VALUE"""),-0.649148851947856)</f>
        <v>-0.64914885194785599</v>
      </c>
      <c r="FK45" s="3">
        <f ca="1">IFERROR(__xludf.DUMMYFUNCTION("""COMPUTED_VALUE"""),-0.770051005321061)</f>
        <v>-0.77005100532106097</v>
      </c>
      <c r="FL45" s="3">
        <f ca="1">IFERROR(__xludf.DUMMYFUNCTION("""COMPUTED_VALUE"""),-0.756990629719532)</f>
        <v>-0.75699062971953202</v>
      </c>
      <c r="FM45" s="3">
        <f ca="1">IFERROR(__xludf.DUMMYFUNCTION("""COMPUTED_VALUE"""),-0.764507658272212)</f>
        <v>-0.76450765827221201</v>
      </c>
      <c r="FN45" s="3">
        <f ca="1">IFERROR(__xludf.DUMMYFUNCTION("""COMPUTED_VALUE"""),-0.795011198980456)</f>
        <v>-0.79501119898045602</v>
      </c>
      <c r="FO45" s="3">
        <f ca="1">IFERROR(__xludf.DUMMYFUNCTION("""COMPUTED_VALUE"""),-0.803001892127355)</f>
        <v>-0.80300189212735495</v>
      </c>
      <c r="FP45" s="3">
        <f ca="1">IFERROR(__xludf.DUMMYFUNCTION("""COMPUTED_VALUE"""),-0.710484520848831)</f>
        <v>-0.71048452084883096</v>
      </c>
      <c r="FQ45" s="3">
        <f ca="1">IFERROR(__xludf.DUMMYFUNCTION("""COMPUTED_VALUE"""),-0.628213520064318)</f>
        <v>-0.62821352006431797</v>
      </c>
      <c r="FR45" s="3">
        <f ca="1">IFERROR(__xludf.DUMMYFUNCTION("""COMPUTED_VALUE"""),-0.750281204838074)</f>
        <v>-0.75028120483807403</v>
      </c>
      <c r="FS45" s="3">
        <f ca="1">IFERROR(__xludf.DUMMYFUNCTION("""COMPUTED_VALUE"""),-0.776566116200277)</f>
        <v>-0.77656611620027705</v>
      </c>
      <c r="FT45" s="3">
        <f ca="1">IFERROR(__xludf.DUMMYFUNCTION("""COMPUTED_VALUE"""),-0.795532065503551)</f>
        <v>-0.79553206550355104</v>
      </c>
      <c r="FU45" s="3">
        <f ca="1">IFERROR(__xludf.DUMMYFUNCTION("""COMPUTED_VALUE"""),-0.765567494836044)</f>
        <v>-0.76556749483604403</v>
      </c>
      <c r="FV45" s="3">
        <f ca="1">IFERROR(__xludf.DUMMYFUNCTION("""COMPUTED_VALUE"""),-0.742368737200452)</f>
        <v>-0.74236873720045204</v>
      </c>
      <c r="FW45" s="3">
        <f ca="1">IFERROR(__xludf.DUMMYFUNCTION("""COMPUTED_VALUE"""),-0.720769540484318)</f>
        <v>-0.72076954048431796</v>
      </c>
      <c r="FX45" s="3">
        <f ca="1">IFERROR(__xludf.DUMMYFUNCTION("""COMPUTED_VALUE"""),-0.606053609810386)</f>
        <v>-0.60605360981038603</v>
      </c>
      <c r="FY45" s="3">
        <f ca="1">IFERROR(__xludf.DUMMYFUNCTION("""COMPUTED_VALUE"""),-0.730258064247154)</f>
        <v>-0.730258064247154</v>
      </c>
      <c r="FZ45" s="3">
        <f ca="1">IFERROR(__xludf.DUMMYFUNCTION("""COMPUTED_VALUE"""),-0.81273976298394)</f>
        <v>-0.81273976298394002</v>
      </c>
      <c r="GA45" s="3">
        <f ca="1">IFERROR(__xludf.DUMMYFUNCTION("""COMPUTED_VALUE"""),-0.695339171786167)</f>
        <v>-0.695339171786167</v>
      </c>
      <c r="GB45" s="3">
        <f ca="1">IFERROR(__xludf.DUMMYFUNCTION("""COMPUTED_VALUE"""),-0.74607700113302)</f>
        <v>-0.74607700113302</v>
      </c>
      <c r="GC45" s="3">
        <f ca="1">IFERROR(__xludf.DUMMYFUNCTION("""COMPUTED_VALUE"""),-0.743015409464575)</f>
        <v>-0.74301540946457501</v>
      </c>
      <c r="GD45" s="3">
        <f ca="1">IFERROR(__xludf.DUMMYFUNCTION("""COMPUTED_VALUE"""),-0.579140079685676)</f>
        <v>-0.57914007968567605</v>
      </c>
      <c r="GE45" s="3">
        <f ca="1">IFERROR(__xludf.DUMMYFUNCTION("""COMPUTED_VALUE"""),-0.63297824025458)</f>
        <v>-0.63297824025458005</v>
      </c>
      <c r="GF45" s="3">
        <f ca="1">IFERROR(__xludf.DUMMYFUNCTION("""COMPUTED_VALUE"""),-0.793979320667071)</f>
        <v>-0.793979320667071</v>
      </c>
      <c r="GG45" s="3">
        <f ca="1">IFERROR(__xludf.DUMMYFUNCTION("""COMPUTED_VALUE"""),-0.832199020206225)</f>
        <v>-0.83219902020622505</v>
      </c>
      <c r="GH45" s="3">
        <f ca="1">IFERROR(__xludf.DUMMYFUNCTION("""COMPUTED_VALUE"""),-0.826354513862172)</f>
        <v>-0.82635451386217196</v>
      </c>
      <c r="GI45" s="3">
        <f ca="1">IFERROR(__xludf.DUMMYFUNCTION("""COMPUTED_VALUE"""),-0.775926788600625)</f>
        <v>-0.77592678860062503</v>
      </c>
      <c r="GJ45" s="3">
        <f ca="1">IFERROR(__xludf.DUMMYFUNCTION("""COMPUTED_VALUE"""),-0.7858922877881)</f>
        <v>-0.78589228778810005</v>
      </c>
      <c r="GK45" s="3">
        <f ca="1">IFERROR(__xludf.DUMMYFUNCTION("""COMPUTED_VALUE"""),-0.779226750115437)</f>
        <v>-0.77922675011543696</v>
      </c>
      <c r="GL45" s="3">
        <f ca="1">IFERROR(__xludf.DUMMYFUNCTION("""COMPUTED_VALUE"""),-0.675692694583527)</f>
        <v>-0.67569269458352699</v>
      </c>
      <c r="GM45" s="3">
        <f ca="1">IFERROR(__xludf.DUMMYFUNCTION("""COMPUTED_VALUE"""),-0.769674168366973)</f>
        <v>-0.769674168366973</v>
      </c>
      <c r="GN45" s="3">
        <f ca="1">IFERROR(__xludf.DUMMYFUNCTION("""COMPUTED_VALUE"""),-0.812739336088093)</f>
        <v>-0.81273933608809301</v>
      </c>
      <c r="GO45" s="3">
        <f ca="1">IFERROR(__xludf.DUMMYFUNCTION("""COMPUTED_VALUE"""),-0.823233789977583)</f>
        <v>-0.82323378997758301</v>
      </c>
      <c r="GP45" s="3">
        <f ca="1">IFERROR(__xludf.DUMMYFUNCTION("""COMPUTED_VALUE"""),-0.817593543860592)</f>
        <v>-0.81759354386059202</v>
      </c>
      <c r="GQ45" s="3">
        <f ca="1">IFERROR(__xludf.DUMMYFUNCTION("""COMPUTED_VALUE"""),-0.800433888928769)</f>
        <v>-0.80043388892876899</v>
      </c>
      <c r="GR45" s="3">
        <f ca="1">IFERROR(__xludf.DUMMYFUNCTION("""COMPUTED_VALUE"""),-0.763175878201573)</f>
        <v>-0.76317587820157295</v>
      </c>
      <c r="GS45" s="3">
        <f ca="1">IFERROR(__xludf.DUMMYFUNCTION("""COMPUTED_VALUE"""),-0.688892519758613)</f>
        <v>-0.68889251975861299</v>
      </c>
      <c r="GT45" s="3">
        <f ca="1">IFERROR(__xludf.DUMMYFUNCTION("""COMPUTED_VALUE"""),-0.78503767968198)</f>
        <v>-0.78503767968198002</v>
      </c>
      <c r="GU45" s="3">
        <f ca="1">IFERROR(__xludf.DUMMYFUNCTION("""COMPUTED_VALUE"""),-0.821456660215027)</f>
        <v>-0.82145666021502695</v>
      </c>
      <c r="GV45" s="3">
        <f ca="1">IFERROR(__xludf.DUMMYFUNCTION("""COMPUTED_VALUE"""),-0.804589724264184)</f>
        <v>-0.80458972426418396</v>
      </c>
      <c r="GW45" s="3">
        <f ca="1">IFERROR(__xludf.DUMMYFUNCTION("""COMPUTED_VALUE"""),-0.821530525836382)</f>
        <v>-0.82153052583638198</v>
      </c>
      <c r="GX45" s="3">
        <f ca="1">IFERROR(__xludf.DUMMYFUNCTION("""COMPUTED_VALUE"""),-0.837654067126076)</f>
        <v>-0.83765406712607604</v>
      </c>
      <c r="GY45" s="3">
        <f ca="1">IFERROR(__xludf.DUMMYFUNCTION("""COMPUTED_VALUE"""),-0.766254827349801)</f>
        <v>-0.76625482734980099</v>
      </c>
      <c r="GZ45" s="3">
        <f ca="1">IFERROR(__xludf.DUMMYFUNCTION("""COMPUTED_VALUE"""),-0.65702100430092)</f>
        <v>-0.65702100430092003</v>
      </c>
      <c r="HA45" s="3">
        <f ca="1">IFERROR(__xludf.DUMMYFUNCTION("""COMPUTED_VALUE"""),-0.805987048891789)</f>
        <v>-0.80598704889178896</v>
      </c>
      <c r="HB45" s="3">
        <f ca="1">IFERROR(__xludf.DUMMYFUNCTION("""COMPUTED_VALUE"""),-0.814250110607581)</f>
        <v>-0.81425011060758101</v>
      </c>
      <c r="HC45" s="3">
        <f ca="1">IFERROR(__xludf.DUMMYFUNCTION("""COMPUTED_VALUE"""),-0.803747485127293)</f>
        <v>-0.80374748512729299</v>
      </c>
      <c r="HD45" s="3">
        <f ca="1">IFERROR(__xludf.DUMMYFUNCTION("""COMPUTED_VALUE"""),-0.817385873851568)</f>
        <v>-0.81738587385156802</v>
      </c>
      <c r="HE45" s="3">
        <f ca="1">IFERROR(__xludf.DUMMYFUNCTION("""COMPUTED_VALUE"""),-0.834895896306796)</f>
        <v>-0.83489589630679595</v>
      </c>
      <c r="HF45" s="3">
        <f ca="1">IFERROR(__xludf.DUMMYFUNCTION("""COMPUTED_VALUE"""),-0.804339619300491)</f>
        <v>-0.80433961930049103</v>
      </c>
      <c r="HG45" s="3">
        <f ca="1">IFERROR(__xludf.DUMMYFUNCTION("""COMPUTED_VALUE"""),-0.670059944961026)</f>
        <v>-0.67005994496102605</v>
      </c>
      <c r="HH45" s="3">
        <f ca="1">IFERROR(__xludf.DUMMYFUNCTION("""COMPUTED_VALUE"""),-0.79186280213122)</f>
        <v>-0.79186280213121996</v>
      </c>
      <c r="HI45" s="3">
        <f ca="1">IFERROR(__xludf.DUMMYFUNCTION("""COMPUTED_VALUE"""),-0.822231146101165)</f>
        <v>-0.82223114610116499</v>
      </c>
      <c r="HJ45" s="3">
        <f ca="1">IFERROR(__xludf.DUMMYFUNCTION("""COMPUTED_VALUE"""),-0.821199244387962)</f>
        <v>-0.82119924438796199</v>
      </c>
      <c r="HK45" s="3">
        <f ca="1">IFERROR(__xludf.DUMMYFUNCTION("""COMPUTED_VALUE"""),-0.815639025847684)</f>
        <v>-0.815639025847684</v>
      </c>
      <c r="HL45" s="3">
        <f ca="1">IFERROR(__xludf.DUMMYFUNCTION("""COMPUTED_VALUE"""),-0.782997761750313)</f>
        <v>-0.78299776175031299</v>
      </c>
      <c r="HM45" s="3">
        <f ca="1">IFERROR(__xludf.DUMMYFUNCTION("""COMPUTED_VALUE"""),-0.65160771066588)</f>
        <v>-0.65160771066587997</v>
      </c>
      <c r="HN45" s="3">
        <f ca="1">IFERROR(__xludf.DUMMYFUNCTION("""COMPUTED_VALUE"""),-0.699873142039141)</f>
        <v>-0.69987314203914097</v>
      </c>
      <c r="HO45" s="3">
        <f ca="1">IFERROR(__xludf.DUMMYFUNCTION("""COMPUTED_VALUE"""),-0.764454080380022)</f>
        <v>-0.76445408038002205</v>
      </c>
      <c r="HP45" s="3">
        <f ca="1">IFERROR(__xludf.DUMMYFUNCTION("""COMPUTED_VALUE"""),-0.801463492308681)</f>
        <v>-0.80146349230868097</v>
      </c>
      <c r="HQ45" s="3">
        <f ca="1">IFERROR(__xludf.DUMMYFUNCTION("""COMPUTED_VALUE"""),-0.777274451611637)</f>
        <v>-0.777274451611637</v>
      </c>
      <c r="HR45" s="3">
        <f ca="1">IFERROR(__xludf.DUMMYFUNCTION("""COMPUTED_VALUE"""),-0.700104700219817)</f>
        <v>-0.70010470021981697</v>
      </c>
      <c r="HS45" s="3">
        <f ca="1">IFERROR(__xludf.DUMMYFUNCTION("""COMPUTED_VALUE"""),-0.579041174239384)</f>
        <v>-0.57904117423938395</v>
      </c>
      <c r="HT45" s="3">
        <f ca="1">IFERROR(__xludf.DUMMYFUNCTION("""COMPUTED_VALUE"""),-0.634758759463187)</f>
        <v>-0.63475875946318705</v>
      </c>
      <c r="HU45" s="3">
        <f ca="1">IFERROR(__xludf.DUMMYFUNCTION("""COMPUTED_VALUE"""),-0.703547999255376)</f>
        <v>-0.70354799925537603</v>
      </c>
      <c r="HV45" s="3">
        <f ca="1">IFERROR(__xludf.DUMMYFUNCTION("""COMPUTED_VALUE"""),-0.742776979343129)</f>
        <v>-0.74277697934312903</v>
      </c>
      <c r="HW45" s="3">
        <f ca="1">IFERROR(__xludf.DUMMYFUNCTION("""COMPUTED_VALUE"""),-0.745068380317723)</f>
        <v>-0.74506838031772304</v>
      </c>
      <c r="HX45" s="3">
        <f ca="1">IFERROR(__xludf.DUMMYFUNCTION("""COMPUTED_VALUE"""),-0.750275512813607)</f>
        <v>-0.75027551281360705</v>
      </c>
      <c r="HY45" s="3">
        <f ca="1">IFERROR(__xludf.DUMMYFUNCTION("""COMPUTED_VALUE"""),-0.74689625198233)</f>
        <v>-0.74689625198233001</v>
      </c>
      <c r="HZ45" s="3">
        <f ca="1">IFERROR(__xludf.DUMMYFUNCTION("""COMPUTED_VALUE"""),-0.59991200974034)</f>
        <v>-0.59991200974033998</v>
      </c>
      <c r="IA45" s="3">
        <f ca="1">IFERROR(__xludf.DUMMYFUNCTION("""COMPUTED_VALUE"""),-0.795589555462854)</f>
        <v>-0.79558955546285404</v>
      </c>
      <c r="IB45" s="3">
        <f ca="1">IFERROR(__xludf.DUMMYFUNCTION("""COMPUTED_VALUE"""),-0.849016596122895)</f>
        <v>-0.84901659612289504</v>
      </c>
      <c r="IC45" s="3">
        <f ca="1">IFERROR(__xludf.DUMMYFUNCTION("""COMPUTED_VALUE"""),-0.786855942739402)</f>
        <v>-0.78685594273940196</v>
      </c>
      <c r="ID45" s="3">
        <f ca="1">IFERROR(__xludf.DUMMYFUNCTION("""COMPUTED_VALUE"""),-0.840596959186781)</f>
        <v>-0.84059695918678101</v>
      </c>
      <c r="IE45" s="3">
        <f ca="1">IFERROR(__xludf.DUMMYFUNCTION("""COMPUTED_VALUE"""),-0.75954087400423)</f>
        <v>-0.75954087400422998</v>
      </c>
      <c r="IF45" s="3">
        <f ca="1">IFERROR(__xludf.DUMMYFUNCTION("""COMPUTED_VALUE"""),-0.782916441744742)</f>
        <v>-0.78291644174474195</v>
      </c>
      <c r="IG45" s="3">
        <f ca="1">IFERROR(__xludf.DUMMYFUNCTION("""COMPUTED_VALUE"""),-0.815274706583462)</f>
        <v>-0.81527470658346202</v>
      </c>
      <c r="IH45" s="3">
        <f ca="1">IFERROR(__xludf.DUMMYFUNCTION("""COMPUTED_VALUE"""),-0.761855958705395)</f>
        <v>-0.76185595870539502</v>
      </c>
      <c r="II45" s="3">
        <f ca="1">IFERROR(__xludf.DUMMYFUNCTION("""COMPUTED_VALUE"""),-0.735316306168363)</f>
        <v>-0.73531630616836297</v>
      </c>
      <c r="IJ45" s="3">
        <f ca="1">IFERROR(__xludf.DUMMYFUNCTION("""COMPUTED_VALUE"""),-0.764765660396197)</f>
        <v>-0.76476566039619698</v>
      </c>
      <c r="IK45" s="3">
        <f ca="1">IFERROR(__xludf.DUMMYFUNCTION("""COMPUTED_VALUE"""),-0.696134498215503)</f>
        <v>-0.69613449821550299</v>
      </c>
      <c r="IL45" s="3">
        <f ca="1">IFERROR(__xludf.DUMMYFUNCTION("""COMPUTED_VALUE"""),-0.742471506879019)</f>
        <v>-0.74247150687901897</v>
      </c>
      <c r="IM45" s="3">
        <f ca="1">IFERROR(__xludf.DUMMYFUNCTION("""COMPUTED_VALUE"""),-0.717306962174205)</f>
        <v>-0.71730696217420498</v>
      </c>
      <c r="IN45" s="3">
        <f ca="1">IFERROR(__xludf.DUMMYFUNCTION("""COMPUTED_VALUE"""),-0.724988088877896)</f>
        <v>-0.72498808887789601</v>
      </c>
      <c r="IO45" s="3">
        <f ca="1">IFERROR(__xludf.DUMMYFUNCTION("""COMPUTED_VALUE"""),-0.565240678993934)</f>
        <v>-0.56524067899393404</v>
      </c>
      <c r="IP45" s="3">
        <f ca="1">IFERROR(__xludf.DUMMYFUNCTION("""COMPUTED_VALUE"""),-0.690762365117704)</f>
        <v>-0.69076236511770395</v>
      </c>
      <c r="IQ45" s="3">
        <f ca="1">IFERROR(__xludf.DUMMYFUNCTION("""COMPUTED_VALUE"""),-0.761316889558198)</f>
        <v>-0.76131688955819798</v>
      </c>
      <c r="IR45" s="3">
        <f ca="1">IFERROR(__xludf.DUMMYFUNCTION("""COMPUTED_VALUE"""),-0.699356613891363)</f>
        <v>-0.69935661389136305</v>
      </c>
      <c r="IS45" s="3">
        <f ca="1">IFERROR(__xludf.DUMMYFUNCTION("""COMPUTED_VALUE"""),-0.677376372900108)</f>
        <v>-0.67737637290010799</v>
      </c>
      <c r="IT45" s="3">
        <f ca="1">IFERROR(__xludf.DUMMYFUNCTION("""COMPUTED_VALUE"""),-0.743635993020715)</f>
        <v>-0.74363599302071504</v>
      </c>
      <c r="IU45" s="3">
        <f ca="1">IFERROR(__xludf.DUMMYFUNCTION("""COMPUTED_VALUE"""),-0.724145994104618)</f>
        <v>-0.724145994104618</v>
      </c>
      <c r="IV45" s="3">
        <f ca="1">IFERROR(__xludf.DUMMYFUNCTION("""COMPUTED_VALUE"""),-0.670519696165739)</f>
        <v>-0.67051969616573903</v>
      </c>
      <c r="IW45" s="3">
        <f ca="1">IFERROR(__xludf.DUMMYFUNCTION("""COMPUTED_VALUE"""),-0.743904994579907)</f>
        <v>-0.743904994579907</v>
      </c>
      <c r="IX45" s="3">
        <f ca="1">IFERROR(__xludf.DUMMYFUNCTION("""COMPUTED_VALUE"""),-0.81369514523762)</f>
        <v>-0.81369514523761999</v>
      </c>
      <c r="IY45" s="3">
        <f ca="1">IFERROR(__xludf.DUMMYFUNCTION("""COMPUTED_VALUE"""),-0.721564852046131)</f>
        <v>-0.72156485204613097</v>
      </c>
      <c r="IZ45" s="3">
        <f ca="1">IFERROR(__xludf.DUMMYFUNCTION("""COMPUTED_VALUE"""),-0.744695423056463)</f>
        <v>-0.74469542305646297</v>
      </c>
      <c r="JA45" s="3">
        <f ca="1">IFERROR(__xludf.DUMMYFUNCTION("""COMPUTED_VALUE"""),-0.744496881645271)</f>
        <v>-0.74449688164527095</v>
      </c>
      <c r="JB45" s="3">
        <f ca="1">IFERROR(__xludf.DUMMYFUNCTION("""COMPUTED_VALUE"""),-0.795170986166671)</f>
        <v>-0.79517098616667103</v>
      </c>
      <c r="JC45" s="3">
        <f ca="1">IFERROR(__xludf.DUMMYFUNCTION("""COMPUTED_VALUE"""),-0.752860699894373)</f>
        <v>-0.75286069989437299</v>
      </c>
      <c r="JD45" s="3">
        <f ca="1">IFERROR(__xludf.DUMMYFUNCTION("""COMPUTED_VALUE"""),-0.804777644580716)</f>
        <v>-0.80477764458071599</v>
      </c>
      <c r="JE45" s="3">
        <f ca="1">IFERROR(__xludf.DUMMYFUNCTION("""COMPUTED_VALUE"""),-0.799458026997744)</f>
        <v>-0.79945802699774404</v>
      </c>
      <c r="JF45" s="3">
        <f ca="1">IFERROR(__xludf.DUMMYFUNCTION("""COMPUTED_VALUE"""),-0.763316381446148)</f>
        <v>-0.763316381446148</v>
      </c>
      <c r="JG45" s="3">
        <f ca="1">IFERROR(__xludf.DUMMYFUNCTION("""COMPUTED_VALUE"""),-0.791884861953597)</f>
        <v>-0.79188486195359697</v>
      </c>
      <c r="JH45" s="3">
        <f ca="1">IFERROR(__xludf.DUMMYFUNCTION("""COMPUTED_VALUE"""),-0.785312047217529)</f>
        <v>-0.78531204721752901</v>
      </c>
      <c r="JI45" s="3">
        <f ca="1">IFERROR(__xludf.DUMMYFUNCTION("""COMPUTED_VALUE"""),-0.793645359633834)</f>
        <v>-0.79364535963383398</v>
      </c>
      <c r="JJ45" s="3">
        <f ca="1">IFERROR(__xludf.DUMMYFUNCTION("""COMPUTED_VALUE"""),-0.805162193671881)</f>
        <v>-0.80516219367188102</v>
      </c>
      <c r="JK45" s="3">
        <f ca="1">IFERROR(__xludf.DUMMYFUNCTION("""COMPUTED_VALUE"""),-0.790263338418592)</f>
        <v>-0.79026333841859198</v>
      </c>
      <c r="JL45" s="3">
        <f ca="1">IFERROR(__xludf.DUMMYFUNCTION("""COMPUTED_VALUE"""),-0.803340312545051)</f>
        <v>-0.80334031254505101</v>
      </c>
      <c r="JM45" s="3">
        <f ca="1">IFERROR(__xludf.DUMMYFUNCTION("""COMPUTED_VALUE"""),-0.777402669312388)</f>
        <v>-0.77740266931238799</v>
      </c>
      <c r="JN45" s="3">
        <f ca="1">IFERROR(__xludf.DUMMYFUNCTION("""COMPUTED_VALUE"""),-0.773473758960329)</f>
        <v>-0.77347375896032899</v>
      </c>
      <c r="JO45" s="3">
        <f ca="1">IFERROR(__xludf.DUMMYFUNCTION("""COMPUTED_VALUE"""),-0.780780914393967)</f>
        <v>-0.78078091439396702</v>
      </c>
      <c r="JP45" s="3">
        <f ca="1">IFERROR(__xludf.DUMMYFUNCTION("""COMPUTED_VALUE"""),-0.807444778090715)</f>
        <v>-0.80744477809071502</v>
      </c>
      <c r="JQ45" s="3">
        <f ca="1">IFERROR(__xludf.DUMMYFUNCTION("""COMPUTED_VALUE"""),-0.685853933098272)</f>
        <v>-0.68585393309827203</v>
      </c>
      <c r="JR45" s="3">
        <f ca="1">IFERROR(__xludf.DUMMYFUNCTION("""COMPUTED_VALUE"""),-0.763212904938106)</f>
        <v>-0.76321290493810601</v>
      </c>
      <c r="JS45" s="3">
        <f ca="1">IFERROR(__xludf.DUMMYFUNCTION("""COMPUTED_VALUE"""),-0.795004471759437)</f>
        <v>-0.795004471759437</v>
      </c>
      <c r="JT45" s="3">
        <f ca="1">IFERROR(__xludf.DUMMYFUNCTION("""COMPUTED_VALUE"""),-0.70721745077147)</f>
        <v>-0.70721745077147002</v>
      </c>
      <c r="JU45" s="3">
        <f ca="1">IFERROR(__xludf.DUMMYFUNCTION("""COMPUTED_VALUE"""),-0.776664308473181)</f>
        <v>-0.77666430847318102</v>
      </c>
      <c r="JV45" s="3">
        <f ca="1">IFERROR(__xludf.DUMMYFUNCTION("""COMPUTED_VALUE"""),-0.817988805617001)</f>
        <v>-0.81798880561700105</v>
      </c>
      <c r="JW45" s="3">
        <f ca="1">IFERROR(__xludf.DUMMYFUNCTION("""COMPUTED_VALUE"""),-0.762896170117671)</f>
        <v>-0.76289617011767097</v>
      </c>
      <c r="JX45" s="3">
        <f ca="1">IFERROR(__xludf.DUMMYFUNCTION("""COMPUTED_VALUE"""),-0.738100272479089)</f>
        <v>-0.73810027247908905</v>
      </c>
      <c r="JY45" s="3">
        <f ca="1">IFERROR(__xludf.DUMMYFUNCTION("""COMPUTED_VALUE"""),-0.831293610406826)</f>
        <v>-0.83129361040682603</v>
      </c>
      <c r="JZ45" s="3">
        <f ca="1">IFERROR(__xludf.DUMMYFUNCTION("""COMPUTED_VALUE"""),-0.84612677486607)</f>
        <v>-0.84612677486607002</v>
      </c>
      <c r="KA45" s="3">
        <f ca="1">IFERROR(__xludf.DUMMYFUNCTION("""COMPUTED_VALUE"""),-0.709343348147481)</f>
        <v>-0.70934334814748101</v>
      </c>
      <c r="KB45" s="3">
        <f ca="1">IFERROR(__xludf.DUMMYFUNCTION("""COMPUTED_VALUE"""),-0.797480243142982)</f>
        <v>-0.79748024314298205</v>
      </c>
      <c r="KC45" s="3">
        <f ca="1">IFERROR(__xludf.DUMMYFUNCTION("""COMPUTED_VALUE"""),-0.793795138065447)</f>
        <v>-0.79379513806544699</v>
      </c>
      <c r="KD45" s="3">
        <f ca="1">IFERROR(__xludf.DUMMYFUNCTION("""COMPUTED_VALUE"""),-0.806883500501541)</f>
        <v>-0.80688350050154101</v>
      </c>
      <c r="KE45" s="3">
        <f ca="1">IFERROR(__xludf.DUMMYFUNCTION("""COMPUTED_VALUE"""),-0.775516432539737)</f>
        <v>-0.77551643253973701</v>
      </c>
      <c r="KF45" s="3">
        <f ca="1">IFERROR(__xludf.DUMMYFUNCTION("""COMPUTED_VALUE"""),-0.824429853408874)</f>
        <v>-0.82442985340887398</v>
      </c>
      <c r="KG45" s="3">
        <f ca="1">IFERROR(__xludf.DUMMYFUNCTION("""COMPUTED_VALUE"""),-0.766663632443351)</f>
        <v>-0.76666363244335101</v>
      </c>
      <c r="KH45" s="3">
        <f ca="1">IFERROR(__xludf.DUMMYFUNCTION("""COMPUTED_VALUE"""),-0.798916590535085)</f>
        <v>-0.79891659053508501</v>
      </c>
      <c r="KI45" s="3">
        <f ca="1">IFERROR(__xludf.DUMMYFUNCTION("""COMPUTED_VALUE"""),-0.825715375557265)</f>
        <v>-0.82571537555726504</v>
      </c>
      <c r="KJ45" s="3">
        <f ca="1">IFERROR(__xludf.DUMMYFUNCTION("""COMPUTED_VALUE"""),-0.802029870284465)</f>
        <v>-0.80202987028446504</v>
      </c>
      <c r="KK45" s="3">
        <f ca="1">IFERROR(__xludf.DUMMYFUNCTION("""COMPUTED_VALUE"""),-0.804602882793872)</f>
        <v>-0.80460288279387204</v>
      </c>
      <c r="KL45" s="3">
        <f ca="1">IFERROR(__xludf.DUMMYFUNCTION("""COMPUTED_VALUE"""),-0.692835295609669)</f>
        <v>-0.69283529560966906</v>
      </c>
      <c r="KM45" s="3">
        <f ca="1">IFERROR(__xludf.DUMMYFUNCTION("""COMPUTED_VALUE"""),-0.686320023801435)</f>
        <v>-0.68632002380143498</v>
      </c>
      <c r="KN45" s="3">
        <f ca="1">IFERROR(__xludf.DUMMYFUNCTION("""COMPUTED_VALUE"""),-0.766978942201525)</f>
        <v>-0.76697894220152496</v>
      </c>
      <c r="KO45" s="3">
        <f ca="1">IFERROR(__xludf.DUMMYFUNCTION("""COMPUTED_VALUE"""),-0.768603337022484)</f>
        <v>-0.76860333702248396</v>
      </c>
      <c r="KP45" s="3">
        <f ca="1">IFERROR(__xludf.DUMMYFUNCTION("""COMPUTED_VALUE"""),-0.717185912528254)</f>
        <v>-0.71718591252825403</v>
      </c>
      <c r="KQ45" s="3">
        <f ca="1">IFERROR(__xludf.DUMMYFUNCTION("""COMPUTED_VALUE"""),-0.688258022694926)</f>
        <v>-0.68825802269492597</v>
      </c>
      <c r="KR45" s="3">
        <f ca="1">IFERROR(__xludf.DUMMYFUNCTION("""COMPUTED_VALUE"""),-0.751704164860364)</f>
        <v>-0.75170416486036395</v>
      </c>
      <c r="KS45" s="3">
        <f ca="1">IFERROR(__xludf.DUMMYFUNCTION("""COMPUTED_VALUE"""),-0.760590156440619)</f>
        <v>-0.760590156440619</v>
      </c>
      <c r="KT45" s="3">
        <f ca="1">IFERROR(__xludf.DUMMYFUNCTION("""COMPUTED_VALUE"""),-0.700700020649354)</f>
        <v>-0.70070002064935399</v>
      </c>
      <c r="KU45" s="3">
        <f ca="1">IFERROR(__xludf.DUMMYFUNCTION("""COMPUTED_VALUE"""),-0.792217194405612)</f>
        <v>-0.792217194405612</v>
      </c>
      <c r="KV45" s="3">
        <f ca="1">IFERROR(__xludf.DUMMYFUNCTION("""COMPUTED_VALUE"""),-0.858090041957383)</f>
        <v>-0.85809004195738303</v>
      </c>
      <c r="KW45" s="3">
        <f ca="1">IFERROR(__xludf.DUMMYFUNCTION("""COMPUTED_VALUE"""),-0.813096681642621)</f>
        <v>-0.81309668164262106</v>
      </c>
      <c r="KX45" s="3">
        <f ca="1">IFERROR(__xludf.DUMMYFUNCTION("""COMPUTED_VALUE"""),-0.859649998860827)</f>
        <v>-0.85964999886082705</v>
      </c>
      <c r="KY45" s="3">
        <f ca="1">IFERROR(__xludf.DUMMYFUNCTION("""COMPUTED_VALUE"""),-0.872247871504608)</f>
        <v>-0.87224787150460803</v>
      </c>
      <c r="KZ45" s="3">
        <f ca="1">IFERROR(__xludf.DUMMYFUNCTION("""COMPUTED_VALUE"""),-0.74137635165715)</f>
        <v>-0.74137635165714999</v>
      </c>
      <c r="LA45" s="3">
        <f ca="1">IFERROR(__xludf.DUMMYFUNCTION("""COMPUTED_VALUE"""),-0.734250230563004)</f>
        <v>-0.73425023056300398</v>
      </c>
      <c r="LB45" s="3">
        <f ca="1">IFERROR(__xludf.DUMMYFUNCTION("""COMPUTED_VALUE"""),-0.735524204085092)</f>
        <v>-0.735524204085092</v>
      </c>
      <c r="LC45" s="3">
        <f ca="1">IFERROR(__xludf.DUMMYFUNCTION("""COMPUTED_VALUE"""),-0.806974886202877)</f>
        <v>-0.80697488620287705</v>
      </c>
      <c r="LD45" s="3">
        <f ca="1">IFERROR(__xludf.DUMMYFUNCTION("""COMPUTED_VALUE"""),-0.861824539744122)</f>
        <v>-0.86182453974412199</v>
      </c>
      <c r="LE45" s="3">
        <f ca="1">IFERROR(__xludf.DUMMYFUNCTION("""COMPUTED_VALUE"""),-0.861458797282912)</f>
        <v>-0.86145879728291197</v>
      </c>
      <c r="LF45" s="3">
        <f ca="1">IFERROR(__xludf.DUMMYFUNCTION("""COMPUTED_VALUE"""),-0.763315883508259)</f>
        <v>-0.76331588350825896</v>
      </c>
      <c r="LG45" s="3">
        <f ca="1">IFERROR(__xludf.DUMMYFUNCTION("""COMPUTED_VALUE"""),-0.79470405073299)</f>
        <v>-0.79470405073299</v>
      </c>
      <c r="LH45" s="3">
        <f ca="1">IFERROR(__xludf.DUMMYFUNCTION("""COMPUTED_VALUE"""),-0.888164440531344)</f>
        <v>-0.88816444053134402</v>
      </c>
      <c r="LI45" s="3">
        <f ca="1">IFERROR(__xludf.DUMMYFUNCTION("""COMPUTED_VALUE"""),-0.85367592966972)</f>
        <v>-0.85367592966971995</v>
      </c>
      <c r="LJ45" s="3">
        <f ca="1">IFERROR(__xludf.DUMMYFUNCTION("""COMPUTED_VALUE"""),-0.876440340638505)</f>
        <v>-0.87644034063850496</v>
      </c>
      <c r="LK45" s="3">
        <f ca="1">IFERROR(__xludf.DUMMYFUNCTION("""COMPUTED_VALUE"""),-0.846032842096184)</f>
        <v>-0.84603284209618401</v>
      </c>
      <c r="LL45" s="3">
        <f ca="1">IFERROR(__xludf.DUMMYFUNCTION("""COMPUTED_VALUE"""),-0.778826600009767)</f>
        <v>-0.778826600009767</v>
      </c>
      <c r="LM45" s="3">
        <f ca="1">IFERROR(__xludf.DUMMYFUNCTION("""COMPUTED_VALUE"""),-0.828647650797359)</f>
        <v>-0.82864765079735903</v>
      </c>
      <c r="LN45" s="3">
        <f ca="1">IFERROR(__xludf.DUMMYFUNCTION("""COMPUTED_VALUE"""),-0.833845878537527)</f>
        <v>-0.83384587853752701</v>
      </c>
      <c r="LO45" s="3">
        <f ca="1">IFERROR(__xludf.DUMMYFUNCTION("""COMPUTED_VALUE"""),-0.920312513196468)</f>
        <v>-0.92031251319646801</v>
      </c>
      <c r="LP45" s="3">
        <f ca="1">IFERROR(__xludf.DUMMYFUNCTION("""COMPUTED_VALUE"""),-0.915075263202117)</f>
        <v>-0.91507526320211696</v>
      </c>
      <c r="LQ45" s="3">
        <f ca="1">IFERROR(__xludf.DUMMYFUNCTION("""COMPUTED_VALUE"""),-0.943168115122448)</f>
        <v>-0.94316811512244803</v>
      </c>
      <c r="LR45" s="3">
        <f ca="1">IFERROR(__xludf.DUMMYFUNCTION("""COMPUTED_VALUE"""),-0.891811902659948)</f>
        <v>-0.89181190265994803</v>
      </c>
      <c r="LS45" s="3">
        <f ca="1">IFERROR(__xludf.DUMMYFUNCTION("""COMPUTED_VALUE"""),-0.920860747463915)</f>
        <v>-0.920860747463915</v>
      </c>
      <c r="LT45" s="3">
        <f ca="1">IFERROR(__xludf.DUMMYFUNCTION("""COMPUTED_VALUE"""),-0.927317839646369)</f>
        <v>-0.92731783964636905</v>
      </c>
      <c r="LU45" s="3">
        <f ca="1">IFERROR(__xludf.DUMMYFUNCTION("""COMPUTED_VALUE"""),-0.936852220411019)</f>
        <v>-0.93685222041101901</v>
      </c>
      <c r="LV45" s="3">
        <f ca="1">IFERROR(__xludf.DUMMYFUNCTION("""COMPUTED_VALUE"""),-0.923338773793444)</f>
        <v>-0.92333877379344398</v>
      </c>
      <c r="LW45" s="3">
        <f ca="1">IFERROR(__xludf.DUMMYFUNCTION("""COMPUTED_VALUE"""),-0.941736773419259)</f>
        <v>-0.94173677341925899</v>
      </c>
      <c r="LX45" s="3">
        <f ca="1">IFERROR(__xludf.DUMMYFUNCTION("""COMPUTED_VALUE"""),-0.949710236964395)</f>
        <v>-0.94971023696439505</v>
      </c>
      <c r="LY45" s="3">
        <f ca="1">IFERROR(__xludf.DUMMYFUNCTION("""COMPUTED_VALUE"""),-0.953837053293757)</f>
        <v>-0.95383705329375701</v>
      </c>
      <c r="LZ45" s="3">
        <f ca="1">IFERROR(__xludf.DUMMYFUNCTION("""COMPUTED_VALUE"""),-0.966941375210378)</f>
        <v>-0.96694137521037804</v>
      </c>
      <c r="MA45" s="3">
        <f ca="1">IFERROR(__xludf.DUMMYFUNCTION("""COMPUTED_VALUE"""),-0.945446132933447)</f>
        <v>-0.94544613293344704</v>
      </c>
      <c r="MB45" s="3">
        <f ca="1">IFERROR(__xludf.DUMMYFUNCTION("""COMPUTED_VALUE"""),-0.972893212003827)</f>
        <v>-0.97289321200382695</v>
      </c>
      <c r="MC45" s="3">
        <f ca="1">IFERROR(__xludf.DUMMYFUNCTION("""COMPUTED_VALUE"""),-0.958279557833727)</f>
        <v>-0.95827955783372698</v>
      </c>
      <c r="MD45" s="3">
        <f ca="1">IFERROR(__xludf.DUMMYFUNCTION("""COMPUTED_VALUE"""),-0.971868907239276)</f>
        <v>-0.97186890723927599</v>
      </c>
      <c r="ME45" s="3">
        <f ca="1">IFERROR(__xludf.DUMMYFUNCTION("""COMPUTED_VALUE"""),-0.966439858088629)</f>
        <v>-0.96643985808862898</v>
      </c>
      <c r="MF45" s="3">
        <f ca="1">IFERROR(__xludf.DUMMYFUNCTION("""COMPUTED_VALUE"""),-0.957351435785996)</f>
        <v>-0.95735143578599602</v>
      </c>
      <c r="MG45" s="3">
        <f ca="1">IFERROR(__xludf.DUMMYFUNCTION("""COMPUTED_VALUE"""),-0.969430964431559)</f>
        <v>-0.96943096443155896</v>
      </c>
      <c r="MH45" s="3">
        <f ca="1">IFERROR(__xludf.DUMMYFUNCTION("""COMPUTED_VALUE"""),-0.957002163098214)</f>
        <v>-0.95700216309821395</v>
      </c>
      <c r="MI45" s="3">
        <f ca="1">IFERROR(__xludf.DUMMYFUNCTION("""COMPUTED_VALUE"""),-0.961964717293742)</f>
        <v>-0.961964717293742</v>
      </c>
      <c r="MJ45" s="3">
        <f ca="1">IFERROR(__xludf.DUMMYFUNCTION("""COMPUTED_VALUE"""),-0.955374867508783)</f>
        <v>-0.95537486750878298</v>
      </c>
      <c r="MK45" s="3">
        <f ca="1">IFERROR(__xludf.DUMMYFUNCTION("""COMPUTED_VALUE"""),-0.969290756839568)</f>
        <v>-0.969290756839568</v>
      </c>
      <c r="ML45" s="3">
        <f ca="1">IFERROR(__xludf.DUMMYFUNCTION("""COMPUTED_VALUE"""),-0.977356378884056)</f>
        <v>-0.97735637888405602</v>
      </c>
      <c r="MM45" s="3">
        <f ca="1">IFERROR(__xludf.DUMMYFUNCTION("""COMPUTED_VALUE"""),-0.957245896816662)</f>
        <v>-0.95724589681666195</v>
      </c>
      <c r="MN45" s="3">
        <f ca="1">IFERROR(__xludf.DUMMYFUNCTION("""COMPUTED_VALUE"""),-0.970523390173344)</f>
        <v>-0.97052339017334399</v>
      </c>
      <c r="MO45" s="3">
        <f ca="1">IFERROR(__xludf.DUMMYFUNCTION("""COMPUTED_VALUE"""),-0.952927386669147)</f>
        <v>-0.952927386669147</v>
      </c>
      <c r="MP45" s="3">
        <f ca="1">IFERROR(__xludf.DUMMYFUNCTION("""COMPUTED_VALUE"""),-0.970909055822039)</f>
        <v>-0.97090905582203901</v>
      </c>
      <c r="MQ45" s="3">
        <f ca="1">IFERROR(__xludf.DUMMYFUNCTION("""COMPUTED_VALUE"""),-0.962283922519344)</f>
        <v>-0.96228392251934403</v>
      </c>
      <c r="MR45" s="3">
        <f ca="1">IFERROR(__xludf.DUMMYFUNCTION("""COMPUTED_VALUE"""),-0.970322174912028)</f>
        <v>-0.97032217491202799</v>
      </c>
      <c r="MS45" s="3">
        <f ca="1">IFERROR(__xludf.DUMMYFUNCTION("""COMPUTED_VALUE"""),-0.967588674840897)</f>
        <v>-0.96758867484089695</v>
      </c>
      <c r="MT45" s="3">
        <f ca="1">IFERROR(__xludf.DUMMYFUNCTION("""COMPUTED_VALUE"""),-0.962938384215857)</f>
        <v>-0.96293838421585698</v>
      </c>
      <c r="MU45" s="3">
        <f ca="1">IFERROR(__xludf.DUMMYFUNCTION("""COMPUTED_VALUE"""),-0.966816275889267)</f>
        <v>-0.966816275889267</v>
      </c>
      <c r="MV45" s="3">
        <f ca="1">IFERROR(__xludf.DUMMYFUNCTION("""COMPUTED_VALUE"""),-0.956941330186824)</f>
        <v>-0.95694133018682404</v>
      </c>
      <c r="MW45" s="3">
        <f ca="1">IFERROR(__xludf.DUMMYFUNCTION("""COMPUTED_VALUE"""),-0.970532536280741)</f>
        <v>-0.97053253628074099</v>
      </c>
      <c r="MX45" s="3">
        <f ca="1">IFERROR(__xludf.DUMMYFUNCTION("""COMPUTED_VALUE"""),-0.95840955678756)</f>
        <v>-0.95840955678756001</v>
      </c>
      <c r="MY45" s="3">
        <f ca="1">IFERROR(__xludf.DUMMYFUNCTION("""COMPUTED_VALUE"""),-0.965040083096135)</f>
        <v>-0.96504008309613498</v>
      </c>
      <c r="MZ45" s="3">
        <f ca="1">IFERROR(__xludf.DUMMYFUNCTION("""COMPUTED_VALUE"""),-0.948429680097871)</f>
        <v>-0.94842968009787099</v>
      </c>
      <c r="NA45" s="3">
        <f ca="1">IFERROR(__xludf.DUMMYFUNCTION("""COMPUTED_VALUE"""),-0.970292778186924)</f>
        <v>-0.97029277818692405</v>
      </c>
      <c r="NB45" s="3">
        <f ca="1">IFERROR(__xludf.DUMMYFUNCTION("""COMPUTED_VALUE"""),-0.961338369176616)</f>
        <v>-0.96133836917661597</v>
      </c>
      <c r="NC45" s="3">
        <f ca="1">IFERROR(__xludf.DUMMYFUNCTION("""COMPUTED_VALUE"""),-0.96365063032367)</f>
        <v>-0.96365063032367004</v>
      </c>
      <c r="ND45" s="3">
        <f ca="1">IFERROR(__xludf.DUMMYFUNCTION("""COMPUTED_VALUE"""),-0.95137351803447)</f>
        <v>-0.95137351803447001</v>
      </c>
      <c r="NE45" s="3">
        <f ca="1">IFERROR(__xludf.DUMMYFUNCTION("""COMPUTED_VALUE"""),-0.940684844913718)</f>
        <v>-0.94068484491371795</v>
      </c>
      <c r="NF45" s="3">
        <f ca="1">IFERROR(__xludf.DUMMYFUNCTION("""COMPUTED_VALUE"""),-0.95430660139757)</f>
        <v>-0.95430660139756995</v>
      </c>
      <c r="NG45" s="3">
        <f ca="1">IFERROR(__xludf.DUMMYFUNCTION("""COMPUTED_VALUE"""),-0.951983027530605)</f>
        <v>-0.95198302753060504</v>
      </c>
      <c r="NH45" s="3">
        <f ca="1">IFERROR(__xludf.DUMMYFUNCTION("""COMPUTED_VALUE"""),-0.958910940901805)</f>
        <v>-0.95891094090180495</v>
      </c>
      <c r="NI45" s="3">
        <f ca="1">IFERROR(__xludf.DUMMYFUNCTION("""COMPUTED_VALUE"""),-0.957577037898194)</f>
        <v>-0.95757703789819404</v>
      </c>
      <c r="NJ45" s="3">
        <f ca="1">IFERROR(__xludf.DUMMYFUNCTION("""COMPUTED_VALUE"""),-0.929803897254735)</f>
        <v>-0.929803897254735</v>
      </c>
      <c r="NK45" s="3">
        <f ca="1">IFERROR(__xludf.DUMMYFUNCTION("""COMPUTED_VALUE"""),-0.914226360639576)</f>
        <v>-0.91422636063957596</v>
      </c>
      <c r="NL45" s="3">
        <f ca="1">IFERROR(__xludf.DUMMYFUNCTION("""COMPUTED_VALUE"""),-0.944343237812891)</f>
        <v>-0.94434323781289098</v>
      </c>
      <c r="NM45" s="3">
        <f ca="1">IFERROR(__xludf.DUMMYFUNCTION("""COMPUTED_VALUE"""),-0.930537865709919)</f>
        <v>-0.93053786570991903</v>
      </c>
      <c r="NN45" s="3">
        <f ca="1">IFERROR(__xludf.DUMMYFUNCTION("""COMPUTED_VALUE"""),-0.939881460950626)</f>
        <v>-0.93988146095062597</v>
      </c>
      <c r="NO45" s="3">
        <f ca="1">IFERROR(__xludf.DUMMYFUNCTION("""COMPUTED_VALUE"""),-0.93739760008429)</f>
        <v>-0.93739760008428996</v>
      </c>
      <c r="NP45" s="3">
        <f ca="1">IFERROR(__xludf.DUMMYFUNCTION("""COMPUTED_VALUE"""),-0.934080189874465)</f>
        <v>-0.93408018987446495</v>
      </c>
      <c r="NQ45" s="3">
        <f ca="1">IFERROR(__xludf.DUMMYFUNCTION("""COMPUTED_VALUE"""),-0.944714397795926)</f>
        <v>-0.94471439779592603</v>
      </c>
      <c r="NR45" s="3">
        <f ca="1">IFERROR(__xludf.DUMMYFUNCTION("""COMPUTED_VALUE"""),-0.910903090727491)</f>
        <v>-0.91090309072749098</v>
      </c>
      <c r="NS45" s="3">
        <f ca="1">IFERROR(__xludf.DUMMYFUNCTION("""COMPUTED_VALUE"""),-0.892251951317036)</f>
        <v>-0.89225195131703605</v>
      </c>
      <c r="NT45" s="3">
        <f ca="1">IFERROR(__xludf.DUMMYFUNCTION("""COMPUTED_VALUE"""),-0.930867484965752)</f>
        <v>-0.930867484965752</v>
      </c>
      <c r="NU45" s="3">
        <f ca="1">IFERROR(__xludf.DUMMYFUNCTION("""COMPUTED_VALUE"""),-0.940767727542924)</f>
        <v>-0.94076772754292404</v>
      </c>
      <c r="NV45" s="3">
        <f ca="1">IFERROR(__xludf.DUMMYFUNCTION("""COMPUTED_VALUE"""),-0.918973340734859)</f>
        <v>-0.91897334073485903</v>
      </c>
      <c r="NW45" s="3">
        <f ca="1">IFERROR(__xludf.DUMMYFUNCTION("""COMPUTED_VALUE"""),-0.914075609717025)</f>
        <v>-0.91407560971702495</v>
      </c>
      <c r="NX45" s="3">
        <f ca="1">IFERROR(__xludf.DUMMYFUNCTION("""COMPUTED_VALUE"""),-0.938322234300789)</f>
        <v>-0.93832223430078898</v>
      </c>
      <c r="NY45" s="3">
        <f ca="1">IFERROR(__xludf.DUMMYFUNCTION("""COMPUTED_VALUE"""),-0.847584210366942)</f>
        <v>-0.84758421036694198</v>
      </c>
      <c r="NZ45" s="3">
        <f ca="1">IFERROR(__xludf.DUMMYFUNCTION("""COMPUTED_VALUE"""),-0.856482591884556)</f>
        <v>-0.856482591884556</v>
      </c>
      <c r="OA45" s="3">
        <f ca="1">IFERROR(__xludf.DUMMYFUNCTION("""COMPUTED_VALUE"""),-0.868646459776801)</f>
        <v>-0.86864645977680099</v>
      </c>
      <c r="OB45" s="3">
        <f ca="1">IFERROR(__xludf.DUMMYFUNCTION("""COMPUTED_VALUE"""),-0.872364753589564)</f>
        <v>-0.872364753589564</v>
      </c>
      <c r="OC45" s="3">
        <f ca="1">IFERROR(__xludf.DUMMYFUNCTION("""COMPUTED_VALUE"""),-0.81447628908547)</f>
        <v>-0.81447628908546998</v>
      </c>
      <c r="OD45" s="3">
        <f ca="1">IFERROR(__xludf.DUMMYFUNCTION("""COMPUTED_VALUE"""),-0.753325041200793)</f>
        <v>-0.75332504120079302</v>
      </c>
      <c r="OE45" s="3">
        <f ca="1">IFERROR(__xludf.DUMMYFUNCTION("""COMPUTED_VALUE"""),-0.640265665668387)</f>
        <v>-0.64026566566838705</v>
      </c>
      <c r="OF45" s="3">
        <f ca="1">IFERROR(__xludf.DUMMYFUNCTION("""COMPUTED_VALUE"""),-0.371632899309218)</f>
        <v>-0.371632899309218</v>
      </c>
      <c r="OG45" s="3">
        <f ca="1">IFERROR(__xludf.DUMMYFUNCTION("""COMPUTED_VALUE"""),-0.31142884257891)</f>
        <v>-0.31142884257891001</v>
      </c>
      <c r="OH45" s="3">
        <f ca="1">IFERROR(__xludf.DUMMYFUNCTION("""COMPUTED_VALUE"""),-0.226575437283468)</f>
        <v>-0.22657543728346799</v>
      </c>
      <c r="OI45" s="3">
        <f ca="1">IFERROR(__xludf.DUMMYFUNCTION("""COMPUTED_VALUE"""),-0.186952975034872)</f>
        <v>-0.18695297503487199</v>
      </c>
      <c r="OJ45" s="3">
        <f ca="1">IFERROR(__xludf.DUMMYFUNCTION("""COMPUTED_VALUE"""),-0.209173679855017)</f>
        <v>-0.209173679855017</v>
      </c>
      <c r="OK45" s="3">
        <f ca="1">IFERROR(__xludf.DUMMYFUNCTION("""COMPUTED_VALUE"""),-0.184587714645142)</f>
        <v>-0.18458771464514201</v>
      </c>
      <c r="OL45" s="3">
        <f ca="1">IFERROR(__xludf.DUMMYFUNCTION("""COMPUTED_VALUE"""),-0.225286678324417)</f>
        <v>-0.22528667832441701</v>
      </c>
      <c r="OM45" s="3">
        <f ca="1">IFERROR(__xludf.DUMMYFUNCTION("""COMPUTED_VALUE"""),-0.138650245647673)</f>
        <v>-0.138650245647673</v>
      </c>
      <c r="ON45" s="3">
        <f ca="1">IFERROR(__xludf.DUMMYFUNCTION("""COMPUTED_VALUE"""),0.086042103230177)</f>
        <v>8.6042103230176997E-2</v>
      </c>
      <c r="OO45" s="3">
        <f ca="1">IFERROR(__xludf.DUMMYFUNCTION("""COMPUTED_VALUE"""),0.0882124437087787)</f>
        <v>8.8212443708778704E-2</v>
      </c>
      <c r="OP45" s="3">
        <f ca="1">IFERROR(__xludf.DUMMYFUNCTION("""COMPUTED_VALUE"""),-0.121080346865234)</f>
        <v>-0.121080346865234</v>
      </c>
      <c r="OQ45" s="3">
        <f ca="1">IFERROR(__xludf.DUMMYFUNCTION("""COMPUTED_VALUE"""),-0.0680993783456671)</f>
        <v>-6.8099378345667094E-2</v>
      </c>
      <c r="OR45" s="3">
        <f ca="1">IFERROR(__xludf.DUMMYFUNCTION("""COMPUTED_VALUE"""),0.0137122892970804)</f>
        <v>1.3712289297080399E-2</v>
      </c>
      <c r="OS45" s="3">
        <f ca="1">IFERROR(__xludf.DUMMYFUNCTION("""COMPUTED_VALUE"""),-0.018087904341099)</f>
        <v>-1.8087904341099002E-2</v>
      </c>
      <c r="OT45" s="3">
        <f ca="1">IFERROR(__xludf.DUMMYFUNCTION("""COMPUTED_VALUE"""),0.144184204526048)</f>
        <v>0.14418420452604799</v>
      </c>
      <c r="OU45" s="3">
        <f ca="1">IFERROR(__xludf.DUMMYFUNCTION("""COMPUTED_VALUE"""),0.210667128094055)</f>
        <v>0.210667128094055</v>
      </c>
      <c r="OV45" s="3">
        <f ca="1">IFERROR(__xludf.DUMMYFUNCTION("""COMPUTED_VALUE"""),0.147204871236653)</f>
        <v>0.14720487123665299</v>
      </c>
      <c r="OW45" s="3">
        <f ca="1">IFERROR(__xludf.DUMMYFUNCTION("""COMPUTED_VALUE"""),0.0429865000485962)</f>
        <v>4.29865000485962E-2</v>
      </c>
      <c r="OX45" s="3">
        <f ca="1">IFERROR(__xludf.DUMMYFUNCTION("""COMPUTED_VALUE"""),-0.139448242502944)</f>
        <v>-0.13944824250294399</v>
      </c>
      <c r="OY45" s="3">
        <f ca="1">IFERROR(__xludf.DUMMYFUNCTION("""COMPUTED_VALUE"""),-0.316025802317118)</f>
        <v>-0.31602580231711802</v>
      </c>
      <c r="OZ45" s="3">
        <f ca="1">IFERROR(__xludf.DUMMYFUNCTION("""COMPUTED_VALUE"""),-0.39570218717147)</f>
        <v>-0.39570218717146999</v>
      </c>
      <c r="PA45" s="3">
        <f ca="1">IFERROR(__xludf.DUMMYFUNCTION("""COMPUTED_VALUE"""),-0.230920079498598)</f>
        <v>-0.230920079498598</v>
      </c>
      <c r="PB45" s="3">
        <f ca="1">IFERROR(__xludf.DUMMYFUNCTION("""COMPUTED_VALUE"""),-0.176379769428714)</f>
        <v>-0.176379769428714</v>
      </c>
      <c r="PC45" s="3">
        <f ca="1">IFERROR(__xludf.DUMMYFUNCTION("""COMPUTED_VALUE"""),-0.0447111660845754)</f>
        <v>-4.4711166084575399E-2</v>
      </c>
      <c r="PD45" s="3">
        <f ca="1">IFERROR(__xludf.DUMMYFUNCTION("""COMPUTED_VALUE"""),0.0043593160648665)</f>
        <v>4.3593160648665004E-3</v>
      </c>
      <c r="PE45" s="3">
        <f ca="1">IFERROR(__xludf.DUMMYFUNCTION("""COMPUTED_VALUE"""),-0.0667574569815829)</f>
        <v>-6.6757456981582905E-2</v>
      </c>
      <c r="PF45" s="3">
        <f ca="1">IFERROR(__xludf.DUMMYFUNCTION("""COMPUTED_VALUE"""),0.0614355965037096)</f>
        <v>6.1435596503709597E-2</v>
      </c>
      <c r="PG45" s="3">
        <f ca="1">IFERROR(__xludf.DUMMYFUNCTION("""COMPUTED_VALUE"""),0.0525865338226232)</f>
        <v>5.2586533822623197E-2</v>
      </c>
      <c r="PH45" s="3">
        <f ca="1">IFERROR(__xludf.DUMMYFUNCTION("""COMPUTED_VALUE"""),0.0888636540423626)</f>
        <v>8.88636540423626E-2</v>
      </c>
      <c r="PI45" s="3">
        <f ca="1">IFERROR(__xludf.DUMMYFUNCTION("""COMPUTED_VALUE"""),0.215943592720047)</f>
        <v>0.21594359272004701</v>
      </c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</row>
    <row r="46" spans="1:477" ht="15.75" customHeight="1">
      <c r="A46" s="1" t="str">
        <f ca="1">IFERROR(__xludf.DUMMYFUNCTION("""COMPUTED_VALUE"""),"BC Transit")</f>
        <v>BC Transit</v>
      </c>
      <c r="B46" s="1" t="str">
        <f ca="1">IFERROR(__xludf.DUMMYFUNCTION("""COMPUTED_VALUE"""),"Kamloops")</f>
        <v>Kamloops</v>
      </c>
      <c r="C46" s="1" t="str">
        <f ca="1">IFERROR(__xludf.DUMMYFUNCTION("""COMPUTED_VALUE"""),"Canada")</f>
        <v>Canada</v>
      </c>
      <c r="D46" s="1" t="str">
        <f ca="1">IFERROR(__xludf.DUMMYFUNCTION("""COMPUTED_VALUE"""),"British Columbia")</f>
        <v>British Columbia</v>
      </c>
      <c r="E46" s="3">
        <f ca="1">IFERROR(__xludf.DUMMYFUNCTION("""COMPUTED_VALUE"""),-0.613917229546072)</f>
        <v>-0.61391722954607197</v>
      </c>
      <c r="F46" s="3">
        <f ca="1">IFERROR(__xludf.DUMMYFUNCTION("""COMPUTED_VALUE"""),-0.555786895872693)</f>
        <v>-0.55578689587269303</v>
      </c>
      <c r="G46" s="3">
        <f ca="1">IFERROR(__xludf.DUMMYFUNCTION("""COMPUTED_VALUE"""),-0.636826727806831)</f>
        <v>-0.63682672780683103</v>
      </c>
      <c r="H46" s="3">
        <f ca="1">IFERROR(__xludf.DUMMYFUNCTION("""COMPUTED_VALUE"""),-0.639442503975606)</f>
        <v>-0.63944250397560598</v>
      </c>
      <c r="I46" s="3">
        <f ca="1">IFERROR(__xludf.DUMMYFUNCTION("""COMPUTED_VALUE"""),-0.612523085522226)</f>
        <v>-0.61252308552222601</v>
      </c>
      <c r="J46" s="3">
        <f ca="1">IFERROR(__xludf.DUMMYFUNCTION("""COMPUTED_VALUE"""),-0.675623248772625)</f>
        <v>-0.67562324877262503</v>
      </c>
      <c r="K46" s="3">
        <f ca="1">IFERROR(__xludf.DUMMYFUNCTION("""COMPUTED_VALUE"""),-0.683132636522098)</f>
        <v>-0.68313263652209799</v>
      </c>
      <c r="L46" s="3">
        <f ca="1">IFERROR(__xludf.DUMMYFUNCTION("""COMPUTED_VALUE"""),-0.63887704377294)</f>
        <v>-0.63887704377293997</v>
      </c>
      <c r="M46" s="3">
        <f ca="1">IFERROR(__xludf.DUMMYFUNCTION("""COMPUTED_VALUE"""),-0.595319049479851)</f>
        <v>-0.59531904947985104</v>
      </c>
      <c r="N46" s="3">
        <f ca="1">IFERROR(__xludf.DUMMYFUNCTION("""COMPUTED_VALUE"""),-0.598787601651823)</f>
        <v>-0.59878760165182299</v>
      </c>
      <c r="O46" s="3">
        <f ca="1">IFERROR(__xludf.DUMMYFUNCTION("""COMPUTED_VALUE"""),-0.651214181744169)</f>
        <v>-0.65121418174416901</v>
      </c>
      <c r="P46" s="3">
        <f ca="1">IFERROR(__xludf.DUMMYFUNCTION("""COMPUTED_VALUE"""),-0.655990928334564)</f>
        <v>-0.65599092833456396</v>
      </c>
      <c r="Q46" s="3">
        <f ca="1">IFERROR(__xludf.DUMMYFUNCTION("""COMPUTED_VALUE"""),-0.637954495690848)</f>
        <v>-0.63795449569084794</v>
      </c>
      <c r="R46" s="3">
        <f ca="1">IFERROR(__xludf.DUMMYFUNCTION("""COMPUTED_VALUE"""),-0.639557422000215)</f>
        <v>-0.63955742200021504</v>
      </c>
      <c r="S46" s="3">
        <f ca="1">IFERROR(__xludf.DUMMYFUNCTION("""COMPUTED_VALUE"""),-0.588136597793008)</f>
        <v>-0.58813659779300798</v>
      </c>
      <c r="T46" s="3">
        <f ca="1">IFERROR(__xludf.DUMMYFUNCTION("""COMPUTED_VALUE"""),-0.59851864427136)</f>
        <v>-0.59851864427136003</v>
      </c>
      <c r="U46" s="3">
        <f ca="1">IFERROR(__xludf.DUMMYFUNCTION("""COMPUTED_VALUE"""),-0.628420258526567)</f>
        <v>-0.62842025852656702</v>
      </c>
      <c r="V46" s="3">
        <f ca="1">IFERROR(__xludf.DUMMYFUNCTION("""COMPUTED_VALUE"""),-0.62904294240796)</f>
        <v>-0.62904294240795999</v>
      </c>
      <c r="W46" s="3">
        <f ca="1">IFERROR(__xludf.DUMMYFUNCTION("""COMPUTED_VALUE"""),-0.615370063229681)</f>
        <v>-0.61537006322968102</v>
      </c>
      <c r="X46" s="3">
        <f ca="1">IFERROR(__xludf.DUMMYFUNCTION("""COMPUTED_VALUE"""),-0.634313687749141)</f>
        <v>-0.63431368774914099</v>
      </c>
      <c r="Y46" s="3">
        <f ca="1">IFERROR(__xludf.DUMMYFUNCTION("""COMPUTED_VALUE"""),-0.592534873462925)</f>
        <v>-0.59253487346292499</v>
      </c>
      <c r="Z46" s="3">
        <f ca="1">IFERROR(__xludf.DUMMYFUNCTION("""COMPUTED_VALUE"""),-0.58347257732897)</f>
        <v>-0.58347257732896995</v>
      </c>
      <c r="AA46" s="3">
        <f ca="1">IFERROR(__xludf.DUMMYFUNCTION("""COMPUTED_VALUE"""),-0.621783799508402)</f>
        <v>-0.62178379950840201</v>
      </c>
      <c r="AB46" s="3">
        <f ca="1">IFERROR(__xludf.DUMMYFUNCTION("""COMPUTED_VALUE"""),-0.636534521883516)</f>
        <v>-0.636534521883516</v>
      </c>
      <c r="AC46" s="3">
        <f ca="1">IFERROR(__xludf.DUMMYFUNCTION("""COMPUTED_VALUE"""),-0.633163827242212)</f>
        <v>-0.63316382724221199</v>
      </c>
      <c r="AD46" s="3">
        <f ca="1">IFERROR(__xludf.DUMMYFUNCTION("""COMPUTED_VALUE"""),-0.644579320999596)</f>
        <v>-0.64457932099959603</v>
      </c>
      <c r="AE46" s="3">
        <f ca="1">IFERROR(__xludf.DUMMYFUNCTION("""COMPUTED_VALUE"""),-0.611562819169207)</f>
        <v>-0.61156281916920696</v>
      </c>
      <c r="AF46" s="3">
        <f ca="1">IFERROR(__xludf.DUMMYFUNCTION("""COMPUTED_VALUE"""),-0.596148623136328)</f>
        <v>-0.59614862313632799</v>
      </c>
      <c r="AG46" s="3">
        <f ca="1">IFERROR(__xludf.DUMMYFUNCTION("""COMPUTED_VALUE"""),-0.584944989156025)</f>
        <v>-0.584944989156025</v>
      </c>
      <c r="AH46" s="3">
        <f ca="1">IFERROR(__xludf.DUMMYFUNCTION("""COMPUTED_VALUE"""),-0.599979793089295)</f>
        <v>-0.59997979308929505</v>
      </c>
      <c r="AI46" s="3">
        <f ca="1">IFERROR(__xludf.DUMMYFUNCTION("""COMPUTED_VALUE"""),-0.616199559775142)</f>
        <v>-0.61619955977514196</v>
      </c>
      <c r="AJ46" s="3">
        <f ca="1">IFERROR(__xludf.DUMMYFUNCTION("""COMPUTED_VALUE"""),-0.653082356470275)</f>
        <v>-0.65308235647027502</v>
      </c>
      <c r="AK46" s="3">
        <f ca="1">IFERROR(__xludf.DUMMYFUNCTION("""COMPUTED_VALUE"""),-0.631116904279045)</f>
        <v>-0.63111690427904499</v>
      </c>
      <c r="AL46" s="3">
        <f ca="1">IFERROR(__xludf.DUMMYFUNCTION("""COMPUTED_VALUE"""),-0.634415722234508)</f>
        <v>-0.63441572223450804</v>
      </c>
      <c r="AM46" s="3">
        <f ca="1">IFERROR(__xludf.DUMMYFUNCTION("""COMPUTED_VALUE"""),-0.607460100658697)</f>
        <v>-0.60746010065869704</v>
      </c>
      <c r="AN46" s="3">
        <f ca="1">IFERROR(__xludf.DUMMYFUNCTION("""COMPUTED_VALUE"""),-0.569641026228547)</f>
        <v>-0.56964102622854695</v>
      </c>
      <c r="AO46" s="3">
        <f ca="1">IFERROR(__xludf.DUMMYFUNCTION("""COMPUTED_VALUE"""),-0.630705397378057)</f>
        <v>-0.63070539737805698</v>
      </c>
      <c r="AP46" s="3">
        <f ca="1">IFERROR(__xludf.DUMMYFUNCTION("""COMPUTED_VALUE"""),-0.666943836449901)</f>
        <v>-0.66694383644990096</v>
      </c>
      <c r="AQ46" s="3">
        <f ca="1">IFERROR(__xludf.DUMMYFUNCTION("""COMPUTED_VALUE"""),-0.65576079624144)</f>
        <v>-0.65576079624144001</v>
      </c>
      <c r="AR46" s="3">
        <f ca="1">IFERROR(__xludf.DUMMYFUNCTION("""COMPUTED_VALUE"""),-0.654241045504542)</f>
        <v>-0.65424104550454198</v>
      </c>
      <c r="AS46" s="3">
        <f ca="1">IFERROR(__xludf.DUMMYFUNCTION("""COMPUTED_VALUE"""),-0.62753732495768)</f>
        <v>-0.62753732495768</v>
      </c>
      <c r="AT46" s="3">
        <f ca="1">IFERROR(__xludf.DUMMYFUNCTION("""COMPUTED_VALUE"""),-0.616066269770077)</f>
        <v>-0.61606626977007695</v>
      </c>
      <c r="AU46" s="3">
        <f ca="1">IFERROR(__xludf.DUMMYFUNCTION("""COMPUTED_VALUE"""),-0.585768502840728)</f>
        <v>-0.58576850284072801</v>
      </c>
      <c r="AV46" s="3">
        <f ca="1">IFERROR(__xludf.DUMMYFUNCTION("""COMPUTED_VALUE"""),-0.633903555447014)</f>
        <v>-0.63390355544701404</v>
      </c>
      <c r="AW46" s="3">
        <f ca="1">IFERROR(__xludf.DUMMYFUNCTION("""COMPUTED_VALUE"""),-0.665446914679509)</f>
        <v>-0.66544691467950901</v>
      </c>
      <c r="AX46" s="3">
        <f ca="1">IFERROR(__xludf.DUMMYFUNCTION("""COMPUTED_VALUE"""),-0.615909546803587)</f>
        <v>-0.615909546803587</v>
      </c>
      <c r="AY46" s="3">
        <f ca="1">IFERROR(__xludf.DUMMYFUNCTION("""COMPUTED_VALUE"""),-0.629102097466163)</f>
        <v>-0.62910209746616297</v>
      </c>
      <c r="AZ46" s="3">
        <f ca="1">IFERROR(__xludf.DUMMYFUNCTION("""COMPUTED_VALUE"""),-0.625202076893169)</f>
        <v>-0.62520207689316898</v>
      </c>
      <c r="BA46" s="3">
        <f ca="1">IFERROR(__xludf.DUMMYFUNCTION("""COMPUTED_VALUE"""),-0.615669126344291)</f>
        <v>-0.61566912634429105</v>
      </c>
      <c r="BB46" s="3">
        <f ca="1">IFERROR(__xludf.DUMMYFUNCTION("""COMPUTED_VALUE"""),-0.565250462445785)</f>
        <v>-0.56525046244578503</v>
      </c>
      <c r="BC46" s="3">
        <f ca="1">IFERROR(__xludf.DUMMYFUNCTION("""COMPUTED_VALUE"""),-0.630443735218189)</f>
        <v>-0.63044373521818897</v>
      </c>
      <c r="BD46" s="3">
        <f ca="1">IFERROR(__xludf.DUMMYFUNCTION("""COMPUTED_VALUE"""),-0.649292140256245)</f>
        <v>-0.64929214025624504</v>
      </c>
      <c r="BE46" s="3">
        <f ca="1">IFERROR(__xludf.DUMMYFUNCTION("""COMPUTED_VALUE"""),-0.638359528307042)</f>
        <v>-0.63835952830704201</v>
      </c>
      <c r="BF46" s="3">
        <f ca="1">IFERROR(__xludf.DUMMYFUNCTION("""COMPUTED_VALUE"""),-0.607199037882933)</f>
        <v>-0.60719903788293295</v>
      </c>
      <c r="BG46" s="3">
        <f ca="1">IFERROR(__xludf.DUMMYFUNCTION("""COMPUTED_VALUE"""),-0.675693936637613)</f>
        <v>-0.67569393663761301</v>
      </c>
      <c r="BH46" s="3">
        <f ca="1">IFERROR(__xludf.DUMMYFUNCTION("""COMPUTED_VALUE"""),-0.581965826964103)</f>
        <v>-0.58196582696410304</v>
      </c>
      <c r="BI46" s="3">
        <f ca="1">IFERROR(__xludf.DUMMYFUNCTION("""COMPUTED_VALUE"""),-0.604408147900644)</f>
        <v>-0.60440814790064401</v>
      </c>
      <c r="BJ46" s="3">
        <f ca="1">IFERROR(__xludf.DUMMYFUNCTION("""COMPUTED_VALUE"""),-0.660364702169637)</f>
        <v>-0.66036470216963705</v>
      </c>
      <c r="BK46" s="3">
        <f ca="1">IFERROR(__xludf.DUMMYFUNCTION("""COMPUTED_VALUE"""),-0.698082722656207)</f>
        <v>-0.69808272265620697</v>
      </c>
      <c r="BL46" s="3">
        <f ca="1">IFERROR(__xludf.DUMMYFUNCTION("""COMPUTED_VALUE"""),-0.719776731783184)</f>
        <v>-0.71977673178318402</v>
      </c>
      <c r="BM46" s="3">
        <f ca="1">IFERROR(__xludf.DUMMYFUNCTION("""COMPUTED_VALUE"""),-0.68144534848756)</f>
        <v>-0.68144534848756</v>
      </c>
      <c r="BN46" s="3">
        <f ca="1">IFERROR(__xludf.DUMMYFUNCTION("""COMPUTED_VALUE"""),-0.637597302143003)</f>
        <v>-0.63759730214300303</v>
      </c>
      <c r="BO46" s="3">
        <f ca="1">IFERROR(__xludf.DUMMYFUNCTION("""COMPUTED_VALUE"""),-0.61209472691738)</f>
        <v>-0.61209472691737998</v>
      </c>
      <c r="BP46" s="3">
        <f ca="1">IFERROR(__xludf.DUMMYFUNCTION("""COMPUTED_VALUE"""),-0.592990709613448)</f>
        <v>-0.59299070961344802</v>
      </c>
      <c r="BQ46" s="3">
        <f ca="1">IFERROR(__xludf.DUMMYFUNCTION("""COMPUTED_VALUE"""),-0.643739429105504)</f>
        <v>-0.64373942910550397</v>
      </c>
      <c r="BR46" s="3">
        <f ca="1">IFERROR(__xludf.DUMMYFUNCTION("""COMPUTED_VALUE"""),-0.673524120269726)</f>
        <v>-0.67352412026972597</v>
      </c>
      <c r="BS46" s="3">
        <f ca="1">IFERROR(__xludf.DUMMYFUNCTION("""COMPUTED_VALUE"""),-0.679281361018681)</f>
        <v>-0.67928136101868097</v>
      </c>
      <c r="BT46" s="3">
        <f ca="1">IFERROR(__xludf.DUMMYFUNCTION("""COMPUTED_VALUE"""),-0.653756440858303)</f>
        <v>-0.65375644085830298</v>
      </c>
      <c r="BU46" s="3">
        <f ca="1">IFERROR(__xludf.DUMMYFUNCTION("""COMPUTED_VALUE"""),-0.673612646610477)</f>
        <v>-0.67361264661047704</v>
      </c>
      <c r="BV46" s="3">
        <f ca="1">IFERROR(__xludf.DUMMYFUNCTION("""COMPUTED_VALUE"""),-0.64217641859845)</f>
        <v>-0.64217641859844998</v>
      </c>
      <c r="BW46" s="3">
        <f ca="1">IFERROR(__xludf.DUMMYFUNCTION("""COMPUTED_VALUE"""),-0.621607694571434)</f>
        <v>-0.62160769457143406</v>
      </c>
      <c r="BX46" s="3">
        <f ca="1">IFERROR(__xludf.DUMMYFUNCTION("""COMPUTED_VALUE"""),-0.668086768560007)</f>
        <v>-0.66808676856000704</v>
      </c>
      <c r="BY46" s="3">
        <f ca="1">IFERROR(__xludf.DUMMYFUNCTION("""COMPUTED_VALUE"""),-0.693712057897086)</f>
        <v>-0.69371205789708601</v>
      </c>
      <c r="BZ46" s="3">
        <f ca="1">IFERROR(__xludf.DUMMYFUNCTION("""COMPUTED_VALUE"""),-0.697220839868059)</f>
        <v>-0.69722083986805905</v>
      </c>
      <c r="CA46" s="3">
        <f ca="1">IFERROR(__xludf.DUMMYFUNCTION("""COMPUTED_VALUE"""),-0.691443706551677)</f>
        <v>-0.69144370655167697</v>
      </c>
      <c r="CB46" s="3">
        <f ca="1">IFERROR(__xludf.DUMMYFUNCTION("""COMPUTED_VALUE"""),-0.668529409857571)</f>
        <v>-0.66852940985757103</v>
      </c>
      <c r="CC46" s="3">
        <f ca="1">IFERROR(__xludf.DUMMYFUNCTION("""COMPUTED_VALUE"""),-0.64518960485625)</f>
        <v>-0.64518960485624999</v>
      </c>
      <c r="CD46" s="3">
        <f ca="1">IFERROR(__xludf.DUMMYFUNCTION("""COMPUTED_VALUE"""),-0.612828501056028)</f>
        <v>-0.61282850105602804</v>
      </c>
      <c r="CE46" s="3">
        <f ca="1">IFERROR(__xludf.DUMMYFUNCTION("""COMPUTED_VALUE"""),-0.65244204912399)</f>
        <v>-0.65244204912398995</v>
      </c>
      <c r="CF46" s="3">
        <f ca="1">IFERROR(__xludf.DUMMYFUNCTION("""COMPUTED_VALUE"""),-0.699877784905246)</f>
        <v>-0.69987778490524599</v>
      </c>
      <c r="CG46" s="3">
        <f ca="1">IFERROR(__xludf.DUMMYFUNCTION("""COMPUTED_VALUE"""),-0.689142224856761)</f>
        <v>-0.68914222485676102</v>
      </c>
      <c r="CH46" s="3">
        <f ca="1">IFERROR(__xludf.DUMMYFUNCTION("""COMPUTED_VALUE"""),-0.683858400627218)</f>
        <v>-0.68385840062721803</v>
      </c>
      <c r="CI46" s="3">
        <f ca="1">IFERROR(__xludf.DUMMYFUNCTION("""COMPUTED_VALUE"""),-0.658649378642784)</f>
        <v>-0.65864937864278394</v>
      </c>
      <c r="CJ46" s="3">
        <f ca="1">IFERROR(__xludf.DUMMYFUNCTION("""COMPUTED_VALUE"""),-0.640662760896979)</f>
        <v>-0.64066276089697904</v>
      </c>
      <c r="CK46" s="3">
        <f ca="1">IFERROR(__xludf.DUMMYFUNCTION("""COMPUTED_VALUE"""),-0.612967581953628)</f>
        <v>-0.61296758195362799</v>
      </c>
      <c r="CL46" s="3">
        <f ca="1">IFERROR(__xludf.DUMMYFUNCTION("""COMPUTED_VALUE"""),-0.655887419444473)</f>
        <v>-0.65588741944447304</v>
      </c>
      <c r="CM46" s="3">
        <f ca="1">IFERROR(__xludf.DUMMYFUNCTION("""COMPUTED_VALUE"""),-0.704531657430944)</f>
        <v>-0.70453165743094404</v>
      </c>
      <c r="CN46" s="3">
        <f ca="1">IFERROR(__xludf.DUMMYFUNCTION("""COMPUTED_VALUE"""),-0.71353064599821)</f>
        <v>-0.71353064599821003</v>
      </c>
      <c r="CO46" s="3">
        <f ca="1">IFERROR(__xludf.DUMMYFUNCTION("""COMPUTED_VALUE"""),-0.702166094188563)</f>
        <v>-0.70216609418856302</v>
      </c>
      <c r="CP46" s="3">
        <f ca="1">IFERROR(__xludf.DUMMYFUNCTION("""COMPUTED_VALUE"""),-0.687084179523165)</f>
        <v>-0.68708417952316503</v>
      </c>
      <c r="CQ46" s="3">
        <f ca="1">IFERROR(__xludf.DUMMYFUNCTION("""COMPUTED_VALUE"""),-0.590910590416273)</f>
        <v>-0.59091059041627303</v>
      </c>
      <c r="CR46" s="3">
        <f ca="1">IFERROR(__xludf.DUMMYFUNCTION("""COMPUTED_VALUE"""),-0.593723770388838)</f>
        <v>-0.59372377038883795</v>
      </c>
      <c r="CS46" s="3">
        <f ca="1">IFERROR(__xludf.DUMMYFUNCTION("""COMPUTED_VALUE"""),-0.614541673972765)</f>
        <v>-0.61454167397276505</v>
      </c>
      <c r="CT46" s="3">
        <f ca="1">IFERROR(__xludf.DUMMYFUNCTION("""COMPUTED_VALUE"""),-0.638026656267163)</f>
        <v>-0.63802665626716304</v>
      </c>
      <c r="CU46" s="3">
        <f ca="1">IFERROR(__xludf.DUMMYFUNCTION("""COMPUTED_VALUE"""),-0.616438067291869)</f>
        <v>-0.61643806729186901</v>
      </c>
      <c r="CV46" s="3">
        <f ca="1">IFERROR(__xludf.DUMMYFUNCTION("""COMPUTED_VALUE"""),-0.628434399525468)</f>
        <v>-0.62843439952546798</v>
      </c>
      <c r="CW46" s="3">
        <f ca="1">IFERROR(__xludf.DUMMYFUNCTION("""COMPUTED_VALUE"""),-0.606049711432392)</f>
        <v>-0.60604971143239195</v>
      </c>
      <c r="CX46" s="3">
        <f ca="1">IFERROR(__xludf.DUMMYFUNCTION("""COMPUTED_VALUE"""),-0.568164937741423)</f>
        <v>-0.56816493774142296</v>
      </c>
      <c r="CY46" s="3">
        <f ca="1">IFERROR(__xludf.DUMMYFUNCTION("""COMPUTED_VALUE"""),-0.587592146629872)</f>
        <v>-0.58759214662987203</v>
      </c>
      <c r="CZ46" s="3">
        <f ca="1">IFERROR(__xludf.DUMMYFUNCTION("""COMPUTED_VALUE"""),-0.728529493950081)</f>
        <v>-0.72852949395008104</v>
      </c>
      <c r="DA46" s="3">
        <f ca="1">IFERROR(__xludf.DUMMYFUNCTION("""COMPUTED_VALUE"""),-0.605868513078634)</f>
        <v>-0.60586851307863399</v>
      </c>
      <c r="DB46" s="3">
        <f ca="1">IFERROR(__xludf.DUMMYFUNCTION("""COMPUTED_VALUE"""),-0.469417325011033)</f>
        <v>-0.469417325011033</v>
      </c>
      <c r="DC46" s="3">
        <f ca="1">IFERROR(__xludf.DUMMYFUNCTION("""COMPUTED_VALUE"""),-0.61465650235985)</f>
        <v>-0.61465650235985003</v>
      </c>
      <c r="DD46" s="3">
        <f ca="1">IFERROR(__xludf.DUMMYFUNCTION("""COMPUTED_VALUE"""),-0.600381682453593)</f>
        <v>-0.60038168245359302</v>
      </c>
      <c r="DE46" s="3">
        <f ca="1">IFERROR(__xludf.DUMMYFUNCTION("""COMPUTED_VALUE"""),-0.562073481154459)</f>
        <v>-0.56207348115445899</v>
      </c>
      <c r="DF46" s="3">
        <f ca="1">IFERROR(__xludf.DUMMYFUNCTION("""COMPUTED_VALUE"""),-0.524077415809319)</f>
        <v>-0.52407741580931899</v>
      </c>
      <c r="DG46" s="3">
        <f ca="1">IFERROR(__xludf.DUMMYFUNCTION("""COMPUTED_VALUE"""),-0.928454077848267)</f>
        <v>-0.92845407784826695</v>
      </c>
      <c r="DH46" s="3">
        <f ca="1">IFERROR(__xludf.DUMMYFUNCTION("""COMPUTED_VALUE"""),-0.548609375068644)</f>
        <v>-0.54860937506864405</v>
      </c>
      <c r="DI46" s="3">
        <f ca="1">IFERROR(__xludf.DUMMYFUNCTION("""COMPUTED_VALUE"""),-0.19126551560646)</f>
        <v>-0.19126551560645999</v>
      </c>
      <c r="DJ46" s="3">
        <f ca="1">IFERROR(__xludf.DUMMYFUNCTION("""COMPUTED_VALUE"""),-0.38289621380606)</f>
        <v>-0.38289621380605998</v>
      </c>
      <c r="DK46" s="3">
        <f ca="1">IFERROR(__xludf.DUMMYFUNCTION("""COMPUTED_VALUE"""),-0.426629264894685)</f>
        <v>-0.426629264894685</v>
      </c>
      <c r="DL46" s="3">
        <f ca="1">IFERROR(__xludf.DUMMYFUNCTION("""COMPUTED_VALUE"""),-0.507654656306191)</f>
        <v>-0.507654656306191</v>
      </c>
      <c r="DM46" s="3">
        <f ca="1">IFERROR(__xludf.DUMMYFUNCTION("""COMPUTED_VALUE"""),-0.542157730619142)</f>
        <v>-0.54215773061914196</v>
      </c>
      <c r="DN46" s="3">
        <f ca="1">IFERROR(__xludf.DUMMYFUNCTION("""COMPUTED_VALUE"""),-0.458559702717773)</f>
        <v>-0.45855970271777302</v>
      </c>
      <c r="DO46" s="3">
        <f ca="1">IFERROR(__xludf.DUMMYFUNCTION("""COMPUTED_VALUE"""),-0.482675600486304)</f>
        <v>-0.48267560048630398</v>
      </c>
      <c r="DP46" s="3">
        <f ca="1">IFERROR(__xludf.DUMMYFUNCTION("""COMPUTED_VALUE"""),-0.366451276666458)</f>
        <v>-0.36645127666645799</v>
      </c>
      <c r="DQ46" s="3">
        <f ca="1">IFERROR(__xludf.DUMMYFUNCTION("""COMPUTED_VALUE"""),-0.470654479023194)</f>
        <v>-0.47065447902319402</v>
      </c>
      <c r="DR46" s="3">
        <f ca="1">IFERROR(__xludf.DUMMYFUNCTION("""COMPUTED_VALUE"""),-0.513302051017815)</f>
        <v>-0.51330205101781501</v>
      </c>
      <c r="DS46" s="3">
        <f ca="1">IFERROR(__xludf.DUMMYFUNCTION("""COMPUTED_VALUE"""),-0.601073258706787)</f>
        <v>-0.60107325870678696</v>
      </c>
      <c r="DT46" s="3">
        <f ca="1">IFERROR(__xludf.DUMMYFUNCTION("""COMPUTED_VALUE"""),-0.555877064356019)</f>
        <v>-0.55587706435601902</v>
      </c>
      <c r="DU46" s="3">
        <f ca="1">IFERROR(__xludf.DUMMYFUNCTION("""COMPUTED_VALUE"""),-0.579905669033951)</f>
        <v>-0.57990566903395102</v>
      </c>
      <c r="DV46" s="3">
        <f ca="1">IFERROR(__xludf.DUMMYFUNCTION("""COMPUTED_VALUE"""),-0.533228965681586)</f>
        <v>-0.53322896568158595</v>
      </c>
      <c r="DW46" s="3">
        <f ca="1">IFERROR(__xludf.DUMMYFUNCTION("""COMPUTED_VALUE"""),-0.560816647716048)</f>
        <v>-0.560816647716048</v>
      </c>
      <c r="DX46" s="3">
        <f ca="1">IFERROR(__xludf.DUMMYFUNCTION("""COMPUTED_VALUE"""),-0.567478806995261)</f>
        <v>-0.56747880699526099</v>
      </c>
      <c r="DY46" s="3">
        <f ca="1">IFERROR(__xludf.DUMMYFUNCTION("""COMPUTED_VALUE"""),-0.600903998168019)</f>
        <v>-0.60090399816801898</v>
      </c>
      <c r="DZ46" s="3">
        <f ca="1">IFERROR(__xludf.DUMMYFUNCTION("""COMPUTED_VALUE"""),-0.586378803532557)</f>
        <v>-0.586378803532557</v>
      </c>
      <c r="EA46" s="3">
        <f ca="1">IFERROR(__xludf.DUMMYFUNCTION("""COMPUTED_VALUE"""),-0.593560196426387)</f>
        <v>-0.59356019642638702</v>
      </c>
      <c r="EB46" s="3">
        <f ca="1">IFERROR(__xludf.DUMMYFUNCTION("""COMPUTED_VALUE"""),-0.611329984488096)</f>
        <v>-0.61132998448809595</v>
      </c>
      <c r="EC46" s="3">
        <f ca="1">IFERROR(__xludf.DUMMYFUNCTION("""COMPUTED_VALUE"""),-0.604608929968918)</f>
        <v>-0.60460892996891802</v>
      </c>
      <c r="ED46" s="3">
        <f ca="1">IFERROR(__xludf.DUMMYFUNCTION("""COMPUTED_VALUE"""),-0.614945783852904)</f>
        <v>-0.61494578385290399</v>
      </c>
      <c r="EE46" s="3">
        <f ca="1">IFERROR(__xludf.DUMMYFUNCTION("""COMPUTED_VALUE"""),-0.599884635617313)</f>
        <v>-0.59988463561731298</v>
      </c>
      <c r="EF46" s="3">
        <f ca="1">IFERROR(__xludf.DUMMYFUNCTION("""COMPUTED_VALUE"""),-0.579864191419574)</f>
        <v>-0.57986419141957402</v>
      </c>
      <c r="EG46" s="3">
        <f ca="1">IFERROR(__xludf.DUMMYFUNCTION("""COMPUTED_VALUE"""),-0.62780345944604)</f>
        <v>-0.62780345944603999</v>
      </c>
      <c r="EH46" s="3">
        <f ca="1">IFERROR(__xludf.DUMMYFUNCTION("""COMPUTED_VALUE"""),-0.607933548866695)</f>
        <v>-0.60793354886669504</v>
      </c>
      <c r="EI46" s="3">
        <f ca="1">IFERROR(__xludf.DUMMYFUNCTION("""COMPUTED_VALUE"""),-0.593891693331964)</f>
        <v>-0.59389169333196401</v>
      </c>
      <c r="EJ46" s="3">
        <f ca="1">IFERROR(__xludf.DUMMYFUNCTION("""COMPUTED_VALUE"""),-0.598026360147098)</f>
        <v>-0.59802636014709798</v>
      </c>
      <c r="EK46" s="3">
        <f ca="1">IFERROR(__xludf.DUMMYFUNCTION("""COMPUTED_VALUE"""),-0.617543752591577)</f>
        <v>-0.61754375259157701</v>
      </c>
      <c r="EL46" s="3">
        <f ca="1">IFERROR(__xludf.DUMMYFUNCTION("""COMPUTED_VALUE"""),-0.623828477408653)</f>
        <v>-0.62382847740865299</v>
      </c>
      <c r="EM46" s="3">
        <f ca="1">IFERROR(__xludf.DUMMYFUNCTION("""COMPUTED_VALUE"""),-0.632262290057176)</f>
        <v>-0.63226229005717605</v>
      </c>
      <c r="EN46" s="3">
        <f ca="1">IFERROR(__xludf.DUMMYFUNCTION("""COMPUTED_VALUE"""),-0.627167281327503)</f>
        <v>-0.62716728132750299</v>
      </c>
      <c r="EO46" s="3">
        <f ca="1">IFERROR(__xludf.DUMMYFUNCTION("""COMPUTED_VALUE"""),-0.596173639431664)</f>
        <v>-0.59617363943166402</v>
      </c>
      <c r="EP46" s="3">
        <f ca="1">IFERROR(__xludf.DUMMYFUNCTION("""COMPUTED_VALUE"""),-0.634144000911911)</f>
        <v>-0.63414400091191103</v>
      </c>
      <c r="EQ46" s="3">
        <f ca="1">IFERROR(__xludf.DUMMYFUNCTION("""COMPUTED_VALUE"""),-0.602360884545187)</f>
        <v>-0.60236088454518699</v>
      </c>
      <c r="ER46" s="3">
        <f ca="1">IFERROR(__xludf.DUMMYFUNCTION("""COMPUTED_VALUE"""),-0.617261995468942)</f>
        <v>-0.617261995468942</v>
      </c>
      <c r="ES46" s="3">
        <f ca="1">IFERROR(__xludf.DUMMYFUNCTION("""COMPUTED_VALUE"""),-0.647255653188201)</f>
        <v>-0.647255653188201</v>
      </c>
      <c r="ET46" s="3">
        <f ca="1">IFERROR(__xludf.DUMMYFUNCTION("""COMPUTED_VALUE"""),-0.592263110111368)</f>
        <v>-0.59226311011136801</v>
      </c>
      <c r="EU46" s="3">
        <f ca="1">IFERROR(__xludf.DUMMYFUNCTION("""COMPUTED_VALUE"""),-0.613401281726716)</f>
        <v>-0.61340128172671604</v>
      </c>
      <c r="EV46" s="3">
        <f ca="1">IFERROR(__xludf.DUMMYFUNCTION("""COMPUTED_VALUE"""),-0.527954760085816)</f>
        <v>-0.52795476008581599</v>
      </c>
      <c r="EW46" s="3">
        <f ca="1">IFERROR(__xludf.DUMMYFUNCTION("""COMPUTED_VALUE"""),-0.585336410125493)</f>
        <v>-0.58533641012549298</v>
      </c>
      <c r="EX46" s="3">
        <f ca="1">IFERROR(__xludf.DUMMYFUNCTION("""COMPUTED_VALUE"""),-0.630936010306957)</f>
        <v>-0.63093601030695701</v>
      </c>
      <c r="EY46" s="3">
        <f ca="1">IFERROR(__xludf.DUMMYFUNCTION("""COMPUTED_VALUE"""),-0.652347064214246)</f>
        <v>-0.65234706421424604</v>
      </c>
      <c r="EZ46" s="3">
        <f ca="1">IFERROR(__xludf.DUMMYFUNCTION("""COMPUTED_VALUE"""),-0.604125401265662)</f>
        <v>-0.60412540126566205</v>
      </c>
      <c r="FA46" s="3">
        <f ca="1">IFERROR(__xludf.DUMMYFUNCTION("""COMPUTED_VALUE"""),-0.601401944705469)</f>
        <v>-0.60140194470546904</v>
      </c>
      <c r="FB46" s="3">
        <f ca="1">IFERROR(__xludf.DUMMYFUNCTION("""COMPUTED_VALUE"""),-0.596929683932858)</f>
        <v>-0.59692968393285795</v>
      </c>
      <c r="FC46" s="3">
        <f ca="1">IFERROR(__xludf.DUMMYFUNCTION("""COMPUTED_VALUE"""),-0.512353284125803)</f>
        <v>-0.51235328412580305</v>
      </c>
      <c r="FD46" s="3">
        <f ca="1">IFERROR(__xludf.DUMMYFUNCTION("""COMPUTED_VALUE"""),-0.583292619366393)</f>
        <v>-0.58329261936639298</v>
      </c>
      <c r="FE46" s="3">
        <f ca="1">IFERROR(__xludf.DUMMYFUNCTION("""COMPUTED_VALUE"""),-0.623184806171578)</f>
        <v>-0.62318480617157801</v>
      </c>
      <c r="FF46" s="3">
        <f ca="1">IFERROR(__xludf.DUMMYFUNCTION("""COMPUTED_VALUE"""),-0.615804629742809)</f>
        <v>-0.61580462974280903</v>
      </c>
      <c r="FG46" s="3">
        <f ca="1">IFERROR(__xludf.DUMMYFUNCTION("""COMPUTED_VALUE"""),-0.628281551629932)</f>
        <v>-0.62828155162993204</v>
      </c>
      <c r="FH46" s="3">
        <f ca="1">IFERROR(__xludf.DUMMYFUNCTION("""COMPUTED_VALUE"""),-0.584135012157751)</f>
        <v>-0.58413501215775099</v>
      </c>
      <c r="FI46" s="3">
        <f ca="1">IFERROR(__xludf.DUMMYFUNCTION("""COMPUTED_VALUE"""),-0.56602597605188)</f>
        <v>-0.56602597605187999</v>
      </c>
      <c r="FJ46" s="3">
        <f ca="1">IFERROR(__xludf.DUMMYFUNCTION("""COMPUTED_VALUE"""),-0.510910410325754)</f>
        <v>-0.51091041032575402</v>
      </c>
      <c r="FK46" s="3">
        <f ca="1">IFERROR(__xludf.DUMMYFUNCTION("""COMPUTED_VALUE"""),-0.596519850648645)</f>
        <v>-0.59651985064864499</v>
      </c>
      <c r="FL46" s="3">
        <f ca="1">IFERROR(__xludf.DUMMYFUNCTION("""COMPUTED_VALUE"""),-0.627087930803947)</f>
        <v>-0.62708793080394698</v>
      </c>
      <c r="FM46" s="3">
        <f ca="1">IFERROR(__xludf.DUMMYFUNCTION("""COMPUTED_VALUE"""),-0.619275936117273)</f>
        <v>-0.61927593611727305</v>
      </c>
      <c r="FN46" s="3">
        <f ca="1">IFERROR(__xludf.DUMMYFUNCTION("""COMPUTED_VALUE"""),-0.607768234303095)</f>
        <v>-0.60776823430309501</v>
      </c>
      <c r="FO46" s="3">
        <f ca="1">IFERROR(__xludf.DUMMYFUNCTION("""COMPUTED_VALUE"""),-0.605757056491248)</f>
        <v>-0.605757056491248</v>
      </c>
      <c r="FP46" s="3">
        <f ca="1">IFERROR(__xludf.DUMMYFUNCTION("""COMPUTED_VALUE"""),-0.573764806865076)</f>
        <v>-0.57376480686507603</v>
      </c>
      <c r="FQ46" s="3">
        <f ca="1">IFERROR(__xludf.DUMMYFUNCTION("""COMPUTED_VALUE"""),-0.552542539870477)</f>
        <v>-0.55254253987047697</v>
      </c>
      <c r="FR46" s="3">
        <f ca="1">IFERROR(__xludf.DUMMYFUNCTION("""COMPUTED_VALUE"""),-0.574584292825799)</f>
        <v>-0.57458429282579904</v>
      </c>
      <c r="FS46" s="3">
        <f ca="1">IFERROR(__xludf.DUMMYFUNCTION("""COMPUTED_VALUE"""),-0.61482669329655)</f>
        <v>-0.61482669329655004</v>
      </c>
      <c r="FT46" s="3">
        <f ca="1">IFERROR(__xludf.DUMMYFUNCTION("""COMPUTED_VALUE"""),-0.617821049201882)</f>
        <v>-0.61782104920188197</v>
      </c>
      <c r="FU46" s="3">
        <f ca="1">IFERROR(__xludf.DUMMYFUNCTION("""COMPUTED_VALUE"""),-0.623432318064457)</f>
        <v>-0.62343231806445698</v>
      </c>
      <c r="FV46" s="3">
        <f ca="1">IFERROR(__xludf.DUMMYFUNCTION("""COMPUTED_VALUE"""),-0.561052060465634)</f>
        <v>-0.56105206046563405</v>
      </c>
      <c r="FW46" s="3">
        <f ca="1">IFERROR(__xludf.DUMMYFUNCTION("""COMPUTED_VALUE"""),-0.562017989765801)</f>
        <v>-0.56201798976580097</v>
      </c>
      <c r="FX46" s="3">
        <f ca="1">IFERROR(__xludf.DUMMYFUNCTION("""COMPUTED_VALUE"""),-0.521199994103339)</f>
        <v>-0.52119999410333895</v>
      </c>
      <c r="FY46" s="3">
        <f ca="1">IFERROR(__xludf.DUMMYFUNCTION("""COMPUTED_VALUE"""),-0.621301062583471)</f>
        <v>-0.62130106258347095</v>
      </c>
      <c r="FZ46" s="3">
        <f ca="1">IFERROR(__xludf.DUMMYFUNCTION("""COMPUTED_VALUE"""),-0.655011669819524)</f>
        <v>-0.65501166981952397</v>
      </c>
      <c r="GA46" s="3">
        <f ca="1">IFERROR(__xludf.DUMMYFUNCTION("""COMPUTED_VALUE"""),-0.655916672682897)</f>
        <v>-0.655916672682897</v>
      </c>
      <c r="GB46" s="3">
        <f ca="1">IFERROR(__xludf.DUMMYFUNCTION("""COMPUTED_VALUE"""),-0.649487556193877)</f>
        <v>-0.64948755619387699</v>
      </c>
      <c r="GC46" s="3">
        <f ca="1">IFERROR(__xludf.DUMMYFUNCTION("""COMPUTED_VALUE"""),-0.705368194899315)</f>
        <v>-0.70536819489931502</v>
      </c>
      <c r="GD46" s="3">
        <f ca="1">IFERROR(__xludf.DUMMYFUNCTION("""COMPUTED_VALUE"""),-0.618905145882142)</f>
        <v>-0.61890514588214196</v>
      </c>
      <c r="GE46" s="3">
        <f ca="1">IFERROR(__xludf.DUMMYFUNCTION("""COMPUTED_VALUE"""),-0.584344721354076)</f>
        <v>-0.584344721354076</v>
      </c>
      <c r="GF46" s="3">
        <f ca="1">IFERROR(__xludf.DUMMYFUNCTION("""COMPUTED_VALUE"""),-0.658648394806137)</f>
        <v>-0.65864839480613702</v>
      </c>
      <c r="GG46" s="3">
        <f ca="1">IFERROR(__xludf.DUMMYFUNCTION("""COMPUTED_VALUE"""),-0.671777446497236)</f>
        <v>-0.67177744649723603</v>
      </c>
      <c r="GH46" s="3">
        <f ca="1">IFERROR(__xludf.DUMMYFUNCTION("""COMPUTED_VALUE"""),-0.640537500080804)</f>
        <v>-0.64053750008080401</v>
      </c>
      <c r="GI46" s="3">
        <f ca="1">IFERROR(__xludf.DUMMYFUNCTION("""COMPUTED_VALUE"""),-0.625472533093824)</f>
        <v>-0.625472533093824</v>
      </c>
      <c r="GJ46" s="3">
        <f ca="1">IFERROR(__xludf.DUMMYFUNCTION("""COMPUTED_VALUE"""),-0.564056900619833)</f>
        <v>-0.56405690061983305</v>
      </c>
      <c r="GK46" s="3">
        <f ca="1">IFERROR(__xludf.DUMMYFUNCTION("""COMPUTED_VALUE"""),-0.566457723205441)</f>
        <v>-0.56645772320544097</v>
      </c>
      <c r="GL46" s="3">
        <f ca="1">IFERROR(__xludf.DUMMYFUNCTION("""COMPUTED_VALUE"""),-0.549046470779273)</f>
        <v>-0.54904647077927304</v>
      </c>
      <c r="GM46" s="3">
        <f ca="1">IFERROR(__xludf.DUMMYFUNCTION("""COMPUTED_VALUE"""),-0.626122681124189)</f>
        <v>-0.62612268112418901</v>
      </c>
      <c r="GN46" s="3">
        <f ca="1">IFERROR(__xludf.DUMMYFUNCTION("""COMPUTED_VALUE"""),-0.643271053482682)</f>
        <v>-0.64327105348268199</v>
      </c>
      <c r="GO46" s="3">
        <f ca="1">IFERROR(__xludf.DUMMYFUNCTION("""COMPUTED_VALUE"""),-0.640971966493369)</f>
        <v>-0.64097196649336896</v>
      </c>
      <c r="GP46" s="3">
        <f ca="1">IFERROR(__xludf.DUMMYFUNCTION("""COMPUTED_VALUE"""),-0.636819273174972)</f>
        <v>-0.636819273174972</v>
      </c>
      <c r="GQ46" s="3">
        <f ca="1">IFERROR(__xludf.DUMMYFUNCTION("""COMPUTED_VALUE"""),-0.652403681657806)</f>
        <v>-0.65240368165780604</v>
      </c>
      <c r="GR46" s="3">
        <f ca="1">IFERROR(__xludf.DUMMYFUNCTION("""COMPUTED_VALUE"""),-0.538401794249269)</f>
        <v>-0.53840179424926904</v>
      </c>
      <c r="GS46" s="3">
        <f ca="1">IFERROR(__xludf.DUMMYFUNCTION("""COMPUTED_VALUE"""),-0.560345915342954)</f>
        <v>-0.56034591534295397</v>
      </c>
      <c r="GT46" s="3">
        <f ca="1">IFERROR(__xludf.DUMMYFUNCTION("""COMPUTED_VALUE"""),-0.600857147837464)</f>
        <v>-0.60085714783746402</v>
      </c>
      <c r="GU46" s="3">
        <f ca="1">IFERROR(__xludf.DUMMYFUNCTION("""COMPUTED_VALUE"""),-0.62221425875726)</f>
        <v>-0.62221425875726</v>
      </c>
      <c r="GV46" s="3">
        <f ca="1">IFERROR(__xludf.DUMMYFUNCTION("""COMPUTED_VALUE"""),-0.60881135687774)</f>
        <v>-0.60881135687774002</v>
      </c>
      <c r="GW46" s="3">
        <f ca="1">IFERROR(__xludf.DUMMYFUNCTION("""COMPUTED_VALUE"""),-0.620130283778088)</f>
        <v>-0.62013028377808799</v>
      </c>
      <c r="GX46" s="3">
        <f ca="1">IFERROR(__xludf.DUMMYFUNCTION("""COMPUTED_VALUE"""),-0.620623870194571)</f>
        <v>-0.62062387019457099</v>
      </c>
      <c r="GY46" s="3">
        <f ca="1">IFERROR(__xludf.DUMMYFUNCTION("""COMPUTED_VALUE"""),-0.543917442281128)</f>
        <v>-0.54391744228112804</v>
      </c>
      <c r="GZ46" s="3">
        <f ca="1">IFERROR(__xludf.DUMMYFUNCTION("""COMPUTED_VALUE"""),-0.561396908002167)</f>
        <v>-0.56139690800216702</v>
      </c>
      <c r="HA46" s="3">
        <f ca="1">IFERROR(__xludf.DUMMYFUNCTION("""COMPUTED_VALUE"""),-0.619211124899991)</f>
        <v>-0.61921112489999097</v>
      </c>
      <c r="HB46" s="3">
        <f ca="1">IFERROR(__xludf.DUMMYFUNCTION("""COMPUTED_VALUE"""),-0.62800451588461)</f>
        <v>-0.62800451588461004</v>
      </c>
      <c r="HC46" s="3">
        <f ca="1">IFERROR(__xludf.DUMMYFUNCTION("""COMPUTED_VALUE"""),-0.614874928583467)</f>
        <v>-0.61487492858346704</v>
      </c>
      <c r="HD46" s="3">
        <f ca="1">IFERROR(__xludf.DUMMYFUNCTION("""COMPUTED_VALUE"""),-0.614719318816755)</f>
        <v>-0.61471931881675501</v>
      </c>
      <c r="HE46" s="3">
        <f ca="1">IFERROR(__xludf.DUMMYFUNCTION("""COMPUTED_VALUE"""),-0.630020726654994)</f>
        <v>-0.63002072665499398</v>
      </c>
      <c r="HF46" s="3">
        <f ca="1">IFERROR(__xludf.DUMMYFUNCTION("""COMPUTED_VALUE"""),-0.533604263186455)</f>
        <v>-0.53360426318645504</v>
      </c>
      <c r="HG46" s="3">
        <f ca="1">IFERROR(__xludf.DUMMYFUNCTION("""COMPUTED_VALUE"""),-0.543271751284987)</f>
        <v>-0.54327175128498695</v>
      </c>
      <c r="HH46" s="3">
        <f ca="1">IFERROR(__xludf.DUMMYFUNCTION("""COMPUTED_VALUE"""),-0.594147474847432)</f>
        <v>-0.59414747484743202</v>
      </c>
      <c r="HI46" s="3">
        <f ca="1">IFERROR(__xludf.DUMMYFUNCTION("""COMPUTED_VALUE"""),-0.608559050554249)</f>
        <v>-0.60855905055424897</v>
      </c>
      <c r="HJ46" s="3">
        <f ca="1">IFERROR(__xludf.DUMMYFUNCTION("""COMPUTED_VALUE"""),-0.632606446532975)</f>
        <v>-0.63260644653297504</v>
      </c>
      <c r="HK46" s="3">
        <f ca="1">IFERROR(__xludf.DUMMYFUNCTION("""COMPUTED_VALUE"""),-0.595240848054864)</f>
        <v>-0.59524084805486399</v>
      </c>
      <c r="HL46" s="3">
        <f ca="1">IFERROR(__xludf.DUMMYFUNCTION("""COMPUTED_VALUE"""),-0.660659264687666)</f>
        <v>-0.660659264687666</v>
      </c>
      <c r="HM46" s="3">
        <f ca="1">IFERROR(__xludf.DUMMYFUNCTION("""COMPUTED_VALUE"""),-0.538040527184411)</f>
        <v>-0.53804052718441098</v>
      </c>
      <c r="HN46" s="3">
        <f ca="1">IFERROR(__xludf.DUMMYFUNCTION("""COMPUTED_VALUE"""),-0.547825995336108)</f>
        <v>-0.54782599533610798</v>
      </c>
      <c r="HO46" s="3">
        <f ca="1">IFERROR(__xludf.DUMMYFUNCTION("""COMPUTED_VALUE"""),-0.606754794951048)</f>
        <v>-0.606754794951048</v>
      </c>
      <c r="HP46" s="3">
        <f ca="1">IFERROR(__xludf.DUMMYFUNCTION("""COMPUTED_VALUE"""),-0.607752065657809)</f>
        <v>-0.60775206565780904</v>
      </c>
      <c r="HQ46" s="3">
        <f ca="1">IFERROR(__xludf.DUMMYFUNCTION("""COMPUTED_VALUE"""),-0.597125629950443)</f>
        <v>-0.59712562995044305</v>
      </c>
      <c r="HR46" s="3">
        <f ca="1">IFERROR(__xludf.DUMMYFUNCTION("""COMPUTED_VALUE"""),-0.579133572126475)</f>
        <v>-0.57913357212647498</v>
      </c>
      <c r="HS46" s="3">
        <f ca="1">IFERROR(__xludf.DUMMYFUNCTION("""COMPUTED_VALUE"""),-0.542486108903232)</f>
        <v>-0.54248610890323201</v>
      </c>
      <c r="HT46" s="3">
        <f ca="1">IFERROR(__xludf.DUMMYFUNCTION("""COMPUTED_VALUE"""),-0.551914181088122)</f>
        <v>-0.55191418108812196</v>
      </c>
      <c r="HU46" s="3">
        <f ca="1">IFERROR(__xludf.DUMMYFUNCTION("""COMPUTED_VALUE"""),-0.482991497860032)</f>
        <v>-0.48299149786003198</v>
      </c>
      <c r="HV46" s="3">
        <f ca="1">IFERROR(__xludf.DUMMYFUNCTION("""COMPUTED_VALUE"""),-0.525274262793031)</f>
        <v>-0.52527426279303102</v>
      </c>
      <c r="HW46" s="3">
        <f ca="1">IFERROR(__xludf.DUMMYFUNCTION("""COMPUTED_VALUE"""),-0.555494983841965)</f>
        <v>-0.55549498384196505</v>
      </c>
      <c r="HX46" s="3">
        <f ca="1">IFERROR(__xludf.DUMMYFUNCTION("""COMPUTED_VALUE"""),-0.534533840628327)</f>
        <v>-0.53453384062832698</v>
      </c>
      <c r="HY46" s="3">
        <f ca="1">IFERROR(__xludf.DUMMYFUNCTION("""COMPUTED_VALUE"""),-0.493661561806184)</f>
        <v>-0.49366156180618398</v>
      </c>
      <c r="HZ46" s="3">
        <f ca="1">IFERROR(__xludf.DUMMYFUNCTION("""COMPUTED_VALUE"""),-0.447051067270769)</f>
        <v>-0.44705106727076899</v>
      </c>
      <c r="IA46" s="3">
        <f ca="1">IFERROR(__xludf.DUMMYFUNCTION("""COMPUTED_VALUE"""),-0.466961729027329)</f>
        <v>-0.46696172902732902</v>
      </c>
      <c r="IB46" s="3">
        <f ca="1">IFERROR(__xludf.DUMMYFUNCTION("""COMPUTED_VALUE"""),-0.406045345941659)</f>
        <v>-0.40604534594165897</v>
      </c>
      <c r="IC46" s="3">
        <f ca="1">IFERROR(__xludf.DUMMYFUNCTION("""COMPUTED_VALUE"""),-0.451680823131357)</f>
        <v>-0.45168082313135699</v>
      </c>
      <c r="ID46" s="3">
        <f ca="1">IFERROR(__xludf.DUMMYFUNCTION("""COMPUTED_VALUE"""),-0.445599338469463)</f>
        <v>-0.44559933846946298</v>
      </c>
      <c r="IE46" s="3">
        <f ca="1">IFERROR(__xludf.DUMMYFUNCTION("""COMPUTED_VALUE"""),-0.429053033387121)</f>
        <v>-0.42905303338712097</v>
      </c>
      <c r="IF46" s="3">
        <f ca="1">IFERROR(__xludf.DUMMYFUNCTION("""COMPUTED_VALUE"""),-0.434059394830073)</f>
        <v>-0.434059394830073</v>
      </c>
      <c r="IG46" s="3">
        <f ca="1">IFERROR(__xludf.DUMMYFUNCTION("""COMPUTED_VALUE"""),-0.40754299176917)</f>
        <v>-0.40754299176917003</v>
      </c>
      <c r="IH46" s="3">
        <f ca="1">IFERROR(__xludf.DUMMYFUNCTION("""COMPUTED_VALUE"""),-0.420474097984799)</f>
        <v>-0.42047409798479901</v>
      </c>
      <c r="II46" s="3">
        <f ca="1">IFERROR(__xludf.DUMMYFUNCTION("""COMPUTED_VALUE"""),-0.365290860166712)</f>
        <v>-0.36529086016671197</v>
      </c>
      <c r="IJ46" s="3">
        <f ca="1">IFERROR(__xludf.DUMMYFUNCTION("""COMPUTED_VALUE"""),-0.416188746007793)</f>
        <v>-0.41618874600779299</v>
      </c>
      <c r="IK46" s="3">
        <f ca="1">IFERROR(__xludf.DUMMYFUNCTION("""COMPUTED_VALUE"""),-0.41479274167991)</f>
        <v>-0.41479274167990998</v>
      </c>
      <c r="IL46" s="3">
        <f ca="1">IFERROR(__xludf.DUMMYFUNCTION("""COMPUTED_VALUE"""),-0.413229723185181)</f>
        <v>-0.41322972318518097</v>
      </c>
      <c r="IM46" s="3">
        <f ca="1">IFERROR(__xludf.DUMMYFUNCTION("""COMPUTED_VALUE"""),-0.411543434906308)</f>
        <v>-0.41154343490630801</v>
      </c>
      <c r="IN46" s="3">
        <f ca="1">IFERROR(__xludf.DUMMYFUNCTION("""COMPUTED_VALUE"""),-0.385497914746587)</f>
        <v>-0.38549791474658701</v>
      </c>
      <c r="IO46" s="3">
        <f ca="1">IFERROR(__xludf.DUMMYFUNCTION("""COMPUTED_VALUE"""),-0.418552542035088)</f>
        <v>-0.41855254203508802</v>
      </c>
      <c r="IP46" s="3">
        <f ca="1">IFERROR(__xludf.DUMMYFUNCTION("""COMPUTED_VALUE"""),-0.368246667620323)</f>
        <v>-0.36824666762032299</v>
      </c>
      <c r="IQ46" s="3">
        <f ca="1">IFERROR(__xludf.DUMMYFUNCTION("""COMPUTED_VALUE"""),-0.448464227514269)</f>
        <v>-0.44846422751426901</v>
      </c>
      <c r="IR46" s="3">
        <f ca="1">IFERROR(__xludf.DUMMYFUNCTION("""COMPUTED_VALUE"""),-0.44782644326633)</f>
        <v>-0.44782644326632998</v>
      </c>
      <c r="IS46" s="3">
        <f ca="1">IFERROR(__xludf.DUMMYFUNCTION("""COMPUTED_VALUE"""),-0.396176612641487)</f>
        <v>-0.39617661264148701</v>
      </c>
      <c r="IT46" s="3">
        <f ca="1">IFERROR(__xludf.DUMMYFUNCTION("""COMPUTED_VALUE"""),-0.410626309001437)</f>
        <v>-0.41062630900143698</v>
      </c>
      <c r="IU46" s="3">
        <f ca="1">IFERROR(__xludf.DUMMYFUNCTION("""COMPUTED_VALUE"""),-0.437126362496113)</f>
        <v>-0.43712636249611297</v>
      </c>
      <c r="IV46" s="3">
        <f ca="1">IFERROR(__xludf.DUMMYFUNCTION("""COMPUTED_VALUE"""),-0.370016839213734)</f>
        <v>-0.37001683921373402</v>
      </c>
      <c r="IW46" s="3">
        <f ca="1">IFERROR(__xludf.DUMMYFUNCTION("""COMPUTED_VALUE"""),-0.375927726588593)</f>
        <v>-0.37592772658859303</v>
      </c>
      <c r="IX46" s="3">
        <f ca="1">IFERROR(__xludf.DUMMYFUNCTION("""COMPUTED_VALUE"""),-0.427670672827548)</f>
        <v>-0.427670672827548</v>
      </c>
      <c r="IY46" s="3">
        <f ca="1">IFERROR(__xludf.DUMMYFUNCTION("""COMPUTED_VALUE"""),-0.420898634796287)</f>
        <v>-0.42089863479628697</v>
      </c>
      <c r="IZ46" s="3">
        <f ca="1">IFERROR(__xludf.DUMMYFUNCTION("""COMPUTED_VALUE"""),-0.42697509023171)</f>
        <v>-0.42697509023170999</v>
      </c>
      <c r="JA46" s="3">
        <f ca="1">IFERROR(__xludf.DUMMYFUNCTION("""COMPUTED_VALUE"""),-0.453857220896162)</f>
        <v>-0.45385722089616198</v>
      </c>
      <c r="JB46" s="3">
        <f ca="1">IFERROR(__xludf.DUMMYFUNCTION("""COMPUTED_VALUE"""),-0.42226391309183)</f>
        <v>-0.42226391309182998</v>
      </c>
      <c r="JC46" s="3">
        <f ca="1">IFERROR(__xludf.DUMMYFUNCTION("""COMPUTED_VALUE"""),-0.357848806788011)</f>
        <v>-0.35784880678801101</v>
      </c>
      <c r="JD46" s="3">
        <f ca="1">IFERROR(__xludf.DUMMYFUNCTION("""COMPUTED_VALUE"""),-0.343620690128143)</f>
        <v>-0.343620690128143</v>
      </c>
      <c r="JE46" s="3">
        <f ca="1">IFERROR(__xludf.DUMMYFUNCTION("""COMPUTED_VALUE"""),-0.491979479459026)</f>
        <v>-0.49197947945902598</v>
      </c>
      <c r="JF46" s="3">
        <f ca="1">IFERROR(__xludf.DUMMYFUNCTION("""COMPUTED_VALUE"""),-0.451087662472167)</f>
        <v>-0.45108766247216697</v>
      </c>
      <c r="JG46" s="3">
        <f ca="1">IFERROR(__xludf.DUMMYFUNCTION("""COMPUTED_VALUE"""),-0.402407490226716)</f>
        <v>-0.40240749022671601</v>
      </c>
      <c r="JH46" s="3">
        <f ca="1">IFERROR(__xludf.DUMMYFUNCTION("""COMPUTED_VALUE"""),-0.446894728858374)</f>
        <v>-0.446894728858374</v>
      </c>
      <c r="JI46" s="3">
        <f ca="1">IFERROR(__xludf.DUMMYFUNCTION("""COMPUTED_VALUE"""),-0.41060909201589)</f>
        <v>-0.41060909201589002</v>
      </c>
      <c r="JJ46" s="3">
        <f ca="1">IFERROR(__xludf.DUMMYFUNCTION("""COMPUTED_VALUE"""),-0.400269663489677)</f>
        <v>-0.40026966348967702</v>
      </c>
      <c r="JK46" s="3">
        <f ca="1">IFERROR(__xludf.DUMMYFUNCTION("""COMPUTED_VALUE"""),-0.353082946303986)</f>
        <v>-0.35308294630398601</v>
      </c>
      <c r="JL46" s="3">
        <f ca="1">IFERROR(__xludf.DUMMYFUNCTION("""COMPUTED_VALUE"""),-0.430596586304923)</f>
        <v>-0.43059658630492298</v>
      </c>
      <c r="JM46" s="3">
        <f ca="1">IFERROR(__xludf.DUMMYFUNCTION("""COMPUTED_VALUE"""),-0.482711157481836)</f>
        <v>-0.48271115748183602</v>
      </c>
      <c r="JN46" s="3">
        <f ca="1">IFERROR(__xludf.DUMMYFUNCTION("""COMPUTED_VALUE"""),-0.457597934222944)</f>
        <v>-0.45759793422294398</v>
      </c>
      <c r="JO46" s="3">
        <f ca="1">IFERROR(__xludf.DUMMYFUNCTION("""COMPUTED_VALUE"""),-0.466918672720842)</f>
        <v>-0.46691867272084198</v>
      </c>
      <c r="JP46" s="3">
        <f ca="1">IFERROR(__xludf.DUMMYFUNCTION("""COMPUTED_VALUE"""),-0.480703143321211)</f>
        <v>-0.480703143321211</v>
      </c>
      <c r="JQ46" s="3">
        <f ca="1">IFERROR(__xludf.DUMMYFUNCTION("""COMPUTED_VALUE"""),-0.486673644535908)</f>
        <v>-0.486673644535908</v>
      </c>
      <c r="JR46" s="3">
        <f ca="1">IFERROR(__xludf.DUMMYFUNCTION("""COMPUTED_VALUE"""),-0.441027422088281)</f>
        <v>-0.441027422088281</v>
      </c>
      <c r="JS46" s="3">
        <f ca="1">IFERROR(__xludf.DUMMYFUNCTION("""COMPUTED_VALUE"""),-0.457029135190375)</f>
        <v>-0.45702913519037502</v>
      </c>
      <c r="JT46" s="3">
        <f ca="1">IFERROR(__xludf.DUMMYFUNCTION("""COMPUTED_VALUE"""),-0.482339760272217)</f>
        <v>-0.48233976027221698</v>
      </c>
      <c r="JU46" s="3">
        <f ca="1">IFERROR(__xludf.DUMMYFUNCTION("""COMPUTED_VALUE"""),-0.43692338498405)</f>
        <v>-0.43692338498404998</v>
      </c>
      <c r="JV46" s="3">
        <f ca="1">IFERROR(__xludf.DUMMYFUNCTION("""COMPUTED_VALUE"""),-0.520061614903496)</f>
        <v>-0.52006161490349601</v>
      </c>
      <c r="JW46" s="3">
        <f ca="1">IFERROR(__xludf.DUMMYFUNCTION("""COMPUTED_VALUE"""),-0.483077063118702)</f>
        <v>-0.48307706311870202</v>
      </c>
      <c r="JX46" s="3">
        <f ca="1">IFERROR(__xludf.DUMMYFUNCTION("""COMPUTED_VALUE"""),-0.424407068404096)</f>
        <v>-0.42440706840409598</v>
      </c>
      <c r="JY46" s="3">
        <f ca="1">IFERROR(__xludf.DUMMYFUNCTION("""COMPUTED_VALUE"""),-0.380173194060911)</f>
        <v>-0.38017319406091099</v>
      </c>
      <c r="JZ46" s="3">
        <f ca="1">IFERROR(__xludf.DUMMYFUNCTION("""COMPUTED_VALUE"""),-0.421397991470327)</f>
        <v>-0.42139799147032703</v>
      </c>
      <c r="KA46" s="3">
        <f ca="1">IFERROR(__xludf.DUMMYFUNCTION("""COMPUTED_VALUE"""),-0.465386201940704)</f>
        <v>-0.46538620194070401</v>
      </c>
      <c r="KB46" s="3">
        <f ca="1">IFERROR(__xludf.DUMMYFUNCTION("""COMPUTED_VALUE"""),-0.543476828809265)</f>
        <v>-0.54347682880926496</v>
      </c>
      <c r="KC46" s="3">
        <f ca="1">IFERROR(__xludf.DUMMYFUNCTION("""COMPUTED_VALUE"""),-0.517264262019532)</f>
        <v>-0.51726426201953202</v>
      </c>
      <c r="KD46" s="3">
        <f ca="1">IFERROR(__xludf.DUMMYFUNCTION("""COMPUTED_VALUE"""),-0.469590989572427)</f>
        <v>-0.46959098957242701</v>
      </c>
      <c r="KE46" s="3">
        <f ca="1">IFERROR(__xludf.DUMMYFUNCTION("""COMPUTED_VALUE"""),-0.493314872445276)</f>
        <v>-0.493314872445276</v>
      </c>
      <c r="KF46" s="3">
        <f ca="1">IFERROR(__xludf.DUMMYFUNCTION("""COMPUTED_VALUE"""),-0.456737314549836)</f>
        <v>-0.45673731454983602</v>
      </c>
      <c r="KG46" s="3">
        <f ca="1">IFERROR(__xludf.DUMMYFUNCTION("""COMPUTED_VALUE"""),-0.481072409881448)</f>
        <v>-0.481072409881448</v>
      </c>
      <c r="KH46" s="3">
        <f ca="1">IFERROR(__xludf.DUMMYFUNCTION("""COMPUTED_VALUE"""),-0.43450889611955)</f>
        <v>-0.43450889611955001</v>
      </c>
      <c r="KI46" s="3">
        <f ca="1">IFERROR(__xludf.DUMMYFUNCTION("""COMPUTED_VALUE"""),-0.485919536566849)</f>
        <v>-0.485919536566849</v>
      </c>
      <c r="KJ46" s="3">
        <f ca="1">IFERROR(__xludf.DUMMYFUNCTION("""COMPUTED_VALUE"""),-0.528796986302904)</f>
        <v>-0.52879698630290395</v>
      </c>
      <c r="KK46" s="3">
        <f ca="1">IFERROR(__xludf.DUMMYFUNCTION("""COMPUTED_VALUE"""),-0.475250482722161)</f>
        <v>-0.47525048272216103</v>
      </c>
      <c r="KL46" s="3">
        <f ca="1">IFERROR(__xludf.DUMMYFUNCTION("""COMPUTED_VALUE"""),-0.449269672252417)</f>
        <v>-0.44926967225241699</v>
      </c>
      <c r="KM46" s="3">
        <f ca="1">IFERROR(__xludf.DUMMYFUNCTION("""COMPUTED_VALUE"""),-0.398125847894377)</f>
        <v>-0.39812584789437699</v>
      </c>
      <c r="KN46" s="3">
        <f ca="1">IFERROR(__xludf.DUMMYFUNCTION("""COMPUTED_VALUE"""),-0.451579162314459)</f>
        <v>-0.45157916231445899</v>
      </c>
      <c r="KO46" s="3">
        <f ca="1">IFERROR(__xludf.DUMMYFUNCTION("""COMPUTED_VALUE"""),-0.4809377059405)</f>
        <v>-0.4809377059405</v>
      </c>
      <c r="KP46" s="3">
        <f ca="1">IFERROR(__xludf.DUMMYFUNCTION("""COMPUTED_VALUE"""),-0.480921581502678)</f>
        <v>-0.480921581502678</v>
      </c>
      <c r="KQ46" s="3">
        <f ca="1">IFERROR(__xludf.DUMMYFUNCTION("""COMPUTED_VALUE"""),-0.477525723964786)</f>
        <v>-0.47752572396478599</v>
      </c>
      <c r="KR46" s="3">
        <f ca="1">IFERROR(__xludf.DUMMYFUNCTION("""COMPUTED_VALUE"""),-0.49672671990347)</f>
        <v>-0.49672671990347</v>
      </c>
      <c r="KS46" s="3">
        <f ca="1">IFERROR(__xludf.DUMMYFUNCTION("""COMPUTED_VALUE"""),-0.484362792675543)</f>
        <v>-0.484362792675543</v>
      </c>
      <c r="KT46" s="3">
        <f ca="1">IFERROR(__xludf.DUMMYFUNCTION("""COMPUTED_VALUE"""),-0.504702414080231)</f>
        <v>-0.50470241408023098</v>
      </c>
      <c r="KU46" s="3">
        <f ca="1">IFERROR(__xludf.DUMMYFUNCTION("""COMPUTED_VALUE"""),-0.51987341207218)</f>
        <v>-0.51987341207217996</v>
      </c>
      <c r="KV46" s="3">
        <f ca="1">IFERROR(__xludf.DUMMYFUNCTION("""COMPUTED_VALUE"""),-0.529665644537185)</f>
        <v>-0.52966564453718501</v>
      </c>
      <c r="KW46" s="3">
        <f ca="1">IFERROR(__xludf.DUMMYFUNCTION("""COMPUTED_VALUE"""),-0.505408970111785)</f>
        <v>-0.50540897011178498</v>
      </c>
      <c r="KX46" s="3">
        <f ca="1">IFERROR(__xludf.DUMMYFUNCTION("""COMPUTED_VALUE"""),-0.527814272242153)</f>
        <v>-0.52781427224215305</v>
      </c>
      <c r="KY46" s="3">
        <f ca="1">IFERROR(__xludf.DUMMYFUNCTION("""COMPUTED_VALUE"""),-0.517353352089923)</f>
        <v>-0.51735335208992295</v>
      </c>
      <c r="KZ46" s="3">
        <f ca="1">IFERROR(__xludf.DUMMYFUNCTION("""COMPUTED_VALUE"""),-0.494174126536015)</f>
        <v>-0.494174126536015</v>
      </c>
      <c r="LA46" s="3">
        <f ca="1">IFERROR(__xludf.DUMMYFUNCTION("""COMPUTED_VALUE"""),-0.51472057844906)</f>
        <v>-0.51472057844906005</v>
      </c>
      <c r="LB46" s="3">
        <f ca="1">IFERROR(__xludf.DUMMYFUNCTION("""COMPUTED_VALUE"""),-0.499135869515762)</f>
        <v>-0.499135869515762</v>
      </c>
      <c r="LC46" s="3">
        <f ca="1">IFERROR(__xludf.DUMMYFUNCTION("""COMPUTED_VALUE"""),-0.491349248871026)</f>
        <v>-0.49134924887102599</v>
      </c>
      <c r="LD46" s="3">
        <f ca="1">IFERROR(__xludf.DUMMYFUNCTION("""COMPUTED_VALUE"""),-0.505790313737092)</f>
        <v>-0.50579031373709205</v>
      </c>
      <c r="LE46" s="3">
        <f ca="1">IFERROR(__xludf.DUMMYFUNCTION("""COMPUTED_VALUE"""),-0.516197752214272)</f>
        <v>-0.516197752214272</v>
      </c>
      <c r="LF46" s="3">
        <f ca="1">IFERROR(__xludf.DUMMYFUNCTION("""COMPUTED_VALUE"""),-0.49908839800358)</f>
        <v>-0.49908839800358001</v>
      </c>
      <c r="LG46" s="3">
        <f ca="1">IFERROR(__xludf.DUMMYFUNCTION("""COMPUTED_VALUE"""),-0.456762466983456)</f>
        <v>-0.45676246698345602</v>
      </c>
      <c r="LH46" s="3">
        <f ca="1">IFERROR(__xludf.DUMMYFUNCTION("""COMPUTED_VALUE"""),-0.519511750225389)</f>
        <v>-0.51951175022538898</v>
      </c>
      <c r="LI46" s="3">
        <f ca="1">IFERROR(__xludf.DUMMYFUNCTION("""COMPUTED_VALUE"""),-0.480519482235294)</f>
        <v>-0.480519482235294</v>
      </c>
      <c r="LJ46" s="3">
        <f ca="1">IFERROR(__xludf.DUMMYFUNCTION("""COMPUTED_VALUE"""),-0.487782777271566)</f>
        <v>-0.48778277727156599</v>
      </c>
      <c r="LK46" s="3">
        <f ca="1">IFERROR(__xludf.DUMMYFUNCTION("""COMPUTED_VALUE"""),-0.496319338920099)</f>
        <v>-0.496319338920099</v>
      </c>
      <c r="LL46" s="3">
        <f ca="1">IFERROR(__xludf.DUMMYFUNCTION("""COMPUTED_VALUE"""),-0.542864365825549)</f>
        <v>-0.54286436582554898</v>
      </c>
      <c r="LM46" s="3">
        <f ca="1">IFERROR(__xludf.DUMMYFUNCTION("""COMPUTED_VALUE"""),-0.500470185466864)</f>
        <v>-0.50047018546686395</v>
      </c>
      <c r="LN46" s="3">
        <f ca="1">IFERROR(__xludf.DUMMYFUNCTION("""COMPUTED_VALUE"""),-0.504798112105223)</f>
        <v>-0.50479811210522296</v>
      </c>
      <c r="LO46" s="3">
        <f ca="1">IFERROR(__xludf.DUMMYFUNCTION("""COMPUTED_VALUE"""),-0.498917259301107)</f>
        <v>-0.49891725930110697</v>
      </c>
      <c r="LP46" s="3">
        <f ca="1">IFERROR(__xludf.DUMMYFUNCTION("""COMPUTED_VALUE"""),-0.544862410188371)</f>
        <v>-0.544862410188371</v>
      </c>
      <c r="LQ46" s="3">
        <f ca="1">IFERROR(__xludf.DUMMYFUNCTION("""COMPUTED_VALUE"""),-0.559735653579583)</f>
        <v>-0.55973565357958299</v>
      </c>
      <c r="LR46" s="3">
        <f ca="1">IFERROR(__xludf.DUMMYFUNCTION("""COMPUTED_VALUE"""),-0.545798257100475)</f>
        <v>-0.54579825710047503</v>
      </c>
      <c r="LS46" s="3">
        <f ca="1">IFERROR(__xludf.DUMMYFUNCTION("""COMPUTED_VALUE"""),-0.549725990243759)</f>
        <v>-0.54972599024375901</v>
      </c>
      <c r="LT46" s="3">
        <f ca="1">IFERROR(__xludf.DUMMYFUNCTION("""COMPUTED_VALUE"""),-0.489785148213584)</f>
        <v>-0.48978514821358399</v>
      </c>
      <c r="LU46" s="3">
        <f ca="1">IFERROR(__xludf.DUMMYFUNCTION("""COMPUTED_VALUE"""),-0.590605920312262)</f>
        <v>-0.590605920312262</v>
      </c>
      <c r="LV46" s="3">
        <f ca="1">IFERROR(__xludf.DUMMYFUNCTION("""COMPUTED_VALUE"""),-0.568274957590132)</f>
        <v>-0.56827495759013202</v>
      </c>
      <c r="LW46" s="3">
        <f ca="1">IFERROR(__xludf.DUMMYFUNCTION("""COMPUTED_VALUE"""),-0.629397470559148)</f>
        <v>-0.62939747055914796</v>
      </c>
      <c r="LX46" s="3">
        <f ca="1">IFERROR(__xludf.DUMMYFUNCTION("""COMPUTED_VALUE"""),-0.621321722016378)</f>
        <v>-0.62132172201637803</v>
      </c>
      <c r="LY46" s="3">
        <f ca="1">IFERROR(__xludf.DUMMYFUNCTION("""COMPUTED_VALUE"""),-0.617829052913163)</f>
        <v>-0.61782905291316303</v>
      </c>
      <c r="LZ46" s="3">
        <f ca="1">IFERROR(__xludf.DUMMYFUNCTION("""COMPUTED_VALUE"""),-0.597828650327991)</f>
        <v>-0.59782865032799104</v>
      </c>
      <c r="MA46" s="3">
        <f ca="1">IFERROR(__xludf.DUMMYFUNCTION("""COMPUTED_VALUE"""),-0.590064503722011)</f>
        <v>-0.59006450372201102</v>
      </c>
      <c r="MB46" s="3">
        <f ca="1">IFERROR(__xludf.DUMMYFUNCTION("""COMPUTED_VALUE"""),-0.598203017844324)</f>
        <v>-0.59820301784432395</v>
      </c>
      <c r="MC46" s="3">
        <f ca="1">IFERROR(__xludf.DUMMYFUNCTION("""COMPUTED_VALUE"""),-0.582066628300162)</f>
        <v>-0.58206662830016198</v>
      </c>
      <c r="MD46" s="3">
        <f ca="1">IFERROR(__xludf.DUMMYFUNCTION("""COMPUTED_VALUE"""),-0.61669496440869)</f>
        <v>-0.61669496440868998</v>
      </c>
      <c r="ME46" s="3">
        <f ca="1">IFERROR(__xludf.DUMMYFUNCTION("""COMPUTED_VALUE"""),-0.637182966589395)</f>
        <v>-0.63718296658939499</v>
      </c>
      <c r="MF46" s="3">
        <f ca="1">IFERROR(__xludf.DUMMYFUNCTION("""COMPUTED_VALUE"""),-0.672525207221289)</f>
        <v>-0.67252520722128895</v>
      </c>
      <c r="MG46" s="3">
        <f ca="1">IFERROR(__xludf.DUMMYFUNCTION("""COMPUTED_VALUE"""),-0.676786633020285)</f>
        <v>-0.67678663302028497</v>
      </c>
      <c r="MH46" s="3">
        <f ca="1">IFERROR(__xludf.DUMMYFUNCTION("""COMPUTED_VALUE"""),-0.699832760205053)</f>
        <v>-0.69983276020505303</v>
      </c>
      <c r="MI46" s="3">
        <f ca="1">IFERROR(__xludf.DUMMYFUNCTION("""COMPUTED_VALUE"""),-0.670099802556204)</f>
        <v>-0.67009980255620405</v>
      </c>
      <c r="MJ46" s="3">
        <f ca="1">IFERROR(__xludf.DUMMYFUNCTION("""COMPUTED_VALUE"""),-0.678340648741686)</f>
        <v>-0.67834064874168598</v>
      </c>
      <c r="MK46" s="3">
        <f ca="1">IFERROR(__xludf.DUMMYFUNCTION("""COMPUTED_VALUE"""),-0.648851161543995)</f>
        <v>-0.64885116154399503</v>
      </c>
      <c r="ML46" s="3">
        <f ca="1">IFERROR(__xludf.DUMMYFUNCTION("""COMPUTED_VALUE"""),-0.640073149822745)</f>
        <v>-0.64007314982274499</v>
      </c>
      <c r="MM46" s="3">
        <f ca="1">IFERROR(__xludf.DUMMYFUNCTION("""COMPUTED_VALUE"""),-0.674200972241668)</f>
        <v>-0.67420097224166797</v>
      </c>
      <c r="MN46" s="3">
        <f ca="1">IFERROR(__xludf.DUMMYFUNCTION("""COMPUTED_VALUE"""),-0.697206271740529)</f>
        <v>-0.69720627174052896</v>
      </c>
      <c r="MO46" s="3">
        <f ca="1">IFERROR(__xludf.DUMMYFUNCTION("""COMPUTED_VALUE"""),-0.686242601308911)</f>
        <v>-0.68624260130891102</v>
      </c>
      <c r="MP46" s="3">
        <f ca="1">IFERROR(__xludf.DUMMYFUNCTION("""COMPUTED_VALUE"""),-0.6588573477769)</f>
        <v>-0.65885734777689997</v>
      </c>
      <c r="MQ46" s="3">
        <f ca="1">IFERROR(__xludf.DUMMYFUNCTION("""COMPUTED_VALUE"""),-0.693649737919293)</f>
        <v>-0.69364973791929296</v>
      </c>
      <c r="MR46" s="3">
        <f ca="1">IFERROR(__xludf.DUMMYFUNCTION("""COMPUTED_VALUE"""),-0.616695717307627)</f>
        <v>-0.61669571730762696</v>
      </c>
      <c r="MS46" s="3">
        <f ca="1">IFERROR(__xludf.DUMMYFUNCTION("""COMPUTED_VALUE"""),-0.710028496492167)</f>
        <v>-0.71002849649216704</v>
      </c>
      <c r="MT46" s="3">
        <f ca="1">IFERROR(__xludf.DUMMYFUNCTION("""COMPUTED_VALUE"""),-0.696203620412878)</f>
        <v>-0.69620362041287798</v>
      </c>
      <c r="MU46" s="3">
        <f ca="1">IFERROR(__xludf.DUMMYFUNCTION("""COMPUTED_VALUE"""),-0.71562318012976)</f>
        <v>-0.71562318012976001</v>
      </c>
      <c r="MV46" s="3">
        <f ca="1">IFERROR(__xludf.DUMMYFUNCTION("""COMPUTED_VALUE"""),-0.67276801512136)</f>
        <v>-0.67276801512135997</v>
      </c>
      <c r="MW46" s="3">
        <f ca="1">IFERROR(__xludf.DUMMYFUNCTION("""COMPUTED_VALUE"""),-0.725487997078527)</f>
        <v>-0.72548799707852696</v>
      </c>
      <c r="MX46" s="3">
        <f ca="1">IFERROR(__xludf.DUMMYFUNCTION("""COMPUTED_VALUE"""),-0.739851701288228)</f>
        <v>-0.73985170128822797</v>
      </c>
      <c r="MY46" s="3">
        <f ca="1">IFERROR(__xludf.DUMMYFUNCTION("""COMPUTED_VALUE"""),-0.726838205956543)</f>
        <v>-0.72683820595654303</v>
      </c>
      <c r="MZ46" s="3">
        <f ca="1">IFERROR(__xludf.DUMMYFUNCTION("""COMPUTED_VALUE"""),-0.758877594391706)</f>
        <v>-0.75887759439170599</v>
      </c>
      <c r="NA46" s="3">
        <f ca="1">IFERROR(__xludf.DUMMYFUNCTION("""COMPUTED_VALUE"""),-0.77104466404477)</f>
        <v>-0.77104466404477001</v>
      </c>
      <c r="NB46" s="3">
        <f ca="1">IFERROR(__xludf.DUMMYFUNCTION("""COMPUTED_VALUE"""),-0.764644196433585)</f>
        <v>-0.76464419643358505</v>
      </c>
      <c r="NC46" s="3">
        <f ca="1">IFERROR(__xludf.DUMMYFUNCTION("""COMPUTED_VALUE"""),-0.722957202761024)</f>
        <v>-0.72295720276102404</v>
      </c>
      <c r="ND46" s="3">
        <f ca="1">IFERROR(__xludf.DUMMYFUNCTION("""COMPUTED_VALUE"""),-0.737965927261681)</f>
        <v>-0.73796592726168098</v>
      </c>
      <c r="NE46" s="3">
        <f ca="1">IFERROR(__xludf.DUMMYFUNCTION("""COMPUTED_VALUE"""),-0.707292526251991)</f>
        <v>-0.70729252625199102</v>
      </c>
      <c r="NF46" s="3">
        <f ca="1">IFERROR(__xludf.DUMMYFUNCTION("""COMPUTED_VALUE"""),-0.654368456172532)</f>
        <v>-0.65436845617253203</v>
      </c>
      <c r="NG46" s="3">
        <f ca="1">IFERROR(__xludf.DUMMYFUNCTION("""COMPUTED_VALUE"""),-0.760980478379424)</f>
        <v>-0.76098047837942395</v>
      </c>
      <c r="NH46" s="3">
        <f ca="1">IFERROR(__xludf.DUMMYFUNCTION("""COMPUTED_VALUE"""),-0.790868433802197)</f>
        <v>-0.79086843380219696</v>
      </c>
      <c r="NI46" s="3">
        <f ca="1">IFERROR(__xludf.DUMMYFUNCTION("""COMPUTED_VALUE"""),-0.797413788358019)</f>
        <v>-0.79741378835801902</v>
      </c>
      <c r="NJ46" s="3">
        <f ca="1">IFERROR(__xludf.DUMMYFUNCTION("""COMPUTED_VALUE"""),-0.751762935597398)</f>
        <v>-0.75176293559739804</v>
      </c>
      <c r="NK46" s="3">
        <f ca="1">IFERROR(__xludf.DUMMYFUNCTION("""COMPUTED_VALUE"""),-0.745777103441773)</f>
        <v>-0.74577710344177295</v>
      </c>
      <c r="NL46" s="3">
        <f ca="1">IFERROR(__xludf.DUMMYFUNCTION("""COMPUTED_VALUE"""),-0.767339385659049)</f>
        <v>-0.76733938565904902</v>
      </c>
      <c r="NM46" s="3">
        <f ca="1">IFERROR(__xludf.DUMMYFUNCTION("""COMPUTED_VALUE"""),-0.79973474300667)</f>
        <v>-0.79973474300667002</v>
      </c>
      <c r="NN46" s="3">
        <f ca="1">IFERROR(__xludf.DUMMYFUNCTION("""COMPUTED_VALUE"""),-0.794726566919577)</f>
        <v>-0.79472656691957699</v>
      </c>
      <c r="NO46" s="3">
        <f ca="1">IFERROR(__xludf.DUMMYFUNCTION("""COMPUTED_VALUE"""),-0.78376135884966)</f>
        <v>-0.78376135884966003</v>
      </c>
      <c r="NP46" s="3">
        <f ca="1">IFERROR(__xludf.DUMMYFUNCTION("""COMPUTED_VALUE"""),-0.79543940060273)</f>
        <v>-0.79543940060273</v>
      </c>
      <c r="NQ46" s="3">
        <f ca="1">IFERROR(__xludf.DUMMYFUNCTION("""COMPUTED_VALUE"""),-0.778322780128241)</f>
        <v>-0.77832278012824097</v>
      </c>
      <c r="NR46" s="3">
        <f ca="1">IFERROR(__xludf.DUMMYFUNCTION("""COMPUTED_VALUE"""),-0.744722180506091)</f>
        <v>-0.74472218050609096</v>
      </c>
      <c r="NS46" s="3">
        <f ca="1">IFERROR(__xludf.DUMMYFUNCTION("""COMPUTED_VALUE"""),-0.767238677073887)</f>
        <v>-0.76723867707388704</v>
      </c>
      <c r="NT46" s="3">
        <f ca="1">IFERROR(__xludf.DUMMYFUNCTION("""COMPUTED_VALUE"""),-0.76801532752155)</f>
        <v>-0.76801532752155</v>
      </c>
      <c r="NU46" s="3">
        <f ca="1">IFERROR(__xludf.DUMMYFUNCTION("""COMPUTED_VALUE"""),-0.793390767626269)</f>
        <v>-0.79339076762626903</v>
      </c>
      <c r="NV46" s="3">
        <f ca="1">IFERROR(__xludf.DUMMYFUNCTION("""COMPUTED_VALUE"""),-0.759633799128961)</f>
        <v>-0.75963379912896101</v>
      </c>
      <c r="NW46" s="3">
        <f ca="1">IFERROR(__xludf.DUMMYFUNCTION("""COMPUTED_VALUE"""),-0.777747868735115)</f>
        <v>-0.77774786873511503</v>
      </c>
      <c r="NX46" s="3">
        <f ca="1">IFERROR(__xludf.DUMMYFUNCTION("""COMPUTED_VALUE"""),-0.713081861783265)</f>
        <v>-0.71308186178326505</v>
      </c>
      <c r="NY46" s="3">
        <f ca="1">IFERROR(__xludf.DUMMYFUNCTION("""COMPUTED_VALUE"""),-0.649320695188501)</f>
        <v>-0.649320695188501</v>
      </c>
      <c r="NZ46" s="3">
        <f ca="1">IFERROR(__xludf.DUMMYFUNCTION("""COMPUTED_VALUE"""),-0.604719763433958)</f>
        <v>-0.60471976343395795</v>
      </c>
      <c r="OA46" s="3">
        <f ca="1">IFERROR(__xludf.DUMMYFUNCTION("""COMPUTED_VALUE"""),-0.612297664763841)</f>
        <v>-0.61229766476384095</v>
      </c>
      <c r="OB46" s="3">
        <f ca="1">IFERROR(__xludf.DUMMYFUNCTION("""COMPUTED_VALUE"""),-0.561520901045879)</f>
        <v>-0.56152090104587904</v>
      </c>
      <c r="OC46" s="3">
        <f ca="1">IFERROR(__xludf.DUMMYFUNCTION("""COMPUTED_VALUE"""),-0.526240348661448)</f>
        <v>-0.52624034866144798</v>
      </c>
      <c r="OD46" s="3">
        <f ca="1">IFERROR(__xludf.DUMMYFUNCTION("""COMPUTED_VALUE"""),-0.448932335323335)</f>
        <v>-0.44893233532333499</v>
      </c>
      <c r="OE46" s="3">
        <f ca="1">IFERROR(__xludf.DUMMYFUNCTION("""COMPUTED_VALUE"""),-0.335695231917151)</f>
        <v>-0.335695231917151</v>
      </c>
      <c r="OF46" s="3">
        <f ca="1">IFERROR(__xludf.DUMMYFUNCTION("""COMPUTED_VALUE"""),-0.151897047934531)</f>
        <v>-0.15189704793453099</v>
      </c>
      <c r="OG46" s="3">
        <f ca="1">IFERROR(__xludf.DUMMYFUNCTION("""COMPUTED_VALUE"""),-0.204901119101351)</f>
        <v>-0.204901119101351</v>
      </c>
      <c r="OH46" s="3">
        <f ca="1">IFERROR(__xludf.DUMMYFUNCTION("""COMPUTED_VALUE"""),-0.0497041383411128)</f>
        <v>-4.97041383411128E-2</v>
      </c>
      <c r="OI46" s="3">
        <f ca="1">IFERROR(__xludf.DUMMYFUNCTION("""COMPUTED_VALUE"""),-0.0187151420865024)</f>
        <v>-1.87151420865024E-2</v>
      </c>
      <c r="OJ46" s="3">
        <f ca="1">IFERROR(__xludf.DUMMYFUNCTION("""COMPUTED_VALUE"""),0.00274375167269425)</f>
        <v>2.7437516726942501E-3</v>
      </c>
      <c r="OK46" s="3">
        <f ca="1">IFERROR(__xludf.DUMMYFUNCTION("""COMPUTED_VALUE"""),0.0676648533893815)</f>
        <v>6.7664853389381496E-2</v>
      </c>
      <c r="OL46" s="3">
        <f ca="1">IFERROR(__xludf.DUMMYFUNCTION("""COMPUTED_VALUE"""),-0.00332432630833823)</f>
        <v>-3.3243263083382298E-3</v>
      </c>
      <c r="OM46" s="3">
        <f ca="1">IFERROR(__xludf.DUMMYFUNCTION("""COMPUTED_VALUE"""),-0.061728038144711)</f>
        <v>-6.1728038144710999E-2</v>
      </c>
      <c r="ON46" s="3">
        <f ca="1">IFERROR(__xludf.DUMMYFUNCTION("""COMPUTED_VALUE"""),-0.0189525729514858)</f>
        <v>-1.8952572951485801E-2</v>
      </c>
      <c r="OO46" s="3">
        <f ca="1">IFERROR(__xludf.DUMMYFUNCTION("""COMPUTED_VALUE"""),0.00809250843065445)</f>
        <v>8.0925084306544496E-3</v>
      </c>
      <c r="OP46" s="3">
        <f ca="1">IFERROR(__xludf.DUMMYFUNCTION("""COMPUTED_VALUE"""),0.0596064205232871)</f>
        <v>5.9606420523287101E-2</v>
      </c>
      <c r="OQ46" s="3">
        <f ca="1">IFERROR(__xludf.DUMMYFUNCTION("""COMPUTED_VALUE"""),0.0322761374651507)</f>
        <v>3.2276137465150699E-2</v>
      </c>
      <c r="OR46" s="3">
        <f ca="1">IFERROR(__xludf.DUMMYFUNCTION("""COMPUTED_VALUE"""),0.0842035141659933)</f>
        <v>8.4203514165993296E-2</v>
      </c>
      <c r="OS46" s="3">
        <f ca="1">IFERROR(__xludf.DUMMYFUNCTION("""COMPUTED_VALUE"""),-0.00864761838837646)</f>
        <v>-8.6476183883764605E-3</v>
      </c>
      <c r="OT46" s="3">
        <f ca="1">IFERROR(__xludf.DUMMYFUNCTION("""COMPUTED_VALUE"""),0.0287316128014052)</f>
        <v>2.8731612801405199E-2</v>
      </c>
      <c r="OU46" s="3">
        <f ca="1">IFERROR(__xludf.DUMMYFUNCTION("""COMPUTED_VALUE"""),0.0379882169454013)</f>
        <v>3.7988216945401297E-2</v>
      </c>
      <c r="OV46" s="3">
        <f ca="1">IFERROR(__xludf.DUMMYFUNCTION("""COMPUTED_VALUE"""),0.0923433184355366)</f>
        <v>9.23433184355366E-2</v>
      </c>
      <c r="OW46" s="3">
        <f ca="1">IFERROR(__xludf.DUMMYFUNCTION("""COMPUTED_VALUE"""),0.0488707080249086)</f>
        <v>4.8870708024908602E-2</v>
      </c>
      <c r="OX46" s="3">
        <f ca="1">IFERROR(__xludf.DUMMYFUNCTION("""COMPUTED_VALUE"""),0.117893266709381)</f>
        <v>0.11789326670938099</v>
      </c>
      <c r="OY46" s="3">
        <f ca="1">IFERROR(__xludf.DUMMYFUNCTION("""COMPUTED_VALUE"""),0.0925835080297763)</f>
        <v>9.2583508029776301E-2</v>
      </c>
      <c r="OZ46" s="3">
        <f ca="1">IFERROR(__xludf.DUMMYFUNCTION("""COMPUTED_VALUE"""),0.0981272938944748)</f>
        <v>9.8127293894474804E-2</v>
      </c>
      <c r="PA46" s="3">
        <f ca="1">IFERROR(__xludf.DUMMYFUNCTION("""COMPUTED_VALUE"""),-0.0762064126231889)</f>
        <v>-7.6206412623188904E-2</v>
      </c>
      <c r="PB46" s="3">
        <f ca="1">IFERROR(__xludf.DUMMYFUNCTION("""COMPUTED_VALUE"""),-0.0652276756672304)</f>
        <v>-6.5227675667230395E-2</v>
      </c>
      <c r="PC46" s="3">
        <f ca="1">IFERROR(__xludf.DUMMYFUNCTION("""COMPUTED_VALUE"""),-0.128563706731471)</f>
        <v>-0.12856370673147099</v>
      </c>
      <c r="PD46" s="3">
        <f ca="1">IFERROR(__xludf.DUMMYFUNCTION("""COMPUTED_VALUE"""),-0.172341752899606)</f>
        <v>-0.17234175289960599</v>
      </c>
      <c r="PE46" s="3">
        <f ca="1">IFERROR(__xludf.DUMMYFUNCTION("""COMPUTED_VALUE"""),-0.146807438506329)</f>
        <v>-0.14680743850632899</v>
      </c>
      <c r="PF46" s="3">
        <f ca="1">IFERROR(__xludf.DUMMYFUNCTION("""COMPUTED_VALUE"""),-0.17064534957574)</f>
        <v>-0.17064534957574001</v>
      </c>
      <c r="PG46" s="3">
        <f ca="1">IFERROR(__xludf.DUMMYFUNCTION("""COMPUTED_VALUE"""),-0.166208977029135)</f>
        <v>-0.16620897702913501</v>
      </c>
      <c r="PH46" s="3">
        <f ca="1">IFERROR(__xludf.DUMMYFUNCTION("""COMPUTED_VALUE"""),0.0453640159114512)</f>
        <v>4.53640159114512E-2</v>
      </c>
      <c r="PI46" s="3">
        <f ca="1">IFERROR(__xludf.DUMMYFUNCTION("""COMPUTED_VALUE"""),-0.0362069158499113)</f>
        <v>-3.62069158499113E-2</v>
      </c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</row>
    <row r="47" spans="1:477" ht="15.75" customHeight="1">
      <c r="A47" s="1" t="str">
        <f ca="1">IFERROR(__xludf.DUMMYFUNCTION("""COMPUTED_VALUE"""),"BC Transit")</f>
        <v>BC Transit</v>
      </c>
      <c r="B47" s="1" t="str">
        <f ca="1">IFERROR(__xludf.DUMMYFUNCTION("""COMPUTED_VALUE"""),"Kelowna")</f>
        <v>Kelowna</v>
      </c>
      <c r="C47" s="1" t="str">
        <f ca="1">IFERROR(__xludf.DUMMYFUNCTION("""COMPUTED_VALUE"""),"Canada")</f>
        <v>Canada</v>
      </c>
      <c r="D47" s="1" t="str">
        <f ca="1">IFERROR(__xludf.DUMMYFUNCTION("""COMPUTED_VALUE"""),"British Columbia")</f>
        <v>British Columbia</v>
      </c>
      <c r="E47" s="3">
        <f ca="1">IFERROR(__xludf.DUMMYFUNCTION("""COMPUTED_VALUE"""),-0.404303002052245)</f>
        <v>-0.40430300205224501</v>
      </c>
      <c r="F47" s="3">
        <f ca="1">IFERROR(__xludf.DUMMYFUNCTION("""COMPUTED_VALUE"""),-0.349968991682031)</f>
        <v>-0.34996899168203099</v>
      </c>
      <c r="G47" s="3">
        <f ca="1">IFERROR(__xludf.DUMMYFUNCTION("""COMPUTED_VALUE"""),-0.421626466480832)</f>
        <v>-0.42162646648083202</v>
      </c>
      <c r="H47" s="3">
        <f ca="1">IFERROR(__xludf.DUMMYFUNCTION("""COMPUTED_VALUE"""),-0.429795089691724)</f>
        <v>-0.42979508969172397</v>
      </c>
      <c r="I47" s="3">
        <f ca="1">IFERROR(__xludf.DUMMYFUNCTION("""COMPUTED_VALUE"""),-0.381734709829747)</f>
        <v>-0.381734709829747</v>
      </c>
      <c r="J47" s="3">
        <f ca="1">IFERROR(__xludf.DUMMYFUNCTION("""COMPUTED_VALUE"""),-0.480989498555291)</f>
        <v>-0.480989498555291</v>
      </c>
      <c r="K47" s="3">
        <f ca="1">IFERROR(__xludf.DUMMYFUNCTION("""COMPUTED_VALUE"""),-0.512070913503467)</f>
        <v>-0.51207091350346701</v>
      </c>
      <c r="L47" s="3">
        <f ca="1">IFERROR(__xludf.DUMMYFUNCTION("""COMPUTED_VALUE"""),-0.467286531387795)</f>
        <v>-0.46728653138779502</v>
      </c>
      <c r="M47" s="3">
        <f ca="1">IFERROR(__xludf.DUMMYFUNCTION("""COMPUTED_VALUE"""),-0.490237075246698)</f>
        <v>-0.49023707524669802</v>
      </c>
      <c r="N47" s="3">
        <f ca="1">IFERROR(__xludf.DUMMYFUNCTION("""COMPUTED_VALUE"""),-0.388482535124645)</f>
        <v>-0.38848253512464498</v>
      </c>
      <c r="O47" s="3">
        <f ca="1">IFERROR(__xludf.DUMMYFUNCTION("""COMPUTED_VALUE"""),-0.410720216556627)</f>
        <v>-0.41072021655662699</v>
      </c>
      <c r="P47" s="3">
        <f ca="1">IFERROR(__xludf.DUMMYFUNCTION("""COMPUTED_VALUE"""),-0.413326196328747)</f>
        <v>-0.41332619632874701</v>
      </c>
      <c r="Q47" s="3">
        <f ca="1">IFERROR(__xludf.DUMMYFUNCTION("""COMPUTED_VALUE"""),-0.379959399612717)</f>
        <v>-0.37995939961271702</v>
      </c>
      <c r="R47" s="3">
        <f ca="1">IFERROR(__xludf.DUMMYFUNCTION("""COMPUTED_VALUE"""),-0.441088561372638)</f>
        <v>-0.44108856137263802</v>
      </c>
      <c r="S47" s="3">
        <f ca="1">IFERROR(__xludf.DUMMYFUNCTION("""COMPUTED_VALUE"""),-0.374198418895296)</f>
        <v>-0.37419841889529598</v>
      </c>
      <c r="T47" s="3">
        <f ca="1">IFERROR(__xludf.DUMMYFUNCTION("""COMPUTED_VALUE"""),-0.45637673085017)</f>
        <v>-0.45637673085017</v>
      </c>
      <c r="U47" s="3">
        <f ca="1">IFERROR(__xludf.DUMMYFUNCTION("""COMPUTED_VALUE"""),-0.489988791092367)</f>
        <v>-0.48998879109236698</v>
      </c>
      <c r="V47" s="3">
        <f ca="1">IFERROR(__xludf.DUMMYFUNCTION("""COMPUTED_VALUE"""),-0.486881434078674)</f>
        <v>-0.48688143407867401</v>
      </c>
      <c r="W47" s="3">
        <f ca="1">IFERROR(__xludf.DUMMYFUNCTION("""COMPUTED_VALUE"""),-0.476385610591989)</f>
        <v>-0.47638561059198897</v>
      </c>
      <c r="X47" s="3">
        <f ca="1">IFERROR(__xludf.DUMMYFUNCTION("""COMPUTED_VALUE"""),-0.524431248701519)</f>
        <v>-0.52443124870151903</v>
      </c>
      <c r="Y47" s="3">
        <f ca="1">IFERROR(__xludf.DUMMYFUNCTION("""COMPUTED_VALUE"""),-0.478089045564977)</f>
        <v>-0.478089045564977</v>
      </c>
      <c r="Z47" s="3">
        <f ca="1">IFERROR(__xludf.DUMMYFUNCTION("""COMPUTED_VALUE"""),-0.410197892038579)</f>
        <v>-0.41019789203857898</v>
      </c>
      <c r="AA47" s="3">
        <f ca="1">IFERROR(__xludf.DUMMYFUNCTION("""COMPUTED_VALUE"""),-0.501346062744062)</f>
        <v>-0.50134606274406202</v>
      </c>
      <c r="AB47" s="3">
        <f ca="1">IFERROR(__xludf.DUMMYFUNCTION("""COMPUTED_VALUE"""),-0.498338136244989)</f>
        <v>-0.49833813624498902</v>
      </c>
      <c r="AC47" s="3">
        <f ca="1">IFERROR(__xludf.DUMMYFUNCTION("""COMPUTED_VALUE"""),-0.45527121657866)</f>
        <v>-0.45527121657865999</v>
      </c>
      <c r="AD47" s="3">
        <f ca="1">IFERROR(__xludf.DUMMYFUNCTION("""COMPUTED_VALUE"""),-0.463264215856636)</f>
        <v>-0.46326421585663602</v>
      </c>
      <c r="AE47" s="3">
        <f ca="1">IFERROR(__xludf.DUMMYFUNCTION("""COMPUTED_VALUE"""),-0.465048291801823)</f>
        <v>-0.465048291801823</v>
      </c>
      <c r="AF47" s="3">
        <f ca="1">IFERROR(__xludf.DUMMYFUNCTION("""COMPUTED_VALUE"""),-0.479607624574923)</f>
        <v>-0.47960762457492301</v>
      </c>
      <c r="AG47" s="3">
        <f ca="1">IFERROR(__xludf.DUMMYFUNCTION("""COMPUTED_VALUE"""),-0.431807078271316)</f>
        <v>-0.43180707827131598</v>
      </c>
      <c r="AH47" s="3">
        <f ca="1">IFERROR(__xludf.DUMMYFUNCTION("""COMPUTED_VALUE"""),-0.471569651286345)</f>
        <v>-0.47156965128634498</v>
      </c>
      <c r="AI47" s="3">
        <f ca="1">IFERROR(__xludf.DUMMYFUNCTION("""COMPUTED_VALUE"""),-0.483062794728398)</f>
        <v>-0.48306279472839803</v>
      </c>
      <c r="AJ47" s="3">
        <f ca="1">IFERROR(__xludf.DUMMYFUNCTION("""COMPUTED_VALUE"""),-0.474786357663211)</f>
        <v>-0.47478635766321098</v>
      </c>
      <c r="AK47" s="3">
        <f ca="1">IFERROR(__xludf.DUMMYFUNCTION("""COMPUTED_VALUE"""),-0.486901679816221)</f>
        <v>-0.48690167981622101</v>
      </c>
      <c r="AL47" s="3">
        <f ca="1">IFERROR(__xludf.DUMMYFUNCTION("""COMPUTED_VALUE"""),-0.461074281575068)</f>
        <v>-0.46107428157506802</v>
      </c>
      <c r="AM47" s="3">
        <f ca="1">IFERROR(__xludf.DUMMYFUNCTION("""COMPUTED_VALUE"""),-0.46638978205652)</f>
        <v>-0.46638978205651999</v>
      </c>
      <c r="AN47" s="3">
        <f ca="1">IFERROR(__xludf.DUMMYFUNCTION("""COMPUTED_VALUE"""),-0.392670027660629)</f>
        <v>-0.39267002766062897</v>
      </c>
      <c r="AO47" s="3">
        <f ca="1">IFERROR(__xludf.DUMMYFUNCTION("""COMPUTED_VALUE"""),-0.464342708541475)</f>
        <v>-0.46434270854147502</v>
      </c>
      <c r="AP47" s="3">
        <f ca="1">IFERROR(__xludf.DUMMYFUNCTION("""COMPUTED_VALUE"""),-0.479486606454543)</f>
        <v>-0.479486606454543</v>
      </c>
      <c r="AQ47" s="3">
        <f ca="1">IFERROR(__xludf.DUMMYFUNCTION("""COMPUTED_VALUE"""),-0.447539154188719)</f>
        <v>-0.44753915418871898</v>
      </c>
      <c r="AR47" s="3">
        <f ca="1">IFERROR(__xludf.DUMMYFUNCTION("""COMPUTED_VALUE"""),-0.438930690313879)</f>
        <v>-0.43893069031387899</v>
      </c>
      <c r="AS47" s="3">
        <f ca="1">IFERROR(__xludf.DUMMYFUNCTION("""COMPUTED_VALUE"""),-0.444694095644161)</f>
        <v>-0.44469409564416101</v>
      </c>
      <c r="AT47" s="3">
        <f ca="1">IFERROR(__xludf.DUMMYFUNCTION("""COMPUTED_VALUE"""),-0.408448296248054)</f>
        <v>-0.40844829624805401</v>
      </c>
      <c r="AU47" s="3">
        <f ca="1">IFERROR(__xludf.DUMMYFUNCTION("""COMPUTED_VALUE"""),-0.353335117338071)</f>
        <v>-0.35333511733807099</v>
      </c>
      <c r="AV47" s="3">
        <f ca="1">IFERROR(__xludf.DUMMYFUNCTION("""COMPUTED_VALUE"""),-0.435515057813875)</f>
        <v>-0.43551505781387501</v>
      </c>
      <c r="AW47" s="3">
        <f ca="1">IFERROR(__xludf.DUMMYFUNCTION("""COMPUTED_VALUE"""),-0.425938224627301)</f>
        <v>-0.42593822462730102</v>
      </c>
      <c r="AX47" s="3">
        <f ca="1">IFERROR(__xludf.DUMMYFUNCTION("""COMPUTED_VALUE"""),-0.430590282723212)</f>
        <v>-0.43059028272321198</v>
      </c>
      <c r="AY47" s="3">
        <f ca="1">IFERROR(__xludf.DUMMYFUNCTION("""COMPUTED_VALUE"""),-0.443038295151814)</f>
        <v>-0.44303829515181398</v>
      </c>
      <c r="AZ47" s="3">
        <f ca="1">IFERROR(__xludf.DUMMYFUNCTION("""COMPUTED_VALUE"""),-0.436591324881196)</f>
        <v>-0.43659132488119601</v>
      </c>
      <c r="BA47" s="3">
        <f ca="1">IFERROR(__xludf.DUMMYFUNCTION("""COMPUTED_VALUE"""),-0.455051932473932)</f>
        <v>-0.455051932473932</v>
      </c>
      <c r="BB47" s="3">
        <f ca="1">IFERROR(__xludf.DUMMYFUNCTION("""COMPUTED_VALUE"""),-0.402269801169984)</f>
        <v>-0.40226980116998401</v>
      </c>
      <c r="BC47" s="3">
        <f ca="1">IFERROR(__xludf.DUMMYFUNCTION("""COMPUTED_VALUE"""),-0.442983897898099)</f>
        <v>-0.442983897898099</v>
      </c>
      <c r="BD47" s="3">
        <f ca="1">IFERROR(__xludf.DUMMYFUNCTION("""COMPUTED_VALUE"""),-0.452658312434188)</f>
        <v>-0.45265831243418803</v>
      </c>
      <c r="BE47" s="3">
        <f ca="1">IFERROR(__xludf.DUMMYFUNCTION("""COMPUTED_VALUE"""),-0.408063436632367)</f>
        <v>-0.40806343663236699</v>
      </c>
      <c r="BF47" s="3">
        <f ca="1">IFERROR(__xludf.DUMMYFUNCTION("""COMPUTED_VALUE"""),-0.430599051840507)</f>
        <v>-0.43059905184050701</v>
      </c>
      <c r="BG47" s="3">
        <f ca="1">IFERROR(__xludf.DUMMYFUNCTION("""COMPUTED_VALUE"""),-0.577413989457763)</f>
        <v>-0.57741398945776301</v>
      </c>
      <c r="BH47" s="3">
        <f ca="1">IFERROR(__xludf.DUMMYFUNCTION("""COMPUTED_VALUE"""),-0.387454664448057)</f>
        <v>-0.38745466444805698</v>
      </c>
      <c r="BI47" s="3">
        <f ca="1">IFERROR(__xludf.DUMMYFUNCTION("""COMPUTED_VALUE"""),-0.44404591185807)</f>
        <v>-0.44404591185807002</v>
      </c>
      <c r="BJ47" s="3">
        <f ca="1">IFERROR(__xludf.DUMMYFUNCTION("""COMPUTED_VALUE"""),-0.546522606271981)</f>
        <v>-0.54652260627198102</v>
      </c>
      <c r="BK47" s="3">
        <f ca="1">IFERROR(__xludf.DUMMYFUNCTION("""COMPUTED_VALUE"""),-0.553081221336151)</f>
        <v>-0.55308122133615101</v>
      </c>
      <c r="BL47" s="3">
        <f ca="1">IFERROR(__xludf.DUMMYFUNCTION("""COMPUTED_VALUE"""),-0.50420353021155)</f>
        <v>-0.50420353021154996</v>
      </c>
      <c r="BM47" s="3">
        <f ca="1">IFERROR(__xludf.DUMMYFUNCTION("""COMPUTED_VALUE"""),-0.512681913886968)</f>
        <v>-0.51268191388696804</v>
      </c>
      <c r="BN47" s="3">
        <f ca="1">IFERROR(__xludf.DUMMYFUNCTION("""COMPUTED_VALUE"""),-0.478365150056802)</f>
        <v>-0.47836515005680202</v>
      </c>
      <c r="BO47" s="3">
        <f ca="1">IFERROR(__xludf.DUMMYFUNCTION("""COMPUTED_VALUE"""),-0.489148179322516)</f>
        <v>-0.48914817932251597</v>
      </c>
      <c r="BP47" s="3">
        <f ca="1">IFERROR(__xludf.DUMMYFUNCTION("""COMPUTED_VALUE"""),-0.436737159961429)</f>
        <v>-0.43673715996142898</v>
      </c>
      <c r="BQ47" s="3">
        <f ca="1">IFERROR(__xludf.DUMMYFUNCTION("""COMPUTED_VALUE"""),-0.484669037892698)</f>
        <v>-0.484669037892698</v>
      </c>
      <c r="BR47" s="3">
        <f ca="1">IFERROR(__xludf.DUMMYFUNCTION("""COMPUTED_VALUE"""),-0.48813268525707)</f>
        <v>-0.48813268525706999</v>
      </c>
      <c r="BS47" s="3">
        <f ca="1">IFERROR(__xludf.DUMMYFUNCTION("""COMPUTED_VALUE"""),-0.488259064911429)</f>
        <v>-0.48825906491142901</v>
      </c>
      <c r="BT47" s="3">
        <f ca="1">IFERROR(__xludf.DUMMYFUNCTION("""COMPUTED_VALUE"""),-0.492932556479969)</f>
        <v>-0.49293255647996898</v>
      </c>
      <c r="BU47" s="3">
        <f ca="1">IFERROR(__xludf.DUMMYFUNCTION("""COMPUTED_VALUE"""),-0.508203415104406)</f>
        <v>-0.50820341510440603</v>
      </c>
      <c r="BV47" s="3">
        <f ca="1">IFERROR(__xludf.DUMMYFUNCTION("""COMPUTED_VALUE"""),-0.503794503825518)</f>
        <v>-0.50379450382551805</v>
      </c>
      <c r="BW47" s="3">
        <f ca="1">IFERROR(__xludf.DUMMYFUNCTION("""COMPUTED_VALUE"""),-0.434349562635534)</f>
        <v>-0.43434956263553398</v>
      </c>
      <c r="BX47" s="3">
        <f ca="1">IFERROR(__xludf.DUMMYFUNCTION("""COMPUTED_VALUE"""),-0.531490944799445)</f>
        <v>-0.53149094479944503</v>
      </c>
      <c r="BY47" s="3">
        <f ca="1">IFERROR(__xludf.DUMMYFUNCTION("""COMPUTED_VALUE"""),-0.549184867362091)</f>
        <v>-0.54918486736209104</v>
      </c>
      <c r="BZ47" s="3">
        <f ca="1">IFERROR(__xludf.DUMMYFUNCTION("""COMPUTED_VALUE"""),-0.543757322455734)</f>
        <v>-0.54375732245573405</v>
      </c>
      <c r="CA47" s="3">
        <f ca="1">IFERROR(__xludf.DUMMYFUNCTION("""COMPUTED_VALUE"""),-0.543166454080273)</f>
        <v>-0.54316645408027298</v>
      </c>
      <c r="CB47" s="3">
        <f ca="1">IFERROR(__xludf.DUMMYFUNCTION("""COMPUTED_VALUE"""),-0.524462133834389)</f>
        <v>-0.524462133834389</v>
      </c>
      <c r="CC47" s="3">
        <f ca="1">IFERROR(__xludf.DUMMYFUNCTION("""COMPUTED_VALUE"""),-0.517919476011158)</f>
        <v>-0.51791947601115795</v>
      </c>
      <c r="CD47" s="3">
        <f ca="1">IFERROR(__xludf.DUMMYFUNCTION("""COMPUTED_VALUE"""),-0.477785637472059)</f>
        <v>-0.47778563747205899</v>
      </c>
      <c r="CE47" s="3">
        <f ca="1">IFERROR(__xludf.DUMMYFUNCTION("""COMPUTED_VALUE"""),-0.520548832398869)</f>
        <v>-0.52054883239886895</v>
      </c>
      <c r="CF47" s="3">
        <f ca="1">IFERROR(__xludf.DUMMYFUNCTION("""COMPUTED_VALUE"""),-0.54460940012602)</f>
        <v>-0.54460940012601999</v>
      </c>
      <c r="CG47" s="3">
        <f ca="1">IFERROR(__xludf.DUMMYFUNCTION("""COMPUTED_VALUE"""),-0.531133813601637)</f>
        <v>-0.53113381360163703</v>
      </c>
      <c r="CH47" s="3">
        <f ca="1">IFERROR(__xludf.DUMMYFUNCTION("""COMPUTED_VALUE"""),-0.548749413122955)</f>
        <v>-0.548749413122955</v>
      </c>
      <c r="CI47" s="3">
        <f ca="1">IFERROR(__xludf.DUMMYFUNCTION("""COMPUTED_VALUE"""),-0.57089807617659)</f>
        <v>-0.57089807617659005</v>
      </c>
      <c r="CJ47" s="3">
        <f ca="1">IFERROR(__xludf.DUMMYFUNCTION("""COMPUTED_VALUE"""),-0.449425764349873)</f>
        <v>-0.44942576434987302</v>
      </c>
      <c r="CK47" s="3">
        <f ca="1">IFERROR(__xludf.DUMMYFUNCTION("""COMPUTED_VALUE"""),-0.462910270241334)</f>
        <v>-0.46291027024133402</v>
      </c>
      <c r="CL47" s="3">
        <f ca="1">IFERROR(__xludf.DUMMYFUNCTION("""COMPUTED_VALUE"""),-0.541235472133898)</f>
        <v>-0.541235472133898</v>
      </c>
      <c r="CM47" s="3">
        <f ca="1">IFERROR(__xludf.DUMMYFUNCTION("""COMPUTED_VALUE"""),-0.555207226289657)</f>
        <v>-0.55520722628965702</v>
      </c>
      <c r="CN47" s="3">
        <f ca="1">IFERROR(__xludf.DUMMYFUNCTION("""COMPUTED_VALUE"""),-0.560856567014578)</f>
        <v>-0.56085656701457798</v>
      </c>
      <c r="CO47" s="3">
        <f ca="1">IFERROR(__xludf.DUMMYFUNCTION("""COMPUTED_VALUE"""),-0.56240098174284)</f>
        <v>-0.56240098174284003</v>
      </c>
      <c r="CP47" s="3">
        <f ca="1">IFERROR(__xludf.DUMMYFUNCTION("""COMPUTED_VALUE"""),-0.550691960084536)</f>
        <v>-0.55069196008453603</v>
      </c>
      <c r="CQ47" s="3">
        <f ca="1">IFERROR(__xludf.DUMMYFUNCTION("""COMPUTED_VALUE"""),-0.450737669342957)</f>
        <v>-0.450737669342957</v>
      </c>
      <c r="CR47" s="3">
        <f ca="1">IFERROR(__xludf.DUMMYFUNCTION("""COMPUTED_VALUE"""),-0.443518277652071)</f>
        <v>-0.44351827765207102</v>
      </c>
      <c r="CS47" s="3">
        <f ca="1">IFERROR(__xludf.DUMMYFUNCTION("""COMPUTED_VALUE"""),-0.493928852857289)</f>
        <v>-0.49392885285728899</v>
      </c>
      <c r="CT47" s="3">
        <f ca="1">IFERROR(__xludf.DUMMYFUNCTION("""COMPUTED_VALUE"""),-0.472139368672946)</f>
        <v>-0.47213936867294598</v>
      </c>
      <c r="CU47" s="3">
        <f ca="1">IFERROR(__xludf.DUMMYFUNCTION("""COMPUTED_VALUE"""),-0.429101516681378)</f>
        <v>-0.42910151668137803</v>
      </c>
      <c r="CV47" s="3">
        <f ca="1">IFERROR(__xludf.DUMMYFUNCTION("""COMPUTED_VALUE"""),-0.469395529664582)</f>
        <v>-0.46939552966458198</v>
      </c>
      <c r="CW47" s="3">
        <f ca="1">IFERROR(__xludf.DUMMYFUNCTION("""COMPUTED_VALUE"""),-0.43580861589488)</f>
        <v>-0.43580861589488001</v>
      </c>
      <c r="CX47" s="3">
        <f ca="1">IFERROR(__xludf.DUMMYFUNCTION("""COMPUTED_VALUE"""),-0.449175963532492)</f>
        <v>-0.44917596353249201</v>
      </c>
      <c r="CY47" s="3">
        <f ca="1">IFERROR(__xludf.DUMMYFUNCTION("""COMPUTED_VALUE"""),-0.481502023905647)</f>
        <v>-0.481502023905647</v>
      </c>
      <c r="CZ47" s="3">
        <f ca="1">IFERROR(__xludf.DUMMYFUNCTION("""COMPUTED_VALUE"""),-0.648339395606472)</f>
        <v>-0.64833939560647202</v>
      </c>
      <c r="DA47" s="3">
        <f ca="1">IFERROR(__xludf.DUMMYFUNCTION("""COMPUTED_VALUE"""),-0.451201775168311)</f>
        <v>-0.451201775168311</v>
      </c>
      <c r="DB47" s="3">
        <f ca="1">IFERROR(__xludf.DUMMYFUNCTION("""COMPUTED_VALUE"""),-0.383586370567857)</f>
        <v>-0.38358637056785699</v>
      </c>
      <c r="DC47" s="3">
        <f ca="1">IFERROR(__xludf.DUMMYFUNCTION("""COMPUTED_VALUE"""),-0.488765007346058)</f>
        <v>-0.48876500734605799</v>
      </c>
      <c r="DD47" s="3">
        <f ca="1">IFERROR(__xludf.DUMMYFUNCTION("""COMPUTED_VALUE"""),-0.472786827522882)</f>
        <v>-0.47278682752288198</v>
      </c>
      <c r="DE47" s="3">
        <f ca="1">IFERROR(__xludf.DUMMYFUNCTION("""COMPUTED_VALUE"""),-0.401477846900149)</f>
        <v>-0.40147784690014898</v>
      </c>
      <c r="DF47" s="3">
        <f ca="1">IFERROR(__xludf.DUMMYFUNCTION("""COMPUTED_VALUE"""),-0.334998737688822)</f>
        <v>-0.33499873768882199</v>
      </c>
      <c r="DG47" s="3">
        <f ca="1">IFERROR(__xludf.DUMMYFUNCTION("""COMPUTED_VALUE"""),-0.807732791941229)</f>
        <v>-0.80773279194122904</v>
      </c>
      <c r="DH47" s="3">
        <f ca="1">IFERROR(__xludf.DUMMYFUNCTION("""COMPUTED_VALUE"""),-0.509981811692397)</f>
        <v>-0.50998181169239698</v>
      </c>
      <c r="DI47" s="3">
        <f ca="1">IFERROR(__xludf.DUMMYFUNCTION("""COMPUTED_VALUE"""),-0.127053826898708)</f>
        <v>-0.12705382689870801</v>
      </c>
      <c r="DJ47" s="3">
        <f ca="1">IFERROR(__xludf.DUMMYFUNCTION("""COMPUTED_VALUE"""),-0.381729555423555)</f>
        <v>-0.38172955542355502</v>
      </c>
      <c r="DK47" s="3">
        <f ca="1">IFERROR(__xludf.DUMMYFUNCTION("""COMPUTED_VALUE"""),-0.436427781212395)</f>
        <v>-0.43642778121239501</v>
      </c>
      <c r="DL47" s="3">
        <f ca="1">IFERROR(__xludf.DUMMYFUNCTION("""COMPUTED_VALUE"""),-0.399383850661153)</f>
        <v>-0.39938385066115301</v>
      </c>
      <c r="DM47" s="3">
        <f ca="1">IFERROR(__xludf.DUMMYFUNCTION("""COMPUTED_VALUE"""),-0.392277675566029)</f>
        <v>-0.39227767556602899</v>
      </c>
      <c r="DN47" s="3">
        <f ca="1">IFERROR(__xludf.DUMMYFUNCTION("""COMPUTED_VALUE"""),-0.353768744450864)</f>
        <v>-0.35376874445086398</v>
      </c>
      <c r="DO47" s="3">
        <f ca="1">IFERROR(__xludf.DUMMYFUNCTION("""COMPUTED_VALUE"""),-0.368924338515767)</f>
        <v>-0.368924338515767</v>
      </c>
      <c r="DP47" s="3">
        <f ca="1">IFERROR(__xludf.DUMMYFUNCTION("""COMPUTED_VALUE"""),-0.296470436500315)</f>
        <v>-0.29647043650031502</v>
      </c>
      <c r="DQ47" s="3">
        <f ca="1">IFERROR(__xludf.DUMMYFUNCTION("""COMPUTED_VALUE"""),-0.395593558278483)</f>
        <v>-0.39559355827848303</v>
      </c>
      <c r="DR47" s="3">
        <f ca="1">IFERROR(__xludf.DUMMYFUNCTION("""COMPUTED_VALUE"""),-0.436486416513189)</f>
        <v>-0.43648641651318898</v>
      </c>
      <c r="DS47" s="3">
        <f ca="1">IFERROR(__xludf.DUMMYFUNCTION("""COMPUTED_VALUE"""),-0.473260253931938)</f>
        <v>-0.47326025393193799</v>
      </c>
      <c r="DT47" s="3">
        <f ca="1">IFERROR(__xludf.DUMMYFUNCTION("""COMPUTED_VALUE"""),-0.474621240769514)</f>
        <v>-0.47462124076951401</v>
      </c>
      <c r="DU47" s="3">
        <f ca="1">IFERROR(__xludf.DUMMYFUNCTION("""COMPUTED_VALUE"""),-0.471404785692555)</f>
        <v>-0.47140478569255501</v>
      </c>
      <c r="DV47" s="3">
        <f ca="1">IFERROR(__xludf.DUMMYFUNCTION("""COMPUTED_VALUE"""),-0.41294030586881)</f>
        <v>-0.41294030586880998</v>
      </c>
      <c r="DW47" s="3">
        <f ca="1">IFERROR(__xludf.DUMMYFUNCTION("""COMPUTED_VALUE"""),-0.492762263168509)</f>
        <v>-0.49276226316850902</v>
      </c>
      <c r="DX47" s="3">
        <f ca="1">IFERROR(__xludf.DUMMYFUNCTION("""COMPUTED_VALUE"""),-0.491470039678759)</f>
        <v>-0.49147003967875902</v>
      </c>
      <c r="DY47" s="3">
        <f ca="1">IFERROR(__xludf.DUMMYFUNCTION("""COMPUTED_VALUE"""),-0.528307646022041)</f>
        <v>-0.52830764602204106</v>
      </c>
      <c r="DZ47" s="3">
        <f ca="1">IFERROR(__xludf.DUMMYFUNCTION("""COMPUTED_VALUE"""),-0.480613417093571)</f>
        <v>-0.48061341709357103</v>
      </c>
      <c r="EA47" s="3">
        <f ca="1">IFERROR(__xludf.DUMMYFUNCTION("""COMPUTED_VALUE"""),-0.50130399205665)</f>
        <v>-0.50130399205664999</v>
      </c>
      <c r="EB47" s="3">
        <f ca="1">IFERROR(__xludf.DUMMYFUNCTION("""COMPUTED_VALUE"""),-0.512415949733651)</f>
        <v>-0.51241594973365101</v>
      </c>
      <c r="EC47" s="3">
        <f ca="1">IFERROR(__xludf.DUMMYFUNCTION("""COMPUTED_VALUE"""),-0.495748407457942)</f>
        <v>-0.49574840745794202</v>
      </c>
      <c r="ED47" s="3">
        <f ca="1">IFERROR(__xludf.DUMMYFUNCTION("""COMPUTED_VALUE"""),-0.488120995878552)</f>
        <v>-0.48812099587855201</v>
      </c>
      <c r="EE47" s="3">
        <f ca="1">IFERROR(__xludf.DUMMYFUNCTION("""COMPUTED_VALUE"""),-0.466873675266942)</f>
        <v>-0.46687367526694201</v>
      </c>
      <c r="EF47" s="3">
        <f ca="1">IFERROR(__xludf.DUMMYFUNCTION("""COMPUTED_VALUE"""),-0.454104906146743)</f>
        <v>-0.45410490614674298</v>
      </c>
      <c r="EG47" s="3">
        <f ca="1">IFERROR(__xludf.DUMMYFUNCTION("""COMPUTED_VALUE"""),-0.511874137017381)</f>
        <v>-0.51187413701738105</v>
      </c>
      <c r="EH47" s="3">
        <f ca="1">IFERROR(__xludf.DUMMYFUNCTION("""COMPUTED_VALUE"""),-0.507577715044636)</f>
        <v>-0.507577715044636</v>
      </c>
      <c r="EI47" s="3">
        <f ca="1">IFERROR(__xludf.DUMMYFUNCTION("""COMPUTED_VALUE"""),-0.47042408834202)</f>
        <v>-0.47042408834201999</v>
      </c>
      <c r="EJ47" s="3">
        <f ca="1">IFERROR(__xludf.DUMMYFUNCTION("""COMPUTED_VALUE"""),-0.473101172393019)</f>
        <v>-0.47310117239301902</v>
      </c>
      <c r="EK47" s="3">
        <f ca="1">IFERROR(__xludf.DUMMYFUNCTION("""COMPUTED_VALUE"""),-0.421574313743723)</f>
        <v>-0.42157431374372301</v>
      </c>
      <c r="EL47" s="3">
        <f ca="1">IFERROR(__xludf.DUMMYFUNCTION("""COMPUTED_VALUE"""),-0.517658415515628)</f>
        <v>-0.51765841551562797</v>
      </c>
      <c r="EM47" s="3">
        <f ca="1">IFERROR(__xludf.DUMMYFUNCTION("""COMPUTED_VALUE"""),-0.501748918304623)</f>
        <v>-0.50174891830462298</v>
      </c>
      <c r="EN47" s="3">
        <f ca="1">IFERROR(__xludf.DUMMYFUNCTION("""COMPUTED_VALUE"""),-0.51798885049802)</f>
        <v>-0.51798885049802001</v>
      </c>
      <c r="EO47" s="3">
        <f ca="1">IFERROR(__xludf.DUMMYFUNCTION("""COMPUTED_VALUE"""),-0.505203890827702)</f>
        <v>-0.50520389082770201</v>
      </c>
      <c r="EP47" s="3">
        <f ca="1">IFERROR(__xludf.DUMMYFUNCTION("""COMPUTED_VALUE"""),-0.51777212421574)</f>
        <v>-0.51777212421574004</v>
      </c>
      <c r="EQ47" s="3">
        <f ca="1">IFERROR(__xludf.DUMMYFUNCTION("""COMPUTED_VALUE"""),-0.52235594205597)</f>
        <v>-0.52235594205597002</v>
      </c>
      <c r="ER47" s="3">
        <f ca="1">IFERROR(__xludf.DUMMYFUNCTION("""COMPUTED_VALUE"""),-0.477668119841142)</f>
        <v>-0.47766811984114199</v>
      </c>
      <c r="ES47" s="3">
        <f ca="1">IFERROR(__xludf.DUMMYFUNCTION("""COMPUTED_VALUE"""),-0.444775779435115)</f>
        <v>-0.44477577943511498</v>
      </c>
      <c r="ET47" s="3">
        <f ca="1">IFERROR(__xludf.DUMMYFUNCTION("""COMPUTED_VALUE"""),-0.444700729309647)</f>
        <v>-0.44470072930964699</v>
      </c>
      <c r="EU47" s="3">
        <f ca="1">IFERROR(__xludf.DUMMYFUNCTION("""COMPUTED_VALUE"""),-0.515655197073191)</f>
        <v>-0.51565519707319096</v>
      </c>
      <c r="EV47" s="3">
        <f ca="1">IFERROR(__xludf.DUMMYFUNCTION("""COMPUTED_VALUE"""),-0.467102728439342)</f>
        <v>-0.46710272843934197</v>
      </c>
      <c r="EW47" s="3">
        <f ca="1">IFERROR(__xludf.DUMMYFUNCTION("""COMPUTED_VALUE"""),-0.466367565539847)</f>
        <v>-0.46636756553984698</v>
      </c>
      <c r="EX47" s="3">
        <f ca="1">IFERROR(__xludf.DUMMYFUNCTION("""COMPUTED_VALUE"""),-0.460810207080696)</f>
        <v>-0.46081020708069598</v>
      </c>
      <c r="EY47" s="3">
        <f ca="1">IFERROR(__xludf.DUMMYFUNCTION("""COMPUTED_VALUE"""),-0.505633488721304)</f>
        <v>-0.50563348872130398</v>
      </c>
      <c r="EZ47" s="3">
        <f ca="1">IFERROR(__xludf.DUMMYFUNCTION("""COMPUTED_VALUE"""),-0.423905788718782)</f>
        <v>-0.42390578871878198</v>
      </c>
      <c r="FA47" s="3">
        <f ca="1">IFERROR(__xludf.DUMMYFUNCTION("""COMPUTED_VALUE"""),-0.416869889126489)</f>
        <v>-0.41686988912648898</v>
      </c>
      <c r="FB47" s="3">
        <f ca="1">IFERROR(__xludf.DUMMYFUNCTION("""COMPUTED_VALUE"""),-0.459531150024958)</f>
        <v>-0.45953115002495798</v>
      </c>
      <c r="FC47" s="3">
        <f ca="1">IFERROR(__xludf.DUMMYFUNCTION("""COMPUTED_VALUE"""),-0.448938199873296)</f>
        <v>-0.44893819987329597</v>
      </c>
      <c r="FD47" s="3">
        <f ca="1">IFERROR(__xludf.DUMMYFUNCTION("""COMPUTED_VALUE"""),-0.449853983810224)</f>
        <v>-0.44985398381022401</v>
      </c>
      <c r="FE47" s="3">
        <f ca="1">IFERROR(__xludf.DUMMYFUNCTION("""COMPUTED_VALUE"""),-0.46175340209201)</f>
        <v>-0.46175340209200999</v>
      </c>
      <c r="FF47" s="3">
        <f ca="1">IFERROR(__xludf.DUMMYFUNCTION("""COMPUTED_VALUE"""),-0.443640911630009)</f>
        <v>-0.44364091163000902</v>
      </c>
      <c r="FG47" s="3">
        <f ca="1">IFERROR(__xludf.DUMMYFUNCTION("""COMPUTED_VALUE"""),-0.456894439727147)</f>
        <v>-0.45689443972714699</v>
      </c>
      <c r="FH47" s="3">
        <f ca="1">IFERROR(__xludf.DUMMYFUNCTION("""COMPUTED_VALUE"""),-0.396790805229315)</f>
        <v>-0.39679080522931498</v>
      </c>
      <c r="FI47" s="3">
        <f ca="1">IFERROR(__xludf.DUMMYFUNCTION("""COMPUTED_VALUE"""),-0.496734543438416)</f>
        <v>-0.496734543438416</v>
      </c>
      <c r="FJ47" s="3">
        <f ca="1">IFERROR(__xludf.DUMMYFUNCTION("""COMPUTED_VALUE"""),-0.440516849757028)</f>
        <v>-0.44051684975702798</v>
      </c>
      <c r="FK47" s="3">
        <f ca="1">IFERROR(__xludf.DUMMYFUNCTION("""COMPUTED_VALUE"""),-0.430320647284634)</f>
        <v>-0.43032064728463398</v>
      </c>
      <c r="FL47" s="3">
        <f ca="1">IFERROR(__xludf.DUMMYFUNCTION("""COMPUTED_VALUE"""),-0.467762982473309)</f>
        <v>-0.467762982473309</v>
      </c>
      <c r="FM47" s="3">
        <f ca="1">IFERROR(__xludf.DUMMYFUNCTION("""COMPUTED_VALUE"""),-0.436710072382763)</f>
        <v>-0.43671007238276299</v>
      </c>
      <c r="FN47" s="3">
        <f ca="1">IFERROR(__xludf.DUMMYFUNCTION("""COMPUTED_VALUE"""),-0.449328833185188)</f>
        <v>-0.44932883318518801</v>
      </c>
      <c r="FO47" s="3">
        <f ca="1">IFERROR(__xludf.DUMMYFUNCTION("""COMPUTED_VALUE"""),-0.426342273004666)</f>
        <v>-0.42634227300466598</v>
      </c>
      <c r="FP47" s="3">
        <f ca="1">IFERROR(__xludf.DUMMYFUNCTION("""COMPUTED_VALUE"""),-0.458568442810105)</f>
        <v>-0.458568442810105</v>
      </c>
      <c r="FQ47" s="3">
        <f ca="1">IFERROR(__xludf.DUMMYFUNCTION("""COMPUTED_VALUE"""),-0.500384599028172)</f>
        <v>-0.50038459902817201</v>
      </c>
      <c r="FR47" s="3">
        <f ca="1">IFERROR(__xludf.DUMMYFUNCTION("""COMPUTED_VALUE"""),-0.525256543975985)</f>
        <v>-0.52525654397598498</v>
      </c>
      <c r="FS47" s="3">
        <f ca="1">IFERROR(__xludf.DUMMYFUNCTION("""COMPUTED_VALUE"""),-0.458171951801925)</f>
        <v>-0.45817195180192499</v>
      </c>
      <c r="FT47" s="3">
        <f ca="1">IFERROR(__xludf.DUMMYFUNCTION("""COMPUTED_VALUE"""),-0.449942212859018)</f>
        <v>-0.44994221285901798</v>
      </c>
      <c r="FU47" s="3">
        <f ca="1">IFERROR(__xludf.DUMMYFUNCTION("""COMPUTED_VALUE"""),-0.433240834673925)</f>
        <v>-0.43324083467392499</v>
      </c>
      <c r="FV47" s="3">
        <f ca="1">IFERROR(__xludf.DUMMYFUNCTION("""COMPUTED_VALUE"""),-0.34053393753777)</f>
        <v>-0.34053393753777</v>
      </c>
      <c r="FW47" s="3">
        <f ca="1">IFERROR(__xludf.DUMMYFUNCTION("""COMPUTED_VALUE"""),-0.413556984161606)</f>
        <v>-0.41355698416160602</v>
      </c>
      <c r="FX47" s="3">
        <f ca="1">IFERROR(__xludf.DUMMYFUNCTION("""COMPUTED_VALUE"""),-0.414877767517487)</f>
        <v>-0.41487776751748701</v>
      </c>
      <c r="FY47" s="3">
        <f ca="1">IFERROR(__xludf.DUMMYFUNCTION("""COMPUTED_VALUE"""),-0.455336946717536)</f>
        <v>-0.455336946717536</v>
      </c>
      <c r="FZ47" s="3">
        <f ca="1">IFERROR(__xludf.DUMMYFUNCTION("""COMPUTED_VALUE"""),-0.435580901642872)</f>
        <v>-0.435580901642872</v>
      </c>
      <c r="GA47" s="3">
        <f ca="1">IFERROR(__xludf.DUMMYFUNCTION("""COMPUTED_VALUE"""),-0.478185610321982)</f>
        <v>-0.47818561032198198</v>
      </c>
      <c r="GB47" s="3">
        <f ca="1">IFERROR(__xludf.DUMMYFUNCTION("""COMPUTED_VALUE"""),-0.450572225206558)</f>
        <v>-0.45057222520655799</v>
      </c>
      <c r="GC47" s="3">
        <f ca="1">IFERROR(__xludf.DUMMYFUNCTION("""COMPUTED_VALUE"""),-0.575178176216417)</f>
        <v>-0.57517817621641698</v>
      </c>
      <c r="GD47" s="3">
        <f ca="1">IFERROR(__xludf.DUMMYFUNCTION("""COMPUTED_VALUE"""),-0.440812679074121)</f>
        <v>-0.44081267907412103</v>
      </c>
      <c r="GE47" s="3">
        <f ca="1">IFERROR(__xludf.DUMMYFUNCTION("""COMPUTED_VALUE"""),-0.468787890363844)</f>
        <v>-0.468787890363844</v>
      </c>
      <c r="GF47" s="3">
        <f ca="1">IFERROR(__xludf.DUMMYFUNCTION("""COMPUTED_VALUE"""),-0.487736342321336)</f>
        <v>-0.487736342321336</v>
      </c>
      <c r="GG47" s="3">
        <f ca="1">IFERROR(__xludf.DUMMYFUNCTION("""COMPUTED_VALUE"""),-0.451509705846425)</f>
        <v>-0.45150970584642502</v>
      </c>
      <c r="GH47" s="3">
        <f ca="1">IFERROR(__xludf.DUMMYFUNCTION("""COMPUTED_VALUE"""),-0.383563707057455)</f>
        <v>-0.38356370705745502</v>
      </c>
      <c r="GI47" s="3">
        <f ca="1">IFERROR(__xludf.DUMMYFUNCTION("""COMPUTED_VALUE"""),-0.425770685630361)</f>
        <v>-0.42577068563036102</v>
      </c>
      <c r="GJ47" s="3">
        <f ca="1">IFERROR(__xludf.DUMMYFUNCTION("""COMPUTED_VALUE"""),-0.33359736078767)</f>
        <v>-0.33359736078766999</v>
      </c>
      <c r="GK47" s="3">
        <f ca="1">IFERROR(__xludf.DUMMYFUNCTION("""COMPUTED_VALUE"""),-0.437628901620486)</f>
        <v>-0.43762890162048601</v>
      </c>
      <c r="GL47" s="3">
        <f ca="1">IFERROR(__xludf.DUMMYFUNCTION("""COMPUTED_VALUE"""),-0.417393607667957)</f>
        <v>-0.41739360766795702</v>
      </c>
      <c r="GM47" s="3">
        <f ca="1">IFERROR(__xludf.DUMMYFUNCTION("""COMPUTED_VALUE"""),-0.396131242328296)</f>
        <v>-0.396131242328296</v>
      </c>
      <c r="GN47" s="3">
        <f ca="1">IFERROR(__xludf.DUMMYFUNCTION("""COMPUTED_VALUE"""),-0.365412802526699)</f>
        <v>-0.365412802526699</v>
      </c>
      <c r="GO47" s="3">
        <f ca="1">IFERROR(__xludf.DUMMYFUNCTION("""COMPUTED_VALUE"""),-0.385697955937091)</f>
        <v>-0.385697955937091</v>
      </c>
      <c r="GP47" s="3">
        <f ca="1">IFERROR(__xludf.DUMMYFUNCTION("""COMPUTED_VALUE"""),-0.397833197488106)</f>
        <v>-0.39783319748810603</v>
      </c>
      <c r="GQ47" s="3">
        <f ca="1">IFERROR(__xludf.DUMMYFUNCTION("""COMPUTED_VALUE"""),-0.416031955401195)</f>
        <v>-0.41603195540119497</v>
      </c>
      <c r="GR47" s="3">
        <f ca="1">IFERROR(__xludf.DUMMYFUNCTION("""COMPUTED_VALUE"""),-0.39306838539513)</f>
        <v>-0.39306838539513</v>
      </c>
      <c r="GS47" s="3">
        <f ca="1">IFERROR(__xludf.DUMMYFUNCTION("""COMPUTED_VALUE"""),-0.450911263751552)</f>
        <v>-0.45091126375155199</v>
      </c>
      <c r="GT47" s="3">
        <f ca="1">IFERROR(__xludf.DUMMYFUNCTION("""COMPUTED_VALUE"""),-0.43189488125046)</f>
        <v>-0.43189488125045999</v>
      </c>
      <c r="GU47" s="3">
        <f ca="1">IFERROR(__xludf.DUMMYFUNCTION("""COMPUTED_VALUE"""),-0.449732786621431)</f>
        <v>-0.44973278662143101</v>
      </c>
      <c r="GV47" s="3">
        <f ca="1">IFERROR(__xludf.DUMMYFUNCTION("""COMPUTED_VALUE"""),-0.42238951595415)</f>
        <v>-0.42238951595414997</v>
      </c>
      <c r="GW47" s="3">
        <f ca="1">IFERROR(__xludf.DUMMYFUNCTION("""COMPUTED_VALUE"""),-0.382490348614209)</f>
        <v>-0.382490348614209</v>
      </c>
      <c r="GX47" s="3">
        <f ca="1">IFERROR(__xludf.DUMMYFUNCTION("""COMPUTED_VALUE"""),-0.389211734646606)</f>
        <v>-0.38921173464660602</v>
      </c>
      <c r="GY47" s="3">
        <f ca="1">IFERROR(__xludf.DUMMYFUNCTION("""COMPUTED_VALUE"""),-0.380052694555238)</f>
        <v>-0.38005269455523799</v>
      </c>
      <c r="GZ47" s="3">
        <f ca="1">IFERROR(__xludf.DUMMYFUNCTION("""COMPUTED_VALUE"""),-0.419739195054143)</f>
        <v>-0.41973919505414298</v>
      </c>
      <c r="HA47" s="3">
        <f ca="1">IFERROR(__xludf.DUMMYFUNCTION("""COMPUTED_VALUE"""),-0.409455865922678)</f>
        <v>-0.40945586592267802</v>
      </c>
      <c r="HB47" s="3">
        <f ca="1">IFERROR(__xludf.DUMMYFUNCTION("""COMPUTED_VALUE"""),-0.399252830702615)</f>
        <v>-0.39925283070261502</v>
      </c>
      <c r="HC47" s="3">
        <f ca="1">IFERROR(__xludf.DUMMYFUNCTION("""COMPUTED_VALUE"""),-0.42496033533476)</f>
        <v>-0.42496033533476002</v>
      </c>
      <c r="HD47" s="3">
        <f ca="1">IFERROR(__xludf.DUMMYFUNCTION("""COMPUTED_VALUE"""),-0.391729174226885)</f>
        <v>-0.39172917422688502</v>
      </c>
      <c r="HE47" s="3">
        <f ca="1">IFERROR(__xludf.DUMMYFUNCTION("""COMPUTED_VALUE"""),-0.44810705781557)</f>
        <v>-0.44810705781556998</v>
      </c>
      <c r="HF47" s="3">
        <f ca="1">IFERROR(__xludf.DUMMYFUNCTION("""COMPUTED_VALUE"""),-0.419032447102004)</f>
        <v>-0.41903244710200399</v>
      </c>
      <c r="HG47" s="3">
        <f ca="1">IFERROR(__xludf.DUMMYFUNCTION("""COMPUTED_VALUE"""),-0.423235017635643)</f>
        <v>-0.42323501763564297</v>
      </c>
      <c r="HH47" s="3">
        <f ca="1">IFERROR(__xludf.DUMMYFUNCTION("""COMPUTED_VALUE"""),-0.481659130582271)</f>
        <v>-0.481659130582271</v>
      </c>
      <c r="HI47" s="3">
        <f ca="1">IFERROR(__xludf.DUMMYFUNCTION("""COMPUTED_VALUE"""),-0.470706094583161)</f>
        <v>-0.47070609458316098</v>
      </c>
      <c r="HJ47" s="3">
        <f ca="1">IFERROR(__xludf.DUMMYFUNCTION("""COMPUTED_VALUE"""),-0.516548277992866)</f>
        <v>-0.51654827799286596</v>
      </c>
      <c r="HK47" s="3">
        <f ca="1">IFERROR(__xludf.DUMMYFUNCTION("""COMPUTED_VALUE"""),-0.497357643286083)</f>
        <v>-0.49735764328608301</v>
      </c>
      <c r="HL47" s="3">
        <f ca="1">IFERROR(__xludf.DUMMYFUNCTION("""COMPUTED_VALUE"""),-0.551356253281369)</f>
        <v>-0.55135625328136895</v>
      </c>
      <c r="HM47" s="3">
        <f ca="1">IFERROR(__xludf.DUMMYFUNCTION("""COMPUTED_VALUE"""),-0.365823970990333)</f>
        <v>-0.36582397099033298</v>
      </c>
      <c r="HN47" s="3">
        <f ca="1">IFERROR(__xludf.DUMMYFUNCTION("""COMPUTED_VALUE"""),-0.395039939577979)</f>
        <v>-0.395039939577979</v>
      </c>
      <c r="HO47" s="3">
        <f ca="1">IFERROR(__xludf.DUMMYFUNCTION("""COMPUTED_VALUE"""),-0.500956410258701)</f>
        <v>-0.50095641025870097</v>
      </c>
      <c r="HP47" s="3">
        <f ca="1">IFERROR(__xludf.DUMMYFUNCTION("""COMPUTED_VALUE"""),-0.468606152986426)</f>
        <v>-0.46860615298642599</v>
      </c>
      <c r="HQ47" s="3">
        <f ca="1">IFERROR(__xludf.DUMMYFUNCTION("""COMPUTED_VALUE"""),-0.527284763799746)</f>
        <v>-0.52728476379974598</v>
      </c>
      <c r="HR47" s="3">
        <f ca="1">IFERROR(__xludf.DUMMYFUNCTION("""COMPUTED_VALUE"""),-0.463117280968901)</f>
        <v>-0.46311728096890098</v>
      </c>
      <c r="HS47" s="3">
        <f ca="1">IFERROR(__xludf.DUMMYFUNCTION("""COMPUTED_VALUE"""),-0.44490827632785)</f>
        <v>-0.44490827632785002</v>
      </c>
      <c r="HT47" s="3">
        <f ca="1">IFERROR(__xludf.DUMMYFUNCTION("""COMPUTED_VALUE"""),-0.276169606030317)</f>
        <v>-0.27616960603031698</v>
      </c>
      <c r="HU47" s="3">
        <f ca="1">IFERROR(__xludf.DUMMYFUNCTION("""COMPUTED_VALUE"""),-0.326107638180679)</f>
        <v>-0.326107638180679</v>
      </c>
      <c r="HV47" s="3">
        <f ca="1">IFERROR(__xludf.DUMMYFUNCTION("""COMPUTED_VALUE"""),-0.407570691314948)</f>
        <v>-0.407570691314948</v>
      </c>
      <c r="HW47" s="3">
        <f ca="1">IFERROR(__xludf.DUMMYFUNCTION("""COMPUTED_VALUE"""),-0.383384488195027)</f>
        <v>-0.38338448819502702</v>
      </c>
      <c r="HX47" s="3">
        <f ca="1">IFERROR(__xludf.DUMMYFUNCTION("""COMPUTED_VALUE"""),-0.407241471142024)</f>
        <v>-0.40724147114202403</v>
      </c>
      <c r="HY47" s="3">
        <f ca="1">IFERROR(__xludf.DUMMYFUNCTION("""COMPUTED_VALUE"""),-0.385917110220932)</f>
        <v>-0.385917110220932</v>
      </c>
      <c r="HZ47" s="3">
        <f ca="1">IFERROR(__xludf.DUMMYFUNCTION("""COMPUTED_VALUE"""),-0.272148409238975)</f>
        <v>-0.27214840923897499</v>
      </c>
      <c r="IA47" s="3">
        <f ca="1">IFERROR(__xludf.DUMMYFUNCTION("""COMPUTED_VALUE"""),-0.225636255339972)</f>
        <v>-0.225636255339972</v>
      </c>
      <c r="IB47" s="3">
        <f ca="1">IFERROR(__xludf.DUMMYFUNCTION("""COMPUTED_VALUE"""),-0.169550890208073)</f>
        <v>-0.16955089020807301</v>
      </c>
      <c r="IC47" s="3">
        <f ca="1">IFERROR(__xludf.DUMMYFUNCTION("""COMPUTED_VALUE"""),-0.255188974427892)</f>
        <v>-0.25518897442789201</v>
      </c>
      <c r="ID47" s="3">
        <f ca="1">IFERROR(__xludf.DUMMYFUNCTION("""COMPUTED_VALUE"""),-0.190186927475659)</f>
        <v>-0.19018692747565899</v>
      </c>
      <c r="IE47" s="3">
        <f ca="1">IFERROR(__xludf.DUMMYFUNCTION("""COMPUTED_VALUE"""),-0.219130799098772)</f>
        <v>-0.21913079909877201</v>
      </c>
      <c r="IF47" s="3">
        <f ca="1">IFERROR(__xludf.DUMMYFUNCTION("""COMPUTED_VALUE"""),-0.196451136698374)</f>
        <v>-0.196451136698374</v>
      </c>
      <c r="IG47" s="3">
        <f ca="1">IFERROR(__xludf.DUMMYFUNCTION("""COMPUTED_VALUE"""),-0.179962521385261)</f>
        <v>-0.179962521385261</v>
      </c>
      <c r="IH47" s="3">
        <f ca="1">IFERROR(__xludf.DUMMYFUNCTION("""COMPUTED_VALUE"""),-0.167075935348095)</f>
        <v>-0.16707593534809501</v>
      </c>
      <c r="II47" s="3">
        <f ca="1">IFERROR(__xludf.DUMMYFUNCTION("""COMPUTED_VALUE"""),-0.106032474053975)</f>
        <v>-0.10603247405397501</v>
      </c>
      <c r="IJ47" s="3">
        <f ca="1">IFERROR(__xludf.DUMMYFUNCTION("""COMPUTED_VALUE"""),-0.133836889594728)</f>
        <v>-0.133836889594728</v>
      </c>
      <c r="IK47" s="3">
        <f ca="1">IFERROR(__xludf.DUMMYFUNCTION("""COMPUTED_VALUE"""),-0.240216881693504)</f>
        <v>-0.240216881693504</v>
      </c>
      <c r="IL47" s="3">
        <f ca="1">IFERROR(__xludf.DUMMYFUNCTION("""COMPUTED_VALUE"""),-0.202315185994815)</f>
        <v>-0.20231518599481499</v>
      </c>
      <c r="IM47" s="3">
        <f ca="1">IFERROR(__xludf.DUMMYFUNCTION("""COMPUTED_VALUE"""),-0.253771571799978)</f>
        <v>-0.253771571799978</v>
      </c>
      <c r="IN47" s="3">
        <f ca="1">IFERROR(__xludf.DUMMYFUNCTION("""COMPUTED_VALUE"""),-0.141796895143651)</f>
        <v>-0.14179689514365101</v>
      </c>
      <c r="IO47" s="3">
        <f ca="1">IFERROR(__xludf.DUMMYFUNCTION("""COMPUTED_VALUE"""),-0.113290661624651)</f>
        <v>-0.113290661624651</v>
      </c>
      <c r="IP47" s="3">
        <f ca="1">IFERROR(__xludf.DUMMYFUNCTION("""COMPUTED_VALUE"""),-0.143102494694722)</f>
        <v>-0.143102494694722</v>
      </c>
      <c r="IQ47" s="3">
        <f ca="1">IFERROR(__xludf.DUMMYFUNCTION("""COMPUTED_VALUE"""),-0.165249913450715)</f>
        <v>-0.16524991345071499</v>
      </c>
      <c r="IR47" s="3">
        <f ca="1">IFERROR(__xludf.DUMMYFUNCTION("""COMPUTED_VALUE"""),-0.313172312235798)</f>
        <v>-0.313172312235798</v>
      </c>
      <c r="IS47" s="3">
        <f ca="1">IFERROR(__xludf.DUMMYFUNCTION("""COMPUTED_VALUE"""),-0.204838389159835)</f>
        <v>-0.20483838915983499</v>
      </c>
      <c r="IT47" s="3">
        <f ca="1">IFERROR(__xludf.DUMMYFUNCTION("""COMPUTED_VALUE"""),-0.236492609696112)</f>
        <v>-0.23649260969611199</v>
      </c>
      <c r="IU47" s="3">
        <f ca="1">IFERROR(__xludf.DUMMYFUNCTION("""COMPUTED_VALUE"""),-0.274263511602604)</f>
        <v>-0.27426351160260398</v>
      </c>
      <c r="IV47" s="3">
        <f ca="1">IFERROR(__xludf.DUMMYFUNCTION("""COMPUTED_VALUE"""),-0.139502019589916)</f>
        <v>-0.13950201958991601</v>
      </c>
      <c r="IW47" s="3">
        <f ca="1">IFERROR(__xludf.DUMMYFUNCTION("""COMPUTED_VALUE"""),-0.192692323473784)</f>
        <v>-0.19269232347378401</v>
      </c>
      <c r="IX47" s="3">
        <f ca="1">IFERROR(__xludf.DUMMYFUNCTION("""COMPUTED_VALUE"""),-0.18302518064092)</f>
        <v>-0.18302518064091999</v>
      </c>
      <c r="IY47" s="3">
        <f ca="1">IFERROR(__xludf.DUMMYFUNCTION("""COMPUTED_VALUE"""),-0.258024283646085)</f>
        <v>-0.25802428364608498</v>
      </c>
      <c r="IZ47" s="3">
        <f ca="1">IFERROR(__xludf.DUMMYFUNCTION("""COMPUTED_VALUE"""),-0.214630917555089)</f>
        <v>-0.21463091755508901</v>
      </c>
      <c r="JA47" s="3">
        <f ca="1">IFERROR(__xludf.DUMMYFUNCTION("""COMPUTED_VALUE"""),-0.262401503591894)</f>
        <v>-0.26240150359189401</v>
      </c>
      <c r="JB47" s="3">
        <f ca="1">IFERROR(__xludf.DUMMYFUNCTION("""COMPUTED_VALUE"""),-0.254012685822959)</f>
        <v>-0.25401268582295899</v>
      </c>
      <c r="JC47" s="3">
        <f ca="1">IFERROR(__xludf.DUMMYFUNCTION("""COMPUTED_VALUE"""),-0.293839465176719)</f>
        <v>-0.29383946517671899</v>
      </c>
      <c r="JD47" s="3">
        <f ca="1">IFERROR(__xludf.DUMMYFUNCTION("""COMPUTED_VALUE"""),-0.23779632921091)</f>
        <v>-0.23779632921091001</v>
      </c>
      <c r="JE47" s="3">
        <f ca="1">IFERROR(__xludf.DUMMYFUNCTION("""COMPUTED_VALUE"""),-0.248013222380629)</f>
        <v>-0.24801322238062901</v>
      </c>
      <c r="JF47" s="3">
        <f ca="1">IFERROR(__xludf.DUMMYFUNCTION("""COMPUTED_VALUE"""),-0.237038538748494)</f>
        <v>-0.23703853874849401</v>
      </c>
      <c r="JG47" s="3">
        <f ca="1">IFERROR(__xludf.DUMMYFUNCTION("""COMPUTED_VALUE"""),-0.242363240901943)</f>
        <v>-0.242363240901943</v>
      </c>
      <c r="JH47" s="3">
        <f ca="1">IFERROR(__xludf.DUMMYFUNCTION("""COMPUTED_VALUE"""),-0.262860556366231)</f>
        <v>-0.26286055636623101</v>
      </c>
      <c r="JI47" s="3">
        <f ca="1">IFERROR(__xludf.DUMMYFUNCTION("""COMPUTED_VALUE"""),-0.192282051168118)</f>
        <v>-0.192282051168118</v>
      </c>
      <c r="JJ47" s="3">
        <f ca="1">IFERROR(__xludf.DUMMYFUNCTION("""COMPUTED_VALUE"""),-0.232262249243881)</f>
        <v>-0.232262249243881</v>
      </c>
      <c r="JK47" s="3">
        <f ca="1">IFERROR(__xludf.DUMMYFUNCTION("""COMPUTED_VALUE"""),-0.236872745316835)</f>
        <v>-0.236872745316835</v>
      </c>
      <c r="JL47" s="3">
        <f ca="1">IFERROR(__xludf.DUMMYFUNCTION("""COMPUTED_VALUE"""),-0.205156176284365)</f>
        <v>-0.205156176284365</v>
      </c>
      <c r="JM47" s="3">
        <f ca="1">IFERROR(__xludf.DUMMYFUNCTION("""COMPUTED_VALUE"""),-0.26158510553716)</f>
        <v>-0.26158510553716002</v>
      </c>
      <c r="JN47" s="3">
        <f ca="1">IFERROR(__xludf.DUMMYFUNCTION("""COMPUTED_VALUE"""),-0.225726336412575)</f>
        <v>-0.225726336412575</v>
      </c>
      <c r="JO47" s="3">
        <f ca="1">IFERROR(__xludf.DUMMYFUNCTION("""COMPUTED_VALUE"""),-0.213178702544054)</f>
        <v>-0.21317870254405399</v>
      </c>
      <c r="JP47" s="3">
        <f ca="1">IFERROR(__xludf.DUMMYFUNCTION("""COMPUTED_VALUE"""),-0.207779718873531)</f>
        <v>-0.207779718873531</v>
      </c>
      <c r="JQ47" s="3">
        <f ca="1">IFERROR(__xludf.DUMMYFUNCTION("""COMPUTED_VALUE"""),-0.285994800384307)</f>
        <v>-0.28599480038430702</v>
      </c>
      <c r="JR47" s="3">
        <f ca="1">IFERROR(__xludf.DUMMYFUNCTION("""COMPUTED_VALUE"""),-0.261719167085503)</f>
        <v>-0.26171916708550302</v>
      </c>
      <c r="JS47" s="3">
        <f ca="1">IFERROR(__xludf.DUMMYFUNCTION("""COMPUTED_VALUE"""),-0.209575952599522)</f>
        <v>-0.209575952599522</v>
      </c>
      <c r="JT47" s="3">
        <f ca="1">IFERROR(__xludf.DUMMYFUNCTION("""COMPUTED_VALUE"""),-0.228692173526456)</f>
        <v>-0.22869217352645599</v>
      </c>
      <c r="JU47" s="3">
        <f ca="1">IFERROR(__xludf.DUMMYFUNCTION("""COMPUTED_VALUE"""),-0.242461739864357)</f>
        <v>-0.24246173986435701</v>
      </c>
      <c r="JV47" s="3">
        <f ca="1">IFERROR(__xludf.DUMMYFUNCTION("""COMPUTED_VALUE"""),-0.330966418819953)</f>
        <v>-0.33096641881995298</v>
      </c>
      <c r="JW47" s="3">
        <f ca="1">IFERROR(__xludf.DUMMYFUNCTION("""COMPUTED_VALUE"""),-0.228886340440409)</f>
        <v>-0.22888634044040901</v>
      </c>
      <c r="JX47" s="3">
        <f ca="1">IFERROR(__xludf.DUMMYFUNCTION("""COMPUTED_VALUE"""),-0.207739951740689)</f>
        <v>-0.20773995174068899</v>
      </c>
      <c r="JY47" s="3">
        <f ca="1">IFERROR(__xludf.DUMMYFUNCTION("""COMPUTED_VALUE"""),-0.217461275752656)</f>
        <v>-0.217461275752656</v>
      </c>
      <c r="JZ47" s="3">
        <f ca="1">IFERROR(__xludf.DUMMYFUNCTION("""COMPUTED_VALUE"""),-0.272702255209918)</f>
        <v>-0.27270225520991798</v>
      </c>
      <c r="KA47" s="3">
        <f ca="1">IFERROR(__xludf.DUMMYFUNCTION("""COMPUTED_VALUE"""),-0.276946150745403)</f>
        <v>-0.27694615074540302</v>
      </c>
      <c r="KB47" s="3">
        <f ca="1">IFERROR(__xludf.DUMMYFUNCTION("""COMPUTED_VALUE"""),-0.322151157781457)</f>
        <v>-0.32215115778145698</v>
      </c>
      <c r="KC47" s="3">
        <f ca="1">IFERROR(__xludf.DUMMYFUNCTION("""COMPUTED_VALUE"""),-0.317759260683771)</f>
        <v>-0.31775926068377103</v>
      </c>
      <c r="KD47" s="3">
        <f ca="1">IFERROR(__xludf.DUMMYFUNCTION("""COMPUTED_VALUE"""),-0.28561874147392)</f>
        <v>-0.28561874147392002</v>
      </c>
      <c r="KE47" s="3">
        <f ca="1">IFERROR(__xludf.DUMMYFUNCTION("""COMPUTED_VALUE"""),-0.329639320142417)</f>
        <v>-0.32963932014241698</v>
      </c>
      <c r="KF47" s="3">
        <f ca="1">IFERROR(__xludf.DUMMYFUNCTION("""COMPUTED_VALUE"""),-0.288191387807097)</f>
        <v>-0.28819138780709702</v>
      </c>
      <c r="KG47" s="3">
        <f ca="1">IFERROR(__xludf.DUMMYFUNCTION("""COMPUTED_VALUE"""),-0.31448094152665)</f>
        <v>-0.31448094152665002</v>
      </c>
      <c r="KH47" s="3">
        <f ca="1">IFERROR(__xludf.DUMMYFUNCTION("""COMPUTED_VALUE"""),-0.33647457920992)</f>
        <v>-0.33647457920992002</v>
      </c>
      <c r="KI47" s="3">
        <f ca="1">IFERROR(__xludf.DUMMYFUNCTION("""COMPUTED_VALUE"""),-0.324706696540101)</f>
        <v>-0.32470669654010098</v>
      </c>
      <c r="KJ47" s="3">
        <f ca="1">IFERROR(__xludf.DUMMYFUNCTION("""COMPUTED_VALUE"""),-0.355586155381466)</f>
        <v>-0.35558615538146598</v>
      </c>
      <c r="KK47" s="3">
        <f ca="1">IFERROR(__xludf.DUMMYFUNCTION("""COMPUTED_VALUE"""),-0.332842452568242)</f>
        <v>-0.33284245256824202</v>
      </c>
      <c r="KL47" s="3">
        <f ca="1">IFERROR(__xludf.DUMMYFUNCTION("""COMPUTED_VALUE"""),-0.296127373606048)</f>
        <v>-0.29612737360604802</v>
      </c>
      <c r="KM47" s="3">
        <f ca="1">IFERROR(__xludf.DUMMYFUNCTION("""COMPUTED_VALUE"""),-0.349165606145639)</f>
        <v>-0.34916560614563902</v>
      </c>
      <c r="KN47" s="3">
        <f ca="1">IFERROR(__xludf.DUMMYFUNCTION("""COMPUTED_VALUE"""),-0.37791433519032)</f>
        <v>-0.37791433519032003</v>
      </c>
      <c r="KO47" s="3">
        <f ca="1">IFERROR(__xludf.DUMMYFUNCTION("""COMPUTED_VALUE"""),-0.344920999801706)</f>
        <v>-0.34492099980170599</v>
      </c>
      <c r="KP47" s="3">
        <f ca="1">IFERROR(__xludf.DUMMYFUNCTION("""COMPUTED_VALUE"""),-0.427107095238911)</f>
        <v>-0.42710709523891099</v>
      </c>
      <c r="KQ47" s="3">
        <f ca="1">IFERROR(__xludf.DUMMYFUNCTION("""COMPUTED_VALUE"""),-0.382846095378684)</f>
        <v>-0.38284609537868403</v>
      </c>
      <c r="KR47" s="3">
        <f ca="1">IFERROR(__xludf.DUMMYFUNCTION("""COMPUTED_VALUE"""),-0.397724706385159)</f>
        <v>-0.397724706385159</v>
      </c>
      <c r="KS47" s="3">
        <f ca="1">IFERROR(__xludf.DUMMYFUNCTION("""COMPUTED_VALUE"""),-0.407937152076832)</f>
        <v>-0.40793715207683201</v>
      </c>
      <c r="KT47" s="3">
        <f ca="1">IFERROR(__xludf.DUMMYFUNCTION("""COMPUTED_VALUE"""),-0.417631051710208)</f>
        <v>-0.41763105171020798</v>
      </c>
      <c r="KU47" s="3">
        <f ca="1">IFERROR(__xludf.DUMMYFUNCTION("""COMPUTED_VALUE"""),-0.409150814975016)</f>
        <v>-0.40915081497501599</v>
      </c>
      <c r="KV47" s="3">
        <f ca="1">IFERROR(__xludf.DUMMYFUNCTION("""COMPUTED_VALUE"""),-0.427798709825784)</f>
        <v>-0.427798709825784</v>
      </c>
      <c r="KW47" s="3">
        <f ca="1">IFERROR(__xludf.DUMMYFUNCTION("""COMPUTED_VALUE"""),-0.382473916174176)</f>
        <v>-0.38247391617417598</v>
      </c>
      <c r="KX47" s="3">
        <f ca="1">IFERROR(__xludf.DUMMYFUNCTION("""COMPUTED_VALUE"""),-0.441066549536672)</f>
        <v>-0.44106654953667201</v>
      </c>
      <c r="KY47" s="3">
        <f ca="1">IFERROR(__xludf.DUMMYFUNCTION("""COMPUTED_VALUE"""),-0.397912946047632)</f>
        <v>-0.397912946047632</v>
      </c>
      <c r="KZ47" s="3">
        <f ca="1">IFERROR(__xludf.DUMMYFUNCTION("""COMPUTED_VALUE"""),-0.416661391701881)</f>
        <v>-0.41666139170188099</v>
      </c>
      <c r="LA47" s="3">
        <f ca="1">IFERROR(__xludf.DUMMYFUNCTION("""COMPUTED_VALUE"""),-0.404968033224722)</f>
        <v>-0.40496803322472202</v>
      </c>
      <c r="LB47" s="3">
        <f ca="1">IFERROR(__xludf.DUMMYFUNCTION("""COMPUTED_VALUE"""),-0.446831178548135)</f>
        <v>-0.44683117854813498</v>
      </c>
      <c r="LC47" s="3">
        <f ca="1">IFERROR(__xludf.DUMMYFUNCTION("""COMPUTED_VALUE"""),-0.407084042021736)</f>
        <v>-0.40708404202173598</v>
      </c>
      <c r="LD47" s="3">
        <f ca="1">IFERROR(__xludf.DUMMYFUNCTION("""COMPUTED_VALUE"""),-0.360938900644364)</f>
        <v>-0.36093890064436401</v>
      </c>
      <c r="LE47" s="3">
        <f ca="1">IFERROR(__xludf.DUMMYFUNCTION("""COMPUTED_VALUE"""),-0.427761458921464)</f>
        <v>-0.427761458921464</v>
      </c>
      <c r="LF47" s="3">
        <f ca="1">IFERROR(__xludf.DUMMYFUNCTION("""COMPUTED_VALUE"""),-0.355121157264641)</f>
        <v>-0.355121157264641</v>
      </c>
      <c r="LG47" s="3">
        <f ca="1">IFERROR(__xludf.DUMMYFUNCTION("""COMPUTED_VALUE"""),-0.465367369691258)</f>
        <v>-0.46536736969125803</v>
      </c>
      <c r="LH47" s="3">
        <f ca="1">IFERROR(__xludf.DUMMYFUNCTION("""COMPUTED_VALUE"""),-0.443891176245896)</f>
        <v>-0.44389117624589602</v>
      </c>
      <c r="LI47" s="3">
        <f ca="1">IFERROR(__xludf.DUMMYFUNCTION("""COMPUTED_VALUE"""),-0.376412846808141)</f>
        <v>-0.37641284680814102</v>
      </c>
      <c r="LJ47" s="3">
        <f ca="1">IFERROR(__xludf.DUMMYFUNCTION("""COMPUTED_VALUE"""),-0.434489590562146)</f>
        <v>-0.43448959056214598</v>
      </c>
      <c r="LK47" s="3">
        <f ca="1">IFERROR(__xludf.DUMMYFUNCTION("""COMPUTED_VALUE"""),-0.384184599876104)</f>
        <v>-0.38418459987610398</v>
      </c>
      <c r="LL47" s="3">
        <f ca="1">IFERROR(__xludf.DUMMYFUNCTION("""COMPUTED_VALUE"""),-0.435211714186834)</f>
        <v>-0.43521171418683402</v>
      </c>
      <c r="LM47" s="3">
        <f ca="1">IFERROR(__xludf.DUMMYFUNCTION("""COMPUTED_VALUE"""),-0.515204028676991)</f>
        <v>-0.515204028676991</v>
      </c>
      <c r="LN47" s="3">
        <f ca="1">IFERROR(__xludf.DUMMYFUNCTION("""COMPUTED_VALUE"""),-0.452787531419101)</f>
        <v>-0.452787531419101</v>
      </c>
      <c r="LO47" s="3">
        <f ca="1">IFERROR(__xludf.DUMMYFUNCTION("""COMPUTED_VALUE"""),-0.4871634512924)</f>
        <v>-0.48716345129240002</v>
      </c>
      <c r="LP47" s="3">
        <f ca="1">IFERROR(__xludf.DUMMYFUNCTION("""COMPUTED_VALUE"""),-0.540889033731647)</f>
        <v>-0.54088903373164698</v>
      </c>
      <c r="LQ47" s="3">
        <f ca="1">IFERROR(__xludf.DUMMYFUNCTION("""COMPUTED_VALUE"""),-0.520718468958824)</f>
        <v>-0.52071846895882401</v>
      </c>
      <c r="LR47" s="3">
        <f ca="1">IFERROR(__xludf.DUMMYFUNCTION("""COMPUTED_VALUE"""),-0.470214728279784)</f>
        <v>-0.470214728279784</v>
      </c>
      <c r="LS47" s="3">
        <f ca="1">IFERROR(__xludf.DUMMYFUNCTION("""COMPUTED_VALUE"""),-0.453169712122449)</f>
        <v>-0.453169712122449</v>
      </c>
      <c r="LT47" s="3">
        <f ca="1">IFERROR(__xludf.DUMMYFUNCTION("""COMPUTED_VALUE"""),-0.505557068403709)</f>
        <v>-0.50555706840370895</v>
      </c>
      <c r="LU47" s="3">
        <f ca="1">IFERROR(__xludf.DUMMYFUNCTION("""COMPUTED_VALUE"""),-0.51176265404267)</f>
        <v>-0.51176265404266996</v>
      </c>
      <c r="LV47" s="3">
        <f ca="1">IFERROR(__xludf.DUMMYFUNCTION("""COMPUTED_VALUE"""),-0.541813221170834)</f>
        <v>-0.54181322117083397</v>
      </c>
      <c r="LW47" s="3">
        <f ca="1">IFERROR(__xludf.DUMMYFUNCTION("""COMPUTED_VALUE"""),-0.553952324221324)</f>
        <v>-0.55395232422132401</v>
      </c>
      <c r="LX47" s="3">
        <f ca="1">IFERROR(__xludf.DUMMYFUNCTION("""COMPUTED_VALUE"""),-0.614917351845422)</f>
        <v>-0.61491735184542196</v>
      </c>
      <c r="LY47" s="3">
        <f ca="1">IFERROR(__xludf.DUMMYFUNCTION("""COMPUTED_VALUE"""),-0.551347771280461)</f>
        <v>-0.55134777128046097</v>
      </c>
      <c r="LZ47" s="3">
        <f ca="1">IFERROR(__xludf.DUMMYFUNCTION("""COMPUTED_VALUE"""),-0.606632098006384)</f>
        <v>-0.60663209800638396</v>
      </c>
      <c r="MA47" s="3">
        <f ca="1">IFERROR(__xludf.DUMMYFUNCTION("""COMPUTED_VALUE"""),-0.519133392414615)</f>
        <v>-0.51913339241461498</v>
      </c>
      <c r="MB47" s="3">
        <f ca="1">IFERROR(__xludf.DUMMYFUNCTION("""COMPUTED_VALUE"""),-0.546829954269362)</f>
        <v>-0.54682995426936198</v>
      </c>
      <c r="MC47" s="3">
        <f ca="1">IFERROR(__xludf.DUMMYFUNCTION("""COMPUTED_VALUE"""),-0.56098983087557)</f>
        <v>-0.56098983087556997</v>
      </c>
      <c r="MD47" s="3">
        <f ca="1">IFERROR(__xludf.DUMMYFUNCTION("""COMPUTED_VALUE"""),-0.600381090960008)</f>
        <v>-0.60038109096000802</v>
      </c>
      <c r="ME47" s="3">
        <f ca="1">IFERROR(__xludf.DUMMYFUNCTION("""COMPUTED_VALUE"""),-0.639730651589664)</f>
        <v>-0.63973065158966402</v>
      </c>
      <c r="MF47" s="3">
        <f ca="1">IFERROR(__xludf.DUMMYFUNCTION("""COMPUTED_VALUE"""),-0.69065452469634)</f>
        <v>-0.69065452469634003</v>
      </c>
      <c r="MG47" s="3">
        <f ca="1">IFERROR(__xludf.DUMMYFUNCTION("""COMPUTED_VALUE"""),-0.618222289659944)</f>
        <v>-0.61822228965994397</v>
      </c>
      <c r="MH47" s="3">
        <f ca="1">IFERROR(__xludf.DUMMYFUNCTION("""COMPUTED_VALUE"""),-0.619455271180453)</f>
        <v>-0.61945527118045296</v>
      </c>
      <c r="MI47" s="3">
        <f ca="1">IFERROR(__xludf.DUMMYFUNCTION("""COMPUTED_VALUE"""),-0.62429911687927)</f>
        <v>-0.62429911687926998</v>
      </c>
      <c r="MJ47" s="3">
        <f ca="1">IFERROR(__xludf.DUMMYFUNCTION("""COMPUTED_VALUE"""),-0.651594972992697)</f>
        <v>-0.65159497299269697</v>
      </c>
      <c r="MK47" s="3">
        <f ca="1">IFERROR(__xludf.DUMMYFUNCTION("""COMPUTED_VALUE"""),-0.673504261112308)</f>
        <v>-0.67350426111230799</v>
      </c>
      <c r="ML47" s="3">
        <f ca="1">IFERROR(__xludf.DUMMYFUNCTION("""COMPUTED_VALUE"""),-0.653176936176708)</f>
        <v>-0.65317693617670802</v>
      </c>
      <c r="MM47" s="3">
        <f ca="1">IFERROR(__xludf.DUMMYFUNCTION("""COMPUTED_VALUE"""),-0.710912528572559)</f>
        <v>-0.71091252857255904</v>
      </c>
      <c r="MN47" s="3">
        <f ca="1">IFERROR(__xludf.DUMMYFUNCTION("""COMPUTED_VALUE"""),-0.701840396404376)</f>
        <v>-0.70184039640437601</v>
      </c>
      <c r="MO47" s="3">
        <f ca="1">IFERROR(__xludf.DUMMYFUNCTION("""COMPUTED_VALUE"""),-0.657095939939853)</f>
        <v>-0.65709593993985305</v>
      </c>
      <c r="MP47" s="3">
        <f ca="1">IFERROR(__xludf.DUMMYFUNCTION("""COMPUTED_VALUE"""),-0.667834410771065)</f>
        <v>-0.66783441077106498</v>
      </c>
      <c r="MQ47" s="3">
        <f ca="1">IFERROR(__xludf.DUMMYFUNCTION("""COMPUTED_VALUE"""),-0.694432881448789)</f>
        <v>-0.69443288144878901</v>
      </c>
      <c r="MR47" s="3">
        <f ca="1">IFERROR(__xludf.DUMMYFUNCTION("""COMPUTED_VALUE"""),-0.723959649264192)</f>
        <v>-0.72395964926419198</v>
      </c>
      <c r="MS47" s="3">
        <f ca="1">IFERROR(__xludf.DUMMYFUNCTION("""COMPUTED_VALUE"""),-0.728210102685979)</f>
        <v>-0.72821010268597897</v>
      </c>
      <c r="MT47" s="3">
        <f ca="1">IFERROR(__xludf.DUMMYFUNCTION("""COMPUTED_VALUE"""),-0.734643625907729)</f>
        <v>-0.73464362590772903</v>
      </c>
      <c r="MU47" s="3">
        <f ca="1">IFERROR(__xludf.DUMMYFUNCTION("""COMPUTED_VALUE"""),-0.746328578949513)</f>
        <v>-0.74632857894951299</v>
      </c>
      <c r="MV47" s="3">
        <f ca="1">IFERROR(__xludf.DUMMYFUNCTION("""COMPUTED_VALUE"""),-0.688767951641899)</f>
        <v>-0.68876795164189897</v>
      </c>
      <c r="MW47" s="3">
        <f ca="1">IFERROR(__xludf.DUMMYFUNCTION("""COMPUTED_VALUE"""),-0.681701886179736)</f>
        <v>-0.68170188617973604</v>
      </c>
      <c r="MX47" s="3">
        <f ca="1">IFERROR(__xludf.DUMMYFUNCTION("""COMPUTED_VALUE"""),-0.712390861337863)</f>
        <v>-0.712390861337863</v>
      </c>
      <c r="MY47" s="3">
        <f ca="1">IFERROR(__xludf.DUMMYFUNCTION("""COMPUTED_VALUE"""),-0.747417277802474)</f>
        <v>-0.74741727780247402</v>
      </c>
      <c r="MZ47" s="3">
        <f ca="1">IFERROR(__xludf.DUMMYFUNCTION("""COMPUTED_VALUE"""),-0.761531916769253)</f>
        <v>-0.76153191676925303</v>
      </c>
      <c r="NA47" s="3">
        <f ca="1">IFERROR(__xludf.DUMMYFUNCTION("""COMPUTED_VALUE"""),-0.748089675812501)</f>
        <v>-0.74808967581250096</v>
      </c>
      <c r="NB47" s="3">
        <f ca="1">IFERROR(__xludf.DUMMYFUNCTION("""COMPUTED_VALUE"""),-0.784295131733694)</f>
        <v>-0.78429513173369403</v>
      </c>
      <c r="NC47" s="3">
        <f ca="1">IFERROR(__xludf.DUMMYFUNCTION("""COMPUTED_VALUE"""),-0.74986874822247)</f>
        <v>-0.74986874822246996</v>
      </c>
      <c r="ND47" s="3">
        <f ca="1">IFERROR(__xludf.DUMMYFUNCTION("""COMPUTED_VALUE"""),-0.745279346944636)</f>
        <v>-0.74527934694463605</v>
      </c>
      <c r="NE47" s="3">
        <f ca="1">IFERROR(__xludf.DUMMYFUNCTION("""COMPUTED_VALUE"""),-0.729137067078387)</f>
        <v>-0.72913706707838699</v>
      </c>
      <c r="NF47" s="3">
        <f ca="1">IFERROR(__xludf.DUMMYFUNCTION("""COMPUTED_VALUE"""),-0.785145416566169)</f>
        <v>-0.78514541656616899</v>
      </c>
      <c r="NG47" s="3">
        <f ca="1">IFERROR(__xludf.DUMMYFUNCTION("""COMPUTED_VALUE"""),-0.771559050716329)</f>
        <v>-0.77155905071632902</v>
      </c>
      <c r="NH47" s="3">
        <f ca="1">IFERROR(__xludf.DUMMYFUNCTION("""COMPUTED_VALUE"""),-0.80041304574674)</f>
        <v>-0.80041304574673999</v>
      </c>
      <c r="NI47" s="3">
        <f ca="1">IFERROR(__xludf.DUMMYFUNCTION("""COMPUTED_VALUE"""),-0.747695652388058)</f>
        <v>-0.74769565238805802</v>
      </c>
      <c r="NJ47" s="3">
        <f ca="1">IFERROR(__xludf.DUMMYFUNCTION("""COMPUTED_VALUE"""),-0.749394228071767)</f>
        <v>-0.74939422807176703</v>
      </c>
      <c r="NK47" s="3">
        <f ca="1">IFERROR(__xludf.DUMMYFUNCTION("""COMPUTED_VALUE"""),-0.744597883718246)</f>
        <v>-0.74459788371824598</v>
      </c>
      <c r="NL47" s="3">
        <f ca="1">IFERROR(__xludf.DUMMYFUNCTION("""COMPUTED_VALUE"""),-0.73292482327125)</f>
        <v>-0.73292482327124997</v>
      </c>
      <c r="NM47" s="3">
        <f ca="1">IFERROR(__xludf.DUMMYFUNCTION("""COMPUTED_VALUE"""),-0.796157599121274)</f>
        <v>-0.79615759912127404</v>
      </c>
      <c r="NN47" s="3">
        <f ca="1">IFERROR(__xludf.DUMMYFUNCTION("""COMPUTED_VALUE"""),-0.805639483365256)</f>
        <v>-0.80563948336525604</v>
      </c>
      <c r="NO47" s="3">
        <f ca="1">IFERROR(__xludf.DUMMYFUNCTION("""COMPUTED_VALUE"""),-0.788453035805792)</f>
        <v>-0.78845303580579196</v>
      </c>
      <c r="NP47" s="3">
        <f ca="1">IFERROR(__xludf.DUMMYFUNCTION("""COMPUTED_VALUE"""),-0.778174992294409)</f>
        <v>-0.77817499229440901</v>
      </c>
      <c r="NQ47" s="3">
        <f ca="1">IFERROR(__xludf.DUMMYFUNCTION("""COMPUTED_VALUE"""),-0.751570571606594)</f>
        <v>-0.75157057160659402</v>
      </c>
      <c r="NR47" s="3">
        <f ca="1">IFERROR(__xludf.DUMMYFUNCTION("""COMPUTED_VALUE"""),-0.695800518514786)</f>
        <v>-0.69580051851478597</v>
      </c>
      <c r="NS47" s="3">
        <f ca="1">IFERROR(__xludf.DUMMYFUNCTION("""COMPUTED_VALUE"""),-0.71607235114623)</f>
        <v>-0.71607235114623002</v>
      </c>
      <c r="NT47" s="3">
        <f ca="1">IFERROR(__xludf.DUMMYFUNCTION("""COMPUTED_VALUE"""),-0.779960211910526)</f>
        <v>-0.779960211910526</v>
      </c>
      <c r="NU47" s="3">
        <f ca="1">IFERROR(__xludf.DUMMYFUNCTION("""COMPUTED_VALUE"""),-0.783886167867125)</f>
        <v>-0.78388616786712495</v>
      </c>
      <c r="NV47" s="3">
        <f ca="1">IFERROR(__xludf.DUMMYFUNCTION("""COMPUTED_VALUE"""),-0.765892111762791)</f>
        <v>-0.76589211176279104</v>
      </c>
      <c r="NW47" s="3">
        <f ca="1">IFERROR(__xludf.DUMMYFUNCTION("""COMPUTED_VALUE"""),-0.753407724784855)</f>
        <v>-0.75340772478485496</v>
      </c>
      <c r="NX47" s="3">
        <f ca="1">IFERROR(__xludf.DUMMYFUNCTION("""COMPUTED_VALUE"""),-0.715063734775545)</f>
        <v>-0.71506373477554497</v>
      </c>
      <c r="NY47" s="3">
        <f ca="1">IFERROR(__xludf.DUMMYFUNCTION("""COMPUTED_VALUE"""),-0.676249155228133)</f>
        <v>-0.676249155228133</v>
      </c>
      <c r="NZ47" s="3">
        <f ca="1">IFERROR(__xludf.DUMMYFUNCTION("""COMPUTED_VALUE"""),-0.62681399452788)</f>
        <v>-0.62681399452788</v>
      </c>
      <c r="OA47" s="3">
        <f ca="1">IFERROR(__xludf.DUMMYFUNCTION("""COMPUTED_VALUE"""),-0.65919177868223)</f>
        <v>-0.65919177868223</v>
      </c>
      <c r="OB47" s="3">
        <f ca="1">IFERROR(__xludf.DUMMYFUNCTION("""COMPUTED_VALUE"""),-0.591857096022989)</f>
        <v>-0.59185709602298897</v>
      </c>
      <c r="OC47" s="3">
        <f ca="1">IFERROR(__xludf.DUMMYFUNCTION("""COMPUTED_VALUE"""),-0.524440070719993)</f>
        <v>-0.52444007071999299</v>
      </c>
      <c r="OD47" s="3">
        <f ca="1">IFERROR(__xludf.DUMMYFUNCTION("""COMPUTED_VALUE"""),-0.445863803901864)</f>
        <v>-0.44586380390186398</v>
      </c>
      <c r="OE47" s="3">
        <f ca="1">IFERROR(__xludf.DUMMYFUNCTION("""COMPUTED_VALUE"""),-0.297787665359913)</f>
        <v>-0.29778766535991302</v>
      </c>
      <c r="OF47" s="3">
        <f ca="1">IFERROR(__xludf.DUMMYFUNCTION("""COMPUTED_VALUE"""),-0.208839970681332)</f>
        <v>-0.208839970681332</v>
      </c>
      <c r="OG47" s="3">
        <f ca="1">IFERROR(__xludf.DUMMYFUNCTION("""COMPUTED_VALUE"""),-0.133077898180311)</f>
        <v>-0.13307789818031099</v>
      </c>
      <c r="OH47" s="3">
        <f ca="1">IFERROR(__xludf.DUMMYFUNCTION("""COMPUTED_VALUE"""),-0.1308227678334)</f>
        <v>-0.13082276783339999</v>
      </c>
      <c r="OI47" s="3">
        <f ca="1">IFERROR(__xludf.DUMMYFUNCTION("""COMPUTED_VALUE"""),-0.0604245760969932)</f>
        <v>-6.0424576096993199E-2</v>
      </c>
      <c r="OJ47" s="3">
        <f ca="1">IFERROR(__xludf.DUMMYFUNCTION("""COMPUTED_VALUE"""),-0.0801423760096045)</f>
        <v>-8.0142376009604499E-2</v>
      </c>
      <c r="OK47" s="3">
        <f ca="1">IFERROR(__xludf.DUMMYFUNCTION("""COMPUTED_VALUE"""),-0.052780562573089)</f>
        <v>-5.2780562573089003E-2</v>
      </c>
      <c r="OL47" s="3">
        <f ca="1">IFERROR(__xludf.DUMMYFUNCTION("""COMPUTED_VALUE"""),-0.0427066958790495)</f>
        <v>-4.2706695879049503E-2</v>
      </c>
      <c r="OM47" s="3">
        <f ca="1">IFERROR(__xludf.DUMMYFUNCTION("""COMPUTED_VALUE"""),-0.124382541905826)</f>
        <v>-0.124382541905826</v>
      </c>
      <c r="ON47" s="3">
        <f ca="1">IFERROR(__xludf.DUMMYFUNCTION("""COMPUTED_VALUE"""),-0.0316089721685058)</f>
        <v>-3.1608972168505799E-2</v>
      </c>
      <c r="OO47" s="3">
        <f ca="1">IFERROR(__xludf.DUMMYFUNCTION("""COMPUTED_VALUE"""),-0.0402115048712887)</f>
        <v>-4.0211504871288703E-2</v>
      </c>
      <c r="OP47" s="3">
        <f ca="1">IFERROR(__xludf.DUMMYFUNCTION("""COMPUTED_VALUE"""),-0.0636637364492875)</f>
        <v>-6.3663736449287495E-2</v>
      </c>
      <c r="OQ47" s="3">
        <f ca="1">IFERROR(__xludf.DUMMYFUNCTION("""COMPUTED_VALUE"""),-0.0283402483652371)</f>
        <v>-2.8340248365237099E-2</v>
      </c>
      <c r="OR47" s="3">
        <f ca="1">IFERROR(__xludf.DUMMYFUNCTION("""COMPUTED_VALUE"""),-0.0105913807711957)</f>
        <v>-1.05913807711957E-2</v>
      </c>
      <c r="OS47" s="3">
        <f ca="1">IFERROR(__xludf.DUMMYFUNCTION("""COMPUTED_VALUE"""),0.0138943848010215)</f>
        <v>1.38943848010215E-2</v>
      </c>
      <c r="OT47" s="3">
        <f ca="1">IFERROR(__xludf.DUMMYFUNCTION("""COMPUTED_VALUE"""),0.0727499789039785)</f>
        <v>7.2749978903978496E-2</v>
      </c>
      <c r="OU47" s="3">
        <f ca="1">IFERROR(__xludf.DUMMYFUNCTION("""COMPUTED_VALUE"""),0.0553091874018472)</f>
        <v>5.5309187401847197E-2</v>
      </c>
      <c r="OV47" s="3">
        <f ca="1">IFERROR(__xludf.DUMMYFUNCTION("""COMPUTED_VALUE"""),-0.0200451296308593)</f>
        <v>-2.0045129630859301E-2</v>
      </c>
      <c r="OW47" s="3">
        <f ca="1">IFERROR(__xludf.DUMMYFUNCTION("""COMPUTED_VALUE"""),0.0712399077956047)</f>
        <v>7.1239907795604698E-2</v>
      </c>
      <c r="OX47" s="3">
        <f ca="1">IFERROR(__xludf.DUMMYFUNCTION("""COMPUTED_VALUE"""),0.0616494333963264)</f>
        <v>6.1649433396326399E-2</v>
      </c>
      <c r="OY47" s="3">
        <f ca="1">IFERROR(__xludf.DUMMYFUNCTION("""COMPUTED_VALUE"""),-0.00877691021733761)</f>
        <v>-8.7769102173376103E-3</v>
      </c>
      <c r="OZ47" s="3">
        <f ca="1">IFERROR(__xludf.DUMMYFUNCTION("""COMPUTED_VALUE"""),0.00703668392111112)</f>
        <v>7.0366839211111198E-3</v>
      </c>
      <c r="PA47" s="3">
        <f ca="1">IFERROR(__xludf.DUMMYFUNCTION("""COMPUTED_VALUE"""),-0.0546148076662125)</f>
        <v>-5.4614807666212503E-2</v>
      </c>
      <c r="PB47" s="3">
        <f ca="1">IFERROR(__xludf.DUMMYFUNCTION("""COMPUTED_VALUE"""),-0.00630160806264423)</f>
        <v>-6.3016080626442303E-3</v>
      </c>
      <c r="PC47" s="3">
        <f ca="1">IFERROR(__xludf.DUMMYFUNCTION("""COMPUTED_VALUE"""),-0.073495492886122)</f>
        <v>-7.3495492886122005E-2</v>
      </c>
      <c r="PD47" s="3">
        <f ca="1">IFERROR(__xludf.DUMMYFUNCTION("""COMPUTED_VALUE"""),-0.0740226905254221)</f>
        <v>-7.4022690525422097E-2</v>
      </c>
      <c r="PE47" s="3">
        <f ca="1">IFERROR(__xludf.DUMMYFUNCTION("""COMPUTED_VALUE"""),-0.0932260543184223)</f>
        <v>-9.3226054318422305E-2</v>
      </c>
      <c r="PF47" s="3">
        <f ca="1">IFERROR(__xludf.DUMMYFUNCTION("""COMPUTED_VALUE"""),-0.0845794898740648)</f>
        <v>-8.45794898740648E-2</v>
      </c>
      <c r="PG47" s="3">
        <f ca="1">IFERROR(__xludf.DUMMYFUNCTION("""COMPUTED_VALUE"""),-0.208140032682267)</f>
        <v>-0.208140032682267</v>
      </c>
      <c r="PH47" s="3">
        <f ca="1">IFERROR(__xludf.DUMMYFUNCTION("""COMPUTED_VALUE"""),0.137326923497364)</f>
        <v>0.137326923497364</v>
      </c>
      <c r="PI47" s="3">
        <f ca="1">IFERROR(__xludf.DUMMYFUNCTION("""COMPUTED_VALUE"""),0.0488022765906905)</f>
        <v>4.8802276590690502E-2</v>
      </c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</row>
    <row r="48" spans="1:477" ht="15.75" customHeight="1">
      <c r="A48" s="1" t="str">
        <f ca="1">IFERROR(__xludf.DUMMYFUNCTION("""COMPUTED_VALUE"""),"Kingston Transit")</f>
        <v>Kingston Transit</v>
      </c>
      <c r="B48" s="1" t="str">
        <f ca="1">IFERROR(__xludf.DUMMYFUNCTION("""COMPUTED_VALUE"""),"Kingston")</f>
        <v>Kingston</v>
      </c>
      <c r="C48" s="1" t="str">
        <f ca="1">IFERROR(__xludf.DUMMYFUNCTION("""COMPUTED_VALUE"""),"Canada")</f>
        <v>Canada</v>
      </c>
      <c r="D48" s="1" t="str">
        <f ca="1">IFERROR(__xludf.DUMMYFUNCTION("""COMPUTED_VALUE"""),"Ontario")</f>
        <v>Ontario</v>
      </c>
      <c r="E48" s="3">
        <f ca="1">IFERROR(__xludf.DUMMYFUNCTION("""COMPUTED_VALUE"""),-0.751130799332096)</f>
        <v>-0.75113079933209603</v>
      </c>
      <c r="F48" s="3">
        <f ca="1">IFERROR(__xludf.DUMMYFUNCTION("""COMPUTED_VALUE"""),-0.654297562212623)</f>
        <v>-0.65429756221262303</v>
      </c>
      <c r="G48" s="3">
        <f ca="1">IFERROR(__xludf.DUMMYFUNCTION("""COMPUTED_VALUE"""),-0.728280200491695)</f>
        <v>-0.72828020049169495</v>
      </c>
      <c r="H48" s="3">
        <f ca="1">IFERROR(__xludf.DUMMYFUNCTION("""COMPUTED_VALUE"""),-0.664100948595372)</f>
        <v>-0.66410094859537205</v>
      </c>
      <c r="I48" s="3">
        <f ca="1">IFERROR(__xludf.DUMMYFUNCTION("""COMPUTED_VALUE"""),-0.715839211222627)</f>
        <v>-0.71583921122262695</v>
      </c>
      <c r="J48" s="3">
        <f ca="1">IFERROR(__xludf.DUMMYFUNCTION("""COMPUTED_VALUE"""),-0.772013541030188)</f>
        <v>-0.77201354103018804</v>
      </c>
      <c r="K48" s="3">
        <f ca="1">IFERROR(__xludf.DUMMYFUNCTION("""COMPUTED_VALUE"""),-0.803439233748956)</f>
        <v>-0.80343923374895598</v>
      </c>
      <c r="L48" s="3">
        <f ca="1">IFERROR(__xludf.DUMMYFUNCTION("""COMPUTED_VALUE"""),-0.733253561511159)</f>
        <v>-0.73325356151115895</v>
      </c>
      <c r="M48" s="3">
        <f ca="1">IFERROR(__xludf.DUMMYFUNCTION("""COMPUTED_VALUE"""),-0.929382345374683)</f>
        <v>-0.92938234537468301</v>
      </c>
      <c r="N48" s="3">
        <f ca="1">IFERROR(__xludf.DUMMYFUNCTION("""COMPUTED_VALUE"""),-0.636263022558422)</f>
        <v>-0.63626302255842204</v>
      </c>
      <c r="O48" s="3">
        <f ca="1">IFERROR(__xludf.DUMMYFUNCTION("""COMPUTED_VALUE"""),-0.694639805408068)</f>
        <v>-0.69463980540806802</v>
      </c>
      <c r="P48" s="3">
        <f ca="1">IFERROR(__xludf.DUMMYFUNCTION("""COMPUTED_VALUE"""),-0.678947163756475)</f>
        <v>-0.67894716375647501</v>
      </c>
      <c r="Q48" s="3">
        <f ca="1">IFERROR(__xludf.DUMMYFUNCTION("""COMPUTED_VALUE"""),-0.687030679502531)</f>
        <v>-0.68703067950253105</v>
      </c>
      <c r="R48" s="3">
        <f ca="1">IFERROR(__xludf.DUMMYFUNCTION("""COMPUTED_VALUE"""),-0.711808717696603)</f>
        <v>-0.71180871769660303</v>
      </c>
      <c r="S48" s="3">
        <f ca="1">IFERROR(__xludf.DUMMYFUNCTION("""COMPUTED_VALUE"""),-0.67134057484052)</f>
        <v>-0.67134057484052001</v>
      </c>
      <c r="T48" s="3">
        <f ca="1">IFERROR(__xludf.DUMMYFUNCTION("""COMPUTED_VALUE"""),-0.712046450167007)</f>
        <v>-0.71204645016700696</v>
      </c>
      <c r="U48" s="3">
        <f ca="1">IFERROR(__xludf.DUMMYFUNCTION("""COMPUTED_VALUE"""),-0.681013475596871)</f>
        <v>-0.68101347559687098</v>
      </c>
      <c r="V48" s="3">
        <f ca="1">IFERROR(__xludf.DUMMYFUNCTION("""COMPUTED_VALUE"""),-0.716510832454121)</f>
        <v>-0.71651083245412095</v>
      </c>
      <c r="W48" s="3">
        <f ca="1">IFERROR(__xludf.DUMMYFUNCTION("""COMPUTED_VALUE"""),-0.706206509547493)</f>
        <v>-0.70620650954749298</v>
      </c>
      <c r="X48" s="3">
        <f ca="1">IFERROR(__xludf.DUMMYFUNCTION("""COMPUTED_VALUE"""),-0.679279493057433)</f>
        <v>-0.67927949305743296</v>
      </c>
      <c r="Y48" s="3">
        <f ca="1">IFERROR(__xludf.DUMMYFUNCTION("""COMPUTED_VALUE"""),-0.645017657751806)</f>
        <v>-0.64501765775180597</v>
      </c>
      <c r="Z48" s="3">
        <f ca="1">IFERROR(__xludf.DUMMYFUNCTION("""COMPUTED_VALUE"""),-0.671587971524178)</f>
        <v>-0.67158797152417804</v>
      </c>
      <c r="AA48" s="3">
        <f ca="1">IFERROR(__xludf.DUMMYFUNCTION("""COMPUTED_VALUE"""),-0.695301601482541)</f>
        <v>-0.69530160148254105</v>
      </c>
      <c r="AB48" s="3">
        <f ca="1">IFERROR(__xludf.DUMMYFUNCTION("""COMPUTED_VALUE"""),-0.705325972916248)</f>
        <v>-0.70532597291624799</v>
      </c>
      <c r="AC48" s="3">
        <f ca="1">IFERROR(__xludf.DUMMYFUNCTION("""COMPUTED_VALUE"""),-0.703953669678783)</f>
        <v>-0.70395366967878303</v>
      </c>
      <c r="AD48" s="3">
        <f ca="1">IFERROR(__xludf.DUMMYFUNCTION("""COMPUTED_VALUE"""),-0.697291912286338)</f>
        <v>-0.69729191228633802</v>
      </c>
      <c r="AE48" s="3">
        <f ca="1">IFERROR(__xludf.DUMMYFUNCTION("""COMPUTED_VALUE"""),-0.700643014879322)</f>
        <v>-0.70064301487932201</v>
      </c>
      <c r="AF48" s="3">
        <f ca="1">IFERROR(__xludf.DUMMYFUNCTION("""COMPUTED_VALUE"""),-0.656996992435801)</f>
        <v>-0.65699699243580101</v>
      </c>
      <c r="AG48" s="3">
        <f ca="1">IFERROR(__xludf.DUMMYFUNCTION("""COMPUTED_VALUE"""),-0.671715589959886)</f>
        <v>-0.67171558995988601</v>
      </c>
      <c r="AH48" s="3">
        <f ca="1">IFERROR(__xludf.DUMMYFUNCTION("""COMPUTED_VALUE"""),-0.697964310355999)</f>
        <v>-0.69796431035599904</v>
      </c>
      <c r="AI48" s="3">
        <f ca="1">IFERROR(__xludf.DUMMYFUNCTION("""COMPUTED_VALUE"""),-0.716393480158022)</f>
        <v>-0.71639348015802196</v>
      </c>
      <c r="AJ48" s="3">
        <f ca="1">IFERROR(__xludf.DUMMYFUNCTION("""COMPUTED_VALUE"""),-0.700669587633589)</f>
        <v>-0.700669587633589</v>
      </c>
      <c r="AK48" s="3">
        <f ca="1">IFERROR(__xludf.DUMMYFUNCTION("""COMPUTED_VALUE"""),-0.709270330257778)</f>
        <v>-0.70927033025777797</v>
      </c>
      <c r="AL48" s="3">
        <f ca="1">IFERROR(__xludf.DUMMYFUNCTION("""COMPUTED_VALUE"""),-0.70680800851599)</f>
        <v>-0.70680800851599002</v>
      </c>
      <c r="AM48" s="3">
        <f ca="1">IFERROR(__xludf.DUMMYFUNCTION("""COMPUTED_VALUE"""),-0.644322692484563)</f>
        <v>-0.64432269248456298</v>
      </c>
      <c r="AN48" s="3">
        <f ca="1">IFERROR(__xludf.DUMMYFUNCTION("""COMPUTED_VALUE"""),-0.689109816766574)</f>
        <v>-0.68910981676657401</v>
      </c>
      <c r="AO48" s="3">
        <f ca="1">IFERROR(__xludf.DUMMYFUNCTION("""COMPUTED_VALUE"""),-0.678940157979039)</f>
        <v>-0.67894015797903895</v>
      </c>
      <c r="AP48" s="3">
        <f ca="1">IFERROR(__xludf.DUMMYFUNCTION("""COMPUTED_VALUE"""),-0.687943054063845)</f>
        <v>-0.68794305406384504</v>
      </c>
      <c r="AQ48" s="3">
        <f ca="1">IFERROR(__xludf.DUMMYFUNCTION("""COMPUTED_VALUE"""),-0.687675873612094)</f>
        <v>-0.68767587361209404</v>
      </c>
      <c r="AR48" s="3">
        <f ca="1">IFERROR(__xludf.DUMMYFUNCTION("""COMPUTED_VALUE"""),-0.725535726812671)</f>
        <v>-0.72553572681267098</v>
      </c>
      <c r="AS48" s="3">
        <f ca="1">IFERROR(__xludf.DUMMYFUNCTION("""COMPUTED_VALUE"""),-0.688024534734955)</f>
        <v>-0.68802453473495495</v>
      </c>
      <c r="AT48" s="3">
        <f ca="1">IFERROR(__xludf.DUMMYFUNCTION("""COMPUTED_VALUE"""),-0.622348834343478)</f>
        <v>-0.62234883434347799</v>
      </c>
      <c r="AU48" s="3">
        <f ca="1">IFERROR(__xludf.DUMMYFUNCTION("""COMPUTED_VALUE"""),-0.687596851978763)</f>
        <v>-0.68759685197876297</v>
      </c>
      <c r="AV48" s="3">
        <f ca="1">IFERROR(__xludf.DUMMYFUNCTION("""COMPUTED_VALUE"""),-0.642355440328201)</f>
        <v>-0.64235544032820102</v>
      </c>
      <c r="AW48" s="3">
        <f ca="1">IFERROR(__xludf.DUMMYFUNCTION("""COMPUTED_VALUE"""),-0.691672414400471)</f>
        <v>-0.691672414400471</v>
      </c>
      <c r="AX48" s="3">
        <f ca="1">IFERROR(__xludf.DUMMYFUNCTION("""COMPUTED_VALUE"""),-0.683382251632268)</f>
        <v>-0.68338225163226796</v>
      </c>
      <c r="AY48" s="3">
        <f ca="1">IFERROR(__xludf.DUMMYFUNCTION("""COMPUTED_VALUE"""),-0.699652218826248)</f>
        <v>-0.69965221882624795</v>
      </c>
      <c r="AZ48" s="3">
        <f ca="1">IFERROR(__xludf.DUMMYFUNCTION("""COMPUTED_VALUE"""),-0.671359853398924)</f>
        <v>-0.67135985339892401</v>
      </c>
      <c r="BA48" s="3">
        <f ca="1">IFERROR(__xludf.DUMMYFUNCTION("""COMPUTED_VALUE"""),-0.633751266204612)</f>
        <v>-0.63375126620461197</v>
      </c>
      <c r="BB48" s="3">
        <f ca="1">IFERROR(__xludf.DUMMYFUNCTION("""COMPUTED_VALUE"""),-0.622996665314305)</f>
        <v>-0.62299666531430498</v>
      </c>
      <c r="BC48" s="3">
        <f ca="1">IFERROR(__xludf.DUMMYFUNCTION("""COMPUTED_VALUE"""),-0.662794538667943)</f>
        <v>-0.66279453866794302</v>
      </c>
      <c r="BD48" s="3">
        <f ca="1">IFERROR(__xludf.DUMMYFUNCTION("""COMPUTED_VALUE"""),-0.701669187010894)</f>
        <v>-0.70166918701089398</v>
      </c>
      <c r="BE48" s="3">
        <f ca="1">IFERROR(__xludf.DUMMYFUNCTION("""COMPUTED_VALUE"""),-0.668065008053881)</f>
        <v>-0.66806500805388103</v>
      </c>
      <c r="BF48" s="3">
        <f ca="1">IFERROR(__xludf.DUMMYFUNCTION("""COMPUTED_VALUE"""),-0.692589781885361)</f>
        <v>-0.69258978188536102</v>
      </c>
      <c r="BG48" s="3">
        <f ca="1">IFERROR(__xludf.DUMMYFUNCTION("""COMPUTED_VALUE"""),-0.799431666859546)</f>
        <v>-0.79943166685954603</v>
      </c>
      <c r="BH48" s="3">
        <f ca="1">IFERROR(__xludf.DUMMYFUNCTION("""COMPUTED_VALUE"""),-0.596176486069713)</f>
        <v>-0.59617648606971296</v>
      </c>
      <c r="BI48" s="3">
        <f ca="1">IFERROR(__xludf.DUMMYFUNCTION("""COMPUTED_VALUE"""),-0.668069895389627)</f>
        <v>-0.66806989538962702</v>
      </c>
      <c r="BJ48" s="3">
        <f ca="1">IFERROR(__xludf.DUMMYFUNCTION("""COMPUTED_VALUE"""),-0.686561555094989)</f>
        <v>-0.68656155509498895</v>
      </c>
      <c r="BK48" s="3">
        <f ca="1">IFERROR(__xludf.DUMMYFUNCTION("""COMPUTED_VALUE"""),-0.736162952405053)</f>
        <v>-0.73616295240505303</v>
      </c>
      <c r="BL48" s="3">
        <f ca="1">IFERROR(__xludf.DUMMYFUNCTION("""COMPUTED_VALUE"""),-0.695732112248884)</f>
        <v>-0.69573211224888398</v>
      </c>
      <c r="BM48" s="3">
        <f ca="1">IFERROR(__xludf.DUMMYFUNCTION("""COMPUTED_VALUE"""),-0.756580217976436)</f>
        <v>-0.75658021797643604</v>
      </c>
      <c r="BN48" s="3">
        <f ca="1">IFERROR(__xludf.DUMMYFUNCTION("""COMPUTED_VALUE"""),-0.726106394402427)</f>
        <v>-0.72610639440242697</v>
      </c>
      <c r="BO48" s="3">
        <f ca="1">IFERROR(__xludf.DUMMYFUNCTION("""COMPUTED_VALUE"""),-0.744227979937241)</f>
        <v>-0.74422797993724099</v>
      </c>
      <c r="BP48" s="3">
        <f ca="1">IFERROR(__xludf.DUMMYFUNCTION("""COMPUTED_VALUE"""),-0.797147953309901)</f>
        <v>-0.79714795330990096</v>
      </c>
      <c r="BQ48" s="3">
        <f ca="1">IFERROR(__xludf.DUMMYFUNCTION("""COMPUTED_VALUE"""),-0.796776488204511)</f>
        <v>-0.79677648820451097</v>
      </c>
      <c r="BR48" s="3">
        <f ca="1">IFERROR(__xludf.DUMMYFUNCTION("""COMPUTED_VALUE"""),-0.774339252876439)</f>
        <v>-0.77433925287643901</v>
      </c>
      <c r="BS48" s="3">
        <f ca="1">IFERROR(__xludf.DUMMYFUNCTION("""COMPUTED_VALUE"""),-0.788471746379917)</f>
        <v>-0.78847174637991702</v>
      </c>
      <c r="BT48" s="3">
        <f ca="1">IFERROR(__xludf.DUMMYFUNCTION("""COMPUTED_VALUE"""),-0.797119822046674)</f>
        <v>-0.79711982204667398</v>
      </c>
      <c r="BU48" s="3">
        <f ca="1">IFERROR(__xludf.DUMMYFUNCTION("""COMPUTED_VALUE"""),-0.791898039955788)</f>
        <v>-0.791898039955788</v>
      </c>
      <c r="BV48" s="3">
        <f ca="1">IFERROR(__xludf.DUMMYFUNCTION("""COMPUTED_VALUE"""),-0.800388841299052)</f>
        <v>-0.80038884129905197</v>
      </c>
      <c r="BW48" s="3">
        <f ca="1">IFERROR(__xludf.DUMMYFUNCTION("""COMPUTED_VALUE"""),-0.841948362981186)</f>
        <v>-0.84194836298118603</v>
      </c>
      <c r="BX48" s="3">
        <f ca="1">IFERROR(__xludf.DUMMYFUNCTION("""COMPUTED_VALUE"""),-0.837660113048535)</f>
        <v>-0.83766011304853505</v>
      </c>
      <c r="BY48" s="3">
        <f ca="1">IFERROR(__xludf.DUMMYFUNCTION("""COMPUTED_VALUE"""),-0.817655131370251)</f>
        <v>-0.81765513137025103</v>
      </c>
      <c r="BZ48" s="3">
        <f ca="1">IFERROR(__xludf.DUMMYFUNCTION("""COMPUTED_VALUE"""),-0.788547928147484)</f>
        <v>-0.78854792814748398</v>
      </c>
      <c r="CA48" s="3">
        <f ca="1">IFERROR(__xludf.DUMMYFUNCTION("""COMPUTED_VALUE"""),-0.78662233231833)</f>
        <v>-0.78662233231833001</v>
      </c>
      <c r="CB48" s="3">
        <f ca="1">IFERROR(__xludf.DUMMYFUNCTION("""COMPUTED_VALUE"""),-0.786965490453938)</f>
        <v>-0.78696549045393804</v>
      </c>
      <c r="CC48" s="3">
        <f ca="1">IFERROR(__xludf.DUMMYFUNCTION("""COMPUTED_VALUE"""),-0.829601036029998)</f>
        <v>-0.82960103602999802</v>
      </c>
      <c r="CD48" s="3">
        <f ca="1">IFERROR(__xludf.DUMMYFUNCTION("""COMPUTED_VALUE"""),-0.829122039580557)</f>
        <v>-0.82912203958055697</v>
      </c>
      <c r="CE48" s="3">
        <f ca="1">IFERROR(__xludf.DUMMYFUNCTION("""COMPUTED_VALUE"""),-0.869333612793216)</f>
        <v>-0.86933361279321597</v>
      </c>
      <c r="CF48" s="3">
        <f ca="1">IFERROR(__xludf.DUMMYFUNCTION("""COMPUTED_VALUE"""),-0.870286638568125)</f>
        <v>-0.87028663856812505</v>
      </c>
      <c r="CG48" s="3">
        <f ca="1">IFERROR(__xludf.DUMMYFUNCTION("""COMPUTED_VALUE"""),-0.861929994226549)</f>
        <v>-0.86192999422654903</v>
      </c>
      <c r="CH48" s="3">
        <f ca="1">IFERROR(__xludf.DUMMYFUNCTION("""COMPUTED_VALUE"""),-0.887357438004976)</f>
        <v>-0.88735743800497602</v>
      </c>
      <c r="CI48" s="3">
        <f ca="1">IFERROR(__xludf.DUMMYFUNCTION("""COMPUTED_VALUE"""),-0.867754567534282)</f>
        <v>-0.86775456753428204</v>
      </c>
      <c r="CJ48" s="3">
        <f ca="1">IFERROR(__xludf.DUMMYFUNCTION("""COMPUTED_VALUE"""),-0.820689557074644)</f>
        <v>-0.82068955707464397</v>
      </c>
      <c r="CK48" s="3">
        <f ca="1">IFERROR(__xludf.DUMMYFUNCTION("""COMPUTED_VALUE"""),-0.837737180696676)</f>
        <v>-0.83773718069667602</v>
      </c>
      <c r="CL48" s="3">
        <f ca="1">IFERROR(__xludf.DUMMYFUNCTION("""COMPUTED_VALUE"""),-0.885787721792871)</f>
        <v>-0.88578772179287102</v>
      </c>
      <c r="CM48" s="3">
        <f ca="1">IFERROR(__xludf.DUMMYFUNCTION("""COMPUTED_VALUE"""),-0.883974308040023)</f>
        <v>-0.88397430804002297</v>
      </c>
      <c r="CN48" s="3">
        <f ca="1">IFERROR(__xludf.DUMMYFUNCTION("""COMPUTED_VALUE"""),-0.85112455987709)</f>
        <v>-0.85112455987709001</v>
      </c>
      <c r="CO48" s="3">
        <f ca="1">IFERROR(__xludf.DUMMYFUNCTION("""COMPUTED_VALUE"""),-0.85522903355609)</f>
        <v>-0.85522903355609003</v>
      </c>
      <c r="CP48" s="3">
        <f ca="1">IFERROR(__xludf.DUMMYFUNCTION("""COMPUTED_VALUE"""),-0.859281526139132)</f>
        <v>-0.859281526139132</v>
      </c>
      <c r="CQ48" s="3">
        <f ca="1">IFERROR(__xludf.DUMMYFUNCTION("""COMPUTED_VALUE"""),-0.78564258825545)</f>
        <v>-0.78564258825544997</v>
      </c>
      <c r="CR48" s="3">
        <f ca="1">IFERROR(__xludf.DUMMYFUNCTION("""COMPUTED_VALUE"""),-0.776836358274686)</f>
        <v>-0.776836358274686</v>
      </c>
      <c r="CS48" s="3">
        <f ca="1">IFERROR(__xludf.DUMMYFUNCTION("""COMPUTED_VALUE"""),-0.837131295617134)</f>
        <v>-0.83713129561713395</v>
      </c>
      <c r="CT48" s="3">
        <f ca="1">IFERROR(__xludf.DUMMYFUNCTION("""COMPUTED_VALUE"""),-0.845611965932935)</f>
        <v>-0.84561196593293497</v>
      </c>
      <c r="CU48" s="3">
        <f ca="1">IFERROR(__xludf.DUMMYFUNCTION("""COMPUTED_VALUE"""),-0.801411964352275)</f>
        <v>-0.80141196435227502</v>
      </c>
      <c r="CV48" s="3">
        <f ca="1">IFERROR(__xludf.DUMMYFUNCTION("""COMPUTED_VALUE"""),-0.829624721265471)</f>
        <v>-0.82962472126547104</v>
      </c>
      <c r="CW48" s="3">
        <f ca="1">IFERROR(__xludf.DUMMYFUNCTION("""COMPUTED_VALUE"""),-0.795899650251424)</f>
        <v>-0.79589965025142395</v>
      </c>
      <c r="CX48" s="3">
        <f ca="1">IFERROR(__xludf.DUMMYFUNCTION("""COMPUTED_VALUE"""),-0.754443048721977)</f>
        <v>-0.75444304872197698</v>
      </c>
      <c r="CY48" s="3">
        <f ca="1">IFERROR(__xludf.DUMMYFUNCTION("""COMPUTED_VALUE"""),-0.737733113018279)</f>
        <v>-0.73773311301827904</v>
      </c>
      <c r="CZ48" s="3">
        <f ca="1">IFERROR(__xludf.DUMMYFUNCTION("""COMPUTED_VALUE"""),-0.974071616016407)</f>
        <v>-0.97407161601640702</v>
      </c>
      <c r="DA48" s="3">
        <f ca="1">IFERROR(__xludf.DUMMYFUNCTION("""COMPUTED_VALUE"""),-0.803014381484523)</f>
        <v>-0.80301438148452298</v>
      </c>
      <c r="DB48" s="3">
        <f ca="1">IFERROR(__xludf.DUMMYFUNCTION("""COMPUTED_VALUE"""),-0.635311900773962)</f>
        <v>-0.63531190077396205</v>
      </c>
      <c r="DC48" s="3">
        <f ca="1">IFERROR(__xludf.DUMMYFUNCTION("""COMPUTED_VALUE"""),-0.756924069904079)</f>
        <v>-0.75692406990407901</v>
      </c>
      <c r="DD48" s="3">
        <f ca="1">IFERROR(__xludf.DUMMYFUNCTION("""COMPUTED_VALUE"""),-0.80135500743963)</f>
        <v>-0.80135500743962995</v>
      </c>
      <c r="DE48" s="3">
        <f ca="1">IFERROR(__xludf.DUMMYFUNCTION("""COMPUTED_VALUE"""),-0.708491158914361)</f>
        <v>-0.70849115891436099</v>
      </c>
      <c r="DF48" s="3">
        <f ca="1">IFERROR(__xludf.DUMMYFUNCTION("""COMPUTED_VALUE"""),-0.762078905493246)</f>
        <v>-0.76207890549324597</v>
      </c>
      <c r="DG48" s="3">
        <f ca="1">IFERROR(__xludf.DUMMYFUNCTION("""COMPUTED_VALUE"""),-0.97330079740027)</f>
        <v>-0.97330079740026998</v>
      </c>
      <c r="DH48" s="3">
        <f ca="1">IFERROR(__xludf.DUMMYFUNCTION("""COMPUTED_VALUE"""),-0.765633616347493)</f>
        <v>-0.76563361634749305</v>
      </c>
      <c r="DI48" s="3">
        <f ca="1">IFERROR(__xludf.DUMMYFUNCTION("""COMPUTED_VALUE"""),-0.157811485250217)</f>
        <v>-0.15781148525021699</v>
      </c>
      <c r="DJ48" s="3">
        <f ca="1">IFERROR(__xludf.DUMMYFUNCTION("""COMPUTED_VALUE"""),-0.528483013519489)</f>
        <v>-0.52848301351948901</v>
      </c>
      <c r="DK48" s="3">
        <f ca="1">IFERROR(__xludf.DUMMYFUNCTION("""COMPUTED_VALUE"""),-0.561153450704194)</f>
        <v>-0.56115345070419398</v>
      </c>
      <c r="DL48" s="3">
        <f ca="1">IFERROR(__xludf.DUMMYFUNCTION("""COMPUTED_VALUE"""),-0.617477459527147)</f>
        <v>-0.61747745952714705</v>
      </c>
      <c r="DM48" s="3">
        <f ca="1">IFERROR(__xludf.DUMMYFUNCTION("""COMPUTED_VALUE"""),-0.59564956983331)</f>
        <v>-0.59564956983330997</v>
      </c>
      <c r="DN48" s="3">
        <f ca="1">IFERROR(__xludf.DUMMYFUNCTION("""COMPUTED_VALUE"""),-0.583590025321493)</f>
        <v>-0.58359002532149296</v>
      </c>
      <c r="DO48" s="3">
        <f ca="1">IFERROR(__xludf.DUMMYFUNCTION("""COMPUTED_VALUE"""),-0.548154708333555)</f>
        <v>-0.54815470833355495</v>
      </c>
      <c r="DP48" s="3">
        <f ca="1">IFERROR(__xludf.DUMMYFUNCTION("""COMPUTED_VALUE"""),-0.52478500672919)</f>
        <v>-0.52478500672919004</v>
      </c>
      <c r="DQ48" s="3">
        <f ca="1">IFERROR(__xludf.DUMMYFUNCTION("""COMPUTED_VALUE"""),-0.516710692037234)</f>
        <v>-0.51671069203723397</v>
      </c>
      <c r="DR48" s="3">
        <f ca="1">IFERROR(__xludf.DUMMYFUNCTION("""COMPUTED_VALUE"""),-0.565816820131788)</f>
        <v>-0.56581682013178802</v>
      </c>
      <c r="DS48" s="3">
        <f ca="1">IFERROR(__xludf.DUMMYFUNCTION("""COMPUTED_VALUE"""),-0.594958113957498)</f>
        <v>-0.59495811395749798</v>
      </c>
      <c r="DT48" s="3">
        <f ca="1">IFERROR(__xludf.DUMMYFUNCTION("""COMPUTED_VALUE"""),-0.622945006214318)</f>
        <v>-0.62294500621431803</v>
      </c>
      <c r="DU48" s="3">
        <f ca="1">IFERROR(__xludf.DUMMYFUNCTION("""COMPUTED_VALUE"""),-0.623705951439117)</f>
        <v>-0.623705951439117</v>
      </c>
      <c r="DV48" s="3">
        <f ca="1">IFERROR(__xludf.DUMMYFUNCTION("""COMPUTED_VALUE"""),-0.626418615354156)</f>
        <v>-0.62641861535415599</v>
      </c>
      <c r="DW48" s="3">
        <f ca="1">IFERROR(__xludf.DUMMYFUNCTION("""COMPUTED_VALUE"""),-0.671169558651182)</f>
        <v>-0.671169558651182</v>
      </c>
      <c r="DX48" s="3">
        <f ca="1">IFERROR(__xludf.DUMMYFUNCTION("""COMPUTED_VALUE"""),-0.656539973532071)</f>
        <v>-0.65653997353207105</v>
      </c>
      <c r="DY48" s="3">
        <f ca="1">IFERROR(__xludf.DUMMYFUNCTION("""COMPUTED_VALUE"""),-0.669955037248923)</f>
        <v>-0.66995503724892302</v>
      </c>
      <c r="DZ48" s="3">
        <f ca="1">IFERROR(__xludf.DUMMYFUNCTION("""COMPUTED_VALUE"""),-0.666168062492445)</f>
        <v>-0.66616806249244498</v>
      </c>
      <c r="EA48" s="3">
        <f ca="1">IFERROR(__xludf.DUMMYFUNCTION("""COMPUTED_VALUE"""),-0.679055440099477)</f>
        <v>-0.67905544009947705</v>
      </c>
      <c r="EB48" s="3">
        <f ca="1">IFERROR(__xludf.DUMMYFUNCTION("""COMPUTED_VALUE"""),-0.680673751507172)</f>
        <v>-0.68067375150717202</v>
      </c>
      <c r="EC48" s="3">
        <f ca="1">IFERROR(__xludf.DUMMYFUNCTION("""COMPUTED_VALUE"""),-0.679377155446816)</f>
        <v>-0.67937715544681598</v>
      </c>
      <c r="ED48" s="3">
        <f ca="1">IFERROR(__xludf.DUMMYFUNCTION("""COMPUTED_VALUE"""),-0.679855002845367)</f>
        <v>-0.67985500284536704</v>
      </c>
      <c r="EE48" s="3">
        <f ca="1">IFERROR(__xludf.DUMMYFUNCTION("""COMPUTED_VALUE"""),-0.671154174135588)</f>
        <v>-0.67115417413558798</v>
      </c>
      <c r="EF48" s="3">
        <f ca="1">IFERROR(__xludf.DUMMYFUNCTION("""COMPUTED_VALUE"""),-0.71506980586122)</f>
        <v>-0.71506980586122004</v>
      </c>
      <c r="EG48" s="3">
        <f ca="1">IFERROR(__xludf.DUMMYFUNCTION("""COMPUTED_VALUE"""),-0.665849199764276)</f>
        <v>-0.66584919976427603</v>
      </c>
      <c r="EH48" s="3">
        <f ca="1">IFERROR(__xludf.DUMMYFUNCTION("""COMPUTED_VALUE"""),-0.65053267085641)</f>
        <v>-0.65053267085640998</v>
      </c>
      <c r="EI48" s="3">
        <f ca="1">IFERROR(__xludf.DUMMYFUNCTION("""COMPUTED_VALUE"""),-0.683558946518059)</f>
        <v>-0.68355894651805904</v>
      </c>
      <c r="EJ48" s="3">
        <f ca="1">IFERROR(__xludf.DUMMYFUNCTION("""COMPUTED_VALUE"""),-0.687540720120764)</f>
        <v>-0.68754072012076395</v>
      </c>
      <c r="EK48" s="3">
        <f ca="1">IFERROR(__xludf.DUMMYFUNCTION("""COMPUTED_VALUE"""),-0.693857882817339)</f>
        <v>-0.69385788281733896</v>
      </c>
      <c r="EL48" s="3">
        <f ca="1">IFERROR(__xludf.DUMMYFUNCTION("""COMPUTED_VALUE"""),-0.696641008724837)</f>
        <v>-0.69664100872483703</v>
      </c>
      <c r="EM48" s="3">
        <f ca="1">IFERROR(__xludf.DUMMYFUNCTION("""COMPUTED_VALUE"""),-0.701499743773093)</f>
        <v>-0.70149974377309299</v>
      </c>
      <c r="EN48" s="3">
        <f ca="1">IFERROR(__xludf.DUMMYFUNCTION("""COMPUTED_VALUE"""),-0.698735527617597)</f>
        <v>-0.69873552761759705</v>
      </c>
      <c r="EO48" s="3">
        <f ca="1">IFERROR(__xludf.DUMMYFUNCTION("""COMPUTED_VALUE"""),-0.686078014766475)</f>
        <v>-0.68607801476647501</v>
      </c>
      <c r="EP48" s="3">
        <f ca="1">IFERROR(__xludf.DUMMYFUNCTION("""COMPUTED_VALUE"""),-0.722565208300145)</f>
        <v>-0.72256520830014503</v>
      </c>
      <c r="EQ48" s="3">
        <f ca="1">IFERROR(__xludf.DUMMYFUNCTION("""COMPUTED_VALUE"""),-0.729922620344025)</f>
        <v>-0.729922620344025</v>
      </c>
      <c r="ER48" s="3">
        <f ca="1">IFERROR(__xludf.DUMMYFUNCTION("""COMPUTED_VALUE"""),-0.711457278910361)</f>
        <v>-0.71145727891036104</v>
      </c>
      <c r="ES48" s="3">
        <f ca="1">IFERROR(__xludf.DUMMYFUNCTION("""COMPUTED_VALUE"""),-0.705375987927077)</f>
        <v>-0.70537598792707701</v>
      </c>
      <c r="ET48" s="3">
        <f ca="1">IFERROR(__xludf.DUMMYFUNCTION("""COMPUTED_VALUE"""),-0.71637941658043)</f>
        <v>-0.71637941658043003</v>
      </c>
      <c r="EU48" s="3">
        <f ca="1">IFERROR(__xludf.DUMMYFUNCTION("""COMPUTED_VALUE"""),-0.713405263046905)</f>
        <v>-0.71340526304690499</v>
      </c>
      <c r="EV48" s="3">
        <f ca="1">IFERROR(__xludf.DUMMYFUNCTION("""COMPUTED_VALUE"""),-0.65312692553821)</f>
        <v>-0.65312692553820995</v>
      </c>
      <c r="EW48" s="3">
        <f ca="1">IFERROR(__xludf.DUMMYFUNCTION("""COMPUTED_VALUE"""),-0.706859955757349)</f>
        <v>-0.70685995575734895</v>
      </c>
      <c r="EX48" s="3">
        <f ca="1">IFERROR(__xludf.DUMMYFUNCTION("""COMPUTED_VALUE"""),-0.644696496304636)</f>
        <v>-0.64469649630463599</v>
      </c>
      <c r="EY48" s="3">
        <f ca="1">IFERROR(__xludf.DUMMYFUNCTION("""COMPUTED_VALUE"""),-0.687753331301341)</f>
        <v>-0.68775333130134098</v>
      </c>
      <c r="EZ48" s="3">
        <f ca="1">IFERROR(__xludf.DUMMYFUNCTION("""COMPUTED_VALUE"""),-0.654600723792862)</f>
        <v>-0.65460072379286205</v>
      </c>
      <c r="FA48" s="3">
        <f ca="1">IFERROR(__xludf.DUMMYFUNCTION("""COMPUTED_VALUE"""),-0.673911345818155)</f>
        <v>-0.67391134581815504</v>
      </c>
      <c r="FB48" s="3">
        <f ca="1">IFERROR(__xludf.DUMMYFUNCTION("""COMPUTED_VALUE"""),-0.651548675219569)</f>
        <v>-0.65154867521956905</v>
      </c>
      <c r="FC48" s="3">
        <f ca="1">IFERROR(__xludf.DUMMYFUNCTION("""COMPUTED_VALUE"""),-0.65596022516227)</f>
        <v>-0.65596022516227004</v>
      </c>
      <c r="FD48" s="3">
        <f ca="1">IFERROR(__xludf.DUMMYFUNCTION("""COMPUTED_VALUE"""),-0.680144088736401)</f>
        <v>-0.68014408873640098</v>
      </c>
      <c r="FE48" s="3">
        <f ca="1">IFERROR(__xludf.DUMMYFUNCTION("""COMPUTED_VALUE"""),-0.699661166828388)</f>
        <v>-0.69966116682838797</v>
      </c>
      <c r="FF48" s="3">
        <f ca="1">IFERROR(__xludf.DUMMYFUNCTION("""COMPUTED_VALUE"""),-0.708297334157646)</f>
        <v>-0.70829733415764595</v>
      </c>
      <c r="FG48" s="3">
        <f ca="1">IFERROR(__xludf.DUMMYFUNCTION("""COMPUTED_VALUE"""),-0.727952261538834)</f>
        <v>-0.72795226153883397</v>
      </c>
      <c r="FH48" s="3">
        <f ca="1">IFERROR(__xludf.DUMMYFUNCTION("""COMPUTED_VALUE"""),-0.684217119238375)</f>
        <v>-0.68421711923837503</v>
      </c>
      <c r="FI48" s="3">
        <f ca="1">IFERROR(__xludf.DUMMYFUNCTION("""COMPUTED_VALUE"""),-0.718884354922516)</f>
        <v>-0.71888435492251601</v>
      </c>
      <c r="FJ48" s="3">
        <f ca="1">IFERROR(__xludf.DUMMYFUNCTION("""COMPUTED_VALUE"""),-0.631955170100199)</f>
        <v>-0.63195517010019897</v>
      </c>
      <c r="FK48" s="3">
        <f ca="1">IFERROR(__xludf.DUMMYFUNCTION("""COMPUTED_VALUE"""),-0.637108041596918)</f>
        <v>-0.63710804159691803</v>
      </c>
      <c r="FL48" s="3">
        <f ca="1">IFERROR(__xludf.DUMMYFUNCTION("""COMPUTED_VALUE"""),-0.656180838209629)</f>
        <v>-0.65618083820962902</v>
      </c>
      <c r="FM48" s="3">
        <f ca="1">IFERROR(__xludf.DUMMYFUNCTION("""COMPUTED_VALUE"""),-0.663867464601833)</f>
        <v>-0.66386746460183299</v>
      </c>
      <c r="FN48" s="3">
        <f ca="1">IFERROR(__xludf.DUMMYFUNCTION("""COMPUTED_VALUE"""),-0.677360108206679)</f>
        <v>-0.67736010820667902</v>
      </c>
      <c r="FO48" s="3">
        <f ca="1">IFERROR(__xludf.DUMMYFUNCTION("""COMPUTED_VALUE"""),-0.694200444425588)</f>
        <v>-0.69420044442558804</v>
      </c>
      <c r="FP48" s="3">
        <f ca="1">IFERROR(__xludf.DUMMYFUNCTION("""COMPUTED_VALUE"""),-0.639096868162348)</f>
        <v>-0.63909686816234801</v>
      </c>
      <c r="FQ48" s="3">
        <f ca="1">IFERROR(__xludf.DUMMYFUNCTION("""COMPUTED_VALUE"""),-0.618051929009306)</f>
        <v>-0.61805192900930594</v>
      </c>
      <c r="FR48" s="3">
        <f ca="1">IFERROR(__xludf.DUMMYFUNCTION("""COMPUTED_VALUE"""),-0.639616537480943)</f>
        <v>-0.63961653748094305</v>
      </c>
      <c r="FS48" s="3">
        <f ca="1">IFERROR(__xludf.DUMMYFUNCTION("""COMPUTED_VALUE"""),-0.663667671658634)</f>
        <v>-0.66366767165863405</v>
      </c>
      <c r="FT48" s="3">
        <f ca="1">IFERROR(__xludf.DUMMYFUNCTION("""COMPUTED_VALUE"""),-0.711901584875542)</f>
        <v>-0.711901584875542</v>
      </c>
      <c r="FU48" s="3">
        <f ca="1">IFERROR(__xludf.DUMMYFUNCTION("""COMPUTED_VALUE"""),-0.682234581520315)</f>
        <v>-0.68223458152031502</v>
      </c>
      <c r="FV48" s="3">
        <f ca="1">IFERROR(__xludf.DUMMYFUNCTION("""COMPUTED_VALUE"""),-0.5881231707372)</f>
        <v>-0.5881231707372</v>
      </c>
      <c r="FW48" s="3">
        <f ca="1">IFERROR(__xludf.DUMMYFUNCTION("""COMPUTED_VALUE"""),-0.558568780441057)</f>
        <v>-0.55856878044105696</v>
      </c>
      <c r="FX48" s="3">
        <f ca="1">IFERROR(__xludf.DUMMYFUNCTION("""COMPUTED_VALUE"""),-0.570642986129321)</f>
        <v>-0.57064298612932096</v>
      </c>
      <c r="FY48" s="3">
        <f ca="1">IFERROR(__xludf.DUMMYFUNCTION("""COMPUTED_VALUE"""),-0.66853698496203)</f>
        <v>-0.66853698496202996</v>
      </c>
      <c r="FZ48" s="3">
        <f ca="1">IFERROR(__xludf.DUMMYFUNCTION("""COMPUTED_VALUE"""),-0.699546501206986)</f>
        <v>-0.69954650120698603</v>
      </c>
      <c r="GA48" s="3">
        <f ca="1">IFERROR(__xludf.DUMMYFUNCTION("""COMPUTED_VALUE"""),-0.699659303143338)</f>
        <v>-0.69965930314333802</v>
      </c>
      <c r="GB48" s="3">
        <f ca="1">IFERROR(__xludf.DUMMYFUNCTION("""COMPUTED_VALUE"""),-0.70194968592112)</f>
        <v>-0.70194968592111995</v>
      </c>
      <c r="GC48" s="3">
        <f ca="1">IFERROR(__xludf.DUMMYFUNCTION("""COMPUTED_VALUE"""),-0.812120125178376)</f>
        <v>-0.81212012517837595</v>
      </c>
      <c r="GD48" s="3">
        <f ca="1">IFERROR(__xludf.DUMMYFUNCTION("""COMPUTED_VALUE"""),-0.665635198474146)</f>
        <v>-0.66563519847414598</v>
      </c>
      <c r="GE48" s="3">
        <f ca="1">IFERROR(__xludf.DUMMYFUNCTION("""COMPUTED_VALUE"""),-0.714139231668787)</f>
        <v>-0.71413923166878701</v>
      </c>
      <c r="GF48" s="3">
        <f ca="1">IFERROR(__xludf.DUMMYFUNCTION("""COMPUTED_VALUE"""),-0.702719651844988)</f>
        <v>-0.70271965184498797</v>
      </c>
      <c r="GG48" s="3">
        <f ca="1">IFERROR(__xludf.DUMMYFUNCTION("""COMPUTED_VALUE"""),-0.664261778536807)</f>
        <v>-0.66426177853680701</v>
      </c>
      <c r="GH48" s="3">
        <f ca="1">IFERROR(__xludf.DUMMYFUNCTION("""COMPUTED_VALUE"""),-0.678677923811047)</f>
        <v>-0.67867792381104697</v>
      </c>
      <c r="GI48" s="3">
        <f ca="1">IFERROR(__xludf.DUMMYFUNCTION("""COMPUTED_VALUE"""),-0.684598397624792)</f>
        <v>-0.68459839762479202</v>
      </c>
      <c r="GJ48" s="3">
        <f ca="1">IFERROR(__xludf.DUMMYFUNCTION("""COMPUTED_VALUE"""),-0.615598825735515)</f>
        <v>-0.61559882573551505</v>
      </c>
      <c r="GK48" s="3">
        <f ca="1">IFERROR(__xludf.DUMMYFUNCTION("""COMPUTED_VALUE"""),-0.599513198883277)</f>
        <v>-0.59951319888327703</v>
      </c>
      <c r="GL48" s="3">
        <f ca="1">IFERROR(__xludf.DUMMYFUNCTION("""COMPUTED_VALUE"""),-0.613619552598912)</f>
        <v>-0.61361955259891199</v>
      </c>
      <c r="GM48" s="3">
        <f ca="1">IFERROR(__xludf.DUMMYFUNCTION("""COMPUTED_VALUE"""),-0.707732562208235)</f>
        <v>-0.70773256220823499</v>
      </c>
      <c r="GN48" s="3">
        <f ca="1">IFERROR(__xludf.DUMMYFUNCTION("""COMPUTED_VALUE"""),-0.720214977409437)</f>
        <v>-0.72021497740943696</v>
      </c>
      <c r="GO48" s="3">
        <f ca="1">IFERROR(__xludf.DUMMYFUNCTION("""COMPUTED_VALUE"""),-0.698690605768583)</f>
        <v>-0.698690605768583</v>
      </c>
      <c r="GP48" s="3">
        <f ca="1">IFERROR(__xludf.DUMMYFUNCTION("""COMPUTED_VALUE"""),-0.700592892274305)</f>
        <v>-0.70059289227430499</v>
      </c>
      <c r="GQ48" s="3">
        <f ca="1">IFERROR(__xludf.DUMMYFUNCTION("""COMPUTED_VALUE"""),-0.679768771145992)</f>
        <v>-0.67976877114599199</v>
      </c>
      <c r="GR48" s="3">
        <f ca="1">IFERROR(__xludf.DUMMYFUNCTION("""COMPUTED_VALUE"""),-0.578936768300205)</f>
        <v>-0.57893676830020502</v>
      </c>
      <c r="GS48" s="3">
        <f ca="1">IFERROR(__xludf.DUMMYFUNCTION("""COMPUTED_VALUE"""),-0.645216866795364)</f>
        <v>-0.64521686679536405</v>
      </c>
      <c r="GT48" s="3">
        <f ca="1">IFERROR(__xludf.DUMMYFUNCTION("""COMPUTED_VALUE"""),-0.71112532119198)</f>
        <v>-0.71112532119198002</v>
      </c>
      <c r="GU48" s="3">
        <f ca="1">IFERROR(__xludf.DUMMYFUNCTION("""COMPUTED_VALUE"""),-0.675329495112603)</f>
        <v>-0.67532949511260298</v>
      </c>
      <c r="GV48" s="3">
        <f ca="1">IFERROR(__xludf.DUMMYFUNCTION("""COMPUTED_VALUE"""),-0.67799057504016)</f>
        <v>-0.67799057504016003</v>
      </c>
      <c r="GW48" s="3">
        <f ca="1">IFERROR(__xludf.DUMMYFUNCTION("""COMPUTED_VALUE"""),-0.672331890977115)</f>
        <v>-0.67233189097711499</v>
      </c>
      <c r="GX48" s="3">
        <f ca="1">IFERROR(__xludf.DUMMYFUNCTION("""COMPUTED_VALUE"""),-0.677786939835773)</f>
        <v>-0.67778693983577298</v>
      </c>
      <c r="GY48" s="3">
        <f ca="1">IFERROR(__xludf.DUMMYFUNCTION("""COMPUTED_VALUE"""),-0.611067240956497)</f>
        <v>-0.611067240956497</v>
      </c>
      <c r="GZ48" s="3">
        <f ca="1">IFERROR(__xludf.DUMMYFUNCTION("""COMPUTED_VALUE"""),-0.6338329874886)</f>
        <v>-0.63383298748859995</v>
      </c>
      <c r="HA48" s="3">
        <f ca="1">IFERROR(__xludf.DUMMYFUNCTION("""COMPUTED_VALUE"""),-0.667757524667336)</f>
        <v>-0.66775752466733596</v>
      </c>
      <c r="HB48" s="3">
        <f ca="1">IFERROR(__xludf.DUMMYFUNCTION("""COMPUTED_VALUE"""),-0.701640820655559)</f>
        <v>-0.70164082065555899</v>
      </c>
      <c r="HC48" s="3">
        <f ca="1">IFERROR(__xludf.DUMMYFUNCTION("""COMPUTED_VALUE"""),-0.695605956131995)</f>
        <v>-0.69560595613199505</v>
      </c>
      <c r="HD48" s="3">
        <f ca="1">IFERROR(__xludf.DUMMYFUNCTION("""COMPUTED_VALUE"""),-0.670543289416448)</f>
        <v>-0.67054328941644803</v>
      </c>
      <c r="HE48" s="3">
        <f ca="1">IFERROR(__xludf.DUMMYFUNCTION("""COMPUTED_VALUE"""),-0.661856691017621)</f>
        <v>-0.66185669101762101</v>
      </c>
      <c r="HF48" s="3">
        <f ca="1">IFERROR(__xludf.DUMMYFUNCTION("""COMPUTED_VALUE"""),-0.709909141197358)</f>
        <v>-0.70990914119735804</v>
      </c>
      <c r="HG48" s="3">
        <f ca="1">IFERROR(__xludf.DUMMYFUNCTION("""COMPUTED_VALUE"""),-0.659995957693475)</f>
        <v>-0.65999595769347497</v>
      </c>
      <c r="HH48" s="3">
        <f ca="1">IFERROR(__xludf.DUMMYFUNCTION("""COMPUTED_VALUE"""),-0.682246783183821)</f>
        <v>-0.68224678318382104</v>
      </c>
      <c r="HI48" s="3">
        <f ca="1">IFERROR(__xludf.DUMMYFUNCTION("""COMPUTED_VALUE"""),-0.68964525116693)</f>
        <v>-0.68964525116692998</v>
      </c>
      <c r="HJ48" s="3">
        <f ca="1">IFERROR(__xludf.DUMMYFUNCTION("""COMPUTED_VALUE"""),-0.647161738345064)</f>
        <v>-0.64716173834506396</v>
      </c>
      <c r="HK48" s="3">
        <f ca="1">IFERROR(__xludf.DUMMYFUNCTION("""COMPUTED_VALUE"""),-0.644084960287184)</f>
        <v>-0.64408496028718398</v>
      </c>
      <c r="HL48" s="3">
        <f ca="1">IFERROR(__xludf.DUMMYFUNCTION("""COMPUTED_VALUE"""),-0.772598276947538)</f>
        <v>-0.77259827694753802</v>
      </c>
      <c r="HM48" s="3">
        <f ca="1">IFERROR(__xludf.DUMMYFUNCTION("""COMPUTED_VALUE"""),-0.616891116607425)</f>
        <v>-0.61689111660742502</v>
      </c>
      <c r="HN48" s="3">
        <f ca="1">IFERROR(__xludf.DUMMYFUNCTION("""COMPUTED_VALUE"""),-0.662342553818303)</f>
        <v>-0.66234255381830298</v>
      </c>
      <c r="HO48" s="3">
        <f ca="1">IFERROR(__xludf.DUMMYFUNCTION("""COMPUTED_VALUE"""),-0.682922850088892)</f>
        <v>-0.68292285008889198</v>
      </c>
      <c r="HP48" s="3">
        <f ca="1">IFERROR(__xludf.DUMMYFUNCTION("""COMPUTED_VALUE"""),-0.682669358355976)</f>
        <v>-0.68266935835597597</v>
      </c>
      <c r="HQ48" s="3">
        <f ca="1">IFERROR(__xludf.DUMMYFUNCTION("""COMPUTED_VALUE"""),-0.676507104995738)</f>
        <v>-0.67650710499573796</v>
      </c>
      <c r="HR48" s="3">
        <f ca="1">IFERROR(__xludf.DUMMYFUNCTION("""COMPUTED_VALUE"""),-0.670757377908451)</f>
        <v>-0.67075737790845102</v>
      </c>
      <c r="HS48" s="3">
        <f ca="1">IFERROR(__xludf.DUMMYFUNCTION("""COMPUTED_VALUE"""),-0.583099814471742)</f>
        <v>-0.58309981447174197</v>
      </c>
      <c r="HT48" s="3">
        <f ca="1">IFERROR(__xludf.DUMMYFUNCTION("""COMPUTED_VALUE"""),-0.609077925282287)</f>
        <v>-0.60907792528228699</v>
      </c>
      <c r="HU48" s="3">
        <f ca="1">IFERROR(__xludf.DUMMYFUNCTION("""COMPUTED_VALUE"""),-0.60931581812213)</f>
        <v>-0.60931581812212998</v>
      </c>
      <c r="HV48" s="3">
        <f ca="1">IFERROR(__xludf.DUMMYFUNCTION("""COMPUTED_VALUE"""),-0.668488551931452)</f>
        <v>-0.66848855193145196</v>
      </c>
      <c r="HW48" s="3">
        <f ca="1">IFERROR(__xludf.DUMMYFUNCTION("""COMPUTED_VALUE"""),-0.671690589916935)</f>
        <v>-0.67169058991693498</v>
      </c>
      <c r="HX48" s="3">
        <f ca="1">IFERROR(__xludf.DUMMYFUNCTION("""COMPUTED_VALUE"""),-0.617511287348482)</f>
        <v>-0.61751128734848204</v>
      </c>
      <c r="HY48" s="3">
        <f ca="1">IFERROR(__xludf.DUMMYFUNCTION("""COMPUTED_VALUE"""),-0.608749647796098)</f>
        <v>-0.60874964779609797</v>
      </c>
      <c r="HZ48" s="3">
        <f ca="1">IFERROR(__xludf.DUMMYFUNCTION("""COMPUTED_VALUE"""),-0.552360422810209)</f>
        <v>-0.55236042281020903</v>
      </c>
      <c r="IA48" s="3">
        <f ca="1">IFERROR(__xludf.DUMMYFUNCTION("""COMPUTED_VALUE"""),-0.54978372442935)</f>
        <v>-0.54978372442934997</v>
      </c>
      <c r="IB48" s="3">
        <f ca="1">IFERROR(__xludf.DUMMYFUNCTION("""COMPUTED_VALUE"""),-0.5509719124089)</f>
        <v>-0.55097191240889998</v>
      </c>
      <c r="IC48" s="3">
        <f ca="1">IFERROR(__xludf.DUMMYFUNCTION("""COMPUTED_VALUE"""),-0.614331456917058)</f>
        <v>-0.61433145691705804</v>
      </c>
      <c r="ID48" s="3">
        <f ca="1">IFERROR(__xludf.DUMMYFUNCTION("""COMPUTED_VALUE"""),-0.534275634034229)</f>
        <v>-0.53427563403422895</v>
      </c>
      <c r="IE48" s="3">
        <f ca="1">IFERROR(__xludf.DUMMYFUNCTION("""COMPUTED_VALUE"""),-0.496949712214803)</f>
        <v>-0.496949712214803</v>
      </c>
      <c r="IF48" s="3">
        <f ca="1">IFERROR(__xludf.DUMMYFUNCTION("""COMPUTED_VALUE"""),-0.567660824646343)</f>
        <v>-0.56766082464634304</v>
      </c>
      <c r="IG48" s="3">
        <f ca="1">IFERROR(__xludf.DUMMYFUNCTION("""COMPUTED_VALUE"""),-0.541513747374393)</f>
        <v>-0.54151374737439295</v>
      </c>
      <c r="IH48" s="3">
        <f ca="1">IFERROR(__xludf.DUMMYFUNCTION("""COMPUTED_VALUE"""),-0.517595149236682)</f>
        <v>-0.51759514923668204</v>
      </c>
      <c r="II48" s="3">
        <f ca="1">IFERROR(__xludf.DUMMYFUNCTION("""COMPUTED_VALUE"""),-0.41803047261701)</f>
        <v>-0.41803047261700998</v>
      </c>
      <c r="IJ48" s="3">
        <f ca="1">IFERROR(__xludf.DUMMYFUNCTION("""COMPUTED_VALUE"""),-0.508034869696345)</f>
        <v>-0.50803486969634504</v>
      </c>
      <c r="IK48" s="3">
        <f ca="1">IFERROR(__xludf.DUMMYFUNCTION("""COMPUTED_VALUE"""),-0.49469249270737)</f>
        <v>-0.49469249270736998</v>
      </c>
      <c r="IL48" s="3">
        <f ca="1">IFERROR(__xludf.DUMMYFUNCTION("""COMPUTED_VALUE"""),-0.512103372942399)</f>
        <v>-0.51210337294239905</v>
      </c>
      <c r="IM48" s="3">
        <f ca="1">IFERROR(__xludf.DUMMYFUNCTION("""COMPUTED_VALUE"""),-0.532006176872545)</f>
        <v>-0.53200617687254503</v>
      </c>
      <c r="IN48" s="3">
        <f ca="1">IFERROR(__xludf.DUMMYFUNCTION("""COMPUTED_VALUE"""),-0.474447786721341)</f>
        <v>-0.47444778672134102</v>
      </c>
      <c r="IO48" s="3">
        <f ca="1">IFERROR(__xludf.DUMMYFUNCTION("""COMPUTED_VALUE"""),-0.528903563716886)</f>
        <v>-0.52890356371688596</v>
      </c>
      <c r="IP48" s="3">
        <f ca="1">IFERROR(__xludf.DUMMYFUNCTION("""COMPUTED_VALUE"""),-0.499347367553464)</f>
        <v>-0.49934736755346398</v>
      </c>
      <c r="IQ48" s="3">
        <f ca="1">IFERROR(__xludf.DUMMYFUNCTION("""COMPUTED_VALUE"""),-0.549885575758017)</f>
        <v>-0.549885575758017</v>
      </c>
      <c r="IR48" s="3">
        <f ca="1">IFERROR(__xludf.DUMMYFUNCTION("""COMPUTED_VALUE"""),-0.595141312512977)</f>
        <v>-0.59514131251297697</v>
      </c>
      <c r="IS48" s="3">
        <f ca="1">IFERROR(__xludf.DUMMYFUNCTION("""COMPUTED_VALUE"""),-0.582835486024174)</f>
        <v>-0.58283548602417401</v>
      </c>
      <c r="IT48" s="3">
        <f ca="1">IFERROR(__xludf.DUMMYFUNCTION("""COMPUTED_VALUE"""),-0.606084913495014)</f>
        <v>-0.60608491349501403</v>
      </c>
      <c r="IU48" s="3">
        <f ca="1">IFERROR(__xludf.DUMMYFUNCTION("""COMPUTED_VALUE"""),-0.672372105734896)</f>
        <v>-0.67237210573489603</v>
      </c>
      <c r="IV48" s="3">
        <f ca="1">IFERROR(__xludf.DUMMYFUNCTION("""COMPUTED_VALUE"""),-0.614548562295293)</f>
        <v>-0.61454856229529298</v>
      </c>
      <c r="IW48" s="3">
        <f ca="1">IFERROR(__xludf.DUMMYFUNCTION("""COMPUTED_VALUE"""),-0.551679918762789)</f>
        <v>-0.55167991876278899</v>
      </c>
      <c r="IX48" s="3">
        <f ca="1">IFERROR(__xludf.DUMMYFUNCTION("""COMPUTED_VALUE"""),-0.596944810040176)</f>
        <v>-0.59694481004017597</v>
      </c>
      <c r="IY48" s="3">
        <f ca="1">IFERROR(__xludf.DUMMYFUNCTION("""COMPUTED_VALUE"""),-0.605319720907985)</f>
        <v>-0.60531972090798503</v>
      </c>
      <c r="IZ48" s="3">
        <f ca="1">IFERROR(__xludf.DUMMYFUNCTION("""COMPUTED_VALUE"""),-0.603246101557116)</f>
        <v>-0.603246101557116</v>
      </c>
      <c r="JA48" s="3">
        <f ca="1">IFERROR(__xludf.DUMMYFUNCTION("""COMPUTED_VALUE"""),-0.553755444415133)</f>
        <v>-0.55375544441513302</v>
      </c>
      <c r="JB48" s="3">
        <f ca="1">IFERROR(__xludf.DUMMYFUNCTION("""COMPUTED_VALUE"""),-0.566095595578084)</f>
        <v>-0.56609559557808398</v>
      </c>
      <c r="JC48" s="3">
        <f ca="1">IFERROR(__xludf.DUMMYFUNCTION("""COMPUTED_VALUE"""),-0.577707005428633)</f>
        <v>-0.57770700542863296</v>
      </c>
      <c r="JD48" s="3">
        <f ca="1">IFERROR(__xludf.DUMMYFUNCTION("""COMPUTED_VALUE"""),-0.56686777008184)</f>
        <v>-0.56686777008183997</v>
      </c>
      <c r="JE48" s="3">
        <f ca="1">IFERROR(__xludf.DUMMYFUNCTION("""COMPUTED_VALUE"""),-0.625205950035606)</f>
        <v>-0.62520595003560597</v>
      </c>
      <c r="JF48" s="3">
        <f ca="1">IFERROR(__xludf.DUMMYFUNCTION("""COMPUTED_VALUE"""),-0.616946350438508)</f>
        <v>-0.61694635043850798</v>
      </c>
      <c r="JG48" s="3">
        <f ca="1">IFERROR(__xludf.DUMMYFUNCTION("""COMPUTED_VALUE"""),-0.663345095379251)</f>
        <v>-0.66334509537925102</v>
      </c>
      <c r="JH48" s="3">
        <f ca="1">IFERROR(__xludf.DUMMYFUNCTION("""COMPUTED_VALUE"""),-0.638344857042994)</f>
        <v>-0.63834485704299404</v>
      </c>
      <c r="JI48" s="3">
        <f ca="1">IFERROR(__xludf.DUMMYFUNCTION("""COMPUTED_VALUE"""),-0.604054612871946)</f>
        <v>-0.60405461287194595</v>
      </c>
      <c r="JJ48" s="3">
        <f ca="1">IFERROR(__xludf.DUMMYFUNCTION("""COMPUTED_VALUE"""),-0.607165209522017)</f>
        <v>-0.60716520952201702</v>
      </c>
      <c r="JK48" s="3">
        <f ca="1">IFERROR(__xludf.DUMMYFUNCTION("""COMPUTED_VALUE"""),-0.581232980915323)</f>
        <v>-0.58123298091532305</v>
      </c>
      <c r="JL48" s="3">
        <f ca="1">IFERROR(__xludf.DUMMYFUNCTION("""COMPUTED_VALUE"""),-0.651860839895248)</f>
        <v>-0.65186083989524801</v>
      </c>
      <c r="JM48" s="3">
        <f ca="1">IFERROR(__xludf.DUMMYFUNCTION("""COMPUTED_VALUE"""),-0.708770178080043)</f>
        <v>-0.70877017808004295</v>
      </c>
      <c r="JN48" s="3">
        <f ca="1">IFERROR(__xludf.DUMMYFUNCTION("""COMPUTED_VALUE"""),-0.596528660716628)</f>
        <v>-0.59652866071662802</v>
      </c>
      <c r="JO48" s="3">
        <f ca="1">IFERROR(__xludf.DUMMYFUNCTION("""COMPUTED_VALUE"""),-0.644706605625853)</f>
        <v>-0.64470660562585302</v>
      </c>
      <c r="JP48" s="3">
        <f ca="1">IFERROR(__xludf.DUMMYFUNCTION("""COMPUTED_VALUE"""),-0.669604585892359)</f>
        <v>-0.66960458589235905</v>
      </c>
      <c r="JQ48" s="3">
        <f ca="1">IFERROR(__xludf.DUMMYFUNCTION("""COMPUTED_VALUE"""),-0.664390257287362)</f>
        <v>-0.66439025728736201</v>
      </c>
      <c r="JR48" s="3">
        <f ca="1">IFERROR(__xludf.DUMMYFUNCTION("""COMPUTED_VALUE"""),-0.63375071062429)</f>
        <v>-0.63375071062429</v>
      </c>
      <c r="JS48" s="3">
        <f ca="1">IFERROR(__xludf.DUMMYFUNCTION("""COMPUTED_VALUE"""),-0.66896768207755)</f>
        <v>-0.66896768207754997</v>
      </c>
      <c r="JT48" s="3">
        <f ca="1">IFERROR(__xludf.DUMMYFUNCTION("""COMPUTED_VALUE"""),-0.685488279042951)</f>
        <v>-0.68548827904295095</v>
      </c>
      <c r="JU48" s="3">
        <f ca="1">IFERROR(__xludf.DUMMYFUNCTION("""COMPUTED_VALUE"""),-0.658623927223531)</f>
        <v>-0.65862392722353102</v>
      </c>
      <c r="JV48" s="3">
        <f ca="1">IFERROR(__xludf.DUMMYFUNCTION("""COMPUTED_VALUE"""),-0.701274974621691)</f>
        <v>-0.70127497462169097</v>
      </c>
      <c r="JW48" s="3">
        <f ca="1">IFERROR(__xludf.DUMMYFUNCTION("""COMPUTED_VALUE"""),-0.655655052597772)</f>
        <v>-0.65565505259777201</v>
      </c>
      <c r="JX48" s="3">
        <f ca="1">IFERROR(__xludf.DUMMYFUNCTION("""COMPUTED_VALUE"""),-0.627954377520152)</f>
        <v>-0.62795437752015204</v>
      </c>
      <c r="JY48" s="3">
        <f ca="1">IFERROR(__xludf.DUMMYFUNCTION("""COMPUTED_VALUE"""),-0.582505129490083)</f>
        <v>-0.58250512949008304</v>
      </c>
      <c r="JZ48" s="3">
        <f ca="1">IFERROR(__xludf.DUMMYFUNCTION("""COMPUTED_VALUE"""),-0.703666053511363)</f>
        <v>-0.70366605351136302</v>
      </c>
      <c r="KA48" s="3">
        <f ca="1">IFERROR(__xludf.DUMMYFUNCTION("""COMPUTED_VALUE"""),-0.705284972340449)</f>
        <v>-0.70528497234044896</v>
      </c>
      <c r="KB48" s="3">
        <f ca="1">IFERROR(__xludf.DUMMYFUNCTION("""COMPUTED_VALUE"""),-0.792331560951611)</f>
        <v>-0.79233156095161095</v>
      </c>
      <c r="KC48" s="3">
        <f ca="1">IFERROR(__xludf.DUMMYFUNCTION("""COMPUTED_VALUE"""),-0.695966938130226)</f>
        <v>-0.69596693813022603</v>
      </c>
      <c r="KD48" s="3">
        <f ca="1">IFERROR(__xludf.DUMMYFUNCTION("""COMPUTED_VALUE"""),-0.718858110466259)</f>
        <v>-0.71885811046625903</v>
      </c>
      <c r="KE48" s="3">
        <f ca="1">IFERROR(__xludf.DUMMYFUNCTION("""COMPUTED_VALUE"""),-0.737672156816499)</f>
        <v>-0.737672156816499</v>
      </c>
      <c r="KF48" s="3">
        <f ca="1">IFERROR(__xludf.DUMMYFUNCTION("""COMPUTED_VALUE"""),-0.735927857067456)</f>
        <v>-0.735927857067456</v>
      </c>
      <c r="KG48" s="3">
        <f ca="1">IFERROR(__xludf.DUMMYFUNCTION("""COMPUTED_VALUE"""),-0.72021697985952)</f>
        <v>-0.72021697985952005</v>
      </c>
      <c r="KH48" s="3">
        <f ca="1">IFERROR(__xludf.DUMMYFUNCTION("""COMPUTED_VALUE"""),-0.69129199378233)</f>
        <v>-0.69129199378232997</v>
      </c>
      <c r="KI48" s="3">
        <f ca="1">IFERROR(__xludf.DUMMYFUNCTION("""COMPUTED_VALUE"""),-0.712434259862733)</f>
        <v>-0.71243425986273301</v>
      </c>
      <c r="KJ48" s="3">
        <f ca="1">IFERROR(__xludf.DUMMYFUNCTION("""COMPUTED_VALUE"""),-0.678470029753639)</f>
        <v>-0.67847002975363901</v>
      </c>
      <c r="KK48" s="3">
        <f ca="1">IFERROR(__xludf.DUMMYFUNCTION("""COMPUTED_VALUE"""),-0.665260566861424)</f>
        <v>-0.66526056686142399</v>
      </c>
      <c r="KL48" s="3">
        <f ca="1">IFERROR(__xludf.DUMMYFUNCTION("""COMPUTED_VALUE"""),-0.645987669329192)</f>
        <v>-0.64598766932919205</v>
      </c>
      <c r="KM48" s="3">
        <f ca="1">IFERROR(__xludf.DUMMYFUNCTION("""COMPUTED_VALUE"""),-0.636022481619536)</f>
        <v>-0.63602248161953601</v>
      </c>
      <c r="KN48" s="3">
        <f ca="1">IFERROR(__xludf.DUMMYFUNCTION("""COMPUTED_VALUE"""),-0.7114764800058)</f>
        <v>-0.71147648000579999</v>
      </c>
      <c r="KO48" s="3">
        <f ca="1">IFERROR(__xludf.DUMMYFUNCTION("""COMPUTED_VALUE"""),-0.697048865683928)</f>
        <v>-0.69704886568392799</v>
      </c>
      <c r="KP48" s="3">
        <f ca="1">IFERROR(__xludf.DUMMYFUNCTION("""COMPUTED_VALUE"""),-0.685567425653828)</f>
        <v>-0.685567425653828</v>
      </c>
      <c r="KQ48" s="3">
        <f ca="1">IFERROR(__xludf.DUMMYFUNCTION("""COMPUTED_VALUE"""),-0.683652582402185)</f>
        <v>-0.68365258240218496</v>
      </c>
      <c r="KR48" s="3">
        <f ca="1">IFERROR(__xludf.DUMMYFUNCTION("""COMPUTED_VALUE"""),-0.666071808838963)</f>
        <v>-0.666071808838963</v>
      </c>
      <c r="KS48" s="3">
        <f ca="1">IFERROR(__xludf.DUMMYFUNCTION("""COMPUTED_VALUE"""),-0.683155914222573)</f>
        <v>-0.68315591422257305</v>
      </c>
      <c r="KT48" s="3">
        <f ca="1">IFERROR(__xludf.DUMMYFUNCTION("""COMPUTED_VALUE"""),-0.730384393198289)</f>
        <v>-0.73038439319828896</v>
      </c>
      <c r="KU48" s="3">
        <f ca="1">IFERROR(__xludf.DUMMYFUNCTION("""COMPUTED_VALUE"""),-0.740996845963379)</f>
        <v>-0.740996845963379</v>
      </c>
      <c r="KV48" s="3">
        <f ca="1">IFERROR(__xludf.DUMMYFUNCTION("""COMPUTED_VALUE"""),-0.773628678259751)</f>
        <v>-0.77362867825975101</v>
      </c>
      <c r="KW48" s="3">
        <f ca="1">IFERROR(__xludf.DUMMYFUNCTION("""COMPUTED_VALUE"""),-0.769702609830008)</f>
        <v>-0.76970260983000804</v>
      </c>
      <c r="KX48" s="3">
        <f ca="1">IFERROR(__xludf.DUMMYFUNCTION("""COMPUTED_VALUE"""),-0.756459343187582)</f>
        <v>-0.75645934318758201</v>
      </c>
      <c r="KY48" s="3">
        <f ca="1">IFERROR(__xludf.DUMMYFUNCTION("""COMPUTED_VALUE"""),-0.765388277231812)</f>
        <v>-0.76538827723181202</v>
      </c>
      <c r="KZ48" s="3">
        <f ca="1">IFERROR(__xludf.DUMMYFUNCTION("""COMPUTED_VALUE"""),-0.731507911998557)</f>
        <v>-0.73150791199855703</v>
      </c>
      <c r="LA48" s="3">
        <f ca="1">IFERROR(__xludf.DUMMYFUNCTION("""COMPUTED_VALUE"""),-0.763863053775493)</f>
        <v>-0.76386305377549302</v>
      </c>
      <c r="LB48" s="3">
        <f ca="1">IFERROR(__xludf.DUMMYFUNCTION("""COMPUTED_VALUE"""),-0.797875315763279)</f>
        <v>-0.79787531576327897</v>
      </c>
      <c r="LC48" s="3">
        <f ca="1">IFERROR(__xludf.DUMMYFUNCTION("""COMPUTED_VALUE"""),-0.790938302725799)</f>
        <v>-0.79093830272579901</v>
      </c>
      <c r="LD48" s="3">
        <f ca="1">IFERROR(__xludf.DUMMYFUNCTION("""COMPUTED_VALUE"""),-0.802456044012515)</f>
        <v>-0.80245604401251502</v>
      </c>
      <c r="LE48" s="3">
        <f ca="1">IFERROR(__xludf.DUMMYFUNCTION("""COMPUTED_VALUE"""),-0.797891405006909)</f>
        <v>-0.79789140500690903</v>
      </c>
      <c r="LF48" s="3">
        <f ca="1">IFERROR(__xludf.DUMMYFUNCTION("""COMPUTED_VALUE"""),-0.779749749243468)</f>
        <v>-0.77974974924346796</v>
      </c>
      <c r="LG48" s="3">
        <f ca="1">IFERROR(__xludf.DUMMYFUNCTION("""COMPUTED_VALUE"""),-0.747436848028534)</f>
        <v>-0.74743684802853405</v>
      </c>
      <c r="LH48" s="3">
        <f ca="1">IFERROR(__xludf.DUMMYFUNCTION("""COMPUTED_VALUE"""),-0.792755741729443)</f>
        <v>-0.79275574172944296</v>
      </c>
      <c r="LI48" s="3">
        <f ca="1">IFERROR(__xludf.DUMMYFUNCTION("""COMPUTED_VALUE"""),-0.82413792288225)</f>
        <v>-0.82413792288224996</v>
      </c>
      <c r="LJ48" s="3">
        <f ca="1">IFERROR(__xludf.DUMMYFUNCTION("""COMPUTED_VALUE"""),-0.831215269815227)</f>
        <v>-0.83121526981522698</v>
      </c>
      <c r="LK48" s="3">
        <f ca="1">IFERROR(__xludf.DUMMYFUNCTION("""COMPUTED_VALUE"""),-0.780797163359954)</f>
        <v>-0.78079716335995397</v>
      </c>
      <c r="LL48" s="3">
        <f ca="1">IFERROR(__xludf.DUMMYFUNCTION("""COMPUTED_VALUE"""),-0.801288941981875)</f>
        <v>-0.80128894198187495</v>
      </c>
      <c r="LM48" s="3">
        <f ca="1">IFERROR(__xludf.DUMMYFUNCTION("""COMPUTED_VALUE"""),-0.734448368948774)</f>
        <v>-0.73444836894877397</v>
      </c>
      <c r="LN48" s="3">
        <f ca="1">IFERROR(__xludf.DUMMYFUNCTION("""COMPUTED_VALUE"""),-0.815978590432502)</f>
        <v>-0.81597859043250198</v>
      </c>
      <c r="LO48" s="3">
        <f ca="1">IFERROR(__xludf.DUMMYFUNCTION("""COMPUTED_VALUE"""),-0.787725566985556)</f>
        <v>-0.78772556698555596</v>
      </c>
      <c r="LP48" s="3">
        <f ca="1">IFERROR(__xludf.DUMMYFUNCTION("""COMPUTED_VALUE"""),-0.841741125715619)</f>
        <v>-0.84174112571561899</v>
      </c>
      <c r="LQ48" s="3">
        <f ca="1">IFERROR(__xludf.DUMMYFUNCTION("""COMPUTED_VALUE"""),-0.86545413217221)</f>
        <v>-0.86545413217221001</v>
      </c>
      <c r="LR48" s="3">
        <f ca="1">IFERROR(__xludf.DUMMYFUNCTION("""COMPUTED_VALUE"""),-0.850193042071697)</f>
        <v>-0.85019304207169699</v>
      </c>
      <c r="LS48" s="3">
        <f ca="1">IFERROR(__xludf.DUMMYFUNCTION("""COMPUTED_VALUE"""),-0.837611830637135)</f>
        <v>-0.83761183063713496</v>
      </c>
      <c r="LT48" s="3">
        <f ca="1">IFERROR(__xludf.DUMMYFUNCTION("""COMPUTED_VALUE"""),-0.860227192508219)</f>
        <v>-0.860227192508219</v>
      </c>
      <c r="LU48" s="3">
        <f ca="1">IFERROR(__xludf.DUMMYFUNCTION("""COMPUTED_VALUE"""),-0.843930348840433)</f>
        <v>-0.84393034884043305</v>
      </c>
      <c r="LV48" s="3">
        <f ca="1">IFERROR(__xludf.DUMMYFUNCTION("""COMPUTED_VALUE"""),-0.826278392176303)</f>
        <v>-0.82627839217630294</v>
      </c>
      <c r="LW48" s="3">
        <f ca="1">IFERROR(__xludf.DUMMYFUNCTION("""COMPUTED_VALUE"""),-0.89126181041237)</f>
        <v>-0.89126181041236996</v>
      </c>
      <c r="LX48" s="3">
        <f ca="1">IFERROR(__xludf.DUMMYFUNCTION("""COMPUTED_VALUE"""),-0.884254918112669)</f>
        <v>-0.88425491811266899</v>
      </c>
      <c r="LY48" s="3">
        <f ca="1">IFERROR(__xludf.DUMMYFUNCTION("""COMPUTED_VALUE"""),-0.871740833260726)</f>
        <v>-0.87174083326072604</v>
      </c>
      <c r="LZ48" s="3">
        <f ca="1">IFERROR(__xludf.DUMMYFUNCTION("""COMPUTED_VALUE"""),-0.873715132910776)</f>
        <v>-0.87371513291077596</v>
      </c>
      <c r="MA48" s="3">
        <f ca="1">IFERROR(__xludf.DUMMYFUNCTION("""COMPUTED_VALUE"""),-0.878504455589986)</f>
        <v>-0.87850445558998602</v>
      </c>
      <c r="MB48" s="3">
        <f ca="1">IFERROR(__xludf.DUMMYFUNCTION("""COMPUTED_VALUE"""),-0.881877530877928)</f>
        <v>-0.88187753087792797</v>
      </c>
      <c r="MC48" s="3">
        <f ca="1">IFERROR(__xludf.DUMMYFUNCTION("""COMPUTED_VALUE"""),-0.867725310296566)</f>
        <v>-0.86772531029656597</v>
      </c>
      <c r="MD48" s="3">
        <f ca="1">IFERROR(__xludf.DUMMYFUNCTION("""COMPUTED_VALUE"""),-0.881679693165909)</f>
        <v>-0.881679693165909</v>
      </c>
      <c r="ME48" s="3">
        <f ca="1">IFERROR(__xludf.DUMMYFUNCTION("""COMPUTED_VALUE"""),-0.911137803741779)</f>
        <v>-0.911137803741779</v>
      </c>
      <c r="MF48" s="3">
        <f ca="1">IFERROR(__xludf.DUMMYFUNCTION("""COMPUTED_VALUE"""),-0.880116677404242)</f>
        <v>-0.88011667740424204</v>
      </c>
      <c r="MG48" s="3">
        <f ca="1">IFERROR(__xludf.DUMMYFUNCTION("""COMPUTED_VALUE"""),-0.870478892050749)</f>
        <v>-0.87047889205074902</v>
      </c>
      <c r="MH48" s="3">
        <f ca="1">IFERROR(__xludf.DUMMYFUNCTION("""COMPUTED_VALUE"""),-0.884782107883131)</f>
        <v>-0.88478210788313105</v>
      </c>
      <c r="MI48" s="3">
        <f ca="1">IFERROR(__xludf.DUMMYFUNCTION("""COMPUTED_VALUE"""),-0.856423882227062)</f>
        <v>-0.85642388222706201</v>
      </c>
      <c r="MJ48" s="3">
        <f ca="1">IFERROR(__xludf.DUMMYFUNCTION("""COMPUTED_VALUE"""),-0.853312884798186)</f>
        <v>-0.85331288479818601</v>
      </c>
      <c r="MK48" s="3">
        <f ca="1">IFERROR(__xludf.DUMMYFUNCTION("""COMPUTED_VALUE"""),-0.894346580771529)</f>
        <v>-0.89434658077152895</v>
      </c>
      <c r="ML48" s="3">
        <f ca="1">IFERROR(__xludf.DUMMYFUNCTION("""COMPUTED_VALUE"""),-0.91171466057465)</f>
        <v>-0.91171466057465</v>
      </c>
      <c r="MM48" s="3">
        <f ca="1">IFERROR(__xludf.DUMMYFUNCTION("""COMPUTED_VALUE"""),-0.903573761053153)</f>
        <v>-0.90357376105315301</v>
      </c>
      <c r="MN48" s="3">
        <f ca="1">IFERROR(__xludf.DUMMYFUNCTION("""COMPUTED_VALUE"""),-0.897405852101348)</f>
        <v>-0.89740585210134804</v>
      </c>
      <c r="MO48" s="3">
        <f ca="1">IFERROR(__xludf.DUMMYFUNCTION("""COMPUTED_VALUE"""),-0.901586768213569)</f>
        <v>-0.90158676821356898</v>
      </c>
      <c r="MP48" s="3">
        <f ca="1">IFERROR(__xludf.DUMMYFUNCTION("""COMPUTED_VALUE"""),-0.882705347429034)</f>
        <v>-0.88270534742903395</v>
      </c>
      <c r="MQ48" s="3">
        <f ca="1">IFERROR(__xludf.DUMMYFUNCTION("""COMPUTED_VALUE"""),-0.871683695568491)</f>
        <v>-0.87168369556849101</v>
      </c>
      <c r="MR48" s="3">
        <f ca="1">IFERROR(__xludf.DUMMYFUNCTION("""COMPUTED_VALUE"""),-0.846746314451531)</f>
        <v>-0.84674631445153103</v>
      </c>
      <c r="MS48" s="3">
        <f ca="1">IFERROR(__xludf.DUMMYFUNCTION("""COMPUTED_VALUE"""),-0.908983166970031)</f>
        <v>-0.90898316697003101</v>
      </c>
      <c r="MT48" s="3">
        <f ca="1">IFERROR(__xludf.DUMMYFUNCTION("""COMPUTED_VALUE"""),-0.893123807732535)</f>
        <v>-0.89312380773253497</v>
      </c>
      <c r="MU48" s="3">
        <f ca="1">IFERROR(__xludf.DUMMYFUNCTION("""COMPUTED_VALUE"""),-0.894492525315768)</f>
        <v>-0.89449252531576795</v>
      </c>
      <c r="MV48" s="3">
        <f ca="1">IFERROR(__xludf.DUMMYFUNCTION("""COMPUTED_VALUE"""),-0.877241917238642)</f>
        <v>-0.87724191723864198</v>
      </c>
      <c r="MW48" s="3">
        <f ca="1">IFERROR(__xludf.DUMMYFUNCTION("""COMPUTED_VALUE"""),-0.895108095664837)</f>
        <v>-0.89510809566483696</v>
      </c>
      <c r="MX48" s="3">
        <f ca="1">IFERROR(__xludf.DUMMYFUNCTION("""COMPUTED_VALUE"""),-0.878100400815512)</f>
        <v>-0.87810040081551199</v>
      </c>
      <c r="MY48" s="3">
        <f ca="1">IFERROR(__xludf.DUMMYFUNCTION("""COMPUTED_VALUE"""),-0.880270095182573)</f>
        <v>-0.88027009518257304</v>
      </c>
      <c r="MZ48" s="3">
        <f ca="1">IFERROR(__xludf.DUMMYFUNCTION("""COMPUTED_VALUE"""),-0.923963419688344)</f>
        <v>-0.92396341968834395</v>
      </c>
      <c r="NA48" s="3">
        <f ca="1">IFERROR(__xludf.DUMMYFUNCTION("""COMPUTED_VALUE"""),-0.909903101052426)</f>
        <v>-0.909903101052426</v>
      </c>
      <c r="NB48" s="3">
        <f ca="1">IFERROR(__xludf.DUMMYFUNCTION("""COMPUTED_VALUE"""),-0.918157869756969)</f>
        <v>-0.918157869756969</v>
      </c>
      <c r="NC48" s="3">
        <f ca="1">IFERROR(__xludf.DUMMYFUNCTION("""COMPUTED_VALUE"""),-0.915227479212572)</f>
        <v>-0.91522747921257197</v>
      </c>
      <c r="ND48" s="3">
        <f ca="1">IFERROR(__xludf.DUMMYFUNCTION("""COMPUTED_VALUE"""),-0.967612175866005)</f>
        <v>-0.96761217586600501</v>
      </c>
      <c r="NE48" s="3">
        <f ca="1">IFERROR(__xludf.DUMMYFUNCTION("""COMPUTED_VALUE"""),-0.879605349605271)</f>
        <v>-0.87960534960527104</v>
      </c>
      <c r="NF48" s="3">
        <f ca="1">IFERROR(__xludf.DUMMYFUNCTION("""COMPUTED_VALUE"""),-0.972105123303657)</f>
        <v>-0.97210512330365695</v>
      </c>
      <c r="NG48" s="3">
        <f ca="1">IFERROR(__xludf.DUMMYFUNCTION("""COMPUTED_VALUE"""),-0.918303145005878)</f>
        <v>-0.91830314500587795</v>
      </c>
      <c r="NH48" s="3">
        <f ca="1">IFERROR(__xludf.DUMMYFUNCTION("""COMPUTED_VALUE"""),-0.913733637173728)</f>
        <v>-0.91373363717372802</v>
      </c>
      <c r="NI48" s="3">
        <f ca="1">IFERROR(__xludf.DUMMYFUNCTION("""COMPUTED_VALUE"""),-0.912616199156651)</f>
        <v>-0.91261619915665104</v>
      </c>
      <c r="NJ48" s="3">
        <f ca="1">IFERROR(__xludf.DUMMYFUNCTION("""COMPUTED_VALUE"""),-0.911606525035755)</f>
        <v>-0.91160652503575501</v>
      </c>
      <c r="NK48" s="3">
        <f ca="1">IFERROR(__xludf.DUMMYFUNCTION("""COMPUTED_VALUE"""),-0.891950551919919)</f>
        <v>-0.89195055191991901</v>
      </c>
      <c r="NL48" s="3">
        <f ca="1">IFERROR(__xludf.DUMMYFUNCTION("""COMPUTED_VALUE"""),-0.87840486831299)</f>
        <v>-0.87840486831299003</v>
      </c>
      <c r="NM48" s="3">
        <f ca="1">IFERROR(__xludf.DUMMYFUNCTION("""COMPUTED_VALUE"""),-0.914303311300355)</f>
        <v>-0.91430331130035503</v>
      </c>
      <c r="NN48" s="3">
        <f ca="1">IFERROR(__xludf.DUMMYFUNCTION("""COMPUTED_VALUE"""),-0.907353682799144)</f>
        <v>-0.90735368279914397</v>
      </c>
      <c r="NO48" s="3">
        <f ca="1">IFERROR(__xludf.DUMMYFUNCTION("""COMPUTED_VALUE"""),-0.914859515888494)</f>
        <v>-0.91485951588849401</v>
      </c>
      <c r="NP48" s="3">
        <f ca="1">IFERROR(__xludf.DUMMYFUNCTION("""COMPUTED_VALUE"""),-0.882409923082181)</f>
        <v>-0.88240992308218102</v>
      </c>
      <c r="NQ48" s="3">
        <f ca="1">IFERROR(__xludf.DUMMYFUNCTION("""COMPUTED_VALUE"""),-0.888778974669032)</f>
        <v>-0.888778974669032</v>
      </c>
      <c r="NR48" s="3">
        <f ca="1">IFERROR(__xludf.DUMMYFUNCTION("""COMPUTED_VALUE"""),-0.885666239141857)</f>
        <v>-0.88566623914185705</v>
      </c>
      <c r="NS48" s="3">
        <f ca="1">IFERROR(__xludf.DUMMYFUNCTION("""COMPUTED_VALUE"""),-0.882411508502115)</f>
        <v>-0.88241150850211503</v>
      </c>
      <c r="NT48" s="3">
        <f ca="1">IFERROR(__xludf.DUMMYFUNCTION("""COMPUTED_VALUE"""),-0.899227371165161)</f>
        <v>-0.89922737116516105</v>
      </c>
      <c r="NU48" s="3">
        <f ca="1">IFERROR(__xludf.DUMMYFUNCTION("""COMPUTED_VALUE"""),-0.898809551510742)</f>
        <v>-0.89880955151074204</v>
      </c>
      <c r="NV48" s="3">
        <f ca="1">IFERROR(__xludf.DUMMYFUNCTION("""COMPUTED_VALUE"""),-0.886546771729355)</f>
        <v>-0.88654677172935503</v>
      </c>
      <c r="NW48" s="3">
        <f ca="1">IFERROR(__xludf.DUMMYFUNCTION("""COMPUTED_VALUE"""),-0.882030212302754)</f>
        <v>-0.88203021230275402</v>
      </c>
      <c r="NX48" s="3">
        <f ca="1">IFERROR(__xludf.DUMMYFUNCTION("""COMPUTED_VALUE"""),-0.885732703352191)</f>
        <v>-0.88573270335219101</v>
      </c>
      <c r="NY48" s="3">
        <f ca="1">IFERROR(__xludf.DUMMYFUNCTION("""COMPUTED_VALUE"""),-0.815819145993257)</f>
        <v>-0.815819145993257</v>
      </c>
      <c r="NZ48" s="3">
        <f ca="1">IFERROR(__xludf.DUMMYFUNCTION("""COMPUTED_VALUE"""),-0.843780183973163)</f>
        <v>-0.84378018397316301</v>
      </c>
      <c r="OA48" s="3">
        <f ca="1">IFERROR(__xludf.DUMMYFUNCTION("""COMPUTED_VALUE"""),-0.938075987087207)</f>
        <v>-0.93807598708720696</v>
      </c>
      <c r="OB48" s="3">
        <f ca="1">IFERROR(__xludf.DUMMYFUNCTION("""COMPUTED_VALUE"""),-0.920894648985573)</f>
        <v>-0.92089464898557305</v>
      </c>
      <c r="OC48" s="3">
        <f ca="1">IFERROR(__xludf.DUMMYFUNCTION("""COMPUTED_VALUE"""),-0.879675097782592)</f>
        <v>-0.87967509778259201</v>
      </c>
      <c r="OD48" s="3">
        <f ca="1">IFERROR(__xludf.DUMMYFUNCTION("""COMPUTED_VALUE"""),-0.77529442983128)</f>
        <v>-0.77529442983128005</v>
      </c>
      <c r="OE48" s="3">
        <f ca="1">IFERROR(__xludf.DUMMYFUNCTION("""COMPUTED_VALUE"""),-0.46655864983787)</f>
        <v>-0.46655864983786999</v>
      </c>
      <c r="OF48" s="3">
        <f ca="1">IFERROR(__xludf.DUMMYFUNCTION("""COMPUTED_VALUE"""),-0.253508123675045)</f>
        <v>-0.25350812367504499</v>
      </c>
      <c r="OG48" s="3">
        <f ca="1">IFERROR(__xludf.DUMMYFUNCTION("""COMPUTED_VALUE"""),-0.28322323909619)</f>
        <v>-0.28322323909619002</v>
      </c>
      <c r="OH48" s="3">
        <f ca="1">IFERROR(__xludf.DUMMYFUNCTION("""COMPUTED_VALUE"""),-0.180724916029558)</f>
        <v>-0.18072491602955801</v>
      </c>
      <c r="OI48" s="3">
        <f ca="1">IFERROR(__xludf.DUMMYFUNCTION("""COMPUTED_VALUE"""),-0.0670486033581728)</f>
        <v>-6.7048603358172795E-2</v>
      </c>
      <c r="OJ48" s="3">
        <f ca="1">IFERROR(__xludf.DUMMYFUNCTION("""COMPUTED_VALUE"""),-0.021895813392176)</f>
        <v>-2.1895813392176E-2</v>
      </c>
      <c r="OK48" s="3">
        <f ca="1">IFERROR(__xludf.DUMMYFUNCTION("""COMPUTED_VALUE"""),-0.0304606874175088)</f>
        <v>-3.0460687417508799E-2</v>
      </c>
      <c r="OL48" s="3">
        <f ca="1">IFERROR(__xludf.DUMMYFUNCTION("""COMPUTED_VALUE"""),-0.0274689466928993)</f>
        <v>-2.7468946692899301E-2</v>
      </c>
      <c r="OM48" s="3">
        <f ca="1">IFERROR(__xludf.DUMMYFUNCTION("""COMPUTED_VALUE"""),-0.0219014557534568)</f>
        <v>-2.1901455753456801E-2</v>
      </c>
      <c r="ON48" s="3">
        <f ca="1">IFERROR(__xludf.DUMMYFUNCTION("""COMPUTED_VALUE"""),0.0243096675919034)</f>
        <v>2.4309667591903401E-2</v>
      </c>
      <c r="OO48" s="3">
        <f ca="1">IFERROR(__xludf.DUMMYFUNCTION("""COMPUTED_VALUE"""),0.0890954512642538)</f>
        <v>8.9095451264253805E-2</v>
      </c>
      <c r="OP48" s="3">
        <f ca="1">IFERROR(__xludf.DUMMYFUNCTION("""COMPUTED_VALUE"""),0.0624246048860801)</f>
        <v>6.24246048860801E-2</v>
      </c>
      <c r="OQ48" s="3">
        <f ca="1">IFERROR(__xludf.DUMMYFUNCTION("""COMPUTED_VALUE"""),0.097558791585159)</f>
        <v>9.7558791585158997E-2</v>
      </c>
      <c r="OR48" s="3">
        <f ca="1">IFERROR(__xludf.DUMMYFUNCTION("""COMPUTED_VALUE"""),-0.0181351962336581)</f>
        <v>-1.8135196233658099E-2</v>
      </c>
      <c r="OS48" s="3">
        <f ca="1">IFERROR(__xludf.DUMMYFUNCTION("""COMPUTED_VALUE"""),0.0226660701084115)</f>
        <v>2.2666070108411498E-2</v>
      </c>
      <c r="OT48" s="3">
        <f ca="1">IFERROR(__xludf.DUMMYFUNCTION("""COMPUTED_VALUE"""),0.202321673867351)</f>
        <v>0.202321673867351</v>
      </c>
      <c r="OU48" s="3">
        <f ca="1">IFERROR(__xludf.DUMMYFUNCTION("""COMPUTED_VALUE"""),0.106308818346511)</f>
        <v>0.106308818346511</v>
      </c>
      <c r="OV48" s="3">
        <f ca="1">IFERROR(__xludf.DUMMYFUNCTION("""COMPUTED_VALUE"""),0.12578584298774)</f>
        <v>0.12578584298774001</v>
      </c>
      <c r="OW48" s="3">
        <f ca="1">IFERROR(__xludf.DUMMYFUNCTION("""COMPUTED_VALUE"""),-0.0712972673456422)</f>
        <v>-7.1297267345642207E-2</v>
      </c>
      <c r="OX48" s="3">
        <f ca="1">IFERROR(__xludf.DUMMYFUNCTION("""COMPUTED_VALUE"""),-0.0627232090131529)</f>
        <v>-6.2723209013152897E-2</v>
      </c>
      <c r="OY48" s="3">
        <f ca="1">IFERROR(__xludf.DUMMYFUNCTION("""COMPUTED_VALUE"""),-0.0068436111137129)</f>
        <v>-6.8436111137128997E-3</v>
      </c>
      <c r="OZ48" s="3">
        <f ca="1">IFERROR(__xludf.DUMMYFUNCTION("""COMPUTED_VALUE"""),0.131245454593017)</f>
        <v>0.13124545459301701</v>
      </c>
      <c r="PA48" s="3">
        <f ca="1">IFERROR(__xludf.DUMMYFUNCTION("""COMPUTED_VALUE"""),0.0740408749010701)</f>
        <v>7.40408749010701E-2</v>
      </c>
      <c r="PB48" s="3">
        <f ca="1">IFERROR(__xludf.DUMMYFUNCTION("""COMPUTED_VALUE"""),-0.00123562271949428)</f>
        <v>-1.2356227194942799E-3</v>
      </c>
      <c r="PC48" s="3">
        <f ca="1">IFERROR(__xludf.DUMMYFUNCTION("""COMPUTED_VALUE"""),-0.124529736990486)</f>
        <v>-0.124529736990486</v>
      </c>
      <c r="PD48" s="3">
        <f ca="1">IFERROR(__xludf.DUMMYFUNCTION("""COMPUTED_VALUE"""),-0.158739539738791)</f>
        <v>-0.15873953973879101</v>
      </c>
      <c r="PE48" s="3">
        <f ca="1">IFERROR(__xludf.DUMMYFUNCTION("""COMPUTED_VALUE"""),-0.157910246539375)</f>
        <v>-0.15791024653937499</v>
      </c>
      <c r="PF48" s="3">
        <f ca="1">IFERROR(__xludf.DUMMYFUNCTION("""COMPUTED_VALUE"""),-0.0947146786298942)</f>
        <v>-9.4714678629894203E-2</v>
      </c>
      <c r="PG48" s="3">
        <f ca="1">IFERROR(__xludf.DUMMYFUNCTION("""COMPUTED_VALUE"""),-0.51858914782523)</f>
        <v>-0.51858914782523002</v>
      </c>
      <c r="PH48" s="3">
        <f ca="1">IFERROR(__xludf.DUMMYFUNCTION("""COMPUTED_VALUE"""),-0.102691968810781)</f>
        <v>-0.10269196881078101</v>
      </c>
      <c r="PI48" s="3">
        <f ca="1">IFERROR(__xludf.DUMMYFUNCTION("""COMPUTED_VALUE"""),-0.0804610897804408)</f>
        <v>-8.0461089780440795E-2</v>
      </c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</row>
    <row r="49" spans="1:477" ht="15.75" customHeight="1">
      <c r="A49" s="1" t="str">
        <f ca="1">IFERROR(__xludf.DUMMYFUNCTION("""COMPUTED_VALUE"""),"Las Vegas Monorail")</f>
        <v>Las Vegas Monorail</v>
      </c>
      <c r="B49" s="1" t="str">
        <f ca="1">IFERROR(__xludf.DUMMYFUNCTION("""COMPUTED_VALUE"""),"Las Vegas")</f>
        <v>Las Vegas</v>
      </c>
      <c r="C49" s="1" t="str">
        <f ca="1">IFERROR(__xludf.DUMMYFUNCTION("""COMPUTED_VALUE"""),"United States")</f>
        <v>United States</v>
      </c>
      <c r="D49" s="1" t="str">
        <f ca="1">IFERROR(__xludf.DUMMYFUNCTION("""COMPUTED_VALUE"""),"Nevada")</f>
        <v>Nevada</v>
      </c>
      <c r="E49" s="3">
        <f ca="1">IFERROR(__xludf.DUMMYFUNCTION("""COMPUTED_VALUE"""),-0.00996743354271068)</f>
        <v>-9.9674335427106797E-3</v>
      </c>
      <c r="F49" s="3">
        <f ca="1">IFERROR(__xludf.DUMMYFUNCTION("""COMPUTED_VALUE"""),0.034420684059768)</f>
        <v>3.4420684059768003E-2</v>
      </c>
      <c r="G49" s="3">
        <f ca="1">IFERROR(__xludf.DUMMYFUNCTION("""COMPUTED_VALUE"""),0.0103226098748039)</f>
        <v>1.0322609874803899E-2</v>
      </c>
      <c r="H49" s="3">
        <f ca="1">IFERROR(__xludf.DUMMYFUNCTION("""COMPUTED_VALUE"""),0.0234988536570921)</f>
        <v>2.34988536570921E-2</v>
      </c>
      <c r="I49" s="3">
        <f ca="1">IFERROR(__xludf.DUMMYFUNCTION("""COMPUTED_VALUE"""),-0.0202638196683878)</f>
        <v>-2.0263819668387799E-2</v>
      </c>
      <c r="J49" s="3">
        <f ca="1">IFERROR(__xludf.DUMMYFUNCTION("""COMPUTED_VALUE"""),0.0196173138727739)</f>
        <v>1.9617313872773899E-2</v>
      </c>
      <c r="K49" s="3">
        <f ca="1">IFERROR(__xludf.DUMMYFUNCTION("""COMPUTED_VALUE"""),-0.0247535994817768)</f>
        <v>-2.47535994817768E-2</v>
      </c>
      <c r="L49" s="3">
        <f ca="1">IFERROR(__xludf.DUMMYFUNCTION("""COMPUTED_VALUE"""),0.0254260527463805)</f>
        <v>2.54260527463805E-2</v>
      </c>
      <c r="M49" s="3">
        <f ca="1">IFERROR(__xludf.DUMMYFUNCTION("""COMPUTED_VALUE"""),0.0331153630633631)</f>
        <v>3.3115363063363101E-2</v>
      </c>
      <c r="N49" s="3">
        <f ca="1">IFERROR(__xludf.DUMMYFUNCTION("""COMPUTED_VALUE"""),-0.00513774301076719)</f>
        <v>-5.1377430107671903E-3</v>
      </c>
      <c r="O49" s="3">
        <f ca="1">IFERROR(__xludf.DUMMYFUNCTION("""COMPUTED_VALUE"""),-0.0882631529136647)</f>
        <v>-8.8263152913664697E-2</v>
      </c>
      <c r="P49" s="3">
        <f ca="1">IFERROR(__xludf.DUMMYFUNCTION("""COMPUTED_VALUE"""),-0.127916547686732)</f>
        <v>-0.127916547686732</v>
      </c>
      <c r="Q49" s="3">
        <f ca="1">IFERROR(__xludf.DUMMYFUNCTION("""COMPUTED_VALUE"""),-0.0480386051907311)</f>
        <v>-4.8038605190731103E-2</v>
      </c>
      <c r="R49" s="3">
        <f ca="1">IFERROR(__xludf.DUMMYFUNCTION("""COMPUTED_VALUE"""),-0.131445676228301)</f>
        <v>-0.131445676228301</v>
      </c>
      <c r="S49" s="3">
        <f ca="1">IFERROR(__xludf.DUMMYFUNCTION("""COMPUTED_VALUE"""),-0.154899090236785)</f>
        <v>-0.154899090236785</v>
      </c>
      <c r="T49" s="3">
        <f ca="1">IFERROR(__xludf.DUMMYFUNCTION("""COMPUTED_VALUE"""),-0.219440716173674)</f>
        <v>-0.219440716173674</v>
      </c>
      <c r="U49" s="3">
        <f ca="1">IFERROR(__xludf.DUMMYFUNCTION("""COMPUTED_VALUE"""),-0.225084227782579)</f>
        <v>-0.225084227782579</v>
      </c>
      <c r="V49" s="3">
        <f ca="1">IFERROR(__xludf.DUMMYFUNCTION("""COMPUTED_VALUE"""),-0.300143899726238)</f>
        <v>-0.30014389972623801</v>
      </c>
      <c r="W49" s="3">
        <f ca="1">IFERROR(__xludf.DUMMYFUNCTION("""COMPUTED_VALUE"""),-0.297398355852148)</f>
        <v>-0.29739835585214802</v>
      </c>
      <c r="X49" s="3">
        <f ca="1">IFERROR(__xludf.DUMMYFUNCTION("""COMPUTED_VALUE"""),-0.248574566153496)</f>
        <v>-0.24857456615349599</v>
      </c>
      <c r="Y49" s="3">
        <f ca="1">IFERROR(__xludf.DUMMYFUNCTION("""COMPUTED_VALUE"""),-0.272682134235387)</f>
        <v>-0.27268213423538701</v>
      </c>
      <c r="Z49" s="3">
        <f ca="1">IFERROR(__xludf.DUMMYFUNCTION("""COMPUTED_VALUE"""),-0.187888268675528)</f>
        <v>-0.18788826867552799</v>
      </c>
      <c r="AA49" s="3">
        <f ca="1">IFERROR(__xludf.DUMMYFUNCTION("""COMPUTED_VALUE"""),-0.245068905495663)</f>
        <v>-0.24506890549566299</v>
      </c>
      <c r="AB49" s="3">
        <f ca="1">IFERROR(__xludf.DUMMYFUNCTION("""COMPUTED_VALUE"""),-0.209201861374754)</f>
        <v>-0.20920186137475399</v>
      </c>
      <c r="AC49" s="3">
        <f ca="1">IFERROR(__xludf.DUMMYFUNCTION("""COMPUTED_VALUE"""),-0.221465817262055)</f>
        <v>-0.221465817262055</v>
      </c>
      <c r="AD49" s="3">
        <f ca="1">IFERROR(__xludf.DUMMYFUNCTION("""COMPUTED_VALUE"""),-0.250087043667787)</f>
        <v>-0.250087043667787</v>
      </c>
      <c r="AE49" s="3">
        <f ca="1">IFERROR(__xludf.DUMMYFUNCTION("""COMPUTED_VALUE"""),-0.23156758023969)</f>
        <v>-0.23156758023969001</v>
      </c>
      <c r="AF49" s="3">
        <f ca="1">IFERROR(__xludf.DUMMYFUNCTION("""COMPUTED_VALUE"""),-0.288864487299227)</f>
        <v>-0.28886448729922698</v>
      </c>
      <c r="AG49" s="3">
        <f ca="1">IFERROR(__xludf.DUMMYFUNCTION("""COMPUTED_VALUE"""),-0.242443701042463)</f>
        <v>-0.24244370104246299</v>
      </c>
      <c r="AH49" s="3">
        <f ca="1">IFERROR(__xludf.DUMMYFUNCTION("""COMPUTED_VALUE"""),-0.29554884111814)</f>
        <v>-0.29554884111814</v>
      </c>
      <c r="AI49" s="3">
        <f ca="1">IFERROR(__xludf.DUMMYFUNCTION("""COMPUTED_VALUE"""),-0.360192909400456)</f>
        <v>-0.36019290940045601</v>
      </c>
      <c r="AJ49" s="3">
        <f ca="1">IFERROR(__xludf.DUMMYFUNCTION("""COMPUTED_VALUE"""),-0.289076865516434)</f>
        <v>-0.28907686551643402</v>
      </c>
      <c r="AK49" s="3">
        <f ca="1">IFERROR(__xludf.DUMMYFUNCTION("""COMPUTED_VALUE"""),-0.314233026853832)</f>
        <v>-0.31423302685383198</v>
      </c>
      <c r="AL49" s="3">
        <f ca="1">IFERROR(__xludf.DUMMYFUNCTION("""COMPUTED_VALUE"""),-0.290952304283274)</f>
        <v>-0.29095230428327401</v>
      </c>
      <c r="AM49" s="3">
        <f ca="1">IFERROR(__xludf.DUMMYFUNCTION("""COMPUTED_VALUE"""),-0.293969036389969)</f>
        <v>-0.29396903638996902</v>
      </c>
      <c r="AN49" s="3">
        <f ca="1">IFERROR(__xludf.DUMMYFUNCTION("""COMPUTED_VALUE"""),-0.267469616091449)</f>
        <v>-0.26746961609144898</v>
      </c>
      <c r="AO49" s="3">
        <f ca="1">IFERROR(__xludf.DUMMYFUNCTION("""COMPUTED_VALUE"""),-0.281278800962668)</f>
        <v>-0.281278800962668</v>
      </c>
      <c r="AP49" s="3">
        <f ca="1">IFERROR(__xludf.DUMMYFUNCTION("""COMPUTED_VALUE"""),-0.381361556921765)</f>
        <v>-0.38136155692176499</v>
      </c>
      <c r="AQ49" s="3">
        <f ca="1">IFERROR(__xludf.DUMMYFUNCTION("""COMPUTED_VALUE"""),-0.389915577798688)</f>
        <v>-0.38991557779868802</v>
      </c>
      <c r="AR49" s="3">
        <f ca="1">IFERROR(__xludf.DUMMYFUNCTION("""COMPUTED_VALUE"""),-0.377516744597444)</f>
        <v>-0.377516744597444</v>
      </c>
      <c r="AS49" s="3">
        <f ca="1">IFERROR(__xludf.DUMMYFUNCTION("""COMPUTED_VALUE"""),-0.333651454925968)</f>
        <v>-0.33365145492596798</v>
      </c>
      <c r="AT49" s="3">
        <f ca="1">IFERROR(__xludf.DUMMYFUNCTION("""COMPUTED_VALUE"""),-0.306030821240243)</f>
        <v>-0.306030821240243</v>
      </c>
      <c r="AU49" s="3">
        <f ca="1">IFERROR(__xludf.DUMMYFUNCTION("""COMPUTED_VALUE"""),-0.315507797146192)</f>
        <v>-0.31550779714619198</v>
      </c>
      <c r="AV49" s="3">
        <f ca="1">IFERROR(__xludf.DUMMYFUNCTION("""COMPUTED_VALUE"""),-0.362085352728545)</f>
        <v>-0.36208535272854497</v>
      </c>
      <c r="AW49" s="3">
        <f ca="1">IFERROR(__xludf.DUMMYFUNCTION("""COMPUTED_VALUE"""),-0.371367652977329)</f>
        <v>-0.37136765297732899</v>
      </c>
      <c r="AX49" s="3">
        <f ca="1">IFERROR(__xludf.DUMMYFUNCTION("""COMPUTED_VALUE"""),-0.345800136365616)</f>
        <v>-0.34580013636561602</v>
      </c>
      <c r="AY49" s="3">
        <f ca="1">IFERROR(__xludf.DUMMYFUNCTION("""COMPUTED_VALUE"""),-0.436925879160158)</f>
        <v>-0.43692587916015801</v>
      </c>
      <c r="AZ49" s="3">
        <f ca="1">IFERROR(__xludf.DUMMYFUNCTION("""COMPUTED_VALUE"""),-0.394360778626845)</f>
        <v>-0.39436077862684499</v>
      </c>
      <c r="BA49" s="3">
        <f ca="1">IFERROR(__xludf.DUMMYFUNCTION("""COMPUTED_VALUE"""),-0.356019158998864)</f>
        <v>-0.35601915899886399</v>
      </c>
      <c r="BB49" s="3">
        <f ca="1">IFERROR(__xludf.DUMMYFUNCTION("""COMPUTED_VALUE"""),-0.331048985856567)</f>
        <v>-0.331048985856567</v>
      </c>
      <c r="BC49" s="3">
        <f ca="1">IFERROR(__xludf.DUMMYFUNCTION("""COMPUTED_VALUE"""),-0.381019110224759)</f>
        <v>-0.38101911022475898</v>
      </c>
      <c r="BD49" s="3">
        <f ca="1">IFERROR(__xludf.DUMMYFUNCTION("""COMPUTED_VALUE"""),-0.360707736007304)</f>
        <v>-0.36070773600730399</v>
      </c>
      <c r="BE49" s="3">
        <f ca="1">IFERROR(__xludf.DUMMYFUNCTION("""COMPUTED_VALUE"""),-0.423235378431306)</f>
        <v>-0.42323537843130599</v>
      </c>
      <c r="BF49" s="3">
        <f ca="1">IFERROR(__xludf.DUMMYFUNCTION("""COMPUTED_VALUE"""),-0.401046486115397)</f>
        <v>-0.40104648611539701</v>
      </c>
      <c r="BG49" s="3">
        <f ca="1">IFERROR(__xludf.DUMMYFUNCTION("""COMPUTED_VALUE"""),-0.342986477164552)</f>
        <v>-0.34298647716455199</v>
      </c>
      <c r="BH49" s="3">
        <f ca="1">IFERROR(__xludf.DUMMYFUNCTION("""COMPUTED_VALUE"""),-0.334598133879337)</f>
        <v>-0.33459813387933701</v>
      </c>
      <c r="BI49" s="3">
        <f ca="1">IFERROR(__xludf.DUMMYFUNCTION("""COMPUTED_VALUE"""),-0.409511285136504)</f>
        <v>-0.40951128513650398</v>
      </c>
      <c r="BJ49" s="3">
        <f ca="1">IFERROR(__xludf.DUMMYFUNCTION("""COMPUTED_VALUE"""),-0.470660619471812)</f>
        <v>-0.47066061947181198</v>
      </c>
      <c r="BK49" s="3">
        <f ca="1">IFERROR(__xludf.DUMMYFUNCTION("""COMPUTED_VALUE"""),-0.464047600381004)</f>
        <v>-0.46404760038100401</v>
      </c>
      <c r="BL49" s="3">
        <f ca="1">IFERROR(__xludf.DUMMYFUNCTION("""COMPUTED_VALUE"""),-0.501909006606467)</f>
        <v>-0.50190900660646698</v>
      </c>
      <c r="BM49" s="3">
        <f ca="1">IFERROR(__xludf.DUMMYFUNCTION("""COMPUTED_VALUE"""),-0.478643231772151)</f>
        <v>-0.47864323177215101</v>
      </c>
      <c r="BN49" s="3">
        <f ca="1">IFERROR(__xludf.DUMMYFUNCTION("""COMPUTED_VALUE"""),-0.423771274160561)</f>
        <v>-0.42377127416056098</v>
      </c>
      <c r="BO49" s="3">
        <f ca="1">IFERROR(__xludf.DUMMYFUNCTION("""COMPUTED_VALUE"""),-0.448536938912922)</f>
        <v>-0.44853693891292201</v>
      </c>
      <c r="BP49" s="3">
        <f ca="1">IFERROR(__xludf.DUMMYFUNCTION("""COMPUTED_VALUE"""),-0.470297931512805)</f>
        <v>-0.47029793151280502</v>
      </c>
      <c r="BQ49" s="3">
        <f ca="1">IFERROR(__xludf.DUMMYFUNCTION("""COMPUTED_VALUE"""),-0.486499976904046)</f>
        <v>-0.48649997690404601</v>
      </c>
      <c r="BR49" s="3">
        <f ca="1">IFERROR(__xludf.DUMMYFUNCTION("""COMPUTED_VALUE"""),-0.474087038179595)</f>
        <v>-0.47408703817959502</v>
      </c>
      <c r="BS49" s="3">
        <f ca="1">IFERROR(__xludf.DUMMYFUNCTION("""COMPUTED_VALUE"""),-0.459365640062099)</f>
        <v>-0.45936564006209901</v>
      </c>
      <c r="BT49" s="3">
        <f ca="1">IFERROR(__xludf.DUMMYFUNCTION("""COMPUTED_VALUE"""),-0.48008311751647)</f>
        <v>-0.48008311751646998</v>
      </c>
      <c r="BU49" s="3">
        <f ca="1">IFERROR(__xludf.DUMMYFUNCTION("""COMPUTED_VALUE"""),-0.486968096955294)</f>
        <v>-0.48696809695529403</v>
      </c>
      <c r="BV49" s="3">
        <f ca="1">IFERROR(__xludf.DUMMYFUNCTION("""COMPUTED_VALUE"""),-0.438167913702246)</f>
        <v>-0.438167913702246</v>
      </c>
      <c r="BW49" s="3">
        <f ca="1">IFERROR(__xludf.DUMMYFUNCTION("""COMPUTED_VALUE"""),-0.438373875798498)</f>
        <v>-0.43837387579849801</v>
      </c>
      <c r="BX49" s="3">
        <f ca="1">IFERROR(__xludf.DUMMYFUNCTION("""COMPUTED_VALUE"""),-0.485544974436765)</f>
        <v>-0.48554497443676498</v>
      </c>
      <c r="BY49" s="3">
        <f ca="1">IFERROR(__xludf.DUMMYFUNCTION("""COMPUTED_VALUE"""),-0.508827078091632)</f>
        <v>-0.50882707809163197</v>
      </c>
      <c r="BZ49" s="3">
        <f ca="1">IFERROR(__xludf.DUMMYFUNCTION("""COMPUTED_VALUE"""),-0.528154698480505)</f>
        <v>-0.528154698480505</v>
      </c>
      <c r="CA49" s="3">
        <f ca="1">IFERROR(__xludf.DUMMYFUNCTION("""COMPUTED_VALUE"""),-0.550291462110552)</f>
        <v>-0.55029146211055202</v>
      </c>
      <c r="CB49" s="3">
        <f ca="1">IFERROR(__xludf.DUMMYFUNCTION("""COMPUTED_VALUE"""),-0.523811097110901)</f>
        <v>-0.52381109711090101</v>
      </c>
      <c r="CC49" s="3">
        <f ca="1">IFERROR(__xludf.DUMMYFUNCTION("""COMPUTED_VALUE"""),-0.443193736314702)</f>
        <v>-0.44319373631470199</v>
      </c>
      <c r="CD49" s="3">
        <f ca="1">IFERROR(__xludf.DUMMYFUNCTION("""COMPUTED_VALUE"""),-0.494005930756743)</f>
        <v>-0.49400593075674298</v>
      </c>
      <c r="CE49" s="3">
        <f ca="1">IFERROR(__xludf.DUMMYFUNCTION("""COMPUTED_VALUE"""),-0.522111321033635)</f>
        <v>-0.522111321033635</v>
      </c>
      <c r="CF49" s="3">
        <f ca="1">IFERROR(__xludf.DUMMYFUNCTION("""COMPUTED_VALUE"""),-0.499796945715881)</f>
        <v>-0.49979694571588101</v>
      </c>
      <c r="CG49" s="3">
        <f ca="1">IFERROR(__xludf.DUMMYFUNCTION("""COMPUTED_VALUE"""),-0.562687605116032)</f>
        <v>-0.562687605116032</v>
      </c>
      <c r="CH49" s="3">
        <f ca="1">IFERROR(__xludf.DUMMYFUNCTION("""COMPUTED_VALUE"""),-0.517093419470862)</f>
        <v>-0.51709341947086196</v>
      </c>
      <c r="CI49" s="3">
        <f ca="1">IFERROR(__xludf.DUMMYFUNCTION("""COMPUTED_VALUE"""),-0.457662155784636)</f>
        <v>-0.45766215578463598</v>
      </c>
      <c r="CJ49" s="3">
        <f ca="1">IFERROR(__xludf.DUMMYFUNCTION("""COMPUTED_VALUE"""),-0.463951183319003)</f>
        <v>-0.46395118331900298</v>
      </c>
      <c r="CK49" s="3">
        <f ca="1">IFERROR(__xludf.DUMMYFUNCTION("""COMPUTED_VALUE"""),-0.462640406512276)</f>
        <v>-0.462640406512276</v>
      </c>
      <c r="CL49" s="3">
        <f ca="1">IFERROR(__xludf.DUMMYFUNCTION("""COMPUTED_VALUE"""),-0.528560345981783)</f>
        <v>-0.52856034598178303</v>
      </c>
      <c r="CM49" s="3">
        <f ca="1">IFERROR(__xludf.DUMMYFUNCTION("""COMPUTED_VALUE"""),-0.544715866864557)</f>
        <v>-0.54471586686455697</v>
      </c>
      <c r="CN49" s="3">
        <f ca="1">IFERROR(__xludf.DUMMYFUNCTION("""COMPUTED_VALUE"""),-0.539309919205609)</f>
        <v>-0.539309919205609</v>
      </c>
      <c r="CO49" s="3">
        <f ca="1">IFERROR(__xludf.DUMMYFUNCTION("""COMPUTED_VALUE"""),-0.499743788667817)</f>
        <v>-0.49974378866781699</v>
      </c>
      <c r="CP49" s="3">
        <f ca="1">IFERROR(__xludf.DUMMYFUNCTION("""COMPUTED_VALUE"""),-0.491395252009324)</f>
        <v>-0.49139525200932399</v>
      </c>
      <c r="CQ49" s="3">
        <f ca="1">IFERROR(__xludf.DUMMYFUNCTION("""COMPUTED_VALUE"""),-0.504652712810289)</f>
        <v>-0.50465271281028901</v>
      </c>
      <c r="CR49" s="3">
        <f ca="1">IFERROR(__xludf.DUMMYFUNCTION("""COMPUTED_VALUE"""),-0.526498473983363)</f>
        <v>-0.52649847398336302</v>
      </c>
      <c r="CS49" s="3">
        <f ca="1">IFERROR(__xludf.DUMMYFUNCTION("""COMPUTED_VALUE"""),-0.46092290477504)</f>
        <v>-0.46092290477504</v>
      </c>
      <c r="CT49" s="3">
        <f ca="1">IFERROR(__xludf.DUMMYFUNCTION("""COMPUTED_VALUE"""),-0.500444700108199)</f>
        <v>-0.50044470010819897</v>
      </c>
      <c r="CU49" s="3">
        <f ca="1">IFERROR(__xludf.DUMMYFUNCTION("""COMPUTED_VALUE"""),-0.50602546346099)</f>
        <v>-0.50602546346098998</v>
      </c>
      <c r="CV49" s="3">
        <f ca="1">IFERROR(__xludf.DUMMYFUNCTION("""COMPUTED_VALUE"""),-0.526798437780772)</f>
        <v>-0.52679843778077196</v>
      </c>
      <c r="CW49" s="3">
        <f ca="1">IFERROR(__xludf.DUMMYFUNCTION("""COMPUTED_VALUE"""),-0.519025410648577)</f>
        <v>-0.51902541064857699</v>
      </c>
      <c r="CX49" s="3">
        <f ca="1">IFERROR(__xludf.DUMMYFUNCTION("""COMPUTED_VALUE"""),-0.478091552405168)</f>
        <v>-0.47809155240516799</v>
      </c>
      <c r="CY49" s="3">
        <f ca="1">IFERROR(__xludf.DUMMYFUNCTION("""COMPUTED_VALUE"""),-0.4514428883283)</f>
        <v>-0.45144288832829998</v>
      </c>
      <c r="CZ49" s="3">
        <f ca="1">IFERROR(__xludf.DUMMYFUNCTION("""COMPUTED_VALUE"""),-0.449806606821819)</f>
        <v>-0.449806606821819</v>
      </c>
      <c r="DA49" s="3">
        <f ca="1">IFERROR(__xludf.DUMMYFUNCTION("""COMPUTED_VALUE"""),-0.352752019941714)</f>
        <v>-0.35275201994171401</v>
      </c>
      <c r="DB49" s="3">
        <f ca="1">IFERROR(__xludf.DUMMYFUNCTION("""COMPUTED_VALUE"""),-0.388886439514445)</f>
        <v>-0.38888643951444501</v>
      </c>
      <c r="DC49" s="3">
        <f ca="1">IFERROR(__xludf.DUMMYFUNCTION("""COMPUTED_VALUE"""),-0.496661738460926)</f>
        <v>-0.49666173846092598</v>
      </c>
      <c r="DD49" s="3">
        <f ca="1">IFERROR(__xludf.DUMMYFUNCTION("""COMPUTED_VALUE"""),-0.464348322398377)</f>
        <v>-0.46434832239837698</v>
      </c>
      <c r="DE49" s="3">
        <f ca="1">IFERROR(__xludf.DUMMYFUNCTION("""COMPUTED_VALUE"""),-0.44125431429336)</f>
        <v>-0.44125431429335998</v>
      </c>
      <c r="DF49" s="3">
        <f ca="1">IFERROR(__xludf.DUMMYFUNCTION("""COMPUTED_VALUE"""),-0.566867238739305)</f>
        <v>-0.566867238739305</v>
      </c>
      <c r="DG49" s="3">
        <f ca="1">IFERROR(__xludf.DUMMYFUNCTION("""COMPUTED_VALUE"""),-0.671552098853652)</f>
        <v>-0.67155209885365197</v>
      </c>
      <c r="DH49" s="3">
        <f ca="1">IFERROR(__xludf.DUMMYFUNCTION("""COMPUTED_VALUE"""),-0.42819841439571)</f>
        <v>-0.42819841439570999</v>
      </c>
      <c r="DI49" s="3">
        <f ca="1">IFERROR(__xludf.DUMMYFUNCTION("""COMPUTED_VALUE"""),-0.390231281945107)</f>
        <v>-0.39023128194510698</v>
      </c>
      <c r="DJ49" s="3">
        <f ca="1">IFERROR(__xludf.DUMMYFUNCTION("""COMPUTED_VALUE"""),-0.472662436871225)</f>
        <v>-0.472662436871225</v>
      </c>
      <c r="DK49" s="3">
        <f ca="1">IFERROR(__xludf.DUMMYFUNCTION("""COMPUTED_VALUE"""),-0.423244274425002)</f>
        <v>-0.42324427442500201</v>
      </c>
      <c r="DL49" s="3">
        <f ca="1">IFERROR(__xludf.DUMMYFUNCTION("""COMPUTED_VALUE"""),-0.439739207718005)</f>
        <v>-0.43973920771800501</v>
      </c>
      <c r="DM49" s="3">
        <f ca="1">IFERROR(__xludf.DUMMYFUNCTION("""COMPUTED_VALUE"""),-0.484436173827416)</f>
        <v>-0.48443617382741599</v>
      </c>
      <c r="DN49" s="3">
        <f ca="1">IFERROR(__xludf.DUMMYFUNCTION("""COMPUTED_VALUE"""),-0.488656330552556)</f>
        <v>-0.48865633055255597</v>
      </c>
      <c r="DO49" s="3">
        <f ca="1">IFERROR(__xludf.DUMMYFUNCTION("""COMPUTED_VALUE"""),-0.524213984552545)</f>
        <v>-0.52421398455254498</v>
      </c>
      <c r="DP49" s="3">
        <f ca="1">IFERROR(__xludf.DUMMYFUNCTION("""COMPUTED_VALUE"""),-0.495632567510749)</f>
        <v>-0.49563256751074902</v>
      </c>
      <c r="DQ49" s="3">
        <f ca="1">IFERROR(__xludf.DUMMYFUNCTION("""COMPUTED_VALUE"""),-0.485022838760579)</f>
        <v>-0.485022838760579</v>
      </c>
      <c r="DR49" s="3">
        <f ca="1">IFERROR(__xludf.DUMMYFUNCTION("""COMPUTED_VALUE"""),-0.479375166242462)</f>
        <v>-0.47937516624246201</v>
      </c>
      <c r="DS49" s="3">
        <f ca="1">IFERROR(__xludf.DUMMYFUNCTION("""COMPUTED_VALUE"""),-0.513403089011949)</f>
        <v>-0.51340308901194898</v>
      </c>
      <c r="DT49" s="3">
        <f ca="1">IFERROR(__xludf.DUMMYFUNCTION("""COMPUTED_VALUE"""),-0.517951701509559)</f>
        <v>-0.51795170150955905</v>
      </c>
      <c r="DU49" s="3">
        <f ca="1">IFERROR(__xludf.DUMMYFUNCTION("""COMPUTED_VALUE"""),-0.542351917310539)</f>
        <v>-0.542351917310539</v>
      </c>
      <c r="DV49" s="3">
        <f ca="1">IFERROR(__xludf.DUMMYFUNCTION("""COMPUTED_VALUE"""),-0.569132022396222)</f>
        <v>-0.56913202239622196</v>
      </c>
      <c r="DW49" s="3">
        <f ca="1">IFERROR(__xludf.DUMMYFUNCTION("""COMPUTED_VALUE"""),-0.515851443016858)</f>
        <v>-0.51585144301685804</v>
      </c>
      <c r="DX49" s="3">
        <f ca="1">IFERROR(__xludf.DUMMYFUNCTION("""COMPUTED_VALUE"""),-0.505656361644793)</f>
        <v>-0.505656361644793</v>
      </c>
      <c r="DY49" s="3">
        <f ca="1">IFERROR(__xludf.DUMMYFUNCTION("""COMPUTED_VALUE"""),-0.487131398528486)</f>
        <v>-0.48713139852848603</v>
      </c>
      <c r="DZ49" s="3">
        <f ca="1">IFERROR(__xludf.DUMMYFUNCTION("""COMPUTED_VALUE"""),-0.439178284489119)</f>
        <v>-0.439178284489119</v>
      </c>
      <c r="EA49" s="3">
        <f ca="1">IFERROR(__xludf.DUMMYFUNCTION("""COMPUTED_VALUE"""),-0.481030151735162)</f>
        <v>-0.481030151735162</v>
      </c>
      <c r="EB49" s="3">
        <f ca="1">IFERROR(__xludf.DUMMYFUNCTION("""COMPUTED_VALUE"""),-0.496241958149214)</f>
        <v>-0.49624195814921401</v>
      </c>
      <c r="EC49" s="3">
        <f ca="1">IFERROR(__xludf.DUMMYFUNCTION("""COMPUTED_VALUE"""),-0.408401840673094)</f>
        <v>-0.40840184067309399</v>
      </c>
      <c r="ED49" s="3">
        <f ca="1">IFERROR(__xludf.DUMMYFUNCTION("""COMPUTED_VALUE"""),-0.494979291160964)</f>
        <v>-0.49497929116096401</v>
      </c>
      <c r="EE49" s="3">
        <f ca="1">IFERROR(__xludf.DUMMYFUNCTION("""COMPUTED_VALUE"""),-0.498063631542477)</f>
        <v>-0.49806363154247701</v>
      </c>
      <c r="EF49" s="3">
        <f ca="1">IFERROR(__xludf.DUMMYFUNCTION("""COMPUTED_VALUE"""),-0.4487256308447)</f>
        <v>-0.44872563084470002</v>
      </c>
      <c r="EG49" s="3">
        <f ca="1">IFERROR(__xludf.DUMMYFUNCTION("""COMPUTED_VALUE"""),-0.478732931450633)</f>
        <v>-0.478732931450633</v>
      </c>
      <c r="EH49" s="3">
        <f ca="1">IFERROR(__xludf.DUMMYFUNCTION("""COMPUTED_VALUE"""),-0.471119982269674)</f>
        <v>-0.471119982269674</v>
      </c>
      <c r="EI49" s="3">
        <f ca="1">IFERROR(__xludf.DUMMYFUNCTION("""COMPUTED_VALUE"""),-0.504632032442113)</f>
        <v>-0.50463203244211297</v>
      </c>
      <c r="EJ49" s="3">
        <f ca="1">IFERROR(__xludf.DUMMYFUNCTION("""COMPUTED_VALUE"""),-0.571948027200789)</f>
        <v>-0.57194802720078897</v>
      </c>
      <c r="EK49" s="3">
        <f ca="1">IFERROR(__xludf.DUMMYFUNCTION("""COMPUTED_VALUE"""),-0.446503146697975)</f>
        <v>-0.44650314669797497</v>
      </c>
      <c r="EL49" s="3">
        <f ca="1">IFERROR(__xludf.DUMMYFUNCTION("""COMPUTED_VALUE"""),-0.4962884335687)</f>
        <v>-0.4962884335687</v>
      </c>
      <c r="EM49" s="3">
        <f ca="1">IFERROR(__xludf.DUMMYFUNCTION("""COMPUTED_VALUE"""),-0.471739790159482)</f>
        <v>-0.47173979015948198</v>
      </c>
      <c r="EN49" s="3">
        <f ca="1">IFERROR(__xludf.DUMMYFUNCTION("""COMPUTED_VALUE"""),-0.505226322359747)</f>
        <v>-0.50522632235974696</v>
      </c>
      <c r="EO49" s="3">
        <f ca="1">IFERROR(__xludf.DUMMYFUNCTION("""COMPUTED_VALUE"""),-0.511220424668487)</f>
        <v>-0.51122042466848705</v>
      </c>
      <c r="EP49" s="3">
        <f ca="1">IFERROR(__xludf.DUMMYFUNCTION("""COMPUTED_VALUE"""),-0.475631149162436)</f>
        <v>-0.47563114916243598</v>
      </c>
      <c r="EQ49" s="3">
        <f ca="1">IFERROR(__xludf.DUMMYFUNCTION("""COMPUTED_VALUE"""),-0.430160624100453)</f>
        <v>-0.43016062410045303</v>
      </c>
      <c r="ER49" s="3">
        <f ca="1">IFERROR(__xludf.DUMMYFUNCTION("""COMPUTED_VALUE"""),-0.509585550671242)</f>
        <v>-0.509585550671242</v>
      </c>
      <c r="ES49" s="3">
        <f ca="1">IFERROR(__xludf.DUMMYFUNCTION("""COMPUTED_VALUE"""),-0.452342933029314)</f>
        <v>-0.452342933029314</v>
      </c>
      <c r="ET49" s="3">
        <f ca="1">IFERROR(__xludf.DUMMYFUNCTION("""COMPUTED_VALUE"""),-0.44717392959176)</f>
        <v>-0.44717392959176</v>
      </c>
      <c r="EU49" s="3">
        <f ca="1">IFERROR(__xludf.DUMMYFUNCTION("""COMPUTED_VALUE"""),-0.494569194860445)</f>
        <v>-0.49456919486044498</v>
      </c>
      <c r="EV49" s="3">
        <f ca="1">IFERROR(__xludf.DUMMYFUNCTION("""COMPUTED_VALUE"""),-0.481517829296389)</f>
        <v>-0.48151782929638898</v>
      </c>
      <c r="EW49" s="3">
        <f ca="1">IFERROR(__xludf.DUMMYFUNCTION("""COMPUTED_VALUE"""),-0.486353557622935)</f>
        <v>-0.48635355762293497</v>
      </c>
      <c r="EX49" s="3">
        <f ca="1">IFERROR(__xludf.DUMMYFUNCTION("""COMPUTED_VALUE"""),-0.4686180445842)</f>
        <v>-0.46861804458419998</v>
      </c>
      <c r="EY49" s="3">
        <f ca="1">IFERROR(__xludf.DUMMYFUNCTION("""COMPUTED_VALUE"""),-0.529056398083043)</f>
        <v>-0.52905639808304294</v>
      </c>
      <c r="EZ49" s="3">
        <f ca="1">IFERROR(__xludf.DUMMYFUNCTION("""COMPUTED_VALUE"""),-0.524725889285025)</f>
        <v>-0.52472588928502495</v>
      </c>
      <c r="FA49" s="3">
        <f ca="1">IFERROR(__xludf.DUMMYFUNCTION("""COMPUTED_VALUE"""),-0.494321570791794)</f>
        <v>-0.49432157079179401</v>
      </c>
      <c r="FB49" s="3">
        <f ca="1">IFERROR(__xludf.DUMMYFUNCTION("""COMPUTED_VALUE"""),-0.53807431488315)</f>
        <v>-0.53807431488315005</v>
      </c>
      <c r="FC49" s="3">
        <f ca="1">IFERROR(__xludf.DUMMYFUNCTION("""COMPUTED_VALUE"""),-0.486710536528532)</f>
        <v>-0.48671053652853202</v>
      </c>
      <c r="FD49" s="3">
        <f ca="1">IFERROR(__xludf.DUMMYFUNCTION("""COMPUTED_VALUE"""),-0.501268256110561)</f>
        <v>-0.50126825611056103</v>
      </c>
      <c r="FE49" s="3">
        <f ca="1">IFERROR(__xludf.DUMMYFUNCTION("""COMPUTED_VALUE"""),-0.514429087017512)</f>
        <v>-0.514429087017512</v>
      </c>
      <c r="FF49" s="3">
        <f ca="1">IFERROR(__xludf.DUMMYFUNCTION("""COMPUTED_VALUE"""),-0.532422098977684)</f>
        <v>-0.532422098977684</v>
      </c>
      <c r="FG49" s="3">
        <f ca="1">IFERROR(__xludf.DUMMYFUNCTION("""COMPUTED_VALUE"""),-0.443641039470586)</f>
        <v>-0.44364103947058597</v>
      </c>
      <c r="FH49" s="3">
        <f ca="1">IFERROR(__xludf.DUMMYFUNCTION("""COMPUTED_VALUE"""),-0.482443238987094)</f>
        <v>-0.48244323898709401</v>
      </c>
      <c r="FI49" s="3">
        <f ca="1">IFERROR(__xludf.DUMMYFUNCTION("""COMPUTED_VALUE"""),-0.393759396318254)</f>
        <v>-0.39375939631825402</v>
      </c>
      <c r="FJ49" s="3">
        <f ca="1">IFERROR(__xludf.DUMMYFUNCTION("""COMPUTED_VALUE"""),-0.465159770168124)</f>
        <v>-0.46515977016812399</v>
      </c>
      <c r="FK49" s="3">
        <f ca="1">IFERROR(__xludf.DUMMYFUNCTION("""COMPUTED_VALUE"""),-0.489537034643609)</f>
        <v>-0.48953703464360898</v>
      </c>
      <c r="FL49" s="3">
        <f ca="1">IFERROR(__xludf.DUMMYFUNCTION("""COMPUTED_VALUE"""),-0.494385463350234)</f>
        <v>-0.49438546335023398</v>
      </c>
      <c r="FM49" s="3">
        <f ca="1">IFERROR(__xludf.DUMMYFUNCTION("""COMPUTED_VALUE"""),-0.52377624294229)</f>
        <v>-0.52377624294228997</v>
      </c>
      <c r="FN49" s="3">
        <f ca="1">IFERROR(__xludf.DUMMYFUNCTION("""COMPUTED_VALUE"""),-0.537572473229937)</f>
        <v>-0.53757247322993695</v>
      </c>
      <c r="FO49" s="3">
        <f ca="1">IFERROR(__xludf.DUMMYFUNCTION("""COMPUTED_VALUE"""),-0.504967803672348)</f>
        <v>-0.50496780367234795</v>
      </c>
      <c r="FP49" s="3">
        <f ca="1">IFERROR(__xludf.DUMMYFUNCTION("""COMPUTED_VALUE"""),-0.479424177650451)</f>
        <v>-0.47942417765045098</v>
      </c>
      <c r="FQ49" s="3">
        <f ca="1">IFERROR(__xludf.DUMMYFUNCTION("""COMPUTED_VALUE"""),-0.496254973168458)</f>
        <v>-0.49625497316845801</v>
      </c>
      <c r="FR49" s="3">
        <f ca="1">IFERROR(__xludf.DUMMYFUNCTION("""COMPUTED_VALUE"""),-0.479206987634497)</f>
        <v>-0.47920698763449698</v>
      </c>
      <c r="FS49" s="3">
        <f ca="1">IFERROR(__xludf.DUMMYFUNCTION("""COMPUTED_VALUE"""),-0.45767673186123)</f>
        <v>-0.45767673186122998</v>
      </c>
      <c r="FT49" s="3">
        <f ca="1">IFERROR(__xludf.DUMMYFUNCTION("""COMPUTED_VALUE"""),-0.49283201347383)</f>
        <v>-0.49283201347382999</v>
      </c>
      <c r="FU49" s="3">
        <f ca="1">IFERROR(__xludf.DUMMYFUNCTION("""COMPUTED_VALUE"""),-0.489696597911255)</f>
        <v>-0.48969659791125503</v>
      </c>
      <c r="FV49" s="3">
        <f ca="1">IFERROR(__xludf.DUMMYFUNCTION("""COMPUTED_VALUE"""),-0.417307894229892)</f>
        <v>-0.41730789422989201</v>
      </c>
      <c r="FW49" s="3">
        <f ca="1">IFERROR(__xludf.DUMMYFUNCTION("""COMPUTED_VALUE"""),-0.41971714347386)</f>
        <v>-0.41971714347386002</v>
      </c>
      <c r="FX49" s="3">
        <f ca="1">IFERROR(__xludf.DUMMYFUNCTION("""COMPUTED_VALUE"""),-0.463309804284552)</f>
        <v>-0.46330980428455198</v>
      </c>
      <c r="FY49" s="3">
        <f ca="1">IFERROR(__xludf.DUMMYFUNCTION("""COMPUTED_VALUE"""),-0.456971266892424)</f>
        <v>-0.45697126689242401</v>
      </c>
      <c r="FZ49" s="3">
        <f ca="1">IFERROR(__xludf.DUMMYFUNCTION("""COMPUTED_VALUE"""),-0.428665332355713)</f>
        <v>-0.42866533235571302</v>
      </c>
      <c r="GA49" s="3">
        <f ca="1">IFERROR(__xludf.DUMMYFUNCTION("""COMPUTED_VALUE"""),-0.485846526711043)</f>
        <v>-0.485846526711043</v>
      </c>
      <c r="GB49" s="3">
        <f ca="1">IFERROR(__xludf.DUMMYFUNCTION("""COMPUTED_VALUE"""),-0.440726441984208)</f>
        <v>-0.44072644198420802</v>
      </c>
      <c r="GC49" s="3">
        <f ca="1">IFERROR(__xludf.DUMMYFUNCTION("""COMPUTED_VALUE"""),-0.46414172855641)</f>
        <v>-0.46414172855641</v>
      </c>
      <c r="GD49" s="3">
        <f ca="1">IFERROR(__xludf.DUMMYFUNCTION("""COMPUTED_VALUE"""),-0.44126756444768)</f>
        <v>-0.44126756444768001</v>
      </c>
      <c r="GE49" s="3">
        <f ca="1">IFERROR(__xludf.DUMMYFUNCTION("""COMPUTED_VALUE"""),-0.482669209318816)</f>
        <v>-0.48266920931881602</v>
      </c>
      <c r="GF49" s="3">
        <f ca="1">IFERROR(__xludf.DUMMYFUNCTION("""COMPUTED_VALUE"""),-0.449415304994024)</f>
        <v>-0.44941530499402399</v>
      </c>
      <c r="GG49" s="3">
        <f ca="1">IFERROR(__xludf.DUMMYFUNCTION("""COMPUTED_VALUE"""),-0.513044925092664)</f>
        <v>-0.51304492509266397</v>
      </c>
      <c r="GH49" s="3">
        <f ca="1">IFERROR(__xludf.DUMMYFUNCTION("""COMPUTED_VALUE"""),-0.498518878822182)</f>
        <v>-0.49851887882218199</v>
      </c>
      <c r="GI49" s="3">
        <f ca="1">IFERROR(__xludf.DUMMYFUNCTION("""COMPUTED_VALUE"""),-0.459889338492022)</f>
        <v>-0.45988933849202202</v>
      </c>
      <c r="GJ49" s="3">
        <f ca="1">IFERROR(__xludf.DUMMYFUNCTION("""COMPUTED_VALUE"""),-0.411261319803065)</f>
        <v>-0.41126131980306502</v>
      </c>
      <c r="GK49" s="3">
        <f ca="1">IFERROR(__xludf.DUMMYFUNCTION("""COMPUTED_VALUE"""),-0.452961446362828)</f>
        <v>-0.45296144636282798</v>
      </c>
      <c r="GL49" s="3">
        <f ca="1">IFERROR(__xludf.DUMMYFUNCTION("""COMPUTED_VALUE"""),-0.513586776486088)</f>
        <v>-0.51358677648608797</v>
      </c>
      <c r="GM49" s="3">
        <f ca="1">IFERROR(__xludf.DUMMYFUNCTION("""COMPUTED_VALUE"""),-0.471940223237304)</f>
        <v>-0.471940223237304</v>
      </c>
      <c r="GN49" s="3">
        <f ca="1">IFERROR(__xludf.DUMMYFUNCTION("""COMPUTED_VALUE"""),-0.485729691556134)</f>
        <v>-0.48572969155613399</v>
      </c>
      <c r="GO49" s="3">
        <f ca="1">IFERROR(__xludf.DUMMYFUNCTION("""COMPUTED_VALUE"""),-0.486262012649396)</f>
        <v>-0.486262012649396</v>
      </c>
      <c r="GP49" s="3">
        <f ca="1">IFERROR(__xludf.DUMMYFUNCTION("""COMPUTED_VALUE"""),-0.496538576891599)</f>
        <v>-0.49653857689159903</v>
      </c>
      <c r="GQ49" s="3">
        <f ca="1">IFERROR(__xludf.DUMMYFUNCTION("""COMPUTED_VALUE"""),-0.506507014795917)</f>
        <v>-0.50650701479591698</v>
      </c>
      <c r="GR49" s="3">
        <f ca="1">IFERROR(__xludf.DUMMYFUNCTION("""COMPUTED_VALUE"""),-0.445082276755938)</f>
        <v>-0.44508227675593798</v>
      </c>
      <c r="GS49" s="3">
        <f ca="1">IFERROR(__xludf.DUMMYFUNCTION("""COMPUTED_VALUE"""),-0.468461651230957)</f>
        <v>-0.46846165123095701</v>
      </c>
      <c r="GT49" s="3">
        <f ca="1">IFERROR(__xludf.DUMMYFUNCTION("""COMPUTED_VALUE"""),-0.523499305554029)</f>
        <v>-0.52349930555402902</v>
      </c>
      <c r="GU49" s="3">
        <f ca="1">IFERROR(__xludf.DUMMYFUNCTION("""COMPUTED_VALUE"""),-0.521068742089811)</f>
        <v>-0.52106874208981102</v>
      </c>
      <c r="GV49" s="3">
        <f ca="1">IFERROR(__xludf.DUMMYFUNCTION("""COMPUTED_VALUE"""),-0.490636855825442)</f>
        <v>-0.49063685582544198</v>
      </c>
      <c r="GW49" s="3">
        <f ca="1">IFERROR(__xludf.DUMMYFUNCTION("""COMPUTED_VALUE"""),-0.461153147578296)</f>
        <v>-0.46115314757829601</v>
      </c>
      <c r="GX49" s="3">
        <f ca="1">IFERROR(__xludf.DUMMYFUNCTION("""COMPUTED_VALUE"""),-0.475279637530844)</f>
        <v>-0.47527963753084401</v>
      </c>
      <c r="GY49" s="3">
        <f ca="1">IFERROR(__xludf.DUMMYFUNCTION("""COMPUTED_VALUE"""),-0.471207962794167)</f>
        <v>-0.47120796279416699</v>
      </c>
      <c r="GZ49" s="3">
        <f ca="1">IFERROR(__xludf.DUMMYFUNCTION("""COMPUTED_VALUE"""),-0.50719827009132)</f>
        <v>-0.50719827009132001</v>
      </c>
      <c r="HA49" s="3">
        <f ca="1">IFERROR(__xludf.DUMMYFUNCTION("""COMPUTED_VALUE"""),-0.443326164268621)</f>
        <v>-0.44332616426862098</v>
      </c>
      <c r="HB49" s="3">
        <f ca="1">IFERROR(__xludf.DUMMYFUNCTION("""COMPUTED_VALUE"""),-0.328288122203285)</f>
        <v>-0.32828812220328502</v>
      </c>
      <c r="HC49" s="3">
        <f ca="1">IFERROR(__xludf.DUMMYFUNCTION("""COMPUTED_VALUE"""),-0.493946659311725)</f>
        <v>-0.49394665931172499</v>
      </c>
      <c r="HD49" s="3">
        <f ca="1">IFERROR(__xludf.DUMMYFUNCTION("""COMPUTED_VALUE"""),-0.464933439404788)</f>
        <v>-0.46493343940478798</v>
      </c>
      <c r="HE49" s="3">
        <f ca="1">IFERROR(__xludf.DUMMYFUNCTION("""COMPUTED_VALUE"""),-0.420713252962248)</f>
        <v>-0.42071325296224799</v>
      </c>
      <c r="HF49" s="3">
        <f ca="1">IFERROR(__xludf.DUMMYFUNCTION("""COMPUTED_VALUE"""),-0.412446222675015)</f>
        <v>-0.41244622267501502</v>
      </c>
      <c r="HG49" s="3">
        <f ca="1">IFERROR(__xludf.DUMMYFUNCTION("""COMPUTED_VALUE"""),-0.485616787353122)</f>
        <v>-0.48561678735312203</v>
      </c>
      <c r="HH49" s="3">
        <f ca="1">IFERROR(__xludf.DUMMYFUNCTION("""COMPUTED_VALUE"""),-0.517754832532437)</f>
        <v>-0.51775483253243704</v>
      </c>
      <c r="HI49" s="3">
        <f ca="1">IFERROR(__xludf.DUMMYFUNCTION("""COMPUTED_VALUE"""),-0.491196219849766)</f>
        <v>-0.49119621984976602</v>
      </c>
      <c r="HJ49" s="3">
        <f ca="1">IFERROR(__xludf.DUMMYFUNCTION("""COMPUTED_VALUE"""),-0.485254883227611)</f>
        <v>-0.48525488322761101</v>
      </c>
      <c r="HK49" s="3">
        <f ca="1">IFERROR(__xludf.DUMMYFUNCTION("""COMPUTED_VALUE"""),-0.45857223790082)</f>
        <v>-0.45857223790082002</v>
      </c>
      <c r="HL49" s="3">
        <f ca="1">IFERROR(__xludf.DUMMYFUNCTION("""COMPUTED_VALUE"""),-0.473706072449193)</f>
        <v>-0.47370607244919299</v>
      </c>
      <c r="HM49" s="3">
        <f ca="1">IFERROR(__xludf.DUMMYFUNCTION("""COMPUTED_VALUE"""),-0.375372008131339)</f>
        <v>-0.37537200813133897</v>
      </c>
      <c r="HN49" s="3">
        <f ca="1">IFERROR(__xludf.DUMMYFUNCTION("""COMPUTED_VALUE"""),-0.418318719071331)</f>
        <v>-0.418318719071331</v>
      </c>
      <c r="HO49" s="3">
        <f ca="1">IFERROR(__xludf.DUMMYFUNCTION("""COMPUTED_VALUE"""),-0.429864502534761)</f>
        <v>-0.42986450253476099</v>
      </c>
      <c r="HP49" s="3">
        <f ca="1">IFERROR(__xludf.DUMMYFUNCTION("""COMPUTED_VALUE"""),-0.433574311915417)</f>
        <v>-0.43357431191541701</v>
      </c>
      <c r="HQ49" s="3">
        <f ca="1">IFERROR(__xludf.DUMMYFUNCTION("""COMPUTED_VALUE"""),-0.485784220558456)</f>
        <v>-0.48578422055845599</v>
      </c>
      <c r="HR49" s="3">
        <f ca="1">IFERROR(__xludf.DUMMYFUNCTION("""COMPUTED_VALUE"""),-0.480923061592451)</f>
        <v>-0.48092306159245102</v>
      </c>
      <c r="HS49" s="3">
        <f ca="1">IFERROR(__xludf.DUMMYFUNCTION("""COMPUTED_VALUE"""),-0.502880879978024)</f>
        <v>-0.502880879978024</v>
      </c>
      <c r="HT49" s="3">
        <f ca="1">IFERROR(__xludf.DUMMYFUNCTION("""COMPUTED_VALUE"""),-0.488857181192706)</f>
        <v>-0.48885718119270599</v>
      </c>
      <c r="HU49" s="3">
        <f ca="1">IFERROR(__xludf.DUMMYFUNCTION("""COMPUTED_VALUE"""),-0.4464101320096)</f>
        <v>-0.4464101320096</v>
      </c>
      <c r="HV49" s="3">
        <f ca="1">IFERROR(__xludf.DUMMYFUNCTION("""COMPUTED_VALUE"""),-0.492647739619787)</f>
        <v>-0.49264773961978697</v>
      </c>
      <c r="HW49" s="3">
        <f ca="1">IFERROR(__xludf.DUMMYFUNCTION("""COMPUTED_VALUE"""),-0.467411040651685)</f>
        <v>-0.46741104065168498</v>
      </c>
      <c r="HX49" s="3">
        <f ca="1">IFERROR(__xludf.DUMMYFUNCTION("""COMPUTED_VALUE"""),-0.480133511090299)</f>
        <v>-0.480133511090299</v>
      </c>
      <c r="HY49" s="3">
        <f ca="1">IFERROR(__xludf.DUMMYFUNCTION("""COMPUTED_VALUE"""),-0.480827738667316)</f>
        <v>-0.48082773866731598</v>
      </c>
      <c r="HZ49" s="3">
        <f ca="1">IFERROR(__xludf.DUMMYFUNCTION("""COMPUTED_VALUE"""),-0.388258147717052)</f>
        <v>-0.38825814771705203</v>
      </c>
      <c r="IA49" s="3">
        <f ca="1">IFERROR(__xludf.DUMMYFUNCTION("""COMPUTED_VALUE"""),-0.488684391670384)</f>
        <v>-0.48868439167038402</v>
      </c>
      <c r="IB49" s="3">
        <f ca="1">IFERROR(__xludf.DUMMYFUNCTION("""COMPUTED_VALUE"""),-0.473081450220287)</f>
        <v>-0.47308145022028703</v>
      </c>
      <c r="IC49" s="3">
        <f ca="1">IFERROR(__xludf.DUMMYFUNCTION("""COMPUTED_VALUE"""),-0.416291297051192)</f>
        <v>-0.416291297051192</v>
      </c>
      <c r="ID49" s="3">
        <f ca="1">IFERROR(__xludf.DUMMYFUNCTION("""COMPUTED_VALUE"""),-0.431457234117263)</f>
        <v>-0.431457234117263</v>
      </c>
      <c r="IE49" s="3">
        <f ca="1">IFERROR(__xludf.DUMMYFUNCTION("""COMPUTED_VALUE"""),-0.436370870155772)</f>
        <v>-0.43637087015577197</v>
      </c>
      <c r="IF49" s="3">
        <f ca="1">IFERROR(__xludf.DUMMYFUNCTION("""COMPUTED_VALUE"""),-0.414669668992078)</f>
        <v>-0.41466966899207802</v>
      </c>
      <c r="IG49" s="3">
        <f ca="1">IFERROR(__xludf.DUMMYFUNCTION("""COMPUTED_VALUE"""),-0.427912254254003)</f>
        <v>-0.42791225425400298</v>
      </c>
      <c r="IH49" s="3">
        <f ca="1">IFERROR(__xludf.DUMMYFUNCTION("""COMPUTED_VALUE"""),-0.452552169233915)</f>
        <v>-0.452552169233915</v>
      </c>
      <c r="II49" s="3">
        <f ca="1">IFERROR(__xludf.DUMMYFUNCTION("""COMPUTED_VALUE"""),-0.454223633675474)</f>
        <v>-0.45422363367547403</v>
      </c>
      <c r="IJ49" s="3">
        <f ca="1">IFERROR(__xludf.DUMMYFUNCTION("""COMPUTED_VALUE"""),-0.467554497909329)</f>
        <v>-0.46755449790932901</v>
      </c>
      <c r="IK49" s="3">
        <f ca="1">IFERROR(__xludf.DUMMYFUNCTION("""COMPUTED_VALUE"""),-0.498260596678326)</f>
        <v>-0.49826059667832601</v>
      </c>
      <c r="IL49" s="3">
        <f ca="1">IFERROR(__xludf.DUMMYFUNCTION("""COMPUTED_VALUE"""),-0.421753200372895)</f>
        <v>-0.42175320037289499</v>
      </c>
      <c r="IM49" s="3">
        <f ca="1">IFERROR(__xludf.DUMMYFUNCTION("""COMPUTED_VALUE"""),-0.43851197690504)</f>
        <v>-0.43851197690504001</v>
      </c>
      <c r="IN49" s="3">
        <f ca="1">IFERROR(__xludf.DUMMYFUNCTION("""COMPUTED_VALUE"""),-0.449224540335)</f>
        <v>-0.44922454033499998</v>
      </c>
      <c r="IO49" s="3">
        <f ca="1">IFERROR(__xludf.DUMMYFUNCTION("""COMPUTED_VALUE"""),-0.495239401406749)</f>
        <v>-0.49523940140674899</v>
      </c>
      <c r="IP49" s="3">
        <f ca="1">IFERROR(__xludf.DUMMYFUNCTION("""COMPUTED_VALUE"""),-0.445671055759927)</f>
        <v>-0.44567105575992699</v>
      </c>
      <c r="IQ49" s="3">
        <f ca="1">IFERROR(__xludf.DUMMYFUNCTION("""COMPUTED_VALUE"""),-0.436459825305083)</f>
        <v>-0.43645982530508298</v>
      </c>
      <c r="IR49" s="3">
        <f ca="1">IFERROR(__xludf.DUMMYFUNCTION("""COMPUTED_VALUE"""),-0.504046261631834)</f>
        <v>-0.50404626163183397</v>
      </c>
      <c r="IS49" s="3">
        <f ca="1">IFERROR(__xludf.DUMMYFUNCTION("""COMPUTED_VALUE"""),-0.471165830320787)</f>
        <v>-0.47116583032078702</v>
      </c>
      <c r="IT49" s="3">
        <f ca="1">IFERROR(__xludf.DUMMYFUNCTION("""COMPUTED_VALUE"""),-0.460121814133173)</f>
        <v>-0.46012181413317299</v>
      </c>
      <c r="IU49" s="3">
        <f ca="1">IFERROR(__xludf.DUMMYFUNCTION("""COMPUTED_VALUE"""),-0.457899124583727)</f>
        <v>-0.457899124583727</v>
      </c>
      <c r="IV49" s="3">
        <f ca="1">IFERROR(__xludf.DUMMYFUNCTION("""COMPUTED_VALUE"""),-0.489932925465768)</f>
        <v>-0.489932925465768</v>
      </c>
      <c r="IW49" s="3">
        <f ca="1">IFERROR(__xludf.DUMMYFUNCTION("""COMPUTED_VALUE"""),-0.468401609055193)</f>
        <v>-0.46840160905519301</v>
      </c>
      <c r="IX49" s="3">
        <f ca="1">IFERROR(__xludf.DUMMYFUNCTION("""COMPUTED_VALUE"""),-0.447891865459231)</f>
        <v>-0.44789186545923099</v>
      </c>
      <c r="IY49" s="3">
        <f ca="1">IFERROR(__xludf.DUMMYFUNCTION("""COMPUTED_VALUE"""),-0.472017068618891)</f>
        <v>-0.47201706861889098</v>
      </c>
      <c r="IZ49" s="3">
        <f ca="1">IFERROR(__xludf.DUMMYFUNCTION("""COMPUTED_VALUE"""),-0.4517973561084)</f>
        <v>-0.45179735610839999</v>
      </c>
      <c r="JA49" s="3">
        <f ca="1">IFERROR(__xludf.DUMMYFUNCTION("""COMPUTED_VALUE"""),-0.501251266626836)</f>
        <v>-0.50125126662683595</v>
      </c>
      <c r="JB49" s="3">
        <f ca="1">IFERROR(__xludf.DUMMYFUNCTION("""COMPUTED_VALUE"""),-0.465925845177923)</f>
        <v>-0.46592584517792301</v>
      </c>
      <c r="JC49" s="3">
        <f ca="1">IFERROR(__xludf.DUMMYFUNCTION("""COMPUTED_VALUE"""),-0.507045547448805)</f>
        <v>-0.50704554744880503</v>
      </c>
      <c r="JD49" s="3">
        <f ca="1">IFERROR(__xludf.DUMMYFUNCTION("""COMPUTED_VALUE"""),-0.496066408748444)</f>
        <v>-0.49606640874844399</v>
      </c>
      <c r="JE49" s="3">
        <f ca="1">IFERROR(__xludf.DUMMYFUNCTION("""COMPUTED_VALUE"""),-0.502783871027392)</f>
        <v>-0.50278387102739197</v>
      </c>
      <c r="JF49" s="3">
        <f ca="1">IFERROR(__xludf.DUMMYFUNCTION("""COMPUTED_VALUE"""),-0.487500529714599)</f>
        <v>-0.48750052971459901</v>
      </c>
      <c r="JG49" s="3">
        <f ca="1">IFERROR(__xludf.DUMMYFUNCTION("""COMPUTED_VALUE"""),-0.454121950113145)</f>
        <v>-0.45412195011314499</v>
      </c>
      <c r="JH49" s="3">
        <f ca="1">IFERROR(__xludf.DUMMYFUNCTION("""COMPUTED_VALUE"""),-0.471205475028379)</f>
        <v>-0.47120547502837901</v>
      </c>
      <c r="JI49" s="3">
        <f ca="1">IFERROR(__xludf.DUMMYFUNCTION("""COMPUTED_VALUE"""),-0.512523252732151)</f>
        <v>-0.51252325273215105</v>
      </c>
      <c r="JJ49" s="3">
        <f ca="1">IFERROR(__xludf.DUMMYFUNCTION("""COMPUTED_VALUE"""),-0.484745828383438)</f>
        <v>-0.48474582838343799</v>
      </c>
      <c r="JK49" s="3">
        <f ca="1">IFERROR(__xludf.DUMMYFUNCTION("""COMPUTED_VALUE"""),-0.430465599824475)</f>
        <v>-0.43046559982447502</v>
      </c>
      <c r="JL49" s="3">
        <f ca="1">IFERROR(__xludf.DUMMYFUNCTION("""COMPUTED_VALUE"""),-0.489426723716803)</f>
        <v>-0.48942672371680301</v>
      </c>
      <c r="JM49" s="3">
        <f ca="1">IFERROR(__xludf.DUMMYFUNCTION("""COMPUTED_VALUE"""),-0.441724344345451)</f>
        <v>-0.44172434434545099</v>
      </c>
      <c r="JN49" s="3">
        <f ca="1">IFERROR(__xludf.DUMMYFUNCTION("""COMPUTED_VALUE"""),-0.430358587265408)</f>
        <v>-0.43035858726540799</v>
      </c>
      <c r="JO49" s="3">
        <f ca="1">IFERROR(__xludf.DUMMYFUNCTION("""COMPUTED_VALUE"""),-0.412711276031108)</f>
        <v>-0.41271127603110802</v>
      </c>
      <c r="JP49" s="3">
        <f ca="1">IFERROR(__xludf.DUMMYFUNCTION("""COMPUTED_VALUE"""),-0.426382370282544)</f>
        <v>-0.426382370282544</v>
      </c>
      <c r="JQ49" s="3">
        <f ca="1">IFERROR(__xludf.DUMMYFUNCTION("""COMPUTED_VALUE"""),-0.486553114079531)</f>
        <v>-0.486553114079531</v>
      </c>
      <c r="JR49" s="3">
        <f ca="1">IFERROR(__xludf.DUMMYFUNCTION("""COMPUTED_VALUE"""),-0.446367327071083)</f>
        <v>-0.44636732707108301</v>
      </c>
      <c r="JS49" s="3">
        <f ca="1">IFERROR(__xludf.DUMMYFUNCTION("""COMPUTED_VALUE"""),-0.446245642856045)</f>
        <v>-0.44624564285604501</v>
      </c>
      <c r="JT49" s="3">
        <f ca="1">IFERROR(__xludf.DUMMYFUNCTION("""COMPUTED_VALUE"""),-0.438419716308541)</f>
        <v>-0.43841971630854099</v>
      </c>
      <c r="JU49" s="3">
        <f ca="1">IFERROR(__xludf.DUMMYFUNCTION("""COMPUTED_VALUE"""),-0.450597990312836)</f>
        <v>-0.45059799031283598</v>
      </c>
      <c r="JV49" s="3">
        <f ca="1">IFERROR(__xludf.DUMMYFUNCTION("""COMPUTED_VALUE"""),-0.381850610998621)</f>
        <v>-0.381850610998621</v>
      </c>
      <c r="JW49" s="3">
        <f ca="1">IFERROR(__xludf.DUMMYFUNCTION("""COMPUTED_VALUE"""),-0.415515728852342)</f>
        <v>-0.415515728852342</v>
      </c>
      <c r="JX49" s="3">
        <f ca="1">IFERROR(__xludf.DUMMYFUNCTION("""COMPUTED_VALUE"""),-0.360101453019464)</f>
        <v>-0.360101453019464</v>
      </c>
      <c r="JY49" s="3">
        <f ca="1">IFERROR(__xludf.DUMMYFUNCTION("""COMPUTED_VALUE"""),-0.449829106709949)</f>
        <v>-0.44982910670994902</v>
      </c>
      <c r="JZ49" s="3">
        <f ca="1">IFERROR(__xludf.DUMMYFUNCTION("""COMPUTED_VALUE"""),-0.42763986793726)</f>
        <v>-0.42763986793726</v>
      </c>
      <c r="KA49" s="3">
        <f ca="1">IFERROR(__xludf.DUMMYFUNCTION("""COMPUTED_VALUE"""),-0.407424806894864)</f>
        <v>-0.40742480689486399</v>
      </c>
      <c r="KB49" s="3">
        <f ca="1">IFERROR(__xludf.DUMMYFUNCTION("""COMPUTED_VALUE"""),-0.376255988140919)</f>
        <v>-0.37625598814091898</v>
      </c>
      <c r="KC49" s="3">
        <f ca="1">IFERROR(__xludf.DUMMYFUNCTION("""COMPUTED_VALUE"""),-0.424274953473691)</f>
        <v>-0.42427495347369099</v>
      </c>
      <c r="KD49" s="3">
        <f ca="1">IFERROR(__xludf.DUMMYFUNCTION("""COMPUTED_VALUE"""),-0.454169656678105)</f>
        <v>-0.45416965667810499</v>
      </c>
      <c r="KE49" s="3">
        <f ca="1">IFERROR(__xludf.DUMMYFUNCTION("""COMPUTED_VALUE"""),-0.42808687907973)</f>
        <v>-0.42808687907972998</v>
      </c>
      <c r="KF49" s="3">
        <f ca="1">IFERROR(__xludf.DUMMYFUNCTION("""COMPUTED_VALUE"""),-0.446705517141769)</f>
        <v>-0.44670551714176898</v>
      </c>
      <c r="KG49" s="3">
        <f ca="1">IFERROR(__xludf.DUMMYFUNCTION("""COMPUTED_VALUE"""),-0.420955885678218)</f>
        <v>-0.42095588567821801</v>
      </c>
      <c r="KH49" s="3">
        <f ca="1">IFERROR(__xludf.DUMMYFUNCTION("""COMPUTED_VALUE"""),-0.362805397817795)</f>
        <v>-0.36280539781779497</v>
      </c>
      <c r="KI49" s="3">
        <f ca="1">IFERROR(__xludf.DUMMYFUNCTION("""COMPUTED_VALUE"""),-0.35487756619455)</f>
        <v>-0.35487756619455002</v>
      </c>
      <c r="KJ49" s="3">
        <f ca="1">IFERROR(__xludf.DUMMYFUNCTION("""COMPUTED_VALUE"""),-0.329083229628187)</f>
        <v>-0.32908322962818698</v>
      </c>
      <c r="KK49" s="3">
        <f ca="1">IFERROR(__xludf.DUMMYFUNCTION("""COMPUTED_VALUE"""),-0.396766749897385)</f>
        <v>-0.39676674989738497</v>
      </c>
      <c r="KL49" s="3">
        <f ca="1">IFERROR(__xludf.DUMMYFUNCTION("""COMPUTED_VALUE"""),-0.487062845068774)</f>
        <v>-0.48706284506877401</v>
      </c>
      <c r="KM49" s="3">
        <f ca="1">IFERROR(__xludf.DUMMYFUNCTION("""COMPUTED_VALUE"""),-0.524059490440111)</f>
        <v>-0.52405949044011102</v>
      </c>
      <c r="KN49" s="3">
        <f ca="1">IFERROR(__xludf.DUMMYFUNCTION("""COMPUTED_VALUE"""),-0.451450891250683)</f>
        <v>-0.451450891250683</v>
      </c>
      <c r="KO49" s="3">
        <f ca="1">IFERROR(__xludf.DUMMYFUNCTION("""COMPUTED_VALUE"""),-0.483339453680842)</f>
        <v>-0.48333945368084202</v>
      </c>
      <c r="KP49" s="3">
        <f ca="1">IFERROR(__xludf.DUMMYFUNCTION("""COMPUTED_VALUE"""),-0.471714072538756)</f>
        <v>-0.47171407253875602</v>
      </c>
      <c r="KQ49" s="3">
        <f ca="1">IFERROR(__xludf.DUMMYFUNCTION("""COMPUTED_VALUE"""),-0.403627789043445)</f>
        <v>-0.40362778904344498</v>
      </c>
      <c r="KR49" s="3">
        <f ca="1">IFERROR(__xludf.DUMMYFUNCTION("""COMPUTED_VALUE"""),-0.459421106223412)</f>
        <v>-0.45942110622341198</v>
      </c>
      <c r="KS49" s="3">
        <f ca="1">IFERROR(__xludf.DUMMYFUNCTION("""COMPUTED_VALUE"""),-0.533837872277972)</f>
        <v>-0.53383787227797197</v>
      </c>
      <c r="KT49" s="3">
        <f ca="1">IFERROR(__xludf.DUMMYFUNCTION("""COMPUTED_VALUE"""),-0.57859677406505)</f>
        <v>-0.57859677406504995</v>
      </c>
      <c r="KU49" s="3">
        <f ca="1">IFERROR(__xludf.DUMMYFUNCTION("""COMPUTED_VALUE"""),-0.458413645246877)</f>
        <v>-0.458413645246877</v>
      </c>
      <c r="KV49" s="3">
        <f ca="1">IFERROR(__xludf.DUMMYFUNCTION("""COMPUTED_VALUE"""),-0.51167240161941)</f>
        <v>-0.51167240161940997</v>
      </c>
      <c r="KW49" s="3">
        <f ca="1">IFERROR(__xludf.DUMMYFUNCTION("""COMPUTED_VALUE"""),-0.487754356652674)</f>
        <v>-0.48775435665267403</v>
      </c>
      <c r="KX49" s="3">
        <f ca="1">IFERROR(__xludf.DUMMYFUNCTION("""COMPUTED_VALUE"""),-0.513421088325265)</f>
        <v>-0.51342108832526501</v>
      </c>
      <c r="KY49" s="3">
        <f ca="1">IFERROR(__xludf.DUMMYFUNCTION("""COMPUTED_VALUE"""),-0.507760225550742)</f>
        <v>-0.50776022555074196</v>
      </c>
      <c r="KZ49" s="3">
        <f ca="1">IFERROR(__xludf.DUMMYFUNCTION("""COMPUTED_VALUE"""),-0.606340373882582)</f>
        <v>-0.606340373882582</v>
      </c>
      <c r="LA49" s="3">
        <f ca="1">IFERROR(__xludf.DUMMYFUNCTION("""COMPUTED_VALUE"""),-0.528472772115858)</f>
        <v>-0.52847277211585797</v>
      </c>
      <c r="LB49" s="3">
        <f ca="1">IFERROR(__xludf.DUMMYFUNCTION("""COMPUTED_VALUE"""),-0.47090297640094)</f>
        <v>-0.47090297640093998</v>
      </c>
      <c r="LC49" s="3">
        <f ca="1">IFERROR(__xludf.DUMMYFUNCTION("""COMPUTED_VALUE"""),-0.529903027393143)</f>
        <v>-0.52990302739314299</v>
      </c>
      <c r="LD49" s="3">
        <f ca="1">IFERROR(__xludf.DUMMYFUNCTION("""COMPUTED_VALUE"""),-0.565208627224215)</f>
        <v>-0.56520862722421505</v>
      </c>
      <c r="LE49" s="3">
        <f ca="1">IFERROR(__xludf.DUMMYFUNCTION("""COMPUTED_VALUE"""),-0.532759079020182)</f>
        <v>-0.53275907902018205</v>
      </c>
      <c r="LF49" s="3">
        <f ca="1">IFERROR(__xludf.DUMMYFUNCTION("""COMPUTED_VALUE"""),-0.537590432360933)</f>
        <v>-0.53759043236093296</v>
      </c>
      <c r="LG49" s="3">
        <f ca="1">IFERROR(__xludf.DUMMYFUNCTION("""COMPUTED_VALUE"""),-0.625486350998847)</f>
        <v>-0.62548635099884697</v>
      </c>
      <c r="LH49" s="3">
        <f ca="1">IFERROR(__xludf.DUMMYFUNCTION("""COMPUTED_VALUE"""),-0.662988340205771)</f>
        <v>-0.66298834020577102</v>
      </c>
      <c r="LI49" s="3">
        <f ca="1">IFERROR(__xludf.DUMMYFUNCTION("""COMPUTED_VALUE"""),-0.614703814606146)</f>
        <v>-0.61470381460614598</v>
      </c>
      <c r="LJ49" s="3">
        <f ca="1">IFERROR(__xludf.DUMMYFUNCTION("""COMPUTED_VALUE"""),-0.636566347392439)</f>
        <v>-0.636566347392439</v>
      </c>
      <c r="LK49" s="3">
        <f ca="1">IFERROR(__xludf.DUMMYFUNCTION("""COMPUTED_VALUE"""),-0.613097535041653)</f>
        <v>-0.61309753504165299</v>
      </c>
      <c r="LL49" s="3">
        <f ca="1">IFERROR(__xludf.DUMMYFUNCTION("""COMPUTED_VALUE"""),-0.677438447176548)</f>
        <v>-0.677438447176548</v>
      </c>
      <c r="LM49" s="3">
        <f ca="1">IFERROR(__xludf.DUMMYFUNCTION("""COMPUTED_VALUE"""),-0.752574912461141)</f>
        <v>-0.75257491246114105</v>
      </c>
      <c r="LN49" s="3">
        <f ca="1">IFERROR(__xludf.DUMMYFUNCTION("""COMPUTED_VALUE"""),-0.668162767546247)</f>
        <v>-0.66816276754624704</v>
      </c>
      <c r="LO49" s="3">
        <f ca="1">IFERROR(__xludf.DUMMYFUNCTION("""COMPUTED_VALUE"""),-0.666368140933072)</f>
        <v>-0.66636814093307195</v>
      </c>
      <c r="LP49" s="3">
        <f ca="1">IFERROR(__xludf.DUMMYFUNCTION("""COMPUTED_VALUE"""),-0.640681406410257)</f>
        <v>-0.64068140641025695</v>
      </c>
      <c r="LQ49" s="3">
        <f ca="1">IFERROR(__xludf.DUMMYFUNCTION("""COMPUTED_VALUE"""),-0.661444430084125)</f>
        <v>-0.66144443008412501</v>
      </c>
      <c r="LR49" s="3">
        <f ca="1">IFERROR(__xludf.DUMMYFUNCTION("""COMPUTED_VALUE"""),-0.70185046685)</f>
        <v>-0.70185046684999997</v>
      </c>
      <c r="LS49" s="3">
        <f ca="1">IFERROR(__xludf.DUMMYFUNCTION("""COMPUTED_VALUE"""),-0.613149509887964)</f>
        <v>-0.61314950988796402</v>
      </c>
      <c r="LT49" s="3">
        <f ca="1">IFERROR(__xludf.DUMMYFUNCTION("""COMPUTED_VALUE"""),-0.673371370502149)</f>
        <v>-0.67337137050214901</v>
      </c>
      <c r="LU49" s="3">
        <f ca="1">IFERROR(__xludf.DUMMYFUNCTION("""COMPUTED_VALUE"""),-0.698356221849256)</f>
        <v>-0.69835622184925605</v>
      </c>
      <c r="LV49" s="3">
        <f ca="1">IFERROR(__xludf.DUMMYFUNCTION("""COMPUTED_VALUE"""),-0.739528417893812)</f>
        <v>-0.73952841789381196</v>
      </c>
      <c r="LW49" s="3">
        <f ca="1">IFERROR(__xludf.DUMMYFUNCTION("""COMPUTED_VALUE"""),-0.747255340173464)</f>
        <v>-0.74725534017346396</v>
      </c>
      <c r="LX49" s="3">
        <f ca="1">IFERROR(__xludf.DUMMYFUNCTION("""COMPUTED_VALUE"""),-0.696997741017285)</f>
        <v>-0.69699774101728496</v>
      </c>
      <c r="LY49" s="3">
        <f ca="1">IFERROR(__xludf.DUMMYFUNCTION("""COMPUTED_VALUE"""),-0.674941740769131)</f>
        <v>-0.67494174076913105</v>
      </c>
      <c r="LZ49" s="3">
        <f ca="1">IFERROR(__xludf.DUMMYFUNCTION("""COMPUTED_VALUE"""),-0.68704917895498)</f>
        <v>-0.68704917895497997</v>
      </c>
      <c r="MA49" s="3">
        <f ca="1">IFERROR(__xludf.DUMMYFUNCTION("""COMPUTED_VALUE"""),-0.686801824597126)</f>
        <v>-0.68680182459712602</v>
      </c>
      <c r="MB49" s="3">
        <f ca="1">IFERROR(__xludf.DUMMYFUNCTION("""COMPUTED_VALUE"""),-0.77483773293997)</f>
        <v>-0.77483773293997005</v>
      </c>
      <c r="MC49" s="3">
        <f ca="1">IFERROR(__xludf.DUMMYFUNCTION("""COMPUTED_VALUE"""),-0.72685732774712)</f>
        <v>-0.72685732774711997</v>
      </c>
      <c r="MD49" s="3">
        <f ca="1">IFERROR(__xludf.DUMMYFUNCTION("""COMPUTED_VALUE"""),-0.73338861842825)</f>
        <v>-0.73338861842824998</v>
      </c>
      <c r="ME49" s="3">
        <f ca="1">IFERROR(__xludf.DUMMYFUNCTION("""COMPUTED_VALUE"""),-0.707009865537014)</f>
        <v>-0.70700986553701395</v>
      </c>
      <c r="MF49" s="3">
        <f ca="1">IFERROR(__xludf.DUMMYFUNCTION("""COMPUTED_VALUE"""),-0.726806752293864)</f>
        <v>-0.72680675229386404</v>
      </c>
      <c r="MG49" s="3">
        <f ca="1">IFERROR(__xludf.DUMMYFUNCTION("""COMPUTED_VALUE"""),-0.786927632721061)</f>
        <v>-0.78692763272106103</v>
      </c>
      <c r="MH49" s="3">
        <f ca="1">IFERROR(__xludf.DUMMYFUNCTION("""COMPUTED_VALUE"""),-0.766448124413883)</f>
        <v>-0.76644812441388299</v>
      </c>
      <c r="MI49" s="3">
        <f ca="1">IFERROR(__xludf.DUMMYFUNCTION("""COMPUTED_VALUE"""),-0.81391209646033)</f>
        <v>-0.81391209646033003</v>
      </c>
      <c r="MJ49" s="3">
        <f ca="1">IFERROR(__xludf.DUMMYFUNCTION("""COMPUTED_VALUE"""),-0.761314381465617)</f>
        <v>-0.76131438146561703</v>
      </c>
      <c r="MK49" s="3">
        <f ca="1">IFERROR(__xludf.DUMMYFUNCTION("""COMPUTED_VALUE"""),-0.797258716044231)</f>
        <v>-0.79725871604423104</v>
      </c>
      <c r="ML49" s="3">
        <f ca="1">IFERROR(__xludf.DUMMYFUNCTION("""COMPUTED_VALUE"""),-0.731086813851431)</f>
        <v>-0.73108681385143104</v>
      </c>
      <c r="MM49" s="3">
        <f ca="1">IFERROR(__xludf.DUMMYFUNCTION("""COMPUTED_VALUE"""),-0.700891339931692)</f>
        <v>-0.70089133993169195</v>
      </c>
      <c r="MN49" s="3">
        <f ca="1">IFERROR(__xludf.DUMMYFUNCTION("""COMPUTED_VALUE"""),-0.760493626061041)</f>
        <v>-0.76049362606104098</v>
      </c>
      <c r="MO49" s="3">
        <f ca="1">IFERROR(__xludf.DUMMYFUNCTION("""COMPUTED_VALUE"""),-0.721158435186004)</f>
        <v>-0.72115843518600398</v>
      </c>
      <c r="MP49" s="3">
        <f ca="1">IFERROR(__xludf.DUMMYFUNCTION("""COMPUTED_VALUE"""),-0.800119432517035)</f>
        <v>-0.80011943251703499</v>
      </c>
      <c r="MQ49" s="3">
        <f ca="1">IFERROR(__xludf.DUMMYFUNCTION("""COMPUTED_VALUE"""),-0.792407599510269)</f>
        <v>-0.79240759951026896</v>
      </c>
      <c r="MR49" s="3">
        <f ca="1">IFERROR(__xludf.DUMMYFUNCTION("""COMPUTED_VALUE"""),-0.773415681141125)</f>
        <v>-0.77341568114112502</v>
      </c>
      <c r="MS49" s="3">
        <f ca="1">IFERROR(__xludf.DUMMYFUNCTION("""COMPUTED_VALUE"""),-0.744106561703741)</f>
        <v>-0.74410656170374101</v>
      </c>
      <c r="MT49" s="3">
        <f ca="1">IFERROR(__xludf.DUMMYFUNCTION("""COMPUTED_VALUE"""),-0.725360423710515)</f>
        <v>-0.72536042371051501</v>
      </c>
      <c r="MU49" s="3">
        <f ca="1">IFERROR(__xludf.DUMMYFUNCTION("""COMPUTED_VALUE"""),-0.756731166508616)</f>
        <v>-0.75673116650861605</v>
      </c>
      <c r="MV49" s="3">
        <f ca="1">IFERROR(__xludf.DUMMYFUNCTION("""COMPUTED_VALUE"""),-0.750570862535501)</f>
        <v>-0.75057086253550098</v>
      </c>
      <c r="MW49" s="3">
        <f ca="1">IFERROR(__xludf.DUMMYFUNCTION("""COMPUTED_VALUE"""),-0.801451320939688)</f>
        <v>-0.80145132093968796</v>
      </c>
      <c r="MX49" s="3">
        <f ca="1">IFERROR(__xludf.DUMMYFUNCTION("""COMPUTED_VALUE"""),-0.788060159621703)</f>
        <v>-0.78806015962170295</v>
      </c>
      <c r="MY49" s="3">
        <f ca="1">IFERROR(__xludf.DUMMYFUNCTION("""COMPUTED_VALUE"""),-0.766447909874872)</f>
        <v>-0.76644790987487199</v>
      </c>
      <c r="MZ49" s="3">
        <f ca="1">IFERROR(__xludf.DUMMYFUNCTION("""COMPUTED_VALUE"""),-0.752175342575554)</f>
        <v>-0.75217534257555396</v>
      </c>
      <c r="NA49" s="3">
        <f ca="1">IFERROR(__xludf.DUMMYFUNCTION("""COMPUTED_VALUE"""),-0.739685575348883)</f>
        <v>-0.73968557534888302</v>
      </c>
      <c r="NB49" s="3">
        <f ca="1">IFERROR(__xludf.DUMMYFUNCTION("""COMPUTED_VALUE"""),-0.751228084900126)</f>
        <v>-0.75122808490012605</v>
      </c>
      <c r="NC49" s="3">
        <f ca="1">IFERROR(__xludf.DUMMYFUNCTION("""COMPUTED_VALUE"""),-0.716959444425313)</f>
        <v>-0.71695944442531301</v>
      </c>
      <c r="ND49" s="3">
        <f ca="1">IFERROR(__xludf.DUMMYFUNCTION("""COMPUTED_VALUE"""),-0.802072685120834)</f>
        <v>-0.80207268512083396</v>
      </c>
      <c r="NE49" s="3">
        <f ca="1">IFERROR(__xludf.DUMMYFUNCTION("""COMPUTED_VALUE"""),-0.774930248501849)</f>
        <v>-0.77493024850184899</v>
      </c>
      <c r="NF49" s="3">
        <f ca="1">IFERROR(__xludf.DUMMYFUNCTION("""COMPUTED_VALUE"""),-0.747771007326939)</f>
        <v>-0.74777100732693902</v>
      </c>
      <c r="NG49" s="3">
        <f ca="1">IFERROR(__xludf.DUMMYFUNCTION("""COMPUTED_VALUE"""),-0.718690861808689)</f>
        <v>-0.71869086180868902</v>
      </c>
      <c r="NH49" s="3">
        <f ca="1">IFERROR(__xludf.DUMMYFUNCTION("""COMPUTED_VALUE"""),-0.757354681970404)</f>
        <v>-0.75735468197040401</v>
      </c>
      <c r="NI49" s="3">
        <f ca="1">IFERROR(__xludf.DUMMYFUNCTION("""COMPUTED_VALUE"""),-0.741136548053875)</f>
        <v>-0.74113654805387497</v>
      </c>
      <c r="NJ49" s="3">
        <f ca="1">IFERROR(__xludf.DUMMYFUNCTION("""COMPUTED_VALUE"""),-0.754277474100986)</f>
        <v>-0.754277474100986</v>
      </c>
      <c r="NK49" s="3">
        <f ca="1">IFERROR(__xludf.DUMMYFUNCTION("""COMPUTED_VALUE"""),-0.801323273373885)</f>
        <v>-0.80132327337388498</v>
      </c>
      <c r="NL49" s="3">
        <f ca="1">IFERROR(__xludf.DUMMYFUNCTION("""COMPUTED_VALUE"""),-0.770075167105932)</f>
        <v>-0.77007516710593205</v>
      </c>
      <c r="NM49" s="3">
        <f ca="1">IFERROR(__xludf.DUMMYFUNCTION("""COMPUTED_VALUE"""),-0.696007692290396)</f>
        <v>-0.69600769229039605</v>
      </c>
      <c r="NN49" s="3">
        <f ca="1">IFERROR(__xludf.DUMMYFUNCTION("""COMPUTED_VALUE"""),-0.715619783380049)</f>
        <v>-0.71561978338004895</v>
      </c>
      <c r="NO49" s="3">
        <f ca="1">IFERROR(__xludf.DUMMYFUNCTION("""COMPUTED_VALUE"""),-0.678558660769076)</f>
        <v>-0.67855866076907601</v>
      </c>
      <c r="NP49" s="3">
        <f ca="1">IFERROR(__xludf.DUMMYFUNCTION("""COMPUTED_VALUE"""),-0.695333204024699)</f>
        <v>-0.695333204024699</v>
      </c>
      <c r="NQ49" s="3">
        <f ca="1">IFERROR(__xludf.DUMMYFUNCTION("""COMPUTED_VALUE"""),-0.724405564270021)</f>
        <v>-0.72440556427002101</v>
      </c>
      <c r="NR49" s="3">
        <f ca="1">IFERROR(__xludf.DUMMYFUNCTION("""COMPUTED_VALUE"""),-0.779215629760288)</f>
        <v>-0.77921562976028802</v>
      </c>
      <c r="NS49" s="3">
        <f ca="1">IFERROR(__xludf.DUMMYFUNCTION("""COMPUTED_VALUE"""),-0.736006660630097)</f>
        <v>-0.73600666063009701</v>
      </c>
      <c r="NT49" s="3">
        <f ca="1">IFERROR(__xludf.DUMMYFUNCTION("""COMPUTED_VALUE"""),-0.719488610537323)</f>
        <v>-0.71948861053732305</v>
      </c>
      <c r="NU49" s="3">
        <f ca="1">IFERROR(__xludf.DUMMYFUNCTION("""COMPUTED_VALUE"""),-0.684852282225585)</f>
        <v>-0.68485228222558503</v>
      </c>
      <c r="NV49" s="3">
        <f ca="1">IFERROR(__xludf.DUMMYFUNCTION("""COMPUTED_VALUE"""),-0.667122126202056)</f>
        <v>-0.66712212620205602</v>
      </c>
      <c r="NW49" s="3">
        <f ca="1">IFERROR(__xludf.DUMMYFUNCTION("""COMPUTED_VALUE"""),-0.658906804307152)</f>
        <v>-0.65890680430715198</v>
      </c>
      <c r="NX49" s="3">
        <f ca="1">IFERROR(__xludf.DUMMYFUNCTION("""COMPUTED_VALUE"""),-0.775387146449513)</f>
        <v>-0.77538714644951301</v>
      </c>
      <c r="NY49" s="3">
        <f ca="1">IFERROR(__xludf.DUMMYFUNCTION("""COMPUTED_VALUE"""),-0.790613321239175)</f>
        <v>-0.79061332123917505</v>
      </c>
      <c r="NZ49" s="3">
        <f ca="1">IFERROR(__xludf.DUMMYFUNCTION("""COMPUTED_VALUE"""),-0.742203343230176)</f>
        <v>-0.742203343230176</v>
      </c>
      <c r="OA49" s="3">
        <f ca="1">IFERROR(__xludf.DUMMYFUNCTION("""COMPUTED_VALUE"""),-0.681008565977314)</f>
        <v>-0.68100856597731396</v>
      </c>
      <c r="OB49" s="3">
        <f ca="1">IFERROR(__xludf.DUMMYFUNCTION("""COMPUTED_VALUE"""),-0.648694199403908)</f>
        <v>-0.64869419940390805</v>
      </c>
      <c r="OC49" s="3">
        <f ca="1">IFERROR(__xludf.DUMMYFUNCTION("""COMPUTED_VALUE"""),-0.541361074803968)</f>
        <v>-0.541361074803968</v>
      </c>
      <c r="OD49" s="3">
        <f ca="1">IFERROR(__xludf.DUMMYFUNCTION("""COMPUTED_VALUE"""),-0.326210088455471)</f>
        <v>-0.326210088455471</v>
      </c>
      <c r="OE49" s="3">
        <f ca="1">IFERROR(__xludf.DUMMYFUNCTION("""COMPUTED_VALUE"""),-0.277259134693824)</f>
        <v>-0.27725913469382402</v>
      </c>
      <c r="OF49" s="3">
        <f ca="1">IFERROR(__xludf.DUMMYFUNCTION("""COMPUTED_VALUE"""),-0.228774676193978)</f>
        <v>-0.22877467619397801</v>
      </c>
      <c r="OG49" s="3">
        <f ca="1">IFERROR(__xludf.DUMMYFUNCTION("""COMPUTED_VALUE"""),-0.175621540566513)</f>
        <v>-0.175621540566513</v>
      </c>
      <c r="OH49" s="3">
        <f ca="1">IFERROR(__xludf.DUMMYFUNCTION("""COMPUTED_VALUE"""),-0.194980373743652)</f>
        <v>-0.19498037374365201</v>
      </c>
      <c r="OI49" s="3">
        <f ca="1">IFERROR(__xludf.DUMMYFUNCTION("""COMPUTED_VALUE"""),-0.0795953491892729)</f>
        <v>-7.9595349189272899E-2</v>
      </c>
      <c r="OJ49" s="3">
        <f ca="1">IFERROR(__xludf.DUMMYFUNCTION("""COMPUTED_VALUE"""),-0.0547583868071815)</f>
        <v>-5.4758386807181501E-2</v>
      </c>
      <c r="OK49" s="3">
        <f ca="1">IFERROR(__xludf.DUMMYFUNCTION("""COMPUTED_VALUE"""),-0.0683414573788825)</f>
        <v>-6.8341457378882503E-2</v>
      </c>
      <c r="OL49" s="3">
        <f ca="1">IFERROR(__xludf.DUMMYFUNCTION("""COMPUTED_VALUE"""),-0.179919135823774)</f>
        <v>-0.179919135823774</v>
      </c>
      <c r="OM49" s="3">
        <f ca="1">IFERROR(__xludf.DUMMYFUNCTION("""COMPUTED_VALUE"""),-0.0573125683532517)</f>
        <v>-5.73125683532517E-2</v>
      </c>
      <c r="ON49" s="3">
        <f ca="1">IFERROR(__xludf.DUMMYFUNCTION("""COMPUTED_VALUE"""),-0.0685085522749581)</f>
        <v>-6.8508552274958098E-2</v>
      </c>
      <c r="OO49" s="3">
        <f ca="1">IFERROR(__xludf.DUMMYFUNCTION("""COMPUTED_VALUE"""),0.00251176093453131)</f>
        <v>2.51176093453131E-3</v>
      </c>
      <c r="OP49" s="3">
        <f ca="1">IFERROR(__xludf.DUMMYFUNCTION("""COMPUTED_VALUE"""),-0.0453328101257788)</f>
        <v>-4.5332810125778798E-2</v>
      </c>
      <c r="OQ49" s="3">
        <f ca="1">IFERROR(__xludf.DUMMYFUNCTION("""COMPUTED_VALUE"""),-0.0136768560750849)</f>
        <v>-1.3676856075084899E-2</v>
      </c>
      <c r="OR49" s="3">
        <f ca="1">IFERROR(__xludf.DUMMYFUNCTION("""COMPUTED_VALUE"""),-0.000327871392372003)</f>
        <v>-3.2787139237200298E-4</v>
      </c>
      <c r="OS49" s="3">
        <f ca="1">IFERROR(__xludf.DUMMYFUNCTION("""COMPUTED_VALUE"""),-0.0536296729931934)</f>
        <v>-5.3629672993193399E-2</v>
      </c>
      <c r="OT49" s="3">
        <f ca="1">IFERROR(__xludf.DUMMYFUNCTION("""COMPUTED_VALUE"""),-0.0882043104317815)</f>
        <v>-8.8204310431781494E-2</v>
      </c>
      <c r="OU49" s="3">
        <f ca="1">IFERROR(__xludf.DUMMYFUNCTION("""COMPUTED_VALUE"""),-0.112056600172849)</f>
        <v>-0.11205660017284901</v>
      </c>
      <c r="OV49" s="3">
        <f ca="1">IFERROR(__xludf.DUMMYFUNCTION("""COMPUTED_VALUE"""),-0.0456613595865068)</f>
        <v>-4.56613595865068E-2</v>
      </c>
      <c r="OW49" s="3">
        <f ca="1">IFERROR(__xludf.DUMMYFUNCTION("""COMPUTED_VALUE"""),0.00477207976570981)</f>
        <v>4.77207976570981E-3</v>
      </c>
      <c r="OX49" s="3">
        <f ca="1">IFERROR(__xludf.DUMMYFUNCTION("""COMPUTED_VALUE"""),0.0220184840459902)</f>
        <v>2.2018484045990199E-2</v>
      </c>
      <c r="OY49" s="3">
        <f ca="1">IFERROR(__xludf.DUMMYFUNCTION("""COMPUTED_VALUE"""),-0.0760755113335837)</f>
        <v>-7.6075511333583701E-2</v>
      </c>
      <c r="OZ49" s="3">
        <f ca="1">IFERROR(__xludf.DUMMYFUNCTION("""COMPUTED_VALUE"""),-0.0311692672613219)</f>
        <v>-3.1169267261321899E-2</v>
      </c>
      <c r="PA49" s="3">
        <f ca="1">IFERROR(__xludf.DUMMYFUNCTION("""COMPUTED_VALUE"""),-0.00834397513798446)</f>
        <v>-8.3439751379844607E-3</v>
      </c>
      <c r="PB49" s="3">
        <f ca="1">IFERROR(__xludf.DUMMYFUNCTION("""COMPUTED_VALUE"""),-0.0605985887504396)</f>
        <v>-6.0598588750439601E-2</v>
      </c>
      <c r="PC49" s="3">
        <f ca="1">IFERROR(__xludf.DUMMYFUNCTION("""COMPUTED_VALUE"""),0.134839488680203)</f>
        <v>0.13483948868020301</v>
      </c>
      <c r="PD49" s="3">
        <f ca="1">IFERROR(__xludf.DUMMYFUNCTION("""COMPUTED_VALUE"""),0.190249091014025)</f>
        <v>0.19024909101402501</v>
      </c>
      <c r="PE49" s="3">
        <f ca="1">IFERROR(__xludf.DUMMYFUNCTION("""COMPUTED_VALUE"""),0.0905678927067235)</f>
        <v>9.0567892706723496E-2</v>
      </c>
      <c r="PF49" s="3">
        <f ca="1">IFERROR(__xludf.DUMMYFUNCTION("""COMPUTED_VALUE"""),-0.0271779961656487)</f>
        <v>-2.7177996165648699E-2</v>
      </c>
      <c r="PG49" s="3">
        <f ca="1">IFERROR(__xludf.DUMMYFUNCTION("""COMPUTED_VALUE"""),-0.0546632726400768)</f>
        <v>-5.4663272640076803E-2</v>
      </c>
      <c r="PH49" s="3">
        <f ca="1">IFERROR(__xludf.DUMMYFUNCTION("""COMPUTED_VALUE"""),-0.0114294478380236)</f>
        <v>-1.1429447838023601E-2</v>
      </c>
      <c r="PI49" s="3">
        <f ca="1">IFERROR(__xludf.DUMMYFUNCTION("""COMPUTED_VALUE"""),0.0439066636233669)</f>
        <v>4.3906663623366898E-2</v>
      </c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</row>
    <row r="50" spans="1:477" ht="15.75" customHeight="1">
      <c r="A50" s="1" t="str">
        <f ca="1">IFERROR(__xludf.DUMMYFUNCTION("""COMPUTED_VALUE"""),"RTC Southern Nevada")</f>
        <v>RTC Southern Nevada</v>
      </c>
      <c r="B50" s="1" t="str">
        <f ca="1">IFERROR(__xludf.DUMMYFUNCTION("""COMPUTED_VALUE"""),"Las Vegas")</f>
        <v>Las Vegas</v>
      </c>
      <c r="C50" s="1" t="str">
        <f ca="1">IFERROR(__xludf.DUMMYFUNCTION("""COMPUTED_VALUE"""),"United States")</f>
        <v>United States</v>
      </c>
      <c r="D50" s="1" t="str">
        <f ca="1">IFERROR(__xludf.DUMMYFUNCTION("""COMPUTED_VALUE"""),"Nevada")</f>
        <v>Nevada</v>
      </c>
      <c r="E50" s="3">
        <f ca="1">IFERROR(__xludf.DUMMYFUNCTION("""COMPUTED_VALUE"""),-0.369008615854895)</f>
        <v>-0.36900861585489497</v>
      </c>
      <c r="F50" s="3">
        <f ca="1">IFERROR(__xludf.DUMMYFUNCTION("""COMPUTED_VALUE"""),-0.356806894403511)</f>
        <v>-0.35680689440351099</v>
      </c>
      <c r="G50" s="3">
        <f ca="1">IFERROR(__xludf.DUMMYFUNCTION("""COMPUTED_VALUE"""),-0.391555264243186)</f>
        <v>-0.39155526424318599</v>
      </c>
      <c r="H50" s="3">
        <f ca="1">IFERROR(__xludf.DUMMYFUNCTION("""COMPUTED_VALUE"""),-0.384988752012247)</f>
        <v>-0.38498875201224703</v>
      </c>
      <c r="I50" s="3">
        <f ca="1">IFERROR(__xludf.DUMMYFUNCTION("""COMPUTED_VALUE"""),-0.369202096348033)</f>
        <v>-0.36920209634803303</v>
      </c>
      <c r="J50" s="3">
        <f ca="1">IFERROR(__xludf.DUMMYFUNCTION("""COMPUTED_VALUE"""),-0.383414242064601)</f>
        <v>-0.38341424206460101</v>
      </c>
      <c r="K50" s="3">
        <f ca="1">IFERROR(__xludf.DUMMYFUNCTION("""COMPUTED_VALUE"""),-0.368314001186114)</f>
        <v>-0.36831400118611402</v>
      </c>
      <c r="L50" s="3">
        <f ca="1">IFERROR(__xludf.DUMMYFUNCTION("""COMPUTED_VALUE"""),-0.359885241714621)</f>
        <v>-0.359885241714621</v>
      </c>
      <c r="M50" s="3">
        <f ca="1">IFERROR(__xludf.DUMMYFUNCTION("""COMPUTED_VALUE"""),-0.373466081933747)</f>
        <v>-0.37346608193374697</v>
      </c>
      <c r="N50" s="3">
        <f ca="1">IFERROR(__xludf.DUMMYFUNCTION("""COMPUTED_VALUE"""),-0.391489448843855)</f>
        <v>-0.391489448843855</v>
      </c>
      <c r="O50" s="3">
        <f ca="1">IFERROR(__xludf.DUMMYFUNCTION("""COMPUTED_VALUE"""),-0.428694580596557)</f>
        <v>-0.42869458059655702</v>
      </c>
      <c r="P50" s="3">
        <f ca="1">IFERROR(__xludf.DUMMYFUNCTION("""COMPUTED_VALUE"""),-0.438997712175552)</f>
        <v>-0.438997712175552</v>
      </c>
      <c r="Q50" s="3">
        <f ca="1">IFERROR(__xludf.DUMMYFUNCTION("""COMPUTED_VALUE"""),-0.410654191537747)</f>
        <v>-0.41065419153774702</v>
      </c>
      <c r="R50" s="3">
        <f ca="1">IFERROR(__xludf.DUMMYFUNCTION("""COMPUTED_VALUE"""),-0.355014554886065)</f>
        <v>-0.35501455488606498</v>
      </c>
      <c r="S50" s="3">
        <f ca="1">IFERROR(__xludf.DUMMYFUNCTION("""COMPUTED_VALUE"""),-0.385472669074995)</f>
        <v>-0.385472669074995</v>
      </c>
      <c r="T50" s="3">
        <f ca="1">IFERROR(__xludf.DUMMYFUNCTION("""COMPUTED_VALUE"""),-0.4107454378903)</f>
        <v>-0.41074543789029999</v>
      </c>
      <c r="U50" s="3">
        <f ca="1">IFERROR(__xludf.DUMMYFUNCTION("""COMPUTED_VALUE"""),-0.435275595447284)</f>
        <v>-0.435275595447284</v>
      </c>
      <c r="V50" s="3">
        <f ca="1">IFERROR(__xludf.DUMMYFUNCTION("""COMPUTED_VALUE"""),-0.452399174787988)</f>
        <v>-0.45239917478798802</v>
      </c>
      <c r="W50" s="3">
        <f ca="1">IFERROR(__xludf.DUMMYFUNCTION("""COMPUTED_VALUE"""),-0.450098328754034)</f>
        <v>-0.45009832875403399</v>
      </c>
      <c r="X50" s="3">
        <f ca="1">IFERROR(__xludf.DUMMYFUNCTION("""COMPUTED_VALUE"""),-0.419585931567275)</f>
        <v>-0.41958593156727497</v>
      </c>
      <c r="Y50" s="3">
        <f ca="1">IFERROR(__xludf.DUMMYFUNCTION("""COMPUTED_VALUE"""),-0.386048017007776)</f>
        <v>-0.38604801700777602</v>
      </c>
      <c r="Z50" s="3">
        <f ca="1">IFERROR(__xludf.DUMMYFUNCTION("""COMPUTED_VALUE"""),-0.382232828676851)</f>
        <v>-0.38223282867685099</v>
      </c>
      <c r="AA50" s="3">
        <f ca="1">IFERROR(__xludf.DUMMYFUNCTION("""COMPUTED_VALUE"""),-0.392171154053258)</f>
        <v>-0.39217115405325798</v>
      </c>
      <c r="AB50" s="3">
        <f ca="1">IFERROR(__xludf.DUMMYFUNCTION("""COMPUTED_VALUE"""),-0.415634734632243)</f>
        <v>-0.41563473463224299</v>
      </c>
      <c r="AC50" s="3">
        <f ca="1">IFERROR(__xludf.DUMMYFUNCTION("""COMPUTED_VALUE"""),-0.398708798452166)</f>
        <v>-0.398708798452166</v>
      </c>
      <c r="AD50" s="3">
        <f ca="1">IFERROR(__xludf.DUMMYFUNCTION("""COMPUTED_VALUE"""),-0.436597201190774)</f>
        <v>-0.436597201190774</v>
      </c>
      <c r="AE50" s="3">
        <f ca="1">IFERROR(__xludf.DUMMYFUNCTION("""COMPUTED_VALUE"""),-0.441182518454928)</f>
        <v>-0.44118251845492801</v>
      </c>
      <c r="AF50" s="3">
        <f ca="1">IFERROR(__xludf.DUMMYFUNCTION("""COMPUTED_VALUE"""),-0.401147120198105)</f>
        <v>-0.401147120198105</v>
      </c>
      <c r="AG50" s="3">
        <f ca="1">IFERROR(__xludf.DUMMYFUNCTION("""COMPUTED_VALUE"""),-0.409068419289515)</f>
        <v>-0.40906841928951498</v>
      </c>
      <c r="AH50" s="3">
        <f ca="1">IFERROR(__xludf.DUMMYFUNCTION("""COMPUTED_VALUE"""),-0.457597844809426)</f>
        <v>-0.457597844809426</v>
      </c>
      <c r="AI50" s="3">
        <f ca="1">IFERROR(__xludf.DUMMYFUNCTION("""COMPUTED_VALUE"""),-0.47877713987373)</f>
        <v>-0.47877713987373</v>
      </c>
      <c r="AJ50" s="3">
        <f ca="1">IFERROR(__xludf.DUMMYFUNCTION("""COMPUTED_VALUE"""),-0.443364616938051)</f>
        <v>-0.44336461693805101</v>
      </c>
      <c r="AK50" s="3">
        <f ca="1">IFERROR(__xludf.DUMMYFUNCTION("""COMPUTED_VALUE"""),-0.457615716842129)</f>
        <v>-0.45761571684212898</v>
      </c>
      <c r="AL50" s="3">
        <f ca="1">IFERROR(__xludf.DUMMYFUNCTION("""COMPUTED_VALUE"""),-0.456654982313684)</f>
        <v>-0.45665498231368401</v>
      </c>
      <c r="AM50" s="3">
        <f ca="1">IFERROR(__xludf.DUMMYFUNCTION("""COMPUTED_VALUE"""),-0.415466683048006)</f>
        <v>-0.41546668304800599</v>
      </c>
      <c r="AN50" s="3">
        <f ca="1">IFERROR(__xludf.DUMMYFUNCTION("""COMPUTED_VALUE"""),-0.416737850961277)</f>
        <v>-0.41673785096127702</v>
      </c>
      <c r="AO50" s="3">
        <f ca="1">IFERROR(__xludf.DUMMYFUNCTION("""COMPUTED_VALUE"""),-0.442695774067572)</f>
        <v>-0.44269577406757199</v>
      </c>
      <c r="AP50" s="3">
        <f ca="1">IFERROR(__xludf.DUMMYFUNCTION("""COMPUTED_VALUE"""),-0.463665007385616)</f>
        <v>-0.463665007385616</v>
      </c>
      <c r="AQ50" s="3">
        <f ca="1">IFERROR(__xludf.DUMMYFUNCTION("""COMPUTED_VALUE"""),-0.443751174327222)</f>
        <v>-0.443751174327222</v>
      </c>
      <c r="AR50" s="3">
        <f ca="1">IFERROR(__xludf.DUMMYFUNCTION("""COMPUTED_VALUE"""),-0.484514262020464)</f>
        <v>-0.48451426202046399</v>
      </c>
      <c r="AS50" s="3">
        <f ca="1">IFERROR(__xludf.DUMMYFUNCTION("""COMPUTED_VALUE"""),-0.452979732991915)</f>
        <v>-0.45297973299191502</v>
      </c>
      <c r="AT50" s="3">
        <f ca="1">IFERROR(__xludf.DUMMYFUNCTION("""COMPUTED_VALUE"""),-0.429438212930959)</f>
        <v>-0.42943821293095902</v>
      </c>
      <c r="AU50" s="3">
        <f ca="1">IFERROR(__xludf.DUMMYFUNCTION("""COMPUTED_VALUE"""),-0.444634273272432)</f>
        <v>-0.44463427327243199</v>
      </c>
      <c r="AV50" s="3">
        <f ca="1">IFERROR(__xludf.DUMMYFUNCTION("""COMPUTED_VALUE"""),-0.458625910085149)</f>
        <v>-0.45862591008514902</v>
      </c>
      <c r="AW50" s="3">
        <f ca="1">IFERROR(__xludf.DUMMYFUNCTION("""COMPUTED_VALUE"""),-0.47817174461436)</f>
        <v>-0.47817174461436002</v>
      </c>
      <c r="AX50" s="3">
        <f ca="1">IFERROR(__xludf.DUMMYFUNCTION("""COMPUTED_VALUE"""),-0.464329766214118)</f>
        <v>-0.46432976621411798</v>
      </c>
      <c r="AY50" s="3">
        <f ca="1">IFERROR(__xludf.DUMMYFUNCTION("""COMPUTED_VALUE"""),-0.496439075784601)</f>
        <v>-0.496439075784601</v>
      </c>
      <c r="AZ50" s="3">
        <f ca="1">IFERROR(__xludf.DUMMYFUNCTION("""COMPUTED_VALUE"""),-0.466364697652887)</f>
        <v>-0.46636469765288702</v>
      </c>
      <c r="BA50" s="3">
        <f ca="1">IFERROR(__xludf.DUMMYFUNCTION("""COMPUTED_VALUE"""),-0.436993707579635)</f>
        <v>-0.43699370757963502</v>
      </c>
      <c r="BB50" s="3">
        <f ca="1">IFERROR(__xludf.DUMMYFUNCTION("""COMPUTED_VALUE"""),-0.456395561301591)</f>
        <v>-0.45639556130159098</v>
      </c>
      <c r="BC50" s="3">
        <f ca="1">IFERROR(__xludf.DUMMYFUNCTION("""COMPUTED_VALUE"""),-0.466347074952564)</f>
        <v>-0.466347074952564</v>
      </c>
      <c r="BD50" s="3">
        <f ca="1">IFERROR(__xludf.DUMMYFUNCTION("""COMPUTED_VALUE"""),-0.432500132334973)</f>
        <v>-0.43250013233497298</v>
      </c>
      <c r="BE50" s="3">
        <f ca="1">IFERROR(__xludf.DUMMYFUNCTION("""COMPUTED_VALUE"""),-0.49345291239122)</f>
        <v>-0.49345291239122002</v>
      </c>
      <c r="BF50" s="3">
        <f ca="1">IFERROR(__xludf.DUMMYFUNCTION("""COMPUTED_VALUE"""),-0.504710393248424)</f>
        <v>-0.50471039324842404</v>
      </c>
      <c r="BG50" s="3">
        <f ca="1">IFERROR(__xludf.DUMMYFUNCTION("""COMPUTED_VALUE"""),-0.461907163109741)</f>
        <v>-0.461907163109741</v>
      </c>
      <c r="BH50" s="3">
        <f ca="1">IFERROR(__xludf.DUMMYFUNCTION("""COMPUTED_VALUE"""),-0.40409590190738)</f>
        <v>-0.40409590190737998</v>
      </c>
      <c r="BI50" s="3">
        <f ca="1">IFERROR(__xludf.DUMMYFUNCTION("""COMPUTED_VALUE"""),-0.453416381329329)</f>
        <v>-0.45341638132932899</v>
      </c>
      <c r="BJ50" s="3">
        <f ca="1">IFERROR(__xludf.DUMMYFUNCTION("""COMPUTED_VALUE"""),-0.506093608624701)</f>
        <v>-0.50609360862470099</v>
      </c>
      <c r="BK50" s="3">
        <f ca="1">IFERROR(__xludf.DUMMYFUNCTION("""COMPUTED_VALUE"""),-0.518982839265692)</f>
        <v>-0.518982839265692</v>
      </c>
      <c r="BL50" s="3">
        <f ca="1">IFERROR(__xludf.DUMMYFUNCTION("""COMPUTED_VALUE"""),-0.519859973574568)</f>
        <v>-0.51985997357456804</v>
      </c>
      <c r="BM50" s="3">
        <f ca="1">IFERROR(__xludf.DUMMYFUNCTION("""COMPUTED_VALUE"""),-0.529224101665403)</f>
        <v>-0.52922410166540301</v>
      </c>
      <c r="BN50" s="3">
        <f ca="1">IFERROR(__xludf.DUMMYFUNCTION("""COMPUTED_VALUE"""),-0.49820053154704)</f>
        <v>-0.49820053154704003</v>
      </c>
      <c r="BO50" s="3">
        <f ca="1">IFERROR(__xludf.DUMMYFUNCTION("""COMPUTED_VALUE"""),-0.455437483709651)</f>
        <v>-0.45543748370965098</v>
      </c>
      <c r="BP50" s="3">
        <f ca="1">IFERROR(__xludf.DUMMYFUNCTION("""COMPUTED_VALUE"""),-0.48105142936467)</f>
        <v>-0.48105142936466999</v>
      </c>
      <c r="BQ50" s="3">
        <f ca="1">IFERROR(__xludf.DUMMYFUNCTION("""COMPUTED_VALUE"""),-0.522875566046602)</f>
        <v>-0.52287556604660201</v>
      </c>
      <c r="BR50" s="3">
        <f ca="1">IFERROR(__xludf.DUMMYFUNCTION("""COMPUTED_VALUE"""),-0.535746567166189)</f>
        <v>-0.53574656716618896</v>
      </c>
      <c r="BS50" s="3">
        <f ca="1">IFERROR(__xludf.DUMMYFUNCTION("""COMPUTED_VALUE"""),-0.514186744904725)</f>
        <v>-0.51418674490472505</v>
      </c>
      <c r="BT50" s="3">
        <f ca="1">IFERROR(__xludf.DUMMYFUNCTION("""COMPUTED_VALUE"""),-0.534048170863813)</f>
        <v>-0.53404817086381295</v>
      </c>
      <c r="BU50" s="3">
        <f ca="1">IFERROR(__xludf.DUMMYFUNCTION("""COMPUTED_VALUE"""),-0.545225315634195)</f>
        <v>-0.54522531563419496</v>
      </c>
      <c r="BV50" s="3">
        <f ca="1">IFERROR(__xludf.DUMMYFUNCTION("""COMPUTED_VALUE"""),-0.485782170596922)</f>
        <v>-0.48578217059692202</v>
      </c>
      <c r="BW50" s="3">
        <f ca="1">IFERROR(__xludf.DUMMYFUNCTION("""COMPUTED_VALUE"""),-0.490939111639387)</f>
        <v>-0.49093911163938703</v>
      </c>
      <c r="BX50" s="3">
        <f ca="1">IFERROR(__xludf.DUMMYFUNCTION("""COMPUTED_VALUE"""),-0.551058227269278)</f>
        <v>-0.551058227269278</v>
      </c>
      <c r="BY50" s="3">
        <f ca="1">IFERROR(__xludf.DUMMYFUNCTION("""COMPUTED_VALUE"""),-0.562552745143183)</f>
        <v>-0.56255274514318299</v>
      </c>
      <c r="BZ50" s="3">
        <f ca="1">IFERROR(__xludf.DUMMYFUNCTION("""COMPUTED_VALUE"""),-0.568525853038745)</f>
        <v>-0.56852585303874503</v>
      </c>
      <c r="CA50" s="3">
        <f ca="1">IFERROR(__xludf.DUMMYFUNCTION("""COMPUTED_VALUE"""),-0.577628569567584)</f>
        <v>-0.57762856956758402</v>
      </c>
      <c r="CB50" s="3">
        <f ca="1">IFERROR(__xludf.DUMMYFUNCTION("""COMPUTED_VALUE"""),-0.579167446662987)</f>
        <v>-0.57916744666298703</v>
      </c>
      <c r="CC50" s="3">
        <f ca="1">IFERROR(__xludf.DUMMYFUNCTION("""COMPUTED_VALUE"""),-0.493235541820245)</f>
        <v>-0.49323554182024498</v>
      </c>
      <c r="CD50" s="3">
        <f ca="1">IFERROR(__xludf.DUMMYFUNCTION("""COMPUTED_VALUE"""),-0.513621186654311)</f>
        <v>-0.513621186654311</v>
      </c>
      <c r="CE50" s="3">
        <f ca="1">IFERROR(__xludf.DUMMYFUNCTION("""COMPUTED_VALUE"""),-0.54758748312262)</f>
        <v>-0.54758748312261996</v>
      </c>
      <c r="CF50" s="3">
        <f ca="1">IFERROR(__xludf.DUMMYFUNCTION("""COMPUTED_VALUE"""),-0.545930965138734)</f>
        <v>-0.54593096513873396</v>
      </c>
      <c r="CG50" s="3">
        <f ca="1">IFERROR(__xludf.DUMMYFUNCTION("""COMPUTED_VALUE"""),-0.554479172337708)</f>
        <v>-0.55447917233770805</v>
      </c>
      <c r="CH50" s="3">
        <f ca="1">IFERROR(__xludf.DUMMYFUNCTION("""COMPUTED_VALUE"""),-0.543824089411958)</f>
        <v>-0.54382408941195803</v>
      </c>
      <c r="CI50" s="3">
        <f ca="1">IFERROR(__xludf.DUMMYFUNCTION("""COMPUTED_VALUE"""),-0.502417589413939)</f>
        <v>-0.50241758941393899</v>
      </c>
      <c r="CJ50" s="3">
        <f ca="1">IFERROR(__xludf.DUMMYFUNCTION("""COMPUTED_VALUE"""),-0.495582952834803)</f>
        <v>-0.49558295283480303</v>
      </c>
      <c r="CK50" s="3">
        <f ca="1">IFERROR(__xludf.DUMMYFUNCTION("""COMPUTED_VALUE"""),-0.497263051376041)</f>
        <v>-0.49726305137604099</v>
      </c>
      <c r="CL50" s="3">
        <f ca="1">IFERROR(__xludf.DUMMYFUNCTION("""COMPUTED_VALUE"""),-0.537610921562522)</f>
        <v>-0.53761092156252199</v>
      </c>
      <c r="CM50" s="3">
        <f ca="1">IFERROR(__xludf.DUMMYFUNCTION("""COMPUTED_VALUE"""),-0.562016085185174)</f>
        <v>-0.56201608518517399</v>
      </c>
      <c r="CN50" s="3">
        <f ca="1">IFERROR(__xludf.DUMMYFUNCTION("""COMPUTED_VALUE"""),-0.547560378694867)</f>
        <v>-0.54756037869486696</v>
      </c>
      <c r="CO50" s="3">
        <f ca="1">IFERROR(__xludf.DUMMYFUNCTION("""COMPUTED_VALUE"""),-0.559086980456129)</f>
        <v>-0.55908698045612903</v>
      </c>
      <c r="CP50" s="3">
        <f ca="1">IFERROR(__xludf.DUMMYFUNCTION("""COMPUTED_VALUE"""),-0.531813921969805)</f>
        <v>-0.53181392196980504</v>
      </c>
      <c r="CQ50" s="3">
        <f ca="1">IFERROR(__xludf.DUMMYFUNCTION("""COMPUTED_VALUE"""),-0.507596614756565)</f>
        <v>-0.50759661475656503</v>
      </c>
      <c r="CR50" s="3">
        <f ca="1">IFERROR(__xludf.DUMMYFUNCTION("""COMPUTED_VALUE"""),-0.529932098139589)</f>
        <v>-0.52993209813958897</v>
      </c>
      <c r="CS50" s="3">
        <f ca="1">IFERROR(__xludf.DUMMYFUNCTION("""COMPUTED_VALUE"""),-0.518371710039939)</f>
        <v>-0.51837171003993898</v>
      </c>
      <c r="CT50" s="3">
        <f ca="1">IFERROR(__xludf.DUMMYFUNCTION("""COMPUTED_VALUE"""),-0.529256254853562)</f>
        <v>-0.52925625485356198</v>
      </c>
      <c r="CU50" s="3">
        <f ca="1">IFERROR(__xludf.DUMMYFUNCTION("""COMPUTED_VALUE"""),-0.487940622533563)</f>
        <v>-0.48794062253356302</v>
      </c>
      <c r="CV50" s="3">
        <f ca="1">IFERROR(__xludf.DUMMYFUNCTION("""COMPUTED_VALUE"""),-0.53705718963802)</f>
        <v>-0.53705718963801996</v>
      </c>
      <c r="CW50" s="3">
        <f ca="1">IFERROR(__xludf.DUMMYFUNCTION("""COMPUTED_VALUE"""),-0.514219148695579)</f>
        <v>-0.51421914869557905</v>
      </c>
      <c r="CX50" s="3">
        <f ca="1">IFERROR(__xludf.DUMMYFUNCTION("""COMPUTED_VALUE"""),-0.502700829684535)</f>
        <v>-0.502700829684535</v>
      </c>
      <c r="CY50" s="3">
        <f ca="1">IFERROR(__xludf.DUMMYFUNCTION("""COMPUTED_VALUE"""),-0.501262753022129)</f>
        <v>-0.50126275302212897</v>
      </c>
      <c r="CZ50" s="3">
        <f ca="1">IFERROR(__xludf.DUMMYFUNCTION("""COMPUTED_VALUE"""),-0.573036649944887)</f>
        <v>-0.57303664994488701</v>
      </c>
      <c r="DA50" s="3">
        <f ca="1">IFERROR(__xludf.DUMMYFUNCTION("""COMPUTED_VALUE"""),-0.463590502162239)</f>
        <v>-0.46359050216223902</v>
      </c>
      <c r="DB50" s="3">
        <f ca="1">IFERROR(__xludf.DUMMYFUNCTION("""COMPUTED_VALUE"""),-0.404353535296794)</f>
        <v>-0.40435353529679402</v>
      </c>
      <c r="DC50" s="3">
        <f ca="1">IFERROR(__xludf.DUMMYFUNCTION("""COMPUTED_VALUE"""),-0.538448489142465)</f>
        <v>-0.53844848914246501</v>
      </c>
      <c r="DD50" s="3">
        <f ca="1">IFERROR(__xludf.DUMMYFUNCTION("""COMPUTED_VALUE"""),-0.532900459374091)</f>
        <v>-0.53290045937409103</v>
      </c>
      <c r="DE50" s="3">
        <f ca="1">IFERROR(__xludf.DUMMYFUNCTION("""COMPUTED_VALUE"""),-0.507867735530272)</f>
        <v>-0.50786773553027198</v>
      </c>
      <c r="DF50" s="3">
        <f ca="1">IFERROR(__xludf.DUMMYFUNCTION("""COMPUTED_VALUE"""),-0.564134300374555)</f>
        <v>-0.56413430037455503</v>
      </c>
      <c r="DG50" s="3">
        <f ca="1">IFERROR(__xludf.DUMMYFUNCTION("""COMPUTED_VALUE"""),-0.74145112320741)</f>
        <v>-0.74145112320741002</v>
      </c>
      <c r="DH50" s="3">
        <f ca="1">IFERROR(__xludf.DUMMYFUNCTION("""COMPUTED_VALUE"""),-0.514827837166632)</f>
        <v>-0.51482783716663205</v>
      </c>
      <c r="DI50" s="3">
        <f ca="1">IFERROR(__xludf.DUMMYFUNCTION("""COMPUTED_VALUE"""),-0.371029416774281)</f>
        <v>-0.37102941677428097</v>
      </c>
      <c r="DJ50" s="3">
        <f ca="1">IFERROR(__xludf.DUMMYFUNCTION("""COMPUTED_VALUE"""),-0.50393233506444)</f>
        <v>-0.50393233506444002</v>
      </c>
      <c r="DK50" s="3">
        <f ca="1">IFERROR(__xludf.DUMMYFUNCTION("""COMPUTED_VALUE"""),-0.484673235629969)</f>
        <v>-0.484673235629969</v>
      </c>
      <c r="DL50" s="3">
        <f ca="1">IFERROR(__xludf.DUMMYFUNCTION("""COMPUTED_VALUE"""),-0.478135758184931)</f>
        <v>-0.47813575818493098</v>
      </c>
      <c r="DM50" s="3">
        <f ca="1">IFERROR(__xludf.DUMMYFUNCTION("""COMPUTED_VALUE"""),-0.513046644860359)</f>
        <v>-0.513046644860359</v>
      </c>
      <c r="DN50" s="3">
        <f ca="1">IFERROR(__xludf.DUMMYFUNCTION("""COMPUTED_VALUE"""),-0.520982753756426)</f>
        <v>-0.520982753756426</v>
      </c>
      <c r="DO50" s="3">
        <f ca="1">IFERROR(__xludf.DUMMYFUNCTION("""COMPUTED_VALUE"""),-0.525830878686115)</f>
        <v>-0.525830878686115</v>
      </c>
      <c r="DP50" s="3">
        <f ca="1">IFERROR(__xludf.DUMMYFUNCTION("""COMPUTED_VALUE"""),-0.480629426199312)</f>
        <v>-0.48062942619931198</v>
      </c>
      <c r="DQ50" s="3">
        <f ca="1">IFERROR(__xludf.DUMMYFUNCTION("""COMPUTED_VALUE"""),-0.536975768974005)</f>
        <v>-0.53697576897400501</v>
      </c>
      <c r="DR50" s="3">
        <f ca="1">IFERROR(__xludf.DUMMYFUNCTION("""COMPUTED_VALUE"""),-0.527930003267699)</f>
        <v>-0.52793000326769901</v>
      </c>
      <c r="DS50" s="3">
        <f ca="1">IFERROR(__xludf.DUMMYFUNCTION("""COMPUTED_VALUE"""),-0.532802257428358)</f>
        <v>-0.53280225742835796</v>
      </c>
      <c r="DT50" s="3">
        <f ca="1">IFERROR(__xludf.DUMMYFUNCTION("""COMPUTED_VALUE"""),-0.534035647716174)</f>
        <v>-0.53403564771617396</v>
      </c>
      <c r="DU50" s="3">
        <f ca="1">IFERROR(__xludf.DUMMYFUNCTION("""COMPUTED_VALUE"""),-0.544407652391833)</f>
        <v>-0.54440765239183297</v>
      </c>
      <c r="DV50" s="3">
        <f ca="1">IFERROR(__xludf.DUMMYFUNCTION("""COMPUTED_VALUE"""),-0.563209353134114)</f>
        <v>-0.56320935313411402</v>
      </c>
      <c r="DW50" s="3">
        <f ca="1">IFERROR(__xludf.DUMMYFUNCTION("""COMPUTED_VALUE"""),-0.535355540119724)</f>
        <v>-0.53535554011972397</v>
      </c>
      <c r="DX50" s="3">
        <f ca="1">IFERROR(__xludf.DUMMYFUNCTION("""COMPUTED_VALUE"""),-0.558471622622774)</f>
        <v>-0.55847162262277406</v>
      </c>
      <c r="DY50" s="3">
        <f ca="1">IFERROR(__xludf.DUMMYFUNCTION("""COMPUTED_VALUE"""),-0.541133291649221)</f>
        <v>-0.54113329164922097</v>
      </c>
      <c r="DZ50" s="3">
        <f ca="1">IFERROR(__xludf.DUMMYFUNCTION("""COMPUTED_VALUE"""),-0.503779971805226)</f>
        <v>-0.50377997180522605</v>
      </c>
      <c r="EA50" s="3">
        <f ca="1">IFERROR(__xludf.DUMMYFUNCTION("""COMPUTED_VALUE"""),-0.509485072604817)</f>
        <v>-0.50948507260481701</v>
      </c>
      <c r="EB50" s="3">
        <f ca="1">IFERROR(__xludf.DUMMYFUNCTION("""COMPUTED_VALUE"""),-0.507297936596591)</f>
        <v>-0.50729793659659095</v>
      </c>
      <c r="EC50" s="3">
        <f ca="1">IFERROR(__xludf.DUMMYFUNCTION("""COMPUTED_VALUE"""),-0.446915235736376)</f>
        <v>-0.44691523573637598</v>
      </c>
      <c r="ED50" s="3">
        <f ca="1">IFERROR(__xludf.DUMMYFUNCTION("""COMPUTED_VALUE"""),-0.50850546947972)</f>
        <v>-0.50850546947971997</v>
      </c>
      <c r="EE50" s="3">
        <f ca="1">IFERROR(__xludf.DUMMYFUNCTION("""COMPUTED_VALUE"""),-0.549708498281877)</f>
        <v>-0.54970849828187696</v>
      </c>
      <c r="EF50" s="3">
        <f ca="1">IFERROR(__xludf.DUMMYFUNCTION("""COMPUTED_VALUE"""),-0.533488320825957)</f>
        <v>-0.53348832082595699</v>
      </c>
      <c r="EG50" s="3">
        <f ca="1">IFERROR(__xludf.DUMMYFUNCTION("""COMPUTED_VALUE"""),-0.507663584401474)</f>
        <v>-0.50766358440147397</v>
      </c>
      <c r="EH50" s="3">
        <f ca="1">IFERROR(__xludf.DUMMYFUNCTION("""COMPUTED_VALUE"""),-0.522789382907525)</f>
        <v>-0.52278938290752497</v>
      </c>
      <c r="EI50" s="3">
        <f ca="1">IFERROR(__xludf.DUMMYFUNCTION("""COMPUTED_VALUE"""),-0.550315230910327)</f>
        <v>-0.55031523091032697</v>
      </c>
      <c r="EJ50" s="3">
        <f ca="1">IFERROR(__xludf.DUMMYFUNCTION("""COMPUTED_VALUE"""),-0.648083209069727)</f>
        <v>-0.64808320906972705</v>
      </c>
      <c r="EK50" s="3">
        <f ca="1">IFERROR(__xludf.DUMMYFUNCTION("""COMPUTED_VALUE"""),-0.475383209520444)</f>
        <v>-0.47538320952044399</v>
      </c>
      <c r="EL50" s="3">
        <f ca="1">IFERROR(__xludf.DUMMYFUNCTION("""COMPUTED_VALUE"""),-0.530471681293728)</f>
        <v>-0.53047168129372801</v>
      </c>
      <c r="EM50" s="3">
        <f ca="1">IFERROR(__xludf.DUMMYFUNCTION("""COMPUTED_VALUE"""),-0.537744704130763)</f>
        <v>-0.53774470413076303</v>
      </c>
      <c r="EN50" s="3">
        <f ca="1">IFERROR(__xludf.DUMMYFUNCTION("""COMPUTED_VALUE"""),-0.502174442907851)</f>
        <v>-0.50217444290785096</v>
      </c>
      <c r="EO50" s="3">
        <f ca="1">IFERROR(__xludf.DUMMYFUNCTION("""COMPUTED_VALUE"""),-0.516207883083712)</f>
        <v>-0.51620788308371202</v>
      </c>
      <c r="EP50" s="3">
        <f ca="1">IFERROR(__xludf.DUMMYFUNCTION("""COMPUTED_VALUE"""),-0.507640536646475)</f>
        <v>-0.50764053664647502</v>
      </c>
      <c r="EQ50" s="3">
        <f ca="1">IFERROR(__xludf.DUMMYFUNCTION("""COMPUTED_VALUE"""),-0.469284892485623)</f>
        <v>-0.469284892485623</v>
      </c>
      <c r="ER50" s="3">
        <f ca="1">IFERROR(__xludf.DUMMYFUNCTION("""COMPUTED_VALUE"""),-0.516098248355052)</f>
        <v>-0.51609824835505203</v>
      </c>
      <c r="ES50" s="3">
        <f ca="1">IFERROR(__xludf.DUMMYFUNCTION("""COMPUTED_VALUE"""),-0.535103918200855)</f>
        <v>-0.53510391820085501</v>
      </c>
      <c r="ET50" s="3">
        <f ca="1">IFERROR(__xludf.DUMMYFUNCTION("""COMPUTED_VALUE"""),-0.509440402232596)</f>
        <v>-0.50944040223259601</v>
      </c>
      <c r="EU50" s="3">
        <f ca="1">IFERROR(__xludf.DUMMYFUNCTION("""COMPUTED_VALUE"""),-0.510241467640957)</f>
        <v>-0.51024146764095701</v>
      </c>
      <c r="EV50" s="3">
        <f ca="1">IFERROR(__xludf.DUMMYFUNCTION("""COMPUTED_VALUE"""),-0.528278921994882)</f>
        <v>-0.52827892199488202</v>
      </c>
      <c r="EW50" s="3">
        <f ca="1">IFERROR(__xludf.DUMMYFUNCTION("""COMPUTED_VALUE"""),-0.532339114230347)</f>
        <v>-0.53233911423034697</v>
      </c>
      <c r="EX50" s="3">
        <f ca="1">IFERROR(__xludf.DUMMYFUNCTION("""COMPUTED_VALUE"""),-0.537189612837611)</f>
        <v>-0.53718961283761102</v>
      </c>
      <c r="EY50" s="3">
        <f ca="1">IFERROR(__xludf.DUMMYFUNCTION("""COMPUTED_VALUE"""),-0.563877229215103)</f>
        <v>-0.56387722921510297</v>
      </c>
      <c r="EZ50" s="3">
        <f ca="1">IFERROR(__xludf.DUMMYFUNCTION("""COMPUTED_VALUE"""),-0.561646211462126)</f>
        <v>-0.56164621146212601</v>
      </c>
      <c r="FA50" s="3">
        <f ca="1">IFERROR(__xludf.DUMMYFUNCTION("""COMPUTED_VALUE"""),-0.531072597265482)</f>
        <v>-0.53107259726548195</v>
      </c>
      <c r="FB50" s="3">
        <f ca="1">IFERROR(__xludf.DUMMYFUNCTION("""COMPUTED_VALUE"""),-0.557231144869192)</f>
        <v>-0.55723114486919201</v>
      </c>
      <c r="FC50" s="3">
        <f ca="1">IFERROR(__xludf.DUMMYFUNCTION("""COMPUTED_VALUE"""),-0.546903830109381)</f>
        <v>-0.54690383010938104</v>
      </c>
      <c r="FD50" s="3">
        <f ca="1">IFERROR(__xludf.DUMMYFUNCTION("""COMPUTED_VALUE"""),-0.534081394069752)</f>
        <v>-0.53408139406975197</v>
      </c>
      <c r="FE50" s="3">
        <f ca="1">IFERROR(__xludf.DUMMYFUNCTION("""COMPUTED_VALUE"""),-0.54776656058338)</f>
        <v>-0.54776656058338002</v>
      </c>
      <c r="FF50" s="3">
        <f ca="1">IFERROR(__xludf.DUMMYFUNCTION("""COMPUTED_VALUE"""),-0.56408269443017)</f>
        <v>-0.56408269443017001</v>
      </c>
      <c r="FG50" s="3">
        <f ca="1">IFERROR(__xludf.DUMMYFUNCTION("""COMPUTED_VALUE"""),-0.510496858629978)</f>
        <v>-0.51049685862997796</v>
      </c>
      <c r="FH50" s="3">
        <f ca="1">IFERROR(__xludf.DUMMYFUNCTION("""COMPUTED_VALUE"""),-0.512801258169806)</f>
        <v>-0.51280125816980604</v>
      </c>
      <c r="FI50" s="3">
        <f ca="1">IFERROR(__xludf.DUMMYFUNCTION("""COMPUTED_VALUE"""),-0.460118263510894)</f>
        <v>-0.46011826351089402</v>
      </c>
      <c r="FJ50" s="3">
        <f ca="1">IFERROR(__xludf.DUMMYFUNCTION("""COMPUTED_VALUE"""),-0.509385836001014)</f>
        <v>-0.50938583600101395</v>
      </c>
      <c r="FK50" s="3">
        <f ca="1">IFERROR(__xludf.DUMMYFUNCTION("""COMPUTED_VALUE"""),-0.51784194741532)</f>
        <v>-0.51784194741531997</v>
      </c>
      <c r="FL50" s="3">
        <f ca="1">IFERROR(__xludf.DUMMYFUNCTION("""COMPUTED_VALUE"""),-0.546509258531395)</f>
        <v>-0.54650925853139498</v>
      </c>
      <c r="FM50" s="3">
        <f ca="1">IFERROR(__xludf.DUMMYFUNCTION("""COMPUTED_VALUE"""),-0.562223728422462)</f>
        <v>-0.56222372842246204</v>
      </c>
      <c r="FN50" s="3">
        <f ca="1">IFERROR(__xludf.DUMMYFUNCTION("""COMPUTED_VALUE"""),-0.582632686937916)</f>
        <v>-0.58263268693791603</v>
      </c>
      <c r="FO50" s="3">
        <f ca="1">IFERROR(__xludf.DUMMYFUNCTION("""COMPUTED_VALUE"""),-0.575484365993787)</f>
        <v>-0.57548436599378705</v>
      </c>
      <c r="FP50" s="3">
        <f ca="1">IFERROR(__xludf.DUMMYFUNCTION("""COMPUTED_VALUE"""),-0.516658670230435)</f>
        <v>-0.51665867023043499</v>
      </c>
      <c r="FQ50" s="3">
        <f ca="1">IFERROR(__xludf.DUMMYFUNCTION("""COMPUTED_VALUE"""),-0.527551413670474)</f>
        <v>-0.52755141367047398</v>
      </c>
      <c r="FR50" s="3">
        <f ca="1">IFERROR(__xludf.DUMMYFUNCTION("""COMPUTED_VALUE"""),-0.533921087943711)</f>
        <v>-0.53392108794371096</v>
      </c>
      <c r="FS50" s="3">
        <f ca="1">IFERROR(__xludf.DUMMYFUNCTION("""COMPUTED_VALUE"""),-0.541216366585447)</f>
        <v>-0.54121636658544703</v>
      </c>
      <c r="FT50" s="3">
        <f ca="1">IFERROR(__xludf.DUMMYFUNCTION("""COMPUTED_VALUE"""),-0.551768161904992)</f>
        <v>-0.551768161904992</v>
      </c>
      <c r="FU50" s="3">
        <f ca="1">IFERROR(__xludf.DUMMYFUNCTION("""COMPUTED_VALUE"""),-0.554772705015701)</f>
        <v>-0.55477270501570097</v>
      </c>
      <c r="FV50" s="3">
        <f ca="1">IFERROR(__xludf.DUMMYFUNCTION("""COMPUTED_VALUE"""),-0.531554402461398)</f>
        <v>-0.53155440246139796</v>
      </c>
      <c r="FW50" s="3">
        <f ca="1">IFERROR(__xludf.DUMMYFUNCTION("""COMPUTED_VALUE"""),-0.48588051721941)</f>
        <v>-0.48588051721941</v>
      </c>
      <c r="FX50" s="3">
        <f ca="1">IFERROR(__xludf.DUMMYFUNCTION("""COMPUTED_VALUE"""),-0.517455190752553)</f>
        <v>-0.51745519075255297</v>
      </c>
      <c r="FY50" s="3">
        <f ca="1">IFERROR(__xludf.DUMMYFUNCTION("""COMPUTED_VALUE"""),-0.510713008306763)</f>
        <v>-0.51071300830676303</v>
      </c>
      <c r="FZ50" s="3">
        <f ca="1">IFERROR(__xludf.DUMMYFUNCTION("""COMPUTED_VALUE"""),-0.540574851412667)</f>
        <v>-0.54057485141266703</v>
      </c>
      <c r="GA50" s="3">
        <f ca="1">IFERROR(__xludf.DUMMYFUNCTION("""COMPUTED_VALUE"""),-0.549352956289004)</f>
        <v>-0.54935295628900405</v>
      </c>
      <c r="GB50" s="3">
        <f ca="1">IFERROR(__xludf.DUMMYFUNCTION("""COMPUTED_VALUE"""),-0.559300835941106)</f>
        <v>-0.55930083594110602</v>
      </c>
      <c r="GC50" s="3">
        <f ca="1">IFERROR(__xludf.DUMMYFUNCTION("""COMPUTED_VALUE"""),-0.558821285344474)</f>
        <v>-0.55882128534447395</v>
      </c>
      <c r="GD50" s="3">
        <f ca="1">IFERROR(__xludf.DUMMYFUNCTION("""COMPUTED_VALUE"""),-0.464259772164644)</f>
        <v>-0.46425977216464398</v>
      </c>
      <c r="GE50" s="3">
        <f ca="1">IFERROR(__xludf.DUMMYFUNCTION("""COMPUTED_VALUE"""),-0.531451375341294)</f>
        <v>-0.53145137534129405</v>
      </c>
      <c r="GF50" s="3">
        <f ca="1">IFERROR(__xludf.DUMMYFUNCTION("""COMPUTED_VALUE"""),-0.535683683903757)</f>
        <v>-0.53568368390375698</v>
      </c>
      <c r="GG50" s="3">
        <f ca="1">IFERROR(__xludf.DUMMYFUNCTION("""COMPUTED_VALUE"""),-0.559474222057211)</f>
        <v>-0.55947422205721098</v>
      </c>
      <c r="GH50" s="3">
        <f ca="1">IFERROR(__xludf.DUMMYFUNCTION("""COMPUTED_VALUE"""),-0.551301784793702)</f>
        <v>-0.55130178479370195</v>
      </c>
      <c r="GI50" s="3">
        <f ca="1">IFERROR(__xludf.DUMMYFUNCTION("""COMPUTED_VALUE"""),-0.550562140250335)</f>
        <v>-0.55056214025033501</v>
      </c>
      <c r="GJ50" s="3">
        <f ca="1">IFERROR(__xludf.DUMMYFUNCTION("""COMPUTED_VALUE"""),-0.527027129634039)</f>
        <v>-0.52702712963403897</v>
      </c>
      <c r="GK50" s="3">
        <f ca="1">IFERROR(__xludf.DUMMYFUNCTION("""COMPUTED_VALUE"""),-0.490915212476994)</f>
        <v>-0.49091521247699399</v>
      </c>
      <c r="GL50" s="3">
        <f ca="1">IFERROR(__xludf.DUMMYFUNCTION("""COMPUTED_VALUE"""),-0.528315513735023)</f>
        <v>-0.52831551373502295</v>
      </c>
      <c r="GM50" s="3">
        <f ca="1">IFERROR(__xludf.DUMMYFUNCTION("""COMPUTED_VALUE"""),-0.527786196979642)</f>
        <v>-0.52778619697964202</v>
      </c>
      <c r="GN50" s="3">
        <f ca="1">IFERROR(__xludf.DUMMYFUNCTION("""COMPUTED_VALUE"""),-0.548317384332544)</f>
        <v>-0.54831738433254396</v>
      </c>
      <c r="GO50" s="3">
        <f ca="1">IFERROR(__xludf.DUMMYFUNCTION("""COMPUTED_VALUE"""),-0.565974260297707)</f>
        <v>-0.56597426029770703</v>
      </c>
      <c r="GP50" s="3">
        <f ca="1">IFERROR(__xludf.DUMMYFUNCTION("""COMPUTED_VALUE"""),-0.569197957921469)</f>
        <v>-0.56919795792146899</v>
      </c>
      <c r="GQ50" s="3">
        <f ca="1">IFERROR(__xludf.DUMMYFUNCTION("""COMPUTED_VALUE"""),-0.563058915873744)</f>
        <v>-0.56305891587374401</v>
      </c>
      <c r="GR50" s="3">
        <f ca="1">IFERROR(__xludf.DUMMYFUNCTION("""COMPUTED_VALUE"""),-0.510599311866436)</f>
        <v>-0.51059931186643603</v>
      </c>
      <c r="GS50" s="3">
        <f ca="1">IFERROR(__xludf.DUMMYFUNCTION("""COMPUTED_VALUE"""),-0.528547612367979)</f>
        <v>-0.52854761236797898</v>
      </c>
      <c r="GT50" s="3">
        <f ca="1">IFERROR(__xludf.DUMMYFUNCTION("""COMPUTED_VALUE"""),-0.553011524396897)</f>
        <v>-0.55301152439689705</v>
      </c>
      <c r="GU50" s="3">
        <f ca="1">IFERROR(__xludf.DUMMYFUNCTION("""COMPUTED_VALUE"""),-0.565236086081004)</f>
        <v>-0.56523608608100395</v>
      </c>
      <c r="GV50" s="3">
        <f ca="1">IFERROR(__xludf.DUMMYFUNCTION("""COMPUTED_VALUE"""),-0.562951021787287)</f>
        <v>-0.56295102178728695</v>
      </c>
      <c r="GW50" s="3">
        <f ca="1">IFERROR(__xludf.DUMMYFUNCTION("""COMPUTED_VALUE"""),-0.557453374363214)</f>
        <v>-0.55745337436321396</v>
      </c>
      <c r="GX50" s="3">
        <f ca="1">IFERROR(__xludf.DUMMYFUNCTION("""COMPUTED_VALUE"""),-0.561729957541277)</f>
        <v>-0.56172995754127697</v>
      </c>
      <c r="GY50" s="3">
        <f ca="1">IFERROR(__xludf.DUMMYFUNCTION("""COMPUTED_VALUE"""),-0.508395412465262)</f>
        <v>-0.50839541246526199</v>
      </c>
      <c r="GZ50" s="3">
        <f ca="1">IFERROR(__xludf.DUMMYFUNCTION("""COMPUTED_VALUE"""),-0.520619905323909)</f>
        <v>-0.520619905323909</v>
      </c>
      <c r="HA50" s="3">
        <f ca="1">IFERROR(__xludf.DUMMYFUNCTION("""COMPUTED_VALUE"""),-0.537882707503359)</f>
        <v>-0.53788270750335898</v>
      </c>
      <c r="HB50" s="3">
        <f ca="1">IFERROR(__xludf.DUMMYFUNCTION("""COMPUTED_VALUE"""),-0.505090116633125)</f>
        <v>-0.50509011663312497</v>
      </c>
      <c r="HC50" s="3">
        <f ca="1">IFERROR(__xludf.DUMMYFUNCTION("""COMPUTED_VALUE"""),-0.565188601866636)</f>
        <v>-0.565188601866636</v>
      </c>
      <c r="HD50" s="3">
        <f ca="1">IFERROR(__xludf.DUMMYFUNCTION("""COMPUTED_VALUE"""),-0.561316939410039)</f>
        <v>-0.56131693941003902</v>
      </c>
      <c r="HE50" s="3">
        <f ca="1">IFERROR(__xludf.DUMMYFUNCTION("""COMPUTED_VALUE"""),-0.556377687966238)</f>
        <v>-0.55637768796623799</v>
      </c>
      <c r="HF50" s="3">
        <f ca="1">IFERROR(__xludf.DUMMYFUNCTION("""COMPUTED_VALUE"""),-0.502352637559415)</f>
        <v>-0.50235263755941495</v>
      </c>
      <c r="HG50" s="3">
        <f ca="1">IFERROR(__xludf.DUMMYFUNCTION("""COMPUTED_VALUE"""),-0.527475145721378)</f>
        <v>-0.52747514572137799</v>
      </c>
      <c r="HH50" s="3">
        <f ca="1">IFERROR(__xludf.DUMMYFUNCTION("""COMPUTED_VALUE"""),-0.554170657203803)</f>
        <v>-0.55417065720380299</v>
      </c>
      <c r="HI50" s="3">
        <f ca="1">IFERROR(__xludf.DUMMYFUNCTION("""COMPUTED_VALUE"""),-0.56119669952854)</f>
        <v>-0.56119669952854001</v>
      </c>
      <c r="HJ50" s="3">
        <f ca="1">IFERROR(__xludf.DUMMYFUNCTION("""COMPUTED_VALUE"""),-0.567859555258568)</f>
        <v>-0.56785955525856802</v>
      </c>
      <c r="HK50" s="3">
        <f ca="1">IFERROR(__xludf.DUMMYFUNCTION("""COMPUTED_VALUE"""),-0.57617559938478)</f>
        <v>-0.57617559938478002</v>
      </c>
      <c r="HL50" s="3">
        <f ca="1">IFERROR(__xludf.DUMMYFUNCTION("""COMPUTED_VALUE"""),-0.598679013844462)</f>
        <v>-0.59867901384446198</v>
      </c>
      <c r="HM50" s="3">
        <f ca="1">IFERROR(__xludf.DUMMYFUNCTION("""COMPUTED_VALUE"""),-0.494385233024866)</f>
        <v>-0.49438523302486598</v>
      </c>
      <c r="HN50" s="3">
        <f ca="1">IFERROR(__xludf.DUMMYFUNCTION("""COMPUTED_VALUE"""),-0.510377394576314)</f>
        <v>-0.51037739457631404</v>
      </c>
      <c r="HO50" s="3">
        <f ca="1">IFERROR(__xludf.DUMMYFUNCTION("""COMPUTED_VALUE"""),-0.537180291731918)</f>
        <v>-0.53718029173191795</v>
      </c>
      <c r="HP50" s="3">
        <f ca="1">IFERROR(__xludf.DUMMYFUNCTION("""COMPUTED_VALUE"""),-0.527434208001221)</f>
        <v>-0.52743420800122098</v>
      </c>
      <c r="HQ50" s="3">
        <f ca="1">IFERROR(__xludf.DUMMYFUNCTION("""COMPUTED_VALUE"""),-0.56313499012874)</f>
        <v>-0.56313499012874002</v>
      </c>
      <c r="HR50" s="3">
        <f ca="1">IFERROR(__xludf.DUMMYFUNCTION("""COMPUTED_VALUE"""),-0.557414201877189)</f>
        <v>-0.55741420187718904</v>
      </c>
      <c r="HS50" s="3">
        <f ca="1">IFERROR(__xludf.DUMMYFUNCTION("""COMPUTED_VALUE"""),-0.548179846129089)</f>
        <v>-0.54817984612908899</v>
      </c>
      <c r="HT50" s="3">
        <f ca="1">IFERROR(__xludf.DUMMYFUNCTION("""COMPUTED_VALUE"""),-0.517523876023002)</f>
        <v>-0.51752387602300198</v>
      </c>
      <c r="HU50" s="3">
        <f ca="1">IFERROR(__xludf.DUMMYFUNCTION("""COMPUTED_VALUE"""),-0.531291286448917)</f>
        <v>-0.53129128644891699</v>
      </c>
      <c r="HV50" s="3">
        <f ca="1">IFERROR(__xludf.DUMMYFUNCTION("""COMPUTED_VALUE"""),-0.553989231791374)</f>
        <v>-0.55398923179137405</v>
      </c>
      <c r="HW50" s="3">
        <f ca="1">IFERROR(__xludf.DUMMYFUNCTION("""COMPUTED_VALUE"""),-0.555688630933999)</f>
        <v>-0.55568863093399901</v>
      </c>
      <c r="HX50" s="3">
        <f ca="1">IFERROR(__xludf.DUMMYFUNCTION("""COMPUTED_VALUE"""),-0.56734679431793)</f>
        <v>-0.56734679431793</v>
      </c>
      <c r="HY50" s="3">
        <f ca="1">IFERROR(__xludf.DUMMYFUNCTION("""COMPUTED_VALUE"""),-0.565441829585776)</f>
        <v>-0.56544182958577605</v>
      </c>
      <c r="HZ50" s="3">
        <f ca="1">IFERROR(__xludf.DUMMYFUNCTION("""COMPUTED_VALUE"""),-0.51606456501112)</f>
        <v>-0.51606456501111997</v>
      </c>
      <c r="IA50" s="3">
        <f ca="1">IFERROR(__xludf.DUMMYFUNCTION("""COMPUTED_VALUE"""),-0.521968195653599)</f>
        <v>-0.52196819565359898</v>
      </c>
      <c r="IB50" s="3">
        <f ca="1">IFERROR(__xludf.DUMMYFUNCTION("""COMPUTED_VALUE"""),-0.521134933895542)</f>
        <v>-0.521134933895542</v>
      </c>
      <c r="IC50" s="3">
        <f ca="1">IFERROR(__xludf.DUMMYFUNCTION("""COMPUTED_VALUE"""),-0.530734136862348)</f>
        <v>-0.53073413686234805</v>
      </c>
      <c r="ID50" s="3">
        <f ca="1">IFERROR(__xludf.DUMMYFUNCTION("""COMPUTED_VALUE"""),-0.529601798133062)</f>
        <v>-0.52960179813306196</v>
      </c>
      <c r="IE50" s="3">
        <f ca="1">IFERROR(__xludf.DUMMYFUNCTION("""COMPUTED_VALUE"""),-0.545605533938105)</f>
        <v>-0.54560553393810496</v>
      </c>
      <c r="IF50" s="3">
        <f ca="1">IFERROR(__xludf.DUMMYFUNCTION("""COMPUTED_VALUE"""),-0.552294180938387)</f>
        <v>-0.552294180938387</v>
      </c>
      <c r="IG50" s="3">
        <f ca="1">IFERROR(__xludf.DUMMYFUNCTION("""COMPUTED_VALUE"""),-0.541971964035411)</f>
        <v>-0.54197196403541104</v>
      </c>
      <c r="IH50" s="3">
        <f ca="1">IFERROR(__xludf.DUMMYFUNCTION("""COMPUTED_VALUE"""),-0.502109801686408)</f>
        <v>-0.50210980168640795</v>
      </c>
      <c r="II50" s="3">
        <f ca="1">IFERROR(__xludf.DUMMYFUNCTION("""COMPUTED_VALUE"""),-0.509254751500732)</f>
        <v>-0.50925475150073196</v>
      </c>
      <c r="IJ50" s="3">
        <f ca="1">IFERROR(__xludf.DUMMYFUNCTION("""COMPUTED_VALUE"""),-0.522647094846747)</f>
        <v>-0.52264709484674698</v>
      </c>
      <c r="IK50" s="3">
        <f ca="1">IFERROR(__xludf.DUMMYFUNCTION("""COMPUTED_VALUE"""),-0.535225586543211)</f>
        <v>-0.53522558654321095</v>
      </c>
      <c r="IL50" s="3">
        <f ca="1">IFERROR(__xludf.DUMMYFUNCTION("""COMPUTED_VALUE"""),-0.524818153441716)</f>
        <v>-0.52481815344171601</v>
      </c>
      <c r="IM50" s="3">
        <f ca="1">IFERROR(__xludf.DUMMYFUNCTION("""COMPUTED_VALUE"""),-0.532927304444846)</f>
        <v>-0.53292730444484604</v>
      </c>
      <c r="IN50" s="3">
        <f ca="1">IFERROR(__xludf.DUMMYFUNCTION("""COMPUTED_VALUE"""),-0.521590787841717)</f>
        <v>-0.52159078784171697</v>
      </c>
      <c r="IO50" s="3">
        <f ca="1">IFERROR(__xludf.DUMMYFUNCTION("""COMPUTED_VALUE"""),-0.51975146015634)</f>
        <v>-0.51975146015633999</v>
      </c>
      <c r="IP50" s="3">
        <f ca="1">IFERROR(__xludf.DUMMYFUNCTION("""COMPUTED_VALUE"""),-0.510100960064158)</f>
        <v>-0.51010096006415795</v>
      </c>
      <c r="IQ50" s="3">
        <f ca="1">IFERROR(__xludf.DUMMYFUNCTION("""COMPUTED_VALUE"""),-0.512932587444519)</f>
        <v>-0.51293258744451897</v>
      </c>
      <c r="IR50" s="3">
        <f ca="1">IFERROR(__xludf.DUMMYFUNCTION("""COMPUTED_VALUE"""),-0.537739500066692)</f>
        <v>-0.53773950006669202</v>
      </c>
      <c r="IS50" s="3">
        <f ca="1">IFERROR(__xludf.DUMMYFUNCTION("""COMPUTED_VALUE"""),-0.511151044018964)</f>
        <v>-0.51115104401896405</v>
      </c>
      <c r="IT50" s="3">
        <f ca="1">IFERROR(__xludf.DUMMYFUNCTION("""COMPUTED_VALUE"""),-0.519571111022182)</f>
        <v>-0.51957111102218201</v>
      </c>
      <c r="IU50" s="3">
        <f ca="1">IFERROR(__xludf.DUMMYFUNCTION("""COMPUTED_VALUE"""),-0.509779237059375)</f>
        <v>-0.509779237059375</v>
      </c>
      <c r="IV50" s="3">
        <f ca="1">IFERROR(__xludf.DUMMYFUNCTION("""COMPUTED_VALUE"""),-0.520179317810667)</f>
        <v>-0.52017931781066695</v>
      </c>
      <c r="IW50" s="3">
        <f ca="1">IFERROR(__xludf.DUMMYFUNCTION("""COMPUTED_VALUE"""),-0.519962578776704)</f>
        <v>-0.51996257877670404</v>
      </c>
      <c r="IX50" s="3">
        <f ca="1">IFERROR(__xludf.DUMMYFUNCTION("""COMPUTED_VALUE"""),-0.518693620481146)</f>
        <v>-0.51869362048114598</v>
      </c>
      <c r="IY50" s="3">
        <f ca="1">IFERROR(__xludf.DUMMYFUNCTION("""COMPUTED_VALUE"""),-0.540803714568279)</f>
        <v>-0.54080371456827903</v>
      </c>
      <c r="IZ50" s="3">
        <f ca="1">IFERROR(__xludf.DUMMYFUNCTION("""COMPUTED_VALUE"""),-0.515780275606591)</f>
        <v>-0.51578027560659101</v>
      </c>
      <c r="JA50" s="3">
        <f ca="1">IFERROR(__xludf.DUMMYFUNCTION("""COMPUTED_VALUE"""),-0.52878166257078)</f>
        <v>-0.52878166257077996</v>
      </c>
      <c r="JB50" s="3">
        <f ca="1">IFERROR(__xludf.DUMMYFUNCTION("""COMPUTED_VALUE"""),-0.517578447970508)</f>
        <v>-0.517578447970508</v>
      </c>
      <c r="JC50" s="3">
        <f ca="1">IFERROR(__xludf.DUMMYFUNCTION("""COMPUTED_VALUE"""),-0.522112174590123)</f>
        <v>-0.52211217459012305</v>
      </c>
      <c r="JD50" s="3">
        <f ca="1">IFERROR(__xludf.DUMMYFUNCTION("""COMPUTED_VALUE"""),-0.53480389538744)</f>
        <v>-0.53480389538744</v>
      </c>
      <c r="JE50" s="3">
        <f ca="1">IFERROR(__xludf.DUMMYFUNCTION("""COMPUTED_VALUE"""),-0.539233571142106)</f>
        <v>-0.53923357114210602</v>
      </c>
      <c r="JF50" s="3">
        <f ca="1">IFERROR(__xludf.DUMMYFUNCTION("""COMPUTED_VALUE"""),-0.519866827024353)</f>
        <v>-0.51986682702435305</v>
      </c>
      <c r="JG50" s="3">
        <f ca="1">IFERROR(__xludf.DUMMYFUNCTION("""COMPUTED_VALUE"""),-0.513828202344077)</f>
        <v>-0.513828202344077</v>
      </c>
      <c r="JH50" s="3">
        <f ca="1">IFERROR(__xludf.DUMMYFUNCTION("""COMPUTED_VALUE"""),-0.515409670853094)</f>
        <v>-0.51540967085309397</v>
      </c>
      <c r="JI50" s="3">
        <f ca="1">IFERROR(__xludf.DUMMYFUNCTION("""COMPUTED_VALUE"""),-0.526341803932497)</f>
        <v>-0.52634180393249697</v>
      </c>
      <c r="JJ50" s="3">
        <f ca="1">IFERROR(__xludf.DUMMYFUNCTION("""COMPUTED_VALUE"""),-0.519844742875739)</f>
        <v>-0.51984474287573901</v>
      </c>
      <c r="JK50" s="3">
        <f ca="1">IFERROR(__xludf.DUMMYFUNCTION("""COMPUTED_VALUE"""),-0.510789674233364)</f>
        <v>-0.51078967423336397</v>
      </c>
      <c r="JL50" s="3">
        <f ca="1">IFERROR(__xludf.DUMMYFUNCTION("""COMPUTED_VALUE"""),-0.512955014089843)</f>
        <v>-0.51295501408984301</v>
      </c>
      <c r="JM50" s="3">
        <f ca="1">IFERROR(__xludf.DUMMYFUNCTION("""COMPUTED_VALUE"""),-0.500905858823059)</f>
        <v>-0.50090585882305905</v>
      </c>
      <c r="JN50" s="3">
        <f ca="1">IFERROR(__xludf.DUMMYFUNCTION("""COMPUTED_VALUE"""),-0.510660324883278)</f>
        <v>-0.51066032488327795</v>
      </c>
      <c r="JO50" s="3">
        <f ca="1">IFERROR(__xludf.DUMMYFUNCTION("""COMPUTED_VALUE"""),-0.506800624368759)</f>
        <v>-0.50680062436875895</v>
      </c>
      <c r="JP50" s="3">
        <f ca="1">IFERROR(__xludf.DUMMYFUNCTION("""COMPUTED_VALUE"""),-0.508789115337563)</f>
        <v>-0.50878911533756299</v>
      </c>
      <c r="JQ50" s="3">
        <f ca="1">IFERROR(__xludf.DUMMYFUNCTION("""COMPUTED_VALUE"""),-0.51612655028681)</f>
        <v>-0.51612655028680998</v>
      </c>
      <c r="JR50" s="3">
        <f ca="1">IFERROR(__xludf.DUMMYFUNCTION("""COMPUTED_VALUE"""),-0.499303823839846)</f>
        <v>-0.49930382383984601</v>
      </c>
      <c r="JS50" s="3">
        <f ca="1">IFERROR(__xludf.DUMMYFUNCTION("""COMPUTED_VALUE"""),-0.492588724090562)</f>
        <v>-0.49258872409056198</v>
      </c>
      <c r="JT50" s="3">
        <f ca="1">IFERROR(__xludf.DUMMYFUNCTION("""COMPUTED_VALUE"""),-0.464566450943458)</f>
        <v>-0.464566450943458</v>
      </c>
      <c r="JU50" s="3">
        <f ca="1">IFERROR(__xludf.DUMMYFUNCTION("""COMPUTED_VALUE"""),-0.510900613833196)</f>
        <v>-0.51090061383319596</v>
      </c>
      <c r="JV50" s="3">
        <f ca="1">IFERROR(__xludf.DUMMYFUNCTION("""COMPUTED_VALUE"""),-0.508920185928783)</f>
        <v>-0.50892018592878296</v>
      </c>
      <c r="JW50" s="3">
        <f ca="1">IFERROR(__xludf.DUMMYFUNCTION("""COMPUTED_VALUE"""),-0.501591929743562)</f>
        <v>-0.50159192974356204</v>
      </c>
      <c r="JX50" s="3">
        <f ca="1">IFERROR(__xludf.DUMMYFUNCTION("""COMPUTED_VALUE"""),-0.482359323046677)</f>
        <v>-0.482359323046677</v>
      </c>
      <c r="JY50" s="3">
        <f ca="1">IFERROR(__xludf.DUMMYFUNCTION("""COMPUTED_VALUE"""),-0.525259136531881)</f>
        <v>-0.52525913653188105</v>
      </c>
      <c r="JZ50" s="3">
        <f ca="1">IFERROR(__xludf.DUMMYFUNCTION("""COMPUTED_VALUE"""),-0.514217901092101)</f>
        <v>-0.51421790109210097</v>
      </c>
      <c r="KA50" s="3">
        <f ca="1">IFERROR(__xludf.DUMMYFUNCTION("""COMPUTED_VALUE"""),-0.452028647796719)</f>
        <v>-0.45202864779671897</v>
      </c>
      <c r="KB50" s="3">
        <f ca="1">IFERROR(__xludf.DUMMYFUNCTION("""COMPUTED_VALUE"""),-0.466158153866975)</f>
        <v>-0.46615815386697501</v>
      </c>
      <c r="KC50" s="3">
        <f ca="1">IFERROR(__xludf.DUMMYFUNCTION("""COMPUTED_VALUE"""),-0.526111937846155)</f>
        <v>-0.52611193784615495</v>
      </c>
      <c r="KD50" s="3">
        <f ca="1">IFERROR(__xludf.DUMMYFUNCTION("""COMPUTED_VALUE"""),-0.528196239988165)</f>
        <v>-0.52819623998816501</v>
      </c>
      <c r="KE50" s="3">
        <f ca="1">IFERROR(__xludf.DUMMYFUNCTION("""COMPUTED_VALUE"""),-0.502461499914678)</f>
        <v>-0.50246149991467803</v>
      </c>
      <c r="KF50" s="3">
        <f ca="1">IFERROR(__xludf.DUMMYFUNCTION("""COMPUTED_VALUE"""),-0.477321169554222)</f>
        <v>-0.47732116955422199</v>
      </c>
      <c r="KG50" s="3">
        <f ca="1">IFERROR(__xludf.DUMMYFUNCTION("""COMPUTED_VALUE"""),-0.483731695608786)</f>
        <v>-0.48373169560878598</v>
      </c>
      <c r="KH50" s="3">
        <f ca="1">IFERROR(__xludf.DUMMYFUNCTION("""COMPUTED_VALUE"""),-0.44576305065391)</f>
        <v>-0.44576305065390998</v>
      </c>
      <c r="KI50" s="3">
        <f ca="1">IFERROR(__xludf.DUMMYFUNCTION("""COMPUTED_VALUE"""),-0.477168881199128)</f>
        <v>-0.47716888119912798</v>
      </c>
      <c r="KJ50" s="3">
        <f ca="1">IFERROR(__xludf.DUMMYFUNCTION("""COMPUTED_VALUE"""),-0.471897305429097)</f>
        <v>-0.47189730542909702</v>
      </c>
      <c r="KK50" s="3">
        <f ca="1">IFERROR(__xludf.DUMMYFUNCTION("""COMPUTED_VALUE"""),-0.466663098676616)</f>
        <v>-0.46666309867661598</v>
      </c>
      <c r="KL50" s="3">
        <f ca="1">IFERROR(__xludf.DUMMYFUNCTION("""COMPUTED_VALUE"""),-0.468403931907611)</f>
        <v>-0.46840393190761098</v>
      </c>
      <c r="KM50" s="3">
        <f ca="1">IFERROR(__xludf.DUMMYFUNCTION("""COMPUTED_VALUE"""),-0.501384792515133)</f>
        <v>-0.50138479251513302</v>
      </c>
      <c r="KN50" s="3">
        <f ca="1">IFERROR(__xludf.DUMMYFUNCTION("""COMPUTED_VALUE"""),-0.493819158800284)</f>
        <v>-0.49381915880028399</v>
      </c>
      <c r="KO50" s="3">
        <f ca="1">IFERROR(__xludf.DUMMYFUNCTION("""COMPUTED_VALUE"""),-0.488936750248878)</f>
        <v>-0.488936750248878</v>
      </c>
      <c r="KP50" s="3">
        <f ca="1">IFERROR(__xludf.DUMMYFUNCTION("""COMPUTED_VALUE"""),-0.513656257499995)</f>
        <v>-0.51365625749999499</v>
      </c>
      <c r="KQ50" s="3">
        <f ca="1">IFERROR(__xludf.DUMMYFUNCTION("""COMPUTED_VALUE"""),-0.497421187847393)</f>
        <v>-0.49742118784739298</v>
      </c>
      <c r="KR50" s="3">
        <f ca="1">IFERROR(__xludf.DUMMYFUNCTION("""COMPUTED_VALUE"""),-0.507335705055682)</f>
        <v>-0.50733570505568204</v>
      </c>
      <c r="KS50" s="3">
        <f ca="1">IFERROR(__xludf.DUMMYFUNCTION("""COMPUTED_VALUE"""),-0.492899993696728)</f>
        <v>-0.49289999369672799</v>
      </c>
      <c r="KT50" s="3">
        <f ca="1">IFERROR(__xludf.DUMMYFUNCTION("""COMPUTED_VALUE"""),-0.527435639869862)</f>
        <v>-0.52743563986986197</v>
      </c>
      <c r="KU50" s="3">
        <f ca="1">IFERROR(__xludf.DUMMYFUNCTION("""COMPUTED_VALUE"""),-0.517006484001261)</f>
        <v>-0.51700648400126104</v>
      </c>
      <c r="KV50" s="3">
        <f ca="1">IFERROR(__xludf.DUMMYFUNCTION("""COMPUTED_VALUE"""),-0.540804318400076)</f>
        <v>-0.54080431840007603</v>
      </c>
      <c r="KW50" s="3">
        <f ca="1">IFERROR(__xludf.DUMMYFUNCTION("""COMPUTED_VALUE"""),-0.508303004349042)</f>
        <v>-0.50830300434904196</v>
      </c>
      <c r="KX50" s="3">
        <f ca="1">IFERROR(__xludf.DUMMYFUNCTION("""COMPUTED_VALUE"""),-0.525388432697144)</f>
        <v>-0.52538843269714397</v>
      </c>
      <c r="KY50" s="3">
        <f ca="1">IFERROR(__xludf.DUMMYFUNCTION("""COMPUTED_VALUE"""),-0.515429899459172)</f>
        <v>-0.51542989945917195</v>
      </c>
      <c r="KZ50" s="3">
        <f ca="1">IFERROR(__xludf.DUMMYFUNCTION("""COMPUTED_VALUE"""),-0.509796982848948)</f>
        <v>-0.50979698284894803</v>
      </c>
      <c r="LA50" s="3">
        <f ca="1">IFERROR(__xludf.DUMMYFUNCTION("""COMPUTED_VALUE"""),-0.492434826558155)</f>
        <v>-0.49243482655815501</v>
      </c>
      <c r="LB50" s="3">
        <f ca="1">IFERROR(__xludf.DUMMYFUNCTION("""COMPUTED_VALUE"""),-0.488637323715863)</f>
        <v>-0.48863732371586299</v>
      </c>
      <c r="LC50" s="3">
        <f ca="1">IFERROR(__xludf.DUMMYFUNCTION("""COMPUTED_VALUE"""),-0.497227023471814)</f>
        <v>-0.49722702347181402</v>
      </c>
      <c r="LD50" s="3">
        <f ca="1">IFERROR(__xludf.DUMMYFUNCTION("""COMPUTED_VALUE"""),-0.531681456818174)</f>
        <v>-0.53168145681817403</v>
      </c>
      <c r="LE50" s="3">
        <f ca="1">IFERROR(__xludf.DUMMYFUNCTION("""COMPUTED_VALUE"""),-0.537072291962315)</f>
        <v>-0.53707229196231498</v>
      </c>
      <c r="LF50" s="3">
        <f ca="1">IFERROR(__xludf.DUMMYFUNCTION("""COMPUTED_VALUE"""),-0.49881664049965)</f>
        <v>-0.49881664049965002</v>
      </c>
      <c r="LG50" s="3">
        <f ca="1">IFERROR(__xludf.DUMMYFUNCTION("""COMPUTED_VALUE"""),-0.545181797717426)</f>
        <v>-0.54518179771742603</v>
      </c>
      <c r="LH50" s="3">
        <f ca="1">IFERROR(__xludf.DUMMYFUNCTION("""COMPUTED_VALUE"""),-0.561455811096267)</f>
        <v>-0.56145581109626697</v>
      </c>
      <c r="LI50" s="3">
        <f ca="1">IFERROR(__xludf.DUMMYFUNCTION("""COMPUTED_VALUE"""),-0.563255648532245)</f>
        <v>-0.56325564853224497</v>
      </c>
      <c r="LJ50" s="3">
        <f ca="1">IFERROR(__xludf.DUMMYFUNCTION("""COMPUTED_VALUE"""),-0.580532544529854)</f>
        <v>-0.58053254452985403</v>
      </c>
      <c r="LK50" s="3">
        <f ca="1">IFERROR(__xludf.DUMMYFUNCTION("""COMPUTED_VALUE"""),-0.573468250567299)</f>
        <v>-0.573468250567299</v>
      </c>
      <c r="LL50" s="3">
        <f ca="1">IFERROR(__xludf.DUMMYFUNCTION("""COMPUTED_VALUE"""),-0.599076918794306)</f>
        <v>-0.59907691879430602</v>
      </c>
      <c r="LM50" s="3">
        <f ca="1">IFERROR(__xludf.DUMMYFUNCTION("""COMPUTED_VALUE"""),-0.632345035311942)</f>
        <v>-0.63234503531194197</v>
      </c>
      <c r="LN50" s="3">
        <f ca="1">IFERROR(__xludf.DUMMYFUNCTION("""COMPUTED_VALUE"""),-0.581960360103286)</f>
        <v>-0.581960360103286</v>
      </c>
      <c r="LO50" s="3">
        <f ca="1">IFERROR(__xludf.DUMMYFUNCTION("""COMPUTED_VALUE"""),-0.584169762487628)</f>
        <v>-0.58416976248762797</v>
      </c>
      <c r="LP50" s="3">
        <f ca="1">IFERROR(__xludf.DUMMYFUNCTION("""COMPUTED_VALUE"""),-0.592388936569628)</f>
        <v>-0.59238893656962799</v>
      </c>
      <c r="LQ50" s="3">
        <f ca="1">IFERROR(__xludf.DUMMYFUNCTION("""COMPUTED_VALUE"""),-0.58965389749668)</f>
        <v>-0.58965389749667996</v>
      </c>
      <c r="LR50" s="3">
        <f ca="1">IFERROR(__xludf.DUMMYFUNCTION("""COMPUTED_VALUE"""),-0.608548848502759)</f>
        <v>-0.60854884850275903</v>
      </c>
      <c r="LS50" s="3">
        <f ca="1">IFERROR(__xludf.DUMMYFUNCTION("""COMPUTED_VALUE"""),-0.593806672350116)</f>
        <v>-0.59380667235011597</v>
      </c>
      <c r="LT50" s="3">
        <f ca="1">IFERROR(__xludf.DUMMYFUNCTION("""COMPUTED_VALUE"""),-0.582341626167646)</f>
        <v>-0.58234162616764595</v>
      </c>
      <c r="LU50" s="3">
        <f ca="1">IFERROR(__xludf.DUMMYFUNCTION("""COMPUTED_VALUE"""),-0.589903012135988)</f>
        <v>-0.58990301213598795</v>
      </c>
      <c r="LV50" s="3">
        <f ca="1">IFERROR(__xludf.DUMMYFUNCTION("""COMPUTED_VALUE"""),-0.62447226184485)</f>
        <v>-0.62447226184485005</v>
      </c>
      <c r="LW50" s="3">
        <f ca="1">IFERROR(__xludf.DUMMYFUNCTION("""COMPUTED_VALUE"""),-0.643191004350975)</f>
        <v>-0.64319100435097498</v>
      </c>
      <c r="LX50" s="3">
        <f ca="1">IFERROR(__xludf.DUMMYFUNCTION("""COMPUTED_VALUE"""),-0.635041343015107)</f>
        <v>-0.63504134301510695</v>
      </c>
      <c r="LY50" s="3">
        <f ca="1">IFERROR(__xludf.DUMMYFUNCTION("""COMPUTED_VALUE"""),-0.626499735780865)</f>
        <v>-0.62649973578086504</v>
      </c>
      <c r="LZ50" s="3">
        <f ca="1">IFERROR(__xludf.DUMMYFUNCTION("""COMPUTED_VALUE"""),-0.637973557733146)</f>
        <v>-0.63797355773314601</v>
      </c>
      <c r="MA50" s="3">
        <f ca="1">IFERROR(__xludf.DUMMYFUNCTION("""COMPUTED_VALUE"""),-0.634072439913226)</f>
        <v>-0.63407243991322604</v>
      </c>
      <c r="MB50" s="3">
        <f ca="1">IFERROR(__xludf.DUMMYFUNCTION("""COMPUTED_VALUE"""),-0.63289202226594)</f>
        <v>-0.63289202226593999</v>
      </c>
      <c r="MC50" s="3">
        <f ca="1">IFERROR(__xludf.DUMMYFUNCTION("""COMPUTED_VALUE"""),-0.639166029029411)</f>
        <v>-0.639166029029411</v>
      </c>
      <c r="MD50" s="3">
        <f ca="1">IFERROR(__xludf.DUMMYFUNCTION("""COMPUTED_VALUE"""),-0.642904765658016)</f>
        <v>-0.64290476565801602</v>
      </c>
      <c r="ME50" s="3">
        <f ca="1">IFERROR(__xludf.DUMMYFUNCTION("""COMPUTED_VALUE"""),-0.657183034070874)</f>
        <v>-0.65718303407087397</v>
      </c>
      <c r="MF50" s="3">
        <f ca="1">IFERROR(__xludf.DUMMYFUNCTION("""COMPUTED_VALUE"""),-0.656886976830659)</f>
        <v>-0.656886976830659</v>
      </c>
      <c r="MG50" s="3">
        <f ca="1">IFERROR(__xludf.DUMMYFUNCTION("""COMPUTED_VALUE"""),-0.664747847422635)</f>
        <v>-0.66474784742263504</v>
      </c>
      <c r="MH50" s="3">
        <f ca="1">IFERROR(__xludf.DUMMYFUNCTION("""COMPUTED_VALUE"""),-0.637161894035796)</f>
        <v>-0.63716189403579604</v>
      </c>
      <c r="MI50" s="3">
        <f ca="1">IFERROR(__xludf.DUMMYFUNCTION("""COMPUTED_VALUE"""),-0.671116684981849)</f>
        <v>-0.67111668498184895</v>
      </c>
      <c r="MJ50" s="3">
        <f ca="1">IFERROR(__xludf.DUMMYFUNCTION("""COMPUTED_VALUE"""),-0.665793957828794)</f>
        <v>-0.66579395782879403</v>
      </c>
      <c r="MK50" s="3">
        <f ca="1">IFERROR(__xludf.DUMMYFUNCTION("""COMPUTED_VALUE"""),-0.667110695150632)</f>
        <v>-0.66711069515063204</v>
      </c>
      <c r="ML50" s="3">
        <f ca="1">IFERROR(__xludf.DUMMYFUNCTION("""COMPUTED_VALUE"""),-0.658442671979414)</f>
        <v>-0.65844267197941397</v>
      </c>
      <c r="MM50" s="3">
        <f ca="1">IFERROR(__xludf.DUMMYFUNCTION("""COMPUTED_VALUE"""),-0.644436966477654)</f>
        <v>-0.64443696647765403</v>
      </c>
      <c r="MN50" s="3">
        <f ca="1">IFERROR(__xludf.DUMMYFUNCTION("""COMPUTED_VALUE"""),-0.656623176663902)</f>
        <v>-0.65662317666390202</v>
      </c>
      <c r="MO50" s="3">
        <f ca="1">IFERROR(__xludf.DUMMYFUNCTION("""COMPUTED_VALUE"""),-0.637946772709604)</f>
        <v>-0.63794677270960398</v>
      </c>
      <c r="MP50" s="3">
        <f ca="1">IFERROR(__xludf.DUMMYFUNCTION("""COMPUTED_VALUE"""),-0.644164521238327)</f>
        <v>-0.64416452123832701</v>
      </c>
      <c r="MQ50" s="3">
        <f ca="1">IFERROR(__xludf.DUMMYFUNCTION("""COMPUTED_VALUE"""),-0.672526110663882)</f>
        <v>-0.67252611066388202</v>
      </c>
      <c r="MR50" s="3">
        <f ca="1">IFERROR(__xludf.DUMMYFUNCTION("""COMPUTED_VALUE"""),-0.670413238325475)</f>
        <v>-0.67041323832547495</v>
      </c>
      <c r="MS50" s="3">
        <f ca="1">IFERROR(__xludf.DUMMYFUNCTION("""COMPUTED_VALUE"""),-0.659479463838863)</f>
        <v>-0.65947946383886302</v>
      </c>
      <c r="MT50" s="3">
        <f ca="1">IFERROR(__xludf.DUMMYFUNCTION("""COMPUTED_VALUE"""),-0.659024475443714)</f>
        <v>-0.65902447544371401</v>
      </c>
      <c r="MU50" s="3">
        <f ca="1">IFERROR(__xludf.DUMMYFUNCTION("""COMPUTED_VALUE"""),-0.651208675634887)</f>
        <v>-0.65120867563488705</v>
      </c>
      <c r="MV50" s="3">
        <f ca="1">IFERROR(__xludf.DUMMYFUNCTION("""COMPUTED_VALUE"""),-0.652555957125131)</f>
        <v>-0.65255595712513104</v>
      </c>
      <c r="MW50" s="3">
        <f ca="1">IFERROR(__xludf.DUMMYFUNCTION("""COMPUTED_VALUE"""),-0.664880349170872)</f>
        <v>-0.66488034917087202</v>
      </c>
      <c r="MX50" s="3">
        <f ca="1">IFERROR(__xludf.DUMMYFUNCTION("""COMPUTED_VALUE"""),-0.680009856900546)</f>
        <v>-0.68000985690054605</v>
      </c>
      <c r="MY50" s="3">
        <f ca="1">IFERROR(__xludf.DUMMYFUNCTION("""COMPUTED_VALUE"""),-0.663574548181347)</f>
        <v>-0.66357454818134698</v>
      </c>
      <c r="MZ50" s="3">
        <f ca="1">IFERROR(__xludf.DUMMYFUNCTION("""COMPUTED_VALUE"""),-0.679382959557828)</f>
        <v>-0.67938295955782801</v>
      </c>
      <c r="NA50" s="3">
        <f ca="1">IFERROR(__xludf.DUMMYFUNCTION("""COMPUTED_VALUE"""),-0.659144961034522)</f>
        <v>-0.65914496103452203</v>
      </c>
      <c r="NB50" s="3">
        <f ca="1">IFERROR(__xludf.DUMMYFUNCTION("""COMPUTED_VALUE"""),-0.653226595827873)</f>
        <v>-0.65322659582787301</v>
      </c>
      <c r="NC50" s="3">
        <f ca="1">IFERROR(__xludf.DUMMYFUNCTION("""COMPUTED_VALUE"""),-0.633713796054098)</f>
        <v>-0.63371379605409806</v>
      </c>
      <c r="ND50" s="3">
        <f ca="1">IFERROR(__xludf.DUMMYFUNCTION("""COMPUTED_VALUE"""),-0.695157033112223)</f>
        <v>-0.69515703311222299</v>
      </c>
      <c r="NE50" s="3">
        <f ca="1">IFERROR(__xludf.DUMMYFUNCTION("""COMPUTED_VALUE"""),-0.664059915237437)</f>
        <v>-0.66405991523743702</v>
      </c>
      <c r="NF50" s="3">
        <f ca="1">IFERROR(__xludf.DUMMYFUNCTION("""COMPUTED_VALUE"""),-0.662557154299904)</f>
        <v>-0.66255715429990403</v>
      </c>
      <c r="NG50" s="3">
        <f ca="1">IFERROR(__xludf.DUMMYFUNCTION("""COMPUTED_VALUE"""),-0.646445355509568)</f>
        <v>-0.64644535550956805</v>
      </c>
      <c r="NH50" s="3">
        <f ca="1">IFERROR(__xludf.DUMMYFUNCTION("""COMPUTED_VALUE"""),-0.684651349408113)</f>
        <v>-0.68465134940811301</v>
      </c>
      <c r="NI50" s="3">
        <f ca="1">IFERROR(__xludf.DUMMYFUNCTION("""COMPUTED_VALUE"""),-0.659322803231824)</f>
        <v>-0.65932280323182402</v>
      </c>
      <c r="NJ50" s="3">
        <f ca="1">IFERROR(__xludf.DUMMYFUNCTION("""COMPUTED_VALUE"""),-0.653902005264797)</f>
        <v>-0.65390200526479703</v>
      </c>
      <c r="NK50" s="3">
        <f ca="1">IFERROR(__xludf.DUMMYFUNCTION("""COMPUTED_VALUE"""),-0.672621511026807)</f>
        <v>-0.67262151102680701</v>
      </c>
      <c r="NL50" s="3">
        <f ca="1">IFERROR(__xludf.DUMMYFUNCTION("""COMPUTED_VALUE"""),-0.66614733142836)</f>
        <v>-0.66614733142836002</v>
      </c>
      <c r="NM50" s="3">
        <f ca="1">IFERROR(__xludf.DUMMYFUNCTION("""COMPUTED_VALUE"""),-0.622878258572984)</f>
        <v>-0.62287825857298396</v>
      </c>
      <c r="NN50" s="3">
        <f ca="1">IFERROR(__xludf.DUMMYFUNCTION("""COMPUTED_VALUE"""),-0.63912767849355)</f>
        <v>-0.63912767849355001</v>
      </c>
      <c r="NO50" s="3">
        <f ca="1">IFERROR(__xludf.DUMMYFUNCTION("""COMPUTED_VALUE"""),-0.619634931457576)</f>
        <v>-0.61963493145757598</v>
      </c>
      <c r="NP50" s="3">
        <f ca="1">IFERROR(__xludf.DUMMYFUNCTION("""COMPUTED_VALUE"""),-0.637872051328655)</f>
        <v>-0.63787205132865499</v>
      </c>
      <c r="NQ50" s="3">
        <f ca="1">IFERROR(__xludf.DUMMYFUNCTION("""COMPUTED_VALUE"""),-0.643187328441008)</f>
        <v>-0.64318732844100801</v>
      </c>
      <c r="NR50" s="3">
        <f ca="1">IFERROR(__xludf.DUMMYFUNCTION("""COMPUTED_VALUE"""),-0.658687319540277)</f>
        <v>-0.65868731954027704</v>
      </c>
      <c r="NS50" s="3">
        <f ca="1">IFERROR(__xludf.DUMMYFUNCTION("""COMPUTED_VALUE"""),-0.64424867061647)</f>
        <v>-0.64424867061646995</v>
      </c>
      <c r="NT50" s="3">
        <f ca="1">IFERROR(__xludf.DUMMYFUNCTION("""COMPUTED_VALUE"""),-0.613310520021227)</f>
        <v>-0.61331052002122699</v>
      </c>
      <c r="NU50" s="3">
        <f ca="1">IFERROR(__xludf.DUMMYFUNCTION("""COMPUTED_VALUE"""),-0.590520670809267)</f>
        <v>-0.59052067080926696</v>
      </c>
      <c r="NV50" s="3">
        <f ca="1">IFERROR(__xludf.DUMMYFUNCTION("""COMPUTED_VALUE"""),-0.585491257171468)</f>
        <v>-0.58549125717146799</v>
      </c>
      <c r="NW50" s="3">
        <f ca="1">IFERROR(__xludf.DUMMYFUNCTION("""COMPUTED_VALUE"""),-0.476586907042771)</f>
        <v>-0.47658690704277101</v>
      </c>
      <c r="NX50" s="3">
        <f ca="1">IFERROR(__xludf.DUMMYFUNCTION("""COMPUTED_VALUE"""),-0.610868888353613)</f>
        <v>-0.61086888835361297</v>
      </c>
      <c r="NY50" s="3">
        <f ca="1">IFERROR(__xludf.DUMMYFUNCTION("""COMPUTED_VALUE"""),-0.611801571738453)</f>
        <v>-0.61180157173845295</v>
      </c>
      <c r="NZ50" s="3">
        <f ca="1">IFERROR(__xludf.DUMMYFUNCTION("""COMPUTED_VALUE"""),-0.600888123091642)</f>
        <v>-0.60088812309164197</v>
      </c>
      <c r="OA50" s="3">
        <f ca="1">IFERROR(__xludf.DUMMYFUNCTION("""COMPUTED_VALUE"""),-0.577464139733324)</f>
        <v>-0.577464139733324</v>
      </c>
      <c r="OB50" s="3">
        <f ca="1">IFERROR(__xludf.DUMMYFUNCTION("""COMPUTED_VALUE"""),-0.561926336541996)</f>
        <v>-0.56192633654199597</v>
      </c>
      <c r="OC50" s="3">
        <f ca="1">IFERROR(__xludf.DUMMYFUNCTION("""COMPUTED_VALUE"""),-0.456227818281537)</f>
        <v>-0.45622781828153702</v>
      </c>
      <c r="OD50" s="3">
        <f ca="1">IFERROR(__xludf.DUMMYFUNCTION("""COMPUTED_VALUE"""),-0.279153546547744)</f>
        <v>-0.27915354654774399</v>
      </c>
      <c r="OE50" s="3">
        <f ca="1">IFERROR(__xludf.DUMMYFUNCTION("""COMPUTED_VALUE"""),-0.225672782235505)</f>
        <v>-0.22567278223550499</v>
      </c>
      <c r="OF50" s="3">
        <f ca="1">IFERROR(__xludf.DUMMYFUNCTION("""COMPUTED_VALUE"""),-0.129866878988244)</f>
        <v>-0.12986687898824401</v>
      </c>
      <c r="OG50" s="3">
        <f ca="1">IFERROR(__xludf.DUMMYFUNCTION("""COMPUTED_VALUE"""),-0.14964380787943)</f>
        <v>-0.14964380787942999</v>
      </c>
      <c r="OH50" s="3">
        <f ca="1">IFERROR(__xludf.DUMMYFUNCTION("""COMPUTED_VALUE"""),-0.148734939535748)</f>
        <v>-0.14873493953574801</v>
      </c>
      <c r="OI50" s="3">
        <f ca="1">IFERROR(__xludf.DUMMYFUNCTION("""COMPUTED_VALUE"""),-0.0821083590811941)</f>
        <v>-8.2108359081194099E-2</v>
      </c>
      <c r="OJ50" s="3">
        <f ca="1">IFERROR(__xludf.DUMMYFUNCTION("""COMPUTED_VALUE"""),0.0253474898302668)</f>
        <v>2.5347489830266801E-2</v>
      </c>
      <c r="OK50" s="3">
        <f ca="1">IFERROR(__xludf.DUMMYFUNCTION("""COMPUTED_VALUE"""),-0.053282437536024)</f>
        <v>-5.3282437536023998E-2</v>
      </c>
      <c r="OL50" s="3">
        <f ca="1">IFERROR(__xludf.DUMMYFUNCTION("""COMPUTED_VALUE"""),-0.102524340714869)</f>
        <v>-0.102524340714869</v>
      </c>
      <c r="OM50" s="3">
        <f ca="1">IFERROR(__xludf.DUMMYFUNCTION("""COMPUTED_VALUE"""),-0.0460632353101504)</f>
        <v>-4.6063235310150399E-2</v>
      </c>
      <c r="ON50" s="3">
        <f ca="1">IFERROR(__xludf.DUMMYFUNCTION("""COMPUTED_VALUE"""),-0.059081123140518)</f>
        <v>-5.9081123140517999E-2</v>
      </c>
      <c r="OO50" s="3">
        <f ca="1">IFERROR(__xludf.DUMMYFUNCTION("""COMPUTED_VALUE"""),-0.0154041042329398)</f>
        <v>-1.5404104232939799E-2</v>
      </c>
      <c r="OP50" s="3">
        <f ca="1">IFERROR(__xludf.DUMMYFUNCTION("""COMPUTED_VALUE"""),-0.0224961692403117)</f>
        <v>-2.2496169240311701E-2</v>
      </c>
      <c r="OQ50" s="3">
        <f ca="1">IFERROR(__xludf.DUMMYFUNCTION("""COMPUTED_VALUE"""),0.0718926914883517)</f>
        <v>7.1892691488351701E-2</v>
      </c>
      <c r="OR50" s="3">
        <f ca="1">IFERROR(__xludf.DUMMYFUNCTION("""COMPUTED_VALUE"""),0.0213596950827605)</f>
        <v>2.1359695082760501E-2</v>
      </c>
      <c r="OS50" s="3">
        <f ca="1">IFERROR(__xludf.DUMMYFUNCTION("""COMPUTED_VALUE"""),-0.0252802864404244)</f>
        <v>-2.5280286440424401E-2</v>
      </c>
      <c r="OT50" s="3">
        <f ca="1">IFERROR(__xludf.DUMMYFUNCTION("""COMPUTED_VALUE"""),-0.0570447773048947)</f>
        <v>-5.7044777304894698E-2</v>
      </c>
      <c r="OU50" s="3">
        <f ca="1">IFERROR(__xludf.DUMMYFUNCTION("""COMPUTED_VALUE"""),-0.0367565753857326)</f>
        <v>-3.6756575385732598E-2</v>
      </c>
      <c r="OV50" s="3">
        <f ca="1">IFERROR(__xludf.DUMMYFUNCTION("""COMPUTED_VALUE"""),-0.0120944073623967)</f>
        <v>-1.2094407362396699E-2</v>
      </c>
      <c r="OW50" s="3">
        <f ca="1">IFERROR(__xludf.DUMMYFUNCTION("""COMPUTED_VALUE"""),0.0292570171728692)</f>
        <v>2.9257017172869201E-2</v>
      </c>
      <c r="OX50" s="3">
        <f ca="1">IFERROR(__xludf.DUMMYFUNCTION("""COMPUTED_VALUE"""),0.0345165579873325)</f>
        <v>3.4516557987332497E-2</v>
      </c>
      <c r="OY50" s="3">
        <f ca="1">IFERROR(__xludf.DUMMYFUNCTION("""COMPUTED_VALUE"""),-0.000309148767710154)</f>
        <v>-3.09148767710154E-4</v>
      </c>
      <c r="OZ50" s="3">
        <f ca="1">IFERROR(__xludf.DUMMYFUNCTION("""COMPUTED_VALUE"""),0.00655879855351115)</f>
        <v>6.5587985535111503E-3</v>
      </c>
      <c r="PA50" s="3">
        <f ca="1">IFERROR(__xludf.DUMMYFUNCTION("""COMPUTED_VALUE"""),-0.0434097570308485)</f>
        <v>-4.3409757030848498E-2</v>
      </c>
      <c r="PB50" s="3">
        <f ca="1">IFERROR(__xludf.DUMMYFUNCTION("""COMPUTED_VALUE"""),-0.106813116820657)</f>
        <v>-0.106813116820657</v>
      </c>
      <c r="PC50" s="3">
        <f ca="1">IFERROR(__xludf.DUMMYFUNCTION("""COMPUTED_VALUE"""),0.0521803645467688)</f>
        <v>5.2180364546768797E-2</v>
      </c>
      <c r="PD50" s="3">
        <f ca="1">IFERROR(__xludf.DUMMYFUNCTION("""COMPUTED_VALUE"""),0.166539225289493)</f>
        <v>0.166539225289493</v>
      </c>
      <c r="PE50" s="3">
        <f ca="1">IFERROR(__xludf.DUMMYFUNCTION("""COMPUTED_VALUE"""),0.0431722316143192)</f>
        <v>4.3172231614319198E-2</v>
      </c>
      <c r="PF50" s="3">
        <f ca="1">IFERROR(__xludf.DUMMYFUNCTION("""COMPUTED_VALUE"""),0.0263584121583471)</f>
        <v>2.6358412158347101E-2</v>
      </c>
      <c r="PG50" s="3">
        <f ca="1">IFERROR(__xludf.DUMMYFUNCTION("""COMPUTED_VALUE"""),-0.0683644985737387)</f>
        <v>-6.8364498573738705E-2</v>
      </c>
      <c r="PH50" s="3">
        <f ca="1">IFERROR(__xludf.DUMMYFUNCTION("""COMPUTED_VALUE"""),-0.00661005245064094)</f>
        <v>-6.6100524506409403E-3</v>
      </c>
      <c r="PI50" s="3">
        <f ca="1">IFERROR(__xludf.DUMMYFUNCTION("""COMPUTED_VALUE"""),-0.00926718631005452)</f>
        <v>-9.2671863100545204E-3</v>
      </c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</row>
    <row r="51" spans="1:477" ht="15.75" customHeight="1">
      <c r="A51" s="1" t="str">
        <f ca="1">IFERROR(__xludf.DUMMYFUNCTION("""COMPUTED_VALUE"""),"London Transit")</f>
        <v>London Transit</v>
      </c>
      <c r="B51" s="1" t="str">
        <f ca="1">IFERROR(__xludf.DUMMYFUNCTION("""COMPUTED_VALUE"""),"London")</f>
        <v>London</v>
      </c>
      <c r="C51" s="1" t="str">
        <f ca="1">IFERROR(__xludf.DUMMYFUNCTION("""COMPUTED_VALUE"""),"Canada")</f>
        <v>Canada</v>
      </c>
      <c r="D51" s="1" t="str">
        <f ca="1">IFERROR(__xludf.DUMMYFUNCTION("""COMPUTED_VALUE"""),"Ontario")</f>
        <v>Ontario</v>
      </c>
      <c r="E51" s="3">
        <f ca="1">IFERROR(__xludf.DUMMYFUNCTION("""COMPUTED_VALUE"""),-0.750805922251891)</f>
        <v>-0.75080592225189102</v>
      </c>
      <c r="F51" s="3">
        <f ca="1">IFERROR(__xludf.DUMMYFUNCTION("""COMPUTED_VALUE"""),-0.726341334833755)</f>
        <v>-0.72634133483375496</v>
      </c>
      <c r="G51" s="3">
        <f ca="1">IFERROR(__xludf.DUMMYFUNCTION("""COMPUTED_VALUE"""),-0.764102692880546)</f>
        <v>-0.764102692880546</v>
      </c>
      <c r="H51" s="3">
        <f ca="1">IFERROR(__xludf.DUMMYFUNCTION("""COMPUTED_VALUE"""),-0.742461324655197)</f>
        <v>-0.74246132465519699</v>
      </c>
      <c r="I51" s="3">
        <f ca="1">IFERROR(__xludf.DUMMYFUNCTION("""COMPUTED_VALUE"""),-0.737915032373592)</f>
        <v>-0.73791503237359202</v>
      </c>
      <c r="J51" s="3">
        <f ca="1">IFERROR(__xludf.DUMMYFUNCTION("""COMPUTED_VALUE"""),-0.782536581931684)</f>
        <v>-0.78253658193168396</v>
      </c>
      <c r="K51" s="3">
        <f ca="1">IFERROR(__xludf.DUMMYFUNCTION("""COMPUTED_VALUE"""),-0.791513565217285)</f>
        <v>-0.791513565217285</v>
      </c>
      <c r="L51" s="3">
        <f ca="1">IFERROR(__xludf.DUMMYFUNCTION("""COMPUTED_VALUE"""),-0.726548809849513)</f>
        <v>-0.72654880984951298</v>
      </c>
      <c r="M51" s="3">
        <f ca="1">IFERROR(__xludf.DUMMYFUNCTION("""COMPUTED_VALUE"""),-0.797198702776891)</f>
        <v>-0.79719870277689098</v>
      </c>
      <c r="N51" s="3">
        <f ca="1">IFERROR(__xludf.DUMMYFUNCTION("""COMPUTED_VALUE"""),-0.704264000476366)</f>
        <v>-0.70426400047636595</v>
      </c>
      <c r="O51" s="3">
        <f ca="1">IFERROR(__xludf.DUMMYFUNCTION("""COMPUTED_VALUE"""),-0.713143376540832)</f>
        <v>-0.71314337654083204</v>
      </c>
      <c r="P51" s="3">
        <f ca="1">IFERROR(__xludf.DUMMYFUNCTION("""COMPUTED_VALUE"""),-0.727846731954165)</f>
        <v>-0.72784673195416505</v>
      </c>
      <c r="Q51" s="3">
        <f ca="1">IFERROR(__xludf.DUMMYFUNCTION("""COMPUTED_VALUE"""),-0.700730062879359)</f>
        <v>-0.70073006287935902</v>
      </c>
      <c r="R51" s="3">
        <f ca="1">IFERROR(__xludf.DUMMYFUNCTION("""COMPUTED_VALUE"""),-0.679042496104427)</f>
        <v>-0.67904249610442702</v>
      </c>
      <c r="S51" s="3">
        <f ca="1">IFERROR(__xludf.DUMMYFUNCTION("""COMPUTED_VALUE"""),-0.616165971429261)</f>
        <v>-0.61616597142926099</v>
      </c>
      <c r="T51" s="3">
        <f ca="1">IFERROR(__xludf.DUMMYFUNCTION("""COMPUTED_VALUE"""),-0.718629914655394)</f>
        <v>-0.71862991465539405</v>
      </c>
      <c r="U51" s="3">
        <f ca="1">IFERROR(__xludf.DUMMYFUNCTION("""COMPUTED_VALUE"""),-0.712792178336708)</f>
        <v>-0.71279217833670805</v>
      </c>
      <c r="V51" s="3">
        <f ca="1">IFERROR(__xludf.DUMMYFUNCTION("""COMPUTED_VALUE"""),-0.728538408876296)</f>
        <v>-0.72853840887629595</v>
      </c>
      <c r="W51" s="3">
        <f ca="1">IFERROR(__xludf.DUMMYFUNCTION("""COMPUTED_VALUE"""),-0.732970014753458)</f>
        <v>-0.73297001475345802</v>
      </c>
      <c r="X51" s="3">
        <f ca="1">IFERROR(__xludf.DUMMYFUNCTION("""COMPUTED_VALUE"""),-0.707352628286799)</f>
        <v>-0.70735262828679901</v>
      </c>
      <c r="Y51" s="3">
        <f ca="1">IFERROR(__xludf.DUMMYFUNCTION("""COMPUTED_VALUE"""),-0.628090142901145)</f>
        <v>-0.62809014290114495</v>
      </c>
      <c r="Z51" s="3">
        <f ca="1">IFERROR(__xludf.DUMMYFUNCTION("""COMPUTED_VALUE"""),-0.647408975018968)</f>
        <v>-0.64740897501896799</v>
      </c>
      <c r="AA51" s="3">
        <f ca="1">IFERROR(__xludf.DUMMYFUNCTION("""COMPUTED_VALUE"""),-0.718300124271715)</f>
        <v>-0.71830012427171497</v>
      </c>
      <c r="AB51" s="3">
        <f ca="1">IFERROR(__xludf.DUMMYFUNCTION("""COMPUTED_VALUE"""),-0.728586297894853)</f>
        <v>-0.72858629789485296</v>
      </c>
      <c r="AC51" s="3">
        <f ca="1">IFERROR(__xludf.DUMMYFUNCTION("""COMPUTED_VALUE"""),-0.720101177711509)</f>
        <v>-0.72010117771150906</v>
      </c>
      <c r="AD51" s="3">
        <f ca="1">IFERROR(__xludf.DUMMYFUNCTION("""COMPUTED_VALUE"""),-0.701250433343156)</f>
        <v>-0.70125043334315595</v>
      </c>
      <c r="AE51" s="3">
        <f ca="1">IFERROR(__xludf.DUMMYFUNCTION("""COMPUTED_VALUE"""),-0.713226077013002)</f>
        <v>-0.713226077013002</v>
      </c>
      <c r="AF51" s="3">
        <f ca="1">IFERROR(__xludf.DUMMYFUNCTION("""COMPUTED_VALUE"""),-0.664948195570881)</f>
        <v>-0.66494819557088103</v>
      </c>
      <c r="AG51" s="3">
        <f ca="1">IFERROR(__xludf.DUMMYFUNCTION("""COMPUTED_VALUE"""),-0.672336175490606)</f>
        <v>-0.67233617549060598</v>
      </c>
      <c r="AH51" s="3">
        <f ca="1">IFERROR(__xludf.DUMMYFUNCTION("""COMPUTED_VALUE"""),-0.725508022821394)</f>
        <v>-0.72550802282139404</v>
      </c>
      <c r="AI51" s="3">
        <f ca="1">IFERROR(__xludf.DUMMYFUNCTION("""COMPUTED_VALUE"""),-0.712370002976452)</f>
        <v>-0.71237000297645203</v>
      </c>
      <c r="AJ51" s="3">
        <f ca="1">IFERROR(__xludf.DUMMYFUNCTION("""COMPUTED_VALUE"""),-0.718993917831395)</f>
        <v>-0.71899391783139499</v>
      </c>
      <c r="AK51" s="3">
        <f ca="1">IFERROR(__xludf.DUMMYFUNCTION("""COMPUTED_VALUE"""),-0.71310771301544)</f>
        <v>-0.71310771301543996</v>
      </c>
      <c r="AL51" s="3">
        <f ca="1">IFERROR(__xludf.DUMMYFUNCTION("""COMPUTED_VALUE"""),-0.724931964541691)</f>
        <v>-0.72493196454169095</v>
      </c>
      <c r="AM51" s="3">
        <f ca="1">IFERROR(__xludf.DUMMYFUNCTION("""COMPUTED_VALUE"""),-0.651921418278483)</f>
        <v>-0.65192141827848304</v>
      </c>
      <c r="AN51" s="3">
        <f ca="1">IFERROR(__xludf.DUMMYFUNCTION("""COMPUTED_VALUE"""),-0.68206109692052)</f>
        <v>-0.68206109692051997</v>
      </c>
      <c r="AO51" s="3">
        <f ca="1">IFERROR(__xludf.DUMMYFUNCTION("""COMPUTED_VALUE"""),-0.727171312417178)</f>
        <v>-0.72717131241717803</v>
      </c>
      <c r="AP51" s="3">
        <f ca="1">IFERROR(__xludf.DUMMYFUNCTION("""COMPUTED_VALUE"""),-0.725406693508597)</f>
        <v>-0.72540669350859699</v>
      </c>
      <c r="AQ51" s="3">
        <f ca="1">IFERROR(__xludf.DUMMYFUNCTION("""COMPUTED_VALUE"""),-0.723994763873075)</f>
        <v>-0.72399476387307504</v>
      </c>
      <c r="AR51" s="3">
        <f ca="1">IFERROR(__xludf.DUMMYFUNCTION("""COMPUTED_VALUE"""),-0.715994367614216)</f>
        <v>-0.71599436761421598</v>
      </c>
      <c r="AS51" s="3">
        <f ca="1">IFERROR(__xludf.DUMMYFUNCTION("""COMPUTED_VALUE"""),-0.71996982235236)</f>
        <v>-0.71996982235235996</v>
      </c>
      <c r="AT51" s="3">
        <f ca="1">IFERROR(__xludf.DUMMYFUNCTION("""COMPUTED_VALUE"""),-0.669229130525039)</f>
        <v>-0.66922913052503896</v>
      </c>
      <c r="AU51" s="3">
        <f ca="1">IFERROR(__xludf.DUMMYFUNCTION("""COMPUTED_VALUE"""),-0.641375553822975)</f>
        <v>-0.64137555382297495</v>
      </c>
      <c r="AV51" s="3">
        <f ca="1">IFERROR(__xludf.DUMMYFUNCTION("""COMPUTED_VALUE"""),-0.684831743601992)</f>
        <v>-0.68483174360199195</v>
      </c>
      <c r="AW51" s="3">
        <f ca="1">IFERROR(__xludf.DUMMYFUNCTION("""COMPUTED_VALUE"""),-0.702203637668103)</f>
        <v>-0.70220363766810301</v>
      </c>
      <c r="AX51" s="3">
        <f ca="1">IFERROR(__xludf.DUMMYFUNCTION("""COMPUTED_VALUE"""),-0.723213262624527)</f>
        <v>-0.72321326262452701</v>
      </c>
      <c r="AY51" s="3">
        <f ca="1">IFERROR(__xludf.DUMMYFUNCTION("""COMPUTED_VALUE"""),-0.73438470464353)</f>
        <v>-0.73438470464353001</v>
      </c>
      <c r="AZ51" s="3">
        <f ca="1">IFERROR(__xludf.DUMMYFUNCTION("""COMPUTED_VALUE"""),-0.637156888985927)</f>
        <v>-0.63715688898592704</v>
      </c>
      <c r="BA51" s="3">
        <f ca="1">IFERROR(__xludf.DUMMYFUNCTION("""COMPUTED_VALUE"""),-0.664472843195056)</f>
        <v>-0.66447284319505595</v>
      </c>
      <c r="BB51" s="3">
        <f ca="1">IFERROR(__xludf.DUMMYFUNCTION("""COMPUTED_VALUE"""),-0.669914375181055)</f>
        <v>-0.66991437518105501</v>
      </c>
      <c r="BC51" s="3">
        <f ca="1">IFERROR(__xludf.DUMMYFUNCTION("""COMPUTED_VALUE"""),-0.721245745758883)</f>
        <v>-0.72124574575888301</v>
      </c>
      <c r="BD51" s="3">
        <f ca="1">IFERROR(__xludf.DUMMYFUNCTION("""COMPUTED_VALUE"""),-0.756659862427661)</f>
        <v>-0.75665986242766103</v>
      </c>
      <c r="BE51" s="3">
        <f ca="1">IFERROR(__xludf.DUMMYFUNCTION("""COMPUTED_VALUE"""),-0.73509680730097)</f>
        <v>-0.73509680730097005</v>
      </c>
      <c r="BF51" s="3">
        <f ca="1">IFERROR(__xludf.DUMMYFUNCTION("""COMPUTED_VALUE"""),-0.657887779384206)</f>
        <v>-0.65788777938420595</v>
      </c>
      <c r="BG51" s="3">
        <f ca="1">IFERROR(__xludf.DUMMYFUNCTION("""COMPUTED_VALUE"""),-0.810864804782639)</f>
        <v>-0.810864804782639</v>
      </c>
      <c r="BH51" s="3">
        <f ca="1">IFERROR(__xludf.DUMMYFUNCTION("""COMPUTED_VALUE"""),-0.712561385762452)</f>
        <v>-0.71256138576245198</v>
      </c>
      <c r="BI51" s="3">
        <f ca="1">IFERROR(__xludf.DUMMYFUNCTION("""COMPUTED_VALUE"""),-0.732775246064552)</f>
        <v>-0.73277524606455202</v>
      </c>
      <c r="BJ51" s="3">
        <f ca="1">IFERROR(__xludf.DUMMYFUNCTION("""COMPUTED_VALUE"""),-0.761128767414753)</f>
        <v>-0.76112876741475299</v>
      </c>
      <c r="BK51" s="3">
        <f ca="1">IFERROR(__xludf.DUMMYFUNCTION("""COMPUTED_VALUE"""),-0.759697790889355)</f>
        <v>-0.75969779088935496</v>
      </c>
      <c r="BL51" s="3">
        <f ca="1">IFERROR(__xludf.DUMMYFUNCTION("""COMPUTED_VALUE"""),-0.772486793284543)</f>
        <v>-0.77248679328454295</v>
      </c>
      <c r="BM51" s="3">
        <f ca="1">IFERROR(__xludf.DUMMYFUNCTION("""COMPUTED_VALUE"""),-0.763165750914656)</f>
        <v>-0.76316575091465599</v>
      </c>
      <c r="BN51" s="3">
        <f ca="1">IFERROR(__xludf.DUMMYFUNCTION("""COMPUTED_VALUE"""),-0.729289012554333)</f>
        <v>-0.72928901255433298</v>
      </c>
      <c r="BO51" s="3">
        <f ca="1">IFERROR(__xludf.DUMMYFUNCTION("""COMPUTED_VALUE"""),-0.745368594433033)</f>
        <v>-0.74536859443303305</v>
      </c>
      <c r="BP51" s="3">
        <f ca="1">IFERROR(__xludf.DUMMYFUNCTION("""COMPUTED_VALUE"""),-0.74793527738038)</f>
        <v>-0.74793527738038001</v>
      </c>
      <c r="BQ51" s="3">
        <f ca="1">IFERROR(__xludf.DUMMYFUNCTION("""COMPUTED_VALUE"""),-0.817081356024173)</f>
        <v>-0.81708135602417298</v>
      </c>
      <c r="BR51" s="3">
        <f ca="1">IFERROR(__xludf.DUMMYFUNCTION("""COMPUTED_VALUE"""),-0.820842857197054)</f>
        <v>-0.82084285719705397</v>
      </c>
      <c r="BS51" s="3">
        <f ca="1">IFERROR(__xludf.DUMMYFUNCTION("""COMPUTED_VALUE"""),-0.827511143972397)</f>
        <v>-0.827511143972397</v>
      </c>
      <c r="BT51" s="3">
        <f ca="1">IFERROR(__xludf.DUMMYFUNCTION("""COMPUTED_VALUE"""),-0.840989211166216)</f>
        <v>-0.84098921116621606</v>
      </c>
      <c r="BU51" s="3">
        <f ca="1">IFERROR(__xludf.DUMMYFUNCTION("""COMPUTED_VALUE"""),-0.818512366949855)</f>
        <v>-0.81851236694985496</v>
      </c>
      <c r="BV51" s="3">
        <f ca="1">IFERROR(__xludf.DUMMYFUNCTION("""COMPUTED_VALUE"""),-0.772240401980581)</f>
        <v>-0.77224040198058097</v>
      </c>
      <c r="BW51" s="3">
        <f ca="1">IFERROR(__xludf.DUMMYFUNCTION("""COMPUTED_VALUE"""),-0.769619446515769)</f>
        <v>-0.76961944651576897</v>
      </c>
      <c r="BX51" s="3">
        <f ca="1">IFERROR(__xludf.DUMMYFUNCTION("""COMPUTED_VALUE"""),-0.83832975129597)</f>
        <v>-0.83832975129596998</v>
      </c>
      <c r="BY51" s="3">
        <f ca="1">IFERROR(__xludf.DUMMYFUNCTION("""COMPUTED_VALUE"""),-0.852620913854118)</f>
        <v>-0.85262091385411798</v>
      </c>
      <c r="BZ51" s="3">
        <f ca="1">IFERROR(__xludf.DUMMYFUNCTION("""COMPUTED_VALUE"""),-0.85528805939333)</f>
        <v>-0.85528805939332997</v>
      </c>
      <c r="CA51" s="3">
        <f ca="1">IFERROR(__xludf.DUMMYFUNCTION("""COMPUTED_VALUE"""),-0.849571456165561)</f>
        <v>-0.84957145616556096</v>
      </c>
      <c r="CB51" s="3">
        <f ca="1">IFERROR(__xludf.DUMMYFUNCTION("""COMPUTED_VALUE"""),-0.839750809839715)</f>
        <v>-0.83975080983971495</v>
      </c>
      <c r="CC51" s="3">
        <f ca="1">IFERROR(__xludf.DUMMYFUNCTION("""COMPUTED_VALUE"""),-0.757126924623282)</f>
        <v>-0.75712692462328202</v>
      </c>
      <c r="CD51" s="3">
        <f ca="1">IFERROR(__xludf.DUMMYFUNCTION("""COMPUTED_VALUE"""),-0.792390381623371)</f>
        <v>-0.79239038162337105</v>
      </c>
      <c r="CE51" s="3">
        <f ca="1">IFERROR(__xludf.DUMMYFUNCTION("""COMPUTED_VALUE"""),-0.84716067398068)</f>
        <v>-0.84716067398067996</v>
      </c>
      <c r="CF51" s="3">
        <f ca="1">IFERROR(__xludf.DUMMYFUNCTION("""COMPUTED_VALUE"""),-0.852981750571252)</f>
        <v>-0.85298175057125203</v>
      </c>
      <c r="CG51" s="3">
        <f ca="1">IFERROR(__xludf.DUMMYFUNCTION("""COMPUTED_VALUE"""),-0.862574708483355)</f>
        <v>-0.86257470848335505</v>
      </c>
      <c r="CH51" s="3">
        <f ca="1">IFERROR(__xludf.DUMMYFUNCTION("""COMPUTED_VALUE"""),-0.85686273629223)</f>
        <v>-0.85686273629222998</v>
      </c>
      <c r="CI51" s="3">
        <f ca="1">IFERROR(__xludf.DUMMYFUNCTION("""COMPUTED_VALUE"""),-0.845960306317459)</f>
        <v>-0.845960306317459</v>
      </c>
      <c r="CJ51" s="3">
        <f ca="1">IFERROR(__xludf.DUMMYFUNCTION("""COMPUTED_VALUE"""),-0.782568780251651)</f>
        <v>-0.782568780251651</v>
      </c>
      <c r="CK51" s="3">
        <f ca="1">IFERROR(__xludf.DUMMYFUNCTION("""COMPUTED_VALUE"""),-0.798885308790417)</f>
        <v>-0.79888530879041697</v>
      </c>
      <c r="CL51" s="3">
        <f ca="1">IFERROR(__xludf.DUMMYFUNCTION("""COMPUTED_VALUE"""),-0.854913290095998)</f>
        <v>-0.85491329009599804</v>
      </c>
      <c r="CM51" s="3">
        <f ca="1">IFERROR(__xludf.DUMMYFUNCTION("""COMPUTED_VALUE"""),-0.871447739781701)</f>
        <v>-0.87144773978170098</v>
      </c>
      <c r="CN51" s="3">
        <f ca="1">IFERROR(__xludf.DUMMYFUNCTION("""COMPUTED_VALUE"""),-0.837784016041117)</f>
        <v>-0.83778401604111696</v>
      </c>
      <c r="CO51" s="3">
        <f ca="1">IFERROR(__xludf.DUMMYFUNCTION("""COMPUTED_VALUE"""),-0.848736565799627)</f>
        <v>-0.84873656579962697</v>
      </c>
      <c r="CP51" s="3">
        <f ca="1">IFERROR(__xludf.DUMMYFUNCTION("""COMPUTED_VALUE"""),-0.839291204913952)</f>
        <v>-0.83929120491395204</v>
      </c>
      <c r="CQ51" s="3">
        <f ca="1">IFERROR(__xludf.DUMMYFUNCTION("""COMPUTED_VALUE"""),-0.753522168990916)</f>
        <v>-0.75352216899091595</v>
      </c>
      <c r="CR51" s="3">
        <f ca="1">IFERROR(__xludf.DUMMYFUNCTION("""COMPUTED_VALUE"""),-0.736383677916127)</f>
        <v>-0.73638367791612702</v>
      </c>
      <c r="CS51" s="3">
        <f ca="1">IFERROR(__xludf.DUMMYFUNCTION("""COMPUTED_VALUE"""),-0.802287814813894)</f>
        <v>-0.802287814813894</v>
      </c>
      <c r="CT51" s="3">
        <f ca="1">IFERROR(__xludf.DUMMYFUNCTION("""COMPUTED_VALUE"""),-0.830858478312666)</f>
        <v>-0.83085847831266602</v>
      </c>
      <c r="CU51" s="3">
        <f ca="1">IFERROR(__xludf.DUMMYFUNCTION("""COMPUTED_VALUE"""),-0.812494712579882)</f>
        <v>-0.81249471257988204</v>
      </c>
      <c r="CV51" s="3">
        <f ca="1">IFERROR(__xludf.DUMMYFUNCTION("""COMPUTED_VALUE"""),-0.823856619741643)</f>
        <v>-0.82385661974164304</v>
      </c>
      <c r="CW51" s="3">
        <f ca="1">IFERROR(__xludf.DUMMYFUNCTION("""COMPUTED_VALUE"""),-0.799684126587812)</f>
        <v>-0.79968412658781196</v>
      </c>
      <c r="CX51" s="3">
        <f ca="1">IFERROR(__xludf.DUMMYFUNCTION("""COMPUTED_VALUE"""),-0.747931831312508)</f>
        <v>-0.74793183131250796</v>
      </c>
      <c r="CY51" s="3">
        <f ca="1">IFERROR(__xludf.DUMMYFUNCTION("""COMPUTED_VALUE"""),-0.743733896111342)</f>
        <v>-0.743733896111342</v>
      </c>
      <c r="CZ51" s="3">
        <f ca="1">IFERROR(__xludf.DUMMYFUNCTION("""COMPUTED_VALUE"""),-0.875980994141171)</f>
        <v>-0.87598099414117103</v>
      </c>
      <c r="DA51" s="3">
        <f ca="1">IFERROR(__xludf.DUMMYFUNCTION("""COMPUTED_VALUE"""),-0.774888436738582)</f>
        <v>-0.77488843673858199</v>
      </c>
      <c r="DB51" s="3">
        <f ca="1">IFERROR(__xludf.DUMMYFUNCTION("""COMPUTED_VALUE"""),-0.725296223060742)</f>
        <v>-0.72529622306074204</v>
      </c>
      <c r="DC51" s="3">
        <f ca="1">IFERROR(__xludf.DUMMYFUNCTION("""COMPUTED_VALUE"""),-0.764090771989349)</f>
        <v>-0.76409077198934905</v>
      </c>
      <c r="DD51" s="3">
        <f ca="1">IFERROR(__xludf.DUMMYFUNCTION("""COMPUTED_VALUE"""),-0.786924490881104)</f>
        <v>-0.78692449088110406</v>
      </c>
      <c r="DE51" s="3">
        <f ca="1">IFERROR(__xludf.DUMMYFUNCTION("""COMPUTED_VALUE"""),-0.696702020667575)</f>
        <v>-0.69670202066757503</v>
      </c>
      <c r="DF51" s="3">
        <f ca="1">IFERROR(__xludf.DUMMYFUNCTION("""COMPUTED_VALUE"""),-0.711643915599124)</f>
        <v>-0.71164391559912399</v>
      </c>
      <c r="DG51" s="3">
        <f ca="1">IFERROR(__xludf.DUMMYFUNCTION("""COMPUTED_VALUE"""),-0.881136789087949)</f>
        <v>-0.88113678908794901</v>
      </c>
      <c r="DH51" s="3">
        <f ca="1">IFERROR(__xludf.DUMMYFUNCTION("""COMPUTED_VALUE"""),-0.679885122721954)</f>
        <v>-0.679885122721954</v>
      </c>
      <c r="DI51" s="3">
        <f ca="1">IFERROR(__xludf.DUMMYFUNCTION("""COMPUTED_VALUE"""),-0.431828413240087)</f>
        <v>-0.43182841324008697</v>
      </c>
      <c r="DJ51" s="3">
        <f ca="1">IFERROR(__xludf.DUMMYFUNCTION("""COMPUTED_VALUE"""),-0.601684027027061)</f>
        <v>-0.60168402702706103</v>
      </c>
      <c r="DK51" s="3">
        <f ca="1">IFERROR(__xludf.DUMMYFUNCTION("""COMPUTED_VALUE"""),-0.584474125288124)</f>
        <v>-0.58447412528812404</v>
      </c>
      <c r="DL51" s="3">
        <f ca="1">IFERROR(__xludf.DUMMYFUNCTION("""COMPUTED_VALUE"""),-0.573905374127267)</f>
        <v>-0.57390537412726705</v>
      </c>
      <c r="DM51" s="3">
        <f ca="1">IFERROR(__xludf.DUMMYFUNCTION("""COMPUTED_VALUE"""),-0.595567003711904)</f>
        <v>-0.59556700371190396</v>
      </c>
      <c r="DN51" s="3">
        <f ca="1">IFERROR(__xludf.DUMMYFUNCTION("""COMPUTED_VALUE"""),-0.619206557590065)</f>
        <v>-0.61920655759006504</v>
      </c>
      <c r="DO51" s="3">
        <f ca="1">IFERROR(__xludf.DUMMYFUNCTION("""COMPUTED_VALUE"""),-0.643018773615069)</f>
        <v>-0.64301877361506898</v>
      </c>
      <c r="DP51" s="3">
        <f ca="1">IFERROR(__xludf.DUMMYFUNCTION("""COMPUTED_VALUE"""),-0.605329338258353)</f>
        <v>-0.605329338258353</v>
      </c>
      <c r="DQ51" s="3">
        <f ca="1">IFERROR(__xludf.DUMMYFUNCTION("""COMPUTED_VALUE"""),-0.638316830712699)</f>
        <v>-0.63831683071269896</v>
      </c>
      <c r="DR51" s="3">
        <f ca="1">IFERROR(__xludf.DUMMYFUNCTION("""COMPUTED_VALUE"""),-0.677480311034496)</f>
        <v>-0.67748031103449602</v>
      </c>
      <c r="DS51" s="3">
        <f ca="1">IFERROR(__xludf.DUMMYFUNCTION("""COMPUTED_VALUE"""),-0.638476968238292)</f>
        <v>-0.63847696823829203</v>
      </c>
      <c r="DT51" s="3">
        <f ca="1">IFERROR(__xludf.DUMMYFUNCTION("""COMPUTED_VALUE"""),-0.626703425163932)</f>
        <v>-0.62670342516393196</v>
      </c>
      <c r="DU51" s="3">
        <f ca="1">IFERROR(__xludf.DUMMYFUNCTION("""COMPUTED_VALUE"""),-0.625661826379475)</f>
        <v>-0.62566182637947498</v>
      </c>
      <c r="DV51" s="3">
        <f ca="1">IFERROR(__xludf.DUMMYFUNCTION("""COMPUTED_VALUE"""),-0.677845968628164)</f>
        <v>-0.67784596862816404</v>
      </c>
      <c r="DW51" s="3">
        <f ca="1">IFERROR(__xludf.DUMMYFUNCTION("""COMPUTED_VALUE"""),-0.721732718797635)</f>
        <v>-0.72173271879763501</v>
      </c>
      <c r="DX51" s="3">
        <f ca="1">IFERROR(__xludf.DUMMYFUNCTION("""COMPUTED_VALUE"""),-0.694812037225975)</f>
        <v>-0.69481203722597495</v>
      </c>
      <c r="DY51" s="3">
        <f ca="1">IFERROR(__xludf.DUMMYFUNCTION("""COMPUTED_VALUE"""),-0.70189560528583)</f>
        <v>-0.70189560528582995</v>
      </c>
      <c r="DZ51" s="3">
        <f ca="1">IFERROR(__xludf.DUMMYFUNCTION("""COMPUTED_VALUE"""),-0.682013183290595)</f>
        <v>-0.68201318329059502</v>
      </c>
      <c r="EA51" s="3">
        <f ca="1">IFERROR(__xludf.DUMMYFUNCTION("""COMPUTED_VALUE"""),-0.64870897232161)</f>
        <v>-0.64870897232160996</v>
      </c>
      <c r="EB51" s="3">
        <f ca="1">IFERROR(__xludf.DUMMYFUNCTION("""COMPUTED_VALUE"""),-0.710673139827835)</f>
        <v>-0.71067313982783498</v>
      </c>
      <c r="EC51" s="3">
        <f ca="1">IFERROR(__xludf.DUMMYFUNCTION("""COMPUTED_VALUE"""),-0.720876768279817)</f>
        <v>-0.72087676827981695</v>
      </c>
      <c r="ED51" s="3">
        <f ca="1">IFERROR(__xludf.DUMMYFUNCTION("""COMPUTED_VALUE"""),-0.711969036762761)</f>
        <v>-0.71196903676276102</v>
      </c>
      <c r="EE51" s="3">
        <f ca="1">IFERROR(__xludf.DUMMYFUNCTION("""COMPUTED_VALUE"""),-0.730182678945584)</f>
        <v>-0.73018267894558397</v>
      </c>
      <c r="EF51" s="3">
        <f ca="1">IFERROR(__xludf.DUMMYFUNCTION("""COMPUTED_VALUE"""),-0.700233893163236)</f>
        <v>-0.70023389316323603</v>
      </c>
      <c r="EG51" s="3">
        <f ca="1">IFERROR(__xludf.DUMMYFUNCTION("""COMPUTED_VALUE"""),-0.643104824522036)</f>
        <v>-0.64310482452203599</v>
      </c>
      <c r="EH51" s="3">
        <f ca="1">IFERROR(__xludf.DUMMYFUNCTION("""COMPUTED_VALUE"""),-0.618275116467922)</f>
        <v>-0.61827511646792199</v>
      </c>
      <c r="EI51" s="3">
        <f ca="1">IFERROR(__xludf.DUMMYFUNCTION("""COMPUTED_VALUE"""),-0.661744308878304)</f>
        <v>-0.66174430887830404</v>
      </c>
      <c r="EJ51" s="3">
        <f ca="1">IFERROR(__xludf.DUMMYFUNCTION("""COMPUTED_VALUE"""),-0.715820159474447)</f>
        <v>-0.71582015947444699</v>
      </c>
      <c r="EK51" s="3">
        <f ca="1">IFERROR(__xludf.DUMMYFUNCTION("""COMPUTED_VALUE"""),-0.726936419855022)</f>
        <v>-0.726936419855022</v>
      </c>
      <c r="EL51" s="3">
        <f ca="1">IFERROR(__xludf.DUMMYFUNCTION("""COMPUTED_VALUE"""),-0.732435213511547)</f>
        <v>-0.73243521351154695</v>
      </c>
      <c r="EM51" s="3">
        <f ca="1">IFERROR(__xludf.DUMMYFUNCTION("""COMPUTED_VALUE"""),-0.727830613137035)</f>
        <v>-0.72783061313703501</v>
      </c>
      <c r="EN51" s="3">
        <f ca="1">IFERROR(__xludf.DUMMYFUNCTION("""COMPUTED_VALUE"""),-0.682684044722581)</f>
        <v>-0.68268404472258104</v>
      </c>
      <c r="EO51" s="3">
        <f ca="1">IFERROR(__xludf.DUMMYFUNCTION("""COMPUTED_VALUE"""),-0.645269962605801)</f>
        <v>-0.64526996260580105</v>
      </c>
      <c r="EP51" s="3">
        <f ca="1">IFERROR(__xludf.DUMMYFUNCTION("""COMPUTED_VALUE"""),-0.72251832549853)</f>
        <v>-0.72251832549853001</v>
      </c>
      <c r="EQ51" s="3">
        <f ca="1">IFERROR(__xludf.DUMMYFUNCTION("""COMPUTED_VALUE"""),-0.736177939242937)</f>
        <v>-0.73617793924293695</v>
      </c>
      <c r="ER51" s="3">
        <f ca="1">IFERROR(__xludf.DUMMYFUNCTION("""COMPUTED_VALUE"""),-0.723371912299576)</f>
        <v>-0.72337191229957598</v>
      </c>
      <c r="ES51" s="3">
        <f ca="1">IFERROR(__xludf.DUMMYFUNCTION("""COMPUTED_VALUE"""),-0.744449502349646)</f>
        <v>-0.74444950234964602</v>
      </c>
      <c r="ET51" s="3">
        <f ca="1">IFERROR(__xludf.DUMMYFUNCTION("""COMPUTED_VALUE"""),-0.718973215416892)</f>
        <v>-0.71897321541689196</v>
      </c>
      <c r="EU51" s="3">
        <f ca="1">IFERROR(__xludf.DUMMYFUNCTION("""COMPUTED_VALUE"""),-0.710658129280106)</f>
        <v>-0.71065812928010597</v>
      </c>
      <c r="EV51" s="3">
        <f ca="1">IFERROR(__xludf.DUMMYFUNCTION("""COMPUTED_VALUE"""),-0.613942721561287)</f>
        <v>-0.61394272156128704</v>
      </c>
      <c r="EW51" s="3">
        <f ca="1">IFERROR(__xludf.DUMMYFUNCTION("""COMPUTED_VALUE"""),-0.681454866393003)</f>
        <v>-0.68145486639300301</v>
      </c>
      <c r="EX51" s="3">
        <f ca="1">IFERROR(__xludf.DUMMYFUNCTION("""COMPUTED_VALUE"""),-0.696768595926032)</f>
        <v>-0.69676859592603202</v>
      </c>
      <c r="EY51" s="3">
        <f ca="1">IFERROR(__xludf.DUMMYFUNCTION("""COMPUTED_VALUE"""),-0.721743122261596)</f>
        <v>-0.72174312226159598</v>
      </c>
      <c r="EZ51" s="3">
        <f ca="1">IFERROR(__xludf.DUMMYFUNCTION("""COMPUTED_VALUE"""),-0.704018748632819)</f>
        <v>-0.70401874863281899</v>
      </c>
      <c r="FA51" s="3">
        <f ca="1">IFERROR(__xludf.DUMMYFUNCTION("""COMPUTED_VALUE"""),-0.701528162096022)</f>
        <v>-0.70152816209602198</v>
      </c>
      <c r="FB51" s="3">
        <f ca="1">IFERROR(__xludf.DUMMYFUNCTION("""COMPUTED_VALUE"""),-0.613406803184612)</f>
        <v>-0.61340680318461205</v>
      </c>
      <c r="FC51" s="3">
        <f ca="1">IFERROR(__xludf.DUMMYFUNCTION("""COMPUTED_VALUE"""),-0.630454392835828)</f>
        <v>-0.63045439283582805</v>
      </c>
      <c r="FD51" s="3">
        <f ca="1">IFERROR(__xludf.DUMMYFUNCTION("""COMPUTED_VALUE"""),-0.713501514713755)</f>
        <v>-0.713501514713755</v>
      </c>
      <c r="FE51" s="3">
        <f ca="1">IFERROR(__xludf.DUMMYFUNCTION("""COMPUTED_VALUE"""),-0.70535336992256)</f>
        <v>-0.70535336992256004</v>
      </c>
      <c r="FF51" s="3">
        <f ca="1">IFERROR(__xludf.DUMMYFUNCTION("""COMPUTED_VALUE"""),-0.728367453992634)</f>
        <v>-0.72836745399263403</v>
      </c>
      <c r="FG51" s="3">
        <f ca="1">IFERROR(__xludf.DUMMYFUNCTION("""COMPUTED_VALUE"""),-0.70669651539052)</f>
        <v>-0.70669651539052003</v>
      </c>
      <c r="FH51" s="3">
        <f ca="1">IFERROR(__xludf.DUMMYFUNCTION("""COMPUTED_VALUE"""),-0.702588228704589)</f>
        <v>-0.70258822870458904</v>
      </c>
      <c r="FI51" s="3">
        <f ca="1">IFERROR(__xludf.DUMMYFUNCTION("""COMPUTED_VALUE"""),-0.695803630228109)</f>
        <v>-0.69580363022810898</v>
      </c>
      <c r="FJ51" s="3">
        <f ca="1">IFERROR(__xludf.DUMMYFUNCTION("""COMPUTED_VALUE"""),-0.598390909469962)</f>
        <v>-0.59839090946996198</v>
      </c>
      <c r="FK51" s="3">
        <f ca="1">IFERROR(__xludf.DUMMYFUNCTION("""COMPUTED_VALUE"""),-0.68220739671152)</f>
        <v>-0.68220739671151998</v>
      </c>
      <c r="FL51" s="3">
        <f ca="1">IFERROR(__xludf.DUMMYFUNCTION("""COMPUTED_VALUE"""),-0.701685215437799)</f>
        <v>-0.70168521543779905</v>
      </c>
      <c r="FM51" s="3">
        <f ca="1">IFERROR(__xludf.DUMMYFUNCTION("""COMPUTED_VALUE"""),-0.70295329293608)</f>
        <v>-0.70295329293608</v>
      </c>
      <c r="FN51" s="3">
        <f ca="1">IFERROR(__xludf.DUMMYFUNCTION("""COMPUTED_VALUE"""),-0.706742260684692)</f>
        <v>-0.70674226068469204</v>
      </c>
      <c r="FO51" s="3">
        <f ca="1">IFERROR(__xludf.DUMMYFUNCTION("""COMPUTED_VALUE"""),-0.680861028644946)</f>
        <v>-0.68086102864494602</v>
      </c>
      <c r="FP51" s="3">
        <f ca="1">IFERROR(__xludf.DUMMYFUNCTION("""COMPUTED_VALUE"""),-0.62406905476299)</f>
        <v>-0.62406905476299002</v>
      </c>
      <c r="FQ51" s="3">
        <f ca="1">IFERROR(__xludf.DUMMYFUNCTION("""COMPUTED_VALUE"""),-0.645674427461085)</f>
        <v>-0.64567442746108505</v>
      </c>
      <c r="FR51" s="3">
        <f ca="1">IFERROR(__xludf.DUMMYFUNCTION("""COMPUTED_VALUE"""),-0.683698291073939)</f>
        <v>-0.68369829107393898</v>
      </c>
      <c r="FS51" s="3">
        <f ca="1">IFERROR(__xludf.DUMMYFUNCTION("""COMPUTED_VALUE"""),-0.69960636425723)</f>
        <v>-0.69960636425723</v>
      </c>
      <c r="FT51" s="3">
        <f ca="1">IFERROR(__xludf.DUMMYFUNCTION("""COMPUTED_VALUE"""),-0.734408130632127)</f>
        <v>-0.73440813063212695</v>
      </c>
      <c r="FU51" s="3">
        <f ca="1">IFERROR(__xludf.DUMMYFUNCTION("""COMPUTED_VALUE"""),-0.695313447172524)</f>
        <v>-0.69531344717252397</v>
      </c>
      <c r="FV51" s="3">
        <f ca="1">IFERROR(__xludf.DUMMYFUNCTION("""COMPUTED_VALUE"""),-0.659930083858471)</f>
        <v>-0.65993008385847096</v>
      </c>
      <c r="FW51" s="3">
        <f ca="1">IFERROR(__xludf.DUMMYFUNCTION("""COMPUTED_VALUE"""),-0.664007224506189)</f>
        <v>-0.66400722450618899</v>
      </c>
      <c r="FX51" s="3">
        <f ca="1">IFERROR(__xludf.DUMMYFUNCTION("""COMPUTED_VALUE"""),-0.639660557875734)</f>
        <v>-0.63966055787573395</v>
      </c>
      <c r="FY51" s="3">
        <f ca="1">IFERROR(__xludf.DUMMYFUNCTION("""COMPUTED_VALUE"""),-0.677487933185705)</f>
        <v>-0.67748793318570499</v>
      </c>
      <c r="FZ51" s="3">
        <f ca="1">IFERROR(__xludf.DUMMYFUNCTION("""COMPUTED_VALUE"""),-0.74642259981097)</f>
        <v>-0.74642259981097003</v>
      </c>
      <c r="GA51" s="3">
        <f ca="1">IFERROR(__xludf.DUMMYFUNCTION("""COMPUTED_VALUE"""),-0.745643857453404)</f>
        <v>-0.745643857453404</v>
      </c>
      <c r="GB51" s="3">
        <f ca="1">IFERROR(__xludf.DUMMYFUNCTION("""COMPUTED_VALUE"""),-0.714745303333443)</f>
        <v>-0.71474530333344299</v>
      </c>
      <c r="GC51" s="3">
        <f ca="1">IFERROR(__xludf.DUMMYFUNCTION("""COMPUTED_VALUE"""),-0.836554528424988)</f>
        <v>-0.83655452842498801</v>
      </c>
      <c r="GD51" s="3">
        <f ca="1">IFERROR(__xludf.DUMMYFUNCTION("""COMPUTED_VALUE"""),-0.679421711478145)</f>
        <v>-0.67942171147814501</v>
      </c>
      <c r="GE51" s="3">
        <f ca="1">IFERROR(__xludf.DUMMYFUNCTION("""COMPUTED_VALUE"""),-0.652968868217516)</f>
        <v>-0.65296886821751599</v>
      </c>
      <c r="GF51" s="3">
        <f ca="1">IFERROR(__xludf.DUMMYFUNCTION("""COMPUTED_VALUE"""),-0.715121557058135)</f>
        <v>-0.71512155705813496</v>
      </c>
      <c r="GG51" s="3">
        <f ca="1">IFERROR(__xludf.DUMMYFUNCTION("""COMPUTED_VALUE"""),-0.723116579509647)</f>
        <v>-0.72311657950964703</v>
      </c>
      <c r="GH51" s="3">
        <f ca="1">IFERROR(__xludf.DUMMYFUNCTION("""COMPUTED_VALUE"""),-0.709989086046038)</f>
        <v>-0.70998908604603805</v>
      </c>
      <c r="GI51" s="3">
        <f ca="1">IFERROR(__xludf.DUMMYFUNCTION("""COMPUTED_VALUE"""),-0.704806081412005)</f>
        <v>-0.70480608141200496</v>
      </c>
      <c r="GJ51" s="3">
        <f ca="1">IFERROR(__xludf.DUMMYFUNCTION("""COMPUTED_VALUE"""),-0.626835117135448)</f>
        <v>-0.62683511713544804</v>
      </c>
      <c r="GK51" s="3">
        <f ca="1">IFERROR(__xludf.DUMMYFUNCTION("""COMPUTED_VALUE"""),-0.674246781222325)</f>
        <v>-0.67424678122232495</v>
      </c>
      <c r="GL51" s="3">
        <f ca="1">IFERROR(__xludf.DUMMYFUNCTION("""COMPUTED_VALUE"""),-0.638497438125516)</f>
        <v>-0.63849743812551596</v>
      </c>
      <c r="GM51" s="3">
        <f ca="1">IFERROR(__xludf.DUMMYFUNCTION("""COMPUTED_VALUE"""),-0.713961296266052)</f>
        <v>-0.71396129626605198</v>
      </c>
      <c r="GN51" s="3">
        <f ca="1">IFERROR(__xludf.DUMMYFUNCTION("""COMPUTED_VALUE"""),-0.721970325894837)</f>
        <v>-0.72197032589483701</v>
      </c>
      <c r="GO51" s="3">
        <f ca="1">IFERROR(__xludf.DUMMYFUNCTION("""COMPUTED_VALUE"""),-0.72818894487474)</f>
        <v>-0.72818894487473995</v>
      </c>
      <c r="GP51" s="3">
        <f ca="1">IFERROR(__xludf.DUMMYFUNCTION("""COMPUTED_VALUE"""),-0.707312361862587)</f>
        <v>-0.70731236186258695</v>
      </c>
      <c r="GQ51" s="3">
        <f ca="1">IFERROR(__xludf.DUMMYFUNCTION("""COMPUTED_VALUE"""),-0.72463716412497)</f>
        <v>-0.72463716412497003</v>
      </c>
      <c r="GR51" s="3">
        <f ca="1">IFERROR(__xludf.DUMMYFUNCTION("""COMPUTED_VALUE"""),-0.634719162743168)</f>
        <v>-0.63471916274316798</v>
      </c>
      <c r="GS51" s="3">
        <f ca="1">IFERROR(__xludf.DUMMYFUNCTION("""COMPUTED_VALUE"""),-0.63368399315088)</f>
        <v>-0.63368399315087998</v>
      </c>
      <c r="GT51" s="3">
        <f ca="1">IFERROR(__xludf.DUMMYFUNCTION("""COMPUTED_VALUE"""),-0.683001644866715)</f>
        <v>-0.683001644866715</v>
      </c>
      <c r="GU51" s="3">
        <f ca="1">IFERROR(__xludf.DUMMYFUNCTION("""COMPUTED_VALUE"""),-0.709060974259339)</f>
        <v>-0.70906097425933901</v>
      </c>
      <c r="GV51" s="3">
        <f ca="1">IFERROR(__xludf.DUMMYFUNCTION("""COMPUTED_VALUE"""),-0.704132568221653)</f>
        <v>-0.70413256822165304</v>
      </c>
      <c r="GW51" s="3">
        <f ca="1">IFERROR(__xludf.DUMMYFUNCTION("""COMPUTED_VALUE"""),-0.708672931932184)</f>
        <v>-0.70867293193218395</v>
      </c>
      <c r="GX51" s="3">
        <f ca="1">IFERROR(__xludf.DUMMYFUNCTION("""COMPUTED_VALUE"""),-0.688471653913622)</f>
        <v>-0.68847165391362197</v>
      </c>
      <c r="GY51" s="3">
        <f ca="1">IFERROR(__xludf.DUMMYFUNCTION("""COMPUTED_VALUE"""),-0.602610573104399)</f>
        <v>-0.60261057310439903</v>
      </c>
      <c r="GZ51" s="3">
        <f ca="1">IFERROR(__xludf.DUMMYFUNCTION("""COMPUTED_VALUE"""),-0.590429730130237)</f>
        <v>-0.59042973013023703</v>
      </c>
      <c r="HA51" s="3">
        <f ca="1">IFERROR(__xludf.DUMMYFUNCTION("""COMPUTED_VALUE"""),-0.706654020155165)</f>
        <v>-0.70665402015516499</v>
      </c>
      <c r="HB51" s="3">
        <f ca="1">IFERROR(__xludf.DUMMYFUNCTION("""COMPUTED_VALUE"""),-0.713323543868128)</f>
        <v>-0.71332354386812802</v>
      </c>
      <c r="HC51" s="3">
        <f ca="1">IFERROR(__xludf.DUMMYFUNCTION("""COMPUTED_VALUE"""),-0.71548806860475)</f>
        <v>-0.71548806860475</v>
      </c>
      <c r="HD51" s="3">
        <f ca="1">IFERROR(__xludf.DUMMYFUNCTION("""COMPUTED_VALUE"""),-0.716240767744433)</f>
        <v>-0.71624076774443302</v>
      </c>
      <c r="HE51" s="3">
        <f ca="1">IFERROR(__xludf.DUMMYFUNCTION("""COMPUTED_VALUE"""),-0.707855133409198)</f>
        <v>-0.70785513340919803</v>
      </c>
      <c r="HF51" s="3">
        <f ca="1">IFERROR(__xludf.DUMMYFUNCTION("""COMPUTED_VALUE"""),-0.586539178293647)</f>
        <v>-0.58653917829364699</v>
      </c>
      <c r="HG51" s="3">
        <f ca="1">IFERROR(__xludf.DUMMYFUNCTION("""COMPUTED_VALUE"""),-0.560159660210563)</f>
        <v>-0.56015966021056296</v>
      </c>
      <c r="HH51" s="3">
        <f ca="1">IFERROR(__xludf.DUMMYFUNCTION("""COMPUTED_VALUE"""),-0.679705431826525)</f>
        <v>-0.67970543182652499</v>
      </c>
      <c r="HI51" s="3">
        <f ca="1">IFERROR(__xludf.DUMMYFUNCTION("""COMPUTED_VALUE"""),-0.69289967486779)</f>
        <v>-0.69289967486779003</v>
      </c>
      <c r="HJ51" s="3">
        <f ca="1">IFERROR(__xludf.DUMMYFUNCTION("""COMPUTED_VALUE"""),-0.685408869039496)</f>
        <v>-0.68540886903949605</v>
      </c>
      <c r="HK51" s="3">
        <f ca="1">IFERROR(__xludf.DUMMYFUNCTION("""COMPUTED_VALUE"""),-0.683740969055353)</f>
        <v>-0.68374096905535298</v>
      </c>
      <c r="HL51" s="3">
        <f ca="1">IFERROR(__xludf.DUMMYFUNCTION("""COMPUTED_VALUE"""),-0.735790358776525)</f>
        <v>-0.73579035877652499</v>
      </c>
      <c r="HM51" s="3">
        <f ca="1">IFERROR(__xludf.DUMMYFUNCTION("""COMPUTED_VALUE"""),-0.56810552576079)</f>
        <v>-0.56810552576078999</v>
      </c>
      <c r="HN51" s="3">
        <f ca="1">IFERROR(__xludf.DUMMYFUNCTION("""COMPUTED_VALUE"""),-0.605693142536668)</f>
        <v>-0.60569314253666795</v>
      </c>
      <c r="HO51" s="3">
        <f ca="1">IFERROR(__xludf.DUMMYFUNCTION("""COMPUTED_VALUE"""),-0.686991377925998)</f>
        <v>-0.68699137792599796</v>
      </c>
      <c r="HP51" s="3">
        <f ca="1">IFERROR(__xludf.DUMMYFUNCTION("""COMPUTED_VALUE"""),-0.71178313033379)</f>
        <v>-0.71178313033379004</v>
      </c>
      <c r="HQ51" s="3">
        <f ca="1">IFERROR(__xludf.DUMMYFUNCTION("""COMPUTED_VALUE"""),-0.702174513243248)</f>
        <v>-0.70217451324324798</v>
      </c>
      <c r="HR51" s="3">
        <f ca="1">IFERROR(__xludf.DUMMYFUNCTION("""COMPUTED_VALUE"""),-0.681499072637522)</f>
        <v>-0.68149907263752196</v>
      </c>
      <c r="HS51" s="3">
        <f ca="1">IFERROR(__xludf.DUMMYFUNCTION("""COMPUTED_VALUE"""),-0.592335889647888)</f>
        <v>-0.59233588964788797</v>
      </c>
      <c r="HT51" s="3">
        <f ca="1">IFERROR(__xludf.DUMMYFUNCTION("""COMPUTED_VALUE"""),-0.549646673659443)</f>
        <v>-0.54964667365944297</v>
      </c>
      <c r="HU51" s="3">
        <f ca="1">IFERROR(__xludf.DUMMYFUNCTION("""COMPUTED_VALUE"""),-0.559962837732456)</f>
        <v>-0.55996283773245603</v>
      </c>
      <c r="HV51" s="3">
        <f ca="1">IFERROR(__xludf.DUMMYFUNCTION("""COMPUTED_VALUE"""),-0.672648556075067)</f>
        <v>-0.67264855607506702</v>
      </c>
      <c r="HW51" s="3">
        <f ca="1">IFERROR(__xludf.DUMMYFUNCTION("""COMPUTED_VALUE"""),-0.697357847484818)</f>
        <v>-0.69735784748481799</v>
      </c>
      <c r="HX51" s="3">
        <f ca="1">IFERROR(__xludf.DUMMYFUNCTION("""COMPUTED_VALUE"""),-0.643680456806284)</f>
        <v>-0.64368045680628405</v>
      </c>
      <c r="HY51" s="3">
        <f ca="1">IFERROR(__xludf.DUMMYFUNCTION("""COMPUTED_VALUE"""),-0.610496709594348)</f>
        <v>-0.61049670959434799</v>
      </c>
      <c r="HZ51" s="3">
        <f ca="1">IFERROR(__xludf.DUMMYFUNCTION("""COMPUTED_VALUE"""),-0.48156221677722)</f>
        <v>-0.48156221677722</v>
      </c>
      <c r="IA51" s="3">
        <f ca="1">IFERROR(__xludf.DUMMYFUNCTION("""COMPUTED_VALUE"""),-0.482059728454859)</f>
        <v>-0.482059728454859</v>
      </c>
      <c r="IB51" s="3">
        <f ca="1">IFERROR(__xludf.DUMMYFUNCTION("""COMPUTED_VALUE"""),-0.418172055986492)</f>
        <v>-0.41817205598649199</v>
      </c>
      <c r="IC51" s="3">
        <f ca="1">IFERROR(__xludf.DUMMYFUNCTION("""COMPUTED_VALUE"""),-0.479850372550405)</f>
        <v>-0.47985037255040502</v>
      </c>
      <c r="ID51" s="3">
        <f ca="1">IFERROR(__xludf.DUMMYFUNCTION("""COMPUTED_VALUE"""),-0.494289264915974)</f>
        <v>-0.49428926491597402</v>
      </c>
      <c r="IE51" s="3">
        <f ca="1">IFERROR(__xludf.DUMMYFUNCTION("""COMPUTED_VALUE"""),-0.492919264708298)</f>
        <v>-0.492919264708298</v>
      </c>
      <c r="IF51" s="3">
        <f ca="1">IFERROR(__xludf.DUMMYFUNCTION("""COMPUTED_VALUE"""),-0.440211718384128)</f>
        <v>-0.44021171838412798</v>
      </c>
      <c r="IG51" s="3">
        <f ca="1">IFERROR(__xludf.DUMMYFUNCTION("""COMPUTED_VALUE"""),-0.434399462789081)</f>
        <v>-0.43439946278908098</v>
      </c>
      <c r="IH51" s="3">
        <f ca="1">IFERROR(__xludf.DUMMYFUNCTION("""COMPUTED_VALUE"""),-0.412919578443676)</f>
        <v>-0.41291957844367599</v>
      </c>
      <c r="II51" s="3">
        <f ca="1">IFERROR(__xludf.DUMMYFUNCTION("""COMPUTED_VALUE"""),-0.366421820266386)</f>
        <v>-0.36642182026638598</v>
      </c>
      <c r="IJ51" s="3">
        <f ca="1">IFERROR(__xludf.DUMMYFUNCTION("""COMPUTED_VALUE"""),-0.393860889984826)</f>
        <v>-0.39386088998482599</v>
      </c>
      <c r="IK51" s="3">
        <f ca="1">IFERROR(__xludf.DUMMYFUNCTION("""COMPUTED_VALUE"""),-0.429600068803894)</f>
        <v>-0.42960006880389401</v>
      </c>
      <c r="IL51" s="3">
        <f ca="1">IFERROR(__xludf.DUMMYFUNCTION("""COMPUTED_VALUE"""),-0.441526934034662)</f>
        <v>-0.44152693403466198</v>
      </c>
      <c r="IM51" s="3">
        <f ca="1">IFERROR(__xludf.DUMMYFUNCTION("""COMPUTED_VALUE"""),-0.420871456892152)</f>
        <v>-0.420871456892152</v>
      </c>
      <c r="IN51" s="3">
        <f ca="1">IFERROR(__xludf.DUMMYFUNCTION("""COMPUTED_VALUE"""),-0.332638382376246)</f>
        <v>-0.33263838237624599</v>
      </c>
      <c r="IO51" s="3">
        <f ca="1">IFERROR(__xludf.DUMMYFUNCTION("""COMPUTED_VALUE"""),-0.400355677150345)</f>
        <v>-0.40035567715034498</v>
      </c>
      <c r="IP51" s="3">
        <f ca="1">IFERROR(__xludf.DUMMYFUNCTION("""COMPUTED_VALUE"""),-0.295168697855375)</f>
        <v>-0.29516869785537497</v>
      </c>
      <c r="IQ51" s="3">
        <f ca="1">IFERROR(__xludf.DUMMYFUNCTION("""COMPUTED_VALUE"""),-0.402559519594047)</f>
        <v>-0.40255951959404701</v>
      </c>
      <c r="IR51" s="3">
        <f ca="1">IFERROR(__xludf.DUMMYFUNCTION("""COMPUTED_VALUE"""),-0.472205364654384)</f>
        <v>-0.47220536465438401</v>
      </c>
      <c r="IS51" s="3">
        <f ca="1">IFERROR(__xludf.DUMMYFUNCTION("""COMPUTED_VALUE"""),-0.437829342667089)</f>
        <v>-0.43782934266708901</v>
      </c>
      <c r="IT51" s="3">
        <f ca="1">IFERROR(__xludf.DUMMYFUNCTION("""COMPUTED_VALUE"""),-0.428654279479873)</f>
        <v>-0.428654279479873</v>
      </c>
      <c r="IU51" s="3">
        <f ca="1">IFERROR(__xludf.DUMMYFUNCTION("""COMPUTED_VALUE"""),-0.448666388187788)</f>
        <v>-0.44866638818778798</v>
      </c>
      <c r="IV51" s="3">
        <f ca="1">IFERROR(__xludf.DUMMYFUNCTION("""COMPUTED_VALUE"""),-0.41467642870372)</f>
        <v>-0.41467642870372001</v>
      </c>
      <c r="IW51" s="3">
        <f ca="1">IFERROR(__xludf.DUMMYFUNCTION("""COMPUTED_VALUE"""),-0.349908109530333)</f>
        <v>-0.34990810953033302</v>
      </c>
      <c r="IX51" s="3">
        <f ca="1">IFERROR(__xludf.DUMMYFUNCTION("""COMPUTED_VALUE"""),-0.440194238961053)</f>
        <v>-0.44019423896105297</v>
      </c>
      <c r="IY51" s="3">
        <f ca="1">IFERROR(__xludf.DUMMYFUNCTION("""COMPUTED_VALUE"""),-0.500385744263368)</f>
        <v>-0.50038574426336802</v>
      </c>
      <c r="IZ51" s="3">
        <f ca="1">IFERROR(__xludf.DUMMYFUNCTION("""COMPUTED_VALUE"""),-0.480586250070111)</f>
        <v>-0.48058625007011102</v>
      </c>
      <c r="JA51" s="3">
        <f ca="1">IFERROR(__xludf.DUMMYFUNCTION("""COMPUTED_VALUE"""),-0.467016688715546)</f>
        <v>-0.46701668871554602</v>
      </c>
      <c r="JB51" s="3">
        <f ca="1">IFERROR(__xludf.DUMMYFUNCTION("""COMPUTED_VALUE"""),-0.389666336736634)</f>
        <v>-0.38966633673663398</v>
      </c>
      <c r="JC51" s="3">
        <f ca="1">IFERROR(__xludf.DUMMYFUNCTION("""COMPUTED_VALUE"""),-0.349978853792679)</f>
        <v>-0.34997885379267901</v>
      </c>
      <c r="JD51" s="3">
        <f ca="1">IFERROR(__xludf.DUMMYFUNCTION("""COMPUTED_VALUE"""),-0.371085255912627)</f>
        <v>-0.37108525591262698</v>
      </c>
      <c r="JE51" s="3">
        <f ca="1">IFERROR(__xludf.DUMMYFUNCTION("""COMPUTED_VALUE"""),-0.453174534459407)</f>
        <v>-0.45317453445940697</v>
      </c>
      <c r="JF51" s="3">
        <f ca="1">IFERROR(__xludf.DUMMYFUNCTION("""COMPUTED_VALUE"""),-0.491209458413604)</f>
        <v>-0.49120945841360403</v>
      </c>
      <c r="JG51" s="3">
        <f ca="1">IFERROR(__xludf.DUMMYFUNCTION("""COMPUTED_VALUE"""),-0.523621124328435)</f>
        <v>-0.52362112432843499</v>
      </c>
      <c r="JH51" s="3">
        <f ca="1">IFERROR(__xludf.DUMMYFUNCTION("""COMPUTED_VALUE"""),-0.442933044316595)</f>
        <v>-0.44293304431659503</v>
      </c>
      <c r="JI51" s="3">
        <f ca="1">IFERROR(__xludf.DUMMYFUNCTION("""COMPUTED_VALUE"""),-0.42699559860128)</f>
        <v>-0.42699559860128</v>
      </c>
      <c r="JJ51" s="3">
        <f ca="1">IFERROR(__xludf.DUMMYFUNCTION("""COMPUTED_VALUE"""),-0.446677357195028)</f>
        <v>-0.44667735719502799</v>
      </c>
      <c r="JK51" s="3">
        <f ca="1">IFERROR(__xludf.DUMMYFUNCTION("""COMPUTED_VALUE"""),-0.38754461188604)</f>
        <v>-0.38754461188604</v>
      </c>
      <c r="JL51" s="3">
        <f ca="1">IFERROR(__xludf.DUMMYFUNCTION("""COMPUTED_VALUE"""),-0.48160794566262)</f>
        <v>-0.48160794566262</v>
      </c>
      <c r="JM51" s="3">
        <f ca="1">IFERROR(__xludf.DUMMYFUNCTION("""COMPUTED_VALUE"""),-0.548796459958477)</f>
        <v>-0.54879645995847703</v>
      </c>
      <c r="JN51" s="3">
        <f ca="1">IFERROR(__xludf.DUMMYFUNCTION("""COMPUTED_VALUE"""),-0.547483936599447)</f>
        <v>-0.54748393659944705</v>
      </c>
      <c r="JO51" s="3">
        <f ca="1">IFERROR(__xludf.DUMMYFUNCTION("""COMPUTED_VALUE"""),-0.514615523018209)</f>
        <v>-0.51461552301820901</v>
      </c>
      <c r="JP51" s="3">
        <f ca="1">IFERROR(__xludf.DUMMYFUNCTION("""COMPUTED_VALUE"""),-0.500288805122448)</f>
        <v>-0.500288805122448</v>
      </c>
      <c r="JQ51" s="3">
        <f ca="1">IFERROR(__xludf.DUMMYFUNCTION("""COMPUTED_VALUE"""),-0.448204130552145)</f>
        <v>-0.44820413055214497</v>
      </c>
      <c r="JR51" s="3">
        <f ca="1">IFERROR(__xludf.DUMMYFUNCTION("""COMPUTED_VALUE"""),-0.423144298445373)</f>
        <v>-0.42314429844537299</v>
      </c>
      <c r="JS51" s="3">
        <f ca="1">IFERROR(__xludf.DUMMYFUNCTION("""COMPUTED_VALUE"""),-0.520338108343298)</f>
        <v>-0.52033810834329797</v>
      </c>
      <c r="JT51" s="3">
        <f ca="1">IFERROR(__xludf.DUMMYFUNCTION("""COMPUTED_VALUE"""),-0.564465577011016)</f>
        <v>-0.56446557701101596</v>
      </c>
      <c r="JU51" s="3">
        <f ca="1">IFERROR(__xludf.DUMMYFUNCTION("""COMPUTED_VALUE"""),-0.552658030190345)</f>
        <v>-0.55265803019034498</v>
      </c>
      <c r="JV51" s="3">
        <f ca="1">IFERROR(__xludf.DUMMYFUNCTION("""COMPUTED_VALUE"""),-0.500408220422359)</f>
        <v>-0.500408220422359</v>
      </c>
      <c r="JW51" s="3">
        <f ca="1">IFERROR(__xludf.DUMMYFUNCTION("""COMPUTED_VALUE"""),-0.461933401538191)</f>
        <v>-0.46193340153819101</v>
      </c>
      <c r="JX51" s="3">
        <f ca="1">IFERROR(__xludf.DUMMYFUNCTION("""COMPUTED_VALUE"""),-0.43576406618028)</f>
        <v>-0.43576406618028002</v>
      </c>
      <c r="JY51" s="3">
        <f ca="1">IFERROR(__xludf.DUMMYFUNCTION("""COMPUTED_VALUE"""),-0.414491767973377)</f>
        <v>-0.414491767973377</v>
      </c>
      <c r="JZ51" s="3">
        <f ca="1">IFERROR(__xludf.DUMMYFUNCTION("""COMPUTED_VALUE"""),-0.516713808210656)</f>
        <v>-0.51671380821065604</v>
      </c>
      <c r="KA51" s="3">
        <f ca="1">IFERROR(__xludf.DUMMYFUNCTION("""COMPUTED_VALUE"""),-0.547305646229264)</f>
        <v>-0.54730564622926403</v>
      </c>
      <c r="KB51" s="3">
        <f ca="1">IFERROR(__xludf.DUMMYFUNCTION("""COMPUTED_VALUE"""),-0.618914979521086)</f>
        <v>-0.61891497952108598</v>
      </c>
      <c r="KC51" s="3">
        <f ca="1">IFERROR(__xludf.DUMMYFUNCTION("""COMPUTED_VALUE"""),-0.500779741885325)</f>
        <v>-0.50077974188532504</v>
      </c>
      <c r="KD51" s="3">
        <f ca="1">IFERROR(__xludf.DUMMYFUNCTION("""COMPUTED_VALUE"""),-0.395115338409303)</f>
        <v>-0.39511533840930302</v>
      </c>
      <c r="KE51" s="3">
        <f ca="1">IFERROR(__xludf.DUMMYFUNCTION("""COMPUTED_VALUE"""),-0.385542774470716)</f>
        <v>-0.385542774470716</v>
      </c>
      <c r="KF51" s="3">
        <f ca="1">IFERROR(__xludf.DUMMYFUNCTION("""COMPUTED_VALUE"""),-0.371760775647124)</f>
        <v>-0.37176077564712401</v>
      </c>
      <c r="KG51" s="3">
        <f ca="1">IFERROR(__xludf.DUMMYFUNCTION("""COMPUTED_VALUE"""),-0.443297552813153)</f>
        <v>-0.44329755281315297</v>
      </c>
      <c r="KH51" s="3">
        <f ca="1">IFERROR(__xludf.DUMMYFUNCTION("""COMPUTED_VALUE"""),-0.429482551673193)</f>
        <v>-0.42948255167319299</v>
      </c>
      <c r="KI51" s="3">
        <f ca="1">IFERROR(__xludf.DUMMYFUNCTION("""COMPUTED_VALUE"""),-0.404698502153417)</f>
        <v>-0.40469850215341702</v>
      </c>
      <c r="KJ51" s="3">
        <f ca="1">IFERROR(__xludf.DUMMYFUNCTION("""COMPUTED_VALUE"""),-0.475249980239731)</f>
        <v>-0.47524998023973097</v>
      </c>
      <c r="KK51" s="3">
        <f ca="1">IFERROR(__xludf.DUMMYFUNCTION("""COMPUTED_VALUE"""),-0.307631959402166)</f>
        <v>-0.30763195940216598</v>
      </c>
      <c r="KL51" s="3">
        <f ca="1">IFERROR(__xludf.DUMMYFUNCTION("""COMPUTED_VALUE"""),-0.222823817612936)</f>
        <v>-0.22282381761293599</v>
      </c>
      <c r="KM51" s="3">
        <f ca="1">IFERROR(__xludf.DUMMYFUNCTION("""COMPUTED_VALUE"""),-0.287202755236963)</f>
        <v>-0.28720275523696298</v>
      </c>
      <c r="KN51" s="3">
        <f ca="1">IFERROR(__xludf.DUMMYFUNCTION("""COMPUTED_VALUE"""),-0.549122821377729)</f>
        <v>-0.54912282137772905</v>
      </c>
      <c r="KO51" s="3">
        <f ca="1">IFERROR(__xludf.DUMMYFUNCTION("""COMPUTED_VALUE"""),-0.568031317971244)</f>
        <v>-0.56803131797124395</v>
      </c>
      <c r="KP51" s="3">
        <f ca="1">IFERROR(__xludf.DUMMYFUNCTION("""COMPUTED_VALUE"""),-0.665076259469171)</f>
        <v>-0.66507625946917104</v>
      </c>
      <c r="KQ51" s="3">
        <f ca="1">IFERROR(__xludf.DUMMYFUNCTION("""COMPUTED_VALUE"""),-0.682137192588466)</f>
        <v>-0.68213719258846595</v>
      </c>
      <c r="KR51" s="3">
        <f ca="1">IFERROR(__xludf.DUMMYFUNCTION("""COMPUTED_VALUE"""),-0.637096693411616)</f>
        <v>-0.63709669341161601</v>
      </c>
      <c r="KS51" s="3">
        <f ca="1">IFERROR(__xludf.DUMMYFUNCTION("""COMPUTED_VALUE"""),-0.61894049724605)</f>
        <v>-0.61894049724605005</v>
      </c>
      <c r="KT51" s="3">
        <f ca="1">IFERROR(__xludf.DUMMYFUNCTION("""COMPUTED_VALUE"""),-0.615641698046015)</f>
        <v>-0.61564169804601498</v>
      </c>
      <c r="KU51" s="3">
        <f ca="1">IFERROR(__xludf.DUMMYFUNCTION("""COMPUTED_VALUE"""),-0.729989078988877)</f>
        <v>-0.72998907898887699</v>
      </c>
      <c r="KV51" s="3">
        <f ca="1">IFERROR(__xludf.DUMMYFUNCTION("""COMPUTED_VALUE"""),-0.724209861005222)</f>
        <v>-0.724209861005222</v>
      </c>
      <c r="KW51" s="3">
        <f ca="1">IFERROR(__xludf.DUMMYFUNCTION("""COMPUTED_VALUE"""),-0.738454637306996)</f>
        <v>-0.73845463730699601</v>
      </c>
      <c r="KX51" s="3">
        <f ca="1">IFERROR(__xludf.DUMMYFUNCTION("""COMPUTED_VALUE"""),-0.7161429506554)</f>
        <v>-0.71614295065540001</v>
      </c>
      <c r="KY51" s="3">
        <f ca="1">IFERROR(__xludf.DUMMYFUNCTION("""COMPUTED_VALUE"""),-0.700579237847289)</f>
        <v>-0.70057923784728904</v>
      </c>
      <c r="KZ51" s="3">
        <f ca="1">IFERROR(__xludf.DUMMYFUNCTION("""COMPUTED_VALUE"""),-0.606778419526545)</f>
        <v>-0.60677841952654499</v>
      </c>
      <c r="LA51" s="3">
        <f ca="1">IFERROR(__xludf.DUMMYFUNCTION("""COMPUTED_VALUE"""),-0.640368230557302)</f>
        <v>-0.64036823055730197</v>
      </c>
      <c r="LB51" s="3">
        <f ca="1">IFERROR(__xludf.DUMMYFUNCTION("""COMPUTED_VALUE"""),-0.731504529264639)</f>
        <v>-0.73150452926463905</v>
      </c>
      <c r="LC51" s="3">
        <f ca="1">IFERROR(__xludf.DUMMYFUNCTION("""COMPUTED_VALUE"""),-0.75161999009203)</f>
        <v>-0.75161999009202995</v>
      </c>
      <c r="LD51" s="3">
        <f ca="1">IFERROR(__xludf.DUMMYFUNCTION("""COMPUTED_VALUE"""),-0.758228953708124)</f>
        <v>-0.75822895370812404</v>
      </c>
      <c r="LE51" s="3">
        <f ca="1">IFERROR(__xludf.DUMMYFUNCTION("""COMPUTED_VALUE"""),-0.742034047187993)</f>
        <v>-0.74203404718799304</v>
      </c>
      <c r="LF51" s="3">
        <f ca="1">IFERROR(__xludf.DUMMYFUNCTION("""COMPUTED_VALUE"""),-0.71741295455922)</f>
        <v>-0.71741295455922005</v>
      </c>
      <c r="LG51" s="3">
        <f ca="1">IFERROR(__xludf.DUMMYFUNCTION("""COMPUTED_VALUE"""),-0.657878477918638)</f>
        <v>-0.65787847791863796</v>
      </c>
      <c r="LH51" s="3">
        <f ca="1">IFERROR(__xludf.DUMMYFUNCTION("""COMPUTED_VALUE"""),-0.679444635210128)</f>
        <v>-0.67944463521012799</v>
      </c>
      <c r="LI51" s="3">
        <f ca="1">IFERROR(__xludf.DUMMYFUNCTION("""COMPUTED_VALUE"""),-0.770734187991946)</f>
        <v>-0.77073418799194604</v>
      </c>
      <c r="LJ51" s="3">
        <f ca="1">IFERROR(__xludf.DUMMYFUNCTION("""COMPUTED_VALUE"""),-0.773319277305772)</f>
        <v>-0.77331927730577199</v>
      </c>
      <c r="LK51" s="3">
        <f ca="1">IFERROR(__xludf.DUMMYFUNCTION("""COMPUTED_VALUE"""),-0.764481029076727)</f>
        <v>-0.76448102907672699</v>
      </c>
      <c r="LL51" s="3">
        <f ca="1">IFERROR(__xludf.DUMMYFUNCTION("""COMPUTED_VALUE"""),-0.788893523151323)</f>
        <v>-0.788893523151323</v>
      </c>
      <c r="LM51" s="3">
        <f ca="1">IFERROR(__xludf.DUMMYFUNCTION("""COMPUTED_VALUE"""),-0.701102169213741)</f>
        <v>-0.70110216921374102</v>
      </c>
      <c r="LN51" s="3">
        <f ca="1">IFERROR(__xludf.DUMMYFUNCTION("""COMPUTED_VALUE"""),-0.681733514870881)</f>
        <v>-0.68173351487088096</v>
      </c>
      <c r="LO51" s="3">
        <f ca="1">IFERROR(__xludf.DUMMYFUNCTION("""COMPUTED_VALUE"""),-0.683910868015821)</f>
        <v>-0.68391086801582102</v>
      </c>
      <c r="LP51" s="3">
        <f ca="1">IFERROR(__xludf.DUMMYFUNCTION("""COMPUTED_VALUE"""),-0.762917258295273)</f>
        <v>-0.76291725829527302</v>
      </c>
      <c r="LQ51" s="3">
        <f ca="1">IFERROR(__xludf.DUMMYFUNCTION("""COMPUTED_VALUE"""),-0.785218476919513)</f>
        <v>-0.78521847691951296</v>
      </c>
      <c r="LR51" s="3">
        <f ca="1">IFERROR(__xludf.DUMMYFUNCTION("""COMPUTED_VALUE"""),-0.784125227896367)</f>
        <v>-0.78412522789636696</v>
      </c>
      <c r="LS51" s="3">
        <f ca="1">IFERROR(__xludf.DUMMYFUNCTION("""COMPUTED_VALUE"""),-0.777010060465744)</f>
        <v>-0.77701006046574395</v>
      </c>
      <c r="LT51" s="3">
        <f ca="1">IFERROR(__xludf.DUMMYFUNCTION("""COMPUTED_VALUE"""),-0.833967038305392)</f>
        <v>-0.83396703830539198</v>
      </c>
      <c r="LU51" s="3">
        <f ca="1">IFERROR(__xludf.DUMMYFUNCTION("""COMPUTED_VALUE"""),-0.748968028037475)</f>
        <v>-0.74896802803747498</v>
      </c>
      <c r="LV51" s="3">
        <f ca="1">IFERROR(__xludf.DUMMYFUNCTION("""COMPUTED_VALUE"""),-0.721629679103421)</f>
        <v>-0.72162967910342102</v>
      </c>
      <c r="LW51" s="3">
        <f ca="1">IFERROR(__xludf.DUMMYFUNCTION("""COMPUTED_VALUE"""),-0.824272781601883)</f>
        <v>-0.824272781601883</v>
      </c>
      <c r="LX51" s="3">
        <f ca="1">IFERROR(__xludf.DUMMYFUNCTION("""COMPUTED_VALUE"""),-0.840442059354219)</f>
        <v>-0.84044205935421901</v>
      </c>
      <c r="LY51" s="3">
        <f ca="1">IFERROR(__xludf.DUMMYFUNCTION("""COMPUTED_VALUE"""),-0.794514955056192)</f>
        <v>-0.79451495505619196</v>
      </c>
      <c r="LZ51" s="3">
        <f ca="1">IFERROR(__xludf.DUMMYFUNCTION("""COMPUTED_VALUE"""),-0.810485347836007)</f>
        <v>-0.81048534783600701</v>
      </c>
      <c r="MA51" s="3">
        <f ca="1">IFERROR(__xludf.DUMMYFUNCTION("""COMPUTED_VALUE"""),-0.752398933559064)</f>
        <v>-0.75239893355906395</v>
      </c>
      <c r="MB51" s="3">
        <f ca="1">IFERROR(__xludf.DUMMYFUNCTION("""COMPUTED_VALUE"""),-0.749823232821053)</f>
        <v>-0.74982323282105301</v>
      </c>
      <c r="MC51" s="3">
        <f ca="1">IFERROR(__xludf.DUMMYFUNCTION("""COMPUTED_VALUE"""),-0.755517820617026)</f>
        <v>-0.75551782061702599</v>
      </c>
      <c r="MD51" s="3">
        <f ca="1">IFERROR(__xludf.DUMMYFUNCTION("""COMPUTED_VALUE"""),-0.799779252596085)</f>
        <v>-0.79977925259608496</v>
      </c>
      <c r="ME51" s="3">
        <f ca="1">IFERROR(__xludf.DUMMYFUNCTION("""COMPUTED_VALUE"""),-0.810417262140985)</f>
        <v>-0.81041726214098497</v>
      </c>
      <c r="MF51" s="3">
        <f ca="1">IFERROR(__xludf.DUMMYFUNCTION("""COMPUTED_VALUE"""),-0.811823546620104)</f>
        <v>-0.81182354662010403</v>
      </c>
      <c r="MG51" s="3">
        <f ca="1">IFERROR(__xludf.DUMMYFUNCTION("""COMPUTED_VALUE"""),-0.793852598446964)</f>
        <v>-0.79385259844696399</v>
      </c>
      <c r="MH51" s="3">
        <f ca="1">IFERROR(__xludf.DUMMYFUNCTION("""COMPUTED_VALUE"""),-0.788486890203069)</f>
        <v>-0.78848689020306895</v>
      </c>
      <c r="MI51" s="3">
        <f ca="1">IFERROR(__xludf.DUMMYFUNCTION("""COMPUTED_VALUE"""),-0.755009155371845)</f>
        <v>-0.75500915537184499</v>
      </c>
      <c r="MJ51" s="3">
        <f ca="1">IFERROR(__xludf.DUMMYFUNCTION("""COMPUTED_VALUE"""),-0.800455041747067)</f>
        <v>-0.80045504174706705</v>
      </c>
      <c r="MK51" s="3">
        <f ca="1">IFERROR(__xludf.DUMMYFUNCTION("""COMPUTED_VALUE"""),-0.819220138603274)</f>
        <v>-0.81922013860327403</v>
      </c>
      <c r="ML51" s="3">
        <f ca="1">IFERROR(__xludf.DUMMYFUNCTION("""COMPUTED_VALUE"""),-0.812961908754185)</f>
        <v>-0.81296190875418495</v>
      </c>
      <c r="MM51" s="3">
        <f ca="1">IFERROR(__xludf.DUMMYFUNCTION("""COMPUTED_VALUE"""),-0.840624165659153)</f>
        <v>-0.84062416565915299</v>
      </c>
      <c r="MN51" s="3">
        <f ca="1">IFERROR(__xludf.DUMMYFUNCTION("""COMPUTED_VALUE"""),-0.815951120582388)</f>
        <v>-0.81595112058238795</v>
      </c>
      <c r="MO51" s="3">
        <f ca="1">IFERROR(__xludf.DUMMYFUNCTION("""COMPUTED_VALUE"""),-0.801490915688048)</f>
        <v>-0.80149091568804798</v>
      </c>
      <c r="MP51" s="3">
        <f ca="1">IFERROR(__xludf.DUMMYFUNCTION("""COMPUTED_VALUE"""),-0.79628698950477)</f>
        <v>-0.79628698950476995</v>
      </c>
      <c r="MQ51" s="3">
        <f ca="1">IFERROR(__xludf.DUMMYFUNCTION("""COMPUTED_VALUE"""),-0.79313087026058)</f>
        <v>-0.79313087026058005</v>
      </c>
      <c r="MR51" s="3">
        <f ca="1">IFERROR(__xludf.DUMMYFUNCTION("""COMPUTED_VALUE"""),-0.771999900799612)</f>
        <v>-0.771999900799612</v>
      </c>
      <c r="MS51" s="3">
        <f ca="1">IFERROR(__xludf.DUMMYFUNCTION("""COMPUTED_VALUE"""),-0.857855483788319)</f>
        <v>-0.857855483788319</v>
      </c>
      <c r="MT51" s="3">
        <f ca="1">IFERROR(__xludf.DUMMYFUNCTION("""COMPUTED_VALUE"""),-0.857341602649591)</f>
        <v>-0.85734160264959103</v>
      </c>
      <c r="MU51" s="3">
        <f ca="1">IFERROR(__xludf.DUMMYFUNCTION("""COMPUTED_VALUE"""),-0.840398643432976)</f>
        <v>-0.84039864343297599</v>
      </c>
      <c r="MV51" s="3">
        <f ca="1">IFERROR(__xludf.DUMMYFUNCTION("""COMPUTED_VALUE"""),-0.829140553088638)</f>
        <v>-0.82914055308863799</v>
      </c>
      <c r="MW51" s="3">
        <f ca="1">IFERROR(__xludf.DUMMYFUNCTION("""COMPUTED_VALUE"""),-0.786392341178259)</f>
        <v>-0.78639234117825896</v>
      </c>
      <c r="MX51" s="3">
        <f ca="1">IFERROR(__xludf.DUMMYFUNCTION("""COMPUTED_VALUE"""),-0.811757598428724)</f>
        <v>-0.81175759842872397</v>
      </c>
      <c r="MY51" s="3">
        <f ca="1">IFERROR(__xludf.DUMMYFUNCTION("""COMPUTED_VALUE"""),-0.822798063755418)</f>
        <v>-0.82279806375541797</v>
      </c>
      <c r="MZ51" s="3">
        <f ca="1">IFERROR(__xludf.DUMMYFUNCTION("""COMPUTED_VALUE"""),-0.860612296706769)</f>
        <v>-0.86061229670676898</v>
      </c>
      <c r="NA51" s="3">
        <f ca="1">IFERROR(__xludf.DUMMYFUNCTION("""COMPUTED_VALUE"""),-0.845395097499514)</f>
        <v>-0.84539509749951403</v>
      </c>
      <c r="NB51" s="3">
        <f ca="1">IFERROR(__xludf.DUMMYFUNCTION("""COMPUTED_VALUE"""),-0.848050295598857)</f>
        <v>-0.84805029559885703</v>
      </c>
      <c r="NC51" s="3">
        <f ca="1">IFERROR(__xludf.DUMMYFUNCTION("""COMPUTED_VALUE"""),-0.861266917706657)</f>
        <v>-0.86126691770665698</v>
      </c>
      <c r="ND51" s="3">
        <f ca="1">IFERROR(__xludf.DUMMYFUNCTION("""COMPUTED_VALUE"""),-0.849222630489665)</f>
        <v>-0.84922263048966495</v>
      </c>
      <c r="NE51" s="3">
        <f ca="1">IFERROR(__xludf.DUMMYFUNCTION("""COMPUTED_VALUE"""),-0.809737331397588)</f>
        <v>-0.80973733139758797</v>
      </c>
      <c r="NF51" s="3">
        <f ca="1">IFERROR(__xludf.DUMMYFUNCTION("""COMPUTED_VALUE"""),-0.883948499077137)</f>
        <v>-0.88394849907713702</v>
      </c>
      <c r="NG51" s="3">
        <f ca="1">IFERROR(__xludf.DUMMYFUNCTION("""COMPUTED_VALUE"""),-0.862604444440976)</f>
        <v>-0.86260444444097595</v>
      </c>
      <c r="NH51" s="3">
        <f ca="1">IFERROR(__xludf.DUMMYFUNCTION("""COMPUTED_VALUE"""),-0.853802429246556)</f>
        <v>-0.85380242924655603</v>
      </c>
      <c r="NI51" s="3">
        <f ca="1">IFERROR(__xludf.DUMMYFUNCTION("""COMPUTED_VALUE"""),-0.854535909502591)</f>
        <v>-0.85453590950259095</v>
      </c>
      <c r="NJ51" s="3">
        <f ca="1">IFERROR(__xludf.DUMMYFUNCTION("""COMPUTED_VALUE"""),-0.867721184642579)</f>
        <v>-0.86772118464257897</v>
      </c>
      <c r="NK51" s="3">
        <f ca="1">IFERROR(__xludf.DUMMYFUNCTION("""COMPUTED_VALUE"""),-0.801901969600839)</f>
        <v>-0.80190196960083904</v>
      </c>
      <c r="NL51" s="3">
        <f ca="1">IFERROR(__xludf.DUMMYFUNCTION("""COMPUTED_VALUE"""),-0.81803319718678)</f>
        <v>-0.81803319718678003</v>
      </c>
      <c r="NM51" s="3">
        <f ca="1">IFERROR(__xludf.DUMMYFUNCTION("""COMPUTED_VALUE"""),-0.872664898421351)</f>
        <v>-0.87266489842135098</v>
      </c>
      <c r="NN51" s="3">
        <f ca="1">IFERROR(__xludf.DUMMYFUNCTION("""COMPUTED_VALUE"""),-0.856485946736002)</f>
        <v>-0.85648594673600198</v>
      </c>
      <c r="NO51" s="3">
        <f ca="1">IFERROR(__xludf.DUMMYFUNCTION("""COMPUTED_VALUE"""),-0.853523605092882)</f>
        <v>-0.85352360509288205</v>
      </c>
      <c r="NP51" s="3">
        <f ca="1">IFERROR(__xludf.DUMMYFUNCTION("""COMPUTED_VALUE"""),-0.866280445410044)</f>
        <v>-0.86628044541004401</v>
      </c>
      <c r="NQ51" s="3">
        <f ca="1">IFERROR(__xludf.DUMMYFUNCTION("""COMPUTED_VALUE"""),-0.871972421947602)</f>
        <v>-0.87197242194760205</v>
      </c>
      <c r="NR51" s="3">
        <f ca="1">IFERROR(__xludf.DUMMYFUNCTION("""COMPUTED_VALUE"""),-0.814492939387509)</f>
        <v>-0.814492939387509</v>
      </c>
      <c r="NS51" s="3">
        <f ca="1">IFERROR(__xludf.DUMMYFUNCTION("""COMPUTED_VALUE"""),-0.834166734617504)</f>
        <v>-0.83416673461750401</v>
      </c>
      <c r="NT51" s="3">
        <f ca="1">IFERROR(__xludf.DUMMYFUNCTION("""COMPUTED_VALUE"""),-0.856161274031052)</f>
        <v>-0.85616127403105202</v>
      </c>
      <c r="NU51" s="3">
        <f ca="1">IFERROR(__xludf.DUMMYFUNCTION("""COMPUTED_VALUE"""),-0.868266002429378)</f>
        <v>-0.86826600242937801</v>
      </c>
      <c r="NV51" s="3">
        <f ca="1">IFERROR(__xludf.DUMMYFUNCTION("""COMPUTED_VALUE"""),-0.843811368326284)</f>
        <v>-0.84381136832628401</v>
      </c>
      <c r="NW51" s="3">
        <f ca="1">IFERROR(__xludf.DUMMYFUNCTION("""COMPUTED_VALUE"""),-0.829756561944353)</f>
        <v>-0.82975656194435299</v>
      </c>
      <c r="NX51" s="3">
        <f ca="1">IFERROR(__xludf.DUMMYFUNCTION("""COMPUTED_VALUE"""),-0.828515592702713)</f>
        <v>-0.82851559270271302</v>
      </c>
      <c r="NY51" s="3">
        <f ca="1">IFERROR(__xludf.DUMMYFUNCTION("""COMPUTED_VALUE"""),-0.725771584119506)</f>
        <v>-0.72577158411950604</v>
      </c>
      <c r="NZ51" s="3">
        <f ca="1">IFERROR(__xludf.DUMMYFUNCTION("""COMPUTED_VALUE"""),-0.74239441049191)</f>
        <v>-0.74239441049191002</v>
      </c>
      <c r="OA51" s="3">
        <f ca="1">IFERROR(__xludf.DUMMYFUNCTION("""COMPUTED_VALUE"""),-0.775690828586301)</f>
        <v>-0.77569082858630101</v>
      </c>
      <c r="OB51" s="3">
        <f ca="1">IFERROR(__xludf.DUMMYFUNCTION("""COMPUTED_VALUE"""),-0.762545291069759)</f>
        <v>-0.76254529106975899</v>
      </c>
      <c r="OC51" s="3">
        <f ca="1">IFERROR(__xludf.DUMMYFUNCTION("""COMPUTED_VALUE"""),-0.737578907271)</f>
        <v>-0.73757890727099995</v>
      </c>
      <c r="OD51" s="3">
        <f ca="1">IFERROR(__xludf.DUMMYFUNCTION("""COMPUTED_VALUE"""),-0.660407409497317)</f>
        <v>-0.66040740949731702</v>
      </c>
      <c r="OE51" s="3">
        <f ca="1">IFERROR(__xludf.DUMMYFUNCTION("""COMPUTED_VALUE"""),-0.560993539266666)</f>
        <v>-0.56099353926666595</v>
      </c>
      <c r="OF51" s="3">
        <f ca="1">IFERROR(__xludf.DUMMYFUNCTION("""COMPUTED_VALUE"""),-0.339486137383018)</f>
        <v>-0.33948613738301803</v>
      </c>
      <c r="OG51" s="3">
        <f ca="1">IFERROR(__xludf.DUMMYFUNCTION("""COMPUTED_VALUE"""),-0.340608689275072)</f>
        <v>-0.34060868927507199</v>
      </c>
      <c r="OH51" s="3">
        <f ca="1">IFERROR(__xludf.DUMMYFUNCTION("""COMPUTED_VALUE"""),-0.230870691663361)</f>
        <v>-0.23087069166336099</v>
      </c>
      <c r="OI51" s="3">
        <f ca="1">IFERROR(__xludf.DUMMYFUNCTION("""COMPUTED_VALUE"""),-0.0280467882454622)</f>
        <v>-2.8046788245462199E-2</v>
      </c>
      <c r="OJ51" s="3">
        <f ca="1">IFERROR(__xludf.DUMMYFUNCTION("""COMPUTED_VALUE"""),0.00284466033505981)</f>
        <v>2.8446603350598099E-3</v>
      </c>
      <c r="OK51" s="3">
        <f ca="1">IFERROR(__xludf.DUMMYFUNCTION("""COMPUTED_VALUE"""),0.0591780585702526)</f>
        <v>5.9178058570252601E-2</v>
      </c>
      <c r="OL51" s="3">
        <f ca="1">IFERROR(__xludf.DUMMYFUNCTION("""COMPUTED_VALUE"""),0.0482463856526558)</f>
        <v>4.82463856526558E-2</v>
      </c>
      <c r="OM51" s="3">
        <f ca="1">IFERROR(__xludf.DUMMYFUNCTION("""COMPUTED_VALUE"""),0.00295910330104165)</f>
        <v>2.9591033010416502E-3</v>
      </c>
      <c r="ON51" s="3">
        <f ca="1">IFERROR(__xludf.DUMMYFUNCTION("""COMPUTED_VALUE"""),-0.0433745680198613)</f>
        <v>-4.3374568019861302E-2</v>
      </c>
      <c r="OO51" s="3">
        <f ca="1">IFERROR(__xludf.DUMMYFUNCTION("""COMPUTED_VALUE"""),-0.0169286398124337)</f>
        <v>-1.6928639812433699E-2</v>
      </c>
      <c r="OP51" s="3">
        <f ca="1">IFERROR(__xludf.DUMMYFUNCTION("""COMPUTED_VALUE"""),0.0692152099970317)</f>
        <v>6.9215209997031693E-2</v>
      </c>
      <c r="OQ51" s="3">
        <f ca="1">IFERROR(__xludf.DUMMYFUNCTION("""COMPUTED_VALUE"""),0.0356954005083722)</f>
        <v>3.5695400508372201E-2</v>
      </c>
      <c r="OR51" s="3">
        <f ca="1">IFERROR(__xludf.DUMMYFUNCTION("""COMPUTED_VALUE"""),0.0956909550905809)</f>
        <v>9.5690955090580898E-2</v>
      </c>
      <c r="OS51" s="3">
        <f ca="1">IFERROR(__xludf.DUMMYFUNCTION("""COMPUTED_VALUE"""),0.106508867173861)</f>
        <v>0.106508867173861</v>
      </c>
      <c r="OT51" s="3">
        <f ca="1">IFERROR(__xludf.DUMMYFUNCTION("""COMPUTED_VALUE"""),0.147392472383486)</f>
        <v>0.14739247238348599</v>
      </c>
      <c r="OU51" s="3">
        <f ca="1">IFERROR(__xludf.DUMMYFUNCTION("""COMPUTED_VALUE"""),0.0785514248073657)</f>
        <v>7.8551424807365697E-2</v>
      </c>
      <c r="OV51" s="3">
        <f ca="1">IFERROR(__xludf.DUMMYFUNCTION("""COMPUTED_VALUE"""),0.126136668453553)</f>
        <v>0.12613666845355301</v>
      </c>
      <c r="OW51" s="3">
        <f ca="1">IFERROR(__xludf.DUMMYFUNCTION("""COMPUTED_VALUE"""),0.117343610706953)</f>
        <v>0.117343610706953</v>
      </c>
      <c r="OX51" s="3">
        <f ca="1">IFERROR(__xludf.DUMMYFUNCTION("""COMPUTED_VALUE"""),0.156265068802399)</f>
        <v>0.15626506880239899</v>
      </c>
      <c r="OY51" s="3">
        <f ca="1">IFERROR(__xludf.DUMMYFUNCTION("""COMPUTED_VALUE"""),0.136348092062065)</f>
        <v>0.136348092062065</v>
      </c>
      <c r="OZ51" s="3">
        <f ca="1">IFERROR(__xludf.DUMMYFUNCTION("""COMPUTED_VALUE"""),0.323540582896759)</f>
        <v>0.32354058289675902</v>
      </c>
      <c r="PA51" s="3">
        <f ca="1">IFERROR(__xludf.DUMMYFUNCTION("""COMPUTED_VALUE"""),-0.057902489020384)</f>
        <v>-5.7902489020384001E-2</v>
      </c>
      <c r="PB51" s="3">
        <f ca="1">IFERROR(__xludf.DUMMYFUNCTION("""COMPUTED_VALUE"""),-0.146690180868441)</f>
        <v>-0.14669018086844099</v>
      </c>
      <c r="PC51" s="3">
        <f ca="1">IFERROR(__xludf.DUMMYFUNCTION("""COMPUTED_VALUE"""),-0.233156070678365)</f>
        <v>-0.233156070678365</v>
      </c>
      <c r="PD51" s="3">
        <f ca="1">IFERROR(__xludf.DUMMYFUNCTION("""COMPUTED_VALUE"""),-0.282384636389155)</f>
        <v>-0.28238463638915501</v>
      </c>
      <c r="PE51" s="3">
        <f ca="1">IFERROR(__xludf.DUMMYFUNCTION("""COMPUTED_VALUE"""),-0.244417046215216)</f>
        <v>-0.24441704621521601</v>
      </c>
      <c r="PF51" s="3">
        <f ca="1">IFERROR(__xludf.DUMMYFUNCTION("""COMPUTED_VALUE"""),-0.0995701241160557)</f>
        <v>-9.9570124116055703E-2</v>
      </c>
      <c r="PG51" s="3">
        <f ca="1">IFERROR(__xludf.DUMMYFUNCTION("""COMPUTED_VALUE"""),-0.534339950463374)</f>
        <v>-0.53433995046337401</v>
      </c>
      <c r="PH51" s="3">
        <f ca="1">IFERROR(__xludf.DUMMYFUNCTION("""COMPUTED_VALUE"""),-0.141148060551247)</f>
        <v>-0.14114806055124701</v>
      </c>
      <c r="PI51" s="3">
        <f ca="1">IFERROR(__xludf.DUMMYFUNCTION("""COMPUTED_VALUE"""),-0.115582651734125)</f>
        <v>-0.11558265173412501</v>
      </c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</row>
    <row r="52" spans="1:477" ht="13">
      <c r="A52" s="1" t="str">
        <f ca="1">IFERROR(__xludf.DUMMYFUNCTION("""COMPUTED_VALUE"""),"TfL Bus 300-399")</f>
        <v>TfL Bus 300-399</v>
      </c>
      <c r="B52" s="1" t="str">
        <f ca="1">IFERROR(__xludf.DUMMYFUNCTION("""COMPUTED_VALUE"""),"London")</f>
        <v>London</v>
      </c>
      <c r="C52" s="1" t="str">
        <f ca="1">IFERROR(__xludf.DUMMYFUNCTION("""COMPUTED_VALUE"""),"United Kingdom")</f>
        <v>United Kingdom</v>
      </c>
      <c r="D52" s="1" t="str">
        <f ca="1">IFERROR(__xludf.DUMMYFUNCTION("""COMPUTED_VALUE"""),"England")</f>
        <v>England</v>
      </c>
      <c r="E52" s="3">
        <f ca="1">IFERROR(__xludf.DUMMYFUNCTION("""COMPUTED_VALUE"""),-0.675530660346544)</f>
        <v>-0.67553066034654397</v>
      </c>
      <c r="F52" s="3">
        <f ca="1">IFERROR(__xludf.DUMMYFUNCTION("""COMPUTED_VALUE"""),-0.643004763604345)</f>
        <v>-0.643004763604345</v>
      </c>
      <c r="G52" s="3">
        <f ca="1">IFERROR(__xludf.DUMMYFUNCTION("""COMPUTED_VALUE"""),-0.647671577609249)</f>
        <v>-0.64767157760924898</v>
      </c>
      <c r="H52" s="3">
        <f ca="1">IFERROR(__xludf.DUMMYFUNCTION("""COMPUTED_VALUE"""),-0.671937421340788)</f>
        <v>-0.67193742134078804</v>
      </c>
      <c r="I52" s="3">
        <f ca="1">IFERROR(__xludf.DUMMYFUNCTION("""COMPUTED_VALUE"""),-0.653947888015191)</f>
        <v>-0.65394788801519099</v>
      </c>
      <c r="J52" s="3">
        <f ca="1">IFERROR(__xludf.DUMMYFUNCTION("""COMPUTED_VALUE"""),-0.680680322297339)</f>
        <v>-0.68068032229733899</v>
      </c>
      <c r="K52" s="3">
        <f ca="1">IFERROR(__xludf.DUMMYFUNCTION("""COMPUTED_VALUE"""),-0.648144640599522)</f>
        <v>-0.64814464059952204</v>
      </c>
      <c r="L52" s="3">
        <f ca="1">IFERROR(__xludf.DUMMYFUNCTION("""COMPUTED_VALUE"""),-0.672291720682614)</f>
        <v>-0.672291720682614</v>
      </c>
      <c r="M52" s="3">
        <f ca="1">IFERROR(__xludf.DUMMYFUNCTION("""COMPUTED_VALUE"""),-0.699374153009581)</f>
        <v>-0.69937415300958095</v>
      </c>
      <c r="N52" s="3">
        <f ca="1">IFERROR(__xludf.DUMMYFUNCTION("""COMPUTED_VALUE"""),-0.533898043133222)</f>
        <v>-0.53389804313322198</v>
      </c>
      <c r="O52" s="3">
        <f ca="1">IFERROR(__xludf.DUMMYFUNCTION("""COMPUTED_VALUE"""),-0.592523690840601)</f>
        <v>-0.59252369084060097</v>
      </c>
      <c r="P52" s="3">
        <f ca="1">IFERROR(__xludf.DUMMYFUNCTION("""COMPUTED_VALUE"""),-0.557089486613152)</f>
        <v>-0.55708948661315205</v>
      </c>
      <c r="Q52" s="3">
        <f ca="1">IFERROR(__xludf.DUMMYFUNCTION("""COMPUTED_VALUE"""),-0.602884303586583)</f>
        <v>-0.60288430358658296</v>
      </c>
      <c r="R52" s="3">
        <f ca="1">IFERROR(__xludf.DUMMYFUNCTION("""COMPUTED_VALUE"""),-0.658623945033657)</f>
        <v>-0.65862394503365695</v>
      </c>
      <c r="S52" s="3">
        <f ca="1">IFERROR(__xludf.DUMMYFUNCTION("""COMPUTED_VALUE"""),-0.640659159197654)</f>
        <v>-0.64065915919765404</v>
      </c>
      <c r="T52" s="3">
        <f ca="1">IFERROR(__xludf.DUMMYFUNCTION("""COMPUTED_VALUE"""),-0.650852934094778)</f>
        <v>-0.65085293409477796</v>
      </c>
      <c r="U52" s="3">
        <f ca="1">IFERROR(__xludf.DUMMYFUNCTION("""COMPUTED_VALUE"""),-0.617626307028895)</f>
        <v>-0.61762630702889498</v>
      </c>
      <c r="V52" s="3">
        <f ca="1">IFERROR(__xludf.DUMMYFUNCTION("""COMPUTED_VALUE"""),-0.608281405529157)</f>
        <v>-0.60828140552915699</v>
      </c>
      <c r="W52" s="3">
        <f ca="1">IFERROR(__xludf.DUMMYFUNCTION("""COMPUTED_VALUE"""),-0.59252056408927)</f>
        <v>-0.59252056408927001</v>
      </c>
      <c r="X52" s="3">
        <f ca="1">IFERROR(__xludf.DUMMYFUNCTION("""COMPUTED_VALUE"""),-0.596730146102286)</f>
        <v>-0.59673014610228603</v>
      </c>
      <c r="Y52" s="3">
        <f ca="1">IFERROR(__xludf.DUMMYFUNCTION("""COMPUTED_VALUE"""),-0.68844295902578)</f>
        <v>-0.68844295902578001</v>
      </c>
      <c r="Z52" s="3">
        <f ca="1">IFERROR(__xludf.DUMMYFUNCTION("""COMPUTED_VALUE"""),-0.679027036805668)</f>
        <v>-0.67902703680566801</v>
      </c>
      <c r="AA52" s="3">
        <f ca="1">IFERROR(__xludf.DUMMYFUNCTION("""COMPUTED_VALUE"""),-0.620297414820113)</f>
        <v>-0.62029741482011302</v>
      </c>
      <c r="AB52" s="3">
        <f ca="1">IFERROR(__xludf.DUMMYFUNCTION("""COMPUTED_VALUE"""),-0.604435043666992)</f>
        <v>-0.60443504366699197</v>
      </c>
      <c r="AC52" s="3">
        <f ca="1">IFERROR(__xludf.DUMMYFUNCTION("""COMPUTED_VALUE"""),-0.577180387451142)</f>
        <v>-0.57718038745114197</v>
      </c>
      <c r="AD52" s="3">
        <f ca="1">IFERROR(__xludf.DUMMYFUNCTION("""COMPUTED_VALUE"""),-0.590419590461503)</f>
        <v>-0.59041959046150305</v>
      </c>
      <c r="AE52" s="3">
        <f ca="1">IFERROR(__xludf.DUMMYFUNCTION("""COMPUTED_VALUE"""),-0.579239076057766)</f>
        <v>-0.57923907605776603</v>
      </c>
      <c r="AF52" s="3">
        <f ca="1">IFERROR(__xludf.DUMMYFUNCTION("""COMPUTED_VALUE"""),-0.641916033717375)</f>
        <v>-0.64191603371737505</v>
      </c>
      <c r="AG52" s="3">
        <f ca="1">IFERROR(__xludf.DUMMYFUNCTION("""COMPUTED_VALUE"""),-0.677983163052307)</f>
        <v>-0.67798316305230699</v>
      </c>
      <c r="AH52" s="3">
        <f ca="1">IFERROR(__xludf.DUMMYFUNCTION("""COMPUTED_VALUE"""),-0.637302736116652)</f>
        <v>-0.637302736116652</v>
      </c>
      <c r="AI52" s="3">
        <f ca="1">IFERROR(__xludf.DUMMYFUNCTION("""COMPUTED_VALUE"""),-0.57745870063722)</f>
        <v>-0.57745870063722005</v>
      </c>
      <c r="AJ52" s="3">
        <f ca="1">IFERROR(__xludf.DUMMYFUNCTION("""COMPUTED_VALUE"""),-0.552458014430877)</f>
        <v>-0.55245801443087705</v>
      </c>
      <c r="AK52" s="3">
        <f ca="1">IFERROR(__xludf.DUMMYFUNCTION("""COMPUTED_VALUE"""),-0.588965595740442)</f>
        <v>-0.58896559574044205</v>
      </c>
      <c r="AL52" s="3">
        <f ca="1">IFERROR(__xludf.DUMMYFUNCTION("""COMPUTED_VALUE"""),-0.598719732019954)</f>
        <v>-0.59871973201995399</v>
      </c>
      <c r="AM52" s="3">
        <f ca="1">IFERROR(__xludf.DUMMYFUNCTION("""COMPUTED_VALUE"""),-0.713123985929645)</f>
        <v>-0.71312398592964499</v>
      </c>
      <c r="AN52" s="3">
        <f ca="1">IFERROR(__xludf.DUMMYFUNCTION("""COMPUTED_VALUE"""),-0.664918370382059)</f>
        <v>-0.66491837038205903</v>
      </c>
      <c r="AO52" s="3">
        <f ca="1">IFERROR(__xludf.DUMMYFUNCTION("""COMPUTED_VALUE"""),-0.680871995239889)</f>
        <v>-0.68087199523988895</v>
      </c>
      <c r="AP52" s="3">
        <f ca="1">IFERROR(__xludf.DUMMYFUNCTION("""COMPUTED_VALUE"""),-0.647496458770698)</f>
        <v>-0.64749645877069795</v>
      </c>
      <c r="AQ52" s="3">
        <f ca="1">IFERROR(__xludf.DUMMYFUNCTION("""COMPUTED_VALUE"""),-0.679270633340471)</f>
        <v>-0.679270633340471</v>
      </c>
      <c r="AR52" s="3">
        <f ca="1">IFERROR(__xludf.DUMMYFUNCTION("""COMPUTED_VALUE"""),-0.699506221541937)</f>
        <v>-0.69950622154193698</v>
      </c>
      <c r="AS52" s="3">
        <f ca="1">IFERROR(__xludf.DUMMYFUNCTION("""COMPUTED_VALUE"""),-0.716225950728885)</f>
        <v>-0.71622595072888495</v>
      </c>
      <c r="AT52" s="3">
        <f ca="1">IFERROR(__xludf.DUMMYFUNCTION("""COMPUTED_VALUE"""),-0.652887333683038)</f>
        <v>-0.65288733368303797</v>
      </c>
      <c r="AU52" s="3">
        <f ca="1">IFERROR(__xludf.DUMMYFUNCTION("""COMPUTED_VALUE"""),-0.639324927412416)</f>
        <v>-0.63932492741241598</v>
      </c>
      <c r="AV52" s="3">
        <f ca="1">IFERROR(__xludf.DUMMYFUNCTION("""COMPUTED_VALUE"""),-0.678693201456007)</f>
        <v>-0.67869320145600698</v>
      </c>
      <c r="AW52" s="3">
        <f ca="1">IFERROR(__xludf.DUMMYFUNCTION("""COMPUTED_VALUE"""),-0.704717693417438)</f>
        <v>-0.70471769341743795</v>
      </c>
      <c r="AX52" s="3">
        <f ca="1">IFERROR(__xludf.DUMMYFUNCTION("""COMPUTED_VALUE"""),-0.62920792649715)</f>
        <v>-0.62920792649714996</v>
      </c>
      <c r="AY52" s="3">
        <f ca="1">IFERROR(__xludf.DUMMYFUNCTION("""COMPUTED_VALUE"""),-0.669202078807891)</f>
        <v>-0.66920207880789095</v>
      </c>
      <c r="AZ52" s="3">
        <f ca="1">IFERROR(__xludf.DUMMYFUNCTION("""COMPUTED_VALUE"""),-0.646125115097859)</f>
        <v>-0.64612511509785897</v>
      </c>
      <c r="BA52" s="3">
        <f ca="1">IFERROR(__xludf.DUMMYFUNCTION("""COMPUTED_VALUE"""),-0.674390873257537)</f>
        <v>-0.67439087325753699</v>
      </c>
      <c r="BB52" s="3">
        <f ca="1">IFERROR(__xludf.DUMMYFUNCTION("""COMPUTED_VALUE"""),-0.657576619681982)</f>
        <v>-0.657576619681982</v>
      </c>
      <c r="BC52" s="3">
        <f ca="1">IFERROR(__xludf.DUMMYFUNCTION("""COMPUTED_VALUE"""),-0.669764796698901)</f>
        <v>-0.66976479669890099</v>
      </c>
      <c r="BD52" s="3">
        <f ca="1">IFERROR(__xludf.DUMMYFUNCTION("""COMPUTED_VALUE"""),-0.729309415337416)</f>
        <v>-0.729309415337416</v>
      </c>
      <c r="BE52" s="3">
        <f ca="1">IFERROR(__xludf.DUMMYFUNCTION("""COMPUTED_VALUE"""),-0.683301831930712)</f>
        <v>-0.68330183193071203</v>
      </c>
      <c r="BF52" s="3">
        <f ca="1">IFERROR(__xludf.DUMMYFUNCTION("""COMPUTED_VALUE"""),-0.712648480442081)</f>
        <v>-0.71264848044208096</v>
      </c>
      <c r="BG52" s="3">
        <f ca="1">IFERROR(__xludf.DUMMYFUNCTION("""COMPUTED_VALUE"""),-0.673115328117123)</f>
        <v>-0.67311532811712305</v>
      </c>
      <c r="BH52" s="3">
        <f ca="1">IFERROR(__xludf.DUMMYFUNCTION("""COMPUTED_VALUE"""),-0.617101600216972)</f>
        <v>-0.61710160021697202</v>
      </c>
      <c r="BI52" s="3">
        <f ca="1">IFERROR(__xludf.DUMMYFUNCTION("""COMPUTED_VALUE"""),-0.619138351298953)</f>
        <v>-0.619138351298953</v>
      </c>
      <c r="BJ52" s="3">
        <f ca="1">IFERROR(__xludf.DUMMYFUNCTION("""COMPUTED_VALUE"""),-0.698177955326556)</f>
        <v>-0.69817795532655602</v>
      </c>
      <c r="BK52" s="3">
        <f ca="1">IFERROR(__xludf.DUMMYFUNCTION("""COMPUTED_VALUE"""),-0.738033684617606)</f>
        <v>-0.73803368461760599</v>
      </c>
      <c r="BL52" s="3">
        <f ca="1">IFERROR(__xludf.DUMMYFUNCTION("""COMPUTED_VALUE"""),-0.665315679488829)</f>
        <v>-0.66531567948882897</v>
      </c>
      <c r="BM52" s="3">
        <f ca="1">IFERROR(__xludf.DUMMYFUNCTION("""COMPUTED_VALUE"""),-0.710926901421025)</f>
        <v>-0.71092690142102499</v>
      </c>
      <c r="BN52" s="3">
        <f ca="1">IFERROR(__xludf.DUMMYFUNCTION("""COMPUTED_VALUE"""),-0.732894893156774)</f>
        <v>-0.73289489315677403</v>
      </c>
      <c r="BO52" s="3">
        <f ca="1">IFERROR(__xludf.DUMMYFUNCTION("""COMPUTED_VALUE"""),-0.726442413123951)</f>
        <v>-0.72644241312395097</v>
      </c>
      <c r="BP52" s="3">
        <f ca="1">IFERROR(__xludf.DUMMYFUNCTION("""COMPUTED_VALUE"""),-0.702943348061971)</f>
        <v>-0.70294334806197101</v>
      </c>
      <c r="BQ52" s="3">
        <f ca="1">IFERROR(__xludf.DUMMYFUNCTION("""COMPUTED_VALUE"""),-0.715463371442832)</f>
        <v>-0.71546337144283201</v>
      </c>
      <c r="BR52" s="3">
        <f ca="1">IFERROR(__xludf.DUMMYFUNCTION("""COMPUTED_VALUE"""),-0.75714007818183)</f>
        <v>-0.75714007818183005</v>
      </c>
      <c r="BS52" s="3">
        <f ca="1">IFERROR(__xludf.DUMMYFUNCTION("""COMPUTED_VALUE"""),-0.749407300806174)</f>
        <v>-0.74940730080617401</v>
      </c>
      <c r="BT52" s="3">
        <f ca="1">IFERROR(__xludf.DUMMYFUNCTION("""COMPUTED_VALUE"""),-0.768930429559014)</f>
        <v>-0.76893042955901403</v>
      </c>
      <c r="BU52" s="3">
        <f ca="1">IFERROR(__xludf.DUMMYFUNCTION("""COMPUTED_VALUE"""),-0.744656100652231)</f>
        <v>-0.74465610065223098</v>
      </c>
      <c r="BV52" s="3">
        <f ca="1">IFERROR(__xludf.DUMMYFUNCTION("""COMPUTED_VALUE"""),-0.680338750317263)</f>
        <v>-0.68033875031726299</v>
      </c>
      <c r="BW52" s="3">
        <f ca="1">IFERROR(__xludf.DUMMYFUNCTION("""COMPUTED_VALUE"""),-0.684052953073387)</f>
        <v>-0.68405295307338698</v>
      </c>
      <c r="BX52" s="3">
        <f ca="1">IFERROR(__xludf.DUMMYFUNCTION("""COMPUTED_VALUE"""),-0.734580675351517)</f>
        <v>-0.73458067535151705</v>
      </c>
      <c r="BY52" s="3">
        <f ca="1">IFERROR(__xludf.DUMMYFUNCTION("""COMPUTED_VALUE"""),-0.746777336047246)</f>
        <v>-0.74677733604724605</v>
      </c>
      <c r="BZ52" s="3">
        <f ca="1">IFERROR(__xludf.DUMMYFUNCTION("""COMPUTED_VALUE"""),-0.742172276547574)</f>
        <v>-0.74217227654757401</v>
      </c>
      <c r="CA52" s="3">
        <f ca="1">IFERROR(__xludf.DUMMYFUNCTION("""COMPUTED_VALUE"""),-0.721457955684735)</f>
        <v>-0.72145795568473503</v>
      </c>
      <c r="CB52" s="3">
        <f ca="1">IFERROR(__xludf.DUMMYFUNCTION("""COMPUTED_VALUE"""),-0.751429263771103)</f>
        <v>-0.75142926377110297</v>
      </c>
      <c r="CC52" s="3">
        <f ca="1">IFERROR(__xludf.DUMMYFUNCTION("""COMPUTED_VALUE"""),-0.724498122200286)</f>
        <v>-0.72449812220028598</v>
      </c>
      <c r="CD52" s="3">
        <f ca="1">IFERROR(__xludf.DUMMYFUNCTION("""COMPUTED_VALUE"""),-0.700211451848796)</f>
        <v>-0.70021145184879596</v>
      </c>
      <c r="CE52" s="3">
        <f ca="1">IFERROR(__xludf.DUMMYFUNCTION("""COMPUTED_VALUE"""),-0.762362585990482)</f>
        <v>-0.76236258599048201</v>
      </c>
      <c r="CF52" s="3">
        <f ca="1">IFERROR(__xludf.DUMMYFUNCTION("""COMPUTED_VALUE"""),-0.769197056592964)</f>
        <v>-0.769197056592964</v>
      </c>
      <c r="CG52" s="3">
        <f ca="1">IFERROR(__xludf.DUMMYFUNCTION("""COMPUTED_VALUE"""),-0.749347274040146)</f>
        <v>-0.74934727404014601</v>
      </c>
      <c r="CH52" s="3">
        <f ca="1">IFERROR(__xludf.DUMMYFUNCTION("""COMPUTED_VALUE"""),-0.709965316884077)</f>
        <v>-0.70996531688407705</v>
      </c>
      <c r="CI52" s="3">
        <f ca="1">IFERROR(__xludf.DUMMYFUNCTION("""COMPUTED_VALUE"""),-0.726302029691941)</f>
        <v>-0.72630202969194102</v>
      </c>
      <c r="CJ52" s="3">
        <f ca="1">IFERROR(__xludf.DUMMYFUNCTION("""COMPUTED_VALUE"""),-0.752058342272945)</f>
        <v>-0.75205834227294499</v>
      </c>
      <c r="CK52" s="3">
        <f ca="1">IFERROR(__xludf.DUMMYFUNCTION("""COMPUTED_VALUE"""),-0.755651690656178)</f>
        <v>-0.75565169065617799</v>
      </c>
      <c r="CL52" s="3">
        <f ca="1">IFERROR(__xludf.DUMMYFUNCTION("""COMPUTED_VALUE"""),-0.748730178112721)</f>
        <v>-0.74873017811272102</v>
      </c>
      <c r="CM52" s="3">
        <f ca="1">IFERROR(__xludf.DUMMYFUNCTION("""COMPUTED_VALUE"""),-0.718537445624136)</f>
        <v>-0.71853744562413602</v>
      </c>
      <c r="CN52" s="3">
        <f ca="1">IFERROR(__xludf.DUMMYFUNCTION("""COMPUTED_VALUE"""),-0.736619788468868)</f>
        <v>-0.736619788468868</v>
      </c>
      <c r="CO52" s="3">
        <f ca="1">IFERROR(__xludf.DUMMYFUNCTION("""COMPUTED_VALUE"""),-0.773993714977733)</f>
        <v>-0.77399371497773295</v>
      </c>
      <c r="CP52" s="3">
        <f ca="1">IFERROR(__xludf.DUMMYFUNCTION("""COMPUTED_VALUE"""),-0.728204804878224)</f>
        <v>-0.72820480487822403</v>
      </c>
      <c r="CQ52" s="3">
        <f ca="1">IFERROR(__xludf.DUMMYFUNCTION("""COMPUTED_VALUE"""),-0.708016175887789)</f>
        <v>-0.70801617588778898</v>
      </c>
      <c r="CR52" s="3">
        <f ca="1">IFERROR(__xludf.DUMMYFUNCTION("""COMPUTED_VALUE"""),-0.71732526514244)</f>
        <v>-0.71732526514243999</v>
      </c>
      <c r="CS52" s="3">
        <f ca="1">IFERROR(__xludf.DUMMYFUNCTION("""COMPUTED_VALUE"""),-0.719786446678628)</f>
        <v>-0.71978644667862801</v>
      </c>
      <c r="CT52" s="3">
        <f ca="1">IFERROR(__xludf.DUMMYFUNCTION("""COMPUTED_VALUE"""),-0.753274044513285)</f>
        <v>-0.75327404451328495</v>
      </c>
      <c r="CU52" s="3">
        <f ca="1">IFERROR(__xludf.DUMMYFUNCTION("""COMPUTED_VALUE"""),-0.706150284359048)</f>
        <v>-0.70615028435904803</v>
      </c>
      <c r="CV52" s="3">
        <f ca="1">IFERROR(__xludf.DUMMYFUNCTION("""COMPUTED_VALUE"""),-0.758793491370494)</f>
        <v>-0.75879349137049401</v>
      </c>
      <c r="CW52" s="3">
        <f ca="1">IFERROR(__xludf.DUMMYFUNCTION("""COMPUTED_VALUE"""),-0.724388073365899)</f>
        <v>-0.72438807336589905</v>
      </c>
      <c r="CX52" s="3">
        <f ca="1">IFERROR(__xludf.DUMMYFUNCTION("""COMPUTED_VALUE"""),-0.756596401895535)</f>
        <v>-0.75659640189553501</v>
      </c>
      <c r="CY52" s="3">
        <f ca="1">IFERROR(__xludf.DUMMYFUNCTION("""COMPUTED_VALUE"""),-0.779183364154968)</f>
        <v>-0.77918336415496803</v>
      </c>
      <c r="CZ52" s="3">
        <f ca="1">IFERROR(__xludf.DUMMYFUNCTION("""COMPUTED_VALUE"""),-0.793276683817522)</f>
        <v>-0.79327668381752203</v>
      </c>
      <c r="DA52" s="3">
        <f ca="1">IFERROR(__xludf.DUMMYFUNCTION("""COMPUTED_VALUE"""),-0.726876358136291)</f>
        <v>-0.72687635813629103</v>
      </c>
      <c r="DB52" s="3">
        <f ca="1">IFERROR(__xludf.DUMMYFUNCTION("""COMPUTED_VALUE"""),-0.499273273251247)</f>
        <v>-0.49927327325124699</v>
      </c>
      <c r="DC52" s="3">
        <f ca="1">IFERROR(__xludf.DUMMYFUNCTION("""COMPUTED_VALUE"""),-0.72777298051029)</f>
        <v>-0.72777298051029005</v>
      </c>
      <c r="DD52" s="3">
        <f ca="1">IFERROR(__xludf.DUMMYFUNCTION("""COMPUTED_VALUE"""),-0.733181893034406)</f>
        <v>-0.73318189303440595</v>
      </c>
      <c r="DE52" s="3">
        <f ca="1">IFERROR(__xludf.DUMMYFUNCTION("""COMPUTED_VALUE"""),-0.735194363456896)</f>
        <v>-0.73519436345689604</v>
      </c>
      <c r="DF52" s="3">
        <f ca="1">IFERROR(__xludf.DUMMYFUNCTION("""COMPUTED_VALUE"""),-0.731778852221884)</f>
        <v>-0.73177885222188399</v>
      </c>
      <c r="DG52" s="3">
        <f ca="1">IFERROR(__xludf.DUMMYFUNCTION("""COMPUTED_VALUE"""),-0.949041273129196)</f>
        <v>-0.94904127312919595</v>
      </c>
      <c r="DH52" s="3">
        <f ca="1">IFERROR(__xludf.DUMMYFUNCTION("""COMPUTED_VALUE"""),-0.731710424782208)</f>
        <v>-0.73171042478220805</v>
      </c>
      <c r="DI52" s="3">
        <f ca="1">IFERROR(__xludf.DUMMYFUNCTION("""COMPUTED_VALUE"""),-0.625993156797883)</f>
        <v>-0.62599315679788303</v>
      </c>
      <c r="DJ52" s="3">
        <f ca="1">IFERROR(__xludf.DUMMYFUNCTION("""COMPUTED_VALUE"""),-0.71896217492486)</f>
        <v>-0.71896217492486003</v>
      </c>
      <c r="DK52" s="3">
        <f ca="1">IFERROR(__xludf.DUMMYFUNCTION("""COMPUTED_VALUE"""),-0.725782606750985)</f>
        <v>-0.72578260675098505</v>
      </c>
      <c r="DL52" s="3">
        <f ca="1">IFERROR(__xludf.DUMMYFUNCTION("""COMPUTED_VALUE"""),-0.738107117747873)</f>
        <v>-0.73810711774787297</v>
      </c>
      <c r="DM52" s="3">
        <f ca="1">IFERROR(__xludf.DUMMYFUNCTION("""COMPUTED_VALUE"""),-0.667595045383115)</f>
        <v>-0.66759504538311498</v>
      </c>
      <c r="DN52" s="3">
        <f ca="1">IFERROR(__xludf.DUMMYFUNCTION("""COMPUTED_VALUE"""),-0.59760740579838)</f>
        <v>-0.59760740579838001</v>
      </c>
      <c r="DO52" s="3">
        <f ca="1">IFERROR(__xludf.DUMMYFUNCTION("""COMPUTED_VALUE"""),-0.568556199624645)</f>
        <v>-0.56855619962464499</v>
      </c>
      <c r="DP52" s="3">
        <f ca="1">IFERROR(__xludf.DUMMYFUNCTION("""COMPUTED_VALUE"""),-0.463787991567406)</f>
        <v>-0.46378799156740602</v>
      </c>
      <c r="DQ52" s="3">
        <f ca="1">IFERROR(__xludf.DUMMYFUNCTION("""COMPUTED_VALUE"""),-0.555885172277423)</f>
        <v>-0.55588517227742296</v>
      </c>
      <c r="DR52" s="3">
        <f ca="1">IFERROR(__xludf.DUMMYFUNCTION("""COMPUTED_VALUE"""),-0.600392821618407)</f>
        <v>-0.60039282161840701</v>
      </c>
      <c r="DS52" s="3">
        <f ca="1">IFERROR(__xludf.DUMMYFUNCTION("""COMPUTED_VALUE"""),-0.63127890538928)</f>
        <v>-0.63127890538928</v>
      </c>
      <c r="DT52" s="3">
        <f ca="1">IFERROR(__xludf.DUMMYFUNCTION("""COMPUTED_VALUE"""),-0.59258276472154)</f>
        <v>-0.59258276472154003</v>
      </c>
      <c r="DU52" s="3">
        <f ca="1">IFERROR(__xludf.DUMMYFUNCTION("""COMPUTED_VALUE"""),-0.570474966620382)</f>
        <v>-0.570474966620382</v>
      </c>
      <c r="DV52" s="3">
        <f ca="1">IFERROR(__xludf.DUMMYFUNCTION("""COMPUTED_VALUE"""),-0.611709895799669)</f>
        <v>-0.61170989579966895</v>
      </c>
      <c r="DW52" s="3">
        <f ca="1">IFERROR(__xludf.DUMMYFUNCTION("""COMPUTED_VALUE"""),-0.56697256614464)</f>
        <v>-0.56697256614463998</v>
      </c>
      <c r="DX52" s="3">
        <f ca="1">IFERROR(__xludf.DUMMYFUNCTION("""COMPUTED_VALUE"""),-0.548057194527096)</f>
        <v>-0.548057194527096</v>
      </c>
      <c r="DY52" s="3">
        <f ca="1">IFERROR(__xludf.DUMMYFUNCTION("""COMPUTED_VALUE"""),-0.583015152609634)</f>
        <v>-0.58301515260963399</v>
      </c>
      <c r="DZ52" s="3">
        <f ca="1">IFERROR(__xludf.DUMMYFUNCTION("""COMPUTED_VALUE"""),-0.559906793696996)</f>
        <v>-0.55990679369699603</v>
      </c>
      <c r="EA52" s="3">
        <f ca="1">IFERROR(__xludf.DUMMYFUNCTION("""COMPUTED_VALUE"""),-0.627564721985019)</f>
        <v>-0.627564721985019</v>
      </c>
      <c r="EB52" s="3">
        <f ca="1">IFERROR(__xludf.DUMMYFUNCTION("""COMPUTED_VALUE"""),-0.582266864318862)</f>
        <v>-0.58226686431886199</v>
      </c>
      <c r="EC52" s="3">
        <f ca="1">IFERROR(__xludf.DUMMYFUNCTION("""COMPUTED_VALUE"""),-0.546650358858836)</f>
        <v>-0.54665035885883595</v>
      </c>
      <c r="ED52" s="3">
        <f ca="1">IFERROR(__xludf.DUMMYFUNCTION("""COMPUTED_VALUE"""),-0.585366391687813)</f>
        <v>-0.58536639168781301</v>
      </c>
      <c r="EE52" s="3">
        <f ca="1">IFERROR(__xludf.DUMMYFUNCTION("""COMPUTED_VALUE"""),-0.647667977350263)</f>
        <v>-0.64766797735026305</v>
      </c>
      <c r="EF52" s="3">
        <f ca="1">IFERROR(__xludf.DUMMYFUNCTION("""COMPUTED_VALUE"""),-0.641984562015266)</f>
        <v>-0.64198456201526599</v>
      </c>
      <c r="EG52" s="3">
        <f ca="1">IFERROR(__xludf.DUMMYFUNCTION("""COMPUTED_VALUE"""),-0.707866666231241)</f>
        <v>-0.70786666623124095</v>
      </c>
      <c r="EH52" s="3">
        <f ca="1">IFERROR(__xludf.DUMMYFUNCTION("""COMPUTED_VALUE"""),-0.704533679013945)</f>
        <v>-0.70453367901394504</v>
      </c>
      <c r="EI52" s="3">
        <f ca="1">IFERROR(__xludf.DUMMYFUNCTION("""COMPUTED_VALUE"""),-0.688141994541796)</f>
        <v>-0.68814199454179603</v>
      </c>
      <c r="EJ52" s="3">
        <f ca="1">IFERROR(__xludf.DUMMYFUNCTION("""COMPUTED_VALUE"""),-0.675520300761934)</f>
        <v>-0.67552030076193403</v>
      </c>
      <c r="EK52" s="3">
        <f ca="1">IFERROR(__xludf.DUMMYFUNCTION("""COMPUTED_VALUE"""),-0.68044643031839)</f>
        <v>-0.68044643031839003</v>
      </c>
      <c r="EL52" s="3">
        <f ca="1">IFERROR(__xludf.DUMMYFUNCTION("""COMPUTED_VALUE"""),-0.683394630734383)</f>
        <v>-0.683394630734383</v>
      </c>
      <c r="EM52" s="3">
        <f ca="1">IFERROR(__xludf.DUMMYFUNCTION("""COMPUTED_VALUE"""),-0.680976028483446)</f>
        <v>-0.68097602848344596</v>
      </c>
      <c r="EN52" s="3">
        <f ca="1">IFERROR(__xludf.DUMMYFUNCTION("""COMPUTED_VALUE"""),-0.713980491260345)</f>
        <v>-0.71398049126034502</v>
      </c>
      <c r="EO52" s="3">
        <f ca="1">IFERROR(__xludf.DUMMYFUNCTION("""COMPUTED_VALUE"""),-0.714679609858129)</f>
        <v>-0.71467960985812895</v>
      </c>
      <c r="EP52" s="3">
        <f ca="1">IFERROR(__xludf.DUMMYFUNCTION("""COMPUTED_VALUE"""),-0.668241492862996)</f>
        <v>-0.66824149286299594</v>
      </c>
      <c r="EQ52" s="3">
        <f ca="1">IFERROR(__xludf.DUMMYFUNCTION("""COMPUTED_VALUE"""),-0.65403819199922)</f>
        <v>-0.65403819199921998</v>
      </c>
      <c r="ER52" s="3">
        <f ca="1">IFERROR(__xludf.DUMMYFUNCTION("""COMPUTED_VALUE"""),-0.688152476664482)</f>
        <v>-0.68815247666448198</v>
      </c>
      <c r="ES52" s="3">
        <f ca="1">IFERROR(__xludf.DUMMYFUNCTION("""COMPUTED_VALUE"""),-0.62750868618643)</f>
        <v>-0.62750868618642996</v>
      </c>
      <c r="ET52" s="3">
        <f ca="1">IFERROR(__xludf.DUMMYFUNCTION("""COMPUTED_VALUE"""),-0.625815459045489)</f>
        <v>-0.62581545904548896</v>
      </c>
      <c r="EU52" s="3">
        <f ca="1">IFERROR(__xludf.DUMMYFUNCTION("""COMPUTED_VALUE"""),-0.784870199080896)</f>
        <v>-0.78487019908089595</v>
      </c>
      <c r="EV52" s="3">
        <f ca="1">IFERROR(__xludf.DUMMYFUNCTION("""COMPUTED_VALUE"""),-0.752236041888504)</f>
        <v>-0.75223604188850401</v>
      </c>
      <c r="EW52" s="3">
        <f ca="1">IFERROR(__xludf.DUMMYFUNCTION("""COMPUTED_VALUE"""),-0.671331926018798)</f>
        <v>-0.67133192601879799</v>
      </c>
      <c r="EX52" s="3">
        <f ca="1">IFERROR(__xludf.DUMMYFUNCTION("""COMPUTED_VALUE"""),-0.672799985199619)</f>
        <v>-0.67279998519961903</v>
      </c>
      <c r="EY52" s="3">
        <f ca="1">IFERROR(__xludf.DUMMYFUNCTION("""COMPUTED_VALUE"""),-0.688641675692489)</f>
        <v>-0.68864167569248902</v>
      </c>
      <c r="EZ52" s="3">
        <f ca="1">IFERROR(__xludf.DUMMYFUNCTION("""COMPUTED_VALUE"""),-0.692147340859941)</f>
        <v>-0.69214734085994101</v>
      </c>
      <c r="FA52" s="3">
        <f ca="1">IFERROR(__xludf.DUMMYFUNCTION("""COMPUTED_VALUE"""),-0.676171114057881)</f>
        <v>-0.676171114057881</v>
      </c>
      <c r="FB52" s="3">
        <f ca="1">IFERROR(__xludf.DUMMYFUNCTION("""COMPUTED_VALUE"""),-0.762707371256542)</f>
        <v>-0.76270737125654198</v>
      </c>
      <c r="FC52" s="3">
        <f ca="1">IFERROR(__xludf.DUMMYFUNCTION("""COMPUTED_VALUE"""),-0.77203683375639)</f>
        <v>-0.77203683375638998</v>
      </c>
      <c r="FD52" s="3">
        <f ca="1">IFERROR(__xludf.DUMMYFUNCTION("""COMPUTED_VALUE"""),-0.694568165352677)</f>
        <v>-0.69456816535267696</v>
      </c>
      <c r="FE52" s="3">
        <f ca="1">IFERROR(__xludf.DUMMYFUNCTION("""COMPUTED_VALUE"""),-0.68702238701653)</f>
        <v>-0.68702238701652996</v>
      </c>
      <c r="FF52" s="3">
        <f ca="1">IFERROR(__xludf.DUMMYFUNCTION("""COMPUTED_VALUE"""),-0.511894576902217)</f>
        <v>-0.51189457690221696</v>
      </c>
      <c r="FG52" s="3">
        <f ca="1">IFERROR(__xludf.DUMMYFUNCTION("""COMPUTED_VALUE"""),-0.565449177473478)</f>
        <v>-0.565449177473478</v>
      </c>
      <c r="FH52" s="3">
        <f ca="1">IFERROR(__xludf.DUMMYFUNCTION("""COMPUTED_VALUE"""),-0.555694439461651)</f>
        <v>-0.55569443946165098</v>
      </c>
      <c r="FI52" s="3">
        <f ca="1">IFERROR(__xludf.DUMMYFUNCTION("""COMPUTED_VALUE"""),-0.626975358603706)</f>
        <v>-0.62697535860370601</v>
      </c>
      <c r="FJ52" s="3">
        <f ca="1">IFERROR(__xludf.DUMMYFUNCTION("""COMPUTED_VALUE"""),-0.589997853887992)</f>
        <v>-0.58999785388799197</v>
      </c>
      <c r="FK52" s="3">
        <f ca="1">IFERROR(__xludf.DUMMYFUNCTION("""COMPUTED_VALUE"""),-0.663959882451326)</f>
        <v>-0.66395988245132598</v>
      </c>
      <c r="FL52" s="3">
        <f ca="1">IFERROR(__xludf.DUMMYFUNCTION("""COMPUTED_VALUE"""),-0.643032580083508)</f>
        <v>-0.64303258008350805</v>
      </c>
      <c r="FM52" s="3">
        <f ca="1">IFERROR(__xludf.DUMMYFUNCTION("""COMPUTED_VALUE"""),-0.678440984867748)</f>
        <v>-0.67844098486774795</v>
      </c>
      <c r="FN52" s="3">
        <f ca="1">IFERROR(__xludf.DUMMYFUNCTION("""COMPUTED_VALUE"""),-0.708847983923987)</f>
        <v>-0.70884798392398696</v>
      </c>
      <c r="FO52" s="3">
        <f ca="1">IFERROR(__xludf.DUMMYFUNCTION("""COMPUTED_VALUE"""),-0.695647040911961)</f>
        <v>-0.69564704091196095</v>
      </c>
      <c r="FP52" s="3">
        <f ca="1">IFERROR(__xludf.DUMMYFUNCTION("""COMPUTED_VALUE"""),-0.620563925703953)</f>
        <v>-0.62056392570395302</v>
      </c>
      <c r="FQ52" s="3">
        <f ca="1">IFERROR(__xludf.DUMMYFUNCTION("""COMPUTED_VALUE"""),-0.58514069696253)</f>
        <v>-0.58514069696253002</v>
      </c>
      <c r="FR52" s="3">
        <f ca="1">IFERROR(__xludf.DUMMYFUNCTION("""COMPUTED_VALUE"""),-0.586173687508488)</f>
        <v>-0.58617368750848797</v>
      </c>
      <c r="FS52" s="3">
        <f ca="1">IFERROR(__xludf.DUMMYFUNCTION("""COMPUTED_VALUE"""),-0.608053107133623)</f>
        <v>-0.60805310713362304</v>
      </c>
      <c r="FT52" s="3">
        <f ca="1">IFERROR(__xludf.DUMMYFUNCTION("""COMPUTED_VALUE"""),-0.61591813301289)</f>
        <v>-0.61591813301289</v>
      </c>
      <c r="FU52" s="3">
        <f ca="1">IFERROR(__xludf.DUMMYFUNCTION("""COMPUTED_VALUE"""),-0.603706058060149)</f>
        <v>-0.60370605806014899</v>
      </c>
      <c r="FV52" s="3">
        <f ca="1">IFERROR(__xludf.DUMMYFUNCTION("""COMPUTED_VALUE"""),-0.637672503239243)</f>
        <v>-0.63767250323924296</v>
      </c>
      <c r="FW52" s="3">
        <f ca="1">IFERROR(__xludf.DUMMYFUNCTION("""COMPUTED_VALUE"""),-0.6173584489232)</f>
        <v>-0.61735844892320002</v>
      </c>
      <c r="FX52" s="3">
        <f ca="1">IFERROR(__xludf.DUMMYFUNCTION("""COMPUTED_VALUE"""),-0.623677835054867)</f>
        <v>-0.62367783505486696</v>
      </c>
      <c r="FY52" s="3">
        <f ca="1">IFERROR(__xludf.DUMMYFUNCTION("""COMPUTED_VALUE"""),-0.54480659720773)</f>
        <v>-0.54480659720772995</v>
      </c>
      <c r="FZ52" s="3">
        <f ca="1">IFERROR(__xludf.DUMMYFUNCTION("""COMPUTED_VALUE"""),-0.578479489786225)</f>
        <v>-0.57847948978622499</v>
      </c>
      <c r="GA52" s="3">
        <f ca="1">IFERROR(__xludf.DUMMYFUNCTION("""COMPUTED_VALUE"""),-0.594910996446072)</f>
        <v>-0.59491099644607204</v>
      </c>
      <c r="GB52" s="3">
        <f ca="1">IFERROR(__xludf.DUMMYFUNCTION("""COMPUTED_VALUE"""),-0.586761463231019)</f>
        <v>-0.58676146323101896</v>
      </c>
      <c r="GC52" s="3">
        <f ca="1">IFERROR(__xludf.DUMMYFUNCTION("""COMPUTED_VALUE"""),-0.597808432599913)</f>
        <v>-0.59780843259991301</v>
      </c>
      <c r="GD52" s="3">
        <f ca="1">IFERROR(__xludf.DUMMYFUNCTION("""COMPUTED_VALUE"""),-0.615042533894168)</f>
        <v>-0.61504253389416796</v>
      </c>
      <c r="GE52" s="3">
        <f ca="1">IFERROR(__xludf.DUMMYFUNCTION("""COMPUTED_VALUE"""),-0.593622359455644)</f>
        <v>-0.59362235945564401</v>
      </c>
      <c r="GF52" s="3">
        <f ca="1">IFERROR(__xludf.DUMMYFUNCTION("""COMPUTED_VALUE"""),-0.56315279781307)</f>
        <v>-0.56315279781307004</v>
      </c>
      <c r="GG52" s="3">
        <f ca="1">IFERROR(__xludf.DUMMYFUNCTION("""COMPUTED_VALUE"""),-0.543308841905539)</f>
        <v>-0.54330884190553896</v>
      </c>
      <c r="GH52" s="3">
        <f ca="1">IFERROR(__xludf.DUMMYFUNCTION("""COMPUTED_VALUE"""),-0.599308786930498)</f>
        <v>-0.59930878693049805</v>
      </c>
      <c r="GI52" s="3">
        <f ca="1">IFERROR(__xludf.DUMMYFUNCTION("""COMPUTED_VALUE"""),-0.598767421565732)</f>
        <v>-0.59876742156573204</v>
      </c>
      <c r="GJ52" s="3">
        <f ca="1">IFERROR(__xludf.DUMMYFUNCTION("""COMPUTED_VALUE"""),-0.612279613199807)</f>
        <v>-0.61227961319980695</v>
      </c>
      <c r="GK52" s="3">
        <f ca="1">IFERROR(__xludf.DUMMYFUNCTION("""COMPUTED_VALUE"""),-0.685196893608525)</f>
        <v>-0.68519689360852498</v>
      </c>
      <c r="GL52" s="3">
        <f ca="1">IFERROR(__xludf.DUMMYFUNCTION("""COMPUTED_VALUE"""),-0.627318904538153)</f>
        <v>-0.62731890453815298</v>
      </c>
      <c r="GM52" s="3">
        <f ca="1">IFERROR(__xludf.DUMMYFUNCTION("""COMPUTED_VALUE"""),-0.606525160095195)</f>
        <v>-0.60652516009519497</v>
      </c>
      <c r="GN52" s="3">
        <f ca="1">IFERROR(__xludf.DUMMYFUNCTION("""COMPUTED_VALUE"""),-0.623796992193509)</f>
        <v>-0.62379699219350904</v>
      </c>
      <c r="GO52" s="3">
        <f ca="1">IFERROR(__xludf.DUMMYFUNCTION("""COMPUTED_VALUE"""),-0.602637355142457)</f>
        <v>-0.60263735514245698</v>
      </c>
      <c r="GP52" s="3">
        <f ca="1">IFERROR(__xludf.DUMMYFUNCTION("""COMPUTED_VALUE"""),-0.61195811486357)</f>
        <v>-0.61195811486356999</v>
      </c>
      <c r="GQ52" s="3">
        <f ca="1">IFERROR(__xludf.DUMMYFUNCTION("""COMPUTED_VALUE"""),-0.564580243609092)</f>
        <v>-0.56458024360909198</v>
      </c>
      <c r="GR52" s="3">
        <f ca="1">IFERROR(__xludf.DUMMYFUNCTION("""COMPUTED_VALUE"""),-0.64021479086868)</f>
        <v>-0.64021479086868005</v>
      </c>
      <c r="GS52" s="3">
        <f ca="1">IFERROR(__xludf.DUMMYFUNCTION("""COMPUTED_VALUE"""),-0.621786219642634)</f>
        <v>-0.62178621964263403</v>
      </c>
      <c r="GT52" s="3">
        <f ca="1">IFERROR(__xludf.DUMMYFUNCTION("""COMPUTED_VALUE"""),-0.575798413882706)</f>
        <v>-0.57579841388270603</v>
      </c>
      <c r="GU52" s="3">
        <f ca="1">IFERROR(__xludf.DUMMYFUNCTION("""COMPUTED_VALUE"""),-0.60234599201323)</f>
        <v>-0.60234599201323002</v>
      </c>
      <c r="GV52" s="3">
        <f ca="1">IFERROR(__xludf.DUMMYFUNCTION("""COMPUTED_VALUE"""),-0.615707006748286)</f>
        <v>-0.61570700674828605</v>
      </c>
      <c r="GW52" s="3">
        <f ca="1">IFERROR(__xludf.DUMMYFUNCTION("""COMPUTED_VALUE"""),-0.593732416808279)</f>
        <v>-0.59373241680827904</v>
      </c>
      <c r="GX52" s="3">
        <f ca="1">IFERROR(__xludf.DUMMYFUNCTION("""COMPUTED_VALUE"""),-0.624573533146642)</f>
        <v>-0.62457353314664199</v>
      </c>
      <c r="GY52" s="3">
        <f ca="1">IFERROR(__xludf.DUMMYFUNCTION("""COMPUTED_VALUE"""),-0.651668567016522)</f>
        <v>-0.65166856701652198</v>
      </c>
      <c r="GZ52" s="3">
        <f ca="1">IFERROR(__xludf.DUMMYFUNCTION("""COMPUTED_VALUE"""),-0.648087308844556)</f>
        <v>-0.64808730884455601</v>
      </c>
      <c r="HA52" s="3">
        <f ca="1">IFERROR(__xludf.DUMMYFUNCTION("""COMPUTED_VALUE"""),-0.586314917781474)</f>
        <v>-0.58631491778147404</v>
      </c>
      <c r="HB52" s="3">
        <f ca="1">IFERROR(__xludf.DUMMYFUNCTION("""COMPUTED_VALUE"""),-0.615695799115267)</f>
        <v>-0.61569579911526695</v>
      </c>
      <c r="HC52" s="3">
        <f ca="1">IFERROR(__xludf.DUMMYFUNCTION("""COMPUTED_VALUE"""),-0.577167041028639)</f>
        <v>-0.57716704102863903</v>
      </c>
      <c r="HD52" s="3">
        <f ca="1">IFERROR(__xludf.DUMMYFUNCTION("""COMPUTED_VALUE"""),-0.55617959377715)</f>
        <v>-0.55617959377714998</v>
      </c>
      <c r="HE52" s="3">
        <f ca="1">IFERROR(__xludf.DUMMYFUNCTION("""COMPUTED_VALUE"""),-0.569782191776986)</f>
        <v>-0.56978219177698597</v>
      </c>
      <c r="HF52" s="3">
        <f ca="1">IFERROR(__xludf.DUMMYFUNCTION("""COMPUTED_VALUE"""),-0.622635276044094)</f>
        <v>-0.62263527604409397</v>
      </c>
      <c r="HG52" s="3">
        <f ca="1">IFERROR(__xludf.DUMMYFUNCTION("""COMPUTED_VALUE"""),-0.643261805439362)</f>
        <v>-0.64326180543936196</v>
      </c>
      <c r="HH52" s="3">
        <f ca="1">IFERROR(__xludf.DUMMYFUNCTION("""COMPUTED_VALUE"""),-0.629272365195243)</f>
        <v>-0.62927236519524299</v>
      </c>
      <c r="HI52" s="3">
        <f ca="1">IFERROR(__xludf.DUMMYFUNCTION("""COMPUTED_VALUE"""),-0.589144556979861)</f>
        <v>-0.58914455697986101</v>
      </c>
      <c r="HJ52" s="3">
        <f ca="1">IFERROR(__xludf.DUMMYFUNCTION("""COMPUTED_VALUE"""),-0.557630409010292)</f>
        <v>-0.55763040901029204</v>
      </c>
      <c r="HK52" s="3">
        <f ca="1">IFERROR(__xludf.DUMMYFUNCTION("""COMPUTED_VALUE"""),-0.521795838619562)</f>
        <v>-0.52179583861956202</v>
      </c>
      <c r="HL52" s="3">
        <f ca="1">IFERROR(__xludf.DUMMYFUNCTION("""COMPUTED_VALUE"""),-0.600833920838279)</f>
        <v>-0.60083392083827902</v>
      </c>
      <c r="HM52" s="3">
        <f ca="1">IFERROR(__xludf.DUMMYFUNCTION("""COMPUTED_VALUE"""),-0.632601306057161)</f>
        <v>-0.63260130605716103</v>
      </c>
      <c r="HN52" s="3">
        <f ca="1">IFERROR(__xludf.DUMMYFUNCTION("""COMPUTED_VALUE"""),-0.637033465833891)</f>
        <v>-0.63703346583389098</v>
      </c>
      <c r="HO52" s="3">
        <f ca="1">IFERROR(__xludf.DUMMYFUNCTION("""COMPUTED_VALUE"""),-0.606883566743191)</f>
        <v>-0.60688356674319099</v>
      </c>
      <c r="HP52" s="3">
        <f ca="1">IFERROR(__xludf.DUMMYFUNCTION("""COMPUTED_VALUE"""),-0.645203356020085)</f>
        <v>-0.64520335602008505</v>
      </c>
      <c r="HQ52" s="3">
        <f ca="1">IFERROR(__xludf.DUMMYFUNCTION("""COMPUTED_VALUE"""),-0.676762148791242)</f>
        <v>-0.67676214879124197</v>
      </c>
      <c r="HR52" s="3">
        <f ca="1">IFERROR(__xludf.DUMMYFUNCTION("""COMPUTED_VALUE"""),-0.627786813019701)</f>
        <v>-0.62778681301970096</v>
      </c>
      <c r="HS52" s="3">
        <f ca="1">IFERROR(__xludf.DUMMYFUNCTION("""COMPUTED_VALUE"""),-0.591481981456785)</f>
        <v>-0.59148198145678499</v>
      </c>
      <c r="HT52" s="3">
        <f ca="1">IFERROR(__xludf.DUMMYFUNCTION("""COMPUTED_VALUE"""),-0.611567035407448)</f>
        <v>-0.61156703540744795</v>
      </c>
      <c r="HU52" s="3">
        <f ca="1">IFERROR(__xludf.DUMMYFUNCTION("""COMPUTED_VALUE"""),-0.63436915327899)</f>
        <v>-0.63436915327899002</v>
      </c>
      <c r="HV52" s="3">
        <f ca="1">IFERROR(__xludf.DUMMYFUNCTION("""COMPUTED_VALUE"""),-0.669102989334308)</f>
        <v>-0.66910298933430801</v>
      </c>
      <c r="HW52" s="3">
        <f ca="1">IFERROR(__xludf.DUMMYFUNCTION("""COMPUTED_VALUE"""),-0.648435680475491)</f>
        <v>-0.64843568047549105</v>
      </c>
      <c r="HX52" s="3">
        <f ca="1">IFERROR(__xludf.DUMMYFUNCTION("""COMPUTED_VALUE"""),-0.660164951839445)</f>
        <v>-0.66016495183944501</v>
      </c>
      <c r="HY52" s="3">
        <f ca="1">IFERROR(__xludf.DUMMYFUNCTION("""COMPUTED_VALUE"""),-0.628533179919522)</f>
        <v>-0.62853317991952196</v>
      </c>
      <c r="HZ52" s="3">
        <f ca="1">IFERROR(__xludf.DUMMYFUNCTION("""COMPUTED_VALUE"""),-0.626940739784216)</f>
        <v>-0.62694073978421605</v>
      </c>
      <c r="IA52" s="3">
        <f ca="1">IFERROR(__xludf.DUMMYFUNCTION("""COMPUTED_VALUE"""),-0.627290322640331)</f>
        <v>-0.62729032264033102</v>
      </c>
      <c r="IB52" s="3">
        <f ca="1">IFERROR(__xludf.DUMMYFUNCTION("""COMPUTED_VALUE"""),-0.592787367010349)</f>
        <v>-0.59278736701034895</v>
      </c>
      <c r="IC52" s="3">
        <f ca="1">IFERROR(__xludf.DUMMYFUNCTION("""COMPUTED_VALUE"""),-0.620308140543261)</f>
        <v>-0.620308140543261</v>
      </c>
      <c r="ID52" s="3">
        <f ca="1">IFERROR(__xludf.DUMMYFUNCTION("""COMPUTED_VALUE"""),-0.602173144839006)</f>
        <v>-0.60217314483900597</v>
      </c>
      <c r="IE52" s="3">
        <f ca="1">IFERROR(__xludf.DUMMYFUNCTION("""COMPUTED_VALUE"""),-0.627674952513607)</f>
        <v>-0.62767495251360705</v>
      </c>
      <c r="IF52" s="3">
        <f ca="1">IFERROR(__xludf.DUMMYFUNCTION("""COMPUTED_VALUE"""),-0.621214919592211)</f>
        <v>-0.62121491959221098</v>
      </c>
      <c r="IG52" s="3">
        <f ca="1">IFERROR(__xludf.DUMMYFUNCTION("""COMPUTED_VALUE"""),-0.598923767027986)</f>
        <v>-0.598923767027986</v>
      </c>
      <c r="IH52" s="3">
        <f ca="1">IFERROR(__xludf.DUMMYFUNCTION("""COMPUTED_VALUE"""),-0.653233457809973)</f>
        <v>-0.65323345780997299</v>
      </c>
      <c r="II52" s="3">
        <f ca="1">IFERROR(__xludf.DUMMYFUNCTION("""COMPUTED_VALUE"""),-0.65967753486577)</f>
        <v>-0.65967753486576997</v>
      </c>
      <c r="IJ52" s="3">
        <f ca="1">IFERROR(__xludf.DUMMYFUNCTION("""COMPUTED_VALUE"""),-0.650541952084279)</f>
        <v>-0.65054195208427901</v>
      </c>
      <c r="IK52" s="3">
        <f ca="1">IFERROR(__xludf.DUMMYFUNCTION("""COMPUTED_VALUE"""),-0.636062897643401)</f>
        <v>-0.63606289764340096</v>
      </c>
      <c r="IL52" s="3">
        <f ca="1">IFERROR(__xludf.DUMMYFUNCTION("""COMPUTED_VALUE"""),-0.652608818886163)</f>
        <v>-0.65260881888616296</v>
      </c>
      <c r="IM52" s="3">
        <f ca="1">IFERROR(__xludf.DUMMYFUNCTION("""COMPUTED_VALUE"""),-0.644233292850308)</f>
        <v>-0.64423329285030795</v>
      </c>
      <c r="IN52" s="3">
        <f ca="1">IFERROR(__xludf.DUMMYFUNCTION("""COMPUTED_VALUE"""),-0.679547719895082)</f>
        <v>-0.679547719895082</v>
      </c>
      <c r="IO52" s="3">
        <f ca="1">IFERROR(__xludf.DUMMYFUNCTION("""COMPUTED_VALUE"""),-0.657685499630332)</f>
        <v>-0.65768549963033196</v>
      </c>
      <c r="IP52" s="3">
        <f ca="1">IFERROR(__xludf.DUMMYFUNCTION("""COMPUTED_VALUE"""),-0.591734247393792)</f>
        <v>-0.59173424739379199</v>
      </c>
      <c r="IQ52" s="3">
        <f ca="1">IFERROR(__xludf.DUMMYFUNCTION("""COMPUTED_VALUE"""),-0.646638406911364)</f>
        <v>-0.64663840691136398</v>
      </c>
      <c r="IR52" s="3">
        <f ca="1">IFERROR(__xludf.DUMMYFUNCTION("""COMPUTED_VALUE"""),-0.648569487748432)</f>
        <v>-0.64856948774843204</v>
      </c>
      <c r="IS52" s="3">
        <f ca="1">IFERROR(__xludf.DUMMYFUNCTION("""COMPUTED_VALUE"""),-0.58474406958534)</f>
        <v>-0.58474406958533998</v>
      </c>
      <c r="IT52" s="3">
        <f ca="1">IFERROR(__xludf.DUMMYFUNCTION("""COMPUTED_VALUE"""),-0.619300019409043)</f>
        <v>-0.619300019409043</v>
      </c>
      <c r="IU52" s="3">
        <f ca="1">IFERROR(__xludf.DUMMYFUNCTION("""COMPUTED_VALUE"""),-0.617222796855995)</f>
        <v>-0.61722279685599502</v>
      </c>
      <c r="IV52" s="3">
        <f ca="1">IFERROR(__xludf.DUMMYFUNCTION("""COMPUTED_VALUE"""),-0.634814303095404)</f>
        <v>-0.63481430309540399</v>
      </c>
      <c r="IW52" s="3">
        <f ca="1">IFERROR(__xludf.DUMMYFUNCTION("""COMPUTED_VALUE"""),-0.597701736762881)</f>
        <v>-0.59770173676288096</v>
      </c>
      <c r="IX52" s="3">
        <f ca="1">IFERROR(__xludf.DUMMYFUNCTION("""COMPUTED_VALUE"""),-0.59945825798878)</f>
        <v>-0.59945825798878005</v>
      </c>
      <c r="IY52" s="3">
        <f ca="1">IFERROR(__xludf.DUMMYFUNCTION("""COMPUTED_VALUE"""),-0.577930534558637)</f>
        <v>-0.57793053455863697</v>
      </c>
      <c r="IZ52" s="3">
        <f ca="1">IFERROR(__xludf.DUMMYFUNCTION("""COMPUTED_VALUE"""),-0.641040728075975)</f>
        <v>-0.64104072807597501</v>
      </c>
      <c r="JA52" s="3">
        <f ca="1">IFERROR(__xludf.DUMMYFUNCTION("""COMPUTED_VALUE"""),-0.650300291095003)</f>
        <v>-0.65030029109500298</v>
      </c>
      <c r="JB52" s="3">
        <f ca="1">IFERROR(__xludf.DUMMYFUNCTION("""COMPUTED_VALUE"""),-0.616160061658576)</f>
        <v>-0.61616006165857595</v>
      </c>
      <c r="JC52" s="3">
        <f ca="1">IFERROR(__xludf.DUMMYFUNCTION("""COMPUTED_VALUE"""),-0.613232326353397)</f>
        <v>-0.61323232635339697</v>
      </c>
      <c r="JD52" s="3">
        <f ca="1">IFERROR(__xludf.DUMMYFUNCTION("""COMPUTED_VALUE"""),-0.63172538344128)</f>
        <v>-0.63172538344128004</v>
      </c>
      <c r="JE52" s="3">
        <f ca="1">IFERROR(__xludf.DUMMYFUNCTION("""COMPUTED_VALUE"""),-0.627381032898117)</f>
        <v>-0.62738103289811697</v>
      </c>
      <c r="JF52" s="3">
        <f ca="1">IFERROR(__xludf.DUMMYFUNCTION("""COMPUTED_VALUE"""),-0.683977203189401)</f>
        <v>-0.68397720318940103</v>
      </c>
      <c r="JG52" s="3">
        <f ca="1">IFERROR(__xludf.DUMMYFUNCTION("""COMPUTED_VALUE"""),-0.684306437371062)</f>
        <v>-0.684306437371062</v>
      </c>
      <c r="JH52" s="3">
        <f ca="1">IFERROR(__xludf.DUMMYFUNCTION("""COMPUTED_VALUE"""),-0.671795570676523)</f>
        <v>-0.67179557067652296</v>
      </c>
      <c r="JI52" s="3">
        <f ca="1">IFERROR(__xludf.DUMMYFUNCTION("""COMPUTED_VALUE"""),-0.656955288751853)</f>
        <v>-0.65695528875185305</v>
      </c>
      <c r="JJ52" s="3">
        <f ca="1">IFERROR(__xludf.DUMMYFUNCTION("""COMPUTED_VALUE"""),-0.628234237836889)</f>
        <v>-0.62823423783688903</v>
      </c>
      <c r="JK52" s="3">
        <f ca="1">IFERROR(__xludf.DUMMYFUNCTION("""COMPUTED_VALUE"""),-0.637130419537668)</f>
        <v>-0.63713041953766802</v>
      </c>
      <c r="JL52" s="3">
        <f ca="1">IFERROR(__xludf.DUMMYFUNCTION("""COMPUTED_VALUE"""),-0.619813348037523)</f>
        <v>-0.61981334803752297</v>
      </c>
      <c r="JM52" s="3">
        <f ca="1">IFERROR(__xludf.DUMMYFUNCTION("""COMPUTED_VALUE"""),-0.707104814912825)</f>
        <v>-0.70710481491282495</v>
      </c>
      <c r="JN52" s="3">
        <f ca="1">IFERROR(__xludf.DUMMYFUNCTION("""COMPUTED_VALUE"""),-0.663848107139833)</f>
        <v>-0.663848107139833</v>
      </c>
      <c r="JO52" s="3">
        <f ca="1">IFERROR(__xludf.DUMMYFUNCTION("""COMPUTED_VALUE"""),-0.716510689899471)</f>
        <v>-0.71651068989947098</v>
      </c>
      <c r="JP52" s="3">
        <f ca="1">IFERROR(__xludf.DUMMYFUNCTION("""COMPUTED_VALUE"""),-0.717168283236967)</f>
        <v>-0.71716828323696702</v>
      </c>
      <c r="JQ52" s="3">
        <f ca="1">IFERROR(__xludf.DUMMYFUNCTION("""COMPUTED_VALUE"""),-0.661587820932193)</f>
        <v>-0.66158782093219304</v>
      </c>
      <c r="JR52" s="3">
        <f ca="1">IFERROR(__xludf.DUMMYFUNCTION("""COMPUTED_VALUE"""),-0.683502864266321)</f>
        <v>-0.68350286426632101</v>
      </c>
      <c r="JS52" s="3">
        <f ca="1">IFERROR(__xludf.DUMMYFUNCTION("""COMPUTED_VALUE"""),-0.714050629058815)</f>
        <v>-0.714050629058815</v>
      </c>
      <c r="JT52" s="3">
        <f ca="1">IFERROR(__xludf.DUMMYFUNCTION("""COMPUTED_VALUE"""),-0.724063401386455)</f>
        <v>-0.72406340138645497</v>
      </c>
      <c r="JU52" s="3">
        <f ca="1">IFERROR(__xludf.DUMMYFUNCTION("""COMPUTED_VALUE"""),-0.730842956925517)</f>
        <v>-0.73084295692551704</v>
      </c>
      <c r="JV52" s="3">
        <f ca="1">IFERROR(__xludf.DUMMYFUNCTION("""COMPUTED_VALUE"""),-0.746967289460725)</f>
        <v>-0.74696728946072499</v>
      </c>
      <c r="JW52" s="3">
        <f ca="1">IFERROR(__xludf.DUMMYFUNCTION("""COMPUTED_VALUE"""),-0.697741949053696)</f>
        <v>-0.69774194905369602</v>
      </c>
      <c r="JX52" s="3">
        <f ca="1">IFERROR(__xludf.DUMMYFUNCTION("""COMPUTED_VALUE"""),-0.711422700245327)</f>
        <v>-0.71142270024532706</v>
      </c>
      <c r="JY52" s="3">
        <f ca="1">IFERROR(__xludf.DUMMYFUNCTION("""COMPUTED_VALUE"""),-0.70244696278113)</f>
        <v>-0.70244696278112995</v>
      </c>
      <c r="JZ52" s="3">
        <f ca="1">IFERROR(__xludf.DUMMYFUNCTION("""COMPUTED_VALUE"""),-0.733735445604917)</f>
        <v>-0.73373544560491699</v>
      </c>
      <c r="KA52" s="3">
        <f ca="1">IFERROR(__xludf.DUMMYFUNCTION("""COMPUTED_VALUE"""),-0.742906767832122)</f>
        <v>-0.74290676783212195</v>
      </c>
      <c r="KB52" s="3">
        <f ca="1">IFERROR(__xludf.DUMMYFUNCTION("""COMPUTED_VALUE"""),-0.716366011722059)</f>
        <v>-0.71636601172205905</v>
      </c>
      <c r="KC52" s="3">
        <f ca="1">IFERROR(__xludf.DUMMYFUNCTION("""COMPUTED_VALUE"""),-0.706366461690899)</f>
        <v>-0.70636646169089901</v>
      </c>
      <c r="KD52" s="3">
        <f ca="1">IFERROR(__xludf.DUMMYFUNCTION("""COMPUTED_VALUE"""),-0.69398992379118)</f>
        <v>-0.69398992379117996</v>
      </c>
      <c r="KE52" s="3">
        <f ca="1">IFERROR(__xludf.DUMMYFUNCTION("""COMPUTED_VALUE"""),-0.716151943988826)</f>
        <v>-0.71615194398882598</v>
      </c>
      <c r="KF52" s="3">
        <f ca="1">IFERROR(__xludf.DUMMYFUNCTION("""COMPUTED_VALUE"""),-0.728217410129754)</f>
        <v>-0.72821741012975405</v>
      </c>
      <c r="KG52" s="3">
        <f ca="1">IFERROR(__xludf.DUMMYFUNCTION("""COMPUTED_VALUE"""),-0.728182791197498)</f>
        <v>-0.72818279119749796</v>
      </c>
      <c r="KH52" s="3">
        <f ca="1">IFERROR(__xludf.DUMMYFUNCTION("""COMPUTED_VALUE"""),-0.728130242446463)</f>
        <v>-0.72813024244646296</v>
      </c>
      <c r="KI52" s="3">
        <f ca="1">IFERROR(__xludf.DUMMYFUNCTION("""COMPUTED_VALUE"""),-0.728888754551936)</f>
        <v>-0.72888875455193602</v>
      </c>
      <c r="KJ52" s="3">
        <f ca="1">IFERROR(__xludf.DUMMYFUNCTION("""COMPUTED_VALUE"""),-0.721586838242579)</f>
        <v>-0.72158683824257897</v>
      </c>
      <c r="KK52" s="3">
        <f ca="1">IFERROR(__xludf.DUMMYFUNCTION("""COMPUTED_VALUE"""),-0.709866307770616)</f>
        <v>-0.70986630777061599</v>
      </c>
      <c r="KL52" s="3">
        <f ca="1">IFERROR(__xludf.DUMMYFUNCTION("""COMPUTED_VALUE"""),-0.706277251067819)</f>
        <v>-0.70627725106781902</v>
      </c>
      <c r="KM52" s="3">
        <f ca="1">IFERROR(__xludf.DUMMYFUNCTION("""COMPUTED_VALUE"""),-0.677860004729087)</f>
        <v>-0.67786000472908703</v>
      </c>
      <c r="KN52" s="3">
        <f ca="1">IFERROR(__xludf.DUMMYFUNCTION("""COMPUTED_VALUE"""),-0.728768100546925)</f>
        <v>-0.72876810054692498</v>
      </c>
      <c r="KO52" s="3">
        <f ca="1">IFERROR(__xludf.DUMMYFUNCTION("""COMPUTED_VALUE"""),-0.718585399878621)</f>
        <v>-0.71858539987862102</v>
      </c>
      <c r="KP52" s="3">
        <f ca="1">IFERROR(__xludf.DUMMYFUNCTION("""COMPUTED_VALUE"""),-0.751507785888397)</f>
        <v>-0.75150778588839695</v>
      </c>
      <c r="KQ52" s="3">
        <f ca="1">IFERROR(__xludf.DUMMYFUNCTION("""COMPUTED_VALUE"""),-0.692524801654109)</f>
        <v>-0.69252480165410901</v>
      </c>
      <c r="KR52" s="3">
        <f ca="1">IFERROR(__xludf.DUMMYFUNCTION("""COMPUTED_VALUE"""),-0.738802667595421)</f>
        <v>-0.73880266759542101</v>
      </c>
      <c r="KS52" s="3">
        <f ca="1">IFERROR(__xludf.DUMMYFUNCTION("""COMPUTED_VALUE"""),-0.66925644387627)</f>
        <v>-0.66925644387627004</v>
      </c>
      <c r="KT52" s="3">
        <f ca="1">IFERROR(__xludf.DUMMYFUNCTION("""COMPUTED_VALUE"""),-0.74382670878872)</f>
        <v>-0.74382670878872004</v>
      </c>
      <c r="KU52" s="3">
        <f ca="1">IFERROR(__xludf.DUMMYFUNCTION("""COMPUTED_VALUE"""),-0.724987649956365)</f>
        <v>-0.724987649956365</v>
      </c>
      <c r="KV52" s="3">
        <f ca="1">IFERROR(__xludf.DUMMYFUNCTION("""COMPUTED_VALUE"""),-0.786002375840308)</f>
        <v>-0.78600237584030797</v>
      </c>
      <c r="KW52" s="3">
        <f ca="1">IFERROR(__xludf.DUMMYFUNCTION("""COMPUTED_VALUE"""),-0.730551434654754)</f>
        <v>-0.73055143465475403</v>
      </c>
      <c r="KX52" s="3">
        <f ca="1">IFERROR(__xludf.DUMMYFUNCTION("""COMPUTED_VALUE"""),-0.710932393690117)</f>
        <v>-0.71093239369011696</v>
      </c>
      <c r="KY52" s="3">
        <f ca="1">IFERROR(__xludf.DUMMYFUNCTION("""COMPUTED_VALUE"""),-0.701856985375173)</f>
        <v>-0.70185698537517305</v>
      </c>
      <c r="KZ52" s="3">
        <f ca="1">IFERROR(__xludf.DUMMYFUNCTION("""COMPUTED_VALUE"""),-0.761537632575725)</f>
        <v>-0.76153763257572504</v>
      </c>
      <c r="LA52" s="3">
        <f ca="1">IFERROR(__xludf.DUMMYFUNCTION("""COMPUTED_VALUE"""),-0.781002218979411)</f>
        <v>-0.78100221897941102</v>
      </c>
      <c r="LB52" s="3">
        <f ca="1">IFERROR(__xludf.DUMMYFUNCTION("""COMPUTED_VALUE"""),-0.699174833399992)</f>
        <v>-0.69917483339999198</v>
      </c>
      <c r="LC52" s="3">
        <f ca="1">IFERROR(__xludf.DUMMYFUNCTION("""COMPUTED_VALUE"""),-0.696541759084)</f>
        <v>-0.69654175908399996</v>
      </c>
      <c r="LD52" s="3">
        <f ca="1">IFERROR(__xludf.DUMMYFUNCTION("""COMPUTED_VALUE"""),-0.704424826251554)</f>
        <v>-0.704424826251554</v>
      </c>
      <c r="LE52" s="3">
        <f ca="1">IFERROR(__xludf.DUMMYFUNCTION("""COMPUTED_VALUE"""),-0.651143182141956)</f>
        <v>-0.65114318214195599</v>
      </c>
      <c r="LF52" s="3">
        <f ca="1">IFERROR(__xludf.DUMMYFUNCTION("""COMPUTED_VALUE"""),-0.703390938695219)</f>
        <v>-0.70339093869521896</v>
      </c>
      <c r="LG52" s="3">
        <f ca="1">IFERROR(__xludf.DUMMYFUNCTION("""COMPUTED_VALUE"""),-0.793715237948271)</f>
        <v>-0.79371523794827104</v>
      </c>
      <c r="LH52" s="3">
        <f ca="1">IFERROR(__xludf.DUMMYFUNCTION("""COMPUTED_VALUE"""),-0.741494242800936)</f>
        <v>-0.74149424280093601</v>
      </c>
      <c r="LI52" s="3">
        <f ca="1">IFERROR(__xludf.DUMMYFUNCTION("""COMPUTED_VALUE"""),-0.748741151607964)</f>
        <v>-0.74874115160796395</v>
      </c>
      <c r="LJ52" s="3">
        <f ca="1">IFERROR(__xludf.DUMMYFUNCTION("""COMPUTED_VALUE"""),-0.702331108792703)</f>
        <v>-0.702331108792703</v>
      </c>
      <c r="LK52" s="3">
        <f ca="1">IFERROR(__xludf.DUMMYFUNCTION("""COMPUTED_VALUE"""),-0.690306833687293)</f>
        <v>-0.69030683368729295</v>
      </c>
      <c r="LL52" s="3">
        <f ca="1">IFERROR(__xludf.DUMMYFUNCTION("""COMPUTED_VALUE"""),-0.713185977935268)</f>
        <v>-0.71318597793526795</v>
      </c>
      <c r="LM52" s="3">
        <f ca="1">IFERROR(__xludf.DUMMYFUNCTION("""COMPUTED_VALUE"""),-0.70421670275041)</f>
        <v>-0.70421670275041004</v>
      </c>
      <c r="LN52" s="3">
        <f ca="1">IFERROR(__xludf.DUMMYFUNCTION("""COMPUTED_VALUE"""),-0.797565576963121)</f>
        <v>-0.79756557696312103</v>
      </c>
      <c r="LO52" s="3">
        <f ca="1">IFERROR(__xludf.DUMMYFUNCTION("""COMPUTED_VALUE"""),-0.773278967158047)</f>
        <v>-0.773278967158047</v>
      </c>
      <c r="LP52" s="3">
        <f ca="1">IFERROR(__xludf.DUMMYFUNCTION("""COMPUTED_VALUE"""),-0.785385405776442)</f>
        <v>-0.785385405776442</v>
      </c>
      <c r="LQ52" s="3">
        <f ca="1">IFERROR(__xludf.DUMMYFUNCTION("""COMPUTED_VALUE"""),-0.766330128600696)</f>
        <v>-0.76633012860069605</v>
      </c>
      <c r="LR52" s="3">
        <f ca="1">IFERROR(__xludf.DUMMYFUNCTION("""COMPUTED_VALUE"""),-0.743855160090779)</f>
        <v>-0.74385516009077901</v>
      </c>
      <c r="LS52" s="3">
        <f ca="1">IFERROR(__xludf.DUMMYFUNCTION("""COMPUTED_VALUE"""),-0.748361486941373)</f>
        <v>-0.74836148694137306</v>
      </c>
      <c r="LT52" s="3">
        <f ca="1">IFERROR(__xludf.DUMMYFUNCTION("""COMPUTED_VALUE"""),-0.74398625828104)</f>
        <v>-0.74398625828104004</v>
      </c>
      <c r="LU52" s="3">
        <f ca="1">IFERROR(__xludf.DUMMYFUNCTION("""COMPUTED_VALUE"""),-0.781728588830385)</f>
        <v>-0.78172858883038499</v>
      </c>
      <c r="LV52" s="3">
        <f ca="1">IFERROR(__xludf.DUMMYFUNCTION("""COMPUTED_VALUE"""),-0.836376853357044)</f>
        <v>-0.83637685335704404</v>
      </c>
      <c r="LW52" s="3">
        <f ca="1">IFERROR(__xludf.DUMMYFUNCTION("""COMPUTED_VALUE"""),-0.746830408041637)</f>
        <v>-0.74683040804163703</v>
      </c>
      <c r="LX52" s="3">
        <f ca="1">IFERROR(__xludf.DUMMYFUNCTION("""COMPUTED_VALUE"""),-0.742711529982938)</f>
        <v>-0.74271152998293799</v>
      </c>
      <c r="LY52" s="3">
        <f ca="1">IFERROR(__xludf.DUMMYFUNCTION("""COMPUTED_VALUE"""),-0.804044241898674)</f>
        <v>-0.80404424189867396</v>
      </c>
      <c r="LZ52" s="3">
        <f ca="1">IFERROR(__xludf.DUMMYFUNCTION("""COMPUTED_VALUE"""),-0.779061829961272)</f>
        <v>-0.77906182996127205</v>
      </c>
      <c r="MA52" s="3">
        <f ca="1">IFERROR(__xludf.DUMMYFUNCTION("""COMPUTED_VALUE"""),-0.714743066190677)</f>
        <v>-0.71474306619067696</v>
      </c>
      <c r="MB52" s="3">
        <f ca="1">IFERROR(__xludf.DUMMYFUNCTION("""COMPUTED_VALUE"""),-0.76625872372052)</f>
        <v>-0.76625872372051995</v>
      </c>
      <c r="MC52" s="3">
        <f ca="1">IFERROR(__xludf.DUMMYFUNCTION("""COMPUTED_VALUE"""),-0.810513453676316)</f>
        <v>-0.810513453676316</v>
      </c>
      <c r="MD52" s="3">
        <f ca="1">IFERROR(__xludf.DUMMYFUNCTION("""COMPUTED_VALUE"""),-0.77806148075589)</f>
        <v>-0.77806148075588999</v>
      </c>
      <c r="ME52" s="3">
        <f ca="1">IFERROR(__xludf.DUMMYFUNCTION("""COMPUTED_VALUE"""),-0.779276011252025)</f>
        <v>-0.77927601125202495</v>
      </c>
      <c r="MF52" s="3">
        <f ca="1">IFERROR(__xludf.DUMMYFUNCTION("""COMPUTED_VALUE"""),-0.764764422244512)</f>
        <v>-0.76476442224451202</v>
      </c>
      <c r="MG52" s="3">
        <f ca="1">IFERROR(__xludf.DUMMYFUNCTION("""COMPUTED_VALUE"""),-0.803033968982171)</f>
        <v>-0.80303396898217105</v>
      </c>
      <c r="MH52" s="3">
        <f ca="1">IFERROR(__xludf.DUMMYFUNCTION("""COMPUTED_VALUE"""),-0.781918095798203)</f>
        <v>-0.78191809579820304</v>
      </c>
      <c r="MI52" s="3">
        <f ca="1">IFERROR(__xludf.DUMMYFUNCTION("""COMPUTED_VALUE"""),-0.794929155840479)</f>
        <v>-0.79492915584047896</v>
      </c>
      <c r="MJ52" s="3">
        <f ca="1">IFERROR(__xludf.DUMMYFUNCTION("""COMPUTED_VALUE"""),-0.750314622391215)</f>
        <v>-0.75031462239121505</v>
      </c>
      <c r="MK52" s="3">
        <f ca="1">IFERROR(__xludf.DUMMYFUNCTION("""COMPUTED_VALUE"""),-0.746520631799585)</f>
        <v>-0.74652063179958505</v>
      </c>
      <c r="ML52" s="3">
        <f ca="1">IFERROR(__xludf.DUMMYFUNCTION("""COMPUTED_VALUE"""),-0.741164527385276)</f>
        <v>-0.74116452738527605</v>
      </c>
      <c r="MM52" s="3">
        <f ca="1">IFERROR(__xludf.DUMMYFUNCTION("""COMPUTED_VALUE"""),-0.751663301679998)</f>
        <v>-0.75166330167999795</v>
      </c>
      <c r="MN52" s="3">
        <f ca="1">IFERROR(__xludf.DUMMYFUNCTION("""COMPUTED_VALUE"""),-0.731260449125917)</f>
        <v>-0.73126044912591703</v>
      </c>
      <c r="MO52" s="3">
        <f ca="1">IFERROR(__xludf.DUMMYFUNCTION("""COMPUTED_VALUE"""),-0.712666770903809)</f>
        <v>-0.71266677090380903</v>
      </c>
      <c r="MP52" s="3">
        <f ca="1">IFERROR(__xludf.DUMMYFUNCTION("""COMPUTED_VALUE"""),-0.796750253566354)</f>
        <v>-0.79675025356635398</v>
      </c>
      <c r="MQ52" s="3">
        <f ca="1">IFERROR(__xludf.DUMMYFUNCTION("""COMPUTED_VALUE"""),-0.814593670000341)</f>
        <v>-0.814593670000341</v>
      </c>
      <c r="MR52" s="3">
        <f ca="1">IFERROR(__xludf.DUMMYFUNCTION("""COMPUTED_VALUE"""),-0.735281804959752)</f>
        <v>-0.73528180495975204</v>
      </c>
      <c r="MS52" s="3">
        <f ca="1">IFERROR(__xludf.DUMMYFUNCTION("""COMPUTED_VALUE"""),-0.762744163617413)</f>
        <v>-0.76274416361741304</v>
      </c>
      <c r="MT52" s="3">
        <f ca="1">IFERROR(__xludf.DUMMYFUNCTION("""COMPUTED_VALUE"""),-0.768082461306712)</f>
        <v>-0.76808246130671198</v>
      </c>
      <c r="MU52" s="3">
        <f ca="1">IFERROR(__xludf.DUMMYFUNCTION("""COMPUTED_VALUE"""),-0.825608108668918)</f>
        <v>-0.82560810866891798</v>
      </c>
      <c r="MV52" s="3">
        <f ca="1">IFERROR(__xludf.DUMMYFUNCTION("""COMPUTED_VALUE"""),-0.755415807182562)</f>
        <v>-0.75541580718256196</v>
      </c>
      <c r="MW52" s="3">
        <f ca="1">IFERROR(__xludf.DUMMYFUNCTION("""COMPUTED_VALUE"""),-0.788685507283107)</f>
        <v>-0.78868550728310705</v>
      </c>
      <c r="MX52" s="3">
        <f ca="1">IFERROR(__xludf.DUMMYFUNCTION("""COMPUTED_VALUE"""),-0.8242636084611)</f>
        <v>-0.82426360846110003</v>
      </c>
      <c r="MY52" s="3">
        <f ca="1">IFERROR(__xludf.DUMMYFUNCTION("""COMPUTED_VALUE"""),-0.764639755793386)</f>
        <v>-0.76463975579338594</v>
      </c>
      <c r="MZ52" s="3">
        <f ca="1">IFERROR(__xludf.DUMMYFUNCTION("""COMPUTED_VALUE"""),-0.776648649420375)</f>
        <v>-0.77664864942037504</v>
      </c>
      <c r="NA52" s="3">
        <f ca="1">IFERROR(__xludf.DUMMYFUNCTION("""COMPUTED_VALUE"""),-0.786793735984031)</f>
        <v>-0.78679373598403102</v>
      </c>
      <c r="NB52" s="3">
        <f ca="1">IFERROR(__xludf.DUMMYFUNCTION("""COMPUTED_VALUE"""),-0.782581009920805)</f>
        <v>-0.78258100992080504</v>
      </c>
      <c r="NC52" s="3">
        <f ca="1">IFERROR(__xludf.DUMMYFUNCTION("""COMPUTED_VALUE"""),-0.796723188468291)</f>
        <v>-0.79672318846829104</v>
      </c>
      <c r="ND52" s="3">
        <f ca="1">IFERROR(__xludf.DUMMYFUNCTION("""COMPUTED_VALUE"""),-0.787385400957742)</f>
        <v>-0.78738540095774201</v>
      </c>
      <c r="NE52" s="3">
        <f ca="1">IFERROR(__xludf.DUMMYFUNCTION("""COMPUTED_VALUE"""),-0.81320422971927)</f>
        <v>-0.81320422971926998</v>
      </c>
      <c r="NF52" s="3">
        <f ca="1">IFERROR(__xludf.DUMMYFUNCTION("""COMPUTED_VALUE"""),-0.79738335853064)</f>
        <v>-0.79738335853064002</v>
      </c>
      <c r="NG52" s="3">
        <f ca="1">IFERROR(__xludf.DUMMYFUNCTION("""COMPUTED_VALUE"""),-0.765643893947107)</f>
        <v>-0.76564389394710697</v>
      </c>
      <c r="NH52" s="3">
        <f ca="1">IFERROR(__xludf.DUMMYFUNCTION("""COMPUTED_VALUE"""),-0.787699361524464)</f>
        <v>-0.78769936152446396</v>
      </c>
      <c r="NI52" s="3">
        <f ca="1">IFERROR(__xludf.DUMMYFUNCTION("""COMPUTED_VALUE"""),-0.652376964030824)</f>
        <v>-0.65237696403082401</v>
      </c>
      <c r="NJ52" s="3">
        <f ca="1">IFERROR(__xludf.DUMMYFUNCTION("""COMPUTED_VALUE"""),-0.676666527465881)</f>
        <v>-0.67666652746588096</v>
      </c>
      <c r="NK52" s="3">
        <f ca="1">IFERROR(__xludf.DUMMYFUNCTION("""COMPUTED_VALUE"""),-0.675031457188537)</f>
        <v>-0.67503145718853697</v>
      </c>
      <c r="NL52" s="3">
        <f ca="1">IFERROR(__xludf.DUMMYFUNCTION("""COMPUTED_VALUE"""),-0.775802651675946)</f>
        <v>-0.77580265167594598</v>
      </c>
      <c r="NM52" s="3">
        <f ca="1">IFERROR(__xludf.DUMMYFUNCTION("""COMPUTED_VALUE"""),-0.735577265654469)</f>
        <v>-0.73557726565446901</v>
      </c>
      <c r="NN52" s="3">
        <f ca="1">IFERROR(__xludf.DUMMYFUNCTION("""COMPUTED_VALUE"""),-0.805084636219347)</f>
        <v>-0.80508463621934701</v>
      </c>
      <c r="NO52" s="3">
        <f ca="1">IFERROR(__xludf.DUMMYFUNCTION("""COMPUTED_VALUE"""),-0.786762149720652)</f>
        <v>-0.78676214972065195</v>
      </c>
      <c r="NP52" s="3">
        <f ca="1">IFERROR(__xludf.DUMMYFUNCTION("""COMPUTED_VALUE"""),-0.810343446831785)</f>
        <v>-0.81034344683178505</v>
      </c>
      <c r="NQ52" s="3">
        <f ca="1">IFERROR(__xludf.DUMMYFUNCTION("""COMPUTED_VALUE"""),-0.795472149675718)</f>
        <v>-0.795472149675718</v>
      </c>
      <c r="NR52" s="3">
        <f ca="1">IFERROR(__xludf.DUMMYFUNCTION("""COMPUTED_VALUE"""),-0.821547823974273)</f>
        <v>-0.82154782397427295</v>
      </c>
      <c r="NS52" s="3">
        <f ca="1">IFERROR(__xludf.DUMMYFUNCTION("""COMPUTED_VALUE"""),-0.831975931582037)</f>
        <v>-0.83197593158203698</v>
      </c>
      <c r="NT52" s="3">
        <f ca="1">IFERROR(__xludf.DUMMYFUNCTION("""COMPUTED_VALUE"""),-0.808781983861219)</f>
        <v>-0.80878198386121902</v>
      </c>
      <c r="NU52" s="3">
        <f ca="1">IFERROR(__xludf.DUMMYFUNCTION("""COMPUTED_VALUE"""),-0.776983352086494)</f>
        <v>-0.77698335208649405</v>
      </c>
      <c r="NV52" s="3">
        <f ca="1">IFERROR(__xludf.DUMMYFUNCTION("""COMPUTED_VALUE"""),-0.742186273282879)</f>
        <v>-0.74218627328287901</v>
      </c>
      <c r="NW52" s="3">
        <f ca="1">IFERROR(__xludf.DUMMYFUNCTION("""COMPUTED_VALUE"""),-0.702336162470806)</f>
        <v>-0.70233616247080599</v>
      </c>
      <c r="NX52" s="3">
        <f ca="1">IFERROR(__xludf.DUMMYFUNCTION("""COMPUTED_VALUE"""),-0.593626364928801)</f>
        <v>-0.59362636492880105</v>
      </c>
      <c r="NY52" s="3">
        <f ca="1">IFERROR(__xludf.DUMMYFUNCTION("""COMPUTED_VALUE"""),-0.662419633097538)</f>
        <v>-0.66241963309753804</v>
      </c>
      <c r="NZ52" s="3">
        <f ca="1">IFERROR(__xludf.DUMMYFUNCTION("""COMPUTED_VALUE"""),-0.599511752832194)</f>
        <v>-0.59951175283219404</v>
      </c>
      <c r="OA52" s="3">
        <f ca="1">IFERROR(__xludf.DUMMYFUNCTION("""COMPUTED_VALUE"""),-0.60243352943127)</f>
        <v>-0.60243352943127004</v>
      </c>
      <c r="OB52" s="3">
        <f ca="1">IFERROR(__xludf.DUMMYFUNCTION("""COMPUTED_VALUE"""),-0.55600703845894)</f>
        <v>-0.55600703845893995</v>
      </c>
      <c r="OC52" s="3">
        <f ca="1">IFERROR(__xludf.DUMMYFUNCTION("""COMPUTED_VALUE"""),-0.479204894227123)</f>
        <v>-0.47920489422712298</v>
      </c>
      <c r="OD52" s="3">
        <f ca="1">IFERROR(__xludf.DUMMYFUNCTION("""COMPUTED_VALUE"""),-0.434821259621363)</f>
        <v>-0.43482125962136298</v>
      </c>
      <c r="OE52" s="3">
        <f ca="1">IFERROR(__xludf.DUMMYFUNCTION("""COMPUTED_VALUE"""),-0.340836626324103)</f>
        <v>-0.340836626324103</v>
      </c>
      <c r="OF52" s="3">
        <f ca="1">IFERROR(__xludf.DUMMYFUNCTION("""COMPUTED_VALUE"""),-0.31959246353134)</f>
        <v>-0.31959246353134002</v>
      </c>
      <c r="OG52" s="3">
        <f ca="1">IFERROR(__xludf.DUMMYFUNCTION("""COMPUTED_VALUE"""),-0.278639914600728)</f>
        <v>-0.27863991460072801</v>
      </c>
      <c r="OH52" s="3">
        <f ca="1">IFERROR(__xludf.DUMMYFUNCTION("""COMPUTED_VALUE"""),-0.306475274431797)</f>
        <v>-0.30647527443179701</v>
      </c>
      <c r="OI52" s="3">
        <f ca="1">IFERROR(__xludf.DUMMYFUNCTION("""COMPUTED_VALUE"""),-0.147991252788682)</f>
        <v>-0.147991252788682</v>
      </c>
      <c r="OJ52" s="3">
        <f ca="1">IFERROR(__xludf.DUMMYFUNCTION("""COMPUTED_VALUE"""),-0.180024856203231)</f>
        <v>-0.180024856203231</v>
      </c>
      <c r="OK52" s="3">
        <f ca="1">IFERROR(__xludf.DUMMYFUNCTION("""COMPUTED_VALUE"""),-0.181293782578758)</f>
        <v>-0.181293782578758</v>
      </c>
      <c r="OL52" s="3">
        <f ca="1">IFERROR(__xludf.DUMMYFUNCTION("""COMPUTED_VALUE"""),-0.18433240244727)</f>
        <v>-0.18433240244727001</v>
      </c>
      <c r="OM52" s="3">
        <f ca="1">IFERROR(__xludf.DUMMYFUNCTION("""COMPUTED_VALUE"""),-0.0895174059603526)</f>
        <v>-8.9517405960352597E-2</v>
      </c>
      <c r="ON52" s="3">
        <f ca="1">IFERROR(__xludf.DUMMYFUNCTION("""COMPUTED_VALUE"""),-0.0535045515300386)</f>
        <v>-5.3504551530038601E-2</v>
      </c>
      <c r="OO52" s="3">
        <f ca="1">IFERROR(__xludf.DUMMYFUNCTION("""COMPUTED_VALUE"""),-0.124782276600432)</f>
        <v>-0.12478227660043199</v>
      </c>
      <c r="OP52" s="3">
        <f ca="1">IFERROR(__xludf.DUMMYFUNCTION("""COMPUTED_VALUE"""),-0.0739413657671685)</f>
        <v>-7.3941365767168504E-2</v>
      </c>
      <c r="OQ52" s="3">
        <f ca="1">IFERROR(__xludf.DUMMYFUNCTION("""COMPUTED_VALUE"""),-0.0894305576326496)</f>
        <v>-8.9430557632649593E-2</v>
      </c>
      <c r="OR52" s="3">
        <f ca="1">IFERROR(__xludf.DUMMYFUNCTION("""COMPUTED_VALUE"""),-0.138243627484795)</f>
        <v>-0.13824362748479499</v>
      </c>
      <c r="OS52" s="3">
        <f ca="1">IFERROR(__xludf.DUMMYFUNCTION("""COMPUTED_VALUE"""),-0.182908228941624)</f>
        <v>-0.18290822894162401</v>
      </c>
      <c r="OT52" s="3">
        <f ca="1">IFERROR(__xludf.DUMMYFUNCTION("""COMPUTED_VALUE"""),-0.134153906696352)</f>
        <v>-0.13415390669635199</v>
      </c>
      <c r="OU52" s="3">
        <f ca="1">IFERROR(__xludf.DUMMYFUNCTION("""COMPUTED_VALUE"""),-0.0675693641892162)</f>
        <v>-6.7569364189216205E-2</v>
      </c>
      <c r="OV52" s="3">
        <f ca="1">IFERROR(__xludf.DUMMYFUNCTION("""COMPUTED_VALUE"""),-0.145267047413059)</f>
        <v>-0.14526704741305899</v>
      </c>
      <c r="OW52" s="3">
        <f ca="1">IFERROR(__xludf.DUMMYFUNCTION("""COMPUTED_VALUE"""),-0.015347077665074)</f>
        <v>-1.5347077665074E-2</v>
      </c>
      <c r="OX52" s="3">
        <f ca="1">IFERROR(__xludf.DUMMYFUNCTION("""COMPUTED_VALUE"""),0.0842147972045337)</f>
        <v>8.4214797204533703E-2</v>
      </c>
      <c r="OY52" s="3">
        <f ca="1">IFERROR(__xludf.DUMMYFUNCTION("""COMPUTED_VALUE"""),-0.0788518810878758)</f>
        <v>-7.8851881087875803E-2</v>
      </c>
      <c r="OZ52" s="3">
        <f ca="1">IFERROR(__xludf.DUMMYFUNCTION("""COMPUTED_VALUE"""),-0.0609331477868375)</f>
        <v>-6.0933147786837498E-2</v>
      </c>
      <c r="PA52" s="3">
        <f ca="1">IFERROR(__xludf.DUMMYFUNCTION("""COMPUTED_VALUE"""),0.0521681587719791)</f>
        <v>5.2168158771979098E-2</v>
      </c>
      <c r="PB52" s="3">
        <f ca="1">IFERROR(__xludf.DUMMYFUNCTION("""COMPUTED_VALUE"""),0.149202304034851)</f>
        <v>0.14920230403485099</v>
      </c>
      <c r="PC52" s="3">
        <f ca="1">IFERROR(__xludf.DUMMYFUNCTION("""COMPUTED_VALUE"""),0.0143081953428301)</f>
        <v>1.43081953428301E-2</v>
      </c>
      <c r="PD52" s="3">
        <f ca="1">IFERROR(__xludf.DUMMYFUNCTION("""COMPUTED_VALUE"""),-0.112320989636529)</f>
        <v>-0.11232098963652901</v>
      </c>
      <c r="PE52" s="3">
        <f ca="1">IFERROR(__xludf.DUMMYFUNCTION("""COMPUTED_VALUE"""),-0.0400908143180513)</f>
        <v>-4.0090814318051303E-2</v>
      </c>
      <c r="PF52" s="3">
        <f ca="1">IFERROR(__xludf.DUMMYFUNCTION("""COMPUTED_VALUE"""),-0.00302211328696266)</f>
        <v>-3.0221132869626601E-3</v>
      </c>
      <c r="PG52" s="3">
        <f ca="1">IFERROR(__xludf.DUMMYFUNCTION("""COMPUTED_VALUE"""),0.0481577809879516)</f>
        <v>4.81577809879516E-2</v>
      </c>
      <c r="PH52" s="3">
        <f ca="1">IFERROR(__xludf.DUMMYFUNCTION("""COMPUTED_VALUE"""),0.080310179945483)</f>
        <v>8.0310179945483007E-2</v>
      </c>
      <c r="PI52" s="3">
        <f ca="1">IFERROR(__xludf.DUMMYFUNCTION("""COMPUTED_VALUE"""),0.234517068203391)</f>
        <v>0.23451706820339099</v>
      </c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</row>
    <row r="53" spans="1:477" ht="13">
      <c r="A53" s="1" t="str">
        <f ca="1">IFERROR(__xludf.DUMMYFUNCTION("""COMPUTED_VALUE"""),"TARC")</f>
        <v>TARC</v>
      </c>
      <c r="B53" s="1" t="str">
        <f ca="1">IFERROR(__xludf.DUMMYFUNCTION("""COMPUTED_VALUE"""),"Louisville")</f>
        <v>Louisville</v>
      </c>
      <c r="C53" s="1" t="str">
        <f ca="1">IFERROR(__xludf.DUMMYFUNCTION("""COMPUTED_VALUE"""),"United States")</f>
        <v>United States</v>
      </c>
      <c r="D53" s="1" t="str">
        <f ca="1">IFERROR(__xludf.DUMMYFUNCTION("""COMPUTED_VALUE"""),"Kentucky")</f>
        <v>Kentucky</v>
      </c>
      <c r="E53" s="3">
        <f ca="1">IFERROR(__xludf.DUMMYFUNCTION("""COMPUTED_VALUE"""),-0.595885909154487)</f>
        <v>-0.59588590915448703</v>
      </c>
      <c r="F53" s="3">
        <f ca="1">IFERROR(__xludf.DUMMYFUNCTION("""COMPUTED_VALUE"""),-0.529376584985031)</f>
        <v>-0.52937658498503104</v>
      </c>
      <c r="G53" s="3">
        <f ca="1">IFERROR(__xludf.DUMMYFUNCTION("""COMPUTED_VALUE"""),-0.559086836481008)</f>
        <v>-0.55908683648100799</v>
      </c>
      <c r="H53" s="3">
        <f ca="1">IFERROR(__xludf.DUMMYFUNCTION("""COMPUTED_VALUE"""),-0.587217970828104)</f>
        <v>-0.58721797082810401</v>
      </c>
      <c r="I53" s="3">
        <f ca="1">IFERROR(__xludf.DUMMYFUNCTION("""COMPUTED_VALUE"""),-0.558637232328464)</f>
        <v>-0.55863723232846396</v>
      </c>
      <c r="J53" s="3">
        <f ca="1">IFERROR(__xludf.DUMMYFUNCTION("""COMPUTED_VALUE"""),-0.516827982593138)</f>
        <v>-0.516827982593138</v>
      </c>
      <c r="K53" s="3">
        <f ca="1">IFERROR(__xludf.DUMMYFUNCTION("""COMPUTED_VALUE"""),-0.474528930756965)</f>
        <v>-0.47452893075696501</v>
      </c>
      <c r="L53" s="3">
        <f ca="1">IFERROR(__xludf.DUMMYFUNCTION("""COMPUTED_VALUE"""),-0.47714409994785)</f>
        <v>-0.47714409994785001</v>
      </c>
      <c r="M53" s="3">
        <f ca="1">IFERROR(__xludf.DUMMYFUNCTION("""COMPUTED_VALUE"""),-0.577965269638107)</f>
        <v>-0.57796526963810702</v>
      </c>
      <c r="N53" s="3">
        <f ca="1">IFERROR(__xludf.DUMMYFUNCTION("""COMPUTED_VALUE"""),-0.601830953046569)</f>
        <v>-0.60183095304656897</v>
      </c>
      <c r="O53" s="3">
        <f ca="1">IFERROR(__xludf.DUMMYFUNCTION("""COMPUTED_VALUE"""),-0.610335009572951)</f>
        <v>-0.61033500957295095</v>
      </c>
      <c r="P53" s="3">
        <f ca="1">IFERROR(__xludf.DUMMYFUNCTION("""COMPUTED_VALUE"""),-0.584676305719245)</f>
        <v>-0.584676305719245</v>
      </c>
      <c r="Q53" s="3">
        <f ca="1">IFERROR(__xludf.DUMMYFUNCTION("""COMPUTED_VALUE"""),-0.554272996495268)</f>
        <v>-0.55427299649526796</v>
      </c>
      <c r="R53" s="3">
        <f ca="1">IFERROR(__xludf.DUMMYFUNCTION("""COMPUTED_VALUE"""),-0.493684829542403)</f>
        <v>-0.493684829542403</v>
      </c>
      <c r="S53" s="3">
        <f ca="1">IFERROR(__xludf.DUMMYFUNCTION("""COMPUTED_VALUE"""),-0.498869275425812)</f>
        <v>-0.498869275425812</v>
      </c>
      <c r="T53" s="3">
        <f ca="1">IFERROR(__xludf.DUMMYFUNCTION("""COMPUTED_VALUE"""),-0.535525424963481)</f>
        <v>-0.53552542496348099</v>
      </c>
      <c r="U53" s="3">
        <f ca="1">IFERROR(__xludf.DUMMYFUNCTION("""COMPUTED_VALUE"""),-0.606629664106416)</f>
        <v>-0.60662966410641594</v>
      </c>
      <c r="V53" s="3">
        <f ca="1">IFERROR(__xludf.DUMMYFUNCTION("""COMPUTED_VALUE"""),-0.587282227706441)</f>
        <v>-0.58728222770644101</v>
      </c>
      <c r="W53" s="3">
        <f ca="1">IFERROR(__xludf.DUMMYFUNCTION("""COMPUTED_VALUE"""),-0.580398793086657)</f>
        <v>-0.58039879308665698</v>
      </c>
      <c r="X53" s="3">
        <f ca="1">IFERROR(__xludf.DUMMYFUNCTION("""COMPUTED_VALUE"""),-0.532517582464505)</f>
        <v>-0.53251758246450498</v>
      </c>
      <c r="Y53" s="3">
        <f ca="1">IFERROR(__xludf.DUMMYFUNCTION("""COMPUTED_VALUE"""),-0.474233888917797)</f>
        <v>-0.474233888917797</v>
      </c>
      <c r="Z53" s="3">
        <f ca="1">IFERROR(__xludf.DUMMYFUNCTION("""COMPUTED_VALUE"""),-0.50172029490151)</f>
        <v>-0.50172029490151004</v>
      </c>
      <c r="AA53" s="3">
        <f ca="1">IFERROR(__xludf.DUMMYFUNCTION("""COMPUTED_VALUE"""),-0.558954402146423)</f>
        <v>-0.558954402146423</v>
      </c>
      <c r="AB53" s="3">
        <f ca="1">IFERROR(__xludf.DUMMYFUNCTION("""COMPUTED_VALUE"""),-0.558145278070841)</f>
        <v>-0.55814527807084102</v>
      </c>
      <c r="AC53" s="3">
        <f ca="1">IFERROR(__xludf.DUMMYFUNCTION("""COMPUTED_VALUE"""),-0.556159513026249)</f>
        <v>-0.556159513026249</v>
      </c>
      <c r="AD53" s="3">
        <f ca="1">IFERROR(__xludf.DUMMYFUNCTION("""COMPUTED_VALUE"""),-0.587119717068706)</f>
        <v>-0.58711971706870603</v>
      </c>
      <c r="AE53" s="3">
        <f ca="1">IFERROR(__xludf.DUMMYFUNCTION("""COMPUTED_VALUE"""),-0.584888343569457)</f>
        <v>-0.58488834356945696</v>
      </c>
      <c r="AF53" s="3">
        <f ca="1">IFERROR(__xludf.DUMMYFUNCTION("""COMPUTED_VALUE"""),-0.527288148720046)</f>
        <v>-0.52728814872004603</v>
      </c>
      <c r="AG53" s="3">
        <f ca="1">IFERROR(__xludf.DUMMYFUNCTION("""COMPUTED_VALUE"""),-0.468640793202469)</f>
        <v>-0.46864079320246899</v>
      </c>
      <c r="AH53" s="3">
        <f ca="1">IFERROR(__xludf.DUMMYFUNCTION("""COMPUTED_VALUE"""),-0.550250365375809)</f>
        <v>-0.55025036537580896</v>
      </c>
      <c r="AI53" s="3">
        <f ca="1">IFERROR(__xludf.DUMMYFUNCTION("""COMPUTED_VALUE"""),-0.5410370741712)</f>
        <v>-0.54103707417119995</v>
      </c>
      <c r="AJ53" s="3">
        <f ca="1">IFERROR(__xludf.DUMMYFUNCTION("""COMPUTED_VALUE"""),-0.511858683655802)</f>
        <v>-0.511858683655802</v>
      </c>
      <c r="AK53" s="3">
        <f ca="1">IFERROR(__xludf.DUMMYFUNCTION("""COMPUTED_VALUE"""),-0.531709217725862)</f>
        <v>-0.53170921772586199</v>
      </c>
      <c r="AL53" s="3">
        <f ca="1">IFERROR(__xludf.DUMMYFUNCTION("""COMPUTED_VALUE"""),-0.555142582758744)</f>
        <v>-0.55514258275874395</v>
      </c>
      <c r="AM53" s="3">
        <f ca="1">IFERROR(__xludf.DUMMYFUNCTION("""COMPUTED_VALUE"""),-0.486223623421846)</f>
        <v>-0.486223623421846</v>
      </c>
      <c r="AN53" s="3">
        <f ca="1">IFERROR(__xludf.DUMMYFUNCTION("""COMPUTED_VALUE"""),-0.548473827401586)</f>
        <v>-0.54847382740158601</v>
      </c>
      <c r="AO53" s="3">
        <f ca="1">IFERROR(__xludf.DUMMYFUNCTION("""COMPUTED_VALUE"""),-0.548407343337171)</f>
        <v>-0.548407343337171</v>
      </c>
      <c r="AP53" s="3">
        <f ca="1">IFERROR(__xludf.DUMMYFUNCTION("""COMPUTED_VALUE"""),-0.546760182149186)</f>
        <v>-0.54676018214918598</v>
      </c>
      <c r="AQ53" s="3">
        <f ca="1">IFERROR(__xludf.DUMMYFUNCTION("""COMPUTED_VALUE"""),-0.5181751807102)</f>
        <v>-0.51817518071019997</v>
      </c>
      <c r="AR53" s="3">
        <f ca="1">IFERROR(__xludf.DUMMYFUNCTION("""COMPUTED_VALUE"""),-0.577033583200494)</f>
        <v>-0.57703358320049403</v>
      </c>
      <c r="AS53" s="3">
        <f ca="1">IFERROR(__xludf.DUMMYFUNCTION("""COMPUTED_VALUE"""),-0.54676305213215)</f>
        <v>-0.54676305213215004</v>
      </c>
      <c r="AT53" s="3">
        <f ca="1">IFERROR(__xludf.DUMMYFUNCTION("""COMPUTED_VALUE"""),-0.522887067614697)</f>
        <v>-0.52288706761469705</v>
      </c>
      <c r="AU53" s="3">
        <f ca="1">IFERROR(__xludf.DUMMYFUNCTION("""COMPUTED_VALUE"""),-0.483282532587332)</f>
        <v>-0.483282532587332</v>
      </c>
      <c r="AV53" s="3">
        <f ca="1">IFERROR(__xludf.DUMMYFUNCTION("""COMPUTED_VALUE"""),-0.578459944660392)</f>
        <v>-0.57845994466039197</v>
      </c>
      <c r="AW53" s="3">
        <f ca="1">IFERROR(__xludf.DUMMYFUNCTION("""COMPUTED_VALUE"""),-0.551329472260141)</f>
        <v>-0.55132947226014095</v>
      </c>
      <c r="AX53" s="3">
        <f ca="1">IFERROR(__xludf.DUMMYFUNCTION("""COMPUTED_VALUE"""),-0.511216181131494)</f>
        <v>-0.51121618113149403</v>
      </c>
      <c r="AY53" s="3">
        <f ca="1">IFERROR(__xludf.DUMMYFUNCTION("""COMPUTED_VALUE"""),-0.5240858409753)</f>
        <v>-0.52408584097529998</v>
      </c>
      <c r="AZ53" s="3">
        <f ca="1">IFERROR(__xludf.DUMMYFUNCTION("""COMPUTED_VALUE"""),-0.530647166187277)</f>
        <v>-0.53064716618727703</v>
      </c>
      <c r="BA53" s="3">
        <f ca="1">IFERROR(__xludf.DUMMYFUNCTION("""COMPUTED_VALUE"""),-0.507314176862992)</f>
        <v>-0.50731417686299196</v>
      </c>
      <c r="BB53" s="3">
        <f ca="1">IFERROR(__xludf.DUMMYFUNCTION("""COMPUTED_VALUE"""),-0.540126830824257)</f>
        <v>-0.54012683082425705</v>
      </c>
      <c r="BC53" s="3">
        <f ca="1">IFERROR(__xludf.DUMMYFUNCTION("""COMPUTED_VALUE"""),-0.575039246942268)</f>
        <v>-0.57503924694226805</v>
      </c>
      <c r="BD53" s="3">
        <f ca="1">IFERROR(__xludf.DUMMYFUNCTION("""COMPUTED_VALUE"""),-0.616090331446802)</f>
        <v>-0.61609033144680203</v>
      </c>
      <c r="BE53" s="3">
        <f ca="1">IFERROR(__xludf.DUMMYFUNCTION("""COMPUTED_VALUE"""),-0.565560683940243)</f>
        <v>-0.56556068394024295</v>
      </c>
      <c r="BF53" s="3">
        <f ca="1">IFERROR(__xludf.DUMMYFUNCTION("""COMPUTED_VALUE"""),-0.675593989680088)</f>
        <v>-0.67559398968008799</v>
      </c>
      <c r="BG53" s="3">
        <f ca="1">IFERROR(__xludf.DUMMYFUNCTION("""COMPUTED_VALUE"""),-0.646204327841061)</f>
        <v>-0.64620432784106097</v>
      </c>
      <c r="BH53" s="3">
        <f ca="1">IFERROR(__xludf.DUMMYFUNCTION("""COMPUTED_VALUE"""),-0.493160849015723)</f>
        <v>-0.49316084901572299</v>
      </c>
      <c r="BI53" s="3">
        <f ca="1">IFERROR(__xludf.DUMMYFUNCTION("""COMPUTED_VALUE"""),-0.571274831040177)</f>
        <v>-0.57127483104017696</v>
      </c>
      <c r="BJ53" s="3">
        <f ca="1">IFERROR(__xludf.DUMMYFUNCTION("""COMPUTED_VALUE"""),-0.589037188261199)</f>
        <v>-0.589037188261199</v>
      </c>
      <c r="BK53" s="3">
        <f ca="1">IFERROR(__xludf.DUMMYFUNCTION("""COMPUTED_VALUE"""),-0.619771228455661)</f>
        <v>-0.61977122845566102</v>
      </c>
      <c r="BL53" s="3">
        <f ca="1">IFERROR(__xludf.DUMMYFUNCTION("""COMPUTED_VALUE"""),-0.618031292723039)</f>
        <v>-0.61803129272303903</v>
      </c>
      <c r="BM53" s="3">
        <f ca="1">IFERROR(__xludf.DUMMYFUNCTION("""COMPUTED_VALUE"""),-0.654776850692732)</f>
        <v>-0.65477685069273195</v>
      </c>
      <c r="BN53" s="3">
        <f ca="1">IFERROR(__xludf.DUMMYFUNCTION("""COMPUTED_VALUE"""),-0.609968057747297)</f>
        <v>-0.60996805774729701</v>
      </c>
      <c r="BO53" s="3">
        <f ca="1">IFERROR(__xludf.DUMMYFUNCTION("""COMPUTED_VALUE"""),-0.515026371296627)</f>
        <v>-0.51502637129662698</v>
      </c>
      <c r="BP53" s="3">
        <f ca="1">IFERROR(__xludf.DUMMYFUNCTION("""COMPUTED_VALUE"""),-0.574723409247965)</f>
        <v>-0.57472340924796494</v>
      </c>
      <c r="BQ53" s="3">
        <f ca="1">IFERROR(__xludf.DUMMYFUNCTION("""COMPUTED_VALUE"""),-0.576362138224721)</f>
        <v>-0.57636213822472104</v>
      </c>
      <c r="BR53" s="3">
        <f ca="1">IFERROR(__xludf.DUMMYFUNCTION("""COMPUTED_VALUE"""),-0.656609385922941)</f>
        <v>-0.65660938592294105</v>
      </c>
      <c r="BS53" s="3">
        <f ca="1">IFERROR(__xludf.DUMMYFUNCTION("""COMPUTED_VALUE"""),-0.643968743312626)</f>
        <v>-0.64396874331262599</v>
      </c>
      <c r="BT53" s="3">
        <f ca="1">IFERROR(__xludf.DUMMYFUNCTION("""COMPUTED_VALUE"""),-0.6563746548793)</f>
        <v>-0.65637465487930002</v>
      </c>
      <c r="BU53" s="3">
        <f ca="1">IFERROR(__xludf.DUMMYFUNCTION("""COMPUTED_VALUE"""),-0.627869753738848)</f>
        <v>-0.62786975373884801</v>
      </c>
      <c r="BV53" s="3">
        <f ca="1">IFERROR(__xludf.DUMMYFUNCTION("""COMPUTED_VALUE"""),-0.612419499214844)</f>
        <v>-0.61241949921484395</v>
      </c>
      <c r="BW53" s="3">
        <f ca="1">IFERROR(__xludf.DUMMYFUNCTION("""COMPUTED_VALUE"""),-0.609994012694638)</f>
        <v>-0.60999401269463804</v>
      </c>
      <c r="BX53" s="3">
        <f ca="1">IFERROR(__xludf.DUMMYFUNCTION("""COMPUTED_VALUE"""),-0.601991896721561)</f>
        <v>-0.60199189672156095</v>
      </c>
      <c r="BY53" s="3">
        <f ca="1">IFERROR(__xludf.DUMMYFUNCTION("""COMPUTED_VALUE"""),-0.623309911484869)</f>
        <v>-0.62330991148486903</v>
      </c>
      <c r="BZ53" s="3">
        <f ca="1">IFERROR(__xludf.DUMMYFUNCTION("""COMPUTED_VALUE"""),-0.606486340608144)</f>
        <v>-0.60648634060814399</v>
      </c>
      <c r="CA53" s="3">
        <f ca="1">IFERROR(__xludf.DUMMYFUNCTION("""COMPUTED_VALUE"""),-0.607237881006147)</f>
        <v>-0.60723788100614695</v>
      </c>
      <c r="CB53" s="3">
        <f ca="1">IFERROR(__xludf.DUMMYFUNCTION("""COMPUTED_VALUE"""),-0.654664110714376)</f>
        <v>-0.65466411071437602</v>
      </c>
      <c r="CC53" s="3">
        <f ca="1">IFERROR(__xludf.DUMMYFUNCTION("""COMPUTED_VALUE"""),-0.614583535049957)</f>
        <v>-0.614583535049957</v>
      </c>
      <c r="CD53" s="3">
        <f ca="1">IFERROR(__xludf.DUMMYFUNCTION("""COMPUTED_VALUE"""),-0.561154656783955)</f>
        <v>-0.56115465678395504</v>
      </c>
      <c r="CE53" s="3">
        <f ca="1">IFERROR(__xludf.DUMMYFUNCTION("""COMPUTED_VALUE"""),-0.616008286154962)</f>
        <v>-0.61600828615496195</v>
      </c>
      <c r="CF53" s="3">
        <f ca="1">IFERROR(__xludf.DUMMYFUNCTION("""COMPUTED_VALUE"""),-0.64052412709557)</f>
        <v>-0.64052412709557005</v>
      </c>
      <c r="CG53" s="3">
        <f ca="1">IFERROR(__xludf.DUMMYFUNCTION("""COMPUTED_VALUE"""),-0.61416147650017)</f>
        <v>-0.61416147650016994</v>
      </c>
      <c r="CH53" s="3">
        <f ca="1">IFERROR(__xludf.DUMMYFUNCTION("""COMPUTED_VALUE"""),-0.61973127875179)</f>
        <v>-0.61973127875179002</v>
      </c>
      <c r="CI53" s="3">
        <f ca="1">IFERROR(__xludf.DUMMYFUNCTION("""COMPUTED_VALUE"""),-0.63585248928974)</f>
        <v>-0.63585248928974003</v>
      </c>
      <c r="CJ53" s="3">
        <f ca="1">IFERROR(__xludf.DUMMYFUNCTION("""COMPUTED_VALUE"""),-0.596889362478527)</f>
        <v>-0.59688936247852697</v>
      </c>
      <c r="CK53" s="3">
        <f ca="1">IFERROR(__xludf.DUMMYFUNCTION("""COMPUTED_VALUE"""),-0.551242901255473)</f>
        <v>-0.55124290125547304</v>
      </c>
      <c r="CL53" s="3">
        <f ca="1">IFERROR(__xludf.DUMMYFUNCTION("""COMPUTED_VALUE"""),-0.625084012320792)</f>
        <v>-0.62508401232079203</v>
      </c>
      <c r="CM53" s="3">
        <f ca="1">IFERROR(__xludf.DUMMYFUNCTION("""COMPUTED_VALUE"""),-0.621306299781709)</f>
        <v>-0.62130629978170904</v>
      </c>
      <c r="CN53" s="3">
        <f ca="1">IFERROR(__xludf.DUMMYFUNCTION("""COMPUTED_VALUE"""),-0.601344452075147)</f>
        <v>-0.60134445207514697</v>
      </c>
      <c r="CO53" s="3">
        <f ca="1">IFERROR(__xludf.DUMMYFUNCTION("""COMPUTED_VALUE"""),-0.614677675118986)</f>
        <v>-0.61467767511898597</v>
      </c>
      <c r="CP53" s="3">
        <f ca="1">IFERROR(__xludf.DUMMYFUNCTION("""COMPUTED_VALUE"""),-0.571578273156256)</f>
        <v>-0.57157827315625598</v>
      </c>
      <c r="CQ53" s="3">
        <f ca="1">IFERROR(__xludf.DUMMYFUNCTION("""COMPUTED_VALUE"""),-0.551484465672185)</f>
        <v>-0.55148446567218501</v>
      </c>
      <c r="CR53" s="3">
        <f ca="1">IFERROR(__xludf.DUMMYFUNCTION("""COMPUTED_VALUE"""),-0.544034341207276)</f>
        <v>-0.54403434120727601</v>
      </c>
      <c r="CS53" s="3">
        <f ca="1">IFERROR(__xludf.DUMMYFUNCTION("""COMPUTED_VALUE"""),-0.621575798494184)</f>
        <v>-0.62157579849418398</v>
      </c>
      <c r="CT53" s="3">
        <f ca="1">IFERROR(__xludf.DUMMYFUNCTION("""COMPUTED_VALUE"""),-0.618736961972031)</f>
        <v>-0.61873696197203099</v>
      </c>
      <c r="CU53" s="3">
        <f ca="1">IFERROR(__xludf.DUMMYFUNCTION("""COMPUTED_VALUE"""),-0.576451292391464)</f>
        <v>-0.57645129239146398</v>
      </c>
      <c r="CV53" s="3">
        <f ca="1">IFERROR(__xludf.DUMMYFUNCTION("""COMPUTED_VALUE"""),-0.60912376370628)</f>
        <v>-0.60912376370627996</v>
      </c>
      <c r="CW53" s="3">
        <f ca="1">IFERROR(__xludf.DUMMYFUNCTION("""COMPUTED_VALUE"""),-0.590612936150526)</f>
        <v>-0.59061293615052601</v>
      </c>
      <c r="CX53" s="3">
        <f ca="1">IFERROR(__xludf.DUMMYFUNCTION("""COMPUTED_VALUE"""),-0.523602436406733)</f>
        <v>-0.52360243640673299</v>
      </c>
      <c r="CY53" s="3">
        <f ca="1">IFERROR(__xludf.DUMMYFUNCTION("""COMPUTED_VALUE"""),-0.549076303322535)</f>
        <v>-0.54907630332253499</v>
      </c>
      <c r="CZ53" s="3">
        <f ca="1">IFERROR(__xludf.DUMMYFUNCTION("""COMPUTED_VALUE"""),-0.698629117426735)</f>
        <v>-0.69862911742673495</v>
      </c>
      <c r="DA53" s="3">
        <f ca="1">IFERROR(__xludf.DUMMYFUNCTION("""COMPUTED_VALUE"""),-0.600981015750682)</f>
        <v>-0.60098101575068197</v>
      </c>
      <c r="DB53" s="3">
        <f ca="1">IFERROR(__xludf.DUMMYFUNCTION("""COMPUTED_VALUE"""),-0.473052197081605)</f>
        <v>-0.47305219708160501</v>
      </c>
      <c r="DC53" s="3">
        <f ca="1">IFERROR(__xludf.DUMMYFUNCTION("""COMPUTED_VALUE"""),-0.572090558883348)</f>
        <v>-0.57209055888334803</v>
      </c>
      <c r="DD53" s="3">
        <f ca="1">IFERROR(__xludf.DUMMYFUNCTION("""COMPUTED_VALUE"""),-0.595246993543674)</f>
        <v>-0.59524699354367405</v>
      </c>
      <c r="DE53" s="3">
        <f ca="1">IFERROR(__xludf.DUMMYFUNCTION("""COMPUTED_VALUE"""),-0.564089685794079)</f>
        <v>-0.56408968579407903</v>
      </c>
      <c r="DF53" s="3">
        <f ca="1">IFERROR(__xludf.DUMMYFUNCTION("""COMPUTED_VALUE"""),-0.614948285724059)</f>
        <v>-0.61494828572405902</v>
      </c>
      <c r="DG53" s="3">
        <f ca="1">IFERROR(__xludf.DUMMYFUNCTION("""COMPUTED_VALUE"""),-0.844792478393072)</f>
        <v>-0.84479247839307203</v>
      </c>
      <c r="DH53" s="3">
        <f ca="1">IFERROR(__xludf.DUMMYFUNCTION("""COMPUTED_VALUE"""),-0.684623921753062)</f>
        <v>-0.68462392175306197</v>
      </c>
      <c r="DI53" s="3">
        <f ca="1">IFERROR(__xludf.DUMMYFUNCTION("""COMPUTED_VALUE"""),-0.385369884370195)</f>
        <v>-0.38536988437019498</v>
      </c>
      <c r="DJ53" s="3">
        <f ca="1">IFERROR(__xludf.DUMMYFUNCTION("""COMPUTED_VALUE"""),-0.51974214398279)</f>
        <v>-0.51974214398278995</v>
      </c>
      <c r="DK53" s="3">
        <f ca="1">IFERROR(__xludf.DUMMYFUNCTION("""COMPUTED_VALUE"""),-0.559215664197461)</f>
        <v>-0.55921566419746105</v>
      </c>
      <c r="DL53" s="3">
        <f ca="1">IFERROR(__xludf.DUMMYFUNCTION("""COMPUTED_VALUE"""),-0.502426553939548)</f>
        <v>-0.50242655393954805</v>
      </c>
      <c r="DM53" s="3">
        <f ca="1">IFERROR(__xludf.DUMMYFUNCTION("""COMPUTED_VALUE"""),-0.580193090000656)</f>
        <v>-0.580193090000656</v>
      </c>
      <c r="DN53" s="3">
        <f ca="1">IFERROR(__xludf.DUMMYFUNCTION("""COMPUTED_VALUE"""),-0.581193355434196)</f>
        <v>-0.58119335543419604</v>
      </c>
      <c r="DO53" s="3">
        <f ca="1">IFERROR(__xludf.DUMMYFUNCTION("""COMPUTED_VALUE"""),-0.576373086354718)</f>
        <v>-0.57637308635471796</v>
      </c>
      <c r="DP53" s="3">
        <f ca="1">IFERROR(__xludf.DUMMYFUNCTION("""COMPUTED_VALUE"""),-0.499256585749513)</f>
        <v>-0.49925658574951298</v>
      </c>
      <c r="DQ53" s="3">
        <f ca="1">IFERROR(__xludf.DUMMYFUNCTION("""COMPUTED_VALUE"""),-0.574316135038325)</f>
        <v>-0.57431613503832502</v>
      </c>
      <c r="DR53" s="3">
        <f ca="1">IFERROR(__xludf.DUMMYFUNCTION("""COMPUTED_VALUE"""),-0.590324142394742)</f>
        <v>-0.59032414239474196</v>
      </c>
      <c r="DS53" s="3">
        <f ca="1">IFERROR(__xludf.DUMMYFUNCTION("""COMPUTED_VALUE"""),-0.585663015598707)</f>
        <v>-0.58566301559870704</v>
      </c>
      <c r="DT53" s="3">
        <f ca="1">IFERROR(__xludf.DUMMYFUNCTION("""COMPUTED_VALUE"""),-0.585727881107073)</f>
        <v>-0.58572788110707297</v>
      </c>
      <c r="DU53" s="3">
        <f ca="1">IFERROR(__xludf.DUMMYFUNCTION("""COMPUTED_VALUE"""),-0.605572546566126)</f>
        <v>-0.60557254656612602</v>
      </c>
      <c r="DV53" s="3">
        <f ca="1">IFERROR(__xludf.DUMMYFUNCTION("""COMPUTED_VALUE"""),-0.62034661645209)</f>
        <v>-0.62034661645208999</v>
      </c>
      <c r="DW53" s="3">
        <f ca="1">IFERROR(__xludf.DUMMYFUNCTION("""COMPUTED_VALUE"""),-0.62249768763882)</f>
        <v>-0.62249768763881996</v>
      </c>
      <c r="DX53" s="3">
        <f ca="1">IFERROR(__xludf.DUMMYFUNCTION("""COMPUTED_VALUE"""),-0.619144121483159)</f>
        <v>-0.619144121483159</v>
      </c>
      <c r="DY53" s="3">
        <f ca="1">IFERROR(__xludf.DUMMYFUNCTION("""COMPUTED_VALUE"""),-0.599911262029534)</f>
        <v>-0.59991126202953404</v>
      </c>
      <c r="DZ53" s="3">
        <f ca="1">IFERROR(__xludf.DUMMYFUNCTION("""COMPUTED_VALUE"""),-0.566064896931441)</f>
        <v>-0.56606489693144102</v>
      </c>
      <c r="EA53" s="3">
        <f ca="1">IFERROR(__xludf.DUMMYFUNCTION("""COMPUTED_VALUE"""),-0.554138125975417)</f>
        <v>-0.55413812597541701</v>
      </c>
      <c r="EB53" s="3">
        <f ca="1">IFERROR(__xludf.DUMMYFUNCTION("""COMPUTED_VALUE"""),-0.596856274436792)</f>
        <v>-0.59685627443679201</v>
      </c>
      <c r="EC53" s="3">
        <f ca="1">IFERROR(__xludf.DUMMYFUNCTION("""COMPUTED_VALUE"""),-0.537831719122369)</f>
        <v>-0.53783171912236905</v>
      </c>
      <c r="ED53" s="3">
        <f ca="1">IFERROR(__xludf.DUMMYFUNCTION("""COMPUTED_VALUE"""),-0.640931106171252)</f>
        <v>-0.64093110617125204</v>
      </c>
      <c r="EE53" s="3">
        <f ca="1">IFERROR(__xludf.DUMMYFUNCTION("""COMPUTED_VALUE"""),-0.608667718232095)</f>
        <v>-0.60866771823209498</v>
      </c>
      <c r="EF53" s="3">
        <f ca="1">IFERROR(__xludf.DUMMYFUNCTION("""COMPUTED_VALUE"""),-0.630940003970737)</f>
        <v>-0.63094000397073702</v>
      </c>
      <c r="EG53" s="3">
        <f ca="1">IFERROR(__xludf.DUMMYFUNCTION("""COMPUTED_VALUE"""),-0.50849539990675)</f>
        <v>-0.50849539990674997</v>
      </c>
      <c r="EH53" s="3">
        <f ca="1">IFERROR(__xludf.DUMMYFUNCTION("""COMPUTED_VALUE"""),-0.521385679628136)</f>
        <v>-0.52138567962813598</v>
      </c>
      <c r="EI53" s="3">
        <f ca="1">IFERROR(__xludf.DUMMYFUNCTION("""COMPUTED_VALUE"""),-0.626863107470425)</f>
        <v>-0.62686310747042495</v>
      </c>
      <c r="EJ53" s="3">
        <f ca="1">IFERROR(__xludf.DUMMYFUNCTION("""COMPUTED_VALUE"""),-0.768828389616596)</f>
        <v>-0.76882838961659605</v>
      </c>
      <c r="EK53" s="3">
        <f ca="1">IFERROR(__xludf.DUMMYFUNCTION("""COMPUTED_VALUE"""),-0.651669030208035)</f>
        <v>-0.65166903020803502</v>
      </c>
      <c r="EL53" s="3">
        <f ca="1">IFERROR(__xludf.DUMMYFUNCTION("""COMPUTED_VALUE"""),-0.604135491720811)</f>
        <v>-0.60413549172081105</v>
      </c>
      <c r="EM53" s="3">
        <f ca="1">IFERROR(__xludf.DUMMYFUNCTION("""COMPUTED_VALUE"""),-0.590222503848066)</f>
        <v>-0.59022250384806596</v>
      </c>
      <c r="EN53" s="3">
        <f ca="1">IFERROR(__xludf.DUMMYFUNCTION("""COMPUTED_VALUE"""),-0.561153391452129)</f>
        <v>-0.56115339145212895</v>
      </c>
      <c r="EO53" s="3">
        <f ca="1">IFERROR(__xludf.DUMMYFUNCTION("""COMPUTED_VALUE"""),-0.516652927835309)</f>
        <v>-0.51665292783530903</v>
      </c>
      <c r="EP53" s="3">
        <f ca="1">IFERROR(__xludf.DUMMYFUNCTION("""COMPUTED_VALUE"""),-0.579222462044468)</f>
        <v>-0.57922246204446803</v>
      </c>
      <c r="EQ53" s="3">
        <f ca="1">IFERROR(__xludf.DUMMYFUNCTION("""COMPUTED_VALUE"""),-0.493053506796367)</f>
        <v>-0.493053506796367</v>
      </c>
      <c r="ER53" s="3">
        <f ca="1">IFERROR(__xludf.DUMMYFUNCTION("""COMPUTED_VALUE"""),-0.575229201877695)</f>
        <v>-0.575229201877695</v>
      </c>
      <c r="ES53" s="3">
        <f ca="1">IFERROR(__xludf.DUMMYFUNCTION("""COMPUTED_VALUE"""),-0.58463512591991)</f>
        <v>-0.58463512591990996</v>
      </c>
      <c r="ET53" s="3">
        <f ca="1">IFERROR(__xludf.DUMMYFUNCTION("""COMPUTED_VALUE"""),-0.602714621866284)</f>
        <v>-0.60271462186628399</v>
      </c>
      <c r="EU53" s="3">
        <f ca="1">IFERROR(__xludf.DUMMYFUNCTION("""COMPUTED_VALUE"""),-0.580589519454465)</f>
        <v>-0.58058951945446502</v>
      </c>
      <c r="EV53" s="3">
        <f ca="1">IFERROR(__xludf.DUMMYFUNCTION("""COMPUTED_VALUE"""),-0.562947811116763)</f>
        <v>-0.56294781111676295</v>
      </c>
      <c r="EW53" s="3">
        <f ca="1">IFERROR(__xludf.DUMMYFUNCTION("""COMPUTED_VALUE"""),-0.577769186766725)</f>
        <v>-0.57776918676672495</v>
      </c>
      <c r="EX53" s="3">
        <f ca="1">IFERROR(__xludf.DUMMYFUNCTION("""COMPUTED_VALUE"""),-0.594260391633141)</f>
        <v>-0.59426039163314104</v>
      </c>
      <c r="EY53" s="3">
        <f ca="1">IFERROR(__xludf.DUMMYFUNCTION("""COMPUTED_VALUE"""),-0.5938066404389)</f>
        <v>-0.59380664043889997</v>
      </c>
      <c r="EZ53" s="3">
        <f ca="1">IFERROR(__xludf.DUMMYFUNCTION("""COMPUTED_VALUE"""),-0.597832028909053)</f>
        <v>-0.59783202890905296</v>
      </c>
      <c r="FA53" s="3">
        <f ca="1">IFERROR(__xludf.DUMMYFUNCTION("""COMPUTED_VALUE"""),-0.566016752773036)</f>
        <v>-0.56601675277303598</v>
      </c>
      <c r="FB53" s="3">
        <f ca="1">IFERROR(__xludf.DUMMYFUNCTION("""COMPUTED_VALUE"""),-0.549082898266888)</f>
        <v>-0.54908289826688805</v>
      </c>
      <c r="FC53" s="3">
        <f ca="1">IFERROR(__xludf.DUMMYFUNCTION("""COMPUTED_VALUE"""),-0.535763092484399)</f>
        <v>-0.53576309248439902</v>
      </c>
      <c r="FD53" s="3">
        <f ca="1">IFERROR(__xludf.DUMMYFUNCTION("""COMPUTED_VALUE"""),-0.591093727794266)</f>
        <v>-0.59109372779426606</v>
      </c>
      <c r="FE53" s="3">
        <f ca="1">IFERROR(__xludf.DUMMYFUNCTION("""COMPUTED_VALUE"""),-0.55729535221298)</f>
        <v>-0.55729535221297999</v>
      </c>
      <c r="FF53" s="3">
        <f ca="1">IFERROR(__xludf.DUMMYFUNCTION("""COMPUTED_VALUE"""),-0.587968037204366)</f>
        <v>-0.58796803720436597</v>
      </c>
      <c r="FG53" s="3">
        <f ca="1">IFERROR(__xludf.DUMMYFUNCTION("""COMPUTED_VALUE"""),-0.580206828284558)</f>
        <v>-0.58020682828455805</v>
      </c>
      <c r="FH53" s="3">
        <f ca="1">IFERROR(__xludf.DUMMYFUNCTION("""COMPUTED_VALUE"""),-0.587868575837514)</f>
        <v>-0.58786857583751395</v>
      </c>
      <c r="FI53" s="3">
        <f ca="1">IFERROR(__xludf.DUMMYFUNCTION("""COMPUTED_VALUE"""),-0.499679218158756)</f>
        <v>-0.49967921815875599</v>
      </c>
      <c r="FJ53" s="3">
        <f ca="1">IFERROR(__xludf.DUMMYFUNCTION("""COMPUTED_VALUE"""),-0.477264743849764)</f>
        <v>-0.47726474384976397</v>
      </c>
      <c r="FK53" s="3">
        <f ca="1">IFERROR(__xludf.DUMMYFUNCTION("""COMPUTED_VALUE"""),-0.567985473971511)</f>
        <v>-0.567985473971511</v>
      </c>
      <c r="FL53" s="3">
        <f ca="1">IFERROR(__xludf.DUMMYFUNCTION("""COMPUTED_VALUE"""),-0.617121393710429)</f>
        <v>-0.61712139371042896</v>
      </c>
      <c r="FM53" s="3">
        <f ca="1">IFERROR(__xludf.DUMMYFUNCTION("""COMPUTED_VALUE"""),-0.607621023811301)</f>
        <v>-0.60762102381130101</v>
      </c>
      <c r="FN53" s="3">
        <f ca="1">IFERROR(__xludf.DUMMYFUNCTION("""COMPUTED_VALUE"""),-0.624170507345176)</f>
        <v>-0.62417050734517598</v>
      </c>
      <c r="FO53" s="3">
        <f ca="1">IFERROR(__xludf.DUMMYFUNCTION("""COMPUTED_VALUE"""),-0.593533687681126)</f>
        <v>-0.59353368768112602</v>
      </c>
      <c r="FP53" s="3">
        <f ca="1">IFERROR(__xludf.DUMMYFUNCTION("""COMPUTED_VALUE"""),-0.561408413905088)</f>
        <v>-0.561408413905088</v>
      </c>
      <c r="FQ53" s="3">
        <f ca="1">IFERROR(__xludf.DUMMYFUNCTION("""COMPUTED_VALUE"""),-0.513922585034247)</f>
        <v>-0.51392258503424704</v>
      </c>
      <c r="FR53" s="3">
        <f ca="1">IFERROR(__xludf.DUMMYFUNCTION("""COMPUTED_VALUE"""),-0.593746155881737)</f>
        <v>-0.59374615588173696</v>
      </c>
      <c r="FS53" s="3">
        <f ca="1">IFERROR(__xludf.DUMMYFUNCTION("""COMPUTED_VALUE"""),-0.581930067311483)</f>
        <v>-0.581930067311483</v>
      </c>
      <c r="FT53" s="3">
        <f ca="1">IFERROR(__xludf.DUMMYFUNCTION("""COMPUTED_VALUE"""),-0.573491919217448)</f>
        <v>-0.57349191921744802</v>
      </c>
      <c r="FU53" s="3">
        <f ca="1">IFERROR(__xludf.DUMMYFUNCTION("""COMPUTED_VALUE"""),-0.591531600199107)</f>
        <v>-0.591531600199107</v>
      </c>
      <c r="FV53" s="3">
        <f ca="1">IFERROR(__xludf.DUMMYFUNCTION("""COMPUTED_VALUE"""),-0.613901192198309)</f>
        <v>-0.61390119219830896</v>
      </c>
      <c r="FW53" s="3">
        <f ca="1">IFERROR(__xludf.DUMMYFUNCTION("""COMPUTED_VALUE"""),-0.512955394348536)</f>
        <v>-0.51295539434853599</v>
      </c>
      <c r="FX53" s="3">
        <f ca="1">IFERROR(__xludf.DUMMYFUNCTION("""COMPUTED_VALUE"""),-0.532873212992978)</f>
        <v>-0.53287321299297796</v>
      </c>
      <c r="FY53" s="3">
        <f ca="1">IFERROR(__xludf.DUMMYFUNCTION("""COMPUTED_VALUE"""),-0.573064978233676)</f>
        <v>-0.57306497823367597</v>
      </c>
      <c r="FZ53" s="3">
        <f ca="1">IFERROR(__xludf.DUMMYFUNCTION("""COMPUTED_VALUE"""),-0.574499529547318)</f>
        <v>-0.57449952954731798</v>
      </c>
      <c r="GA53" s="3">
        <f ca="1">IFERROR(__xludf.DUMMYFUNCTION("""COMPUTED_VALUE"""),-0.578577971122002)</f>
        <v>-0.57857797112200204</v>
      </c>
      <c r="GB53" s="3">
        <f ca="1">IFERROR(__xludf.DUMMYFUNCTION("""COMPUTED_VALUE"""),-0.604458141508631)</f>
        <v>-0.60445814150863098</v>
      </c>
      <c r="GC53" s="3">
        <f ca="1">IFERROR(__xludf.DUMMYFUNCTION("""COMPUTED_VALUE"""),-0.582181789544777)</f>
        <v>-0.58218178954477695</v>
      </c>
      <c r="GD53" s="3">
        <f ca="1">IFERROR(__xludf.DUMMYFUNCTION("""COMPUTED_VALUE"""),-0.548402144118526)</f>
        <v>-0.54840214411852595</v>
      </c>
      <c r="GE53" s="3">
        <f ca="1">IFERROR(__xludf.DUMMYFUNCTION("""COMPUTED_VALUE"""),-0.588097428806951)</f>
        <v>-0.58809742880695104</v>
      </c>
      <c r="GF53" s="3">
        <f ca="1">IFERROR(__xludf.DUMMYFUNCTION("""COMPUTED_VALUE"""),-0.588843289616631)</f>
        <v>-0.58884328961663102</v>
      </c>
      <c r="GG53" s="3">
        <f ca="1">IFERROR(__xludf.DUMMYFUNCTION("""COMPUTED_VALUE"""),-0.585856042816212)</f>
        <v>-0.58585604281621195</v>
      </c>
      <c r="GH53" s="3">
        <f ca="1">IFERROR(__xludf.DUMMYFUNCTION("""COMPUTED_VALUE"""),-0.594041431932149)</f>
        <v>-0.59404143193214898</v>
      </c>
      <c r="GI53" s="3">
        <f ca="1">IFERROR(__xludf.DUMMYFUNCTION("""COMPUTED_VALUE"""),-0.588728519289872)</f>
        <v>-0.58872851928987202</v>
      </c>
      <c r="GJ53" s="3">
        <f ca="1">IFERROR(__xludf.DUMMYFUNCTION("""COMPUTED_VALUE"""),-0.579759249625656)</f>
        <v>-0.57975924962565595</v>
      </c>
      <c r="GK53" s="3">
        <f ca="1">IFERROR(__xludf.DUMMYFUNCTION("""COMPUTED_VALUE"""),-0.543900525683653)</f>
        <v>-0.54390052568365299</v>
      </c>
      <c r="GL53" s="3">
        <f ca="1">IFERROR(__xludf.DUMMYFUNCTION("""COMPUTED_VALUE"""),-0.535932002496248)</f>
        <v>-0.53593200249624795</v>
      </c>
      <c r="GM53" s="3">
        <f ca="1">IFERROR(__xludf.DUMMYFUNCTION("""COMPUTED_VALUE"""),-0.555069090111185)</f>
        <v>-0.55506909011118499</v>
      </c>
      <c r="GN53" s="3">
        <f ca="1">IFERROR(__xludf.DUMMYFUNCTION("""COMPUTED_VALUE"""),-0.589947477589066)</f>
        <v>-0.58994747758906596</v>
      </c>
      <c r="GO53" s="3">
        <f ca="1">IFERROR(__xludf.DUMMYFUNCTION("""COMPUTED_VALUE"""),-0.597434027758823)</f>
        <v>-0.59743402775882304</v>
      </c>
      <c r="GP53" s="3">
        <f ca="1">IFERROR(__xludf.DUMMYFUNCTION("""COMPUTED_VALUE"""),-0.591868554253246)</f>
        <v>-0.59186855425324603</v>
      </c>
      <c r="GQ53" s="3">
        <f ca="1">IFERROR(__xludf.DUMMYFUNCTION("""COMPUTED_VALUE"""),-0.6000863715308)</f>
        <v>-0.60008637153080002</v>
      </c>
      <c r="GR53" s="3">
        <f ca="1">IFERROR(__xludf.DUMMYFUNCTION("""COMPUTED_VALUE"""),-0.576800394243775)</f>
        <v>-0.57680039424377505</v>
      </c>
      <c r="GS53" s="3">
        <f ca="1">IFERROR(__xludf.DUMMYFUNCTION("""COMPUTED_VALUE"""),-0.62476872266374)</f>
        <v>-0.62476872266373995</v>
      </c>
      <c r="GT53" s="3">
        <f ca="1">IFERROR(__xludf.DUMMYFUNCTION("""COMPUTED_VALUE"""),-0.61726447683595)</f>
        <v>-0.61726447683594998</v>
      </c>
      <c r="GU53" s="3">
        <f ca="1">IFERROR(__xludf.DUMMYFUNCTION("""COMPUTED_VALUE"""),-0.642144940290505)</f>
        <v>-0.64214494029050495</v>
      </c>
      <c r="GV53" s="3">
        <f ca="1">IFERROR(__xludf.DUMMYFUNCTION("""COMPUTED_VALUE"""),-0.661313888189969)</f>
        <v>-0.66131388818996895</v>
      </c>
      <c r="GW53" s="3">
        <f ca="1">IFERROR(__xludf.DUMMYFUNCTION("""COMPUTED_VALUE"""),-0.604088561794922)</f>
        <v>-0.60408856179492199</v>
      </c>
      <c r="GX53" s="3">
        <f ca="1">IFERROR(__xludf.DUMMYFUNCTION("""COMPUTED_VALUE"""),-0.566294577898234)</f>
        <v>-0.56629457789823401</v>
      </c>
      <c r="GY53" s="3">
        <f ca="1">IFERROR(__xludf.DUMMYFUNCTION("""COMPUTED_VALUE"""),-0.479453725880841)</f>
        <v>-0.47945372588084101</v>
      </c>
      <c r="GZ53" s="3">
        <f ca="1">IFERROR(__xludf.DUMMYFUNCTION("""COMPUTED_VALUE"""),-0.564333132420621)</f>
        <v>-0.564333132420621</v>
      </c>
      <c r="HA53" s="3">
        <f ca="1">IFERROR(__xludf.DUMMYFUNCTION("""COMPUTED_VALUE"""),-0.584640807258503)</f>
        <v>-0.58464080725850298</v>
      </c>
      <c r="HB53" s="3">
        <f ca="1">IFERROR(__xludf.DUMMYFUNCTION("""COMPUTED_VALUE"""),-0.587734274429284)</f>
        <v>-0.58773427442928405</v>
      </c>
      <c r="HC53" s="3">
        <f ca="1">IFERROR(__xludf.DUMMYFUNCTION("""COMPUTED_VALUE"""),-0.633292684799953)</f>
        <v>-0.63329268479995304</v>
      </c>
      <c r="HD53" s="3">
        <f ca="1">IFERROR(__xludf.DUMMYFUNCTION("""COMPUTED_VALUE"""),-0.611246551745532)</f>
        <v>-0.611246551745532</v>
      </c>
      <c r="HE53" s="3">
        <f ca="1">IFERROR(__xludf.DUMMYFUNCTION("""COMPUTED_VALUE"""),-0.558223667892249)</f>
        <v>-0.55822366789224898</v>
      </c>
      <c r="HF53" s="3">
        <f ca="1">IFERROR(__xludf.DUMMYFUNCTION("""COMPUTED_VALUE"""),-0.529567273302999)</f>
        <v>-0.52956727330299902</v>
      </c>
      <c r="HG53" s="3">
        <f ca="1">IFERROR(__xludf.DUMMYFUNCTION("""COMPUTED_VALUE"""),-0.595793961894846)</f>
        <v>-0.59579396189484601</v>
      </c>
      <c r="HH53" s="3">
        <f ca="1">IFERROR(__xludf.DUMMYFUNCTION("""COMPUTED_VALUE"""),-0.555848452725352)</f>
        <v>-0.55584845272535199</v>
      </c>
      <c r="HI53" s="3">
        <f ca="1">IFERROR(__xludf.DUMMYFUNCTION("""COMPUTED_VALUE"""),-0.580758717766786)</f>
        <v>-0.580758717766786</v>
      </c>
      <c r="HJ53" s="3">
        <f ca="1">IFERROR(__xludf.DUMMYFUNCTION("""COMPUTED_VALUE"""),-0.571073435574486)</f>
        <v>-0.57107343557448598</v>
      </c>
      <c r="HK53" s="3">
        <f ca="1">IFERROR(__xludf.DUMMYFUNCTION("""COMPUTED_VALUE"""),-0.574441501107983)</f>
        <v>-0.57444150110798298</v>
      </c>
      <c r="HL53" s="3">
        <f ca="1">IFERROR(__xludf.DUMMYFUNCTION("""COMPUTED_VALUE"""),-0.583156798799592)</f>
        <v>-0.58315679879959204</v>
      </c>
      <c r="HM53" s="3">
        <f ca="1">IFERROR(__xludf.DUMMYFUNCTION("""COMPUTED_VALUE"""),-0.474202275325657)</f>
        <v>-0.47420227532565701</v>
      </c>
      <c r="HN53" s="3">
        <f ca="1">IFERROR(__xludf.DUMMYFUNCTION("""COMPUTED_VALUE"""),-0.557948785996589)</f>
        <v>-0.55794878599658904</v>
      </c>
      <c r="HO53" s="3">
        <f ca="1">IFERROR(__xludf.DUMMYFUNCTION("""COMPUTED_VALUE"""),-0.598140159180386)</f>
        <v>-0.59814015918038599</v>
      </c>
      <c r="HP53" s="3">
        <f ca="1">IFERROR(__xludf.DUMMYFUNCTION("""COMPUTED_VALUE"""),-0.584090961501361)</f>
        <v>-0.58409096150136097</v>
      </c>
      <c r="HQ53" s="3">
        <f ca="1">IFERROR(__xludf.DUMMYFUNCTION("""COMPUTED_VALUE"""),-0.592148831774979)</f>
        <v>-0.59214883177497901</v>
      </c>
      <c r="HR53" s="3">
        <f ca="1">IFERROR(__xludf.DUMMYFUNCTION("""COMPUTED_VALUE"""),-0.588737932409998)</f>
        <v>-0.58873793240999805</v>
      </c>
      <c r="HS53" s="3">
        <f ca="1">IFERROR(__xludf.DUMMYFUNCTION("""COMPUTED_VALUE"""),-0.50784573483631)</f>
        <v>-0.50784573483631001</v>
      </c>
      <c r="HT53" s="3">
        <f ca="1">IFERROR(__xludf.DUMMYFUNCTION("""COMPUTED_VALUE"""),-0.523391763776312)</f>
        <v>-0.52339176377631202</v>
      </c>
      <c r="HU53" s="3">
        <f ca="1">IFERROR(__xludf.DUMMYFUNCTION("""COMPUTED_VALUE"""),-0.590443692021055)</f>
        <v>-0.59044369202105496</v>
      </c>
      <c r="HV53" s="3">
        <f ca="1">IFERROR(__xludf.DUMMYFUNCTION("""COMPUTED_VALUE"""),-0.580327549881678)</f>
        <v>-0.58032754988167801</v>
      </c>
      <c r="HW53" s="3">
        <f ca="1">IFERROR(__xludf.DUMMYFUNCTION("""COMPUTED_VALUE"""),-0.602120096660709)</f>
        <v>-0.60212009666070898</v>
      </c>
      <c r="HX53" s="3">
        <f ca="1">IFERROR(__xludf.DUMMYFUNCTION("""COMPUTED_VALUE"""),-0.60499627741958)</f>
        <v>-0.60499627741957995</v>
      </c>
      <c r="HY53" s="3">
        <f ca="1">IFERROR(__xludf.DUMMYFUNCTION("""COMPUTED_VALUE"""),-0.60618746284848)</f>
        <v>-0.60618746284848002</v>
      </c>
      <c r="HZ53" s="3">
        <f ca="1">IFERROR(__xludf.DUMMYFUNCTION("""COMPUTED_VALUE"""),-0.4726903137472)</f>
        <v>-0.4726903137472</v>
      </c>
      <c r="IA53" s="3">
        <f ca="1">IFERROR(__xludf.DUMMYFUNCTION("""COMPUTED_VALUE"""),-0.529967300353457)</f>
        <v>-0.52996730035345696</v>
      </c>
      <c r="IB53" s="3">
        <f ca="1">IFERROR(__xludf.DUMMYFUNCTION("""COMPUTED_VALUE"""),-0.590658412979066)</f>
        <v>-0.59065841297906596</v>
      </c>
      <c r="IC53" s="3">
        <f ca="1">IFERROR(__xludf.DUMMYFUNCTION("""COMPUTED_VALUE"""),-0.594830667509462)</f>
        <v>-0.59483066750946201</v>
      </c>
      <c r="ID53" s="3">
        <f ca="1">IFERROR(__xludf.DUMMYFUNCTION("""COMPUTED_VALUE"""),-0.525273953824819)</f>
        <v>-0.52527395382481901</v>
      </c>
      <c r="IE53" s="3">
        <f ca="1">IFERROR(__xludf.DUMMYFUNCTION("""COMPUTED_VALUE"""),-0.599644781218863)</f>
        <v>-0.599644781218863</v>
      </c>
      <c r="IF53" s="3">
        <f ca="1">IFERROR(__xludf.DUMMYFUNCTION("""COMPUTED_VALUE"""),-0.580799808681621)</f>
        <v>-0.58079980868162095</v>
      </c>
      <c r="IG53" s="3">
        <f ca="1">IFERROR(__xludf.DUMMYFUNCTION("""COMPUTED_VALUE"""),-0.557178144806945)</f>
        <v>-0.55717814480694505</v>
      </c>
      <c r="IH53" s="3">
        <f ca="1">IFERROR(__xludf.DUMMYFUNCTION("""COMPUTED_VALUE"""),-0.529636785477603)</f>
        <v>-0.52963678547760296</v>
      </c>
      <c r="II53" s="3">
        <f ca="1">IFERROR(__xludf.DUMMYFUNCTION("""COMPUTED_VALUE"""),-0.583849843675872)</f>
        <v>-0.583849843675872</v>
      </c>
      <c r="IJ53" s="3">
        <f ca="1">IFERROR(__xludf.DUMMYFUNCTION("""COMPUTED_VALUE"""),-0.566503968130318)</f>
        <v>-0.566503968130318</v>
      </c>
      <c r="IK53" s="3">
        <f ca="1">IFERROR(__xludf.DUMMYFUNCTION("""COMPUTED_VALUE"""),-0.564361287882589)</f>
        <v>-0.56436128788258899</v>
      </c>
      <c r="IL53" s="3">
        <f ca="1">IFERROR(__xludf.DUMMYFUNCTION("""COMPUTED_VALUE"""),-0.585713849136609)</f>
        <v>-0.58571384913660895</v>
      </c>
      <c r="IM53" s="3">
        <f ca="1">IFERROR(__xludf.DUMMYFUNCTION("""COMPUTED_VALUE"""),-0.539480429702679)</f>
        <v>-0.53948042970267895</v>
      </c>
      <c r="IN53" s="3">
        <f ca="1">IFERROR(__xludf.DUMMYFUNCTION("""COMPUTED_VALUE"""),-0.528533534145927)</f>
        <v>-0.52853353414592696</v>
      </c>
      <c r="IO53" s="3">
        <f ca="1">IFERROR(__xludf.DUMMYFUNCTION("""COMPUTED_VALUE"""),-0.517454859741551)</f>
        <v>-0.51745485974155103</v>
      </c>
      <c r="IP53" s="3">
        <f ca="1">IFERROR(__xludf.DUMMYFUNCTION("""COMPUTED_VALUE"""),-0.610735432685494)</f>
        <v>-0.61073543268549402</v>
      </c>
      <c r="IQ53" s="3">
        <f ca="1">IFERROR(__xludf.DUMMYFUNCTION("""COMPUTED_VALUE"""),-0.589397750319713)</f>
        <v>-0.58939775031971298</v>
      </c>
      <c r="IR53" s="3">
        <f ca="1">IFERROR(__xludf.DUMMYFUNCTION("""COMPUTED_VALUE"""),-0.592994793576555)</f>
        <v>-0.59299479357655505</v>
      </c>
      <c r="IS53" s="3">
        <f ca="1">IFERROR(__xludf.DUMMYFUNCTION("""COMPUTED_VALUE"""),-0.600506307090278)</f>
        <v>-0.60050630709027797</v>
      </c>
      <c r="IT53" s="3">
        <f ca="1">IFERROR(__xludf.DUMMYFUNCTION("""COMPUTED_VALUE"""),-0.581736806430371)</f>
        <v>-0.58173680643037096</v>
      </c>
      <c r="IU53" s="3">
        <f ca="1">IFERROR(__xludf.DUMMYFUNCTION("""COMPUTED_VALUE"""),-0.573632243802331)</f>
        <v>-0.57363224380233102</v>
      </c>
      <c r="IV53" s="3">
        <f ca="1">IFERROR(__xludf.DUMMYFUNCTION("""COMPUTED_VALUE"""),-0.566541261261913)</f>
        <v>-0.56654126126191295</v>
      </c>
      <c r="IW53" s="3">
        <f ca="1">IFERROR(__xludf.DUMMYFUNCTION("""COMPUTED_VALUE"""),-0.607578671853494)</f>
        <v>-0.60757867185349401</v>
      </c>
      <c r="IX53" s="3">
        <f ca="1">IFERROR(__xludf.DUMMYFUNCTION("""COMPUTED_VALUE"""),-0.604657702974036)</f>
        <v>-0.60465770297403598</v>
      </c>
      <c r="IY53" s="3">
        <f ca="1">IFERROR(__xludf.DUMMYFUNCTION("""COMPUTED_VALUE"""),-0.664444146370804)</f>
        <v>-0.66444414637080396</v>
      </c>
      <c r="IZ53" s="3">
        <f ca="1">IFERROR(__xludf.DUMMYFUNCTION("""COMPUTED_VALUE"""),-0.578120963818148)</f>
        <v>-0.57812096381814804</v>
      </c>
      <c r="JA53" s="3">
        <f ca="1">IFERROR(__xludf.DUMMYFUNCTION("""COMPUTED_VALUE"""),-0.601125786733394)</f>
        <v>-0.60112578673339401</v>
      </c>
      <c r="JB53" s="3">
        <f ca="1">IFERROR(__xludf.DUMMYFUNCTION("""COMPUTED_VALUE"""),-0.571736685464804)</f>
        <v>-0.57173668546480405</v>
      </c>
      <c r="JC53" s="3">
        <f ca="1">IFERROR(__xludf.DUMMYFUNCTION("""COMPUTED_VALUE"""),-0.518414662362791)</f>
        <v>-0.51841466236279099</v>
      </c>
      <c r="JD53" s="3">
        <f ca="1">IFERROR(__xludf.DUMMYFUNCTION("""COMPUTED_VALUE"""),-0.563515487532134)</f>
        <v>-0.56351548753213399</v>
      </c>
      <c r="JE53" s="3">
        <f ca="1">IFERROR(__xludf.DUMMYFUNCTION("""COMPUTED_VALUE"""),-0.554208191390801)</f>
        <v>-0.55420819139080102</v>
      </c>
      <c r="JF53" s="3">
        <f ca="1">IFERROR(__xludf.DUMMYFUNCTION("""COMPUTED_VALUE"""),-0.634028859314411)</f>
        <v>-0.634028859314411</v>
      </c>
      <c r="JG53" s="3">
        <f ca="1">IFERROR(__xludf.DUMMYFUNCTION("""COMPUTED_VALUE"""),-0.599250317633491)</f>
        <v>-0.59925031763349101</v>
      </c>
      <c r="JH53" s="3">
        <f ca="1">IFERROR(__xludf.DUMMYFUNCTION("""COMPUTED_VALUE"""),-0.554657701893604)</f>
        <v>-0.55465770189360397</v>
      </c>
      <c r="JI53" s="3">
        <f ca="1">IFERROR(__xludf.DUMMYFUNCTION("""COMPUTED_VALUE"""),-0.562200150057935)</f>
        <v>-0.562200150057935</v>
      </c>
      <c r="JJ53" s="3">
        <f ca="1">IFERROR(__xludf.DUMMYFUNCTION("""COMPUTED_VALUE"""),-0.489204309210353)</f>
        <v>-0.48920430921035302</v>
      </c>
      <c r="JK53" s="3">
        <f ca="1">IFERROR(__xludf.DUMMYFUNCTION("""COMPUTED_VALUE"""),-0.565548776158336)</f>
        <v>-0.56554877615833599</v>
      </c>
      <c r="JL53" s="3">
        <f ca="1">IFERROR(__xludf.DUMMYFUNCTION("""COMPUTED_VALUE"""),-0.557044443798696)</f>
        <v>-0.557044443798696</v>
      </c>
      <c r="JM53" s="3">
        <f ca="1">IFERROR(__xludf.DUMMYFUNCTION("""COMPUTED_VALUE"""),-0.573520273954742)</f>
        <v>-0.57352027395474203</v>
      </c>
      <c r="JN53" s="3">
        <f ca="1">IFERROR(__xludf.DUMMYFUNCTION("""COMPUTED_VALUE"""),-0.553460762512101)</f>
        <v>-0.55346076251210097</v>
      </c>
      <c r="JO53" s="3">
        <f ca="1">IFERROR(__xludf.DUMMYFUNCTION("""COMPUTED_VALUE"""),-0.526398810200826)</f>
        <v>-0.52639881020082602</v>
      </c>
      <c r="JP53" s="3">
        <f ca="1">IFERROR(__xludf.DUMMYFUNCTION("""COMPUTED_VALUE"""),-0.56835594157594)</f>
        <v>-0.56835594157594005</v>
      </c>
      <c r="JQ53" s="3">
        <f ca="1">IFERROR(__xludf.DUMMYFUNCTION("""COMPUTED_VALUE"""),-0.522210912011323)</f>
        <v>-0.52221091201132297</v>
      </c>
      <c r="JR53" s="3">
        <f ca="1">IFERROR(__xludf.DUMMYFUNCTION("""COMPUTED_VALUE"""),-0.577873003648587)</f>
        <v>-0.57787300364858696</v>
      </c>
      <c r="JS53" s="3">
        <f ca="1">IFERROR(__xludf.DUMMYFUNCTION("""COMPUTED_VALUE"""),-0.549713311995229)</f>
        <v>-0.54971331199522899</v>
      </c>
      <c r="JT53" s="3">
        <f ca="1">IFERROR(__xludf.DUMMYFUNCTION("""COMPUTED_VALUE"""),-0.524840709182502)</f>
        <v>-0.52484070918250203</v>
      </c>
      <c r="JU53" s="3">
        <f ca="1">IFERROR(__xludf.DUMMYFUNCTION("""COMPUTED_VALUE"""),-0.573706656445812)</f>
        <v>-0.57370665644581198</v>
      </c>
      <c r="JV53" s="3">
        <f ca="1">IFERROR(__xludf.DUMMYFUNCTION("""COMPUTED_VALUE"""),-0.55941659991108)</f>
        <v>-0.55941659991107995</v>
      </c>
      <c r="JW53" s="3">
        <f ca="1">IFERROR(__xludf.DUMMYFUNCTION("""COMPUTED_VALUE"""),-0.572740835791566)</f>
        <v>-0.57274083579156598</v>
      </c>
      <c r="JX53" s="3">
        <f ca="1">IFERROR(__xludf.DUMMYFUNCTION("""COMPUTED_VALUE"""),-0.557835843033889)</f>
        <v>-0.557835843033889</v>
      </c>
      <c r="JY53" s="3">
        <f ca="1">IFERROR(__xludf.DUMMYFUNCTION("""COMPUTED_VALUE"""),-0.602277632815749)</f>
        <v>-0.60227763281574898</v>
      </c>
      <c r="JZ53" s="3">
        <f ca="1">IFERROR(__xludf.DUMMYFUNCTION("""COMPUTED_VALUE"""),-0.587318953755788)</f>
        <v>-0.58731895375578802</v>
      </c>
      <c r="KA53" s="3">
        <f ca="1">IFERROR(__xludf.DUMMYFUNCTION("""COMPUTED_VALUE"""),-0.525621745605637)</f>
        <v>-0.52562174560563701</v>
      </c>
      <c r="KB53" s="3">
        <f ca="1">IFERROR(__xludf.DUMMYFUNCTION("""COMPUTED_VALUE"""),-0.574738891564322)</f>
        <v>-0.57473889156432201</v>
      </c>
      <c r="KC53" s="3">
        <f ca="1">IFERROR(__xludf.DUMMYFUNCTION("""COMPUTED_VALUE"""),-0.592813730531207)</f>
        <v>-0.59281373053120701</v>
      </c>
      <c r="KD53" s="3">
        <f ca="1">IFERROR(__xludf.DUMMYFUNCTION("""COMPUTED_VALUE"""),-0.577156376506991)</f>
        <v>-0.57715637650699103</v>
      </c>
      <c r="KE53" s="3">
        <f ca="1">IFERROR(__xludf.DUMMYFUNCTION("""COMPUTED_VALUE"""),-0.539681593498407)</f>
        <v>-0.53968159349840705</v>
      </c>
      <c r="KF53" s="3">
        <f ca="1">IFERROR(__xludf.DUMMYFUNCTION("""COMPUTED_VALUE"""),-0.592459200789968)</f>
        <v>-0.59245920078996805</v>
      </c>
      <c r="KG53" s="3">
        <f ca="1">IFERROR(__xludf.DUMMYFUNCTION("""COMPUTED_VALUE"""),-0.576357095837562)</f>
        <v>-0.57635709583756201</v>
      </c>
      <c r="KH53" s="3">
        <f ca="1">IFERROR(__xludf.DUMMYFUNCTION("""COMPUTED_VALUE"""),-0.51219150102854)</f>
        <v>-0.51219150102854005</v>
      </c>
      <c r="KI53" s="3">
        <f ca="1">IFERROR(__xludf.DUMMYFUNCTION("""COMPUTED_VALUE"""),-0.535268975572827)</f>
        <v>-0.53526897557282704</v>
      </c>
      <c r="KJ53" s="3">
        <f ca="1">IFERROR(__xludf.DUMMYFUNCTION("""COMPUTED_VALUE"""),-0.558185602686143)</f>
        <v>-0.55818560268614303</v>
      </c>
      <c r="KK53" s="3">
        <f ca="1">IFERROR(__xludf.DUMMYFUNCTION("""COMPUTED_VALUE"""),-0.573427575539018)</f>
        <v>-0.57342757553901802</v>
      </c>
      <c r="KL53" s="3">
        <f ca="1">IFERROR(__xludf.DUMMYFUNCTION("""COMPUTED_VALUE"""),-0.515759321120875)</f>
        <v>-0.51575932112087497</v>
      </c>
      <c r="KM53" s="3">
        <f ca="1">IFERROR(__xludf.DUMMYFUNCTION("""COMPUTED_VALUE"""),-0.518910951799716)</f>
        <v>-0.51891095179971602</v>
      </c>
      <c r="KN53" s="3">
        <f ca="1">IFERROR(__xludf.DUMMYFUNCTION("""COMPUTED_VALUE"""),-0.606866338342413)</f>
        <v>-0.60686633834241299</v>
      </c>
      <c r="KO53" s="3">
        <f ca="1">IFERROR(__xludf.DUMMYFUNCTION("""COMPUTED_VALUE"""),-0.571401805429113)</f>
        <v>-0.57140180542911301</v>
      </c>
      <c r="KP53" s="3">
        <f ca="1">IFERROR(__xludf.DUMMYFUNCTION("""COMPUTED_VALUE"""),-0.520212031986178)</f>
        <v>-0.52021203198617805</v>
      </c>
      <c r="KQ53" s="3">
        <f ca="1">IFERROR(__xludf.DUMMYFUNCTION("""COMPUTED_VALUE"""),-0.608628336169953)</f>
        <v>-0.60862833616995304</v>
      </c>
      <c r="KR53" s="3">
        <f ca="1">IFERROR(__xludf.DUMMYFUNCTION("""COMPUTED_VALUE"""),-0.505502654747785)</f>
        <v>-0.505502654747785</v>
      </c>
      <c r="KS53" s="3">
        <f ca="1">IFERROR(__xludf.DUMMYFUNCTION("""COMPUTED_VALUE"""),-0.535980986657332)</f>
        <v>-0.53598098665733196</v>
      </c>
      <c r="KT53" s="3">
        <f ca="1">IFERROR(__xludf.DUMMYFUNCTION("""COMPUTED_VALUE"""),-0.562923546585323)</f>
        <v>-0.56292354658532295</v>
      </c>
      <c r="KU53" s="3">
        <f ca="1">IFERROR(__xludf.DUMMYFUNCTION("""COMPUTED_VALUE"""),-0.569266433452722)</f>
        <v>-0.56926643345272199</v>
      </c>
      <c r="KV53" s="3">
        <f ca="1">IFERROR(__xludf.DUMMYFUNCTION("""COMPUTED_VALUE"""),-0.58738654920146)</f>
        <v>-0.58738654920146005</v>
      </c>
      <c r="KW53" s="3">
        <f ca="1">IFERROR(__xludf.DUMMYFUNCTION("""COMPUTED_VALUE"""),-0.58633159144576)</f>
        <v>-0.58633159144575997</v>
      </c>
      <c r="KX53" s="3">
        <f ca="1">IFERROR(__xludf.DUMMYFUNCTION("""COMPUTED_VALUE"""),-0.623888924294842)</f>
        <v>-0.623888924294842</v>
      </c>
      <c r="KY53" s="3">
        <f ca="1">IFERROR(__xludf.DUMMYFUNCTION("""COMPUTED_VALUE"""),-0.563886917982388)</f>
        <v>-0.56388691798238799</v>
      </c>
      <c r="KZ53" s="3">
        <f ca="1">IFERROR(__xludf.DUMMYFUNCTION("""COMPUTED_VALUE"""),-0.511225164228509)</f>
        <v>-0.51122516422850905</v>
      </c>
      <c r="LA53" s="3">
        <f ca="1">IFERROR(__xludf.DUMMYFUNCTION("""COMPUTED_VALUE"""),-0.592926930854666)</f>
        <v>-0.59292693085466597</v>
      </c>
      <c r="LB53" s="3">
        <f ca="1">IFERROR(__xludf.DUMMYFUNCTION("""COMPUTED_VALUE"""),-0.5898922376536)</f>
        <v>-0.58989223765359999</v>
      </c>
      <c r="LC53" s="3">
        <f ca="1">IFERROR(__xludf.DUMMYFUNCTION("""COMPUTED_VALUE"""),-0.629916024237422)</f>
        <v>-0.62991602423742199</v>
      </c>
      <c r="LD53" s="3">
        <f ca="1">IFERROR(__xludf.DUMMYFUNCTION("""COMPUTED_VALUE"""),-0.608896412385839)</f>
        <v>-0.60889641238583903</v>
      </c>
      <c r="LE53" s="3">
        <f ca="1">IFERROR(__xludf.DUMMYFUNCTION("""COMPUTED_VALUE"""),-0.651129506615875)</f>
        <v>-0.65112950661587499</v>
      </c>
      <c r="LF53" s="3">
        <f ca="1">IFERROR(__xludf.DUMMYFUNCTION("""COMPUTED_VALUE"""),-0.551687744277909)</f>
        <v>-0.55168774427790901</v>
      </c>
      <c r="LG53" s="3">
        <f ca="1">IFERROR(__xludf.DUMMYFUNCTION("""COMPUTED_VALUE"""),-0.554788114141046)</f>
        <v>-0.55478811414104601</v>
      </c>
      <c r="LH53" s="3">
        <f ca="1">IFERROR(__xludf.DUMMYFUNCTION("""COMPUTED_VALUE"""),-0.556033920473314)</f>
        <v>-0.55603392047331401</v>
      </c>
      <c r="LI53" s="3">
        <f ca="1">IFERROR(__xludf.DUMMYFUNCTION("""COMPUTED_VALUE"""),-0.638825131670847)</f>
        <v>-0.63882513167084698</v>
      </c>
      <c r="LJ53" s="3">
        <f ca="1">IFERROR(__xludf.DUMMYFUNCTION("""COMPUTED_VALUE"""),-0.564543125257979)</f>
        <v>-0.56454312525797901</v>
      </c>
      <c r="LK53" s="3">
        <f ca="1">IFERROR(__xludf.DUMMYFUNCTION("""COMPUTED_VALUE"""),-0.62014744271729)</f>
        <v>-0.62014744271729005</v>
      </c>
      <c r="LL53" s="3">
        <f ca="1">IFERROR(__xludf.DUMMYFUNCTION("""COMPUTED_VALUE"""),-0.631250032238205)</f>
        <v>-0.63125003223820497</v>
      </c>
      <c r="LM53" s="3">
        <f ca="1">IFERROR(__xludf.DUMMYFUNCTION("""COMPUTED_VALUE"""),-0.629388160176558)</f>
        <v>-0.62938816017655796</v>
      </c>
      <c r="LN53" s="3">
        <f ca="1">IFERROR(__xludf.DUMMYFUNCTION("""COMPUTED_VALUE"""),-0.554656001550986)</f>
        <v>-0.55465600155098604</v>
      </c>
      <c r="LO53" s="3">
        <f ca="1">IFERROR(__xludf.DUMMYFUNCTION("""COMPUTED_VALUE"""),-0.622045241162294)</f>
        <v>-0.62204524116229398</v>
      </c>
      <c r="LP53" s="3">
        <f ca="1">IFERROR(__xludf.DUMMYFUNCTION("""COMPUTED_VALUE"""),-0.626393862676891)</f>
        <v>-0.62639386267689101</v>
      </c>
      <c r="LQ53" s="3">
        <f ca="1">IFERROR(__xludf.DUMMYFUNCTION("""COMPUTED_VALUE"""),-0.637250706471775)</f>
        <v>-0.63725070647177495</v>
      </c>
      <c r="LR53" s="3">
        <f ca="1">IFERROR(__xludf.DUMMYFUNCTION("""COMPUTED_VALUE"""),-0.610255684223207)</f>
        <v>-0.61025568422320697</v>
      </c>
      <c r="LS53" s="3">
        <f ca="1">IFERROR(__xludf.DUMMYFUNCTION("""COMPUTED_VALUE"""),-0.676139158047902)</f>
        <v>-0.67613915804790203</v>
      </c>
      <c r="LT53" s="3">
        <f ca="1">IFERROR(__xludf.DUMMYFUNCTION("""COMPUTED_VALUE"""),-0.64535193367928)</f>
        <v>-0.64535193367928001</v>
      </c>
      <c r="LU53" s="3">
        <f ca="1">IFERROR(__xludf.DUMMYFUNCTION("""COMPUTED_VALUE"""),-0.56518011425961)</f>
        <v>-0.56518011425961001</v>
      </c>
      <c r="LV53" s="3">
        <f ca="1">IFERROR(__xludf.DUMMYFUNCTION("""COMPUTED_VALUE"""),-0.704657294885249)</f>
        <v>-0.70465729488524897</v>
      </c>
      <c r="LW53" s="3">
        <f ca="1">IFERROR(__xludf.DUMMYFUNCTION("""COMPUTED_VALUE"""),-0.706160180526772)</f>
        <v>-0.70616018052677199</v>
      </c>
      <c r="LX53" s="3">
        <f ca="1">IFERROR(__xludf.DUMMYFUNCTION("""COMPUTED_VALUE"""),-0.67179823023594)</f>
        <v>-0.67179823023593999</v>
      </c>
      <c r="LY53" s="3">
        <f ca="1">IFERROR(__xludf.DUMMYFUNCTION("""COMPUTED_VALUE"""),-0.714129198022239)</f>
        <v>-0.71412919802223895</v>
      </c>
      <c r="LZ53" s="3">
        <f ca="1">IFERROR(__xludf.DUMMYFUNCTION("""COMPUTED_VALUE"""),-0.696374999799341)</f>
        <v>-0.69637499979934103</v>
      </c>
      <c r="MA53" s="3">
        <f ca="1">IFERROR(__xludf.DUMMYFUNCTION("""COMPUTED_VALUE"""),-0.665129516283448)</f>
        <v>-0.66512951628344796</v>
      </c>
      <c r="MB53" s="3">
        <f ca="1">IFERROR(__xludf.DUMMYFUNCTION("""COMPUTED_VALUE"""),-0.609646504105164)</f>
        <v>-0.60964650410516397</v>
      </c>
      <c r="MC53" s="3">
        <f ca="1">IFERROR(__xludf.DUMMYFUNCTION("""COMPUTED_VALUE"""),-0.653976301412502)</f>
        <v>-0.65397630141250196</v>
      </c>
      <c r="MD53" s="3">
        <f ca="1">IFERROR(__xludf.DUMMYFUNCTION("""COMPUTED_VALUE"""),-0.699384091038414)</f>
        <v>-0.69938409103841404</v>
      </c>
      <c r="ME53" s="3">
        <f ca="1">IFERROR(__xludf.DUMMYFUNCTION("""COMPUTED_VALUE"""),-0.677717491566297)</f>
        <v>-0.67771749156629701</v>
      </c>
      <c r="MF53" s="3">
        <f ca="1">IFERROR(__xludf.DUMMYFUNCTION("""COMPUTED_VALUE"""),-0.664463515057448)</f>
        <v>-0.66446351505744805</v>
      </c>
      <c r="MG53" s="3">
        <f ca="1">IFERROR(__xludf.DUMMYFUNCTION("""COMPUTED_VALUE"""),-0.713565576559311)</f>
        <v>-0.71356557655931097</v>
      </c>
      <c r="MH53" s="3">
        <f ca="1">IFERROR(__xludf.DUMMYFUNCTION("""COMPUTED_VALUE"""),-0.653797447149518)</f>
        <v>-0.65379744714951804</v>
      </c>
      <c r="MI53" s="3">
        <f ca="1">IFERROR(__xludf.DUMMYFUNCTION("""COMPUTED_VALUE"""),-0.660148549728298)</f>
        <v>-0.66014854972829795</v>
      </c>
      <c r="MJ53" s="3">
        <f ca="1">IFERROR(__xludf.DUMMYFUNCTION("""COMPUTED_VALUE"""),-0.651482424745096)</f>
        <v>-0.65148242474509599</v>
      </c>
      <c r="MK53" s="3">
        <f ca="1">IFERROR(__xludf.DUMMYFUNCTION("""COMPUTED_VALUE"""),-0.646884245064098)</f>
        <v>-0.64688424506409803</v>
      </c>
      <c r="ML53" s="3">
        <f ca="1">IFERROR(__xludf.DUMMYFUNCTION("""COMPUTED_VALUE"""),-0.710752398196589)</f>
        <v>-0.71075239819658897</v>
      </c>
      <c r="MM53" s="3">
        <f ca="1">IFERROR(__xludf.DUMMYFUNCTION("""COMPUTED_VALUE"""),-0.7306082975404)</f>
        <v>-0.73060829754040002</v>
      </c>
      <c r="MN53" s="3">
        <f ca="1">IFERROR(__xludf.DUMMYFUNCTION("""COMPUTED_VALUE"""),-0.678029222258833)</f>
        <v>-0.678029222258833</v>
      </c>
      <c r="MO53" s="3">
        <f ca="1">IFERROR(__xludf.DUMMYFUNCTION("""COMPUTED_VALUE"""),-0.718136631406611)</f>
        <v>-0.71813663140661099</v>
      </c>
      <c r="MP53" s="3">
        <f ca="1">IFERROR(__xludf.DUMMYFUNCTION("""COMPUTED_VALUE"""),-0.721984670818675)</f>
        <v>-0.72198467081867501</v>
      </c>
      <c r="MQ53" s="3">
        <f ca="1">IFERROR(__xludf.DUMMYFUNCTION("""COMPUTED_VALUE"""),-0.697479775419652)</f>
        <v>-0.697479775419652</v>
      </c>
      <c r="MR53" s="3">
        <f ca="1">IFERROR(__xludf.DUMMYFUNCTION("""COMPUTED_VALUE"""),-0.682525462329728)</f>
        <v>-0.68252546232972799</v>
      </c>
      <c r="MS53" s="3">
        <f ca="1">IFERROR(__xludf.DUMMYFUNCTION("""COMPUTED_VALUE"""),-0.744043810203548)</f>
        <v>-0.74404381020354804</v>
      </c>
      <c r="MT53" s="3">
        <f ca="1">IFERROR(__xludf.DUMMYFUNCTION("""COMPUTED_VALUE"""),-0.670089530475286)</f>
        <v>-0.67008953047528597</v>
      </c>
      <c r="MU53" s="3">
        <f ca="1">IFERROR(__xludf.DUMMYFUNCTION("""COMPUTED_VALUE"""),-0.68110916838173)</f>
        <v>-0.68110916838172997</v>
      </c>
      <c r="MV53" s="3">
        <f ca="1">IFERROR(__xludf.DUMMYFUNCTION("""COMPUTED_VALUE"""),-0.672414255271519)</f>
        <v>-0.67241425527151899</v>
      </c>
      <c r="MW53" s="3">
        <f ca="1">IFERROR(__xludf.DUMMYFUNCTION("""COMPUTED_VALUE"""),-0.648858218690077)</f>
        <v>-0.64885821869007698</v>
      </c>
      <c r="MX53" s="3">
        <f ca="1">IFERROR(__xludf.DUMMYFUNCTION("""COMPUTED_VALUE"""),-0.646700440974251)</f>
        <v>-0.64670044097425095</v>
      </c>
      <c r="MY53" s="3">
        <f ca="1">IFERROR(__xludf.DUMMYFUNCTION("""COMPUTED_VALUE"""),-0.730671228539611)</f>
        <v>-0.73067122853961097</v>
      </c>
      <c r="MZ53" s="3">
        <f ca="1">IFERROR(__xludf.DUMMYFUNCTION("""COMPUTED_VALUE"""),-0.695378257520022)</f>
        <v>-0.69537825752002203</v>
      </c>
      <c r="NA53" s="3">
        <f ca="1">IFERROR(__xludf.DUMMYFUNCTION("""COMPUTED_VALUE"""),-0.712539931178045)</f>
        <v>-0.71253993117804504</v>
      </c>
      <c r="NB53" s="3">
        <f ca="1">IFERROR(__xludf.DUMMYFUNCTION("""COMPUTED_VALUE"""),-0.74784252026899)</f>
        <v>-0.74784252026899001</v>
      </c>
      <c r="NC53" s="3">
        <f ca="1">IFERROR(__xludf.DUMMYFUNCTION("""COMPUTED_VALUE"""),-0.723402543890181)</f>
        <v>-0.72340254389018099</v>
      </c>
      <c r="ND53" s="3">
        <f ca="1">IFERROR(__xludf.DUMMYFUNCTION("""COMPUTED_VALUE"""),-0.670418416641753)</f>
        <v>-0.67041841664175295</v>
      </c>
      <c r="NE53" s="3">
        <f ca="1">IFERROR(__xludf.DUMMYFUNCTION("""COMPUTED_VALUE"""),-0.662590998545358)</f>
        <v>-0.66259099854535797</v>
      </c>
      <c r="NF53" s="3">
        <f ca="1">IFERROR(__xludf.DUMMYFUNCTION("""COMPUTED_VALUE"""),-0.638439387272256)</f>
        <v>-0.63843938727225602</v>
      </c>
      <c r="NG53" s="3">
        <f ca="1">IFERROR(__xludf.DUMMYFUNCTION("""COMPUTED_VALUE"""),-0.668349890547677)</f>
        <v>-0.66834989054767702</v>
      </c>
      <c r="NH53" s="3">
        <f ca="1">IFERROR(__xludf.DUMMYFUNCTION("""COMPUTED_VALUE"""),-0.668436004895544)</f>
        <v>-0.668436004895544</v>
      </c>
      <c r="NI53" s="3">
        <f ca="1">IFERROR(__xludf.DUMMYFUNCTION("""COMPUTED_VALUE"""),-0.674091659132175)</f>
        <v>-0.67409165913217495</v>
      </c>
      <c r="NJ53" s="3">
        <f ca="1">IFERROR(__xludf.DUMMYFUNCTION("""COMPUTED_VALUE"""),-0.624474405212989)</f>
        <v>-0.62447440521298903</v>
      </c>
      <c r="NK53" s="3">
        <f ca="1">IFERROR(__xludf.DUMMYFUNCTION("""COMPUTED_VALUE"""),-0.410546702118564)</f>
        <v>-0.41054670211856398</v>
      </c>
      <c r="NL53" s="3">
        <f ca="1">IFERROR(__xludf.DUMMYFUNCTION("""COMPUTED_VALUE"""),-0.597973420587443)</f>
        <v>-0.59797342058744296</v>
      </c>
      <c r="NM53" s="3">
        <f ca="1">IFERROR(__xludf.DUMMYFUNCTION("""COMPUTED_VALUE"""),-0.595075797652247)</f>
        <v>-0.59507579765224705</v>
      </c>
      <c r="NN53" s="3">
        <f ca="1">IFERROR(__xludf.DUMMYFUNCTION("""COMPUTED_VALUE"""),-0.665329713054763)</f>
        <v>-0.66532971305476296</v>
      </c>
      <c r="NO53" s="3">
        <f ca="1">IFERROR(__xludf.DUMMYFUNCTION("""COMPUTED_VALUE"""),-0.667042412364223)</f>
        <v>-0.66704241236422301</v>
      </c>
      <c r="NP53" s="3">
        <f ca="1">IFERROR(__xludf.DUMMYFUNCTION("""COMPUTED_VALUE"""),-0.63377486040355)</f>
        <v>-0.63377486040355002</v>
      </c>
      <c r="NQ53" s="3">
        <f ca="1">IFERROR(__xludf.DUMMYFUNCTION("""COMPUTED_VALUE"""),-0.637224299027939)</f>
        <v>-0.63722429902793898</v>
      </c>
      <c r="NR53" s="3">
        <f ca="1">IFERROR(__xludf.DUMMYFUNCTION("""COMPUTED_VALUE"""),-0.534428542964899)</f>
        <v>-0.53442854296489894</v>
      </c>
      <c r="NS53" s="3">
        <f ca="1">IFERROR(__xludf.DUMMYFUNCTION("""COMPUTED_VALUE"""),-0.569804107093996)</f>
        <v>-0.56980410709399598</v>
      </c>
      <c r="NT53" s="3">
        <f ca="1">IFERROR(__xludf.DUMMYFUNCTION("""COMPUTED_VALUE"""),-0.660118425127598)</f>
        <v>-0.660118425127598</v>
      </c>
      <c r="NU53" s="3">
        <f ca="1">IFERROR(__xludf.DUMMYFUNCTION("""COMPUTED_VALUE"""),-0.642867053252304)</f>
        <v>-0.64286705325230398</v>
      </c>
      <c r="NV53" s="3">
        <f ca="1">IFERROR(__xludf.DUMMYFUNCTION("""COMPUTED_VALUE"""),-0.58407944060542)</f>
        <v>-0.58407944060542005</v>
      </c>
      <c r="NW53" s="3">
        <f ca="1">IFERROR(__xludf.DUMMYFUNCTION("""COMPUTED_VALUE"""),-0.553361606718653)</f>
        <v>-0.55336160671865298</v>
      </c>
      <c r="NX53" s="3">
        <f ca="1">IFERROR(__xludf.DUMMYFUNCTION("""COMPUTED_VALUE"""),-0.486986508046872)</f>
        <v>-0.48698650804687199</v>
      </c>
      <c r="NY53" s="3">
        <f ca="1">IFERROR(__xludf.DUMMYFUNCTION("""COMPUTED_VALUE"""),-0.450802880855565)</f>
        <v>-0.45080288085556502</v>
      </c>
      <c r="NZ53" s="3">
        <f ca="1">IFERROR(__xludf.DUMMYFUNCTION("""COMPUTED_VALUE"""),-0.509972995206785)</f>
        <v>-0.50997299520678496</v>
      </c>
      <c r="OA53" s="3">
        <f ca="1">IFERROR(__xludf.DUMMYFUNCTION("""COMPUTED_VALUE"""),-0.349029473082475)</f>
        <v>-0.34902947308247501</v>
      </c>
      <c r="OB53" s="3">
        <f ca="1">IFERROR(__xludf.DUMMYFUNCTION("""COMPUTED_VALUE"""),-0.487887728228947)</f>
        <v>-0.48788772822894699</v>
      </c>
      <c r="OC53" s="3">
        <f ca="1">IFERROR(__xludf.DUMMYFUNCTION("""COMPUTED_VALUE"""),-0.462530180696963)</f>
        <v>-0.462530180696963</v>
      </c>
      <c r="OD53" s="3">
        <f ca="1">IFERROR(__xludf.DUMMYFUNCTION("""COMPUTED_VALUE"""),-0.351203986703285)</f>
        <v>-0.35120398670328501</v>
      </c>
      <c r="OE53" s="3">
        <f ca="1">IFERROR(__xludf.DUMMYFUNCTION("""COMPUTED_VALUE"""),-0.315799645158)</f>
        <v>-0.31579964515800002</v>
      </c>
      <c r="OF53" s="3">
        <f ca="1">IFERROR(__xludf.DUMMYFUNCTION("""COMPUTED_VALUE"""),-0.232496943725115)</f>
        <v>-0.23249694372511501</v>
      </c>
      <c r="OG53" s="3">
        <f ca="1">IFERROR(__xludf.DUMMYFUNCTION("""COMPUTED_VALUE"""),-0.329688170957854)</f>
        <v>-0.32968817095785402</v>
      </c>
      <c r="OH53" s="3">
        <f ca="1">IFERROR(__xludf.DUMMYFUNCTION("""COMPUTED_VALUE"""),-0.119490624298569)</f>
        <v>-0.11949062429856901</v>
      </c>
      <c r="OI53" s="3">
        <f ca="1">IFERROR(__xludf.DUMMYFUNCTION("""COMPUTED_VALUE"""),-0.0863580528313925)</f>
        <v>-8.6358052831392501E-2</v>
      </c>
      <c r="OJ53" s="3">
        <f ca="1">IFERROR(__xludf.DUMMYFUNCTION("""COMPUTED_VALUE"""),0.023749790952422)</f>
        <v>2.3749790952421999E-2</v>
      </c>
      <c r="OK53" s="3">
        <f ca="1">IFERROR(__xludf.DUMMYFUNCTION("""COMPUTED_VALUE"""),-0.039069996171383)</f>
        <v>-3.9069996171383001E-2</v>
      </c>
      <c r="OL53" s="3">
        <f ca="1">IFERROR(__xludf.DUMMYFUNCTION("""COMPUTED_VALUE"""),-0.0597500879646665)</f>
        <v>-5.97500879646665E-2</v>
      </c>
      <c r="OM53" s="3">
        <f ca="1">IFERROR(__xludf.DUMMYFUNCTION("""COMPUTED_VALUE"""),-0.0593746793906919)</f>
        <v>-5.9374679390691902E-2</v>
      </c>
      <c r="ON53" s="3">
        <f ca="1">IFERROR(__xludf.DUMMYFUNCTION("""COMPUTED_VALUE"""),-0.0438349327426255)</f>
        <v>-4.3834932742625503E-2</v>
      </c>
      <c r="OO53" s="3">
        <f ca="1">IFERROR(__xludf.DUMMYFUNCTION("""COMPUTED_VALUE"""),-0.0454683993725734)</f>
        <v>-4.5468399372573402E-2</v>
      </c>
      <c r="OP53" s="3">
        <f ca="1">IFERROR(__xludf.DUMMYFUNCTION("""COMPUTED_VALUE"""),0.142848414205304)</f>
        <v>0.142848414205304</v>
      </c>
      <c r="OQ53" s="3">
        <f ca="1">IFERROR(__xludf.DUMMYFUNCTION("""COMPUTED_VALUE"""),0.102849646062548)</f>
        <v>0.102849646062548</v>
      </c>
      <c r="OR53" s="3">
        <f ca="1">IFERROR(__xludf.DUMMYFUNCTION("""COMPUTED_VALUE"""),0.0615186216077108)</f>
        <v>6.1518621607710801E-2</v>
      </c>
      <c r="OS53" s="3">
        <f ca="1">IFERROR(__xludf.DUMMYFUNCTION("""COMPUTED_VALUE"""),-0.0227373264840246)</f>
        <v>-2.27373264840246E-2</v>
      </c>
      <c r="OT53" s="3">
        <f ca="1">IFERROR(__xludf.DUMMYFUNCTION("""COMPUTED_VALUE"""),0.0765196426836329)</f>
        <v>7.6519642683632899E-2</v>
      </c>
      <c r="OU53" s="3">
        <f ca="1">IFERROR(__xludf.DUMMYFUNCTION("""COMPUTED_VALUE"""),-0.104746976399235)</f>
        <v>-0.104746976399235</v>
      </c>
      <c r="OV53" s="3">
        <f ca="1">IFERROR(__xludf.DUMMYFUNCTION("""COMPUTED_VALUE"""),0.00701646805175992)</f>
        <v>7.0164680517599198E-3</v>
      </c>
      <c r="OW53" s="3">
        <f ca="1">IFERROR(__xludf.DUMMYFUNCTION("""COMPUTED_VALUE"""),0.0451434512619377)</f>
        <v>4.5143451261937702E-2</v>
      </c>
      <c r="OX53" s="3">
        <f ca="1">IFERROR(__xludf.DUMMYFUNCTION("""COMPUTED_VALUE"""),0.0730681146084171)</f>
        <v>7.3068114608417098E-2</v>
      </c>
      <c r="OY53" s="3">
        <f ca="1">IFERROR(__xludf.DUMMYFUNCTION("""COMPUTED_VALUE"""),0.0764840202229579)</f>
        <v>7.6484020222957902E-2</v>
      </c>
      <c r="OZ53" s="3">
        <f ca="1">IFERROR(__xludf.DUMMYFUNCTION("""COMPUTED_VALUE"""),-0.027437145121648)</f>
        <v>-2.7437145121648E-2</v>
      </c>
      <c r="PA53" s="3">
        <f ca="1">IFERROR(__xludf.DUMMYFUNCTION("""COMPUTED_VALUE"""),0.0480995878434065)</f>
        <v>4.8099587843406497E-2</v>
      </c>
      <c r="PB53" s="3">
        <f ca="1">IFERROR(__xludf.DUMMYFUNCTION("""COMPUTED_VALUE"""),0.0521359173889481)</f>
        <v>5.21359173889481E-2</v>
      </c>
      <c r="PC53" s="3">
        <f ca="1">IFERROR(__xludf.DUMMYFUNCTION("""COMPUTED_VALUE"""),0.0475565972523583)</f>
        <v>4.75565972523583E-2</v>
      </c>
      <c r="PD53" s="3">
        <f ca="1">IFERROR(__xludf.DUMMYFUNCTION("""COMPUTED_VALUE"""),0.0302814570676031)</f>
        <v>3.0281457067603101E-2</v>
      </c>
      <c r="PE53" s="3">
        <f ca="1">IFERROR(__xludf.DUMMYFUNCTION("""COMPUTED_VALUE"""),0.049573379780208)</f>
        <v>4.9573379780208003E-2</v>
      </c>
      <c r="PF53" s="3">
        <f ca="1">IFERROR(__xludf.DUMMYFUNCTION("""COMPUTED_VALUE"""),0.0441872750198912)</f>
        <v>4.4187275019891198E-2</v>
      </c>
      <c r="PG53" s="3">
        <f ca="1">IFERROR(__xludf.DUMMYFUNCTION("""COMPUTED_VALUE"""),-0.000506225976199981)</f>
        <v>-5.06225976199981E-4</v>
      </c>
      <c r="PH53" s="3">
        <f ca="1">IFERROR(__xludf.DUMMYFUNCTION("""COMPUTED_VALUE"""),0.0586264319234608)</f>
        <v>5.8626431923460801E-2</v>
      </c>
      <c r="PI53" s="3">
        <f ca="1">IFERROR(__xludf.DUMMYFUNCTION("""COMPUTED_VALUE"""),-0.0502653677252414)</f>
        <v>-5.02653677252414E-2</v>
      </c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</row>
    <row r="54" spans="1:477" ht="13">
      <c r="A54" s="1" t="str">
        <f ca="1">IFERROR(__xludf.DUMMYFUNCTION("""COMPUTED_VALUE"""),"Madison Metro")</f>
        <v>Madison Metro</v>
      </c>
      <c r="B54" s="1" t="str">
        <f ca="1">IFERROR(__xludf.DUMMYFUNCTION("""COMPUTED_VALUE"""),"Madison")</f>
        <v>Madison</v>
      </c>
      <c r="C54" s="1" t="str">
        <f ca="1">IFERROR(__xludf.DUMMYFUNCTION("""COMPUTED_VALUE"""),"United States")</f>
        <v>United States</v>
      </c>
      <c r="D54" s="1" t="str">
        <f ca="1">IFERROR(__xludf.DUMMYFUNCTION("""COMPUTED_VALUE"""),"Wisconsin")</f>
        <v>Wisconsin</v>
      </c>
      <c r="E54" s="3">
        <f ca="1">IFERROR(__xludf.DUMMYFUNCTION("""COMPUTED_VALUE"""),-0.48936580916295)</f>
        <v>-0.48936580916295003</v>
      </c>
      <c r="F54" s="3">
        <f ca="1">IFERROR(__xludf.DUMMYFUNCTION("""COMPUTED_VALUE"""),-0.748079263783035)</f>
        <v>-0.74807926378303502</v>
      </c>
      <c r="G54" s="3">
        <f ca="1">IFERROR(__xludf.DUMMYFUNCTION("""COMPUTED_VALUE"""),-0.811664690863219)</f>
        <v>-0.81166469086321902</v>
      </c>
      <c r="H54" s="3">
        <f ca="1">IFERROR(__xludf.DUMMYFUNCTION("""COMPUTED_VALUE"""),-0.829423132289764)</f>
        <v>-0.82942313228976405</v>
      </c>
      <c r="I54" s="3">
        <f ca="1">IFERROR(__xludf.DUMMYFUNCTION("""COMPUTED_VALUE"""),-0.776140927835423)</f>
        <v>-0.77614092783542299</v>
      </c>
      <c r="J54" s="3">
        <f ca="1">IFERROR(__xludf.DUMMYFUNCTION("""COMPUTED_VALUE"""),-0.789983778005859)</f>
        <v>-0.78998377800585895</v>
      </c>
      <c r="K54" s="3">
        <f ca="1">IFERROR(__xludf.DUMMYFUNCTION("""COMPUTED_VALUE"""),-0.680657389441117)</f>
        <v>-0.68065738944111698</v>
      </c>
      <c r="L54" s="3">
        <f ca="1">IFERROR(__xludf.DUMMYFUNCTION("""COMPUTED_VALUE"""),-0.658354943572043)</f>
        <v>-0.65835494357204305</v>
      </c>
      <c r="M54" s="3">
        <f ca="1">IFERROR(__xludf.DUMMYFUNCTION("""COMPUTED_VALUE"""),-0.788015142206074)</f>
        <v>-0.78801514220607405</v>
      </c>
      <c r="N54" s="3">
        <f ca="1">IFERROR(__xludf.DUMMYFUNCTION("""COMPUTED_VALUE"""),-0.775709711682294)</f>
        <v>-0.77570971168229397</v>
      </c>
      <c r="O54" s="3">
        <f ca="1">IFERROR(__xludf.DUMMYFUNCTION("""COMPUTED_VALUE"""),-0.787917075890353)</f>
        <v>-0.78791707589035298</v>
      </c>
      <c r="P54" s="3">
        <f ca="1">IFERROR(__xludf.DUMMYFUNCTION("""COMPUTED_VALUE"""),-0.783139668665673)</f>
        <v>-0.78313966866567297</v>
      </c>
      <c r="Q54" s="3">
        <f ca="1">IFERROR(__xludf.DUMMYFUNCTION("""COMPUTED_VALUE"""),-0.761792319633914)</f>
        <v>-0.76179231963391403</v>
      </c>
      <c r="R54" s="3">
        <f ca="1">IFERROR(__xludf.DUMMYFUNCTION("""COMPUTED_VALUE"""),-0.441010282726402)</f>
        <v>-0.44101028272640203</v>
      </c>
      <c r="S54" s="3">
        <f ca="1">IFERROR(__xludf.DUMMYFUNCTION("""COMPUTED_VALUE"""),-0.536613858471634)</f>
        <v>-0.53661385847163401</v>
      </c>
      <c r="T54" s="3">
        <f ca="1">IFERROR(__xludf.DUMMYFUNCTION("""COMPUTED_VALUE"""),-0.705093305933514)</f>
        <v>-0.70509330593351405</v>
      </c>
      <c r="U54" s="3">
        <f ca="1">IFERROR(__xludf.DUMMYFUNCTION("""COMPUTED_VALUE"""),-0.735756451658163)</f>
        <v>-0.73575645165816295</v>
      </c>
      <c r="V54" s="3">
        <f ca="1">IFERROR(__xludf.DUMMYFUNCTION("""COMPUTED_VALUE"""),-0.725302478517009)</f>
        <v>-0.72530247851700902</v>
      </c>
      <c r="W54" s="3">
        <f ca="1">IFERROR(__xludf.DUMMYFUNCTION("""COMPUTED_VALUE"""),-0.729940398985264)</f>
        <v>-0.72994039898526397</v>
      </c>
      <c r="X54" s="3">
        <f ca="1">IFERROR(__xludf.DUMMYFUNCTION("""COMPUTED_VALUE"""),-0.736265216239499)</f>
        <v>-0.73626521623949903</v>
      </c>
      <c r="Y54" s="3">
        <f ca="1">IFERROR(__xludf.DUMMYFUNCTION("""COMPUTED_VALUE"""),-0.368096966671069)</f>
        <v>-0.368096966671069</v>
      </c>
      <c r="Z54" s="3">
        <f ca="1">IFERROR(__xludf.DUMMYFUNCTION("""COMPUTED_VALUE"""),-0.37015413131509)</f>
        <v>-0.37015413131509001</v>
      </c>
      <c r="AA54" s="3">
        <f ca="1">IFERROR(__xludf.DUMMYFUNCTION("""COMPUTED_VALUE"""),-0.726257325481765)</f>
        <v>-0.72625732548176503</v>
      </c>
      <c r="AB54" s="3">
        <f ca="1">IFERROR(__xludf.DUMMYFUNCTION("""COMPUTED_VALUE"""),-0.746812379114479)</f>
        <v>-0.74681237911447895</v>
      </c>
      <c r="AC54" s="3">
        <f ca="1">IFERROR(__xludf.DUMMYFUNCTION("""COMPUTED_VALUE"""),-0.718084796013433)</f>
        <v>-0.718084796013433</v>
      </c>
      <c r="AD54" s="3">
        <f ca="1">IFERROR(__xludf.DUMMYFUNCTION("""COMPUTED_VALUE"""),-0.753112547537356)</f>
        <v>-0.75311254753735601</v>
      </c>
      <c r="AE54" s="3">
        <f ca="1">IFERROR(__xludf.DUMMYFUNCTION("""COMPUTED_VALUE"""),-0.742266944256351)</f>
        <v>-0.74226694425635098</v>
      </c>
      <c r="AF54" s="3">
        <f ca="1">IFERROR(__xludf.DUMMYFUNCTION("""COMPUTED_VALUE"""),-0.522345892495108)</f>
        <v>-0.52234589249510799</v>
      </c>
      <c r="AG54" s="3">
        <f ca="1">IFERROR(__xludf.DUMMYFUNCTION("""COMPUTED_VALUE"""),-0.494288807987919)</f>
        <v>-0.49428880798791902</v>
      </c>
      <c r="AH54" s="3">
        <f ca="1">IFERROR(__xludf.DUMMYFUNCTION("""COMPUTED_VALUE"""),-0.74257523651991)</f>
        <v>-0.74257523651990998</v>
      </c>
      <c r="AI54" s="3">
        <f ca="1">IFERROR(__xludf.DUMMYFUNCTION("""COMPUTED_VALUE"""),-0.797390239905051)</f>
        <v>-0.79739023990505098</v>
      </c>
      <c r="AJ54" s="3">
        <f ca="1">IFERROR(__xludf.DUMMYFUNCTION("""COMPUTED_VALUE"""),-0.77533084119946)</f>
        <v>-0.77533084119946005</v>
      </c>
      <c r="AK54" s="3">
        <f ca="1">IFERROR(__xludf.DUMMYFUNCTION("""COMPUTED_VALUE"""),-0.794048883345021)</f>
        <v>-0.79404888334502099</v>
      </c>
      <c r="AL54" s="3">
        <f ca="1">IFERROR(__xludf.DUMMYFUNCTION("""COMPUTED_VALUE"""),-0.804334538005498)</f>
        <v>-0.80433453800549803</v>
      </c>
      <c r="AM54" s="3">
        <f ca="1">IFERROR(__xludf.DUMMYFUNCTION("""COMPUTED_VALUE"""),-0.515635273461815)</f>
        <v>-0.51563527346181504</v>
      </c>
      <c r="AN54" s="3">
        <f ca="1">IFERROR(__xludf.DUMMYFUNCTION("""COMPUTED_VALUE"""),-0.587350210917882)</f>
        <v>-0.58735021091788198</v>
      </c>
      <c r="AO54" s="3">
        <f ca="1">IFERROR(__xludf.DUMMYFUNCTION("""COMPUTED_VALUE"""),-0.782114557326477)</f>
        <v>-0.78211455732647694</v>
      </c>
      <c r="AP54" s="3">
        <f ca="1">IFERROR(__xludf.DUMMYFUNCTION("""COMPUTED_VALUE"""),-0.807396017301921)</f>
        <v>-0.80739601730192101</v>
      </c>
      <c r="AQ54" s="3">
        <f ca="1">IFERROR(__xludf.DUMMYFUNCTION("""COMPUTED_VALUE"""),-0.819928747873454)</f>
        <v>-0.81992874787345404</v>
      </c>
      <c r="AR54" s="3">
        <f ca="1">IFERROR(__xludf.DUMMYFUNCTION("""COMPUTED_VALUE"""),-0.839240615632708)</f>
        <v>-0.83924061563270802</v>
      </c>
      <c r="AS54" s="3">
        <f ca="1">IFERROR(__xludf.DUMMYFUNCTION("""COMPUTED_VALUE"""),-0.810973286638494)</f>
        <v>-0.810973286638494</v>
      </c>
      <c r="AT54" s="3">
        <f ca="1">IFERROR(__xludf.DUMMYFUNCTION("""COMPUTED_VALUE"""),-0.653843332557379)</f>
        <v>-0.65384333255737903</v>
      </c>
      <c r="AU54" s="3">
        <f ca="1">IFERROR(__xludf.DUMMYFUNCTION("""COMPUTED_VALUE"""),-0.693924058491695)</f>
        <v>-0.69392405849169503</v>
      </c>
      <c r="AV54" s="3">
        <f ca="1">IFERROR(__xludf.DUMMYFUNCTION("""COMPUTED_VALUE"""),-0.785742280100912)</f>
        <v>-0.78574228010091196</v>
      </c>
      <c r="AW54" s="3">
        <f ca="1">IFERROR(__xludf.DUMMYFUNCTION("""COMPUTED_VALUE"""),-0.811437959881335)</f>
        <v>-0.81143795988133505</v>
      </c>
      <c r="AX54" s="3">
        <f ca="1">IFERROR(__xludf.DUMMYFUNCTION("""COMPUTED_VALUE"""),-0.800224944307259)</f>
        <v>-0.80022494430725899</v>
      </c>
      <c r="AY54" s="3">
        <f ca="1">IFERROR(__xludf.DUMMYFUNCTION("""COMPUTED_VALUE"""),-0.811198267314141)</f>
        <v>-0.81119826731414102</v>
      </c>
      <c r="AZ54" s="3">
        <f ca="1">IFERROR(__xludf.DUMMYFUNCTION("""COMPUTED_VALUE"""),-0.81646143320157)</f>
        <v>-0.81646143320157005</v>
      </c>
      <c r="BA54" s="3">
        <f ca="1">IFERROR(__xludf.DUMMYFUNCTION("""COMPUTED_VALUE"""),-0.652817457853243)</f>
        <v>-0.65281745785324297</v>
      </c>
      <c r="BB54" s="3">
        <f ca="1">IFERROR(__xludf.DUMMYFUNCTION("""COMPUTED_VALUE"""),-0.594498134836988)</f>
        <v>-0.59449813483698799</v>
      </c>
      <c r="BC54" s="3">
        <f ca="1">IFERROR(__xludf.DUMMYFUNCTION("""COMPUTED_VALUE"""),-0.778246434536961)</f>
        <v>-0.77824643453696096</v>
      </c>
      <c r="BD54" s="3">
        <f ca="1">IFERROR(__xludf.DUMMYFUNCTION("""COMPUTED_VALUE"""),-0.79461270924915)</f>
        <v>-0.79461270924914995</v>
      </c>
      <c r="BE54" s="3">
        <f ca="1">IFERROR(__xludf.DUMMYFUNCTION("""COMPUTED_VALUE"""),-0.813280262199823)</f>
        <v>-0.81328026219982297</v>
      </c>
      <c r="BF54" s="3">
        <f ca="1">IFERROR(__xludf.DUMMYFUNCTION("""COMPUTED_VALUE"""),-0.820228031831776)</f>
        <v>-0.82022803183177595</v>
      </c>
      <c r="BG54" s="3">
        <f ca="1">IFERROR(__xludf.DUMMYFUNCTION("""COMPUTED_VALUE"""),-0.812608434929879)</f>
        <v>-0.812608434929879</v>
      </c>
      <c r="BH54" s="3">
        <f ca="1">IFERROR(__xludf.DUMMYFUNCTION("""COMPUTED_VALUE"""),-0.610172469406666)</f>
        <v>-0.61017246940666603</v>
      </c>
      <c r="BI54" s="3">
        <f ca="1">IFERROR(__xludf.DUMMYFUNCTION("""COMPUTED_VALUE"""),-0.565473756051025)</f>
        <v>-0.56547375605102501</v>
      </c>
      <c r="BJ54" s="3">
        <f ca="1">IFERROR(__xludf.DUMMYFUNCTION("""COMPUTED_VALUE"""),-0.771508136871195)</f>
        <v>-0.77150813687119502</v>
      </c>
      <c r="BK54" s="3">
        <f ca="1">IFERROR(__xludf.DUMMYFUNCTION("""COMPUTED_VALUE"""),-0.805473930873053)</f>
        <v>-0.80547393087305297</v>
      </c>
      <c r="BL54" s="3">
        <f ca="1">IFERROR(__xludf.DUMMYFUNCTION("""COMPUTED_VALUE"""),-0.79003188764888)</f>
        <v>-0.79003188764887999</v>
      </c>
      <c r="BM54" s="3">
        <f ca="1">IFERROR(__xludf.DUMMYFUNCTION("""COMPUTED_VALUE"""),-0.811520435898187)</f>
        <v>-0.81152043589818701</v>
      </c>
      <c r="BN54" s="3">
        <f ca="1">IFERROR(__xludf.DUMMYFUNCTION("""COMPUTED_VALUE"""),-0.80969569421176)</f>
        <v>-0.80969569421176002</v>
      </c>
      <c r="BO54" s="3">
        <f ca="1">IFERROR(__xludf.DUMMYFUNCTION("""COMPUTED_VALUE"""),-0.696930483620909)</f>
        <v>-0.69693048362090904</v>
      </c>
      <c r="BP54" s="3">
        <f ca="1">IFERROR(__xludf.DUMMYFUNCTION("""COMPUTED_VALUE"""),-0.665128069453896)</f>
        <v>-0.66512806945389602</v>
      </c>
      <c r="BQ54" s="3">
        <f ca="1">IFERROR(__xludf.DUMMYFUNCTION("""COMPUTED_VALUE"""),-0.761046274158762)</f>
        <v>-0.76104627415876203</v>
      </c>
      <c r="BR54" s="3">
        <f ca="1">IFERROR(__xludf.DUMMYFUNCTION("""COMPUTED_VALUE"""),-0.793186879218921)</f>
        <v>-0.79318687921892095</v>
      </c>
      <c r="BS54" s="3">
        <f ca="1">IFERROR(__xludf.DUMMYFUNCTION("""COMPUTED_VALUE"""),-0.792763607678082)</f>
        <v>-0.79276360767808196</v>
      </c>
      <c r="BT54" s="3">
        <f ca="1">IFERROR(__xludf.DUMMYFUNCTION("""COMPUTED_VALUE"""),-0.806697293843582)</f>
        <v>-0.80669729384358202</v>
      </c>
      <c r="BU54" s="3">
        <f ca="1">IFERROR(__xludf.DUMMYFUNCTION("""COMPUTED_VALUE"""),-0.796494182253417)</f>
        <v>-0.79649418225341695</v>
      </c>
      <c r="BV54" s="3">
        <f ca="1">IFERROR(__xludf.DUMMYFUNCTION("""COMPUTED_VALUE"""),-0.710573029273196)</f>
        <v>-0.71057302927319599</v>
      </c>
      <c r="BW54" s="3">
        <f ca="1">IFERROR(__xludf.DUMMYFUNCTION("""COMPUTED_VALUE"""),-0.658574324489831)</f>
        <v>-0.658574324489831</v>
      </c>
      <c r="BX54" s="3">
        <f ca="1">IFERROR(__xludf.DUMMYFUNCTION("""COMPUTED_VALUE"""),-0.823699822922022)</f>
        <v>-0.82369982292202204</v>
      </c>
      <c r="BY54" s="3">
        <f ca="1">IFERROR(__xludf.DUMMYFUNCTION("""COMPUTED_VALUE"""),-0.835213745004684)</f>
        <v>-0.83521374500468404</v>
      </c>
      <c r="BZ54" s="3">
        <f ca="1">IFERROR(__xludf.DUMMYFUNCTION("""COMPUTED_VALUE"""),-0.819863419006901)</f>
        <v>-0.81986341900690096</v>
      </c>
      <c r="CA54" s="3">
        <f ca="1">IFERROR(__xludf.DUMMYFUNCTION("""COMPUTED_VALUE"""),-0.802263521795779)</f>
        <v>-0.80226352179577898</v>
      </c>
      <c r="CB54" s="3">
        <f ca="1">IFERROR(__xludf.DUMMYFUNCTION("""COMPUTED_VALUE"""),-0.797510310928642)</f>
        <v>-0.797510310928642</v>
      </c>
      <c r="CC54" s="3">
        <f ca="1">IFERROR(__xludf.DUMMYFUNCTION("""COMPUTED_VALUE"""),-0.647681164455671)</f>
        <v>-0.64768116445567103</v>
      </c>
      <c r="CD54" s="3">
        <f ca="1">IFERROR(__xludf.DUMMYFUNCTION("""COMPUTED_VALUE"""),-0.716462954322319)</f>
        <v>-0.71646295432231899</v>
      </c>
      <c r="CE54" s="3">
        <f ca="1">IFERROR(__xludf.DUMMYFUNCTION("""COMPUTED_VALUE"""),-0.824879932500018)</f>
        <v>-0.82487993250001801</v>
      </c>
      <c r="CF54" s="3">
        <f ca="1">IFERROR(__xludf.DUMMYFUNCTION("""COMPUTED_VALUE"""),-0.831947178115778)</f>
        <v>-0.83194717811577801</v>
      </c>
      <c r="CG54" s="3">
        <f ca="1">IFERROR(__xludf.DUMMYFUNCTION("""COMPUTED_VALUE"""),-0.847405828621905)</f>
        <v>-0.84740582862190506</v>
      </c>
      <c r="CH54" s="3">
        <f ca="1">IFERROR(__xludf.DUMMYFUNCTION("""COMPUTED_VALUE"""),-0.838276506115072)</f>
        <v>-0.83827650611507198</v>
      </c>
      <c r="CI54" s="3">
        <f ca="1">IFERROR(__xludf.DUMMYFUNCTION("""COMPUTED_VALUE"""),-0.860780333484244)</f>
        <v>-0.86078033348424399</v>
      </c>
      <c r="CJ54" s="3">
        <f ca="1">IFERROR(__xludf.DUMMYFUNCTION("""COMPUTED_VALUE"""),-0.731948541487263)</f>
        <v>-0.73194854148726296</v>
      </c>
      <c r="CK54" s="3">
        <f ca="1">IFERROR(__xludf.DUMMYFUNCTION("""COMPUTED_VALUE"""),-0.768734251930545)</f>
        <v>-0.76873425193054501</v>
      </c>
      <c r="CL54" s="3">
        <f ca="1">IFERROR(__xludf.DUMMYFUNCTION("""COMPUTED_VALUE"""),-0.840153158259738)</f>
        <v>-0.84015315825973802</v>
      </c>
      <c r="CM54" s="3">
        <f ca="1">IFERROR(__xludf.DUMMYFUNCTION("""COMPUTED_VALUE"""),-0.856474322738656)</f>
        <v>-0.85647432273865598</v>
      </c>
      <c r="CN54" s="3">
        <f ca="1">IFERROR(__xludf.DUMMYFUNCTION("""COMPUTED_VALUE"""),-0.849826624033502)</f>
        <v>-0.84982662403350195</v>
      </c>
      <c r="CO54" s="3">
        <f ca="1">IFERROR(__xludf.DUMMYFUNCTION("""COMPUTED_VALUE"""),-0.842212402002182)</f>
        <v>-0.84221240200218195</v>
      </c>
      <c r="CP54" s="3">
        <f ca="1">IFERROR(__xludf.DUMMYFUNCTION("""COMPUTED_VALUE"""),-0.810954677875062)</f>
        <v>-0.81095467787506204</v>
      </c>
      <c r="CQ54" s="3">
        <f ca="1">IFERROR(__xludf.DUMMYFUNCTION("""COMPUTED_VALUE"""),-0.719682563369367)</f>
        <v>-0.71968256336936698</v>
      </c>
      <c r="CR54" s="3">
        <f ca="1">IFERROR(__xludf.DUMMYFUNCTION("""COMPUTED_VALUE"""),-0.715221709689629)</f>
        <v>-0.71522170968962895</v>
      </c>
      <c r="CS54" s="3">
        <f ca="1">IFERROR(__xludf.DUMMYFUNCTION("""COMPUTED_VALUE"""),-0.813040500896299)</f>
        <v>-0.81304050089629898</v>
      </c>
      <c r="CT54" s="3">
        <f ca="1">IFERROR(__xludf.DUMMYFUNCTION("""COMPUTED_VALUE"""),-0.784818708150232)</f>
        <v>-0.78481870815023203</v>
      </c>
      <c r="CU54" s="3">
        <f ca="1">IFERROR(__xludf.DUMMYFUNCTION("""COMPUTED_VALUE"""),-0.791471249007852)</f>
        <v>-0.79147124900785204</v>
      </c>
      <c r="CV54" s="3">
        <f ca="1">IFERROR(__xludf.DUMMYFUNCTION("""COMPUTED_VALUE"""),-0.78326129000031)</f>
        <v>-0.78326129000030997</v>
      </c>
      <c r="CW54" s="3">
        <f ca="1">IFERROR(__xludf.DUMMYFUNCTION("""COMPUTED_VALUE"""),-0.765782678310287)</f>
        <v>-0.76578267831028701</v>
      </c>
      <c r="CX54" s="3">
        <f ca="1">IFERROR(__xludf.DUMMYFUNCTION("""COMPUTED_VALUE"""),-0.69645532264459)</f>
        <v>-0.69645532264458998</v>
      </c>
      <c r="CY54" s="3">
        <f ca="1">IFERROR(__xludf.DUMMYFUNCTION("""COMPUTED_VALUE"""),-0.700518778091168)</f>
        <v>-0.70051877809116803</v>
      </c>
      <c r="CZ54" s="3">
        <f ca="1">IFERROR(__xludf.DUMMYFUNCTION("""COMPUTED_VALUE"""),-0.87494558198759)</f>
        <v>-0.87494558198758998</v>
      </c>
      <c r="DA54" s="3">
        <f ca="1">IFERROR(__xludf.DUMMYFUNCTION("""COMPUTED_VALUE"""),-0.794577463416926)</f>
        <v>-0.79457746341692603</v>
      </c>
      <c r="DB54" s="3">
        <f ca="1">IFERROR(__xludf.DUMMYFUNCTION("""COMPUTED_VALUE"""),-0.643164344402104)</f>
        <v>-0.64316434440210402</v>
      </c>
      <c r="DC54" s="3">
        <f ca="1">IFERROR(__xludf.DUMMYFUNCTION("""COMPUTED_VALUE"""),-0.687738911719209)</f>
        <v>-0.68773891171920898</v>
      </c>
      <c r="DD54" s="3">
        <f ca="1">IFERROR(__xludf.DUMMYFUNCTION("""COMPUTED_VALUE"""),-0.784997389850274)</f>
        <v>-0.78499738985027401</v>
      </c>
      <c r="DE54" s="3">
        <f ca="1">IFERROR(__xludf.DUMMYFUNCTION("""COMPUTED_VALUE"""),-0.649522480330731)</f>
        <v>-0.64952248033073101</v>
      </c>
      <c r="DF54" s="3">
        <f ca="1">IFERROR(__xludf.DUMMYFUNCTION("""COMPUTED_VALUE"""),-0.728125306366413)</f>
        <v>-0.72812530636641304</v>
      </c>
      <c r="DG54" s="3">
        <f ca="1">IFERROR(__xludf.DUMMYFUNCTION("""COMPUTED_VALUE"""),-0.942882226657709)</f>
        <v>-0.94288222665770904</v>
      </c>
      <c r="DH54" s="3">
        <f ca="1">IFERROR(__xludf.DUMMYFUNCTION("""COMPUTED_VALUE"""),-0.892041398736752)</f>
        <v>-0.89204139873675203</v>
      </c>
      <c r="DI54" s="3">
        <f ca="1">IFERROR(__xludf.DUMMYFUNCTION("""COMPUTED_VALUE"""),-0.7279364055263)</f>
        <v>-0.72793640552630001</v>
      </c>
      <c r="DJ54" s="3">
        <f ca="1">IFERROR(__xludf.DUMMYFUNCTION("""COMPUTED_VALUE"""),-0.777403887422854)</f>
        <v>-0.77740388742285405</v>
      </c>
      <c r="DK54" s="3">
        <f ca="1">IFERROR(__xludf.DUMMYFUNCTION("""COMPUTED_VALUE"""),-0.796269217480796)</f>
        <v>-0.79626921748079604</v>
      </c>
      <c r="DL54" s="3">
        <f ca="1">IFERROR(__xludf.DUMMYFUNCTION("""COMPUTED_VALUE"""),-0.750288038577785)</f>
        <v>-0.75028803857778503</v>
      </c>
      <c r="DM54" s="3">
        <f ca="1">IFERROR(__xludf.DUMMYFUNCTION("""COMPUTED_VALUE"""),-0.730551309776353)</f>
        <v>-0.73055130977635296</v>
      </c>
      <c r="DN54" s="3">
        <f ca="1">IFERROR(__xludf.DUMMYFUNCTION("""COMPUTED_VALUE"""),-0.789244973816086)</f>
        <v>-0.78924497381608605</v>
      </c>
      <c r="DO54" s="3">
        <f ca="1">IFERROR(__xludf.DUMMYFUNCTION("""COMPUTED_VALUE"""),-0.780819479826316)</f>
        <v>-0.78081947982631605</v>
      </c>
      <c r="DP54" s="3">
        <f ca="1">IFERROR(__xludf.DUMMYFUNCTION("""COMPUTED_VALUE"""),-0.800742945824844)</f>
        <v>-0.80074294582484395</v>
      </c>
      <c r="DQ54" s="3">
        <f ca="1">IFERROR(__xludf.DUMMYFUNCTION("""COMPUTED_VALUE"""),-0.811013340619435)</f>
        <v>-0.81101334061943497</v>
      </c>
      <c r="DR54" s="3">
        <f ca="1">IFERROR(__xludf.DUMMYFUNCTION("""COMPUTED_VALUE"""),-0.833896455979531)</f>
        <v>-0.83389645597953099</v>
      </c>
      <c r="DS54" s="3">
        <f ca="1">IFERROR(__xludf.DUMMYFUNCTION("""COMPUTED_VALUE"""),-0.658786284347463)</f>
        <v>-0.658786284347463</v>
      </c>
      <c r="DT54" s="3">
        <f ca="1">IFERROR(__xludf.DUMMYFUNCTION("""COMPUTED_VALUE"""),-0.740605212268227)</f>
        <v>-0.74060521226822695</v>
      </c>
      <c r="DU54" s="3">
        <f ca="1">IFERROR(__xludf.DUMMYFUNCTION("""COMPUTED_VALUE"""),-0.832312228112484)</f>
        <v>-0.83231222811248395</v>
      </c>
      <c r="DV54" s="3">
        <f ca="1">IFERROR(__xludf.DUMMYFUNCTION("""COMPUTED_VALUE"""),-0.853902036763597)</f>
        <v>-0.85390203676359699</v>
      </c>
      <c r="DW54" s="3">
        <f ca="1">IFERROR(__xludf.DUMMYFUNCTION("""COMPUTED_VALUE"""),-0.865840141119596)</f>
        <v>-0.86584014111959595</v>
      </c>
      <c r="DX54" s="3">
        <f ca="1">IFERROR(__xludf.DUMMYFUNCTION("""COMPUTED_VALUE"""),-0.875850071672657)</f>
        <v>-0.87585007167265705</v>
      </c>
      <c r="DY54" s="3">
        <f ca="1">IFERROR(__xludf.DUMMYFUNCTION("""COMPUTED_VALUE"""),-0.871691468382664)</f>
        <v>-0.87169146838266398</v>
      </c>
      <c r="DZ54" s="3">
        <f ca="1">IFERROR(__xludf.DUMMYFUNCTION("""COMPUTED_VALUE"""),-0.747661791465602)</f>
        <v>-0.74766179146560197</v>
      </c>
      <c r="EA54" s="3">
        <f ca="1">IFERROR(__xludf.DUMMYFUNCTION("""COMPUTED_VALUE"""),-0.735655107258345)</f>
        <v>-0.73565510725834504</v>
      </c>
      <c r="EB54" s="3">
        <f ca="1">IFERROR(__xludf.DUMMYFUNCTION("""COMPUTED_VALUE"""),-0.827152376877872)</f>
        <v>-0.82715237687787202</v>
      </c>
      <c r="EC54" s="3">
        <f ca="1">IFERROR(__xludf.DUMMYFUNCTION("""COMPUTED_VALUE"""),-0.805395748639986)</f>
        <v>-0.80539574863998598</v>
      </c>
      <c r="ED54" s="3">
        <f ca="1">IFERROR(__xludf.DUMMYFUNCTION("""COMPUTED_VALUE"""),-0.84411726223232)</f>
        <v>-0.84411726223231998</v>
      </c>
      <c r="EE54" s="3">
        <f ca="1">IFERROR(__xludf.DUMMYFUNCTION("""COMPUTED_VALUE"""),-0.876841836669119)</f>
        <v>-0.87684183666911897</v>
      </c>
      <c r="EF54" s="3">
        <f ca="1">IFERROR(__xludf.DUMMYFUNCTION("""COMPUTED_VALUE"""),-0.868729938600604)</f>
        <v>-0.86872993860060399</v>
      </c>
      <c r="EG54" s="3">
        <f ca="1">IFERROR(__xludf.DUMMYFUNCTION("""COMPUTED_VALUE"""),-0.796982923669736)</f>
        <v>-0.796982923669736</v>
      </c>
      <c r="EH54" s="3">
        <f ca="1">IFERROR(__xludf.DUMMYFUNCTION("""COMPUTED_VALUE"""),-0.811374084241815)</f>
        <v>-0.81137408424181501</v>
      </c>
      <c r="EI54" s="3">
        <f ca="1">IFERROR(__xludf.DUMMYFUNCTION("""COMPUTED_VALUE"""),-0.882737483542715)</f>
        <v>-0.88273748354271497</v>
      </c>
      <c r="EJ54" s="3">
        <f ca="1">IFERROR(__xludf.DUMMYFUNCTION("""COMPUTED_VALUE"""),-0.931735702573512)</f>
        <v>-0.93173570257351201</v>
      </c>
      <c r="EK54" s="3">
        <f ca="1">IFERROR(__xludf.DUMMYFUNCTION("""COMPUTED_VALUE"""),-0.862614946695373)</f>
        <v>-0.86261494669537297</v>
      </c>
      <c r="EL54" s="3">
        <f ca="1">IFERROR(__xludf.DUMMYFUNCTION("""COMPUTED_VALUE"""),-0.872908345591033)</f>
        <v>-0.87290834559103303</v>
      </c>
      <c r="EM54" s="3">
        <f ca="1">IFERROR(__xludf.DUMMYFUNCTION("""COMPUTED_VALUE"""),-0.854975777289682)</f>
        <v>-0.85497577728968199</v>
      </c>
      <c r="EN54" s="3">
        <f ca="1">IFERROR(__xludf.DUMMYFUNCTION("""COMPUTED_VALUE"""),-0.782031032960569)</f>
        <v>-0.78203103296056897</v>
      </c>
      <c r="EO54" s="3">
        <f ca="1">IFERROR(__xludf.DUMMYFUNCTION("""COMPUTED_VALUE"""),-0.682631745937846)</f>
        <v>-0.68263174593784604</v>
      </c>
      <c r="EP54" s="3">
        <f ca="1">IFERROR(__xludf.DUMMYFUNCTION("""COMPUTED_VALUE"""),-0.813061258742821)</f>
        <v>-0.81306125874282098</v>
      </c>
      <c r="EQ54" s="3">
        <f ca="1">IFERROR(__xludf.DUMMYFUNCTION("""COMPUTED_VALUE"""),-0.823897776209806)</f>
        <v>-0.82389777620980598</v>
      </c>
      <c r="ER54" s="3">
        <f ca="1">IFERROR(__xludf.DUMMYFUNCTION("""COMPUTED_VALUE"""),-0.822180183351757)</f>
        <v>-0.82218018335175702</v>
      </c>
      <c r="ES54" s="3">
        <f ca="1">IFERROR(__xludf.DUMMYFUNCTION("""COMPUTED_VALUE"""),-0.873760027694297)</f>
        <v>-0.87376002769429695</v>
      </c>
      <c r="ET54" s="3">
        <f ca="1">IFERROR(__xludf.DUMMYFUNCTION("""COMPUTED_VALUE"""),-0.861445346979651)</f>
        <v>-0.86144534697965103</v>
      </c>
      <c r="EU54" s="3">
        <f ca="1">IFERROR(__xludf.DUMMYFUNCTION("""COMPUTED_VALUE"""),-0.739156520015864)</f>
        <v>-0.73915652001586396</v>
      </c>
      <c r="EV54" s="3">
        <f ca="1">IFERROR(__xludf.DUMMYFUNCTION("""COMPUTED_VALUE"""),-0.728919416793069)</f>
        <v>-0.72891941679306904</v>
      </c>
      <c r="EW54" s="3">
        <f ca="1">IFERROR(__xludf.DUMMYFUNCTION("""COMPUTED_VALUE"""),-0.847344049803529)</f>
        <v>-0.84734404980352895</v>
      </c>
      <c r="EX54" s="3">
        <f ca="1">IFERROR(__xludf.DUMMYFUNCTION("""COMPUTED_VALUE"""),-0.865791180439972)</f>
        <v>-0.86579118043997205</v>
      </c>
      <c r="EY54" s="3">
        <f ca="1">IFERROR(__xludf.DUMMYFUNCTION("""COMPUTED_VALUE"""),-0.871995332498451)</f>
        <v>-0.87199533249845096</v>
      </c>
      <c r="EZ54" s="3">
        <f ca="1">IFERROR(__xludf.DUMMYFUNCTION("""COMPUTED_VALUE"""),-0.874807809380397)</f>
        <v>-0.87480780938039704</v>
      </c>
      <c r="FA54" s="3">
        <f ca="1">IFERROR(__xludf.DUMMYFUNCTION("""COMPUTED_VALUE"""),-0.864454883253929)</f>
        <v>-0.86445488325392905</v>
      </c>
      <c r="FB54" s="3">
        <f ca="1">IFERROR(__xludf.DUMMYFUNCTION("""COMPUTED_VALUE"""),-0.751726756934508)</f>
        <v>-0.75172675693450797</v>
      </c>
      <c r="FC54" s="3">
        <f ca="1">IFERROR(__xludf.DUMMYFUNCTION("""COMPUTED_VALUE"""),-0.741017451590485)</f>
        <v>-0.74101745159048504</v>
      </c>
      <c r="FD54" s="3">
        <f ca="1">IFERROR(__xludf.DUMMYFUNCTION("""COMPUTED_VALUE"""),-0.855913694187282)</f>
        <v>-0.85591369418728203</v>
      </c>
      <c r="FE54" s="3">
        <f ca="1">IFERROR(__xludf.DUMMYFUNCTION("""COMPUTED_VALUE"""),-0.8832424301578)</f>
        <v>-0.88324243015780002</v>
      </c>
      <c r="FF54" s="3">
        <f ca="1">IFERROR(__xludf.DUMMYFUNCTION("""COMPUTED_VALUE"""),-0.852835201532704)</f>
        <v>-0.85283520153270398</v>
      </c>
      <c r="FG54" s="3">
        <f ca="1">IFERROR(__xludf.DUMMYFUNCTION("""COMPUTED_VALUE"""),-0.853029628386412)</f>
        <v>-0.85302962838641205</v>
      </c>
      <c r="FH54" s="3">
        <f ca="1">IFERROR(__xludf.DUMMYFUNCTION("""COMPUTED_VALUE"""),-0.848370492204347)</f>
        <v>-0.84837049220434702</v>
      </c>
      <c r="FI54" s="3">
        <f ca="1">IFERROR(__xludf.DUMMYFUNCTION("""COMPUTED_VALUE"""),-0.75704419304776)</f>
        <v>-0.75704419304776005</v>
      </c>
      <c r="FJ54" s="3">
        <f ca="1">IFERROR(__xludf.DUMMYFUNCTION("""COMPUTED_VALUE"""),-0.705587119245288)</f>
        <v>-0.70558711924528805</v>
      </c>
      <c r="FK54" s="3">
        <f ca="1">IFERROR(__xludf.DUMMYFUNCTION("""COMPUTED_VALUE"""),-0.809790971378996)</f>
        <v>-0.80979097137899603</v>
      </c>
      <c r="FL54" s="3">
        <f ca="1">IFERROR(__xludf.DUMMYFUNCTION("""COMPUTED_VALUE"""),-0.853994916632845)</f>
        <v>-0.85399491663284499</v>
      </c>
      <c r="FM54" s="3">
        <f ca="1">IFERROR(__xludf.DUMMYFUNCTION("""COMPUTED_VALUE"""),-0.843108890526165)</f>
        <v>-0.843108890526165</v>
      </c>
      <c r="FN54" s="3">
        <f ca="1">IFERROR(__xludf.DUMMYFUNCTION("""COMPUTED_VALUE"""),-0.845521385083558)</f>
        <v>-0.84552138508355801</v>
      </c>
      <c r="FO54" s="3">
        <f ca="1">IFERROR(__xludf.DUMMYFUNCTION("""COMPUTED_VALUE"""),-0.837578798131061)</f>
        <v>-0.83757879813106095</v>
      </c>
      <c r="FP54" s="3">
        <f ca="1">IFERROR(__xludf.DUMMYFUNCTION("""COMPUTED_VALUE"""),-0.70503503619617)</f>
        <v>-0.70503503619617003</v>
      </c>
      <c r="FQ54" s="3">
        <f ca="1">IFERROR(__xludf.DUMMYFUNCTION("""COMPUTED_VALUE"""),-0.742367193748775)</f>
        <v>-0.74236719374877502</v>
      </c>
      <c r="FR54" s="3">
        <f ca="1">IFERROR(__xludf.DUMMYFUNCTION("""COMPUTED_VALUE"""),-0.82470230659459)</f>
        <v>-0.82470230659458998</v>
      </c>
      <c r="FS54" s="3">
        <f ca="1">IFERROR(__xludf.DUMMYFUNCTION("""COMPUTED_VALUE"""),-0.847950499397686)</f>
        <v>-0.84795049939768596</v>
      </c>
      <c r="FT54" s="3">
        <f ca="1">IFERROR(__xludf.DUMMYFUNCTION("""COMPUTED_VALUE"""),-0.831067454959022)</f>
        <v>-0.83106745495902201</v>
      </c>
      <c r="FU54" s="3">
        <f ca="1">IFERROR(__xludf.DUMMYFUNCTION("""COMPUTED_VALUE"""),-0.843018103901448)</f>
        <v>-0.84301810390144805</v>
      </c>
      <c r="FV54" s="3">
        <f ca="1">IFERROR(__xludf.DUMMYFUNCTION("""COMPUTED_VALUE"""),-0.834114097596422)</f>
        <v>-0.83411409759642197</v>
      </c>
      <c r="FW54" s="3">
        <f ca="1">IFERROR(__xludf.DUMMYFUNCTION("""COMPUTED_VALUE"""),-0.74438556543931)</f>
        <v>-0.74438556543931</v>
      </c>
      <c r="FX54" s="3">
        <f ca="1">IFERROR(__xludf.DUMMYFUNCTION("""COMPUTED_VALUE"""),-0.770612805020429)</f>
        <v>-0.77061280502042895</v>
      </c>
      <c r="FY54" s="3">
        <f ca="1">IFERROR(__xludf.DUMMYFUNCTION("""COMPUTED_VALUE"""),-0.836378095522126)</f>
        <v>-0.83637809552212605</v>
      </c>
      <c r="FZ54" s="3">
        <f ca="1">IFERROR(__xludf.DUMMYFUNCTION("""COMPUTED_VALUE"""),-0.831701801542478)</f>
        <v>-0.83170180154247797</v>
      </c>
      <c r="GA54" s="3">
        <f ca="1">IFERROR(__xludf.DUMMYFUNCTION("""COMPUTED_VALUE"""),-0.820882794355813)</f>
        <v>-0.82088279435581302</v>
      </c>
      <c r="GB54" s="3">
        <f ca="1">IFERROR(__xludf.DUMMYFUNCTION("""COMPUTED_VALUE"""),-0.855189537397149)</f>
        <v>-0.85518953739714898</v>
      </c>
      <c r="GC54" s="3">
        <f ca="1">IFERROR(__xludf.DUMMYFUNCTION("""COMPUTED_VALUE"""),-0.852076301958993)</f>
        <v>-0.85207630195899298</v>
      </c>
      <c r="GD54" s="3">
        <f ca="1">IFERROR(__xludf.DUMMYFUNCTION("""COMPUTED_VALUE"""),-0.720267074658153)</f>
        <v>-0.72026707465815298</v>
      </c>
      <c r="GE54" s="3">
        <f ca="1">IFERROR(__xludf.DUMMYFUNCTION("""COMPUTED_VALUE"""),-0.73147877431832)</f>
        <v>-0.73147877431831998</v>
      </c>
      <c r="GF54" s="3">
        <f ca="1">IFERROR(__xludf.DUMMYFUNCTION("""COMPUTED_VALUE"""),-0.846278155930453)</f>
        <v>-0.84627815593045297</v>
      </c>
      <c r="GG54" s="3">
        <f ca="1">IFERROR(__xludf.DUMMYFUNCTION("""COMPUTED_VALUE"""),-0.848260252792453)</f>
        <v>-0.84826025279245298</v>
      </c>
      <c r="GH54" s="3">
        <f ca="1">IFERROR(__xludf.DUMMYFUNCTION("""COMPUTED_VALUE"""),-0.824254332914802)</f>
        <v>-0.82425433291480199</v>
      </c>
      <c r="GI54" s="3">
        <f ca="1">IFERROR(__xludf.DUMMYFUNCTION("""COMPUTED_VALUE"""),-0.859622235387509)</f>
        <v>-0.85962223538750904</v>
      </c>
      <c r="GJ54" s="3">
        <f ca="1">IFERROR(__xludf.DUMMYFUNCTION("""COMPUTED_VALUE"""),-0.831467454285518)</f>
        <v>-0.83146745428551805</v>
      </c>
      <c r="GK54" s="3">
        <f ca="1">IFERROR(__xludf.DUMMYFUNCTION("""COMPUTED_VALUE"""),-0.75948896565021)</f>
        <v>-0.75948896565020996</v>
      </c>
      <c r="GL54" s="3">
        <f ca="1">IFERROR(__xludf.DUMMYFUNCTION("""COMPUTED_VALUE"""),-0.721591259903291)</f>
        <v>-0.72159125990329098</v>
      </c>
      <c r="GM54" s="3">
        <f ca="1">IFERROR(__xludf.DUMMYFUNCTION("""COMPUTED_VALUE"""),-0.84416047297169)</f>
        <v>-0.84416047297168995</v>
      </c>
      <c r="GN54" s="3">
        <f ca="1">IFERROR(__xludf.DUMMYFUNCTION("""COMPUTED_VALUE"""),-0.836659070656948)</f>
        <v>-0.836659070656948</v>
      </c>
      <c r="GO54" s="3">
        <f ca="1">IFERROR(__xludf.DUMMYFUNCTION("""COMPUTED_VALUE"""),-0.83310868349471)</f>
        <v>-0.83310868349471001</v>
      </c>
      <c r="GP54" s="3">
        <f ca="1">IFERROR(__xludf.DUMMYFUNCTION("""COMPUTED_VALUE"""),-0.850747610916068)</f>
        <v>-0.85074761091606799</v>
      </c>
      <c r="GQ54" s="3">
        <f ca="1">IFERROR(__xludf.DUMMYFUNCTION("""COMPUTED_VALUE"""),-0.831265670267872)</f>
        <v>-0.83126567026787201</v>
      </c>
      <c r="GR54" s="3">
        <f ca="1">IFERROR(__xludf.DUMMYFUNCTION("""COMPUTED_VALUE"""),-0.740289106994773)</f>
        <v>-0.74028910699477302</v>
      </c>
      <c r="GS54" s="3">
        <f ca="1">IFERROR(__xludf.DUMMYFUNCTION("""COMPUTED_VALUE"""),-0.790059862275557)</f>
        <v>-0.79005986227555702</v>
      </c>
      <c r="GT54" s="3">
        <f ca="1">IFERROR(__xludf.DUMMYFUNCTION("""COMPUTED_VALUE"""),-0.844303147974226)</f>
        <v>-0.84430314797422601</v>
      </c>
      <c r="GU54" s="3">
        <f ca="1">IFERROR(__xludf.DUMMYFUNCTION("""COMPUTED_VALUE"""),-0.873684553928383)</f>
        <v>-0.87368455392838296</v>
      </c>
      <c r="GV54" s="3">
        <f ca="1">IFERROR(__xludf.DUMMYFUNCTION("""COMPUTED_VALUE"""),-0.857457827692245)</f>
        <v>-0.85745782769224499</v>
      </c>
      <c r="GW54" s="3">
        <f ca="1">IFERROR(__xludf.DUMMYFUNCTION("""COMPUTED_VALUE"""),-0.847269452887026)</f>
        <v>-0.84726945288702604</v>
      </c>
      <c r="GX54" s="3">
        <f ca="1">IFERROR(__xludf.DUMMYFUNCTION("""COMPUTED_VALUE"""),-0.867413892340916)</f>
        <v>-0.86741389234091604</v>
      </c>
      <c r="GY54" s="3">
        <f ca="1">IFERROR(__xludf.DUMMYFUNCTION("""COMPUTED_VALUE"""),-0.76621140922805)</f>
        <v>-0.76621140922804998</v>
      </c>
      <c r="GZ54" s="3">
        <f ca="1">IFERROR(__xludf.DUMMYFUNCTION("""COMPUTED_VALUE"""),-0.782409587527339)</f>
        <v>-0.78240958752733902</v>
      </c>
      <c r="HA54" s="3">
        <f ca="1">IFERROR(__xludf.DUMMYFUNCTION("""COMPUTED_VALUE"""),-0.852993665444093)</f>
        <v>-0.85299366544409305</v>
      </c>
      <c r="HB54" s="3">
        <f ca="1">IFERROR(__xludf.DUMMYFUNCTION("""COMPUTED_VALUE"""),-0.845119844018241)</f>
        <v>-0.84511984401824103</v>
      </c>
      <c r="HC54" s="3">
        <f ca="1">IFERROR(__xludf.DUMMYFUNCTION("""COMPUTED_VALUE"""),-0.834674059967186)</f>
        <v>-0.83467405996718602</v>
      </c>
      <c r="HD54" s="3">
        <f ca="1">IFERROR(__xludf.DUMMYFUNCTION("""COMPUTED_VALUE"""),-0.860944047818434)</f>
        <v>-0.86094404781843403</v>
      </c>
      <c r="HE54" s="3">
        <f ca="1">IFERROR(__xludf.DUMMYFUNCTION("""COMPUTED_VALUE"""),-0.836654278679368)</f>
        <v>-0.83665427867936804</v>
      </c>
      <c r="HF54" s="3">
        <f ca="1">IFERROR(__xludf.DUMMYFUNCTION("""COMPUTED_VALUE"""),-0.677270738290726)</f>
        <v>-0.67727073829072604</v>
      </c>
      <c r="HG54" s="3">
        <f ca="1">IFERROR(__xludf.DUMMYFUNCTION("""COMPUTED_VALUE"""),-0.788894127853391)</f>
        <v>-0.78889412785339097</v>
      </c>
      <c r="HH54" s="3">
        <f ca="1">IFERROR(__xludf.DUMMYFUNCTION("""COMPUTED_VALUE"""),-0.837305341625908)</f>
        <v>-0.83730534162590797</v>
      </c>
      <c r="HI54" s="3">
        <f ca="1">IFERROR(__xludf.DUMMYFUNCTION("""COMPUTED_VALUE"""),-0.85274507691794)</f>
        <v>-0.85274507691793999</v>
      </c>
      <c r="HJ54" s="3">
        <f ca="1">IFERROR(__xludf.DUMMYFUNCTION("""COMPUTED_VALUE"""),-0.80305541786408)</f>
        <v>-0.80305541786407997</v>
      </c>
      <c r="HK54" s="3">
        <f ca="1">IFERROR(__xludf.DUMMYFUNCTION("""COMPUTED_VALUE"""),-0.803296539986576)</f>
        <v>-0.80329653998657602</v>
      </c>
      <c r="HL54" s="3">
        <f ca="1">IFERROR(__xludf.DUMMYFUNCTION("""COMPUTED_VALUE"""),-0.836468936207259)</f>
        <v>-0.83646893620725904</v>
      </c>
      <c r="HM54" s="3">
        <f ca="1">IFERROR(__xludf.DUMMYFUNCTION("""COMPUTED_VALUE"""),-0.702960513034511)</f>
        <v>-0.70296051303451101</v>
      </c>
      <c r="HN54" s="3">
        <f ca="1">IFERROR(__xludf.DUMMYFUNCTION("""COMPUTED_VALUE"""),-0.656942452547003)</f>
        <v>-0.65694245254700301</v>
      </c>
      <c r="HO54" s="3">
        <f ca="1">IFERROR(__xludf.DUMMYFUNCTION("""COMPUTED_VALUE"""),-0.776778307320681)</f>
        <v>-0.77677830732068098</v>
      </c>
      <c r="HP54" s="3">
        <f ca="1">IFERROR(__xludf.DUMMYFUNCTION("""COMPUTED_VALUE"""),-0.772474228936884)</f>
        <v>-0.772474228936884</v>
      </c>
      <c r="HQ54" s="3">
        <f ca="1">IFERROR(__xludf.DUMMYFUNCTION("""COMPUTED_VALUE"""),-0.750593635765137)</f>
        <v>-0.75059363576513705</v>
      </c>
      <c r="HR54" s="3">
        <f ca="1">IFERROR(__xludf.DUMMYFUNCTION("""COMPUTED_VALUE"""),-0.766818247208333)</f>
        <v>-0.76681824720833303</v>
      </c>
      <c r="HS54" s="3">
        <f ca="1">IFERROR(__xludf.DUMMYFUNCTION("""COMPUTED_VALUE"""),-0.698115572825458)</f>
        <v>-0.698115572825458</v>
      </c>
      <c r="HT54" s="3">
        <f ca="1">IFERROR(__xludf.DUMMYFUNCTION("""COMPUTED_VALUE"""),-0.491531145230417)</f>
        <v>-0.49153114523041702</v>
      </c>
      <c r="HU54" s="3">
        <f ca="1">IFERROR(__xludf.DUMMYFUNCTION("""COMPUTED_VALUE"""),-0.569143366279715)</f>
        <v>-0.56914336627971496</v>
      </c>
      <c r="HV54" s="3">
        <f ca="1">IFERROR(__xludf.DUMMYFUNCTION("""COMPUTED_VALUE"""),-0.75166969412515)</f>
        <v>-0.75166969412514995</v>
      </c>
      <c r="HW54" s="3">
        <f ca="1">IFERROR(__xludf.DUMMYFUNCTION("""COMPUTED_VALUE"""),-0.773919672558568)</f>
        <v>-0.77391967255856797</v>
      </c>
      <c r="HX54" s="3">
        <f ca="1">IFERROR(__xludf.DUMMYFUNCTION("""COMPUTED_VALUE"""),-0.761628911072016)</f>
        <v>-0.76162891107201602</v>
      </c>
      <c r="HY54" s="3">
        <f ca="1">IFERROR(__xludf.DUMMYFUNCTION("""COMPUTED_VALUE"""),-0.729355051146051)</f>
        <v>-0.72935505114605104</v>
      </c>
      <c r="HZ54" s="3">
        <f ca="1">IFERROR(__xludf.DUMMYFUNCTION("""COMPUTED_VALUE"""),-0.671126658256707)</f>
        <v>-0.67112665825670703</v>
      </c>
      <c r="IA54" s="3">
        <f ca="1">IFERROR(__xludf.DUMMYFUNCTION("""COMPUTED_VALUE"""),-0.578240423131859)</f>
        <v>-0.57824042313185897</v>
      </c>
      <c r="IB54" s="3">
        <f ca="1">IFERROR(__xludf.DUMMYFUNCTION("""COMPUTED_VALUE"""),-0.639339985253089)</f>
        <v>-0.63933998525308899</v>
      </c>
      <c r="IC54" s="3">
        <f ca="1">IFERROR(__xludf.DUMMYFUNCTION("""COMPUTED_VALUE"""),-0.746502936789543)</f>
        <v>-0.74650293678954305</v>
      </c>
      <c r="ID54" s="3">
        <f ca="1">IFERROR(__xludf.DUMMYFUNCTION("""COMPUTED_VALUE"""),-0.741418371341053)</f>
        <v>-0.74141837134105304</v>
      </c>
      <c r="IE54" s="3">
        <f ca="1">IFERROR(__xludf.DUMMYFUNCTION("""COMPUTED_VALUE"""),-0.774773328062671)</f>
        <v>-0.77477332806267096</v>
      </c>
      <c r="IF54" s="3">
        <f ca="1">IFERROR(__xludf.DUMMYFUNCTION("""COMPUTED_VALUE"""),-0.774904934706394)</f>
        <v>-0.77490493470639399</v>
      </c>
      <c r="IG54" s="3">
        <f ca="1">IFERROR(__xludf.DUMMYFUNCTION("""COMPUTED_VALUE"""),-0.793915117879447)</f>
        <v>-0.79391511787944702</v>
      </c>
      <c r="IH54" s="3">
        <f ca="1">IFERROR(__xludf.DUMMYFUNCTION("""COMPUTED_VALUE"""),-0.50628040720646)</f>
        <v>-0.50628040720645995</v>
      </c>
      <c r="II54" s="3">
        <f ca="1">IFERROR(__xludf.DUMMYFUNCTION("""COMPUTED_VALUE"""),-0.562380297972832)</f>
        <v>-0.56238029797283196</v>
      </c>
      <c r="IJ54" s="3">
        <f ca="1">IFERROR(__xludf.DUMMYFUNCTION("""COMPUTED_VALUE"""),-0.766869649676909)</f>
        <v>-0.76686964967690896</v>
      </c>
      <c r="IK54" s="3">
        <f ca="1">IFERROR(__xludf.DUMMYFUNCTION("""COMPUTED_VALUE"""),-0.761907506556007)</f>
        <v>-0.76190750655600703</v>
      </c>
      <c r="IL54" s="3">
        <f ca="1">IFERROR(__xludf.DUMMYFUNCTION("""COMPUTED_VALUE"""),-0.764447134610077)</f>
        <v>-0.76444713461007696</v>
      </c>
      <c r="IM54" s="3">
        <f ca="1">IFERROR(__xludf.DUMMYFUNCTION("""COMPUTED_VALUE"""),-0.749728545858365)</f>
        <v>-0.74972854585836501</v>
      </c>
      <c r="IN54" s="3">
        <f ca="1">IFERROR(__xludf.DUMMYFUNCTION("""COMPUTED_VALUE"""),-0.784711251865266)</f>
        <v>-0.78471125186526602</v>
      </c>
      <c r="IO54" s="3">
        <f ca="1">IFERROR(__xludf.DUMMYFUNCTION("""COMPUTED_VALUE"""),-0.577773097766681)</f>
        <v>-0.57777309776668095</v>
      </c>
      <c r="IP54" s="3">
        <f ca="1">IFERROR(__xludf.DUMMYFUNCTION("""COMPUTED_VALUE"""),-0.57797547102743)</f>
        <v>-0.57797547102742997</v>
      </c>
      <c r="IQ54" s="3">
        <f ca="1">IFERROR(__xludf.DUMMYFUNCTION("""COMPUTED_VALUE"""),-0.713096415444093)</f>
        <v>-0.71309641544409297</v>
      </c>
      <c r="IR54" s="3">
        <f ca="1">IFERROR(__xludf.DUMMYFUNCTION("""COMPUTED_VALUE"""),-0.748867122949372)</f>
        <v>-0.74886712294937197</v>
      </c>
      <c r="IS54" s="3">
        <f ca="1">IFERROR(__xludf.DUMMYFUNCTION("""COMPUTED_VALUE"""),-0.784388913739283)</f>
        <v>-0.78438891373928299</v>
      </c>
      <c r="IT54" s="3">
        <f ca="1">IFERROR(__xludf.DUMMYFUNCTION("""COMPUTED_VALUE"""),-0.793240253633686)</f>
        <v>-0.793240253633686</v>
      </c>
      <c r="IU54" s="3">
        <f ca="1">IFERROR(__xludf.DUMMYFUNCTION("""COMPUTED_VALUE"""),-0.81028135910748)</f>
        <v>-0.81028135910748</v>
      </c>
      <c r="IV54" s="3">
        <f ca="1">IFERROR(__xludf.DUMMYFUNCTION("""COMPUTED_VALUE"""),-0.605658810427952)</f>
        <v>-0.605658810427952</v>
      </c>
      <c r="IW54" s="3">
        <f ca="1">IFERROR(__xludf.DUMMYFUNCTION("""COMPUTED_VALUE"""),-0.588089232444286)</f>
        <v>-0.58808923244428601</v>
      </c>
      <c r="IX54" s="3">
        <f ca="1">IFERROR(__xludf.DUMMYFUNCTION("""COMPUTED_VALUE"""),-0.751158540765476)</f>
        <v>-0.75115854076547595</v>
      </c>
      <c r="IY54" s="3">
        <f ca="1">IFERROR(__xludf.DUMMYFUNCTION("""COMPUTED_VALUE"""),-0.780091476060899)</f>
        <v>-0.78009147606089901</v>
      </c>
      <c r="IZ54" s="3">
        <f ca="1">IFERROR(__xludf.DUMMYFUNCTION("""COMPUTED_VALUE"""),-0.817144438855487)</f>
        <v>-0.81714443885548704</v>
      </c>
      <c r="JA54" s="3">
        <f ca="1">IFERROR(__xludf.DUMMYFUNCTION("""COMPUTED_VALUE"""),-0.835895337133827)</f>
        <v>-0.83589533713382702</v>
      </c>
      <c r="JB54" s="3">
        <f ca="1">IFERROR(__xludf.DUMMYFUNCTION("""COMPUTED_VALUE"""),-0.784800959510734)</f>
        <v>-0.78480095951073403</v>
      </c>
      <c r="JC54" s="3">
        <f ca="1">IFERROR(__xludf.DUMMYFUNCTION("""COMPUTED_VALUE"""),-0.703322549785026)</f>
        <v>-0.70332254978502595</v>
      </c>
      <c r="JD54" s="3">
        <f ca="1">IFERROR(__xludf.DUMMYFUNCTION("""COMPUTED_VALUE"""),-0.634661951373525)</f>
        <v>-0.63466195137352499</v>
      </c>
      <c r="JE54" s="3">
        <f ca="1">IFERROR(__xludf.DUMMYFUNCTION("""COMPUTED_VALUE"""),-0.782991446219107)</f>
        <v>-0.78299144621910699</v>
      </c>
      <c r="JF54" s="3">
        <f ca="1">IFERROR(__xludf.DUMMYFUNCTION("""COMPUTED_VALUE"""),-0.797535648649713)</f>
        <v>-0.79753564864971305</v>
      </c>
      <c r="JG54" s="3">
        <f ca="1">IFERROR(__xludf.DUMMYFUNCTION("""COMPUTED_VALUE"""),-0.804352455547922)</f>
        <v>-0.80435245554792201</v>
      </c>
      <c r="JH54" s="3">
        <f ca="1">IFERROR(__xludf.DUMMYFUNCTION("""COMPUTED_VALUE"""),-0.845881077451075)</f>
        <v>-0.84588107745107499</v>
      </c>
      <c r="JI54" s="3">
        <f ca="1">IFERROR(__xludf.DUMMYFUNCTION("""COMPUTED_VALUE"""),-0.823831165037548)</f>
        <v>-0.82383116503754805</v>
      </c>
      <c r="JJ54" s="3">
        <f ca="1">IFERROR(__xludf.DUMMYFUNCTION("""COMPUTED_VALUE"""),-0.54489591354908)</f>
        <v>-0.54489591354907996</v>
      </c>
      <c r="JK54" s="3">
        <f ca="1">IFERROR(__xludf.DUMMYFUNCTION("""COMPUTED_VALUE"""),-0.662304478748997)</f>
        <v>-0.66230447874899701</v>
      </c>
      <c r="JL54" s="3">
        <f ca="1">IFERROR(__xludf.DUMMYFUNCTION("""COMPUTED_VALUE"""),-0.816899988418604)</f>
        <v>-0.81689998841860401</v>
      </c>
      <c r="JM54" s="3">
        <f ca="1">IFERROR(__xludf.DUMMYFUNCTION("""COMPUTED_VALUE"""),-0.798911338213148)</f>
        <v>-0.79891133821314797</v>
      </c>
      <c r="JN54" s="3">
        <f ca="1">IFERROR(__xludf.DUMMYFUNCTION("""COMPUTED_VALUE"""),-0.866109937166767)</f>
        <v>-0.86610993716676699</v>
      </c>
      <c r="JO54" s="3">
        <f ca="1">IFERROR(__xludf.DUMMYFUNCTION("""COMPUTED_VALUE"""),-0.817573996772853)</f>
        <v>-0.81757399677285303</v>
      </c>
      <c r="JP54" s="3">
        <f ca="1">IFERROR(__xludf.DUMMYFUNCTION("""COMPUTED_VALUE"""),-0.817797053278091)</f>
        <v>-0.81779705327809105</v>
      </c>
      <c r="JQ54" s="3">
        <f ca="1">IFERROR(__xludf.DUMMYFUNCTION("""COMPUTED_VALUE"""),-0.669764085680547)</f>
        <v>-0.66976408568054702</v>
      </c>
      <c r="JR54" s="3">
        <f ca="1">IFERROR(__xludf.DUMMYFUNCTION("""COMPUTED_VALUE"""),-0.619819367165247)</f>
        <v>-0.61981936716524699</v>
      </c>
      <c r="JS54" s="3">
        <f ca="1">IFERROR(__xludf.DUMMYFUNCTION("""COMPUTED_VALUE"""),-0.733880975233972)</f>
        <v>-0.733880975233972</v>
      </c>
      <c r="JT54" s="3">
        <f ca="1">IFERROR(__xludf.DUMMYFUNCTION("""COMPUTED_VALUE"""),-0.765987126533879)</f>
        <v>-0.76598712653387901</v>
      </c>
      <c r="JU54" s="3">
        <f ca="1">IFERROR(__xludf.DUMMYFUNCTION("""COMPUTED_VALUE"""),-0.809591975004543)</f>
        <v>-0.80959197500454305</v>
      </c>
      <c r="JV54" s="3">
        <f ca="1">IFERROR(__xludf.DUMMYFUNCTION("""COMPUTED_VALUE"""),-0.830234947011677)</f>
        <v>-0.83023494701167699</v>
      </c>
      <c r="JW54" s="3">
        <f ca="1">IFERROR(__xludf.DUMMYFUNCTION("""COMPUTED_VALUE"""),-0.827939358625628)</f>
        <v>-0.82793935862562795</v>
      </c>
      <c r="JX54" s="3">
        <f ca="1">IFERROR(__xludf.DUMMYFUNCTION("""COMPUTED_VALUE"""),-0.681646168501494)</f>
        <v>-0.68164616850149395</v>
      </c>
      <c r="JY54" s="3">
        <f ca="1">IFERROR(__xludf.DUMMYFUNCTION("""COMPUTED_VALUE"""),-0.681692374222642)</f>
        <v>-0.68169237422264195</v>
      </c>
      <c r="JZ54" s="3">
        <f ca="1">IFERROR(__xludf.DUMMYFUNCTION("""COMPUTED_VALUE"""),-0.763577288895562)</f>
        <v>-0.76357728889556198</v>
      </c>
      <c r="KA54" s="3">
        <f ca="1">IFERROR(__xludf.DUMMYFUNCTION("""COMPUTED_VALUE"""),-0.77642854726313)</f>
        <v>-0.77642854726313004</v>
      </c>
      <c r="KB54" s="3">
        <f ca="1">IFERROR(__xludf.DUMMYFUNCTION("""COMPUTED_VALUE"""),-0.826041727151308)</f>
        <v>-0.82604172715130797</v>
      </c>
      <c r="KC54" s="3">
        <f ca="1">IFERROR(__xludf.DUMMYFUNCTION("""COMPUTED_VALUE"""),-0.789265743457715)</f>
        <v>-0.78926574345771505</v>
      </c>
      <c r="KD54" s="3">
        <f ca="1">IFERROR(__xludf.DUMMYFUNCTION("""COMPUTED_VALUE"""),-0.844929037923392)</f>
        <v>-0.84492903792339202</v>
      </c>
      <c r="KE54" s="3">
        <f ca="1">IFERROR(__xludf.DUMMYFUNCTION("""COMPUTED_VALUE"""),-0.445200790264375)</f>
        <v>-0.44520079026437498</v>
      </c>
      <c r="KF54" s="3">
        <f ca="1">IFERROR(__xludf.DUMMYFUNCTION("""COMPUTED_VALUE"""),-0.576492001740624)</f>
        <v>-0.57649200174062398</v>
      </c>
      <c r="KG54" s="3">
        <f ca="1">IFERROR(__xludf.DUMMYFUNCTION("""COMPUTED_VALUE"""),-0.767860649992902)</f>
        <v>-0.76786064999290204</v>
      </c>
      <c r="KH54" s="3">
        <f ca="1">IFERROR(__xludf.DUMMYFUNCTION("""COMPUTED_VALUE"""),-0.740389783869942)</f>
        <v>-0.74038978386994203</v>
      </c>
      <c r="KI54" s="3">
        <f ca="1">IFERROR(__xludf.DUMMYFUNCTION("""COMPUTED_VALUE"""),-0.798740707803311)</f>
        <v>-0.79874070780331097</v>
      </c>
      <c r="KJ54" s="3">
        <f ca="1">IFERROR(__xludf.DUMMYFUNCTION("""COMPUTED_VALUE"""),-0.812865012617217)</f>
        <v>-0.812865012617217</v>
      </c>
      <c r="KK54" s="3">
        <f ca="1">IFERROR(__xludf.DUMMYFUNCTION("""COMPUTED_VALUE"""),-0.813886461146228)</f>
        <v>-0.81388646114622798</v>
      </c>
      <c r="KL54" s="3">
        <f ca="1">IFERROR(__xludf.DUMMYFUNCTION("""COMPUTED_VALUE"""),-0.51765194929032)</f>
        <v>-0.51765194929031999</v>
      </c>
      <c r="KM54" s="3">
        <f ca="1">IFERROR(__xludf.DUMMYFUNCTION("""COMPUTED_VALUE"""),-0.698895178870907)</f>
        <v>-0.69889517887090702</v>
      </c>
      <c r="KN54" s="3">
        <f ca="1">IFERROR(__xludf.DUMMYFUNCTION("""COMPUTED_VALUE"""),-0.804267495726534)</f>
        <v>-0.804267495726534</v>
      </c>
      <c r="KO54" s="3">
        <f ca="1">IFERROR(__xludf.DUMMYFUNCTION("""COMPUTED_VALUE"""),-0.807254334524857)</f>
        <v>-0.80725433452485695</v>
      </c>
      <c r="KP54" s="3">
        <f ca="1">IFERROR(__xludf.DUMMYFUNCTION("""COMPUTED_VALUE"""),-0.813804232029274)</f>
        <v>-0.81380423202927399</v>
      </c>
      <c r="KQ54" s="3">
        <f ca="1">IFERROR(__xludf.DUMMYFUNCTION("""COMPUTED_VALUE"""),-0.824916377258211)</f>
        <v>-0.82491637725821099</v>
      </c>
      <c r="KR54" s="3">
        <f ca="1">IFERROR(__xludf.DUMMYFUNCTION("""COMPUTED_VALUE"""),-0.818195311943815)</f>
        <v>-0.81819531194381501</v>
      </c>
      <c r="KS54" s="3">
        <f ca="1">IFERROR(__xludf.DUMMYFUNCTION("""COMPUTED_VALUE"""),-0.612664387707426)</f>
        <v>-0.61266438770742604</v>
      </c>
      <c r="KT54" s="3">
        <f ca="1">IFERROR(__xludf.DUMMYFUNCTION("""COMPUTED_VALUE"""),-0.685457982893834)</f>
        <v>-0.68545798289383397</v>
      </c>
      <c r="KU54" s="3">
        <f ca="1">IFERROR(__xludf.DUMMYFUNCTION("""COMPUTED_VALUE"""),-0.83936902393973)</f>
        <v>-0.83936902393973001</v>
      </c>
      <c r="KV54" s="3">
        <f ca="1">IFERROR(__xludf.DUMMYFUNCTION("""COMPUTED_VALUE"""),-0.8324090403259)</f>
        <v>-0.83240904032590002</v>
      </c>
      <c r="KW54" s="3">
        <f ca="1">IFERROR(__xludf.DUMMYFUNCTION("""COMPUTED_VALUE"""),-0.861044271098935)</f>
        <v>-0.861044271098935</v>
      </c>
      <c r="KX54" s="3">
        <f ca="1">IFERROR(__xludf.DUMMYFUNCTION("""COMPUTED_VALUE"""),-0.830741236540934)</f>
        <v>-0.83074123654093401</v>
      </c>
      <c r="KY54" s="3">
        <f ca="1">IFERROR(__xludf.DUMMYFUNCTION("""COMPUTED_VALUE"""),-0.805742245719233)</f>
        <v>-0.80574224571923303</v>
      </c>
      <c r="KZ54" s="3">
        <f ca="1">IFERROR(__xludf.DUMMYFUNCTION("""COMPUTED_VALUE"""),-0.607376996434186)</f>
        <v>-0.60737699643418597</v>
      </c>
      <c r="LA54" s="3">
        <f ca="1">IFERROR(__xludf.DUMMYFUNCTION("""COMPUTED_VALUE"""),-0.622407196199724)</f>
        <v>-0.62240719619972396</v>
      </c>
      <c r="LB54" s="3">
        <f ca="1">IFERROR(__xludf.DUMMYFUNCTION("""COMPUTED_VALUE"""),-0.809617331343485)</f>
        <v>-0.80961733134348501</v>
      </c>
      <c r="LC54" s="3">
        <f ca="1">IFERROR(__xludf.DUMMYFUNCTION("""COMPUTED_VALUE"""),-0.844096102839808)</f>
        <v>-0.84409610283980796</v>
      </c>
      <c r="LD54" s="3">
        <f ca="1">IFERROR(__xludf.DUMMYFUNCTION("""COMPUTED_VALUE"""),-0.845815414810153)</f>
        <v>-0.84581541481015299</v>
      </c>
      <c r="LE54" s="3">
        <f ca="1">IFERROR(__xludf.DUMMYFUNCTION("""COMPUTED_VALUE"""),-0.860098057927867)</f>
        <v>-0.86009805792786698</v>
      </c>
      <c r="LF54" s="3">
        <f ca="1">IFERROR(__xludf.DUMMYFUNCTION("""COMPUTED_VALUE"""),-0.813891393461423)</f>
        <v>-0.81389139346142303</v>
      </c>
      <c r="LG54" s="3">
        <f ca="1">IFERROR(__xludf.DUMMYFUNCTION("""COMPUTED_VALUE"""),-0.727321936918037)</f>
        <v>-0.72732193691803704</v>
      </c>
      <c r="LH54" s="3">
        <f ca="1">IFERROR(__xludf.DUMMYFUNCTION("""COMPUTED_VALUE"""),-0.739773360072286)</f>
        <v>-0.739773360072286</v>
      </c>
      <c r="LI54" s="3">
        <f ca="1">IFERROR(__xludf.DUMMYFUNCTION("""COMPUTED_VALUE"""),-0.878972248449631)</f>
        <v>-0.87897224844963096</v>
      </c>
      <c r="LJ54" s="3">
        <f ca="1">IFERROR(__xludf.DUMMYFUNCTION("""COMPUTED_VALUE"""),-0.889017318339658)</f>
        <v>-0.88901731833965802</v>
      </c>
      <c r="LK54" s="3">
        <f ca="1">IFERROR(__xludf.DUMMYFUNCTION("""COMPUTED_VALUE"""),-0.841575333012235)</f>
        <v>-0.84157533301223497</v>
      </c>
      <c r="LL54" s="3">
        <f ca="1">IFERROR(__xludf.DUMMYFUNCTION("""COMPUTED_VALUE"""),-0.878844850299528)</f>
        <v>-0.87884485029952797</v>
      </c>
      <c r="LM54" s="3">
        <f ca="1">IFERROR(__xludf.DUMMYFUNCTION("""COMPUTED_VALUE"""),-0.851567809193073)</f>
        <v>-0.85156780919307296</v>
      </c>
      <c r="LN54" s="3">
        <f ca="1">IFERROR(__xludf.DUMMYFUNCTION("""COMPUTED_VALUE"""),-0.774905989651046)</f>
        <v>-0.77490598965104596</v>
      </c>
      <c r="LO54" s="3">
        <f ca="1">IFERROR(__xludf.DUMMYFUNCTION("""COMPUTED_VALUE"""),-0.800000708453113)</f>
        <v>-0.800000708453113</v>
      </c>
      <c r="LP54" s="3">
        <f ca="1">IFERROR(__xludf.DUMMYFUNCTION("""COMPUTED_VALUE"""),-0.884452043884915)</f>
        <v>-0.88445204388491505</v>
      </c>
      <c r="LQ54" s="3">
        <f ca="1">IFERROR(__xludf.DUMMYFUNCTION("""COMPUTED_VALUE"""),-0.90721894497271)</f>
        <v>-0.90721894497271005</v>
      </c>
      <c r="LR54" s="3">
        <f ca="1">IFERROR(__xludf.DUMMYFUNCTION("""COMPUTED_VALUE"""),-0.892381094559841)</f>
        <v>-0.89238109455984105</v>
      </c>
      <c r="LS54" s="3">
        <f ca="1">IFERROR(__xludf.DUMMYFUNCTION("""COMPUTED_VALUE"""),-0.904254573818588)</f>
        <v>-0.90425457381858798</v>
      </c>
      <c r="LT54" s="3">
        <f ca="1">IFERROR(__xludf.DUMMYFUNCTION("""COMPUTED_VALUE"""),-0.881409549343702)</f>
        <v>-0.88140954934370197</v>
      </c>
      <c r="LU54" s="3">
        <f ca="1">IFERROR(__xludf.DUMMYFUNCTION("""COMPUTED_VALUE"""),-0.862074737890431)</f>
        <v>-0.86207473789043099</v>
      </c>
      <c r="LV54" s="3">
        <f ca="1">IFERROR(__xludf.DUMMYFUNCTION("""COMPUTED_VALUE"""),-0.864315755177513)</f>
        <v>-0.86431575517751302</v>
      </c>
      <c r="LW54" s="3">
        <f ca="1">IFERROR(__xludf.DUMMYFUNCTION("""COMPUTED_VALUE"""),-0.881996331067882)</f>
        <v>-0.881996331067882</v>
      </c>
      <c r="LX54" s="3">
        <f ca="1">IFERROR(__xludf.DUMMYFUNCTION("""COMPUTED_VALUE"""),-0.902416846564177)</f>
        <v>-0.90241684656417698</v>
      </c>
      <c r="LY54" s="3">
        <f ca="1">IFERROR(__xludf.DUMMYFUNCTION("""COMPUTED_VALUE"""),-0.91386730756761)</f>
        <v>-0.91386730756761003</v>
      </c>
      <c r="LZ54" s="3">
        <f ca="1">IFERROR(__xludf.DUMMYFUNCTION("""COMPUTED_VALUE"""),-0.910372267836974)</f>
        <v>-0.910372267836974</v>
      </c>
      <c r="MA54" s="3">
        <f ca="1">IFERROR(__xludf.DUMMYFUNCTION("""COMPUTED_VALUE"""),-0.924635535220998)</f>
        <v>-0.92463553522099795</v>
      </c>
      <c r="MB54" s="3">
        <f ca="1">IFERROR(__xludf.DUMMYFUNCTION("""COMPUTED_VALUE"""),-0.830914769726642)</f>
        <v>-0.83091476972664202</v>
      </c>
      <c r="MC54" s="3">
        <f ca="1">IFERROR(__xludf.DUMMYFUNCTION("""COMPUTED_VALUE"""),-0.848291814121464)</f>
        <v>-0.84829181412146404</v>
      </c>
      <c r="MD54" s="3">
        <f ca="1">IFERROR(__xludf.DUMMYFUNCTION("""COMPUTED_VALUE"""),-0.922632601131464)</f>
        <v>-0.92263260113146395</v>
      </c>
      <c r="ME54" s="3">
        <f ca="1">IFERROR(__xludf.DUMMYFUNCTION("""COMPUTED_VALUE"""),-0.925795029209034)</f>
        <v>-0.925795029209034</v>
      </c>
      <c r="MF54" s="3">
        <f ca="1">IFERROR(__xludf.DUMMYFUNCTION("""COMPUTED_VALUE"""),-0.902778554680759)</f>
        <v>-0.90277855468075896</v>
      </c>
      <c r="MG54" s="3">
        <f ca="1">IFERROR(__xludf.DUMMYFUNCTION("""COMPUTED_VALUE"""),-0.927064480881776)</f>
        <v>-0.92706448088177595</v>
      </c>
      <c r="MH54" s="3">
        <f ca="1">IFERROR(__xludf.DUMMYFUNCTION("""COMPUTED_VALUE"""),-0.931702847217044)</f>
        <v>-0.93170284721704399</v>
      </c>
      <c r="MI54" s="3">
        <f ca="1">IFERROR(__xludf.DUMMYFUNCTION("""COMPUTED_VALUE"""),-0.812125631255085)</f>
        <v>-0.81212563125508497</v>
      </c>
      <c r="MJ54" s="3">
        <f ca="1">IFERROR(__xludf.DUMMYFUNCTION("""COMPUTED_VALUE"""),-0.84429845472006)</f>
        <v>-0.84429845472006004</v>
      </c>
      <c r="MK54" s="3">
        <f ca="1">IFERROR(__xludf.DUMMYFUNCTION("""COMPUTED_VALUE"""),-0.91800589460459)</f>
        <v>-0.91800589460459003</v>
      </c>
      <c r="ML54" s="3">
        <f ca="1">IFERROR(__xludf.DUMMYFUNCTION("""COMPUTED_VALUE"""),-0.945995079395255)</f>
        <v>-0.94599507939525496</v>
      </c>
      <c r="MM54" s="3">
        <f ca="1">IFERROR(__xludf.DUMMYFUNCTION("""COMPUTED_VALUE"""),-0.915664563868824)</f>
        <v>-0.915664563868824</v>
      </c>
      <c r="MN54" s="3">
        <f ca="1">IFERROR(__xludf.DUMMYFUNCTION("""COMPUTED_VALUE"""),-0.935736742685962)</f>
        <v>-0.93573674268596196</v>
      </c>
      <c r="MO54" s="3">
        <f ca="1">IFERROR(__xludf.DUMMYFUNCTION("""COMPUTED_VALUE"""),-0.942503484668232)</f>
        <v>-0.94250348466823197</v>
      </c>
      <c r="MP54" s="3">
        <f ca="1">IFERROR(__xludf.DUMMYFUNCTION("""COMPUTED_VALUE"""),-0.865880222608963)</f>
        <v>-0.86588022260896302</v>
      </c>
      <c r="MQ54" s="3">
        <f ca="1">IFERROR(__xludf.DUMMYFUNCTION("""COMPUTED_VALUE"""),-0.879263519487023)</f>
        <v>-0.87926351948702297</v>
      </c>
      <c r="MR54" s="3">
        <f ca="1">IFERROR(__xludf.DUMMYFUNCTION("""COMPUTED_VALUE"""),-0.932411318891558)</f>
        <v>-0.93241131889155804</v>
      </c>
      <c r="MS54" s="3">
        <f ca="1">IFERROR(__xludf.DUMMYFUNCTION("""COMPUTED_VALUE"""),-0.935284211206686)</f>
        <v>-0.93528421120668603</v>
      </c>
      <c r="MT54" s="3">
        <f ca="1">IFERROR(__xludf.DUMMYFUNCTION("""COMPUTED_VALUE"""),-0.942540339446196)</f>
        <v>-0.94254033944619597</v>
      </c>
      <c r="MU54" s="3">
        <f ca="1">IFERROR(__xludf.DUMMYFUNCTION("""COMPUTED_VALUE"""),-0.933612529472023)</f>
        <v>-0.933612529472023</v>
      </c>
      <c r="MV54" s="3">
        <f ca="1">IFERROR(__xludf.DUMMYFUNCTION("""COMPUTED_VALUE"""),-0.916962621921371)</f>
        <v>-0.91696262192137101</v>
      </c>
      <c r="MW54" s="3">
        <f ca="1">IFERROR(__xludf.DUMMYFUNCTION("""COMPUTED_VALUE"""),-0.847912513965062)</f>
        <v>-0.84791251396506195</v>
      </c>
      <c r="MX54" s="3">
        <f ca="1">IFERROR(__xludf.DUMMYFUNCTION("""COMPUTED_VALUE"""),-0.884749791571495)</f>
        <v>-0.88474979157149503</v>
      </c>
      <c r="MY54" s="3">
        <f ca="1">IFERROR(__xludf.DUMMYFUNCTION("""COMPUTED_VALUE"""),-0.931732539194637)</f>
        <v>-0.93173253919463705</v>
      </c>
      <c r="MZ54" s="3">
        <f ca="1">IFERROR(__xludf.DUMMYFUNCTION("""COMPUTED_VALUE"""),-0.940306372612231)</f>
        <v>-0.94030637261223105</v>
      </c>
      <c r="NA54" s="3">
        <f ca="1">IFERROR(__xludf.DUMMYFUNCTION("""COMPUTED_VALUE"""),-0.923513094155817)</f>
        <v>-0.92351309415581695</v>
      </c>
      <c r="NB54" s="3">
        <f ca="1">IFERROR(__xludf.DUMMYFUNCTION("""COMPUTED_VALUE"""),-0.932694804370182)</f>
        <v>-0.93269480437018204</v>
      </c>
      <c r="NC54" s="3">
        <f ca="1">IFERROR(__xludf.DUMMYFUNCTION("""COMPUTED_VALUE"""),-0.919741117095385)</f>
        <v>-0.91974111709538497</v>
      </c>
      <c r="ND54" s="3">
        <f ca="1">IFERROR(__xludf.DUMMYFUNCTION("""COMPUTED_VALUE"""),-0.886177687916951)</f>
        <v>-0.88617768791695095</v>
      </c>
      <c r="NE54" s="3">
        <f ca="1">IFERROR(__xludf.DUMMYFUNCTION("""COMPUTED_VALUE"""),-0.871063099350118)</f>
        <v>-0.87106309935011805</v>
      </c>
      <c r="NF54" s="3">
        <f ca="1">IFERROR(__xludf.DUMMYFUNCTION("""COMPUTED_VALUE"""),-0.923408585980039)</f>
        <v>-0.92340858598003905</v>
      </c>
      <c r="NG54" s="3">
        <f ca="1">IFERROR(__xludf.DUMMYFUNCTION("""COMPUTED_VALUE"""),-0.93183344715404)</f>
        <v>-0.93183344715404004</v>
      </c>
      <c r="NH54" s="3">
        <f ca="1">IFERROR(__xludf.DUMMYFUNCTION("""COMPUTED_VALUE"""),-0.937884402634383)</f>
        <v>-0.937884402634383</v>
      </c>
      <c r="NI54" s="3">
        <f ca="1">IFERROR(__xludf.DUMMYFUNCTION("""COMPUTED_VALUE"""),-0.9252090509719)</f>
        <v>-0.92520905097189998</v>
      </c>
      <c r="NJ54" s="3">
        <f ca="1">IFERROR(__xludf.DUMMYFUNCTION("""COMPUTED_VALUE"""),-0.925076963834381)</f>
        <v>-0.92507696383438098</v>
      </c>
      <c r="NK54" s="3">
        <f ca="1">IFERROR(__xludf.DUMMYFUNCTION("""COMPUTED_VALUE"""),-0.862050089472177)</f>
        <v>-0.86205008947217698</v>
      </c>
      <c r="NL54" s="3">
        <f ca="1">IFERROR(__xludf.DUMMYFUNCTION("""COMPUTED_VALUE"""),-0.86372667952787)</f>
        <v>-0.86372667952786997</v>
      </c>
      <c r="NM54" s="3">
        <f ca="1">IFERROR(__xludf.DUMMYFUNCTION("""COMPUTED_VALUE"""),-0.942894735127083)</f>
        <v>-0.94289473512708299</v>
      </c>
      <c r="NN54" s="3">
        <f ca="1">IFERROR(__xludf.DUMMYFUNCTION("""COMPUTED_VALUE"""),-0.946446213944039)</f>
        <v>-0.94644621394403905</v>
      </c>
      <c r="NO54" s="3">
        <f ca="1">IFERROR(__xludf.DUMMYFUNCTION("""COMPUTED_VALUE"""),-0.942653568306016)</f>
        <v>-0.94265356830601599</v>
      </c>
      <c r="NP54" s="3">
        <f ca="1">IFERROR(__xludf.DUMMYFUNCTION("""COMPUTED_VALUE"""),-0.928811806127333)</f>
        <v>-0.92881180612733305</v>
      </c>
      <c r="NQ54" s="3">
        <f ca="1">IFERROR(__xludf.DUMMYFUNCTION("""COMPUTED_VALUE"""),-0.942682747087686)</f>
        <v>-0.94268274708768596</v>
      </c>
      <c r="NR54" s="3">
        <f ca="1">IFERROR(__xludf.DUMMYFUNCTION("""COMPUTED_VALUE"""),-0.85343025523456)</f>
        <v>-0.85343025523455995</v>
      </c>
      <c r="NS54" s="3">
        <f ca="1">IFERROR(__xludf.DUMMYFUNCTION("""COMPUTED_VALUE"""),-0.867053107730827)</f>
        <v>-0.867053107730827</v>
      </c>
      <c r="NT54" s="3">
        <f ca="1">IFERROR(__xludf.DUMMYFUNCTION("""COMPUTED_VALUE"""),-0.921182117303814)</f>
        <v>-0.92118211730381405</v>
      </c>
      <c r="NU54" s="3">
        <f ca="1">IFERROR(__xludf.DUMMYFUNCTION("""COMPUTED_VALUE"""),-0.928139334819243)</f>
        <v>-0.92813933481924304</v>
      </c>
      <c r="NV54" s="3">
        <f ca="1">IFERROR(__xludf.DUMMYFUNCTION("""COMPUTED_VALUE"""),-0.90924720585421)</f>
        <v>-0.90924720585421004</v>
      </c>
      <c r="NW54" s="3">
        <f ca="1">IFERROR(__xludf.DUMMYFUNCTION("""COMPUTED_VALUE"""),-0.91717286975639)</f>
        <v>-0.91717286975639001</v>
      </c>
      <c r="NX54" s="3">
        <f ca="1">IFERROR(__xludf.DUMMYFUNCTION("""COMPUTED_VALUE"""),-0.887416534963887)</f>
        <v>-0.88741653496388695</v>
      </c>
      <c r="NY54" s="3">
        <f ca="1">IFERROR(__xludf.DUMMYFUNCTION("""COMPUTED_VALUE"""),-0.738441137100613)</f>
        <v>-0.73844113710061299</v>
      </c>
      <c r="NZ54" s="3">
        <f ca="1">IFERROR(__xludf.DUMMYFUNCTION("""COMPUTED_VALUE"""),-0.757579984425879)</f>
        <v>-0.75757998442587904</v>
      </c>
      <c r="OA54" s="3">
        <f ca="1">IFERROR(__xludf.DUMMYFUNCTION("""COMPUTED_VALUE"""),-0.866209639496947)</f>
        <v>-0.86620963949694696</v>
      </c>
      <c r="OB54" s="3">
        <f ca="1">IFERROR(__xludf.DUMMYFUNCTION("""COMPUTED_VALUE"""),-0.882170678762062)</f>
        <v>-0.88217067876206201</v>
      </c>
      <c r="OC54" s="3">
        <f ca="1">IFERROR(__xludf.DUMMYFUNCTION("""COMPUTED_VALUE"""),-0.853754002783837)</f>
        <v>-0.85375400278383695</v>
      </c>
      <c r="OD54" s="3">
        <f ca="1">IFERROR(__xludf.DUMMYFUNCTION("""COMPUTED_VALUE"""),-0.775839590157464)</f>
        <v>-0.77583959015746395</v>
      </c>
      <c r="OE54" s="3">
        <f ca="1">IFERROR(__xludf.DUMMYFUNCTION("""COMPUTED_VALUE"""),-0.740487243306457)</f>
        <v>-0.74048724330645699</v>
      </c>
      <c r="OF54" s="3">
        <f ca="1">IFERROR(__xludf.DUMMYFUNCTION("""COMPUTED_VALUE"""),-0.465913178896574)</f>
        <v>-0.46591317889657402</v>
      </c>
      <c r="OG54" s="3">
        <f ca="1">IFERROR(__xludf.DUMMYFUNCTION("""COMPUTED_VALUE"""),-0.316228777228292)</f>
        <v>-0.31622877722829201</v>
      </c>
      <c r="OH54" s="3">
        <f ca="1">IFERROR(__xludf.DUMMYFUNCTION("""COMPUTED_VALUE"""),-0.189395856424778)</f>
        <v>-0.18939585642477799</v>
      </c>
      <c r="OI54" s="3">
        <f ca="1">IFERROR(__xludf.DUMMYFUNCTION("""COMPUTED_VALUE"""),-0.0526163823639979)</f>
        <v>-5.2616382363997898E-2</v>
      </c>
      <c r="OJ54" s="3">
        <f ca="1">IFERROR(__xludf.DUMMYFUNCTION("""COMPUTED_VALUE"""),0.0288376424010068)</f>
        <v>2.8837642401006801E-2</v>
      </c>
      <c r="OK54" s="3">
        <f ca="1">IFERROR(__xludf.DUMMYFUNCTION("""COMPUTED_VALUE"""),0.0118149512273553)</f>
        <v>1.18149512273553E-2</v>
      </c>
      <c r="OL54" s="3">
        <f ca="1">IFERROR(__xludf.DUMMYFUNCTION("""COMPUTED_VALUE"""),0.180072943746168)</f>
        <v>0.180072943746168</v>
      </c>
      <c r="OM54" s="3">
        <f ca="1">IFERROR(__xludf.DUMMYFUNCTION("""COMPUTED_VALUE"""),0.144468333032112)</f>
        <v>0.14446833303211201</v>
      </c>
      <c r="ON54" s="3">
        <f ca="1">IFERROR(__xludf.DUMMYFUNCTION("""COMPUTED_VALUE"""),0.144909041818227)</f>
        <v>0.144909041818227</v>
      </c>
      <c r="OO54" s="3">
        <f ca="1">IFERROR(__xludf.DUMMYFUNCTION("""COMPUTED_VALUE"""),0.0247297875694558)</f>
        <v>2.4729787569455802E-2</v>
      </c>
      <c r="OP54" s="3">
        <f ca="1">IFERROR(__xludf.DUMMYFUNCTION("""COMPUTED_VALUE"""),-0.0624839672796015)</f>
        <v>-6.2483967279601503E-2</v>
      </c>
      <c r="OQ54" s="3">
        <f ca="1">IFERROR(__xludf.DUMMYFUNCTION("""COMPUTED_VALUE"""),-0.0595455162931629)</f>
        <v>-5.9545516293162903E-2</v>
      </c>
      <c r="OR54" s="3">
        <f ca="1">IFERROR(__xludf.DUMMYFUNCTION("""COMPUTED_VALUE"""),-0.121060118769523)</f>
        <v>-0.121060118769523</v>
      </c>
      <c r="OS54" s="3">
        <f ca="1">IFERROR(__xludf.DUMMYFUNCTION("""COMPUTED_VALUE"""),-0.0977533880610806)</f>
        <v>-9.7753388061080596E-2</v>
      </c>
      <c r="OT54" s="3">
        <f ca="1">IFERROR(__xludf.DUMMYFUNCTION("""COMPUTED_VALUE"""),-0.039030105323915)</f>
        <v>-3.9030105323915001E-2</v>
      </c>
      <c r="OU54" s="3">
        <f ca="1">IFERROR(__xludf.DUMMYFUNCTION("""COMPUTED_VALUE"""),-0.00760191501265539)</f>
        <v>-7.6019150126553896E-3</v>
      </c>
      <c r="OV54" s="3">
        <f ca="1">IFERROR(__xludf.DUMMYFUNCTION("""COMPUTED_VALUE"""),-0.0549599087152828)</f>
        <v>-5.49599087152828E-2</v>
      </c>
      <c r="OW54" s="3">
        <f ca="1">IFERROR(__xludf.DUMMYFUNCTION("""COMPUTED_VALUE"""),-0.0659777886181927)</f>
        <v>-6.5977788618192701E-2</v>
      </c>
      <c r="OX54" s="3">
        <f ca="1">IFERROR(__xludf.DUMMYFUNCTION("""COMPUTED_VALUE"""),-0.0579957783279009)</f>
        <v>-5.7995778327900899E-2</v>
      </c>
      <c r="OY54" s="3">
        <f ca="1">IFERROR(__xludf.DUMMYFUNCTION("""COMPUTED_VALUE"""),-0.0701002672816744)</f>
        <v>-7.01002672816744E-2</v>
      </c>
      <c r="OZ54" s="3">
        <f ca="1">IFERROR(__xludf.DUMMYFUNCTION("""COMPUTED_VALUE"""),-0.107280366941919)</f>
        <v>-0.107280366941919</v>
      </c>
      <c r="PA54" s="3">
        <f ca="1">IFERROR(__xludf.DUMMYFUNCTION("""COMPUTED_VALUE"""),0.0266247415833467)</f>
        <v>2.6624741583346701E-2</v>
      </c>
      <c r="PB54" s="3">
        <f ca="1">IFERROR(__xludf.DUMMYFUNCTION("""COMPUTED_VALUE"""),0.125535623481876)</f>
        <v>0.125535623481876</v>
      </c>
      <c r="PC54" s="3">
        <f ca="1">IFERROR(__xludf.DUMMYFUNCTION("""COMPUTED_VALUE"""),0.0197231188024329)</f>
        <v>1.9723118802432899E-2</v>
      </c>
      <c r="PD54" s="3">
        <f ca="1">IFERROR(__xludf.DUMMYFUNCTION("""COMPUTED_VALUE"""),0.0786400615279039)</f>
        <v>7.8640061527903898E-2</v>
      </c>
      <c r="PE54" s="3">
        <f ca="1">IFERROR(__xludf.DUMMYFUNCTION("""COMPUTED_VALUE"""),-0.0493314579408349)</f>
        <v>-4.9331457940834898E-2</v>
      </c>
      <c r="PF54" s="3">
        <f ca="1">IFERROR(__xludf.DUMMYFUNCTION("""COMPUTED_VALUE"""),0.0216099030859051)</f>
        <v>2.1609903085905099E-2</v>
      </c>
      <c r="PG54" s="3">
        <f ca="1">IFERROR(__xludf.DUMMYFUNCTION("""COMPUTED_VALUE"""),0.144972255559092)</f>
        <v>0.14497225555909199</v>
      </c>
      <c r="PH54" s="3">
        <f ca="1">IFERROR(__xludf.DUMMYFUNCTION("""COMPUTED_VALUE"""),0.0609705332431371)</f>
        <v>6.0970533243137101E-2</v>
      </c>
      <c r="PI54" s="3">
        <f ca="1">IFERROR(__xludf.DUMMYFUNCTION("""COMPUTED_VALUE"""),0.188452521209718)</f>
        <v>0.188452521209718</v>
      </c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</row>
    <row r="55" spans="1:477" ht="13">
      <c r="A55" s="1" t="str">
        <f ca="1">IFERROR(__xludf.DUMMYFUNCTION("""COMPUTED_VALUE"""),"Broward County Transit")</f>
        <v>Broward County Transit</v>
      </c>
      <c r="B55" s="1" t="str">
        <f ca="1">IFERROR(__xludf.DUMMYFUNCTION("""COMPUTED_VALUE"""),"Miami")</f>
        <v>Miami</v>
      </c>
      <c r="C55" s="1" t="str">
        <f ca="1">IFERROR(__xludf.DUMMYFUNCTION("""COMPUTED_VALUE"""),"United States")</f>
        <v>United States</v>
      </c>
      <c r="D55" s="1" t="str">
        <f ca="1">IFERROR(__xludf.DUMMYFUNCTION("""COMPUTED_VALUE"""),"Florida")</f>
        <v>Florida</v>
      </c>
      <c r="E55" s="3">
        <f ca="1">IFERROR(__xludf.DUMMYFUNCTION("""COMPUTED_VALUE"""),0.318031054567381)</f>
        <v>0.31803105456738101</v>
      </c>
      <c r="F55" s="3">
        <f ca="1">IFERROR(__xludf.DUMMYFUNCTION("""COMPUTED_VALUE"""),0.230983499932496)</f>
        <v>0.23098349993249601</v>
      </c>
      <c r="G55" s="3">
        <f ca="1">IFERROR(__xludf.DUMMYFUNCTION("""COMPUTED_VALUE"""),0.136941047026438)</f>
        <v>0.136941047026438</v>
      </c>
      <c r="H55" s="3">
        <f ca="1">IFERROR(__xludf.DUMMYFUNCTION("""COMPUTED_VALUE"""),0.0897871018419316)</f>
        <v>8.9787101841931602E-2</v>
      </c>
      <c r="I55" s="3">
        <f ca="1">IFERROR(__xludf.DUMMYFUNCTION("""COMPUTED_VALUE"""),0.0806574797524446)</f>
        <v>8.0657479752444597E-2</v>
      </c>
      <c r="J55" s="3">
        <f ca="1">IFERROR(__xludf.DUMMYFUNCTION("""COMPUTED_VALUE"""),0.0738721150142356)</f>
        <v>7.3872115014235601E-2</v>
      </c>
      <c r="K55" s="3">
        <f ca="1">IFERROR(__xludf.DUMMYFUNCTION("""COMPUTED_VALUE"""),0.281531034905076)</f>
        <v>0.28153103490507603</v>
      </c>
      <c r="L55" s="3">
        <f ca="1">IFERROR(__xludf.DUMMYFUNCTION("""COMPUTED_VALUE"""),0.110833222432234)</f>
        <v>0.11083322243223399</v>
      </c>
      <c r="M55" s="3">
        <f ca="1">IFERROR(__xludf.DUMMYFUNCTION("""COMPUTED_VALUE"""),0.083133318263211)</f>
        <v>8.3133318263211006E-2</v>
      </c>
      <c r="N55" s="3">
        <f ca="1">IFERROR(__xludf.DUMMYFUNCTION("""COMPUTED_VALUE"""),0.1585868056545)</f>
        <v>0.15858680565450001</v>
      </c>
      <c r="O55" s="3">
        <f ca="1">IFERROR(__xludf.DUMMYFUNCTION("""COMPUTED_VALUE"""),0.0612573786849073)</f>
        <v>6.1257378684907299E-2</v>
      </c>
      <c r="P55" s="3">
        <f ca="1">IFERROR(__xludf.DUMMYFUNCTION("""COMPUTED_VALUE"""),0.101159629848824)</f>
        <v>0.101159629848824</v>
      </c>
      <c r="Q55" s="3">
        <f ca="1">IFERROR(__xludf.DUMMYFUNCTION("""COMPUTED_VALUE"""),0.0910831013770407)</f>
        <v>9.1083101377040704E-2</v>
      </c>
      <c r="R55" s="3">
        <f ca="1">IFERROR(__xludf.DUMMYFUNCTION("""COMPUTED_VALUE"""),0.412515965010622)</f>
        <v>0.41251596501062199</v>
      </c>
      <c r="S55" s="3">
        <f ca="1">IFERROR(__xludf.DUMMYFUNCTION("""COMPUTED_VALUE"""),0.237136345690237)</f>
        <v>0.237136345690237</v>
      </c>
      <c r="T55" s="3">
        <f ca="1">IFERROR(__xludf.DUMMYFUNCTION("""COMPUTED_VALUE"""),0.227226524857648)</f>
        <v>0.22722652485764799</v>
      </c>
      <c r="U55" s="3">
        <f ca="1">IFERROR(__xludf.DUMMYFUNCTION("""COMPUTED_VALUE"""),0.186735580899186)</f>
        <v>0.18673558089918599</v>
      </c>
      <c r="V55" s="3">
        <f ca="1">IFERROR(__xludf.DUMMYFUNCTION("""COMPUTED_VALUE"""),0.157346559279549)</f>
        <v>0.15734655927954899</v>
      </c>
      <c r="W55" s="3">
        <f ca="1">IFERROR(__xludf.DUMMYFUNCTION("""COMPUTED_VALUE"""),0.163433698670503)</f>
        <v>0.163433698670503</v>
      </c>
      <c r="X55" s="3">
        <f ca="1">IFERROR(__xludf.DUMMYFUNCTION("""COMPUTED_VALUE"""),0.103805929497768)</f>
        <v>0.103805929497768</v>
      </c>
      <c r="Y55" s="3">
        <f ca="1">IFERROR(__xludf.DUMMYFUNCTION("""COMPUTED_VALUE"""),0.394259509282977)</f>
        <v>0.39425950928297698</v>
      </c>
      <c r="Z55" s="3">
        <f ca="1">IFERROR(__xludf.DUMMYFUNCTION("""COMPUTED_VALUE"""),0.254247918759493)</f>
        <v>0.25424791875949299</v>
      </c>
      <c r="AA55" s="3">
        <f ca="1">IFERROR(__xludf.DUMMYFUNCTION("""COMPUTED_VALUE"""),0.184737521049479)</f>
        <v>0.18473752104947899</v>
      </c>
      <c r="AB55" s="3">
        <f ca="1">IFERROR(__xludf.DUMMYFUNCTION("""COMPUTED_VALUE"""),0.180237676395363)</f>
        <v>0.18023767639536301</v>
      </c>
      <c r="AC55" s="3">
        <f ca="1">IFERROR(__xludf.DUMMYFUNCTION("""COMPUTED_VALUE"""),0.0494447339077506)</f>
        <v>4.9444733907750602E-2</v>
      </c>
      <c r="AD55" s="3">
        <f ca="1">IFERROR(__xludf.DUMMYFUNCTION("""COMPUTED_VALUE"""),0.131096596977196)</f>
        <v>0.131096596977196</v>
      </c>
      <c r="AE55" s="3">
        <f ca="1">IFERROR(__xludf.DUMMYFUNCTION("""COMPUTED_VALUE"""),0.0403616535386961)</f>
        <v>4.0361653538696099E-2</v>
      </c>
      <c r="AF55" s="3">
        <f ca="1">IFERROR(__xludf.DUMMYFUNCTION("""COMPUTED_VALUE"""),0.207583705539841)</f>
        <v>0.20758370553984101</v>
      </c>
      <c r="AG55" s="3">
        <f ca="1">IFERROR(__xludf.DUMMYFUNCTION("""COMPUTED_VALUE"""),0.211798136714141)</f>
        <v>0.21179813671414099</v>
      </c>
      <c r="AH55" s="3">
        <f ca="1">IFERROR(__xludf.DUMMYFUNCTION("""COMPUTED_VALUE"""),0.0462399327624178)</f>
        <v>4.62399327624178E-2</v>
      </c>
      <c r="AI55" s="3">
        <f ca="1">IFERROR(__xludf.DUMMYFUNCTION("""COMPUTED_VALUE"""),0.00365574456963435)</f>
        <v>3.6557445696343499E-3</v>
      </c>
      <c r="AJ55" s="3">
        <f ca="1">IFERROR(__xludf.DUMMYFUNCTION("""COMPUTED_VALUE"""),-0.0807271907362219)</f>
        <v>-8.0727190736221893E-2</v>
      </c>
      <c r="AK55" s="3">
        <f ca="1">IFERROR(__xludf.DUMMYFUNCTION("""COMPUTED_VALUE"""),0.00539642142815344)</f>
        <v>5.39642142815344E-3</v>
      </c>
      <c r="AL55" s="3">
        <f ca="1">IFERROR(__xludf.DUMMYFUNCTION("""COMPUTED_VALUE"""),-0.0338951242380525)</f>
        <v>-3.38951242380525E-2</v>
      </c>
      <c r="AM55" s="3">
        <f ca="1">IFERROR(__xludf.DUMMYFUNCTION("""COMPUTED_VALUE"""),0.250679563678559)</f>
        <v>0.25067956367855898</v>
      </c>
      <c r="AN55" s="3">
        <f ca="1">IFERROR(__xludf.DUMMYFUNCTION("""COMPUTED_VALUE"""),0.0382550934630763)</f>
        <v>3.8255093463076303E-2</v>
      </c>
      <c r="AO55" s="3">
        <f ca="1">IFERROR(__xludf.DUMMYFUNCTION("""COMPUTED_VALUE"""),0.0501528632001486)</f>
        <v>5.0152863200148598E-2</v>
      </c>
      <c r="AP55" s="3">
        <f ca="1">IFERROR(__xludf.DUMMYFUNCTION("""COMPUTED_VALUE"""),0.00716651407355484)</f>
        <v>7.1665140735548399E-3</v>
      </c>
      <c r="AQ55" s="3">
        <f ca="1">IFERROR(__xludf.DUMMYFUNCTION("""COMPUTED_VALUE"""),0.0481977432023335)</f>
        <v>4.8197743202333498E-2</v>
      </c>
      <c r="AR55" s="3">
        <f ca="1">IFERROR(__xludf.DUMMYFUNCTION("""COMPUTED_VALUE"""),-0.0343471647786693)</f>
        <v>-3.4347164778669302E-2</v>
      </c>
      <c r="AS55" s="3">
        <f ca="1">IFERROR(__xludf.DUMMYFUNCTION("""COMPUTED_VALUE"""),-0.018322948775863)</f>
        <v>-1.8322948775863001E-2</v>
      </c>
      <c r="AT55" s="3">
        <f ca="1">IFERROR(__xludf.DUMMYFUNCTION("""COMPUTED_VALUE"""),0.235032375972036)</f>
        <v>0.235032375972036</v>
      </c>
      <c r="AU55" s="3">
        <f ca="1">IFERROR(__xludf.DUMMYFUNCTION("""COMPUTED_VALUE"""),0.11018216866987)</f>
        <v>0.11018216866987</v>
      </c>
      <c r="AV55" s="3">
        <f ca="1">IFERROR(__xludf.DUMMYFUNCTION("""COMPUTED_VALUE"""),0.0727873083209043)</f>
        <v>7.2787308320904298E-2</v>
      </c>
      <c r="AW55" s="3">
        <f ca="1">IFERROR(__xludf.DUMMYFUNCTION("""COMPUTED_VALUE"""),0.0454361668733658)</f>
        <v>4.5436166873365803E-2</v>
      </c>
      <c r="AX55" s="3">
        <f ca="1">IFERROR(__xludf.DUMMYFUNCTION("""COMPUTED_VALUE"""),-0.0502444216155841)</f>
        <v>-5.0244421615584102E-2</v>
      </c>
      <c r="AY55" s="3">
        <f ca="1">IFERROR(__xludf.DUMMYFUNCTION("""COMPUTED_VALUE"""),-0.0360270048655626)</f>
        <v>-3.6027004865562602E-2</v>
      </c>
      <c r="AZ55" s="3">
        <f ca="1">IFERROR(__xludf.DUMMYFUNCTION("""COMPUTED_VALUE"""),-0.0249858103368965)</f>
        <v>-2.4985810336896501E-2</v>
      </c>
      <c r="BA55" s="3">
        <f ca="1">IFERROR(__xludf.DUMMYFUNCTION("""COMPUTED_VALUE"""),0.087527143962361)</f>
        <v>8.7527143962360998E-2</v>
      </c>
      <c r="BB55" s="3">
        <f ca="1">IFERROR(__xludf.DUMMYFUNCTION("""COMPUTED_VALUE"""),0.0540253211464722)</f>
        <v>5.4025321146472197E-2</v>
      </c>
      <c r="BC55" s="3">
        <f ca="1">IFERROR(__xludf.DUMMYFUNCTION("""COMPUTED_VALUE"""),-0.0164921488940984)</f>
        <v>-1.6492148894098401E-2</v>
      </c>
      <c r="BD55" s="3">
        <f ca="1">IFERROR(__xludf.DUMMYFUNCTION("""COMPUTED_VALUE"""),-0.0450911997427254)</f>
        <v>-4.50911997427254E-2</v>
      </c>
      <c r="BE55" s="3">
        <f ca="1">IFERROR(__xludf.DUMMYFUNCTION("""COMPUTED_VALUE"""),-0.0012847104751742)</f>
        <v>-1.2847104751742E-3</v>
      </c>
      <c r="BF55" s="3">
        <f ca="1">IFERROR(__xludf.DUMMYFUNCTION("""COMPUTED_VALUE"""),-0.0268179735738058)</f>
        <v>-2.68179735738058E-2</v>
      </c>
      <c r="BG55" s="3">
        <f ca="1">IFERROR(__xludf.DUMMYFUNCTION("""COMPUTED_VALUE"""),-0.0319806975191778)</f>
        <v>-3.19806975191778E-2</v>
      </c>
      <c r="BH55" s="3">
        <f ca="1">IFERROR(__xludf.DUMMYFUNCTION("""COMPUTED_VALUE"""),0.14612682753683)</f>
        <v>0.14612682753683001</v>
      </c>
      <c r="BI55" s="3">
        <f ca="1">IFERROR(__xludf.DUMMYFUNCTION("""COMPUTED_VALUE"""),0.0388860940029018)</f>
        <v>3.88860940029018E-2</v>
      </c>
      <c r="BJ55" s="3">
        <f ca="1">IFERROR(__xludf.DUMMYFUNCTION("""COMPUTED_VALUE"""),-0.00354762839457545)</f>
        <v>-3.5476283945754502E-3</v>
      </c>
      <c r="BK55" s="3">
        <f ca="1">IFERROR(__xludf.DUMMYFUNCTION("""COMPUTED_VALUE"""),-0.0627673543092317)</f>
        <v>-6.2767354309231693E-2</v>
      </c>
      <c r="BL55" s="3">
        <f ca="1">IFERROR(__xludf.DUMMYFUNCTION("""COMPUTED_VALUE"""),-0.18617520911859)</f>
        <v>-0.18617520911859001</v>
      </c>
      <c r="BM55" s="3">
        <f ca="1">IFERROR(__xludf.DUMMYFUNCTION("""COMPUTED_VALUE"""),-0.160153879720375)</f>
        <v>-0.16015387972037501</v>
      </c>
      <c r="BN55" s="3">
        <f ca="1">IFERROR(__xludf.DUMMYFUNCTION("""COMPUTED_VALUE"""),-0.134691552792393)</f>
        <v>-0.134691552792393</v>
      </c>
      <c r="BO55" s="3">
        <f ca="1">IFERROR(__xludf.DUMMYFUNCTION("""COMPUTED_VALUE"""),0.101533145935849)</f>
        <v>0.101533145935849</v>
      </c>
      <c r="BP55" s="3">
        <f ca="1">IFERROR(__xludf.DUMMYFUNCTION("""COMPUTED_VALUE"""),-0.16766704046685)</f>
        <v>-0.16766704046684999</v>
      </c>
      <c r="BQ55" s="3">
        <f ca="1">IFERROR(__xludf.DUMMYFUNCTION("""COMPUTED_VALUE"""),-0.112072687840184)</f>
        <v>-0.112072687840184</v>
      </c>
      <c r="BR55" s="3">
        <f ca="1">IFERROR(__xludf.DUMMYFUNCTION("""COMPUTED_VALUE"""),-0.200983556464853)</f>
        <v>-0.200983556464853</v>
      </c>
      <c r="BS55" s="3">
        <f ca="1">IFERROR(__xludf.DUMMYFUNCTION("""COMPUTED_VALUE"""),-0.246006249546758)</f>
        <v>-0.24600624954675801</v>
      </c>
      <c r="BT55" s="3">
        <f ca="1">IFERROR(__xludf.DUMMYFUNCTION("""COMPUTED_VALUE"""),-0.155776584038729)</f>
        <v>-0.15577658403872899</v>
      </c>
      <c r="BU55" s="3">
        <f ca="1">IFERROR(__xludf.DUMMYFUNCTION("""COMPUTED_VALUE"""),-0.189523086079934)</f>
        <v>-0.18952308607993401</v>
      </c>
      <c r="BV55" s="3">
        <f ca="1">IFERROR(__xludf.DUMMYFUNCTION("""COMPUTED_VALUE"""),0.0136449918073695)</f>
        <v>1.36449918073695E-2</v>
      </c>
      <c r="BW55" s="3">
        <f ca="1">IFERROR(__xludf.DUMMYFUNCTION("""COMPUTED_VALUE"""),-0.130094699583117)</f>
        <v>-0.13009469958311701</v>
      </c>
      <c r="BX55" s="3">
        <f ca="1">IFERROR(__xludf.DUMMYFUNCTION("""COMPUTED_VALUE"""),-0.153244523399041)</f>
        <v>-0.15324452339904099</v>
      </c>
      <c r="BY55" s="3">
        <f ca="1">IFERROR(__xludf.DUMMYFUNCTION("""COMPUTED_VALUE"""),-0.133196939333319)</f>
        <v>-0.133196939333319</v>
      </c>
      <c r="BZ55" s="3">
        <f ca="1">IFERROR(__xludf.DUMMYFUNCTION("""COMPUTED_VALUE"""),-0.217810125558502)</f>
        <v>-0.21781012555850199</v>
      </c>
      <c r="CA55" s="3">
        <f ca="1">IFERROR(__xludf.DUMMYFUNCTION("""COMPUTED_VALUE"""),-0.112028768726331)</f>
        <v>-0.112028768726331</v>
      </c>
      <c r="CB55" s="3">
        <f ca="1">IFERROR(__xludf.DUMMYFUNCTION("""COMPUTED_VALUE"""),-0.0979057868372492)</f>
        <v>-9.7905786837249195E-2</v>
      </c>
      <c r="CC55" s="3">
        <f ca="1">IFERROR(__xludf.DUMMYFUNCTION("""COMPUTED_VALUE"""),-0.0451297474132292)</f>
        <v>-4.5129747413229199E-2</v>
      </c>
      <c r="CD55" s="3">
        <f ca="1">IFERROR(__xludf.DUMMYFUNCTION("""COMPUTED_VALUE"""),-0.0822322949449413)</f>
        <v>-8.2232294944941303E-2</v>
      </c>
      <c r="CE55" s="3">
        <f ca="1">IFERROR(__xludf.DUMMYFUNCTION("""COMPUTED_VALUE"""),-0.123866297366592)</f>
        <v>-0.12386629736659199</v>
      </c>
      <c r="CF55" s="3">
        <f ca="1">IFERROR(__xludf.DUMMYFUNCTION("""COMPUTED_VALUE"""),-0.1950672988754)</f>
        <v>-0.1950672988754</v>
      </c>
      <c r="CG55" s="3">
        <f ca="1">IFERROR(__xludf.DUMMYFUNCTION("""COMPUTED_VALUE"""),-0.228091107441816)</f>
        <v>-0.22809110744181599</v>
      </c>
      <c r="CH55" s="3">
        <f ca="1">IFERROR(__xludf.DUMMYFUNCTION("""COMPUTED_VALUE"""),-0.171783185950989)</f>
        <v>-0.17178318595098899</v>
      </c>
      <c r="CI55" s="3">
        <f ca="1">IFERROR(__xludf.DUMMYFUNCTION("""COMPUTED_VALUE"""),-0.189612497461806)</f>
        <v>-0.189612497461806</v>
      </c>
      <c r="CJ55" s="3">
        <f ca="1">IFERROR(__xludf.DUMMYFUNCTION("""COMPUTED_VALUE"""),-0.0989036235224394)</f>
        <v>-9.8903623522439393E-2</v>
      </c>
      <c r="CK55" s="3">
        <f ca="1">IFERROR(__xludf.DUMMYFUNCTION("""COMPUTED_VALUE"""),-0.0461118734756196)</f>
        <v>-4.6111873475619597E-2</v>
      </c>
      <c r="CL55" s="3">
        <f ca="1">IFERROR(__xludf.DUMMYFUNCTION("""COMPUTED_VALUE"""),-0.163288631767184)</f>
        <v>-0.163288631767184</v>
      </c>
      <c r="CM55" s="3">
        <f ca="1">IFERROR(__xludf.DUMMYFUNCTION("""COMPUTED_VALUE"""),-0.209957870235957)</f>
        <v>-0.20995787023595699</v>
      </c>
      <c r="CN55" s="3">
        <f ca="1">IFERROR(__xludf.DUMMYFUNCTION("""COMPUTED_VALUE"""),-0.244695177606835)</f>
        <v>-0.24469517760683501</v>
      </c>
      <c r="CO55" s="3">
        <f ca="1">IFERROR(__xludf.DUMMYFUNCTION("""COMPUTED_VALUE"""),-0.223360046476932)</f>
        <v>-0.223360046476932</v>
      </c>
      <c r="CP55" s="3">
        <f ca="1">IFERROR(__xludf.DUMMYFUNCTION("""COMPUTED_VALUE"""),-0.0827355383002774)</f>
        <v>-8.2735538300277398E-2</v>
      </c>
      <c r="CQ55" s="3">
        <f ca="1">IFERROR(__xludf.DUMMYFUNCTION("""COMPUTED_VALUE"""),-0.060237934382631)</f>
        <v>-6.0237934382631003E-2</v>
      </c>
      <c r="CR55" s="3">
        <f ca="1">IFERROR(__xludf.DUMMYFUNCTION("""COMPUTED_VALUE"""),-0.0593664200225231)</f>
        <v>-5.9366420022523098E-2</v>
      </c>
      <c r="CS55" s="3">
        <f ca="1">IFERROR(__xludf.DUMMYFUNCTION("""COMPUTED_VALUE"""),-0.138549520838634)</f>
        <v>-0.138549520838634</v>
      </c>
      <c r="CT55" s="3">
        <f ca="1">IFERROR(__xludf.DUMMYFUNCTION("""COMPUTED_VALUE"""),-0.207832811786056)</f>
        <v>-0.207832811786056</v>
      </c>
      <c r="CU55" s="3">
        <f ca="1">IFERROR(__xludf.DUMMYFUNCTION("""COMPUTED_VALUE"""),0.000651725946807291)</f>
        <v>6.5172594680729101E-4</v>
      </c>
      <c r="CV55" s="3">
        <f ca="1">IFERROR(__xludf.DUMMYFUNCTION("""COMPUTED_VALUE"""),-0.1407706785422)</f>
        <v>-0.14077067854219999</v>
      </c>
      <c r="CW55" s="3">
        <f ca="1">IFERROR(__xludf.DUMMYFUNCTION("""COMPUTED_VALUE"""),-0.119283939522666)</f>
        <v>-0.119283939522666</v>
      </c>
      <c r="CX55" s="3">
        <f ca="1">IFERROR(__xludf.DUMMYFUNCTION("""COMPUTED_VALUE"""),0.0206911341759576)</f>
        <v>2.0691134175957599E-2</v>
      </c>
      <c r="CY55" s="3">
        <f ca="1">IFERROR(__xludf.DUMMYFUNCTION("""COMPUTED_VALUE"""),0.015640373271744)</f>
        <v>1.5640373271744001E-2</v>
      </c>
      <c r="CZ55" s="3">
        <f ca="1">IFERROR(__xludf.DUMMYFUNCTION("""COMPUTED_VALUE"""),-0.369468976251732)</f>
        <v>-0.36946897625173197</v>
      </c>
      <c r="DA55" s="3">
        <f ca="1">IFERROR(__xludf.DUMMYFUNCTION("""COMPUTED_VALUE"""),-0.101136151534304)</f>
        <v>-0.101136151534304</v>
      </c>
      <c r="DB55" s="3">
        <f ca="1">IFERROR(__xludf.DUMMYFUNCTION("""COMPUTED_VALUE"""),0.250404167623941)</f>
        <v>0.25040416762394102</v>
      </c>
      <c r="DC55" s="3">
        <f ca="1">IFERROR(__xludf.DUMMYFUNCTION("""COMPUTED_VALUE"""),-0.0755344597150506)</f>
        <v>-7.55344597150506E-2</v>
      </c>
      <c r="DD55" s="3">
        <f ca="1">IFERROR(__xludf.DUMMYFUNCTION("""COMPUTED_VALUE"""),-0.167927896764632)</f>
        <v>-0.16792789676463199</v>
      </c>
      <c r="DE55" s="3">
        <f ca="1">IFERROR(__xludf.DUMMYFUNCTION("""COMPUTED_VALUE"""),-0.120960810596656)</f>
        <v>-0.120960810596656</v>
      </c>
      <c r="DF55" s="3">
        <f ca="1">IFERROR(__xludf.DUMMYFUNCTION("""COMPUTED_VALUE"""),-0.16038044699201)</f>
        <v>-0.16038044699201001</v>
      </c>
      <c r="DG55" s="3">
        <f ca="1">IFERROR(__xludf.DUMMYFUNCTION("""COMPUTED_VALUE"""),-0.569413966707252)</f>
        <v>-0.56941396670725197</v>
      </c>
      <c r="DH55" s="3">
        <f ca="1">IFERROR(__xludf.DUMMYFUNCTION("""COMPUTED_VALUE"""),-0.148384793964881)</f>
        <v>-0.148384793964881</v>
      </c>
      <c r="DI55" s="3">
        <f ca="1">IFERROR(__xludf.DUMMYFUNCTION("""COMPUTED_VALUE"""),0.40022380748812)</f>
        <v>0.40022380748811998</v>
      </c>
      <c r="DJ55" s="3">
        <f ca="1">IFERROR(__xludf.DUMMYFUNCTION("""COMPUTED_VALUE"""),-0.0143064762063873)</f>
        <v>-1.43064762063873E-2</v>
      </c>
      <c r="DK55" s="3">
        <f ca="1">IFERROR(__xludf.DUMMYFUNCTION("""COMPUTED_VALUE"""),-0.0751361297566736)</f>
        <v>-7.5136129756673595E-2</v>
      </c>
      <c r="DL55" s="3">
        <f ca="1">IFERROR(__xludf.DUMMYFUNCTION("""COMPUTED_VALUE"""),0.04074171209249)</f>
        <v>4.0741712092490001E-2</v>
      </c>
      <c r="DM55" s="3">
        <f ca="1">IFERROR(__xludf.DUMMYFUNCTION("""COMPUTED_VALUE"""),-0.0168423769571158)</f>
        <v>-1.6842376957115799E-2</v>
      </c>
      <c r="DN55" s="3">
        <f ca="1">IFERROR(__xludf.DUMMYFUNCTION("""COMPUTED_VALUE"""),-0.0402242181170801)</f>
        <v>-4.0224218117080102E-2</v>
      </c>
      <c r="DO55" s="3">
        <f ca="1">IFERROR(__xludf.DUMMYFUNCTION("""COMPUTED_VALUE"""),0.0202481077696434)</f>
        <v>2.0248107769643399E-2</v>
      </c>
      <c r="DP55" s="3">
        <f ca="1">IFERROR(__xludf.DUMMYFUNCTION("""COMPUTED_VALUE"""),0.152323786959019)</f>
        <v>0.15232378695901899</v>
      </c>
      <c r="DQ55" s="3">
        <f ca="1">IFERROR(__xludf.DUMMYFUNCTION("""COMPUTED_VALUE"""),-0.122875049312364)</f>
        <v>-0.122875049312364</v>
      </c>
      <c r="DR55" s="3">
        <f ca="1">IFERROR(__xludf.DUMMYFUNCTION("""COMPUTED_VALUE"""),-0.0481769274745594)</f>
        <v>-4.81769274745594E-2</v>
      </c>
      <c r="DS55" s="3">
        <f ca="1">IFERROR(__xludf.DUMMYFUNCTION("""COMPUTED_VALUE"""),0.0852551231256353)</f>
        <v>8.5255123125635296E-2</v>
      </c>
      <c r="DT55" s="3">
        <f ca="1">IFERROR(__xludf.DUMMYFUNCTION("""COMPUTED_VALUE"""),-0.0120898359385197)</f>
        <v>-1.20898359385197E-2</v>
      </c>
      <c r="DU55" s="3">
        <f ca="1">IFERROR(__xludf.DUMMYFUNCTION("""COMPUTED_VALUE"""),-0.139730639514733)</f>
        <v>-0.139730639514733</v>
      </c>
      <c r="DV55" s="3">
        <f ca="1">IFERROR(__xludf.DUMMYFUNCTION("""COMPUTED_VALUE"""),-0.094732694366156)</f>
        <v>-9.4732694366156001E-2</v>
      </c>
      <c r="DW55" s="3">
        <f ca="1">IFERROR(__xludf.DUMMYFUNCTION("""COMPUTED_VALUE"""),-0.161022805863084)</f>
        <v>-0.16102280586308401</v>
      </c>
      <c r="DX55" s="3">
        <f ca="1">IFERROR(__xludf.DUMMYFUNCTION("""COMPUTED_VALUE"""),-0.176668518423597)</f>
        <v>-0.17666851842359699</v>
      </c>
      <c r="DY55" s="3">
        <f ca="1">IFERROR(__xludf.DUMMYFUNCTION("""COMPUTED_VALUE"""),-0.19152569899608)</f>
        <v>-0.19152569899607999</v>
      </c>
      <c r="DZ55" s="3">
        <f ca="1">IFERROR(__xludf.DUMMYFUNCTION("""COMPUTED_VALUE"""),-0.0943440959210775)</f>
        <v>-9.4344095921077495E-2</v>
      </c>
      <c r="EA55" s="3">
        <f ca="1">IFERROR(__xludf.DUMMYFUNCTION("""COMPUTED_VALUE"""),-0.03952929491729)</f>
        <v>-3.952929491729E-2</v>
      </c>
      <c r="EB55" s="3">
        <f ca="1">IFERROR(__xludf.DUMMYFUNCTION("""COMPUTED_VALUE"""),-0.0792875796564593)</f>
        <v>-7.9287579656459301E-2</v>
      </c>
      <c r="EC55" s="3">
        <f ca="1">IFERROR(__xludf.DUMMYFUNCTION("""COMPUTED_VALUE"""),0.0498192029004189)</f>
        <v>4.9819202900418899E-2</v>
      </c>
      <c r="ED55" s="3">
        <f ca="1">IFERROR(__xludf.DUMMYFUNCTION("""COMPUTED_VALUE"""),-0.130576033901399)</f>
        <v>-0.13057603390139899</v>
      </c>
      <c r="EE55" s="3">
        <f ca="1">IFERROR(__xludf.DUMMYFUNCTION("""COMPUTED_VALUE"""),-0.13559246377984)</f>
        <v>-0.13559246377983999</v>
      </c>
      <c r="EF55" s="3">
        <f ca="1">IFERROR(__xludf.DUMMYFUNCTION("""COMPUTED_VALUE"""),-0.108060831410983)</f>
        <v>-0.10806083141098299</v>
      </c>
      <c r="EG55" s="3">
        <f ca="1">IFERROR(__xludf.DUMMYFUNCTION("""COMPUTED_VALUE"""),-0.100249719955268)</f>
        <v>-0.100249719955268</v>
      </c>
      <c r="EH55" s="3">
        <f ca="1">IFERROR(__xludf.DUMMYFUNCTION("""COMPUTED_VALUE"""),-0.192192727888233)</f>
        <v>-0.19219272788823299</v>
      </c>
      <c r="EI55" s="3">
        <f ca="1">IFERROR(__xludf.DUMMYFUNCTION("""COMPUTED_VALUE"""),-0.27531591663453)</f>
        <v>-0.27531591663452998</v>
      </c>
      <c r="EJ55" s="3">
        <f ca="1">IFERROR(__xludf.DUMMYFUNCTION("""COMPUTED_VALUE"""),-0.468952409727488)</f>
        <v>-0.46895240972748797</v>
      </c>
      <c r="EK55" s="3">
        <f ca="1">IFERROR(__xludf.DUMMYFUNCTION("""COMPUTED_VALUE"""),-0.168094750317328)</f>
        <v>-0.16809475031732801</v>
      </c>
      <c r="EL55" s="3">
        <f ca="1">IFERROR(__xludf.DUMMYFUNCTION("""COMPUTED_VALUE"""),-0.262857913583459)</f>
        <v>-0.262857913583459</v>
      </c>
      <c r="EM55" s="3">
        <f ca="1">IFERROR(__xludf.DUMMYFUNCTION("""COMPUTED_VALUE"""),-0.219812315431608)</f>
        <v>-0.21981231543160801</v>
      </c>
      <c r="EN55" s="3">
        <f ca="1">IFERROR(__xludf.DUMMYFUNCTION("""COMPUTED_VALUE"""),-0.194151356565843)</f>
        <v>-0.19415135656584301</v>
      </c>
      <c r="EO55" s="3">
        <f ca="1">IFERROR(__xludf.DUMMYFUNCTION("""COMPUTED_VALUE"""),-0.144220087810527)</f>
        <v>-0.144220087810527</v>
      </c>
      <c r="EP55" s="3">
        <f ca="1">IFERROR(__xludf.DUMMYFUNCTION("""COMPUTED_VALUE"""),-0.130889142472617)</f>
        <v>-0.13088914247261699</v>
      </c>
      <c r="EQ55" s="3">
        <f ca="1">IFERROR(__xludf.DUMMYFUNCTION("""COMPUTED_VALUE"""),-0.0656784734629419)</f>
        <v>-6.5678473462941894E-2</v>
      </c>
      <c r="ER55" s="3">
        <f ca="1">IFERROR(__xludf.DUMMYFUNCTION("""COMPUTED_VALUE"""),-0.178252369362069)</f>
        <v>-0.17825236936206901</v>
      </c>
      <c r="ES55" s="3">
        <f ca="1">IFERROR(__xludf.DUMMYFUNCTION("""COMPUTED_VALUE"""),-0.24368439092188)</f>
        <v>-0.24368439092187999</v>
      </c>
      <c r="ET55" s="3">
        <f ca="1">IFERROR(__xludf.DUMMYFUNCTION("""COMPUTED_VALUE"""),-0.12760373241224)</f>
        <v>-0.12760373241223999</v>
      </c>
      <c r="EU55" s="3">
        <f ca="1">IFERROR(__xludf.DUMMYFUNCTION("""COMPUTED_VALUE"""),-0.0314465611188323)</f>
        <v>-3.1446561118832303E-2</v>
      </c>
      <c r="EV55" s="3">
        <f ca="1">IFERROR(__xludf.DUMMYFUNCTION("""COMPUTED_VALUE"""),-0.198686327114155)</f>
        <v>-0.19868632711415499</v>
      </c>
      <c r="EW55" s="3">
        <f ca="1">IFERROR(__xludf.DUMMYFUNCTION("""COMPUTED_VALUE"""),-0.101055213823672)</f>
        <v>-0.101055213823672</v>
      </c>
      <c r="EX55" s="3">
        <f ca="1">IFERROR(__xludf.DUMMYFUNCTION("""COMPUTED_VALUE"""),-0.264312496961013)</f>
        <v>-0.264312496961013</v>
      </c>
      <c r="EY55" s="3">
        <f ca="1">IFERROR(__xludf.DUMMYFUNCTION("""COMPUTED_VALUE"""),-0.242137147562973)</f>
        <v>-0.242137147562973</v>
      </c>
      <c r="EZ55" s="3">
        <f ca="1">IFERROR(__xludf.DUMMYFUNCTION("""COMPUTED_VALUE"""),-0.293083190337277)</f>
        <v>-0.29308319033727698</v>
      </c>
      <c r="FA55" s="3">
        <f ca="1">IFERROR(__xludf.DUMMYFUNCTION("""COMPUTED_VALUE"""),-0.44822670649957)</f>
        <v>-0.44822670649957003</v>
      </c>
      <c r="FB55" s="3">
        <f ca="1">IFERROR(__xludf.DUMMYFUNCTION("""COMPUTED_VALUE"""),-0.429496978673282)</f>
        <v>-0.42949697867328201</v>
      </c>
      <c r="FC55" s="3">
        <f ca="1">IFERROR(__xludf.DUMMYFUNCTION("""COMPUTED_VALUE"""),-0.363271222838616)</f>
        <v>-0.36327122283861601</v>
      </c>
      <c r="FD55" s="3">
        <f ca="1">IFERROR(__xludf.DUMMYFUNCTION("""COMPUTED_VALUE"""),-0.22776664162947)</f>
        <v>-0.22776664162947</v>
      </c>
      <c r="FE55" s="3">
        <f ca="1">IFERROR(__xludf.DUMMYFUNCTION("""COMPUTED_VALUE"""),-0.28285594404961)</f>
        <v>-0.28285594404961001</v>
      </c>
      <c r="FF55" s="3">
        <f ca="1">IFERROR(__xludf.DUMMYFUNCTION("""COMPUTED_VALUE"""),-0.240880765453589)</f>
        <v>-0.240880765453589</v>
      </c>
      <c r="FG55" s="3">
        <f ca="1">IFERROR(__xludf.DUMMYFUNCTION("""COMPUTED_VALUE"""),-0.280001228893652)</f>
        <v>-0.28000122889365198</v>
      </c>
      <c r="FH55" s="3">
        <f ca="1">IFERROR(__xludf.DUMMYFUNCTION("""COMPUTED_VALUE"""),-0.178716702198121)</f>
        <v>-0.178716702198121</v>
      </c>
      <c r="FI55" s="3">
        <f ca="1">IFERROR(__xludf.DUMMYFUNCTION("""COMPUTED_VALUE"""),0.0275282787107211)</f>
        <v>2.75282787107211E-2</v>
      </c>
      <c r="FJ55" s="3">
        <f ca="1">IFERROR(__xludf.DUMMYFUNCTION("""COMPUTED_VALUE"""),-0.184398983128067)</f>
        <v>-0.18439898312806699</v>
      </c>
      <c r="FK55" s="3">
        <f ca="1">IFERROR(__xludf.DUMMYFUNCTION("""COMPUTED_VALUE"""),-0.0462861863683503)</f>
        <v>-4.6286186368350302E-2</v>
      </c>
      <c r="FL55" s="3">
        <f ca="1">IFERROR(__xludf.DUMMYFUNCTION("""COMPUTED_VALUE"""),0.202968665488758)</f>
        <v>0.202968665488758</v>
      </c>
      <c r="FM55" s="3">
        <f ca="1">IFERROR(__xludf.DUMMYFUNCTION("""COMPUTED_VALUE"""),-0.184584352644677)</f>
        <v>-0.18458435264467701</v>
      </c>
      <c r="FN55" s="3">
        <f ca="1">IFERROR(__xludf.DUMMYFUNCTION("""COMPUTED_VALUE"""),-0.215660574102636)</f>
        <v>-0.215660574102636</v>
      </c>
      <c r="FO55" s="3">
        <f ca="1">IFERROR(__xludf.DUMMYFUNCTION("""COMPUTED_VALUE"""),-0.226718178471324)</f>
        <v>-0.226718178471324</v>
      </c>
      <c r="FP55" s="3">
        <f ca="1">IFERROR(__xludf.DUMMYFUNCTION("""COMPUTED_VALUE"""),-0.232645927170928)</f>
        <v>-0.232645927170928</v>
      </c>
      <c r="FQ55" s="3">
        <f ca="1">IFERROR(__xludf.DUMMYFUNCTION("""COMPUTED_VALUE"""),-0.199664007446216)</f>
        <v>-0.19966400744621601</v>
      </c>
      <c r="FR55" s="3">
        <f ca="1">IFERROR(__xludf.DUMMYFUNCTION("""COMPUTED_VALUE"""),-0.243648662184774)</f>
        <v>-0.24364866218477399</v>
      </c>
      <c r="FS55" s="3">
        <f ca="1">IFERROR(__xludf.DUMMYFUNCTION("""COMPUTED_VALUE"""),-0.323707834032892)</f>
        <v>-0.32370783403289199</v>
      </c>
      <c r="FT55" s="3">
        <f ca="1">IFERROR(__xludf.DUMMYFUNCTION("""COMPUTED_VALUE"""),-0.417708017044751)</f>
        <v>-0.41770801704475102</v>
      </c>
      <c r="FU55" s="3">
        <f ca="1">IFERROR(__xludf.DUMMYFUNCTION("""COMPUTED_VALUE"""),-0.312983351358015)</f>
        <v>-0.31298335135801503</v>
      </c>
      <c r="FV55" s="3">
        <f ca="1">IFERROR(__xludf.DUMMYFUNCTION("""COMPUTED_VALUE"""),-0.251522962719784)</f>
        <v>-0.25152296271978403</v>
      </c>
      <c r="FW55" s="3">
        <f ca="1">IFERROR(__xludf.DUMMYFUNCTION("""COMPUTED_VALUE"""),-0.169127352181195)</f>
        <v>-0.16912735218119501</v>
      </c>
      <c r="FX55" s="3">
        <f ca="1">IFERROR(__xludf.DUMMYFUNCTION("""COMPUTED_VALUE"""),-0.0949559412204676)</f>
        <v>-9.4955941220467605E-2</v>
      </c>
      <c r="FY55" s="3">
        <f ca="1">IFERROR(__xludf.DUMMYFUNCTION("""COMPUTED_VALUE"""),-0.307473688322706)</f>
        <v>-0.307473688322706</v>
      </c>
      <c r="FZ55" s="3">
        <f ca="1">IFERROR(__xludf.DUMMYFUNCTION("""COMPUTED_VALUE"""),-0.208710103635975)</f>
        <v>-0.208710103635975</v>
      </c>
      <c r="GA55" s="3">
        <f ca="1">IFERROR(__xludf.DUMMYFUNCTION("""COMPUTED_VALUE"""),-0.185212357310589)</f>
        <v>-0.18521235731058899</v>
      </c>
      <c r="GB55" s="3">
        <f ca="1">IFERROR(__xludf.DUMMYFUNCTION("""COMPUTED_VALUE"""),-0.19831294747478)</f>
        <v>-0.19831294747478001</v>
      </c>
      <c r="GC55" s="3">
        <f ca="1">IFERROR(__xludf.DUMMYFUNCTION("""COMPUTED_VALUE"""),-0.185627906649138)</f>
        <v>-0.185627906649138</v>
      </c>
      <c r="GD55" s="3">
        <f ca="1">IFERROR(__xludf.DUMMYFUNCTION("""COMPUTED_VALUE"""),-0.136184367938376)</f>
        <v>-0.13618436793837599</v>
      </c>
      <c r="GE55" s="3">
        <f ca="1">IFERROR(__xludf.DUMMYFUNCTION("""COMPUTED_VALUE"""),-0.165125532526016)</f>
        <v>-0.165125532526016</v>
      </c>
      <c r="GF55" s="3">
        <f ca="1">IFERROR(__xludf.DUMMYFUNCTION("""COMPUTED_VALUE"""),-0.242711485438603)</f>
        <v>-0.24271148543860299</v>
      </c>
      <c r="GG55" s="3">
        <f ca="1">IFERROR(__xludf.DUMMYFUNCTION("""COMPUTED_VALUE"""),-0.242973100896158)</f>
        <v>-0.24297310089615801</v>
      </c>
      <c r="GH55" s="3">
        <f ca="1">IFERROR(__xludf.DUMMYFUNCTION("""COMPUTED_VALUE"""),-0.229666055739778)</f>
        <v>-0.229666055739778</v>
      </c>
      <c r="GI55" s="3">
        <f ca="1">IFERROR(__xludf.DUMMYFUNCTION("""COMPUTED_VALUE"""),-0.216453924810654)</f>
        <v>-0.21645392481065401</v>
      </c>
      <c r="GJ55" s="3">
        <f ca="1">IFERROR(__xludf.DUMMYFUNCTION("""COMPUTED_VALUE"""),-0.226484309006175)</f>
        <v>-0.226484309006175</v>
      </c>
      <c r="GK55" s="3">
        <f ca="1">IFERROR(__xludf.DUMMYFUNCTION("""COMPUTED_VALUE"""),-0.188940477164148)</f>
        <v>-0.188940477164148</v>
      </c>
      <c r="GL55" s="3">
        <f ca="1">IFERROR(__xludf.DUMMYFUNCTION("""COMPUTED_VALUE"""),-0.284891338249871)</f>
        <v>-0.28489133824987101</v>
      </c>
      <c r="GM55" s="3">
        <f ca="1">IFERROR(__xludf.DUMMYFUNCTION("""COMPUTED_VALUE"""),-0.335813133313583)</f>
        <v>-0.33581313331358298</v>
      </c>
      <c r="GN55" s="3">
        <f ca="1">IFERROR(__xludf.DUMMYFUNCTION("""COMPUTED_VALUE"""),-0.28430037186601)</f>
        <v>-0.28430037186600998</v>
      </c>
      <c r="GO55" s="3">
        <f ca="1">IFERROR(__xludf.DUMMYFUNCTION("""COMPUTED_VALUE"""),-0.345433301004774)</f>
        <v>-0.34543330100477398</v>
      </c>
      <c r="GP55" s="3">
        <f ca="1">IFERROR(__xludf.DUMMYFUNCTION("""COMPUTED_VALUE"""),-0.2813870992647)</f>
        <v>-0.28138709926470001</v>
      </c>
      <c r="GQ55" s="3">
        <f ca="1">IFERROR(__xludf.DUMMYFUNCTION("""COMPUTED_VALUE"""),-0.257488914404609)</f>
        <v>-0.25748891440460903</v>
      </c>
      <c r="GR55" s="3">
        <f ca="1">IFERROR(__xludf.DUMMYFUNCTION("""COMPUTED_VALUE"""),-0.16797159160151)</f>
        <v>-0.16797159160151001</v>
      </c>
      <c r="GS55" s="3">
        <f ca="1">IFERROR(__xludf.DUMMYFUNCTION("""COMPUTED_VALUE"""),-0.291326572236085)</f>
        <v>-0.29132657223608499</v>
      </c>
      <c r="GT55" s="3">
        <f ca="1">IFERROR(__xludf.DUMMYFUNCTION("""COMPUTED_VALUE"""),-0.35399688555272)</f>
        <v>-0.35399688555272002</v>
      </c>
      <c r="GU55" s="3">
        <f ca="1">IFERROR(__xludf.DUMMYFUNCTION("""COMPUTED_VALUE"""),-0.367903211512948)</f>
        <v>-0.36790321151294803</v>
      </c>
      <c r="GV55" s="3">
        <f ca="1">IFERROR(__xludf.DUMMYFUNCTION("""COMPUTED_VALUE"""),-0.314899318377667)</f>
        <v>-0.31489931837766699</v>
      </c>
      <c r="GW55" s="3">
        <f ca="1">IFERROR(__xludf.DUMMYFUNCTION("""COMPUTED_VALUE"""),-0.307880281525504)</f>
        <v>-0.30788028152550401</v>
      </c>
      <c r="GX55" s="3">
        <f ca="1">IFERROR(__xludf.DUMMYFUNCTION("""COMPUTED_VALUE"""),-0.360533795130838)</f>
        <v>-0.360533795130838</v>
      </c>
      <c r="GY55" s="3">
        <f ca="1">IFERROR(__xludf.DUMMYFUNCTION("""COMPUTED_VALUE"""),-0.13848659535625)</f>
        <v>-0.13848659535624999</v>
      </c>
      <c r="GZ55" s="3">
        <f ca="1">IFERROR(__xludf.DUMMYFUNCTION("""COMPUTED_VALUE"""),-0.134706062866723)</f>
        <v>-0.13470606286672299</v>
      </c>
      <c r="HA55" s="3">
        <f ca="1">IFERROR(__xludf.DUMMYFUNCTION("""COMPUTED_VALUE"""),-0.262676972022543)</f>
        <v>-0.26267697202254298</v>
      </c>
      <c r="HB55" s="3">
        <f ca="1">IFERROR(__xludf.DUMMYFUNCTION("""COMPUTED_VALUE"""),-0.298108912299375)</f>
        <v>-0.29810891229937497</v>
      </c>
      <c r="HC55" s="3">
        <f ca="1">IFERROR(__xludf.DUMMYFUNCTION("""COMPUTED_VALUE"""),-0.308290528851458)</f>
        <v>-0.30829052885145802</v>
      </c>
      <c r="HD55" s="3">
        <f ca="1">IFERROR(__xludf.DUMMYFUNCTION("""COMPUTED_VALUE"""),-0.299543725757381)</f>
        <v>-0.29954372575738097</v>
      </c>
      <c r="HE55" s="3">
        <f ca="1">IFERROR(__xludf.DUMMYFUNCTION("""COMPUTED_VALUE"""),-0.282698623273507)</f>
        <v>-0.28269862327350698</v>
      </c>
      <c r="HF55" s="3">
        <f ca="1">IFERROR(__xludf.DUMMYFUNCTION("""COMPUTED_VALUE"""),-0.0629023207940473)</f>
        <v>-6.2902320794047298E-2</v>
      </c>
      <c r="HG55" s="3">
        <f ca="1">IFERROR(__xludf.DUMMYFUNCTION("""COMPUTED_VALUE"""),-0.335056642129983)</f>
        <v>-0.33505664212998298</v>
      </c>
      <c r="HH55" s="3">
        <f ca="1">IFERROR(__xludf.DUMMYFUNCTION("""COMPUTED_VALUE"""),-0.27207724099339)</f>
        <v>-0.27207724099338998</v>
      </c>
      <c r="HI55" s="3">
        <f ca="1">IFERROR(__xludf.DUMMYFUNCTION("""COMPUTED_VALUE"""),-0.32213369132719)</f>
        <v>-0.32213369132719</v>
      </c>
      <c r="HJ55" s="3">
        <f ca="1">IFERROR(__xludf.DUMMYFUNCTION("""COMPUTED_VALUE"""),-0.35800110665086)</f>
        <v>-0.35800110665085999</v>
      </c>
      <c r="HK55" s="3">
        <f ca="1">IFERROR(__xludf.DUMMYFUNCTION("""COMPUTED_VALUE"""),-0.234381308834014)</f>
        <v>-0.23438130883401401</v>
      </c>
      <c r="HL55" s="3">
        <f ca="1">IFERROR(__xludf.DUMMYFUNCTION("""COMPUTED_VALUE"""),-0.20194152447516)</f>
        <v>-0.20194152447516001</v>
      </c>
      <c r="HM55" s="3">
        <f ca="1">IFERROR(__xludf.DUMMYFUNCTION("""COMPUTED_VALUE"""),-0.0658473898395491)</f>
        <v>-6.5847389839549103E-2</v>
      </c>
      <c r="HN55" s="3">
        <f ca="1">IFERROR(__xludf.DUMMYFUNCTION("""COMPUTED_VALUE"""),-0.127393215935407)</f>
        <v>-0.12739321593540701</v>
      </c>
      <c r="HO55" s="3">
        <f ca="1">IFERROR(__xludf.DUMMYFUNCTION("""COMPUTED_VALUE"""),-0.20842862449139)</f>
        <v>-0.20842862449138999</v>
      </c>
      <c r="HP55" s="3">
        <f ca="1">IFERROR(__xludf.DUMMYFUNCTION("""COMPUTED_VALUE"""),-0.29123019329997)</f>
        <v>-0.29123019329997002</v>
      </c>
      <c r="HQ55" s="3">
        <f ca="1">IFERROR(__xludf.DUMMYFUNCTION("""COMPUTED_VALUE"""),-0.343761883004851)</f>
        <v>-0.343761883004851</v>
      </c>
      <c r="HR55" s="3">
        <f ca="1">IFERROR(__xludf.DUMMYFUNCTION("""COMPUTED_VALUE"""),-0.131408165492476)</f>
        <v>-0.131408165492476</v>
      </c>
      <c r="HS55" s="3">
        <f ca="1">IFERROR(__xludf.DUMMYFUNCTION("""COMPUTED_VALUE"""),-0.189244884323371)</f>
        <v>-0.189244884323371</v>
      </c>
      <c r="HT55" s="3">
        <f ca="1">IFERROR(__xludf.DUMMYFUNCTION("""COMPUTED_VALUE"""),-0.0262704209744523)</f>
        <v>-2.6270420974452299E-2</v>
      </c>
      <c r="HU55" s="3">
        <f ca="1">IFERROR(__xludf.DUMMYFUNCTION("""COMPUTED_VALUE"""),-0.154298809157293)</f>
        <v>-0.15429880915729299</v>
      </c>
      <c r="HV55" s="3">
        <f ca="1">IFERROR(__xludf.DUMMYFUNCTION("""COMPUTED_VALUE"""),-0.201205177062636)</f>
        <v>-0.20120517706263599</v>
      </c>
      <c r="HW55" s="3">
        <f ca="1">IFERROR(__xludf.DUMMYFUNCTION("""COMPUTED_VALUE"""),-0.309644600579806)</f>
        <v>-0.30964460057980597</v>
      </c>
      <c r="HX55" s="3">
        <f ca="1">IFERROR(__xludf.DUMMYFUNCTION("""COMPUTED_VALUE"""),-0.355239459082624)</f>
        <v>-0.355239459082624</v>
      </c>
      <c r="HY55" s="3">
        <f ca="1">IFERROR(__xludf.DUMMYFUNCTION("""COMPUTED_VALUE"""),-0.229314049339849)</f>
        <v>-0.229314049339849</v>
      </c>
      <c r="HZ55" s="3">
        <f ca="1">IFERROR(__xludf.DUMMYFUNCTION("""COMPUTED_VALUE"""),-0.225811268893221)</f>
        <v>-0.22581126889322101</v>
      </c>
      <c r="IA55" s="3">
        <f ca="1">IFERROR(__xludf.DUMMYFUNCTION("""COMPUTED_VALUE"""),-0.129072408552175)</f>
        <v>-0.129072408552175</v>
      </c>
      <c r="IB55" s="3">
        <f ca="1">IFERROR(__xludf.DUMMYFUNCTION("""COMPUTED_VALUE"""),-0.133071702850058)</f>
        <v>-0.13307170285005801</v>
      </c>
      <c r="IC55" s="3">
        <f ca="1">IFERROR(__xludf.DUMMYFUNCTION("""COMPUTED_VALUE"""),-0.237254697497593)</f>
        <v>-0.23725469749759301</v>
      </c>
      <c r="ID55" s="3">
        <f ca="1">IFERROR(__xludf.DUMMYFUNCTION("""COMPUTED_VALUE"""),-0.316218778579504)</f>
        <v>-0.31621877857950398</v>
      </c>
      <c r="IE55" s="3">
        <f ca="1">IFERROR(__xludf.DUMMYFUNCTION("""COMPUTED_VALUE"""),-0.356639946262818)</f>
        <v>-0.35663994626281798</v>
      </c>
      <c r="IF55" s="3">
        <f ca="1">IFERROR(__xludf.DUMMYFUNCTION("""COMPUTED_VALUE"""),-0.336444447588664)</f>
        <v>-0.33644444758866399</v>
      </c>
      <c r="IG55" s="3">
        <f ca="1">IFERROR(__xludf.DUMMYFUNCTION("""COMPUTED_VALUE"""),-0.335229935688562)</f>
        <v>-0.33522993568856202</v>
      </c>
      <c r="IH55" s="3">
        <f ca="1">IFERROR(__xludf.DUMMYFUNCTION("""COMPUTED_VALUE"""),-0.0994744559419026)</f>
        <v>-9.9474455941902601E-2</v>
      </c>
      <c r="II55" s="3">
        <f ca="1">IFERROR(__xludf.DUMMYFUNCTION("""COMPUTED_VALUE"""),-0.248369397411619)</f>
        <v>-0.24836939741161901</v>
      </c>
      <c r="IJ55" s="3">
        <f ca="1">IFERROR(__xludf.DUMMYFUNCTION("""COMPUTED_VALUE"""),-0.270265089784944)</f>
        <v>-0.27026508978494401</v>
      </c>
      <c r="IK55" s="3">
        <f ca="1">IFERROR(__xludf.DUMMYFUNCTION("""COMPUTED_VALUE"""),-0.305241341724934)</f>
        <v>-0.305241341724934</v>
      </c>
      <c r="IL55" s="3">
        <f ca="1">IFERROR(__xludf.DUMMYFUNCTION("""COMPUTED_VALUE"""),-0.314818144888607)</f>
        <v>-0.31481814488860699</v>
      </c>
      <c r="IM55" s="3">
        <f ca="1">IFERROR(__xludf.DUMMYFUNCTION("""COMPUTED_VALUE"""),-0.339369246803903)</f>
        <v>-0.33936924680390301</v>
      </c>
      <c r="IN55" s="3">
        <f ca="1">IFERROR(__xludf.DUMMYFUNCTION("""COMPUTED_VALUE"""),-0.298195966663802)</f>
        <v>-0.29819596666380199</v>
      </c>
      <c r="IO55" s="3">
        <f ca="1">IFERROR(__xludf.DUMMYFUNCTION("""COMPUTED_VALUE"""),-0.190311082252028)</f>
        <v>-0.190311082252028</v>
      </c>
      <c r="IP55" s="3">
        <f ca="1">IFERROR(__xludf.DUMMYFUNCTION("""COMPUTED_VALUE"""),-0.26764903663706)</f>
        <v>-0.26764903663706002</v>
      </c>
      <c r="IQ55" s="3">
        <f ca="1">IFERROR(__xludf.DUMMYFUNCTION("""COMPUTED_VALUE"""),-0.278291894700959)</f>
        <v>-0.278291894700959</v>
      </c>
      <c r="IR55" s="3">
        <f ca="1">IFERROR(__xludf.DUMMYFUNCTION("""COMPUTED_VALUE"""),-0.267058061833922)</f>
        <v>-0.267058061833922</v>
      </c>
      <c r="IS55" s="3">
        <f ca="1">IFERROR(__xludf.DUMMYFUNCTION("""COMPUTED_VALUE"""),-0.276263972162482)</f>
        <v>-0.276263972162482</v>
      </c>
      <c r="IT55" s="3">
        <f ca="1">IFERROR(__xludf.DUMMYFUNCTION("""COMPUTED_VALUE"""),-0.271208323131976)</f>
        <v>-0.27120832313197601</v>
      </c>
      <c r="IU55" s="3">
        <f ca="1">IFERROR(__xludf.DUMMYFUNCTION("""COMPUTED_VALUE"""),-0.362971278107139)</f>
        <v>-0.36297127810713897</v>
      </c>
      <c r="IV55" s="3">
        <f ca="1">IFERROR(__xludf.DUMMYFUNCTION("""COMPUTED_VALUE"""),-0.302520779247161)</f>
        <v>-0.30252077924716098</v>
      </c>
      <c r="IW55" s="3">
        <f ca="1">IFERROR(__xludf.DUMMYFUNCTION("""COMPUTED_VALUE"""),-0.364291001647133)</f>
        <v>-0.36429100164713302</v>
      </c>
      <c r="IX55" s="3">
        <f ca="1">IFERROR(__xludf.DUMMYFUNCTION("""COMPUTED_VALUE"""),-0.288475841410708)</f>
        <v>-0.28847584141070798</v>
      </c>
      <c r="IY55" s="3">
        <f ca="1">IFERROR(__xludf.DUMMYFUNCTION("""COMPUTED_VALUE"""),-0.206838351281538)</f>
        <v>-0.20683835128153799</v>
      </c>
      <c r="IZ55" s="3">
        <f ca="1">IFERROR(__xludf.DUMMYFUNCTION("""COMPUTED_VALUE"""),-0.297996781934365)</f>
        <v>-0.29799678193436502</v>
      </c>
      <c r="JA55" s="3">
        <f ca="1">IFERROR(__xludf.DUMMYFUNCTION("""COMPUTED_VALUE"""),-0.318249482272911)</f>
        <v>-0.318249482272911</v>
      </c>
      <c r="JB55" s="3">
        <f ca="1">IFERROR(__xludf.DUMMYFUNCTION("""COMPUTED_VALUE"""),-0.283848788541442)</f>
        <v>-0.28384878854144202</v>
      </c>
      <c r="JC55" s="3">
        <f ca="1">IFERROR(__xludf.DUMMYFUNCTION("""COMPUTED_VALUE"""),-0.124421506459159)</f>
        <v>-0.124421506459159</v>
      </c>
      <c r="JD55" s="3">
        <f ca="1">IFERROR(__xludf.DUMMYFUNCTION("""COMPUTED_VALUE"""),-0.184295919262742)</f>
        <v>-0.184295919262742</v>
      </c>
      <c r="JE55" s="3">
        <f ca="1">IFERROR(__xludf.DUMMYFUNCTION("""COMPUTED_VALUE"""),-0.326184212493331)</f>
        <v>-0.32618421249333102</v>
      </c>
      <c r="JF55" s="3">
        <f ca="1">IFERROR(__xludf.DUMMYFUNCTION("""COMPUTED_VALUE"""),-0.311841931864749)</f>
        <v>-0.31184193186474901</v>
      </c>
      <c r="JG55" s="3">
        <f ca="1">IFERROR(__xludf.DUMMYFUNCTION("""COMPUTED_VALUE"""),-0.366350688670145)</f>
        <v>-0.36635068867014497</v>
      </c>
      <c r="JH55" s="3">
        <f ca="1">IFERROR(__xludf.DUMMYFUNCTION("""COMPUTED_VALUE"""),-0.320202762781447)</f>
        <v>-0.32020276278144699</v>
      </c>
      <c r="JI55" s="3">
        <f ca="1">IFERROR(__xludf.DUMMYFUNCTION("""COMPUTED_VALUE"""),-0.314403127034076)</f>
        <v>-0.31440312703407602</v>
      </c>
      <c r="JJ55" s="3">
        <f ca="1">IFERROR(__xludf.DUMMYFUNCTION("""COMPUTED_VALUE"""),-0.201414630711585)</f>
        <v>-0.201414630711585</v>
      </c>
      <c r="JK55" s="3">
        <f ca="1">IFERROR(__xludf.DUMMYFUNCTION("""COMPUTED_VALUE"""),-0.39739652293315)</f>
        <v>-0.39739652293314998</v>
      </c>
      <c r="JL55" s="3">
        <f ca="1">IFERROR(__xludf.DUMMYFUNCTION("""COMPUTED_VALUE"""),-0.353531301730165)</f>
        <v>-0.353531301730165</v>
      </c>
      <c r="JM55" s="3">
        <f ca="1">IFERROR(__xludf.DUMMYFUNCTION("""COMPUTED_VALUE"""),-0.317552765855907)</f>
        <v>-0.31755276585590703</v>
      </c>
      <c r="JN55" s="3">
        <f ca="1">IFERROR(__xludf.DUMMYFUNCTION("""COMPUTED_VALUE"""),-0.363971802538539)</f>
        <v>-0.363971802538539</v>
      </c>
      <c r="JO55" s="3">
        <f ca="1">IFERROR(__xludf.DUMMYFUNCTION("""COMPUTED_VALUE"""),-0.325195709419621)</f>
        <v>-0.325195709419621</v>
      </c>
      <c r="JP55" s="3">
        <f ca="1">IFERROR(__xludf.DUMMYFUNCTION("""COMPUTED_VALUE"""),-0.329883984384334)</f>
        <v>-0.32988398438433397</v>
      </c>
      <c r="JQ55" s="3">
        <f ca="1">IFERROR(__xludf.DUMMYFUNCTION("""COMPUTED_VALUE"""),-0.251684337754788)</f>
        <v>-0.25168433775478799</v>
      </c>
      <c r="JR55" s="3">
        <f ca="1">IFERROR(__xludf.DUMMYFUNCTION("""COMPUTED_VALUE"""),-0.312136264195611)</f>
        <v>-0.31213626419561102</v>
      </c>
      <c r="JS55" s="3">
        <f ca="1">IFERROR(__xludf.DUMMYFUNCTION("""COMPUTED_VALUE"""),-0.308519080974231)</f>
        <v>-0.30851908097423097</v>
      </c>
      <c r="JT55" s="3">
        <f ca="1">IFERROR(__xludf.DUMMYFUNCTION("""COMPUTED_VALUE"""),-0.171793735162289)</f>
        <v>-0.17179373516228899</v>
      </c>
      <c r="JU55" s="3">
        <f ca="1">IFERROR(__xludf.DUMMYFUNCTION("""COMPUTED_VALUE"""),-0.333678885181496)</f>
        <v>-0.33367888518149602</v>
      </c>
      <c r="JV55" s="3">
        <f ca="1">IFERROR(__xludf.DUMMYFUNCTION("""COMPUTED_VALUE"""),-0.321591122284756)</f>
        <v>-0.321591122284756</v>
      </c>
      <c r="JW55" s="3">
        <f ca="1">IFERROR(__xludf.DUMMYFUNCTION("""COMPUTED_VALUE"""),-0.359582689273623)</f>
        <v>-0.35958268927362302</v>
      </c>
      <c r="JX55" s="3">
        <f ca="1">IFERROR(__xludf.DUMMYFUNCTION("""COMPUTED_VALUE"""),-0.308360411043749)</f>
        <v>-0.30836041104374901</v>
      </c>
      <c r="JY55" s="3">
        <f ca="1">IFERROR(__xludf.DUMMYFUNCTION("""COMPUTED_VALUE"""),-0.275051692781488)</f>
        <v>-0.275051692781488</v>
      </c>
      <c r="JZ55" s="3">
        <f ca="1">IFERROR(__xludf.DUMMYFUNCTION("""COMPUTED_VALUE"""),-0.229504239277885)</f>
        <v>-0.22950423927788499</v>
      </c>
      <c r="KA55" s="3">
        <f ca="1">IFERROR(__xludf.DUMMYFUNCTION("""COMPUTED_VALUE"""),-0.169335631763466)</f>
        <v>-0.169335631763466</v>
      </c>
      <c r="KB55" s="3">
        <f ca="1">IFERROR(__xludf.DUMMYFUNCTION("""COMPUTED_VALUE"""),-0.263815994097695)</f>
        <v>-0.26381599409769502</v>
      </c>
      <c r="KC55" s="3">
        <f ca="1">IFERROR(__xludf.DUMMYFUNCTION("""COMPUTED_VALUE"""),-0.120937593269393)</f>
        <v>-0.120937593269393</v>
      </c>
      <c r="KD55" s="3">
        <f ca="1">IFERROR(__xludf.DUMMYFUNCTION("""COMPUTED_VALUE"""),0.399493892724464)</f>
        <v>0.39949389272446401</v>
      </c>
      <c r="KE55" s="3">
        <f ca="1">IFERROR(__xludf.DUMMYFUNCTION("""COMPUTED_VALUE"""),0.479068146276687)</f>
        <v>0.47906814627668698</v>
      </c>
      <c r="KF55" s="3">
        <f ca="1">IFERROR(__xludf.DUMMYFUNCTION("""COMPUTED_VALUE"""),0.00317424638447461)</f>
        <v>3.1742463844746101E-3</v>
      </c>
      <c r="KG55" s="3">
        <f ca="1">IFERROR(__xludf.DUMMYFUNCTION("""COMPUTED_VALUE"""),-0.219524408872461)</f>
        <v>-0.219524408872461</v>
      </c>
      <c r="KH55" s="3">
        <f ca="1">IFERROR(__xludf.DUMMYFUNCTION("""COMPUTED_VALUE"""),-0.126301418377118)</f>
        <v>-0.126301418377118</v>
      </c>
      <c r="KI55" s="3">
        <f ca="1">IFERROR(__xludf.DUMMYFUNCTION("""COMPUTED_VALUE"""),-0.337657268218655)</f>
        <v>-0.33765726821865499</v>
      </c>
      <c r="KJ55" s="3">
        <f ca="1">IFERROR(__xludf.DUMMYFUNCTION("""COMPUTED_VALUE"""),-0.3329545481565)</f>
        <v>-0.3329545481565</v>
      </c>
      <c r="KK55" s="3">
        <f ca="1">IFERROR(__xludf.DUMMYFUNCTION("""COMPUTED_VALUE"""),-0.323104308284625)</f>
        <v>-0.323104308284625</v>
      </c>
      <c r="KL55" s="3">
        <f ca="1">IFERROR(__xludf.DUMMYFUNCTION("""COMPUTED_VALUE"""),-0.186936650042001)</f>
        <v>-0.186936650042001</v>
      </c>
      <c r="KM55" s="3">
        <f ca="1">IFERROR(__xludf.DUMMYFUNCTION("""COMPUTED_VALUE"""),-0.14110568889101)</f>
        <v>-0.14110568889100999</v>
      </c>
      <c r="KN55" s="3">
        <f ca="1">IFERROR(__xludf.DUMMYFUNCTION("""COMPUTED_VALUE"""),-0.281533918788288)</f>
        <v>-0.28153391878828798</v>
      </c>
      <c r="KO55" s="3">
        <f ca="1">IFERROR(__xludf.DUMMYFUNCTION("""COMPUTED_VALUE"""),-0.416459238867862)</f>
        <v>-0.41645923886786201</v>
      </c>
      <c r="KP55" s="3">
        <f ca="1">IFERROR(__xludf.DUMMYFUNCTION("""COMPUTED_VALUE"""),-0.362798483066786)</f>
        <v>-0.36279848306678603</v>
      </c>
      <c r="KQ55" s="3">
        <f ca="1">IFERROR(__xludf.DUMMYFUNCTION("""COMPUTED_VALUE"""),-0.351568561062022)</f>
        <v>-0.351568561062022</v>
      </c>
      <c r="KR55" s="3">
        <f ca="1">IFERROR(__xludf.DUMMYFUNCTION("""COMPUTED_VALUE"""),-0.377473768668196)</f>
        <v>-0.37747376866819599</v>
      </c>
      <c r="KS55" s="3">
        <f ca="1">IFERROR(__xludf.DUMMYFUNCTION("""COMPUTED_VALUE"""),-0.15314982909133)</f>
        <v>-0.15314982909132999</v>
      </c>
      <c r="KT55" s="3">
        <f ca="1">IFERROR(__xludf.DUMMYFUNCTION("""COMPUTED_VALUE"""),-0.305505508451985)</f>
        <v>-0.30550550845198499</v>
      </c>
      <c r="KU55" s="3">
        <f ca="1">IFERROR(__xludf.DUMMYFUNCTION("""COMPUTED_VALUE"""),-0.255740179852302)</f>
        <v>-0.25574017985230202</v>
      </c>
      <c r="KV55" s="3">
        <f ca="1">IFERROR(__xludf.DUMMYFUNCTION("""COMPUTED_VALUE"""),-0.36195611112621)</f>
        <v>-0.36195611112621001</v>
      </c>
      <c r="KW55" s="3">
        <f ca="1">IFERROR(__xludf.DUMMYFUNCTION("""COMPUTED_VALUE"""),-0.340348030367076)</f>
        <v>-0.340348030367076</v>
      </c>
      <c r="KX55" s="3">
        <f ca="1">IFERROR(__xludf.DUMMYFUNCTION("""COMPUTED_VALUE"""),-0.356347512313056)</f>
        <v>-0.356347512313056</v>
      </c>
      <c r="KY55" s="3">
        <f ca="1">IFERROR(__xludf.DUMMYFUNCTION("""COMPUTED_VALUE"""),-0.377808666653385)</f>
        <v>-0.37780866665338497</v>
      </c>
      <c r="KZ55" s="3">
        <f ca="1">IFERROR(__xludf.DUMMYFUNCTION("""COMPUTED_VALUE"""),-0.222785046575078)</f>
        <v>-0.222785046575078</v>
      </c>
      <c r="LA55" s="3">
        <f ca="1">IFERROR(__xludf.DUMMYFUNCTION("""COMPUTED_VALUE"""),-0.374069628783713)</f>
        <v>-0.37406962878371303</v>
      </c>
      <c r="LB55" s="3">
        <f ca="1">IFERROR(__xludf.DUMMYFUNCTION("""COMPUTED_VALUE"""),-0.394022697827442)</f>
        <v>-0.39402269782744198</v>
      </c>
      <c r="LC55" s="3">
        <f ca="1">IFERROR(__xludf.DUMMYFUNCTION("""COMPUTED_VALUE"""),-0.437997927979945)</f>
        <v>-0.43799792797994502</v>
      </c>
      <c r="LD55" s="3">
        <f ca="1">IFERROR(__xludf.DUMMYFUNCTION("""COMPUTED_VALUE"""),-0.424164461168291)</f>
        <v>-0.42416446116829098</v>
      </c>
      <c r="LE55" s="3">
        <f ca="1">IFERROR(__xludf.DUMMYFUNCTION("""COMPUTED_VALUE"""),-0.42797733921813)</f>
        <v>-0.42797733921813003</v>
      </c>
      <c r="LF55" s="3">
        <f ca="1">IFERROR(__xludf.DUMMYFUNCTION("""COMPUTED_VALUE"""),-0.191082463533279)</f>
        <v>-0.19108246353327901</v>
      </c>
      <c r="LG55" s="3">
        <f ca="1">IFERROR(__xludf.DUMMYFUNCTION("""COMPUTED_VALUE"""),-0.324595011689826)</f>
        <v>-0.32459501168982602</v>
      </c>
      <c r="LH55" s="3">
        <f ca="1">IFERROR(__xludf.DUMMYFUNCTION("""COMPUTED_VALUE"""),-0.341119651307373)</f>
        <v>-0.34111965130737298</v>
      </c>
      <c r="LI55" s="3">
        <f ca="1">IFERROR(__xludf.DUMMYFUNCTION("""COMPUTED_VALUE"""),-0.339401238599047)</f>
        <v>-0.33940123859904697</v>
      </c>
      <c r="LJ55" s="3">
        <f ca="1">IFERROR(__xludf.DUMMYFUNCTION("""COMPUTED_VALUE"""),-0.358215700531926)</f>
        <v>-0.35821570053192597</v>
      </c>
      <c r="LK55" s="3">
        <f ca="1">IFERROR(__xludf.DUMMYFUNCTION("""COMPUTED_VALUE"""),-0.453367823240207)</f>
        <v>-0.45336782324020702</v>
      </c>
      <c r="LL55" s="3">
        <f ca="1">IFERROR(__xludf.DUMMYFUNCTION("""COMPUTED_VALUE"""),-0.473121080647516)</f>
        <v>-0.47312108064751601</v>
      </c>
      <c r="LM55" s="3">
        <f ca="1">IFERROR(__xludf.DUMMYFUNCTION("""COMPUTED_VALUE"""),-0.712491138010181)</f>
        <v>-0.71249113801018105</v>
      </c>
      <c r="LN55" s="3">
        <f ca="1">IFERROR(__xludf.DUMMYFUNCTION("""COMPUTED_VALUE"""),-0.582142574150997)</f>
        <v>-0.58214257415099702</v>
      </c>
      <c r="LO55" s="3">
        <f ca="1">IFERROR(__xludf.DUMMYFUNCTION("""COMPUTED_VALUE"""),-0.403564802796146)</f>
        <v>-0.40356480279614598</v>
      </c>
      <c r="LP55" s="3">
        <f ca="1">IFERROR(__xludf.DUMMYFUNCTION("""COMPUTED_VALUE"""),-0.43836899910966)</f>
        <v>-0.43836899910965998</v>
      </c>
      <c r="LQ55" s="3">
        <f ca="1">IFERROR(__xludf.DUMMYFUNCTION("""COMPUTED_VALUE"""),-0.513753250993762)</f>
        <v>-0.51375325099376201</v>
      </c>
      <c r="LR55" s="3">
        <f ca="1">IFERROR(__xludf.DUMMYFUNCTION("""COMPUTED_VALUE"""),-0.4931237247574)</f>
        <v>-0.49312372475740002</v>
      </c>
      <c r="LS55" s="3">
        <f ca="1">IFERROR(__xludf.DUMMYFUNCTION("""COMPUTED_VALUE"""),-0.507489305168351)</f>
        <v>-0.507489305168351</v>
      </c>
      <c r="LT55" s="3">
        <f ca="1">IFERROR(__xludf.DUMMYFUNCTION("""COMPUTED_VALUE"""),-0.508026801135183)</f>
        <v>-0.50802680113518295</v>
      </c>
      <c r="LU55" s="3">
        <f ca="1">IFERROR(__xludf.DUMMYFUNCTION("""COMPUTED_VALUE"""),-0.368737790559143)</f>
        <v>-0.36873779055914302</v>
      </c>
      <c r="LV55" s="3">
        <f ca="1">IFERROR(__xludf.DUMMYFUNCTION("""COMPUTED_VALUE"""),-0.509396849097343)</f>
        <v>-0.50939684909734295</v>
      </c>
      <c r="LW55" s="3">
        <f ca="1">IFERROR(__xludf.DUMMYFUNCTION("""COMPUTED_VALUE"""),-0.639261720850885)</f>
        <v>-0.63926172085088495</v>
      </c>
      <c r="LX55" s="3">
        <f ca="1">IFERROR(__xludf.DUMMYFUNCTION("""COMPUTED_VALUE"""),-0.57254518899106)</f>
        <v>-0.57254518899105999</v>
      </c>
      <c r="LY55" s="3">
        <f ca="1">IFERROR(__xludf.DUMMYFUNCTION("""COMPUTED_VALUE"""),-0.564211839680154)</f>
        <v>-0.56421183968015398</v>
      </c>
      <c r="LZ55" s="3">
        <f ca="1">IFERROR(__xludf.DUMMYFUNCTION("""COMPUTED_VALUE"""),-0.545764253547464)</f>
        <v>-0.54576425354746405</v>
      </c>
      <c r="MA55" s="3">
        <f ca="1">IFERROR(__xludf.DUMMYFUNCTION("""COMPUTED_VALUE"""),-0.548668383695726)</f>
        <v>-0.54866838369572601</v>
      </c>
      <c r="MB55" s="3">
        <f ca="1">IFERROR(__xludf.DUMMYFUNCTION("""COMPUTED_VALUE"""),-0.515888332262307)</f>
        <v>-0.51588833226230701</v>
      </c>
      <c r="MC55" s="3">
        <f ca="1">IFERROR(__xludf.DUMMYFUNCTION("""COMPUTED_VALUE"""),-0.513314881471515)</f>
        <v>-0.51331488147151505</v>
      </c>
      <c r="MD55" s="3">
        <f ca="1">IFERROR(__xludf.DUMMYFUNCTION("""COMPUTED_VALUE"""),-0.549390579537113)</f>
        <v>-0.54939057953711301</v>
      </c>
      <c r="ME55" s="3">
        <f ca="1">IFERROR(__xludf.DUMMYFUNCTION("""COMPUTED_VALUE"""),-0.519359108571428)</f>
        <v>-0.51935910857142797</v>
      </c>
      <c r="MF55" s="3">
        <f ca="1">IFERROR(__xludf.DUMMYFUNCTION("""COMPUTED_VALUE"""),-0.547013988481894)</f>
        <v>-0.54701398848189398</v>
      </c>
      <c r="MG55" s="3">
        <f ca="1">IFERROR(__xludf.DUMMYFUNCTION("""COMPUTED_VALUE"""),-0.547375948318317)</f>
        <v>-0.54737594831831704</v>
      </c>
      <c r="MH55" s="3">
        <f ca="1">IFERROR(__xludf.DUMMYFUNCTION("""COMPUTED_VALUE"""),-0.520454762264748)</f>
        <v>-0.52045476226474796</v>
      </c>
      <c r="MI55" s="3">
        <f ca="1">IFERROR(__xludf.DUMMYFUNCTION("""COMPUTED_VALUE"""),-0.488745884493515)</f>
        <v>-0.48874588449351503</v>
      </c>
      <c r="MJ55" s="3">
        <f ca="1">IFERROR(__xludf.DUMMYFUNCTION("""COMPUTED_VALUE"""),-0.501308894268164)</f>
        <v>-0.50130889426816405</v>
      </c>
      <c r="MK55" s="3">
        <f ca="1">IFERROR(__xludf.DUMMYFUNCTION("""COMPUTED_VALUE"""),-0.554706837114286)</f>
        <v>-0.55470683711428603</v>
      </c>
      <c r="ML55" s="3">
        <f ca="1">IFERROR(__xludf.DUMMYFUNCTION("""COMPUTED_VALUE"""),-0.614735920349212)</f>
        <v>-0.61473592034921198</v>
      </c>
      <c r="MM55" s="3">
        <f ca="1">IFERROR(__xludf.DUMMYFUNCTION("""COMPUTED_VALUE"""),-0.566994794503824)</f>
        <v>-0.56699479450382395</v>
      </c>
      <c r="MN55" s="3">
        <f ca="1">IFERROR(__xludf.DUMMYFUNCTION("""COMPUTED_VALUE"""),-0.61084288643083)</f>
        <v>-0.61084288643082996</v>
      </c>
      <c r="MO55" s="3">
        <f ca="1">IFERROR(__xludf.DUMMYFUNCTION("""COMPUTED_VALUE"""),-0.619011549018227)</f>
        <v>-0.61901154901822697</v>
      </c>
      <c r="MP55" s="3">
        <f ca="1">IFERROR(__xludf.DUMMYFUNCTION("""COMPUTED_VALUE"""),-0.559809924639881)</f>
        <v>-0.559809924639881</v>
      </c>
      <c r="MQ55" s="3">
        <f ca="1">IFERROR(__xludf.DUMMYFUNCTION("""COMPUTED_VALUE"""),-0.532751079235099)</f>
        <v>-0.53275107923509901</v>
      </c>
      <c r="MR55" s="3">
        <f ca="1">IFERROR(__xludf.DUMMYFUNCTION("""COMPUTED_VALUE"""),-0.619801679839463)</f>
        <v>-0.61980167983946299</v>
      </c>
      <c r="MS55" s="3">
        <f ca="1">IFERROR(__xludf.DUMMYFUNCTION("""COMPUTED_VALUE"""),-0.610422324848487)</f>
        <v>-0.61042232484848702</v>
      </c>
      <c r="MT55" s="3">
        <f ca="1">IFERROR(__xludf.DUMMYFUNCTION("""COMPUTED_VALUE"""),-0.642344593147339)</f>
        <v>-0.64234459314733905</v>
      </c>
      <c r="MU55" s="3">
        <f ca="1">IFERROR(__xludf.DUMMYFUNCTION("""COMPUTED_VALUE"""),-0.652103621730556)</f>
        <v>-0.65210362173055603</v>
      </c>
      <c r="MV55" s="3">
        <f ca="1">IFERROR(__xludf.DUMMYFUNCTION("""COMPUTED_VALUE"""),-0.631791809017382)</f>
        <v>-0.63179180901738197</v>
      </c>
      <c r="MW55" s="3">
        <f ca="1">IFERROR(__xludf.DUMMYFUNCTION("""COMPUTED_VALUE"""),-0.507704654545369)</f>
        <v>-0.50770465454536895</v>
      </c>
      <c r="MX55" s="3">
        <f ca="1">IFERROR(__xludf.DUMMYFUNCTION("""COMPUTED_VALUE"""),-0.627512970602327)</f>
        <v>-0.62751297060232702</v>
      </c>
      <c r="MY55" s="3">
        <f ca="1">IFERROR(__xludf.DUMMYFUNCTION("""COMPUTED_VALUE"""),-0.629554439535156)</f>
        <v>-0.629554439535156</v>
      </c>
      <c r="MZ55" s="3">
        <f ca="1">IFERROR(__xludf.DUMMYFUNCTION("""COMPUTED_VALUE"""),-0.659203188785979)</f>
        <v>-0.65920318878597906</v>
      </c>
      <c r="NA55" s="3">
        <f ca="1">IFERROR(__xludf.DUMMYFUNCTION("""COMPUTED_VALUE"""),-0.664471716379152)</f>
        <v>-0.66447171637915203</v>
      </c>
      <c r="NB55" s="3">
        <f ca="1">IFERROR(__xludf.DUMMYFUNCTION("""COMPUTED_VALUE"""),-0.602246112766705)</f>
        <v>-0.60224611276670503</v>
      </c>
      <c r="NC55" s="3">
        <f ca="1">IFERROR(__xludf.DUMMYFUNCTION("""COMPUTED_VALUE"""),-0.61118918870532)</f>
        <v>-0.61118918870532002</v>
      </c>
      <c r="ND55" s="3">
        <f ca="1">IFERROR(__xludf.DUMMYFUNCTION("""COMPUTED_VALUE"""),-0.689699107555135)</f>
        <v>-0.68969910755513497</v>
      </c>
      <c r="NE55" s="3">
        <f ca="1">IFERROR(__xludf.DUMMYFUNCTION("""COMPUTED_VALUE"""),-0.747543489260429)</f>
        <v>-0.74754348926042902</v>
      </c>
      <c r="NF55" s="3">
        <f ca="1">IFERROR(__xludf.DUMMYFUNCTION("""COMPUTED_VALUE"""),-0.561183352981381)</f>
        <v>-0.561183352981381</v>
      </c>
      <c r="NG55" s="3">
        <f ca="1">IFERROR(__xludf.DUMMYFUNCTION("""COMPUTED_VALUE"""),-0.639578955253888)</f>
        <v>-0.63957895525388797</v>
      </c>
      <c r="NH55" s="3">
        <f ca="1">IFERROR(__xludf.DUMMYFUNCTION("""COMPUTED_VALUE"""),-0.581663782164503)</f>
        <v>-0.58166378216450298</v>
      </c>
      <c r="NI55" s="3">
        <f ca="1">IFERROR(__xludf.DUMMYFUNCTION("""COMPUTED_VALUE"""),-0.578913601639613)</f>
        <v>-0.57891360163961303</v>
      </c>
      <c r="NJ55" s="3">
        <f ca="1">IFERROR(__xludf.DUMMYFUNCTION("""COMPUTED_VALUE"""),-0.589411615035725)</f>
        <v>-0.58941161503572503</v>
      </c>
      <c r="NK55" s="3">
        <f ca="1">IFERROR(__xludf.DUMMYFUNCTION("""COMPUTED_VALUE"""),-0.626478888352758)</f>
        <v>-0.626478888352758</v>
      </c>
      <c r="NL55" s="3">
        <f ca="1">IFERROR(__xludf.DUMMYFUNCTION("""COMPUTED_VALUE"""),-0.684668778306733)</f>
        <v>-0.68466877830673301</v>
      </c>
      <c r="NM55" s="3">
        <f ca="1">IFERROR(__xludf.DUMMYFUNCTION("""COMPUTED_VALUE"""),-0.572437210275511)</f>
        <v>-0.57243721027551098</v>
      </c>
      <c r="NN55" s="3">
        <f ca="1">IFERROR(__xludf.DUMMYFUNCTION("""COMPUTED_VALUE"""),-0.533974764970413)</f>
        <v>-0.53397476497041296</v>
      </c>
      <c r="NO55" s="3">
        <f ca="1">IFERROR(__xludf.DUMMYFUNCTION("""COMPUTED_VALUE"""),-0.519389457261626)</f>
        <v>-0.519389457261626</v>
      </c>
      <c r="NP55" s="3">
        <f ca="1">IFERROR(__xludf.DUMMYFUNCTION("""COMPUTED_VALUE"""),-0.500965069651967)</f>
        <v>-0.50096506965196697</v>
      </c>
      <c r="NQ55" s="3">
        <f ca="1">IFERROR(__xludf.DUMMYFUNCTION("""COMPUTED_VALUE"""),-0.5843461089671)</f>
        <v>-0.58434610896710004</v>
      </c>
      <c r="NR55" s="3">
        <f ca="1">IFERROR(__xludf.DUMMYFUNCTION("""COMPUTED_VALUE"""),-0.554181350330665)</f>
        <v>-0.55418135033066496</v>
      </c>
      <c r="NS55" s="3">
        <f ca="1">IFERROR(__xludf.DUMMYFUNCTION("""COMPUTED_VALUE"""),-0.630929787255521)</f>
        <v>-0.63092978725552096</v>
      </c>
      <c r="NT55" s="3">
        <f ca="1">IFERROR(__xludf.DUMMYFUNCTION("""COMPUTED_VALUE"""),-0.547870876996154)</f>
        <v>-0.547870876996154</v>
      </c>
      <c r="NU55" s="3">
        <f ca="1">IFERROR(__xludf.DUMMYFUNCTION("""COMPUTED_VALUE"""),-0.534438629326305)</f>
        <v>-0.53443862932630504</v>
      </c>
      <c r="NV55" s="3">
        <f ca="1">IFERROR(__xludf.DUMMYFUNCTION("""COMPUTED_VALUE"""),-0.571925443673925)</f>
        <v>-0.57192544367392495</v>
      </c>
      <c r="NW55" s="3">
        <f ca="1">IFERROR(__xludf.DUMMYFUNCTION("""COMPUTED_VALUE"""),-0.525843299450711)</f>
        <v>-0.52584329945071095</v>
      </c>
      <c r="NX55" s="3">
        <f ca="1">IFERROR(__xludf.DUMMYFUNCTION("""COMPUTED_VALUE"""),-0.524961981605248)</f>
        <v>-0.52496198160524798</v>
      </c>
      <c r="NY55" s="3">
        <f ca="1">IFERROR(__xludf.DUMMYFUNCTION("""COMPUTED_VALUE"""),-0.400611631033602)</f>
        <v>-0.40061163103360198</v>
      </c>
      <c r="NZ55" s="3">
        <f ca="1">IFERROR(__xludf.DUMMYFUNCTION("""COMPUTED_VALUE"""),-0.537468401869782)</f>
        <v>-0.53746840186978195</v>
      </c>
      <c r="OA55" s="3">
        <f ca="1">IFERROR(__xludf.DUMMYFUNCTION("""COMPUTED_VALUE"""),-0.4313182130513)</f>
        <v>-0.43131821305130003</v>
      </c>
      <c r="OB55" s="3">
        <f ca="1">IFERROR(__xludf.DUMMYFUNCTION("""COMPUTED_VALUE"""),-0.527956788075408)</f>
        <v>-0.52795678807540802</v>
      </c>
      <c r="OC55" s="3">
        <f ca="1">IFERROR(__xludf.DUMMYFUNCTION("""COMPUTED_VALUE"""),-0.470707311111733)</f>
        <v>-0.47070731111173297</v>
      </c>
      <c r="OD55" s="3">
        <f ca="1">IFERROR(__xludf.DUMMYFUNCTION("""COMPUTED_VALUE"""),-0.349261303912853)</f>
        <v>-0.34926130391285298</v>
      </c>
      <c r="OE55" s="3">
        <f ca="1">IFERROR(__xludf.DUMMYFUNCTION("""COMPUTED_VALUE"""),-0.305177556914907)</f>
        <v>-0.305177556914907</v>
      </c>
      <c r="OF55" s="3">
        <f ca="1">IFERROR(__xludf.DUMMYFUNCTION("""COMPUTED_VALUE"""),-0.183398257093176)</f>
        <v>-0.183398257093176</v>
      </c>
      <c r="OG55" s="3">
        <f ca="1">IFERROR(__xludf.DUMMYFUNCTION("""COMPUTED_VALUE"""),-0.177393102418078)</f>
        <v>-0.17739310241807801</v>
      </c>
      <c r="OH55" s="3">
        <f ca="1">IFERROR(__xludf.DUMMYFUNCTION("""COMPUTED_VALUE"""),-0.18004617365037)</f>
        <v>-0.18004617365037001</v>
      </c>
      <c r="OI55" s="3">
        <f ca="1">IFERROR(__xludf.DUMMYFUNCTION("""COMPUTED_VALUE"""),-0.102131494493675)</f>
        <v>-0.10213149449367501</v>
      </c>
      <c r="OJ55" s="3">
        <f ca="1">IFERROR(__xludf.DUMMYFUNCTION("""COMPUTED_VALUE"""),-0.108918353984518)</f>
        <v>-0.108918353984518</v>
      </c>
      <c r="OK55" s="3">
        <f ca="1">IFERROR(__xludf.DUMMYFUNCTION("""COMPUTED_VALUE"""),-0.0726792959443937)</f>
        <v>-7.2679295944393693E-2</v>
      </c>
      <c r="OL55" s="3">
        <f ca="1">IFERROR(__xludf.DUMMYFUNCTION("""COMPUTED_VALUE"""),-0.0936842954242652)</f>
        <v>-9.3684295424265193E-2</v>
      </c>
      <c r="OM55" s="3">
        <f ca="1">IFERROR(__xludf.DUMMYFUNCTION("""COMPUTED_VALUE"""),-0.0870087163535817)</f>
        <v>-8.7008716353581705E-2</v>
      </c>
      <c r="ON55" s="3">
        <f ca="1">IFERROR(__xludf.DUMMYFUNCTION("""COMPUTED_VALUE"""),-0.0138819063706527)</f>
        <v>-1.3881906370652701E-2</v>
      </c>
      <c r="OO55" s="3">
        <f ca="1">IFERROR(__xludf.DUMMYFUNCTION("""COMPUTED_VALUE"""),-0.0218733279408039)</f>
        <v>-2.1873327940803901E-2</v>
      </c>
      <c r="OP55" s="3">
        <f ca="1">IFERROR(__xludf.DUMMYFUNCTION("""COMPUTED_VALUE"""),0.0263867742544299)</f>
        <v>2.6386774254429899E-2</v>
      </c>
      <c r="OQ55" s="3">
        <f ca="1">IFERROR(__xludf.DUMMYFUNCTION("""COMPUTED_VALUE"""),0.0986558897076734)</f>
        <v>9.8655889707673403E-2</v>
      </c>
      <c r="OR55" s="3">
        <f ca="1">IFERROR(__xludf.DUMMYFUNCTION("""COMPUTED_VALUE"""),0.01165933416351)</f>
        <v>1.1659334163509999E-2</v>
      </c>
      <c r="OS55" s="3">
        <f ca="1">IFERROR(__xludf.DUMMYFUNCTION("""COMPUTED_VALUE"""),-0.0626620712109671)</f>
        <v>-6.2662071210967105E-2</v>
      </c>
      <c r="OT55" s="3">
        <f ca="1">IFERROR(__xludf.DUMMYFUNCTION("""COMPUTED_VALUE"""),-0.0286677878014556)</f>
        <v>-2.86677878014556E-2</v>
      </c>
      <c r="OU55" s="3">
        <f ca="1">IFERROR(__xludf.DUMMYFUNCTION("""COMPUTED_VALUE"""),-0.01677239426489)</f>
        <v>-1.6772394264889998E-2</v>
      </c>
      <c r="OV55" s="3">
        <f ca="1">IFERROR(__xludf.DUMMYFUNCTION("""COMPUTED_VALUE"""),-0.0206260340280068)</f>
        <v>-2.06260340280068E-2</v>
      </c>
      <c r="OW55" s="3">
        <f ca="1">IFERROR(__xludf.DUMMYFUNCTION("""COMPUTED_VALUE"""),0.0200657494345979)</f>
        <v>2.00657494345979E-2</v>
      </c>
      <c r="OX55" s="3">
        <f ca="1">IFERROR(__xludf.DUMMYFUNCTION("""COMPUTED_VALUE"""),0.0899724499106826)</f>
        <v>8.9972449910682595E-2</v>
      </c>
      <c r="OY55" s="3">
        <f ca="1">IFERROR(__xludf.DUMMYFUNCTION("""COMPUTED_VALUE"""),0.071224820696556)</f>
        <v>7.1224820696556002E-2</v>
      </c>
      <c r="OZ55" s="3">
        <f ca="1">IFERROR(__xludf.DUMMYFUNCTION("""COMPUTED_VALUE"""),0.0411932428474466)</f>
        <v>4.1193242847446597E-2</v>
      </c>
      <c r="PA55" s="3">
        <f ca="1">IFERROR(__xludf.DUMMYFUNCTION("""COMPUTED_VALUE"""),-0.0253935664281697)</f>
        <v>-2.53935664281697E-2</v>
      </c>
      <c r="PB55" s="3">
        <f ca="1">IFERROR(__xludf.DUMMYFUNCTION("""COMPUTED_VALUE"""),-0.0759130455164424)</f>
        <v>-7.5913045516442401E-2</v>
      </c>
      <c r="PC55" s="3">
        <f ca="1">IFERROR(__xludf.DUMMYFUNCTION("""COMPUTED_VALUE"""),-0.0453382313574861)</f>
        <v>-4.5338231357486103E-2</v>
      </c>
      <c r="PD55" s="3">
        <f ca="1">IFERROR(__xludf.DUMMYFUNCTION("""COMPUTED_VALUE"""),0.0158627186487292)</f>
        <v>1.58627186487292E-2</v>
      </c>
      <c r="PE55" s="3">
        <f ca="1">IFERROR(__xludf.DUMMYFUNCTION("""COMPUTED_VALUE"""),0.158434577281557)</f>
        <v>0.15843457728155699</v>
      </c>
      <c r="PF55" s="3">
        <f ca="1">IFERROR(__xludf.DUMMYFUNCTION("""COMPUTED_VALUE"""),0.0302341994830486)</f>
        <v>3.0234199483048601E-2</v>
      </c>
      <c r="PG55" s="3">
        <f ca="1">IFERROR(__xludf.DUMMYFUNCTION("""COMPUTED_VALUE"""),-0.0643373146129587)</f>
        <v>-6.4337314612958704E-2</v>
      </c>
      <c r="PH55" s="3">
        <f ca="1">IFERROR(__xludf.DUMMYFUNCTION("""COMPUTED_VALUE"""),-0.158651784648764)</f>
        <v>-0.158651784648764</v>
      </c>
      <c r="PI55" s="3">
        <f ca="1">IFERROR(__xludf.DUMMYFUNCTION("""COMPUTED_VALUE"""),-0.060335538457183)</f>
        <v>-6.0335538457183001E-2</v>
      </c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</row>
    <row r="56" spans="1:477" ht="13">
      <c r="A56" s="1" t="str">
        <f ca="1">IFERROR(__xludf.DUMMYFUNCTION("""COMPUTED_VALUE"""),"Palm Tran")</f>
        <v>Palm Tran</v>
      </c>
      <c r="B56" s="1" t="str">
        <f ca="1">IFERROR(__xludf.DUMMYFUNCTION("""COMPUTED_VALUE"""),"Miami")</f>
        <v>Miami</v>
      </c>
      <c r="C56" s="1" t="str">
        <f ca="1">IFERROR(__xludf.DUMMYFUNCTION("""COMPUTED_VALUE"""),"United States")</f>
        <v>United States</v>
      </c>
      <c r="D56" s="1" t="str">
        <f ca="1">IFERROR(__xludf.DUMMYFUNCTION("""COMPUTED_VALUE"""),"Florida")</f>
        <v>Florida</v>
      </c>
      <c r="E56" s="3">
        <f ca="1">IFERROR(__xludf.DUMMYFUNCTION("""COMPUTED_VALUE"""),-0.266980531214654)</f>
        <v>-0.26698053121465398</v>
      </c>
      <c r="F56" s="3">
        <f ca="1">IFERROR(__xludf.DUMMYFUNCTION("""COMPUTED_VALUE"""),-0.313269367642387)</f>
        <v>-0.313269367642387</v>
      </c>
      <c r="G56" s="3">
        <f ca="1">IFERROR(__xludf.DUMMYFUNCTION("""COMPUTED_VALUE"""),-0.411296531312627)</f>
        <v>-0.411296531312627</v>
      </c>
      <c r="H56" s="3">
        <f ca="1">IFERROR(__xludf.DUMMYFUNCTION("""COMPUTED_VALUE"""),-0.347451536296001)</f>
        <v>-0.34745153629600101</v>
      </c>
      <c r="I56" s="3">
        <f ca="1">IFERROR(__xludf.DUMMYFUNCTION("""COMPUTED_VALUE"""),-0.373195857922737)</f>
        <v>-0.37319585792273702</v>
      </c>
      <c r="J56" s="3">
        <f ca="1">IFERROR(__xludf.DUMMYFUNCTION("""COMPUTED_VALUE"""),-0.380204480817846)</f>
        <v>-0.38020448081784602</v>
      </c>
      <c r="K56" s="3">
        <f ca="1">IFERROR(__xludf.DUMMYFUNCTION("""COMPUTED_VALUE"""),-0.325309901404684)</f>
        <v>-0.32530990140468402</v>
      </c>
      <c r="L56" s="3">
        <f ca="1">IFERROR(__xludf.DUMMYFUNCTION("""COMPUTED_VALUE"""),-0.375663250093875)</f>
        <v>-0.37566325009387502</v>
      </c>
      <c r="M56" s="3">
        <f ca="1">IFERROR(__xludf.DUMMYFUNCTION("""COMPUTED_VALUE"""),-0.413994185788352)</f>
        <v>-0.41399418578835201</v>
      </c>
      <c r="N56" s="3">
        <f ca="1">IFERROR(__xludf.DUMMYFUNCTION("""COMPUTED_VALUE"""),-0.412241698492304)</f>
        <v>-0.41224169849230402</v>
      </c>
      <c r="O56" s="3">
        <f ca="1">IFERROR(__xludf.DUMMYFUNCTION("""COMPUTED_VALUE"""),-0.371634718687099)</f>
        <v>-0.37163471868709902</v>
      </c>
      <c r="P56" s="3">
        <f ca="1">IFERROR(__xludf.DUMMYFUNCTION("""COMPUTED_VALUE"""),-0.313085283409852)</f>
        <v>-0.31308528340985198</v>
      </c>
      <c r="Q56" s="3">
        <f ca="1">IFERROR(__xludf.DUMMYFUNCTION("""COMPUTED_VALUE"""),-0.348739007832791)</f>
        <v>-0.34873900783279099</v>
      </c>
      <c r="R56" s="3">
        <f ca="1">IFERROR(__xludf.DUMMYFUNCTION("""COMPUTED_VALUE"""),-0.162046879411446)</f>
        <v>-0.16204687941144599</v>
      </c>
      <c r="S56" s="3">
        <f ca="1">IFERROR(__xludf.DUMMYFUNCTION("""COMPUTED_VALUE"""),-0.331602404021297)</f>
        <v>-0.33160240402129698</v>
      </c>
      <c r="T56" s="3">
        <f ca="1">IFERROR(__xludf.DUMMYFUNCTION("""COMPUTED_VALUE"""),-0.345188477098178)</f>
        <v>-0.34518847709817801</v>
      </c>
      <c r="U56" s="3">
        <f ca="1">IFERROR(__xludf.DUMMYFUNCTION("""COMPUTED_VALUE"""),-0.374754288709485)</f>
        <v>-0.37475428870948502</v>
      </c>
      <c r="V56" s="3">
        <f ca="1">IFERROR(__xludf.DUMMYFUNCTION("""COMPUTED_VALUE"""),-0.357626637947065)</f>
        <v>-0.35762663794706501</v>
      </c>
      <c r="W56" s="3">
        <f ca="1">IFERROR(__xludf.DUMMYFUNCTION("""COMPUTED_VALUE"""),-0.258971879595989)</f>
        <v>-0.258971879595989</v>
      </c>
      <c r="X56" s="3">
        <f ca="1">IFERROR(__xludf.DUMMYFUNCTION("""COMPUTED_VALUE"""),-0.416446041764319)</f>
        <v>-0.41644604176431899</v>
      </c>
      <c r="Y56" s="3">
        <f ca="1">IFERROR(__xludf.DUMMYFUNCTION("""COMPUTED_VALUE"""),-0.270856387935332)</f>
        <v>-0.27085638793533201</v>
      </c>
      <c r="Z56" s="3">
        <f ca="1">IFERROR(__xludf.DUMMYFUNCTION("""COMPUTED_VALUE"""),-0.348980944443615)</f>
        <v>-0.34898094444361499</v>
      </c>
      <c r="AA56" s="3">
        <f ca="1">IFERROR(__xludf.DUMMYFUNCTION("""COMPUTED_VALUE"""),-0.36058839254278)</f>
        <v>-0.36058839254278002</v>
      </c>
      <c r="AB56" s="3">
        <f ca="1">IFERROR(__xludf.DUMMYFUNCTION("""COMPUTED_VALUE"""),-0.420814851409557)</f>
        <v>-0.42081485140955699</v>
      </c>
      <c r="AC56" s="3">
        <f ca="1">IFERROR(__xludf.DUMMYFUNCTION("""COMPUTED_VALUE"""),-0.420467510601113)</f>
        <v>-0.42046751060111298</v>
      </c>
      <c r="AD56" s="3">
        <f ca="1">IFERROR(__xludf.DUMMYFUNCTION("""COMPUTED_VALUE"""),-0.383365169710698)</f>
        <v>-0.38336516971069801</v>
      </c>
      <c r="AE56" s="3">
        <f ca="1">IFERROR(__xludf.DUMMYFUNCTION("""COMPUTED_VALUE"""),-0.455425992029358)</f>
        <v>-0.45542599202935802</v>
      </c>
      <c r="AF56" s="3">
        <f ca="1">IFERROR(__xludf.DUMMYFUNCTION("""COMPUTED_VALUE"""),-0.277767815477105)</f>
        <v>-0.277767815477105</v>
      </c>
      <c r="AG56" s="3">
        <f ca="1">IFERROR(__xludf.DUMMYFUNCTION("""COMPUTED_VALUE"""),-0.363088312522707)</f>
        <v>-0.36308831252270701</v>
      </c>
      <c r="AH56" s="3">
        <f ca="1">IFERROR(__xludf.DUMMYFUNCTION("""COMPUTED_VALUE"""),-0.378318891663955)</f>
        <v>-0.37831889166395499</v>
      </c>
      <c r="AI56" s="3">
        <f ca="1">IFERROR(__xludf.DUMMYFUNCTION("""COMPUTED_VALUE"""),-0.387961130685019)</f>
        <v>-0.38796113068501897</v>
      </c>
      <c r="AJ56" s="3">
        <f ca="1">IFERROR(__xludf.DUMMYFUNCTION("""COMPUTED_VALUE"""),-0.418367431764842)</f>
        <v>-0.41836743176484198</v>
      </c>
      <c r="AK56" s="3">
        <f ca="1">IFERROR(__xludf.DUMMYFUNCTION("""COMPUTED_VALUE"""),-0.381613793495013)</f>
        <v>-0.38161379349501301</v>
      </c>
      <c r="AL56" s="3">
        <f ca="1">IFERROR(__xludf.DUMMYFUNCTION("""COMPUTED_VALUE"""),-0.40649062290421)</f>
        <v>-0.40649062290421001</v>
      </c>
      <c r="AM56" s="3">
        <f ca="1">IFERROR(__xludf.DUMMYFUNCTION("""COMPUTED_VALUE"""),-0.1870275088838)</f>
        <v>-0.18702750888379999</v>
      </c>
      <c r="AN56" s="3">
        <f ca="1">IFERROR(__xludf.DUMMYFUNCTION("""COMPUTED_VALUE"""),-0.383726685243879)</f>
        <v>-0.38372668524387898</v>
      </c>
      <c r="AO56" s="3">
        <f ca="1">IFERROR(__xludf.DUMMYFUNCTION("""COMPUTED_VALUE"""),-0.424626076232471)</f>
        <v>-0.42462607623247101</v>
      </c>
      <c r="AP56" s="3">
        <f ca="1">IFERROR(__xludf.DUMMYFUNCTION("""COMPUTED_VALUE"""),-0.412753724574901)</f>
        <v>-0.412753724574901</v>
      </c>
      <c r="AQ56" s="3">
        <f ca="1">IFERROR(__xludf.DUMMYFUNCTION("""COMPUTED_VALUE"""),-0.384396047775009)</f>
        <v>-0.38439604777500902</v>
      </c>
      <c r="AR56" s="3">
        <f ca="1">IFERROR(__xludf.DUMMYFUNCTION("""COMPUTED_VALUE"""),-0.408163186344497)</f>
        <v>-0.408163186344497</v>
      </c>
      <c r="AS56" s="3">
        <f ca="1">IFERROR(__xludf.DUMMYFUNCTION("""COMPUTED_VALUE"""),-0.412667769369938)</f>
        <v>-0.41266776936993799</v>
      </c>
      <c r="AT56" s="3">
        <f ca="1">IFERROR(__xludf.DUMMYFUNCTION("""COMPUTED_VALUE"""),-0.329661870677537)</f>
        <v>-0.32966187067753699</v>
      </c>
      <c r="AU56" s="3">
        <f ca="1">IFERROR(__xludf.DUMMYFUNCTION("""COMPUTED_VALUE"""),-0.32061502722141)</f>
        <v>-0.32061502722141</v>
      </c>
      <c r="AV56" s="3">
        <f ca="1">IFERROR(__xludf.DUMMYFUNCTION("""COMPUTED_VALUE"""),-0.406862548987792)</f>
        <v>-0.40686254898779201</v>
      </c>
      <c r="AW56" s="3">
        <f ca="1">IFERROR(__xludf.DUMMYFUNCTION("""COMPUTED_VALUE"""),-0.436509208569806)</f>
        <v>-0.43650920856980602</v>
      </c>
      <c r="AX56" s="3">
        <f ca="1">IFERROR(__xludf.DUMMYFUNCTION("""COMPUTED_VALUE"""),-0.458156682424105)</f>
        <v>-0.45815668242410501</v>
      </c>
      <c r="AY56" s="3">
        <f ca="1">IFERROR(__xludf.DUMMYFUNCTION("""COMPUTED_VALUE"""),-0.455864747041845)</f>
        <v>-0.45586474704184499</v>
      </c>
      <c r="AZ56" s="3">
        <f ca="1">IFERROR(__xludf.DUMMYFUNCTION("""COMPUTED_VALUE"""),-0.409779958763875)</f>
        <v>-0.40977995876387502</v>
      </c>
      <c r="BA56" s="3">
        <f ca="1">IFERROR(__xludf.DUMMYFUNCTION("""COMPUTED_VALUE"""),-0.338893150582274)</f>
        <v>-0.33889315058227398</v>
      </c>
      <c r="BB56" s="3">
        <f ca="1">IFERROR(__xludf.DUMMYFUNCTION("""COMPUTED_VALUE"""),-0.316114450388503)</f>
        <v>-0.316114450388503</v>
      </c>
      <c r="BC56" s="3">
        <f ca="1">IFERROR(__xludf.DUMMYFUNCTION("""COMPUTED_VALUE"""),-0.445169925321089)</f>
        <v>-0.44516992532108901</v>
      </c>
      <c r="BD56" s="3">
        <f ca="1">IFERROR(__xludf.DUMMYFUNCTION("""COMPUTED_VALUE"""),-0.427391195891072)</f>
        <v>-0.427391195891072</v>
      </c>
      <c r="BE56" s="3">
        <f ca="1">IFERROR(__xludf.DUMMYFUNCTION("""COMPUTED_VALUE"""),-0.433009490792076)</f>
        <v>-0.43300949079207601</v>
      </c>
      <c r="BF56" s="3">
        <f ca="1">IFERROR(__xludf.DUMMYFUNCTION("""COMPUTED_VALUE"""),-0.489718022891178)</f>
        <v>-0.489718022891178</v>
      </c>
      <c r="BG56" s="3">
        <f ca="1">IFERROR(__xludf.DUMMYFUNCTION("""COMPUTED_VALUE"""),-0.465377037014381)</f>
        <v>-0.46537703701438099</v>
      </c>
      <c r="BH56" s="3">
        <f ca="1">IFERROR(__xludf.DUMMYFUNCTION("""COMPUTED_VALUE"""),-0.268688261481335)</f>
        <v>-0.26868826148133501</v>
      </c>
      <c r="BI56" s="3">
        <f ca="1">IFERROR(__xludf.DUMMYFUNCTION("""COMPUTED_VALUE"""),-0.316423038719912)</f>
        <v>-0.31642303871991201</v>
      </c>
      <c r="BJ56" s="3">
        <f ca="1">IFERROR(__xludf.DUMMYFUNCTION("""COMPUTED_VALUE"""),-0.39091921119435)</f>
        <v>-0.39091921119435002</v>
      </c>
      <c r="BK56" s="3">
        <f ca="1">IFERROR(__xludf.DUMMYFUNCTION("""COMPUTED_VALUE"""),-0.42386179025104)</f>
        <v>-0.42386179025103998</v>
      </c>
      <c r="BL56" s="3">
        <f ca="1">IFERROR(__xludf.DUMMYFUNCTION("""COMPUTED_VALUE"""),-0.462072316788239)</f>
        <v>-0.46207231678823901</v>
      </c>
      <c r="BM56" s="3">
        <f ca="1">IFERROR(__xludf.DUMMYFUNCTION("""COMPUTED_VALUE"""),-0.429799447705995)</f>
        <v>-0.42979944770599499</v>
      </c>
      <c r="BN56" s="3">
        <f ca="1">IFERROR(__xludf.DUMMYFUNCTION("""COMPUTED_VALUE"""),-0.462874282934422)</f>
        <v>-0.46287428293442201</v>
      </c>
      <c r="BO56" s="3">
        <f ca="1">IFERROR(__xludf.DUMMYFUNCTION("""COMPUTED_VALUE"""),-0.367215663462617)</f>
        <v>-0.36721566346261703</v>
      </c>
      <c r="BP56" s="3">
        <f ca="1">IFERROR(__xludf.DUMMYFUNCTION("""COMPUTED_VALUE"""),-0.411580026032588)</f>
        <v>-0.41158002603258798</v>
      </c>
      <c r="BQ56" s="3">
        <f ca="1">IFERROR(__xludf.DUMMYFUNCTION("""COMPUTED_VALUE"""),-0.404617175652994)</f>
        <v>-0.40461717565299399</v>
      </c>
      <c r="BR56" s="3">
        <f ca="1">IFERROR(__xludf.DUMMYFUNCTION("""COMPUTED_VALUE"""),-0.446922034686815)</f>
        <v>-0.44692203468681502</v>
      </c>
      <c r="BS56" s="3">
        <f ca="1">IFERROR(__xludf.DUMMYFUNCTION("""COMPUTED_VALUE"""),-0.535002021733379)</f>
        <v>-0.53500202173337896</v>
      </c>
      <c r="BT56" s="3">
        <f ca="1">IFERROR(__xludf.DUMMYFUNCTION("""COMPUTED_VALUE"""),-0.498861040450628)</f>
        <v>-0.49886104045062801</v>
      </c>
      <c r="BU56" s="3">
        <f ca="1">IFERROR(__xludf.DUMMYFUNCTION("""COMPUTED_VALUE"""),-0.411863330547715)</f>
        <v>-0.41186333054771501</v>
      </c>
      <c r="BV56" s="3">
        <f ca="1">IFERROR(__xludf.DUMMYFUNCTION("""COMPUTED_VALUE"""),-0.356147009563616)</f>
        <v>-0.356147009563616</v>
      </c>
      <c r="BW56" s="3">
        <f ca="1">IFERROR(__xludf.DUMMYFUNCTION("""COMPUTED_VALUE"""),-0.410696338565585)</f>
        <v>-0.41069633856558502</v>
      </c>
      <c r="BX56" s="3">
        <f ca="1">IFERROR(__xludf.DUMMYFUNCTION("""COMPUTED_VALUE"""),-0.397559215139519)</f>
        <v>-0.39755921513951897</v>
      </c>
      <c r="BY56" s="3">
        <f ca="1">IFERROR(__xludf.DUMMYFUNCTION("""COMPUTED_VALUE"""),-0.468367407844145)</f>
        <v>-0.46836740784414499</v>
      </c>
      <c r="BZ56" s="3">
        <f ca="1">IFERROR(__xludf.DUMMYFUNCTION("""COMPUTED_VALUE"""),-0.487993300211623)</f>
        <v>-0.48799330021162302</v>
      </c>
      <c r="CA56" s="3">
        <f ca="1">IFERROR(__xludf.DUMMYFUNCTION("""COMPUTED_VALUE"""),-0.453653323397233)</f>
        <v>-0.45365332339723302</v>
      </c>
      <c r="CB56" s="3">
        <f ca="1">IFERROR(__xludf.DUMMYFUNCTION("""COMPUTED_VALUE"""),-0.40873289081557)</f>
        <v>-0.40873289081557002</v>
      </c>
      <c r="CC56" s="3">
        <f ca="1">IFERROR(__xludf.DUMMYFUNCTION("""COMPUTED_VALUE"""),-0.42593677201536)</f>
        <v>-0.42593677201536001</v>
      </c>
      <c r="CD56" s="3">
        <f ca="1">IFERROR(__xludf.DUMMYFUNCTION("""COMPUTED_VALUE"""),-0.337366348041167)</f>
        <v>-0.337366348041167</v>
      </c>
      <c r="CE56" s="3">
        <f ca="1">IFERROR(__xludf.DUMMYFUNCTION("""COMPUTED_VALUE"""),-0.417294086341915)</f>
        <v>-0.417294086341915</v>
      </c>
      <c r="CF56" s="3">
        <f ca="1">IFERROR(__xludf.DUMMYFUNCTION("""COMPUTED_VALUE"""),-0.489572884382804)</f>
        <v>-0.489572884382804</v>
      </c>
      <c r="CG56" s="3">
        <f ca="1">IFERROR(__xludf.DUMMYFUNCTION("""COMPUTED_VALUE"""),-0.505245000369916)</f>
        <v>-0.50524500036991604</v>
      </c>
      <c r="CH56" s="3">
        <f ca="1">IFERROR(__xludf.DUMMYFUNCTION("""COMPUTED_VALUE"""),-0.477484598385043)</f>
        <v>-0.47748459838504298</v>
      </c>
      <c r="CI56" s="3">
        <f ca="1">IFERROR(__xludf.DUMMYFUNCTION("""COMPUTED_VALUE"""),-0.463246465997369)</f>
        <v>-0.46324646599736902</v>
      </c>
      <c r="CJ56" s="3">
        <f ca="1">IFERROR(__xludf.DUMMYFUNCTION("""COMPUTED_VALUE"""),-0.380423049621415)</f>
        <v>-0.38042304962141499</v>
      </c>
      <c r="CK56" s="3">
        <f ca="1">IFERROR(__xludf.DUMMYFUNCTION("""COMPUTED_VALUE"""),-0.426070414064939)</f>
        <v>-0.42607041406493901</v>
      </c>
      <c r="CL56" s="3">
        <f ca="1">IFERROR(__xludf.DUMMYFUNCTION("""COMPUTED_VALUE"""),-0.416036196622743)</f>
        <v>-0.41603619662274299</v>
      </c>
      <c r="CM56" s="3">
        <f ca="1">IFERROR(__xludf.DUMMYFUNCTION("""COMPUTED_VALUE"""),-0.498747087772444)</f>
        <v>-0.49874708777244398</v>
      </c>
      <c r="CN56" s="3">
        <f ca="1">IFERROR(__xludf.DUMMYFUNCTION("""COMPUTED_VALUE"""),-0.456865237748315)</f>
        <v>-0.456865237748315</v>
      </c>
      <c r="CO56" s="3">
        <f ca="1">IFERROR(__xludf.DUMMYFUNCTION("""COMPUTED_VALUE"""),-0.538651825316411)</f>
        <v>-0.53865182531641098</v>
      </c>
      <c r="CP56" s="3">
        <f ca="1">IFERROR(__xludf.DUMMYFUNCTION("""COMPUTED_VALUE"""),-0.431673819357123)</f>
        <v>-0.43167381935712301</v>
      </c>
      <c r="CQ56" s="3">
        <f ca="1">IFERROR(__xludf.DUMMYFUNCTION("""COMPUTED_VALUE"""),-0.389901606596332)</f>
        <v>-0.389901606596332</v>
      </c>
      <c r="CR56" s="3">
        <f ca="1">IFERROR(__xludf.DUMMYFUNCTION("""COMPUTED_VALUE"""),-0.446075433655246)</f>
        <v>-0.44607543365524599</v>
      </c>
      <c r="CS56" s="3">
        <f ca="1">IFERROR(__xludf.DUMMYFUNCTION("""COMPUTED_VALUE"""),-0.414810461491843)</f>
        <v>-0.41481046149184297</v>
      </c>
      <c r="CT56" s="3">
        <f ca="1">IFERROR(__xludf.DUMMYFUNCTION("""COMPUTED_VALUE"""),-0.447988372153503)</f>
        <v>-0.44798837215350301</v>
      </c>
      <c r="CU56" s="3">
        <f ca="1">IFERROR(__xludf.DUMMYFUNCTION("""COMPUTED_VALUE"""),-0.307066852709258)</f>
        <v>-0.30706685270925799</v>
      </c>
      <c r="CV56" s="3">
        <f ca="1">IFERROR(__xludf.DUMMYFUNCTION("""COMPUTED_VALUE"""),-0.379832958685846)</f>
        <v>-0.37983295868584599</v>
      </c>
      <c r="CW56" s="3">
        <f ca="1">IFERROR(__xludf.DUMMYFUNCTION("""COMPUTED_VALUE"""),-0.308682328813841)</f>
        <v>-0.308682328813841</v>
      </c>
      <c r="CX56" s="3">
        <f ca="1">IFERROR(__xludf.DUMMYFUNCTION("""COMPUTED_VALUE"""),-0.423141093889479)</f>
        <v>-0.42314109388947901</v>
      </c>
      <c r="CY56" s="3">
        <f ca="1">IFERROR(__xludf.DUMMYFUNCTION("""COMPUTED_VALUE"""),-0.341206880831463)</f>
        <v>-0.341206880831463</v>
      </c>
      <c r="CZ56" s="3">
        <f ca="1">IFERROR(__xludf.DUMMYFUNCTION("""COMPUTED_VALUE"""),-0.623758350524022)</f>
        <v>-0.62375835052402195</v>
      </c>
      <c r="DA56" s="3">
        <f ca="1">IFERROR(__xludf.DUMMYFUNCTION("""COMPUTED_VALUE"""),-0.406662610311635)</f>
        <v>-0.40666261031163498</v>
      </c>
      <c r="DB56" s="3">
        <f ca="1">IFERROR(__xludf.DUMMYFUNCTION("""COMPUTED_VALUE"""),0.0964609321359335)</f>
        <v>9.64609321359335E-2</v>
      </c>
      <c r="DC56" s="3">
        <f ca="1">IFERROR(__xludf.DUMMYFUNCTION("""COMPUTED_VALUE"""),-0.419300123201487)</f>
        <v>-0.41930012320148702</v>
      </c>
      <c r="DD56" s="3">
        <f ca="1">IFERROR(__xludf.DUMMYFUNCTION("""COMPUTED_VALUE"""),-0.458250798995706)</f>
        <v>-0.45825079899570598</v>
      </c>
      <c r="DE56" s="3">
        <f ca="1">IFERROR(__xludf.DUMMYFUNCTION("""COMPUTED_VALUE"""),-0.382169708154463)</f>
        <v>-0.38216970815446299</v>
      </c>
      <c r="DF56" s="3">
        <f ca="1">IFERROR(__xludf.DUMMYFUNCTION("""COMPUTED_VALUE"""),-0.446035723244172)</f>
        <v>-0.44603572324417201</v>
      </c>
      <c r="DG56" s="3">
        <f ca="1">IFERROR(__xludf.DUMMYFUNCTION("""COMPUTED_VALUE"""),-0.784980755858485)</f>
        <v>-0.78498075585848504</v>
      </c>
      <c r="DH56" s="3">
        <f ca="1">IFERROR(__xludf.DUMMYFUNCTION("""COMPUTED_VALUE"""),-0.411062454555099)</f>
        <v>-0.41106245455509899</v>
      </c>
      <c r="DI56" s="3">
        <f ca="1">IFERROR(__xludf.DUMMYFUNCTION("""COMPUTED_VALUE"""),0.38261051644058)</f>
        <v>0.38261051644057997</v>
      </c>
      <c r="DJ56" s="3">
        <f ca="1">IFERROR(__xludf.DUMMYFUNCTION("""COMPUTED_VALUE"""),-0.32537167139379)</f>
        <v>-0.32537167139378997</v>
      </c>
      <c r="DK56" s="3">
        <f ca="1">IFERROR(__xludf.DUMMYFUNCTION("""COMPUTED_VALUE"""),-0.376941824222939)</f>
        <v>-0.37694182422293898</v>
      </c>
      <c r="DL56" s="3">
        <f ca="1">IFERROR(__xludf.DUMMYFUNCTION("""COMPUTED_VALUE"""),-0.239103142291407)</f>
        <v>-0.239103142291407</v>
      </c>
      <c r="DM56" s="3">
        <f ca="1">IFERROR(__xludf.DUMMYFUNCTION("""COMPUTED_VALUE"""),-0.287533667584461)</f>
        <v>-0.28753366758446097</v>
      </c>
      <c r="DN56" s="3">
        <f ca="1">IFERROR(__xludf.DUMMYFUNCTION("""COMPUTED_VALUE"""),-0.331972258040836)</f>
        <v>-0.33197225804083602</v>
      </c>
      <c r="DO56" s="3">
        <f ca="1">IFERROR(__xludf.DUMMYFUNCTION("""COMPUTED_VALUE"""),-0.362804689981703)</f>
        <v>-0.36280468998170301</v>
      </c>
      <c r="DP56" s="3">
        <f ca="1">IFERROR(__xludf.DUMMYFUNCTION("""COMPUTED_VALUE"""),-0.201630182223072)</f>
        <v>-0.201630182223072</v>
      </c>
      <c r="DQ56" s="3">
        <f ca="1">IFERROR(__xludf.DUMMYFUNCTION("""COMPUTED_VALUE"""),-0.434129605242141)</f>
        <v>-0.434129605242141</v>
      </c>
      <c r="DR56" s="3">
        <f ca="1">IFERROR(__xludf.DUMMYFUNCTION("""COMPUTED_VALUE"""),-0.370993833806018)</f>
        <v>-0.37099383380601803</v>
      </c>
      <c r="DS56" s="3">
        <f ca="1">IFERROR(__xludf.DUMMYFUNCTION("""COMPUTED_VALUE"""),-0.350887544391692)</f>
        <v>-0.35088754439169201</v>
      </c>
      <c r="DT56" s="3">
        <f ca="1">IFERROR(__xludf.DUMMYFUNCTION("""COMPUTED_VALUE"""),-0.35434641950163)</f>
        <v>-0.35434641950162998</v>
      </c>
      <c r="DU56" s="3">
        <f ca="1">IFERROR(__xludf.DUMMYFUNCTION("""COMPUTED_VALUE"""),-0.405204015869697)</f>
        <v>-0.40520401586969701</v>
      </c>
      <c r="DV56" s="3">
        <f ca="1">IFERROR(__xludf.DUMMYFUNCTION("""COMPUTED_VALUE"""),-0.422903458939489)</f>
        <v>-0.422903458939489</v>
      </c>
      <c r="DW56" s="3">
        <f ca="1">IFERROR(__xludf.DUMMYFUNCTION("""COMPUTED_VALUE"""),-0.460137261457088)</f>
        <v>-0.460137261457088</v>
      </c>
      <c r="DX56" s="3">
        <f ca="1">IFERROR(__xludf.DUMMYFUNCTION("""COMPUTED_VALUE"""),-0.508852291567925)</f>
        <v>-0.508852291567925</v>
      </c>
      <c r="DY56" s="3">
        <f ca="1">IFERROR(__xludf.DUMMYFUNCTION("""COMPUTED_VALUE"""),-0.505671080932719)</f>
        <v>-0.50567108093271895</v>
      </c>
      <c r="DZ56" s="3">
        <f ca="1">IFERROR(__xludf.DUMMYFUNCTION("""COMPUTED_VALUE"""),-0.345310418865944)</f>
        <v>-0.34531041886594399</v>
      </c>
      <c r="EA56" s="3">
        <f ca="1">IFERROR(__xludf.DUMMYFUNCTION("""COMPUTED_VALUE"""),-0.395632593574562)</f>
        <v>-0.39563259357456199</v>
      </c>
      <c r="EB56" s="3">
        <f ca="1">IFERROR(__xludf.DUMMYFUNCTION("""COMPUTED_VALUE"""),-0.425312086264109)</f>
        <v>-0.42531208626410899</v>
      </c>
      <c r="EC56" s="3">
        <f ca="1">IFERROR(__xludf.DUMMYFUNCTION("""COMPUTED_VALUE"""),-0.231043009204838)</f>
        <v>-0.231043009204838</v>
      </c>
      <c r="ED56" s="3">
        <f ca="1">IFERROR(__xludf.DUMMYFUNCTION("""COMPUTED_VALUE"""),-0.478855949532971)</f>
        <v>-0.478855949532971</v>
      </c>
      <c r="EE56" s="3">
        <f ca="1">IFERROR(__xludf.DUMMYFUNCTION("""COMPUTED_VALUE"""),-0.468861712889177)</f>
        <v>-0.468861712889177</v>
      </c>
      <c r="EF56" s="3">
        <f ca="1">IFERROR(__xludf.DUMMYFUNCTION("""COMPUTED_VALUE"""),-0.452897531483285)</f>
        <v>-0.45289753148328499</v>
      </c>
      <c r="EG56" s="3">
        <f ca="1">IFERROR(__xludf.DUMMYFUNCTION("""COMPUTED_VALUE"""),-0.382784889874426)</f>
        <v>-0.38278488987442599</v>
      </c>
      <c r="EH56" s="3">
        <f ca="1">IFERROR(__xludf.DUMMYFUNCTION("""COMPUTED_VALUE"""),-0.389236126816148)</f>
        <v>-0.389236126816148</v>
      </c>
      <c r="EI56" s="3">
        <f ca="1">IFERROR(__xludf.DUMMYFUNCTION("""COMPUTED_VALUE"""),-0.499685988561903)</f>
        <v>-0.49968598856190299</v>
      </c>
      <c r="EJ56" s="3">
        <f ca="1">IFERROR(__xludf.DUMMYFUNCTION("""COMPUTED_VALUE"""),-0.697765581918448)</f>
        <v>-0.69776558191844795</v>
      </c>
      <c r="EK56" s="3">
        <f ca="1">IFERROR(__xludf.DUMMYFUNCTION("""COMPUTED_VALUE"""),-0.477936453393257)</f>
        <v>-0.47793645339325702</v>
      </c>
      <c r="EL56" s="3">
        <f ca="1">IFERROR(__xludf.DUMMYFUNCTION("""COMPUTED_VALUE"""),-0.458043271121885)</f>
        <v>-0.45804327112188498</v>
      </c>
      <c r="EM56" s="3">
        <f ca="1">IFERROR(__xludf.DUMMYFUNCTION("""COMPUTED_VALUE"""),-0.430250831757811)</f>
        <v>-0.43025083175781098</v>
      </c>
      <c r="EN56" s="3">
        <f ca="1">IFERROR(__xludf.DUMMYFUNCTION("""COMPUTED_VALUE"""),-0.307901330733717)</f>
        <v>-0.307901330733717</v>
      </c>
      <c r="EO56" s="3">
        <f ca="1">IFERROR(__xludf.DUMMYFUNCTION("""COMPUTED_VALUE"""),-0.36578996420602)</f>
        <v>-0.36578996420602</v>
      </c>
      <c r="EP56" s="3">
        <f ca="1">IFERROR(__xludf.DUMMYFUNCTION("""COMPUTED_VALUE"""),-0.389564785663275)</f>
        <v>-0.38956478566327502</v>
      </c>
      <c r="EQ56" s="3">
        <f ca="1">IFERROR(__xludf.DUMMYFUNCTION("""COMPUTED_VALUE"""),-0.29048885441847)</f>
        <v>-0.29048885441847</v>
      </c>
      <c r="ER56" s="3">
        <f ca="1">IFERROR(__xludf.DUMMYFUNCTION("""COMPUTED_VALUE"""),-0.412632611827172)</f>
        <v>-0.41263261182717198</v>
      </c>
      <c r="ES56" s="3">
        <f ca="1">IFERROR(__xludf.DUMMYFUNCTION("""COMPUTED_VALUE"""),-0.479277313444347)</f>
        <v>-0.47927731344434699</v>
      </c>
      <c r="ET56" s="3">
        <f ca="1">IFERROR(__xludf.DUMMYFUNCTION("""COMPUTED_VALUE"""),-0.346297535215139)</f>
        <v>-0.34629753521513901</v>
      </c>
      <c r="EU56" s="3">
        <f ca="1">IFERROR(__xludf.DUMMYFUNCTION("""COMPUTED_VALUE"""),-0.331509957144591)</f>
        <v>-0.33150995714459103</v>
      </c>
      <c r="EV56" s="3">
        <f ca="1">IFERROR(__xludf.DUMMYFUNCTION("""COMPUTED_VALUE"""),-0.367290920850245)</f>
        <v>-0.36729092085024501</v>
      </c>
      <c r="EW56" s="3">
        <f ca="1">IFERROR(__xludf.DUMMYFUNCTION("""COMPUTED_VALUE"""),-0.402610040028048)</f>
        <v>-0.40261004002804801</v>
      </c>
      <c r="EX56" s="3">
        <f ca="1">IFERROR(__xludf.DUMMYFUNCTION("""COMPUTED_VALUE"""),-0.4812506588175)</f>
        <v>-0.48125065881750001</v>
      </c>
      <c r="EY56" s="3">
        <f ca="1">IFERROR(__xludf.DUMMYFUNCTION("""COMPUTED_VALUE"""),-0.480516316083495)</f>
        <v>-0.48051631608349499</v>
      </c>
      <c r="EZ56" s="3">
        <f ca="1">IFERROR(__xludf.DUMMYFUNCTION("""COMPUTED_VALUE"""),-0.479658006914596)</f>
        <v>-0.47965800691459598</v>
      </c>
      <c r="FA56" s="3">
        <f ca="1">IFERROR(__xludf.DUMMYFUNCTION("""COMPUTED_VALUE"""),-0.622245792591485)</f>
        <v>-0.62224579259148505</v>
      </c>
      <c r="FB56" s="3">
        <f ca="1">IFERROR(__xludf.DUMMYFUNCTION("""COMPUTED_VALUE"""),-0.534008455573668)</f>
        <v>-0.53400845557366805</v>
      </c>
      <c r="FC56" s="3">
        <f ca="1">IFERROR(__xludf.DUMMYFUNCTION("""COMPUTED_VALUE"""),-0.409179304087008)</f>
        <v>-0.40917930408700798</v>
      </c>
      <c r="FD56" s="3">
        <f ca="1">IFERROR(__xludf.DUMMYFUNCTION("""COMPUTED_VALUE"""),-0.404693031823317)</f>
        <v>-0.40469303182331701</v>
      </c>
      <c r="FE56" s="3">
        <f ca="1">IFERROR(__xludf.DUMMYFUNCTION("""COMPUTED_VALUE"""),-0.453443925871149)</f>
        <v>-0.45344392587114901</v>
      </c>
      <c r="FF56" s="3">
        <f ca="1">IFERROR(__xludf.DUMMYFUNCTION("""COMPUTED_VALUE"""),-0.451234134196638)</f>
        <v>-0.45123413419663799</v>
      </c>
      <c r="FG56" s="3">
        <f ca="1">IFERROR(__xludf.DUMMYFUNCTION("""COMPUTED_VALUE"""),-0.446600829398944)</f>
        <v>-0.44660082939894402</v>
      </c>
      <c r="FH56" s="3">
        <f ca="1">IFERROR(__xludf.DUMMYFUNCTION("""COMPUTED_VALUE"""),-0.397951021447641)</f>
        <v>-0.397951021447641</v>
      </c>
      <c r="FI56" s="3">
        <f ca="1">IFERROR(__xludf.DUMMYFUNCTION("""COMPUTED_VALUE"""),-0.363252091010567)</f>
        <v>-0.36325209101056699</v>
      </c>
      <c r="FJ56" s="3">
        <f ca="1">IFERROR(__xludf.DUMMYFUNCTION("""COMPUTED_VALUE"""),-0.233829785411058)</f>
        <v>-0.23382978541105801</v>
      </c>
      <c r="FK56" s="3">
        <f ca="1">IFERROR(__xludf.DUMMYFUNCTION("""COMPUTED_VALUE"""),-0.422352841076836)</f>
        <v>-0.42235284107683602</v>
      </c>
      <c r="FL56" s="3">
        <f ca="1">IFERROR(__xludf.DUMMYFUNCTION("""COMPUTED_VALUE"""),-0.450987019825333)</f>
        <v>-0.45098701982533301</v>
      </c>
      <c r="FM56" s="3">
        <f ca="1">IFERROR(__xludf.DUMMYFUNCTION("""COMPUTED_VALUE"""),-0.470761430280607)</f>
        <v>-0.47076143028060702</v>
      </c>
      <c r="FN56" s="3">
        <f ca="1">IFERROR(__xludf.DUMMYFUNCTION("""COMPUTED_VALUE"""),-0.411884913147158)</f>
        <v>-0.41188491314715803</v>
      </c>
      <c r="FO56" s="3">
        <f ca="1">IFERROR(__xludf.DUMMYFUNCTION("""COMPUTED_VALUE"""),-0.45231185273554)</f>
        <v>-0.45231185273553998</v>
      </c>
      <c r="FP56" s="3">
        <f ca="1">IFERROR(__xludf.DUMMYFUNCTION("""COMPUTED_VALUE"""),-0.363299521699851)</f>
        <v>-0.36329952169985102</v>
      </c>
      <c r="FQ56" s="3">
        <f ca="1">IFERROR(__xludf.DUMMYFUNCTION("""COMPUTED_VALUE"""),-0.410277410220808)</f>
        <v>-0.41027741022080799</v>
      </c>
      <c r="FR56" s="3">
        <f ca="1">IFERROR(__xludf.DUMMYFUNCTION("""COMPUTED_VALUE"""),-0.397783548894472)</f>
        <v>-0.39778354889447198</v>
      </c>
      <c r="FS56" s="3">
        <f ca="1">IFERROR(__xludf.DUMMYFUNCTION("""COMPUTED_VALUE"""),-0.494060985726949)</f>
        <v>-0.49406098572694901</v>
      </c>
      <c r="FT56" s="3">
        <f ca="1">IFERROR(__xludf.DUMMYFUNCTION("""COMPUTED_VALUE"""),-0.552754403948126)</f>
        <v>-0.55275440394812603</v>
      </c>
      <c r="FU56" s="3">
        <f ca="1">IFERROR(__xludf.DUMMYFUNCTION("""COMPUTED_VALUE"""),-0.452092534813069)</f>
        <v>-0.45209253481306899</v>
      </c>
      <c r="FV56" s="3">
        <f ca="1">IFERROR(__xludf.DUMMYFUNCTION("""COMPUTED_VALUE"""),-0.580715943257475)</f>
        <v>-0.580715943257475</v>
      </c>
      <c r="FW56" s="3">
        <f ca="1">IFERROR(__xludf.DUMMYFUNCTION("""COMPUTED_VALUE"""),-0.351040281981991)</f>
        <v>-0.351040281981991</v>
      </c>
      <c r="FX56" s="3">
        <f ca="1">IFERROR(__xludf.DUMMYFUNCTION("""COMPUTED_VALUE"""),-0.345210545232826)</f>
        <v>-0.34521054523282602</v>
      </c>
      <c r="FY56" s="3">
        <f ca="1">IFERROR(__xludf.DUMMYFUNCTION("""COMPUTED_VALUE"""),-0.465956263955399)</f>
        <v>-0.46595626395539902</v>
      </c>
      <c r="FZ56" s="3">
        <f ca="1">IFERROR(__xludf.DUMMYFUNCTION("""COMPUTED_VALUE"""),-0.43136519813648)</f>
        <v>-0.43136519813648</v>
      </c>
      <c r="GA56" s="3">
        <f ca="1">IFERROR(__xludf.DUMMYFUNCTION("""COMPUTED_VALUE"""),-0.396537698140972)</f>
        <v>-0.39653769814097201</v>
      </c>
      <c r="GB56" s="3">
        <f ca="1">IFERROR(__xludf.DUMMYFUNCTION("""COMPUTED_VALUE"""),-0.461373332430032)</f>
        <v>-0.46137333243003198</v>
      </c>
      <c r="GC56" s="3">
        <f ca="1">IFERROR(__xludf.DUMMYFUNCTION("""COMPUTED_VALUE"""),-0.491591070639159)</f>
        <v>-0.49159107063915902</v>
      </c>
      <c r="GD56" s="3">
        <f ca="1">IFERROR(__xludf.DUMMYFUNCTION("""COMPUTED_VALUE"""),-0.407854672658311)</f>
        <v>-0.40785467265831099</v>
      </c>
      <c r="GE56" s="3">
        <f ca="1">IFERROR(__xludf.DUMMYFUNCTION("""COMPUTED_VALUE"""),-0.348830966878185)</f>
        <v>-0.34883096687818499</v>
      </c>
      <c r="GF56" s="3">
        <f ca="1">IFERROR(__xludf.DUMMYFUNCTION("""COMPUTED_VALUE"""),-0.413467273516794)</f>
        <v>-0.41346727351679402</v>
      </c>
      <c r="GG56" s="3">
        <f ca="1">IFERROR(__xludf.DUMMYFUNCTION("""COMPUTED_VALUE"""),-0.427771918009085)</f>
        <v>-0.42777191800908498</v>
      </c>
      <c r="GH56" s="3">
        <f ca="1">IFERROR(__xludf.DUMMYFUNCTION("""COMPUTED_VALUE"""),-0.415539164494362)</f>
        <v>-0.41553916449436201</v>
      </c>
      <c r="GI56" s="3">
        <f ca="1">IFERROR(__xludf.DUMMYFUNCTION("""COMPUTED_VALUE"""),-0.433561526819759)</f>
        <v>-0.43356152681975901</v>
      </c>
      <c r="GJ56" s="3">
        <f ca="1">IFERROR(__xludf.DUMMYFUNCTION("""COMPUTED_VALUE"""),-0.40851793216011)</f>
        <v>-0.40851793216011001</v>
      </c>
      <c r="GK56" s="3">
        <f ca="1">IFERROR(__xludf.DUMMYFUNCTION("""COMPUTED_VALUE"""),-0.368195402451606)</f>
        <v>-0.36819540245160598</v>
      </c>
      <c r="GL56" s="3">
        <f ca="1">IFERROR(__xludf.DUMMYFUNCTION("""COMPUTED_VALUE"""),-0.400553056019792)</f>
        <v>-0.40055305601979202</v>
      </c>
      <c r="GM56" s="3">
        <f ca="1">IFERROR(__xludf.DUMMYFUNCTION("""COMPUTED_VALUE"""),-0.44015893645878)</f>
        <v>-0.44015893645878001</v>
      </c>
      <c r="GN56" s="3">
        <f ca="1">IFERROR(__xludf.DUMMYFUNCTION("""COMPUTED_VALUE"""),-0.425578996232258)</f>
        <v>-0.42557899623225798</v>
      </c>
      <c r="GO56" s="3">
        <f ca="1">IFERROR(__xludf.DUMMYFUNCTION("""COMPUTED_VALUE"""),-0.502402831063042)</f>
        <v>-0.50240283106304195</v>
      </c>
      <c r="GP56" s="3">
        <f ca="1">IFERROR(__xludf.DUMMYFUNCTION("""COMPUTED_VALUE"""),-0.430328805357044)</f>
        <v>-0.43032880535704399</v>
      </c>
      <c r="GQ56" s="3">
        <f ca="1">IFERROR(__xludf.DUMMYFUNCTION("""COMPUTED_VALUE"""),-0.45434794078699)</f>
        <v>-0.45434794078698998</v>
      </c>
      <c r="GR56" s="3">
        <f ca="1">IFERROR(__xludf.DUMMYFUNCTION("""COMPUTED_VALUE"""),-0.407333135104949)</f>
        <v>-0.40733313510494901</v>
      </c>
      <c r="GS56" s="3">
        <f ca="1">IFERROR(__xludf.DUMMYFUNCTION("""COMPUTED_VALUE"""),-0.376046587925482)</f>
        <v>-0.37604658792548201</v>
      </c>
      <c r="GT56" s="3">
        <f ca="1">IFERROR(__xludf.DUMMYFUNCTION("""COMPUTED_VALUE"""),-0.435189396614128)</f>
        <v>-0.43518939661412798</v>
      </c>
      <c r="GU56" s="3">
        <f ca="1">IFERROR(__xludf.DUMMYFUNCTION("""COMPUTED_VALUE"""),-0.489647217454509)</f>
        <v>-0.48964721745450901</v>
      </c>
      <c r="GV56" s="3">
        <f ca="1">IFERROR(__xludf.DUMMYFUNCTION("""COMPUTED_VALUE"""),-0.48521995002529)</f>
        <v>-0.48521995002529</v>
      </c>
      <c r="GW56" s="3">
        <f ca="1">IFERROR(__xludf.DUMMYFUNCTION("""COMPUTED_VALUE"""),-0.439645725584128)</f>
        <v>-0.43964572558412801</v>
      </c>
      <c r="GX56" s="3">
        <f ca="1">IFERROR(__xludf.DUMMYFUNCTION("""COMPUTED_VALUE"""),-0.532009410212034)</f>
        <v>-0.53200941021203396</v>
      </c>
      <c r="GY56" s="3">
        <f ca="1">IFERROR(__xludf.DUMMYFUNCTION("""COMPUTED_VALUE"""),-0.312622120125027)</f>
        <v>-0.31262212012502699</v>
      </c>
      <c r="GZ56" s="3">
        <f ca="1">IFERROR(__xludf.DUMMYFUNCTION("""COMPUTED_VALUE"""),-0.365434128162403)</f>
        <v>-0.365434128162403</v>
      </c>
      <c r="HA56" s="3">
        <f ca="1">IFERROR(__xludf.DUMMYFUNCTION("""COMPUTED_VALUE"""),-0.408220713681519)</f>
        <v>-0.40822071368151902</v>
      </c>
      <c r="HB56" s="3">
        <f ca="1">IFERROR(__xludf.DUMMYFUNCTION("""COMPUTED_VALUE"""),-0.440071991833002)</f>
        <v>-0.440071991833002</v>
      </c>
      <c r="HC56" s="3">
        <f ca="1">IFERROR(__xludf.DUMMYFUNCTION("""COMPUTED_VALUE"""),-0.456438005165061)</f>
        <v>-0.456438005165061</v>
      </c>
      <c r="HD56" s="3">
        <f ca="1">IFERROR(__xludf.DUMMYFUNCTION("""COMPUTED_VALUE"""),-0.451095367196639)</f>
        <v>-0.45109536719663901</v>
      </c>
      <c r="HE56" s="3">
        <f ca="1">IFERROR(__xludf.DUMMYFUNCTION("""COMPUTED_VALUE"""),-0.487650028786334)</f>
        <v>-0.48765002878633401</v>
      </c>
      <c r="HF56" s="3">
        <f ca="1">IFERROR(__xludf.DUMMYFUNCTION("""COMPUTED_VALUE"""),-0.276326257600275)</f>
        <v>-0.27632625760027502</v>
      </c>
      <c r="HG56" s="3">
        <f ca="1">IFERROR(__xludf.DUMMYFUNCTION("""COMPUTED_VALUE"""),-0.381206893399194)</f>
        <v>-0.381206893399194</v>
      </c>
      <c r="HH56" s="3">
        <f ca="1">IFERROR(__xludf.DUMMYFUNCTION("""COMPUTED_VALUE"""),-0.365023734192049)</f>
        <v>-0.36502373419204898</v>
      </c>
      <c r="HI56" s="3">
        <f ca="1">IFERROR(__xludf.DUMMYFUNCTION("""COMPUTED_VALUE"""),-0.436941054238867)</f>
        <v>-0.43694105423886698</v>
      </c>
      <c r="HJ56" s="3">
        <f ca="1">IFERROR(__xludf.DUMMYFUNCTION("""COMPUTED_VALUE"""),-0.380954022856449)</f>
        <v>-0.38095402285644903</v>
      </c>
      <c r="HK56" s="3">
        <f ca="1">IFERROR(__xludf.DUMMYFUNCTION("""COMPUTED_VALUE"""),-0.201094756730089)</f>
        <v>-0.201094756730089</v>
      </c>
      <c r="HL56" s="3">
        <f ca="1">IFERROR(__xludf.DUMMYFUNCTION("""COMPUTED_VALUE"""),-0.476838706910903)</f>
        <v>-0.47683870691090302</v>
      </c>
      <c r="HM56" s="3">
        <f ca="1">IFERROR(__xludf.DUMMYFUNCTION("""COMPUTED_VALUE"""),-0.254466100042888)</f>
        <v>-0.254466100042888</v>
      </c>
      <c r="HN56" s="3">
        <f ca="1">IFERROR(__xludf.DUMMYFUNCTION("""COMPUTED_VALUE"""),-0.235235406134555)</f>
        <v>-0.23523540613455499</v>
      </c>
      <c r="HO56" s="3">
        <f ca="1">IFERROR(__xludf.DUMMYFUNCTION("""COMPUTED_VALUE"""),-0.320352926322205)</f>
        <v>-0.32035292632220502</v>
      </c>
      <c r="HP56" s="3">
        <f ca="1">IFERROR(__xludf.DUMMYFUNCTION("""COMPUTED_VALUE"""),-0.417839733532336)</f>
        <v>-0.417839733532336</v>
      </c>
      <c r="HQ56" s="3">
        <f ca="1">IFERROR(__xludf.DUMMYFUNCTION("""COMPUTED_VALUE"""),-0.359498111056269)</f>
        <v>-0.359498111056269</v>
      </c>
      <c r="HR56" s="3">
        <f ca="1">IFERROR(__xludf.DUMMYFUNCTION("""COMPUTED_VALUE"""),-0.156111028271547)</f>
        <v>-0.15611102827154699</v>
      </c>
      <c r="HS56" s="3">
        <f ca="1">IFERROR(__xludf.DUMMYFUNCTION("""COMPUTED_VALUE"""),-0.212102388602174)</f>
        <v>-0.21210238860217401</v>
      </c>
      <c r="HT56" s="3">
        <f ca="1">IFERROR(__xludf.DUMMYFUNCTION("""COMPUTED_VALUE"""),-0.155022370707774)</f>
        <v>-0.155022370707774</v>
      </c>
      <c r="HU56" s="3">
        <f ca="1">IFERROR(__xludf.DUMMYFUNCTION("""COMPUTED_VALUE"""),-0.236604368845436)</f>
        <v>-0.23660436884543601</v>
      </c>
      <c r="HV56" s="3">
        <f ca="1">IFERROR(__xludf.DUMMYFUNCTION("""COMPUTED_VALUE"""),-0.311536674477135)</f>
        <v>-0.31153667447713501</v>
      </c>
      <c r="HW56" s="3">
        <f ca="1">IFERROR(__xludf.DUMMYFUNCTION("""COMPUTED_VALUE"""),-0.402933166061989)</f>
        <v>-0.40293316606198898</v>
      </c>
      <c r="HX56" s="3">
        <f ca="1">IFERROR(__xludf.DUMMYFUNCTION("""COMPUTED_VALUE"""),-0.348745741785969)</f>
        <v>-0.34874574178596901</v>
      </c>
      <c r="HY56" s="3">
        <f ca="1">IFERROR(__xludf.DUMMYFUNCTION("""COMPUTED_VALUE"""),-0.156092386952191)</f>
        <v>-0.15609238695219099</v>
      </c>
      <c r="HZ56" s="3">
        <f ca="1">IFERROR(__xludf.DUMMYFUNCTION("""COMPUTED_VALUE"""),-0.135568051610139)</f>
        <v>-0.13556805161013899</v>
      </c>
      <c r="IA56" s="3">
        <f ca="1">IFERROR(__xludf.DUMMYFUNCTION("""COMPUTED_VALUE"""),-0.216659961764165)</f>
        <v>-0.21665996176416499</v>
      </c>
      <c r="IB56" s="3">
        <f ca="1">IFERROR(__xludf.DUMMYFUNCTION("""COMPUTED_VALUE"""),-0.270226904868598)</f>
        <v>-0.27022690486859802</v>
      </c>
      <c r="IC56" s="3">
        <f ca="1">IFERROR(__xludf.DUMMYFUNCTION("""COMPUTED_VALUE"""),-0.317587822897565)</f>
        <v>-0.31758782289756499</v>
      </c>
      <c r="ID56" s="3">
        <f ca="1">IFERROR(__xludf.DUMMYFUNCTION("""COMPUTED_VALUE"""),-0.390431929789667)</f>
        <v>-0.39043192978966701</v>
      </c>
      <c r="IE56" s="3">
        <f ca="1">IFERROR(__xludf.DUMMYFUNCTION("""COMPUTED_VALUE"""),-0.400577290512975)</f>
        <v>-0.40057729051297503</v>
      </c>
      <c r="IF56" s="3">
        <f ca="1">IFERROR(__xludf.DUMMYFUNCTION("""COMPUTED_VALUE"""),-0.312865626272427)</f>
        <v>-0.31286562627242698</v>
      </c>
      <c r="IG56" s="3">
        <f ca="1">IFERROR(__xludf.DUMMYFUNCTION("""COMPUTED_VALUE"""),-0.275260110225529)</f>
        <v>-0.27526011022552899</v>
      </c>
      <c r="IH56" s="3">
        <f ca="1">IFERROR(__xludf.DUMMYFUNCTION("""COMPUTED_VALUE"""),-0.0796418126740008)</f>
        <v>-7.9641812674000806E-2</v>
      </c>
      <c r="II56" s="3">
        <f ca="1">IFERROR(__xludf.DUMMYFUNCTION("""COMPUTED_VALUE"""),-0.131882964311112)</f>
        <v>-0.13188296431111199</v>
      </c>
      <c r="IJ56" s="3">
        <f ca="1">IFERROR(__xludf.DUMMYFUNCTION("""COMPUTED_VALUE"""),-0.315541531901884)</f>
        <v>-0.315541531901884</v>
      </c>
      <c r="IK56" s="3">
        <f ca="1">IFERROR(__xludf.DUMMYFUNCTION("""COMPUTED_VALUE"""),-0.340633961784929)</f>
        <v>-0.340633961784929</v>
      </c>
      <c r="IL56" s="3">
        <f ca="1">IFERROR(__xludf.DUMMYFUNCTION("""COMPUTED_VALUE"""),-0.344271724797514)</f>
        <v>-0.344271724797514</v>
      </c>
      <c r="IM56" s="3">
        <f ca="1">IFERROR(__xludf.DUMMYFUNCTION("""COMPUTED_VALUE"""),-0.343802616390224)</f>
        <v>-0.34380261639022403</v>
      </c>
      <c r="IN56" s="3">
        <f ca="1">IFERROR(__xludf.DUMMYFUNCTION("""COMPUTED_VALUE"""),-0.284214192028932)</f>
        <v>-0.284214192028932</v>
      </c>
      <c r="IO56" s="3">
        <f ca="1">IFERROR(__xludf.DUMMYFUNCTION("""COMPUTED_VALUE"""),-0.0919905745551077)</f>
        <v>-9.1990574555107701E-2</v>
      </c>
      <c r="IP56" s="3">
        <f ca="1">IFERROR(__xludf.DUMMYFUNCTION("""COMPUTED_VALUE"""),-0.206734314938262)</f>
        <v>-0.206734314938262</v>
      </c>
      <c r="IQ56" s="3">
        <f ca="1">IFERROR(__xludf.DUMMYFUNCTION("""COMPUTED_VALUE"""),-0.333067464571532)</f>
        <v>-0.33306746457153202</v>
      </c>
      <c r="IR56" s="3">
        <f ca="1">IFERROR(__xludf.DUMMYFUNCTION("""COMPUTED_VALUE"""),-0.356616409062664)</f>
        <v>-0.35661640906266401</v>
      </c>
      <c r="IS56" s="3">
        <f ca="1">IFERROR(__xludf.DUMMYFUNCTION("""COMPUTED_VALUE"""),-0.281447981296148)</f>
        <v>-0.28144798129614801</v>
      </c>
      <c r="IT56" s="3">
        <f ca="1">IFERROR(__xludf.DUMMYFUNCTION("""COMPUTED_VALUE"""),-0.352726100943815)</f>
        <v>-0.35272610094381501</v>
      </c>
      <c r="IU56" s="3">
        <f ca="1">IFERROR(__xludf.DUMMYFUNCTION("""COMPUTED_VALUE"""),-0.280371227093222)</f>
        <v>-0.28037122709322199</v>
      </c>
      <c r="IV56" s="3">
        <f ca="1">IFERROR(__xludf.DUMMYFUNCTION("""COMPUTED_VALUE"""),-0.481436085085969)</f>
        <v>-0.48143608508596902</v>
      </c>
      <c r="IW56" s="3">
        <f ca="1">IFERROR(__xludf.DUMMYFUNCTION("""COMPUTED_VALUE"""),-0.297835588225853)</f>
        <v>-0.29783558822585299</v>
      </c>
      <c r="IX56" s="3">
        <f ca="1">IFERROR(__xludf.DUMMYFUNCTION("""COMPUTED_VALUE"""),-0.238787484058415)</f>
        <v>-0.23878748405841499</v>
      </c>
      <c r="IY56" s="3">
        <f ca="1">IFERROR(__xludf.DUMMYFUNCTION("""COMPUTED_VALUE"""),-0.308032304575652)</f>
        <v>-0.30803230457565201</v>
      </c>
      <c r="IZ56" s="3">
        <f ca="1">IFERROR(__xludf.DUMMYFUNCTION("""COMPUTED_VALUE"""),-0.250616983351271)</f>
        <v>-0.25061698335127103</v>
      </c>
      <c r="JA56" s="3">
        <f ca="1">IFERROR(__xludf.DUMMYFUNCTION("""COMPUTED_VALUE"""),-0.259608804539484)</f>
        <v>-0.25960880453948398</v>
      </c>
      <c r="JB56" s="3">
        <f ca="1">IFERROR(__xludf.DUMMYFUNCTION("""COMPUTED_VALUE"""),-0.239541024311452)</f>
        <v>-0.23954102431145199</v>
      </c>
      <c r="JC56" s="3">
        <f ca="1">IFERROR(__xludf.DUMMYFUNCTION("""COMPUTED_VALUE"""),-0.000939308060547206)</f>
        <v>-9.3930806054720595E-4</v>
      </c>
      <c r="JD56" s="3">
        <f ca="1">IFERROR(__xludf.DUMMYFUNCTION("""COMPUTED_VALUE"""),-0.146114476792477)</f>
        <v>-0.14611447679247699</v>
      </c>
      <c r="JE56" s="3">
        <f ca="1">IFERROR(__xludf.DUMMYFUNCTION("""COMPUTED_VALUE"""),-0.208764174161748)</f>
        <v>-0.208764174161748</v>
      </c>
      <c r="JF56" s="3">
        <f ca="1">IFERROR(__xludf.DUMMYFUNCTION("""COMPUTED_VALUE"""),-0.374829303660236)</f>
        <v>-0.37482930366023598</v>
      </c>
      <c r="JG56" s="3">
        <f ca="1">IFERROR(__xludf.DUMMYFUNCTION("""COMPUTED_VALUE"""),-0.333533853015984)</f>
        <v>-0.33353385301598398</v>
      </c>
      <c r="JH56" s="3">
        <f ca="1">IFERROR(__xludf.DUMMYFUNCTION("""COMPUTED_VALUE"""),-0.233757929584602)</f>
        <v>-0.23375792958460201</v>
      </c>
      <c r="JI56" s="3">
        <f ca="1">IFERROR(__xludf.DUMMYFUNCTION("""COMPUTED_VALUE"""),-0.271360070792801)</f>
        <v>-0.271360070792801</v>
      </c>
      <c r="JJ56" s="3">
        <f ca="1">IFERROR(__xludf.DUMMYFUNCTION("""COMPUTED_VALUE"""),0.0420399455559334)</f>
        <v>4.2039945555933399E-2</v>
      </c>
      <c r="JK56" s="3">
        <f ca="1">IFERROR(__xludf.DUMMYFUNCTION("""COMPUTED_VALUE"""),-0.255887417889318)</f>
        <v>-0.25588741788931801</v>
      </c>
      <c r="JL56" s="3">
        <f ca="1">IFERROR(__xludf.DUMMYFUNCTION("""COMPUTED_VALUE"""),-0.235786775678702)</f>
        <v>-0.23578677567870199</v>
      </c>
      <c r="JM56" s="3">
        <f ca="1">IFERROR(__xludf.DUMMYFUNCTION("""COMPUTED_VALUE"""),-0.31289973953643)</f>
        <v>-0.31289973953643002</v>
      </c>
      <c r="JN56" s="3">
        <f ca="1">IFERROR(__xludf.DUMMYFUNCTION("""COMPUTED_VALUE"""),-0.283428522275799)</f>
        <v>-0.28342852227579901</v>
      </c>
      <c r="JO56" s="3">
        <f ca="1">IFERROR(__xludf.DUMMYFUNCTION("""COMPUTED_VALUE"""),-0.247246671920086)</f>
        <v>-0.24724667192008601</v>
      </c>
      <c r="JP56" s="3">
        <f ca="1">IFERROR(__xludf.DUMMYFUNCTION("""COMPUTED_VALUE"""),-0.237843207129771)</f>
        <v>-0.237843207129771</v>
      </c>
      <c r="JQ56" s="3">
        <f ca="1">IFERROR(__xludf.DUMMYFUNCTION("""COMPUTED_VALUE"""),-0.0819646267162119)</f>
        <v>-8.1964626716211894E-2</v>
      </c>
      <c r="JR56" s="3">
        <f ca="1">IFERROR(__xludf.DUMMYFUNCTION("""COMPUTED_VALUE"""),-0.159565927590489)</f>
        <v>-0.15956592759048899</v>
      </c>
      <c r="JS56" s="3">
        <f ca="1">IFERROR(__xludf.DUMMYFUNCTION("""COMPUTED_VALUE"""),-0.187545126191785)</f>
        <v>-0.18754512619178501</v>
      </c>
      <c r="JT56" s="3">
        <f ca="1">IFERROR(__xludf.DUMMYFUNCTION("""COMPUTED_VALUE"""),-0.0226701048403499)</f>
        <v>-2.2670104840349901E-2</v>
      </c>
      <c r="JU56" s="3">
        <f ca="1">IFERROR(__xludf.DUMMYFUNCTION("""COMPUTED_VALUE"""),-0.326332044382979)</f>
        <v>-0.32633204438297903</v>
      </c>
      <c r="JV56" s="3">
        <f ca="1">IFERROR(__xludf.DUMMYFUNCTION("""COMPUTED_VALUE"""),-0.300494075229729)</f>
        <v>-0.30049407522972899</v>
      </c>
      <c r="JW56" s="3">
        <f ca="1">IFERROR(__xludf.DUMMYFUNCTION("""COMPUTED_VALUE"""),-0.303051648766766)</f>
        <v>-0.30305164876676599</v>
      </c>
      <c r="JX56" s="3">
        <f ca="1">IFERROR(__xludf.DUMMYFUNCTION("""COMPUTED_VALUE"""),-0.170941864397479)</f>
        <v>-0.17094186439747899</v>
      </c>
      <c r="JY56" s="3">
        <f ca="1">IFERROR(__xludf.DUMMYFUNCTION("""COMPUTED_VALUE"""),-0.245347151640578)</f>
        <v>-0.24534715164057799</v>
      </c>
      <c r="JZ56" s="3">
        <f ca="1">IFERROR(__xludf.DUMMYFUNCTION("""COMPUTED_VALUE"""),-0.169086193026577)</f>
        <v>-0.16908619302657699</v>
      </c>
      <c r="KA56" s="3">
        <f ca="1">IFERROR(__xludf.DUMMYFUNCTION("""COMPUTED_VALUE"""),-0.0826236581409987)</f>
        <v>-8.2623658140998701E-2</v>
      </c>
      <c r="KB56" s="3">
        <f ca="1">IFERROR(__xludf.DUMMYFUNCTION("""COMPUTED_VALUE"""),-0.351029712110583)</f>
        <v>-0.35102971211058298</v>
      </c>
      <c r="KC56" s="3">
        <f ca="1">IFERROR(__xludf.DUMMYFUNCTION("""COMPUTED_VALUE"""),-0.24897836230585)</f>
        <v>-0.24897836230584999</v>
      </c>
      <c r="KD56" s="3">
        <f ca="1">IFERROR(__xludf.DUMMYFUNCTION("""COMPUTED_VALUE"""),-0.281300896503242)</f>
        <v>-0.28130089650324203</v>
      </c>
      <c r="KE56" s="3">
        <f ca="1">IFERROR(__xludf.DUMMYFUNCTION("""COMPUTED_VALUE"""),-0.0736054311703543)</f>
        <v>-7.3605431170354299E-2</v>
      </c>
      <c r="KF56" s="3">
        <f ca="1">IFERROR(__xludf.DUMMYFUNCTION("""COMPUTED_VALUE"""),-0.144250663155714)</f>
        <v>-0.144250663155714</v>
      </c>
      <c r="KG56" s="3">
        <f ca="1">IFERROR(__xludf.DUMMYFUNCTION("""COMPUTED_VALUE"""),-0.211088433825646)</f>
        <v>-0.21108843382564599</v>
      </c>
      <c r="KH56" s="3">
        <f ca="1">IFERROR(__xludf.DUMMYFUNCTION("""COMPUTED_VALUE"""),-0.0286326448963544)</f>
        <v>-2.8632644896354399E-2</v>
      </c>
      <c r="KI56" s="3">
        <f ca="1">IFERROR(__xludf.DUMMYFUNCTION("""COMPUTED_VALUE"""),-0.275146145483341)</f>
        <v>-0.27514614548334099</v>
      </c>
      <c r="KJ56" s="3">
        <f ca="1">IFERROR(__xludf.DUMMYFUNCTION("""COMPUTED_VALUE"""),-0.276620290719315)</f>
        <v>-0.27662029071931499</v>
      </c>
      <c r="KK56" s="3">
        <f ca="1">IFERROR(__xludf.DUMMYFUNCTION("""COMPUTED_VALUE"""),-0.315116763243876)</f>
        <v>-0.315116763243876</v>
      </c>
      <c r="KL56" s="3">
        <f ca="1">IFERROR(__xludf.DUMMYFUNCTION("""COMPUTED_VALUE"""),-0.129457108593565)</f>
        <v>-0.12945710859356499</v>
      </c>
      <c r="KM56" s="3">
        <f ca="1">IFERROR(__xludf.DUMMYFUNCTION("""COMPUTED_VALUE"""),-0.0593675348290481)</f>
        <v>-5.9367534829048101E-2</v>
      </c>
      <c r="KN56" s="3">
        <f ca="1">IFERROR(__xludf.DUMMYFUNCTION("""COMPUTED_VALUE"""),-0.236243052500387)</f>
        <v>-0.23624305250038699</v>
      </c>
      <c r="KO56" s="3">
        <f ca="1">IFERROR(__xludf.DUMMYFUNCTION("""COMPUTED_VALUE"""),-0.439335129292535)</f>
        <v>-0.43933512929253499</v>
      </c>
      <c r="KP56" s="3">
        <f ca="1">IFERROR(__xludf.DUMMYFUNCTION("""COMPUTED_VALUE"""),-0.293791953759974)</f>
        <v>-0.29379195375997402</v>
      </c>
      <c r="KQ56" s="3">
        <f ca="1">IFERROR(__xludf.DUMMYFUNCTION("""COMPUTED_VALUE"""),-0.305639532381871)</f>
        <v>-0.30563953238187103</v>
      </c>
      <c r="KR56" s="3">
        <f ca="1">IFERROR(__xludf.DUMMYFUNCTION("""COMPUTED_VALUE"""),-0.293316134518072)</f>
        <v>-0.29331613451807198</v>
      </c>
      <c r="KS56" s="3">
        <f ca="1">IFERROR(__xludf.DUMMYFUNCTION("""COMPUTED_VALUE"""),-0.121154539294768)</f>
        <v>-0.12115453929476799</v>
      </c>
      <c r="KT56" s="3">
        <f ca="1">IFERROR(__xludf.DUMMYFUNCTION("""COMPUTED_VALUE"""),-0.264257793060353)</f>
        <v>-0.26425779306035302</v>
      </c>
      <c r="KU56" s="3">
        <f ca="1">IFERROR(__xludf.DUMMYFUNCTION("""COMPUTED_VALUE"""),-0.215807145451898)</f>
        <v>-0.215807145451898</v>
      </c>
      <c r="KV56" s="3">
        <f ca="1">IFERROR(__xludf.DUMMYFUNCTION("""COMPUTED_VALUE"""),-0.307174456185428)</f>
        <v>-0.30717445618542799</v>
      </c>
      <c r="KW56" s="3">
        <f ca="1">IFERROR(__xludf.DUMMYFUNCTION("""COMPUTED_VALUE"""),-0.257253729867768)</f>
        <v>-0.25725372986776801</v>
      </c>
      <c r="KX56" s="3">
        <f ca="1">IFERROR(__xludf.DUMMYFUNCTION("""COMPUTED_VALUE"""),-0.406878633345779)</f>
        <v>-0.40687863334577901</v>
      </c>
      <c r="KY56" s="3">
        <f ca="1">IFERROR(__xludf.DUMMYFUNCTION("""COMPUTED_VALUE"""),-0.306155565027111)</f>
        <v>-0.306155565027111</v>
      </c>
      <c r="KZ56" s="3">
        <f ca="1">IFERROR(__xludf.DUMMYFUNCTION("""COMPUTED_VALUE"""),-0.235703814248036)</f>
        <v>-0.23570381424803599</v>
      </c>
      <c r="LA56" s="3">
        <f ca="1">IFERROR(__xludf.DUMMYFUNCTION("""COMPUTED_VALUE"""),-0.272769480943913)</f>
        <v>-0.27276948094391301</v>
      </c>
      <c r="LB56" s="3">
        <f ca="1">IFERROR(__xludf.DUMMYFUNCTION("""COMPUTED_VALUE"""),-0.345532756772265)</f>
        <v>-0.34553275677226503</v>
      </c>
      <c r="LC56" s="3">
        <f ca="1">IFERROR(__xludf.DUMMYFUNCTION("""COMPUTED_VALUE"""),-0.462250065348702)</f>
        <v>-0.462250065348702</v>
      </c>
      <c r="LD56" s="3">
        <f ca="1">IFERROR(__xludf.DUMMYFUNCTION("""COMPUTED_VALUE"""),-0.498044071227734)</f>
        <v>-0.49804407122773398</v>
      </c>
      <c r="LE56" s="3">
        <f ca="1">IFERROR(__xludf.DUMMYFUNCTION("""COMPUTED_VALUE"""),-0.526558811383762)</f>
        <v>-0.52655881138376204</v>
      </c>
      <c r="LF56" s="3">
        <f ca="1">IFERROR(__xludf.DUMMYFUNCTION("""COMPUTED_VALUE"""),-0.171587972164792)</f>
        <v>-0.17158797216479199</v>
      </c>
      <c r="LG56" s="3">
        <f ca="1">IFERROR(__xludf.DUMMYFUNCTION("""COMPUTED_VALUE"""),-0.207296367025224)</f>
        <v>-0.207296367025224</v>
      </c>
      <c r="LH56" s="3">
        <f ca="1">IFERROR(__xludf.DUMMYFUNCTION("""COMPUTED_VALUE"""),-0.274065028384244)</f>
        <v>-0.27406502838424401</v>
      </c>
      <c r="LI56" s="3">
        <f ca="1">IFERROR(__xludf.DUMMYFUNCTION("""COMPUTED_VALUE"""),-0.252139817602236)</f>
        <v>-0.25213981760223603</v>
      </c>
      <c r="LJ56" s="3">
        <f ca="1">IFERROR(__xludf.DUMMYFUNCTION("""COMPUTED_VALUE"""),-0.295021811914179)</f>
        <v>-0.29502181191417898</v>
      </c>
      <c r="LK56" s="3">
        <f ca="1">IFERROR(__xludf.DUMMYFUNCTION("""COMPUTED_VALUE"""),-0.388362156386177)</f>
        <v>-0.38836215638617699</v>
      </c>
      <c r="LL56" s="3">
        <f ca="1">IFERROR(__xludf.DUMMYFUNCTION("""COMPUTED_VALUE"""),-0.405348553124389)</f>
        <v>-0.405348553124389</v>
      </c>
      <c r="LM56" s="3">
        <f ca="1">IFERROR(__xludf.DUMMYFUNCTION("""COMPUTED_VALUE"""),-0.861356287612424)</f>
        <v>-0.861356287612424</v>
      </c>
      <c r="LN56" s="3">
        <f ca="1">IFERROR(__xludf.DUMMYFUNCTION("""COMPUTED_VALUE"""),-0.342714375536793)</f>
        <v>-0.34271437553679301</v>
      </c>
      <c r="LO56" s="3">
        <f ca="1">IFERROR(__xludf.DUMMYFUNCTION("""COMPUTED_VALUE"""),-0.289778406274385)</f>
        <v>-0.289778406274385</v>
      </c>
      <c r="LP56" s="3">
        <f ca="1">IFERROR(__xludf.DUMMYFUNCTION("""COMPUTED_VALUE"""),-0.380249141132486)</f>
        <v>-0.38024914113248598</v>
      </c>
      <c r="LQ56" s="3">
        <f ca="1">IFERROR(__xludf.DUMMYFUNCTION("""COMPUTED_VALUE"""),-0.437840174821482)</f>
        <v>-0.43784017482148202</v>
      </c>
      <c r="LR56" s="3">
        <f ca="1">IFERROR(__xludf.DUMMYFUNCTION("""COMPUTED_VALUE"""),-0.386363141172799)</f>
        <v>-0.38636314117279902</v>
      </c>
      <c r="LS56" s="3">
        <f ca="1">IFERROR(__xludf.DUMMYFUNCTION("""COMPUTED_VALUE"""),-0.458555722968551)</f>
        <v>-0.45855572296855102</v>
      </c>
      <c r="LT56" s="3">
        <f ca="1">IFERROR(__xludf.DUMMYFUNCTION("""COMPUTED_VALUE"""),-0.376232350333543)</f>
        <v>-0.37623235033354302</v>
      </c>
      <c r="LU56" s="3">
        <f ca="1">IFERROR(__xludf.DUMMYFUNCTION("""COMPUTED_VALUE"""),-0.393462505700012)</f>
        <v>-0.39346250570001201</v>
      </c>
      <c r="LV56" s="3">
        <f ca="1">IFERROR(__xludf.DUMMYFUNCTION("""COMPUTED_VALUE"""),-0.406333921923384)</f>
        <v>-0.40633392192338402</v>
      </c>
      <c r="LW56" s="3">
        <f ca="1">IFERROR(__xludf.DUMMYFUNCTION("""COMPUTED_VALUE"""),-0.520286871377658)</f>
        <v>-0.52028687137765794</v>
      </c>
      <c r="LX56" s="3">
        <f ca="1">IFERROR(__xludf.DUMMYFUNCTION("""COMPUTED_VALUE"""),-0.489865713284925)</f>
        <v>-0.48986571328492501</v>
      </c>
      <c r="LY56" s="3">
        <f ca="1">IFERROR(__xludf.DUMMYFUNCTION("""COMPUTED_VALUE"""),-0.498698313500735)</f>
        <v>-0.49869831350073501</v>
      </c>
      <c r="LZ56" s="3">
        <f ca="1">IFERROR(__xludf.DUMMYFUNCTION("""COMPUTED_VALUE"""),-0.515807954138944)</f>
        <v>-0.51580795413894398</v>
      </c>
      <c r="MA56" s="3">
        <f ca="1">IFERROR(__xludf.DUMMYFUNCTION("""COMPUTED_VALUE"""),-0.53041236381408)</f>
        <v>-0.53041236381407997</v>
      </c>
      <c r="MB56" s="3">
        <f ca="1">IFERROR(__xludf.DUMMYFUNCTION("""COMPUTED_VALUE"""),-0.550149526184347)</f>
        <v>-0.55014952618434698</v>
      </c>
      <c r="MC56" s="3">
        <f ca="1">IFERROR(__xludf.DUMMYFUNCTION("""COMPUTED_VALUE"""),-0.417356296198573)</f>
        <v>-0.41735629619857301</v>
      </c>
      <c r="MD56" s="3">
        <f ca="1">IFERROR(__xludf.DUMMYFUNCTION("""COMPUTED_VALUE"""),-0.473379335666437)</f>
        <v>-0.47337933566643697</v>
      </c>
      <c r="ME56" s="3">
        <f ca="1">IFERROR(__xludf.DUMMYFUNCTION("""COMPUTED_VALUE"""),-0.52324090544352)</f>
        <v>-0.52324090544351998</v>
      </c>
      <c r="MF56" s="3">
        <f ca="1">IFERROR(__xludf.DUMMYFUNCTION("""COMPUTED_VALUE"""),-0.500680572230543)</f>
        <v>-0.50068057223054296</v>
      </c>
      <c r="MG56" s="3">
        <f ca="1">IFERROR(__xludf.DUMMYFUNCTION("""COMPUTED_VALUE"""),-0.507396846132772)</f>
        <v>-0.50739684613277203</v>
      </c>
      <c r="MH56" s="3">
        <f ca="1">IFERROR(__xludf.DUMMYFUNCTION("""COMPUTED_VALUE"""),-0.483824086077176)</f>
        <v>-0.48382408607717597</v>
      </c>
      <c r="MI56" s="3">
        <f ca="1">IFERROR(__xludf.DUMMYFUNCTION("""COMPUTED_VALUE"""),-0.282302020980631)</f>
        <v>-0.28230202098063101</v>
      </c>
      <c r="MJ56" s="3">
        <f ca="1">IFERROR(__xludf.DUMMYFUNCTION("""COMPUTED_VALUE"""),-0.425290916062762)</f>
        <v>-0.42529091606276198</v>
      </c>
      <c r="MK56" s="3">
        <f ca="1">IFERROR(__xludf.DUMMYFUNCTION("""COMPUTED_VALUE"""),-0.458722297370851)</f>
        <v>-0.45872229737085102</v>
      </c>
      <c r="ML56" s="3">
        <f ca="1">IFERROR(__xludf.DUMMYFUNCTION("""COMPUTED_VALUE"""),-0.592036160591764)</f>
        <v>-0.592036160591764</v>
      </c>
      <c r="MM56" s="3">
        <f ca="1">IFERROR(__xludf.DUMMYFUNCTION("""COMPUTED_VALUE"""),-0.564962271446878)</f>
        <v>-0.56496227144687805</v>
      </c>
      <c r="MN56" s="3">
        <f ca="1">IFERROR(__xludf.DUMMYFUNCTION("""COMPUTED_VALUE"""),-0.57216873777751)</f>
        <v>-0.57216873777750998</v>
      </c>
      <c r="MO56" s="3">
        <f ca="1">IFERROR(__xludf.DUMMYFUNCTION("""COMPUTED_VALUE"""),-0.590155359635628)</f>
        <v>-0.59015535963562804</v>
      </c>
      <c r="MP56" s="3">
        <f ca="1">IFERROR(__xludf.DUMMYFUNCTION("""COMPUTED_VALUE"""),-0.306708014933089)</f>
        <v>-0.30670801493308902</v>
      </c>
      <c r="MQ56" s="3">
        <f ca="1">IFERROR(__xludf.DUMMYFUNCTION("""COMPUTED_VALUE"""),-0.406014026537227)</f>
        <v>-0.40601402653722701</v>
      </c>
      <c r="MR56" s="3">
        <f ca="1">IFERROR(__xludf.DUMMYFUNCTION("""COMPUTED_VALUE"""),-0.562594109640952)</f>
        <v>-0.56259410964095202</v>
      </c>
      <c r="MS56" s="3">
        <f ca="1">IFERROR(__xludf.DUMMYFUNCTION("""COMPUTED_VALUE"""),-0.592764443525833)</f>
        <v>-0.59276444352583302</v>
      </c>
      <c r="MT56" s="3">
        <f ca="1">IFERROR(__xludf.DUMMYFUNCTION("""COMPUTED_VALUE"""),-0.622377111982261)</f>
        <v>-0.62237711198226098</v>
      </c>
      <c r="MU56" s="3">
        <f ca="1">IFERROR(__xludf.DUMMYFUNCTION("""COMPUTED_VALUE"""),-0.547140720782043)</f>
        <v>-0.54714072078204301</v>
      </c>
      <c r="MV56" s="3">
        <f ca="1">IFERROR(__xludf.DUMMYFUNCTION("""COMPUTED_VALUE"""),-0.506721465469365)</f>
        <v>-0.50672146546936503</v>
      </c>
      <c r="MW56" s="3">
        <f ca="1">IFERROR(__xludf.DUMMYFUNCTION("""COMPUTED_VALUE"""),-0.222009650210021)</f>
        <v>-0.222009650210021</v>
      </c>
      <c r="MX56" s="3">
        <f ca="1">IFERROR(__xludf.DUMMYFUNCTION("""COMPUTED_VALUE"""),-0.544681384945577)</f>
        <v>-0.54468138494557705</v>
      </c>
      <c r="MY56" s="3">
        <f ca="1">IFERROR(__xludf.DUMMYFUNCTION("""COMPUTED_VALUE"""),-0.557209217138098)</f>
        <v>-0.55720921713809801</v>
      </c>
      <c r="MZ56" s="3">
        <f ca="1">IFERROR(__xludf.DUMMYFUNCTION("""COMPUTED_VALUE"""),-0.575752468456306)</f>
        <v>-0.57575246845630601</v>
      </c>
      <c r="NA56" s="3">
        <f ca="1">IFERROR(__xludf.DUMMYFUNCTION("""COMPUTED_VALUE"""),-0.59569509638085)</f>
        <v>-0.59569509638085005</v>
      </c>
      <c r="NB56" s="3">
        <f ca="1">IFERROR(__xludf.DUMMYFUNCTION("""COMPUTED_VALUE"""),-0.521927859058303)</f>
        <v>-0.52192785905830297</v>
      </c>
      <c r="NC56" s="3">
        <f ca="1">IFERROR(__xludf.DUMMYFUNCTION("""COMPUTED_VALUE"""),-0.58231890896222)</f>
        <v>-0.58231890896222005</v>
      </c>
      <c r="ND56" s="3">
        <f ca="1">IFERROR(__xludf.DUMMYFUNCTION("""COMPUTED_VALUE"""),-0.472952032560628)</f>
        <v>-0.47295203256062801</v>
      </c>
      <c r="NE56" s="3">
        <f ca="1">IFERROR(__xludf.DUMMYFUNCTION("""COMPUTED_VALUE"""),-0.434755234696417)</f>
        <v>-0.43475523469641703</v>
      </c>
      <c r="NF56" s="3">
        <f ca="1">IFERROR(__xludf.DUMMYFUNCTION("""COMPUTED_VALUE"""),-0.555669013957623)</f>
        <v>-0.55566901395762303</v>
      </c>
      <c r="NG56" s="3">
        <f ca="1">IFERROR(__xludf.DUMMYFUNCTION("""COMPUTED_VALUE"""),-0.608574277777744)</f>
        <v>-0.60857427777774398</v>
      </c>
      <c r="NH56" s="3">
        <f ca="1">IFERROR(__xludf.DUMMYFUNCTION("""COMPUTED_VALUE"""),-0.59345219835626)</f>
        <v>-0.59345219835625995</v>
      </c>
      <c r="NI56" s="3">
        <f ca="1">IFERROR(__xludf.DUMMYFUNCTION("""COMPUTED_VALUE"""),-0.557982138588487)</f>
        <v>-0.557982138588487</v>
      </c>
      <c r="NJ56" s="3">
        <f ca="1">IFERROR(__xludf.DUMMYFUNCTION("""COMPUTED_VALUE"""),-0.612076515384676)</f>
        <v>-0.612076515384676</v>
      </c>
      <c r="NK56" s="3">
        <f ca="1">IFERROR(__xludf.DUMMYFUNCTION("""COMPUTED_VALUE"""),-0.424110758975775)</f>
        <v>-0.42411075897577499</v>
      </c>
      <c r="NL56" s="3">
        <f ca="1">IFERROR(__xludf.DUMMYFUNCTION("""COMPUTED_VALUE"""),-0.515565879792575)</f>
        <v>-0.51556587979257495</v>
      </c>
      <c r="NM56" s="3">
        <f ca="1">IFERROR(__xludf.DUMMYFUNCTION("""COMPUTED_VALUE"""),-0.478486021402349)</f>
        <v>-0.47848602140234903</v>
      </c>
      <c r="NN56" s="3">
        <f ca="1">IFERROR(__xludf.DUMMYFUNCTION("""COMPUTED_VALUE"""),-0.565436581212331)</f>
        <v>-0.56543658121233098</v>
      </c>
      <c r="NO56" s="3">
        <f ca="1">IFERROR(__xludf.DUMMYFUNCTION("""COMPUTED_VALUE"""),-0.446567339207018)</f>
        <v>-0.44656733920701802</v>
      </c>
      <c r="NP56" s="3">
        <f ca="1">IFERROR(__xludf.DUMMYFUNCTION("""COMPUTED_VALUE"""),-0.518214177593592)</f>
        <v>-0.51821417759359201</v>
      </c>
      <c r="NQ56" s="3">
        <f ca="1">IFERROR(__xludf.DUMMYFUNCTION("""COMPUTED_VALUE"""),-0.528513238717955)</f>
        <v>-0.52851323871795497</v>
      </c>
      <c r="NR56" s="3">
        <f ca="1">IFERROR(__xludf.DUMMYFUNCTION("""COMPUTED_VALUE"""),-0.383965848683367)</f>
        <v>-0.38396584868336697</v>
      </c>
      <c r="NS56" s="3">
        <f ca="1">IFERROR(__xludf.DUMMYFUNCTION("""COMPUTED_VALUE"""),-0.45976738255229)</f>
        <v>-0.45976738255228999</v>
      </c>
      <c r="NT56" s="3">
        <f ca="1">IFERROR(__xludf.DUMMYFUNCTION("""COMPUTED_VALUE"""),-0.389499031279504)</f>
        <v>-0.38949903127950403</v>
      </c>
      <c r="NU56" s="3">
        <f ca="1">IFERROR(__xludf.DUMMYFUNCTION("""COMPUTED_VALUE"""),-0.403778040245933)</f>
        <v>-0.403778040245933</v>
      </c>
      <c r="NV56" s="3">
        <f ca="1">IFERROR(__xludf.DUMMYFUNCTION("""COMPUTED_VALUE"""),-0.40230623413017)</f>
        <v>-0.40230623413017003</v>
      </c>
      <c r="NW56" s="3">
        <f ca="1">IFERROR(__xludf.DUMMYFUNCTION("""COMPUTED_VALUE"""),-0.306093530464422)</f>
        <v>-0.306093530464422</v>
      </c>
      <c r="NX56" s="3">
        <f ca="1">IFERROR(__xludf.DUMMYFUNCTION("""COMPUTED_VALUE"""),-0.437946676778414)</f>
        <v>-0.43794667677841398</v>
      </c>
      <c r="NY56" s="3">
        <f ca="1">IFERROR(__xludf.DUMMYFUNCTION("""COMPUTED_VALUE"""),-0.405238307941586)</f>
        <v>-0.405238307941586</v>
      </c>
      <c r="NZ56" s="3">
        <f ca="1">IFERROR(__xludf.DUMMYFUNCTION("""COMPUTED_VALUE"""),-0.412999704314568)</f>
        <v>-0.41299970431456801</v>
      </c>
      <c r="OA56" s="3">
        <f ca="1">IFERROR(__xludf.DUMMYFUNCTION("""COMPUTED_VALUE"""),-0.437572717135478)</f>
        <v>-0.43757271713547802</v>
      </c>
      <c r="OB56" s="3">
        <f ca="1">IFERROR(__xludf.DUMMYFUNCTION("""COMPUTED_VALUE"""),-0.448253992287217)</f>
        <v>-0.44825399228721702</v>
      </c>
      <c r="OC56" s="3">
        <f ca="1">IFERROR(__xludf.DUMMYFUNCTION("""COMPUTED_VALUE"""),-0.42158486115908)</f>
        <v>-0.42158486115908</v>
      </c>
      <c r="OD56" s="3">
        <f ca="1">IFERROR(__xludf.DUMMYFUNCTION("""COMPUTED_VALUE"""),-0.232163470595642)</f>
        <v>-0.23216347059564199</v>
      </c>
      <c r="OE56" s="3">
        <f ca="1">IFERROR(__xludf.DUMMYFUNCTION("""COMPUTED_VALUE"""),-0.239857724068209)</f>
        <v>-0.23985772406820899</v>
      </c>
      <c r="OF56" s="3">
        <f ca="1">IFERROR(__xludf.DUMMYFUNCTION("""COMPUTED_VALUE"""),-0.165866836551986)</f>
        <v>-0.165866836551986</v>
      </c>
      <c r="OG56" s="3">
        <f ca="1">IFERROR(__xludf.DUMMYFUNCTION("""COMPUTED_VALUE"""),-0.145709631606972)</f>
        <v>-0.14570963160697201</v>
      </c>
      <c r="OH56" s="3">
        <f ca="1">IFERROR(__xludf.DUMMYFUNCTION("""COMPUTED_VALUE"""),-0.0615928369668371)</f>
        <v>-6.1592836966837101E-2</v>
      </c>
      <c r="OI56" s="3">
        <f ca="1">IFERROR(__xludf.DUMMYFUNCTION("""COMPUTED_VALUE"""),-0.0152331929416961)</f>
        <v>-1.5233192941696099E-2</v>
      </c>
      <c r="OJ56" s="3">
        <f ca="1">IFERROR(__xludf.DUMMYFUNCTION("""COMPUTED_VALUE"""),0.0375689087620876)</f>
        <v>3.7568908762087599E-2</v>
      </c>
      <c r="OK56" s="3">
        <f ca="1">IFERROR(__xludf.DUMMYFUNCTION("""COMPUTED_VALUE"""),0.0175193713531383)</f>
        <v>1.7519371353138299E-2</v>
      </c>
      <c r="OL56" s="3">
        <f ca="1">IFERROR(__xludf.DUMMYFUNCTION("""COMPUTED_VALUE"""),-0.0413565018443734)</f>
        <v>-4.1356501844373401E-2</v>
      </c>
      <c r="OM56" s="3">
        <f ca="1">IFERROR(__xludf.DUMMYFUNCTION("""COMPUTED_VALUE"""),-0.035135159279415)</f>
        <v>-3.5135159279414997E-2</v>
      </c>
      <c r="ON56" s="3">
        <f ca="1">IFERROR(__xludf.DUMMYFUNCTION("""COMPUTED_VALUE"""),0.0802758312331171)</f>
        <v>8.0275831233117101E-2</v>
      </c>
      <c r="OO56" s="3">
        <f ca="1">IFERROR(__xludf.DUMMYFUNCTION("""COMPUTED_VALUE"""),-0.0630637954696548)</f>
        <v>-6.3063795469654793E-2</v>
      </c>
      <c r="OP56" s="3">
        <f ca="1">IFERROR(__xludf.DUMMYFUNCTION("""COMPUTED_VALUE"""),0.00376298562759958)</f>
        <v>3.7629856275995799E-3</v>
      </c>
      <c r="OQ56" s="3">
        <f ca="1">IFERROR(__xludf.DUMMYFUNCTION("""COMPUTED_VALUE"""),0.0889494073983652)</f>
        <v>8.8949407398365196E-2</v>
      </c>
      <c r="OR56" s="3">
        <f ca="1">IFERROR(__xludf.DUMMYFUNCTION("""COMPUTED_VALUE"""),-0.0209004709059623)</f>
        <v>-2.0900470905962299E-2</v>
      </c>
      <c r="OS56" s="3">
        <f ca="1">IFERROR(__xludf.DUMMYFUNCTION("""COMPUTED_VALUE"""),-0.0718545992077995)</f>
        <v>-7.1854599207799505E-2</v>
      </c>
      <c r="OT56" s="3">
        <f ca="1">IFERROR(__xludf.DUMMYFUNCTION("""COMPUTED_VALUE"""),-0.0168987364318083)</f>
        <v>-1.6898736431808298E-2</v>
      </c>
      <c r="OU56" s="3">
        <f ca="1">IFERROR(__xludf.DUMMYFUNCTION("""COMPUTED_VALUE"""),0.033675348662298)</f>
        <v>3.3675348662298002E-2</v>
      </c>
      <c r="OV56" s="3">
        <f ca="1">IFERROR(__xludf.DUMMYFUNCTION("""COMPUTED_VALUE"""),-0.0676200312657356)</f>
        <v>-6.7620031265735597E-2</v>
      </c>
      <c r="OW56" s="3">
        <f ca="1">IFERROR(__xludf.DUMMYFUNCTION("""COMPUTED_VALUE"""),-0.0916796471101866)</f>
        <v>-9.1679647110186599E-2</v>
      </c>
      <c r="OX56" s="3">
        <f ca="1">IFERROR(__xludf.DUMMYFUNCTION("""COMPUTED_VALUE"""),0.050651634336035)</f>
        <v>5.0651634336034999E-2</v>
      </c>
      <c r="OY56" s="3">
        <f ca="1">IFERROR(__xludf.DUMMYFUNCTION("""COMPUTED_VALUE"""),0.0153155783352942)</f>
        <v>1.53155783352942E-2</v>
      </c>
      <c r="OZ56" s="3">
        <f ca="1">IFERROR(__xludf.DUMMYFUNCTION("""COMPUTED_VALUE"""),0.0624626797969476)</f>
        <v>6.2462679796947598E-2</v>
      </c>
      <c r="PA56" s="3">
        <f ca="1">IFERROR(__xludf.DUMMYFUNCTION("""COMPUTED_VALUE"""),-0.0399457221331311)</f>
        <v>-3.9945722133131099E-2</v>
      </c>
      <c r="PB56" s="3">
        <f ca="1">IFERROR(__xludf.DUMMYFUNCTION("""COMPUTED_VALUE"""),0.00325931590524142)</f>
        <v>3.2593159052414201E-3</v>
      </c>
      <c r="PC56" s="3">
        <f ca="1">IFERROR(__xludf.DUMMYFUNCTION("""COMPUTED_VALUE"""),-0.00936905593165615)</f>
        <v>-9.3690559316561492E-3</v>
      </c>
      <c r="PD56" s="3">
        <f ca="1">IFERROR(__xludf.DUMMYFUNCTION("""COMPUTED_VALUE"""),-0.00801302285300498)</f>
        <v>-8.0130228530049807E-3</v>
      </c>
      <c r="PE56" s="3">
        <f ca="1">IFERROR(__xludf.DUMMYFUNCTION("""COMPUTED_VALUE"""),0.135240640813957)</f>
        <v>0.13524064081395701</v>
      </c>
      <c r="PF56" s="3">
        <f ca="1">IFERROR(__xludf.DUMMYFUNCTION("""COMPUTED_VALUE"""),0.0671964752405933)</f>
        <v>6.7196475240593301E-2</v>
      </c>
      <c r="PG56" s="3">
        <f ca="1">IFERROR(__xludf.DUMMYFUNCTION("""COMPUTED_VALUE"""),-0.0354481514242642)</f>
        <v>-3.5448151424264197E-2</v>
      </c>
      <c r="PH56" s="3">
        <f ca="1">IFERROR(__xludf.DUMMYFUNCTION("""COMPUTED_VALUE"""),0.0320433143122742)</f>
        <v>3.2043314312274203E-2</v>
      </c>
      <c r="PI56" s="3">
        <f ca="1">IFERROR(__xludf.DUMMYFUNCTION("""COMPUTED_VALUE"""),-0.0331190635067766)</f>
        <v>-3.3119063506776597E-2</v>
      </c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</row>
    <row r="57" spans="1:477" ht="13">
      <c r="A57" s="1" t="str">
        <f ca="1">IFERROR(__xludf.DUMMYFUNCTION("""COMPUTED_VALUE"""),"Tri-Rail")</f>
        <v>Tri-Rail</v>
      </c>
      <c r="B57" s="1" t="str">
        <f ca="1">IFERROR(__xludf.DUMMYFUNCTION("""COMPUTED_VALUE"""),"Miami")</f>
        <v>Miami</v>
      </c>
      <c r="C57" s="1" t="str">
        <f ca="1">IFERROR(__xludf.DUMMYFUNCTION("""COMPUTED_VALUE"""),"United States")</f>
        <v>United States</v>
      </c>
      <c r="D57" s="1" t="str">
        <f ca="1">IFERROR(__xludf.DUMMYFUNCTION("""COMPUTED_VALUE"""),"Florida")</f>
        <v>Florida</v>
      </c>
      <c r="E57" s="3">
        <f ca="1">IFERROR(__xludf.DUMMYFUNCTION("""COMPUTED_VALUE"""),0.110647223163159)</f>
        <v>0.110647223163159</v>
      </c>
      <c r="F57" s="3">
        <f ca="1">IFERROR(__xludf.DUMMYFUNCTION("""COMPUTED_VALUE"""),-0.00104834787479735)</f>
        <v>-1.04834787479735E-3</v>
      </c>
      <c r="G57" s="3">
        <f ca="1">IFERROR(__xludf.DUMMYFUNCTION("""COMPUTED_VALUE"""),-0.112426408278563)</f>
        <v>-0.112426408278563</v>
      </c>
      <c r="H57" s="3">
        <f ca="1">IFERROR(__xludf.DUMMYFUNCTION("""COMPUTED_VALUE"""),-0.0999702220742426)</f>
        <v>-9.9970222074242596E-2</v>
      </c>
      <c r="I57" s="3">
        <f ca="1">IFERROR(__xludf.DUMMYFUNCTION("""COMPUTED_VALUE"""),-0.11025635412271)</f>
        <v>-0.11025635412271</v>
      </c>
      <c r="J57" s="3">
        <f ca="1">IFERROR(__xludf.DUMMYFUNCTION("""COMPUTED_VALUE"""),-0.0523672536444851)</f>
        <v>-5.23672536444851E-2</v>
      </c>
      <c r="K57" s="3">
        <f ca="1">IFERROR(__xludf.DUMMYFUNCTION("""COMPUTED_VALUE"""),0.197032191648579)</f>
        <v>0.19703219164857899</v>
      </c>
      <c r="L57" s="3">
        <f ca="1">IFERROR(__xludf.DUMMYFUNCTION("""COMPUTED_VALUE"""),-0.0286381230868556)</f>
        <v>-2.8638123086855601E-2</v>
      </c>
      <c r="M57" s="3">
        <f ca="1">IFERROR(__xludf.DUMMYFUNCTION("""COMPUTED_VALUE"""),-0.180421379485065)</f>
        <v>-0.18042137948506501</v>
      </c>
      <c r="N57" s="3">
        <f ca="1">IFERROR(__xludf.DUMMYFUNCTION("""COMPUTED_VALUE"""),-0.135516798441913)</f>
        <v>-0.135516798441913</v>
      </c>
      <c r="O57" s="3">
        <f ca="1">IFERROR(__xludf.DUMMYFUNCTION("""COMPUTED_VALUE"""),-0.20691990568018)</f>
        <v>-0.20691990568018001</v>
      </c>
      <c r="P57" s="3">
        <f ca="1">IFERROR(__xludf.DUMMYFUNCTION("""COMPUTED_VALUE"""),-0.099539589392299)</f>
        <v>-9.9539589392298997E-2</v>
      </c>
      <c r="Q57" s="3">
        <f ca="1">IFERROR(__xludf.DUMMYFUNCTION("""COMPUTED_VALUE"""),-0.0868111106188894)</f>
        <v>-8.6811110618889395E-2</v>
      </c>
      <c r="R57" s="3">
        <f ca="1">IFERROR(__xludf.DUMMYFUNCTION("""COMPUTED_VALUE"""),0.312987540425542)</f>
        <v>0.312987540425542</v>
      </c>
      <c r="S57" s="3">
        <f ca="1">IFERROR(__xludf.DUMMYFUNCTION("""COMPUTED_VALUE"""),-0.0553333216928029)</f>
        <v>-5.5333321692802903E-2</v>
      </c>
      <c r="T57" s="3">
        <f ca="1">IFERROR(__xludf.DUMMYFUNCTION("""COMPUTED_VALUE"""),-0.149867049777399)</f>
        <v>-0.14986704977739901</v>
      </c>
      <c r="U57" s="3">
        <f ca="1">IFERROR(__xludf.DUMMYFUNCTION("""COMPUTED_VALUE"""),-0.255061371633259)</f>
        <v>-0.25506137163325898</v>
      </c>
      <c r="V57" s="3">
        <f ca="1">IFERROR(__xludf.DUMMYFUNCTION("""COMPUTED_VALUE"""),-0.230746879449208)</f>
        <v>-0.23074687944920799</v>
      </c>
      <c r="W57" s="3">
        <f ca="1">IFERROR(__xludf.DUMMYFUNCTION("""COMPUTED_VALUE"""),-0.185135980930877)</f>
        <v>-0.18513598093087699</v>
      </c>
      <c r="X57" s="3">
        <f ca="1">IFERROR(__xludf.DUMMYFUNCTION("""COMPUTED_VALUE"""),-0.266043494410771)</f>
        <v>-0.26604349441077102</v>
      </c>
      <c r="Y57" s="3">
        <f ca="1">IFERROR(__xludf.DUMMYFUNCTION("""COMPUTED_VALUE"""),0.210096081877417)</f>
        <v>0.21009608187741699</v>
      </c>
      <c r="Z57" s="3">
        <f ca="1">IFERROR(__xludf.DUMMYFUNCTION("""COMPUTED_VALUE"""),-0.0868867272998641)</f>
        <v>-8.6886727299864103E-2</v>
      </c>
      <c r="AA57" s="3">
        <f ca="1">IFERROR(__xludf.DUMMYFUNCTION("""COMPUTED_VALUE"""),-0.17613111009637)</f>
        <v>-0.17613111009637</v>
      </c>
      <c r="AB57" s="3">
        <f ca="1">IFERROR(__xludf.DUMMYFUNCTION("""COMPUTED_VALUE"""),-0.256757989699401)</f>
        <v>-0.256757989699401</v>
      </c>
      <c r="AC57" s="3">
        <f ca="1">IFERROR(__xludf.DUMMYFUNCTION("""COMPUTED_VALUE"""),-0.289646249940301)</f>
        <v>-0.28964624994030103</v>
      </c>
      <c r="AD57" s="3">
        <f ca="1">IFERROR(__xludf.DUMMYFUNCTION("""COMPUTED_VALUE"""),-0.29434051311916)</f>
        <v>-0.29434051311915999</v>
      </c>
      <c r="AE57" s="3">
        <f ca="1">IFERROR(__xludf.DUMMYFUNCTION("""COMPUTED_VALUE"""),-0.318394597954862)</f>
        <v>-0.31839459795486202</v>
      </c>
      <c r="AF57" s="3">
        <f ca="1">IFERROR(__xludf.DUMMYFUNCTION("""COMPUTED_VALUE"""),-0.0178157604277455)</f>
        <v>-1.7815760427745499E-2</v>
      </c>
      <c r="AG57" s="3">
        <f ca="1">IFERROR(__xludf.DUMMYFUNCTION("""COMPUTED_VALUE"""),-0.0947868696972196)</f>
        <v>-9.4786869697219597E-2</v>
      </c>
      <c r="AH57" s="3">
        <f ca="1">IFERROR(__xludf.DUMMYFUNCTION("""COMPUTED_VALUE"""),-0.311807124353562)</f>
        <v>-0.311807124353562</v>
      </c>
      <c r="AI57" s="3">
        <f ca="1">IFERROR(__xludf.DUMMYFUNCTION("""COMPUTED_VALUE"""),-0.287255091332077)</f>
        <v>-0.28725509133207699</v>
      </c>
      <c r="AJ57" s="3">
        <f ca="1">IFERROR(__xludf.DUMMYFUNCTION("""COMPUTED_VALUE"""),-0.310992659535001)</f>
        <v>-0.31099265953500099</v>
      </c>
      <c r="AK57" s="3">
        <f ca="1">IFERROR(__xludf.DUMMYFUNCTION("""COMPUTED_VALUE"""),-0.311810083556396)</f>
        <v>-0.311810083556396</v>
      </c>
      <c r="AL57" s="3">
        <f ca="1">IFERROR(__xludf.DUMMYFUNCTION("""COMPUTED_VALUE"""),-0.334024240504449)</f>
        <v>-0.33402424050444901</v>
      </c>
      <c r="AM57" s="3">
        <f ca="1">IFERROR(__xludf.DUMMYFUNCTION("""COMPUTED_VALUE"""),0.00057121487837497)</f>
        <v>5.7121487837496999E-4</v>
      </c>
      <c r="AN57" s="3">
        <f ca="1">IFERROR(__xludf.DUMMYFUNCTION("""COMPUTED_VALUE"""),-0.182182542365455)</f>
        <v>-0.182182542365455</v>
      </c>
      <c r="AO57" s="3">
        <f ca="1">IFERROR(__xludf.DUMMYFUNCTION("""COMPUTED_VALUE"""),-0.306589777612744)</f>
        <v>-0.30658977761274397</v>
      </c>
      <c r="AP57" s="3">
        <f ca="1">IFERROR(__xludf.DUMMYFUNCTION("""COMPUTED_VALUE"""),-0.292364579153281)</f>
        <v>-0.29236457915328101</v>
      </c>
      <c r="AQ57" s="3">
        <f ca="1">IFERROR(__xludf.DUMMYFUNCTION("""COMPUTED_VALUE"""),-0.246775901528218)</f>
        <v>-0.24677590152821799</v>
      </c>
      <c r="AR57" s="3">
        <f ca="1">IFERROR(__xludf.DUMMYFUNCTION("""COMPUTED_VALUE"""),-0.33563811323814)</f>
        <v>-0.33563811323814002</v>
      </c>
      <c r="AS57" s="3">
        <f ca="1">IFERROR(__xludf.DUMMYFUNCTION("""COMPUTED_VALUE"""),-0.317403966235718)</f>
        <v>-0.31740396623571798</v>
      </c>
      <c r="AT57" s="3">
        <f ca="1">IFERROR(__xludf.DUMMYFUNCTION("""COMPUTED_VALUE"""),-0.0342807673285733)</f>
        <v>-3.4280767328573297E-2</v>
      </c>
      <c r="AU57" s="3">
        <f ca="1">IFERROR(__xludf.DUMMYFUNCTION("""COMPUTED_VALUE"""),-0.0972059179022898)</f>
        <v>-9.7205917902289801E-2</v>
      </c>
      <c r="AV57" s="3">
        <f ca="1">IFERROR(__xludf.DUMMYFUNCTION("""COMPUTED_VALUE"""),-0.2285071474263)</f>
        <v>-0.22850714742629999</v>
      </c>
      <c r="AW57" s="3">
        <f ca="1">IFERROR(__xludf.DUMMYFUNCTION("""COMPUTED_VALUE"""),-0.32008915376036)</f>
        <v>-0.32008915376036001</v>
      </c>
      <c r="AX57" s="3">
        <f ca="1">IFERROR(__xludf.DUMMYFUNCTION("""COMPUTED_VALUE"""),-0.377495237997032)</f>
        <v>-0.377495237997032</v>
      </c>
      <c r="AY57" s="3">
        <f ca="1">IFERROR(__xludf.DUMMYFUNCTION("""COMPUTED_VALUE"""),-0.391224952409605)</f>
        <v>-0.39122495240960498</v>
      </c>
      <c r="AZ57" s="3">
        <f ca="1">IFERROR(__xludf.DUMMYFUNCTION("""COMPUTED_VALUE"""),-0.321612715456874)</f>
        <v>-0.32161271545687398</v>
      </c>
      <c r="BA57" s="3">
        <f ca="1">IFERROR(__xludf.DUMMYFUNCTION("""COMPUTED_VALUE"""),-0.143275794125754)</f>
        <v>-0.143275794125754</v>
      </c>
      <c r="BB57" s="3">
        <f ca="1">IFERROR(__xludf.DUMMYFUNCTION("""COMPUTED_VALUE"""),-0.240260575901172)</f>
        <v>-0.240260575901172</v>
      </c>
      <c r="BC57" s="3">
        <f ca="1">IFERROR(__xludf.DUMMYFUNCTION("""COMPUTED_VALUE"""),-0.360216759507209)</f>
        <v>-0.36021675950720899</v>
      </c>
      <c r="BD57" s="3">
        <f ca="1">IFERROR(__xludf.DUMMYFUNCTION("""COMPUTED_VALUE"""),-0.323683939134332)</f>
        <v>-0.32368393913433202</v>
      </c>
      <c r="BE57" s="3">
        <f ca="1">IFERROR(__xludf.DUMMYFUNCTION("""COMPUTED_VALUE"""),-0.321629752117533)</f>
        <v>-0.32162975211753297</v>
      </c>
      <c r="BF57" s="3">
        <f ca="1">IFERROR(__xludf.DUMMYFUNCTION("""COMPUTED_VALUE"""),-0.40444048532173)</f>
        <v>-0.40444048532172999</v>
      </c>
      <c r="BG57" s="3">
        <f ca="1">IFERROR(__xludf.DUMMYFUNCTION("""COMPUTED_VALUE"""),-0.316767640664384)</f>
        <v>-0.31676764066438401</v>
      </c>
      <c r="BH57" s="3">
        <f ca="1">IFERROR(__xludf.DUMMYFUNCTION("""COMPUTED_VALUE"""),-0.0436692791215964)</f>
        <v>-4.3669279121596398E-2</v>
      </c>
      <c r="BI57" s="3">
        <f ca="1">IFERROR(__xludf.DUMMYFUNCTION("""COMPUTED_VALUE"""),-0.207108929298893)</f>
        <v>-0.20710892929889299</v>
      </c>
      <c r="BJ57" s="3">
        <f ca="1">IFERROR(__xludf.DUMMYFUNCTION("""COMPUTED_VALUE"""),-0.318297700401369)</f>
        <v>-0.31829770040136901</v>
      </c>
      <c r="BK57" s="3">
        <f ca="1">IFERROR(__xludf.DUMMYFUNCTION("""COMPUTED_VALUE"""),-0.355897844634585)</f>
        <v>-0.35589784463458501</v>
      </c>
      <c r="BL57" s="3">
        <f ca="1">IFERROR(__xludf.DUMMYFUNCTION("""COMPUTED_VALUE"""),-0.424927814543863)</f>
        <v>-0.42492781454386302</v>
      </c>
      <c r="BM57" s="3">
        <f ca="1">IFERROR(__xludf.DUMMYFUNCTION("""COMPUTED_VALUE"""),-0.413364684899046)</f>
        <v>-0.41336468489904599</v>
      </c>
      <c r="BN57" s="3">
        <f ca="1">IFERROR(__xludf.DUMMYFUNCTION("""COMPUTED_VALUE"""),-0.421629866358289)</f>
        <v>-0.42162986635828897</v>
      </c>
      <c r="BO57" s="3">
        <f ca="1">IFERROR(__xludf.DUMMYFUNCTION("""COMPUTED_VALUE"""),-0.16538960160455)</f>
        <v>-0.16538960160454999</v>
      </c>
      <c r="BP57" s="3">
        <f ca="1">IFERROR(__xludf.DUMMYFUNCTION("""COMPUTED_VALUE"""),-0.363027566018752)</f>
        <v>-0.36302756601875202</v>
      </c>
      <c r="BQ57" s="3">
        <f ca="1">IFERROR(__xludf.DUMMYFUNCTION("""COMPUTED_VALUE"""),-0.373105496575019)</f>
        <v>-0.37310549657501901</v>
      </c>
      <c r="BR57" s="3">
        <f ca="1">IFERROR(__xludf.DUMMYFUNCTION("""COMPUTED_VALUE"""),-0.413253735102902)</f>
        <v>-0.41325373510290198</v>
      </c>
      <c r="BS57" s="3">
        <f ca="1">IFERROR(__xludf.DUMMYFUNCTION("""COMPUTED_VALUE"""),-0.508889123852784)</f>
        <v>-0.50888912385278395</v>
      </c>
      <c r="BT57" s="3">
        <f ca="1">IFERROR(__xludf.DUMMYFUNCTION("""COMPUTED_VALUE"""),-0.413100762940138)</f>
        <v>-0.41310076294013798</v>
      </c>
      <c r="BU57" s="3">
        <f ca="1">IFERROR(__xludf.DUMMYFUNCTION("""COMPUTED_VALUE"""),-0.404596668152619)</f>
        <v>-0.40459666815261902</v>
      </c>
      <c r="BV57" s="3">
        <f ca="1">IFERROR(__xludf.DUMMYFUNCTION("""COMPUTED_VALUE"""),-0.217688044373601)</f>
        <v>-0.21768804437360101</v>
      </c>
      <c r="BW57" s="3">
        <f ca="1">IFERROR(__xludf.DUMMYFUNCTION("""COMPUTED_VALUE"""),-0.335040303746338)</f>
        <v>-0.33504030374633798</v>
      </c>
      <c r="BX57" s="3">
        <f ca="1">IFERROR(__xludf.DUMMYFUNCTION("""COMPUTED_VALUE"""),-0.405118247636993)</f>
        <v>-0.405118247636993</v>
      </c>
      <c r="BY57" s="3">
        <f ca="1">IFERROR(__xludf.DUMMYFUNCTION("""COMPUTED_VALUE"""),-0.431727532595372)</f>
        <v>-0.431727532595372</v>
      </c>
      <c r="BZ57" s="3">
        <f ca="1">IFERROR(__xludf.DUMMYFUNCTION("""COMPUTED_VALUE"""),-0.472718629373966)</f>
        <v>-0.47271862937396603</v>
      </c>
      <c r="CA57" s="3">
        <f ca="1">IFERROR(__xludf.DUMMYFUNCTION("""COMPUTED_VALUE"""),-0.356966924280784)</f>
        <v>-0.35696692428078403</v>
      </c>
      <c r="CB57" s="3">
        <f ca="1">IFERROR(__xludf.DUMMYFUNCTION("""COMPUTED_VALUE"""),-0.395398294230513)</f>
        <v>-0.39539829423051298</v>
      </c>
      <c r="CC57" s="3">
        <f ca="1">IFERROR(__xludf.DUMMYFUNCTION("""COMPUTED_VALUE"""),-0.345458632037283)</f>
        <v>-0.345458632037283</v>
      </c>
      <c r="CD57" s="3">
        <f ca="1">IFERROR(__xludf.DUMMYFUNCTION("""COMPUTED_VALUE"""),-0.278306694294949)</f>
        <v>-0.27830669429494898</v>
      </c>
      <c r="CE57" s="3">
        <f ca="1">IFERROR(__xludf.DUMMYFUNCTION("""COMPUTED_VALUE"""),-0.387850677391303)</f>
        <v>-0.38785067739130302</v>
      </c>
      <c r="CF57" s="3">
        <f ca="1">IFERROR(__xludf.DUMMYFUNCTION("""COMPUTED_VALUE"""),-0.493208265529901)</f>
        <v>-0.49320826552990099</v>
      </c>
      <c r="CG57" s="3">
        <f ca="1">IFERROR(__xludf.DUMMYFUNCTION("""COMPUTED_VALUE"""),-0.516666062816275)</f>
        <v>-0.51666606281627503</v>
      </c>
      <c r="CH57" s="3">
        <f ca="1">IFERROR(__xludf.DUMMYFUNCTION("""COMPUTED_VALUE"""),-0.404228590903155)</f>
        <v>-0.40422859090315499</v>
      </c>
      <c r="CI57" s="3">
        <f ca="1">IFERROR(__xludf.DUMMYFUNCTION("""COMPUTED_VALUE"""),-0.415436225612313)</f>
        <v>-0.41543622561231303</v>
      </c>
      <c r="CJ57" s="3">
        <f ca="1">IFERROR(__xludf.DUMMYFUNCTION("""COMPUTED_VALUE"""),-0.355597065571098)</f>
        <v>-0.35559706557109799</v>
      </c>
      <c r="CK57" s="3">
        <f ca="1">IFERROR(__xludf.DUMMYFUNCTION("""COMPUTED_VALUE"""),-0.334571156326487)</f>
        <v>-0.33457115632648698</v>
      </c>
      <c r="CL57" s="3">
        <f ca="1">IFERROR(__xludf.DUMMYFUNCTION("""COMPUTED_VALUE"""),-0.394114833064511)</f>
        <v>-0.39411483306451101</v>
      </c>
      <c r="CM57" s="3">
        <f ca="1">IFERROR(__xludf.DUMMYFUNCTION("""COMPUTED_VALUE"""),-0.449854084629755)</f>
        <v>-0.44985408462975501</v>
      </c>
      <c r="CN57" s="3">
        <f ca="1">IFERROR(__xludf.DUMMYFUNCTION("""COMPUTED_VALUE"""),-0.468935817364518)</f>
        <v>-0.468935817364518</v>
      </c>
      <c r="CO57" s="3">
        <f ca="1">IFERROR(__xludf.DUMMYFUNCTION("""COMPUTED_VALUE"""),-0.441077752632099)</f>
        <v>-0.44107775263209897</v>
      </c>
      <c r="CP57" s="3">
        <f ca="1">IFERROR(__xludf.DUMMYFUNCTION("""COMPUTED_VALUE"""),-0.415478516287908)</f>
        <v>-0.415478516287908</v>
      </c>
      <c r="CQ57" s="3">
        <f ca="1">IFERROR(__xludf.DUMMYFUNCTION("""COMPUTED_VALUE"""),-0.321573797579833)</f>
        <v>-0.32157379757983301</v>
      </c>
      <c r="CR57" s="3">
        <f ca="1">IFERROR(__xludf.DUMMYFUNCTION("""COMPUTED_VALUE"""),-0.31632532486944)</f>
        <v>-0.31632532486943998</v>
      </c>
      <c r="CS57" s="3">
        <f ca="1">IFERROR(__xludf.DUMMYFUNCTION("""COMPUTED_VALUE"""),-0.387791494242207)</f>
        <v>-0.38779149424220699</v>
      </c>
      <c r="CT57" s="3">
        <f ca="1">IFERROR(__xludf.DUMMYFUNCTION("""COMPUTED_VALUE"""),-0.314344175089502)</f>
        <v>-0.31434417508950202</v>
      </c>
      <c r="CU57" s="3">
        <f ca="1">IFERROR(__xludf.DUMMYFUNCTION("""COMPUTED_VALUE"""),-0.131438827829513)</f>
        <v>-0.13143882782951299</v>
      </c>
      <c r="CV57" s="3">
        <f ca="1">IFERROR(__xludf.DUMMYFUNCTION("""COMPUTED_VALUE"""),-0.21645636448566)</f>
        <v>-0.21645636448566</v>
      </c>
      <c r="CW57" s="3">
        <f ca="1">IFERROR(__xludf.DUMMYFUNCTION("""COMPUTED_VALUE"""),-0.258675895112513)</f>
        <v>-0.25867589511251299</v>
      </c>
      <c r="CX57" s="3">
        <f ca="1">IFERROR(__xludf.DUMMYFUNCTION("""COMPUTED_VALUE"""),-0.146357131574197)</f>
        <v>-0.146357131574197</v>
      </c>
      <c r="CY57" s="3">
        <f ca="1">IFERROR(__xludf.DUMMYFUNCTION("""COMPUTED_VALUE"""),-0.341720375618525)</f>
        <v>-0.34172037561852497</v>
      </c>
      <c r="CZ57" s="3">
        <f ca="1">IFERROR(__xludf.DUMMYFUNCTION("""COMPUTED_VALUE"""),-0.674068211348092)</f>
        <v>-0.67406821134809203</v>
      </c>
      <c r="DA57" s="3">
        <f ca="1">IFERROR(__xludf.DUMMYFUNCTION("""COMPUTED_VALUE"""),-0.110198764121538)</f>
        <v>-0.11019876412153801</v>
      </c>
      <c r="DB57" s="3">
        <f ca="1">IFERROR(__xludf.DUMMYFUNCTION("""COMPUTED_VALUE"""),0.253733137431598)</f>
        <v>0.25373313743159798</v>
      </c>
      <c r="DC57" s="3">
        <f ca="1">IFERROR(__xludf.DUMMYFUNCTION("""COMPUTED_VALUE"""),-0.243474751872421)</f>
        <v>-0.24347475187242101</v>
      </c>
      <c r="DD57" s="3">
        <f ca="1">IFERROR(__xludf.DUMMYFUNCTION("""COMPUTED_VALUE"""),-0.353420066173157)</f>
        <v>-0.35342006617315702</v>
      </c>
      <c r="DE57" s="3">
        <f ca="1">IFERROR(__xludf.DUMMYFUNCTION("""COMPUTED_VALUE"""),-0.214797379885905)</f>
        <v>-0.214797379885905</v>
      </c>
      <c r="DF57" s="3">
        <f ca="1">IFERROR(__xludf.DUMMYFUNCTION("""COMPUTED_VALUE"""),-0.508659803592811)</f>
        <v>-0.50865980359281104</v>
      </c>
      <c r="DG57" s="3">
        <f ca="1">IFERROR(__xludf.DUMMYFUNCTION("""COMPUTED_VALUE"""),-0.772315344926894)</f>
        <v>-0.77231534492689402</v>
      </c>
      <c r="DH57" s="3">
        <f ca="1">IFERROR(__xludf.DUMMYFUNCTION("""COMPUTED_VALUE"""),-0.0869619628253189)</f>
        <v>-8.69619628253189E-2</v>
      </c>
      <c r="DI57" s="3">
        <f ca="1">IFERROR(__xludf.DUMMYFUNCTION("""COMPUTED_VALUE"""),0.674998894685272)</f>
        <v>0.67499889468527197</v>
      </c>
      <c r="DJ57" s="3">
        <f ca="1">IFERROR(__xludf.DUMMYFUNCTION("""COMPUTED_VALUE"""),-0.115130658256047)</f>
        <v>-0.115130658256047</v>
      </c>
      <c r="DK57" s="3">
        <f ca="1">IFERROR(__xludf.DUMMYFUNCTION("""COMPUTED_VALUE"""),-0.229699739394291)</f>
        <v>-0.229699739394291</v>
      </c>
      <c r="DL57" s="3">
        <f ca="1">IFERROR(__xludf.DUMMYFUNCTION("""COMPUTED_VALUE"""),0.0111881589485733)</f>
        <v>1.11881589485733E-2</v>
      </c>
      <c r="DM57" s="3">
        <f ca="1">IFERROR(__xludf.DUMMYFUNCTION("""COMPUTED_VALUE"""),-0.131749386662381)</f>
        <v>-0.13174938666238101</v>
      </c>
      <c r="DN57" s="3">
        <f ca="1">IFERROR(__xludf.DUMMYFUNCTION("""COMPUTED_VALUE"""),-0.108501416640044)</f>
        <v>-0.10850141664004399</v>
      </c>
      <c r="DO57" s="3">
        <f ca="1">IFERROR(__xludf.DUMMYFUNCTION("""COMPUTED_VALUE"""),-0.0581027904594212)</f>
        <v>-5.8102790459421197E-2</v>
      </c>
      <c r="DP57" s="3">
        <f ca="1">IFERROR(__xludf.DUMMYFUNCTION("""COMPUTED_VALUE"""),0.06986177458093)</f>
        <v>6.986177458093E-2</v>
      </c>
      <c r="DQ57" s="3">
        <f ca="1">IFERROR(__xludf.DUMMYFUNCTION("""COMPUTED_VALUE"""),-0.198572673641948)</f>
        <v>-0.198572673641948</v>
      </c>
      <c r="DR57" s="3">
        <f ca="1">IFERROR(__xludf.DUMMYFUNCTION("""COMPUTED_VALUE"""),-0.137426906005097)</f>
        <v>-0.13742690600509699</v>
      </c>
      <c r="DS57" s="3">
        <f ca="1">IFERROR(__xludf.DUMMYFUNCTION("""COMPUTED_VALUE"""),-0.100342179322357)</f>
        <v>-0.10034217932235701</v>
      </c>
      <c r="DT57" s="3">
        <f ca="1">IFERROR(__xludf.DUMMYFUNCTION("""COMPUTED_VALUE"""),-0.173511727866606)</f>
        <v>-0.17351172786660601</v>
      </c>
      <c r="DU57" s="3">
        <f ca="1">IFERROR(__xludf.DUMMYFUNCTION("""COMPUTED_VALUE"""),-0.246071154693956)</f>
        <v>-0.24607115469395599</v>
      </c>
      <c r="DV57" s="3">
        <f ca="1">IFERROR(__xludf.DUMMYFUNCTION("""COMPUTED_VALUE"""),-0.209958725533357)</f>
        <v>-0.20995872553335701</v>
      </c>
      <c r="DW57" s="3">
        <f ca="1">IFERROR(__xludf.DUMMYFUNCTION("""COMPUTED_VALUE"""),-0.305506938838616)</f>
        <v>-0.30550693883861602</v>
      </c>
      <c r="DX57" s="3">
        <f ca="1">IFERROR(__xludf.DUMMYFUNCTION("""COMPUTED_VALUE"""),-0.352601430702714)</f>
        <v>-0.35260143070271399</v>
      </c>
      <c r="DY57" s="3">
        <f ca="1">IFERROR(__xludf.DUMMYFUNCTION("""COMPUTED_VALUE"""),-0.314918062817065)</f>
        <v>-0.31491806281706503</v>
      </c>
      <c r="DZ57" s="3">
        <f ca="1">IFERROR(__xludf.DUMMYFUNCTION("""COMPUTED_VALUE"""),-0.184666605168095)</f>
        <v>-0.18466660516809499</v>
      </c>
      <c r="EA57" s="3">
        <f ca="1">IFERROR(__xludf.DUMMYFUNCTION("""COMPUTED_VALUE"""),-0.162507645297234)</f>
        <v>-0.16250764529723399</v>
      </c>
      <c r="EB57" s="3">
        <f ca="1">IFERROR(__xludf.DUMMYFUNCTION("""COMPUTED_VALUE"""),-0.105243597569451)</f>
        <v>-0.10524359756945099</v>
      </c>
      <c r="EC57" s="3">
        <f ca="1">IFERROR(__xludf.DUMMYFUNCTION("""COMPUTED_VALUE"""),-0.00433483053531258)</f>
        <v>-4.3348305353125803E-3</v>
      </c>
      <c r="ED57" s="3">
        <f ca="1">IFERROR(__xludf.DUMMYFUNCTION("""COMPUTED_VALUE"""),-0.250955100401683)</f>
        <v>-0.25095510040168301</v>
      </c>
      <c r="EE57" s="3">
        <f ca="1">IFERROR(__xludf.DUMMYFUNCTION("""COMPUTED_VALUE"""),-0.245073706692974)</f>
        <v>-0.24507370669297401</v>
      </c>
      <c r="EF57" s="3">
        <f ca="1">IFERROR(__xludf.DUMMYFUNCTION("""COMPUTED_VALUE"""),-0.199666599615345)</f>
        <v>-0.199666599615345</v>
      </c>
      <c r="EG57" s="3">
        <f ca="1">IFERROR(__xludf.DUMMYFUNCTION("""COMPUTED_VALUE"""),-0.177192623911029)</f>
        <v>-0.177192623911029</v>
      </c>
      <c r="EH57" s="3">
        <f ca="1">IFERROR(__xludf.DUMMYFUNCTION("""COMPUTED_VALUE"""),-0.276164091004659)</f>
        <v>-0.276164091004659</v>
      </c>
      <c r="EI57" s="3">
        <f ca="1">IFERROR(__xludf.DUMMYFUNCTION("""COMPUTED_VALUE"""),-0.459001304104688)</f>
        <v>-0.45900130410468798</v>
      </c>
      <c r="EJ57" s="3">
        <f ca="1">IFERROR(__xludf.DUMMYFUNCTION("""COMPUTED_VALUE"""),-0.645283866073924)</f>
        <v>-0.64528386607392396</v>
      </c>
      <c r="EK57" s="3">
        <f ca="1">IFERROR(__xludf.DUMMYFUNCTION("""COMPUTED_VALUE"""),-0.290941929534564)</f>
        <v>-0.29094192953456399</v>
      </c>
      <c r="EL57" s="3">
        <f ca="1">IFERROR(__xludf.DUMMYFUNCTION("""COMPUTED_VALUE"""),-0.301025070319585)</f>
        <v>-0.30102507031958498</v>
      </c>
      <c r="EM57" s="3">
        <f ca="1">IFERROR(__xludf.DUMMYFUNCTION("""COMPUTED_VALUE"""),-0.260129356777434)</f>
        <v>-0.26012935677743398</v>
      </c>
      <c r="EN57" s="3">
        <f ca="1">IFERROR(__xludf.DUMMYFUNCTION("""COMPUTED_VALUE"""),-0.183702236002388)</f>
        <v>-0.183702236002388</v>
      </c>
      <c r="EO57" s="3">
        <f ca="1">IFERROR(__xludf.DUMMYFUNCTION("""COMPUTED_VALUE"""),-0.267793279134973)</f>
        <v>-0.26779327913497297</v>
      </c>
      <c r="EP57" s="3">
        <f ca="1">IFERROR(__xludf.DUMMYFUNCTION("""COMPUTED_VALUE"""),-0.150871031975008)</f>
        <v>-0.15087103197500801</v>
      </c>
      <c r="EQ57" s="3">
        <f ca="1">IFERROR(__xludf.DUMMYFUNCTION("""COMPUTED_VALUE"""),-0.0905977954687401)</f>
        <v>-9.0597795468740097E-2</v>
      </c>
      <c r="ER57" s="3">
        <f ca="1">IFERROR(__xludf.DUMMYFUNCTION("""COMPUTED_VALUE"""),-0.234068752326665)</f>
        <v>-0.23406875232666499</v>
      </c>
      <c r="ES57" s="3">
        <f ca="1">IFERROR(__xludf.DUMMYFUNCTION("""COMPUTED_VALUE"""),-0.273525462334561)</f>
        <v>-0.27352546233456099</v>
      </c>
      <c r="ET57" s="3">
        <f ca="1">IFERROR(__xludf.DUMMYFUNCTION("""COMPUTED_VALUE"""),-0.156024365376083)</f>
        <v>-0.156024365376083</v>
      </c>
      <c r="EU57" s="3">
        <f ca="1">IFERROR(__xludf.DUMMYFUNCTION("""COMPUTED_VALUE"""),-0.162879993701733)</f>
        <v>-0.16287999370173301</v>
      </c>
      <c r="EV57" s="3">
        <f ca="1">IFERROR(__xludf.DUMMYFUNCTION("""COMPUTED_VALUE"""),-0.325533815086185)</f>
        <v>-0.32553381508618501</v>
      </c>
      <c r="EW57" s="3">
        <f ca="1">IFERROR(__xludf.DUMMYFUNCTION("""COMPUTED_VALUE"""),-0.18867257709741)</f>
        <v>-0.18867257709741</v>
      </c>
      <c r="EX57" s="3">
        <f ca="1">IFERROR(__xludf.DUMMYFUNCTION("""COMPUTED_VALUE"""),-0.33508442616745)</f>
        <v>-0.33508442616744999</v>
      </c>
      <c r="EY57" s="3">
        <f ca="1">IFERROR(__xludf.DUMMYFUNCTION("""COMPUTED_VALUE"""),-0.334905827169459)</f>
        <v>-0.33490582716945899</v>
      </c>
      <c r="EZ57" s="3">
        <f ca="1">IFERROR(__xludf.DUMMYFUNCTION("""COMPUTED_VALUE"""),-0.371198812707704)</f>
        <v>-0.371198812707704</v>
      </c>
      <c r="FA57" s="3">
        <f ca="1">IFERROR(__xludf.DUMMYFUNCTION("""COMPUTED_VALUE"""),-0.570622179234691)</f>
        <v>-0.57062217923469105</v>
      </c>
      <c r="FB57" s="3">
        <f ca="1">IFERROR(__xludf.DUMMYFUNCTION("""COMPUTED_VALUE"""),-0.497020616868172)</f>
        <v>-0.497020616868172</v>
      </c>
      <c r="FC57" s="3">
        <f ca="1">IFERROR(__xludf.DUMMYFUNCTION("""COMPUTED_VALUE"""),-0.372341444833845)</f>
        <v>-0.37234144483384501</v>
      </c>
      <c r="FD57" s="3">
        <f ca="1">IFERROR(__xludf.DUMMYFUNCTION("""COMPUTED_VALUE"""),-0.211136755368062)</f>
        <v>-0.21113675536806201</v>
      </c>
      <c r="FE57" s="3">
        <f ca="1">IFERROR(__xludf.DUMMYFUNCTION("""COMPUTED_VALUE"""),-0.322436536778735)</f>
        <v>-0.32243653677873502</v>
      </c>
      <c r="FF57" s="3">
        <f ca="1">IFERROR(__xludf.DUMMYFUNCTION("""COMPUTED_VALUE"""),-0.298008568617183)</f>
        <v>-0.298008568617183</v>
      </c>
      <c r="FG57" s="3">
        <f ca="1">IFERROR(__xludf.DUMMYFUNCTION("""COMPUTED_VALUE"""),-0.29579941002158)</f>
        <v>-0.29579941002158</v>
      </c>
      <c r="FH57" s="3">
        <f ca="1">IFERROR(__xludf.DUMMYFUNCTION("""COMPUTED_VALUE"""),-0.242683226492836)</f>
        <v>-0.242683226492836</v>
      </c>
      <c r="FI57" s="3">
        <f ca="1">IFERROR(__xludf.DUMMYFUNCTION("""COMPUTED_VALUE"""),-0.142735202217867)</f>
        <v>-0.14273520221786701</v>
      </c>
      <c r="FJ57" s="3">
        <f ca="1">IFERROR(__xludf.DUMMYFUNCTION("""COMPUTED_VALUE"""),-0.0970884224581321)</f>
        <v>-9.7088422458132095E-2</v>
      </c>
      <c r="FK57" s="3">
        <f ca="1">IFERROR(__xludf.DUMMYFUNCTION("""COMPUTED_VALUE"""),-0.073743844799057)</f>
        <v>-7.3743844799057004E-2</v>
      </c>
      <c r="FL57" s="3">
        <f ca="1">IFERROR(__xludf.DUMMYFUNCTION("""COMPUTED_VALUE"""),0.214688983075026)</f>
        <v>0.21468898307502601</v>
      </c>
      <c r="FM57" s="3">
        <f ca="1">IFERROR(__xludf.DUMMYFUNCTION("""COMPUTED_VALUE"""),-0.272471795765755)</f>
        <v>-0.27247179576575498</v>
      </c>
      <c r="FN57" s="3">
        <f ca="1">IFERROR(__xludf.DUMMYFUNCTION("""COMPUTED_VALUE"""),-0.26972516315246)</f>
        <v>-0.26972516315245998</v>
      </c>
      <c r="FO57" s="3">
        <f ca="1">IFERROR(__xludf.DUMMYFUNCTION("""COMPUTED_VALUE"""),-0.278560881514223)</f>
        <v>-0.27856088151422298</v>
      </c>
      <c r="FP57" s="3">
        <f ca="1">IFERROR(__xludf.DUMMYFUNCTION("""COMPUTED_VALUE"""),-0.301446571863996)</f>
        <v>-0.30144657186399598</v>
      </c>
      <c r="FQ57" s="3">
        <f ca="1">IFERROR(__xludf.DUMMYFUNCTION("""COMPUTED_VALUE"""),-0.24980458192689)</f>
        <v>-0.24980458192689001</v>
      </c>
      <c r="FR57" s="3">
        <f ca="1">IFERROR(__xludf.DUMMYFUNCTION("""COMPUTED_VALUE"""),-0.244919388340338)</f>
        <v>-0.244919388340338</v>
      </c>
      <c r="FS57" s="3">
        <f ca="1">IFERROR(__xludf.DUMMYFUNCTION("""COMPUTED_VALUE"""),-0.333810036075555)</f>
        <v>-0.33381003607555498</v>
      </c>
      <c r="FT57" s="3">
        <f ca="1">IFERROR(__xludf.DUMMYFUNCTION("""COMPUTED_VALUE"""),-0.472604159885105)</f>
        <v>-0.47260415988510501</v>
      </c>
      <c r="FU57" s="3">
        <f ca="1">IFERROR(__xludf.DUMMYFUNCTION("""COMPUTED_VALUE"""),-0.356600932502323)</f>
        <v>-0.356600932502323</v>
      </c>
      <c r="FV57" s="3">
        <f ca="1">IFERROR(__xludf.DUMMYFUNCTION("""COMPUTED_VALUE"""),-0.368908077078509)</f>
        <v>-0.36890807707850898</v>
      </c>
      <c r="FW57" s="3">
        <f ca="1">IFERROR(__xludf.DUMMYFUNCTION("""COMPUTED_VALUE"""),-0.258205404610822)</f>
        <v>-0.25820540461082198</v>
      </c>
      <c r="FX57" s="3">
        <f ca="1">IFERROR(__xludf.DUMMYFUNCTION("""COMPUTED_VALUE"""),-0.139307899319642)</f>
        <v>-0.13930789931964199</v>
      </c>
      <c r="FY57" s="3">
        <f ca="1">IFERROR(__xludf.DUMMYFUNCTION("""COMPUTED_VALUE"""),-0.343104189148734)</f>
        <v>-0.34310418914873397</v>
      </c>
      <c r="FZ57" s="3">
        <f ca="1">IFERROR(__xludf.DUMMYFUNCTION("""COMPUTED_VALUE"""),-0.252924587437802)</f>
        <v>-0.252924587437802</v>
      </c>
      <c r="GA57" s="3">
        <f ca="1">IFERROR(__xludf.DUMMYFUNCTION("""COMPUTED_VALUE"""),-0.224417816181223)</f>
        <v>-0.224417816181223</v>
      </c>
      <c r="GB57" s="3">
        <f ca="1">IFERROR(__xludf.DUMMYFUNCTION("""COMPUTED_VALUE"""),-0.280912567254606)</f>
        <v>-0.280912567254606</v>
      </c>
      <c r="GC57" s="3">
        <f ca="1">IFERROR(__xludf.DUMMYFUNCTION("""COMPUTED_VALUE"""),-0.292125409552618)</f>
        <v>-0.29212540955261801</v>
      </c>
      <c r="GD57" s="3">
        <f ca="1">IFERROR(__xludf.DUMMYFUNCTION("""COMPUTED_VALUE"""),-0.222536503448087)</f>
        <v>-0.22253650344808701</v>
      </c>
      <c r="GE57" s="3">
        <f ca="1">IFERROR(__xludf.DUMMYFUNCTION("""COMPUTED_VALUE"""),-0.11930540170053)</f>
        <v>-0.11930540170053</v>
      </c>
      <c r="GF57" s="3">
        <f ca="1">IFERROR(__xludf.DUMMYFUNCTION("""COMPUTED_VALUE"""),-0.241697202871541)</f>
        <v>-0.24169720287154101</v>
      </c>
      <c r="GG57" s="3">
        <f ca="1">IFERROR(__xludf.DUMMYFUNCTION("""COMPUTED_VALUE"""),-0.24426425919148)</f>
        <v>-0.24426425919148001</v>
      </c>
      <c r="GH57" s="3">
        <f ca="1">IFERROR(__xludf.DUMMYFUNCTION("""COMPUTED_VALUE"""),-0.240523585797029)</f>
        <v>-0.24052358579702901</v>
      </c>
      <c r="GI57" s="3">
        <f ca="1">IFERROR(__xludf.DUMMYFUNCTION("""COMPUTED_VALUE"""),-0.24708003463536)</f>
        <v>-0.24708003463535999</v>
      </c>
      <c r="GJ57" s="3">
        <f ca="1">IFERROR(__xludf.DUMMYFUNCTION("""COMPUTED_VALUE"""),-0.252067385765569)</f>
        <v>-0.25206738576556897</v>
      </c>
      <c r="GK57" s="3">
        <f ca="1">IFERROR(__xludf.DUMMYFUNCTION("""COMPUTED_VALUE"""),-0.187029553486988)</f>
        <v>-0.18702955348698799</v>
      </c>
      <c r="GL57" s="3">
        <f ca="1">IFERROR(__xludf.DUMMYFUNCTION("""COMPUTED_VALUE"""),-0.24721442592448)</f>
        <v>-0.24721442592448001</v>
      </c>
      <c r="GM57" s="3">
        <f ca="1">IFERROR(__xludf.DUMMYFUNCTION("""COMPUTED_VALUE"""),-0.328806316463187)</f>
        <v>-0.32880631646318698</v>
      </c>
      <c r="GN57" s="3">
        <f ca="1">IFERROR(__xludf.DUMMYFUNCTION("""COMPUTED_VALUE"""),-0.28556346102316)</f>
        <v>-0.28556346102315999</v>
      </c>
      <c r="GO57" s="3">
        <f ca="1">IFERROR(__xludf.DUMMYFUNCTION("""COMPUTED_VALUE"""),-0.416486624862844)</f>
        <v>-0.41648662486284399</v>
      </c>
      <c r="GP57" s="3">
        <f ca="1">IFERROR(__xludf.DUMMYFUNCTION("""COMPUTED_VALUE"""),-0.286275281906277)</f>
        <v>-0.28627528190627699</v>
      </c>
      <c r="GQ57" s="3">
        <f ca="1">IFERROR(__xludf.DUMMYFUNCTION("""COMPUTED_VALUE"""),-0.297278065632375)</f>
        <v>-0.29727806563237502</v>
      </c>
      <c r="GR57" s="3">
        <f ca="1">IFERROR(__xludf.DUMMYFUNCTION("""COMPUTED_VALUE"""),-0.174642687683565)</f>
        <v>-0.174642687683565</v>
      </c>
      <c r="GS57" s="3">
        <f ca="1">IFERROR(__xludf.DUMMYFUNCTION("""COMPUTED_VALUE"""),-0.283466862707404)</f>
        <v>-0.28346686270740401</v>
      </c>
      <c r="GT57" s="3">
        <f ca="1">IFERROR(__xludf.DUMMYFUNCTION("""COMPUTED_VALUE"""),-0.33618447405739)</f>
        <v>-0.33618447405738999</v>
      </c>
      <c r="GU57" s="3">
        <f ca="1">IFERROR(__xludf.DUMMYFUNCTION("""COMPUTED_VALUE"""),-0.379419092724647)</f>
        <v>-0.37941909272464702</v>
      </c>
      <c r="GV57" s="3">
        <f ca="1">IFERROR(__xludf.DUMMYFUNCTION("""COMPUTED_VALUE"""),-0.338898349024516)</f>
        <v>-0.33889834902451599</v>
      </c>
      <c r="GW57" s="3">
        <f ca="1">IFERROR(__xludf.DUMMYFUNCTION("""COMPUTED_VALUE"""),-0.289242869175975)</f>
        <v>-0.28924286917597503</v>
      </c>
      <c r="GX57" s="3">
        <f ca="1">IFERROR(__xludf.DUMMYFUNCTION("""COMPUTED_VALUE"""),-0.392539922255418)</f>
        <v>-0.39253992225541801</v>
      </c>
      <c r="GY57" s="3">
        <f ca="1">IFERROR(__xludf.DUMMYFUNCTION("""COMPUTED_VALUE"""),-0.142969237507966)</f>
        <v>-0.142969237507966</v>
      </c>
      <c r="GZ57" s="3">
        <f ca="1">IFERROR(__xludf.DUMMYFUNCTION("""COMPUTED_VALUE"""),-0.216448697634324)</f>
        <v>-0.21644869763432401</v>
      </c>
      <c r="HA57" s="3">
        <f ca="1">IFERROR(__xludf.DUMMYFUNCTION("""COMPUTED_VALUE"""),-0.266115136000786)</f>
        <v>-0.26611513600078601</v>
      </c>
      <c r="HB57" s="3">
        <f ca="1">IFERROR(__xludf.DUMMYFUNCTION("""COMPUTED_VALUE"""),-0.306561999650713)</f>
        <v>-0.30656199965071301</v>
      </c>
      <c r="HC57" s="3">
        <f ca="1">IFERROR(__xludf.DUMMYFUNCTION("""COMPUTED_VALUE"""),-0.337637214416135)</f>
        <v>-0.33763721441613498</v>
      </c>
      <c r="HD57" s="3">
        <f ca="1">IFERROR(__xludf.DUMMYFUNCTION("""COMPUTED_VALUE"""),-0.341127384649539)</f>
        <v>-0.34112738464953901</v>
      </c>
      <c r="HE57" s="3">
        <f ca="1">IFERROR(__xludf.DUMMYFUNCTION("""COMPUTED_VALUE"""),-0.297518926185077)</f>
        <v>-0.29751892618507703</v>
      </c>
      <c r="HF57" s="3">
        <f ca="1">IFERROR(__xludf.DUMMYFUNCTION("""COMPUTED_VALUE"""),-0.0956252167079557)</f>
        <v>-9.5625216707955693E-2</v>
      </c>
      <c r="HG57" s="3">
        <f ca="1">IFERROR(__xludf.DUMMYFUNCTION("""COMPUTED_VALUE"""),-0.247875968145865)</f>
        <v>-0.24787596814586499</v>
      </c>
      <c r="HH57" s="3">
        <f ca="1">IFERROR(__xludf.DUMMYFUNCTION("""COMPUTED_VALUE"""),-0.198350084464604)</f>
        <v>-0.198350084464604</v>
      </c>
      <c r="HI57" s="3">
        <f ca="1">IFERROR(__xludf.DUMMYFUNCTION("""COMPUTED_VALUE"""),-0.274362224610926)</f>
        <v>-0.27436222461092602</v>
      </c>
      <c r="HJ57" s="3">
        <f ca="1">IFERROR(__xludf.DUMMYFUNCTION("""COMPUTED_VALUE"""),-0.309090428612373)</f>
        <v>-0.30909042861237301</v>
      </c>
      <c r="HK57" s="3">
        <f ca="1">IFERROR(__xludf.DUMMYFUNCTION("""COMPUTED_VALUE"""),-0.252764722181717)</f>
        <v>-0.25276472218171703</v>
      </c>
      <c r="HL57" s="3">
        <f ca="1">IFERROR(__xludf.DUMMYFUNCTION("""COMPUTED_VALUE"""),-0.489320275808361)</f>
        <v>-0.48932027580836102</v>
      </c>
      <c r="HM57" s="3">
        <f ca="1">IFERROR(__xludf.DUMMYFUNCTION("""COMPUTED_VALUE"""),0.0223618712189763)</f>
        <v>2.2361871218976301E-2</v>
      </c>
      <c r="HN57" s="3">
        <f ca="1">IFERROR(__xludf.DUMMYFUNCTION("""COMPUTED_VALUE"""),-0.0474537118794957)</f>
        <v>-4.7453711879495701E-2</v>
      </c>
      <c r="HO57" s="3">
        <f ca="1">IFERROR(__xludf.DUMMYFUNCTION("""COMPUTED_VALUE"""),-0.13979132893664)</f>
        <v>-0.13979132893664001</v>
      </c>
      <c r="HP57" s="3">
        <f ca="1">IFERROR(__xludf.DUMMYFUNCTION("""COMPUTED_VALUE"""),-0.22995345727748)</f>
        <v>-0.22995345727748001</v>
      </c>
      <c r="HQ57" s="3">
        <f ca="1">IFERROR(__xludf.DUMMYFUNCTION("""COMPUTED_VALUE"""),-0.232548483099854)</f>
        <v>-0.23254848309985399</v>
      </c>
      <c r="HR57" s="3">
        <f ca="1">IFERROR(__xludf.DUMMYFUNCTION("""COMPUTED_VALUE"""),0.0208141277895028)</f>
        <v>2.0814127789502802E-2</v>
      </c>
      <c r="HS57" s="3">
        <f ca="1">IFERROR(__xludf.DUMMYFUNCTION("""COMPUTED_VALUE"""),-0.023042986865427)</f>
        <v>-2.3042986865426999E-2</v>
      </c>
      <c r="HT57" s="3">
        <f ca="1">IFERROR(__xludf.DUMMYFUNCTION("""COMPUTED_VALUE"""),-0.00482399192137106)</f>
        <v>-4.8239919213710599E-3</v>
      </c>
      <c r="HU57" s="3">
        <f ca="1">IFERROR(__xludf.DUMMYFUNCTION("""COMPUTED_VALUE"""),-0.0404920000285043)</f>
        <v>-4.0492000028504303E-2</v>
      </c>
      <c r="HV57" s="3">
        <f ca="1">IFERROR(__xludf.DUMMYFUNCTION("""COMPUTED_VALUE"""),-0.109888007582589)</f>
        <v>-0.109888007582589</v>
      </c>
      <c r="HW57" s="3">
        <f ca="1">IFERROR(__xludf.DUMMYFUNCTION("""COMPUTED_VALUE"""),-0.287198737847197)</f>
        <v>-0.28719873784719702</v>
      </c>
      <c r="HX57" s="3">
        <f ca="1">IFERROR(__xludf.DUMMYFUNCTION("""COMPUTED_VALUE"""),-0.216943583399038)</f>
        <v>-0.21694358339903799</v>
      </c>
      <c r="HY57" s="3">
        <f ca="1">IFERROR(__xludf.DUMMYFUNCTION("""COMPUTED_VALUE"""),0.0342272539299137)</f>
        <v>3.4227253929913701E-2</v>
      </c>
      <c r="HZ57" s="3">
        <f ca="1">IFERROR(__xludf.DUMMYFUNCTION("""COMPUTED_VALUE"""),0.0791802076324841)</f>
        <v>7.9180207632484095E-2</v>
      </c>
      <c r="IA57" s="3">
        <f ca="1">IFERROR(__xludf.DUMMYFUNCTION("""COMPUTED_VALUE"""),-0.0492489120875634)</f>
        <v>-4.92489120875634E-2</v>
      </c>
      <c r="IB57" s="3">
        <f ca="1">IFERROR(__xludf.DUMMYFUNCTION("""COMPUTED_VALUE"""),-0.12156933634295)</f>
        <v>-0.12156933634295</v>
      </c>
      <c r="IC57" s="3">
        <f ca="1">IFERROR(__xludf.DUMMYFUNCTION("""COMPUTED_VALUE"""),-0.168276467966918)</f>
        <v>-0.168276467966918</v>
      </c>
      <c r="ID57" s="3">
        <f ca="1">IFERROR(__xludf.DUMMYFUNCTION("""COMPUTED_VALUE"""),-0.217361213079423)</f>
        <v>-0.21736121307942299</v>
      </c>
      <c r="IE57" s="3">
        <f ca="1">IFERROR(__xludf.DUMMYFUNCTION("""COMPUTED_VALUE"""),-0.263591736062163)</f>
        <v>-0.26359173606216302</v>
      </c>
      <c r="IF57" s="3">
        <f ca="1">IFERROR(__xludf.DUMMYFUNCTION("""COMPUTED_VALUE"""),-0.0991503938464144)</f>
        <v>-9.91503938464144E-2</v>
      </c>
      <c r="IG57" s="3">
        <f ca="1">IFERROR(__xludf.DUMMYFUNCTION("""COMPUTED_VALUE"""),-0.120999918504915)</f>
        <v>-0.120999918504915</v>
      </c>
      <c r="IH57" s="3">
        <f ca="1">IFERROR(__xludf.DUMMYFUNCTION("""COMPUTED_VALUE"""),-0.0149200570501837)</f>
        <v>-1.49200570501837E-2</v>
      </c>
      <c r="II57" s="3">
        <f ca="1">IFERROR(__xludf.DUMMYFUNCTION("""COMPUTED_VALUE"""),-0.0461036704420051)</f>
        <v>-4.6103670442005099E-2</v>
      </c>
      <c r="IJ57" s="3">
        <f ca="1">IFERROR(__xludf.DUMMYFUNCTION("""COMPUTED_VALUE"""),-0.189027164964118)</f>
        <v>-0.18902716496411801</v>
      </c>
      <c r="IK57" s="3">
        <f ca="1">IFERROR(__xludf.DUMMYFUNCTION("""COMPUTED_VALUE"""),-0.204797078540218)</f>
        <v>-0.204797078540218</v>
      </c>
      <c r="IL57" s="3">
        <f ca="1">IFERROR(__xludf.DUMMYFUNCTION("""COMPUTED_VALUE"""),-0.283764179286076)</f>
        <v>-0.283764179286076</v>
      </c>
      <c r="IM57" s="3">
        <f ca="1">IFERROR(__xludf.DUMMYFUNCTION("""COMPUTED_VALUE"""),-0.221677807707125)</f>
        <v>-0.221677807707125</v>
      </c>
      <c r="IN57" s="3">
        <f ca="1">IFERROR(__xludf.DUMMYFUNCTION("""COMPUTED_VALUE"""),-0.128885090406882)</f>
        <v>-0.12888509040688201</v>
      </c>
      <c r="IO57" s="3">
        <f ca="1">IFERROR(__xludf.DUMMYFUNCTION("""COMPUTED_VALUE"""),-0.0262684164347124)</f>
        <v>-2.6268416434712401E-2</v>
      </c>
      <c r="IP57" s="3">
        <f ca="1">IFERROR(__xludf.DUMMYFUNCTION("""COMPUTED_VALUE"""),-0.148934964708495)</f>
        <v>-0.14893496470849499</v>
      </c>
      <c r="IQ57" s="3">
        <f ca="1">IFERROR(__xludf.DUMMYFUNCTION("""COMPUTED_VALUE"""),-0.218770933550755)</f>
        <v>-0.218770933550755</v>
      </c>
      <c r="IR57" s="3">
        <f ca="1">IFERROR(__xludf.DUMMYFUNCTION("""COMPUTED_VALUE"""),-0.231121899085401)</f>
        <v>-0.23112189908540101</v>
      </c>
      <c r="IS57" s="3">
        <f ca="1">IFERROR(__xludf.DUMMYFUNCTION("""COMPUTED_VALUE"""),-0.222089057592992)</f>
        <v>-0.222089057592992</v>
      </c>
      <c r="IT57" s="3">
        <f ca="1">IFERROR(__xludf.DUMMYFUNCTION("""COMPUTED_VALUE"""),-0.207621802184993)</f>
        <v>-0.20762180218499299</v>
      </c>
      <c r="IU57" s="3">
        <f ca="1">IFERROR(__xludf.DUMMYFUNCTION("""COMPUTED_VALUE"""),-0.179551918500949)</f>
        <v>-0.17955191850094901</v>
      </c>
      <c r="IV57" s="3">
        <f ca="1">IFERROR(__xludf.DUMMYFUNCTION("""COMPUTED_VALUE"""),-0.352300858370525)</f>
        <v>-0.35230085837052499</v>
      </c>
      <c r="IW57" s="3">
        <f ca="1">IFERROR(__xludf.DUMMYFUNCTION("""COMPUTED_VALUE"""),-0.250609104160047)</f>
        <v>-0.250609104160047</v>
      </c>
      <c r="IX57" s="3">
        <f ca="1">IFERROR(__xludf.DUMMYFUNCTION("""COMPUTED_VALUE"""),-0.152366016288257)</f>
        <v>-0.15236601628825699</v>
      </c>
      <c r="IY57" s="3">
        <f ca="1">IFERROR(__xludf.DUMMYFUNCTION("""COMPUTED_VALUE"""),-0.217904902032308)</f>
        <v>-0.217904902032308</v>
      </c>
      <c r="IZ57" s="3">
        <f ca="1">IFERROR(__xludf.DUMMYFUNCTION("""COMPUTED_VALUE"""),-0.180936533351681)</f>
        <v>-0.180936533351681</v>
      </c>
      <c r="JA57" s="3">
        <f ca="1">IFERROR(__xludf.DUMMYFUNCTION("""COMPUTED_VALUE"""),-0.171287969257731)</f>
        <v>-0.17128796925773099</v>
      </c>
      <c r="JB57" s="3">
        <f ca="1">IFERROR(__xludf.DUMMYFUNCTION("""COMPUTED_VALUE"""),-0.150694019573027)</f>
        <v>-0.150694019573027</v>
      </c>
      <c r="JC57" s="3">
        <f ca="1">IFERROR(__xludf.DUMMYFUNCTION("""COMPUTED_VALUE"""),-0.042434535435686)</f>
        <v>-4.2434535435685997E-2</v>
      </c>
      <c r="JD57" s="3">
        <f ca="1">IFERROR(__xludf.DUMMYFUNCTION("""COMPUTED_VALUE"""),-0.0670187365535938)</f>
        <v>-6.7018736553593805E-2</v>
      </c>
      <c r="JE57" s="3">
        <f ca="1">IFERROR(__xludf.DUMMYFUNCTION("""COMPUTED_VALUE"""),-0.201267859921761)</f>
        <v>-0.20126785992176099</v>
      </c>
      <c r="JF57" s="3">
        <f ca="1">IFERROR(__xludf.DUMMYFUNCTION("""COMPUTED_VALUE"""),-0.295136421910252)</f>
        <v>-0.29513642191025202</v>
      </c>
      <c r="JG57" s="3">
        <f ca="1">IFERROR(__xludf.DUMMYFUNCTION("""COMPUTED_VALUE"""),-0.285448037529986)</f>
        <v>-0.28544803752998599</v>
      </c>
      <c r="JH57" s="3">
        <f ca="1">IFERROR(__xludf.DUMMYFUNCTION("""COMPUTED_VALUE"""),-0.212510545782817)</f>
        <v>-0.212510545782817</v>
      </c>
      <c r="JI57" s="3">
        <f ca="1">IFERROR(__xludf.DUMMYFUNCTION("""COMPUTED_VALUE"""),-0.20460924055927)</f>
        <v>-0.20460924055926999</v>
      </c>
      <c r="JJ57" s="3">
        <f ca="1">IFERROR(__xludf.DUMMYFUNCTION("""COMPUTED_VALUE"""),-0.026140089214292)</f>
        <v>-2.6140089214291999E-2</v>
      </c>
      <c r="JK57" s="3">
        <f ca="1">IFERROR(__xludf.DUMMYFUNCTION("""COMPUTED_VALUE"""),-0.249121439962369)</f>
        <v>-0.24912143996236899</v>
      </c>
      <c r="JL57" s="3">
        <f ca="1">IFERROR(__xludf.DUMMYFUNCTION("""COMPUTED_VALUE"""),-0.192059430956954)</f>
        <v>-0.19205943095695399</v>
      </c>
      <c r="JM57" s="3">
        <f ca="1">IFERROR(__xludf.DUMMYFUNCTION("""COMPUTED_VALUE"""),-0.240574828252885)</f>
        <v>-0.24057482825288501</v>
      </c>
      <c r="JN57" s="3">
        <f ca="1">IFERROR(__xludf.DUMMYFUNCTION("""COMPUTED_VALUE"""),-0.246365144286212)</f>
        <v>-0.24636514428621201</v>
      </c>
      <c r="JO57" s="3">
        <f ca="1">IFERROR(__xludf.DUMMYFUNCTION("""COMPUTED_VALUE"""),-0.224292819691818)</f>
        <v>-0.224292819691818</v>
      </c>
      <c r="JP57" s="3">
        <f ca="1">IFERROR(__xludf.DUMMYFUNCTION("""COMPUTED_VALUE"""),-0.153349930427894)</f>
        <v>-0.15334993042789399</v>
      </c>
      <c r="JQ57" s="3">
        <f ca="1">IFERROR(__xludf.DUMMYFUNCTION("""COMPUTED_VALUE"""),-0.1361812242407)</f>
        <v>-0.13618122424070001</v>
      </c>
      <c r="JR57" s="3">
        <f ca="1">IFERROR(__xludf.DUMMYFUNCTION("""COMPUTED_VALUE"""),-0.160457492866059)</f>
        <v>-0.16045749286605901</v>
      </c>
      <c r="JS57" s="3">
        <f ca="1">IFERROR(__xludf.DUMMYFUNCTION("""COMPUTED_VALUE"""),-0.126204332715022)</f>
        <v>-0.12620433271502199</v>
      </c>
      <c r="JT57" s="3">
        <f ca="1">IFERROR(__xludf.DUMMYFUNCTION("""COMPUTED_VALUE"""),0.0302437557555232)</f>
        <v>3.02437557555232E-2</v>
      </c>
      <c r="JU57" s="3">
        <f ca="1">IFERROR(__xludf.DUMMYFUNCTION("""COMPUTED_VALUE"""),-0.278560440490607)</f>
        <v>-0.27856044049060702</v>
      </c>
      <c r="JV57" s="3">
        <f ca="1">IFERROR(__xludf.DUMMYFUNCTION("""COMPUTED_VALUE"""),-0.223181456534642)</f>
        <v>-0.223181456534642</v>
      </c>
      <c r="JW57" s="3">
        <f ca="1">IFERROR(__xludf.DUMMYFUNCTION("""COMPUTED_VALUE"""),-0.28282578657324)</f>
        <v>-0.28282578657323998</v>
      </c>
      <c r="JX57" s="3">
        <f ca="1">IFERROR(__xludf.DUMMYFUNCTION("""COMPUTED_VALUE"""),-0.193885444450443)</f>
        <v>-0.19388544445044301</v>
      </c>
      <c r="JY57" s="3">
        <f ca="1">IFERROR(__xludf.DUMMYFUNCTION("""COMPUTED_VALUE"""),-0.195964658363438)</f>
        <v>-0.19596465836343799</v>
      </c>
      <c r="JZ57" s="3">
        <f ca="1">IFERROR(__xludf.DUMMYFUNCTION("""COMPUTED_VALUE"""),-0.0635217218325201)</f>
        <v>-6.3521721832520098E-2</v>
      </c>
      <c r="KA57" s="3">
        <f ca="1">IFERROR(__xludf.DUMMYFUNCTION("""COMPUTED_VALUE"""),0.00831130361284593)</f>
        <v>8.3113036128459293E-3</v>
      </c>
      <c r="KB57" s="3">
        <f ca="1">IFERROR(__xludf.DUMMYFUNCTION("""COMPUTED_VALUE"""),-0.187995799778049)</f>
        <v>-0.18799579977804901</v>
      </c>
      <c r="KC57" s="3">
        <f ca="1">IFERROR(__xludf.DUMMYFUNCTION("""COMPUTED_VALUE"""),0.0739521237234674)</f>
        <v>7.3952123723467406E-2</v>
      </c>
      <c r="KD57" s="3">
        <f ca="1">IFERROR(__xludf.DUMMYFUNCTION("""COMPUTED_VALUE"""),0.593019531727427)</f>
        <v>0.59301953172742705</v>
      </c>
      <c r="KE57" s="3">
        <f ca="1">IFERROR(__xludf.DUMMYFUNCTION("""COMPUTED_VALUE"""),0.744828336759381)</f>
        <v>0.74482833675938098</v>
      </c>
      <c r="KF57" s="3">
        <f ca="1">IFERROR(__xludf.DUMMYFUNCTION("""COMPUTED_VALUE"""),-0.0799819650409521)</f>
        <v>-7.9981965040952105E-2</v>
      </c>
      <c r="KG57" s="3">
        <f ca="1">IFERROR(__xludf.DUMMYFUNCTION("""COMPUTED_VALUE"""),-0.119847955301949)</f>
        <v>-0.119847955301949</v>
      </c>
      <c r="KH57" s="3">
        <f ca="1">IFERROR(__xludf.DUMMYFUNCTION("""COMPUTED_VALUE"""),0.140736479553174)</f>
        <v>0.140736479553174</v>
      </c>
      <c r="KI57" s="3">
        <f ca="1">IFERROR(__xludf.DUMMYFUNCTION("""COMPUTED_VALUE"""),-0.172198328335154)</f>
        <v>-0.172198328335154</v>
      </c>
      <c r="KJ57" s="3">
        <f ca="1">IFERROR(__xludf.DUMMYFUNCTION("""COMPUTED_VALUE"""),-0.191370423068205)</f>
        <v>-0.19137042306820501</v>
      </c>
      <c r="KK57" s="3">
        <f ca="1">IFERROR(__xludf.DUMMYFUNCTION("""COMPUTED_VALUE"""),-0.233594522725383)</f>
        <v>-0.233594522725383</v>
      </c>
      <c r="KL57" s="3">
        <f ca="1">IFERROR(__xludf.DUMMYFUNCTION("""COMPUTED_VALUE"""),-0.0295139227874532)</f>
        <v>-2.9513922787453201E-2</v>
      </c>
      <c r="KM57" s="3">
        <f ca="1">IFERROR(__xludf.DUMMYFUNCTION("""COMPUTED_VALUE"""),-0.0276274450759154)</f>
        <v>-2.7627445075915399E-2</v>
      </c>
      <c r="KN57" s="3">
        <f ca="1">IFERROR(__xludf.DUMMYFUNCTION("""COMPUTED_VALUE"""),-0.22693880651883)</f>
        <v>-0.22693880651883</v>
      </c>
      <c r="KO57" s="3">
        <f ca="1">IFERROR(__xludf.DUMMYFUNCTION("""COMPUTED_VALUE"""),-0.342288794041225)</f>
        <v>-0.34228879404122498</v>
      </c>
      <c r="KP57" s="3">
        <f ca="1">IFERROR(__xludf.DUMMYFUNCTION("""COMPUTED_VALUE"""),-0.246973902128774)</f>
        <v>-0.24697390212877399</v>
      </c>
      <c r="KQ57" s="3">
        <f ca="1">IFERROR(__xludf.DUMMYFUNCTION("""COMPUTED_VALUE"""),-0.196599911718228)</f>
        <v>-0.19659991171822799</v>
      </c>
      <c r="KR57" s="3">
        <f ca="1">IFERROR(__xludf.DUMMYFUNCTION("""COMPUTED_VALUE"""),-0.209745959581322)</f>
        <v>-0.209745959581322</v>
      </c>
      <c r="KS57" s="3">
        <f ca="1">IFERROR(__xludf.DUMMYFUNCTION("""COMPUTED_VALUE"""),-0.0525912978186902)</f>
        <v>-5.2591297818690201E-2</v>
      </c>
      <c r="KT57" s="3">
        <f ca="1">IFERROR(__xludf.DUMMYFUNCTION("""COMPUTED_VALUE"""),-0.206940662832929)</f>
        <v>-0.206940662832929</v>
      </c>
      <c r="KU57" s="3">
        <f ca="1">IFERROR(__xludf.DUMMYFUNCTION("""COMPUTED_VALUE"""),-0.160987782557667)</f>
        <v>-0.16098778255766699</v>
      </c>
      <c r="KV57" s="3">
        <f ca="1">IFERROR(__xludf.DUMMYFUNCTION("""COMPUTED_VALUE"""),-0.25619440850645)</f>
        <v>-0.25619440850644998</v>
      </c>
      <c r="KW57" s="3">
        <f ca="1">IFERROR(__xludf.DUMMYFUNCTION("""COMPUTED_VALUE"""),-0.285972924813826)</f>
        <v>-0.28597292481382602</v>
      </c>
      <c r="KX57" s="3">
        <f ca="1">IFERROR(__xludf.DUMMYFUNCTION("""COMPUTED_VALUE"""),-0.305146367462155)</f>
        <v>-0.30514636746215501</v>
      </c>
      <c r="KY57" s="3">
        <f ca="1">IFERROR(__xludf.DUMMYFUNCTION("""COMPUTED_VALUE"""),-0.292836308451852)</f>
        <v>-0.29283630845185199</v>
      </c>
      <c r="KZ57" s="3">
        <f ca="1">IFERROR(__xludf.DUMMYFUNCTION("""COMPUTED_VALUE"""),-0.120113409581416)</f>
        <v>-0.120113409581416</v>
      </c>
      <c r="LA57" s="3">
        <f ca="1">IFERROR(__xludf.DUMMYFUNCTION("""COMPUTED_VALUE"""),-0.195868159579716)</f>
        <v>-0.19586815957971601</v>
      </c>
      <c r="LB57" s="3">
        <f ca="1">IFERROR(__xludf.DUMMYFUNCTION("""COMPUTED_VALUE"""),-0.389295394490248)</f>
        <v>-0.38929539449024803</v>
      </c>
      <c r="LC57" s="3">
        <f ca="1">IFERROR(__xludf.DUMMYFUNCTION("""COMPUTED_VALUE"""),-0.443471816508849)</f>
        <v>-0.44347181650884898</v>
      </c>
      <c r="LD57" s="3">
        <f ca="1">IFERROR(__xludf.DUMMYFUNCTION("""COMPUTED_VALUE"""),-0.36523299342938)</f>
        <v>-0.36523299342937998</v>
      </c>
      <c r="LE57" s="3">
        <f ca="1">IFERROR(__xludf.DUMMYFUNCTION("""COMPUTED_VALUE"""),-0.360252469206115)</f>
        <v>-0.36025246920611498</v>
      </c>
      <c r="LF57" s="3">
        <f ca="1">IFERROR(__xludf.DUMMYFUNCTION("""COMPUTED_VALUE"""),0.0474792176979259)</f>
        <v>4.7479217697925902E-2</v>
      </c>
      <c r="LG57" s="3">
        <f ca="1">IFERROR(__xludf.DUMMYFUNCTION("""COMPUTED_VALUE"""),-0.267724956008487)</f>
        <v>-0.267724956008487</v>
      </c>
      <c r="LH57" s="3">
        <f ca="1">IFERROR(__xludf.DUMMYFUNCTION("""COMPUTED_VALUE"""),-0.174937723771754)</f>
        <v>-0.17493772377175401</v>
      </c>
      <c r="LI57" s="3">
        <f ca="1">IFERROR(__xludf.DUMMYFUNCTION("""COMPUTED_VALUE"""),-0.240425604929069)</f>
        <v>-0.240425604929069</v>
      </c>
      <c r="LJ57" s="3">
        <f ca="1">IFERROR(__xludf.DUMMYFUNCTION("""COMPUTED_VALUE"""),-0.2014879687464)</f>
        <v>-0.20148796874639999</v>
      </c>
      <c r="LK57" s="3">
        <f ca="1">IFERROR(__xludf.DUMMYFUNCTION("""COMPUTED_VALUE"""),-0.342599456751071)</f>
        <v>-0.34259945675107101</v>
      </c>
      <c r="LL57" s="3">
        <f ca="1">IFERROR(__xludf.DUMMYFUNCTION("""COMPUTED_VALUE"""),-0.382768167522476)</f>
        <v>-0.382768167522476</v>
      </c>
      <c r="LM57" s="3">
        <f ca="1">IFERROR(__xludf.DUMMYFUNCTION("""COMPUTED_VALUE"""),-0.786502830811891)</f>
        <v>-0.78650283081189098</v>
      </c>
      <c r="LN57" s="3">
        <f ca="1">IFERROR(__xludf.DUMMYFUNCTION("""COMPUTED_VALUE"""),-0.413645267383189)</f>
        <v>-0.41364526738318902</v>
      </c>
      <c r="LO57" s="3">
        <f ca="1">IFERROR(__xludf.DUMMYFUNCTION("""COMPUTED_VALUE"""),-0.292876749878361)</f>
        <v>-0.29287674987836099</v>
      </c>
      <c r="LP57" s="3">
        <f ca="1">IFERROR(__xludf.DUMMYFUNCTION("""COMPUTED_VALUE"""),-0.351015699757747)</f>
        <v>-0.35101569975774699</v>
      </c>
      <c r="LQ57" s="3">
        <f ca="1">IFERROR(__xludf.DUMMYFUNCTION("""COMPUTED_VALUE"""),-0.399171850141674)</f>
        <v>-0.399171850141674</v>
      </c>
      <c r="LR57" s="3">
        <f ca="1">IFERROR(__xludf.DUMMYFUNCTION("""COMPUTED_VALUE"""),-0.351420608542722)</f>
        <v>-0.351420608542722</v>
      </c>
      <c r="LS57" s="3">
        <f ca="1">IFERROR(__xludf.DUMMYFUNCTION("""COMPUTED_VALUE"""),-0.403051399295584)</f>
        <v>-0.40305139929558398</v>
      </c>
      <c r="LT57" s="3">
        <f ca="1">IFERROR(__xludf.DUMMYFUNCTION("""COMPUTED_VALUE"""),-0.280818994312181)</f>
        <v>-0.28081899431218099</v>
      </c>
      <c r="LU57" s="3">
        <f ca="1">IFERROR(__xludf.DUMMYFUNCTION("""COMPUTED_VALUE"""),-0.352050740674517)</f>
        <v>-0.35205074067451703</v>
      </c>
      <c r="LV57" s="3">
        <f ca="1">IFERROR(__xludf.DUMMYFUNCTION("""COMPUTED_VALUE"""),-0.402751491432551)</f>
        <v>-0.40275149143255101</v>
      </c>
      <c r="LW57" s="3">
        <f ca="1">IFERROR(__xludf.DUMMYFUNCTION("""COMPUTED_VALUE"""),-0.48921546602999)</f>
        <v>-0.48921546602999</v>
      </c>
      <c r="LX57" s="3">
        <f ca="1">IFERROR(__xludf.DUMMYFUNCTION("""COMPUTED_VALUE"""),-0.483453330375026)</f>
        <v>-0.48345333037502602</v>
      </c>
      <c r="LY57" s="3">
        <f ca="1">IFERROR(__xludf.DUMMYFUNCTION("""COMPUTED_VALUE"""),-0.476189989277674)</f>
        <v>-0.47618998927767398</v>
      </c>
      <c r="LZ57" s="3">
        <f ca="1">IFERROR(__xludf.DUMMYFUNCTION("""COMPUTED_VALUE"""),-0.504340185847015)</f>
        <v>-0.50434018584701501</v>
      </c>
      <c r="MA57" s="3">
        <f ca="1">IFERROR(__xludf.DUMMYFUNCTION("""COMPUTED_VALUE"""),-0.487454803014471)</f>
        <v>-0.48745480301447103</v>
      </c>
      <c r="MB57" s="3">
        <f ca="1">IFERROR(__xludf.DUMMYFUNCTION("""COMPUTED_VALUE"""),-0.488071323358007)</f>
        <v>-0.48807132335800701</v>
      </c>
      <c r="MC57" s="3">
        <f ca="1">IFERROR(__xludf.DUMMYFUNCTION("""COMPUTED_VALUE"""),-0.352704265366657)</f>
        <v>-0.352704265366657</v>
      </c>
      <c r="MD57" s="3">
        <f ca="1">IFERROR(__xludf.DUMMYFUNCTION("""COMPUTED_VALUE"""),-0.439477200824528)</f>
        <v>-0.43947720082452801</v>
      </c>
      <c r="ME57" s="3">
        <f ca="1">IFERROR(__xludf.DUMMYFUNCTION("""COMPUTED_VALUE"""),-0.450464198174405)</f>
        <v>-0.45046419817440497</v>
      </c>
      <c r="MF57" s="3">
        <f ca="1">IFERROR(__xludf.DUMMYFUNCTION("""COMPUTED_VALUE"""),-0.465267656278599)</f>
        <v>-0.46526765627859901</v>
      </c>
      <c r="MG57" s="3">
        <f ca="1">IFERROR(__xludf.DUMMYFUNCTION("""COMPUTED_VALUE"""),-0.50762112047127)</f>
        <v>-0.50762112047126995</v>
      </c>
      <c r="MH57" s="3">
        <f ca="1">IFERROR(__xludf.DUMMYFUNCTION("""COMPUTED_VALUE"""),-0.407818242671852)</f>
        <v>-0.40781824267185202</v>
      </c>
      <c r="MI57" s="3">
        <f ca="1">IFERROR(__xludf.DUMMYFUNCTION("""COMPUTED_VALUE"""),-0.368639712767245)</f>
        <v>-0.368639712767245</v>
      </c>
      <c r="MJ57" s="3">
        <f ca="1">IFERROR(__xludf.DUMMYFUNCTION("""COMPUTED_VALUE"""),-0.427034781545129)</f>
        <v>-0.42703478154512903</v>
      </c>
      <c r="MK57" s="3">
        <f ca="1">IFERROR(__xludf.DUMMYFUNCTION("""COMPUTED_VALUE"""),-0.504364644169852)</f>
        <v>-0.50436464416985205</v>
      </c>
      <c r="ML57" s="3">
        <f ca="1">IFERROR(__xludf.DUMMYFUNCTION("""COMPUTED_VALUE"""),-0.555035749632703)</f>
        <v>-0.55503574963270297</v>
      </c>
      <c r="MM57" s="3">
        <f ca="1">IFERROR(__xludf.DUMMYFUNCTION("""COMPUTED_VALUE"""),-0.549104788067965)</f>
        <v>-0.54910478806796503</v>
      </c>
      <c r="MN57" s="3">
        <f ca="1">IFERROR(__xludf.DUMMYFUNCTION("""COMPUTED_VALUE"""),-0.540544418797787)</f>
        <v>-0.54054441879778703</v>
      </c>
      <c r="MO57" s="3">
        <f ca="1">IFERROR(__xludf.DUMMYFUNCTION("""COMPUTED_VALUE"""),-0.547633603824981)</f>
        <v>-0.54763360382498105</v>
      </c>
      <c r="MP57" s="3">
        <f ca="1">IFERROR(__xludf.DUMMYFUNCTION("""COMPUTED_VALUE"""),-0.448501715355635)</f>
        <v>-0.44850171535563499</v>
      </c>
      <c r="MQ57" s="3">
        <f ca="1">IFERROR(__xludf.DUMMYFUNCTION("""COMPUTED_VALUE"""),-0.407707144174964)</f>
        <v>-0.40770714417496401</v>
      </c>
      <c r="MR57" s="3">
        <f ca="1">IFERROR(__xludf.DUMMYFUNCTION("""COMPUTED_VALUE"""),-0.573837494451233)</f>
        <v>-0.573837494451233</v>
      </c>
      <c r="MS57" s="3">
        <f ca="1">IFERROR(__xludf.DUMMYFUNCTION("""COMPUTED_VALUE"""),-0.580070209376502)</f>
        <v>-0.580070209376502</v>
      </c>
      <c r="MT57" s="3">
        <f ca="1">IFERROR(__xludf.DUMMYFUNCTION("""COMPUTED_VALUE"""),-0.564743670411156)</f>
        <v>-0.56474367041115603</v>
      </c>
      <c r="MU57" s="3">
        <f ca="1">IFERROR(__xludf.DUMMYFUNCTION("""COMPUTED_VALUE"""),-0.554315209098583)</f>
        <v>-0.55431520909858301</v>
      </c>
      <c r="MV57" s="3">
        <f ca="1">IFERROR(__xludf.DUMMYFUNCTION("""COMPUTED_VALUE"""),-0.504109962688856)</f>
        <v>-0.50410996268885599</v>
      </c>
      <c r="MW57" s="3">
        <f ca="1">IFERROR(__xludf.DUMMYFUNCTION("""COMPUTED_VALUE"""),-0.37299010657039)</f>
        <v>-0.37299010657039</v>
      </c>
      <c r="MX57" s="3">
        <f ca="1">IFERROR(__xludf.DUMMYFUNCTION("""COMPUTED_VALUE"""),-0.564910161651329)</f>
        <v>-0.56491016165132901</v>
      </c>
      <c r="MY57" s="3">
        <f ca="1">IFERROR(__xludf.DUMMYFUNCTION("""COMPUTED_VALUE"""),-0.556889943343936)</f>
        <v>-0.55688994334393604</v>
      </c>
      <c r="MZ57" s="3">
        <f ca="1">IFERROR(__xludf.DUMMYFUNCTION("""COMPUTED_VALUE"""),-0.540623557443948)</f>
        <v>-0.54062355744394797</v>
      </c>
      <c r="NA57" s="3">
        <f ca="1">IFERROR(__xludf.DUMMYFUNCTION("""COMPUTED_VALUE"""),-0.570974701607605)</f>
        <v>-0.570974701607605</v>
      </c>
      <c r="NB57" s="3">
        <f ca="1">IFERROR(__xludf.DUMMYFUNCTION("""COMPUTED_VALUE"""),-0.479797155064414)</f>
        <v>-0.479797155064414</v>
      </c>
      <c r="NC57" s="3">
        <f ca="1">IFERROR(__xludf.DUMMYFUNCTION("""COMPUTED_VALUE"""),-0.513668389700332)</f>
        <v>-0.51366838970033202</v>
      </c>
      <c r="ND57" s="3">
        <f ca="1">IFERROR(__xludf.DUMMYFUNCTION("""COMPUTED_VALUE"""),-0.445161196849687)</f>
        <v>-0.44516119684968702</v>
      </c>
      <c r="NE57" s="3">
        <f ca="1">IFERROR(__xludf.DUMMYFUNCTION("""COMPUTED_VALUE"""),-0.493290449778799)</f>
        <v>-0.49329044977879899</v>
      </c>
      <c r="NF57" s="3">
        <f ca="1">IFERROR(__xludf.DUMMYFUNCTION("""COMPUTED_VALUE"""),-0.529114966587126)</f>
        <v>-0.52911496658712598</v>
      </c>
      <c r="NG57" s="3">
        <f ca="1">IFERROR(__xludf.DUMMYFUNCTION("""COMPUTED_VALUE"""),-0.597912794792403)</f>
        <v>-0.597912794792403</v>
      </c>
      <c r="NH57" s="3">
        <f ca="1">IFERROR(__xludf.DUMMYFUNCTION("""COMPUTED_VALUE"""),-0.552466140099021)</f>
        <v>-0.55246614009902095</v>
      </c>
      <c r="NI57" s="3">
        <f ca="1">IFERROR(__xludf.DUMMYFUNCTION("""COMPUTED_VALUE"""),-0.524476199395864)</f>
        <v>-0.52447619939586398</v>
      </c>
      <c r="NJ57" s="3">
        <f ca="1">IFERROR(__xludf.DUMMYFUNCTION("""COMPUTED_VALUE"""),-0.517423996393746)</f>
        <v>-0.51742399639374603</v>
      </c>
      <c r="NK57" s="3">
        <f ca="1">IFERROR(__xludf.DUMMYFUNCTION("""COMPUTED_VALUE"""),-0.39577527796755)</f>
        <v>-0.39577527796755002</v>
      </c>
      <c r="NL57" s="3">
        <f ca="1">IFERROR(__xludf.DUMMYFUNCTION("""COMPUTED_VALUE"""),-0.377939668915365)</f>
        <v>-0.37793966891536501</v>
      </c>
      <c r="NM57" s="3">
        <f ca="1">IFERROR(__xludf.DUMMYFUNCTION("""COMPUTED_VALUE"""),-0.418094094749168)</f>
        <v>-0.41809409474916798</v>
      </c>
      <c r="NN57" s="3">
        <f ca="1">IFERROR(__xludf.DUMMYFUNCTION("""COMPUTED_VALUE"""),-0.42330861772022)</f>
        <v>-0.42330861772021999</v>
      </c>
      <c r="NO57" s="3">
        <f ca="1">IFERROR(__xludf.DUMMYFUNCTION("""COMPUTED_VALUE"""),-0.392652777395253)</f>
        <v>-0.39265277739525301</v>
      </c>
      <c r="NP57" s="3">
        <f ca="1">IFERROR(__xludf.DUMMYFUNCTION("""COMPUTED_VALUE"""),-0.458892193889435)</f>
        <v>-0.45889219388943497</v>
      </c>
      <c r="NQ57" s="3">
        <f ca="1">IFERROR(__xludf.DUMMYFUNCTION("""COMPUTED_VALUE"""),-0.500300217174707)</f>
        <v>-0.50030021717470696</v>
      </c>
      <c r="NR57" s="3">
        <f ca="1">IFERROR(__xludf.DUMMYFUNCTION("""COMPUTED_VALUE"""),-0.416232713438936)</f>
        <v>-0.41623271343893598</v>
      </c>
      <c r="NS57" s="3">
        <f ca="1">IFERROR(__xludf.DUMMYFUNCTION("""COMPUTED_VALUE"""),-0.49918494660192)</f>
        <v>-0.49918494660191998</v>
      </c>
      <c r="NT57" s="3">
        <f ca="1">IFERROR(__xludf.DUMMYFUNCTION("""COMPUTED_VALUE"""),-0.421948840043066)</f>
        <v>-0.42194884004306599</v>
      </c>
      <c r="NU57" s="3">
        <f ca="1">IFERROR(__xludf.DUMMYFUNCTION("""COMPUTED_VALUE"""),-0.401622253771942)</f>
        <v>-0.40162225377194199</v>
      </c>
      <c r="NV57" s="3">
        <f ca="1">IFERROR(__xludf.DUMMYFUNCTION("""COMPUTED_VALUE"""),-0.369744489416166)</f>
        <v>-0.369744489416166</v>
      </c>
      <c r="NW57" s="3">
        <f ca="1">IFERROR(__xludf.DUMMYFUNCTION("""COMPUTED_VALUE"""),-0.370882142411038)</f>
        <v>-0.37088214241103801</v>
      </c>
      <c r="NX57" s="3">
        <f ca="1">IFERROR(__xludf.DUMMYFUNCTION("""COMPUTED_VALUE"""),-0.409317650983629)</f>
        <v>-0.40931765098362899</v>
      </c>
      <c r="NY57" s="3">
        <f ca="1">IFERROR(__xludf.DUMMYFUNCTION("""COMPUTED_VALUE"""),-0.337231326648507)</f>
        <v>-0.33723132664850702</v>
      </c>
      <c r="NZ57" s="3">
        <f ca="1">IFERROR(__xludf.DUMMYFUNCTION("""COMPUTED_VALUE"""),-0.422070616116976)</f>
        <v>-0.42207061611697599</v>
      </c>
      <c r="OA57" s="3">
        <f ca="1">IFERROR(__xludf.DUMMYFUNCTION("""COMPUTED_VALUE"""),-0.416969131201376)</f>
        <v>-0.41696913120137602</v>
      </c>
      <c r="OB57" s="3">
        <f ca="1">IFERROR(__xludf.DUMMYFUNCTION("""COMPUTED_VALUE"""),-0.494662923757027)</f>
        <v>-0.49466292375702697</v>
      </c>
      <c r="OC57" s="3">
        <f ca="1">IFERROR(__xludf.DUMMYFUNCTION("""COMPUTED_VALUE"""),-0.410305292773212)</f>
        <v>-0.41030529277321198</v>
      </c>
      <c r="OD57" s="3">
        <f ca="1">IFERROR(__xludf.DUMMYFUNCTION("""COMPUTED_VALUE"""),-0.299730655603291)</f>
        <v>-0.29973065560329099</v>
      </c>
      <c r="OE57" s="3">
        <f ca="1">IFERROR(__xludf.DUMMYFUNCTION("""COMPUTED_VALUE"""),-0.266165738591977)</f>
        <v>-0.26616573859197701</v>
      </c>
      <c r="OF57" s="3">
        <f ca="1">IFERROR(__xludf.DUMMYFUNCTION("""COMPUTED_VALUE"""),-0.0939638936476637)</f>
        <v>-9.3963893647663693E-2</v>
      </c>
      <c r="OG57" s="3">
        <f ca="1">IFERROR(__xludf.DUMMYFUNCTION("""COMPUTED_VALUE"""),-0.0496343909956363)</f>
        <v>-4.9634390995636303E-2</v>
      </c>
      <c r="OH57" s="3">
        <f ca="1">IFERROR(__xludf.DUMMYFUNCTION("""COMPUTED_VALUE"""),-0.189198759941756)</f>
        <v>-0.189198759941756</v>
      </c>
      <c r="OI57" s="3">
        <f ca="1">IFERROR(__xludf.DUMMYFUNCTION("""COMPUTED_VALUE"""),-0.0772723989586645)</f>
        <v>-7.7272398958664501E-2</v>
      </c>
      <c r="OJ57" s="3">
        <f ca="1">IFERROR(__xludf.DUMMYFUNCTION("""COMPUTED_VALUE"""),-0.0639105432006683)</f>
        <v>-6.3910543200668302E-2</v>
      </c>
      <c r="OK57" s="3">
        <f ca="1">IFERROR(__xludf.DUMMYFUNCTION("""COMPUTED_VALUE"""),-0.0529904571789616)</f>
        <v>-5.29904571789616E-2</v>
      </c>
      <c r="OL57" s="3">
        <f ca="1">IFERROR(__xludf.DUMMYFUNCTION("""COMPUTED_VALUE"""),-0.0883455753035357)</f>
        <v>-8.8345575303535706E-2</v>
      </c>
      <c r="OM57" s="3">
        <f ca="1">IFERROR(__xludf.DUMMYFUNCTION("""COMPUTED_VALUE"""),0.101063114318649)</f>
        <v>0.10106311431864901</v>
      </c>
      <c r="ON57" s="3">
        <f ca="1">IFERROR(__xludf.DUMMYFUNCTION("""COMPUTED_VALUE"""),0.15669209477593)</f>
        <v>0.15669209477592999</v>
      </c>
      <c r="OO57" s="3">
        <f ca="1">IFERROR(__xludf.DUMMYFUNCTION("""COMPUTED_VALUE"""),-0.0320813601096846)</f>
        <v>-3.2081360109684598E-2</v>
      </c>
      <c r="OP57" s="3">
        <f ca="1">IFERROR(__xludf.DUMMYFUNCTION("""COMPUTED_VALUE"""),0.0688920421036374)</f>
        <v>6.8892042103637405E-2</v>
      </c>
      <c r="OQ57" s="3">
        <f ca="1">IFERROR(__xludf.DUMMYFUNCTION("""COMPUTED_VALUE"""),0.126666071259567)</f>
        <v>0.126666071259567</v>
      </c>
      <c r="OR57" s="3">
        <f ca="1">IFERROR(__xludf.DUMMYFUNCTION("""COMPUTED_VALUE"""),0.0188609259188321)</f>
        <v>1.8860925918832101E-2</v>
      </c>
      <c r="OS57" s="3">
        <f ca="1">IFERROR(__xludf.DUMMYFUNCTION("""COMPUTED_VALUE"""),-0.078471023161288)</f>
        <v>-7.8471023161287998E-2</v>
      </c>
      <c r="OT57" s="3">
        <f ca="1">IFERROR(__xludf.DUMMYFUNCTION("""COMPUTED_VALUE"""),-0.00829955250157654)</f>
        <v>-8.2995525015765407E-3</v>
      </c>
      <c r="OU57" s="3">
        <f ca="1">IFERROR(__xludf.DUMMYFUNCTION("""COMPUTED_VALUE"""),0.16513585396823)</f>
        <v>0.16513585396823</v>
      </c>
      <c r="OV57" s="3">
        <f ca="1">IFERROR(__xludf.DUMMYFUNCTION("""COMPUTED_VALUE"""),-0.0420478903104255)</f>
        <v>-4.2047890310425502E-2</v>
      </c>
      <c r="OW57" s="3">
        <f ca="1">IFERROR(__xludf.DUMMYFUNCTION("""COMPUTED_VALUE"""),0.0511085008589311)</f>
        <v>5.1108500858931101E-2</v>
      </c>
      <c r="OX57" s="3">
        <f ca="1">IFERROR(__xludf.DUMMYFUNCTION("""COMPUTED_VALUE"""),0.134630943830761)</f>
        <v>0.13463094383076099</v>
      </c>
      <c r="OY57" s="3">
        <f ca="1">IFERROR(__xludf.DUMMYFUNCTION("""COMPUTED_VALUE"""),0.0298771637200838)</f>
        <v>2.98771637200838E-2</v>
      </c>
      <c r="OZ57" s="3">
        <f ca="1">IFERROR(__xludf.DUMMYFUNCTION("""COMPUTED_VALUE"""),0.0869907747145604)</f>
        <v>8.6990774714560404E-2</v>
      </c>
      <c r="PA57" s="3">
        <f ca="1">IFERROR(__xludf.DUMMYFUNCTION("""COMPUTED_VALUE"""),-0.080091702236966)</f>
        <v>-8.0091702236966003E-2</v>
      </c>
      <c r="PB57" s="3">
        <f ca="1">IFERROR(__xludf.DUMMYFUNCTION("""COMPUTED_VALUE"""),-0.0732797126544223)</f>
        <v>-7.3279712654422305E-2</v>
      </c>
      <c r="PC57" s="3">
        <f ca="1">IFERROR(__xludf.DUMMYFUNCTION("""COMPUTED_VALUE"""),-0.0445423802362953)</f>
        <v>-4.4542380236295302E-2</v>
      </c>
      <c r="PD57" s="3">
        <f ca="1">IFERROR(__xludf.DUMMYFUNCTION("""COMPUTED_VALUE"""),-0.00721011071369204)</f>
        <v>-7.21011071369204E-3</v>
      </c>
      <c r="PE57" s="3">
        <f ca="1">IFERROR(__xludf.DUMMYFUNCTION("""COMPUTED_VALUE"""),0.113936927122347)</f>
        <v>0.113936927122347</v>
      </c>
      <c r="PF57" s="3">
        <f ca="1">IFERROR(__xludf.DUMMYFUNCTION("""COMPUTED_VALUE"""),-0.0593342946141578)</f>
        <v>-5.9334294614157797E-2</v>
      </c>
      <c r="PG57" s="3">
        <f ca="1">IFERROR(__xludf.DUMMYFUNCTION("""COMPUTED_VALUE"""),-0.0668452448027093)</f>
        <v>-6.68452448027093E-2</v>
      </c>
      <c r="PH57" s="3">
        <f ca="1">IFERROR(__xludf.DUMMYFUNCTION("""COMPUTED_VALUE"""),-0.0179607930846721)</f>
        <v>-1.7960793084672098E-2</v>
      </c>
      <c r="PI57" s="3">
        <f ca="1">IFERROR(__xludf.DUMMYFUNCTION("""COMPUTED_VALUE"""),-0.102297144929125)</f>
        <v>-0.10229714492912501</v>
      </c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</row>
    <row r="58" spans="1:477" ht="13">
      <c r="A58" s="1" t="str">
        <f ca="1">IFERROR(__xludf.DUMMYFUNCTION("""COMPUTED_VALUE"""),"Miami-Dade Transit")</f>
        <v>Miami-Dade Transit</v>
      </c>
      <c r="B58" s="1" t="str">
        <f ca="1">IFERROR(__xludf.DUMMYFUNCTION("""COMPUTED_VALUE"""),"Miami")</f>
        <v>Miami</v>
      </c>
      <c r="C58" s="1" t="str">
        <f ca="1">IFERROR(__xludf.DUMMYFUNCTION("""COMPUTED_VALUE"""),"United States")</f>
        <v>United States</v>
      </c>
      <c r="D58" s="1" t="str">
        <f ca="1">IFERROR(__xludf.DUMMYFUNCTION("""COMPUTED_VALUE"""),"Florida")</f>
        <v>Florida</v>
      </c>
      <c r="E58" s="3">
        <f ca="1">IFERROR(__xludf.DUMMYFUNCTION("""COMPUTED_VALUE"""),0.171606200270691)</f>
        <v>0.17160620027069101</v>
      </c>
      <c r="F58" s="3">
        <f ca="1">IFERROR(__xludf.DUMMYFUNCTION("""COMPUTED_VALUE"""),0.00857043008753755)</f>
        <v>8.5704300875375505E-3</v>
      </c>
      <c r="G58" s="3">
        <f ca="1">IFERROR(__xludf.DUMMYFUNCTION("""COMPUTED_VALUE"""),-0.0713211565987339)</f>
        <v>-7.1321156598733906E-2</v>
      </c>
      <c r="H58" s="3">
        <f ca="1">IFERROR(__xludf.DUMMYFUNCTION("""COMPUTED_VALUE"""),-0.0679474281270422)</f>
        <v>-6.79474281270422E-2</v>
      </c>
      <c r="I58" s="3">
        <f ca="1">IFERROR(__xludf.DUMMYFUNCTION("""COMPUTED_VALUE"""),-0.0538672538157839)</f>
        <v>-5.3867253815783903E-2</v>
      </c>
      <c r="J58" s="3">
        <f ca="1">IFERROR(__xludf.DUMMYFUNCTION("""COMPUTED_VALUE"""),-0.0450751283823589)</f>
        <v>-4.5075128382358901E-2</v>
      </c>
      <c r="K58" s="3">
        <f ca="1">IFERROR(__xludf.DUMMYFUNCTION("""COMPUTED_VALUE"""),0.147889975636954)</f>
        <v>0.147889975636954</v>
      </c>
      <c r="L58" s="3">
        <f ca="1">IFERROR(__xludf.DUMMYFUNCTION("""COMPUTED_VALUE"""),-0.012828054280513)</f>
        <v>-1.2828054280513E-2</v>
      </c>
      <c r="M58" s="3">
        <f ca="1">IFERROR(__xludf.DUMMYFUNCTION("""COMPUTED_VALUE"""),-0.117460123594559)</f>
        <v>-0.117460123594559</v>
      </c>
      <c r="N58" s="3">
        <f ca="1">IFERROR(__xludf.DUMMYFUNCTION("""COMPUTED_VALUE"""),-0.0492505892383471)</f>
        <v>-4.9250589238347103E-2</v>
      </c>
      <c r="O58" s="3">
        <f ca="1">IFERROR(__xludf.DUMMYFUNCTION("""COMPUTED_VALUE"""),-0.107553795267174)</f>
        <v>-0.107553795267174</v>
      </c>
      <c r="P58" s="3">
        <f ca="1">IFERROR(__xludf.DUMMYFUNCTION("""COMPUTED_VALUE"""),-0.0937126739768339)</f>
        <v>-9.3712673976833902E-2</v>
      </c>
      <c r="Q58" s="3">
        <f ca="1">IFERROR(__xludf.DUMMYFUNCTION("""COMPUTED_VALUE"""),-0.0746023971375603)</f>
        <v>-7.4602397137560297E-2</v>
      </c>
      <c r="R58" s="3">
        <f ca="1">IFERROR(__xludf.DUMMYFUNCTION("""COMPUTED_VALUE"""),0.312549598622203)</f>
        <v>0.312549598622203</v>
      </c>
      <c r="S58" s="3">
        <f ca="1">IFERROR(__xludf.DUMMYFUNCTION("""COMPUTED_VALUE"""),0.109171824379822)</f>
        <v>0.10917182437982199</v>
      </c>
      <c r="T58" s="3">
        <f ca="1">IFERROR(__xludf.DUMMYFUNCTION("""COMPUTED_VALUE"""),-0.0229345790928164)</f>
        <v>-2.29345790928164E-2</v>
      </c>
      <c r="U58" s="3">
        <f ca="1">IFERROR(__xludf.DUMMYFUNCTION("""COMPUTED_VALUE"""),-0.0148822100516571)</f>
        <v>-1.48822100516571E-2</v>
      </c>
      <c r="V58" s="3">
        <f ca="1">IFERROR(__xludf.DUMMYFUNCTION("""COMPUTED_VALUE"""),-0.0696099977866536)</f>
        <v>-6.9609997786653596E-2</v>
      </c>
      <c r="W58" s="3">
        <f ca="1">IFERROR(__xludf.DUMMYFUNCTION("""COMPUTED_VALUE"""),-0.0146627996422787)</f>
        <v>-1.46627996422787E-2</v>
      </c>
      <c r="X58" s="3">
        <f ca="1">IFERROR(__xludf.DUMMYFUNCTION("""COMPUTED_VALUE"""),-0.0793086967600759)</f>
        <v>-7.9308696760075903E-2</v>
      </c>
      <c r="Y58" s="3">
        <f ca="1">IFERROR(__xludf.DUMMYFUNCTION("""COMPUTED_VALUE"""),0.277297629664807)</f>
        <v>0.27729762966480698</v>
      </c>
      <c r="Z58" s="3">
        <f ca="1">IFERROR(__xludf.DUMMYFUNCTION("""COMPUTED_VALUE"""),0.115624198286189)</f>
        <v>0.115624198286189</v>
      </c>
      <c r="AA58" s="3">
        <f ca="1">IFERROR(__xludf.DUMMYFUNCTION("""COMPUTED_VALUE"""),-0.0407500519537874)</f>
        <v>-4.0750051953787399E-2</v>
      </c>
      <c r="AB58" s="3">
        <f ca="1">IFERROR(__xludf.DUMMYFUNCTION("""COMPUTED_VALUE"""),-0.102124262428813)</f>
        <v>-0.10212426242881301</v>
      </c>
      <c r="AC58" s="3">
        <f ca="1">IFERROR(__xludf.DUMMYFUNCTION("""COMPUTED_VALUE"""),-0.0945842260232078)</f>
        <v>-9.4584226023207804E-2</v>
      </c>
      <c r="AD58" s="3">
        <f ca="1">IFERROR(__xludf.DUMMYFUNCTION("""COMPUTED_VALUE"""),-0.084989325169254)</f>
        <v>-8.4989325169254004E-2</v>
      </c>
      <c r="AE58" s="3">
        <f ca="1">IFERROR(__xludf.DUMMYFUNCTION("""COMPUTED_VALUE"""),-0.106161310794514)</f>
        <v>-0.106161310794514</v>
      </c>
      <c r="AF58" s="3">
        <f ca="1">IFERROR(__xludf.DUMMYFUNCTION("""COMPUTED_VALUE"""),0.129899302014148)</f>
        <v>0.12989930201414801</v>
      </c>
      <c r="AG58" s="3">
        <f ca="1">IFERROR(__xludf.DUMMYFUNCTION("""COMPUTED_VALUE"""),0.0891210795323811)</f>
        <v>8.9121079532381103E-2</v>
      </c>
      <c r="AH58" s="3">
        <f ca="1">IFERROR(__xludf.DUMMYFUNCTION("""COMPUTED_VALUE"""),-0.126391405006828)</f>
        <v>-0.12639140500682799</v>
      </c>
      <c r="AI58" s="3">
        <f ca="1">IFERROR(__xludf.DUMMYFUNCTION("""COMPUTED_VALUE"""),-0.200143697977363)</f>
        <v>-0.20014369797736301</v>
      </c>
      <c r="AJ58" s="3">
        <f ca="1">IFERROR(__xludf.DUMMYFUNCTION("""COMPUTED_VALUE"""),-0.232907514224163)</f>
        <v>-0.232907514224163</v>
      </c>
      <c r="AK58" s="3">
        <f ca="1">IFERROR(__xludf.DUMMYFUNCTION("""COMPUTED_VALUE"""),-0.17962970144062)</f>
        <v>-0.17962970144061999</v>
      </c>
      <c r="AL58" s="3">
        <f ca="1">IFERROR(__xludf.DUMMYFUNCTION("""COMPUTED_VALUE"""),-0.209718704046716)</f>
        <v>-0.209718704046716</v>
      </c>
      <c r="AM58" s="3">
        <f ca="1">IFERROR(__xludf.DUMMYFUNCTION("""COMPUTED_VALUE"""),0.0270790549515087)</f>
        <v>2.70790549515087E-2</v>
      </c>
      <c r="AN58" s="3">
        <f ca="1">IFERROR(__xludf.DUMMYFUNCTION("""COMPUTED_VALUE"""),-0.0585218978742726)</f>
        <v>-5.8521897874272602E-2</v>
      </c>
      <c r="AO58" s="3">
        <f ca="1">IFERROR(__xludf.DUMMYFUNCTION("""COMPUTED_VALUE"""),-0.197059656898689)</f>
        <v>-0.19705965689868901</v>
      </c>
      <c r="AP58" s="3">
        <f ca="1">IFERROR(__xludf.DUMMYFUNCTION("""COMPUTED_VALUE"""),-0.234340747443173)</f>
        <v>-0.23434074744317299</v>
      </c>
      <c r="AQ58" s="3">
        <f ca="1">IFERROR(__xludf.DUMMYFUNCTION("""COMPUTED_VALUE"""),-0.203500032469079)</f>
        <v>-0.203500032469079</v>
      </c>
      <c r="AR58" s="3">
        <f ca="1">IFERROR(__xludf.DUMMYFUNCTION("""COMPUTED_VALUE"""),-0.189743137706728)</f>
        <v>-0.18974313770672799</v>
      </c>
      <c r="AS58" s="3">
        <f ca="1">IFERROR(__xludf.DUMMYFUNCTION("""COMPUTED_VALUE"""),-0.175587233417862)</f>
        <v>-0.175587233417862</v>
      </c>
      <c r="AT58" s="3">
        <f ca="1">IFERROR(__xludf.DUMMYFUNCTION("""COMPUTED_VALUE"""),0.0489170297095216)</f>
        <v>4.8917029709521602E-2</v>
      </c>
      <c r="AU58" s="3">
        <f ca="1">IFERROR(__xludf.DUMMYFUNCTION("""COMPUTED_VALUE"""),0.0252153836020998)</f>
        <v>2.5215383602099802E-2</v>
      </c>
      <c r="AV58" s="3">
        <f ca="1">IFERROR(__xludf.DUMMYFUNCTION("""COMPUTED_VALUE"""),-0.147212416709441)</f>
        <v>-0.14721241670944099</v>
      </c>
      <c r="AW58" s="3">
        <f ca="1">IFERROR(__xludf.DUMMYFUNCTION("""COMPUTED_VALUE"""),-0.214037828203601)</f>
        <v>-0.21403782820360101</v>
      </c>
      <c r="AX58" s="3">
        <f ca="1">IFERROR(__xludf.DUMMYFUNCTION("""COMPUTED_VALUE"""),-0.244021909550563)</f>
        <v>-0.24402190955056299</v>
      </c>
      <c r="AY58" s="3">
        <f ca="1">IFERROR(__xludf.DUMMYFUNCTION("""COMPUTED_VALUE"""),-0.263057134157055)</f>
        <v>-0.26305713415705501</v>
      </c>
      <c r="AZ58" s="3">
        <f ca="1">IFERROR(__xludf.DUMMYFUNCTION("""COMPUTED_VALUE"""),-0.200822607037554)</f>
        <v>-0.200822607037554</v>
      </c>
      <c r="BA58" s="3">
        <f ca="1">IFERROR(__xludf.DUMMYFUNCTION("""COMPUTED_VALUE"""),-0.0197840680323301)</f>
        <v>-1.9784068032330099E-2</v>
      </c>
      <c r="BB58" s="3">
        <f ca="1">IFERROR(__xludf.DUMMYFUNCTION("""COMPUTED_VALUE"""),-0.0100495887224355)</f>
        <v>-1.00495887224355E-2</v>
      </c>
      <c r="BC58" s="3">
        <f ca="1">IFERROR(__xludf.DUMMYFUNCTION("""COMPUTED_VALUE"""),-0.221050217998287)</f>
        <v>-0.221050217998287</v>
      </c>
      <c r="BD58" s="3">
        <f ca="1">IFERROR(__xludf.DUMMYFUNCTION("""COMPUTED_VALUE"""),-0.274214017231434)</f>
        <v>-0.27421401723143402</v>
      </c>
      <c r="BE58" s="3">
        <f ca="1">IFERROR(__xludf.DUMMYFUNCTION("""COMPUTED_VALUE"""),-0.217988111168428)</f>
        <v>-0.21798811116842801</v>
      </c>
      <c r="BF58" s="3">
        <f ca="1">IFERROR(__xludf.DUMMYFUNCTION("""COMPUTED_VALUE"""),-0.279162041025043)</f>
        <v>-0.279162041025043</v>
      </c>
      <c r="BG58" s="3">
        <f ca="1">IFERROR(__xludf.DUMMYFUNCTION("""COMPUTED_VALUE"""),-0.217588716668967)</f>
        <v>-0.21758871666896701</v>
      </c>
      <c r="BH58" s="3">
        <f ca="1">IFERROR(__xludf.DUMMYFUNCTION("""COMPUTED_VALUE"""),0.111988012527089)</f>
        <v>0.111988012527089</v>
      </c>
      <c r="BI58" s="3">
        <f ca="1">IFERROR(__xludf.DUMMYFUNCTION("""COMPUTED_VALUE"""),0.0367797768456601)</f>
        <v>3.6779776845660098E-2</v>
      </c>
      <c r="BJ58" s="3">
        <f ca="1">IFERROR(__xludf.DUMMYFUNCTION("""COMPUTED_VALUE"""),-0.221429951415961)</f>
        <v>-0.221429951415961</v>
      </c>
      <c r="BK58" s="3">
        <f ca="1">IFERROR(__xludf.DUMMYFUNCTION("""COMPUTED_VALUE"""),-0.315465765685752)</f>
        <v>-0.31546576568575202</v>
      </c>
      <c r="BL58" s="3">
        <f ca="1">IFERROR(__xludf.DUMMYFUNCTION("""COMPUTED_VALUE"""),-0.326050974540535)</f>
        <v>-0.326050974540535</v>
      </c>
      <c r="BM58" s="3">
        <f ca="1">IFERROR(__xludf.DUMMYFUNCTION("""COMPUTED_VALUE"""),-0.332174151081067)</f>
        <v>-0.33217415108106702</v>
      </c>
      <c r="BN58" s="3">
        <f ca="1">IFERROR(__xludf.DUMMYFUNCTION("""COMPUTED_VALUE"""),-0.246505220777717)</f>
        <v>-0.246505220777717</v>
      </c>
      <c r="BO58" s="3">
        <f ca="1">IFERROR(__xludf.DUMMYFUNCTION("""COMPUTED_VALUE"""),-0.050441682821562)</f>
        <v>-5.0441682821562001E-2</v>
      </c>
      <c r="BP58" s="3">
        <f ca="1">IFERROR(__xludf.DUMMYFUNCTION("""COMPUTED_VALUE"""),-0.203071211546099)</f>
        <v>-0.203071211546099</v>
      </c>
      <c r="BQ58" s="3">
        <f ca="1">IFERROR(__xludf.DUMMYFUNCTION("""COMPUTED_VALUE"""),-0.300331899005523)</f>
        <v>-0.30033189900552298</v>
      </c>
      <c r="BR58" s="3">
        <f ca="1">IFERROR(__xludf.DUMMYFUNCTION("""COMPUTED_VALUE"""),-0.397415224204922)</f>
        <v>-0.39741522420492198</v>
      </c>
      <c r="BS58" s="3">
        <f ca="1">IFERROR(__xludf.DUMMYFUNCTION("""COMPUTED_VALUE"""),-0.357977227711416)</f>
        <v>-0.35797722771141599</v>
      </c>
      <c r="BT58" s="3">
        <f ca="1">IFERROR(__xludf.DUMMYFUNCTION("""COMPUTED_VALUE"""),-0.340184088246362)</f>
        <v>-0.34018408824636198</v>
      </c>
      <c r="BU58" s="3">
        <f ca="1">IFERROR(__xludf.DUMMYFUNCTION("""COMPUTED_VALUE"""),-0.321092450795858)</f>
        <v>-0.32109245079585802</v>
      </c>
      <c r="BV58" s="3">
        <f ca="1">IFERROR(__xludf.DUMMYFUNCTION("""COMPUTED_VALUE"""),-0.16420382300497)</f>
        <v>-0.16420382300497</v>
      </c>
      <c r="BW58" s="3">
        <f ca="1">IFERROR(__xludf.DUMMYFUNCTION("""COMPUTED_VALUE"""),-0.168160014095501)</f>
        <v>-0.16816001409550099</v>
      </c>
      <c r="BX58" s="3">
        <f ca="1">IFERROR(__xludf.DUMMYFUNCTION("""COMPUTED_VALUE"""),-0.316929073255342)</f>
        <v>-0.31692907325534198</v>
      </c>
      <c r="BY58" s="3">
        <f ca="1">IFERROR(__xludf.DUMMYFUNCTION("""COMPUTED_VALUE"""),-0.335515294934461)</f>
        <v>-0.33551529493446097</v>
      </c>
      <c r="BZ58" s="3">
        <f ca="1">IFERROR(__xludf.DUMMYFUNCTION("""COMPUTED_VALUE"""),-0.320697780487105)</f>
        <v>-0.32069778048710501</v>
      </c>
      <c r="CA58" s="3">
        <f ca="1">IFERROR(__xludf.DUMMYFUNCTION("""COMPUTED_VALUE"""),-0.30423407680979)</f>
        <v>-0.30423407680978998</v>
      </c>
      <c r="CB58" s="3">
        <f ca="1">IFERROR(__xludf.DUMMYFUNCTION("""COMPUTED_VALUE"""),-0.280327403749759)</f>
        <v>-0.28032740374975901</v>
      </c>
      <c r="CC58" s="3">
        <f ca="1">IFERROR(__xludf.DUMMYFUNCTION("""COMPUTED_VALUE"""),-0.157410418799856)</f>
        <v>-0.15741041879985601</v>
      </c>
      <c r="CD58" s="3">
        <f ca="1">IFERROR(__xludf.DUMMYFUNCTION("""COMPUTED_VALUE"""),-0.192554113491982)</f>
        <v>-0.19255411349198201</v>
      </c>
      <c r="CE58" s="3">
        <f ca="1">IFERROR(__xludf.DUMMYFUNCTION("""COMPUTED_VALUE"""),-0.302725977225494)</f>
        <v>-0.30272597722549399</v>
      </c>
      <c r="CF58" s="3">
        <f ca="1">IFERROR(__xludf.DUMMYFUNCTION("""COMPUTED_VALUE"""),-0.355825108861749)</f>
        <v>-0.35582510886174901</v>
      </c>
      <c r="CG58" s="3">
        <f ca="1">IFERROR(__xludf.DUMMYFUNCTION("""COMPUTED_VALUE"""),-0.384991216325626)</f>
        <v>-0.384991216325626</v>
      </c>
      <c r="CH58" s="3">
        <f ca="1">IFERROR(__xludf.DUMMYFUNCTION("""COMPUTED_VALUE"""),-0.331502769818833)</f>
        <v>-0.33150276981883298</v>
      </c>
      <c r="CI58" s="3">
        <f ca="1">IFERROR(__xludf.DUMMYFUNCTION("""COMPUTED_VALUE"""),-0.347970226717122)</f>
        <v>-0.34797022671712202</v>
      </c>
      <c r="CJ58" s="3">
        <f ca="1">IFERROR(__xludf.DUMMYFUNCTION("""COMPUTED_VALUE"""),-0.212895837952537)</f>
        <v>-0.212895837952537</v>
      </c>
      <c r="CK58" s="3">
        <f ca="1">IFERROR(__xludf.DUMMYFUNCTION("""COMPUTED_VALUE"""),-0.177012901995323)</f>
        <v>-0.17701290199532299</v>
      </c>
      <c r="CL58" s="3">
        <f ca="1">IFERROR(__xludf.DUMMYFUNCTION("""COMPUTED_VALUE"""),-0.337190175127095)</f>
        <v>-0.33719017512709498</v>
      </c>
      <c r="CM58" s="3">
        <f ca="1">IFERROR(__xludf.DUMMYFUNCTION("""COMPUTED_VALUE"""),-0.369166342977789)</f>
        <v>-0.369166342977789</v>
      </c>
      <c r="CN58" s="3">
        <f ca="1">IFERROR(__xludf.DUMMYFUNCTION("""COMPUTED_VALUE"""),-0.371200545825729)</f>
        <v>-0.37120054582572898</v>
      </c>
      <c r="CO58" s="3">
        <f ca="1">IFERROR(__xludf.DUMMYFUNCTION("""COMPUTED_VALUE"""),-0.335474267534295)</f>
        <v>-0.33547426753429499</v>
      </c>
      <c r="CP58" s="3">
        <f ca="1">IFERROR(__xludf.DUMMYFUNCTION("""COMPUTED_VALUE"""),-0.27739641741588)</f>
        <v>-0.27739641741588</v>
      </c>
      <c r="CQ58" s="3">
        <f ca="1">IFERROR(__xludf.DUMMYFUNCTION("""COMPUTED_VALUE"""),-0.242114484774796)</f>
        <v>-0.242114484774796</v>
      </c>
      <c r="CR58" s="3">
        <f ca="1">IFERROR(__xludf.DUMMYFUNCTION("""COMPUTED_VALUE"""),-0.1851380926635)</f>
        <v>-0.18513809266350001</v>
      </c>
      <c r="CS58" s="3">
        <f ca="1">IFERROR(__xludf.DUMMYFUNCTION("""COMPUTED_VALUE"""),-0.271192999242131)</f>
        <v>-0.27119299924213103</v>
      </c>
      <c r="CT58" s="3">
        <f ca="1">IFERROR(__xludf.DUMMYFUNCTION("""COMPUTED_VALUE"""),-0.315971535466955)</f>
        <v>-0.315971535466955</v>
      </c>
      <c r="CU58" s="3">
        <f ca="1">IFERROR(__xludf.DUMMYFUNCTION("""COMPUTED_VALUE"""),-0.216504692812411)</f>
        <v>-0.216504692812411</v>
      </c>
      <c r="CV58" s="3">
        <f ca="1">IFERROR(__xludf.DUMMYFUNCTION("""COMPUTED_VALUE"""),-0.271046565071357)</f>
        <v>-0.27104656507135699</v>
      </c>
      <c r="CW58" s="3">
        <f ca="1">IFERROR(__xludf.DUMMYFUNCTION("""COMPUTED_VALUE"""),-0.244557318678949)</f>
        <v>-0.244557318678949</v>
      </c>
      <c r="CX58" s="3">
        <f ca="1">IFERROR(__xludf.DUMMYFUNCTION("""COMPUTED_VALUE"""),-0.116147672877123)</f>
        <v>-0.11614767287712301</v>
      </c>
      <c r="CY58" s="3">
        <f ca="1">IFERROR(__xludf.DUMMYFUNCTION("""COMPUTED_VALUE"""),-0.115903590103432)</f>
        <v>-0.115903590103432</v>
      </c>
      <c r="CZ58" s="3">
        <f ca="1">IFERROR(__xludf.DUMMYFUNCTION("""COMPUTED_VALUE"""),-0.456838542035015)</f>
        <v>-0.45683854203501501</v>
      </c>
      <c r="DA58" s="3">
        <f ca="1">IFERROR(__xludf.DUMMYFUNCTION("""COMPUTED_VALUE"""),-0.319412654501662)</f>
        <v>-0.31941265450166201</v>
      </c>
      <c r="DB58" s="3">
        <f ca="1">IFERROR(__xludf.DUMMYFUNCTION("""COMPUTED_VALUE"""),0.0293409668249962)</f>
        <v>2.9340966824996199E-2</v>
      </c>
      <c r="DC58" s="3">
        <f ca="1">IFERROR(__xludf.DUMMYFUNCTION("""COMPUTED_VALUE"""),-0.20616577478326)</f>
        <v>-0.20616577478326001</v>
      </c>
      <c r="DD58" s="3">
        <f ca="1">IFERROR(__xludf.DUMMYFUNCTION("""COMPUTED_VALUE"""),-0.240298875812381)</f>
        <v>-0.24029887581238099</v>
      </c>
      <c r="DE58" s="3">
        <f ca="1">IFERROR(__xludf.DUMMYFUNCTION("""COMPUTED_VALUE"""),-0.214114831959461)</f>
        <v>-0.21411483195946099</v>
      </c>
      <c r="DF58" s="3">
        <f ca="1">IFERROR(__xludf.DUMMYFUNCTION("""COMPUTED_VALUE"""),-0.192443260553103)</f>
        <v>-0.19244326055310301</v>
      </c>
      <c r="DG58" s="3">
        <f ca="1">IFERROR(__xludf.DUMMYFUNCTION("""COMPUTED_VALUE"""),-0.616806907700353)</f>
        <v>-0.61680690770035296</v>
      </c>
      <c r="DH58" s="3">
        <f ca="1">IFERROR(__xludf.DUMMYFUNCTION("""COMPUTED_VALUE"""),-0.329995195010713)</f>
        <v>-0.329995195010713</v>
      </c>
      <c r="DI58" s="3">
        <f ca="1">IFERROR(__xludf.DUMMYFUNCTION("""COMPUTED_VALUE"""),0.134156196463874)</f>
        <v>0.134156196463874</v>
      </c>
      <c r="DJ58" s="3">
        <f ca="1">IFERROR(__xludf.DUMMYFUNCTION("""COMPUTED_VALUE"""),-0.160452845863704)</f>
        <v>-0.16045284586370401</v>
      </c>
      <c r="DK58" s="3">
        <f ca="1">IFERROR(__xludf.DUMMYFUNCTION("""COMPUTED_VALUE"""),-0.207710560549236)</f>
        <v>-0.20771056054923601</v>
      </c>
      <c r="DL58" s="3">
        <f ca="1">IFERROR(__xludf.DUMMYFUNCTION("""COMPUTED_VALUE"""),-0.0919724128239876)</f>
        <v>-9.1972412823987604E-2</v>
      </c>
      <c r="DM58" s="3">
        <f ca="1">IFERROR(__xludf.DUMMYFUNCTION("""COMPUTED_VALUE"""),-0.114519249971537)</f>
        <v>-0.11451924997153699</v>
      </c>
      <c r="DN58" s="3">
        <f ca="1">IFERROR(__xludf.DUMMYFUNCTION("""COMPUTED_VALUE"""),-0.239181587998129)</f>
        <v>-0.239181587998129</v>
      </c>
      <c r="DO58" s="3">
        <f ca="1">IFERROR(__xludf.DUMMYFUNCTION("""COMPUTED_VALUE"""),-0.219345274013143)</f>
        <v>-0.21934527401314299</v>
      </c>
      <c r="DP58" s="3">
        <f ca="1">IFERROR(__xludf.DUMMYFUNCTION("""COMPUTED_VALUE"""),-0.0524197985235641)</f>
        <v>-5.2419798523564098E-2</v>
      </c>
      <c r="DQ58" s="3">
        <f ca="1">IFERROR(__xludf.DUMMYFUNCTION("""COMPUTED_VALUE"""),-0.196574546513433)</f>
        <v>-0.19657454651343301</v>
      </c>
      <c r="DR58" s="3">
        <f ca="1">IFERROR(__xludf.DUMMYFUNCTION("""COMPUTED_VALUE"""),-0.237515648215776)</f>
        <v>-0.237515648215776</v>
      </c>
      <c r="DS58" s="3">
        <f ca="1">IFERROR(__xludf.DUMMYFUNCTION("""COMPUTED_VALUE"""),-0.171972657386862)</f>
        <v>-0.17197265738686199</v>
      </c>
      <c r="DT58" s="3">
        <f ca="1">IFERROR(__xludf.DUMMYFUNCTION("""COMPUTED_VALUE"""),-0.180902351030229)</f>
        <v>-0.180902351030229</v>
      </c>
      <c r="DU58" s="3">
        <f ca="1">IFERROR(__xludf.DUMMYFUNCTION("""COMPUTED_VALUE"""),-0.326584997266951)</f>
        <v>-0.326584997266951</v>
      </c>
      <c r="DV58" s="3">
        <f ca="1">IFERROR(__xludf.DUMMYFUNCTION("""COMPUTED_VALUE"""),-0.320963638983304)</f>
        <v>-0.32096363898330399</v>
      </c>
      <c r="DW58" s="3">
        <f ca="1">IFERROR(__xludf.DUMMYFUNCTION("""COMPUTED_VALUE"""),-0.343865785770162)</f>
        <v>-0.34386578577016202</v>
      </c>
      <c r="DX58" s="3">
        <f ca="1">IFERROR(__xludf.DUMMYFUNCTION("""COMPUTED_VALUE"""),-0.364234748002194)</f>
        <v>-0.36423474800219402</v>
      </c>
      <c r="DY58" s="3">
        <f ca="1">IFERROR(__xludf.DUMMYFUNCTION("""COMPUTED_VALUE"""),-0.333737523846413)</f>
        <v>-0.33373752384641298</v>
      </c>
      <c r="DZ58" s="3">
        <f ca="1">IFERROR(__xludf.DUMMYFUNCTION("""COMPUTED_VALUE"""),-0.235102625949159)</f>
        <v>-0.23510262594915901</v>
      </c>
      <c r="EA58" s="3">
        <f ca="1">IFERROR(__xludf.DUMMYFUNCTION("""COMPUTED_VALUE"""),-0.15871471131585)</f>
        <v>-0.15871471131584999</v>
      </c>
      <c r="EB58" s="3">
        <f ca="1">IFERROR(__xludf.DUMMYFUNCTION("""COMPUTED_VALUE"""),-0.285217321717387)</f>
        <v>-0.28521732171738701</v>
      </c>
      <c r="EC58" s="3">
        <f ca="1">IFERROR(__xludf.DUMMYFUNCTION("""COMPUTED_VALUE"""),-0.227404790603594)</f>
        <v>-0.227404790603594</v>
      </c>
      <c r="ED58" s="3">
        <f ca="1">IFERROR(__xludf.DUMMYFUNCTION("""COMPUTED_VALUE"""),-0.320550376599648)</f>
        <v>-0.32055037659964802</v>
      </c>
      <c r="EE58" s="3">
        <f ca="1">IFERROR(__xludf.DUMMYFUNCTION("""COMPUTED_VALUE"""),-0.362861185252482)</f>
        <v>-0.36286118525248201</v>
      </c>
      <c r="EF58" s="3">
        <f ca="1">IFERROR(__xludf.DUMMYFUNCTION("""COMPUTED_VALUE"""),-0.295607390517706)</f>
        <v>-0.29560739051770601</v>
      </c>
      <c r="EG58" s="3">
        <f ca="1">IFERROR(__xludf.DUMMYFUNCTION("""COMPUTED_VALUE"""),-0.121165714422963)</f>
        <v>-0.12116571442296301</v>
      </c>
      <c r="EH58" s="3">
        <f ca="1">IFERROR(__xludf.DUMMYFUNCTION("""COMPUTED_VALUE"""),-0.247778546257605)</f>
        <v>-0.24777854625760501</v>
      </c>
      <c r="EI58" s="3">
        <f ca="1">IFERROR(__xludf.DUMMYFUNCTION("""COMPUTED_VALUE"""),-0.397329297721545)</f>
        <v>-0.39732929772154502</v>
      </c>
      <c r="EJ58" s="3">
        <f ca="1">IFERROR(__xludf.DUMMYFUNCTION("""COMPUTED_VALUE"""),-0.474148386292144)</f>
        <v>-0.47414838629214401</v>
      </c>
      <c r="EK58" s="3">
        <f ca="1">IFERROR(__xludf.DUMMYFUNCTION("""COMPUTED_VALUE"""),-0.355812261063169)</f>
        <v>-0.35581226106316899</v>
      </c>
      <c r="EL58" s="3">
        <f ca="1">IFERROR(__xludf.DUMMYFUNCTION("""COMPUTED_VALUE"""),-0.356722781548278)</f>
        <v>-0.35672278154827802</v>
      </c>
      <c r="EM58" s="3">
        <f ca="1">IFERROR(__xludf.DUMMYFUNCTION("""COMPUTED_VALUE"""),-0.302294621168057)</f>
        <v>-0.302294621168057</v>
      </c>
      <c r="EN58" s="3">
        <f ca="1">IFERROR(__xludf.DUMMYFUNCTION("""COMPUTED_VALUE"""),-0.148097448916313)</f>
        <v>-0.14809744891631299</v>
      </c>
      <c r="EO58" s="3">
        <f ca="1">IFERROR(__xludf.DUMMYFUNCTION("""COMPUTED_VALUE"""),-0.14036276575582)</f>
        <v>-0.14036276575581999</v>
      </c>
      <c r="EP58" s="3">
        <f ca="1">IFERROR(__xludf.DUMMYFUNCTION("""COMPUTED_VALUE"""),-0.299249539896616)</f>
        <v>-0.29924953989661601</v>
      </c>
      <c r="EQ58" s="3">
        <f ca="1">IFERROR(__xludf.DUMMYFUNCTION("""COMPUTED_VALUE"""),-0.259147388899309)</f>
        <v>-0.25914738889930899</v>
      </c>
      <c r="ER58" s="3">
        <f ca="1">IFERROR(__xludf.DUMMYFUNCTION("""COMPUTED_VALUE"""),-0.36106597513957)</f>
        <v>-0.36106597513957001</v>
      </c>
      <c r="ES58" s="3">
        <f ca="1">IFERROR(__xludf.DUMMYFUNCTION("""COMPUTED_VALUE"""),-0.375862917203516)</f>
        <v>-0.375862917203516</v>
      </c>
      <c r="ET58" s="3">
        <f ca="1">IFERROR(__xludf.DUMMYFUNCTION("""COMPUTED_VALUE"""),-0.291211190963112)</f>
        <v>-0.29121119096311199</v>
      </c>
      <c r="EU58" s="3">
        <f ca="1">IFERROR(__xludf.DUMMYFUNCTION("""COMPUTED_VALUE"""),-0.0564560330577427)</f>
        <v>-5.6456033057742702E-2</v>
      </c>
      <c r="EV58" s="3">
        <f ca="1">IFERROR(__xludf.DUMMYFUNCTION("""COMPUTED_VALUE"""),-0.13875574419673)</f>
        <v>-0.13875574419673001</v>
      </c>
      <c r="EW58" s="3">
        <f ca="1">IFERROR(__xludf.DUMMYFUNCTION("""COMPUTED_VALUE"""),-0.338524779736412)</f>
        <v>-0.33852477973641198</v>
      </c>
      <c r="EX58" s="3">
        <f ca="1">IFERROR(__xludf.DUMMYFUNCTION("""COMPUTED_VALUE"""),-0.43395662343775)</f>
        <v>-0.43395662343774999</v>
      </c>
      <c r="EY58" s="3">
        <f ca="1">IFERROR(__xludf.DUMMYFUNCTION("""COMPUTED_VALUE"""),-0.41606172287153)</f>
        <v>-0.41606172287152998</v>
      </c>
      <c r="EZ58" s="3">
        <f ca="1">IFERROR(__xludf.DUMMYFUNCTION("""COMPUTED_VALUE"""),-0.398607895944448)</f>
        <v>-0.39860789594444801</v>
      </c>
      <c r="FA58" s="3">
        <f ca="1">IFERROR(__xludf.DUMMYFUNCTION("""COMPUTED_VALUE"""),-0.54453910056639)</f>
        <v>-0.54453910056638999</v>
      </c>
      <c r="FB58" s="3">
        <f ca="1">IFERROR(__xludf.DUMMYFUNCTION("""COMPUTED_VALUE"""),-0.390483368383592)</f>
        <v>-0.39048336838359199</v>
      </c>
      <c r="FC58" s="3">
        <f ca="1">IFERROR(__xludf.DUMMYFUNCTION("""COMPUTED_VALUE"""),-0.337578759899844)</f>
        <v>-0.33757875989984398</v>
      </c>
      <c r="FD58" s="3">
        <f ca="1">IFERROR(__xludf.DUMMYFUNCTION("""COMPUTED_VALUE"""),-0.39480050257286)</f>
        <v>-0.39480050257285998</v>
      </c>
      <c r="FE58" s="3">
        <f ca="1">IFERROR(__xludf.DUMMYFUNCTION("""COMPUTED_VALUE"""),-0.43403621931145)</f>
        <v>-0.43403621931144998</v>
      </c>
      <c r="FF58" s="3">
        <f ca="1">IFERROR(__xludf.DUMMYFUNCTION("""COMPUTED_VALUE"""),-0.420342025512558)</f>
        <v>-0.420342025512558</v>
      </c>
      <c r="FG58" s="3">
        <f ca="1">IFERROR(__xludf.DUMMYFUNCTION("""COMPUTED_VALUE"""),-0.440778274850775)</f>
        <v>-0.44077827485077498</v>
      </c>
      <c r="FH58" s="3">
        <f ca="1">IFERROR(__xludf.DUMMYFUNCTION("""COMPUTED_VALUE"""),-0.30832501554969)</f>
        <v>-0.30832501554969</v>
      </c>
      <c r="FI58" s="3">
        <f ca="1">IFERROR(__xludf.DUMMYFUNCTION("""COMPUTED_VALUE"""),-0.131084461019024)</f>
        <v>-0.13108446101902399</v>
      </c>
      <c r="FJ58" s="3">
        <f ca="1">IFERROR(__xludf.DUMMYFUNCTION("""COMPUTED_VALUE"""),-0.232473033388693)</f>
        <v>-0.23247303338869299</v>
      </c>
      <c r="FK58" s="3">
        <f ca="1">IFERROR(__xludf.DUMMYFUNCTION("""COMPUTED_VALUE"""),-0.313668086311817)</f>
        <v>-0.31366808631181697</v>
      </c>
      <c r="FL58" s="3">
        <f ca="1">IFERROR(__xludf.DUMMYFUNCTION("""COMPUTED_VALUE"""),-0.282397337455371)</f>
        <v>-0.28239733745537099</v>
      </c>
      <c r="FM58" s="3">
        <f ca="1">IFERROR(__xludf.DUMMYFUNCTION("""COMPUTED_VALUE"""),-0.335328351798221)</f>
        <v>-0.33532835179822101</v>
      </c>
      <c r="FN58" s="3">
        <f ca="1">IFERROR(__xludf.DUMMYFUNCTION("""COMPUTED_VALUE"""),-0.342412556957995)</f>
        <v>-0.342412556957995</v>
      </c>
      <c r="FO58" s="3">
        <f ca="1">IFERROR(__xludf.DUMMYFUNCTION("""COMPUTED_VALUE"""),-0.308260874018481)</f>
        <v>-0.30826087401848101</v>
      </c>
      <c r="FP58" s="3">
        <f ca="1">IFERROR(__xludf.DUMMYFUNCTION("""COMPUTED_VALUE"""),-0.302501703947041)</f>
        <v>-0.30250170394704101</v>
      </c>
      <c r="FQ58" s="3">
        <f ca="1">IFERROR(__xludf.DUMMYFUNCTION("""COMPUTED_VALUE"""),-0.276894267749267)</f>
        <v>-0.27689426774926701</v>
      </c>
      <c r="FR58" s="3">
        <f ca="1">IFERROR(__xludf.DUMMYFUNCTION("""COMPUTED_VALUE"""),-0.330503486808189)</f>
        <v>-0.33050348680818897</v>
      </c>
      <c r="FS58" s="3">
        <f ca="1">IFERROR(__xludf.DUMMYFUNCTION("""COMPUTED_VALUE"""),-0.373646980394513)</f>
        <v>-0.373646980394513</v>
      </c>
      <c r="FT58" s="3">
        <f ca="1">IFERROR(__xludf.DUMMYFUNCTION("""COMPUTED_VALUE"""),-0.502533492994739)</f>
        <v>-0.50253349299473904</v>
      </c>
      <c r="FU58" s="3">
        <f ca="1">IFERROR(__xludf.DUMMYFUNCTION("""COMPUTED_VALUE"""),-0.387852549941807)</f>
        <v>-0.38785254994180701</v>
      </c>
      <c r="FV58" s="3">
        <f ca="1">IFERROR(__xludf.DUMMYFUNCTION("""COMPUTED_VALUE"""),-0.362128580426712)</f>
        <v>-0.36212858042671198</v>
      </c>
      <c r="FW58" s="3">
        <f ca="1">IFERROR(__xludf.DUMMYFUNCTION("""COMPUTED_VALUE"""),-0.210774912286407)</f>
        <v>-0.21077491228640699</v>
      </c>
      <c r="FX58" s="3">
        <f ca="1">IFERROR(__xludf.DUMMYFUNCTION("""COMPUTED_VALUE"""),-0.184792293499468)</f>
        <v>-0.18479229349946799</v>
      </c>
      <c r="FY58" s="3">
        <f ca="1">IFERROR(__xludf.DUMMYFUNCTION("""COMPUTED_VALUE"""),-0.377039874262598)</f>
        <v>-0.377039874262598</v>
      </c>
      <c r="FZ58" s="3">
        <f ca="1">IFERROR(__xludf.DUMMYFUNCTION("""COMPUTED_VALUE"""),-0.345683755676348)</f>
        <v>-0.34568375567634801</v>
      </c>
      <c r="GA58" s="3">
        <f ca="1">IFERROR(__xludf.DUMMYFUNCTION("""COMPUTED_VALUE"""),-0.329513147147519)</f>
        <v>-0.329513147147519</v>
      </c>
      <c r="GB58" s="3">
        <f ca="1">IFERROR(__xludf.DUMMYFUNCTION("""COMPUTED_VALUE"""),-0.319274688771079)</f>
        <v>-0.31927468877107901</v>
      </c>
      <c r="GC58" s="3">
        <f ca="1">IFERROR(__xludf.DUMMYFUNCTION("""COMPUTED_VALUE"""),-0.310520705940451)</f>
        <v>-0.310520705940451</v>
      </c>
      <c r="GD58" s="3">
        <f ca="1">IFERROR(__xludf.DUMMYFUNCTION("""COMPUTED_VALUE"""),-0.185884831972443)</f>
        <v>-0.18588483197244299</v>
      </c>
      <c r="GE58" s="3">
        <f ca="1">IFERROR(__xludf.DUMMYFUNCTION("""COMPUTED_VALUE"""),-0.226323249559441)</f>
        <v>-0.226323249559441</v>
      </c>
      <c r="GF58" s="3">
        <f ca="1">IFERROR(__xludf.DUMMYFUNCTION("""COMPUTED_VALUE"""),-0.341670222442027)</f>
        <v>-0.34167022244202699</v>
      </c>
      <c r="GG58" s="3">
        <f ca="1">IFERROR(__xludf.DUMMYFUNCTION("""COMPUTED_VALUE"""),-0.360663209696704)</f>
        <v>-0.36066320969670401</v>
      </c>
      <c r="GH58" s="3">
        <f ca="1">IFERROR(__xludf.DUMMYFUNCTION("""COMPUTED_VALUE"""),-0.306012738519312)</f>
        <v>-0.30601273851931199</v>
      </c>
      <c r="GI58" s="3">
        <f ca="1">IFERROR(__xludf.DUMMYFUNCTION("""COMPUTED_VALUE"""),-0.322939703497478)</f>
        <v>-0.32293970349747803</v>
      </c>
      <c r="GJ58" s="3">
        <f ca="1">IFERROR(__xludf.DUMMYFUNCTION("""COMPUTED_VALUE"""),-0.316164750406284)</f>
        <v>-0.316164750406284</v>
      </c>
      <c r="GK58" s="3">
        <f ca="1">IFERROR(__xludf.DUMMYFUNCTION("""COMPUTED_VALUE"""),-0.2081002423376)</f>
        <v>-0.20810024233759999</v>
      </c>
      <c r="GL58" s="3">
        <f ca="1">IFERROR(__xludf.DUMMYFUNCTION("""COMPUTED_VALUE"""),-0.370901518758989)</f>
        <v>-0.37090151875898902</v>
      </c>
      <c r="GM58" s="3">
        <f ca="1">IFERROR(__xludf.DUMMYFUNCTION("""COMPUTED_VALUE"""),-0.410050813779844)</f>
        <v>-0.41005081377984398</v>
      </c>
      <c r="GN58" s="3">
        <f ca="1">IFERROR(__xludf.DUMMYFUNCTION("""COMPUTED_VALUE"""),-0.399694635698356)</f>
        <v>-0.399694635698356</v>
      </c>
      <c r="GO58" s="3">
        <f ca="1">IFERROR(__xludf.DUMMYFUNCTION("""COMPUTED_VALUE"""),-0.409191265823445)</f>
        <v>-0.40919126582344501</v>
      </c>
      <c r="GP58" s="3">
        <f ca="1">IFERROR(__xludf.DUMMYFUNCTION("""COMPUTED_VALUE"""),-0.342723366695575)</f>
        <v>-0.34272336669557502</v>
      </c>
      <c r="GQ58" s="3">
        <f ca="1">IFERROR(__xludf.DUMMYFUNCTION("""COMPUTED_VALUE"""),-0.357785169216591)</f>
        <v>-0.35778516921659098</v>
      </c>
      <c r="GR58" s="3">
        <f ca="1">IFERROR(__xludf.DUMMYFUNCTION("""COMPUTED_VALUE"""),-0.1295856009024)</f>
        <v>-0.12958560090240001</v>
      </c>
      <c r="GS58" s="3">
        <f ca="1">IFERROR(__xludf.DUMMYFUNCTION("""COMPUTED_VALUE"""),-0.277866867772084)</f>
        <v>-0.27786686777208403</v>
      </c>
      <c r="GT58" s="3">
        <f ca="1">IFERROR(__xludf.DUMMYFUNCTION("""COMPUTED_VALUE"""),-0.438417463960262)</f>
        <v>-0.43841746396026199</v>
      </c>
      <c r="GU58" s="3">
        <f ca="1">IFERROR(__xludf.DUMMYFUNCTION("""COMPUTED_VALUE"""),-0.44073362413931)</f>
        <v>-0.44073362413931</v>
      </c>
      <c r="GV58" s="3">
        <f ca="1">IFERROR(__xludf.DUMMYFUNCTION("""COMPUTED_VALUE"""),-0.367617157319652)</f>
        <v>-0.367617157319652</v>
      </c>
      <c r="GW58" s="3">
        <f ca="1">IFERROR(__xludf.DUMMYFUNCTION("""COMPUTED_VALUE"""),-0.363716393360064)</f>
        <v>-0.36371639336006401</v>
      </c>
      <c r="GX58" s="3">
        <f ca="1">IFERROR(__xludf.DUMMYFUNCTION("""COMPUTED_VALUE"""),-0.443870492403108)</f>
        <v>-0.443870492403108</v>
      </c>
      <c r="GY58" s="3">
        <f ca="1">IFERROR(__xludf.DUMMYFUNCTION("""COMPUTED_VALUE"""),-0.1207148263484)</f>
        <v>-0.1207148263484</v>
      </c>
      <c r="GZ58" s="3">
        <f ca="1">IFERROR(__xludf.DUMMYFUNCTION("""COMPUTED_VALUE"""),-0.18448861363783)</f>
        <v>-0.18448861363783001</v>
      </c>
      <c r="HA58" s="3">
        <f ca="1">IFERROR(__xludf.DUMMYFUNCTION("""COMPUTED_VALUE"""),-0.343683376851261)</f>
        <v>-0.34368337685126099</v>
      </c>
      <c r="HB58" s="3">
        <f ca="1">IFERROR(__xludf.DUMMYFUNCTION("""COMPUTED_VALUE"""),-0.384218010835105)</f>
        <v>-0.38421801083510498</v>
      </c>
      <c r="HC58" s="3">
        <f ca="1">IFERROR(__xludf.DUMMYFUNCTION("""COMPUTED_VALUE"""),-0.379619023774622)</f>
        <v>-0.37961902377462198</v>
      </c>
      <c r="HD58" s="3">
        <f ca="1">IFERROR(__xludf.DUMMYFUNCTION("""COMPUTED_VALUE"""),-0.387875242950928)</f>
        <v>-0.38787524295092801</v>
      </c>
      <c r="HE58" s="3">
        <f ca="1">IFERROR(__xludf.DUMMYFUNCTION("""COMPUTED_VALUE"""),-0.385855281898776)</f>
        <v>-0.38585528189877599</v>
      </c>
      <c r="HF58" s="3">
        <f ca="1">IFERROR(__xludf.DUMMYFUNCTION("""COMPUTED_VALUE"""),-0.158835010662532)</f>
        <v>-0.158835010662532</v>
      </c>
      <c r="HG58" s="3">
        <f ca="1">IFERROR(__xludf.DUMMYFUNCTION("""COMPUTED_VALUE"""),-0.355652507781718)</f>
        <v>-0.35565250778171797</v>
      </c>
      <c r="HH58" s="3">
        <f ca="1">IFERROR(__xludf.DUMMYFUNCTION("""COMPUTED_VALUE"""),-0.364536575956493)</f>
        <v>-0.36453657595649303</v>
      </c>
      <c r="HI58" s="3">
        <f ca="1">IFERROR(__xludf.DUMMYFUNCTION("""COMPUTED_VALUE"""),-0.401619047245709)</f>
        <v>-0.40161904724570902</v>
      </c>
      <c r="HJ58" s="3">
        <f ca="1">IFERROR(__xludf.DUMMYFUNCTION("""COMPUTED_VALUE"""),-0.43659155588311)</f>
        <v>-0.43659155588310999</v>
      </c>
      <c r="HK58" s="3">
        <f ca="1">IFERROR(__xludf.DUMMYFUNCTION("""COMPUTED_VALUE"""),-0.316577899112478)</f>
        <v>-0.31657789911247802</v>
      </c>
      <c r="HL58" s="3">
        <f ca="1">IFERROR(__xludf.DUMMYFUNCTION("""COMPUTED_VALUE"""),-0.313053890717276)</f>
        <v>-0.31305389071727602</v>
      </c>
      <c r="HM58" s="3">
        <f ca="1">IFERROR(__xludf.DUMMYFUNCTION("""COMPUTED_VALUE"""),-0.0657454636382373)</f>
        <v>-6.57454636382373E-2</v>
      </c>
      <c r="HN58" s="3">
        <f ca="1">IFERROR(__xludf.DUMMYFUNCTION("""COMPUTED_VALUE"""),-0.111533136415214)</f>
        <v>-0.11153313641521399</v>
      </c>
      <c r="HO58" s="3">
        <f ca="1">IFERROR(__xludf.DUMMYFUNCTION("""COMPUTED_VALUE"""),-0.350440218123967)</f>
        <v>-0.35044021812396697</v>
      </c>
      <c r="HP58" s="3">
        <f ca="1">IFERROR(__xludf.DUMMYFUNCTION("""COMPUTED_VALUE"""),-0.389473952116742)</f>
        <v>-0.38947395211674202</v>
      </c>
      <c r="HQ58" s="3">
        <f ca="1">IFERROR(__xludf.DUMMYFUNCTION("""COMPUTED_VALUE"""),-0.436922473650901)</f>
        <v>-0.43692247365090098</v>
      </c>
      <c r="HR58" s="3">
        <f ca="1">IFERROR(__xludf.DUMMYFUNCTION("""COMPUTED_VALUE"""),-0.301023766126673)</f>
        <v>-0.30102376612667298</v>
      </c>
      <c r="HS58" s="3">
        <f ca="1">IFERROR(__xludf.DUMMYFUNCTION("""COMPUTED_VALUE"""),-0.269037285651964)</f>
        <v>-0.269037285651964</v>
      </c>
      <c r="HT58" s="3">
        <f ca="1">IFERROR(__xludf.DUMMYFUNCTION("""COMPUTED_VALUE"""),-0.130748387132184)</f>
        <v>-0.13074838713218401</v>
      </c>
      <c r="HU58" s="3">
        <f ca="1">IFERROR(__xludf.DUMMYFUNCTION("""COMPUTED_VALUE"""),-0.143468685978323)</f>
        <v>-0.14346868597832299</v>
      </c>
      <c r="HV58" s="3">
        <f ca="1">IFERROR(__xludf.DUMMYFUNCTION("""COMPUTED_VALUE"""),-0.344126243121004)</f>
        <v>-0.34412624312100398</v>
      </c>
      <c r="HW58" s="3">
        <f ca="1">IFERROR(__xludf.DUMMYFUNCTION("""COMPUTED_VALUE"""),-0.422673601978114)</f>
        <v>-0.42267360197811399</v>
      </c>
      <c r="HX58" s="3">
        <f ca="1">IFERROR(__xludf.DUMMYFUNCTION("""COMPUTED_VALUE"""),-0.429633475869759)</f>
        <v>-0.42963347586975897</v>
      </c>
      <c r="HY58" s="3">
        <f ca="1">IFERROR(__xludf.DUMMYFUNCTION("""COMPUTED_VALUE"""),-0.328186935514684)</f>
        <v>-0.32818693551468398</v>
      </c>
      <c r="HZ58" s="3">
        <f ca="1">IFERROR(__xludf.DUMMYFUNCTION("""COMPUTED_VALUE"""),-0.29726757028193)</f>
        <v>-0.29726757028193002</v>
      </c>
      <c r="IA58" s="3">
        <f ca="1">IFERROR(__xludf.DUMMYFUNCTION("""COMPUTED_VALUE"""),-0.163002557817177)</f>
        <v>-0.16300255781717701</v>
      </c>
      <c r="IB58" s="3">
        <f ca="1">IFERROR(__xludf.DUMMYFUNCTION("""COMPUTED_VALUE"""),-0.175840992853408)</f>
        <v>-0.17584099285340801</v>
      </c>
      <c r="IC58" s="3">
        <f ca="1">IFERROR(__xludf.DUMMYFUNCTION("""COMPUTED_VALUE"""),-0.363029489396824)</f>
        <v>-0.363029489396824</v>
      </c>
      <c r="ID58" s="3">
        <f ca="1">IFERROR(__xludf.DUMMYFUNCTION("""COMPUTED_VALUE"""),-0.413981491631768)</f>
        <v>-0.41398149163176801</v>
      </c>
      <c r="IE58" s="3">
        <f ca="1">IFERROR(__xludf.DUMMYFUNCTION("""COMPUTED_VALUE"""),-0.421652408438945)</f>
        <v>-0.42165240843894503</v>
      </c>
      <c r="IF58" s="3">
        <f ca="1">IFERROR(__xludf.DUMMYFUNCTION("""COMPUTED_VALUE"""),-0.374702427606296)</f>
        <v>-0.37470242760629602</v>
      </c>
      <c r="IG58" s="3">
        <f ca="1">IFERROR(__xludf.DUMMYFUNCTION("""COMPUTED_VALUE"""),-0.384221471868434)</f>
        <v>-0.38422147186843397</v>
      </c>
      <c r="IH58" s="3">
        <f ca="1">IFERROR(__xludf.DUMMYFUNCTION("""COMPUTED_VALUE"""),-0.235164829548907)</f>
        <v>-0.235164829548907</v>
      </c>
      <c r="II58" s="3">
        <f ca="1">IFERROR(__xludf.DUMMYFUNCTION("""COMPUTED_VALUE"""),-0.247262330018951)</f>
        <v>-0.24726233001895101</v>
      </c>
      <c r="IJ58" s="3">
        <f ca="1">IFERROR(__xludf.DUMMYFUNCTION("""COMPUTED_VALUE"""),-0.323328013259309)</f>
        <v>-0.32332801325930899</v>
      </c>
      <c r="IK58" s="3">
        <f ca="1">IFERROR(__xludf.DUMMYFUNCTION("""COMPUTED_VALUE"""),-0.337271705777116)</f>
        <v>-0.33727170577711602</v>
      </c>
      <c r="IL58" s="3">
        <f ca="1">IFERROR(__xludf.DUMMYFUNCTION("""COMPUTED_VALUE"""),-0.346570369560527)</f>
        <v>-0.346570369560527</v>
      </c>
      <c r="IM58" s="3">
        <f ca="1">IFERROR(__xludf.DUMMYFUNCTION("""COMPUTED_VALUE"""),-0.343870370608602)</f>
        <v>-0.34387037060860198</v>
      </c>
      <c r="IN58" s="3">
        <f ca="1">IFERROR(__xludf.DUMMYFUNCTION("""COMPUTED_VALUE"""),-0.306916088961832)</f>
        <v>-0.30691608896183198</v>
      </c>
      <c r="IO58" s="3">
        <f ca="1">IFERROR(__xludf.DUMMYFUNCTION("""COMPUTED_VALUE"""),-0.201263090978222)</f>
        <v>-0.20126309097822201</v>
      </c>
      <c r="IP58" s="3">
        <f ca="1">IFERROR(__xludf.DUMMYFUNCTION("""COMPUTED_VALUE"""),-0.287928811662578)</f>
        <v>-0.287928811662578</v>
      </c>
      <c r="IQ58" s="3">
        <f ca="1">IFERROR(__xludf.DUMMYFUNCTION("""COMPUTED_VALUE"""),-0.304938446881506)</f>
        <v>-0.30493844688150601</v>
      </c>
      <c r="IR58" s="3">
        <f ca="1">IFERROR(__xludf.DUMMYFUNCTION("""COMPUTED_VALUE"""),-0.36936793953259)</f>
        <v>-0.36936793953259001</v>
      </c>
      <c r="IS58" s="3">
        <f ca="1">IFERROR(__xludf.DUMMYFUNCTION("""COMPUTED_VALUE"""),-0.366627261676683)</f>
        <v>-0.36662726167668303</v>
      </c>
      <c r="IT58" s="3">
        <f ca="1">IFERROR(__xludf.DUMMYFUNCTION("""COMPUTED_VALUE"""),-0.322736754849409)</f>
        <v>-0.322736754849409</v>
      </c>
      <c r="IU58" s="3">
        <f ca="1">IFERROR(__xludf.DUMMYFUNCTION("""COMPUTED_VALUE"""),-0.329076738325367)</f>
        <v>-0.32907673832536699</v>
      </c>
      <c r="IV58" s="3">
        <f ca="1">IFERROR(__xludf.DUMMYFUNCTION("""COMPUTED_VALUE"""),-0.408903711781207)</f>
        <v>-0.40890371178120699</v>
      </c>
      <c r="IW58" s="3">
        <f ca="1">IFERROR(__xludf.DUMMYFUNCTION("""COMPUTED_VALUE"""),-0.424536527145439)</f>
        <v>-0.42453652714543899</v>
      </c>
      <c r="IX58" s="3">
        <f ca="1">IFERROR(__xludf.DUMMYFUNCTION("""COMPUTED_VALUE"""),-0.323891670240822)</f>
        <v>-0.32389167024082199</v>
      </c>
      <c r="IY58" s="3">
        <f ca="1">IFERROR(__xludf.DUMMYFUNCTION("""COMPUTED_VALUE"""),-0.334931364478812)</f>
        <v>-0.334931364478812</v>
      </c>
      <c r="IZ58" s="3">
        <f ca="1">IFERROR(__xludf.DUMMYFUNCTION("""COMPUTED_VALUE"""),-0.350569261255738)</f>
        <v>-0.35056926125573801</v>
      </c>
      <c r="JA58" s="3">
        <f ca="1">IFERROR(__xludf.DUMMYFUNCTION("""COMPUTED_VALUE"""),-0.37141308921473)</f>
        <v>-0.37141308921472999</v>
      </c>
      <c r="JB58" s="3">
        <f ca="1">IFERROR(__xludf.DUMMYFUNCTION("""COMPUTED_VALUE"""),-0.336283452564239)</f>
        <v>-0.33628345256423903</v>
      </c>
      <c r="JC58" s="3">
        <f ca="1">IFERROR(__xludf.DUMMYFUNCTION("""COMPUTED_VALUE"""),-0.296503225239826)</f>
        <v>-0.29650322523982597</v>
      </c>
      <c r="JD58" s="3">
        <f ca="1">IFERROR(__xludf.DUMMYFUNCTION("""COMPUTED_VALUE"""),-0.279077177416403)</f>
        <v>-0.27907717741640298</v>
      </c>
      <c r="JE58" s="3">
        <f ca="1">IFERROR(__xludf.DUMMYFUNCTION("""COMPUTED_VALUE"""),-0.373778762208585)</f>
        <v>-0.37377876220858502</v>
      </c>
      <c r="JF58" s="3">
        <f ca="1">IFERROR(__xludf.DUMMYFUNCTION("""COMPUTED_VALUE"""),-0.416723153062354)</f>
        <v>-0.41672315306235402</v>
      </c>
      <c r="JG58" s="3">
        <f ca="1">IFERROR(__xludf.DUMMYFUNCTION("""COMPUTED_VALUE"""),-0.431984859257752)</f>
        <v>-0.43198485925775199</v>
      </c>
      <c r="JH58" s="3">
        <f ca="1">IFERROR(__xludf.DUMMYFUNCTION("""COMPUTED_VALUE"""),-0.411551019557382)</f>
        <v>-0.41155101955738199</v>
      </c>
      <c r="JI58" s="3">
        <f ca="1">IFERROR(__xludf.DUMMYFUNCTION("""COMPUTED_VALUE"""),-0.380971846402314)</f>
        <v>-0.38097184640231402</v>
      </c>
      <c r="JJ58" s="3">
        <f ca="1">IFERROR(__xludf.DUMMYFUNCTION("""COMPUTED_VALUE"""),-0.257534516390854)</f>
        <v>-0.25753451639085401</v>
      </c>
      <c r="JK58" s="3">
        <f ca="1">IFERROR(__xludf.DUMMYFUNCTION("""COMPUTED_VALUE"""),-0.395040974411149)</f>
        <v>-0.39504097441114899</v>
      </c>
      <c r="JL58" s="3">
        <f ca="1">IFERROR(__xludf.DUMMYFUNCTION("""COMPUTED_VALUE"""),-0.400182109366125)</f>
        <v>-0.40018210936612503</v>
      </c>
      <c r="JM58" s="3">
        <f ca="1">IFERROR(__xludf.DUMMYFUNCTION("""COMPUTED_VALUE"""),-0.373871680706725)</f>
        <v>-0.373871680706725</v>
      </c>
      <c r="JN58" s="3">
        <f ca="1">IFERROR(__xludf.DUMMYFUNCTION("""COMPUTED_VALUE"""),-0.350337874233592)</f>
        <v>-0.35033787423359197</v>
      </c>
      <c r="JO58" s="3">
        <f ca="1">IFERROR(__xludf.DUMMYFUNCTION("""COMPUTED_VALUE"""),-0.338443576804533)</f>
        <v>-0.33844357680453302</v>
      </c>
      <c r="JP58" s="3">
        <f ca="1">IFERROR(__xludf.DUMMYFUNCTION("""COMPUTED_VALUE"""),-0.335042715715831)</f>
        <v>-0.335042715715831</v>
      </c>
      <c r="JQ58" s="3">
        <f ca="1">IFERROR(__xludf.DUMMYFUNCTION("""COMPUTED_VALUE"""),-0.263100959683803)</f>
        <v>-0.26310095968380298</v>
      </c>
      <c r="JR58" s="3">
        <f ca="1">IFERROR(__xludf.DUMMYFUNCTION("""COMPUTED_VALUE"""),-0.316897579644897)</f>
        <v>-0.31689757964489701</v>
      </c>
      <c r="JS58" s="3">
        <f ca="1">IFERROR(__xludf.DUMMYFUNCTION("""COMPUTED_VALUE"""),-0.357961584817869)</f>
        <v>-0.35796158481786899</v>
      </c>
      <c r="JT58" s="3">
        <f ca="1">IFERROR(__xludf.DUMMYFUNCTION("""COMPUTED_VALUE"""),-0.337142693524126)</f>
        <v>-0.33714269352412601</v>
      </c>
      <c r="JU58" s="3">
        <f ca="1">IFERROR(__xludf.DUMMYFUNCTION("""COMPUTED_VALUE"""),-0.357352979190252)</f>
        <v>-0.357352979190252</v>
      </c>
      <c r="JV58" s="3">
        <f ca="1">IFERROR(__xludf.DUMMYFUNCTION("""COMPUTED_VALUE"""),-0.342619283357488)</f>
        <v>-0.34261928335748798</v>
      </c>
      <c r="JW58" s="3">
        <f ca="1">IFERROR(__xludf.DUMMYFUNCTION("""COMPUTED_VALUE"""),-0.371443577272086)</f>
        <v>-0.37144357727208599</v>
      </c>
      <c r="JX58" s="3">
        <f ca="1">IFERROR(__xludf.DUMMYFUNCTION("""COMPUTED_VALUE"""),-0.349420041127144)</f>
        <v>-0.34942004112714398</v>
      </c>
      <c r="JY58" s="3">
        <f ca="1">IFERROR(__xludf.DUMMYFUNCTION("""COMPUTED_VALUE"""),-0.353867285149878)</f>
        <v>-0.35386728514987797</v>
      </c>
      <c r="JZ58" s="3">
        <f ca="1">IFERROR(__xludf.DUMMYFUNCTION("""COMPUTED_VALUE"""),-0.304827824265292)</f>
        <v>-0.30482782426529198</v>
      </c>
      <c r="KA58" s="3">
        <f ca="1">IFERROR(__xludf.DUMMYFUNCTION("""COMPUTED_VALUE"""),-0.30176688907828)</f>
        <v>-0.30176688907827998</v>
      </c>
      <c r="KB58" s="3">
        <f ca="1">IFERROR(__xludf.DUMMYFUNCTION("""COMPUTED_VALUE"""),-0.369836096846438)</f>
        <v>-0.36983609684643798</v>
      </c>
      <c r="KC58" s="3">
        <f ca="1">IFERROR(__xludf.DUMMYFUNCTION("""COMPUTED_VALUE"""),-0.332177073219744)</f>
        <v>-0.33217707321974399</v>
      </c>
      <c r="KD58" s="3">
        <f ca="1">IFERROR(__xludf.DUMMYFUNCTION("""COMPUTED_VALUE"""),-0.313196322583455)</f>
        <v>-0.31319632258345498</v>
      </c>
      <c r="KE58" s="3">
        <f ca="1">IFERROR(__xludf.DUMMYFUNCTION("""COMPUTED_VALUE"""),-0.328892363309685)</f>
        <v>-0.32889236330968502</v>
      </c>
      <c r="KF58" s="3">
        <f ca="1">IFERROR(__xludf.DUMMYFUNCTION("""COMPUTED_VALUE"""),-0.15516337779004)</f>
        <v>-0.15516337779004</v>
      </c>
      <c r="KG58" s="3">
        <f ca="1">IFERROR(__xludf.DUMMYFUNCTION("""COMPUTED_VALUE"""),-0.29828306344252)</f>
        <v>-0.29828306344251998</v>
      </c>
      <c r="KH58" s="3">
        <f ca="1">IFERROR(__xludf.DUMMYFUNCTION("""COMPUTED_VALUE"""),-0.220763534390794)</f>
        <v>-0.22076353439079399</v>
      </c>
      <c r="KI58" s="3">
        <f ca="1">IFERROR(__xludf.DUMMYFUNCTION("""COMPUTED_VALUE"""),-0.339142112930038)</f>
        <v>-0.33914211293003799</v>
      </c>
      <c r="KJ58" s="3">
        <f ca="1">IFERROR(__xludf.DUMMYFUNCTION("""COMPUTED_VALUE"""),-0.34503813065915)</f>
        <v>-0.34503813065915001</v>
      </c>
      <c r="KK58" s="3">
        <f ca="1">IFERROR(__xludf.DUMMYFUNCTION("""COMPUTED_VALUE"""),-0.315212535454471)</f>
        <v>-0.31521253545447098</v>
      </c>
      <c r="KL58" s="3">
        <f ca="1">IFERROR(__xludf.DUMMYFUNCTION("""COMPUTED_VALUE"""),-0.205513610673228)</f>
        <v>-0.20551361067322799</v>
      </c>
      <c r="KM58" s="3">
        <f ca="1">IFERROR(__xludf.DUMMYFUNCTION("""COMPUTED_VALUE"""),-0.177412678654319)</f>
        <v>-0.17741267865431901</v>
      </c>
      <c r="KN58" s="3">
        <f ca="1">IFERROR(__xludf.DUMMYFUNCTION("""COMPUTED_VALUE"""),-0.280643510279389)</f>
        <v>-0.280643510279389</v>
      </c>
      <c r="KO58" s="3">
        <f ca="1">IFERROR(__xludf.DUMMYFUNCTION("""COMPUTED_VALUE"""),-0.376482078335367)</f>
        <v>-0.37648207833536701</v>
      </c>
      <c r="KP58" s="3">
        <f ca="1">IFERROR(__xludf.DUMMYFUNCTION("""COMPUTED_VALUE"""),-0.36863834997847)</f>
        <v>-0.36863834997847</v>
      </c>
      <c r="KQ58" s="3">
        <f ca="1">IFERROR(__xludf.DUMMYFUNCTION("""COMPUTED_VALUE"""),-0.337530053750356)</f>
        <v>-0.337530053750356</v>
      </c>
      <c r="KR58" s="3">
        <f ca="1">IFERROR(__xludf.DUMMYFUNCTION("""COMPUTED_VALUE"""),-0.322423725322737)</f>
        <v>-0.322423725322737</v>
      </c>
      <c r="KS58" s="3">
        <f ca="1">IFERROR(__xludf.DUMMYFUNCTION("""COMPUTED_VALUE"""),-0.18634795810082)</f>
        <v>-0.18634795810082</v>
      </c>
      <c r="KT58" s="3">
        <f ca="1">IFERROR(__xludf.DUMMYFUNCTION("""COMPUTED_VALUE"""),-0.235694832778681)</f>
        <v>-0.235694832778681</v>
      </c>
      <c r="KU58" s="3">
        <f ca="1">IFERROR(__xludf.DUMMYFUNCTION("""COMPUTED_VALUE"""),-0.274306571100111)</f>
        <v>-0.27430657110011097</v>
      </c>
      <c r="KV58" s="3">
        <f ca="1">IFERROR(__xludf.DUMMYFUNCTION("""COMPUTED_VALUE"""),-0.41779210752414)</f>
        <v>-0.41779210752413998</v>
      </c>
      <c r="KW58" s="3">
        <f ca="1">IFERROR(__xludf.DUMMYFUNCTION("""COMPUTED_VALUE"""),-0.389642443868626)</f>
        <v>-0.38964244386862601</v>
      </c>
      <c r="KX58" s="3">
        <f ca="1">IFERROR(__xludf.DUMMYFUNCTION("""COMPUTED_VALUE"""),-0.387455072060573)</f>
        <v>-0.387455072060573</v>
      </c>
      <c r="KY58" s="3">
        <f ca="1">IFERROR(__xludf.DUMMYFUNCTION("""COMPUTED_VALUE"""),-0.373941455852168)</f>
        <v>-0.37394145585216798</v>
      </c>
      <c r="KZ58" s="3">
        <f ca="1">IFERROR(__xludf.DUMMYFUNCTION("""COMPUTED_VALUE"""),-0.174231706585637)</f>
        <v>-0.174231706585637</v>
      </c>
      <c r="LA58" s="3">
        <f ca="1">IFERROR(__xludf.DUMMYFUNCTION("""COMPUTED_VALUE"""),-0.318736317803246)</f>
        <v>-0.31873631780324602</v>
      </c>
      <c r="LB58" s="3">
        <f ca="1">IFERROR(__xludf.DUMMYFUNCTION("""COMPUTED_VALUE"""),-0.422582778133462)</f>
        <v>-0.42258277813346201</v>
      </c>
      <c r="LC58" s="3">
        <f ca="1">IFERROR(__xludf.DUMMYFUNCTION("""COMPUTED_VALUE"""),-0.527553183966275)</f>
        <v>-0.52755318396627504</v>
      </c>
      <c r="LD58" s="3">
        <f ca="1">IFERROR(__xludf.DUMMYFUNCTION("""COMPUTED_VALUE"""),-0.46162281015054)</f>
        <v>-0.46162281015054002</v>
      </c>
      <c r="LE58" s="3">
        <f ca="1">IFERROR(__xludf.DUMMYFUNCTION("""COMPUTED_VALUE"""),-0.509433973665693)</f>
        <v>-0.50943397366569299</v>
      </c>
      <c r="LF58" s="3">
        <f ca="1">IFERROR(__xludf.DUMMYFUNCTION("""COMPUTED_VALUE"""),-0.266680393712063)</f>
        <v>-0.26668039371206298</v>
      </c>
      <c r="LG58" s="3">
        <f ca="1">IFERROR(__xludf.DUMMYFUNCTION("""COMPUTED_VALUE"""),-0.58329920681298)</f>
        <v>-0.58329920681297998</v>
      </c>
      <c r="LH58" s="3">
        <f ca="1">IFERROR(__xludf.DUMMYFUNCTION("""COMPUTED_VALUE"""),-0.318973471790016)</f>
        <v>-0.31897347179001601</v>
      </c>
      <c r="LI58" s="3">
        <f ca="1">IFERROR(__xludf.DUMMYFUNCTION("""COMPUTED_VALUE"""),-0.41929309177547)</f>
        <v>-0.41929309177546997</v>
      </c>
      <c r="LJ58" s="3">
        <f ca="1">IFERROR(__xludf.DUMMYFUNCTION("""COMPUTED_VALUE"""),-0.466330479792407)</f>
        <v>-0.46633047979240699</v>
      </c>
      <c r="LK58" s="3">
        <f ca="1">IFERROR(__xludf.DUMMYFUNCTION("""COMPUTED_VALUE"""),-0.464586474434905)</f>
        <v>-0.46458647443490497</v>
      </c>
      <c r="LL58" s="3">
        <f ca="1">IFERROR(__xludf.DUMMYFUNCTION("""COMPUTED_VALUE"""),-0.54136872589854)</f>
        <v>-0.54136872589854002</v>
      </c>
      <c r="LM58" s="3">
        <f ca="1">IFERROR(__xludf.DUMMYFUNCTION("""COMPUTED_VALUE"""),-0.706819718387232)</f>
        <v>-0.70681971838723201</v>
      </c>
      <c r="LN58" s="3">
        <f ca="1">IFERROR(__xludf.DUMMYFUNCTION("""COMPUTED_VALUE"""),-0.607493852150038)</f>
        <v>-0.60749385215003804</v>
      </c>
      <c r="LO58" s="3">
        <f ca="1">IFERROR(__xludf.DUMMYFUNCTION("""COMPUTED_VALUE"""),-0.433505115593504)</f>
        <v>-0.43350511559350402</v>
      </c>
      <c r="LP58" s="3">
        <f ca="1">IFERROR(__xludf.DUMMYFUNCTION("""COMPUTED_VALUE"""),-0.507150601023833)</f>
        <v>-0.50715060102383303</v>
      </c>
      <c r="LQ58" s="3">
        <f ca="1">IFERROR(__xludf.DUMMYFUNCTION("""COMPUTED_VALUE"""),-0.562515983069441)</f>
        <v>-0.56251598306944095</v>
      </c>
      <c r="LR58" s="3">
        <f ca="1">IFERROR(__xludf.DUMMYFUNCTION("""COMPUTED_VALUE"""),-0.505239187306934)</f>
        <v>-0.50523918730693396</v>
      </c>
      <c r="LS58" s="3">
        <f ca="1">IFERROR(__xludf.DUMMYFUNCTION("""COMPUTED_VALUE"""),-0.539439204912252)</f>
        <v>-0.53943920491225195</v>
      </c>
      <c r="LT58" s="3">
        <f ca="1">IFERROR(__xludf.DUMMYFUNCTION("""COMPUTED_VALUE"""),-0.539451309226349)</f>
        <v>-0.53945130922634899</v>
      </c>
      <c r="LU58" s="3">
        <f ca="1">IFERROR(__xludf.DUMMYFUNCTION("""COMPUTED_VALUE"""),-0.513911845513272)</f>
        <v>-0.51391184551327196</v>
      </c>
      <c r="LV58" s="3">
        <f ca="1">IFERROR(__xludf.DUMMYFUNCTION("""COMPUTED_VALUE"""),-0.537973158844525)</f>
        <v>-0.53797315884452501</v>
      </c>
      <c r="LW58" s="3">
        <f ca="1">IFERROR(__xludf.DUMMYFUNCTION("""COMPUTED_VALUE"""),-0.618747097574334)</f>
        <v>-0.61874709757433399</v>
      </c>
      <c r="LX58" s="3">
        <f ca="1">IFERROR(__xludf.DUMMYFUNCTION("""COMPUTED_VALUE"""),-0.666107339409917)</f>
        <v>-0.66610733940991695</v>
      </c>
      <c r="LY58" s="3">
        <f ca="1">IFERROR(__xludf.DUMMYFUNCTION("""COMPUTED_VALUE"""),-0.555797349761991)</f>
        <v>-0.55579734976199102</v>
      </c>
      <c r="LZ58" s="3">
        <f ca="1">IFERROR(__xludf.DUMMYFUNCTION("""COMPUTED_VALUE"""),-0.59071743181779)</f>
        <v>-0.59071743181779002</v>
      </c>
      <c r="MA58" s="3">
        <f ca="1">IFERROR(__xludf.DUMMYFUNCTION("""COMPUTED_VALUE"""),-0.604344915695626)</f>
        <v>-0.60434491569562598</v>
      </c>
      <c r="MB58" s="3">
        <f ca="1">IFERROR(__xludf.DUMMYFUNCTION("""COMPUTED_VALUE"""),-0.603257929508547)</f>
        <v>-0.60325792950854695</v>
      </c>
      <c r="MC58" s="3">
        <f ca="1">IFERROR(__xludf.DUMMYFUNCTION("""COMPUTED_VALUE"""),-0.575332541490188)</f>
        <v>-0.57533254149018798</v>
      </c>
      <c r="MD58" s="3">
        <f ca="1">IFERROR(__xludf.DUMMYFUNCTION("""COMPUTED_VALUE"""),-0.585175351426442)</f>
        <v>-0.58517535142644195</v>
      </c>
      <c r="ME58" s="3">
        <f ca="1">IFERROR(__xludf.DUMMYFUNCTION("""COMPUTED_VALUE"""),-0.639527662532145)</f>
        <v>-0.63952766253214499</v>
      </c>
      <c r="MF58" s="3">
        <f ca="1">IFERROR(__xludf.DUMMYFUNCTION("""COMPUTED_VALUE"""),-0.578408581799055)</f>
        <v>-0.57840858179905497</v>
      </c>
      <c r="MG58" s="3">
        <f ca="1">IFERROR(__xludf.DUMMYFUNCTION("""COMPUTED_VALUE"""),-0.579298122682476)</f>
        <v>-0.57929812268247605</v>
      </c>
      <c r="MH58" s="3">
        <f ca="1">IFERROR(__xludf.DUMMYFUNCTION("""COMPUTED_VALUE"""),-0.604019304335318)</f>
        <v>-0.60401930433531803</v>
      </c>
      <c r="MI58" s="3">
        <f ca="1">IFERROR(__xludf.DUMMYFUNCTION("""COMPUTED_VALUE"""),-0.565974849618324)</f>
        <v>-0.56597484961832401</v>
      </c>
      <c r="MJ58" s="3">
        <f ca="1">IFERROR(__xludf.DUMMYFUNCTION("""COMPUTED_VALUE"""),-0.548452421327532)</f>
        <v>-0.54845242132753202</v>
      </c>
      <c r="MK58" s="3">
        <f ca="1">IFERROR(__xludf.DUMMYFUNCTION("""COMPUTED_VALUE"""),-0.569736780084402)</f>
        <v>-0.56973678008440198</v>
      </c>
      <c r="ML58" s="3">
        <f ca="1">IFERROR(__xludf.DUMMYFUNCTION("""COMPUTED_VALUE"""),-0.655726938012024)</f>
        <v>-0.65572693801202397</v>
      </c>
      <c r="MM58" s="3">
        <f ca="1">IFERROR(__xludf.DUMMYFUNCTION("""COMPUTED_VALUE"""),-0.649662101472627)</f>
        <v>-0.64966210147262704</v>
      </c>
      <c r="MN58" s="3">
        <f ca="1">IFERROR(__xludf.DUMMYFUNCTION("""COMPUTED_VALUE"""),-0.60887130902296)</f>
        <v>-0.60887130902296005</v>
      </c>
      <c r="MO58" s="3">
        <f ca="1">IFERROR(__xludf.DUMMYFUNCTION("""COMPUTED_VALUE"""),-0.639845302183275)</f>
        <v>-0.63984530218327496</v>
      </c>
      <c r="MP58" s="3">
        <f ca="1">IFERROR(__xludf.DUMMYFUNCTION("""COMPUTED_VALUE"""),-0.614541367604312)</f>
        <v>-0.61454136760431199</v>
      </c>
      <c r="MQ58" s="3">
        <f ca="1">IFERROR(__xludf.DUMMYFUNCTION("""COMPUTED_VALUE"""),-0.589263265395427)</f>
        <v>-0.58926326539542695</v>
      </c>
      <c r="MR58" s="3">
        <f ca="1">IFERROR(__xludf.DUMMYFUNCTION("""COMPUTED_VALUE"""),-0.618871705660655)</f>
        <v>-0.61887170566065497</v>
      </c>
      <c r="MS58" s="3">
        <f ca="1">IFERROR(__xludf.DUMMYFUNCTION("""COMPUTED_VALUE"""),-0.643380595710511)</f>
        <v>-0.64338059571051098</v>
      </c>
      <c r="MT58" s="3">
        <f ca="1">IFERROR(__xludf.DUMMYFUNCTION("""COMPUTED_VALUE"""),-0.628386505261469)</f>
        <v>-0.628386505261469</v>
      </c>
      <c r="MU58" s="3">
        <f ca="1">IFERROR(__xludf.DUMMYFUNCTION("""COMPUTED_VALUE"""),-0.660662725168941)</f>
        <v>-0.66066272516894098</v>
      </c>
      <c r="MV58" s="3">
        <f ca="1">IFERROR(__xludf.DUMMYFUNCTION("""COMPUTED_VALUE"""),-0.672922910257893)</f>
        <v>-0.67292291025789297</v>
      </c>
      <c r="MW58" s="3">
        <f ca="1">IFERROR(__xludf.DUMMYFUNCTION("""COMPUTED_VALUE"""),-0.548404442513702)</f>
        <v>-0.54840444251370202</v>
      </c>
      <c r="MX58" s="3">
        <f ca="1">IFERROR(__xludf.DUMMYFUNCTION("""COMPUTED_VALUE"""),-0.613243722537562)</f>
        <v>-0.61324372253756199</v>
      </c>
      <c r="MY58" s="3">
        <f ca="1">IFERROR(__xludf.DUMMYFUNCTION("""COMPUTED_VALUE"""),-0.656306971785546)</f>
        <v>-0.65630697178554598</v>
      </c>
      <c r="MZ58" s="3">
        <f ca="1">IFERROR(__xludf.DUMMYFUNCTION("""COMPUTED_VALUE"""),-0.695995677627338)</f>
        <v>-0.69599567762733805</v>
      </c>
      <c r="NA58" s="3">
        <f ca="1">IFERROR(__xludf.DUMMYFUNCTION("""COMPUTED_VALUE"""),-0.662453937610509)</f>
        <v>-0.66245393761050897</v>
      </c>
      <c r="NB58" s="3">
        <f ca="1">IFERROR(__xludf.DUMMYFUNCTION("""COMPUTED_VALUE"""),-0.64855382281315)</f>
        <v>-0.64855382281314999</v>
      </c>
      <c r="NC58" s="3">
        <f ca="1">IFERROR(__xludf.DUMMYFUNCTION("""COMPUTED_VALUE"""),-0.651436598471871)</f>
        <v>-0.65143659847187096</v>
      </c>
      <c r="ND58" s="3">
        <f ca="1">IFERROR(__xludf.DUMMYFUNCTION("""COMPUTED_VALUE"""),-0.582945806537429)</f>
        <v>-0.582945806537429</v>
      </c>
      <c r="NE58" s="3">
        <f ca="1">IFERROR(__xludf.DUMMYFUNCTION("""COMPUTED_VALUE"""),-0.637933828308012)</f>
        <v>-0.63793382830801204</v>
      </c>
      <c r="NF58" s="3">
        <f ca="1">IFERROR(__xludf.DUMMYFUNCTION("""COMPUTED_VALUE"""),-0.620975909567143)</f>
        <v>-0.62097590956714299</v>
      </c>
      <c r="NG58" s="3">
        <f ca="1">IFERROR(__xludf.DUMMYFUNCTION("""COMPUTED_VALUE"""),-0.701551936515682)</f>
        <v>-0.70155193651568204</v>
      </c>
      <c r="NH58" s="3">
        <f ca="1">IFERROR(__xludf.DUMMYFUNCTION("""COMPUTED_VALUE"""),-0.630613426043292)</f>
        <v>-0.63061342604329196</v>
      </c>
      <c r="NI58" s="3">
        <f ca="1">IFERROR(__xludf.DUMMYFUNCTION("""COMPUTED_VALUE"""),-0.632933273429943)</f>
        <v>-0.63293327342994299</v>
      </c>
      <c r="NJ58" s="3">
        <f ca="1">IFERROR(__xludf.DUMMYFUNCTION("""COMPUTED_VALUE"""),-0.656134109490484)</f>
        <v>-0.65613410949048401</v>
      </c>
      <c r="NK58" s="3">
        <f ca="1">IFERROR(__xludf.DUMMYFUNCTION("""COMPUTED_VALUE"""),-0.622854986640024)</f>
        <v>-0.62285498664002403</v>
      </c>
      <c r="NL58" s="3">
        <f ca="1">IFERROR(__xludf.DUMMYFUNCTION("""COMPUTED_VALUE"""),-0.600338175923461)</f>
        <v>-0.60033817592346095</v>
      </c>
      <c r="NM58" s="3">
        <f ca="1">IFERROR(__xludf.DUMMYFUNCTION("""COMPUTED_VALUE"""),-0.636665761243008)</f>
        <v>-0.636665761243008</v>
      </c>
      <c r="NN58" s="3">
        <f ca="1">IFERROR(__xludf.DUMMYFUNCTION("""COMPUTED_VALUE"""),-0.600661299132227)</f>
        <v>-0.60066129913222699</v>
      </c>
      <c r="NO58" s="3">
        <f ca="1">IFERROR(__xludf.DUMMYFUNCTION("""COMPUTED_VALUE"""),-0.595506394379321)</f>
        <v>-0.59550639437932096</v>
      </c>
      <c r="NP58" s="3">
        <f ca="1">IFERROR(__xludf.DUMMYFUNCTION("""COMPUTED_VALUE"""),-0.575137791488006)</f>
        <v>-0.57513779148800603</v>
      </c>
      <c r="NQ58" s="3">
        <f ca="1">IFERROR(__xludf.DUMMYFUNCTION("""COMPUTED_VALUE"""),-0.62753164940737)</f>
        <v>-0.62753164940737005</v>
      </c>
      <c r="NR58" s="3">
        <f ca="1">IFERROR(__xludf.DUMMYFUNCTION("""COMPUTED_VALUE"""),-0.571098520092207)</f>
        <v>-0.57109852009220696</v>
      </c>
      <c r="NS58" s="3">
        <f ca="1">IFERROR(__xludf.DUMMYFUNCTION("""COMPUTED_VALUE"""),-0.674862089481488)</f>
        <v>-0.67486208948148796</v>
      </c>
      <c r="NT58" s="3">
        <f ca="1">IFERROR(__xludf.DUMMYFUNCTION("""COMPUTED_VALUE"""),-0.606783145676537)</f>
        <v>-0.60678314567653702</v>
      </c>
      <c r="NU58" s="3">
        <f ca="1">IFERROR(__xludf.DUMMYFUNCTION("""COMPUTED_VALUE"""),-0.554775300720098)</f>
        <v>-0.55477530072009795</v>
      </c>
      <c r="NV58" s="3">
        <f ca="1">IFERROR(__xludf.DUMMYFUNCTION("""COMPUTED_VALUE"""),-0.607246836948362)</f>
        <v>-0.60724683694836201</v>
      </c>
      <c r="NW58" s="3">
        <f ca="1">IFERROR(__xludf.DUMMYFUNCTION("""COMPUTED_VALUE"""),-0.55464694729917)</f>
        <v>-0.55464694729916997</v>
      </c>
      <c r="NX58" s="3">
        <f ca="1">IFERROR(__xludf.DUMMYFUNCTION("""COMPUTED_VALUE"""),-0.54025982548583)</f>
        <v>-0.54025982548582996</v>
      </c>
      <c r="NY58" s="3">
        <f ca="1">IFERROR(__xludf.DUMMYFUNCTION("""COMPUTED_VALUE"""),-0.54820817125448)</f>
        <v>-0.54820817125447996</v>
      </c>
      <c r="NZ58" s="3">
        <f ca="1">IFERROR(__xludf.DUMMYFUNCTION("""COMPUTED_VALUE"""),-0.539765371093596)</f>
        <v>-0.53976537109359601</v>
      </c>
      <c r="OA58" s="3">
        <f ca="1">IFERROR(__xludf.DUMMYFUNCTION("""COMPUTED_VALUE"""),-0.48419556585891)</f>
        <v>-0.48419556585890999</v>
      </c>
      <c r="OB58" s="3">
        <f ca="1">IFERROR(__xludf.DUMMYFUNCTION("""COMPUTED_VALUE"""),-0.499446354229285)</f>
        <v>-0.49944635422928502</v>
      </c>
      <c r="OC58" s="3">
        <f ca="1">IFERROR(__xludf.DUMMYFUNCTION("""COMPUTED_VALUE"""),-0.449938952007798)</f>
        <v>-0.44993895200779799</v>
      </c>
      <c r="OD58" s="3">
        <f ca="1">IFERROR(__xludf.DUMMYFUNCTION("""COMPUTED_VALUE"""),-0.30652164827789)</f>
        <v>-0.30652164827789002</v>
      </c>
      <c r="OE58" s="3">
        <f ca="1">IFERROR(__xludf.DUMMYFUNCTION("""COMPUTED_VALUE"""),-0.26565900722971)</f>
        <v>-0.26565900722970998</v>
      </c>
      <c r="OF58" s="3">
        <f ca="1">IFERROR(__xludf.DUMMYFUNCTION("""COMPUTED_VALUE"""),-0.0595015100612406)</f>
        <v>-5.9501510061240603E-2</v>
      </c>
      <c r="OG58" s="3">
        <f ca="1">IFERROR(__xludf.DUMMYFUNCTION("""COMPUTED_VALUE"""),-0.055994975949138)</f>
        <v>-5.5994975949138E-2</v>
      </c>
      <c r="OH58" s="3">
        <f ca="1">IFERROR(__xludf.DUMMYFUNCTION("""COMPUTED_VALUE"""),-0.12975028400654)</f>
        <v>-0.12975028400654001</v>
      </c>
      <c r="OI58" s="3">
        <f ca="1">IFERROR(__xludf.DUMMYFUNCTION("""COMPUTED_VALUE"""),-0.0605850918337836)</f>
        <v>-6.0585091833783598E-2</v>
      </c>
      <c r="OJ58" s="3">
        <f ca="1">IFERROR(__xludf.DUMMYFUNCTION("""COMPUTED_VALUE"""),-0.00843370809696386)</f>
        <v>-8.4337080969638604E-3</v>
      </c>
      <c r="OK58" s="3">
        <f ca="1">IFERROR(__xludf.DUMMYFUNCTION("""COMPUTED_VALUE"""),0.081629363535328)</f>
        <v>8.1629363535328001E-2</v>
      </c>
      <c r="OL58" s="3">
        <f ca="1">IFERROR(__xludf.DUMMYFUNCTION("""COMPUTED_VALUE"""),-0.0161265501839581)</f>
        <v>-1.6126550183958099E-2</v>
      </c>
      <c r="OM58" s="3">
        <f ca="1">IFERROR(__xludf.DUMMYFUNCTION("""COMPUTED_VALUE"""),-0.0317003679360295)</f>
        <v>-3.1700367936029497E-2</v>
      </c>
      <c r="ON58" s="3">
        <f ca="1">IFERROR(__xludf.DUMMYFUNCTION("""COMPUTED_VALUE"""),-0.0308883823912667)</f>
        <v>-3.0888382391266699E-2</v>
      </c>
      <c r="OO58" s="3">
        <f ca="1">IFERROR(__xludf.DUMMYFUNCTION("""COMPUTED_VALUE"""),-0.056686381645987)</f>
        <v>-5.6686381645987001E-2</v>
      </c>
      <c r="OP58" s="3">
        <f ca="1">IFERROR(__xludf.DUMMYFUNCTION("""COMPUTED_VALUE"""),-0.00939720076602546)</f>
        <v>-9.3972007660254597E-3</v>
      </c>
      <c r="OQ58" s="3">
        <f ca="1">IFERROR(__xludf.DUMMYFUNCTION("""COMPUTED_VALUE"""),0.0583254921074651)</f>
        <v>5.8325492107465099E-2</v>
      </c>
      <c r="OR58" s="3">
        <f ca="1">IFERROR(__xludf.DUMMYFUNCTION("""COMPUTED_VALUE"""),0.0338483915803535)</f>
        <v>3.38483915803535E-2</v>
      </c>
      <c r="OS58" s="3">
        <f ca="1">IFERROR(__xludf.DUMMYFUNCTION("""COMPUTED_VALUE"""),-0.0257551475650354)</f>
        <v>-2.5755147565035399E-2</v>
      </c>
      <c r="OT58" s="3">
        <f ca="1">IFERROR(__xludf.DUMMYFUNCTION("""COMPUTED_VALUE"""),0.0440719279510588)</f>
        <v>4.4071927951058798E-2</v>
      </c>
      <c r="OU58" s="3">
        <f ca="1">IFERROR(__xludf.DUMMYFUNCTION("""COMPUTED_VALUE"""),0.0481075292318065)</f>
        <v>4.8107529231806501E-2</v>
      </c>
      <c r="OV58" s="3">
        <f ca="1">IFERROR(__xludf.DUMMYFUNCTION("""COMPUTED_VALUE"""),0.000268650594113406)</f>
        <v>2.6865059411340598E-4</v>
      </c>
      <c r="OW58" s="3">
        <f ca="1">IFERROR(__xludf.DUMMYFUNCTION("""COMPUTED_VALUE"""),-0.0319131225069064)</f>
        <v>-3.1913122506906401E-2</v>
      </c>
      <c r="OX58" s="3">
        <f ca="1">IFERROR(__xludf.DUMMYFUNCTION("""COMPUTED_VALUE"""),0.0319847468934468)</f>
        <v>3.1984746893446797E-2</v>
      </c>
      <c r="OY58" s="3">
        <f ca="1">IFERROR(__xludf.DUMMYFUNCTION("""COMPUTED_VALUE"""),-0.026431578834453)</f>
        <v>-2.6431578834453E-2</v>
      </c>
      <c r="OZ58" s="3">
        <f ca="1">IFERROR(__xludf.DUMMYFUNCTION("""COMPUTED_VALUE"""),0.0649335309880669)</f>
        <v>6.4933530988066895E-2</v>
      </c>
      <c r="PA58" s="3">
        <f ca="1">IFERROR(__xludf.DUMMYFUNCTION("""COMPUTED_VALUE"""),0.039154698679749)</f>
        <v>3.9154698679749002E-2</v>
      </c>
      <c r="PB58" s="3">
        <f ca="1">IFERROR(__xludf.DUMMYFUNCTION("""COMPUTED_VALUE"""),0.0206705452531832)</f>
        <v>2.0670545253183199E-2</v>
      </c>
      <c r="PC58" s="3">
        <f ca="1">IFERROR(__xludf.DUMMYFUNCTION("""COMPUTED_VALUE"""),-0.0666933022643457)</f>
        <v>-6.6693302264345694E-2</v>
      </c>
      <c r="PD58" s="3">
        <f ca="1">IFERROR(__xludf.DUMMYFUNCTION("""COMPUTED_VALUE"""),-0.00596074555538239)</f>
        <v>-5.9607455553823902E-3</v>
      </c>
      <c r="PE58" s="3">
        <f ca="1">IFERROR(__xludf.DUMMYFUNCTION("""COMPUTED_VALUE"""),0.0870982449728585)</f>
        <v>8.7098244972858493E-2</v>
      </c>
      <c r="PF58" s="3">
        <f ca="1">IFERROR(__xludf.DUMMYFUNCTION("""COMPUTED_VALUE"""),0.03205529454923)</f>
        <v>3.205529454923E-2</v>
      </c>
      <c r="PG58" s="3">
        <f ca="1">IFERROR(__xludf.DUMMYFUNCTION("""COMPUTED_VALUE"""),-0.0931430613251038)</f>
        <v>-9.3143061325103804E-2</v>
      </c>
      <c r="PH58" s="3">
        <f ca="1">IFERROR(__xludf.DUMMYFUNCTION("""COMPUTED_VALUE"""),0.0161319901799013)</f>
        <v>1.6131990179901301E-2</v>
      </c>
      <c r="PI58" s="3">
        <f ca="1">IFERROR(__xludf.DUMMYFUNCTION("""COMPUTED_VALUE"""),-0.0269391340942204)</f>
        <v>-2.6939134094220399E-2</v>
      </c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</row>
    <row r="59" spans="1:477" ht="13">
      <c r="A59" s="1" t="str">
        <f ca="1">IFERROR(__xludf.DUMMYFUNCTION("""COMPUTED_VALUE"""),"MCTS")</f>
        <v>MCTS</v>
      </c>
      <c r="B59" s="1" t="str">
        <f ca="1">IFERROR(__xludf.DUMMYFUNCTION("""COMPUTED_VALUE"""),"Milwaukee County")</f>
        <v>Milwaukee County</v>
      </c>
      <c r="C59" s="1" t="str">
        <f ca="1">IFERROR(__xludf.DUMMYFUNCTION("""COMPUTED_VALUE"""),"United States")</f>
        <v>United States</v>
      </c>
      <c r="D59" s="1" t="str">
        <f ca="1">IFERROR(__xludf.DUMMYFUNCTION("""COMPUTED_VALUE"""),"Wisconsin")</f>
        <v>Wisconsin</v>
      </c>
      <c r="E59" s="3">
        <f ca="1">IFERROR(__xludf.DUMMYFUNCTION("""COMPUTED_VALUE"""),-0.575781774564643)</f>
        <v>-0.57578177456464297</v>
      </c>
      <c r="F59" s="3">
        <f ca="1">IFERROR(__xludf.DUMMYFUNCTION("""COMPUTED_VALUE"""),-0.582821105658003)</f>
        <v>-0.58282110565800305</v>
      </c>
      <c r="G59" s="3">
        <f ca="1">IFERROR(__xludf.DUMMYFUNCTION("""COMPUTED_VALUE"""),-0.618674352239722)</f>
        <v>-0.618674352239722</v>
      </c>
      <c r="H59" s="3">
        <f ca="1">IFERROR(__xludf.DUMMYFUNCTION("""COMPUTED_VALUE"""),-0.608259451314801)</f>
        <v>-0.60825945131480097</v>
      </c>
      <c r="I59" s="3">
        <f ca="1">IFERROR(__xludf.DUMMYFUNCTION("""COMPUTED_VALUE"""),-0.584361883384013)</f>
        <v>-0.58436188338401296</v>
      </c>
      <c r="J59" s="3">
        <f ca="1">IFERROR(__xludf.DUMMYFUNCTION("""COMPUTED_VALUE"""),-0.625900139629024)</f>
        <v>-0.62590013962902402</v>
      </c>
      <c r="K59" s="3">
        <f ca="1">IFERROR(__xludf.DUMMYFUNCTION("""COMPUTED_VALUE"""),-0.496891580435751)</f>
        <v>-0.49689158043575099</v>
      </c>
      <c r="L59" s="3">
        <f ca="1">IFERROR(__xludf.DUMMYFUNCTION("""COMPUTED_VALUE"""),-0.512547563209939)</f>
        <v>-0.51254756320993899</v>
      </c>
      <c r="M59" s="3">
        <f ca="1">IFERROR(__xludf.DUMMYFUNCTION("""COMPUTED_VALUE"""),-0.568903167351122)</f>
        <v>-0.56890316735112201</v>
      </c>
      <c r="N59" s="3">
        <f ca="1">IFERROR(__xludf.DUMMYFUNCTION("""COMPUTED_VALUE"""),-0.584170202998365)</f>
        <v>-0.58417020299836497</v>
      </c>
      <c r="O59" s="3">
        <f ca="1">IFERROR(__xludf.DUMMYFUNCTION("""COMPUTED_VALUE"""),-0.616263543589054)</f>
        <v>-0.616263543589054</v>
      </c>
      <c r="P59" s="3">
        <f ca="1">IFERROR(__xludf.DUMMYFUNCTION("""COMPUTED_VALUE"""),-0.622580905370519)</f>
        <v>-0.62258090537051902</v>
      </c>
      <c r="Q59" s="3">
        <f ca="1">IFERROR(__xludf.DUMMYFUNCTION("""COMPUTED_VALUE"""),-0.611576246003589)</f>
        <v>-0.61157624600358895</v>
      </c>
      <c r="R59" s="3">
        <f ca="1">IFERROR(__xludf.DUMMYFUNCTION("""COMPUTED_VALUE"""),-0.443067985812238)</f>
        <v>-0.443067985812238</v>
      </c>
      <c r="S59" s="3">
        <f ca="1">IFERROR(__xludf.DUMMYFUNCTION("""COMPUTED_VALUE"""),-0.567919326173128)</f>
        <v>-0.56791932617312801</v>
      </c>
      <c r="T59" s="3">
        <f ca="1">IFERROR(__xludf.DUMMYFUNCTION("""COMPUTED_VALUE"""),-0.623606123755571)</f>
        <v>-0.62360612375557101</v>
      </c>
      <c r="U59" s="3">
        <f ca="1">IFERROR(__xludf.DUMMYFUNCTION("""COMPUTED_VALUE"""),-0.640043380450913)</f>
        <v>-0.64004338045091302</v>
      </c>
      <c r="V59" s="3">
        <f ca="1">IFERROR(__xludf.DUMMYFUNCTION("""COMPUTED_VALUE"""),-0.62633893015261)</f>
        <v>-0.62633893015261</v>
      </c>
      <c r="W59" s="3">
        <f ca="1">IFERROR(__xludf.DUMMYFUNCTION("""COMPUTED_VALUE"""),-0.609798347338483)</f>
        <v>-0.60979834733848304</v>
      </c>
      <c r="X59" s="3">
        <f ca="1">IFERROR(__xludf.DUMMYFUNCTION("""COMPUTED_VALUE"""),-0.579717202411635)</f>
        <v>-0.57971720241163505</v>
      </c>
      <c r="Y59" s="3">
        <f ca="1">IFERROR(__xludf.DUMMYFUNCTION("""COMPUTED_VALUE"""),-0.512267828501781)</f>
        <v>-0.51226782850178099</v>
      </c>
      <c r="Z59" s="3">
        <f ca="1">IFERROR(__xludf.DUMMYFUNCTION("""COMPUTED_VALUE"""),-0.554042629896662)</f>
        <v>-0.55404262989666198</v>
      </c>
      <c r="AA59" s="3">
        <f ca="1">IFERROR(__xludf.DUMMYFUNCTION("""COMPUTED_VALUE"""),-0.57806779382426)</f>
        <v>-0.57806779382425999</v>
      </c>
      <c r="AB59" s="3">
        <f ca="1">IFERROR(__xludf.DUMMYFUNCTION("""COMPUTED_VALUE"""),-0.629826573441485)</f>
        <v>-0.62982657344148496</v>
      </c>
      <c r="AC59" s="3">
        <f ca="1">IFERROR(__xludf.DUMMYFUNCTION("""COMPUTED_VALUE"""),-0.585027415372698)</f>
        <v>-0.58502741537269798</v>
      </c>
      <c r="AD59" s="3">
        <f ca="1">IFERROR(__xludf.DUMMYFUNCTION("""COMPUTED_VALUE"""),-0.640256654916489)</f>
        <v>-0.64025665491648898</v>
      </c>
      <c r="AE59" s="3">
        <f ca="1">IFERROR(__xludf.DUMMYFUNCTION("""COMPUTED_VALUE"""),-0.634539908371909)</f>
        <v>-0.63453990837190899</v>
      </c>
      <c r="AF59" s="3">
        <f ca="1">IFERROR(__xludf.DUMMYFUNCTION("""COMPUTED_VALUE"""),-0.470042240713665)</f>
        <v>-0.47004224071366502</v>
      </c>
      <c r="AG59" s="3">
        <f ca="1">IFERROR(__xludf.DUMMYFUNCTION("""COMPUTED_VALUE"""),-0.534336607930415)</f>
        <v>-0.53433660793041504</v>
      </c>
      <c r="AH59" s="3">
        <f ca="1">IFERROR(__xludf.DUMMYFUNCTION("""COMPUTED_VALUE"""),-0.584074848692536)</f>
        <v>-0.58407484869253601</v>
      </c>
      <c r="AI59" s="3">
        <f ca="1">IFERROR(__xludf.DUMMYFUNCTION("""COMPUTED_VALUE"""),-0.621677932750421)</f>
        <v>-0.62167793275042105</v>
      </c>
      <c r="AJ59" s="3">
        <f ca="1">IFERROR(__xludf.DUMMYFUNCTION("""COMPUTED_VALUE"""),-0.613783559986495)</f>
        <v>-0.61378355998649503</v>
      </c>
      <c r="AK59" s="3">
        <f ca="1">IFERROR(__xludf.DUMMYFUNCTION("""COMPUTED_VALUE"""),-0.581206262222209)</f>
        <v>-0.58120626222220895</v>
      </c>
      <c r="AL59" s="3">
        <f ca="1">IFERROR(__xludf.DUMMYFUNCTION("""COMPUTED_VALUE"""),-0.549993499242191)</f>
        <v>-0.54999349924219099</v>
      </c>
      <c r="AM59" s="3">
        <f ca="1">IFERROR(__xludf.DUMMYFUNCTION("""COMPUTED_VALUE"""),-0.516456689251517)</f>
        <v>-0.516456689251517</v>
      </c>
      <c r="AN59" s="3">
        <f ca="1">IFERROR(__xludf.DUMMYFUNCTION("""COMPUTED_VALUE"""),-0.520305851375255)</f>
        <v>-0.52030585137525498</v>
      </c>
      <c r="AO59" s="3">
        <f ca="1">IFERROR(__xludf.DUMMYFUNCTION("""COMPUTED_VALUE"""),-0.583567063406151)</f>
        <v>-0.58356706340615105</v>
      </c>
      <c r="AP59" s="3">
        <f ca="1">IFERROR(__xludf.DUMMYFUNCTION("""COMPUTED_VALUE"""),-0.617586727230871)</f>
        <v>-0.61758672723087105</v>
      </c>
      <c r="AQ59" s="3">
        <f ca="1">IFERROR(__xludf.DUMMYFUNCTION("""COMPUTED_VALUE"""),-0.581992072445927)</f>
        <v>-0.58199207244592699</v>
      </c>
      <c r="AR59" s="3">
        <f ca="1">IFERROR(__xludf.DUMMYFUNCTION("""COMPUTED_VALUE"""),-0.617735670232619)</f>
        <v>-0.61773567023261899</v>
      </c>
      <c r="AS59" s="3">
        <f ca="1">IFERROR(__xludf.DUMMYFUNCTION("""COMPUTED_VALUE"""),-0.59729994972076)</f>
        <v>-0.59729994972075995</v>
      </c>
      <c r="AT59" s="3">
        <f ca="1">IFERROR(__xludf.DUMMYFUNCTION("""COMPUTED_VALUE"""),-0.495084383377784)</f>
        <v>-0.49508438337778399</v>
      </c>
      <c r="AU59" s="3">
        <f ca="1">IFERROR(__xludf.DUMMYFUNCTION("""COMPUTED_VALUE"""),-0.501550345215966)</f>
        <v>-0.50155034521596598</v>
      </c>
      <c r="AV59" s="3">
        <f ca="1">IFERROR(__xludf.DUMMYFUNCTION("""COMPUTED_VALUE"""),-0.5926161499905)</f>
        <v>-0.59261614999050005</v>
      </c>
      <c r="AW59" s="3">
        <f ca="1">IFERROR(__xludf.DUMMYFUNCTION("""COMPUTED_VALUE"""),-0.618205381173583)</f>
        <v>-0.61820538117358304</v>
      </c>
      <c r="AX59" s="3">
        <f ca="1">IFERROR(__xludf.DUMMYFUNCTION("""COMPUTED_VALUE"""),-0.608945433245269)</f>
        <v>-0.60894543324526895</v>
      </c>
      <c r="AY59" s="3">
        <f ca="1">IFERROR(__xludf.DUMMYFUNCTION("""COMPUTED_VALUE"""),-0.60359689673155)</f>
        <v>-0.60359689673155004</v>
      </c>
      <c r="AZ59" s="3">
        <f ca="1">IFERROR(__xludf.DUMMYFUNCTION("""COMPUTED_VALUE"""),-0.587446354351891)</f>
        <v>-0.58744635435189096</v>
      </c>
      <c r="BA59" s="3">
        <f ca="1">IFERROR(__xludf.DUMMYFUNCTION("""COMPUTED_VALUE"""),-0.539791780158662)</f>
        <v>-0.53979178015866203</v>
      </c>
      <c r="BB59" s="3">
        <f ca="1">IFERROR(__xludf.DUMMYFUNCTION("""COMPUTED_VALUE"""),-0.543482198848646)</f>
        <v>-0.54348219884864601</v>
      </c>
      <c r="BC59" s="3">
        <f ca="1">IFERROR(__xludf.DUMMYFUNCTION("""COMPUTED_VALUE"""),-0.591412994793136)</f>
        <v>-0.59141299479313603</v>
      </c>
      <c r="BD59" s="3">
        <f ca="1">IFERROR(__xludf.DUMMYFUNCTION("""COMPUTED_VALUE"""),-0.60329742774598)</f>
        <v>-0.60329742774598005</v>
      </c>
      <c r="BE59" s="3">
        <f ca="1">IFERROR(__xludf.DUMMYFUNCTION("""COMPUTED_VALUE"""),-0.603093274339547)</f>
        <v>-0.60309327433954696</v>
      </c>
      <c r="BF59" s="3">
        <f ca="1">IFERROR(__xludf.DUMMYFUNCTION("""COMPUTED_VALUE"""),-0.6053694422356)</f>
        <v>-0.60536944223559996</v>
      </c>
      <c r="BG59" s="3">
        <f ca="1">IFERROR(__xludf.DUMMYFUNCTION("""COMPUTED_VALUE"""),-0.658427720092862)</f>
        <v>-0.65842772009286199</v>
      </c>
      <c r="BH59" s="3">
        <f ca="1">IFERROR(__xludf.DUMMYFUNCTION("""COMPUTED_VALUE"""),-0.545509663346084)</f>
        <v>-0.54550966334608397</v>
      </c>
      <c r="BI59" s="3">
        <f ca="1">IFERROR(__xludf.DUMMYFUNCTION("""COMPUTED_VALUE"""),-0.500602291664185)</f>
        <v>-0.50060229166418502</v>
      </c>
      <c r="BJ59" s="3">
        <f ca="1">IFERROR(__xludf.DUMMYFUNCTION("""COMPUTED_VALUE"""),-0.599454198828358)</f>
        <v>-0.59945419882835804</v>
      </c>
      <c r="BK59" s="3">
        <f ca="1">IFERROR(__xludf.DUMMYFUNCTION("""COMPUTED_VALUE"""),-0.67037898680299)</f>
        <v>-0.67037898680299002</v>
      </c>
      <c r="BL59" s="3">
        <f ca="1">IFERROR(__xludf.DUMMYFUNCTION("""COMPUTED_VALUE"""),-0.680927153369863)</f>
        <v>-0.68092715336986298</v>
      </c>
      <c r="BM59" s="3">
        <f ca="1">IFERROR(__xludf.DUMMYFUNCTION("""COMPUTED_VALUE"""),-0.677818244509637)</f>
        <v>-0.67781824450963701</v>
      </c>
      <c r="BN59" s="3">
        <f ca="1">IFERROR(__xludf.DUMMYFUNCTION("""COMPUTED_VALUE"""),-0.683737452372408)</f>
        <v>-0.68373745237240802</v>
      </c>
      <c r="BO59" s="3">
        <f ca="1">IFERROR(__xludf.DUMMYFUNCTION("""COMPUTED_VALUE"""),-0.643627998835081)</f>
        <v>-0.64362799883508104</v>
      </c>
      <c r="BP59" s="3">
        <f ca="1">IFERROR(__xludf.DUMMYFUNCTION("""COMPUTED_VALUE"""),-0.610417947338256)</f>
        <v>-0.61041794733825605</v>
      </c>
      <c r="BQ59" s="3">
        <f ca="1">IFERROR(__xludf.DUMMYFUNCTION("""COMPUTED_VALUE"""),-0.651921083715)</f>
        <v>-0.65192108371500002</v>
      </c>
      <c r="BR59" s="3">
        <f ca="1">IFERROR(__xludf.DUMMYFUNCTION("""COMPUTED_VALUE"""),-0.660890136538337)</f>
        <v>-0.66089013653833695</v>
      </c>
      <c r="BS59" s="3">
        <f ca="1">IFERROR(__xludf.DUMMYFUNCTION("""COMPUTED_VALUE"""),-0.602690632754561)</f>
        <v>-0.60269063275456103</v>
      </c>
      <c r="BT59" s="3">
        <f ca="1">IFERROR(__xludf.DUMMYFUNCTION("""COMPUTED_VALUE"""),-0.655216833542008)</f>
        <v>-0.65521683354200799</v>
      </c>
      <c r="BU59" s="3">
        <f ca="1">IFERROR(__xludf.DUMMYFUNCTION("""COMPUTED_VALUE"""),-0.646794571442291)</f>
        <v>-0.64679457144229102</v>
      </c>
      <c r="BV59" s="3">
        <f ca="1">IFERROR(__xludf.DUMMYFUNCTION("""COMPUTED_VALUE"""),-0.493266217692384)</f>
        <v>-0.49326621769238399</v>
      </c>
      <c r="BW59" s="3">
        <f ca="1">IFERROR(__xludf.DUMMYFUNCTION("""COMPUTED_VALUE"""),-0.541245025009621)</f>
        <v>-0.54124502500962102</v>
      </c>
      <c r="BX59" s="3">
        <f ca="1">IFERROR(__xludf.DUMMYFUNCTION("""COMPUTED_VALUE"""),-0.655835183177281)</f>
        <v>-0.65583518317728096</v>
      </c>
      <c r="BY59" s="3">
        <f ca="1">IFERROR(__xludf.DUMMYFUNCTION("""COMPUTED_VALUE"""),-0.677260267357587)</f>
        <v>-0.67726026735758704</v>
      </c>
      <c r="BZ59" s="3">
        <f ca="1">IFERROR(__xludf.DUMMYFUNCTION("""COMPUTED_VALUE"""),-0.653960778697625)</f>
        <v>-0.65396077869762503</v>
      </c>
      <c r="CA59" s="3">
        <f ca="1">IFERROR(__xludf.DUMMYFUNCTION("""COMPUTED_VALUE"""),-0.728902550586325)</f>
        <v>-0.72890255058632503</v>
      </c>
      <c r="CB59" s="3">
        <f ca="1">IFERROR(__xludf.DUMMYFUNCTION("""COMPUTED_VALUE"""),-0.658420828952409)</f>
        <v>-0.65842082895240905</v>
      </c>
      <c r="CC59" s="3">
        <f ca="1">IFERROR(__xludf.DUMMYFUNCTION("""COMPUTED_VALUE"""),-0.563654028928054)</f>
        <v>-0.56365402892805405</v>
      </c>
      <c r="CD59" s="3">
        <f ca="1">IFERROR(__xludf.DUMMYFUNCTION("""COMPUTED_VALUE"""),-0.593780054929693)</f>
        <v>-0.59378005492969299</v>
      </c>
      <c r="CE59" s="3">
        <f ca="1">IFERROR(__xludf.DUMMYFUNCTION("""COMPUTED_VALUE"""),-0.673434820054249)</f>
        <v>-0.67343482005424904</v>
      </c>
      <c r="CF59" s="3">
        <f ca="1">IFERROR(__xludf.DUMMYFUNCTION("""COMPUTED_VALUE"""),-0.664042412616683)</f>
        <v>-0.66404241261668295</v>
      </c>
      <c r="CG59" s="3">
        <f ca="1">IFERROR(__xludf.DUMMYFUNCTION("""COMPUTED_VALUE"""),-0.708894088322154)</f>
        <v>-0.70889408832215395</v>
      </c>
      <c r="CH59" s="3">
        <f ca="1">IFERROR(__xludf.DUMMYFUNCTION("""COMPUTED_VALUE"""),-0.678430453554031)</f>
        <v>-0.67843045355403098</v>
      </c>
      <c r="CI59" s="3">
        <f ca="1">IFERROR(__xludf.DUMMYFUNCTION("""COMPUTED_VALUE"""),-0.662185828670289)</f>
        <v>-0.66218582867028897</v>
      </c>
      <c r="CJ59" s="3">
        <f ca="1">IFERROR(__xludf.DUMMYFUNCTION("""COMPUTED_VALUE"""),-0.550673269184656)</f>
        <v>-0.55067326918465598</v>
      </c>
      <c r="CK59" s="3">
        <f ca="1">IFERROR(__xludf.DUMMYFUNCTION("""COMPUTED_VALUE"""),-0.573154464813328)</f>
        <v>-0.57315446481332799</v>
      </c>
      <c r="CL59" s="3">
        <f ca="1">IFERROR(__xludf.DUMMYFUNCTION("""COMPUTED_VALUE"""),-0.645786081352064)</f>
        <v>-0.64578608135206395</v>
      </c>
      <c r="CM59" s="3">
        <f ca="1">IFERROR(__xludf.DUMMYFUNCTION("""COMPUTED_VALUE"""),-0.678535201737467)</f>
        <v>-0.67853520173746695</v>
      </c>
      <c r="CN59" s="3">
        <f ca="1">IFERROR(__xludf.DUMMYFUNCTION("""COMPUTED_VALUE"""),-0.656913689857791)</f>
        <v>-0.65691368985779097</v>
      </c>
      <c r="CO59" s="3">
        <f ca="1">IFERROR(__xludf.DUMMYFUNCTION("""COMPUTED_VALUE"""),-0.664810170972159)</f>
        <v>-0.664810170972159</v>
      </c>
      <c r="CP59" s="3">
        <f ca="1">IFERROR(__xludf.DUMMYFUNCTION("""COMPUTED_VALUE"""),-0.640383456204646)</f>
        <v>-0.64038345620464598</v>
      </c>
      <c r="CQ59" s="3">
        <f ca="1">IFERROR(__xludf.DUMMYFUNCTION("""COMPUTED_VALUE"""),-0.604344003325977)</f>
        <v>-0.60434400332597704</v>
      </c>
      <c r="CR59" s="3">
        <f ca="1">IFERROR(__xludf.DUMMYFUNCTION("""COMPUTED_VALUE"""),-0.555305766073809)</f>
        <v>-0.55530576607380899</v>
      </c>
      <c r="CS59" s="3">
        <f ca="1">IFERROR(__xludf.DUMMYFUNCTION("""COMPUTED_VALUE"""),-0.63519531532828)</f>
        <v>-0.63519531532828</v>
      </c>
      <c r="CT59" s="3">
        <f ca="1">IFERROR(__xludf.DUMMYFUNCTION("""COMPUTED_VALUE"""),-0.640483317295126)</f>
        <v>-0.64048331729512598</v>
      </c>
      <c r="CU59" s="3">
        <f ca="1">IFERROR(__xludf.DUMMYFUNCTION("""COMPUTED_VALUE"""),-0.590125282586504)</f>
        <v>-0.59012528258650399</v>
      </c>
      <c r="CV59" s="3">
        <f ca="1">IFERROR(__xludf.DUMMYFUNCTION("""COMPUTED_VALUE"""),-0.653605345267328)</f>
        <v>-0.65360534526732805</v>
      </c>
      <c r="CW59" s="3">
        <f ca="1">IFERROR(__xludf.DUMMYFUNCTION("""COMPUTED_VALUE"""),-0.633259253073689)</f>
        <v>-0.63325925307368902</v>
      </c>
      <c r="CX59" s="3">
        <f ca="1">IFERROR(__xludf.DUMMYFUNCTION("""COMPUTED_VALUE"""),-0.592032604026193)</f>
        <v>-0.59203260402619295</v>
      </c>
      <c r="CY59" s="3">
        <f ca="1">IFERROR(__xludf.DUMMYFUNCTION("""COMPUTED_VALUE"""),-0.602016422598032)</f>
        <v>-0.60201642259803201</v>
      </c>
      <c r="CZ59" s="3">
        <f ca="1">IFERROR(__xludf.DUMMYFUNCTION("""COMPUTED_VALUE"""),-0.666760360819156)</f>
        <v>-0.66676036081915602</v>
      </c>
      <c r="DA59" s="3">
        <f ca="1">IFERROR(__xludf.DUMMYFUNCTION("""COMPUTED_VALUE"""),-0.62593232071489)</f>
        <v>-0.62593232071489002</v>
      </c>
      <c r="DB59" s="3">
        <f ca="1">IFERROR(__xludf.DUMMYFUNCTION("""COMPUTED_VALUE"""),-0.437386790445158)</f>
        <v>-0.43738679044515799</v>
      </c>
      <c r="DC59" s="3">
        <f ca="1">IFERROR(__xludf.DUMMYFUNCTION("""COMPUTED_VALUE"""),-0.541698026406826)</f>
        <v>-0.54169802640682596</v>
      </c>
      <c r="DD59" s="3">
        <f ca="1">IFERROR(__xludf.DUMMYFUNCTION("""COMPUTED_VALUE"""),-0.618481072868144)</f>
        <v>-0.61848107286814402</v>
      </c>
      <c r="DE59" s="3">
        <f ca="1">IFERROR(__xludf.DUMMYFUNCTION("""COMPUTED_VALUE"""),-0.605486283659685)</f>
        <v>-0.60548628365968504</v>
      </c>
      <c r="DF59" s="3">
        <f ca="1">IFERROR(__xludf.DUMMYFUNCTION("""COMPUTED_VALUE"""),-0.647963692641685)</f>
        <v>-0.64796369264168496</v>
      </c>
      <c r="DG59" s="3">
        <f ca="1">IFERROR(__xludf.DUMMYFUNCTION("""COMPUTED_VALUE"""),-0.800362025887548)</f>
        <v>-0.80036202588754801</v>
      </c>
      <c r="DH59" s="3">
        <f ca="1">IFERROR(__xludf.DUMMYFUNCTION("""COMPUTED_VALUE"""),-0.712479122207228)</f>
        <v>-0.71247912220722798</v>
      </c>
      <c r="DI59" s="3">
        <f ca="1">IFERROR(__xludf.DUMMYFUNCTION("""COMPUTED_VALUE"""),-0.436980961721085)</f>
        <v>-0.43698096172108503</v>
      </c>
      <c r="DJ59" s="3">
        <f ca="1">IFERROR(__xludf.DUMMYFUNCTION("""COMPUTED_VALUE"""),-0.562798884031811)</f>
        <v>-0.562798884031811</v>
      </c>
      <c r="DK59" s="3">
        <f ca="1">IFERROR(__xludf.DUMMYFUNCTION("""COMPUTED_VALUE"""),-0.571679791668479)</f>
        <v>-0.57167979166847904</v>
      </c>
      <c r="DL59" s="3">
        <f ca="1">IFERROR(__xludf.DUMMYFUNCTION("""COMPUTED_VALUE"""),-0.600671420794592)</f>
        <v>-0.60067142079459201</v>
      </c>
      <c r="DM59" s="3">
        <f ca="1">IFERROR(__xludf.DUMMYFUNCTION("""COMPUTED_VALUE"""),-0.592331336123383)</f>
        <v>-0.59233133612338296</v>
      </c>
      <c r="DN59" s="3">
        <f ca="1">IFERROR(__xludf.DUMMYFUNCTION("""COMPUTED_VALUE"""),-0.599957276969956)</f>
        <v>-0.59995727696995604</v>
      </c>
      <c r="DO59" s="3">
        <f ca="1">IFERROR(__xludf.DUMMYFUNCTION("""COMPUTED_VALUE"""),-0.633954848260514)</f>
        <v>-0.63395484826051396</v>
      </c>
      <c r="DP59" s="3">
        <f ca="1">IFERROR(__xludf.DUMMYFUNCTION("""COMPUTED_VALUE"""),-0.545750630007533)</f>
        <v>-0.54575063000753299</v>
      </c>
      <c r="DQ59" s="3">
        <f ca="1">IFERROR(__xludf.DUMMYFUNCTION("""COMPUTED_VALUE"""),-0.621471937849659)</f>
        <v>-0.62147193784965904</v>
      </c>
      <c r="DR59" s="3">
        <f ca="1">IFERROR(__xludf.DUMMYFUNCTION("""COMPUTED_VALUE"""),-0.641088019086148)</f>
        <v>-0.64108801908614799</v>
      </c>
      <c r="DS59" s="3">
        <f ca="1">IFERROR(__xludf.DUMMYFUNCTION("""COMPUTED_VALUE"""),-0.568963988428106)</f>
        <v>-0.56896398842810603</v>
      </c>
      <c r="DT59" s="3">
        <f ca="1">IFERROR(__xludf.DUMMYFUNCTION("""COMPUTED_VALUE"""),-0.611426335361447)</f>
        <v>-0.61142633536144697</v>
      </c>
      <c r="DU59" s="3">
        <f ca="1">IFERROR(__xludf.DUMMYFUNCTION("""COMPUTED_VALUE"""),-0.649518747221246)</f>
        <v>-0.64951874722124603</v>
      </c>
      <c r="DV59" s="3">
        <f ca="1">IFERROR(__xludf.DUMMYFUNCTION("""COMPUTED_VALUE"""),-0.624215481816625)</f>
        <v>-0.62421548181662501</v>
      </c>
      <c r="DW59" s="3">
        <f ca="1">IFERROR(__xludf.DUMMYFUNCTION("""COMPUTED_VALUE"""),-0.631101764882699)</f>
        <v>-0.63110176488269898</v>
      </c>
      <c r="DX59" s="3">
        <f ca="1">IFERROR(__xludf.DUMMYFUNCTION("""COMPUTED_VALUE"""),-0.660138613266151)</f>
        <v>-0.66013861326615098</v>
      </c>
      <c r="DY59" s="3">
        <f ca="1">IFERROR(__xludf.DUMMYFUNCTION("""COMPUTED_VALUE"""),-0.654843415195934)</f>
        <v>-0.65484341519593403</v>
      </c>
      <c r="DZ59" s="3">
        <f ca="1">IFERROR(__xludf.DUMMYFUNCTION("""COMPUTED_VALUE"""),-0.526082113519677)</f>
        <v>-0.52608211351967704</v>
      </c>
      <c r="EA59" s="3">
        <f ca="1">IFERROR(__xludf.DUMMYFUNCTION("""COMPUTED_VALUE"""),-0.545277071864021)</f>
        <v>-0.54527707186402097</v>
      </c>
      <c r="EB59" s="3">
        <f ca="1">IFERROR(__xludf.DUMMYFUNCTION("""COMPUTED_VALUE"""),-0.55901660178794)</f>
        <v>-0.55901660178793999</v>
      </c>
      <c r="EC59" s="3">
        <f ca="1">IFERROR(__xludf.DUMMYFUNCTION("""COMPUTED_VALUE"""),-0.571605403995599)</f>
        <v>-0.571605403995599</v>
      </c>
      <c r="ED59" s="3">
        <f ca="1">IFERROR(__xludf.DUMMYFUNCTION("""COMPUTED_VALUE"""),-0.618520254744734)</f>
        <v>-0.61852025474473404</v>
      </c>
      <c r="EE59" s="3">
        <f ca="1">IFERROR(__xludf.DUMMYFUNCTION("""COMPUTED_VALUE"""),-0.622947778420006)</f>
        <v>-0.62294777842000604</v>
      </c>
      <c r="EF59" s="3">
        <f ca="1">IFERROR(__xludf.DUMMYFUNCTION("""COMPUTED_VALUE"""),-0.673696191537536)</f>
        <v>-0.67369619153753602</v>
      </c>
      <c r="EG59" s="3">
        <f ca="1">IFERROR(__xludf.DUMMYFUNCTION("""COMPUTED_VALUE"""),-0.539647438036122)</f>
        <v>-0.53964743803612203</v>
      </c>
      <c r="EH59" s="3">
        <f ca="1">IFERROR(__xludf.DUMMYFUNCTION("""COMPUTED_VALUE"""),-0.567462123834884)</f>
        <v>-0.56746212383488404</v>
      </c>
      <c r="EI59" s="3">
        <f ca="1">IFERROR(__xludf.DUMMYFUNCTION("""COMPUTED_VALUE"""),-0.639220114530847)</f>
        <v>-0.63922011453084704</v>
      </c>
      <c r="EJ59" s="3">
        <f ca="1">IFERROR(__xludf.DUMMYFUNCTION("""COMPUTED_VALUE"""),-0.732238257418383)</f>
        <v>-0.732238257418383</v>
      </c>
      <c r="EK59" s="3">
        <f ca="1">IFERROR(__xludf.DUMMYFUNCTION("""COMPUTED_VALUE"""),-0.680644220411077)</f>
        <v>-0.68064422041107697</v>
      </c>
      <c r="EL59" s="3">
        <f ca="1">IFERROR(__xludf.DUMMYFUNCTION("""COMPUTED_VALUE"""),-0.658610327423944)</f>
        <v>-0.65861032742394399</v>
      </c>
      <c r="EM59" s="3">
        <f ca="1">IFERROR(__xludf.DUMMYFUNCTION("""COMPUTED_VALUE"""),-0.622126997342837)</f>
        <v>-0.62212699734283705</v>
      </c>
      <c r="EN59" s="3">
        <f ca="1">IFERROR(__xludf.DUMMYFUNCTION("""COMPUTED_VALUE"""),-0.492229210297901)</f>
        <v>-0.49222921029790101</v>
      </c>
      <c r="EO59" s="3">
        <f ca="1">IFERROR(__xludf.DUMMYFUNCTION("""COMPUTED_VALUE"""),-0.541121168879833)</f>
        <v>-0.54112116887983297</v>
      </c>
      <c r="EP59" s="3">
        <f ca="1">IFERROR(__xludf.DUMMYFUNCTION("""COMPUTED_VALUE"""),-0.613140767424547)</f>
        <v>-0.61314076742454704</v>
      </c>
      <c r="EQ59" s="3">
        <f ca="1">IFERROR(__xludf.DUMMYFUNCTION("""COMPUTED_VALUE"""),-0.540071419629495)</f>
        <v>-0.54007141962949501</v>
      </c>
      <c r="ER59" s="3">
        <f ca="1">IFERROR(__xludf.DUMMYFUNCTION("""COMPUTED_VALUE"""),-0.598176103862614)</f>
        <v>-0.59817610386261399</v>
      </c>
      <c r="ES59" s="3">
        <f ca="1">IFERROR(__xludf.DUMMYFUNCTION("""COMPUTED_VALUE"""),-0.626131788507757)</f>
        <v>-0.62613178850775697</v>
      </c>
      <c r="ET59" s="3">
        <f ca="1">IFERROR(__xludf.DUMMYFUNCTION("""COMPUTED_VALUE"""),-0.627790605502635)</f>
        <v>-0.62779060550263499</v>
      </c>
      <c r="EU59" s="3">
        <f ca="1">IFERROR(__xludf.DUMMYFUNCTION("""COMPUTED_VALUE"""),-0.536605062981333)</f>
        <v>-0.53660506298133304</v>
      </c>
      <c r="EV59" s="3">
        <f ca="1">IFERROR(__xludf.DUMMYFUNCTION("""COMPUTED_VALUE"""),-0.507145414742957)</f>
        <v>-0.50714541474295705</v>
      </c>
      <c r="EW59" s="3">
        <f ca="1">IFERROR(__xludf.DUMMYFUNCTION("""COMPUTED_VALUE"""),-0.60856315546192)</f>
        <v>-0.60856315546191997</v>
      </c>
      <c r="EX59" s="3">
        <f ca="1">IFERROR(__xludf.DUMMYFUNCTION("""COMPUTED_VALUE"""),-0.618226048323862)</f>
        <v>-0.61822604832386197</v>
      </c>
      <c r="EY59" s="3">
        <f ca="1">IFERROR(__xludf.DUMMYFUNCTION("""COMPUTED_VALUE"""),-0.651038561087371)</f>
        <v>-0.65103856108737101</v>
      </c>
      <c r="EZ59" s="3">
        <f ca="1">IFERROR(__xludf.DUMMYFUNCTION("""COMPUTED_VALUE"""),-0.657864847675606)</f>
        <v>-0.65786484767560605</v>
      </c>
      <c r="FA59" s="3">
        <f ca="1">IFERROR(__xludf.DUMMYFUNCTION("""COMPUTED_VALUE"""),-0.636936394746029)</f>
        <v>-0.63693639474602903</v>
      </c>
      <c r="FB59" s="3">
        <f ca="1">IFERROR(__xludf.DUMMYFUNCTION("""COMPUTED_VALUE"""),-0.539649115859785)</f>
        <v>-0.53964911585978503</v>
      </c>
      <c r="FC59" s="3">
        <f ca="1">IFERROR(__xludf.DUMMYFUNCTION("""COMPUTED_VALUE"""),-0.50900750653515)</f>
        <v>-0.50900750653515003</v>
      </c>
      <c r="FD59" s="3">
        <f ca="1">IFERROR(__xludf.DUMMYFUNCTION("""COMPUTED_VALUE"""),-0.587550287078537)</f>
        <v>-0.58755028707853696</v>
      </c>
      <c r="FE59" s="3">
        <f ca="1">IFERROR(__xludf.DUMMYFUNCTION("""COMPUTED_VALUE"""),-0.624646250922051)</f>
        <v>-0.62464625092205095</v>
      </c>
      <c r="FF59" s="3">
        <f ca="1">IFERROR(__xludf.DUMMYFUNCTION("""COMPUTED_VALUE"""),-0.606801994076613)</f>
        <v>-0.60680199407661295</v>
      </c>
      <c r="FG59" s="3">
        <f ca="1">IFERROR(__xludf.DUMMYFUNCTION("""COMPUTED_VALUE"""),-0.599520856628436)</f>
        <v>-0.59952085662843602</v>
      </c>
      <c r="FH59" s="3">
        <f ca="1">IFERROR(__xludf.DUMMYFUNCTION("""COMPUTED_VALUE"""),-0.620239326770984)</f>
        <v>-0.62023932677098403</v>
      </c>
      <c r="FI59" s="3">
        <f ca="1">IFERROR(__xludf.DUMMYFUNCTION("""COMPUTED_VALUE"""),-0.578851042943878)</f>
        <v>-0.57885104294387801</v>
      </c>
      <c r="FJ59" s="3">
        <f ca="1">IFERROR(__xludf.DUMMYFUNCTION("""COMPUTED_VALUE"""),-0.519090194278447)</f>
        <v>-0.51909019427844705</v>
      </c>
      <c r="FK59" s="3">
        <f ca="1">IFERROR(__xludf.DUMMYFUNCTION("""COMPUTED_VALUE"""),-0.594823627614844)</f>
        <v>-0.59482362761484397</v>
      </c>
      <c r="FL59" s="3">
        <f ca="1">IFERROR(__xludf.DUMMYFUNCTION("""COMPUTED_VALUE"""),-0.621614069312137)</f>
        <v>-0.62161406931213703</v>
      </c>
      <c r="FM59" s="3">
        <f ca="1">IFERROR(__xludf.DUMMYFUNCTION("""COMPUTED_VALUE"""),-0.626724718347278)</f>
        <v>-0.62672471834727805</v>
      </c>
      <c r="FN59" s="3">
        <f ca="1">IFERROR(__xludf.DUMMYFUNCTION("""COMPUTED_VALUE"""),-0.626062932011223)</f>
        <v>-0.62606293201122298</v>
      </c>
      <c r="FO59" s="3">
        <f ca="1">IFERROR(__xludf.DUMMYFUNCTION("""COMPUTED_VALUE"""),-0.612437938494345)</f>
        <v>-0.61243793849434502</v>
      </c>
      <c r="FP59" s="3">
        <f ca="1">IFERROR(__xludf.DUMMYFUNCTION("""COMPUTED_VALUE"""),-0.534658618920769)</f>
        <v>-0.53465861892076905</v>
      </c>
      <c r="FQ59" s="3">
        <f ca="1">IFERROR(__xludf.DUMMYFUNCTION("""COMPUTED_VALUE"""),-0.527427239592435)</f>
        <v>-0.52742723959243498</v>
      </c>
      <c r="FR59" s="3">
        <f ca="1">IFERROR(__xludf.DUMMYFUNCTION("""COMPUTED_VALUE"""),-0.645143820670739)</f>
        <v>-0.64514382067073905</v>
      </c>
      <c r="FS59" s="3">
        <f ca="1">IFERROR(__xludf.DUMMYFUNCTION("""COMPUTED_VALUE"""),-0.650201612286871)</f>
        <v>-0.65020161228687101</v>
      </c>
      <c r="FT59" s="3">
        <f ca="1">IFERROR(__xludf.DUMMYFUNCTION("""COMPUTED_VALUE"""),-0.614151963716651)</f>
        <v>-0.61415196371665104</v>
      </c>
      <c r="FU59" s="3">
        <f ca="1">IFERROR(__xludf.DUMMYFUNCTION("""COMPUTED_VALUE"""),-0.606394880242151)</f>
        <v>-0.60639488024215105</v>
      </c>
      <c r="FV59" s="3">
        <f ca="1">IFERROR(__xludf.DUMMYFUNCTION("""COMPUTED_VALUE"""),-0.589810786844349)</f>
        <v>-0.58981078684434896</v>
      </c>
      <c r="FW59" s="3">
        <f ca="1">IFERROR(__xludf.DUMMYFUNCTION("""COMPUTED_VALUE"""),-0.523797878588586)</f>
        <v>-0.52379787858858595</v>
      </c>
      <c r="FX59" s="3">
        <f ca="1">IFERROR(__xludf.DUMMYFUNCTION("""COMPUTED_VALUE"""),-0.511936463865898)</f>
        <v>-0.51193646386589797</v>
      </c>
      <c r="FY59" s="3">
        <f ca="1">IFERROR(__xludf.DUMMYFUNCTION("""COMPUTED_VALUE"""),-0.608280490128877)</f>
        <v>-0.60828049012887697</v>
      </c>
      <c r="FZ59" s="3">
        <f ca="1">IFERROR(__xludf.DUMMYFUNCTION("""COMPUTED_VALUE"""),-0.623711912862319)</f>
        <v>-0.62371191286231897</v>
      </c>
      <c r="GA59" s="3">
        <f ca="1">IFERROR(__xludf.DUMMYFUNCTION("""COMPUTED_VALUE"""),-0.649044147052913)</f>
        <v>-0.64904414705291302</v>
      </c>
      <c r="GB59" s="3">
        <f ca="1">IFERROR(__xludf.DUMMYFUNCTION("""COMPUTED_VALUE"""),-0.6118071953287)</f>
        <v>-0.61180719532869998</v>
      </c>
      <c r="GC59" s="3">
        <f ca="1">IFERROR(__xludf.DUMMYFUNCTION("""COMPUTED_VALUE"""),-0.623971989554027)</f>
        <v>-0.623971989554027</v>
      </c>
      <c r="GD59" s="3">
        <f ca="1">IFERROR(__xludf.DUMMYFUNCTION("""COMPUTED_VALUE"""),-0.459975831820676)</f>
        <v>-0.45997583182067597</v>
      </c>
      <c r="GE59" s="3">
        <f ca="1">IFERROR(__xludf.DUMMYFUNCTION("""COMPUTED_VALUE"""),-0.500027519010625)</f>
        <v>-0.50002751901062503</v>
      </c>
      <c r="GF59" s="3">
        <f ca="1">IFERROR(__xludf.DUMMYFUNCTION("""COMPUTED_VALUE"""),-0.585164828045731)</f>
        <v>-0.585164828045731</v>
      </c>
      <c r="GG59" s="3">
        <f ca="1">IFERROR(__xludf.DUMMYFUNCTION("""COMPUTED_VALUE"""),-0.607710193663457)</f>
        <v>-0.60771019366345702</v>
      </c>
      <c r="GH59" s="3">
        <f ca="1">IFERROR(__xludf.DUMMYFUNCTION("""COMPUTED_VALUE"""),-0.61425261422536)</f>
        <v>-0.61425261422536004</v>
      </c>
      <c r="GI59" s="3">
        <f ca="1">IFERROR(__xludf.DUMMYFUNCTION("""COMPUTED_VALUE"""),-0.592568802532933)</f>
        <v>-0.59256880253293298</v>
      </c>
      <c r="GJ59" s="3">
        <f ca="1">IFERROR(__xludf.DUMMYFUNCTION("""COMPUTED_VALUE"""),-0.57891339439795)</f>
        <v>-0.57891339439794998</v>
      </c>
      <c r="GK59" s="3">
        <f ca="1">IFERROR(__xludf.DUMMYFUNCTION("""COMPUTED_VALUE"""),-0.474153936970471)</f>
        <v>-0.47415393697047098</v>
      </c>
      <c r="GL59" s="3">
        <f ca="1">IFERROR(__xludf.DUMMYFUNCTION("""COMPUTED_VALUE"""),-0.511905536968001)</f>
        <v>-0.51190553696800101</v>
      </c>
      <c r="GM59" s="3">
        <f ca="1">IFERROR(__xludf.DUMMYFUNCTION("""COMPUTED_VALUE"""),-0.560482853370644)</f>
        <v>-0.56048285337064396</v>
      </c>
      <c r="GN59" s="3">
        <f ca="1">IFERROR(__xludf.DUMMYFUNCTION("""COMPUTED_VALUE"""),-0.627965701817274)</f>
        <v>-0.62796570181727396</v>
      </c>
      <c r="GO59" s="3">
        <f ca="1">IFERROR(__xludf.DUMMYFUNCTION("""COMPUTED_VALUE"""),-0.652498264659469)</f>
        <v>-0.65249826465946903</v>
      </c>
      <c r="GP59" s="3">
        <f ca="1">IFERROR(__xludf.DUMMYFUNCTION("""COMPUTED_VALUE"""),-0.634740263717154)</f>
        <v>-0.63474026371715397</v>
      </c>
      <c r="GQ59" s="3">
        <f ca="1">IFERROR(__xludf.DUMMYFUNCTION("""COMPUTED_VALUE"""),-0.658813131218954)</f>
        <v>-0.65881313121895402</v>
      </c>
      <c r="GR59" s="3">
        <f ca="1">IFERROR(__xludf.DUMMYFUNCTION("""COMPUTED_VALUE"""),-0.463202066246218)</f>
        <v>-0.46320206624621801</v>
      </c>
      <c r="GS59" s="3">
        <f ca="1">IFERROR(__xludf.DUMMYFUNCTION("""COMPUTED_VALUE"""),-0.493521703058592)</f>
        <v>-0.493521703058592</v>
      </c>
      <c r="GT59" s="3">
        <f ca="1">IFERROR(__xludf.DUMMYFUNCTION("""COMPUTED_VALUE"""),-0.556224065287846)</f>
        <v>-0.55622406528784596</v>
      </c>
      <c r="GU59" s="3">
        <f ca="1">IFERROR(__xludf.DUMMYFUNCTION("""COMPUTED_VALUE"""),-0.607202153941188)</f>
        <v>-0.60720215394118804</v>
      </c>
      <c r="GV59" s="3">
        <f ca="1">IFERROR(__xludf.DUMMYFUNCTION("""COMPUTED_VALUE"""),-0.617392548278333)</f>
        <v>-0.61739254827833301</v>
      </c>
      <c r="GW59" s="3">
        <f ca="1">IFERROR(__xludf.DUMMYFUNCTION("""COMPUTED_VALUE"""),-0.599494038622791)</f>
        <v>-0.59949403862279105</v>
      </c>
      <c r="GX59" s="3">
        <f ca="1">IFERROR(__xludf.DUMMYFUNCTION("""COMPUTED_VALUE"""),-0.5695792891319)</f>
        <v>-0.56957928913190004</v>
      </c>
      <c r="GY59" s="3">
        <f ca="1">IFERROR(__xludf.DUMMYFUNCTION("""COMPUTED_VALUE"""),-0.424449103658377)</f>
        <v>-0.42444910365837701</v>
      </c>
      <c r="GZ59" s="3">
        <f ca="1">IFERROR(__xludf.DUMMYFUNCTION("""COMPUTED_VALUE"""),-0.430383043790863)</f>
        <v>-0.43038304379086301</v>
      </c>
      <c r="HA59" s="3">
        <f ca="1">IFERROR(__xludf.DUMMYFUNCTION("""COMPUTED_VALUE"""),-0.565552172272426)</f>
        <v>-0.56555217227242605</v>
      </c>
      <c r="HB59" s="3">
        <f ca="1">IFERROR(__xludf.DUMMYFUNCTION("""COMPUTED_VALUE"""),-0.582237883850976)</f>
        <v>-0.58223788385097597</v>
      </c>
      <c r="HC59" s="3">
        <f ca="1">IFERROR(__xludf.DUMMYFUNCTION("""COMPUTED_VALUE"""),-0.612391644169878)</f>
        <v>-0.61239164416987801</v>
      </c>
      <c r="HD59" s="3">
        <f ca="1">IFERROR(__xludf.DUMMYFUNCTION("""COMPUTED_VALUE"""),-0.606235575612752)</f>
        <v>-0.60623557561275199</v>
      </c>
      <c r="HE59" s="3">
        <f ca="1">IFERROR(__xludf.DUMMYFUNCTION("""COMPUTED_VALUE"""),-0.611780026361305)</f>
        <v>-0.61178002636130502</v>
      </c>
      <c r="HF59" s="3">
        <f ca="1">IFERROR(__xludf.DUMMYFUNCTION("""COMPUTED_VALUE"""),-0.469952852451318)</f>
        <v>-0.46995285245131801</v>
      </c>
      <c r="HG59" s="3">
        <f ca="1">IFERROR(__xludf.DUMMYFUNCTION("""COMPUTED_VALUE"""),-0.529445466343538)</f>
        <v>-0.52944546634353795</v>
      </c>
      <c r="HH59" s="3">
        <f ca="1">IFERROR(__xludf.DUMMYFUNCTION("""COMPUTED_VALUE"""),-0.597380100674731)</f>
        <v>-0.59738010067473102</v>
      </c>
      <c r="HI59" s="3">
        <f ca="1">IFERROR(__xludf.DUMMYFUNCTION("""COMPUTED_VALUE"""),-0.592139662034503)</f>
        <v>-0.59213966203450297</v>
      </c>
      <c r="HJ59" s="3">
        <f ca="1">IFERROR(__xludf.DUMMYFUNCTION("""COMPUTED_VALUE"""),-0.594498887384722)</f>
        <v>-0.59449888738472201</v>
      </c>
      <c r="HK59" s="3">
        <f ca="1">IFERROR(__xludf.DUMMYFUNCTION("""COMPUTED_VALUE"""),-0.630109542907384)</f>
        <v>-0.63010954290738397</v>
      </c>
      <c r="HL59" s="3">
        <f ca="1">IFERROR(__xludf.DUMMYFUNCTION("""COMPUTED_VALUE"""),-0.620195405945307)</f>
        <v>-0.62019540594530698</v>
      </c>
      <c r="HM59" s="3">
        <f ca="1">IFERROR(__xludf.DUMMYFUNCTION("""COMPUTED_VALUE"""),-0.49464222369928)</f>
        <v>-0.49464222369928001</v>
      </c>
      <c r="HN59" s="3">
        <f ca="1">IFERROR(__xludf.DUMMYFUNCTION("""COMPUTED_VALUE"""),-0.473705830055334)</f>
        <v>-0.47370583005533401</v>
      </c>
      <c r="HO59" s="3">
        <f ca="1">IFERROR(__xludf.DUMMYFUNCTION("""COMPUTED_VALUE"""),-0.5430888000671)</f>
        <v>-0.54308880006710003</v>
      </c>
      <c r="HP59" s="3">
        <f ca="1">IFERROR(__xludf.DUMMYFUNCTION("""COMPUTED_VALUE"""),-0.591103147900507)</f>
        <v>-0.591103147900507</v>
      </c>
      <c r="HQ59" s="3">
        <f ca="1">IFERROR(__xludf.DUMMYFUNCTION("""COMPUTED_VALUE"""),-0.602726179527094)</f>
        <v>-0.60272617952709395</v>
      </c>
      <c r="HR59" s="3">
        <f ca="1">IFERROR(__xludf.DUMMYFUNCTION("""COMPUTED_VALUE"""),-0.609697451601371)</f>
        <v>-0.60969745160137101</v>
      </c>
      <c r="HS59" s="3">
        <f ca="1">IFERROR(__xludf.DUMMYFUNCTION("""COMPUTED_VALUE"""),-0.591048760960144)</f>
        <v>-0.59104876096014403</v>
      </c>
      <c r="HT59" s="3">
        <f ca="1">IFERROR(__xludf.DUMMYFUNCTION("""COMPUTED_VALUE"""),-0.470000522059292)</f>
        <v>-0.47000052205929199</v>
      </c>
      <c r="HU59" s="3">
        <f ca="1">IFERROR(__xludf.DUMMYFUNCTION("""COMPUTED_VALUE"""),-0.49572270759347)</f>
        <v>-0.49572270759346998</v>
      </c>
      <c r="HV59" s="3">
        <f ca="1">IFERROR(__xludf.DUMMYFUNCTION("""COMPUTED_VALUE"""),-0.593389373210156)</f>
        <v>-0.59338937321015595</v>
      </c>
      <c r="HW59" s="3">
        <f ca="1">IFERROR(__xludf.DUMMYFUNCTION("""COMPUTED_VALUE"""),-0.604218683171295)</f>
        <v>-0.60421868317129501</v>
      </c>
      <c r="HX59" s="3">
        <f ca="1">IFERROR(__xludf.DUMMYFUNCTION("""COMPUTED_VALUE"""),-0.628091297347164)</f>
        <v>-0.62809129734716396</v>
      </c>
      <c r="HY59" s="3">
        <f ca="1">IFERROR(__xludf.DUMMYFUNCTION("""COMPUTED_VALUE"""),-0.613877157347647)</f>
        <v>-0.61387715734764703</v>
      </c>
      <c r="HZ59" s="3">
        <f ca="1">IFERROR(__xludf.DUMMYFUNCTION("""COMPUTED_VALUE"""),-0.518242145297385)</f>
        <v>-0.51824214529738499</v>
      </c>
      <c r="IA59" s="3">
        <f ca="1">IFERROR(__xludf.DUMMYFUNCTION("""COMPUTED_VALUE"""),-0.504647485169507)</f>
        <v>-0.50464748516950697</v>
      </c>
      <c r="IB59" s="3">
        <f ca="1">IFERROR(__xludf.DUMMYFUNCTION("""COMPUTED_VALUE"""),-0.522436675000759)</f>
        <v>-0.52243667500075897</v>
      </c>
      <c r="IC59" s="3">
        <f ca="1">IFERROR(__xludf.DUMMYFUNCTION("""COMPUTED_VALUE"""),-0.514751684259433)</f>
        <v>-0.51475168425943296</v>
      </c>
      <c r="ID59" s="3">
        <f ca="1">IFERROR(__xludf.DUMMYFUNCTION("""COMPUTED_VALUE"""),-0.602705797191862)</f>
        <v>-0.60270579719186201</v>
      </c>
      <c r="IE59" s="3">
        <f ca="1">IFERROR(__xludf.DUMMYFUNCTION("""COMPUTED_VALUE"""),-0.569275508711551)</f>
        <v>-0.56927550871155097</v>
      </c>
      <c r="IF59" s="3">
        <f ca="1">IFERROR(__xludf.DUMMYFUNCTION("""COMPUTED_VALUE"""),-0.583653657850606)</f>
        <v>-0.58365365785060597</v>
      </c>
      <c r="IG59" s="3">
        <f ca="1">IFERROR(__xludf.DUMMYFUNCTION("""COMPUTED_VALUE"""),-0.593661536323421)</f>
        <v>-0.593661536323421</v>
      </c>
      <c r="IH59" s="3">
        <f ca="1">IFERROR(__xludf.DUMMYFUNCTION("""COMPUTED_VALUE"""),-0.514297582915594)</f>
        <v>-0.51429758291559402</v>
      </c>
      <c r="II59" s="3">
        <f ca="1">IFERROR(__xludf.DUMMYFUNCTION("""COMPUTED_VALUE"""),-0.548586606059007)</f>
        <v>-0.548586606059007</v>
      </c>
      <c r="IJ59" s="3">
        <f ca="1">IFERROR(__xludf.DUMMYFUNCTION("""COMPUTED_VALUE"""),-0.565475251872181)</f>
        <v>-0.56547525187218095</v>
      </c>
      <c r="IK59" s="3">
        <f ca="1">IFERROR(__xludf.DUMMYFUNCTION("""COMPUTED_VALUE"""),-0.586824630424285)</f>
        <v>-0.58682463042428501</v>
      </c>
      <c r="IL59" s="3">
        <f ca="1">IFERROR(__xludf.DUMMYFUNCTION("""COMPUTED_VALUE"""),-0.576916255763131)</f>
        <v>-0.57691625576313099</v>
      </c>
      <c r="IM59" s="3">
        <f ca="1">IFERROR(__xludf.DUMMYFUNCTION("""COMPUTED_VALUE"""),-0.590315873945648)</f>
        <v>-0.590315873945648</v>
      </c>
      <c r="IN59" s="3">
        <f ca="1">IFERROR(__xludf.DUMMYFUNCTION("""COMPUTED_VALUE"""),-0.60072174332021)</f>
        <v>-0.60072174332021</v>
      </c>
      <c r="IO59" s="3">
        <f ca="1">IFERROR(__xludf.DUMMYFUNCTION("""COMPUTED_VALUE"""),-0.50182235663211)</f>
        <v>-0.50182235663210994</v>
      </c>
      <c r="IP59" s="3">
        <f ca="1">IFERROR(__xludf.DUMMYFUNCTION("""COMPUTED_VALUE"""),-0.51783239151701)</f>
        <v>-0.51783239151700999</v>
      </c>
      <c r="IQ59" s="3">
        <f ca="1">IFERROR(__xludf.DUMMYFUNCTION("""COMPUTED_VALUE"""),-0.529471454233545)</f>
        <v>-0.52947145423354502</v>
      </c>
      <c r="IR59" s="3">
        <f ca="1">IFERROR(__xludf.DUMMYFUNCTION("""COMPUTED_VALUE"""),-0.568272306130496)</f>
        <v>-0.56827230613049595</v>
      </c>
      <c r="IS59" s="3">
        <f ca="1">IFERROR(__xludf.DUMMYFUNCTION("""COMPUTED_VALUE"""),-0.565149091647836)</f>
        <v>-0.565149091647836</v>
      </c>
      <c r="IT59" s="3">
        <f ca="1">IFERROR(__xludf.DUMMYFUNCTION("""COMPUTED_VALUE"""),-0.535362488636491)</f>
        <v>-0.53536248863649105</v>
      </c>
      <c r="IU59" s="3">
        <f ca="1">IFERROR(__xludf.DUMMYFUNCTION("""COMPUTED_VALUE"""),-0.536347128061297)</f>
        <v>-0.53634712806129703</v>
      </c>
      <c r="IV59" s="3">
        <f ca="1">IFERROR(__xludf.DUMMYFUNCTION("""COMPUTED_VALUE"""),-0.544102716754876)</f>
        <v>-0.54410271675487598</v>
      </c>
      <c r="IW59" s="3">
        <f ca="1">IFERROR(__xludf.DUMMYFUNCTION("""COMPUTED_VALUE"""),-0.53525995550207)</f>
        <v>-0.53525995550206995</v>
      </c>
      <c r="IX59" s="3">
        <f ca="1">IFERROR(__xludf.DUMMYFUNCTION("""COMPUTED_VALUE"""),-0.544183812496209)</f>
        <v>-0.54418381249620895</v>
      </c>
      <c r="IY59" s="3">
        <f ca="1">IFERROR(__xludf.DUMMYFUNCTION("""COMPUTED_VALUE"""),-0.559046999142467)</f>
        <v>-0.55904699914246703</v>
      </c>
      <c r="IZ59" s="3">
        <f ca="1">IFERROR(__xludf.DUMMYFUNCTION("""COMPUTED_VALUE"""),-0.575250335741345)</f>
        <v>-0.57525033574134499</v>
      </c>
      <c r="JA59" s="3">
        <f ca="1">IFERROR(__xludf.DUMMYFUNCTION("""COMPUTED_VALUE"""),-0.584941231742554)</f>
        <v>-0.58494123174255397</v>
      </c>
      <c r="JB59" s="3">
        <f ca="1">IFERROR(__xludf.DUMMYFUNCTION("""COMPUTED_VALUE"""),-0.57156485733003)</f>
        <v>-0.57156485733003004</v>
      </c>
      <c r="JC59" s="3">
        <f ca="1">IFERROR(__xludf.DUMMYFUNCTION("""COMPUTED_VALUE"""),-0.54995305385419)</f>
        <v>-0.54995305385419002</v>
      </c>
      <c r="JD59" s="3">
        <f ca="1">IFERROR(__xludf.DUMMYFUNCTION("""COMPUTED_VALUE"""),-0.480084375821625)</f>
        <v>-0.480084375821625</v>
      </c>
      <c r="JE59" s="3">
        <f ca="1">IFERROR(__xludf.DUMMYFUNCTION("""COMPUTED_VALUE"""),-0.524813773443522)</f>
        <v>-0.52481377344352198</v>
      </c>
      <c r="JF59" s="3">
        <f ca="1">IFERROR(__xludf.DUMMYFUNCTION("""COMPUTED_VALUE"""),-0.595049025953161)</f>
        <v>-0.595049025953161</v>
      </c>
      <c r="JG59" s="3">
        <f ca="1">IFERROR(__xludf.DUMMYFUNCTION("""COMPUTED_VALUE"""),-0.583226948060456)</f>
        <v>-0.58322694806045605</v>
      </c>
      <c r="JH59" s="3">
        <f ca="1">IFERROR(__xludf.DUMMYFUNCTION("""COMPUTED_VALUE"""),-0.606533377054405)</f>
        <v>-0.60653337705440502</v>
      </c>
      <c r="JI59" s="3">
        <f ca="1">IFERROR(__xludf.DUMMYFUNCTION("""COMPUTED_VALUE"""),-0.571244854068478)</f>
        <v>-0.57124485406847803</v>
      </c>
      <c r="JJ59" s="3">
        <f ca="1">IFERROR(__xludf.DUMMYFUNCTION("""COMPUTED_VALUE"""),-0.481123612964783)</f>
        <v>-0.48112361296478301</v>
      </c>
      <c r="JK59" s="3">
        <f ca="1">IFERROR(__xludf.DUMMYFUNCTION("""COMPUTED_VALUE"""),-0.536688259901959)</f>
        <v>-0.53668825990195901</v>
      </c>
      <c r="JL59" s="3">
        <f ca="1">IFERROR(__xludf.DUMMYFUNCTION("""COMPUTED_VALUE"""),-0.551379287933733)</f>
        <v>-0.55137928793373303</v>
      </c>
      <c r="JM59" s="3">
        <f ca="1">IFERROR(__xludf.DUMMYFUNCTION("""COMPUTED_VALUE"""),-0.505005175569828)</f>
        <v>-0.50500517556982805</v>
      </c>
      <c r="JN59" s="3">
        <f ca="1">IFERROR(__xludf.DUMMYFUNCTION("""COMPUTED_VALUE"""),-0.602735308843492)</f>
        <v>-0.60273530884349202</v>
      </c>
      <c r="JO59" s="3">
        <f ca="1">IFERROR(__xludf.DUMMYFUNCTION("""COMPUTED_VALUE"""),-0.531994120163924)</f>
        <v>-0.531994120163924</v>
      </c>
      <c r="JP59" s="3">
        <f ca="1">IFERROR(__xludf.DUMMYFUNCTION("""COMPUTED_VALUE"""),-0.566796373930737)</f>
        <v>-0.56679637393073701</v>
      </c>
      <c r="JQ59" s="3">
        <f ca="1">IFERROR(__xludf.DUMMYFUNCTION("""COMPUTED_VALUE"""),-0.443065381090335)</f>
        <v>-0.443065381090335</v>
      </c>
      <c r="JR59" s="3">
        <f ca="1">IFERROR(__xludf.DUMMYFUNCTION("""COMPUTED_VALUE"""),-0.449244814435634)</f>
        <v>-0.44924481443563402</v>
      </c>
      <c r="JS59" s="3">
        <f ca="1">IFERROR(__xludf.DUMMYFUNCTION("""COMPUTED_VALUE"""),-0.52270110774312)</f>
        <v>-0.52270110774311995</v>
      </c>
      <c r="JT59" s="3">
        <f ca="1">IFERROR(__xludf.DUMMYFUNCTION("""COMPUTED_VALUE"""),-0.525227058429762)</f>
        <v>-0.52522705842976203</v>
      </c>
      <c r="JU59" s="3">
        <f ca="1">IFERROR(__xludf.DUMMYFUNCTION("""COMPUTED_VALUE"""),-0.607676958920977)</f>
        <v>-0.60767695892097695</v>
      </c>
      <c r="JV59" s="3">
        <f ca="1">IFERROR(__xludf.DUMMYFUNCTION("""COMPUTED_VALUE"""),-0.585482535845163)</f>
        <v>-0.58548253584516297</v>
      </c>
      <c r="JW59" s="3">
        <f ca="1">IFERROR(__xludf.DUMMYFUNCTION("""COMPUTED_VALUE"""),-0.602649485082373)</f>
        <v>-0.60264948508237304</v>
      </c>
      <c r="JX59" s="3">
        <f ca="1">IFERROR(__xludf.DUMMYFUNCTION("""COMPUTED_VALUE"""),-0.514300888752644)</f>
        <v>-0.51430088875264401</v>
      </c>
      <c r="JY59" s="3">
        <f ca="1">IFERROR(__xludf.DUMMYFUNCTION("""COMPUTED_VALUE"""),-0.574287163998811)</f>
        <v>-0.57428716399881097</v>
      </c>
      <c r="JZ59" s="3">
        <f ca="1">IFERROR(__xludf.DUMMYFUNCTION("""COMPUTED_VALUE"""),-0.560923277525365)</f>
        <v>-0.56092327752536497</v>
      </c>
      <c r="KA59" s="3">
        <f ca="1">IFERROR(__xludf.DUMMYFUNCTION("""COMPUTED_VALUE"""),-0.509588750668252)</f>
        <v>-0.50958875066825204</v>
      </c>
      <c r="KB59" s="3">
        <f ca="1">IFERROR(__xludf.DUMMYFUNCTION("""COMPUTED_VALUE"""),-0.573127859657965)</f>
        <v>-0.57312785965796498</v>
      </c>
      <c r="KC59" s="3">
        <f ca="1">IFERROR(__xludf.DUMMYFUNCTION("""COMPUTED_VALUE"""),-0.55643546516613)</f>
        <v>-0.55643546516612996</v>
      </c>
      <c r="KD59" s="3">
        <f ca="1">IFERROR(__xludf.DUMMYFUNCTION("""COMPUTED_VALUE"""),-0.575649843919438)</f>
        <v>-0.57564984391943796</v>
      </c>
      <c r="KE59" s="3">
        <f ca="1">IFERROR(__xludf.DUMMYFUNCTION("""COMPUTED_VALUE"""),-0.458708071854447)</f>
        <v>-0.45870807185444701</v>
      </c>
      <c r="KF59" s="3">
        <f ca="1">IFERROR(__xludf.DUMMYFUNCTION("""COMPUTED_VALUE"""),-0.455217838462472)</f>
        <v>-0.45521783846247199</v>
      </c>
      <c r="KG59" s="3">
        <f ca="1">IFERROR(__xludf.DUMMYFUNCTION("""COMPUTED_VALUE"""),-0.573936654704108)</f>
        <v>-0.57393665470410804</v>
      </c>
      <c r="KH59" s="3">
        <f ca="1">IFERROR(__xludf.DUMMYFUNCTION("""COMPUTED_VALUE"""),-0.560427445153129)</f>
        <v>-0.56042744515312903</v>
      </c>
      <c r="KI59" s="3">
        <f ca="1">IFERROR(__xludf.DUMMYFUNCTION("""COMPUTED_VALUE"""),-0.565868963715831)</f>
        <v>-0.56586896371583095</v>
      </c>
      <c r="KJ59" s="3">
        <f ca="1">IFERROR(__xludf.DUMMYFUNCTION("""COMPUTED_VALUE"""),-0.625722960471504)</f>
        <v>-0.625722960471504</v>
      </c>
      <c r="KK59" s="3">
        <f ca="1">IFERROR(__xludf.DUMMYFUNCTION("""COMPUTED_VALUE"""),-0.616817032188292)</f>
        <v>-0.61681703218829198</v>
      </c>
      <c r="KL59" s="3">
        <f ca="1">IFERROR(__xludf.DUMMYFUNCTION("""COMPUTED_VALUE"""),-0.528479860091772)</f>
        <v>-0.52847986009177195</v>
      </c>
      <c r="KM59" s="3">
        <f ca="1">IFERROR(__xludf.DUMMYFUNCTION("""COMPUTED_VALUE"""),-0.612538232626915)</f>
        <v>-0.61253823262691498</v>
      </c>
      <c r="KN59" s="3">
        <f ca="1">IFERROR(__xludf.DUMMYFUNCTION("""COMPUTED_VALUE"""),-0.596696884711685)</f>
        <v>-0.59669688471168503</v>
      </c>
      <c r="KO59" s="3">
        <f ca="1">IFERROR(__xludf.DUMMYFUNCTION("""COMPUTED_VALUE"""),-0.550777450303342)</f>
        <v>-0.55077745030334202</v>
      </c>
      <c r="KP59" s="3">
        <f ca="1">IFERROR(__xludf.DUMMYFUNCTION("""COMPUTED_VALUE"""),-0.554855079021791)</f>
        <v>-0.55485507902179099</v>
      </c>
      <c r="KQ59" s="3">
        <f ca="1">IFERROR(__xludf.DUMMYFUNCTION("""COMPUTED_VALUE"""),-0.59178684600431)</f>
        <v>-0.59178684600430997</v>
      </c>
      <c r="KR59" s="3">
        <f ca="1">IFERROR(__xludf.DUMMYFUNCTION("""COMPUTED_VALUE"""),-0.576191814752344)</f>
        <v>-0.57619181475234404</v>
      </c>
      <c r="KS59" s="3">
        <f ca="1">IFERROR(__xludf.DUMMYFUNCTION("""COMPUTED_VALUE"""),-0.528745441758423)</f>
        <v>-0.52874544175842297</v>
      </c>
      <c r="KT59" s="3">
        <f ca="1">IFERROR(__xludf.DUMMYFUNCTION("""COMPUTED_VALUE"""),-0.514812856814644)</f>
        <v>-0.51481285681464395</v>
      </c>
      <c r="KU59" s="3">
        <f ca="1">IFERROR(__xludf.DUMMYFUNCTION("""COMPUTED_VALUE"""),-0.572066562344077)</f>
        <v>-0.57206656234407705</v>
      </c>
      <c r="KV59" s="3">
        <f ca="1">IFERROR(__xludf.DUMMYFUNCTION("""COMPUTED_VALUE"""),-0.585251384913118)</f>
        <v>-0.58525138491311801</v>
      </c>
      <c r="KW59" s="3">
        <f ca="1">IFERROR(__xludf.DUMMYFUNCTION("""COMPUTED_VALUE"""),-0.652978837477749)</f>
        <v>-0.65297883747774899</v>
      </c>
      <c r="KX59" s="3">
        <f ca="1">IFERROR(__xludf.DUMMYFUNCTION("""COMPUTED_VALUE"""),-0.631887552496761)</f>
        <v>-0.63188755249676098</v>
      </c>
      <c r="KY59" s="3">
        <f ca="1">IFERROR(__xludf.DUMMYFUNCTION("""COMPUTED_VALUE"""),-0.584403748303363)</f>
        <v>-0.58440374830336295</v>
      </c>
      <c r="KZ59" s="3">
        <f ca="1">IFERROR(__xludf.DUMMYFUNCTION("""COMPUTED_VALUE"""),-0.598643643756116)</f>
        <v>-0.59864364375611601</v>
      </c>
      <c r="LA59" s="3">
        <f ca="1">IFERROR(__xludf.DUMMYFUNCTION("""COMPUTED_VALUE"""),-0.551567883802408)</f>
        <v>-0.55156788380240795</v>
      </c>
      <c r="LB59" s="3">
        <f ca="1">IFERROR(__xludf.DUMMYFUNCTION("""COMPUTED_VALUE"""),-0.678971371213069)</f>
        <v>-0.67897137121306905</v>
      </c>
      <c r="LC59" s="3">
        <f ca="1">IFERROR(__xludf.DUMMYFUNCTION("""COMPUTED_VALUE"""),-0.609777322132335)</f>
        <v>-0.60977732213233504</v>
      </c>
      <c r="LD59" s="3">
        <f ca="1">IFERROR(__xludf.DUMMYFUNCTION("""COMPUTED_VALUE"""),-0.609216653032104)</f>
        <v>-0.60921665303210404</v>
      </c>
      <c r="LE59" s="3">
        <f ca="1">IFERROR(__xludf.DUMMYFUNCTION("""COMPUTED_VALUE"""),-0.592934480267779)</f>
        <v>-0.59293448026777895</v>
      </c>
      <c r="LF59" s="3">
        <f ca="1">IFERROR(__xludf.DUMMYFUNCTION("""COMPUTED_VALUE"""),-0.534436650038554)</f>
        <v>-0.53443665003855401</v>
      </c>
      <c r="LG59" s="3">
        <f ca="1">IFERROR(__xludf.DUMMYFUNCTION("""COMPUTED_VALUE"""),-0.390655691266189)</f>
        <v>-0.39065569126618899</v>
      </c>
      <c r="LH59" s="3">
        <f ca="1">IFERROR(__xludf.DUMMYFUNCTION("""COMPUTED_VALUE"""),-0.41610534543749)</f>
        <v>-0.41610534543749</v>
      </c>
      <c r="LI59" s="3">
        <f ca="1">IFERROR(__xludf.DUMMYFUNCTION("""COMPUTED_VALUE"""),-0.47981037890975)</f>
        <v>-0.47981037890974998</v>
      </c>
      <c r="LJ59" s="3">
        <f ca="1">IFERROR(__xludf.DUMMYFUNCTION("""COMPUTED_VALUE"""),-0.500977236047847)</f>
        <v>-0.50097723604784705</v>
      </c>
      <c r="LK59" s="3">
        <f ca="1">IFERROR(__xludf.DUMMYFUNCTION("""COMPUTED_VALUE"""),-0.500652727310063)</f>
        <v>-0.50065272731006305</v>
      </c>
      <c r="LL59" s="3">
        <f ca="1">IFERROR(__xludf.DUMMYFUNCTION("""COMPUTED_VALUE"""),-0.491928001437585)</f>
        <v>-0.49192800143758503</v>
      </c>
      <c r="LM59" s="3">
        <f ca="1">IFERROR(__xludf.DUMMYFUNCTION("""COMPUTED_VALUE"""),-0.499458876754934)</f>
        <v>-0.499458876754934</v>
      </c>
      <c r="LN59" s="3">
        <f ca="1">IFERROR(__xludf.DUMMYFUNCTION("""COMPUTED_VALUE"""),-0.415003980565014)</f>
        <v>-0.41500398056501397</v>
      </c>
      <c r="LO59" s="3">
        <f ca="1">IFERROR(__xludf.DUMMYFUNCTION("""COMPUTED_VALUE"""),-0.523580195845862)</f>
        <v>-0.52358019584586202</v>
      </c>
      <c r="LP59" s="3">
        <f ca="1">IFERROR(__xludf.DUMMYFUNCTION("""COMPUTED_VALUE"""),-0.541209558184473)</f>
        <v>-0.54120955818447303</v>
      </c>
      <c r="LQ59" s="3">
        <f ca="1">IFERROR(__xludf.DUMMYFUNCTION("""COMPUTED_VALUE"""),-0.533294791573563)</f>
        <v>-0.53329479157356297</v>
      </c>
      <c r="LR59" s="3">
        <f ca="1">IFERROR(__xludf.DUMMYFUNCTION("""COMPUTED_VALUE"""),-0.51589982299212)</f>
        <v>-0.51589982299212001</v>
      </c>
      <c r="LS59" s="3">
        <f ca="1">IFERROR(__xludf.DUMMYFUNCTION("""COMPUTED_VALUE"""),-0.583589625733977)</f>
        <v>-0.58358962573397699</v>
      </c>
      <c r="LT59" s="3">
        <f ca="1">IFERROR(__xludf.DUMMYFUNCTION("""COMPUTED_VALUE"""),-0.548093478786843)</f>
        <v>-0.548093478786843</v>
      </c>
      <c r="LU59" s="3">
        <f ca="1">IFERROR(__xludf.DUMMYFUNCTION("""COMPUTED_VALUE"""),-0.593005042046603)</f>
        <v>-0.59300504204660298</v>
      </c>
      <c r="LV59" s="3">
        <f ca="1">IFERROR(__xludf.DUMMYFUNCTION("""COMPUTED_VALUE"""),-0.480027517159532)</f>
        <v>-0.48002751715953201</v>
      </c>
      <c r="LW59" s="3">
        <f ca="1">IFERROR(__xludf.DUMMYFUNCTION("""COMPUTED_VALUE"""),-0.522788549996254)</f>
        <v>-0.52278854999625402</v>
      </c>
      <c r="LX59" s="3">
        <f ca="1">IFERROR(__xludf.DUMMYFUNCTION("""COMPUTED_VALUE"""),-0.614149629821707)</f>
        <v>-0.61414962982170695</v>
      </c>
      <c r="LY59" s="3">
        <f ca="1">IFERROR(__xludf.DUMMYFUNCTION("""COMPUTED_VALUE"""),-0.586932510349085)</f>
        <v>-0.586932510349085</v>
      </c>
      <c r="LZ59" s="3">
        <f ca="1">IFERROR(__xludf.DUMMYFUNCTION("""COMPUTED_VALUE"""),-0.587806454717527)</f>
        <v>-0.58780645471752702</v>
      </c>
      <c r="MA59" s="3">
        <f ca="1">IFERROR(__xludf.DUMMYFUNCTION("""COMPUTED_VALUE"""),-0.580654663163169)</f>
        <v>-0.58065466316316905</v>
      </c>
      <c r="MB59" s="3">
        <f ca="1">IFERROR(__xludf.DUMMYFUNCTION("""COMPUTED_VALUE"""),-0.405913297195342)</f>
        <v>-0.40591329719534203</v>
      </c>
      <c r="MC59" s="3">
        <f ca="1">IFERROR(__xludf.DUMMYFUNCTION("""COMPUTED_VALUE"""),-0.499414904537698)</f>
        <v>-0.49941490453769799</v>
      </c>
      <c r="MD59" s="3">
        <f ca="1">IFERROR(__xludf.DUMMYFUNCTION("""COMPUTED_VALUE"""),-0.597830100932967)</f>
        <v>-0.59783010093296696</v>
      </c>
      <c r="ME59" s="3">
        <f ca="1">IFERROR(__xludf.DUMMYFUNCTION("""COMPUTED_VALUE"""),-0.618399456905443)</f>
        <v>-0.61839945690544296</v>
      </c>
      <c r="MF59" s="3">
        <f ca="1">IFERROR(__xludf.DUMMYFUNCTION("""COMPUTED_VALUE"""),-0.623108719419457)</f>
        <v>-0.623108719419457</v>
      </c>
      <c r="MG59" s="3">
        <f ca="1">IFERROR(__xludf.DUMMYFUNCTION("""COMPUTED_VALUE"""),-0.596985678377371)</f>
        <v>-0.59698567837737104</v>
      </c>
      <c r="MH59" s="3">
        <f ca="1">IFERROR(__xludf.DUMMYFUNCTION("""COMPUTED_VALUE"""),-0.593409138719195)</f>
        <v>-0.59340913871919498</v>
      </c>
      <c r="MI59" s="3">
        <f ca="1">IFERROR(__xludf.DUMMYFUNCTION("""COMPUTED_VALUE"""),-0.441928703281143)</f>
        <v>-0.44192870328114298</v>
      </c>
      <c r="MJ59" s="3">
        <f ca="1">IFERROR(__xludf.DUMMYFUNCTION("""COMPUTED_VALUE"""),-0.468238655370941)</f>
        <v>-0.468238655370941</v>
      </c>
      <c r="MK59" s="3">
        <f ca="1">IFERROR(__xludf.DUMMYFUNCTION("""COMPUTED_VALUE"""),-0.611958565340804)</f>
        <v>-0.61195856534080395</v>
      </c>
      <c r="ML59" s="3">
        <f ca="1">IFERROR(__xludf.DUMMYFUNCTION("""COMPUTED_VALUE"""),-0.618089659226978)</f>
        <v>-0.61808965922697801</v>
      </c>
      <c r="MM59" s="3">
        <f ca="1">IFERROR(__xludf.DUMMYFUNCTION("""COMPUTED_VALUE"""),-0.695431700400038)</f>
        <v>-0.69543170040003799</v>
      </c>
      <c r="MN59" s="3">
        <f ca="1">IFERROR(__xludf.DUMMYFUNCTION("""COMPUTED_VALUE"""),-0.638447665997213)</f>
        <v>-0.63844766599721303</v>
      </c>
      <c r="MO59" s="3">
        <f ca="1">IFERROR(__xludf.DUMMYFUNCTION("""COMPUTED_VALUE"""),-0.612411621273683)</f>
        <v>-0.61241162127368298</v>
      </c>
      <c r="MP59" s="3">
        <f ca="1">IFERROR(__xludf.DUMMYFUNCTION("""COMPUTED_VALUE"""),-0.412587999135992)</f>
        <v>-0.41258799913599198</v>
      </c>
      <c r="MQ59" s="3">
        <f ca="1">IFERROR(__xludf.DUMMYFUNCTION("""COMPUTED_VALUE"""),-0.521750044086643)</f>
        <v>-0.52175004408664305</v>
      </c>
      <c r="MR59" s="3">
        <f ca="1">IFERROR(__xludf.DUMMYFUNCTION("""COMPUTED_VALUE"""),-0.613498728437567)</f>
        <v>-0.61349872843756703</v>
      </c>
      <c r="MS59" s="3">
        <f ca="1">IFERROR(__xludf.DUMMYFUNCTION("""COMPUTED_VALUE"""),-0.546463020964742)</f>
        <v>-0.54646302096474197</v>
      </c>
      <c r="MT59" s="3">
        <f ca="1">IFERROR(__xludf.DUMMYFUNCTION("""COMPUTED_VALUE"""),-0.63301048154751)</f>
        <v>-0.63301048154751005</v>
      </c>
      <c r="MU59" s="3">
        <f ca="1">IFERROR(__xludf.DUMMYFUNCTION("""COMPUTED_VALUE"""),-0.612663015123712)</f>
        <v>-0.61266301512371202</v>
      </c>
      <c r="MV59" s="3">
        <f ca="1">IFERROR(__xludf.DUMMYFUNCTION("""COMPUTED_VALUE"""),-0.537101235039035)</f>
        <v>-0.53710123503903495</v>
      </c>
      <c r="MW59" s="3">
        <f ca="1">IFERROR(__xludf.DUMMYFUNCTION("""COMPUTED_VALUE"""),-0.407204687345482)</f>
        <v>-0.40720468734548199</v>
      </c>
      <c r="MX59" s="3">
        <f ca="1">IFERROR(__xludf.DUMMYFUNCTION("""COMPUTED_VALUE"""),-0.525656134670697)</f>
        <v>-0.52565613467069705</v>
      </c>
      <c r="MY59" s="3">
        <f ca="1">IFERROR(__xludf.DUMMYFUNCTION("""COMPUTED_VALUE"""),-0.60786688819279)</f>
        <v>-0.60786688819279</v>
      </c>
      <c r="MZ59" s="3">
        <f ca="1">IFERROR(__xludf.DUMMYFUNCTION("""COMPUTED_VALUE"""),-0.578463814576103)</f>
        <v>-0.57846381457610296</v>
      </c>
      <c r="NA59" s="3">
        <f ca="1">IFERROR(__xludf.DUMMYFUNCTION("""COMPUTED_VALUE"""),-0.603723544987371)</f>
        <v>-0.60372354498737102</v>
      </c>
      <c r="NB59" s="3">
        <f ca="1">IFERROR(__xludf.DUMMYFUNCTION("""COMPUTED_VALUE"""),-0.6104481135845)</f>
        <v>-0.61044811358450002</v>
      </c>
      <c r="NC59" s="3">
        <f ca="1">IFERROR(__xludf.DUMMYFUNCTION("""COMPUTED_VALUE"""),-0.568407513493785)</f>
        <v>-0.56840751349378504</v>
      </c>
      <c r="ND59" s="3">
        <f ca="1">IFERROR(__xludf.DUMMYFUNCTION("""COMPUTED_VALUE"""),-0.487667935579602)</f>
        <v>-0.48766793557960197</v>
      </c>
      <c r="NE59" s="3">
        <f ca="1">IFERROR(__xludf.DUMMYFUNCTION("""COMPUTED_VALUE"""),-0.544864475193765)</f>
        <v>-0.54486447519376502</v>
      </c>
      <c r="NF59" s="3">
        <f ca="1">IFERROR(__xludf.DUMMYFUNCTION("""COMPUTED_VALUE"""),-0.602699817948582)</f>
        <v>-0.60269981794858196</v>
      </c>
      <c r="NG59" s="3">
        <f ca="1">IFERROR(__xludf.DUMMYFUNCTION("""COMPUTED_VALUE"""),-0.630802785863416)</f>
        <v>-0.63080278586341598</v>
      </c>
      <c r="NH59" s="3">
        <f ca="1">IFERROR(__xludf.DUMMYFUNCTION("""COMPUTED_VALUE"""),-0.6187326059156)</f>
        <v>-0.61873260591559998</v>
      </c>
      <c r="NI59" s="3">
        <f ca="1">IFERROR(__xludf.DUMMYFUNCTION("""COMPUTED_VALUE"""),-0.599287045172325)</f>
        <v>-0.59928704517232501</v>
      </c>
      <c r="NJ59" s="3">
        <f ca="1">IFERROR(__xludf.DUMMYFUNCTION("""COMPUTED_VALUE"""),-0.60247303203072)</f>
        <v>-0.60247303203072</v>
      </c>
      <c r="NK59" s="3">
        <f ca="1">IFERROR(__xludf.DUMMYFUNCTION("""COMPUTED_VALUE"""),-0.403854719767958)</f>
        <v>-0.403854719767958</v>
      </c>
      <c r="NL59" s="3">
        <f ca="1">IFERROR(__xludf.DUMMYFUNCTION("""COMPUTED_VALUE"""),-0.530214362851039)</f>
        <v>-0.53021436285103896</v>
      </c>
      <c r="NM59" s="3">
        <f ca="1">IFERROR(__xludf.DUMMYFUNCTION("""COMPUTED_VALUE"""),-0.569787241860527)</f>
        <v>-0.56978724186052698</v>
      </c>
      <c r="NN59" s="3">
        <f ca="1">IFERROR(__xludf.DUMMYFUNCTION("""COMPUTED_VALUE"""),-0.586375198041959)</f>
        <v>-0.58637519804195903</v>
      </c>
      <c r="NO59" s="3">
        <f ca="1">IFERROR(__xludf.DUMMYFUNCTION("""COMPUTED_VALUE"""),-0.605225803507078)</f>
        <v>-0.605225803507078</v>
      </c>
      <c r="NP59" s="3">
        <f ca="1">IFERROR(__xludf.DUMMYFUNCTION("""COMPUTED_VALUE"""),-0.58219024803903)</f>
        <v>-0.58219024803902997</v>
      </c>
      <c r="NQ59" s="3">
        <f ca="1">IFERROR(__xludf.DUMMYFUNCTION("""COMPUTED_VALUE"""),-0.660150080302238)</f>
        <v>-0.66015008030223798</v>
      </c>
      <c r="NR59" s="3">
        <f ca="1">IFERROR(__xludf.DUMMYFUNCTION("""COMPUTED_VALUE"""),-0.524232993199911)</f>
        <v>-0.52423299319991101</v>
      </c>
      <c r="NS59" s="3">
        <f ca="1">IFERROR(__xludf.DUMMYFUNCTION("""COMPUTED_VALUE"""),-0.628620925261638)</f>
        <v>-0.62862092526163804</v>
      </c>
      <c r="NT59" s="3">
        <f ca="1">IFERROR(__xludf.DUMMYFUNCTION("""COMPUTED_VALUE"""),-0.70062710590197)</f>
        <v>-0.70062710590196997</v>
      </c>
      <c r="NU59" s="3">
        <f ca="1">IFERROR(__xludf.DUMMYFUNCTION("""COMPUTED_VALUE"""),-0.696288303759672)</f>
        <v>-0.69628830375967199</v>
      </c>
      <c r="NV59" s="3">
        <f ca="1">IFERROR(__xludf.DUMMYFUNCTION("""COMPUTED_VALUE"""),-0.657504643106577)</f>
        <v>-0.65750464310657697</v>
      </c>
      <c r="NW59" s="3">
        <f ca="1">IFERROR(__xludf.DUMMYFUNCTION("""COMPUTED_VALUE"""),-0.632027139373312)</f>
        <v>-0.63202713937331201</v>
      </c>
      <c r="NX59" s="3">
        <f ca="1">IFERROR(__xludf.DUMMYFUNCTION("""COMPUTED_VALUE"""),-0.576143568364675)</f>
        <v>-0.57614356836467495</v>
      </c>
      <c r="NY59" s="3">
        <f ca="1">IFERROR(__xludf.DUMMYFUNCTION("""COMPUTED_VALUE"""),-0.546103581841334)</f>
        <v>-0.54610358184133401</v>
      </c>
      <c r="NZ59" s="3">
        <f ca="1">IFERROR(__xludf.DUMMYFUNCTION("""COMPUTED_VALUE"""),-0.559482007224195)</f>
        <v>-0.55948200722419505</v>
      </c>
      <c r="OA59" s="3">
        <f ca="1">IFERROR(__xludf.DUMMYFUNCTION("""COMPUTED_VALUE"""),-0.561755685662824)</f>
        <v>-0.56175568566282397</v>
      </c>
      <c r="OB59" s="3">
        <f ca="1">IFERROR(__xludf.DUMMYFUNCTION("""COMPUTED_VALUE"""),-0.562856392106777)</f>
        <v>-0.56285639210677696</v>
      </c>
      <c r="OC59" s="3">
        <f ca="1">IFERROR(__xludf.DUMMYFUNCTION("""COMPUTED_VALUE"""),-0.513279039261022)</f>
        <v>-0.51327903926102203</v>
      </c>
      <c r="OD59" s="3">
        <f ca="1">IFERROR(__xludf.DUMMYFUNCTION("""COMPUTED_VALUE"""),-0.454017843523698)</f>
        <v>-0.45401784352369801</v>
      </c>
      <c r="OE59" s="3">
        <f ca="1">IFERROR(__xludf.DUMMYFUNCTION("""COMPUTED_VALUE"""),-0.322409747992138)</f>
        <v>-0.32240974799213801</v>
      </c>
      <c r="OF59" s="3">
        <f ca="1">IFERROR(__xludf.DUMMYFUNCTION("""COMPUTED_VALUE"""),-0.14546082564274)</f>
        <v>-0.14546082564273999</v>
      </c>
      <c r="OG59" s="3">
        <f ca="1">IFERROR(__xludf.DUMMYFUNCTION("""COMPUTED_VALUE"""),-0.153821074350034)</f>
        <v>-0.153821074350034</v>
      </c>
      <c r="OH59" s="3">
        <f ca="1">IFERROR(__xludf.DUMMYFUNCTION("""COMPUTED_VALUE"""),-0.120948401990887)</f>
        <v>-0.12094840199088699</v>
      </c>
      <c r="OI59" s="3">
        <f ca="1">IFERROR(__xludf.DUMMYFUNCTION("""COMPUTED_VALUE"""),-0.0265298914627311)</f>
        <v>-2.65298914627311E-2</v>
      </c>
      <c r="OJ59" s="3">
        <f ca="1">IFERROR(__xludf.DUMMYFUNCTION("""COMPUTED_VALUE"""),-0.0300284232884843)</f>
        <v>-3.0028423288484301E-2</v>
      </c>
      <c r="OK59" s="3">
        <f ca="1">IFERROR(__xludf.DUMMYFUNCTION("""COMPUTED_VALUE"""),0.0536208663449557)</f>
        <v>5.3620866344955699E-2</v>
      </c>
      <c r="OL59" s="3">
        <f ca="1">IFERROR(__xludf.DUMMYFUNCTION("""COMPUTED_VALUE"""),-0.0193355856417409)</f>
        <v>-1.9335585641740899E-2</v>
      </c>
      <c r="OM59" s="3">
        <f ca="1">IFERROR(__xludf.DUMMYFUNCTION("""COMPUTED_VALUE"""),-0.0350302514829414)</f>
        <v>-3.5030251482941401E-2</v>
      </c>
      <c r="ON59" s="3">
        <f ca="1">IFERROR(__xludf.DUMMYFUNCTION("""COMPUTED_VALUE"""),0.0443268837984285)</f>
        <v>4.4326883798428501E-2</v>
      </c>
      <c r="OO59" s="3">
        <f ca="1">IFERROR(__xludf.DUMMYFUNCTION("""COMPUTED_VALUE"""),0.0100354774922122)</f>
        <v>1.0035477492212201E-2</v>
      </c>
      <c r="OP59" s="3">
        <f ca="1">IFERROR(__xludf.DUMMYFUNCTION("""COMPUTED_VALUE"""),0.0105948068110512)</f>
        <v>1.05948068110512E-2</v>
      </c>
      <c r="OQ59" s="3">
        <f ca="1">IFERROR(__xludf.DUMMYFUNCTION("""COMPUTED_VALUE"""),0.0507697679846133)</f>
        <v>5.0769767984613301E-2</v>
      </c>
      <c r="OR59" s="3">
        <f ca="1">IFERROR(__xludf.DUMMYFUNCTION("""COMPUTED_VALUE"""),-0.00414084813379178)</f>
        <v>-4.1408481337917797E-3</v>
      </c>
      <c r="OS59" s="3">
        <f ca="1">IFERROR(__xludf.DUMMYFUNCTION("""COMPUTED_VALUE"""),-0.0185414360822997)</f>
        <v>-1.85414360822997E-2</v>
      </c>
      <c r="OT59" s="3">
        <f ca="1">IFERROR(__xludf.DUMMYFUNCTION("""COMPUTED_VALUE"""),0.0277219440696279)</f>
        <v>2.7721944069627899E-2</v>
      </c>
      <c r="OU59" s="3">
        <f ca="1">IFERROR(__xludf.DUMMYFUNCTION("""COMPUTED_VALUE"""),0.106206615712677)</f>
        <v>0.106206615712677</v>
      </c>
      <c r="OV59" s="3">
        <f ca="1">IFERROR(__xludf.DUMMYFUNCTION("""COMPUTED_VALUE"""),0.0358407637389284)</f>
        <v>3.5840763738928402E-2</v>
      </c>
      <c r="OW59" s="3">
        <f ca="1">IFERROR(__xludf.DUMMYFUNCTION("""COMPUTED_VALUE"""),-0.092624024892844)</f>
        <v>-9.2624024892844006E-2</v>
      </c>
      <c r="OX59" s="3">
        <f ca="1">IFERROR(__xludf.DUMMYFUNCTION("""COMPUTED_VALUE"""),-0.0246001352713054)</f>
        <v>-2.46001352713054E-2</v>
      </c>
      <c r="OY59" s="3">
        <f ca="1">IFERROR(__xludf.DUMMYFUNCTION("""COMPUTED_VALUE"""),-0.0202706992463924)</f>
        <v>-2.0270699246392399E-2</v>
      </c>
      <c r="OZ59" s="3">
        <f ca="1">IFERROR(__xludf.DUMMYFUNCTION("""COMPUTED_VALUE"""),0.100903775824724)</f>
        <v>0.100903775824724</v>
      </c>
      <c r="PA59" s="3">
        <f ca="1">IFERROR(__xludf.DUMMYFUNCTION("""COMPUTED_VALUE"""),0.0177499348713254)</f>
        <v>1.7749934871325399E-2</v>
      </c>
      <c r="PB59" s="3">
        <f ca="1">IFERROR(__xludf.DUMMYFUNCTION("""COMPUTED_VALUE"""),0.041118027100423)</f>
        <v>4.1118027100422998E-2</v>
      </c>
      <c r="PC59" s="3">
        <f ca="1">IFERROR(__xludf.DUMMYFUNCTION("""COMPUTED_VALUE"""),0.0385631465969351)</f>
        <v>3.8563146596935098E-2</v>
      </c>
      <c r="PD59" s="3">
        <f ca="1">IFERROR(__xludf.DUMMYFUNCTION("""COMPUTED_VALUE"""),-0.0966534876707672)</f>
        <v>-9.6653487670767202E-2</v>
      </c>
      <c r="PE59" s="3">
        <f ca="1">IFERROR(__xludf.DUMMYFUNCTION("""COMPUTED_VALUE"""),0.0192227801597939)</f>
        <v>1.9222780159793899E-2</v>
      </c>
      <c r="PF59" s="3">
        <f ca="1">IFERROR(__xludf.DUMMYFUNCTION("""COMPUTED_VALUE"""),0.0776842049300079)</f>
        <v>7.7684204930007897E-2</v>
      </c>
      <c r="PG59" s="3">
        <f ca="1">IFERROR(__xludf.DUMMYFUNCTION("""COMPUTED_VALUE"""),-0.0386641751058903)</f>
        <v>-3.8664175105890299E-2</v>
      </c>
      <c r="PH59" s="3">
        <f ca="1">IFERROR(__xludf.DUMMYFUNCTION("""COMPUTED_VALUE"""),0.0739053086607164)</f>
        <v>7.3905308660716401E-2</v>
      </c>
      <c r="PI59" s="3">
        <f ca="1">IFERROR(__xludf.DUMMYFUNCTION("""COMPUTED_VALUE"""),0.0330670995659636)</f>
        <v>3.3067099565963598E-2</v>
      </c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</row>
    <row r="60" spans="1:477" ht="13">
      <c r="A60" s="1" t="str">
        <f ca="1">IFERROR(__xludf.DUMMYFUNCTION("""COMPUTED_VALUE"""),"Metro Transit")</f>
        <v>Metro Transit</v>
      </c>
      <c r="B60" s="1" t="str">
        <f ca="1">IFERROR(__xludf.DUMMYFUNCTION("""COMPUTED_VALUE"""),"Minneapolis-Saint Paul")</f>
        <v>Minneapolis-Saint Paul</v>
      </c>
      <c r="C60" s="1" t="str">
        <f ca="1">IFERROR(__xludf.DUMMYFUNCTION("""COMPUTED_VALUE"""),"United States")</f>
        <v>United States</v>
      </c>
      <c r="D60" s="1" t="str">
        <f ca="1">IFERROR(__xludf.DUMMYFUNCTION("""COMPUTED_VALUE"""),"Minnesota")</f>
        <v>Minnesota</v>
      </c>
      <c r="E60" s="3">
        <f ca="1">IFERROR(__xludf.DUMMYFUNCTION("""COMPUTED_VALUE"""),-0.595793235438729)</f>
        <v>-0.59579323543872897</v>
      </c>
      <c r="F60" s="3">
        <f ca="1">IFERROR(__xludf.DUMMYFUNCTION("""COMPUTED_VALUE"""),-0.708198177954115)</f>
        <v>-0.70819817795411499</v>
      </c>
      <c r="G60" s="3">
        <f ca="1">IFERROR(__xludf.DUMMYFUNCTION("""COMPUTED_VALUE"""),-0.699505859536403)</f>
        <v>-0.69950585953640299</v>
      </c>
      <c r="H60" s="3">
        <f ca="1">IFERROR(__xludf.DUMMYFUNCTION("""COMPUTED_VALUE"""),-0.724426926327776)</f>
        <v>-0.72442692632777606</v>
      </c>
      <c r="I60" s="3">
        <f ca="1">IFERROR(__xludf.DUMMYFUNCTION("""COMPUTED_VALUE"""),-0.725235277050741)</f>
        <v>-0.72523527705074098</v>
      </c>
      <c r="J60" s="3">
        <f ca="1">IFERROR(__xludf.DUMMYFUNCTION("""COMPUTED_VALUE"""),-0.70497107771042)</f>
        <v>-0.70497107771042</v>
      </c>
      <c r="K60" s="3">
        <f ca="1">IFERROR(__xludf.DUMMYFUNCTION("""COMPUTED_VALUE"""),-0.62138300406934)</f>
        <v>-0.62138300406933999</v>
      </c>
      <c r="L60" s="3">
        <f ca="1">IFERROR(__xludf.DUMMYFUNCTION("""COMPUTED_VALUE"""),-0.568678251045986)</f>
        <v>-0.56867825104598602</v>
      </c>
      <c r="M60" s="3">
        <f ca="1">IFERROR(__xludf.DUMMYFUNCTION("""COMPUTED_VALUE"""),-0.666959993729686)</f>
        <v>-0.66695999372968595</v>
      </c>
      <c r="N60" s="3">
        <f ca="1">IFERROR(__xludf.DUMMYFUNCTION("""COMPUTED_VALUE"""),-0.670060014440384)</f>
        <v>-0.67006001444038399</v>
      </c>
      <c r="O60" s="3">
        <f ca="1">IFERROR(__xludf.DUMMYFUNCTION("""COMPUTED_VALUE"""),-0.699299393480393)</f>
        <v>-0.69929939348039305</v>
      </c>
      <c r="P60" s="3">
        <f ca="1">IFERROR(__xludf.DUMMYFUNCTION("""COMPUTED_VALUE"""),-0.700192727007074)</f>
        <v>-0.70019272700707402</v>
      </c>
      <c r="Q60" s="3">
        <f ca="1">IFERROR(__xludf.DUMMYFUNCTION("""COMPUTED_VALUE"""),-0.695473359328998)</f>
        <v>-0.69547335932899801</v>
      </c>
      <c r="R60" s="3">
        <f ca="1">IFERROR(__xludf.DUMMYFUNCTION("""COMPUTED_VALUE"""),-0.587406474733915)</f>
        <v>-0.58740647473391505</v>
      </c>
      <c r="S60" s="3">
        <f ca="1">IFERROR(__xludf.DUMMYFUNCTION("""COMPUTED_VALUE"""),-0.634268339216659)</f>
        <v>-0.63426833921665904</v>
      </c>
      <c r="T60" s="3">
        <f ca="1">IFERROR(__xludf.DUMMYFUNCTION("""COMPUTED_VALUE"""),-0.682632388013523)</f>
        <v>-0.68263238801352299</v>
      </c>
      <c r="U60" s="3">
        <f ca="1">IFERROR(__xludf.DUMMYFUNCTION("""COMPUTED_VALUE"""),-0.695041923814811)</f>
        <v>-0.695041923814811</v>
      </c>
      <c r="V60" s="3">
        <f ca="1">IFERROR(__xludf.DUMMYFUNCTION("""COMPUTED_VALUE"""),-0.718354012421141)</f>
        <v>-0.71835401242114105</v>
      </c>
      <c r="W60" s="3">
        <f ca="1">IFERROR(__xludf.DUMMYFUNCTION("""COMPUTED_VALUE"""),-0.731156264418819)</f>
        <v>-0.73115626441881898</v>
      </c>
      <c r="X60" s="3">
        <f ca="1">IFERROR(__xludf.DUMMYFUNCTION("""COMPUTED_VALUE"""),-0.710068902295161)</f>
        <v>-0.71006890229516095</v>
      </c>
      <c r="Y60" s="3">
        <f ca="1">IFERROR(__xludf.DUMMYFUNCTION("""COMPUTED_VALUE"""),-0.585801768693403)</f>
        <v>-0.58580176869340295</v>
      </c>
      <c r="Z60" s="3">
        <f ca="1">IFERROR(__xludf.DUMMYFUNCTION("""COMPUTED_VALUE"""),-0.610005972296751)</f>
        <v>-0.61000597229675102</v>
      </c>
      <c r="AA60" s="3">
        <f ca="1">IFERROR(__xludf.DUMMYFUNCTION("""COMPUTED_VALUE"""),-0.683517821833449)</f>
        <v>-0.683517821833449</v>
      </c>
      <c r="AB60" s="3">
        <f ca="1">IFERROR(__xludf.DUMMYFUNCTION("""COMPUTED_VALUE"""),-0.705128637647212)</f>
        <v>-0.70512863764721201</v>
      </c>
      <c r="AC60" s="3">
        <f ca="1">IFERROR(__xludf.DUMMYFUNCTION("""COMPUTED_VALUE"""),-0.710838948156316)</f>
        <v>-0.71083894815631599</v>
      </c>
      <c r="AD60" s="3">
        <f ca="1">IFERROR(__xludf.DUMMYFUNCTION("""COMPUTED_VALUE"""),-0.726665128458865)</f>
        <v>-0.726665128458865</v>
      </c>
      <c r="AE60" s="3">
        <f ca="1">IFERROR(__xludf.DUMMYFUNCTION("""COMPUTED_VALUE"""),-0.722180015271954)</f>
        <v>-0.72218001527195397</v>
      </c>
      <c r="AF60" s="3">
        <f ca="1">IFERROR(__xludf.DUMMYFUNCTION("""COMPUTED_VALUE"""),-0.589941439579218)</f>
        <v>-0.58994143957921796</v>
      </c>
      <c r="AG60" s="3">
        <f ca="1">IFERROR(__xludf.DUMMYFUNCTION("""COMPUTED_VALUE"""),-0.556490352345826)</f>
        <v>-0.556490352345826</v>
      </c>
      <c r="AH60" s="3">
        <f ca="1">IFERROR(__xludf.DUMMYFUNCTION("""COMPUTED_VALUE"""),-0.697271470323091)</f>
        <v>-0.697271470323091</v>
      </c>
      <c r="AI60" s="3">
        <f ca="1">IFERROR(__xludf.DUMMYFUNCTION("""COMPUTED_VALUE"""),-0.700920186004916)</f>
        <v>-0.70092018600491601</v>
      </c>
      <c r="AJ60" s="3">
        <f ca="1">IFERROR(__xludf.DUMMYFUNCTION("""COMPUTED_VALUE"""),-0.744751665910939)</f>
        <v>-0.744751665910939</v>
      </c>
      <c r="AK60" s="3">
        <f ca="1">IFERROR(__xludf.DUMMYFUNCTION("""COMPUTED_VALUE"""),-0.71600815751157)</f>
        <v>-0.71600815751156999</v>
      </c>
      <c r="AL60" s="3">
        <f ca="1">IFERROR(__xludf.DUMMYFUNCTION("""COMPUTED_VALUE"""),-0.705867333150255)</f>
        <v>-0.70586733315025496</v>
      </c>
      <c r="AM60" s="3">
        <f ca="1">IFERROR(__xludf.DUMMYFUNCTION("""COMPUTED_VALUE"""),-0.5461813380471)</f>
        <v>-0.54618133804710001</v>
      </c>
      <c r="AN60" s="3">
        <f ca="1">IFERROR(__xludf.DUMMYFUNCTION("""COMPUTED_VALUE"""),-0.574626916167405)</f>
        <v>-0.57462691616740502</v>
      </c>
      <c r="AO60" s="3">
        <f ca="1">IFERROR(__xludf.DUMMYFUNCTION("""COMPUTED_VALUE"""),-0.711331951815242)</f>
        <v>-0.711331951815242</v>
      </c>
      <c r="AP60" s="3">
        <f ca="1">IFERROR(__xludf.DUMMYFUNCTION("""COMPUTED_VALUE"""),-0.711439443474855)</f>
        <v>-0.71143944347485499</v>
      </c>
      <c r="AQ60" s="3">
        <f ca="1">IFERROR(__xludf.DUMMYFUNCTION("""COMPUTED_VALUE"""),-0.738536776443711)</f>
        <v>-0.73853677644371096</v>
      </c>
      <c r="AR60" s="3">
        <f ca="1">IFERROR(__xludf.DUMMYFUNCTION("""COMPUTED_VALUE"""),-0.733820919794298)</f>
        <v>-0.73382091979429798</v>
      </c>
      <c r="AS60" s="3">
        <f ca="1">IFERROR(__xludf.DUMMYFUNCTION("""COMPUTED_VALUE"""),-0.726636326151661)</f>
        <v>-0.72663632615166096</v>
      </c>
      <c r="AT60" s="3">
        <f ca="1">IFERROR(__xludf.DUMMYFUNCTION("""COMPUTED_VALUE"""),-0.569926474003731)</f>
        <v>-0.56992647400373098</v>
      </c>
      <c r="AU60" s="3">
        <f ca="1">IFERROR(__xludf.DUMMYFUNCTION("""COMPUTED_VALUE"""),-0.584597191947958)</f>
        <v>-0.58459719194795801</v>
      </c>
      <c r="AV60" s="3">
        <f ca="1">IFERROR(__xludf.DUMMYFUNCTION("""COMPUTED_VALUE"""),-0.72344478180258)</f>
        <v>-0.72344478180257998</v>
      </c>
      <c r="AW60" s="3">
        <f ca="1">IFERROR(__xludf.DUMMYFUNCTION("""COMPUTED_VALUE"""),-0.724207914748538)</f>
        <v>-0.72420791474853796</v>
      </c>
      <c r="AX60" s="3">
        <f ca="1">IFERROR(__xludf.DUMMYFUNCTION("""COMPUTED_VALUE"""),-0.711781897381672)</f>
        <v>-0.71178189738167197</v>
      </c>
      <c r="AY60" s="3">
        <f ca="1">IFERROR(__xludf.DUMMYFUNCTION("""COMPUTED_VALUE"""),-0.741447510145074)</f>
        <v>-0.74144751014507404</v>
      </c>
      <c r="AZ60" s="3">
        <f ca="1">IFERROR(__xludf.DUMMYFUNCTION("""COMPUTED_VALUE"""),-0.690771287411004)</f>
        <v>-0.69077128741100402</v>
      </c>
      <c r="BA60" s="3">
        <f ca="1">IFERROR(__xludf.DUMMYFUNCTION("""COMPUTED_VALUE"""),-0.561328002960052)</f>
        <v>-0.56132800296005203</v>
      </c>
      <c r="BB60" s="3">
        <f ca="1">IFERROR(__xludf.DUMMYFUNCTION("""COMPUTED_VALUE"""),-0.612398850702624)</f>
        <v>-0.61239885070262401</v>
      </c>
      <c r="BC60" s="3">
        <f ca="1">IFERROR(__xludf.DUMMYFUNCTION("""COMPUTED_VALUE"""),-0.732311498548381)</f>
        <v>-0.73231149854838096</v>
      </c>
      <c r="BD60" s="3">
        <f ca="1">IFERROR(__xludf.DUMMYFUNCTION("""COMPUTED_VALUE"""),-0.769623178672118)</f>
        <v>-0.76962317867211805</v>
      </c>
      <c r="BE60" s="3">
        <f ca="1">IFERROR(__xludf.DUMMYFUNCTION("""COMPUTED_VALUE"""),-0.735445272630175)</f>
        <v>-0.73544527263017501</v>
      </c>
      <c r="BF60" s="3">
        <f ca="1">IFERROR(__xludf.DUMMYFUNCTION("""COMPUTED_VALUE"""),-0.755933150238529)</f>
        <v>-0.75593315023852903</v>
      </c>
      <c r="BG60" s="3">
        <f ca="1">IFERROR(__xludf.DUMMYFUNCTION("""COMPUTED_VALUE"""),-0.752859943970297)</f>
        <v>-0.75285994397029699</v>
      </c>
      <c r="BH60" s="3">
        <f ca="1">IFERROR(__xludf.DUMMYFUNCTION("""COMPUTED_VALUE"""),-0.622709397726469)</f>
        <v>-0.62270939772646905</v>
      </c>
      <c r="BI60" s="3">
        <f ca="1">IFERROR(__xludf.DUMMYFUNCTION("""COMPUTED_VALUE"""),-0.6259026285855)</f>
        <v>-0.62590262858550005</v>
      </c>
      <c r="BJ60" s="3">
        <f ca="1">IFERROR(__xludf.DUMMYFUNCTION("""COMPUTED_VALUE"""),-0.740948912719346)</f>
        <v>-0.74094891271934604</v>
      </c>
      <c r="BK60" s="3">
        <f ca="1">IFERROR(__xludf.DUMMYFUNCTION("""COMPUTED_VALUE"""),-0.738544242657351)</f>
        <v>-0.73854424265735097</v>
      </c>
      <c r="BL60" s="3">
        <f ca="1">IFERROR(__xludf.DUMMYFUNCTION("""COMPUTED_VALUE"""),-0.756002075644702)</f>
        <v>-0.75600207564470201</v>
      </c>
      <c r="BM60" s="3">
        <f ca="1">IFERROR(__xludf.DUMMYFUNCTION("""COMPUTED_VALUE"""),-0.772998887356358)</f>
        <v>-0.77299888735635802</v>
      </c>
      <c r="BN60" s="3">
        <f ca="1">IFERROR(__xludf.DUMMYFUNCTION("""COMPUTED_VALUE"""),-0.741882170578999)</f>
        <v>-0.74188217057899897</v>
      </c>
      <c r="BO60" s="3">
        <f ca="1">IFERROR(__xludf.DUMMYFUNCTION("""COMPUTED_VALUE"""),-0.708957786315525)</f>
        <v>-0.70895778631552497</v>
      </c>
      <c r="BP60" s="3">
        <f ca="1">IFERROR(__xludf.DUMMYFUNCTION("""COMPUTED_VALUE"""),-0.684087692657743)</f>
        <v>-0.68408769265774305</v>
      </c>
      <c r="BQ60" s="3">
        <f ca="1">IFERROR(__xludf.DUMMYFUNCTION("""COMPUTED_VALUE"""),-0.741024653510554)</f>
        <v>-0.74102465351055402</v>
      </c>
      <c r="BR60" s="3">
        <f ca="1">IFERROR(__xludf.DUMMYFUNCTION("""COMPUTED_VALUE"""),-0.725057550264647)</f>
        <v>-0.72505755026464702</v>
      </c>
      <c r="BS60" s="3">
        <f ca="1">IFERROR(__xludf.DUMMYFUNCTION("""COMPUTED_VALUE"""),-0.722406845878796)</f>
        <v>-0.722406845878796</v>
      </c>
      <c r="BT60" s="3">
        <f ca="1">IFERROR(__xludf.DUMMYFUNCTION("""COMPUTED_VALUE"""),-0.738928503918787)</f>
        <v>-0.73892850391878695</v>
      </c>
      <c r="BU60" s="3">
        <f ca="1">IFERROR(__xludf.DUMMYFUNCTION("""COMPUTED_VALUE"""),-0.732756814192106)</f>
        <v>-0.73275681419210603</v>
      </c>
      <c r="BV60" s="3">
        <f ca="1">IFERROR(__xludf.DUMMYFUNCTION("""COMPUTED_VALUE"""),-0.590557466219485)</f>
        <v>-0.59055746621948502</v>
      </c>
      <c r="BW60" s="3">
        <f ca="1">IFERROR(__xludf.DUMMYFUNCTION("""COMPUTED_VALUE"""),-0.618477215687499)</f>
        <v>-0.61847721568749903</v>
      </c>
      <c r="BX60" s="3">
        <f ca="1">IFERROR(__xludf.DUMMYFUNCTION("""COMPUTED_VALUE"""),-0.73160098686519)</f>
        <v>-0.73160098686519004</v>
      </c>
      <c r="BY60" s="3">
        <f ca="1">IFERROR(__xludf.DUMMYFUNCTION("""COMPUTED_VALUE"""),-0.745844287272631)</f>
        <v>-0.74584428727263097</v>
      </c>
      <c r="BZ60" s="3">
        <f ca="1">IFERROR(__xludf.DUMMYFUNCTION("""COMPUTED_VALUE"""),-0.74956408788412)</f>
        <v>-0.74956408788411999</v>
      </c>
      <c r="CA60" s="3">
        <f ca="1">IFERROR(__xludf.DUMMYFUNCTION("""COMPUTED_VALUE"""),-0.743487080026096)</f>
        <v>-0.74348708002609598</v>
      </c>
      <c r="CB60" s="3">
        <f ca="1">IFERROR(__xludf.DUMMYFUNCTION("""COMPUTED_VALUE"""),-0.700410945420044)</f>
        <v>-0.70041094542004401</v>
      </c>
      <c r="CC60" s="3">
        <f ca="1">IFERROR(__xludf.DUMMYFUNCTION("""COMPUTED_VALUE"""),-0.56999342834458)</f>
        <v>-0.56999342834458</v>
      </c>
      <c r="CD60" s="3">
        <f ca="1">IFERROR(__xludf.DUMMYFUNCTION("""COMPUTED_VALUE"""),-0.596359984368001)</f>
        <v>-0.59635998436800097</v>
      </c>
      <c r="CE60" s="3">
        <f ca="1">IFERROR(__xludf.DUMMYFUNCTION("""COMPUTED_VALUE"""),-0.721988252864672)</f>
        <v>-0.72198825286467205</v>
      </c>
      <c r="CF60" s="3">
        <f ca="1">IFERROR(__xludf.DUMMYFUNCTION("""COMPUTED_VALUE"""),-0.718914280708469)</f>
        <v>-0.71891428070846897</v>
      </c>
      <c r="CG60" s="3">
        <f ca="1">IFERROR(__xludf.DUMMYFUNCTION("""COMPUTED_VALUE"""),-0.746203691910163)</f>
        <v>-0.746203691910163</v>
      </c>
      <c r="CH60" s="3">
        <f ca="1">IFERROR(__xludf.DUMMYFUNCTION("""COMPUTED_VALUE"""),-0.746275450689437)</f>
        <v>-0.74627545068943701</v>
      </c>
      <c r="CI60" s="3">
        <f ca="1">IFERROR(__xludf.DUMMYFUNCTION("""COMPUTED_VALUE"""),-0.713233295222468)</f>
        <v>-0.71323329522246803</v>
      </c>
      <c r="CJ60" s="3">
        <f ca="1">IFERROR(__xludf.DUMMYFUNCTION("""COMPUTED_VALUE"""),-0.596409184780909)</f>
        <v>-0.59640918478090899</v>
      </c>
      <c r="CK60" s="3">
        <f ca="1">IFERROR(__xludf.DUMMYFUNCTION("""COMPUTED_VALUE"""),-0.585512975441516)</f>
        <v>-0.58551297544151604</v>
      </c>
      <c r="CL60" s="3">
        <f ca="1">IFERROR(__xludf.DUMMYFUNCTION("""COMPUTED_VALUE"""),-0.702105895577533)</f>
        <v>-0.702105895577533</v>
      </c>
      <c r="CM60" s="3">
        <f ca="1">IFERROR(__xludf.DUMMYFUNCTION("""COMPUTED_VALUE"""),-0.729172184870751)</f>
        <v>-0.72917218487075097</v>
      </c>
      <c r="CN60" s="3">
        <f ca="1">IFERROR(__xludf.DUMMYFUNCTION("""COMPUTED_VALUE"""),-0.743526137338212)</f>
        <v>-0.74352613733821205</v>
      </c>
      <c r="CO60" s="3">
        <f ca="1">IFERROR(__xludf.DUMMYFUNCTION("""COMPUTED_VALUE"""),-0.744765238846893)</f>
        <v>-0.74476523884689305</v>
      </c>
      <c r="CP60" s="3">
        <f ca="1">IFERROR(__xludf.DUMMYFUNCTION("""COMPUTED_VALUE"""),-0.71470764888213)</f>
        <v>-0.71470764888213001</v>
      </c>
      <c r="CQ60" s="3">
        <f ca="1">IFERROR(__xludf.DUMMYFUNCTION("""COMPUTED_VALUE"""),-0.611054961376936)</f>
        <v>-0.61105496137693605</v>
      </c>
      <c r="CR60" s="3">
        <f ca="1">IFERROR(__xludf.DUMMYFUNCTION("""COMPUTED_VALUE"""),-0.585535271177238)</f>
        <v>-0.58553527117723803</v>
      </c>
      <c r="CS60" s="3">
        <f ca="1">IFERROR(__xludf.DUMMYFUNCTION("""COMPUTED_VALUE"""),-0.702474915800474)</f>
        <v>-0.70247491580047405</v>
      </c>
      <c r="CT60" s="3">
        <f ca="1">IFERROR(__xludf.DUMMYFUNCTION("""COMPUTED_VALUE"""),-0.72702939121323)</f>
        <v>-0.72702939121322996</v>
      </c>
      <c r="CU60" s="3">
        <f ca="1">IFERROR(__xludf.DUMMYFUNCTION("""COMPUTED_VALUE"""),-0.687772053237552)</f>
        <v>-0.68777205323755197</v>
      </c>
      <c r="CV60" s="3">
        <f ca="1">IFERROR(__xludf.DUMMYFUNCTION("""COMPUTED_VALUE"""),-0.721449670372349)</f>
        <v>-0.72144967037234897</v>
      </c>
      <c r="CW60" s="3">
        <f ca="1">IFERROR(__xludf.DUMMYFUNCTION("""COMPUTED_VALUE"""),-0.711489579892202)</f>
        <v>-0.71148957989220196</v>
      </c>
      <c r="CX60" s="3">
        <f ca="1">IFERROR(__xludf.DUMMYFUNCTION("""COMPUTED_VALUE"""),-0.579050266802323)</f>
        <v>-0.57905026680232297</v>
      </c>
      <c r="CY60" s="3">
        <f ca="1">IFERROR(__xludf.DUMMYFUNCTION("""COMPUTED_VALUE"""),-0.608518712224247)</f>
        <v>-0.60851871222424703</v>
      </c>
      <c r="CZ60" s="3">
        <f ca="1">IFERROR(__xludf.DUMMYFUNCTION("""COMPUTED_VALUE"""),-0.747810026059423)</f>
        <v>-0.74781002605942304</v>
      </c>
      <c r="DA60" s="3">
        <f ca="1">IFERROR(__xludf.DUMMYFUNCTION("""COMPUTED_VALUE"""),-0.681236333875439)</f>
        <v>-0.68123633387543903</v>
      </c>
      <c r="DB60" s="3">
        <f ca="1">IFERROR(__xludf.DUMMYFUNCTION("""COMPUTED_VALUE"""),-0.53524637645007)</f>
        <v>-0.53524637645007</v>
      </c>
      <c r="DC60" s="3">
        <f ca="1">IFERROR(__xludf.DUMMYFUNCTION("""COMPUTED_VALUE"""),-0.662457507610061)</f>
        <v>-0.66245750761006095</v>
      </c>
      <c r="DD60" s="3">
        <f ca="1">IFERROR(__xludf.DUMMYFUNCTION("""COMPUTED_VALUE"""),-0.674662368701172)</f>
        <v>-0.67466236870117202</v>
      </c>
      <c r="DE60" s="3">
        <f ca="1">IFERROR(__xludf.DUMMYFUNCTION("""COMPUTED_VALUE"""),-0.581456704943549)</f>
        <v>-0.58145670494354895</v>
      </c>
      <c r="DF60" s="3">
        <f ca="1">IFERROR(__xludf.DUMMYFUNCTION("""COMPUTED_VALUE"""),-0.599212192790365)</f>
        <v>-0.59921219279036497</v>
      </c>
      <c r="DG60" s="3">
        <f ca="1">IFERROR(__xludf.DUMMYFUNCTION("""COMPUTED_VALUE"""),-0.844198719135385)</f>
        <v>-0.84419871913538502</v>
      </c>
      <c r="DH60" s="3">
        <f ca="1">IFERROR(__xludf.DUMMYFUNCTION("""COMPUTED_VALUE"""),-0.689968342026615)</f>
        <v>-0.68996834202661494</v>
      </c>
      <c r="DI60" s="3">
        <f ca="1">IFERROR(__xludf.DUMMYFUNCTION("""COMPUTED_VALUE"""),-0.480916937373098)</f>
        <v>-0.48091693737309799</v>
      </c>
      <c r="DJ60" s="3">
        <f ca="1">IFERROR(__xludf.DUMMYFUNCTION("""COMPUTED_VALUE"""),-0.658579892415562)</f>
        <v>-0.65857989241556203</v>
      </c>
      <c r="DK60" s="3">
        <f ca="1">IFERROR(__xludf.DUMMYFUNCTION("""COMPUTED_VALUE"""),-0.692712487904379)</f>
        <v>-0.692712487904379</v>
      </c>
      <c r="DL60" s="3">
        <f ca="1">IFERROR(__xludf.DUMMYFUNCTION("""COMPUTED_VALUE"""),-0.601168518504606)</f>
        <v>-0.60116851850460595</v>
      </c>
      <c r="DM60" s="3">
        <f ca="1">IFERROR(__xludf.DUMMYFUNCTION("""COMPUTED_VALUE"""),-0.637662230717403)</f>
        <v>-0.63766223071740302</v>
      </c>
      <c r="DN60" s="3">
        <f ca="1">IFERROR(__xludf.DUMMYFUNCTION("""COMPUTED_VALUE"""),-0.728055965118061)</f>
        <v>-0.72805596511806103</v>
      </c>
      <c r="DO60" s="3">
        <f ca="1">IFERROR(__xludf.DUMMYFUNCTION("""COMPUTED_VALUE"""),-0.736588216904752)</f>
        <v>-0.73658821690475196</v>
      </c>
      <c r="DP60" s="3">
        <f ca="1">IFERROR(__xludf.DUMMYFUNCTION("""COMPUTED_VALUE"""),-0.682200308299061)</f>
        <v>-0.68220030829906098</v>
      </c>
      <c r="DQ60" s="3">
        <f ca="1">IFERROR(__xludf.DUMMYFUNCTION("""COMPUTED_VALUE"""),-0.723918487038308)</f>
        <v>-0.72391848703830797</v>
      </c>
      <c r="DR60" s="3">
        <f ca="1">IFERROR(__xludf.DUMMYFUNCTION("""COMPUTED_VALUE"""),-0.754471539610987)</f>
        <v>-0.75447153961098701</v>
      </c>
      <c r="DS60" s="3">
        <f ca="1">IFERROR(__xludf.DUMMYFUNCTION("""COMPUTED_VALUE"""),-0.630407517404117)</f>
        <v>-0.63040751740411705</v>
      </c>
      <c r="DT60" s="3">
        <f ca="1">IFERROR(__xludf.DUMMYFUNCTION("""COMPUTED_VALUE"""),-0.642000612225403)</f>
        <v>-0.64200061222540294</v>
      </c>
      <c r="DU60" s="3">
        <f ca="1">IFERROR(__xludf.DUMMYFUNCTION("""COMPUTED_VALUE"""),-0.737867052956751)</f>
        <v>-0.73786705295675103</v>
      </c>
      <c r="DV60" s="3">
        <f ca="1">IFERROR(__xludf.DUMMYFUNCTION("""COMPUTED_VALUE"""),-0.766610739531698)</f>
        <v>-0.766610739531698</v>
      </c>
      <c r="DW60" s="3">
        <f ca="1">IFERROR(__xludf.DUMMYFUNCTION("""COMPUTED_VALUE"""),-0.747339948645686)</f>
        <v>-0.74733994864568598</v>
      </c>
      <c r="DX60" s="3">
        <f ca="1">IFERROR(__xludf.DUMMYFUNCTION("""COMPUTED_VALUE"""),-0.778153256776528)</f>
        <v>-0.77815325677652802</v>
      </c>
      <c r="DY60" s="3">
        <f ca="1">IFERROR(__xludf.DUMMYFUNCTION("""COMPUTED_VALUE"""),-0.779865303557224)</f>
        <v>-0.77986530355722405</v>
      </c>
      <c r="DZ60" s="3">
        <f ca="1">IFERROR(__xludf.DUMMYFUNCTION("""COMPUTED_VALUE"""),-0.637929828800066)</f>
        <v>-0.63792982880006599</v>
      </c>
      <c r="EA60" s="3">
        <f ca="1">IFERROR(__xludf.DUMMYFUNCTION("""COMPUTED_VALUE"""),-0.649920217833013)</f>
        <v>-0.64992021783301301</v>
      </c>
      <c r="EB60" s="3">
        <f ca="1">IFERROR(__xludf.DUMMYFUNCTION("""COMPUTED_VALUE"""),-0.711583774748223)</f>
        <v>-0.71158377474822299</v>
      </c>
      <c r="EC60" s="3">
        <f ca="1">IFERROR(__xludf.DUMMYFUNCTION("""COMPUTED_VALUE"""),-0.706293959385219)</f>
        <v>-0.70629395938521899</v>
      </c>
      <c r="ED60" s="3">
        <f ca="1">IFERROR(__xludf.DUMMYFUNCTION("""COMPUTED_VALUE"""),-0.729834190941952)</f>
        <v>-0.72983419094195201</v>
      </c>
      <c r="EE60" s="3">
        <f ca="1">IFERROR(__xludf.DUMMYFUNCTION("""COMPUTED_VALUE"""),-0.750447357601196)</f>
        <v>-0.75044735760119596</v>
      </c>
      <c r="EF60" s="3">
        <f ca="1">IFERROR(__xludf.DUMMYFUNCTION("""COMPUTED_VALUE"""),-0.772428497532731)</f>
        <v>-0.77242849753273102</v>
      </c>
      <c r="EG60" s="3">
        <f ca="1">IFERROR(__xludf.DUMMYFUNCTION("""COMPUTED_VALUE"""),-0.612489202743095)</f>
        <v>-0.61248920274309504</v>
      </c>
      <c r="EH60" s="3">
        <f ca="1">IFERROR(__xludf.DUMMYFUNCTION("""COMPUTED_VALUE"""),-0.635578109180407)</f>
        <v>-0.63557810918040702</v>
      </c>
      <c r="EI60" s="3">
        <f ca="1">IFERROR(__xludf.DUMMYFUNCTION("""COMPUTED_VALUE"""),-0.717224886289265)</f>
        <v>-0.71722488628926495</v>
      </c>
      <c r="EJ60" s="3">
        <f ca="1">IFERROR(__xludf.DUMMYFUNCTION("""COMPUTED_VALUE"""),-0.819301372667409)</f>
        <v>-0.81930137266740899</v>
      </c>
      <c r="EK60" s="3">
        <f ca="1">IFERROR(__xludf.DUMMYFUNCTION("""COMPUTED_VALUE"""),-0.721165723219675)</f>
        <v>-0.72116572321967498</v>
      </c>
      <c r="EL60" s="3">
        <f ca="1">IFERROR(__xludf.DUMMYFUNCTION("""COMPUTED_VALUE"""),-0.758040640857593)</f>
        <v>-0.75804064085759304</v>
      </c>
      <c r="EM60" s="3">
        <f ca="1">IFERROR(__xludf.DUMMYFUNCTION("""COMPUTED_VALUE"""),-0.76285151619738)</f>
        <v>-0.76285151619738001</v>
      </c>
      <c r="EN60" s="3">
        <f ca="1">IFERROR(__xludf.DUMMYFUNCTION("""COMPUTED_VALUE"""),-0.622106964921818)</f>
        <v>-0.62210696492181805</v>
      </c>
      <c r="EO60" s="3">
        <f ca="1">IFERROR(__xludf.DUMMYFUNCTION("""COMPUTED_VALUE"""),-0.620992678458268)</f>
        <v>-0.620992678458268</v>
      </c>
      <c r="EP60" s="3">
        <f ca="1">IFERROR(__xludf.DUMMYFUNCTION("""COMPUTED_VALUE"""),-0.670178493488254)</f>
        <v>-0.67017849348825398</v>
      </c>
      <c r="EQ60" s="3">
        <f ca="1">IFERROR(__xludf.DUMMYFUNCTION("""COMPUTED_VALUE"""),-0.647587877066418)</f>
        <v>-0.64758787706641796</v>
      </c>
      <c r="ER60" s="3">
        <f ca="1">IFERROR(__xludf.DUMMYFUNCTION("""COMPUTED_VALUE"""),-0.699053044452047)</f>
        <v>-0.69905304445204697</v>
      </c>
      <c r="ES60" s="3">
        <f ca="1">IFERROR(__xludf.DUMMYFUNCTION("""COMPUTED_VALUE"""),-0.728685563518119)</f>
        <v>-0.72868556351811897</v>
      </c>
      <c r="ET60" s="3">
        <f ca="1">IFERROR(__xludf.DUMMYFUNCTION("""COMPUTED_VALUE"""),-0.709916681348402)</f>
        <v>-0.70991668134840202</v>
      </c>
      <c r="EU60" s="3">
        <f ca="1">IFERROR(__xludf.DUMMYFUNCTION("""COMPUTED_VALUE"""),-0.599031834622859)</f>
        <v>-0.59903183462285903</v>
      </c>
      <c r="EV60" s="3">
        <f ca="1">IFERROR(__xludf.DUMMYFUNCTION("""COMPUTED_VALUE"""),-0.594955388230193)</f>
        <v>-0.59495538823019301</v>
      </c>
      <c r="EW60" s="3">
        <f ca="1">IFERROR(__xludf.DUMMYFUNCTION("""COMPUTED_VALUE"""),-0.710849086028302)</f>
        <v>-0.71084908602830199</v>
      </c>
      <c r="EX60" s="3">
        <f ca="1">IFERROR(__xludf.DUMMYFUNCTION("""COMPUTED_VALUE"""),-0.722749403055336)</f>
        <v>-0.72274940305533597</v>
      </c>
      <c r="EY60" s="3">
        <f ca="1">IFERROR(__xludf.DUMMYFUNCTION("""COMPUTED_VALUE"""),-0.720057637016807)</f>
        <v>-0.72005763701680703</v>
      </c>
      <c r="EZ60" s="3">
        <f ca="1">IFERROR(__xludf.DUMMYFUNCTION("""COMPUTED_VALUE"""),-0.710721219263488)</f>
        <v>-0.71072121926348797</v>
      </c>
      <c r="FA60" s="3">
        <f ca="1">IFERROR(__xludf.DUMMYFUNCTION("""COMPUTED_VALUE"""),-0.714281856946109)</f>
        <v>-0.71428185694610902</v>
      </c>
      <c r="FB60" s="3">
        <f ca="1">IFERROR(__xludf.DUMMYFUNCTION("""COMPUTED_VALUE"""),-0.54847032842648)</f>
        <v>-0.54847032842648002</v>
      </c>
      <c r="FC60" s="3">
        <f ca="1">IFERROR(__xludf.DUMMYFUNCTION("""COMPUTED_VALUE"""),-0.568791733326845)</f>
        <v>-0.56879173332684496</v>
      </c>
      <c r="FD60" s="3">
        <f ca="1">IFERROR(__xludf.DUMMYFUNCTION("""COMPUTED_VALUE"""),-0.668723726619018)</f>
        <v>-0.66872372661901802</v>
      </c>
      <c r="FE60" s="3">
        <f ca="1">IFERROR(__xludf.DUMMYFUNCTION("""COMPUTED_VALUE"""),-0.710228534795129)</f>
        <v>-0.71022853479512904</v>
      </c>
      <c r="FF60" s="3">
        <f ca="1">IFERROR(__xludf.DUMMYFUNCTION("""COMPUTED_VALUE"""),-0.712345016796006)</f>
        <v>-0.71234501679600604</v>
      </c>
      <c r="FG60" s="3">
        <f ca="1">IFERROR(__xludf.DUMMYFUNCTION("""COMPUTED_VALUE"""),-0.713357200340884)</f>
        <v>-0.71335720034088401</v>
      </c>
      <c r="FH60" s="3">
        <f ca="1">IFERROR(__xludf.DUMMYFUNCTION("""COMPUTED_VALUE"""),-0.685472841200437)</f>
        <v>-0.68547284120043706</v>
      </c>
      <c r="FI60" s="3">
        <f ca="1">IFERROR(__xludf.DUMMYFUNCTION("""COMPUTED_VALUE"""),-0.513425879147672)</f>
        <v>-0.51342587914767202</v>
      </c>
      <c r="FJ60" s="3">
        <f ca="1">IFERROR(__xludf.DUMMYFUNCTION("""COMPUTED_VALUE"""),-0.529012142498864)</f>
        <v>-0.52901214249886397</v>
      </c>
      <c r="FK60" s="3">
        <f ca="1">IFERROR(__xludf.DUMMYFUNCTION("""COMPUTED_VALUE"""),-0.671250099489738)</f>
        <v>-0.67125009948973802</v>
      </c>
      <c r="FL60" s="3">
        <f ca="1">IFERROR(__xludf.DUMMYFUNCTION("""COMPUTED_VALUE"""),-0.710410255885587)</f>
        <v>-0.71041025588558704</v>
      </c>
      <c r="FM60" s="3">
        <f ca="1">IFERROR(__xludf.DUMMYFUNCTION("""COMPUTED_VALUE"""),-0.714871639905776)</f>
        <v>-0.71487163990577596</v>
      </c>
      <c r="FN60" s="3">
        <f ca="1">IFERROR(__xludf.DUMMYFUNCTION("""COMPUTED_VALUE"""),-0.711278925423859)</f>
        <v>-0.71127892542385895</v>
      </c>
      <c r="FO60" s="3">
        <f ca="1">IFERROR(__xludf.DUMMYFUNCTION("""COMPUTED_VALUE"""),-0.685162118985126)</f>
        <v>-0.68516211898512602</v>
      </c>
      <c r="FP60" s="3">
        <f ca="1">IFERROR(__xludf.DUMMYFUNCTION("""COMPUTED_VALUE"""),-0.556026667684573)</f>
        <v>-0.55602666768457298</v>
      </c>
      <c r="FQ60" s="3">
        <f ca="1">IFERROR(__xludf.DUMMYFUNCTION("""COMPUTED_VALUE"""),-0.560828974381635)</f>
        <v>-0.56082897438163504</v>
      </c>
      <c r="FR60" s="3">
        <f ca="1">IFERROR(__xludf.DUMMYFUNCTION("""COMPUTED_VALUE"""),-0.652336634091982)</f>
        <v>-0.65233663409198195</v>
      </c>
      <c r="FS60" s="3">
        <f ca="1">IFERROR(__xludf.DUMMYFUNCTION("""COMPUTED_VALUE"""),-0.704929780233634)</f>
        <v>-0.70492978023363395</v>
      </c>
      <c r="FT60" s="3">
        <f ca="1">IFERROR(__xludf.DUMMYFUNCTION("""COMPUTED_VALUE"""),-0.69278785021272)</f>
        <v>-0.69278785021272005</v>
      </c>
      <c r="FU60" s="3">
        <f ca="1">IFERROR(__xludf.DUMMYFUNCTION("""COMPUTED_VALUE"""),-0.687257949513438)</f>
        <v>-0.68725794951343799</v>
      </c>
      <c r="FV60" s="3">
        <f ca="1">IFERROR(__xludf.DUMMYFUNCTION("""COMPUTED_VALUE"""),-0.705206300898599)</f>
        <v>-0.70520630089859904</v>
      </c>
      <c r="FW60" s="3">
        <f ca="1">IFERROR(__xludf.DUMMYFUNCTION("""COMPUTED_VALUE"""),-0.535624331023449)</f>
        <v>-0.53562433102344897</v>
      </c>
      <c r="FX60" s="3">
        <f ca="1">IFERROR(__xludf.DUMMYFUNCTION("""COMPUTED_VALUE"""),-0.547162741953162)</f>
        <v>-0.54716274195316195</v>
      </c>
      <c r="FY60" s="3">
        <f ca="1">IFERROR(__xludf.DUMMYFUNCTION("""COMPUTED_VALUE"""),-0.665450620964601)</f>
        <v>-0.66545062096460095</v>
      </c>
      <c r="FZ60" s="3">
        <f ca="1">IFERROR(__xludf.DUMMYFUNCTION("""COMPUTED_VALUE"""),-0.674887876149965)</f>
        <v>-0.67488787614996504</v>
      </c>
      <c r="GA60" s="3">
        <f ca="1">IFERROR(__xludf.DUMMYFUNCTION("""COMPUTED_VALUE"""),-0.683444003398631)</f>
        <v>-0.68344400339863098</v>
      </c>
      <c r="GB60" s="3">
        <f ca="1">IFERROR(__xludf.DUMMYFUNCTION("""COMPUTED_VALUE"""),-0.682224639002119)</f>
        <v>-0.68222463900211905</v>
      </c>
      <c r="GC60" s="3">
        <f ca="1">IFERROR(__xludf.DUMMYFUNCTION("""COMPUTED_VALUE"""),-0.680486981695351)</f>
        <v>-0.68048698169535105</v>
      </c>
      <c r="GD60" s="3">
        <f ca="1">IFERROR(__xludf.DUMMYFUNCTION("""COMPUTED_VALUE"""),-0.542062737188775)</f>
        <v>-0.54206273718877496</v>
      </c>
      <c r="GE60" s="3">
        <f ca="1">IFERROR(__xludf.DUMMYFUNCTION("""COMPUTED_VALUE"""),-0.510226794871618)</f>
        <v>-0.51022679487161804</v>
      </c>
      <c r="GF60" s="3">
        <f ca="1">IFERROR(__xludf.DUMMYFUNCTION("""COMPUTED_VALUE"""),-0.656186743534348)</f>
        <v>-0.65618674353434803</v>
      </c>
      <c r="GG60" s="3">
        <f ca="1">IFERROR(__xludf.DUMMYFUNCTION("""COMPUTED_VALUE"""),-0.676807091400685)</f>
        <v>-0.67680709140068496</v>
      </c>
      <c r="GH60" s="3">
        <f ca="1">IFERROR(__xludf.DUMMYFUNCTION("""COMPUTED_VALUE"""),-0.669961328771147)</f>
        <v>-0.669961328771147</v>
      </c>
      <c r="GI60" s="3">
        <f ca="1">IFERROR(__xludf.DUMMYFUNCTION("""COMPUTED_VALUE"""),-0.690670383797774)</f>
        <v>-0.69067038379777401</v>
      </c>
      <c r="GJ60" s="3">
        <f ca="1">IFERROR(__xludf.DUMMYFUNCTION("""COMPUTED_VALUE"""),-0.680511321451146)</f>
        <v>-0.68051132145114601</v>
      </c>
      <c r="GK60" s="3">
        <f ca="1">IFERROR(__xludf.DUMMYFUNCTION("""COMPUTED_VALUE"""),-0.535743694293771)</f>
        <v>-0.535743694293771</v>
      </c>
      <c r="GL60" s="3">
        <f ca="1">IFERROR(__xludf.DUMMYFUNCTION("""COMPUTED_VALUE"""),-0.543628161448895)</f>
        <v>-0.54362816144889503</v>
      </c>
      <c r="GM60" s="3">
        <f ca="1">IFERROR(__xludf.DUMMYFUNCTION("""COMPUTED_VALUE"""),-0.666130403444726)</f>
        <v>-0.66613040344472596</v>
      </c>
      <c r="GN60" s="3">
        <f ca="1">IFERROR(__xludf.DUMMYFUNCTION("""COMPUTED_VALUE"""),-0.671437497492236)</f>
        <v>-0.67143749749223602</v>
      </c>
      <c r="GO60" s="3">
        <f ca="1">IFERROR(__xludf.DUMMYFUNCTION("""COMPUTED_VALUE"""),-0.694342418602909)</f>
        <v>-0.69434241860290902</v>
      </c>
      <c r="GP60" s="3">
        <f ca="1">IFERROR(__xludf.DUMMYFUNCTION("""COMPUTED_VALUE"""),-0.691731740482277)</f>
        <v>-0.69173174048227704</v>
      </c>
      <c r="GQ60" s="3">
        <f ca="1">IFERROR(__xludf.DUMMYFUNCTION("""COMPUTED_VALUE"""),-0.673896844547509)</f>
        <v>-0.67389684454750898</v>
      </c>
      <c r="GR60" s="3">
        <f ca="1">IFERROR(__xludf.DUMMYFUNCTION("""COMPUTED_VALUE"""),-0.550785513754226)</f>
        <v>-0.55078551375422602</v>
      </c>
      <c r="GS60" s="3">
        <f ca="1">IFERROR(__xludf.DUMMYFUNCTION("""COMPUTED_VALUE"""),-0.526304016665399)</f>
        <v>-0.52630401666539905</v>
      </c>
      <c r="GT60" s="3">
        <f ca="1">IFERROR(__xludf.DUMMYFUNCTION("""COMPUTED_VALUE"""),-0.651851161801819)</f>
        <v>-0.65185116180181901</v>
      </c>
      <c r="GU60" s="3">
        <f ca="1">IFERROR(__xludf.DUMMYFUNCTION("""COMPUTED_VALUE"""),-0.67332421867545)</f>
        <v>-0.67332421867545</v>
      </c>
      <c r="GV60" s="3">
        <f ca="1">IFERROR(__xludf.DUMMYFUNCTION("""COMPUTED_VALUE"""),-0.655967841277121)</f>
        <v>-0.65596784127712104</v>
      </c>
      <c r="GW60" s="3">
        <f ca="1">IFERROR(__xludf.DUMMYFUNCTION("""COMPUTED_VALUE"""),-0.658070957584146)</f>
        <v>-0.65807095758414602</v>
      </c>
      <c r="GX60" s="3">
        <f ca="1">IFERROR(__xludf.DUMMYFUNCTION("""COMPUTED_VALUE"""),-0.653619443068307)</f>
        <v>-0.65361944306830699</v>
      </c>
      <c r="GY60" s="3">
        <f ca="1">IFERROR(__xludf.DUMMYFUNCTION("""COMPUTED_VALUE"""),-0.525126475532417)</f>
        <v>-0.52512647553241698</v>
      </c>
      <c r="GZ60" s="3">
        <f ca="1">IFERROR(__xludf.DUMMYFUNCTION("""COMPUTED_VALUE"""),-0.517002420237622)</f>
        <v>-0.517002420237622</v>
      </c>
      <c r="HA60" s="3">
        <f ca="1">IFERROR(__xludf.DUMMYFUNCTION("""COMPUTED_VALUE"""),-0.634812088138364)</f>
        <v>-0.63481208813836398</v>
      </c>
      <c r="HB60" s="3">
        <f ca="1">IFERROR(__xludf.DUMMYFUNCTION("""COMPUTED_VALUE"""),-0.666886071375126)</f>
        <v>-0.66688607137512601</v>
      </c>
      <c r="HC60" s="3">
        <f ca="1">IFERROR(__xludf.DUMMYFUNCTION("""COMPUTED_VALUE"""),-0.664754927661006)</f>
        <v>-0.66475492766100597</v>
      </c>
      <c r="HD60" s="3">
        <f ca="1">IFERROR(__xludf.DUMMYFUNCTION("""COMPUTED_VALUE"""),-0.674766431528306)</f>
        <v>-0.67476643152830595</v>
      </c>
      <c r="HE60" s="3">
        <f ca="1">IFERROR(__xludf.DUMMYFUNCTION("""COMPUTED_VALUE"""),-0.654858769471246)</f>
        <v>-0.65485876947124599</v>
      </c>
      <c r="HF60" s="3">
        <f ca="1">IFERROR(__xludf.DUMMYFUNCTION("""COMPUTED_VALUE"""),-0.495389811097516)</f>
        <v>-0.49538981109751601</v>
      </c>
      <c r="HG60" s="3">
        <f ca="1">IFERROR(__xludf.DUMMYFUNCTION("""COMPUTED_VALUE"""),-0.558468276553174)</f>
        <v>-0.55846827655317399</v>
      </c>
      <c r="HH60" s="3">
        <f ca="1">IFERROR(__xludf.DUMMYFUNCTION("""COMPUTED_VALUE"""),-0.677394550509661)</f>
        <v>-0.67739455050966102</v>
      </c>
      <c r="HI60" s="3">
        <f ca="1">IFERROR(__xludf.DUMMYFUNCTION("""COMPUTED_VALUE"""),-0.684769711572317)</f>
        <v>-0.68476971157231703</v>
      </c>
      <c r="HJ60" s="3">
        <f ca="1">IFERROR(__xludf.DUMMYFUNCTION("""COMPUTED_VALUE"""),-0.703176599312953)</f>
        <v>-0.70317659931295295</v>
      </c>
      <c r="HK60" s="3">
        <f ca="1">IFERROR(__xludf.DUMMYFUNCTION("""COMPUTED_VALUE"""),-0.691600152603495)</f>
        <v>-0.69160015260349506</v>
      </c>
      <c r="HL60" s="3">
        <f ca="1">IFERROR(__xludf.DUMMYFUNCTION("""COMPUTED_VALUE"""),-0.698992297327997)</f>
        <v>-0.69899229732799695</v>
      </c>
      <c r="HM60" s="3">
        <f ca="1">IFERROR(__xludf.DUMMYFUNCTION("""COMPUTED_VALUE"""),-0.520063911657537)</f>
        <v>-0.52006391165753696</v>
      </c>
      <c r="HN60" s="3">
        <f ca="1">IFERROR(__xludf.DUMMYFUNCTION("""COMPUTED_VALUE"""),-0.539699699586365)</f>
        <v>-0.53969969958636499</v>
      </c>
      <c r="HO60" s="3">
        <f ca="1">IFERROR(__xludf.DUMMYFUNCTION("""COMPUTED_VALUE"""),-0.639154384347892)</f>
        <v>-0.63915438434789196</v>
      </c>
      <c r="HP60" s="3">
        <f ca="1">IFERROR(__xludf.DUMMYFUNCTION("""COMPUTED_VALUE"""),-0.649548965359623)</f>
        <v>-0.64954896535962303</v>
      </c>
      <c r="HQ60" s="3">
        <f ca="1">IFERROR(__xludf.DUMMYFUNCTION("""COMPUTED_VALUE"""),-0.667871633595023)</f>
        <v>-0.667871633595023</v>
      </c>
      <c r="HR60" s="3">
        <f ca="1">IFERROR(__xludf.DUMMYFUNCTION("""COMPUTED_VALUE"""),-0.675997724264113)</f>
        <v>-0.67599772426411298</v>
      </c>
      <c r="HS60" s="3">
        <f ca="1">IFERROR(__xludf.DUMMYFUNCTION("""COMPUTED_VALUE"""),-0.609744903564716)</f>
        <v>-0.609744903564716</v>
      </c>
      <c r="HT60" s="3">
        <f ca="1">IFERROR(__xludf.DUMMYFUNCTION("""COMPUTED_VALUE"""),-0.526158735988753)</f>
        <v>-0.52615873598875296</v>
      </c>
      <c r="HU60" s="3">
        <f ca="1">IFERROR(__xludf.DUMMYFUNCTION("""COMPUTED_VALUE"""),-0.528394984055504)</f>
        <v>-0.528394984055504</v>
      </c>
      <c r="HV60" s="3">
        <f ca="1">IFERROR(__xludf.DUMMYFUNCTION("""COMPUTED_VALUE"""),-0.631227633179253)</f>
        <v>-0.63122763317925301</v>
      </c>
      <c r="HW60" s="3">
        <f ca="1">IFERROR(__xludf.DUMMYFUNCTION("""COMPUTED_VALUE"""),-0.668880617116268)</f>
        <v>-0.66888061711626801</v>
      </c>
      <c r="HX60" s="3">
        <f ca="1">IFERROR(__xludf.DUMMYFUNCTION("""COMPUTED_VALUE"""),-0.641154763124583)</f>
        <v>-0.64115476312458297</v>
      </c>
      <c r="HY60" s="3">
        <f ca="1">IFERROR(__xludf.DUMMYFUNCTION("""COMPUTED_VALUE"""),-0.638140585803369)</f>
        <v>-0.63814058580336896</v>
      </c>
      <c r="HZ60" s="3">
        <f ca="1">IFERROR(__xludf.DUMMYFUNCTION("""COMPUTED_VALUE"""),-0.565430908819375)</f>
        <v>-0.56543090881937497</v>
      </c>
      <c r="IA60" s="3">
        <f ca="1">IFERROR(__xludf.DUMMYFUNCTION("""COMPUTED_VALUE"""),-0.466016989547255)</f>
        <v>-0.46601698954725501</v>
      </c>
      <c r="IB60" s="3">
        <f ca="1">IFERROR(__xludf.DUMMYFUNCTION("""COMPUTED_VALUE"""),-0.513561115278247)</f>
        <v>-0.51356111527824699</v>
      </c>
      <c r="IC60" s="3">
        <f ca="1">IFERROR(__xludf.DUMMYFUNCTION("""COMPUTED_VALUE"""),-0.577764080542508)</f>
        <v>-0.57776408054250805</v>
      </c>
      <c r="ID60" s="3">
        <f ca="1">IFERROR(__xludf.DUMMYFUNCTION("""COMPUTED_VALUE"""),-0.612875181160387)</f>
        <v>-0.61287518116038697</v>
      </c>
      <c r="IE60" s="3">
        <f ca="1">IFERROR(__xludf.DUMMYFUNCTION("""COMPUTED_VALUE"""),-0.61167677908817)</f>
        <v>-0.61167677908816998</v>
      </c>
      <c r="IF60" s="3">
        <f ca="1">IFERROR(__xludf.DUMMYFUNCTION("""COMPUTED_VALUE"""),-0.60512940056867)</f>
        <v>-0.60512940056867004</v>
      </c>
      <c r="IG60" s="3">
        <f ca="1">IFERROR(__xludf.DUMMYFUNCTION("""COMPUTED_VALUE"""),-0.571974197553375)</f>
        <v>-0.57197419755337497</v>
      </c>
      <c r="IH60" s="3">
        <f ca="1">IFERROR(__xludf.DUMMYFUNCTION("""COMPUTED_VALUE"""),-0.467378923455409)</f>
        <v>-0.46737892345540899</v>
      </c>
      <c r="II60" s="3">
        <f ca="1">IFERROR(__xludf.DUMMYFUNCTION("""COMPUTED_VALUE"""),-0.498507713658427)</f>
        <v>-0.498507713658427</v>
      </c>
      <c r="IJ60" s="3">
        <f ca="1">IFERROR(__xludf.DUMMYFUNCTION("""COMPUTED_VALUE"""),-0.586274355612736)</f>
        <v>-0.586274355612736</v>
      </c>
      <c r="IK60" s="3">
        <f ca="1">IFERROR(__xludf.DUMMYFUNCTION("""COMPUTED_VALUE"""),-0.594025824477426)</f>
        <v>-0.59402582447742602</v>
      </c>
      <c r="IL60" s="3">
        <f ca="1">IFERROR(__xludf.DUMMYFUNCTION("""COMPUTED_VALUE"""),-0.648482085779591)</f>
        <v>-0.64848208577959099</v>
      </c>
      <c r="IM60" s="3">
        <f ca="1">IFERROR(__xludf.DUMMYFUNCTION("""COMPUTED_VALUE"""),-0.59704146267906)</f>
        <v>-0.59704146267906</v>
      </c>
      <c r="IN60" s="3">
        <f ca="1">IFERROR(__xludf.DUMMYFUNCTION("""COMPUTED_VALUE"""),-0.572748323289321)</f>
        <v>-0.57274832328932102</v>
      </c>
      <c r="IO60" s="3">
        <f ca="1">IFERROR(__xludf.DUMMYFUNCTION("""COMPUTED_VALUE"""),-0.47497288826881)</f>
        <v>-0.47497288826881001</v>
      </c>
      <c r="IP60" s="3">
        <f ca="1">IFERROR(__xludf.DUMMYFUNCTION("""COMPUTED_VALUE"""),-0.493546183669068)</f>
        <v>-0.49354618366906799</v>
      </c>
      <c r="IQ60" s="3">
        <f ca="1">IFERROR(__xludf.DUMMYFUNCTION("""COMPUTED_VALUE"""),-0.573638240884903)</f>
        <v>-0.57363824088490301</v>
      </c>
      <c r="IR60" s="3">
        <f ca="1">IFERROR(__xludf.DUMMYFUNCTION("""COMPUTED_VALUE"""),-0.595643193714897)</f>
        <v>-0.59564319371489705</v>
      </c>
      <c r="IS60" s="3">
        <f ca="1">IFERROR(__xludf.DUMMYFUNCTION("""COMPUTED_VALUE"""),-0.600767867506285)</f>
        <v>-0.60076786750628497</v>
      </c>
      <c r="IT60" s="3">
        <f ca="1">IFERROR(__xludf.DUMMYFUNCTION("""COMPUTED_VALUE"""),-0.59439026474619)</f>
        <v>-0.59439026474618994</v>
      </c>
      <c r="IU60" s="3">
        <f ca="1">IFERROR(__xludf.DUMMYFUNCTION("""COMPUTED_VALUE"""),-0.544915201825668)</f>
        <v>-0.54491520182566799</v>
      </c>
      <c r="IV60" s="3">
        <f ca="1">IFERROR(__xludf.DUMMYFUNCTION("""COMPUTED_VALUE"""),-0.434721104400069)</f>
        <v>-0.434721104400069</v>
      </c>
      <c r="IW60" s="3">
        <f ca="1">IFERROR(__xludf.DUMMYFUNCTION("""COMPUTED_VALUE"""),-0.421707555613362)</f>
        <v>-0.42170755561336198</v>
      </c>
      <c r="IX60" s="3">
        <f ca="1">IFERROR(__xludf.DUMMYFUNCTION("""COMPUTED_VALUE"""),-0.512829341501012)</f>
        <v>-0.512829341501012</v>
      </c>
      <c r="IY60" s="3">
        <f ca="1">IFERROR(__xludf.DUMMYFUNCTION("""COMPUTED_VALUE"""),-0.554058130409731)</f>
        <v>-0.55405813040973095</v>
      </c>
      <c r="IZ60" s="3">
        <f ca="1">IFERROR(__xludf.DUMMYFUNCTION("""COMPUTED_VALUE"""),-0.551821180255864)</f>
        <v>-0.55182118025586402</v>
      </c>
      <c r="JA60" s="3">
        <f ca="1">IFERROR(__xludf.DUMMYFUNCTION("""COMPUTED_VALUE"""),-0.546518627213235)</f>
        <v>-0.54651862721323496</v>
      </c>
      <c r="JB60" s="3">
        <f ca="1">IFERROR(__xludf.DUMMYFUNCTION("""COMPUTED_VALUE"""),-0.510825289896234)</f>
        <v>-0.51082528989623399</v>
      </c>
      <c r="JC60" s="3">
        <f ca="1">IFERROR(__xludf.DUMMYFUNCTION("""COMPUTED_VALUE"""),-0.417037990645401)</f>
        <v>-0.41703799064540098</v>
      </c>
      <c r="JD60" s="3">
        <f ca="1">IFERROR(__xludf.DUMMYFUNCTION("""COMPUTED_VALUE"""),-0.448018956749868)</f>
        <v>-0.44801895674986802</v>
      </c>
      <c r="JE60" s="3">
        <f ca="1">IFERROR(__xludf.DUMMYFUNCTION("""COMPUTED_VALUE"""),-0.519981230659282)</f>
        <v>-0.51998123065928203</v>
      </c>
      <c r="JF60" s="3">
        <f ca="1">IFERROR(__xludf.DUMMYFUNCTION("""COMPUTED_VALUE"""),-0.559917439719552)</f>
        <v>-0.55991743971955199</v>
      </c>
      <c r="JG60" s="3">
        <f ca="1">IFERROR(__xludf.DUMMYFUNCTION("""COMPUTED_VALUE"""),-0.583817941298423)</f>
        <v>-0.58381794129842302</v>
      </c>
      <c r="JH60" s="3">
        <f ca="1">IFERROR(__xludf.DUMMYFUNCTION("""COMPUTED_VALUE"""),-0.584272108263364)</f>
        <v>-0.58427210826336395</v>
      </c>
      <c r="JI60" s="3">
        <f ca="1">IFERROR(__xludf.DUMMYFUNCTION("""COMPUTED_VALUE"""),-0.541524437937064)</f>
        <v>-0.54152443793706395</v>
      </c>
      <c r="JJ60" s="3">
        <f ca="1">IFERROR(__xludf.DUMMYFUNCTION("""COMPUTED_VALUE"""),-0.391329321770249)</f>
        <v>-0.39132932177024898</v>
      </c>
      <c r="JK60" s="3">
        <f ca="1">IFERROR(__xludf.DUMMYFUNCTION("""COMPUTED_VALUE"""),-0.459026556541591)</f>
        <v>-0.45902655654159102</v>
      </c>
      <c r="JL60" s="3">
        <f ca="1">IFERROR(__xludf.DUMMYFUNCTION("""COMPUTED_VALUE"""),-0.536113647225363)</f>
        <v>-0.53611364722536303</v>
      </c>
      <c r="JM60" s="3">
        <f ca="1">IFERROR(__xludf.DUMMYFUNCTION("""COMPUTED_VALUE"""),-0.565166916182557)</f>
        <v>-0.56516691618255699</v>
      </c>
      <c r="JN60" s="3">
        <f ca="1">IFERROR(__xludf.DUMMYFUNCTION("""COMPUTED_VALUE"""),-0.573893208356532)</f>
        <v>-0.57389320835653201</v>
      </c>
      <c r="JO60" s="3">
        <f ca="1">IFERROR(__xludf.DUMMYFUNCTION("""COMPUTED_VALUE"""),-0.616582233461729)</f>
        <v>-0.61658223346172902</v>
      </c>
      <c r="JP60" s="3">
        <f ca="1">IFERROR(__xludf.DUMMYFUNCTION("""COMPUTED_VALUE"""),-0.547089174180444)</f>
        <v>-0.547089174180444</v>
      </c>
      <c r="JQ60" s="3">
        <f ca="1">IFERROR(__xludf.DUMMYFUNCTION("""COMPUTED_VALUE"""),-0.416140612405832)</f>
        <v>-0.416140612405832</v>
      </c>
      <c r="JR60" s="3">
        <f ca="1">IFERROR(__xludf.DUMMYFUNCTION("""COMPUTED_VALUE"""),-0.446191530727172)</f>
        <v>-0.44619153072717199</v>
      </c>
      <c r="JS60" s="3">
        <f ca="1">IFERROR(__xludf.DUMMYFUNCTION("""COMPUTED_VALUE"""),-0.518721179996874)</f>
        <v>-0.51872117999687395</v>
      </c>
      <c r="JT60" s="3">
        <f ca="1">IFERROR(__xludf.DUMMYFUNCTION("""COMPUTED_VALUE"""),-0.516989857616116)</f>
        <v>-0.51698985761611604</v>
      </c>
      <c r="JU60" s="3">
        <f ca="1">IFERROR(__xludf.DUMMYFUNCTION("""COMPUTED_VALUE"""),-0.574627429572017)</f>
        <v>-0.57462742957201696</v>
      </c>
      <c r="JV60" s="3">
        <f ca="1">IFERROR(__xludf.DUMMYFUNCTION("""COMPUTED_VALUE"""),-0.59339499068204)</f>
        <v>-0.59339499068204005</v>
      </c>
      <c r="JW60" s="3">
        <f ca="1">IFERROR(__xludf.DUMMYFUNCTION("""COMPUTED_VALUE"""),-0.578257109355946)</f>
        <v>-0.57825710935594599</v>
      </c>
      <c r="JX60" s="3">
        <f ca="1">IFERROR(__xludf.DUMMYFUNCTION("""COMPUTED_VALUE"""),-0.439647700372106)</f>
        <v>-0.43964770037210599</v>
      </c>
      <c r="JY60" s="3">
        <f ca="1">IFERROR(__xludf.DUMMYFUNCTION("""COMPUTED_VALUE"""),-0.502524075020004)</f>
        <v>-0.50252407502000396</v>
      </c>
      <c r="JZ60" s="3">
        <f ca="1">IFERROR(__xludf.DUMMYFUNCTION("""COMPUTED_VALUE"""),-0.552115677067783)</f>
        <v>-0.55211567706778297</v>
      </c>
      <c r="KA60" s="3">
        <f ca="1">IFERROR(__xludf.DUMMYFUNCTION("""COMPUTED_VALUE"""),-0.502395006395282)</f>
        <v>-0.50239500639528201</v>
      </c>
      <c r="KB60" s="3">
        <f ca="1">IFERROR(__xludf.DUMMYFUNCTION("""COMPUTED_VALUE"""),-0.561430633543584)</f>
        <v>-0.56143063354358402</v>
      </c>
      <c r="KC60" s="3">
        <f ca="1">IFERROR(__xludf.DUMMYFUNCTION("""COMPUTED_VALUE"""),-0.591873899863009)</f>
        <v>-0.59187389986300898</v>
      </c>
      <c r="KD60" s="3">
        <f ca="1">IFERROR(__xludf.DUMMYFUNCTION("""COMPUTED_VALUE"""),-0.602481237463962)</f>
        <v>-0.60248123746396198</v>
      </c>
      <c r="KE60" s="3">
        <f ca="1">IFERROR(__xludf.DUMMYFUNCTION("""COMPUTED_VALUE"""),-0.436678686927607)</f>
        <v>-0.43667868692760697</v>
      </c>
      <c r="KF60" s="3">
        <f ca="1">IFERROR(__xludf.DUMMYFUNCTION("""COMPUTED_VALUE"""),-0.460582230802057)</f>
        <v>-0.46058223080205701</v>
      </c>
      <c r="KG60" s="3">
        <f ca="1">IFERROR(__xludf.DUMMYFUNCTION("""COMPUTED_VALUE"""),-0.564236148757005)</f>
        <v>-0.56423614875700501</v>
      </c>
      <c r="KH60" s="3">
        <f ca="1">IFERROR(__xludf.DUMMYFUNCTION("""COMPUTED_VALUE"""),-0.550785940871091)</f>
        <v>-0.55078594087109101</v>
      </c>
      <c r="KI60" s="3">
        <f ca="1">IFERROR(__xludf.DUMMYFUNCTION("""COMPUTED_VALUE"""),-0.635295435656933)</f>
        <v>-0.63529543565693303</v>
      </c>
      <c r="KJ60" s="3">
        <f ca="1">IFERROR(__xludf.DUMMYFUNCTION("""COMPUTED_VALUE"""),-0.634371875756385)</f>
        <v>-0.63437187575638498</v>
      </c>
      <c r="KK60" s="3">
        <f ca="1">IFERROR(__xludf.DUMMYFUNCTION("""COMPUTED_VALUE"""),-0.592379847201834)</f>
        <v>-0.59237984720183401</v>
      </c>
      <c r="KL60" s="3">
        <f ca="1">IFERROR(__xludf.DUMMYFUNCTION("""COMPUTED_VALUE"""),-0.483347519045337)</f>
        <v>-0.48334751904533702</v>
      </c>
      <c r="KM60" s="3">
        <f ca="1">IFERROR(__xludf.DUMMYFUNCTION("""COMPUTED_VALUE"""),-0.518105547837584)</f>
        <v>-0.518105547837584</v>
      </c>
      <c r="KN60" s="3">
        <f ca="1">IFERROR(__xludf.DUMMYFUNCTION("""COMPUTED_VALUE"""),-0.583965538681293)</f>
        <v>-0.58396553868129297</v>
      </c>
      <c r="KO60" s="3">
        <f ca="1">IFERROR(__xludf.DUMMYFUNCTION("""COMPUTED_VALUE"""),-0.667217975843714)</f>
        <v>-0.66721797584371401</v>
      </c>
      <c r="KP60" s="3">
        <f ca="1">IFERROR(__xludf.DUMMYFUNCTION("""COMPUTED_VALUE"""),-0.605869501621594)</f>
        <v>-0.60586950162159403</v>
      </c>
      <c r="KQ60" s="3">
        <f ca="1">IFERROR(__xludf.DUMMYFUNCTION("""COMPUTED_VALUE"""),-0.613131389971418)</f>
        <v>-0.61313138997141803</v>
      </c>
      <c r="KR60" s="3">
        <f ca="1">IFERROR(__xludf.DUMMYFUNCTION("""COMPUTED_VALUE"""),-0.630085643221706)</f>
        <v>-0.63008564322170602</v>
      </c>
      <c r="KS60" s="3">
        <f ca="1">IFERROR(__xludf.DUMMYFUNCTION("""COMPUTED_VALUE"""),-0.464508856960163)</f>
        <v>-0.46450885696016297</v>
      </c>
      <c r="KT60" s="3">
        <f ca="1">IFERROR(__xludf.DUMMYFUNCTION("""COMPUTED_VALUE"""),-0.546980070612599)</f>
        <v>-0.54698007061259901</v>
      </c>
      <c r="KU60" s="3">
        <f ca="1">IFERROR(__xludf.DUMMYFUNCTION("""COMPUTED_VALUE"""),-0.600673518614764)</f>
        <v>-0.60067351861476403</v>
      </c>
      <c r="KV60" s="3">
        <f ca="1">IFERROR(__xludf.DUMMYFUNCTION("""COMPUTED_VALUE"""),-0.663043880126667)</f>
        <v>-0.66304388012666704</v>
      </c>
      <c r="KW60" s="3">
        <f ca="1">IFERROR(__xludf.DUMMYFUNCTION("""COMPUTED_VALUE"""),-0.663360739296331)</f>
        <v>-0.66336073929633099</v>
      </c>
      <c r="KX60" s="3">
        <f ca="1">IFERROR(__xludf.DUMMYFUNCTION("""COMPUTED_VALUE"""),-0.727411835534049)</f>
        <v>-0.72741183553404898</v>
      </c>
      <c r="KY60" s="3">
        <f ca="1">IFERROR(__xludf.DUMMYFUNCTION("""COMPUTED_VALUE"""),-0.668224243024079)</f>
        <v>-0.66822424302407901</v>
      </c>
      <c r="KZ60" s="3">
        <f ca="1">IFERROR(__xludf.DUMMYFUNCTION("""COMPUTED_VALUE"""),-0.56705261546229)</f>
        <v>-0.56705261546229002</v>
      </c>
      <c r="LA60" s="3">
        <f ca="1">IFERROR(__xludf.DUMMYFUNCTION("""COMPUTED_VALUE"""),-0.67386777980332)</f>
        <v>-0.67386777980332002</v>
      </c>
      <c r="LB60" s="3">
        <f ca="1">IFERROR(__xludf.DUMMYFUNCTION("""COMPUTED_VALUE"""),-0.684889365254085)</f>
        <v>-0.68488936525408495</v>
      </c>
      <c r="LC60" s="3">
        <f ca="1">IFERROR(__xludf.DUMMYFUNCTION("""COMPUTED_VALUE"""),-0.713004294501457)</f>
        <v>-0.71300429450145697</v>
      </c>
      <c r="LD60" s="3">
        <f ca="1">IFERROR(__xludf.DUMMYFUNCTION("""COMPUTED_VALUE"""),-0.721014298872005)</f>
        <v>-0.72101429887200497</v>
      </c>
      <c r="LE60" s="3">
        <f ca="1">IFERROR(__xludf.DUMMYFUNCTION("""COMPUTED_VALUE"""),-0.932879903131751)</f>
        <v>-0.93287990313175095</v>
      </c>
      <c r="LF60" s="3">
        <f ca="1">IFERROR(__xludf.DUMMYFUNCTION("""COMPUTED_VALUE"""),-0.897839002586508)</f>
        <v>-0.89783900258650795</v>
      </c>
      <c r="LG60" s="3">
        <f ca="1">IFERROR(__xludf.DUMMYFUNCTION("""COMPUTED_VALUE"""),-0.941361175496568)</f>
        <v>-0.94136117549656795</v>
      </c>
      <c r="LH60" s="3">
        <f ca="1">IFERROR(__xludf.DUMMYFUNCTION("""COMPUTED_VALUE"""),-0.958646805982891)</f>
        <v>-0.95864680598289098</v>
      </c>
      <c r="LI60" s="3">
        <f ca="1">IFERROR(__xludf.DUMMYFUNCTION("""COMPUTED_VALUE"""),-0.948416008403849)</f>
        <v>-0.94841600840384899</v>
      </c>
      <c r="LJ60" s="3">
        <f ca="1">IFERROR(__xludf.DUMMYFUNCTION("""COMPUTED_VALUE"""),-0.732329881798543)</f>
        <v>-0.73232988179854297</v>
      </c>
      <c r="LK60" s="3">
        <f ca="1">IFERROR(__xludf.DUMMYFUNCTION("""COMPUTED_VALUE"""),-0.674378645317847)</f>
        <v>-0.67437864531784697</v>
      </c>
      <c r="LL60" s="3">
        <f ca="1">IFERROR(__xludf.DUMMYFUNCTION("""COMPUTED_VALUE"""),-0.722542339464605)</f>
        <v>-0.722542339464605</v>
      </c>
      <c r="LM60" s="3">
        <f ca="1">IFERROR(__xludf.DUMMYFUNCTION("""COMPUTED_VALUE"""),-0.698037688232363)</f>
        <v>-0.69803768823236301</v>
      </c>
      <c r="LN60" s="3">
        <f ca="1">IFERROR(__xludf.DUMMYFUNCTION("""COMPUTED_VALUE"""),-0.59308564964987)</f>
        <v>-0.59308564964986998</v>
      </c>
      <c r="LO60" s="3">
        <f ca="1">IFERROR(__xludf.DUMMYFUNCTION("""COMPUTED_VALUE"""),-0.630108129900376)</f>
        <v>-0.63010812990037601</v>
      </c>
      <c r="LP60" s="3">
        <f ca="1">IFERROR(__xludf.DUMMYFUNCTION("""COMPUTED_VALUE"""),-0.709928604133417)</f>
        <v>-0.70992860413341696</v>
      </c>
      <c r="LQ60" s="3">
        <f ca="1">IFERROR(__xludf.DUMMYFUNCTION("""COMPUTED_VALUE"""),-0.742744399899826)</f>
        <v>-0.74274439989982599</v>
      </c>
      <c r="LR60" s="3">
        <f ca="1">IFERROR(__xludf.DUMMYFUNCTION("""COMPUTED_VALUE"""),-0.714233372979933)</f>
        <v>-0.71423337297993295</v>
      </c>
      <c r="LS60" s="3">
        <f ca="1">IFERROR(__xludf.DUMMYFUNCTION("""COMPUTED_VALUE"""),-0.722878019335401)</f>
        <v>-0.72287801933540097</v>
      </c>
      <c r="LT60" s="3">
        <f ca="1">IFERROR(__xludf.DUMMYFUNCTION("""COMPUTED_VALUE"""),-0.634880693360226)</f>
        <v>-0.63488069336022601</v>
      </c>
      <c r="LU60" s="3">
        <f ca="1">IFERROR(__xludf.DUMMYFUNCTION("""COMPUTED_VALUE"""),-0.675100502867705)</f>
        <v>-0.67510050286770495</v>
      </c>
      <c r="LV60" s="3">
        <f ca="1">IFERROR(__xludf.DUMMYFUNCTION("""COMPUTED_VALUE"""),-0.668414800617915)</f>
        <v>-0.66841480061791503</v>
      </c>
      <c r="LW60" s="3">
        <f ca="1">IFERROR(__xludf.DUMMYFUNCTION("""COMPUTED_VALUE"""),-0.715429357225618)</f>
        <v>-0.71542935722561796</v>
      </c>
      <c r="LX60" s="3">
        <f ca="1">IFERROR(__xludf.DUMMYFUNCTION("""COMPUTED_VALUE"""),-0.751935697866444)</f>
        <v>-0.75193569786644399</v>
      </c>
      <c r="LY60" s="3">
        <f ca="1">IFERROR(__xludf.DUMMYFUNCTION("""COMPUTED_VALUE"""),-0.765764796930454)</f>
        <v>-0.76576479693045396</v>
      </c>
      <c r="LZ60" s="3">
        <f ca="1">IFERROR(__xludf.DUMMYFUNCTION("""COMPUTED_VALUE"""),-0.739427714535802)</f>
        <v>-0.73942771453580203</v>
      </c>
      <c r="MA60" s="3">
        <f ca="1">IFERROR(__xludf.DUMMYFUNCTION("""COMPUTED_VALUE"""),-0.729829907735313)</f>
        <v>-0.72982990773531298</v>
      </c>
      <c r="MB60" s="3">
        <f ca="1">IFERROR(__xludf.DUMMYFUNCTION("""COMPUTED_VALUE"""),-0.669848722676824)</f>
        <v>-0.66984872267682405</v>
      </c>
      <c r="MC60" s="3">
        <f ca="1">IFERROR(__xludf.DUMMYFUNCTION("""COMPUTED_VALUE"""),-0.702874702077472)</f>
        <v>-0.70287470207747205</v>
      </c>
      <c r="MD60" s="3">
        <f ca="1">IFERROR(__xludf.DUMMYFUNCTION("""COMPUTED_VALUE"""),-0.755746026250917)</f>
        <v>-0.75574602625091702</v>
      </c>
      <c r="ME60" s="3">
        <f ca="1">IFERROR(__xludf.DUMMYFUNCTION("""COMPUTED_VALUE"""),-0.755681641226714)</f>
        <v>-0.755681641226714</v>
      </c>
      <c r="MF60" s="3">
        <f ca="1">IFERROR(__xludf.DUMMYFUNCTION("""COMPUTED_VALUE"""),-0.760202202264599)</f>
        <v>-0.760202202264599</v>
      </c>
      <c r="MG60" s="3">
        <f ca="1">IFERROR(__xludf.DUMMYFUNCTION("""COMPUTED_VALUE"""),-0.750278416754199)</f>
        <v>-0.75027841675419904</v>
      </c>
      <c r="MH60" s="3">
        <f ca="1">IFERROR(__xludf.DUMMYFUNCTION("""COMPUTED_VALUE"""),-0.719441356184554)</f>
        <v>-0.71944135618455396</v>
      </c>
      <c r="MI60" s="3">
        <f ca="1">IFERROR(__xludf.DUMMYFUNCTION("""COMPUTED_VALUE"""),-0.592263290650399)</f>
        <v>-0.59226329065039895</v>
      </c>
      <c r="MJ60" s="3">
        <f ca="1">IFERROR(__xludf.DUMMYFUNCTION("""COMPUTED_VALUE"""),-0.634743079483433)</f>
        <v>-0.634743079483433</v>
      </c>
      <c r="MK60" s="3">
        <f ca="1">IFERROR(__xludf.DUMMYFUNCTION("""COMPUTED_VALUE"""),-0.73349400574956)</f>
        <v>-0.73349400574956003</v>
      </c>
      <c r="ML60" s="3">
        <f ca="1">IFERROR(__xludf.DUMMYFUNCTION("""COMPUTED_VALUE"""),-0.758103202643499)</f>
        <v>-0.75810320264349895</v>
      </c>
      <c r="MM60" s="3">
        <f ca="1">IFERROR(__xludf.DUMMYFUNCTION("""COMPUTED_VALUE"""),-0.745983175385804)</f>
        <v>-0.74598317538580405</v>
      </c>
      <c r="MN60" s="3">
        <f ca="1">IFERROR(__xludf.DUMMYFUNCTION("""COMPUTED_VALUE"""),-0.800890383246267)</f>
        <v>-0.80089038324626705</v>
      </c>
      <c r="MO60" s="3">
        <f ca="1">IFERROR(__xludf.DUMMYFUNCTION("""COMPUTED_VALUE"""),-0.724096674065827)</f>
        <v>-0.72409667406582701</v>
      </c>
      <c r="MP60" s="3">
        <f ca="1">IFERROR(__xludf.DUMMYFUNCTION("""COMPUTED_VALUE"""),-0.614500887571911)</f>
        <v>-0.61450088757191101</v>
      </c>
      <c r="MQ60" s="3">
        <f ca="1">IFERROR(__xludf.DUMMYFUNCTION("""COMPUTED_VALUE"""),-0.659782046107261)</f>
        <v>-0.65978204610726099</v>
      </c>
      <c r="MR60" s="3">
        <f ca="1">IFERROR(__xludf.DUMMYFUNCTION("""COMPUTED_VALUE"""),-0.754607056012506)</f>
        <v>-0.75460705601250599</v>
      </c>
      <c r="MS60" s="3">
        <f ca="1">IFERROR(__xludf.DUMMYFUNCTION("""COMPUTED_VALUE"""),-0.758554191140556)</f>
        <v>-0.758554191140556</v>
      </c>
      <c r="MT60" s="3">
        <f ca="1">IFERROR(__xludf.DUMMYFUNCTION("""COMPUTED_VALUE"""),-0.754120032927242)</f>
        <v>-0.75412003292724195</v>
      </c>
      <c r="MU60" s="3">
        <f ca="1">IFERROR(__xludf.DUMMYFUNCTION("""COMPUTED_VALUE"""),-0.769732270538243)</f>
        <v>-0.769732270538243</v>
      </c>
      <c r="MV60" s="3">
        <f ca="1">IFERROR(__xludf.DUMMYFUNCTION("""COMPUTED_VALUE"""),-0.738512486208868)</f>
        <v>-0.738512486208868</v>
      </c>
      <c r="MW60" s="3">
        <f ca="1">IFERROR(__xludf.DUMMYFUNCTION("""COMPUTED_VALUE"""),-0.591184758366766)</f>
        <v>-0.59118475836676598</v>
      </c>
      <c r="MX60" s="3">
        <f ca="1">IFERROR(__xludf.DUMMYFUNCTION("""COMPUTED_VALUE"""),-0.636575280466331)</f>
        <v>-0.63657528046633105</v>
      </c>
      <c r="MY60" s="3">
        <f ca="1">IFERROR(__xludf.DUMMYFUNCTION("""COMPUTED_VALUE"""),-0.756377651488822)</f>
        <v>-0.75637765148882197</v>
      </c>
      <c r="MZ60" s="3">
        <f ca="1">IFERROR(__xludf.DUMMYFUNCTION("""COMPUTED_VALUE"""),-0.747039963294477)</f>
        <v>-0.74703996329447697</v>
      </c>
      <c r="NA60" s="3">
        <f ca="1">IFERROR(__xludf.DUMMYFUNCTION("""COMPUTED_VALUE"""),-0.77759638770718)</f>
        <v>-0.77759638770717998</v>
      </c>
      <c r="NB60" s="3">
        <f ca="1">IFERROR(__xludf.DUMMYFUNCTION("""COMPUTED_VALUE"""),-0.792158957541243)</f>
        <v>-0.79215895754124299</v>
      </c>
      <c r="NC60" s="3">
        <f ca="1">IFERROR(__xludf.DUMMYFUNCTION("""COMPUTED_VALUE"""),-0.774954469904663)</f>
        <v>-0.77495446990466299</v>
      </c>
      <c r="ND60" s="3">
        <f ca="1">IFERROR(__xludf.DUMMYFUNCTION("""COMPUTED_VALUE"""),-0.739177250998552)</f>
        <v>-0.73917725099855203</v>
      </c>
      <c r="NE60" s="3">
        <f ca="1">IFERROR(__xludf.DUMMYFUNCTION("""COMPUTED_VALUE"""),-0.673621195774642)</f>
        <v>-0.67362119577464197</v>
      </c>
      <c r="NF60" s="3">
        <f ca="1">IFERROR(__xludf.DUMMYFUNCTION("""COMPUTED_VALUE"""),-0.748203919402389)</f>
        <v>-0.74820391940238895</v>
      </c>
      <c r="NG60" s="3">
        <f ca="1">IFERROR(__xludf.DUMMYFUNCTION("""COMPUTED_VALUE"""),-0.750627065169728)</f>
        <v>-0.75062706516972799</v>
      </c>
      <c r="NH60" s="3">
        <f ca="1">IFERROR(__xludf.DUMMYFUNCTION("""COMPUTED_VALUE"""),-0.764558039247323)</f>
        <v>-0.76455803924732302</v>
      </c>
      <c r="NI60" s="3">
        <f ca="1">IFERROR(__xludf.DUMMYFUNCTION("""COMPUTED_VALUE"""),-0.740596763002371)</f>
        <v>-0.74059676300237098</v>
      </c>
      <c r="NJ60" s="3">
        <f ca="1">IFERROR(__xludf.DUMMYFUNCTION("""COMPUTED_VALUE"""),-0.738038443296891)</f>
        <v>-0.73803844329689094</v>
      </c>
      <c r="NK60" s="3">
        <f ca="1">IFERROR(__xludf.DUMMYFUNCTION("""COMPUTED_VALUE"""),-0.612235819975386)</f>
        <v>-0.61223581997538601</v>
      </c>
      <c r="NL60" s="3">
        <f ca="1">IFERROR(__xludf.DUMMYFUNCTION("""COMPUTED_VALUE"""),-0.658246175528528)</f>
        <v>-0.65824617552852804</v>
      </c>
      <c r="NM60" s="3">
        <f ca="1">IFERROR(__xludf.DUMMYFUNCTION("""COMPUTED_VALUE"""),-0.746971996885597)</f>
        <v>-0.74697199688559701</v>
      </c>
      <c r="NN60" s="3">
        <f ca="1">IFERROR(__xludf.DUMMYFUNCTION("""COMPUTED_VALUE"""),-0.742302336980969)</f>
        <v>-0.74230233698096904</v>
      </c>
      <c r="NO60" s="3">
        <f ca="1">IFERROR(__xludf.DUMMYFUNCTION("""COMPUTED_VALUE"""),-0.750479996174559)</f>
        <v>-0.75047999617455896</v>
      </c>
      <c r="NP60" s="3">
        <f ca="1">IFERROR(__xludf.DUMMYFUNCTION("""COMPUTED_VALUE"""),-0.750514708917567)</f>
        <v>-0.750514708917567</v>
      </c>
      <c r="NQ60" s="3">
        <f ca="1">IFERROR(__xludf.DUMMYFUNCTION("""COMPUTED_VALUE"""),-0.73641453395225)</f>
        <v>-0.73641453395224998</v>
      </c>
      <c r="NR60" s="3">
        <f ca="1">IFERROR(__xludf.DUMMYFUNCTION("""COMPUTED_VALUE"""),-0.685558587609388)</f>
        <v>-0.68555858760938804</v>
      </c>
      <c r="NS60" s="3">
        <f ca="1">IFERROR(__xludf.DUMMYFUNCTION("""COMPUTED_VALUE"""),-0.73156409842784)</f>
        <v>-0.73156409842783998</v>
      </c>
      <c r="NT60" s="3">
        <f ca="1">IFERROR(__xludf.DUMMYFUNCTION("""COMPUTED_VALUE"""),-0.696002987634857)</f>
        <v>-0.69600298763485702</v>
      </c>
      <c r="NU60" s="3">
        <f ca="1">IFERROR(__xludf.DUMMYFUNCTION("""COMPUTED_VALUE"""),-0.710511595646837)</f>
        <v>-0.71051159564683697</v>
      </c>
      <c r="NV60" s="3">
        <f ca="1">IFERROR(__xludf.DUMMYFUNCTION("""COMPUTED_VALUE"""),-0.711030753935934)</f>
        <v>-0.71103075393593396</v>
      </c>
      <c r="NW60" s="3">
        <f ca="1">IFERROR(__xludf.DUMMYFUNCTION("""COMPUTED_VALUE"""),-0.661786692281843)</f>
        <v>-0.66178669228184295</v>
      </c>
      <c r="NX60" s="3">
        <f ca="1">IFERROR(__xludf.DUMMYFUNCTION("""COMPUTED_VALUE"""),-0.692529268946406)</f>
        <v>-0.69252926894640598</v>
      </c>
      <c r="NY60" s="3">
        <f ca="1">IFERROR(__xludf.DUMMYFUNCTION("""COMPUTED_VALUE"""),-0.593280780682966)</f>
        <v>-0.59328078068296597</v>
      </c>
      <c r="NZ60" s="3">
        <f ca="1">IFERROR(__xludf.DUMMYFUNCTION("""COMPUTED_VALUE"""),-0.594702312082983)</f>
        <v>-0.59470231208298296</v>
      </c>
      <c r="OA60" s="3">
        <f ca="1">IFERROR(__xludf.DUMMYFUNCTION("""COMPUTED_VALUE"""),-0.643523489451901)</f>
        <v>-0.64352348945190097</v>
      </c>
      <c r="OB60" s="3">
        <f ca="1">IFERROR(__xludf.DUMMYFUNCTION("""COMPUTED_VALUE"""),-0.71428533233189)</f>
        <v>-0.71428533233188995</v>
      </c>
      <c r="OC60" s="3">
        <f ca="1">IFERROR(__xludf.DUMMYFUNCTION("""COMPUTED_VALUE"""),-0.647857276972555)</f>
        <v>-0.64785727697255502</v>
      </c>
      <c r="OD60" s="3">
        <f ca="1">IFERROR(__xludf.DUMMYFUNCTION("""COMPUTED_VALUE"""),-0.569683543038345)</f>
        <v>-0.56968354303834501</v>
      </c>
      <c r="OE60" s="3">
        <f ca="1">IFERROR(__xludf.DUMMYFUNCTION("""COMPUTED_VALUE"""),-0.435920909781616)</f>
        <v>-0.43592090978161602</v>
      </c>
      <c r="OF60" s="3">
        <f ca="1">IFERROR(__xludf.DUMMYFUNCTION("""COMPUTED_VALUE"""),-0.21996008834059)</f>
        <v>-0.21996008834059</v>
      </c>
      <c r="OG60" s="3">
        <f ca="1">IFERROR(__xludf.DUMMYFUNCTION("""COMPUTED_VALUE"""),-0.161515504267418)</f>
        <v>-0.16151550426741801</v>
      </c>
      <c r="OH60" s="3">
        <f ca="1">IFERROR(__xludf.DUMMYFUNCTION("""COMPUTED_VALUE"""),-0.193202171889737)</f>
        <v>-0.19320217188973701</v>
      </c>
      <c r="OI60" s="3">
        <f ca="1">IFERROR(__xludf.DUMMYFUNCTION("""COMPUTED_VALUE"""),-0.15916709641103)</f>
        <v>-0.15916709641103</v>
      </c>
      <c r="OJ60" s="3">
        <f ca="1">IFERROR(__xludf.DUMMYFUNCTION("""COMPUTED_VALUE"""),-0.119965850655458)</f>
        <v>-0.11996585065545801</v>
      </c>
      <c r="OK60" s="3">
        <f ca="1">IFERROR(__xludf.DUMMYFUNCTION("""COMPUTED_VALUE"""),-0.119405438113309)</f>
        <v>-0.119405438113309</v>
      </c>
      <c r="OL60" s="3">
        <f ca="1">IFERROR(__xludf.DUMMYFUNCTION("""COMPUTED_VALUE"""),-0.0991357427753741)</f>
        <v>-9.9135742775374097E-2</v>
      </c>
      <c r="OM60" s="3">
        <f ca="1">IFERROR(__xludf.DUMMYFUNCTION("""COMPUTED_VALUE"""),0.0785414093491265)</f>
        <v>7.8541409349126498E-2</v>
      </c>
      <c r="ON60" s="3">
        <f ca="1">IFERROR(__xludf.DUMMYFUNCTION("""COMPUTED_VALUE"""),-0.00812200273241825)</f>
        <v>-8.1220027324182507E-3</v>
      </c>
      <c r="OO60" s="3">
        <f ca="1">IFERROR(__xludf.DUMMYFUNCTION("""COMPUTED_VALUE"""),-0.0635422772428654)</f>
        <v>-6.3542277242865403E-2</v>
      </c>
      <c r="OP60" s="3">
        <f ca="1">IFERROR(__xludf.DUMMYFUNCTION("""COMPUTED_VALUE"""),-0.0251188868925876)</f>
        <v>-2.5118886892587601E-2</v>
      </c>
      <c r="OQ60" s="3">
        <f ca="1">IFERROR(__xludf.DUMMYFUNCTION("""COMPUTED_VALUE"""),-0.0684646310149855)</f>
        <v>-6.8464631014985497E-2</v>
      </c>
      <c r="OR60" s="3">
        <f ca="1">IFERROR(__xludf.DUMMYFUNCTION("""COMPUTED_VALUE"""),-0.0488972721574405)</f>
        <v>-4.8897272157440497E-2</v>
      </c>
      <c r="OS60" s="3">
        <f ca="1">IFERROR(__xludf.DUMMYFUNCTION("""COMPUTED_VALUE"""),-0.0207895804451966)</f>
        <v>-2.07895804451966E-2</v>
      </c>
      <c r="OT60" s="3">
        <f ca="1">IFERROR(__xludf.DUMMYFUNCTION("""COMPUTED_VALUE"""),0.0732776520137687)</f>
        <v>7.3277652013768693E-2</v>
      </c>
      <c r="OU60" s="3">
        <f ca="1">IFERROR(__xludf.DUMMYFUNCTION("""COMPUTED_VALUE"""),0.0137115989563021)</f>
        <v>1.37115989563021E-2</v>
      </c>
      <c r="OV60" s="3">
        <f ca="1">IFERROR(__xludf.DUMMYFUNCTION("""COMPUTED_VALUE"""),-0.0742732250276344)</f>
        <v>-7.4273225027634407E-2</v>
      </c>
      <c r="OW60" s="3">
        <f ca="1">IFERROR(__xludf.DUMMYFUNCTION("""COMPUTED_VALUE"""),-0.0399466533496895)</f>
        <v>-3.9946653349689498E-2</v>
      </c>
      <c r="OX60" s="3">
        <f ca="1">IFERROR(__xludf.DUMMYFUNCTION("""COMPUTED_VALUE"""),0.0400211654636337)</f>
        <v>4.0021165463633698E-2</v>
      </c>
      <c r="OY60" s="3">
        <f ca="1">IFERROR(__xludf.DUMMYFUNCTION("""COMPUTED_VALUE"""),-0.00908724271542305)</f>
        <v>-9.0872427154230495E-3</v>
      </c>
      <c r="OZ60" s="3">
        <f ca="1">IFERROR(__xludf.DUMMYFUNCTION("""COMPUTED_VALUE"""),0.0896444702962855)</f>
        <v>8.96444702962855E-2</v>
      </c>
      <c r="PA60" s="3">
        <f ca="1">IFERROR(__xludf.DUMMYFUNCTION("""COMPUTED_VALUE"""),0.106447271873119)</f>
        <v>0.106447271873119</v>
      </c>
      <c r="PB60" s="3">
        <f ca="1">IFERROR(__xludf.DUMMYFUNCTION("""COMPUTED_VALUE"""),0.016244234777722)</f>
        <v>1.6244234777722001E-2</v>
      </c>
      <c r="PC60" s="3">
        <f ca="1">IFERROR(__xludf.DUMMYFUNCTION("""COMPUTED_VALUE"""),-0.0268358795357839)</f>
        <v>-2.68358795357839E-2</v>
      </c>
      <c r="PD60" s="3">
        <f ca="1">IFERROR(__xludf.DUMMYFUNCTION("""COMPUTED_VALUE"""),-0.0688765564643757)</f>
        <v>-6.8876556464375696E-2</v>
      </c>
      <c r="PE60" s="3">
        <f ca="1">IFERROR(__xludf.DUMMYFUNCTION("""COMPUTED_VALUE"""),0.0360030348761621)</f>
        <v>3.6003034876162097E-2</v>
      </c>
      <c r="PF60" s="3">
        <f ca="1">IFERROR(__xludf.DUMMYFUNCTION("""COMPUTED_VALUE"""),0.0177727859396406)</f>
        <v>1.7772785939640601E-2</v>
      </c>
      <c r="PG60" s="3">
        <f ca="1">IFERROR(__xludf.DUMMYFUNCTION("""COMPUTED_VALUE"""),-0.14147823550547)</f>
        <v>-0.14147823550547001</v>
      </c>
      <c r="PH60" s="3">
        <f ca="1">IFERROR(__xludf.DUMMYFUNCTION("""COMPUTED_VALUE"""),0.0402236649642628)</f>
        <v>4.0223664964262801E-2</v>
      </c>
      <c r="PI60" s="3">
        <f ca="1">IFERROR(__xludf.DUMMYFUNCTION("""COMPUTED_VALUE"""),0.105938464657466)</f>
        <v>0.10593846465746599</v>
      </c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</row>
    <row r="61" spans="1:477" ht="13">
      <c r="A61" s="1" t="str">
        <f ca="1">IFERROR(__xludf.DUMMYFUNCTION("""COMPUTED_VALUE"""),"Monterey-Salinas Transit")</f>
        <v>Monterey-Salinas Transit</v>
      </c>
      <c r="B61" s="1" t="str">
        <f ca="1">IFERROR(__xludf.DUMMYFUNCTION("""COMPUTED_VALUE"""),"Monterey")</f>
        <v>Monterey</v>
      </c>
      <c r="C61" s="1" t="str">
        <f ca="1">IFERROR(__xludf.DUMMYFUNCTION("""COMPUTED_VALUE"""),"United States")</f>
        <v>United States</v>
      </c>
      <c r="D61" s="1" t="str">
        <f ca="1">IFERROR(__xludf.DUMMYFUNCTION("""COMPUTED_VALUE"""),"California")</f>
        <v>California</v>
      </c>
      <c r="E61" s="3">
        <f ca="1">IFERROR(__xludf.DUMMYFUNCTION("""COMPUTED_VALUE"""),-0.819121702651685)</f>
        <v>-0.81912170265168505</v>
      </c>
      <c r="F61" s="3">
        <f ca="1">IFERROR(__xludf.DUMMYFUNCTION("""COMPUTED_VALUE"""),-0.849498736034593)</f>
        <v>-0.84949873603459303</v>
      </c>
      <c r="G61" s="3">
        <f ca="1">IFERROR(__xludf.DUMMYFUNCTION("""COMPUTED_VALUE"""),-0.819352040842863)</f>
        <v>-0.81935204084286295</v>
      </c>
      <c r="H61" s="3">
        <f ca="1">IFERROR(__xludf.DUMMYFUNCTION("""COMPUTED_VALUE"""),-0.840742903994383)</f>
        <v>-0.84074290399438301</v>
      </c>
      <c r="I61" s="3">
        <f ca="1">IFERROR(__xludf.DUMMYFUNCTION("""COMPUTED_VALUE"""),-0.831046076500515)</f>
        <v>-0.83104607650051499</v>
      </c>
      <c r="J61" s="3">
        <f ca="1">IFERROR(__xludf.DUMMYFUNCTION("""COMPUTED_VALUE"""),-0.82758546105887)</f>
        <v>-0.82758546105886999</v>
      </c>
      <c r="K61" s="3">
        <f ca="1">IFERROR(__xludf.DUMMYFUNCTION("""COMPUTED_VALUE"""),-0.85110419950732)</f>
        <v>-0.85110419950731997</v>
      </c>
      <c r="L61" s="3">
        <f ca="1">IFERROR(__xludf.DUMMYFUNCTION("""COMPUTED_VALUE"""),-0.839068206941281)</f>
        <v>-0.83906820694128104</v>
      </c>
      <c r="M61" s="3">
        <f ca="1">IFERROR(__xludf.DUMMYFUNCTION("""COMPUTED_VALUE"""),-0.82084632745882)</f>
        <v>-0.82084632745882002</v>
      </c>
      <c r="N61" s="3">
        <f ca="1">IFERROR(__xludf.DUMMYFUNCTION("""COMPUTED_VALUE"""),-0.829316663932878)</f>
        <v>-0.82931666393287795</v>
      </c>
      <c r="O61" s="3">
        <f ca="1">IFERROR(__xludf.DUMMYFUNCTION("""COMPUTED_VALUE"""),-0.852872137900222)</f>
        <v>-0.85287213790022198</v>
      </c>
      <c r="P61" s="3">
        <f ca="1">IFERROR(__xludf.DUMMYFUNCTION("""COMPUTED_VALUE"""),-0.857352079338604)</f>
        <v>-0.85735207933860402</v>
      </c>
      <c r="Q61" s="3">
        <f ca="1">IFERROR(__xludf.DUMMYFUNCTION("""COMPUTED_VALUE"""),-0.835917320065237)</f>
        <v>-0.835917320065237</v>
      </c>
      <c r="R61" s="3">
        <f ca="1">IFERROR(__xludf.DUMMYFUNCTION("""COMPUTED_VALUE"""),-0.853101288393343)</f>
        <v>-0.85310128839334298</v>
      </c>
      <c r="S61" s="3">
        <f ca="1">IFERROR(__xludf.DUMMYFUNCTION("""COMPUTED_VALUE"""),-0.851807249147596)</f>
        <v>-0.85180724914759598</v>
      </c>
      <c r="T61" s="3">
        <f ca="1">IFERROR(__xludf.DUMMYFUNCTION("""COMPUTED_VALUE"""),-0.826775809000815)</f>
        <v>-0.82677580900081504</v>
      </c>
      <c r="U61" s="3">
        <f ca="1">IFERROR(__xludf.DUMMYFUNCTION("""COMPUTED_VALUE"""),-0.828169957160162)</f>
        <v>-0.82816995716016195</v>
      </c>
      <c r="V61" s="3">
        <f ca="1">IFERROR(__xludf.DUMMYFUNCTION("""COMPUTED_VALUE"""),-0.83763116674408)</f>
        <v>-0.83763116674408</v>
      </c>
      <c r="W61" s="3">
        <f ca="1">IFERROR(__xludf.DUMMYFUNCTION("""COMPUTED_VALUE"""),-0.842412549729091)</f>
        <v>-0.84241254972909096</v>
      </c>
      <c r="X61" s="3">
        <f ca="1">IFERROR(__xludf.DUMMYFUNCTION("""COMPUTED_VALUE"""),-0.823517904330874)</f>
        <v>-0.82351790433087402</v>
      </c>
      <c r="Y61" s="3">
        <f ca="1">IFERROR(__xludf.DUMMYFUNCTION("""COMPUTED_VALUE"""),-0.817459225908112)</f>
        <v>-0.81745922590811204</v>
      </c>
      <c r="Z61" s="3">
        <f ca="1">IFERROR(__xludf.DUMMYFUNCTION("""COMPUTED_VALUE"""),-0.828223031327215)</f>
        <v>-0.82822303132721498</v>
      </c>
      <c r="AA61" s="3">
        <f ca="1">IFERROR(__xludf.DUMMYFUNCTION("""COMPUTED_VALUE"""),-0.823450336675159)</f>
        <v>-0.82345033667515899</v>
      </c>
      <c r="AB61" s="3">
        <f ca="1">IFERROR(__xludf.DUMMYFUNCTION("""COMPUTED_VALUE"""),-0.880544502414781)</f>
        <v>-0.88054450241478099</v>
      </c>
      <c r="AC61" s="3">
        <f ca="1">IFERROR(__xludf.DUMMYFUNCTION("""COMPUTED_VALUE"""),-0.845156034484956)</f>
        <v>-0.84515603448495602</v>
      </c>
      <c r="AD61" s="3">
        <f ca="1">IFERROR(__xludf.DUMMYFUNCTION("""COMPUTED_VALUE"""),-0.87691620984465)</f>
        <v>-0.87691620984465002</v>
      </c>
      <c r="AE61" s="3">
        <f ca="1">IFERROR(__xludf.DUMMYFUNCTION("""COMPUTED_VALUE"""),-0.857828053752038)</f>
        <v>-0.85782805375203797</v>
      </c>
      <c r="AF61" s="3">
        <f ca="1">IFERROR(__xludf.DUMMYFUNCTION("""COMPUTED_VALUE"""),-0.841087265587737)</f>
        <v>-0.84108726558773705</v>
      </c>
      <c r="AG61" s="3">
        <f ca="1">IFERROR(__xludf.DUMMYFUNCTION("""COMPUTED_VALUE"""),-0.812229921126632)</f>
        <v>-0.81222992112663195</v>
      </c>
      <c r="AH61" s="3">
        <f ca="1">IFERROR(__xludf.DUMMYFUNCTION("""COMPUTED_VALUE"""),-0.844194799037384)</f>
        <v>-0.84419479903738404</v>
      </c>
      <c r="AI61" s="3">
        <f ca="1">IFERROR(__xludf.DUMMYFUNCTION("""COMPUTED_VALUE"""),-0.879761009703794)</f>
        <v>-0.87976100970379401</v>
      </c>
      <c r="AJ61" s="3">
        <f ca="1">IFERROR(__xludf.DUMMYFUNCTION("""COMPUTED_VALUE"""),-0.868417801434818)</f>
        <v>-0.86841780143481795</v>
      </c>
      <c r="AK61" s="3">
        <f ca="1">IFERROR(__xludf.DUMMYFUNCTION("""COMPUTED_VALUE"""),-0.874222257241671)</f>
        <v>-0.87422225724167102</v>
      </c>
      <c r="AL61" s="3">
        <f ca="1">IFERROR(__xludf.DUMMYFUNCTION("""COMPUTED_VALUE"""),-0.84261762222541)</f>
        <v>-0.84261762222541003</v>
      </c>
      <c r="AM61" s="3">
        <f ca="1">IFERROR(__xludf.DUMMYFUNCTION("""COMPUTED_VALUE"""),-0.835559427340482)</f>
        <v>-0.83555942734048205</v>
      </c>
      <c r="AN61" s="3">
        <f ca="1">IFERROR(__xludf.DUMMYFUNCTION("""COMPUTED_VALUE"""),-0.837082730863026)</f>
        <v>-0.83708273086302598</v>
      </c>
      <c r="AO61" s="3">
        <f ca="1">IFERROR(__xludf.DUMMYFUNCTION("""COMPUTED_VALUE"""),-0.838879850589146)</f>
        <v>-0.83887985058914605</v>
      </c>
      <c r="AP61" s="3">
        <f ca="1">IFERROR(__xludf.DUMMYFUNCTION("""COMPUTED_VALUE"""),-0.853492104496555)</f>
        <v>-0.85349210449655499</v>
      </c>
      <c r="AQ61" s="3">
        <f ca="1">IFERROR(__xludf.DUMMYFUNCTION("""COMPUTED_VALUE"""),-0.837357953841791)</f>
        <v>-0.83735795384179101</v>
      </c>
      <c r="AR61" s="3">
        <f ca="1">IFERROR(__xludf.DUMMYFUNCTION("""COMPUTED_VALUE"""),-0.874789196837455)</f>
        <v>-0.87478919683745504</v>
      </c>
      <c r="AS61" s="3">
        <f ca="1">IFERROR(__xludf.DUMMYFUNCTION("""COMPUTED_VALUE"""),-0.857894012603757)</f>
        <v>-0.85789401260375697</v>
      </c>
      <c r="AT61" s="3">
        <f ca="1">IFERROR(__xludf.DUMMYFUNCTION("""COMPUTED_VALUE"""),-0.846231249810946)</f>
        <v>-0.846231249810946</v>
      </c>
      <c r="AU61" s="3">
        <f ca="1">IFERROR(__xludf.DUMMYFUNCTION("""COMPUTED_VALUE"""),-0.844954198498175)</f>
        <v>-0.84495419849817499</v>
      </c>
      <c r="AV61" s="3">
        <f ca="1">IFERROR(__xludf.DUMMYFUNCTION("""COMPUTED_VALUE"""),-0.844173903212723)</f>
        <v>-0.84417390321272301</v>
      </c>
      <c r="AW61" s="3">
        <f ca="1">IFERROR(__xludf.DUMMYFUNCTION("""COMPUTED_VALUE"""),-0.846047419841587)</f>
        <v>-0.84604741984158705</v>
      </c>
      <c r="AX61" s="3">
        <f ca="1">IFERROR(__xludf.DUMMYFUNCTION("""COMPUTED_VALUE"""),-0.867460499008913)</f>
        <v>-0.86746049900891298</v>
      </c>
      <c r="AY61" s="3">
        <f ca="1">IFERROR(__xludf.DUMMYFUNCTION("""COMPUTED_VALUE"""),-0.873020316764165)</f>
        <v>-0.87302031676416503</v>
      </c>
      <c r="AZ61" s="3">
        <f ca="1">IFERROR(__xludf.DUMMYFUNCTION("""COMPUTED_VALUE"""),-0.861740847763169)</f>
        <v>-0.86174084776316895</v>
      </c>
      <c r="BA61" s="3">
        <f ca="1">IFERROR(__xludf.DUMMYFUNCTION("""COMPUTED_VALUE"""),-0.811792621467443)</f>
        <v>-0.81179262146744302</v>
      </c>
      <c r="BB61" s="3">
        <f ca="1">IFERROR(__xludf.DUMMYFUNCTION("""COMPUTED_VALUE"""),-0.826174814658293)</f>
        <v>-0.82617481465829301</v>
      </c>
      <c r="BC61" s="3">
        <f ca="1">IFERROR(__xludf.DUMMYFUNCTION("""COMPUTED_VALUE"""),-0.861786500655225)</f>
        <v>-0.861786500655225</v>
      </c>
      <c r="BD61" s="3">
        <f ca="1">IFERROR(__xludf.DUMMYFUNCTION("""COMPUTED_VALUE"""),-0.874560353223661)</f>
        <v>-0.87456035322366099</v>
      </c>
      <c r="BE61" s="3">
        <f ca="1">IFERROR(__xludf.DUMMYFUNCTION("""COMPUTED_VALUE"""),-0.871808282304321)</f>
        <v>-0.87180828230432095</v>
      </c>
      <c r="BF61" s="3">
        <f ca="1">IFERROR(__xludf.DUMMYFUNCTION("""COMPUTED_VALUE"""),-0.860306484913265)</f>
        <v>-0.860306484913265</v>
      </c>
      <c r="BG61" s="3">
        <f ca="1">IFERROR(__xludf.DUMMYFUNCTION("""COMPUTED_VALUE"""),-0.863578009707121)</f>
        <v>-0.86357800970712095</v>
      </c>
      <c r="BH61" s="3">
        <f ca="1">IFERROR(__xludf.DUMMYFUNCTION("""COMPUTED_VALUE"""),-0.84227899114432)</f>
        <v>-0.84227899114432003</v>
      </c>
      <c r="BI61" s="3">
        <f ca="1">IFERROR(__xludf.DUMMYFUNCTION("""COMPUTED_VALUE"""),-0.869623325853658)</f>
        <v>-0.86962332585365798</v>
      </c>
      <c r="BJ61" s="3">
        <f ca="1">IFERROR(__xludf.DUMMYFUNCTION("""COMPUTED_VALUE"""),-0.856732874227566)</f>
        <v>-0.85673287422756605</v>
      </c>
      <c r="BK61" s="3">
        <f ca="1">IFERROR(__xludf.DUMMYFUNCTION("""COMPUTED_VALUE"""),-0.893577631150707)</f>
        <v>-0.89357763115070699</v>
      </c>
      <c r="BL61" s="3">
        <f ca="1">IFERROR(__xludf.DUMMYFUNCTION("""COMPUTED_VALUE"""),-0.880759170087848)</f>
        <v>-0.88075917008784799</v>
      </c>
      <c r="BM61" s="3">
        <f ca="1">IFERROR(__xludf.DUMMYFUNCTION("""COMPUTED_VALUE"""),-0.881158858531973)</f>
        <v>-0.88115885853197295</v>
      </c>
      <c r="BN61" s="3">
        <f ca="1">IFERROR(__xludf.DUMMYFUNCTION("""COMPUTED_VALUE"""),-0.878673617193558)</f>
        <v>-0.87867361719355797</v>
      </c>
      <c r="BO61" s="3">
        <f ca="1">IFERROR(__xludf.DUMMYFUNCTION("""COMPUTED_VALUE"""),-0.845978033981264)</f>
        <v>-0.84597803398126403</v>
      </c>
      <c r="BP61" s="3">
        <f ca="1">IFERROR(__xludf.DUMMYFUNCTION("""COMPUTED_VALUE"""),-0.832793820010953)</f>
        <v>-0.83279382001095303</v>
      </c>
      <c r="BQ61" s="3">
        <f ca="1">IFERROR(__xludf.DUMMYFUNCTION("""COMPUTED_VALUE"""),-0.877012615410012)</f>
        <v>-0.87701261541001196</v>
      </c>
      <c r="BR61" s="3">
        <f ca="1">IFERROR(__xludf.DUMMYFUNCTION("""COMPUTED_VALUE"""),-0.903924826115599)</f>
        <v>-0.90392482611559899</v>
      </c>
      <c r="BS61" s="3">
        <f ca="1">IFERROR(__xludf.DUMMYFUNCTION("""COMPUTED_VALUE"""),-0.896863538869348)</f>
        <v>-0.896863538869348</v>
      </c>
      <c r="BT61" s="3">
        <f ca="1">IFERROR(__xludf.DUMMYFUNCTION("""COMPUTED_VALUE"""),-0.929726774543018)</f>
        <v>-0.929726774543018</v>
      </c>
      <c r="BU61" s="3">
        <f ca="1">IFERROR(__xludf.DUMMYFUNCTION("""COMPUTED_VALUE"""),-0.897800239570944)</f>
        <v>-0.89780023957094401</v>
      </c>
      <c r="BV61" s="3">
        <f ca="1">IFERROR(__xludf.DUMMYFUNCTION("""COMPUTED_VALUE"""),-0.856043081350885)</f>
        <v>-0.85604308135088503</v>
      </c>
      <c r="BW61" s="3">
        <f ca="1">IFERROR(__xludf.DUMMYFUNCTION("""COMPUTED_VALUE"""),-0.872971189166989)</f>
        <v>-0.87297118916698901</v>
      </c>
      <c r="BX61" s="3">
        <f ca="1">IFERROR(__xludf.DUMMYFUNCTION("""COMPUTED_VALUE"""),-0.903499423994156)</f>
        <v>-0.90349942399415595</v>
      </c>
      <c r="BY61" s="3">
        <f ca="1">IFERROR(__xludf.DUMMYFUNCTION("""COMPUTED_VALUE"""),-0.939401864832168)</f>
        <v>-0.93940186483216803</v>
      </c>
      <c r="BZ61" s="3">
        <f ca="1">IFERROR(__xludf.DUMMYFUNCTION("""COMPUTED_VALUE"""),-0.933808727595186)</f>
        <v>-0.93380872759518596</v>
      </c>
      <c r="CA61" s="3">
        <f ca="1">IFERROR(__xludf.DUMMYFUNCTION("""COMPUTED_VALUE"""),-0.912072329427296)</f>
        <v>-0.91207232942729599</v>
      </c>
      <c r="CB61" s="3">
        <f ca="1">IFERROR(__xludf.DUMMYFUNCTION("""COMPUTED_VALUE"""),-0.906341770516257)</f>
        <v>-0.90634177051625697</v>
      </c>
      <c r="CC61" s="3">
        <f ca="1">IFERROR(__xludf.DUMMYFUNCTION("""COMPUTED_VALUE"""),-0.911186212681376)</f>
        <v>-0.91118621268137601</v>
      </c>
      <c r="CD61" s="3">
        <f ca="1">IFERROR(__xludf.DUMMYFUNCTION("""COMPUTED_VALUE"""),-0.87179531493901)</f>
        <v>-0.87179531493900997</v>
      </c>
      <c r="CE61" s="3">
        <f ca="1">IFERROR(__xludf.DUMMYFUNCTION("""COMPUTED_VALUE"""),-0.912588846211797)</f>
        <v>-0.91258884621179703</v>
      </c>
      <c r="CF61" s="3">
        <f ca="1">IFERROR(__xludf.DUMMYFUNCTION("""COMPUTED_VALUE"""),-0.903840805028513)</f>
        <v>-0.90384080502851305</v>
      </c>
      <c r="CG61" s="3">
        <f ca="1">IFERROR(__xludf.DUMMYFUNCTION("""COMPUTED_VALUE"""),-0.890248337756482)</f>
        <v>-0.89024833775648204</v>
      </c>
      <c r="CH61" s="3">
        <f ca="1">IFERROR(__xludf.DUMMYFUNCTION("""COMPUTED_VALUE"""),-0.898596231121807)</f>
        <v>-0.89859623112180698</v>
      </c>
      <c r="CI61" s="3">
        <f ca="1">IFERROR(__xludf.DUMMYFUNCTION("""COMPUTED_VALUE"""),-0.87131820103826)</f>
        <v>-0.87131820103825997</v>
      </c>
      <c r="CJ61" s="3">
        <f ca="1">IFERROR(__xludf.DUMMYFUNCTION("""COMPUTED_VALUE"""),-0.879435097338325)</f>
        <v>-0.87943509733832503</v>
      </c>
      <c r="CK61" s="3">
        <f ca="1">IFERROR(__xludf.DUMMYFUNCTION("""COMPUTED_VALUE"""),-0.865656297713229)</f>
        <v>-0.86565629771322905</v>
      </c>
      <c r="CL61" s="3">
        <f ca="1">IFERROR(__xludf.DUMMYFUNCTION("""COMPUTED_VALUE"""),-0.899196481082555)</f>
        <v>-0.89919648108255501</v>
      </c>
      <c r="CM61" s="3">
        <f ca="1">IFERROR(__xludf.DUMMYFUNCTION("""COMPUTED_VALUE"""),-0.903675848845109)</f>
        <v>-0.90367584884510899</v>
      </c>
      <c r="CN61" s="3">
        <f ca="1">IFERROR(__xludf.DUMMYFUNCTION("""COMPUTED_VALUE"""),-0.910306795769196)</f>
        <v>-0.91030679576919604</v>
      </c>
      <c r="CO61" s="3">
        <f ca="1">IFERROR(__xludf.DUMMYFUNCTION("""COMPUTED_VALUE"""),-0.889288574870688)</f>
        <v>-0.88928857487068802</v>
      </c>
      <c r="CP61" s="3">
        <f ca="1">IFERROR(__xludf.DUMMYFUNCTION("""COMPUTED_VALUE"""),-0.871393766362001)</f>
        <v>-0.87139376636200105</v>
      </c>
      <c r="CQ61" s="3">
        <f ca="1">IFERROR(__xludf.DUMMYFUNCTION("""COMPUTED_VALUE"""),-0.842597321776607)</f>
        <v>-0.84259732177660696</v>
      </c>
      <c r="CR61" s="3">
        <f ca="1">IFERROR(__xludf.DUMMYFUNCTION("""COMPUTED_VALUE"""),-0.856679272749829)</f>
        <v>-0.85667927274982902</v>
      </c>
      <c r="CS61" s="3">
        <f ca="1">IFERROR(__xludf.DUMMYFUNCTION("""COMPUTED_VALUE"""),-0.892688126157738)</f>
        <v>-0.89268812615773796</v>
      </c>
      <c r="CT61" s="3">
        <f ca="1">IFERROR(__xludf.DUMMYFUNCTION("""COMPUTED_VALUE"""),-0.886923764251401)</f>
        <v>-0.88692376425140096</v>
      </c>
      <c r="CU61" s="3">
        <f ca="1">IFERROR(__xludf.DUMMYFUNCTION("""COMPUTED_VALUE"""),-0.874154877532901)</f>
        <v>-0.874154877532901</v>
      </c>
      <c r="CV61" s="3">
        <f ca="1">IFERROR(__xludf.DUMMYFUNCTION("""COMPUTED_VALUE"""),-0.873406847932517)</f>
        <v>-0.87340684793251699</v>
      </c>
      <c r="CW61" s="3">
        <f ca="1">IFERROR(__xludf.DUMMYFUNCTION("""COMPUTED_VALUE"""),-0.888624564855319)</f>
        <v>-0.88862456485531904</v>
      </c>
      <c r="CX61" s="3">
        <f ca="1">IFERROR(__xludf.DUMMYFUNCTION("""COMPUTED_VALUE"""),-0.886358424484553)</f>
        <v>-0.88635842448455304</v>
      </c>
      <c r="CY61" s="3">
        <f ca="1">IFERROR(__xludf.DUMMYFUNCTION("""COMPUTED_VALUE"""),-0.867249772930068)</f>
        <v>-0.867249772930068</v>
      </c>
      <c r="CZ61" s="3">
        <f ca="1">IFERROR(__xludf.DUMMYFUNCTION("""COMPUTED_VALUE"""),-0.870891626844909)</f>
        <v>-0.87089162684490895</v>
      </c>
      <c r="DA61" s="3">
        <f ca="1">IFERROR(__xludf.DUMMYFUNCTION("""COMPUTED_VALUE"""),-0.835739730299641)</f>
        <v>-0.83573973029964099</v>
      </c>
      <c r="DB61" s="3">
        <f ca="1">IFERROR(__xludf.DUMMYFUNCTION("""COMPUTED_VALUE"""),-0.80616220367986)</f>
        <v>-0.80616220367986002</v>
      </c>
      <c r="DC61" s="3">
        <f ca="1">IFERROR(__xludf.DUMMYFUNCTION("""COMPUTED_VALUE"""),-0.852104472805852)</f>
        <v>-0.852104472805852</v>
      </c>
      <c r="DD61" s="3">
        <f ca="1">IFERROR(__xludf.DUMMYFUNCTION("""COMPUTED_VALUE"""),-0.880815666371312)</f>
        <v>-0.88081566637131203</v>
      </c>
      <c r="DE61" s="3">
        <f ca="1">IFERROR(__xludf.DUMMYFUNCTION("""COMPUTED_VALUE"""),-0.851077828718354)</f>
        <v>-0.85107782871835402</v>
      </c>
      <c r="DF61" s="3">
        <f ca="1">IFERROR(__xludf.DUMMYFUNCTION("""COMPUTED_VALUE"""),-0.862456409893729)</f>
        <v>-0.86245640989372896</v>
      </c>
      <c r="DG61" s="3">
        <f ca="1">IFERROR(__xludf.DUMMYFUNCTION("""COMPUTED_VALUE"""),-0.933243481569252)</f>
        <v>-0.93324348156925196</v>
      </c>
      <c r="DH61" s="3">
        <f ca="1">IFERROR(__xludf.DUMMYFUNCTION("""COMPUTED_VALUE"""),-0.857167925380988)</f>
        <v>-0.85716792538098796</v>
      </c>
      <c r="DI61" s="3">
        <f ca="1">IFERROR(__xludf.DUMMYFUNCTION("""COMPUTED_VALUE"""),-0.753091513309025)</f>
        <v>-0.75309151330902502</v>
      </c>
      <c r="DJ61" s="3">
        <f ca="1">IFERROR(__xludf.DUMMYFUNCTION("""COMPUTED_VALUE"""),-0.842398121979016)</f>
        <v>-0.84239812197901598</v>
      </c>
      <c r="DK61" s="3">
        <f ca="1">IFERROR(__xludf.DUMMYFUNCTION("""COMPUTED_VALUE"""),-0.852511548365636)</f>
        <v>-0.85251154836563603</v>
      </c>
      <c r="DL61" s="3">
        <f ca="1">IFERROR(__xludf.DUMMYFUNCTION("""COMPUTED_VALUE"""),-0.855648825581521)</f>
        <v>-0.855648825581521</v>
      </c>
      <c r="DM61" s="3">
        <f ca="1">IFERROR(__xludf.DUMMYFUNCTION("""COMPUTED_VALUE"""),-0.852223547564414)</f>
        <v>-0.85222354756441399</v>
      </c>
      <c r="DN61" s="3">
        <f ca="1">IFERROR(__xludf.DUMMYFUNCTION("""COMPUTED_VALUE"""),-0.877624007348214)</f>
        <v>-0.877624007348214</v>
      </c>
      <c r="DO61" s="3">
        <f ca="1">IFERROR(__xludf.DUMMYFUNCTION("""COMPUTED_VALUE"""),-0.865660667474236)</f>
        <v>-0.86566066747423598</v>
      </c>
      <c r="DP61" s="3">
        <f ca="1">IFERROR(__xludf.DUMMYFUNCTION("""COMPUTED_VALUE"""),-0.844326105881648)</f>
        <v>-0.84432610588164803</v>
      </c>
      <c r="DQ61" s="3">
        <f ca="1">IFERROR(__xludf.DUMMYFUNCTION("""COMPUTED_VALUE"""),-0.864881864323788)</f>
        <v>-0.864881864323788</v>
      </c>
      <c r="DR61" s="3">
        <f ca="1">IFERROR(__xludf.DUMMYFUNCTION("""COMPUTED_VALUE"""),-0.887746747802386)</f>
        <v>-0.88774674780238605</v>
      </c>
      <c r="DS61" s="3">
        <f ca="1">IFERROR(__xludf.DUMMYFUNCTION("""COMPUTED_VALUE"""),-0.887054469389727)</f>
        <v>-0.88705446938972699</v>
      </c>
      <c r="DT61" s="3">
        <f ca="1">IFERROR(__xludf.DUMMYFUNCTION("""COMPUTED_VALUE"""),-0.852326581691457)</f>
        <v>-0.85232658169145703</v>
      </c>
      <c r="DU61" s="3">
        <f ca="1">IFERROR(__xludf.DUMMYFUNCTION("""COMPUTED_VALUE"""),-0.866437411047795)</f>
        <v>-0.86643741104779504</v>
      </c>
      <c r="DV61" s="3">
        <f ca="1">IFERROR(__xludf.DUMMYFUNCTION("""COMPUTED_VALUE"""),-0.869173544685948)</f>
        <v>-0.86917354468594799</v>
      </c>
      <c r="DW61" s="3">
        <f ca="1">IFERROR(__xludf.DUMMYFUNCTION("""COMPUTED_VALUE"""),-0.868776444025282)</f>
        <v>-0.86877644402528198</v>
      </c>
      <c r="DX61" s="3">
        <f ca="1">IFERROR(__xludf.DUMMYFUNCTION("""COMPUTED_VALUE"""),-0.884766611670039)</f>
        <v>-0.884766611670039</v>
      </c>
      <c r="DY61" s="3">
        <f ca="1">IFERROR(__xludf.DUMMYFUNCTION("""COMPUTED_VALUE"""),-0.875484449137158)</f>
        <v>-0.87548444913715795</v>
      </c>
      <c r="DZ61" s="3">
        <f ca="1">IFERROR(__xludf.DUMMYFUNCTION("""COMPUTED_VALUE"""),-0.841288680221812)</f>
        <v>-0.84128868022181202</v>
      </c>
      <c r="EA61" s="3">
        <f ca="1">IFERROR(__xludf.DUMMYFUNCTION("""COMPUTED_VALUE"""),-0.825557519732494)</f>
        <v>-0.82555751973249403</v>
      </c>
      <c r="EB61" s="3">
        <f ca="1">IFERROR(__xludf.DUMMYFUNCTION("""COMPUTED_VALUE"""),-0.840702344181019)</f>
        <v>-0.84070234418101897</v>
      </c>
      <c r="EC61" s="3">
        <f ca="1">IFERROR(__xludf.DUMMYFUNCTION("""COMPUTED_VALUE"""),-0.836885416446514)</f>
        <v>-0.83688541644651404</v>
      </c>
      <c r="ED61" s="3">
        <f ca="1">IFERROR(__xludf.DUMMYFUNCTION("""COMPUTED_VALUE"""),-0.870731376442164)</f>
        <v>-0.87073137644216403</v>
      </c>
      <c r="EE61" s="3">
        <f ca="1">IFERROR(__xludf.DUMMYFUNCTION("""COMPUTED_VALUE"""),-0.846288243689627)</f>
        <v>-0.84628824368962696</v>
      </c>
      <c r="EF61" s="3">
        <f ca="1">IFERROR(__xludf.DUMMYFUNCTION("""COMPUTED_VALUE"""),-0.868853225630708)</f>
        <v>-0.86885322563070799</v>
      </c>
      <c r="EG61" s="3">
        <f ca="1">IFERROR(__xludf.DUMMYFUNCTION("""COMPUTED_VALUE"""),-0.849824969423367)</f>
        <v>-0.84982496942336705</v>
      </c>
      <c r="EH61" s="3">
        <f ca="1">IFERROR(__xludf.DUMMYFUNCTION("""COMPUTED_VALUE"""),-0.846945168398797)</f>
        <v>-0.84694516839879697</v>
      </c>
      <c r="EI61" s="3">
        <f ca="1">IFERROR(__xludf.DUMMYFUNCTION("""COMPUTED_VALUE"""),-0.821050028609803)</f>
        <v>-0.82105002860980303</v>
      </c>
      <c r="EJ61" s="3">
        <f ca="1">IFERROR(__xludf.DUMMYFUNCTION("""COMPUTED_VALUE"""),-0.896782444639468)</f>
        <v>-0.89678244463946799</v>
      </c>
      <c r="EK61" s="3">
        <f ca="1">IFERROR(__xludf.DUMMYFUNCTION("""COMPUTED_VALUE"""),-0.850729881407211)</f>
        <v>-0.85072988140721095</v>
      </c>
      <c r="EL61" s="3">
        <f ca="1">IFERROR(__xludf.DUMMYFUNCTION("""COMPUTED_VALUE"""),-0.871893357439837)</f>
        <v>-0.87189335743983698</v>
      </c>
      <c r="EM61" s="3">
        <f ca="1">IFERROR(__xludf.DUMMYFUNCTION("""COMPUTED_VALUE"""),-0.874267745462011)</f>
        <v>-0.87426774546201103</v>
      </c>
      <c r="EN61" s="3">
        <f ca="1">IFERROR(__xludf.DUMMYFUNCTION("""COMPUTED_VALUE"""),-0.864789026133477)</f>
        <v>-0.86478902613347697</v>
      </c>
      <c r="EO61" s="3">
        <f ca="1">IFERROR(__xludf.DUMMYFUNCTION("""COMPUTED_VALUE"""),-0.814195999031423)</f>
        <v>-0.81419599903142303</v>
      </c>
      <c r="EP61" s="3">
        <f ca="1">IFERROR(__xludf.DUMMYFUNCTION("""COMPUTED_VALUE"""),-0.865073993504256)</f>
        <v>-0.86507399350425596</v>
      </c>
      <c r="EQ61" s="3">
        <f ca="1">IFERROR(__xludf.DUMMYFUNCTION("""COMPUTED_VALUE"""),-0.852322763039759)</f>
        <v>-0.85232276303975896</v>
      </c>
      <c r="ER61" s="3">
        <f ca="1">IFERROR(__xludf.DUMMYFUNCTION("""COMPUTED_VALUE"""),-0.847318215817537)</f>
        <v>-0.84731821581753697</v>
      </c>
      <c r="ES61" s="3">
        <f ca="1">IFERROR(__xludf.DUMMYFUNCTION("""COMPUTED_VALUE"""),-0.872516185120699)</f>
        <v>-0.87251618512069895</v>
      </c>
      <c r="ET61" s="3">
        <f ca="1">IFERROR(__xludf.DUMMYFUNCTION("""COMPUTED_VALUE"""),-0.868862154814045)</f>
        <v>-0.86886215481404505</v>
      </c>
      <c r="EU61" s="3">
        <f ca="1">IFERROR(__xludf.DUMMYFUNCTION("""COMPUTED_VALUE"""),-0.838610362064334)</f>
        <v>-0.83861036206433404</v>
      </c>
      <c r="EV61" s="3">
        <f ca="1">IFERROR(__xludf.DUMMYFUNCTION("""COMPUTED_VALUE"""),-0.839472276915288)</f>
        <v>-0.83947227691528803</v>
      </c>
      <c r="EW61" s="3">
        <f ca="1">IFERROR(__xludf.DUMMYFUNCTION("""COMPUTED_VALUE"""),-0.885613250150495)</f>
        <v>-0.88561325015049497</v>
      </c>
      <c r="EX61" s="3">
        <f ca="1">IFERROR(__xludf.DUMMYFUNCTION("""COMPUTED_VALUE"""),-0.88470347497919)</f>
        <v>-0.88470347497919</v>
      </c>
      <c r="EY61" s="3">
        <f ca="1">IFERROR(__xludf.DUMMYFUNCTION("""COMPUTED_VALUE"""),-0.866034932654119)</f>
        <v>-0.86603493265411902</v>
      </c>
      <c r="EZ61" s="3">
        <f ca="1">IFERROR(__xludf.DUMMYFUNCTION("""COMPUTED_VALUE"""),-0.885855978868674)</f>
        <v>-0.88585597886867395</v>
      </c>
      <c r="FA61" s="3">
        <f ca="1">IFERROR(__xludf.DUMMYFUNCTION("""COMPUTED_VALUE"""),-0.897785387387639)</f>
        <v>-0.89778538738763902</v>
      </c>
      <c r="FB61" s="3">
        <f ca="1">IFERROR(__xludf.DUMMYFUNCTION("""COMPUTED_VALUE"""),-0.86333190282883)</f>
        <v>-0.86333190282882999</v>
      </c>
      <c r="FC61" s="3">
        <f ca="1">IFERROR(__xludf.DUMMYFUNCTION("""COMPUTED_VALUE"""),-0.84187623598223)</f>
        <v>-0.84187623598223005</v>
      </c>
      <c r="FD61" s="3">
        <f ca="1">IFERROR(__xludf.DUMMYFUNCTION("""COMPUTED_VALUE"""),-0.862926701042191)</f>
        <v>-0.86292670104219105</v>
      </c>
      <c r="FE61" s="3">
        <f ca="1">IFERROR(__xludf.DUMMYFUNCTION("""COMPUTED_VALUE"""),-0.885730496343207)</f>
        <v>-0.885730496343207</v>
      </c>
      <c r="FF61" s="3">
        <f ca="1">IFERROR(__xludf.DUMMYFUNCTION("""COMPUTED_VALUE"""),-0.896293304864983)</f>
        <v>-0.89629330486498304</v>
      </c>
      <c r="FG61" s="3">
        <f ca="1">IFERROR(__xludf.DUMMYFUNCTION("""COMPUTED_VALUE"""),-0.852647562337516)</f>
        <v>-0.85264756233751604</v>
      </c>
      <c r="FH61" s="3">
        <f ca="1">IFERROR(__xludf.DUMMYFUNCTION("""COMPUTED_VALUE"""),-0.881725682733612)</f>
        <v>-0.88172568273361196</v>
      </c>
      <c r="FI61" s="3">
        <f ca="1">IFERROR(__xludf.DUMMYFUNCTION("""COMPUTED_VALUE"""),-0.842105764955197)</f>
        <v>-0.84210576495519696</v>
      </c>
      <c r="FJ61" s="3">
        <f ca="1">IFERROR(__xludf.DUMMYFUNCTION("""COMPUTED_VALUE"""),-0.847613598293969)</f>
        <v>-0.84761359829396898</v>
      </c>
      <c r="FK61" s="3">
        <f ca="1">IFERROR(__xludf.DUMMYFUNCTION("""COMPUTED_VALUE"""),-0.881405995724476)</f>
        <v>-0.88140599572447598</v>
      </c>
      <c r="FL61" s="3">
        <f ca="1">IFERROR(__xludf.DUMMYFUNCTION("""COMPUTED_VALUE"""),-0.892814562499291)</f>
        <v>-0.89281456249929103</v>
      </c>
      <c r="FM61" s="3">
        <f ca="1">IFERROR(__xludf.DUMMYFUNCTION("""COMPUTED_VALUE"""),-0.894232341048757)</f>
        <v>-0.89423234104875704</v>
      </c>
      <c r="FN61" s="3">
        <f ca="1">IFERROR(__xludf.DUMMYFUNCTION("""COMPUTED_VALUE"""),-0.8927791032866)</f>
        <v>-0.89277910328660004</v>
      </c>
      <c r="FO61" s="3">
        <f ca="1">IFERROR(__xludf.DUMMYFUNCTION("""COMPUTED_VALUE"""),-0.893673093523934)</f>
        <v>-0.89367309352393398</v>
      </c>
      <c r="FP61" s="3">
        <f ca="1">IFERROR(__xludf.DUMMYFUNCTION("""COMPUTED_VALUE"""),-0.858032430655303)</f>
        <v>-0.85803243065530299</v>
      </c>
      <c r="FQ61" s="3">
        <f ca="1">IFERROR(__xludf.DUMMYFUNCTION("""COMPUTED_VALUE"""),-0.843063033091152)</f>
        <v>-0.84306303309115205</v>
      </c>
      <c r="FR61" s="3">
        <f ca="1">IFERROR(__xludf.DUMMYFUNCTION("""COMPUTED_VALUE"""),-0.896348219877046)</f>
        <v>-0.89634821987704605</v>
      </c>
      <c r="FS61" s="3">
        <f ca="1">IFERROR(__xludf.DUMMYFUNCTION("""COMPUTED_VALUE"""),-0.888230035415577)</f>
        <v>-0.88823003541557699</v>
      </c>
      <c r="FT61" s="3">
        <f ca="1">IFERROR(__xludf.DUMMYFUNCTION("""COMPUTED_VALUE"""),-0.890302145150226)</f>
        <v>-0.89030214515022599</v>
      </c>
      <c r="FU61" s="3">
        <f ca="1">IFERROR(__xludf.DUMMYFUNCTION("""COMPUTED_VALUE"""),-0.886983582786871)</f>
        <v>-0.88698358278687095</v>
      </c>
      <c r="FV61" s="3">
        <f ca="1">IFERROR(__xludf.DUMMYFUNCTION("""COMPUTED_VALUE"""),-0.898174335266945)</f>
        <v>-0.89817433526694501</v>
      </c>
      <c r="FW61" s="3">
        <f ca="1">IFERROR(__xludf.DUMMYFUNCTION("""COMPUTED_VALUE"""),-0.860427837931387)</f>
        <v>-0.860427837931387</v>
      </c>
      <c r="FX61" s="3">
        <f ca="1">IFERROR(__xludf.DUMMYFUNCTION("""COMPUTED_VALUE"""),-0.840351896027014)</f>
        <v>-0.84035189602701399</v>
      </c>
      <c r="FY61" s="3">
        <f ca="1">IFERROR(__xludf.DUMMYFUNCTION("""COMPUTED_VALUE"""),-0.901644386521514)</f>
        <v>-0.90164438652151402</v>
      </c>
      <c r="FZ61" s="3">
        <f ca="1">IFERROR(__xludf.DUMMYFUNCTION("""COMPUTED_VALUE"""),-0.88966527878204)</f>
        <v>-0.88966527878204005</v>
      </c>
      <c r="GA61" s="3">
        <f ca="1">IFERROR(__xludf.DUMMYFUNCTION("""COMPUTED_VALUE"""),-0.88781402365033)</f>
        <v>-0.88781402365033002</v>
      </c>
      <c r="GB61" s="3">
        <f ca="1">IFERROR(__xludf.DUMMYFUNCTION("""COMPUTED_VALUE"""),-0.88181628446243)</f>
        <v>-0.88181628446242999</v>
      </c>
      <c r="GC61" s="3">
        <f ca="1">IFERROR(__xludf.DUMMYFUNCTION("""COMPUTED_VALUE"""),-0.881521673387269)</f>
        <v>-0.88152167338726894</v>
      </c>
      <c r="GD61" s="3">
        <f ca="1">IFERROR(__xludf.DUMMYFUNCTION("""COMPUTED_VALUE"""),-0.841836083468452)</f>
        <v>-0.84183608346845196</v>
      </c>
      <c r="GE61" s="3">
        <f ca="1">IFERROR(__xludf.DUMMYFUNCTION("""COMPUTED_VALUE"""),-0.855819588880786)</f>
        <v>-0.85581958888078602</v>
      </c>
      <c r="GF61" s="3">
        <f ca="1">IFERROR(__xludf.DUMMYFUNCTION("""COMPUTED_VALUE"""),-0.880903939337483)</f>
        <v>-0.88090393933748301</v>
      </c>
      <c r="GG61" s="3">
        <f ca="1">IFERROR(__xludf.DUMMYFUNCTION("""COMPUTED_VALUE"""),-0.888236819833531)</f>
        <v>-0.88823681983353098</v>
      </c>
      <c r="GH61" s="3">
        <f ca="1">IFERROR(__xludf.DUMMYFUNCTION("""COMPUTED_VALUE"""),-0.875652668620039)</f>
        <v>-0.87565266862003899</v>
      </c>
      <c r="GI61" s="3">
        <f ca="1">IFERROR(__xludf.DUMMYFUNCTION("""COMPUTED_VALUE"""),-0.898770728919581)</f>
        <v>-0.89877072891958099</v>
      </c>
      <c r="GJ61" s="3">
        <f ca="1">IFERROR(__xludf.DUMMYFUNCTION("""COMPUTED_VALUE"""),-0.871760078535976)</f>
        <v>-0.87176007853597604</v>
      </c>
      <c r="GK61" s="3">
        <f ca="1">IFERROR(__xludf.DUMMYFUNCTION("""COMPUTED_VALUE"""),-0.84879044939684)</f>
        <v>-0.84879044939684001</v>
      </c>
      <c r="GL61" s="3">
        <f ca="1">IFERROR(__xludf.DUMMYFUNCTION("""COMPUTED_VALUE"""),-0.84904352151421)</f>
        <v>-0.84904352151421003</v>
      </c>
      <c r="GM61" s="3">
        <f ca="1">IFERROR(__xludf.DUMMYFUNCTION("""COMPUTED_VALUE"""),-0.88472070256058)</f>
        <v>-0.88472070256058</v>
      </c>
      <c r="GN61" s="3">
        <f ca="1">IFERROR(__xludf.DUMMYFUNCTION("""COMPUTED_VALUE"""),-0.887971872637886)</f>
        <v>-0.88797187263788602</v>
      </c>
      <c r="GO61" s="3">
        <f ca="1">IFERROR(__xludf.DUMMYFUNCTION("""COMPUTED_VALUE"""),-0.890162711905695)</f>
        <v>-0.89016271190569496</v>
      </c>
      <c r="GP61" s="3">
        <f ca="1">IFERROR(__xludf.DUMMYFUNCTION("""COMPUTED_VALUE"""),-0.896901495635686)</f>
        <v>-0.896901495635686</v>
      </c>
      <c r="GQ61" s="3">
        <f ca="1">IFERROR(__xludf.DUMMYFUNCTION("""COMPUTED_VALUE"""),-0.895795540406054)</f>
        <v>-0.89579554040605402</v>
      </c>
      <c r="GR61" s="3">
        <f ca="1">IFERROR(__xludf.DUMMYFUNCTION("""COMPUTED_VALUE"""),-0.834250385195932)</f>
        <v>-0.83425038519593198</v>
      </c>
      <c r="GS61" s="3">
        <f ca="1">IFERROR(__xludf.DUMMYFUNCTION("""COMPUTED_VALUE"""),-0.840564995083866)</f>
        <v>-0.84056499508386595</v>
      </c>
      <c r="GT61" s="3">
        <f ca="1">IFERROR(__xludf.DUMMYFUNCTION("""COMPUTED_VALUE"""),-0.866264031082071)</f>
        <v>-0.86626403108207095</v>
      </c>
      <c r="GU61" s="3">
        <f ca="1">IFERROR(__xludf.DUMMYFUNCTION("""COMPUTED_VALUE"""),-0.875926724678016)</f>
        <v>-0.87592672467801602</v>
      </c>
      <c r="GV61" s="3">
        <f ca="1">IFERROR(__xludf.DUMMYFUNCTION("""COMPUTED_VALUE"""),-0.886016825065453)</f>
        <v>-0.88601682506545298</v>
      </c>
      <c r="GW61" s="3">
        <f ca="1">IFERROR(__xludf.DUMMYFUNCTION("""COMPUTED_VALUE"""),-0.885258364583743)</f>
        <v>-0.88525836458374296</v>
      </c>
      <c r="GX61" s="3">
        <f ca="1">IFERROR(__xludf.DUMMYFUNCTION("""COMPUTED_VALUE"""),-0.867860240919591)</f>
        <v>-0.86786024091959102</v>
      </c>
      <c r="GY61" s="3">
        <f ca="1">IFERROR(__xludf.DUMMYFUNCTION("""COMPUTED_VALUE"""),-0.819934283158737)</f>
        <v>-0.81993428315873695</v>
      </c>
      <c r="GZ61" s="3">
        <f ca="1">IFERROR(__xludf.DUMMYFUNCTION("""COMPUTED_VALUE"""),-0.861743138003922)</f>
        <v>-0.86174313800392199</v>
      </c>
      <c r="HA61" s="3">
        <f ca="1">IFERROR(__xludf.DUMMYFUNCTION("""COMPUTED_VALUE"""),-0.882448332427217)</f>
        <v>-0.88244833242721699</v>
      </c>
      <c r="HB61" s="3">
        <f ca="1">IFERROR(__xludf.DUMMYFUNCTION("""COMPUTED_VALUE"""),-0.902374754664091)</f>
        <v>-0.90237475466409101</v>
      </c>
      <c r="HC61" s="3">
        <f ca="1">IFERROR(__xludf.DUMMYFUNCTION("""COMPUTED_VALUE"""),-0.910274838281082)</f>
        <v>-0.91027483828108202</v>
      </c>
      <c r="HD61" s="3">
        <f ca="1">IFERROR(__xludf.DUMMYFUNCTION("""COMPUTED_VALUE"""),-0.894385304654063)</f>
        <v>-0.89438530465406296</v>
      </c>
      <c r="HE61" s="3">
        <f ca="1">IFERROR(__xludf.DUMMYFUNCTION("""COMPUTED_VALUE"""),-0.892829084067241)</f>
        <v>-0.89282908406724104</v>
      </c>
      <c r="HF61" s="3">
        <f ca="1">IFERROR(__xludf.DUMMYFUNCTION("""COMPUTED_VALUE"""),-0.851225805284446)</f>
        <v>-0.85122580528444602</v>
      </c>
      <c r="HG61" s="3">
        <f ca="1">IFERROR(__xludf.DUMMYFUNCTION("""COMPUTED_VALUE"""),-0.856159706018601)</f>
        <v>-0.85615970601860103</v>
      </c>
      <c r="HH61" s="3">
        <f ca="1">IFERROR(__xludf.DUMMYFUNCTION("""COMPUTED_VALUE"""),-0.88416464487497)</f>
        <v>-0.88416464487497004</v>
      </c>
      <c r="HI61" s="3">
        <f ca="1">IFERROR(__xludf.DUMMYFUNCTION("""COMPUTED_VALUE"""),-0.890677373963191)</f>
        <v>-0.89067737396319102</v>
      </c>
      <c r="HJ61" s="3">
        <f ca="1">IFERROR(__xludf.DUMMYFUNCTION("""COMPUTED_VALUE"""),-0.889457415967985)</f>
        <v>-0.889457415967985</v>
      </c>
      <c r="HK61" s="3">
        <f ca="1">IFERROR(__xludf.DUMMYFUNCTION("""COMPUTED_VALUE"""),-0.883657862137863)</f>
        <v>-0.88365786213786301</v>
      </c>
      <c r="HL61" s="3">
        <f ca="1">IFERROR(__xludf.DUMMYFUNCTION("""COMPUTED_VALUE"""),-0.862780777307298)</f>
        <v>-0.86278077730729796</v>
      </c>
      <c r="HM61" s="3">
        <f ca="1">IFERROR(__xludf.DUMMYFUNCTION("""COMPUTED_VALUE"""),-0.85793365129417)</f>
        <v>-0.85793365129416999</v>
      </c>
      <c r="HN61" s="3">
        <f ca="1">IFERROR(__xludf.DUMMYFUNCTION("""COMPUTED_VALUE"""),-0.85120426407025)</f>
        <v>-0.85120426407024996</v>
      </c>
      <c r="HO61" s="3">
        <f ca="1">IFERROR(__xludf.DUMMYFUNCTION("""COMPUTED_VALUE"""),-0.878263915900234)</f>
        <v>-0.878263915900234</v>
      </c>
      <c r="HP61" s="3">
        <f ca="1">IFERROR(__xludf.DUMMYFUNCTION("""COMPUTED_VALUE"""),-0.883197096615662)</f>
        <v>-0.88319709661566204</v>
      </c>
      <c r="HQ61" s="3">
        <f ca="1">IFERROR(__xludf.DUMMYFUNCTION("""COMPUTED_VALUE"""),-0.906754659935376)</f>
        <v>-0.90675465993537596</v>
      </c>
      <c r="HR61" s="3">
        <f ca="1">IFERROR(__xludf.DUMMYFUNCTION("""COMPUTED_VALUE"""),-0.889967982466618)</f>
        <v>-0.88996798246661801</v>
      </c>
      <c r="HS61" s="3">
        <f ca="1">IFERROR(__xludf.DUMMYFUNCTION("""COMPUTED_VALUE"""),-0.878676845991404)</f>
        <v>-0.87867684599140405</v>
      </c>
      <c r="HT61" s="3">
        <f ca="1">IFERROR(__xludf.DUMMYFUNCTION("""COMPUTED_VALUE"""),-0.876498730546456)</f>
        <v>-0.876498730546456</v>
      </c>
      <c r="HU61" s="3">
        <f ca="1">IFERROR(__xludf.DUMMYFUNCTION("""COMPUTED_VALUE"""),-0.855128675100865)</f>
        <v>-0.85512867510086499</v>
      </c>
      <c r="HV61" s="3">
        <f ca="1">IFERROR(__xludf.DUMMYFUNCTION("""COMPUTED_VALUE"""),-0.877492294715407)</f>
        <v>-0.87749229471540702</v>
      </c>
      <c r="HW61" s="3">
        <f ca="1">IFERROR(__xludf.DUMMYFUNCTION("""COMPUTED_VALUE"""),-0.901765034114779)</f>
        <v>-0.90176503411477904</v>
      </c>
      <c r="HX61" s="3">
        <f ca="1">IFERROR(__xludf.DUMMYFUNCTION("""COMPUTED_VALUE"""),-0.890033130484123)</f>
        <v>-0.89003313048412303</v>
      </c>
      <c r="HY61" s="3">
        <f ca="1">IFERROR(__xludf.DUMMYFUNCTION("""COMPUTED_VALUE"""),-0.891433197872354)</f>
        <v>-0.89143319787235398</v>
      </c>
      <c r="HZ61" s="3">
        <f ca="1">IFERROR(__xludf.DUMMYFUNCTION("""COMPUTED_VALUE"""),-0.867668536268997)</f>
        <v>-0.86766853626899698</v>
      </c>
      <c r="IA61" s="3">
        <f ca="1">IFERROR(__xludf.DUMMYFUNCTION("""COMPUTED_VALUE"""),-0.860661249984116)</f>
        <v>-0.86066124998411597</v>
      </c>
      <c r="IB61" s="3">
        <f ca="1">IFERROR(__xludf.DUMMYFUNCTION("""COMPUTED_VALUE"""),-0.852598269188622)</f>
        <v>-0.85259826918862203</v>
      </c>
      <c r="IC61" s="3">
        <f ca="1">IFERROR(__xludf.DUMMYFUNCTION("""COMPUTED_VALUE"""),-0.884229137812458)</f>
        <v>-0.88422913781245804</v>
      </c>
      <c r="ID61" s="3">
        <f ca="1">IFERROR(__xludf.DUMMYFUNCTION("""COMPUTED_VALUE"""),-0.881999216713956)</f>
        <v>-0.88199921671395598</v>
      </c>
      <c r="IE61" s="3">
        <f ca="1">IFERROR(__xludf.DUMMYFUNCTION("""COMPUTED_VALUE"""),-0.88929001358877)</f>
        <v>-0.88929001358877002</v>
      </c>
      <c r="IF61" s="3">
        <f ca="1">IFERROR(__xludf.DUMMYFUNCTION("""COMPUTED_VALUE"""),-0.86884146820871)</f>
        <v>-0.86884146820871</v>
      </c>
      <c r="IG61" s="3">
        <f ca="1">IFERROR(__xludf.DUMMYFUNCTION("""COMPUTED_VALUE"""),-0.877849330965629)</f>
        <v>-0.877849330965629</v>
      </c>
      <c r="IH61" s="3">
        <f ca="1">IFERROR(__xludf.DUMMYFUNCTION("""COMPUTED_VALUE"""),-0.816903904469952)</f>
        <v>-0.81690390446995198</v>
      </c>
      <c r="II61" s="3">
        <f ca="1">IFERROR(__xludf.DUMMYFUNCTION("""COMPUTED_VALUE"""),-0.820032583079243)</f>
        <v>-0.82003258307924298</v>
      </c>
      <c r="IJ61" s="3">
        <f ca="1">IFERROR(__xludf.DUMMYFUNCTION("""COMPUTED_VALUE"""),-0.820984599905916)</f>
        <v>-0.82098459990591599</v>
      </c>
      <c r="IK61" s="3">
        <f ca="1">IFERROR(__xludf.DUMMYFUNCTION("""COMPUTED_VALUE"""),-0.837704570047832)</f>
        <v>-0.83770457004783205</v>
      </c>
      <c r="IL61" s="3">
        <f ca="1">IFERROR(__xludf.DUMMYFUNCTION("""COMPUTED_VALUE"""),-0.845040124598863)</f>
        <v>-0.84504012459886302</v>
      </c>
      <c r="IM61" s="3">
        <f ca="1">IFERROR(__xludf.DUMMYFUNCTION("""COMPUTED_VALUE"""),-0.839448402659164)</f>
        <v>-0.83944840265916398</v>
      </c>
      <c r="IN61" s="3">
        <f ca="1">IFERROR(__xludf.DUMMYFUNCTION("""COMPUTED_VALUE"""),-0.816198464791572)</f>
        <v>-0.81619846479157199</v>
      </c>
      <c r="IO61" s="3">
        <f ca="1">IFERROR(__xludf.DUMMYFUNCTION("""COMPUTED_VALUE"""),-0.825233769695924)</f>
        <v>-0.82523376969592399</v>
      </c>
      <c r="IP61" s="3">
        <f ca="1">IFERROR(__xludf.DUMMYFUNCTION("""COMPUTED_VALUE"""),-0.83115906233822)</f>
        <v>-0.83115906233822001</v>
      </c>
      <c r="IQ61" s="3">
        <f ca="1">IFERROR(__xludf.DUMMYFUNCTION("""COMPUTED_VALUE"""),-0.811094537899132)</f>
        <v>-0.811094537899132</v>
      </c>
      <c r="IR61" s="3">
        <f ca="1">IFERROR(__xludf.DUMMYFUNCTION("""COMPUTED_VALUE"""),-0.820289595975959)</f>
        <v>-0.82028959597595896</v>
      </c>
      <c r="IS61" s="3">
        <f ca="1">IFERROR(__xludf.DUMMYFUNCTION("""COMPUTED_VALUE"""),-0.816044158078204)</f>
        <v>-0.81604415807820396</v>
      </c>
      <c r="IT61" s="3">
        <f ca="1">IFERROR(__xludf.DUMMYFUNCTION("""COMPUTED_VALUE"""),-0.815108384940236)</f>
        <v>-0.81510838494023596</v>
      </c>
      <c r="IU61" s="3">
        <f ca="1">IFERROR(__xludf.DUMMYFUNCTION("""COMPUTED_VALUE"""),-0.79984969737103)</f>
        <v>-0.79984969737102996</v>
      </c>
      <c r="IV61" s="3">
        <f ca="1">IFERROR(__xludf.DUMMYFUNCTION("""COMPUTED_VALUE"""),-0.793094430931717)</f>
        <v>-0.79309443093171705</v>
      </c>
      <c r="IW61" s="3">
        <f ca="1">IFERROR(__xludf.DUMMYFUNCTION("""COMPUTED_VALUE"""),-0.81385467514021)</f>
        <v>-0.81385467514021004</v>
      </c>
      <c r="IX61" s="3">
        <f ca="1">IFERROR(__xludf.DUMMYFUNCTION("""COMPUTED_VALUE"""),-0.797320729239531)</f>
        <v>-0.79732072923953101</v>
      </c>
      <c r="IY61" s="3">
        <f ca="1">IFERROR(__xludf.DUMMYFUNCTION("""COMPUTED_VALUE"""),-0.780425160458919)</f>
        <v>-0.78042516045891897</v>
      </c>
      <c r="IZ61" s="3">
        <f ca="1">IFERROR(__xludf.DUMMYFUNCTION("""COMPUTED_VALUE"""),-0.795114546378754)</f>
        <v>-0.79511454637875401</v>
      </c>
      <c r="JA61" s="3">
        <f ca="1">IFERROR(__xludf.DUMMYFUNCTION("""COMPUTED_VALUE"""),-0.790052902749747)</f>
        <v>-0.79005290274974704</v>
      </c>
      <c r="JB61" s="3">
        <f ca="1">IFERROR(__xludf.DUMMYFUNCTION("""COMPUTED_VALUE"""),-0.787518293402431)</f>
        <v>-0.78751829340243096</v>
      </c>
      <c r="JC61" s="3">
        <f ca="1">IFERROR(__xludf.DUMMYFUNCTION("""COMPUTED_VALUE"""),-0.816548334465498)</f>
        <v>-0.81654833446549802</v>
      </c>
      <c r="JD61" s="3">
        <f ca="1">IFERROR(__xludf.DUMMYFUNCTION("""COMPUTED_VALUE"""),-0.799612005257292)</f>
        <v>-0.79961200525729204</v>
      </c>
      <c r="JE61" s="3">
        <f ca="1">IFERROR(__xludf.DUMMYFUNCTION("""COMPUTED_VALUE"""),-0.816743635260347)</f>
        <v>-0.81674363526034699</v>
      </c>
      <c r="JF61" s="3">
        <f ca="1">IFERROR(__xludf.DUMMYFUNCTION("""COMPUTED_VALUE"""),-0.78243145787149)</f>
        <v>-0.78243145787149004</v>
      </c>
      <c r="JG61" s="3">
        <f ca="1">IFERROR(__xludf.DUMMYFUNCTION("""COMPUTED_VALUE"""),-0.778306651683252)</f>
        <v>-0.77830665168325197</v>
      </c>
      <c r="JH61" s="3">
        <f ca="1">IFERROR(__xludf.DUMMYFUNCTION("""COMPUTED_VALUE"""),-0.786890454076388)</f>
        <v>-0.78689045407638802</v>
      </c>
      <c r="JI61" s="3">
        <f ca="1">IFERROR(__xludf.DUMMYFUNCTION("""COMPUTED_VALUE"""),-0.765046954757182)</f>
        <v>-0.76504695475718199</v>
      </c>
      <c r="JJ61" s="3">
        <f ca="1">IFERROR(__xludf.DUMMYFUNCTION("""COMPUTED_VALUE"""),-0.833270862673533)</f>
        <v>-0.83327086267353301</v>
      </c>
      <c r="JK61" s="3">
        <f ca="1">IFERROR(__xludf.DUMMYFUNCTION("""COMPUTED_VALUE"""),-0.832539821792852)</f>
        <v>-0.83253982179285202</v>
      </c>
      <c r="JL61" s="3">
        <f ca="1">IFERROR(__xludf.DUMMYFUNCTION("""COMPUTED_VALUE"""),-0.77586679626302)</f>
        <v>-0.77586679626302002</v>
      </c>
      <c r="JM61" s="3">
        <f ca="1">IFERROR(__xludf.DUMMYFUNCTION("""COMPUTED_VALUE"""),-0.805035492047459)</f>
        <v>-0.80503549204745894</v>
      </c>
      <c r="JN61" s="3">
        <f ca="1">IFERROR(__xludf.DUMMYFUNCTION("""COMPUTED_VALUE"""),-0.794621123984526)</f>
        <v>-0.794621123984526</v>
      </c>
      <c r="JO61" s="3">
        <f ca="1">IFERROR(__xludf.DUMMYFUNCTION("""COMPUTED_VALUE"""),-0.801251536401088)</f>
        <v>-0.80125153640108804</v>
      </c>
      <c r="JP61" s="3">
        <f ca="1">IFERROR(__xludf.DUMMYFUNCTION("""COMPUTED_VALUE"""),-0.783137802879409)</f>
        <v>-0.78313780287940904</v>
      </c>
      <c r="JQ61" s="3">
        <f ca="1">IFERROR(__xludf.DUMMYFUNCTION("""COMPUTED_VALUE"""),-0.831820362154459)</f>
        <v>-0.83182036215445898</v>
      </c>
      <c r="JR61" s="3">
        <f ca="1">IFERROR(__xludf.DUMMYFUNCTION("""COMPUTED_VALUE"""),-0.838906704872957)</f>
        <v>-0.83890670487295704</v>
      </c>
      <c r="JS61" s="3">
        <f ca="1">IFERROR(__xludf.DUMMYFUNCTION("""COMPUTED_VALUE"""),-0.806539715697706)</f>
        <v>-0.80653971569770599</v>
      </c>
      <c r="JT61" s="3">
        <f ca="1">IFERROR(__xludf.DUMMYFUNCTION("""COMPUTED_VALUE"""),-0.775192008079561)</f>
        <v>-0.77519200807956101</v>
      </c>
      <c r="JU61" s="3">
        <f ca="1">IFERROR(__xludf.DUMMYFUNCTION("""COMPUTED_VALUE"""),-0.822315365764968)</f>
        <v>-0.822315365764968</v>
      </c>
      <c r="JV61" s="3">
        <f ca="1">IFERROR(__xludf.DUMMYFUNCTION("""COMPUTED_VALUE"""),-0.766921102033289)</f>
        <v>-0.766921102033289</v>
      </c>
      <c r="JW61" s="3">
        <f ca="1">IFERROR(__xludf.DUMMYFUNCTION("""COMPUTED_VALUE"""),-0.794584277643261)</f>
        <v>-0.79458427764326101</v>
      </c>
      <c r="JX61" s="3">
        <f ca="1">IFERROR(__xludf.DUMMYFUNCTION("""COMPUTED_VALUE"""),-0.824417335202133)</f>
        <v>-0.82441733520213301</v>
      </c>
      <c r="JY61" s="3">
        <f ca="1">IFERROR(__xludf.DUMMYFUNCTION("""COMPUTED_VALUE"""),-0.828749413558457)</f>
        <v>-0.82874941355845699</v>
      </c>
      <c r="JZ61" s="3">
        <f ca="1">IFERROR(__xludf.DUMMYFUNCTION("""COMPUTED_VALUE"""),-0.777684303491717)</f>
        <v>-0.77768430349171702</v>
      </c>
      <c r="KA61" s="3">
        <f ca="1">IFERROR(__xludf.DUMMYFUNCTION("""COMPUTED_VALUE"""),-0.783483007268051)</f>
        <v>-0.78348300726805098</v>
      </c>
      <c r="KB61" s="3">
        <f ca="1">IFERROR(__xludf.DUMMYFUNCTION("""COMPUTED_VALUE"""),-0.816940739922576)</f>
        <v>-0.81694073992257599</v>
      </c>
      <c r="KC61" s="3">
        <f ca="1">IFERROR(__xludf.DUMMYFUNCTION("""COMPUTED_VALUE"""),-0.800400244176461)</f>
        <v>-0.80040024417646105</v>
      </c>
      <c r="KD61" s="3">
        <f ca="1">IFERROR(__xludf.DUMMYFUNCTION("""COMPUTED_VALUE"""),-0.806732913916561)</f>
        <v>-0.80673291391656099</v>
      </c>
      <c r="KE61" s="3">
        <f ca="1">IFERROR(__xludf.DUMMYFUNCTION("""COMPUTED_VALUE"""),-0.828422966660375)</f>
        <v>-0.82842296666037496</v>
      </c>
      <c r="KF61" s="3">
        <f ca="1">IFERROR(__xludf.DUMMYFUNCTION("""COMPUTED_VALUE"""),-0.834027381111671)</f>
        <v>-0.83402738111167096</v>
      </c>
      <c r="KG61" s="3">
        <f ca="1">IFERROR(__xludf.DUMMYFUNCTION("""COMPUTED_VALUE"""),-0.800933570907726)</f>
        <v>-0.80093357090772599</v>
      </c>
      <c r="KH61" s="3">
        <f ca="1">IFERROR(__xludf.DUMMYFUNCTION("""COMPUTED_VALUE"""),-0.805577378662925)</f>
        <v>-0.805577378662925</v>
      </c>
      <c r="KI61" s="3">
        <f ca="1">IFERROR(__xludf.DUMMYFUNCTION("""COMPUTED_VALUE"""),-0.846342354877381)</f>
        <v>-0.84634235487738096</v>
      </c>
      <c r="KJ61" s="3">
        <f ca="1">IFERROR(__xludf.DUMMYFUNCTION("""COMPUTED_VALUE"""),-0.841168245662893)</f>
        <v>-0.84116824566289305</v>
      </c>
      <c r="KK61" s="3">
        <f ca="1">IFERROR(__xludf.DUMMYFUNCTION("""COMPUTED_VALUE"""),-0.798640058134232)</f>
        <v>-0.798640058134232</v>
      </c>
      <c r="KL61" s="3">
        <f ca="1">IFERROR(__xludf.DUMMYFUNCTION("""COMPUTED_VALUE"""),-0.82163298947854)</f>
        <v>-0.82163298947854002</v>
      </c>
      <c r="KM61" s="3">
        <f ca="1">IFERROR(__xludf.DUMMYFUNCTION("""COMPUTED_VALUE"""),-0.782055256474814)</f>
        <v>-0.782055256474814</v>
      </c>
      <c r="KN61" s="3">
        <f ca="1">IFERROR(__xludf.DUMMYFUNCTION("""COMPUTED_VALUE"""),-0.808330225885063)</f>
        <v>-0.80833022588506298</v>
      </c>
      <c r="KO61" s="3">
        <f ca="1">IFERROR(__xludf.DUMMYFUNCTION("""COMPUTED_VALUE"""),-0.778369799620405)</f>
        <v>-0.77836979962040498</v>
      </c>
      <c r="KP61" s="3">
        <f ca="1">IFERROR(__xludf.DUMMYFUNCTION("""COMPUTED_VALUE"""),-0.80691905340337)</f>
        <v>-0.80691905340337</v>
      </c>
      <c r="KQ61" s="3">
        <f ca="1">IFERROR(__xludf.DUMMYFUNCTION("""COMPUTED_VALUE"""),-0.856675594365644)</f>
        <v>-0.856675594365644</v>
      </c>
      <c r="KR61" s="3">
        <f ca="1">IFERROR(__xludf.DUMMYFUNCTION("""COMPUTED_VALUE"""),-0.847056640523186)</f>
        <v>-0.84705664052318597</v>
      </c>
      <c r="KS61" s="3">
        <f ca="1">IFERROR(__xludf.DUMMYFUNCTION("""COMPUTED_VALUE"""),-0.817888407549975)</f>
        <v>-0.81788840754997505</v>
      </c>
      <c r="KT61" s="3">
        <f ca="1">IFERROR(__xludf.DUMMYFUNCTION("""COMPUTED_VALUE"""),-0.792099476984282)</f>
        <v>-0.79209947698428196</v>
      </c>
      <c r="KU61" s="3">
        <f ca="1">IFERROR(__xludf.DUMMYFUNCTION("""COMPUTED_VALUE"""),-0.867877459151003)</f>
        <v>-0.86787745915100301</v>
      </c>
      <c r="KV61" s="3">
        <f ca="1">IFERROR(__xludf.DUMMYFUNCTION("""COMPUTED_VALUE"""),-0.836228963604076)</f>
        <v>-0.83622896360407595</v>
      </c>
      <c r="KW61" s="3">
        <f ca="1">IFERROR(__xludf.DUMMYFUNCTION("""COMPUTED_VALUE"""),-0.839075050932416)</f>
        <v>-0.83907505093241597</v>
      </c>
      <c r="KX61" s="3">
        <f ca="1">IFERROR(__xludf.DUMMYFUNCTION("""COMPUTED_VALUE"""),-0.851079366623277)</f>
        <v>-0.85107936662327699</v>
      </c>
      <c r="KY61" s="3">
        <f ca="1">IFERROR(__xludf.DUMMYFUNCTION("""COMPUTED_VALUE"""),-0.840451008993211)</f>
        <v>-0.84045100899321101</v>
      </c>
      <c r="KZ61" s="3">
        <f ca="1">IFERROR(__xludf.DUMMYFUNCTION("""COMPUTED_VALUE"""),-0.859094094953818)</f>
        <v>-0.85909409495381805</v>
      </c>
      <c r="LA61" s="3">
        <f ca="1">IFERROR(__xludf.DUMMYFUNCTION("""COMPUTED_VALUE"""),-0.841275453810356)</f>
        <v>-0.84127545381035596</v>
      </c>
      <c r="LB61" s="3">
        <f ca="1">IFERROR(__xludf.DUMMYFUNCTION("""COMPUTED_VALUE"""),-0.866405693404828)</f>
        <v>-0.86640569340482798</v>
      </c>
      <c r="LC61" s="3">
        <f ca="1">IFERROR(__xludf.DUMMYFUNCTION("""COMPUTED_VALUE"""),-0.830086852650753)</f>
        <v>-0.83008685265075299</v>
      </c>
      <c r="LD61" s="3">
        <f ca="1">IFERROR(__xludf.DUMMYFUNCTION("""COMPUTED_VALUE"""),-0.8814141699469)</f>
        <v>-0.88141416994690003</v>
      </c>
      <c r="LE61" s="3">
        <f ca="1">IFERROR(__xludf.DUMMYFUNCTION("""COMPUTED_VALUE"""),-0.869567999129574)</f>
        <v>-0.86956799912957405</v>
      </c>
      <c r="LF61" s="3">
        <f ca="1">IFERROR(__xludf.DUMMYFUNCTION("""COMPUTED_VALUE"""),-0.856632299205198)</f>
        <v>-0.85663229920519801</v>
      </c>
      <c r="LG61" s="3">
        <f ca="1">IFERROR(__xludf.DUMMYFUNCTION("""COMPUTED_VALUE"""),-0.889756153646869)</f>
        <v>-0.889756153646869</v>
      </c>
      <c r="LH61" s="3">
        <f ca="1">IFERROR(__xludf.DUMMYFUNCTION("""COMPUTED_VALUE"""),-0.882725942805263)</f>
        <v>-0.88272594280526295</v>
      </c>
      <c r="LI61" s="3">
        <f ca="1">IFERROR(__xludf.DUMMYFUNCTION("""COMPUTED_VALUE"""),-0.865084027928228)</f>
        <v>-0.86508402792822803</v>
      </c>
      <c r="LJ61" s="3">
        <f ca="1">IFERROR(__xludf.DUMMYFUNCTION("""COMPUTED_VALUE"""),-0.886708328396633)</f>
        <v>-0.88670832839663305</v>
      </c>
      <c r="LK61" s="3">
        <f ca="1">IFERROR(__xludf.DUMMYFUNCTION("""COMPUTED_VALUE"""),-0.903205307002498)</f>
        <v>-0.90320530700249801</v>
      </c>
      <c r="LL61" s="3">
        <f ca="1">IFERROR(__xludf.DUMMYFUNCTION("""COMPUTED_VALUE"""),-0.874275335388012)</f>
        <v>-0.87427533538801205</v>
      </c>
      <c r="LM61" s="3">
        <f ca="1">IFERROR(__xludf.DUMMYFUNCTION("""COMPUTED_VALUE"""),-0.88090177117314)</f>
        <v>-0.88090177117313995</v>
      </c>
      <c r="LN61" s="3">
        <f ca="1">IFERROR(__xludf.DUMMYFUNCTION("""COMPUTED_VALUE"""),-0.86301897066146)</f>
        <v>-0.86301897066146005</v>
      </c>
      <c r="LO61" s="3">
        <f ca="1">IFERROR(__xludf.DUMMYFUNCTION("""COMPUTED_VALUE"""),-0.858024547413767)</f>
        <v>-0.85802454741376699</v>
      </c>
      <c r="LP61" s="3">
        <f ca="1">IFERROR(__xludf.DUMMYFUNCTION("""COMPUTED_VALUE"""),-0.878112058682481)</f>
        <v>-0.87811205868248099</v>
      </c>
      <c r="LQ61" s="3">
        <f ca="1">IFERROR(__xludf.DUMMYFUNCTION("""COMPUTED_VALUE"""),-0.856859595644613)</f>
        <v>-0.856859595644613</v>
      </c>
      <c r="LR61" s="3">
        <f ca="1">IFERROR(__xludf.DUMMYFUNCTION("""COMPUTED_VALUE"""),-0.892242086394927)</f>
        <v>-0.89224208639492697</v>
      </c>
      <c r="LS61" s="3">
        <f ca="1">IFERROR(__xludf.DUMMYFUNCTION("""COMPUTED_VALUE"""),-0.876326880621923)</f>
        <v>-0.87632688062192299</v>
      </c>
      <c r="LT61" s="3">
        <f ca="1">IFERROR(__xludf.DUMMYFUNCTION("""COMPUTED_VALUE"""),-0.869833154455972)</f>
        <v>-0.86983315445597198</v>
      </c>
      <c r="LU61" s="3">
        <f ca="1">IFERROR(__xludf.DUMMYFUNCTION("""COMPUTED_VALUE"""),-0.880084302849633)</f>
        <v>-0.88008430284963302</v>
      </c>
      <c r="LV61" s="3">
        <f ca="1">IFERROR(__xludf.DUMMYFUNCTION("""COMPUTED_VALUE"""),-0.891650732590151)</f>
        <v>-0.89165073259015104</v>
      </c>
      <c r="LW61" s="3">
        <f ca="1">IFERROR(__xludf.DUMMYFUNCTION("""COMPUTED_VALUE"""),-0.906889901827662)</f>
        <v>-0.90688990182766205</v>
      </c>
      <c r="LX61" s="3">
        <f ca="1">IFERROR(__xludf.DUMMYFUNCTION("""COMPUTED_VALUE"""),-0.883355214038323)</f>
        <v>-0.88335521403832296</v>
      </c>
      <c r="LY61" s="3">
        <f ca="1">IFERROR(__xludf.DUMMYFUNCTION("""COMPUTED_VALUE"""),-0.89762710219441)</f>
        <v>-0.89762710219441</v>
      </c>
      <c r="LZ61" s="3">
        <f ca="1">IFERROR(__xludf.DUMMYFUNCTION("""COMPUTED_VALUE"""),-0.9017622783454)</f>
        <v>-0.90176227834540001</v>
      </c>
      <c r="MA61" s="3">
        <f ca="1">IFERROR(__xludf.DUMMYFUNCTION("""COMPUTED_VALUE"""),-0.885768926154371)</f>
        <v>-0.88576892615437097</v>
      </c>
      <c r="MB61" s="3">
        <f ca="1">IFERROR(__xludf.DUMMYFUNCTION("""COMPUTED_VALUE"""),-0.895480902303097)</f>
        <v>-0.89548090230309696</v>
      </c>
      <c r="MC61" s="3">
        <f ca="1">IFERROR(__xludf.DUMMYFUNCTION("""COMPUTED_VALUE"""),-0.935448903579033)</f>
        <v>-0.93544890357903299</v>
      </c>
      <c r="MD61" s="3">
        <f ca="1">IFERROR(__xludf.DUMMYFUNCTION("""COMPUTED_VALUE"""),-0.913212901315305)</f>
        <v>-0.91321290131530497</v>
      </c>
      <c r="ME61" s="3">
        <f ca="1">IFERROR(__xludf.DUMMYFUNCTION("""COMPUTED_VALUE"""),-0.900079637083987)</f>
        <v>-0.90007963708398697</v>
      </c>
      <c r="MF61" s="3">
        <f ca="1">IFERROR(__xludf.DUMMYFUNCTION("""COMPUTED_VALUE"""),-0.94391065639937)</f>
        <v>-0.94391065639937</v>
      </c>
      <c r="MG61" s="3">
        <f ca="1">IFERROR(__xludf.DUMMYFUNCTION("""COMPUTED_VALUE"""),-0.904027836041357)</f>
        <v>-0.90402783604135695</v>
      </c>
      <c r="MH61" s="3">
        <f ca="1">IFERROR(__xludf.DUMMYFUNCTION("""COMPUTED_VALUE"""),-0.907034722792976)</f>
        <v>-0.90703472279297603</v>
      </c>
      <c r="MI61" s="3">
        <f ca="1">IFERROR(__xludf.DUMMYFUNCTION("""COMPUTED_VALUE"""),-0.899892767859335)</f>
        <v>-0.89989276785933503</v>
      </c>
      <c r="MJ61" s="3">
        <f ca="1">IFERROR(__xludf.DUMMYFUNCTION("""COMPUTED_VALUE"""),-0.936925821546164)</f>
        <v>-0.93692582154616399</v>
      </c>
      <c r="MK61" s="3">
        <f ca="1">IFERROR(__xludf.DUMMYFUNCTION("""COMPUTED_VALUE"""),-0.942063726924686)</f>
        <v>-0.94206372692468598</v>
      </c>
      <c r="ML61" s="3">
        <f ca="1">IFERROR(__xludf.DUMMYFUNCTION("""COMPUTED_VALUE"""),-0.922260078155646)</f>
        <v>-0.92226007815564603</v>
      </c>
      <c r="MM61" s="3">
        <f ca="1">IFERROR(__xludf.DUMMYFUNCTION("""COMPUTED_VALUE"""),-0.934253107601045)</f>
        <v>-0.93425310760104496</v>
      </c>
      <c r="MN61" s="3">
        <f ca="1">IFERROR(__xludf.DUMMYFUNCTION("""COMPUTED_VALUE"""),-0.928119733801335)</f>
        <v>-0.92811973380133495</v>
      </c>
      <c r="MO61" s="3">
        <f ca="1">IFERROR(__xludf.DUMMYFUNCTION("""COMPUTED_VALUE"""),-0.929771063873191)</f>
        <v>-0.92977106387319097</v>
      </c>
      <c r="MP61" s="3">
        <f ca="1">IFERROR(__xludf.DUMMYFUNCTION("""COMPUTED_VALUE"""),-0.924230314556544)</f>
        <v>-0.92423031455654403</v>
      </c>
      <c r="MQ61" s="3">
        <f ca="1">IFERROR(__xludf.DUMMYFUNCTION("""COMPUTED_VALUE"""),-0.927555302896175)</f>
        <v>-0.92755530289617505</v>
      </c>
      <c r="MR61" s="3">
        <f ca="1">IFERROR(__xludf.DUMMYFUNCTION("""COMPUTED_VALUE"""),-0.920265683944301)</f>
        <v>-0.92026568394430097</v>
      </c>
      <c r="MS61" s="3">
        <f ca="1">IFERROR(__xludf.DUMMYFUNCTION("""COMPUTED_VALUE"""),-0.944706644562055)</f>
        <v>-0.944706644562055</v>
      </c>
      <c r="MT61" s="3">
        <f ca="1">IFERROR(__xludf.DUMMYFUNCTION("""COMPUTED_VALUE"""),-0.949023938664893)</f>
        <v>-0.94902393866489299</v>
      </c>
      <c r="MU61" s="3">
        <f ca="1">IFERROR(__xludf.DUMMYFUNCTION("""COMPUTED_VALUE"""),-0.927318502802627)</f>
        <v>-0.92731850280262695</v>
      </c>
      <c r="MV61" s="3">
        <f ca="1">IFERROR(__xludf.DUMMYFUNCTION("""COMPUTED_VALUE"""),-0.927519880577414)</f>
        <v>-0.92751988057741397</v>
      </c>
      <c r="MW61" s="3">
        <f ca="1">IFERROR(__xludf.DUMMYFUNCTION("""COMPUTED_VALUE"""),-0.92190818401448)</f>
        <v>-0.92190818401448005</v>
      </c>
      <c r="MX61" s="3">
        <f ca="1">IFERROR(__xludf.DUMMYFUNCTION("""COMPUTED_VALUE"""),-0.930066733810978)</f>
        <v>-0.93006673381097804</v>
      </c>
      <c r="MY61" s="3">
        <f ca="1">IFERROR(__xludf.DUMMYFUNCTION("""COMPUTED_VALUE"""),-0.922221050899986)</f>
        <v>-0.92222105089998596</v>
      </c>
      <c r="MZ61" s="3">
        <f ca="1">IFERROR(__xludf.DUMMYFUNCTION("""COMPUTED_VALUE"""),-0.93174809001344)</f>
        <v>-0.93174809001343994</v>
      </c>
      <c r="NA61" s="3">
        <f ca="1">IFERROR(__xludf.DUMMYFUNCTION("""COMPUTED_VALUE"""),-0.917824265886652)</f>
        <v>-0.917824265886652</v>
      </c>
      <c r="NB61" s="3">
        <f ca="1">IFERROR(__xludf.DUMMYFUNCTION("""COMPUTED_VALUE"""),-0.925963135186192)</f>
        <v>-0.925963135186192</v>
      </c>
      <c r="NC61" s="3">
        <f ca="1">IFERROR(__xludf.DUMMYFUNCTION("""COMPUTED_VALUE"""),-0.916398972698656)</f>
        <v>-0.916398972698656</v>
      </c>
      <c r="ND61" s="3">
        <f ca="1">IFERROR(__xludf.DUMMYFUNCTION("""COMPUTED_VALUE"""),-0.939692986921247)</f>
        <v>-0.93969298692124703</v>
      </c>
      <c r="NE61" s="3">
        <f ca="1">IFERROR(__xludf.DUMMYFUNCTION("""COMPUTED_VALUE"""),-0.931257498155082)</f>
        <v>-0.93125749815508196</v>
      </c>
      <c r="NF61" s="3">
        <f ca="1">IFERROR(__xludf.DUMMYFUNCTION("""COMPUTED_VALUE"""),-0.934528934813664)</f>
        <v>-0.93452893481366395</v>
      </c>
      <c r="NG61" s="3">
        <f ca="1">IFERROR(__xludf.DUMMYFUNCTION("""COMPUTED_VALUE"""),-0.920621312112796)</f>
        <v>-0.92062131211279596</v>
      </c>
      <c r="NH61" s="3">
        <f ca="1">IFERROR(__xludf.DUMMYFUNCTION("""COMPUTED_VALUE"""),-0.915019302285356)</f>
        <v>-0.915019302285356</v>
      </c>
      <c r="NI61" s="3">
        <f ca="1">IFERROR(__xludf.DUMMYFUNCTION("""COMPUTED_VALUE"""),-0.92502772065857)</f>
        <v>-0.92502772065856997</v>
      </c>
      <c r="NJ61" s="3">
        <f ca="1">IFERROR(__xludf.DUMMYFUNCTION("""COMPUTED_VALUE"""),-0.923351647472783)</f>
        <v>-0.92335164747278298</v>
      </c>
      <c r="NK61" s="3">
        <f ca="1">IFERROR(__xludf.DUMMYFUNCTION("""COMPUTED_VALUE"""),-0.946939650179497)</f>
        <v>-0.94693965017949699</v>
      </c>
      <c r="NL61" s="3">
        <f ca="1">IFERROR(__xludf.DUMMYFUNCTION("""COMPUTED_VALUE"""),-0.926317319194928)</f>
        <v>-0.92631731919492799</v>
      </c>
      <c r="NM61" s="3">
        <f ca="1">IFERROR(__xludf.DUMMYFUNCTION("""COMPUTED_VALUE"""),-0.898082886240505)</f>
        <v>-0.89808288624050503</v>
      </c>
      <c r="NN61" s="3">
        <f ca="1">IFERROR(__xludf.DUMMYFUNCTION("""COMPUTED_VALUE"""),-0.903380438952142)</f>
        <v>-0.90338043895214204</v>
      </c>
      <c r="NO61" s="3">
        <f ca="1">IFERROR(__xludf.DUMMYFUNCTION("""COMPUTED_VALUE"""),-0.899219498425704)</f>
        <v>-0.89921949842570403</v>
      </c>
      <c r="NP61" s="3">
        <f ca="1">IFERROR(__xludf.DUMMYFUNCTION("""COMPUTED_VALUE"""),-0.89652114926607)</f>
        <v>-0.89652114926606996</v>
      </c>
      <c r="NQ61" s="3">
        <f ca="1">IFERROR(__xludf.DUMMYFUNCTION("""COMPUTED_VALUE"""),-0.879279550491971)</f>
        <v>-0.87927955049197104</v>
      </c>
      <c r="NR61" s="3">
        <f ca="1">IFERROR(__xludf.DUMMYFUNCTION("""COMPUTED_VALUE"""),-0.889033347347489)</f>
        <v>-0.88903334734748896</v>
      </c>
      <c r="NS61" s="3">
        <f ca="1">IFERROR(__xludf.DUMMYFUNCTION("""COMPUTED_VALUE"""),-0.9211010817221)</f>
        <v>-0.92110108172210003</v>
      </c>
      <c r="NT61" s="3">
        <f ca="1">IFERROR(__xludf.DUMMYFUNCTION("""COMPUTED_VALUE"""),-0.886858817997193)</f>
        <v>-0.88685881799719302</v>
      </c>
      <c r="NU61" s="3">
        <f ca="1">IFERROR(__xludf.DUMMYFUNCTION("""COMPUTED_VALUE"""),-0.895718766395761)</f>
        <v>-0.89571876639576098</v>
      </c>
      <c r="NV61" s="3">
        <f ca="1">IFERROR(__xludf.DUMMYFUNCTION("""COMPUTED_VALUE"""),-0.876208480166847)</f>
        <v>-0.87620848016684705</v>
      </c>
      <c r="NW61" s="3">
        <f ca="1">IFERROR(__xludf.DUMMYFUNCTION("""COMPUTED_VALUE"""),-0.857715640917428)</f>
        <v>-0.85771564091742802</v>
      </c>
      <c r="NX61" s="3">
        <f ca="1">IFERROR(__xludf.DUMMYFUNCTION("""COMPUTED_VALUE"""),-0.770409021352885)</f>
        <v>-0.77040902135288503</v>
      </c>
      <c r="NY61" s="3">
        <f ca="1">IFERROR(__xludf.DUMMYFUNCTION("""COMPUTED_VALUE"""),-0.81038933040805)</f>
        <v>-0.81038933040804995</v>
      </c>
      <c r="NZ61" s="3">
        <f ca="1">IFERROR(__xludf.DUMMYFUNCTION("""COMPUTED_VALUE"""),-0.838496565186003)</f>
        <v>-0.83849656518600302</v>
      </c>
      <c r="OA61" s="3">
        <f ca="1">IFERROR(__xludf.DUMMYFUNCTION("""COMPUTED_VALUE"""),-0.7427116581542)</f>
        <v>-0.74271165815420004</v>
      </c>
      <c r="OB61" s="3">
        <f ca="1">IFERROR(__xludf.DUMMYFUNCTION("""COMPUTED_VALUE"""),-0.778876777010968)</f>
        <v>-0.77887677701096802</v>
      </c>
      <c r="OC61" s="3">
        <f ca="1">IFERROR(__xludf.DUMMYFUNCTION("""COMPUTED_VALUE"""),-0.754301489867763)</f>
        <v>-0.75430148986776302</v>
      </c>
      <c r="OD61" s="3">
        <f ca="1">IFERROR(__xludf.DUMMYFUNCTION("""COMPUTED_VALUE"""),-0.666921183248246)</f>
        <v>-0.66692118324824601</v>
      </c>
      <c r="OE61" s="3">
        <f ca="1">IFERROR(__xludf.DUMMYFUNCTION("""COMPUTED_VALUE"""),-0.516526802105061)</f>
        <v>-0.51652680210506097</v>
      </c>
      <c r="OF61" s="3">
        <f ca="1">IFERROR(__xludf.DUMMYFUNCTION("""COMPUTED_VALUE"""),-0.49409803651527)</f>
        <v>-0.49409803651527001</v>
      </c>
      <c r="OG61" s="3">
        <f ca="1">IFERROR(__xludf.DUMMYFUNCTION("""COMPUTED_VALUE"""),-0.41137651249663)</f>
        <v>-0.41137651249662999</v>
      </c>
      <c r="OH61" s="3">
        <f ca="1">IFERROR(__xludf.DUMMYFUNCTION("""COMPUTED_VALUE"""),-0.298132727083528)</f>
        <v>-0.298132727083528</v>
      </c>
      <c r="OI61" s="3">
        <f ca="1">IFERROR(__xludf.DUMMYFUNCTION("""COMPUTED_VALUE"""),-0.196036598367139)</f>
        <v>-0.19603659836713899</v>
      </c>
      <c r="OJ61" s="3">
        <f ca="1">IFERROR(__xludf.DUMMYFUNCTION("""COMPUTED_VALUE"""),-0.0772921259023693)</f>
        <v>-7.7292125902369294E-2</v>
      </c>
      <c r="OK61" s="3">
        <f ca="1">IFERROR(__xludf.DUMMYFUNCTION("""COMPUTED_VALUE"""),-0.127590654363751)</f>
        <v>-0.127590654363751</v>
      </c>
      <c r="OL61" s="3">
        <f ca="1">IFERROR(__xludf.DUMMYFUNCTION("""COMPUTED_VALUE"""),-0.0526795437234696)</f>
        <v>-5.2679543723469599E-2</v>
      </c>
      <c r="OM61" s="3">
        <f ca="1">IFERROR(__xludf.DUMMYFUNCTION("""COMPUTED_VALUE"""),-0.265814572722453)</f>
        <v>-0.26581457272245301</v>
      </c>
      <c r="ON61" s="3">
        <f ca="1">IFERROR(__xludf.DUMMYFUNCTION("""COMPUTED_VALUE"""),-0.22955955892123)</f>
        <v>-0.22955955892123001</v>
      </c>
      <c r="OO61" s="3">
        <f ca="1">IFERROR(__xludf.DUMMYFUNCTION("""COMPUTED_VALUE"""),-0.00151338501444331)</f>
        <v>-1.51338501444331E-3</v>
      </c>
      <c r="OP61" s="3">
        <f ca="1">IFERROR(__xludf.DUMMYFUNCTION("""COMPUTED_VALUE"""),0.00380300456290316)</f>
        <v>3.8030045629031599E-3</v>
      </c>
      <c r="OQ61" s="3">
        <f ca="1">IFERROR(__xludf.DUMMYFUNCTION("""COMPUTED_VALUE"""),0.147088568816717)</f>
        <v>0.147088568816717</v>
      </c>
      <c r="OR61" s="3">
        <f ca="1">IFERROR(__xludf.DUMMYFUNCTION("""COMPUTED_VALUE"""),0.194191140294751)</f>
        <v>0.19419114029475101</v>
      </c>
      <c r="OS61" s="3">
        <f ca="1">IFERROR(__xludf.DUMMYFUNCTION("""COMPUTED_VALUE"""),0.108559822053591)</f>
        <v>0.10855982205359101</v>
      </c>
      <c r="OT61" s="3">
        <f ca="1">IFERROR(__xludf.DUMMYFUNCTION("""COMPUTED_VALUE"""),-0.171909480921051)</f>
        <v>-0.17190948092105099</v>
      </c>
      <c r="OU61" s="3">
        <f ca="1">IFERROR(__xludf.DUMMYFUNCTION("""COMPUTED_VALUE"""),-0.0902755369297884)</f>
        <v>-9.0275536929788402E-2</v>
      </c>
      <c r="OV61" s="3">
        <f ca="1">IFERROR(__xludf.DUMMYFUNCTION("""COMPUTED_VALUE"""),-0.00743165814019974)</f>
        <v>-7.4316581401997397E-3</v>
      </c>
      <c r="OW61" s="3">
        <f ca="1">IFERROR(__xludf.DUMMYFUNCTION("""COMPUTED_VALUE"""),0.19270417028926)</f>
        <v>0.19270417028926001</v>
      </c>
      <c r="OX61" s="3">
        <f ca="1">IFERROR(__xludf.DUMMYFUNCTION("""COMPUTED_VALUE"""),0.143928862395456)</f>
        <v>0.14392886239545599</v>
      </c>
      <c r="OY61" s="3">
        <f ca="1">IFERROR(__xludf.DUMMYFUNCTION("""COMPUTED_VALUE"""),0.188369275358431)</f>
        <v>0.18836927535843101</v>
      </c>
      <c r="OZ61" s="3">
        <f ca="1">IFERROR(__xludf.DUMMYFUNCTION("""COMPUTED_VALUE"""),0.0733460754674357)</f>
        <v>7.3346075467435698E-2</v>
      </c>
      <c r="PA61" s="3">
        <f ca="1">IFERROR(__xludf.DUMMYFUNCTION("""COMPUTED_VALUE"""),-0.18869341809584)</f>
        <v>-0.18869341809584</v>
      </c>
      <c r="PB61" s="3">
        <f ca="1">IFERROR(__xludf.DUMMYFUNCTION("""COMPUTED_VALUE"""),-0.152651594979644)</f>
        <v>-0.15265159497964401</v>
      </c>
      <c r="PC61" s="3">
        <f ca="1">IFERROR(__xludf.DUMMYFUNCTION("""COMPUTED_VALUE"""),-0.0129253657106759)</f>
        <v>-1.2925365710675899E-2</v>
      </c>
      <c r="PD61" s="3">
        <f ca="1">IFERROR(__xludf.DUMMYFUNCTION("""COMPUTED_VALUE"""),0.0286287618090932)</f>
        <v>2.8628761809093201E-2</v>
      </c>
      <c r="PE61" s="3">
        <f ca="1">IFERROR(__xludf.DUMMYFUNCTION("""COMPUTED_VALUE"""),0.0663761809813134)</f>
        <v>6.6376180981313398E-2</v>
      </c>
      <c r="PF61" s="3">
        <f ca="1">IFERROR(__xludf.DUMMYFUNCTION("""COMPUTED_VALUE"""),0.0975346944725921)</f>
        <v>9.7534694472592096E-2</v>
      </c>
      <c r="PG61" s="3">
        <f ca="1">IFERROR(__xludf.DUMMYFUNCTION("""COMPUTED_VALUE"""),-0.193529758603988)</f>
        <v>-0.19352975860398799</v>
      </c>
      <c r="PH61" s="3">
        <f ca="1">IFERROR(__xludf.DUMMYFUNCTION("""COMPUTED_VALUE"""),-0.105876666923348)</f>
        <v>-0.105876666923348</v>
      </c>
      <c r="PI61" s="3">
        <f ca="1">IFERROR(__xludf.DUMMYFUNCTION("""COMPUTED_VALUE"""),-0.11155868512293)</f>
        <v>-0.11155868512293</v>
      </c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</row>
    <row r="62" spans="1:477" ht="13">
      <c r="A62" s="1" t="str">
        <f ca="1">IFERROR(__xludf.DUMMYFUNCTION("""COMPUTED_VALUE"""),"exo - Trains")</f>
        <v>exo - Trains</v>
      </c>
      <c r="B62" s="1" t="str">
        <f ca="1">IFERROR(__xludf.DUMMYFUNCTION("""COMPUTED_VALUE"""),"Montréal")</f>
        <v>Montréal</v>
      </c>
      <c r="C62" s="1" t="str">
        <f ca="1">IFERROR(__xludf.DUMMYFUNCTION("""COMPUTED_VALUE"""),"Canada")</f>
        <v>Canada</v>
      </c>
      <c r="D62" s="1" t="str">
        <f ca="1">IFERROR(__xludf.DUMMYFUNCTION("""COMPUTED_VALUE"""),"Quebec")</f>
        <v>Quebec</v>
      </c>
      <c r="E62" s="3">
        <f ca="1">IFERROR(__xludf.DUMMYFUNCTION("""COMPUTED_VALUE"""),-0.329735626988948)</f>
        <v>-0.32973562698894798</v>
      </c>
      <c r="F62" s="3">
        <f ca="1">IFERROR(__xludf.DUMMYFUNCTION("""COMPUTED_VALUE"""),-0.442084740655114)</f>
        <v>-0.44208474065511399</v>
      </c>
      <c r="G62" s="3">
        <f ca="1">IFERROR(__xludf.DUMMYFUNCTION("""COMPUTED_VALUE"""),-0.557292513657905)</f>
        <v>-0.557292513657905</v>
      </c>
      <c r="H62" s="3">
        <f ca="1">IFERROR(__xludf.DUMMYFUNCTION("""COMPUTED_VALUE"""),-0.534106305308636)</f>
        <v>-0.53410630530863601</v>
      </c>
      <c r="I62" s="3">
        <f ca="1">IFERROR(__xludf.DUMMYFUNCTION("""COMPUTED_VALUE"""),-0.520429805043465)</f>
        <v>-0.52042980504346503</v>
      </c>
      <c r="J62" s="3">
        <f ca="1">IFERROR(__xludf.DUMMYFUNCTION("""COMPUTED_VALUE"""),-0.476525951881282)</f>
        <v>-0.47652595188128199</v>
      </c>
      <c r="K62" s="3">
        <f ca="1">IFERROR(__xludf.DUMMYFUNCTION("""COMPUTED_VALUE"""),-0.504525143044426)</f>
        <v>-0.50452514304442597</v>
      </c>
      <c r="L62" s="3">
        <f ca="1">IFERROR(__xludf.DUMMYFUNCTION("""COMPUTED_VALUE"""),-0.648752010070793)</f>
        <v>-0.64875201007079297</v>
      </c>
      <c r="M62" s="3">
        <f ca="1">IFERROR(__xludf.DUMMYFUNCTION("""COMPUTED_VALUE"""),-0.713446093933401)</f>
        <v>-0.71344609393340097</v>
      </c>
      <c r="N62" s="3">
        <f ca="1">IFERROR(__xludf.DUMMYFUNCTION("""COMPUTED_VALUE"""),-0.551108032342799)</f>
        <v>-0.55110803234279904</v>
      </c>
      <c r="O62" s="3">
        <f ca="1">IFERROR(__xludf.DUMMYFUNCTION("""COMPUTED_VALUE"""),-0.561508908069413)</f>
        <v>-0.561508908069413</v>
      </c>
      <c r="P62" s="3">
        <f ca="1">IFERROR(__xludf.DUMMYFUNCTION("""COMPUTED_VALUE"""),-0.556530996178569)</f>
        <v>-0.55653099617856905</v>
      </c>
      <c r="Q62" s="3">
        <f ca="1">IFERROR(__xludf.DUMMYFUNCTION("""COMPUTED_VALUE"""),-0.53141369785402)</f>
        <v>-0.53141369785402004</v>
      </c>
      <c r="R62" s="3">
        <f ca="1">IFERROR(__xludf.DUMMYFUNCTION("""COMPUTED_VALUE"""),-0.531889674462358)</f>
        <v>-0.53188967446235802</v>
      </c>
      <c r="S62" s="3">
        <f ca="1">IFERROR(__xludf.DUMMYFUNCTION("""COMPUTED_VALUE"""),-0.610613759548366)</f>
        <v>-0.61061375954836605</v>
      </c>
      <c r="T62" s="3">
        <f ca="1">IFERROR(__xludf.DUMMYFUNCTION("""COMPUTED_VALUE"""),-0.729922896161136)</f>
        <v>-0.72992289616113604</v>
      </c>
      <c r="U62" s="3">
        <f ca="1">IFERROR(__xludf.DUMMYFUNCTION("""COMPUTED_VALUE"""),-0.691355065561332)</f>
        <v>-0.69135506556133197</v>
      </c>
      <c r="V62" s="3">
        <f ca="1">IFERROR(__xludf.DUMMYFUNCTION("""COMPUTED_VALUE"""),-0.712555359002055)</f>
        <v>-0.71255535900205502</v>
      </c>
      <c r="W62" s="3">
        <f ca="1">IFERROR(__xludf.DUMMYFUNCTION("""COMPUTED_VALUE"""),-0.691538636174693)</f>
        <v>-0.69153863617469302</v>
      </c>
      <c r="X62" s="3">
        <f ca="1">IFERROR(__xludf.DUMMYFUNCTION("""COMPUTED_VALUE"""),-0.694696607563761)</f>
        <v>-0.69469660756376095</v>
      </c>
      <c r="Y62" s="3">
        <f ca="1">IFERROR(__xludf.DUMMYFUNCTION("""COMPUTED_VALUE"""),-0.592879758935962)</f>
        <v>-0.59287975893596201</v>
      </c>
      <c r="Z62" s="3">
        <f ca="1">IFERROR(__xludf.DUMMYFUNCTION("""COMPUTED_VALUE"""),-0.649582496314864)</f>
        <v>-0.64958249631486398</v>
      </c>
      <c r="AA62" s="3">
        <f ca="1">IFERROR(__xludf.DUMMYFUNCTION("""COMPUTED_VALUE"""),-0.731795021079928)</f>
        <v>-0.731795021079928</v>
      </c>
      <c r="AB62" s="3">
        <f ca="1">IFERROR(__xludf.DUMMYFUNCTION("""COMPUTED_VALUE"""),-0.749785482262388)</f>
        <v>-0.74978548226238795</v>
      </c>
      <c r="AC62" s="3">
        <f ca="1">IFERROR(__xludf.DUMMYFUNCTION("""COMPUTED_VALUE"""),-0.7445936588677)</f>
        <v>-0.74459365886770001</v>
      </c>
      <c r="AD62" s="3">
        <f ca="1">IFERROR(__xludf.DUMMYFUNCTION("""COMPUTED_VALUE"""),-0.760350389103847)</f>
        <v>-0.760350389103847</v>
      </c>
      <c r="AE62" s="3">
        <f ca="1">IFERROR(__xludf.DUMMYFUNCTION("""COMPUTED_VALUE"""),-0.752855889561007)</f>
        <v>-0.75285588956100702</v>
      </c>
      <c r="AF62" s="3">
        <f ca="1">IFERROR(__xludf.DUMMYFUNCTION("""COMPUTED_VALUE"""),-0.677570107318848)</f>
        <v>-0.67757010731884804</v>
      </c>
      <c r="AG62" s="3">
        <f ca="1">IFERROR(__xludf.DUMMYFUNCTION("""COMPUTED_VALUE"""),-0.699000230297017)</f>
        <v>-0.69900023029701697</v>
      </c>
      <c r="AH62" s="3">
        <f ca="1">IFERROR(__xludf.DUMMYFUNCTION("""COMPUTED_VALUE"""),-0.74710340630934)</f>
        <v>-0.74710340630934002</v>
      </c>
      <c r="AI62" s="3">
        <f ca="1">IFERROR(__xludf.DUMMYFUNCTION("""COMPUTED_VALUE"""),-0.751707469158085)</f>
        <v>-0.75170746915808495</v>
      </c>
      <c r="AJ62" s="3">
        <f ca="1">IFERROR(__xludf.DUMMYFUNCTION("""COMPUTED_VALUE"""),-0.75226271940283)</f>
        <v>-0.75226271940282996</v>
      </c>
      <c r="AK62" s="3">
        <f ca="1">IFERROR(__xludf.DUMMYFUNCTION("""COMPUTED_VALUE"""),-0.766686186058181)</f>
        <v>-0.76668618605818095</v>
      </c>
      <c r="AL62" s="3">
        <f ca="1">IFERROR(__xludf.DUMMYFUNCTION("""COMPUTED_VALUE"""),-0.751339098952697)</f>
        <v>-0.75133909895269702</v>
      </c>
      <c r="AM62" s="3">
        <f ca="1">IFERROR(__xludf.DUMMYFUNCTION("""COMPUTED_VALUE"""),-0.681424029538862)</f>
        <v>-0.68142402953886205</v>
      </c>
      <c r="AN62" s="3">
        <f ca="1">IFERROR(__xludf.DUMMYFUNCTION("""COMPUTED_VALUE"""),-0.698453148228164)</f>
        <v>-0.69845314822816396</v>
      </c>
      <c r="AO62" s="3">
        <f ca="1">IFERROR(__xludf.DUMMYFUNCTION("""COMPUTED_VALUE"""),-0.762559201729605)</f>
        <v>-0.76255920172960501</v>
      </c>
      <c r="AP62" s="3">
        <f ca="1">IFERROR(__xludf.DUMMYFUNCTION("""COMPUTED_VALUE"""),-0.759008733490066)</f>
        <v>-0.75900873349006603</v>
      </c>
      <c r="AQ62" s="3">
        <f ca="1">IFERROR(__xludf.DUMMYFUNCTION("""COMPUTED_VALUE"""),-0.750438168656904)</f>
        <v>-0.75043816865690405</v>
      </c>
      <c r="AR62" s="3">
        <f ca="1">IFERROR(__xludf.DUMMYFUNCTION("""COMPUTED_VALUE"""),-0.766327726296244)</f>
        <v>-0.76632772629624402</v>
      </c>
      <c r="AS62" s="3">
        <f ca="1">IFERROR(__xludf.DUMMYFUNCTION("""COMPUTED_VALUE"""),-0.726745033937612)</f>
        <v>-0.72674503393761203</v>
      </c>
      <c r="AT62" s="3">
        <f ca="1">IFERROR(__xludf.DUMMYFUNCTION("""COMPUTED_VALUE"""),-0.635713560063458)</f>
        <v>-0.63571356006345803</v>
      </c>
      <c r="AU62" s="3">
        <f ca="1">IFERROR(__xludf.DUMMYFUNCTION("""COMPUTED_VALUE"""),-0.692427005661225)</f>
        <v>-0.69242700566122495</v>
      </c>
      <c r="AV62" s="3">
        <f ca="1">IFERROR(__xludf.DUMMYFUNCTION("""COMPUTED_VALUE"""),-0.745203024937293)</f>
        <v>-0.74520302493729296</v>
      </c>
      <c r="AW62" s="3">
        <f ca="1">IFERROR(__xludf.DUMMYFUNCTION("""COMPUTED_VALUE"""),-0.777918468526499)</f>
        <v>-0.77791846852649904</v>
      </c>
      <c r="AX62" s="3">
        <f ca="1">IFERROR(__xludf.DUMMYFUNCTION("""COMPUTED_VALUE"""),-0.769965156114861)</f>
        <v>-0.76996515611486105</v>
      </c>
      <c r="AY62" s="3">
        <f ca="1">IFERROR(__xludf.DUMMYFUNCTION("""COMPUTED_VALUE"""),-0.772429535401106)</f>
        <v>-0.77242953540110604</v>
      </c>
      <c r="AZ62" s="3">
        <f ca="1">IFERROR(__xludf.DUMMYFUNCTION("""COMPUTED_VALUE"""),-0.750061391581124)</f>
        <v>-0.75006139158112395</v>
      </c>
      <c r="BA62" s="3">
        <f ca="1">IFERROR(__xludf.DUMMYFUNCTION("""COMPUTED_VALUE"""),-0.693917273716246)</f>
        <v>-0.69391727371624601</v>
      </c>
      <c r="BB62" s="3">
        <f ca="1">IFERROR(__xludf.DUMMYFUNCTION("""COMPUTED_VALUE"""),-0.700307390536271)</f>
        <v>-0.700307390536271</v>
      </c>
      <c r="BC62" s="3">
        <f ca="1">IFERROR(__xludf.DUMMYFUNCTION("""COMPUTED_VALUE"""),-0.779928041015346)</f>
        <v>-0.77992804101534596</v>
      </c>
      <c r="BD62" s="3">
        <f ca="1">IFERROR(__xludf.DUMMYFUNCTION("""COMPUTED_VALUE"""),-0.797712391273713)</f>
        <v>-0.79771239127371296</v>
      </c>
      <c r="BE62" s="3">
        <f ca="1">IFERROR(__xludf.DUMMYFUNCTION("""COMPUTED_VALUE"""),-0.757193442551711)</f>
        <v>-0.75719344255171095</v>
      </c>
      <c r="BF62" s="3">
        <f ca="1">IFERROR(__xludf.DUMMYFUNCTION("""COMPUTED_VALUE"""),-0.796252932216)</f>
        <v>-0.79625293221600002</v>
      </c>
      <c r="BG62" s="3">
        <f ca="1">IFERROR(__xludf.DUMMYFUNCTION("""COMPUTED_VALUE"""),-0.762695116529312)</f>
        <v>-0.76269511652931199</v>
      </c>
      <c r="BH62" s="3">
        <f ca="1">IFERROR(__xludf.DUMMYFUNCTION("""COMPUTED_VALUE"""),-0.686911317241321)</f>
        <v>-0.68691131724132104</v>
      </c>
      <c r="BI62" s="3">
        <f ca="1">IFERROR(__xludf.DUMMYFUNCTION("""COMPUTED_VALUE"""),-0.709708185927612)</f>
        <v>-0.70970818592761198</v>
      </c>
      <c r="BJ62" s="3">
        <f ca="1">IFERROR(__xludf.DUMMYFUNCTION("""COMPUTED_VALUE"""),-0.785079920992827)</f>
        <v>-0.78507992099282697</v>
      </c>
      <c r="BK62" s="3">
        <f ca="1">IFERROR(__xludf.DUMMYFUNCTION("""COMPUTED_VALUE"""),-0.798187991449527)</f>
        <v>-0.79818799144952701</v>
      </c>
      <c r="BL62" s="3">
        <f ca="1">IFERROR(__xludf.DUMMYFUNCTION("""COMPUTED_VALUE"""),-0.798201998715868)</f>
        <v>-0.79820199871586806</v>
      </c>
      <c r="BM62" s="3">
        <f ca="1">IFERROR(__xludf.DUMMYFUNCTION("""COMPUTED_VALUE"""),-0.798747502472314)</f>
        <v>-0.79874750247231396</v>
      </c>
      <c r="BN62" s="3">
        <f ca="1">IFERROR(__xludf.DUMMYFUNCTION("""COMPUTED_VALUE"""),-0.799955654078047)</f>
        <v>-0.79995565407804703</v>
      </c>
      <c r="BO62" s="3">
        <f ca="1">IFERROR(__xludf.DUMMYFUNCTION("""COMPUTED_VALUE"""),-0.744484622496811)</f>
        <v>-0.74448462249681102</v>
      </c>
      <c r="BP62" s="3">
        <f ca="1">IFERROR(__xludf.DUMMYFUNCTION("""COMPUTED_VALUE"""),-0.77791170242503)</f>
        <v>-0.77791170242503005</v>
      </c>
      <c r="BQ62" s="3">
        <f ca="1">IFERROR(__xludf.DUMMYFUNCTION("""COMPUTED_VALUE"""),-0.799806175246172)</f>
        <v>-0.79980617524617204</v>
      </c>
      <c r="BR62" s="3">
        <f ca="1">IFERROR(__xludf.DUMMYFUNCTION("""COMPUTED_VALUE"""),-0.807709986272474)</f>
        <v>-0.80770998627247403</v>
      </c>
      <c r="BS62" s="3">
        <f ca="1">IFERROR(__xludf.DUMMYFUNCTION("""COMPUTED_VALUE"""),-0.803468625327037)</f>
        <v>-0.803468625327037</v>
      </c>
      <c r="BT62" s="3">
        <f ca="1">IFERROR(__xludf.DUMMYFUNCTION("""COMPUTED_VALUE"""),-0.819107658511774)</f>
        <v>-0.81910765851177403</v>
      </c>
      <c r="BU62" s="3">
        <f ca="1">IFERROR(__xludf.DUMMYFUNCTION("""COMPUTED_VALUE"""),-0.822221720673533)</f>
        <v>-0.82222172067353305</v>
      </c>
      <c r="BV62" s="3">
        <f ca="1">IFERROR(__xludf.DUMMYFUNCTION("""COMPUTED_VALUE"""),-0.750311583579441)</f>
        <v>-0.75031158357944105</v>
      </c>
      <c r="BW62" s="3">
        <f ca="1">IFERROR(__xludf.DUMMYFUNCTION("""COMPUTED_VALUE"""),-0.803198346335871)</f>
        <v>-0.80319834633587095</v>
      </c>
      <c r="BX62" s="3">
        <f ca="1">IFERROR(__xludf.DUMMYFUNCTION("""COMPUTED_VALUE"""),-0.834174725967651)</f>
        <v>-0.83417472596765097</v>
      </c>
      <c r="BY62" s="3">
        <f ca="1">IFERROR(__xludf.DUMMYFUNCTION("""COMPUTED_VALUE"""),-0.833767889414026)</f>
        <v>-0.83376788941402602</v>
      </c>
      <c r="BZ62" s="3">
        <f ca="1">IFERROR(__xludf.DUMMYFUNCTION("""COMPUTED_VALUE"""),-0.829687923866146)</f>
        <v>-0.82968792386614598</v>
      </c>
      <c r="CA62" s="3">
        <f ca="1">IFERROR(__xludf.DUMMYFUNCTION("""COMPUTED_VALUE"""),-0.83449185633446)</f>
        <v>-0.83449185633445999</v>
      </c>
      <c r="CB62" s="3">
        <f ca="1">IFERROR(__xludf.DUMMYFUNCTION("""COMPUTED_VALUE"""),-0.814017758387198)</f>
        <v>-0.81401775838719803</v>
      </c>
      <c r="CC62" s="3">
        <f ca="1">IFERROR(__xludf.DUMMYFUNCTION("""COMPUTED_VALUE"""),-0.762825711811265)</f>
        <v>-0.76282571181126502</v>
      </c>
      <c r="CD62" s="3">
        <f ca="1">IFERROR(__xludf.DUMMYFUNCTION("""COMPUTED_VALUE"""),-0.790261030590093)</f>
        <v>-0.79026103059009301</v>
      </c>
      <c r="CE62" s="3">
        <f ca="1">IFERROR(__xludf.DUMMYFUNCTION("""COMPUTED_VALUE"""),-0.827412280210266)</f>
        <v>-0.82741228021026603</v>
      </c>
      <c r="CF62" s="3">
        <f ca="1">IFERROR(__xludf.DUMMYFUNCTION("""COMPUTED_VALUE"""),-0.811836737598441)</f>
        <v>-0.81183673759844099</v>
      </c>
      <c r="CG62" s="3">
        <f ca="1">IFERROR(__xludf.DUMMYFUNCTION("""COMPUTED_VALUE"""),-0.824219060889599)</f>
        <v>-0.82421906088959895</v>
      </c>
      <c r="CH62" s="3">
        <f ca="1">IFERROR(__xludf.DUMMYFUNCTION("""COMPUTED_VALUE"""),-0.824227778548607)</f>
        <v>-0.82422777854860696</v>
      </c>
      <c r="CI62" s="3">
        <f ca="1">IFERROR(__xludf.DUMMYFUNCTION("""COMPUTED_VALUE"""),-0.806471610818068)</f>
        <v>-0.80647161081806795</v>
      </c>
      <c r="CJ62" s="3">
        <f ca="1">IFERROR(__xludf.DUMMYFUNCTION("""COMPUTED_VALUE"""),-0.733384084577702)</f>
        <v>-0.73338408457770199</v>
      </c>
      <c r="CK62" s="3">
        <f ca="1">IFERROR(__xludf.DUMMYFUNCTION("""COMPUTED_VALUE"""),-0.783307154418054)</f>
        <v>-0.78330715441805399</v>
      </c>
      <c r="CL62" s="3">
        <f ca="1">IFERROR(__xludf.DUMMYFUNCTION("""COMPUTED_VALUE"""),-0.840478225936917)</f>
        <v>-0.84047822593691701</v>
      </c>
      <c r="CM62" s="3">
        <f ca="1">IFERROR(__xludf.DUMMYFUNCTION("""COMPUTED_VALUE"""),-0.845407739553418)</f>
        <v>-0.84540773955341797</v>
      </c>
      <c r="CN62" s="3">
        <f ca="1">IFERROR(__xludf.DUMMYFUNCTION("""COMPUTED_VALUE"""),-0.846584859426283)</f>
        <v>-0.84658485942628303</v>
      </c>
      <c r="CO62" s="3">
        <f ca="1">IFERROR(__xludf.DUMMYFUNCTION("""COMPUTED_VALUE"""),-0.841293419401799)</f>
        <v>-0.84129341940179903</v>
      </c>
      <c r="CP62" s="3">
        <f ca="1">IFERROR(__xludf.DUMMYFUNCTION("""COMPUTED_VALUE"""),-0.833091499461223)</f>
        <v>-0.83309149946122296</v>
      </c>
      <c r="CQ62" s="3">
        <f ca="1">IFERROR(__xludf.DUMMYFUNCTION("""COMPUTED_VALUE"""),-0.740311241230537)</f>
        <v>-0.74031124123053704</v>
      </c>
      <c r="CR62" s="3">
        <f ca="1">IFERROR(__xludf.DUMMYFUNCTION("""COMPUTED_VALUE"""),-0.759784082084131)</f>
        <v>-0.75978408208413095</v>
      </c>
      <c r="CS62" s="3">
        <f ca="1">IFERROR(__xludf.DUMMYFUNCTION("""COMPUTED_VALUE"""),-0.801091963737079)</f>
        <v>-0.80109196373707903</v>
      </c>
      <c r="CT62" s="3">
        <f ca="1">IFERROR(__xludf.DUMMYFUNCTION("""COMPUTED_VALUE"""),-0.795052493238659)</f>
        <v>-0.79505249323865901</v>
      </c>
      <c r="CU62" s="3">
        <f ca="1">IFERROR(__xludf.DUMMYFUNCTION("""COMPUTED_VALUE"""),-0.79123632077738)</f>
        <v>-0.79123632077738004</v>
      </c>
      <c r="CV62" s="3">
        <f ca="1">IFERROR(__xludf.DUMMYFUNCTION("""COMPUTED_VALUE"""),-0.789804066566193)</f>
        <v>-0.78980406656619295</v>
      </c>
      <c r="CW62" s="3">
        <f ca="1">IFERROR(__xludf.DUMMYFUNCTION("""COMPUTED_VALUE"""),-0.775210308994411)</f>
        <v>-0.77521030899441101</v>
      </c>
      <c r="CX62" s="3">
        <f ca="1">IFERROR(__xludf.DUMMYFUNCTION("""COMPUTED_VALUE"""),-0.716793650132625)</f>
        <v>-0.71679365013262497</v>
      </c>
      <c r="CY62" s="3">
        <f ca="1">IFERROR(__xludf.DUMMYFUNCTION("""COMPUTED_VALUE"""),-0.82065061106713)</f>
        <v>-0.82065061106713</v>
      </c>
      <c r="CZ62" s="3">
        <f ca="1">IFERROR(__xludf.DUMMYFUNCTION("""COMPUTED_VALUE"""),-0.869231525395831)</f>
        <v>-0.86923152539583104</v>
      </c>
      <c r="DA62" s="3">
        <f ca="1">IFERROR(__xludf.DUMMYFUNCTION("""COMPUTED_VALUE"""),-0.685530513969767)</f>
        <v>-0.68553051396976705</v>
      </c>
      <c r="DB62" s="3">
        <f ca="1">IFERROR(__xludf.DUMMYFUNCTION("""COMPUTED_VALUE"""),-0.657609324433465)</f>
        <v>-0.65760932443346498</v>
      </c>
      <c r="DC62" s="3">
        <f ca="1">IFERROR(__xludf.DUMMYFUNCTION("""COMPUTED_VALUE"""),-0.75690063816384)</f>
        <v>-0.75690063816384001</v>
      </c>
      <c r="DD62" s="3">
        <f ca="1">IFERROR(__xludf.DUMMYFUNCTION("""COMPUTED_VALUE"""),-0.77508467861533)</f>
        <v>-0.77508467861533004</v>
      </c>
      <c r="DE62" s="3">
        <f ca="1">IFERROR(__xludf.DUMMYFUNCTION("""COMPUTED_VALUE"""),-0.717306891855688)</f>
        <v>-0.71730689185568797</v>
      </c>
      <c r="DF62" s="3">
        <f ca="1">IFERROR(__xludf.DUMMYFUNCTION("""COMPUTED_VALUE"""),-0.840196103412443)</f>
        <v>-0.840196103412443</v>
      </c>
      <c r="DG62" s="3">
        <f ca="1">IFERROR(__xludf.DUMMYFUNCTION("""COMPUTED_VALUE"""),-0.884218009017653)</f>
        <v>-0.88421800901765302</v>
      </c>
      <c r="DH62" s="3">
        <f ca="1">IFERROR(__xludf.DUMMYFUNCTION("""COMPUTED_VALUE"""),-0.627217992879348)</f>
        <v>-0.62721799287934799</v>
      </c>
      <c r="DI62" s="3">
        <f ca="1">IFERROR(__xludf.DUMMYFUNCTION("""COMPUTED_VALUE"""),-0.529056931858424)</f>
        <v>-0.52905693185842395</v>
      </c>
      <c r="DJ62" s="3">
        <f ca="1">IFERROR(__xludf.DUMMYFUNCTION("""COMPUTED_VALUE"""),-0.666905933214026)</f>
        <v>-0.66690593321402603</v>
      </c>
      <c r="DK62" s="3">
        <f ca="1">IFERROR(__xludf.DUMMYFUNCTION("""COMPUTED_VALUE"""),-0.67273448485072)</f>
        <v>-0.67273448485071996</v>
      </c>
      <c r="DL62" s="3">
        <f ca="1">IFERROR(__xludf.DUMMYFUNCTION("""COMPUTED_VALUE"""),-0.621539262304552)</f>
        <v>-0.62153926230455203</v>
      </c>
      <c r="DM62" s="3">
        <f ca="1">IFERROR(__xludf.DUMMYFUNCTION("""COMPUTED_VALUE"""),-0.641714694528172)</f>
        <v>-0.64171469452817198</v>
      </c>
      <c r="DN62" s="3">
        <f ca="1">IFERROR(__xludf.DUMMYFUNCTION("""COMPUTED_VALUE"""),-0.710838441597362)</f>
        <v>-0.71083844159736198</v>
      </c>
      <c r="DO62" s="3">
        <f ca="1">IFERROR(__xludf.DUMMYFUNCTION("""COMPUTED_VALUE"""),-0.713115469449063)</f>
        <v>-0.71311546944906301</v>
      </c>
      <c r="DP62" s="3">
        <f ca="1">IFERROR(__xludf.DUMMYFUNCTION("""COMPUTED_VALUE"""),-0.666262408589303)</f>
        <v>-0.66626240858930297</v>
      </c>
      <c r="DQ62" s="3">
        <f ca="1">IFERROR(__xludf.DUMMYFUNCTION("""COMPUTED_VALUE"""),-0.689829107159373)</f>
        <v>-0.68982910715937296</v>
      </c>
      <c r="DR62" s="3">
        <f ca="1">IFERROR(__xludf.DUMMYFUNCTION("""COMPUTED_VALUE"""),-0.694893350545875)</f>
        <v>-0.69489335054587498</v>
      </c>
      <c r="DS62" s="3">
        <f ca="1">IFERROR(__xludf.DUMMYFUNCTION("""COMPUTED_VALUE"""),-0.653734385508664)</f>
        <v>-0.65373438550866403</v>
      </c>
      <c r="DT62" s="3">
        <f ca="1">IFERROR(__xludf.DUMMYFUNCTION("""COMPUTED_VALUE"""),-0.673131065437989)</f>
        <v>-0.67313106543798895</v>
      </c>
      <c r="DU62" s="3">
        <f ca="1">IFERROR(__xludf.DUMMYFUNCTION("""COMPUTED_VALUE"""),-0.726350623947798)</f>
        <v>-0.72635062394779804</v>
      </c>
      <c r="DV62" s="3">
        <f ca="1">IFERROR(__xludf.DUMMYFUNCTION("""COMPUTED_VALUE"""),-0.736619466192737)</f>
        <v>-0.73661946619273699</v>
      </c>
      <c r="DW62" s="3">
        <f ca="1">IFERROR(__xludf.DUMMYFUNCTION("""COMPUTED_VALUE"""),-0.741298117032183)</f>
        <v>-0.74129811703218296</v>
      </c>
      <c r="DX62" s="3">
        <f ca="1">IFERROR(__xludf.DUMMYFUNCTION("""COMPUTED_VALUE"""),-0.750024371600979)</f>
        <v>-0.75002437160097901</v>
      </c>
      <c r="DY62" s="3">
        <f ca="1">IFERROR(__xludf.DUMMYFUNCTION("""COMPUTED_VALUE"""),-0.744600043918979)</f>
        <v>-0.74460004391897905</v>
      </c>
      <c r="DZ62" s="3">
        <f ca="1">IFERROR(__xludf.DUMMYFUNCTION("""COMPUTED_VALUE"""),-0.656162158234789)</f>
        <v>-0.65616215823478896</v>
      </c>
      <c r="EA62" s="3">
        <f ca="1">IFERROR(__xludf.DUMMYFUNCTION("""COMPUTED_VALUE"""),-0.677388178586862)</f>
        <v>-0.67738817858686196</v>
      </c>
      <c r="EB62" s="3">
        <f ca="1">IFERROR(__xludf.DUMMYFUNCTION("""COMPUTED_VALUE"""),-0.735456605986168)</f>
        <v>-0.73545660598616802</v>
      </c>
      <c r="EC62" s="3">
        <f ca="1">IFERROR(__xludf.DUMMYFUNCTION("""COMPUTED_VALUE"""),-0.759371022131519)</f>
        <v>-0.75937102213151897</v>
      </c>
      <c r="ED62" s="3">
        <f ca="1">IFERROR(__xludf.DUMMYFUNCTION("""COMPUTED_VALUE"""),-0.757148927536623)</f>
        <v>-0.757148927536623</v>
      </c>
      <c r="EE62" s="3">
        <f ca="1">IFERROR(__xludf.DUMMYFUNCTION("""COMPUTED_VALUE"""),-0.742534817539952)</f>
        <v>-0.74253481753995199</v>
      </c>
      <c r="EF62" s="3">
        <f ca="1">IFERROR(__xludf.DUMMYFUNCTION("""COMPUTED_VALUE"""),-0.727921364045007)</f>
        <v>-0.72792136404500696</v>
      </c>
      <c r="EG62" s="3">
        <f ca="1">IFERROR(__xludf.DUMMYFUNCTION("""COMPUTED_VALUE"""),-0.636419900008349)</f>
        <v>-0.63641990000834903</v>
      </c>
      <c r="EH62" s="3">
        <f ca="1">IFERROR(__xludf.DUMMYFUNCTION("""COMPUTED_VALUE"""),-0.667593028179496)</f>
        <v>-0.66759302817949595</v>
      </c>
      <c r="EI62" s="3">
        <f ca="1">IFERROR(__xludf.DUMMYFUNCTION("""COMPUTED_VALUE"""),-0.725783360581689)</f>
        <v>-0.72578336058168902</v>
      </c>
      <c r="EJ62" s="3">
        <f ca="1">IFERROR(__xludf.DUMMYFUNCTION("""COMPUTED_VALUE"""),-0.757641278158064)</f>
        <v>-0.75764127815806404</v>
      </c>
      <c r="EK62" s="3">
        <f ca="1">IFERROR(__xludf.DUMMYFUNCTION("""COMPUTED_VALUE"""),-0.730716838606413)</f>
        <v>-0.73071683860641301</v>
      </c>
      <c r="EL62" s="3">
        <f ca="1">IFERROR(__xludf.DUMMYFUNCTION("""COMPUTED_VALUE"""),-0.771170871144722)</f>
        <v>-0.77117087114472205</v>
      </c>
      <c r="EM62" s="3">
        <f ca="1">IFERROR(__xludf.DUMMYFUNCTION("""COMPUTED_VALUE"""),-0.760402687318674)</f>
        <v>-0.760402687318674</v>
      </c>
      <c r="EN62" s="3">
        <f ca="1">IFERROR(__xludf.DUMMYFUNCTION("""COMPUTED_VALUE"""),-0.635740614948707)</f>
        <v>-0.63574061494870704</v>
      </c>
      <c r="EO62" s="3">
        <f ca="1">IFERROR(__xludf.DUMMYFUNCTION("""COMPUTED_VALUE"""),-0.696839412377208)</f>
        <v>-0.69683941237720803</v>
      </c>
      <c r="EP62" s="3">
        <f ca="1">IFERROR(__xludf.DUMMYFUNCTION("""COMPUTED_VALUE"""),-0.763481116257024)</f>
        <v>-0.76348111625702397</v>
      </c>
      <c r="EQ62" s="3">
        <f ca="1">IFERROR(__xludf.DUMMYFUNCTION("""COMPUTED_VALUE"""),-0.796677469848152)</f>
        <v>-0.79667746984815202</v>
      </c>
      <c r="ER62" s="3">
        <f ca="1">IFERROR(__xludf.DUMMYFUNCTION("""COMPUTED_VALUE"""),-0.788889518344476)</f>
        <v>-0.78888951834447596</v>
      </c>
      <c r="ES62" s="3">
        <f ca="1">IFERROR(__xludf.DUMMYFUNCTION("""COMPUTED_VALUE"""),-0.790808453084284)</f>
        <v>-0.79080845308428405</v>
      </c>
      <c r="ET62" s="3">
        <f ca="1">IFERROR(__xludf.DUMMYFUNCTION("""COMPUTED_VALUE"""),-0.770148958043035)</f>
        <v>-0.77014895804303496</v>
      </c>
      <c r="EU62" s="3">
        <f ca="1">IFERROR(__xludf.DUMMYFUNCTION("""COMPUTED_VALUE"""),-0.678065889835676)</f>
        <v>-0.67806588983567595</v>
      </c>
      <c r="EV62" s="3">
        <f ca="1">IFERROR(__xludf.DUMMYFUNCTION("""COMPUTED_VALUE"""),-0.713783754491392)</f>
        <v>-0.71378375449139198</v>
      </c>
      <c r="EW62" s="3">
        <f ca="1">IFERROR(__xludf.DUMMYFUNCTION("""COMPUTED_VALUE"""),-0.779061727316337)</f>
        <v>-0.77906172731633705</v>
      </c>
      <c r="EX62" s="3">
        <f ca="1">IFERROR(__xludf.DUMMYFUNCTION("""COMPUTED_VALUE"""),-0.802374846769309)</f>
        <v>-0.80237484676930904</v>
      </c>
      <c r="EY62" s="3">
        <f ca="1">IFERROR(__xludf.DUMMYFUNCTION("""COMPUTED_VALUE"""),-0.792388181281666)</f>
        <v>-0.79238818128166599</v>
      </c>
      <c r="EZ62" s="3">
        <f ca="1">IFERROR(__xludf.DUMMYFUNCTION("""COMPUTED_VALUE"""),-0.770488607936966)</f>
        <v>-0.77048860793696605</v>
      </c>
      <c r="FA62" s="3">
        <f ca="1">IFERROR(__xludf.DUMMYFUNCTION("""COMPUTED_VALUE"""),-0.748497223928857)</f>
        <v>-0.74849722392885698</v>
      </c>
      <c r="FB62" s="3">
        <f ca="1">IFERROR(__xludf.DUMMYFUNCTION("""COMPUTED_VALUE"""),-0.616745298634316)</f>
        <v>-0.61674529863431604</v>
      </c>
      <c r="FC62" s="3">
        <f ca="1">IFERROR(__xludf.DUMMYFUNCTION("""COMPUTED_VALUE"""),-0.665397895110125)</f>
        <v>-0.66539789511012504</v>
      </c>
      <c r="FD62" s="3">
        <f ca="1">IFERROR(__xludf.DUMMYFUNCTION("""COMPUTED_VALUE"""),-0.746835851558591)</f>
        <v>-0.746835851558591</v>
      </c>
      <c r="FE62" s="3">
        <f ca="1">IFERROR(__xludf.DUMMYFUNCTION("""COMPUTED_VALUE"""),-0.771745423221784)</f>
        <v>-0.77174542322178397</v>
      </c>
      <c r="FF62" s="3">
        <f ca="1">IFERROR(__xludf.DUMMYFUNCTION("""COMPUTED_VALUE"""),-0.773822277914217)</f>
        <v>-0.77382227791421698</v>
      </c>
      <c r="FG62" s="3">
        <f ca="1">IFERROR(__xludf.DUMMYFUNCTION("""COMPUTED_VALUE"""),-0.783877314391989)</f>
        <v>-0.78387731439198904</v>
      </c>
      <c r="FH62" s="3">
        <f ca="1">IFERROR(__xludf.DUMMYFUNCTION("""COMPUTED_VALUE"""),-0.761989918488207)</f>
        <v>-0.76198991848820696</v>
      </c>
      <c r="FI62" s="3">
        <f ca="1">IFERROR(__xludf.DUMMYFUNCTION("""COMPUTED_VALUE"""),-0.676585385357974)</f>
        <v>-0.67658538535797397</v>
      </c>
      <c r="FJ62" s="3">
        <f ca="1">IFERROR(__xludf.DUMMYFUNCTION("""COMPUTED_VALUE"""),-0.666318713274151)</f>
        <v>-0.66631871327415104</v>
      </c>
      <c r="FK62" s="3">
        <f ca="1">IFERROR(__xludf.DUMMYFUNCTION("""COMPUTED_VALUE"""),-0.742643186474235)</f>
        <v>-0.742643186474235</v>
      </c>
      <c r="FL62" s="3">
        <f ca="1">IFERROR(__xludf.DUMMYFUNCTION("""COMPUTED_VALUE"""),-0.752893160362199)</f>
        <v>-0.752893160362199</v>
      </c>
      <c r="FM62" s="3">
        <f ca="1">IFERROR(__xludf.DUMMYFUNCTION("""COMPUTED_VALUE"""),-0.734386603128476)</f>
        <v>-0.73438660312847603</v>
      </c>
      <c r="FN62" s="3">
        <f ca="1">IFERROR(__xludf.DUMMYFUNCTION("""COMPUTED_VALUE"""),-0.732046213780852)</f>
        <v>-0.732046213780852</v>
      </c>
      <c r="FO62" s="3">
        <f ca="1">IFERROR(__xludf.DUMMYFUNCTION("""COMPUTED_VALUE"""),-0.746292802475377)</f>
        <v>-0.74629280247537699</v>
      </c>
      <c r="FP62" s="3">
        <f ca="1">IFERROR(__xludf.DUMMYFUNCTION("""COMPUTED_VALUE"""),-0.650834311640803)</f>
        <v>-0.65083431164080296</v>
      </c>
      <c r="FQ62" s="3">
        <f ca="1">IFERROR(__xludf.DUMMYFUNCTION("""COMPUTED_VALUE"""),-0.680555189812211)</f>
        <v>-0.68055518981221097</v>
      </c>
      <c r="FR62" s="3">
        <f ca="1">IFERROR(__xludf.DUMMYFUNCTION("""COMPUTED_VALUE"""),-0.72167426228573)</f>
        <v>-0.72167426228572995</v>
      </c>
      <c r="FS62" s="3">
        <f ca="1">IFERROR(__xludf.DUMMYFUNCTION("""COMPUTED_VALUE"""),-0.746531913795701)</f>
        <v>-0.74653191379570105</v>
      </c>
      <c r="FT62" s="3">
        <f ca="1">IFERROR(__xludf.DUMMYFUNCTION("""COMPUTED_VALUE"""),-0.740853235068711)</f>
        <v>-0.74085323506871104</v>
      </c>
      <c r="FU62" s="3">
        <f ca="1">IFERROR(__xludf.DUMMYFUNCTION("""COMPUTED_VALUE"""),-0.699393797541189)</f>
        <v>-0.69939379754118902</v>
      </c>
      <c r="FV62" s="3">
        <f ca="1">IFERROR(__xludf.DUMMYFUNCTION("""COMPUTED_VALUE"""),-0.657529297506857)</f>
        <v>-0.65752929750685696</v>
      </c>
      <c r="FW62" s="3">
        <f ca="1">IFERROR(__xludf.DUMMYFUNCTION("""COMPUTED_VALUE"""),-0.648229018910097)</f>
        <v>-0.64822901891009699</v>
      </c>
      <c r="FX62" s="3">
        <f ca="1">IFERROR(__xludf.DUMMYFUNCTION("""COMPUTED_VALUE"""),-0.698403908107204)</f>
        <v>-0.69840390810720399</v>
      </c>
      <c r="FY62" s="3">
        <f ca="1">IFERROR(__xludf.DUMMYFUNCTION("""COMPUTED_VALUE"""),-0.754131193307683)</f>
        <v>-0.75413119330768297</v>
      </c>
      <c r="FZ62" s="3">
        <f ca="1">IFERROR(__xludf.DUMMYFUNCTION("""COMPUTED_VALUE"""),-0.742519099944072)</f>
        <v>-0.74251909994407195</v>
      </c>
      <c r="GA62" s="3">
        <f ca="1">IFERROR(__xludf.DUMMYFUNCTION("""COMPUTED_VALUE"""),-0.754000260279555)</f>
        <v>-0.75400026027955502</v>
      </c>
      <c r="GB62" s="3">
        <f ca="1">IFERROR(__xludf.DUMMYFUNCTION("""COMPUTED_VALUE"""),-0.800105985293431)</f>
        <v>-0.80010598529343102</v>
      </c>
      <c r="GC62" s="3">
        <f ca="1">IFERROR(__xludf.DUMMYFUNCTION("""COMPUTED_VALUE"""),-0.844515578050774)</f>
        <v>-0.84451557805077404</v>
      </c>
      <c r="GD62" s="3">
        <f ca="1">IFERROR(__xludf.DUMMYFUNCTION("""COMPUTED_VALUE"""),-0.641332657156425)</f>
        <v>-0.64133265715642496</v>
      </c>
      <c r="GE62" s="3">
        <f ca="1">IFERROR(__xludf.DUMMYFUNCTION("""COMPUTED_VALUE"""),-0.715664656377466)</f>
        <v>-0.71566465637746601</v>
      </c>
      <c r="GF62" s="3">
        <f ca="1">IFERROR(__xludf.DUMMYFUNCTION("""COMPUTED_VALUE"""),-0.749128233543151)</f>
        <v>-0.74912823354315095</v>
      </c>
      <c r="GG62" s="3">
        <f ca="1">IFERROR(__xludf.DUMMYFUNCTION("""COMPUTED_VALUE"""),-0.73325217530361)</f>
        <v>-0.73325217530360998</v>
      </c>
      <c r="GH62" s="3">
        <f ca="1">IFERROR(__xludf.DUMMYFUNCTION("""COMPUTED_VALUE"""),-0.727038919061528)</f>
        <v>-0.72703891906152796</v>
      </c>
      <c r="GI62" s="3">
        <f ca="1">IFERROR(__xludf.DUMMYFUNCTION("""COMPUTED_VALUE"""),-0.683332243417602)</f>
        <v>-0.68333224341760201</v>
      </c>
      <c r="GJ62" s="3">
        <f ca="1">IFERROR(__xludf.DUMMYFUNCTION("""COMPUTED_VALUE"""),-0.589461847143501)</f>
        <v>-0.58946184714350103</v>
      </c>
      <c r="GK62" s="3">
        <f ca="1">IFERROR(__xludf.DUMMYFUNCTION("""COMPUTED_VALUE"""),-0.629642994168626)</f>
        <v>-0.62964299416862601</v>
      </c>
      <c r="GL62" s="3">
        <f ca="1">IFERROR(__xludf.DUMMYFUNCTION("""COMPUTED_VALUE"""),-0.682574711845092)</f>
        <v>-0.682574711845092</v>
      </c>
      <c r="GM62" s="3">
        <f ca="1">IFERROR(__xludf.DUMMYFUNCTION("""COMPUTED_VALUE"""),-0.742405735546741)</f>
        <v>-0.74240573554674105</v>
      </c>
      <c r="GN62" s="3">
        <f ca="1">IFERROR(__xludf.DUMMYFUNCTION("""COMPUTED_VALUE"""),-0.706868117498322)</f>
        <v>-0.70686811749832201</v>
      </c>
      <c r="GO62" s="3">
        <f ca="1">IFERROR(__xludf.DUMMYFUNCTION("""COMPUTED_VALUE"""),-0.689551237411705)</f>
        <v>-0.68955123741170499</v>
      </c>
      <c r="GP62" s="3">
        <f ca="1">IFERROR(__xludf.DUMMYFUNCTION("""COMPUTED_VALUE"""),-0.694831471529246)</f>
        <v>-0.69483147152924596</v>
      </c>
      <c r="GQ62" s="3">
        <f ca="1">IFERROR(__xludf.DUMMYFUNCTION("""COMPUTED_VALUE"""),-0.655033184873617)</f>
        <v>-0.65503318487361695</v>
      </c>
      <c r="GR62" s="3">
        <f ca="1">IFERROR(__xludf.DUMMYFUNCTION("""COMPUTED_VALUE"""),-0.498601011462442)</f>
        <v>-0.49860101146244201</v>
      </c>
      <c r="GS62" s="3">
        <f ca="1">IFERROR(__xludf.DUMMYFUNCTION("""COMPUTED_VALUE"""),-0.556311562865427)</f>
        <v>-0.55631156286542705</v>
      </c>
      <c r="GT62" s="3">
        <f ca="1">IFERROR(__xludf.DUMMYFUNCTION("""COMPUTED_VALUE"""),-0.67712271979574)</f>
        <v>-0.67712271979574001</v>
      </c>
      <c r="GU62" s="3">
        <f ca="1">IFERROR(__xludf.DUMMYFUNCTION("""COMPUTED_VALUE"""),-0.661140119204165)</f>
        <v>-0.66114011920416504</v>
      </c>
      <c r="GV62" s="3">
        <f ca="1">IFERROR(__xludf.DUMMYFUNCTION("""COMPUTED_VALUE"""),-0.662475249280158)</f>
        <v>-0.662475249280158</v>
      </c>
      <c r="GW62" s="3">
        <f ca="1">IFERROR(__xludf.DUMMYFUNCTION("""COMPUTED_VALUE"""),-0.653337439840356)</f>
        <v>-0.65333743984035597</v>
      </c>
      <c r="GX62" s="3">
        <f ca="1">IFERROR(__xludf.DUMMYFUNCTION("""COMPUTED_VALUE"""),-0.621724546481274)</f>
        <v>-0.62172454648127395</v>
      </c>
      <c r="GY62" s="3">
        <f ca="1">IFERROR(__xludf.DUMMYFUNCTION("""COMPUTED_VALUE"""),-0.514969018734897)</f>
        <v>-0.51496901873489698</v>
      </c>
      <c r="GZ62" s="3">
        <f ca="1">IFERROR(__xludf.DUMMYFUNCTION("""COMPUTED_VALUE"""),-0.541136960035614)</f>
        <v>-0.54113696003561396</v>
      </c>
      <c r="HA62" s="3">
        <f ca="1">IFERROR(__xludf.DUMMYFUNCTION("""COMPUTED_VALUE"""),-0.630785509407915)</f>
        <v>-0.630785509407915</v>
      </c>
      <c r="HB62" s="3">
        <f ca="1">IFERROR(__xludf.DUMMYFUNCTION("""COMPUTED_VALUE"""),-0.629095501116695)</f>
        <v>-0.62909550111669499</v>
      </c>
      <c r="HC62" s="3">
        <f ca="1">IFERROR(__xludf.DUMMYFUNCTION("""COMPUTED_VALUE"""),-0.640587851444238)</f>
        <v>-0.64058785144423802</v>
      </c>
      <c r="HD62" s="3">
        <f ca="1">IFERROR(__xludf.DUMMYFUNCTION("""COMPUTED_VALUE"""),-0.627052155907167)</f>
        <v>-0.62705215590716701</v>
      </c>
      <c r="HE62" s="3">
        <f ca="1">IFERROR(__xludf.DUMMYFUNCTION("""COMPUTED_VALUE"""),-0.598429695569309)</f>
        <v>-0.59842969556930903</v>
      </c>
      <c r="HF62" s="3">
        <f ca="1">IFERROR(__xludf.DUMMYFUNCTION("""COMPUTED_VALUE"""),-0.521757971720735)</f>
        <v>-0.52175797172073501</v>
      </c>
      <c r="HG62" s="3">
        <f ca="1">IFERROR(__xludf.DUMMYFUNCTION("""COMPUTED_VALUE"""),-0.491089656751359)</f>
        <v>-0.49108965675135902</v>
      </c>
      <c r="HH62" s="3">
        <f ca="1">IFERROR(__xludf.DUMMYFUNCTION("""COMPUTED_VALUE"""),-0.615451691263542)</f>
        <v>-0.61545169126354204</v>
      </c>
      <c r="HI62" s="3">
        <f ca="1">IFERROR(__xludf.DUMMYFUNCTION("""COMPUTED_VALUE"""),-0.626027139504237)</f>
        <v>-0.62602713950423705</v>
      </c>
      <c r="HJ62" s="3">
        <f ca="1">IFERROR(__xludf.DUMMYFUNCTION("""COMPUTED_VALUE"""),-0.61472487975103)</f>
        <v>-0.61472487975102996</v>
      </c>
      <c r="HK62" s="3">
        <f ca="1">IFERROR(__xludf.DUMMYFUNCTION("""COMPUTED_VALUE"""),-0.6736448997989)</f>
        <v>-0.67364489979889997</v>
      </c>
      <c r="HL62" s="3">
        <f ca="1">IFERROR(__xludf.DUMMYFUNCTION("""COMPUTED_VALUE"""),-0.787269895791054)</f>
        <v>-0.787269895791054</v>
      </c>
      <c r="HM62" s="3">
        <f ca="1">IFERROR(__xludf.DUMMYFUNCTION("""COMPUTED_VALUE"""),-0.420006946481514)</f>
        <v>-0.42000694648151399</v>
      </c>
      <c r="HN62" s="3">
        <f ca="1">IFERROR(__xludf.DUMMYFUNCTION("""COMPUTED_VALUE"""),-0.484701417394654)</f>
        <v>-0.484701417394654</v>
      </c>
      <c r="HO62" s="3">
        <f ca="1">IFERROR(__xludf.DUMMYFUNCTION("""COMPUTED_VALUE"""),-0.583181059933685)</f>
        <v>-0.58318105993368496</v>
      </c>
      <c r="HP62" s="3">
        <f ca="1">IFERROR(__xludf.DUMMYFUNCTION("""COMPUTED_VALUE"""),-0.590958534628954)</f>
        <v>-0.59095853462895398</v>
      </c>
      <c r="HQ62" s="3">
        <f ca="1">IFERROR(__xludf.DUMMYFUNCTION("""COMPUTED_VALUE"""),-0.611156967715511)</f>
        <v>-0.61115696771551098</v>
      </c>
      <c r="HR62" s="3">
        <f ca="1">IFERROR(__xludf.DUMMYFUNCTION("""COMPUTED_VALUE"""),-0.543564885137427)</f>
        <v>-0.54356488513742696</v>
      </c>
      <c r="HS62" s="3">
        <f ca="1">IFERROR(__xludf.DUMMYFUNCTION("""COMPUTED_VALUE"""),-0.447932229753094)</f>
        <v>-0.44793222975309399</v>
      </c>
      <c r="HT62" s="3">
        <f ca="1">IFERROR(__xludf.DUMMYFUNCTION("""COMPUTED_VALUE"""),-0.46101879363029)</f>
        <v>-0.46101879363029002</v>
      </c>
      <c r="HU62" s="3">
        <f ca="1">IFERROR(__xludf.DUMMYFUNCTION("""COMPUTED_VALUE"""),-0.591236858429008)</f>
        <v>-0.59123685842900797</v>
      </c>
      <c r="HV62" s="3">
        <f ca="1">IFERROR(__xludf.DUMMYFUNCTION("""COMPUTED_VALUE"""),-0.590174758177306)</f>
        <v>-0.59017475817730602</v>
      </c>
      <c r="HW62" s="3">
        <f ca="1">IFERROR(__xludf.DUMMYFUNCTION("""COMPUTED_VALUE"""),-0.626875416723978)</f>
        <v>-0.62687541672397795</v>
      </c>
      <c r="HX62" s="3">
        <f ca="1">IFERROR(__xludf.DUMMYFUNCTION("""COMPUTED_VALUE"""),-0.624640803467819)</f>
        <v>-0.62464080346781903</v>
      </c>
      <c r="HY62" s="3">
        <f ca="1">IFERROR(__xludf.DUMMYFUNCTION("""COMPUTED_VALUE"""),-0.611527456196428)</f>
        <v>-0.61152745619642801</v>
      </c>
      <c r="HZ62" s="3">
        <f ca="1">IFERROR(__xludf.DUMMYFUNCTION("""COMPUTED_VALUE"""),-0.506201428352484)</f>
        <v>-0.50620142835248405</v>
      </c>
      <c r="IA62" s="3">
        <f ca="1">IFERROR(__xludf.DUMMYFUNCTION("""COMPUTED_VALUE"""),-0.556075742730756)</f>
        <v>-0.556075742730756</v>
      </c>
      <c r="IB62" s="3">
        <f ca="1">IFERROR(__xludf.DUMMYFUNCTION("""COMPUTED_VALUE"""),-0.513035329944513)</f>
        <v>-0.51303532994451295</v>
      </c>
      <c r="IC62" s="3">
        <f ca="1">IFERROR(__xludf.DUMMYFUNCTION("""COMPUTED_VALUE"""),-0.64024604083197)</f>
        <v>-0.64024604083197001</v>
      </c>
      <c r="ID62" s="3">
        <f ca="1">IFERROR(__xludf.DUMMYFUNCTION("""COMPUTED_VALUE"""),-0.649723269052666)</f>
        <v>-0.64972326905266597</v>
      </c>
      <c r="IE62" s="3">
        <f ca="1">IFERROR(__xludf.DUMMYFUNCTION("""COMPUTED_VALUE"""),-0.622939066852422)</f>
        <v>-0.62293906685242195</v>
      </c>
      <c r="IF62" s="3">
        <f ca="1">IFERROR(__xludf.DUMMYFUNCTION("""COMPUTED_VALUE"""),-0.642897773072129)</f>
        <v>-0.64289777307212903</v>
      </c>
      <c r="IG62" s="3">
        <f ca="1">IFERROR(__xludf.DUMMYFUNCTION("""COMPUTED_VALUE"""),-0.629226229049961)</f>
        <v>-0.62922622904996095</v>
      </c>
      <c r="IH62" s="3">
        <f ca="1">IFERROR(__xludf.DUMMYFUNCTION("""COMPUTED_VALUE"""),-0.495097083698932)</f>
        <v>-0.49509708369893202</v>
      </c>
      <c r="II62" s="3">
        <f ca="1">IFERROR(__xludf.DUMMYFUNCTION("""COMPUTED_VALUE"""),-0.516421272019634)</f>
        <v>-0.51642127201963395</v>
      </c>
      <c r="IJ62" s="3">
        <f ca="1">IFERROR(__xludf.DUMMYFUNCTION("""COMPUTED_VALUE"""),-0.586444130660186)</f>
        <v>-0.58644413066018597</v>
      </c>
      <c r="IK62" s="3">
        <f ca="1">IFERROR(__xludf.DUMMYFUNCTION("""COMPUTED_VALUE"""),-0.612374784096524)</f>
        <v>-0.61237478409652402</v>
      </c>
      <c r="IL62" s="3">
        <f ca="1">IFERROR(__xludf.DUMMYFUNCTION("""COMPUTED_VALUE"""),-0.580589512105864)</f>
        <v>-0.58058951210586396</v>
      </c>
      <c r="IM62" s="3">
        <f ca="1">IFERROR(__xludf.DUMMYFUNCTION("""COMPUTED_VALUE"""),-0.600270678905142)</f>
        <v>-0.60027067890514196</v>
      </c>
      <c r="IN62" s="3">
        <f ca="1">IFERROR(__xludf.DUMMYFUNCTION("""COMPUTED_VALUE"""),-0.553259562584022)</f>
        <v>-0.55325956258402198</v>
      </c>
      <c r="IO62" s="3">
        <f ca="1">IFERROR(__xludf.DUMMYFUNCTION("""COMPUTED_VALUE"""),-0.544712241382033)</f>
        <v>-0.544712241382033</v>
      </c>
      <c r="IP62" s="3">
        <f ca="1">IFERROR(__xludf.DUMMYFUNCTION("""COMPUTED_VALUE"""),-0.481736133892731)</f>
        <v>-0.48173613389273101</v>
      </c>
      <c r="IQ62" s="3">
        <f ca="1">IFERROR(__xludf.DUMMYFUNCTION("""COMPUTED_VALUE"""),-0.526208247928983)</f>
        <v>-0.52620824792898302</v>
      </c>
      <c r="IR62" s="3">
        <f ca="1">IFERROR(__xludf.DUMMYFUNCTION("""COMPUTED_VALUE"""),-0.567152251329272)</f>
        <v>-0.56715225132927205</v>
      </c>
      <c r="IS62" s="3">
        <f ca="1">IFERROR(__xludf.DUMMYFUNCTION("""COMPUTED_VALUE"""),-0.575387996360964)</f>
        <v>-0.57538799636096405</v>
      </c>
      <c r="IT62" s="3">
        <f ca="1">IFERROR(__xludf.DUMMYFUNCTION("""COMPUTED_VALUE"""),-0.610025419062679)</f>
        <v>-0.61002541906267904</v>
      </c>
      <c r="IU62" s="3">
        <f ca="1">IFERROR(__xludf.DUMMYFUNCTION("""COMPUTED_VALUE"""),-0.513473413972163)</f>
        <v>-0.51347341397216295</v>
      </c>
      <c r="IV62" s="3">
        <f ca="1">IFERROR(__xludf.DUMMYFUNCTION("""COMPUTED_VALUE"""),-0.526633419336492)</f>
        <v>-0.52663341933649199</v>
      </c>
      <c r="IW62" s="3">
        <f ca="1">IFERROR(__xludf.DUMMYFUNCTION("""COMPUTED_VALUE"""),-0.404265826845133)</f>
        <v>-0.40426582684513301</v>
      </c>
      <c r="IX62" s="3">
        <f ca="1">IFERROR(__xludf.DUMMYFUNCTION("""COMPUTED_VALUE"""),-0.480526106918222)</f>
        <v>-0.48052610691822201</v>
      </c>
      <c r="IY62" s="3">
        <f ca="1">IFERROR(__xludf.DUMMYFUNCTION("""COMPUTED_VALUE"""),-0.482852961689418)</f>
        <v>-0.48285296168941799</v>
      </c>
      <c r="IZ62" s="3">
        <f ca="1">IFERROR(__xludf.DUMMYFUNCTION("""COMPUTED_VALUE"""),-0.501192464043295)</f>
        <v>-0.50119246404329498</v>
      </c>
      <c r="JA62" s="3">
        <f ca="1">IFERROR(__xludf.DUMMYFUNCTION("""COMPUTED_VALUE"""),-0.505354746281726)</f>
        <v>-0.50535474628172605</v>
      </c>
      <c r="JB62" s="3">
        <f ca="1">IFERROR(__xludf.DUMMYFUNCTION("""COMPUTED_VALUE"""),-0.552502838716668)</f>
        <v>-0.55250283871666805</v>
      </c>
      <c r="JC62" s="3">
        <f ca="1">IFERROR(__xludf.DUMMYFUNCTION("""COMPUTED_VALUE"""),-0.472916137289486)</f>
        <v>-0.472916137289486</v>
      </c>
      <c r="JD62" s="3">
        <f ca="1">IFERROR(__xludf.DUMMYFUNCTION("""COMPUTED_VALUE"""),-0.431512189212878)</f>
        <v>-0.43151218921287798</v>
      </c>
      <c r="JE62" s="3">
        <f ca="1">IFERROR(__xludf.DUMMYFUNCTION("""COMPUTED_VALUE"""),-0.527381048348283)</f>
        <v>-0.52738104834828303</v>
      </c>
      <c r="JF62" s="3">
        <f ca="1">IFERROR(__xludf.DUMMYFUNCTION("""COMPUTED_VALUE"""),-0.559126424978058)</f>
        <v>-0.55912642497805798</v>
      </c>
      <c r="JG62" s="3">
        <f ca="1">IFERROR(__xludf.DUMMYFUNCTION("""COMPUTED_VALUE"""),-0.545088118830294)</f>
        <v>-0.54508811883029396</v>
      </c>
      <c r="JH62" s="3">
        <f ca="1">IFERROR(__xludf.DUMMYFUNCTION("""COMPUTED_VALUE"""),-0.520385432188271)</f>
        <v>-0.52038543218827105</v>
      </c>
      <c r="JI62" s="3">
        <f ca="1">IFERROR(__xludf.DUMMYFUNCTION("""COMPUTED_VALUE"""),-0.499865570524769)</f>
        <v>-0.49986557052476899</v>
      </c>
      <c r="JJ62" s="3">
        <f ca="1">IFERROR(__xludf.DUMMYFUNCTION("""COMPUTED_VALUE"""),-0.457249352658691)</f>
        <v>-0.45724935265869099</v>
      </c>
      <c r="JK62" s="3">
        <f ca="1">IFERROR(__xludf.DUMMYFUNCTION("""COMPUTED_VALUE"""),-0.425829600672994)</f>
        <v>-0.42582960067299402</v>
      </c>
      <c r="JL62" s="3">
        <f ca="1">IFERROR(__xludf.DUMMYFUNCTION("""COMPUTED_VALUE"""),-0.550681925408292)</f>
        <v>-0.55068192540829197</v>
      </c>
      <c r="JM62" s="3">
        <f ca="1">IFERROR(__xludf.DUMMYFUNCTION("""COMPUTED_VALUE"""),-0.547933877637423)</f>
        <v>-0.54793387763742296</v>
      </c>
      <c r="JN62" s="3">
        <f ca="1">IFERROR(__xludf.DUMMYFUNCTION("""COMPUTED_VALUE"""),-0.524194554291413)</f>
        <v>-0.52419455429141304</v>
      </c>
      <c r="JO62" s="3">
        <f ca="1">IFERROR(__xludf.DUMMYFUNCTION("""COMPUTED_VALUE"""),-0.532885462333171)</f>
        <v>-0.53288546233317102</v>
      </c>
      <c r="JP62" s="3">
        <f ca="1">IFERROR(__xludf.DUMMYFUNCTION("""COMPUTED_VALUE"""),-0.510815691112051)</f>
        <v>-0.51081569111205105</v>
      </c>
      <c r="JQ62" s="3">
        <f ca="1">IFERROR(__xludf.DUMMYFUNCTION("""COMPUTED_VALUE"""),-0.441053400594495)</f>
        <v>-0.44105340059449499</v>
      </c>
      <c r="JR62" s="3">
        <f ca="1">IFERROR(__xludf.DUMMYFUNCTION("""COMPUTED_VALUE"""),-0.565165583119045)</f>
        <v>-0.56516558311904497</v>
      </c>
      <c r="JS62" s="3">
        <f ca="1">IFERROR(__xludf.DUMMYFUNCTION("""COMPUTED_VALUE"""),-0.538636440744919)</f>
        <v>-0.53863644074491901</v>
      </c>
      <c r="JT62" s="3">
        <f ca="1">IFERROR(__xludf.DUMMYFUNCTION("""COMPUTED_VALUE"""),-0.551710712794808)</f>
        <v>-0.55171071279480799</v>
      </c>
      <c r="JU62" s="3">
        <f ca="1">IFERROR(__xludf.DUMMYFUNCTION("""COMPUTED_VALUE"""),-0.581967567324332)</f>
        <v>-0.58196756732433197</v>
      </c>
      <c r="JV62" s="3">
        <f ca="1">IFERROR(__xludf.DUMMYFUNCTION("""COMPUTED_VALUE"""),-0.503719825983626)</f>
        <v>-0.50371982598362597</v>
      </c>
      <c r="JW62" s="3">
        <f ca="1">IFERROR(__xludf.DUMMYFUNCTION("""COMPUTED_VALUE"""),-0.385964746965842)</f>
        <v>-0.38596474696584199</v>
      </c>
      <c r="JX62" s="3">
        <f ca="1">IFERROR(__xludf.DUMMYFUNCTION("""COMPUTED_VALUE"""),-0.439254032322708)</f>
        <v>-0.43925403232270799</v>
      </c>
      <c r="JY62" s="3">
        <f ca="1">IFERROR(__xludf.DUMMYFUNCTION("""COMPUTED_VALUE"""),-0.485388467614413)</f>
        <v>-0.48538846761441301</v>
      </c>
      <c r="JZ62" s="3">
        <f ca="1">IFERROR(__xludf.DUMMYFUNCTION("""COMPUTED_VALUE"""),-0.565756705929886)</f>
        <v>-0.56575670592988603</v>
      </c>
      <c r="KA62" s="3">
        <f ca="1">IFERROR(__xludf.DUMMYFUNCTION("""COMPUTED_VALUE"""),-0.6763249299006)</f>
        <v>-0.6763249299006</v>
      </c>
      <c r="KB62" s="3">
        <f ca="1">IFERROR(__xludf.DUMMYFUNCTION("""COMPUTED_VALUE"""),-0.733948056727598)</f>
        <v>-0.733948056727598</v>
      </c>
      <c r="KC62" s="3">
        <f ca="1">IFERROR(__xludf.DUMMYFUNCTION("""COMPUTED_VALUE"""),-0.497890098140993)</f>
        <v>-0.497890098140993</v>
      </c>
      <c r="KD62" s="3">
        <f ca="1">IFERROR(__xludf.DUMMYFUNCTION("""COMPUTED_VALUE"""),-0.345389862399198)</f>
        <v>-0.345389862399198</v>
      </c>
      <c r="KE62" s="3">
        <f ca="1">IFERROR(__xludf.DUMMYFUNCTION("""COMPUTED_VALUE"""),-0.574584588229883)</f>
        <v>-0.57458458822988301</v>
      </c>
      <c r="KF62" s="3">
        <f ca="1">IFERROR(__xludf.DUMMYFUNCTION("""COMPUTED_VALUE"""),-0.561906132908276)</f>
        <v>-0.56190613290827596</v>
      </c>
      <c r="KG62" s="3">
        <f ca="1">IFERROR(__xludf.DUMMYFUNCTION("""COMPUTED_VALUE"""),-0.590754389408482)</f>
        <v>-0.59075438940848202</v>
      </c>
      <c r="KH62" s="3">
        <f ca="1">IFERROR(__xludf.DUMMYFUNCTION("""COMPUTED_VALUE"""),-0.70653741475455)</f>
        <v>-0.70653741475455001</v>
      </c>
      <c r="KI62" s="3">
        <f ca="1">IFERROR(__xludf.DUMMYFUNCTION("""COMPUTED_VALUE"""),-0.798860155887366)</f>
        <v>-0.79886015588736603</v>
      </c>
      <c r="KJ62" s="3">
        <f ca="1">IFERROR(__xludf.DUMMYFUNCTION("""COMPUTED_VALUE"""),-0.559003412199739)</f>
        <v>-0.55900341219973904</v>
      </c>
      <c r="KK62" s="3">
        <f ca="1">IFERROR(__xludf.DUMMYFUNCTION("""COMPUTED_VALUE"""),-0.386325130899984)</f>
        <v>-0.38632513089998399</v>
      </c>
      <c r="KL62" s="3">
        <f ca="1">IFERROR(__xludf.DUMMYFUNCTION("""COMPUTED_VALUE"""),-0.561547518692238)</f>
        <v>-0.56154751869223796</v>
      </c>
      <c r="KM62" s="3">
        <f ca="1">IFERROR(__xludf.DUMMYFUNCTION("""COMPUTED_VALUE"""),-0.55407525204891)</f>
        <v>-0.55407525204890995</v>
      </c>
      <c r="KN62" s="3">
        <f ca="1">IFERROR(__xludf.DUMMYFUNCTION("""COMPUTED_VALUE"""),-0.655858014738335)</f>
        <v>-0.65585801473833505</v>
      </c>
      <c r="KO62" s="3">
        <f ca="1">IFERROR(__xludf.DUMMYFUNCTION("""COMPUTED_VALUE"""),-0.673466263230997)</f>
        <v>-0.67346626323099701</v>
      </c>
      <c r="KP62" s="3">
        <f ca="1">IFERROR(__xludf.DUMMYFUNCTION("""COMPUTED_VALUE"""),-0.69279154122192)</f>
        <v>-0.69279154122191999</v>
      </c>
      <c r="KQ62" s="3">
        <f ca="1">IFERROR(__xludf.DUMMYFUNCTION("""COMPUTED_VALUE"""),-0.673219541922926)</f>
        <v>-0.67321954192292599</v>
      </c>
      <c r="KR62" s="3">
        <f ca="1">IFERROR(__xludf.DUMMYFUNCTION("""COMPUTED_VALUE"""),-0.612508720996894)</f>
        <v>-0.61250872099689402</v>
      </c>
      <c r="KS62" s="3">
        <f ca="1">IFERROR(__xludf.DUMMYFUNCTION("""COMPUTED_VALUE"""),-0.651860889641931)</f>
        <v>-0.65186088964193101</v>
      </c>
      <c r="KT62" s="3">
        <f ca="1">IFERROR(__xludf.DUMMYFUNCTION("""COMPUTED_VALUE"""),-0.696267805093125)</f>
        <v>-0.69626780509312503</v>
      </c>
      <c r="KU62" s="3">
        <f ca="1">IFERROR(__xludf.DUMMYFUNCTION("""COMPUTED_VALUE"""),-0.741365609923653)</f>
        <v>-0.74136560992365297</v>
      </c>
      <c r="KV62" s="3">
        <f ca="1">IFERROR(__xludf.DUMMYFUNCTION("""COMPUTED_VALUE"""),-0.758671301965794)</f>
        <v>-0.75867130196579402</v>
      </c>
      <c r="KW62" s="3">
        <f ca="1">IFERROR(__xludf.DUMMYFUNCTION("""COMPUTED_VALUE"""),-0.742343993292714)</f>
        <v>-0.74234399329271405</v>
      </c>
      <c r="KX62" s="3">
        <f ca="1">IFERROR(__xludf.DUMMYFUNCTION("""COMPUTED_VALUE"""),-0.731470039159773)</f>
        <v>-0.73147003915977304</v>
      </c>
      <c r="KY62" s="3">
        <f ca="1">IFERROR(__xludf.DUMMYFUNCTION("""COMPUTED_VALUE"""),-0.720063672981144)</f>
        <v>-0.72006367298114404</v>
      </c>
      <c r="KZ62" s="3">
        <f ca="1">IFERROR(__xludf.DUMMYFUNCTION("""COMPUTED_VALUE"""),-0.634382016148711)</f>
        <v>-0.63438201614871104</v>
      </c>
      <c r="LA62" s="3">
        <f ca="1">IFERROR(__xludf.DUMMYFUNCTION("""COMPUTED_VALUE"""),-0.697938929627157)</f>
        <v>-0.69793892962715698</v>
      </c>
      <c r="LB62" s="3">
        <f ca="1">IFERROR(__xludf.DUMMYFUNCTION("""COMPUTED_VALUE"""),-0.729240046153041)</f>
        <v>-0.72924004615304105</v>
      </c>
      <c r="LC62" s="3">
        <f ca="1">IFERROR(__xludf.DUMMYFUNCTION("""COMPUTED_VALUE"""),-0.738386003572885)</f>
        <v>-0.73838600357288497</v>
      </c>
      <c r="LD62" s="3">
        <f ca="1">IFERROR(__xludf.DUMMYFUNCTION("""COMPUTED_VALUE"""),-0.780889871070469)</f>
        <v>-0.78088987107046903</v>
      </c>
      <c r="LE62" s="3">
        <f ca="1">IFERROR(__xludf.DUMMYFUNCTION("""COMPUTED_VALUE"""),-0.757587369378038)</f>
        <v>-0.75758736937803794</v>
      </c>
      <c r="LF62" s="3">
        <f ca="1">IFERROR(__xludf.DUMMYFUNCTION("""COMPUTED_VALUE"""),-0.737150495463328)</f>
        <v>-0.737150495463328</v>
      </c>
      <c r="LG62" s="3">
        <f ca="1">IFERROR(__xludf.DUMMYFUNCTION("""COMPUTED_VALUE"""),-0.708992870944352)</f>
        <v>-0.70899287094435204</v>
      </c>
      <c r="LH62" s="3">
        <f ca="1">IFERROR(__xludf.DUMMYFUNCTION("""COMPUTED_VALUE"""),-0.747753431831811)</f>
        <v>-0.74775343183181098</v>
      </c>
      <c r="LI62" s="3">
        <f ca="1">IFERROR(__xludf.DUMMYFUNCTION("""COMPUTED_VALUE"""),-0.792733150441609)</f>
        <v>-0.79273315044160897</v>
      </c>
      <c r="LJ62" s="3">
        <f ca="1">IFERROR(__xludf.DUMMYFUNCTION("""COMPUTED_VALUE"""),-0.779328990201211)</f>
        <v>-0.77932899020121105</v>
      </c>
      <c r="LK62" s="3">
        <f ca="1">IFERROR(__xludf.DUMMYFUNCTION("""COMPUTED_VALUE"""),-0.751455540117155)</f>
        <v>-0.75145554011715499</v>
      </c>
      <c r="LL62" s="3">
        <f ca="1">IFERROR(__xludf.DUMMYFUNCTION("""COMPUTED_VALUE"""),-0.734357654762915)</f>
        <v>-0.73435765476291504</v>
      </c>
      <c r="LM62" s="3">
        <f ca="1">IFERROR(__xludf.DUMMYFUNCTION("""COMPUTED_VALUE"""),-0.690289588815534)</f>
        <v>-0.69028958881553404</v>
      </c>
      <c r="LN62" s="3">
        <f ca="1">IFERROR(__xludf.DUMMYFUNCTION("""COMPUTED_VALUE"""),-0.70666041745554)</f>
        <v>-0.70666041745553998</v>
      </c>
      <c r="LO62" s="3">
        <f ca="1">IFERROR(__xludf.DUMMYFUNCTION("""COMPUTED_VALUE"""),-0.749869256368324)</f>
        <v>-0.74986925636832402</v>
      </c>
      <c r="LP62" s="3">
        <f ca="1">IFERROR(__xludf.DUMMYFUNCTION("""COMPUTED_VALUE"""),-0.812557472080204)</f>
        <v>-0.81255747208020401</v>
      </c>
      <c r="LQ62" s="3">
        <f ca="1">IFERROR(__xludf.DUMMYFUNCTION("""COMPUTED_VALUE"""),-0.823859596550127)</f>
        <v>-0.82385959655012697</v>
      </c>
      <c r="LR62" s="3">
        <f ca="1">IFERROR(__xludf.DUMMYFUNCTION("""COMPUTED_VALUE"""),-0.815726083911188)</f>
        <v>-0.81572608391118795</v>
      </c>
      <c r="LS62" s="3">
        <f ca="1">IFERROR(__xludf.DUMMYFUNCTION("""COMPUTED_VALUE"""),-0.851049282459632)</f>
        <v>-0.85104928245963196</v>
      </c>
      <c r="LT62" s="3">
        <f ca="1">IFERROR(__xludf.DUMMYFUNCTION("""COMPUTED_VALUE"""),-0.877754171242041)</f>
        <v>-0.87775417124204103</v>
      </c>
      <c r="LU62" s="3">
        <f ca="1">IFERROR(__xludf.DUMMYFUNCTION("""COMPUTED_VALUE"""),-0.785567380203929)</f>
        <v>-0.78556738020392902</v>
      </c>
      <c r="LV62" s="3">
        <f ca="1">IFERROR(__xludf.DUMMYFUNCTION("""COMPUTED_VALUE"""),-0.807269525834382)</f>
        <v>-0.80726952583438205</v>
      </c>
      <c r="LW62" s="3">
        <f ca="1">IFERROR(__xludf.DUMMYFUNCTION("""COMPUTED_VALUE"""),-0.860466913868094)</f>
        <v>-0.86046691386809404</v>
      </c>
      <c r="LX62" s="3">
        <f ca="1">IFERROR(__xludf.DUMMYFUNCTION("""COMPUTED_VALUE"""),-0.850187912078264)</f>
        <v>-0.85018791207826405</v>
      </c>
      <c r="LY62" s="3">
        <f ca="1">IFERROR(__xludf.DUMMYFUNCTION("""COMPUTED_VALUE"""),-0.832643629790834)</f>
        <v>-0.83264362979083395</v>
      </c>
      <c r="LZ62" s="3">
        <f ca="1">IFERROR(__xludf.DUMMYFUNCTION("""COMPUTED_VALUE"""),-0.825391746722254)</f>
        <v>-0.82539174672225402</v>
      </c>
      <c r="MA62" s="3">
        <f ca="1">IFERROR(__xludf.DUMMYFUNCTION("""COMPUTED_VALUE"""),-0.787517651940769)</f>
        <v>-0.78751765194076895</v>
      </c>
      <c r="MB62" s="3">
        <f ca="1">IFERROR(__xludf.DUMMYFUNCTION("""COMPUTED_VALUE"""),-0.820087234408675)</f>
        <v>-0.82008723440867504</v>
      </c>
      <c r="MC62" s="3">
        <f ca="1">IFERROR(__xludf.DUMMYFUNCTION("""COMPUTED_VALUE"""),-0.82886694387863)</f>
        <v>-0.82886694387863002</v>
      </c>
      <c r="MD62" s="3">
        <f ca="1">IFERROR(__xludf.DUMMYFUNCTION("""COMPUTED_VALUE"""),-0.853624296569761)</f>
        <v>-0.85362429656976102</v>
      </c>
      <c r="ME62" s="3">
        <f ca="1">IFERROR(__xludf.DUMMYFUNCTION("""COMPUTED_VALUE"""),-0.84858404678322)</f>
        <v>-0.84858404678321997</v>
      </c>
      <c r="MF62" s="3">
        <f ca="1">IFERROR(__xludf.DUMMYFUNCTION("""COMPUTED_VALUE"""),-0.844937022311131)</f>
        <v>-0.84493702231113099</v>
      </c>
      <c r="MG62" s="3">
        <f ca="1">IFERROR(__xludf.DUMMYFUNCTION("""COMPUTED_VALUE"""),-0.848085977090472)</f>
        <v>-0.84808597709047195</v>
      </c>
      <c r="MH62" s="3">
        <f ca="1">IFERROR(__xludf.DUMMYFUNCTION("""COMPUTED_VALUE"""),-0.834672584359748)</f>
        <v>-0.834672584359748</v>
      </c>
      <c r="MI62" s="3">
        <f ca="1">IFERROR(__xludf.DUMMYFUNCTION("""COMPUTED_VALUE"""),-0.819042870567552)</f>
        <v>-0.81904287056755198</v>
      </c>
      <c r="MJ62" s="3">
        <f ca="1">IFERROR(__xludf.DUMMYFUNCTION("""COMPUTED_VALUE"""),-0.831987202608308)</f>
        <v>-0.83198720260830805</v>
      </c>
      <c r="MK62" s="3">
        <f ca="1">IFERROR(__xludf.DUMMYFUNCTION("""COMPUTED_VALUE"""),-0.863337146656751)</f>
        <v>-0.86333714665675099</v>
      </c>
      <c r="ML62" s="3">
        <f ca="1">IFERROR(__xludf.DUMMYFUNCTION("""COMPUTED_VALUE"""),-0.875786269301955)</f>
        <v>-0.87578626930195502</v>
      </c>
      <c r="MM62" s="3">
        <f ca="1">IFERROR(__xludf.DUMMYFUNCTION("""COMPUTED_VALUE"""),-0.863616840903174)</f>
        <v>-0.86361684090317403</v>
      </c>
      <c r="MN62" s="3">
        <f ca="1">IFERROR(__xludf.DUMMYFUNCTION("""COMPUTED_VALUE"""),-0.859883606577204)</f>
        <v>-0.85988360657720397</v>
      </c>
      <c r="MO62" s="3">
        <f ca="1">IFERROR(__xludf.DUMMYFUNCTION("""COMPUTED_VALUE"""),-0.860899440994578)</f>
        <v>-0.86089944099457805</v>
      </c>
      <c r="MP62" s="3">
        <f ca="1">IFERROR(__xludf.DUMMYFUNCTION("""COMPUTED_VALUE"""),-0.845012526239062)</f>
        <v>-0.84501252623906198</v>
      </c>
      <c r="MQ62" s="3">
        <f ca="1">IFERROR(__xludf.DUMMYFUNCTION("""COMPUTED_VALUE"""),-0.840734457884763)</f>
        <v>-0.84073445788476298</v>
      </c>
      <c r="MR62" s="3">
        <f ca="1">IFERROR(__xludf.DUMMYFUNCTION("""COMPUTED_VALUE"""),-0.857606460880257)</f>
        <v>-0.85760646088025705</v>
      </c>
      <c r="MS62" s="3">
        <f ca="1">IFERROR(__xludf.DUMMYFUNCTION("""COMPUTED_VALUE"""),-0.87905160519043)</f>
        <v>-0.87905160519043002</v>
      </c>
      <c r="MT62" s="3">
        <f ca="1">IFERROR(__xludf.DUMMYFUNCTION("""COMPUTED_VALUE"""),-0.875076261227396)</f>
        <v>-0.87507626122739601</v>
      </c>
      <c r="MU62" s="3">
        <f ca="1">IFERROR(__xludf.DUMMYFUNCTION("""COMPUTED_VALUE"""),-0.879550442932629)</f>
        <v>-0.87955044293262896</v>
      </c>
      <c r="MV62" s="3">
        <f ca="1">IFERROR(__xludf.DUMMYFUNCTION("""COMPUTED_VALUE"""),-0.841694032453198)</f>
        <v>-0.84169403245319796</v>
      </c>
      <c r="MW62" s="3">
        <f ca="1">IFERROR(__xludf.DUMMYFUNCTION("""COMPUTED_VALUE"""),-0.842174793394664)</f>
        <v>-0.84217479339466395</v>
      </c>
      <c r="MX62" s="3">
        <f ca="1">IFERROR(__xludf.DUMMYFUNCTION("""COMPUTED_VALUE"""),-0.835922087061891)</f>
        <v>-0.83592208706189097</v>
      </c>
      <c r="MY62" s="3">
        <f ca="1">IFERROR(__xludf.DUMMYFUNCTION("""COMPUTED_VALUE"""),-0.855827576436654)</f>
        <v>-0.85582757643665397</v>
      </c>
      <c r="MZ62" s="3">
        <f ca="1">IFERROR(__xludf.DUMMYFUNCTION("""COMPUTED_VALUE"""),-0.877205831244733)</f>
        <v>-0.87720583124473295</v>
      </c>
      <c r="NA62" s="3">
        <f ca="1">IFERROR(__xludf.DUMMYFUNCTION("""COMPUTED_VALUE"""),-0.868489908740928)</f>
        <v>-0.86848990874092802</v>
      </c>
      <c r="NB62" s="3">
        <f ca="1">IFERROR(__xludf.DUMMYFUNCTION("""COMPUTED_VALUE"""),-0.862458581100421)</f>
        <v>-0.86245858110042095</v>
      </c>
      <c r="NC62" s="3">
        <f ca="1">IFERROR(__xludf.DUMMYFUNCTION("""COMPUTED_VALUE"""),-0.826999415338469)</f>
        <v>-0.82699941533846899</v>
      </c>
      <c r="ND62" s="3">
        <f ca="1">IFERROR(__xludf.DUMMYFUNCTION("""COMPUTED_VALUE"""),-0.874621671366628)</f>
        <v>-0.87462167136662805</v>
      </c>
      <c r="NE62" s="3">
        <f ca="1">IFERROR(__xludf.DUMMYFUNCTION("""COMPUTED_VALUE"""),-0.897709231325402)</f>
        <v>-0.89770923132540204</v>
      </c>
      <c r="NF62" s="3">
        <f ca="1">IFERROR(__xludf.DUMMYFUNCTION("""COMPUTED_VALUE"""),-0.901683749669261)</f>
        <v>-0.90168374966926101</v>
      </c>
      <c r="NG62" s="3">
        <f ca="1">IFERROR(__xludf.DUMMYFUNCTION("""COMPUTED_VALUE"""),-0.885601314774014)</f>
        <v>-0.88560131477401405</v>
      </c>
      <c r="NH62" s="3">
        <f ca="1">IFERROR(__xludf.DUMMYFUNCTION("""COMPUTED_VALUE"""),-0.869474599343697)</f>
        <v>-0.86947459934369697</v>
      </c>
      <c r="NI62" s="3">
        <f ca="1">IFERROR(__xludf.DUMMYFUNCTION("""COMPUTED_VALUE"""),-0.876468389371118)</f>
        <v>-0.87646838937111804</v>
      </c>
      <c r="NJ62" s="3">
        <f ca="1">IFERROR(__xludf.DUMMYFUNCTION("""COMPUTED_VALUE"""),-0.87264869875808)</f>
        <v>-0.87264869875808004</v>
      </c>
      <c r="NK62" s="3">
        <f ca="1">IFERROR(__xludf.DUMMYFUNCTION("""COMPUTED_VALUE"""),-0.852155789222469)</f>
        <v>-0.85215578922246904</v>
      </c>
      <c r="NL62" s="3">
        <f ca="1">IFERROR(__xludf.DUMMYFUNCTION("""COMPUTED_VALUE"""),-0.861238435854336)</f>
        <v>-0.86123843585433602</v>
      </c>
      <c r="NM62" s="3">
        <f ca="1">IFERROR(__xludf.DUMMYFUNCTION("""COMPUTED_VALUE"""),-0.882179402091863)</f>
        <v>-0.88217940209186296</v>
      </c>
      <c r="NN62" s="3">
        <f ca="1">IFERROR(__xludf.DUMMYFUNCTION("""COMPUTED_VALUE"""),-0.870785498746562)</f>
        <v>-0.87078549874656197</v>
      </c>
      <c r="NO62" s="3">
        <f ca="1">IFERROR(__xludf.DUMMYFUNCTION("""COMPUTED_VALUE"""),-0.853210684826158)</f>
        <v>-0.85321068482615803</v>
      </c>
      <c r="NP62" s="3">
        <f ca="1">IFERROR(__xludf.DUMMYFUNCTION("""COMPUTED_VALUE"""),-0.84929324608123)</f>
        <v>-0.84929324608123002</v>
      </c>
      <c r="NQ62" s="3">
        <f ca="1">IFERROR(__xludf.DUMMYFUNCTION("""COMPUTED_VALUE"""),-0.822358676484467)</f>
        <v>-0.82235867648446703</v>
      </c>
      <c r="NR62" s="3">
        <f ca="1">IFERROR(__xludf.DUMMYFUNCTION("""COMPUTED_VALUE"""),-0.848113729089474)</f>
        <v>-0.84811372908947402</v>
      </c>
      <c r="NS62" s="3">
        <f ca="1">IFERROR(__xludf.DUMMYFUNCTION("""COMPUTED_VALUE"""),-0.862685624601074)</f>
        <v>-0.86268562460107401</v>
      </c>
      <c r="NT62" s="3">
        <f ca="1">IFERROR(__xludf.DUMMYFUNCTION("""COMPUTED_VALUE"""),-0.888953576075525)</f>
        <v>-0.88895357607552505</v>
      </c>
      <c r="NU62" s="3">
        <f ca="1">IFERROR(__xludf.DUMMYFUNCTION("""COMPUTED_VALUE"""),-0.883188059536502)</f>
        <v>-0.88318805953650203</v>
      </c>
      <c r="NV62" s="3">
        <f ca="1">IFERROR(__xludf.DUMMYFUNCTION("""COMPUTED_VALUE"""),-0.866318538404924)</f>
        <v>-0.86631853840492401</v>
      </c>
      <c r="NW62" s="3">
        <f ca="1">IFERROR(__xludf.DUMMYFUNCTION("""COMPUTED_VALUE"""),-0.831723372629055)</f>
        <v>-0.83172337262905505</v>
      </c>
      <c r="NX62" s="3">
        <f ca="1">IFERROR(__xludf.DUMMYFUNCTION("""COMPUTED_VALUE"""),-0.828623272483727)</f>
        <v>-0.82862327248372702</v>
      </c>
      <c r="NY62" s="3">
        <f ca="1">IFERROR(__xludf.DUMMYFUNCTION("""COMPUTED_VALUE"""),-0.761630960286468)</f>
        <v>-0.76163096028646804</v>
      </c>
      <c r="NZ62" s="3">
        <f ca="1">IFERROR(__xludf.DUMMYFUNCTION("""COMPUTED_VALUE"""),-0.779094636748434)</f>
        <v>-0.77909463674843404</v>
      </c>
      <c r="OA62" s="3">
        <f ca="1">IFERROR(__xludf.DUMMYFUNCTION("""COMPUTED_VALUE"""),-0.803392880962849)</f>
        <v>-0.803392880962849</v>
      </c>
      <c r="OB62" s="3">
        <f ca="1">IFERROR(__xludf.DUMMYFUNCTION("""COMPUTED_VALUE"""),-0.774364957172625)</f>
        <v>-0.77436495717262499</v>
      </c>
      <c r="OC62" s="3">
        <f ca="1">IFERROR(__xludf.DUMMYFUNCTION("""COMPUTED_VALUE"""),-0.748013976144814)</f>
        <v>-0.74801397614481402</v>
      </c>
      <c r="OD62" s="3">
        <f ca="1">IFERROR(__xludf.DUMMYFUNCTION("""COMPUTED_VALUE"""),-0.68880530254244)</f>
        <v>-0.68880530254243999</v>
      </c>
      <c r="OE62" s="3">
        <f ca="1">IFERROR(__xludf.DUMMYFUNCTION("""COMPUTED_VALUE"""),-0.607850635413184)</f>
        <v>-0.60785063541318396</v>
      </c>
      <c r="OF62" s="3">
        <f ca="1">IFERROR(__xludf.DUMMYFUNCTION("""COMPUTED_VALUE"""),-0.446905945141489)</f>
        <v>-0.44690594514148901</v>
      </c>
      <c r="OG62" s="3">
        <f ca="1">IFERROR(__xludf.DUMMYFUNCTION("""COMPUTED_VALUE"""),-0.410651720161242)</f>
        <v>-0.41065172016124202</v>
      </c>
      <c r="OH62" s="3">
        <f ca="1">IFERROR(__xludf.DUMMYFUNCTION("""COMPUTED_VALUE"""),-0.352039241428016)</f>
        <v>-0.35203924142801601</v>
      </c>
      <c r="OI62" s="3">
        <f ca="1">IFERROR(__xludf.DUMMYFUNCTION("""COMPUTED_VALUE"""),-0.0766655372869304)</f>
        <v>-7.6665537286930402E-2</v>
      </c>
      <c r="OJ62" s="3">
        <f ca="1">IFERROR(__xludf.DUMMYFUNCTION("""COMPUTED_VALUE"""),0.00390315202304614)</f>
        <v>3.9031520230461401E-3</v>
      </c>
      <c r="OK62" s="3">
        <f ca="1">IFERROR(__xludf.DUMMYFUNCTION("""COMPUTED_VALUE"""),0.00802800887921884)</f>
        <v>8.0280088792188398E-3</v>
      </c>
      <c r="OL62" s="3">
        <f ca="1">IFERROR(__xludf.DUMMYFUNCTION("""COMPUTED_VALUE"""),-0.00137940427355143)</f>
        <v>-1.3794042735514301E-3</v>
      </c>
      <c r="OM62" s="3">
        <f ca="1">IFERROR(__xludf.DUMMYFUNCTION("""COMPUTED_VALUE"""),-0.0424109025593312)</f>
        <v>-4.24109025593312E-2</v>
      </c>
      <c r="ON62" s="3">
        <f ca="1">IFERROR(__xludf.DUMMYFUNCTION("""COMPUTED_VALUE"""),-0.00831425863919899)</f>
        <v>-8.3142586391989903E-3</v>
      </c>
      <c r="OO62" s="3">
        <f ca="1">IFERROR(__xludf.DUMMYFUNCTION("""COMPUTED_VALUE"""),-0.0748745235288588)</f>
        <v>-7.4874523528858802E-2</v>
      </c>
      <c r="OP62" s="3">
        <f ca="1">IFERROR(__xludf.DUMMYFUNCTION("""COMPUTED_VALUE"""),-0.0299249003147517)</f>
        <v>-2.9924900314751701E-2</v>
      </c>
      <c r="OQ62" s="3">
        <f ca="1">IFERROR(__xludf.DUMMYFUNCTION("""COMPUTED_VALUE"""),-0.00973939907256837)</f>
        <v>-9.7393990725683707E-3</v>
      </c>
      <c r="OR62" s="3">
        <f ca="1">IFERROR(__xludf.DUMMYFUNCTION("""COMPUTED_VALUE"""),0.022158300046668)</f>
        <v>2.2158300046668002E-2</v>
      </c>
      <c r="OS62" s="3">
        <f ca="1">IFERROR(__xludf.DUMMYFUNCTION("""COMPUTED_VALUE"""),-0.000838247305594563)</f>
        <v>-8.3824730559456297E-4</v>
      </c>
      <c r="OT62" s="3">
        <f ca="1">IFERROR(__xludf.DUMMYFUNCTION("""COMPUTED_VALUE"""),0.0412443389368297)</f>
        <v>4.1244338936829703E-2</v>
      </c>
      <c r="OU62" s="3">
        <f ca="1">IFERROR(__xludf.DUMMYFUNCTION("""COMPUTED_VALUE"""),-0.0146503400189474)</f>
        <v>-1.46503400189474E-2</v>
      </c>
      <c r="OV62" s="3">
        <f ca="1">IFERROR(__xludf.DUMMYFUNCTION("""COMPUTED_VALUE"""),0.0506154934549081)</f>
        <v>5.0615493454908102E-2</v>
      </c>
      <c r="OW62" s="3">
        <f ca="1">IFERROR(__xludf.DUMMYFUNCTION("""COMPUTED_VALUE"""),0.00650286166763303)</f>
        <v>6.50286166763303E-3</v>
      </c>
      <c r="OX62" s="3">
        <f ca="1">IFERROR(__xludf.DUMMYFUNCTION("""COMPUTED_VALUE"""),0.0579884836008657)</f>
        <v>5.7988483600865698E-2</v>
      </c>
      <c r="OY62" s="3">
        <f ca="1">IFERROR(__xludf.DUMMYFUNCTION("""COMPUTED_VALUE"""),0.0508911186501761)</f>
        <v>5.08911186501761E-2</v>
      </c>
      <c r="OZ62" s="3">
        <f ca="1">IFERROR(__xludf.DUMMYFUNCTION("""COMPUTED_VALUE"""),-0.00231762979996819)</f>
        <v>-2.3176297999681901E-3</v>
      </c>
      <c r="PA62" s="3">
        <f ca="1">IFERROR(__xludf.DUMMYFUNCTION("""COMPUTED_VALUE"""),-0.065961768317869)</f>
        <v>-6.5961768317868999E-2</v>
      </c>
      <c r="PB62" s="3">
        <f ca="1">IFERROR(__xludf.DUMMYFUNCTION("""COMPUTED_VALUE"""),-0.026604103337904)</f>
        <v>-2.6604103337904E-2</v>
      </c>
      <c r="PC62" s="3">
        <f ca="1">IFERROR(__xludf.DUMMYFUNCTION("""COMPUTED_VALUE"""),-0.0145088441090825)</f>
        <v>-1.45088441090825E-2</v>
      </c>
      <c r="PD62" s="3">
        <f ca="1">IFERROR(__xludf.DUMMYFUNCTION("""COMPUTED_VALUE"""),-0.0629570093062438)</f>
        <v>-6.2957009306243802E-2</v>
      </c>
      <c r="PE62" s="3">
        <f ca="1">IFERROR(__xludf.DUMMYFUNCTION("""COMPUTED_VALUE"""),0.181774694402175)</f>
        <v>0.181774694402175</v>
      </c>
      <c r="PF62" s="3">
        <f ca="1">IFERROR(__xludf.DUMMYFUNCTION("""COMPUTED_VALUE"""),0.0534202560620995)</f>
        <v>5.3420256062099498E-2</v>
      </c>
      <c r="PG62" s="3">
        <f ca="1">IFERROR(__xludf.DUMMYFUNCTION("""COMPUTED_VALUE"""),0.0217973528443273)</f>
        <v>2.1797352844327302E-2</v>
      </c>
      <c r="PH62" s="3">
        <f ca="1">IFERROR(__xludf.DUMMYFUNCTION("""COMPUTED_VALUE"""),-0.0106034240440607)</f>
        <v>-1.06034240440607E-2</v>
      </c>
      <c r="PI62" s="3">
        <f ca="1">IFERROR(__xludf.DUMMYFUNCTION("""COMPUTED_VALUE"""),-0.0328772671314507)</f>
        <v>-3.2877267131450699E-2</v>
      </c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</row>
    <row r="63" spans="1:477" ht="13">
      <c r="A63" s="1" t="str">
        <f ca="1">IFERROR(__xludf.DUMMYFUNCTION("""COMPUTED_VALUE"""),"exo Sud-Ouest")</f>
        <v>exo Sud-Ouest</v>
      </c>
      <c r="B63" s="1" t="str">
        <f ca="1">IFERROR(__xludf.DUMMYFUNCTION("""COMPUTED_VALUE"""),"Montréal")</f>
        <v>Montréal</v>
      </c>
      <c r="C63" s="1" t="str">
        <f ca="1">IFERROR(__xludf.DUMMYFUNCTION("""COMPUTED_VALUE"""),"Canada")</f>
        <v>Canada</v>
      </c>
      <c r="D63" s="1" t="str">
        <f ca="1">IFERROR(__xludf.DUMMYFUNCTION("""COMPUTED_VALUE"""),"Quebec")</f>
        <v>Quebec</v>
      </c>
      <c r="E63" s="3">
        <f ca="1">IFERROR(__xludf.DUMMYFUNCTION("""COMPUTED_VALUE"""),-0.583369370544817)</f>
        <v>-0.58336937054481697</v>
      </c>
      <c r="F63" s="3">
        <f ca="1">IFERROR(__xludf.DUMMYFUNCTION("""COMPUTED_VALUE"""),-0.614772051260229)</f>
        <v>-0.61477205126022905</v>
      </c>
      <c r="G63" s="3">
        <f ca="1">IFERROR(__xludf.DUMMYFUNCTION("""COMPUTED_VALUE"""),-0.614739878885802)</f>
        <v>-0.61473987888580195</v>
      </c>
      <c r="H63" s="3">
        <f ca="1">IFERROR(__xludf.DUMMYFUNCTION("""COMPUTED_VALUE"""),-0.588394558427007)</f>
        <v>-0.58839455842700705</v>
      </c>
      <c r="I63" s="3">
        <f ca="1">IFERROR(__xludf.DUMMYFUNCTION("""COMPUTED_VALUE"""),-0.573100672403524)</f>
        <v>-0.57310067240352403</v>
      </c>
      <c r="J63" s="3">
        <f ca="1">IFERROR(__xludf.DUMMYFUNCTION("""COMPUTED_VALUE"""),-0.54903418774917)</f>
        <v>-0.54903418774917001</v>
      </c>
      <c r="K63" s="3">
        <f ca="1">IFERROR(__xludf.DUMMYFUNCTION("""COMPUTED_VALUE"""),-0.595352138113057)</f>
        <v>-0.59535213811305698</v>
      </c>
      <c r="L63" s="3">
        <f ca="1">IFERROR(__xludf.DUMMYFUNCTION("""COMPUTED_VALUE"""),-0.565962020395179)</f>
        <v>-0.56596202039517896</v>
      </c>
      <c r="M63" s="3">
        <f ca="1">IFERROR(__xludf.DUMMYFUNCTION("""COMPUTED_VALUE"""),-0.638808173152664)</f>
        <v>-0.63880817315266403</v>
      </c>
      <c r="N63" s="3">
        <f ca="1">IFERROR(__xludf.DUMMYFUNCTION("""COMPUTED_VALUE"""),-0.592969037307817)</f>
        <v>-0.59296903730781703</v>
      </c>
      <c r="O63" s="3">
        <f ca="1">IFERROR(__xludf.DUMMYFUNCTION("""COMPUTED_VALUE"""),-0.601859609808324)</f>
        <v>-0.60185960980832398</v>
      </c>
      <c r="P63" s="3">
        <f ca="1">IFERROR(__xludf.DUMMYFUNCTION("""COMPUTED_VALUE"""),-0.564227045349541)</f>
        <v>-0.56422704534954105</v>
      </c>
      <c r="Q63" s="3">
        <f ca="1">IFERROR(__xludf.DUMMYFUNCTION("""COMPUTED_VALUE"""),-0.607653277447097)</f>
        <v>-0.60765327744709696</v>
      </c>
      <c r="R63" s="3">
        <f ca="1">IFERROR(__xludf.DUMMYFUNCTION("""COMPUTED_VALUE"""),-0.582929303273514)</f>
        <v>-0.582929303273514</v>
      </c>
      <c r="S63" s="3">
        <f ca="1">IFERROR(__xludf.DUMMYFUNCTION("""COMPUTED_VALUE"""),-0.58443543600487)</f>
        <v>-0.58443543600487002</v>
      </c>
      <c r="T63" s="3">
        <f ca="1">IFERROR(__xludf.DUMMYFUNCTION("""COMPUTED_VALUE"""),-0.644580135605356)</f>
        <v>-0.64458013560535599</v>
      </c>
      <c r="U63" s="3">
        <f ca="1">IFERROR(__xludf.DUMMYFUNCTION("""COMPUTED_VALUE"""),-0.561861389273822)</f>
        <v>-0.56186138927382201</v>
      </c>
      <c r="V63" s="3">
        <f ca="1">IFERROR(__xludf.DUMMYFUNCTION("""COMPUTED_VALUE"""),-0.611814522297169)</f>
        <v>-0.61181452229716904</v>
      </c>
      <c r="W63" s="3">
        <f ca="1">IFERROR(__xludf.DUMMYFUNCTION("""COMPUTED_VALUE"""),-0.564111256662664)</f>
        <v>-0.56411125666266404</v>
      </c>
      <c r="X63" s="3">
        <f ca="1">IFERROR(__xludf.DUMMYFUNCTION("""COMPUTED_VALUE"""),-0.54196647963211)</f>
        <v>-0.54196647963210998</v>
      </c>
      <c r="Y63" s="3">
        <f ca="1">IFERROR(__xludf.DUMMYFUNCTION("""COMPUTED_VALUE"""),-0.481995247842008)</f>
        <v>-0.48199524784200798</v>
      </c>
      <c r="Z63" s="3">
        <f ca="1">IFERROR(__xludf.DUMMYFUNCTION("""COMPUTED_VALUE"""),-0.566060601378946)</f>
        <v>-0.56606060137894598</v>
      </c>
      <c r="AA63" s="3">
        <f ca="1">IFERROR(__xludf.DUMMYFUNCTION("""COMPUTED_VALUE"""),-0.633146576247567)</f>
        <v>-0.63314657624756698</v>
      </c>
      <c r="AB63" s="3">
        <f ca="1">IFERROR(__xludf.DUMMYFUNCTION("""COMPUTED_VALUE"""),-0.637779768387379)</f>
        <v>-0.63777976838737904</v>
      </c>
      <c r="AC63" s="3">
        <f ca="1">IFERROR(__xludf.DUMMYFUNCTION("""COMPUTED_VALUE"""),-0.628634366928879)</f>
        <v>-0.62863436692887897</v>
      </c>
      <c r="AD63" s="3">
        <f ca="1">IFERROR(__xludf.DUMMYFUNCTION("""COMPUTED_VALUE"""),-0.634370897922066)</f>
        <v>-0.63437089792206602</v>
      </c>
      <c r="AE63" s="3">
        <f ca="1">IFERROR(__xludf.DUMMYFUNCTION("""COMPUTED_VALUE"""),-0.637946759470287)</f>
        <v>-0.63794675947028701</v>
      </c>
      <c r="AF63" s="3">
        <f ca="1">IFERROR(__xludf.DUMMYFUNCTION("""COMPUTED_VALUE"""),-0.564841749018018)</f>
        <v>-0.56484174901801798</v>
      </c>
      <c r="AG63" s="3">
        <f ca="1">IFERROR(__xludf.DUMMYFUNCTION("""COMPUTED_VALUE"""),-0.614883144526846)</f>
        <v>-0.614883144526846</v>
      </c>
      <c r="AH63" s="3">
        <f ca="1">IFERROR(__xludf.DUMMYFUNCTION("""COMPUTED_VALUE"""),-0.670792298035329)</f>
        <v>-0.67079229803532903</v>
      </c>
      <c r="AI63" s="3">
        <f ca="1">IFERROR(__xludf.DUMMYFUNCTION("""COMPUTED_VALUE"""),-0.636734881435477)</f>
        <v>-0.63673488143547696</v>
      </c>
      <c r="AJ63" s="3">
        <f ca="1">IFERROR(__xludf.DUMMYFUNCTION("""COMPUTED_VALUE"""),-0.628509863644085)</f>
        <v>-0.62850986364408501</v>
      </c>
      <c r="AK63" s="3">
        <f ca="1">IFERROR(__xludf.DUMMYFUNCTION("""COMPUTED_VALUE"""),-0.658608893612309)</f>
        <v>-0.65860889361230901</v>
      </c>
      <c r="AL63" s="3">
        <f ca="1">IFERROR(__xludf.DUMMYFUNCTION("""COMPUTED_VALUE"""),-0.641629581751263)</f>
        <v>-0.64162958175126295</v>
      </c>
      <c r="AM63" s="3">
        <f ca="1">IFERROR(__xludf.DUMMYFUNCTION("""COMPUTED_VALUE"""),-0.614175777999289)</f>
        <v>-0.61417577799928902</v>
      </c>
      <c r="AN63" s="3">
        <f ca="1">IFERROR(__xludf.DUMMYFUNCTION("""COMPUTED_VALUE"""),-0.630716064492198)</f>
        <v>-0.63071606449219797</v>
      </c>
      <c r="AO63" s="3">
        <f ca="1">IFERROR(__xludf.DUMMYFUNCTION("""COMPUTED_VALUE"""),-0.66880820684373)</f>
        <v>-0.66880820684372999</v>
      </c>
      <c r="AP63" s="3">
        <f ca="1">IFERROR(__xludf.DUMMYFUNCTION("""COMPUTED_VALUE"""),-0.658792861760826)</f>
        <v>-0.65879286176082597</v>
      </c>
      <c r="AQ63" s="3">
        <f ca="1">IFERROR(__xludf.DUMMYFUNCTION("""COMPUTED_VALUE"""),-0.635067558433638)</f>
        <v>-0.63506755843363805</v>
      </c>
      <c r="AR63" s="3">
        <f ca="1">IFERROR(__xludf.DUMMYFUNCTION("""COMPUTED_VALUE"""),-0.655027406162737)</f>
        <v>-0.65502740616273702</v>
      </c>
      <c r="AS63" s="3">
        <f ca="1">IFERROR(__xludf.DUMMYFUNCTION("""COMPUTED_VALUE"""),-0.592725097709617)</f>
        <v>-0.59272509770961701</v>
      </c>
      <c r="AT63" s="3">
        <f ca="1">IFERROR(__xludf.DUMMYFUNCTION("""COMPUTED_VALUE"""),-0.559660377171312)</f>
        <v>-0.55966037717131201</v>
      </c>
      <c r="AU63" s="3">
        <f ca="1">IFERROR(__xludf.DUMMYFUNCTION("""COMPUTED_VALUE"""),-0.60092067849977)</f>
        <v>-0.60092067849977004</v>
      </c>
      <c r="AV63" s="3">
        <f ca="1">IFERROR(__xludf.DUMMYFUNCTION("""COMPUTED_VALUE"""),-0.661449851493569)</f>
        <v>-0.66144985149356905</v>
      </c>
      <c r="AW63" s="3">
        <f ca="1">IFERROR(__xludf.DUMMYFUNCTION("""COMPUTED_VALUE"""),-0.655894049688912)</f>
        <v>-0.65589404968891196</v>
      </c>
      <c r="AX63" s="3">
        <f ca="1">IFERROR(__xludf.DUMMYFUNCTION("""COMPUTED_VALUE"""),-0.62531873605268)</f>
        <v>-0.62531873605267996</v>
      </c>
      <c r="AY63" s="3">
        <f ca="1">IFERROR(__xludf.DUMMYFUNCTION("""COMPUTED_VALUE"""),-0.656575326200275)</f>
        <v>-0.65657532620027503</v>
      </c>
      <c r="AZ63" s="3">
        <f ca="1">IFERROR(__xludf.DUMMYFUNCTION("""COMPUTED_VALUE"""),-0.643913837312655)</f>
        <v>-0.64391383731265495</v>
      </c>
      <c r="BA63" s="3">
        <f ca="1">IFERROR(__xludf.DUMMYFUNCTION("""COMPUTED_VALUE"""),-0.624647061295391)</f>
        <v>-0.62464706129539105</v>
      </c>
      <c r="BB63" s="3">
        <f ca="1">IFERROR(__xludf.DUMMYFUNCTION("""COMPUTED_VALUE"""),-0.61682822495881)</f>
        <v>-0.61682822495880996</v>
      </c>
      <c r="BC63" s="3">
        <f ca="1">IFERROR(__xludf.DUMMYFUNCTION("""COMPUTED_VALUE"""),-0.680485162168534)</f>
        <v>-0.68048516216853405</v>
      </c>
      <c r="BD63" s="3">
        <f ca="1">IFERROR(__xludf.DUMMYFUNCTION("""COMPUTED_VALUE"""),-0.695374782496448)</f>
        <v>-0.69537478249644802</v>
      </c>
      <c r="BE63" s="3">
        <f ca="1">IFERROR(__xludf.DUMMYFUNCTION("""COMPUTED_VALUE"""),-0.636913453816781)</f>
        <v>-0.63691345381678099</v>
      </c>
      <c r="BF63" s="3">
        <f ca="1">IFERROR(__xludf.DUMMYFUNCTION("""COMPUTED_VALUE"""),-0.708231230434437)</f>
        <v>-0.70823123043443703</v>
      </c>
      <c r="BG63" s="3">
        <f ca="1">IFERROR(__xludf.DUMMYFUNCTION("""COMPUTED_VALUE"""),-0.663072013186266)</f>
        <v>-0.66307201318626596</v>
      </c>
      <c r="BH63" s="3">
        <f ca="1">IFERROR(__xludf.DUMMYFUNCTION("""COMPUTED_VALUE"""),-0.592817628353625)</f>
        <v>-0.59281762835362495</v>
      </c>
      <c r="BI63" s="3">
        <f ca="1">IFERROR(__xludf.DUMMYFUNCTION("""COMPUTED_VALUE"""),-0.634712604187512)</f>
        <v>-0.63471260418751196</v>
      </c>
      <c r="BJ63" s="3">
        <f ca="1">IFERROR(__xludf.DUMMYFUNCTION("""COMPUTED_VALUE"""),-0.682519577960645)</f>
        <v>-0.682519577960645</v>
      </c>
      <c r="BK63" s="3">
        <f ca="1">IFERROR(__xludf.DUMMYFUNCTION("""COMPUTED_VALUE"""),-0.689150114988683)</f>
        <v>-0.68915011498868295</v>
      </c>
      <c r="BL63" s="3">
        <f ca="1">IFERROR(__xludf.DUMMYFUNCTION("""COMPUTED_VALUE"""),-0.700615495292858)</f>
        <v>-0.70061549529285805</v>
      </c>
      <c r="BM63" s="3">
        <f ca="1">IFERROR(__xludf.DUMMYFUNCTION("""COMPUTED_VALUE"""),-0.684678757832595)</f>
        <v>-0.68467875783259502</v>
      </c>
      <c r="BN63" s="3">
        <f ca="1">IFERROR(__xludf.DUMMYFUNCTION("""COMPUTED_VALUE"""),-0.689918880737725)</f>
        <v>-0.689918880737725</v>
      </c>
      <c r="BO63" s="3">
        <f ca="1">IFERROR(__xludf.DUMMYFUNCTION("""COMPUTED_VALUE"""),-0.665088385756831)</f>
        <v>-0.66508838575683105</v>
      </c>
      <c r="BP63" s="3">
        <f ca="1">IFERROR(__xludf.DUMMYFUNCTION("""COMPUTED_VALUE"""),-0.711117056493438)</f>
        <v>-0.71111705649343804</v>
      </c>
      <c r="BQ63" s="3">
        <f ca="1">IFERROR(__xludf.DUMMYFUNCTION("""COMPUTED_VALUE"""),-0.705184399100467)</f>
        <v>-0.70518439910046704</v>
      </c>
      <c r="BR63" s="3">
        <f ca="1">IFERROR(__xludf.DUMMYFUNCTION("""COMPUTED_VALUE"""),-0.719348534901736)</f>
        <v>-0.719348534901736</v>
      </c>
      <c r="BS63" s="3">
        <f ca="1">IFERROR(__xludf.DUMMYFUNCTION("""COMPUTED_VALUE"""),-0.721118567368593)</f>
        <v>-0.72111856736859303</v>
      </c>
      <c r="BT63" s="3">
        <f ca="1">IFERROR(__xludf.DUMMYFUNCTION("""COMPUTED_VALUE"""),-0.720434911042606)</f>
        <v>-0.72043491104260604</v>
      </c>
      <c r="BU63" s="3">
        <f ca="1">IFERROR(__xludf.DUMMYFUNCTION("""COMPUTED_VALUE"""),-0.751376355909999)</f>
        <v>-0.75137635590999896</v>
      </c>
      <c r="BV63" s="3">
        <f ca="1">IFERROR(__xludf.DUMMYFUNCTION("""COMPUTED_VALUE"""),-0.707075863055591)</f>
        <v>-0.707075863055591</v>
      </c>
      <c r="BW63" s="3">
        <f ca="1">IFERROR(__xludf.DUMMYFUNCTION("""COMPUTED_VALUE"""),-0.719770176845166)</f>
        <v>-0.71977017684516598</v>
      </c>
      <c r="BX63" s="3">
        <f ca="1">IFERROR(__xludf.DUMMYFUNCTION("""COMPUTED_VALUE"""),-0.736008487523626)</f>
        <v>-0.73600848752362602</v>
      </c>
      <c r="BY63" s="3">
        <f ca="1">IFERROR(__xludf.DUMMYFUNCTION("""COMPUTED_VALUE"""),-0.749981119727687)</f>
        <v>-0.749981119727687</v>
      </c>
      <c r="BZ63" s="3">
        <f ca="1">IFERROR(__xludf.DUMMYFUNCTION("""COMPUTED_VALUE"""),-0.738256627150956)</f>
        <v>-0.73825662715095597</v>
      </c>
      <c r="CA63" s="3">
        <f ca="1">IFERROR(__xludf.DUMMYFUNCTION("""COMPUTED_VALUE"""),-0.748325831079702)</f>
        <v>-0.74832583107970196</v>
      </c>
      <c r="CB63" s="3">
        <f ca="1">IFERROR(__xludf.DUMMYFUNCTION("""COMPUTED_VALUE"""),-0.726329334758752)</f>
        <v>-0.72632933475875205</v>
      </c>
      <c r="CC63" s="3">
        <f ca="1">IFERROR(__xludf.DUMMYFUNCTION("""COMPUTED_VALUE"""),-0.693957303972971)</f>
        <v>-0.69395730397297095</v>
      </c>
      <c r="CD63" s="3">
        <f ca="1">IFERROR(__xludf.DUMMYFUNCTION("""COMPUTED_VALUE"""),-0.700963036946163)</f>
        <v>-0.70096303694616302</v>
      </c>
      <c r="CE63" s="3">
        <f ca="1">IFERROR(__xludf.DUMMYFUNCTION("""COMPUTED_VALUE"""),-0.716615137259443)</f>
        <v>-0.71661513725944304</v>
      </c>
      <c r="CF63" s="3">
        <f ca="1">IFERROR(__xludf.DUMMYFUNCTION("""COMPUTED_VALUE"""),-0.6990578748811)</f>
        <v>-0.69905787488110005</v>
      </c>
      <c r="CG63" s="3">
        <f ca="1">IFERROR(__xludf.DUMMYFUNCTION("""COMPUTED_VALUE"""),-0.700799148250386)</f>
        <v>-0.70079914825038603</v>
      </c>
      <c r="CH63" s="3">
        <f ca="1">IFERROR(__xludf.DUMMYFUNCTION("""COMPUTED_VALUE"""),-0.71913018961816)</f>
        <v>-0.71913018961816</v>
      </c>
      <c r="CI63" s="3">
        <f ca="1">IFERROR(__xludf.DUMMYFUNCTION("""COMPUTED_VALUE"""),-0.697472858491585)</f>
        <v>-0.69747285849158502</v>
      </c>
      <c r="CJ63" s="3">
        <f ca="1">IFERROR(__xludf.DUMMYFUNCTION("""COMPUTED_VALUE"""),-0.656391583673776)</f>
        <v>-0.65639158367377604</v>
      </c>
      <c r="CK63" s="3">
        <f ca="1">IFERROR(__xludf.DUMMYFUNCTION("""COMPUTED_VALUE"""),-0.662068053091552)</f>
        <v>-0.66206805309155203</v>
      </c>
      <c r="CL63" s="3">
        <f ca="1">IFERROR(__xludf.DUMMYFUNCTION("""COMPUTED_VALUE"""),-0.734607469843413)</f>
        <v>-0.73460746984341296</v>
      </c>
      <c r="CM63" s="3">
        <f ca="1">IFERROR(__xludf.DUMMYFUNCTION("""COMPUTED_VALUE"""),-0.73751252797324)</f>
        <v>-0.73751252797323996</v>
      </c>
      <c r="CN63" s="3">
        <f ca="1">IFERROR(__xludf.DUMMYFUNCTION("""COMPUTED_VALUE"""),-0.736674255834018)</f>
        <v>-0.73667425583401802</v>
      </c>
      <c r="CO63" s="3">
        <f ca="1">IFERROR(__xludf.DUMMYFUNCTION("""COMPUTED_VALUE"""),-0.750988457024192)</f>
        <v>-0.75098845702419204</v>
      </c>
      <c r="CP63" s="3">
        <f ca="1">IFERROR(__xludf.DUMMYFUNCTION("""COMPUTED_VALUE"""),-0.724417537401512)</f>
        <v>-0.72441753740151205</v>
      </c>
      <c r="CQ63" s="3">
        <f ca="1">IFERROR(__xludf.DUMMYFUNCTION("""COMPUTED_VALUE"""),-0.664985466016352)</f>
        <v>-0.664985466016352</v>
      </c>
      <c r="CR63" s="3">
        <f ca="1">IFERROR(__xludf.DUMMYFUNCTION("""COMPUTED_VALUE"""),-0.680319117813109)</f>
        <v>-0.68031911781310905</v>
      </c>
      <c r="CS63" s="3">
        <f ca="1">IFERROR(__xludf.DUMMYFUNCTION("""COMPUTED_VALUE"""),-0.707055501002109)</f>
        <v>-0.70705550100210901</v>
      </c>
      <c r="CT63" s="3">
        <f ca="1">IFERROR(__xludf.DUMMYFUNCTION("""COMPUTED_VALUE"""),-0.707072865497799)</f>
        <v>-0.70707286549779902</v>
      </c>
      <c r="CU63" s="3">
        <f ca="1">IFERROR(__xludf.DUMMYFUNCTION("""COMPUTED_VALUE"""),-0.673435354224527)</f>
        <v>-0.67343535422452705</v>
      </c>
      <c r="CV63" s="3">
        <f ca="1">IFERROR(__xludf.DUMMYFUNCTION("""COMPUTED_VALUE"""),-0.674091778541058)</f>
        <v>-0.67409177854105795</v>
      </c>
      <c r="CW63" s="3">
        <f ca="1">IFERROR(__xludf.DUMMYFUNCTION("""COMPUTED_VALUE"""),-0.644786387457904)</f>
        <v>-0.64478638745790395</v>
      </c>
      <c r="CX63" s="3">
        <f ca="1">IFERROR(__xludf.DUMMYFUNCTION("""COMPUTED_VALUE"""),-0.62426119965097)</f>
        <v>-0.62426119965097004</v>
      </c>
      <c r="CY63" s="3">
        <f ca="1">IFERROR(__xludf.DUMMYFUNCTION("""COMPUTED_VALUE"""),-0.643497065865934)</f>
        <v>-0.64349706586593403</v>
      </c>
      <c r="CZ63" s="3">
        <f ca="1">IFERROR(__xludf.DUMMYFUNCTION("""COMPUTED_VALUE"""),-0.738446959706769)</f>
        <v>-0.73844695970676899</v>
      </c>
      <c r="DA63" s="3">
        <f ca="1">IFERROR(__xludf.DUMMYFUNCTION("""COMPUTED_VALUE"""),-0.68676464151123)</f>
        <v>-0.68676464151122996</v>
      </c>
      <c r="DB63" s="3">
        <f ca="1">IFERROR(__xludf.DUMMYFUNCTION("""COMPUTED_VALUE"""),-0.563531228047193)</f>
        <v>-0.56353122804719302</v>
      </c>
      <c r="DC63" s="3">
        <f ca="1">IFERROR(__xludf.DUMMYFUNCTION("""COMPUTED_VALUE"""),-0.64580682995528)</f>
        <v>-0.64580682995528005</v>
      </c>
      <c r="DD63" s="3">
        <f ca="1">IFERROR(__xludf.DUMMYFUNCTION("""COMPUTED_VALUE"""),-0.68844112600052)</f>
        <v>-0.68844112600051999</v>
      </c>
      <c r="DE63" s="3">
        <f ca="1">IFERROR(__xludf.DUMMYFUNCTION("""COMPUTED_VALUE"""),-0.643917491071924)</f>
        <v>-0.64391749107192398</v>
      </c>
      <c r="DF63" s="3">
        <f ca="1">IFERROR(__xludf.DUMMYFUNCTION("""COMPUTED_VALUE"""),-0.676902246811066)</f>
        <v>-0.67690224681106603</v>
      </c>
      <c r="DG63" s="3">
        <f ca="1">IFERROR(__xludf.DUMMYFUNCTION("""COMPUTED_VALUE"""),-0.7852962500655)</f>
        <v>-0.78529625006549997</v>
      </c>
      <c r="DH63" s="3">
        <f ca="1">IFERROR(__xludf.DUMMYFUNCTION("""COMPUTED_VALUE"""),-0.651277368617413)</f>
        <v>-0.65127736861741303</v>
      </c>
      <c r="DI63" s="3">
        <f ca="1">IFERROR(__xludf.DUMMYFUNCTION("""COMPUTED_VALUE"""),-0.430610421941732)</f>
        <v>-0.43061042194173199</v>
      </c>
      <c r="DJ63" s="3">
        <f ca="1">IFERROR(__xludf.DUMMYFUNCTION("""COMPUTED_VALUE"""),-0.608299265899518)</f>
        <v>-0.60829926589951799</v>
      </c>
      <c r="DK63" s="3">
        <f ca="1">IFERROR(__xludf.DUMMYFUNCTION("""COMPUTED_VALUE"""),-0.628049939333444)</f>
        <v>-0.628049939333444</v>
      </c>
      <c r="DL63" s="3">
        <f ca="1">IFERROR(__xludf.DUMMYFUNCTION("""COMPUTED_VALUE"""),-0.539748585081831)</f>
        <v>-0.53974858508183099</v>
      </c>
      <c r="DM63" s="3">
        <f ca="1">IFERROR(__xludf.DUMMYFUNCTION("""COMPUTED_VALUE"""),-0.575163280696406)</f>
        <v>-0.57516328069640599</v>
      </c>
      <c r="DN63" s="3">
        <f ca="1">IFERROR(__xludf.DUMMYFUNCTION("""COMPUTED_VALUE"""),-0.66338474922216)</f>
        <v>-0.66338474922215995</v>
      </c>
      <c r="DO63" s="3">
        <f ca="1">IFERROR(__xludf.DUMMYFUNCTION("""COMPUTED_VALUE"""),-0.661746928793053)</f>
        <v>-0.66174692879305297</v>
      </c>
      <c r="DP63" s="3">
        <f ca="1">IFERROR(__xludf.DUMMYFUNCTION("""COMPUTED_VALUE"""),-0.546505187472807)</f>
        <v>-0.54650518747280696</v>
      </c>
      <c r="DQ63" s="3">
        <f ca="1">IFERROR(__xludf.DUMMYFUNCTION("""COMPUTED_VALUE"""),-0.586688409899713)</f>
        <v>-0.58668840989971305</v>
      </c>
      <c r="DR63" s="3">
        <f ca="1">IFERROR(__xludf.DUMMYFUNCTION("""COMPUTED_VALUE"""),-0.639202033534363)</f>
        <v>-0.639202033534363</v>
      </c>
      <c r="DS63" s="3">
        <f ca="1">IFERROR(__xludf.DUMMYFUNCTION("""COMPUTED_VALUE"""),-0.602718607174352)</f>
        <v>-0.60271860717435199</v>
      </c>
      <c r="DT63" s="3">
        <f ca="1">IFERROR(__xludf.DUMMYFUNCTION("""COMPUTED_VALUE"""),-0.615835759968423)</f>
        <v>-0.61583575996842299</v>
      </c>
      <c r="DU63" s="3">
        <f ca="1">IFERROR(__xludf.DUMMYFUNCTION("""COMPUTED_VALUE"""),-0.64120960080038)</f>
        <v>-0.64120960080038003</v>
      </c>
      <c r="DV63" s="3">
        <f ca="1">IFERROR(__xludf.DUMMYFUNCTION("""COMPUTED_VALUE"""),-0.642034440290863)</f>
        <v>-0.64203444029086298</v>
      </c>
      <c r="DW63" s="3">
        <f ca="1">IFERROR(__xludf.DUMMYFUNCTION("""COMPUTED_VALUE"""),-0.639576378532713)</f>
        <v>-0.63957637853271299</v>
      </c>
      <c r="DX63" s="3">
        <f ca="1">IFERROR(__xludf.DUMMYFUNCTION("""COMPUTED_VALUE"""),-0.635922762332809)</f>
        <v>-0.63592276233280898</v>
      </c>
      <c r="DY63" s="3">
        <f ca="1">IFERROR(__xludf.DUMMYFUNCTION("""COMPUTED_VALUE"""),-0.648946025279425)</f>
        <v>-0.64894602527942502</v>
      </c>
      <c r="DZ63" s="3">
        <f ca="1">IFERROR(__xludf.DUMMYFUNCTION("""COMPUTED_VALUE"""),-0.616438881437023)</f>
        <v>-0.61643888143702297</v>
      </c>
      <c r="EA63" s="3">
        <f ca="1">IFERROR(__xludf.DUMMYFUNCTION("""COMPUTED_VALUE"""),-0.586820376570325)</f>
        <v>-0.58682037657032504</v>
      </c>
      <c r="EB63" s="3">
        <f ca="1">IFERROR(__xludf.DUMMYFUNCTION("""COMPUTED_VALUE"""),-0.656528667121859)</f>
        <v>-0.65652866712185898</v>
      </c>
      <c r="EC63" s="3">
        <f ca="1">IFERROR(__xludf.DUMMYFUNCTION("""COMPUTED_VALUE"""),-0.670829160144958)</f>
        <v>-0.67082916014495797</v>
      </c>
      <c r="ED63" s="3">
        <f ca="1">IFERROR(__xludf.DUMMYFUNCTION("""COMPUTED_VALUE"""),-0.668874293576845)</f>
        <v>-0.66887429357684502</v>
      </c>
      <c r="EE63" s="3">
        <f ca="1">IFERROR(__xludf.DUMMYFUNCTION("""COMPUTED_VALUE"""),-0.623399538529341)</f>
        <v>-0.62339953852934105</v>
      </c>
      <c r="EF63" s="3">
        <f ca="1">IFERROR(__xludf.DUMMYFUNCTION("""COMPUTED_VALUE"""),-0.602108527680196)</f>
        <v>-0.60210852768019596</v>
      </c>
      <c r="EG63" s="3">
        <f ca="1">IFERROR(__xludf.DUMMYFUNCTION("""COMPUTED_VALUE"""),-0.559557965502453)</f>
        <v>-0.55955796550245296</v>
      </c>
      <c r="EH63" s="3">
        <f ca="1">IFERROR(__xludf.DUMMYFUNCTION("""COMPUTED_VALUE"""),-0.552554629258181)</f>
        <v>-0.552554629258181</v>
      </c>
      <c r="EI63" s="3">
        <f ca="1">IFERROR(__xludf.DUMMYFUNCTION("""COMPUTED_VALUE"""),-0.598502625538711)</f>
        <v>-0.59850262553871103</v>
      </c>
      <c r="EJ63" s="3">
        <f ca="1">IFERROR(__xludf.DUMMYFUNCTION("""COMPUTED_VALUE"""),-0.643951126243389)</f>
        <v>-0.64395112624338902</v>
      </c>
      <c r="EK63" s="3">
        <f ca="1">IFERROR(__xludf.DUMMYFUNCTION("""COMPUTED_VALUE"""),-0.602912929868483)</f>
        <v>-0.60291292986848299</v>
      </c>
      <c r="EL63" s="3">
        <f ca="1">IFERROR(__xludf.DUMMYFUNCTION("""COMPUTED_VALUE"""),-0.63500897102631)</f>
        <v>-0.63500897102631004</v>
      </c>
      <c r="EM63" s="3">
        <f ca="1">IFERROR(__xludf.DUMMYFUNCTION("""COMPUTED_VALUE"""),-0.646170131690729)</f>
        <v>-0.64617013169072901</v>
      </c>
      <c r="EN63" s="3">
        <f ca="1">IFERROR(__xludf.DUMMYFUNCTION("""COMPUTED_VALUE"""),-0.571867636194686)</f>
        <v>-0.57186763619468595</v>
      </c>
      <c r="EO63" s="3">
        <f ca="1">IFERROR(__xludf.DUMMYFUNCTION("""COMPUTED_VALUE"""),-0.587828902460365)</f>
        <v>-0.58782890246036501</v>
      </c>
      <c r="EP63" s="3">
        <f ca="1">IFERROR(__xludf.DUMMYFUNCTION("""COMPUTED_VALUE"""),-0.625029488568309)</f>
        <v>-0.62502948856830898</v>
      </c>
      <c r="EQ63" s="3">
        <f ca="1">IFERROR(__xludf.DUMMYFUNCTION("""COMPUTED_VALUE"""),-0.706959948628339)</f>
        <v>-0.706959948628339</v>
      </c>
      <c r="ER63" s="3">
        <f ca="1">IFERROR(__xludf.DUMMYFUNCTION("""COMPUTED_VALUE"""),-0.656480189380521)</f>
        <v>-0.656480189380521</v>
      </c>
      <c r="ES63" s="3">
        <f ca="1">IFERROR(__xludf.DUMMYFUNCTION("""COMPUTED_VALUE"""),-0.678603897979511)</f>
        <v>-0.67860389797951104</v>
      </c>
      <c r="ET63" s="3">
        <f ca="1">IFERROR(__xludf.DUMMYFUNCTION("""COMPUTED_VALUE"""),-0.67412330303905)</f>
        <v>-0.67412330303904999</v>
      </c>
      <c r="EU63" s="3">
        <f ca="1">IFERROR(__xludf.DUMMYFUNCTION("""COMPUTED_VALUE"""),-0.568102011810675)</f>
        <v>-0.56810201181067499</v>
      </c>
      <c r="EV63" s="3">
        <f ca="1">IFERROR(__xludf.DUMMYFUNCTION("""COMPUTED_VALUE"""),-0.594733436508361)</f>
        <v>-0.59473343650836097</v>
      </c>
      <c r="EW63" s="3">
        <f ca="1">IFERROR(__xludf.DUMMYFUNCTION("""COMPUTED_VALUE"""),-0.665125928920064)</f>
        <v>-0.66512592892006395</v>
      </c>
      <c r="EX63" s="3">
        <f ca="1">IFERROR(__xludf.DUMMYFUNCTION("""COMPUTED_VALUE"""),-0.706110418164716)</f>
        <v>-0.70611041816471598</v>
      </c>
      <c r="EY63" s="3">
        <f ca="1">IFERROR(__xludf.DUMMYFUNCTION("""COMPUTED_VALUE"""),-0.693071426391209)</f>
        <v>-0.693071426391209</v>
      </c>
      <c r="EZ63" s="3">
        <f ca="1">IFERROR(__xludf.DUMMYFUNCTION("""COMPUTED_VALUE"""),-0.657953905152679)</f>
        <v>-0.65795390515267904</v>
      </c>
      <c r="FA63" s="3">
        <f ca="1">IFERROR(__xludf.DUMMYFUNCTION("""COMPUTED_VALUE"""),-0.622976894831356)</f>
        <v>-0.62297689483135599</v>
      </c>
      <c r="FB63" s="3">
        <f ca="1">IFERROR(__xludf.DUMMYFUNCTION("""COMPUTED_VALUE"""),-0.519073626194941)</f>
        <v>-0.51907362619494102</v>
      </c>
      <c r="FC63" s="3">
        <f ca="1">IFERROR(__xludf.DUMMYFUNCTION("""COMPUTED_VALUE"""),-0.549270722982642)</f>
        <v>-0.54927072298264201</v>
      </c>
      <c r="FD63" s="3">
        <f ca="1">IFERROR(__xludf.DUMMYFUNCTION("""COMPUTED_VALUE"""),-0.614370226885305)</f>
        <v>-0.61437022688530496</v>
      </c>
      <c r="FE63" s="3">
        <f ca="1">IFERROR(__xludf.DUMMYFUNCTION("""COMPUTED_VALUE"""),-0.656328211104134)</f>
        <v>-0.65632821110413397</v>
      </c>
      <c r="FF63" s="3">
        <f ca="1">IFERROR(__xludf.DUMMYFUNCTION("""COMPUTED_VALUE"""),-0.65500412829895)</f>
        <v>-0.65500412829895005</v>
      </c>
      <c r="FG63" s="3">
        <f ca="1">IFERROR(__xludf.DUMMYFUNCTION("""COMPUTED_VALUE"""),-0.676170496377217)</f>
        <v>-0.67617049637721705</v>
      </c>
      <c r="FH63" s="3">
        <f ca="1">IFERROR(__xludf.DUMMYFUNCTION("""COMPUTED_VALUE"""),-0.641826366017268)</f>
        <v>-0.64182636601726795</v>
      </c>
      <c r="FI63" s="3">
        <f ca="1">IFERROR(__xludf.DUMMYFUNCTION("""COMPUTED_VALUE"""),-0.576572715328956)</f>
        <v>-0.57657271532895604</v>
      </c>
      <c r="FJ63" s="3">
        <f ca="1">IFERROR(__xludf.DUMMYFUNCTION("""COMPUTED_VALUE"""),-0.566183871211459)</f>
        <v>-0.56618387121145897</v>
      </c>
      <c r="FK63" s="3">
        <f ca="1">IFERROR(__xludf.DUMMYFUNCTION("""COMPUTED_VALUE"""),-0.642750763959285)</f>
        <v>-0.64275076395928499</v>
      </c>
      <c r="FL63" s="3">
        <f ca="1">IFERROR(__xludf.DUMMYFUNCTION("""COMPUTED_VALUE"""),-0.658065474286564)</f>
        <v>-0.65806547428656403</v>
      </c>
      <c r="FM63" s="3">
        <f ca="1">IFERROR(__xludf.DUMMYFUNCTION("""COMPUTED_VALUE"""),-0.618446467787632)</f>
        <v>-0.61844646778763201</v>
      </c>
      <c r="FN63" s="3">
        <f ca="1">IFERROR(__xludf.DUMMYFUNCTION("""COMPUTED_VALUE"""),-0.592293400807288)</f>
        <v>-0.59229340080728798</v>
      </c>
      <c r="FO63" s="3">
        <f ca="1">IFERROR(__xludf.DUMMYFUNCTION("""COMPUTED_VALUE"""),-0.580690462262125)</f>
        <v>-0.58069046226212495</v>
      </c>
      <c r="FP63" s="3">
        <f ca="1">IFERROR(__xludf.DUMMYFUNCTION("""COMPUTED_VALUE"""),-0.531834882023715)</f>
        <v>-0.53183488202371498</v>
      </c>
      <c r="FQ63" s="3">
        <f ca="1">IFERROR(__xludf.DUMMYFUNCTION("""COMPUTED_VALUE"""),-0.580393885458028)</f>
        <v>-0.58039388545802795</v>
      </c>
      <c r="FR63" s="3">
        <f ca="1">IFERROR(__xludf.DUMMYFUNCTION("""COMPUTED_VALUE"""),-0.608693891868793)</f>
        <v>-0.60869389186879297</v>
      </c>
      <c r="FS63" s="3">
        <f ca="1">IFERROR(__xludf.DUMMYFUNCTION("""COMPUTED_VALUE"""),-0.657963626711042)</f>
        <v>-0.65796362671104203</v>
      </c>
      <c r="FT63" s="3">
        <f ca="1">IFERROR(__xludf.DUMMYFUNCTION("""COMPUTED_VALUE"""),-0.592043435741415)</f>
        <v>-0.59204343574141505</v>
      </c>
      <c r="FU63" s="3">
        <f ca="1">IFERROR(__xludf.DUMMYFUNCTION("""COMPUTED_VALUE"""),-0.571628454202305)</f>
        <v>-0.57162845420230501</v>
      </c>
      <c r="FV63" s="3">
        <f ca="1">IFERROR(__xludf.DUMMYFUNCTION("""COMPUTED_VALUE"""),-0.543344997607794)</f>
        <v>-0.54334499760779398</v>
      </c>
      <c r="FW63" s="3">
        <f ca="1">IFERROR(__xludf.DUMMYFUNCTION("""COMPUTED_VALUE"""),-0.541960109031437)</f>
        <v>-0.54196010903143699</v>
      </c>
      <c r="FX63" s="3">
        <f ca="1">IFERROR(__xludf.DUMMYFUNCTION("""COMPUTED_VALUE"""),-0.582737520047629)</f>
        <v>-0.58273752004762902</v>
      </c>
      <c r="FY63" s="3">
        <f ca="1">IFERROR(__xludf.DUMMYFUNCTION("""COMPUTED_VALUE"""),-0.628900044013046)</f>
        <v>-0.628900044013046</v>
      </c>
      <c r="FZ63" s="3">
        <f ca="1">IFERROR(__xludf.DUMMYFUNCTION("""COMPUTED_VALUE"""),-0.591119457436446)</f>
        <v>-0.59111945743644601</v>
      </c>
      <c r="GA63" s="3">
        <f ca="1">IFERROR(__xludf.DUMMYFUNCTION("""COMPUTED_VALUE"""),-0.610946568439174)</f>
        <v>-0.61094656843917405</v>
      </c>
      <c r="GB63" s="3">
        <f ca="1">IFERROR(__xludf.DUMMYFUNCTION("""COMPUTED_VALUE"""),-0.610936342305496)</f>
        <v>-0.61093634230549598</v>
      </c>
      <c r="GC63" s="3">
        <f ca="1">IFERROR(__xludf.DUMMYFUNCTION("""COMPUTED_VALUE"""),-0.566140517730424)</f>
        <v>-0.56614051773042395</v>
      </c>
      <c r="GD63" s="3">
        <f ca="1">IFERROR(__xludf.DUMMYFUNCTION("""COMPUTED_VALUE"""),-0.52877673789756)</f>
        <v>-0.52877673789755997</v>
      </c>
      <c r="GE63" s="3">
        <f ca="1">IFERROR(__xludf.DUMMYFUNCTION("""COMPUTED_VALUE"""),-0.581713550576741)</f>
        <v>-0.58171355057674101</v>
      </c>
      <c r="GF63" s="3">
        <f ca="1">IFERROR(__xludf.DUMMYFUNCTION("""COMPUTED_VALUE"""),-0.627836347739847)</f>
        <v>-0.62783634773984698</v>
      </c>
      <c r="GG63" s="3">
        <f ca="1">IFERROR(__xludf.DUMMYFUNCTION("""COMPUTED_VALUE"""),-0.598581010754391)</f>
        <v>-0.59858101075439096</v>
      </c>
      <c r="GH63" s="3">
        <f ca="1">IFERROR(__xludf.DUMMYFUNCTION("""COMPUTED_VALUE"""),-0.571654490723844)</f>
        <v>-0.571654490723844</v>
      </c>
      <c r="GI63" s="3">
        <f ca="1">IFERROR(__xludf.DUMMYFUNCTION("""COMPUTED_VALUE"""),-0.548947026753877)</f>
        <v>-0.54894702675387697</v>
      </c>
      <c r="GJ63" s="3">
        <f ca="1">IFERROR(__xludf.DUMMYFUNCTION("""COMPUTED_VALUE"""),-0.465688293748345)</f>
        <v>-0.46568829374834497</v>
      </c>
      <c r="GK63" s="3">
        <f ca="1">IFERROR(__xludf.DUMMYFUNCTION("""COMPUTED_VALUE"""),-0.518014226128232)</f>
        <v>-0.518014226128232</v>
      </c>
      <c r="GL63" s="3">
        <f ca="1">IFERROR(__xludf.DUMMYFUNCTION("""COMPUTED_VALUE"""),-0.553754738615745)</f>
        <v>-0.55375473861574498</v>
      </c>
      <c r="GM63" s="3">
        <f ca="1">IFERROR(__xludf.DUMMYFUNCTION("""COMPUTED_VALUE"""),-0.595373885112948)</f>
        <v>-0.59537388511294798</v>
      </c>
      <c r="GN63" s="3">
        <f ca="1">IFERROR(__xludf.DUMMYFUNCTION("""COMPUTED_VALUE"""),-0.55063723290573)</f>
        <v>-0.55063723290572997</v>
      </c>
      <c r="GO63" s="3">
        <f ca="1">IFERROR(__xludf.DUMMYFUNCTION("""COMPUTED_VALUE"""),-0.526791636294263)</f>
        <v>-0.52679163629426295</v>
      </c>
      <c r="GP63" s="3">
        <f ca="1">IFERROR(__xludf.DUMMYFUNCTION("""COMPUTED_VALUE"""),-0.526552739576032)</f>
        <v>-0.52655273957603199</v>
      </c>
      <c r="GQ63" s="3">
        <f ca="1">IFERROR(__xludf.DUMMYFUNCTION("""COMPUTED_VALUE"""),-0.475765761439615)</f>
        <v>-0.47576576143961502</v>
      </c>
      <c r="GR63" s="3">
        <f ca="1">IFERROR(__xludf.DUMMYFUNCTION("""COMPUTED_VALUE"""),-0.381075260250355)</f>
        <v>-0.38107526025035499</v>
      </c>
      <c r="GS63" s="3">
        <f ca="1">IFERROR(__xludf.DUMMYFUNCTION("""COMPUTED_VALUE"""),-0.451180317057407)</f>
        <v>-0.45118031705740702</v>
      </c>
      <c r="GT63" s="3">
        <f ca="1">IFERROR(__xludf.DUMMYFUNCTION("""COMPUTED_VALUE"""),-0.538654351270772)</f>
        <v>-0.53865435127077199</v>
      </c>
      <c r="GU63" s="3">
        <f ca="1">IFERROR(__xludf.DUMMYFUNCTION("""COMPUTED_VALUE"""),-0.515227766505621)</f>
        <v>-0.51522776650562097</v>
      </c>
      <c r="GV63" s="3">
        <f ca="1">IFERROR(__xludf.DUMMYFUNCTION("""COMPUTED_VALUE"""),-0.473643405547241)</f>
        <v>-0.47364340554724099</v>
      </c>
      <c r="GW63" s="3">
        <f ca="1">IFERROR(__xludf.DUMMYFUNCTION("""COMPUTED_VALUE"""),-0.470039266834852)</f>
        <v>-0.47003926683485198</v>
      </c>
      <c r="GX63" s="3">
        <f ca="1">IFERROR(__xludf.DUMMYFUNCTION("""COMPUTED_VALUE"""),-0.436415109937978)</f>
        <v>-0.436415109937978</v>
      </c>
      <c r="GY63" s="3">
        <f ca="1">IFERROR(__xludf.DUMMYFUNCTION("""COMPUTED_VALUE"""),-0.365508372190973)</f>
        <v>-0.36550837219097299</v>
      </c>
      <c r="GZ63" s="3">
        <f ca="1">IFERROR(__xludf.DUMMYFUNCTION("""COMPUTED_VALUE"""),-0.459025513725102)</f>
        <v>-0.45902551372510197</v>
      </c>
      <c r="HA63" s="3">
        <f ca="1">IFERROR(__xludf.DUMMYFUNCTION("""COMPUTED_VALUE"""),-0.495731782454033)</f>
        <v>-0.49573178245403299</v>
      </c>
      <c r="HB63" s="3">
        <f ca="1">IFERROR(__xludf.DUMMYFUNCTION("""COMPUTED_VALUE"""),-0.475736614425933)</f>
        <v>-0.47573661442593301</v>
      </c>
      <c r="HC63" s="3">
        <f ca="1">IFERROR(__xludf.DUMMYFUNCTION("""COMPUTED_VALUE"""),-0.448725361195605)</f>
        <v>-0.44872536119560502</v>
      </c>
      <c r="HD63" s="3">
        <f ca="1">IFERROR(__xludf.DUMMYFUNCTION("""COMPUTED_VALUE"""),-0.445785494211998)</f>
        <v>-0.44578549421199798</v>
      </c>
      <c r="HE63" s="3">
        <f ca="1">IFERROR(__xludf.DUMMYFUNCTION("""COMPUTED_VALUE"""),-0.452185304336281)</f>
        <v>-0.45218530433628101</v>
      </c>
      <c r="HF63" s="3">
        <f ca="1">IFERROR(__xludf.DUMMYFUNCTION("""COMPUTED_VALUE"""),-0.38191405199206)</f>
        <v>-0.38191405199206002</v>
      </c>
      <c r="HG63" s="3">
        <f ca="1">IFERROR(__xludf.DUMMYFUNCTION("""COMPUTED_VALUE"""),-0.375568427702133)</f>
        <v>-0.375568427702133</v>
      </c>
      <c r="HH63" s="3">
        <f ca="1">IFERROR(__xludf.DUMMYFUNCTION("""COMPUTED_VALUE"""),-0.495748578675884)</f>
        <v>-0.49574857867588401</v>
      </c>
      <c r="HI63" s="3">
        <f ca="1">IFERROR(__xludf.DUMMYFUNCTION("""COMPUTED_VALUE"""),-0.477867124232248)</f>
        <v>-0.47786712423224798</v>
      </c>
      <c r="HJ63" s="3">
        <f ca="1">IFERROR(__xludf.DUMMYFUNCTION("""COMPUTED_VALUE"""),-0.46710673839925)</f>
        <v>-0.46710673839924999</v>
      </c>
      <c r="HK63" s="3">
        <f ca="1">IFERROR(__xludf.DUMMYFUNCTION("""COMPUTED_VALUE"""),-0.399785415047976)</f>
        <v>-0.39978541504797599</v>
      </c>
      <c r="HL63" s="3">
        <f ca="1">IFERROR(__xludf.DUMMYFUNCTION("""COMPUTED_VALUE"""),-0.492093779896936)</f>
        <v>-0.49209377989693598</v>
      </c>
      <c r="HM63" s="3">
        <f ca="1">IFERROR(__xludf.DUMMYFUNCTION("""COMPUTED_VALUE"""),-0.30131673372521)</f>
        <v>-0.30131673372521001</v>
      </c>
      <c r="HN63" s="3">
        <f ca="1">IFERROR(__xludf.DUMMYFUNCTION("""COMPUTED_VALUE"""),-0.393685236092061)</f>
        <v>-0.39368523609206102</v>
      </c>
      <c r="HO63" s="3">
        <f ca="1">IFERROR(__xludf.DUMMYFUNCTION("""COMPUTED_VALUE"""),-0.443248791305697)</f>
        <v>-0.443248791305697</v>
      </c>
      <c r="HP63" s="3">
        <f ca="1">IFERROR(__xludf.DUMMYFUNCTION("""COMPUTED_VALUE"""),-0.437446420137921)</f>
        <v>-0.43744642013792101</v>
      </c>
      <c r="HQ63" s="3">
        <f ca="1">IFERROR(__xludf.DUMMYFUNCTION("""COMPUTED_VALUE"""),-0.47530513727659)</f>
        <v>-0.47530513727659002</v>
      </c>
      <c r="HR63" s="3">
        <f ca="1">IFERROR(__xludf.DUMMYFUNCTION("""COMPUTED_VALUE"""),-0.395550294379458)</f>
        <v>-0.39555029437945799</v>
      </c>
      <c r="HS63" s="3">
        <f ca="1">IFERROR(__xludf.DUMMYFUNCTION("""COMPUTED_VALUE"""),-0.362179264850254)</f>
        <v>-0.36217926485025398</v>
      </c>
      <c r="HT63" s="3">
        <f ca="1">IFERROR(__xludf.DUMMYFUNCTION("""COMPUTED_VALUE"""),-0.389590052615261)</f>
        <v>-0.38959005261526097</v>
      </c>
      <c r="HU63" s="3">
        <f ca="1">IFERROR(__xludf.DUMMYFUNCTION("""COMPUTED_VALUE"""),-0.509812069945909)</f>
        <v>-0.509812069945909</v>
      </c>
      <c r="HV63" s="3">
        <f ca="1">IFERROR(__xludf.DUMMYFUNCTION("""COMPUTED_VALUE"""),-0.467795887966664)</f>
        <v>-0.46779588796666399</v>
      </c>
      <c r="HW63" s="3">
        <f ca="1">IFERROR(__xludf.DUMMYFUNCTION("""COMPUTED_VALUE"""),-0.514002905991449)</f>
        <v>-0.51400290599144904</v>
      </c>
      <c r="HX63" s="3">
        <f ca="1">IFERROR(__xludf.DUMMYFUNCTION("""COMPUTED_VALUE"""),-0.520152988829432)</f>
        <v>-0.52015298882943195</v>
      </c>
      <c r="HY63" s="3">
        <f ca="1">IFERROR(__xludf.DUMMYFUNCTION("""COMPUTED_VALUE"""),-0.475519438553005)</f>
        <v>-0.47551943855300499</v>
      </c>
      <c r="HZ63" s="3">
        <f ca="1">IFERROR(__xludf.DUMMYFUNCTION("""COMPUTED_VALUE"""),-0.409807974547066)</f>
        <v>-0.40980797454706602</v>
      </c>
      <c r="IA63" s="3">
        <f ca="1">IFERROR(__xludf.DUMMYFUNCTION("""COMPUTED_VALUE"""),-0.457358787826878)</f>
        <v>-0.457358787826878</v>
      </c>
      <c r="IB63" s="3">
        <f ca="1">IFERROR(__xludf.DUMMYFUNCTION("""COMPUTED_VALUE"""),-0.426370225835953)</f>
        <v>-0.42637022583595302</v>
      </c>
      <c r="IC63" s="3">
        <f ca="1">IFERROR(__xludf.DUMMYFUNCTION("""COMPUTED_VALUE"""),-0.503153452189062)</f>
        <v>-0.50315345218906204</v>
      </c>
      <c r="ID63" s="3">
        <f ca="1">IFERROR(__xludf.DUMMYFUNCTION("""COMPUTED_VALUE"""),-0.520791700128244)</f>
        <v>-0.52079170012824405</v>
      </c>
      <c r="IE63" s="3">
        <f ca="1">IFERROR(__xludf.DUMMYFUNCTION("""COMPUTED_VALUE"""),-0.503582263940741)</f>
        <v>-0.50358226394074102</v>
      </c>
      <c r="IF63" s="3">
        <f ca="1">IFERROR(__xludf.DUMMYFUNCTION("""COMPUTED_VALUE"""),-0.51057900825567)</f>
        <v>-0.51057900825567004</v>
      </c>
      <c r="IG63" s="3">
        <f ca="1">IFERROR(__xludf.DUMMYFUNCTION("""COMPUTED_VALUE"""),-0.494899550949142)</f>
        <v>-0.49489955094914201</v>
      </c>
      <c r="IH63" s="3">
        <f ca="1">IFERROR(__xludf.DUMMYFUNCTION("""COMPUTED_VALUE"""),-0.440339379560172)</f>
        <v>-0.440339379560172</v>
      </c>
      <c r="II63" s="3">
        <f ca="1">IFERROR(__xludf.DUMMYFUNCTION("""COMPUTED_VALUE"""),-0.408943027511522)</f>
        <v>-0.40894302751152201</v>
      </c>
      <c r="IJ63" s="3">
        <f ca="1">IFERROR(__xludf.DUMMYFUNCTION("""COMPUTED_VALUE"""),-0.448771371193501)</f>
        <v>-0.44877137119350102</v>
      </c>
      <c r="IK63" s="3">
        <f ca="1">IFERROR(__xludf.DUMMYFUNCTION("""COMPUTED_VALUE"""),-0.47159553512181)</f>
        <v>-0.47159553512181002</v>
      </c>
      <c r="IL63" s="3">
        <f ca="1">IFERROR(__xludf.DUMMYFUNCTION("""COMPUTED_VALUE"""),-0.453171150990523)</f>
        <v>-0.45317115099052302</v>
      </c>
      <c r="IM63" s="3">
        <f ca="1">IFERROR(__xludf.DUMMYFUNCTION("""COMPUTED_VALUE"""),-0.452586462509801)</f>
        <v>-0.452586462509801</v>
      </c>
      <c r="IN63" s="3">
        <f ca="1">IFERROR(__xludf.DUMMYFUNCTION("""COMPUTED_VALUE"""),-0.403451870314655)</f>
        <v>-0.40345187031465501</v>
      </c>
      <c r="IO63" s="3">
        <f ca="1">IFERROR(__xludf.DUMMYFUNCTION("""COMPUTED_VALUE"""),-0.461902781470956)</f>
        <v>-0.46190278147095598</v>
      </c>
      <c r="IP63" s="3">
        <f ca="1">IFERROR(__xludf.DUMMYFUNCTION("""COMPUTED_VALUE"""),-0.399269038785707)</f>
        <v>-0.39926903878570702</v>
      </c>
      <c r="IQ63" s="3">
        <f ca="1">IFERROR(__xludf.DUMMYFUNCTION("""COMPUTED_VALUE"""),-0.440237787903006)</f>
        <v>-0.44023778790300599</v>
      </c>
      <c r="IR63" s="3">
        <f ca="1">IFERROR(__xludf.DUMMYFUNCTION("""COMPUTED_VALUE"""),-0.463939573065545)</f>
        <v>-0.46393957306554501</v>
      </c>
      <c r="IS63" s="3">
        <f ca="1">IFERROR(__xludf.DUMMYFUNCTION("""COMPUTED_VALUE"""),-0.489030847532722)</f>
        <v>-0.48903084753272202</v>
      </c>
      <c r="IT63" s="3">
        <f ca="1">IFERROR(__xludf.DUMMYFUNCTION("""COMPUTED_VALUE"""),-0.517890806029207)</f>
        <v>-0.51789080602920701</v>
      </c>
      <c r="IU63" s="3">
        <f ca="1">IFERROR(__xludf.DUMMYFUNCTION("""COMPUTED_VALUE"""),-0.421352924806901)</f>
        <v>-0.42135292480690101</v>
      </c>
      <c r="IV63" s="3">
        <f ca="1">IFERROR(__xludf.DUMMYFUNCTION("""COMPUTED_VALUE"""),-0.436270873292085)</f>
        <v>-0.43627087329208503</v>
      </c>
      <c r="IW63" s="3">
        <f ca="1">IFERROR(__xludf.DUMMYFUNCTION("""COMPUTED_VALUE"""),-0.292662303118605)</f>
        <v>-0.29266230311860503</v>
      </c>
      <c r="IX63" s="3">
        <f ca="1">IFERROR(__xludf.DUMMYFUNCTION("""COMPUTED_VALUE"""),-0.30228415071411)</f>
        <v>-0.30228415071411002</v>
      </c>
      <c r="IY63" s="3">
        <f ca="1">IFERROR(__xludf.DUMMYFUNCTION("""COMPUTED_VALUE"""),-0.31006536023662)</f>
        <v>-0.31006536023662001</v>
      </c>
      <c r="IZ63" s="3">
        <f ca="1">IFERROR(__xludf.DUMMYFUNCTION("""COMPUTED_VALUE"""),-0.338474002274346)</f>
        <v>-0.33847400227434599</v>
      </c>
      <c r="JA63" s="3">
        <f ca="1">IFERROR(__xludf.DUMMYFUNCTION("""COMPUTED_VALUE"""),-0.352404195744108)</f>
        <v>-0.35240419574410797</v>
      </c>
      <c r="JB63" s="3">
        <f ca="1">IFERROR(__xludf.DUMMYFUNCTION("""COMPUTED_VALUE"""),-0.417335701472818)</f>
        <v>-0.41733570147281801</v>
      </c>
      <c r="JC63" s="3">
        <f ca="1">IFERROR(__xludf.DUMMYFUNCTION("""COMPUTED_VALUE"""),-0.39336202865391)</f>
        <v>-0.39336202865391001</v>
      </c>
      <c r="JD63" s="3">
        <f ca="1">IFERROR(__xludf.DUMMYFUNCTION("""COMPUTED_VALUE"""),-0.338646540394764)</f>
        <v>-0.338646540394764</v>
      </c>
      <c r="JE63" s="3">
        <f ca="1">IFERROR(__xludf.DUMMYFUNCTION("""COMPUTED_VALUE"""),-0.367817306767199)</f>
        <v>-0.36781730676719898</v>
      </c>
      <c r="JF63" s="3">
        <f ca="1">IFERROR(__xludf.DUMMYFUNCTION("""COMPUTED_VALUE"""),-0.40943261067965)</f>
        <v>-0.40943261067964998</v>
      </c>
      <c r="JG63" s="3">
        <f ca="1">IFERROR(__xludf.DUMMYFUNCTION("""COMPUTED_VALUE"""),-0.427140738102328)</f>
        <v>-0.427140738102328</v>
      </c>
      <c r="JH63" s="3">
        <f ca="1">IFERROR(__xludf.DUMMYFUNCTION("""COMPUTED_VALUE"""),-0.378687777670802)</f>
        <v>-0.37868777767080197</v>
      </c>
      <c r="JI63" s="3">
        <f ca="1">IFERROR(__xludf.DUMMYFUNCTION("""COMPUTED_VALUE"""),-0.401743654244041)</f>
        <v>-0.40174365424404102</v>
      </c>
      <c r="JJ63" s="3">
        <f ca="1">IFERROR(__xludf.DUMMYFUNCTION("""COMPUTED_VALUE"""),-0.393655161959364)</f>
        <v>-0.39365516195936401</v>
      </c>
      <c r="JK63" s="3">
        <f ca="1">IFERROR(__xludf.DUMMYFUNCTION("""COMPUTED_VALUE"""),-0.389585829723788)</f>
        <v>-0.38958582972378802</v>
      </c>
      <c r="JL63" s="3">
        <f ca="1">IFERROR(__xludf.DUMMYFUNCTION("""COMPUTED_VALUE"""),-0.429728963870883)</f>
        <v>-0.429728963870883</v>
      </c>
      <c r="JM63" s="3">
        <f ca="1">IFERROR(__xludf.DUMMYFUNCTION("""COMPUTED_VALUE"""),-0.424891924100057)</f>
        <v>-0.42489192410005699</v>
      </c>
      <c r="JN63" s="3">
        <f ca="1">IFERROR(__xludf.DUMMYFUNCTION("""COMPUTED_VALUE"""),-0.401129554948268)</f>
        <v>-0.40112955494826802</v>
      </c>
      <c r="JO63" s="3">
        <f ca="1">IFERROR(__xludf.DUMMYFUNCTION("""COMPUTED_VALUE"""),-0.418591071590907)</f>
        <v>-0.41859107159090703</v>
      </c>
      <c r="JP63" s="3">
        <f ca="1">IFERROR(__xludf.DUMMYFUNCTION("""COMPUTED_VALUE"""),-0.397540667195833)</f>
        <v>-0.39754066719583298</v>
      </c>
      <c r="JQ63" s="3">
        <f ca="1">IFERROR(__xludf.DUMMYFUNCTION("""COMPUTED_VALUE"""),-0.421712961750714)</f>
        <v>-0.42171296175071399</v>
      </c>
      <c r="JR63" s="3">
        <f ca="1">IFERROR(__xludf.DUMMYFUNCTION("""COMPUTED_VALUE"""),-0.50022477222853)</f>
        <v>-0.50022477222853001</v>
      </c>
      <c r="JS63" s="3">
        <f ca="1">IFERROR(__xludf.DUMMYFUNCTION("""COMPUTED_VALUE"""),-0.46707256902946)</f>
        <v>-0.46707256902945998</v>
      </c>
      <c r="JT63" s="3">
        <f ca="1">IFERROR(__xludf.DUMMYFUNCTION("""COMPUTED_VALUE"""),-0.452781965685279)</f>
        <v>-0.45278196568527901</v>
      </c>
      <c r="JU63" s="3">
        <f ca="1">IFERROR(__xludf.DUMMYFUNCTION("""COMPUTED_VALUE"""),-0.487125557583402)</f>
        <v>-0.48712555758340198</v>
      </c>
      <c r="JV63" s="3">
        <f ca="1">IFERROR(__xludf.DUMMYFUNCTION("""COMPUTED_VALUE"""),-0.471274243415409)</f>
        <v>-0.47127424341540902</v>
      </c>
      <c r="JW63" s="3">
        <f ca="1">IFERROR(__xludf.DUMMYFUNCTION("""COMPUTED_VALUE"""),-0.377868774147601)</f>
        <v>-0.37786877414760101</v>
      </c>
      <c r="JX63" s="3">
        <f ca="1">IFERROR(__xludf.DUMMYFUNCTION("""COMPUTED_VALUE"""),-0.388379652026125)</f>
        <v>-0.38837965202612501</v>
      </c>
      <c r="JY63" s="3">
        <f ca="1">IFERROR(__xludf.DUMMYFUNCTION("""COMPUTED_VALUE"""),-0.398523274816596)</f>
        <v>-0.398523274816596</v>
      </c>
      <c r="JZ63" s="3">
        <f ca="1">IFERROR(__xludf.DUMMYFUNCTION("""COMPUTED_VALUE"""),-0.480945109888985)</f>
        <v>-0.48094510988898498</v>
      </c>
      <c r="KA63" s="3">
        <f ca="1">IFERROR(__xludf.DUMMYFUNCTION("""COMPUTED_VALUE"""),-0.47461345277253)</f>
        <v>-0.47461345277252998</v>
      </c>
      <c r="KB63" s="3">
        <f ca="1">IFERROR(__xludf.DUMMYFUNCTION("""COMPUTED_VALUE"""),-0.500762746330781)</f>
        <v>-0.50076274633078099</v>
      </c>
      <c r="KC63" s="3">
        <f ca="1">IFERROR(__xludf.DUMMYFUNCTION("""COMPUTED_VALUE"""),-0.479206092790907)</f>
        <v>-0.47920609279090698</v>
      </c>
      <c r="KD63" s="3">
        <f ca="1">IFERROR(__xludf.DUMMYFUNCTION("""COMPUTED_VALUE"""),-0.494893504414349)</f>
        <v>-0.49489350441434898</v>
      </c>
      <c r="KE63" s="3">
        <f ca="1">IFERROR(__xludf.DUMMYFUNCTION("""COMPUTED_VALUE"""),-0.537649627336184)</f>
        <v>-0.53764962733618404</v>
      </c>
      <c r="KF63" s="3">
        <f ca="1">IFERROR(__xludf.DUMMYFUNCTION("""COMPUTED_VALUE"""),-0.512401594633929)</f>
        <v>-0.51240159463392898</v>
      </c>
      <c r="KG63" s="3">
        <f ca="1">IFERROR(__xludf.DUMMYFUNCTION("""COMPUTED_VALUE"""),-0.507738446601111)</f>
        <v>-0.507738446601111</v>
      </c>
      <c r="KH63" s="3">
        <f ca="1">IFERROR(__xludf.DUMMYFUNCTION("""COMPUTED_VALUE"""),-0.535714676989472)</f>
        <v>-0.53571467698947195</v>
      </c>
      <c r="KI63" s="3">
        <f ca="1">IFERROR(__xludf.DUMMYFUNCTION("""COMPUTED_VALUE"""),-0.673599865563141)</f>
        <v>-0.673599865563141</v>
      </c>
      <c r="KJ63" s="3">
        <f ca="1">IFERROR(__xludf.DUMMYFUNCTION("""COMPUTED_VALUE"""),-0.56224914734674)</f>
        <v>-0.56224914734674003</v>
      </c>
      <c r="KK63" s="3">
        <f ca="1">IFERROR(__xludf.DUMMYFUNCTION("""COMPUTED_VALUE"""),-0.479336631741709)</f>
        <v>-0.47933663174170899</v>
      </c>
      <c r="KL63" s="3">
        <f ca="1">IFERROR(__xludf.DUMMYFUNCTION("""COMPUTED_VALUE"""),-0.49297503057764)</f>
        <v>-0.49297503057764003</v>
      </c>
      <c r="KM63" s="3">
        <f ca="1">IFERROR(__xludf.DUMMYFUNCTION("""COMPUTED_VALUE"""),-0.530092508732266)</f>
        <v>-0.53009250873226599</v>
      </c>
      <c r="KN63" s="3">
        <f ca="1">IFERROR(__xludf.DUMMYFUNCTION("""COMPUTED_VALUE"""),-0.601203133329409)</f>
        <v>-0.601203133329409</v>
      </c>
      <c r="KO63" s="3">
        <f ca="1">IFERROR(__xludf.DUMMYFUNCTION("""COMPUTED_VALUE"""),-0.624414347176005)</f>
        <v>-0.62441434717600497</v>
      </c>
      <c r="KP63" s="3">
        <f ca="1">IFERROR(__xludf.DUMMYFUNCTION("""COMPUTED_VALUE"""),-0.60598303098906)</f>
        <v>-0.60598303098906003</v>
      </c>
      <c r="KQ63" s="3">
        <f ca="1">IFERROR(__xludf.DUMMYFUNCTION("""COMPUTED_VALUE"""),-0.609749887586643)</f>
        <v>-0.60974988758664295</v>
      </c>
      <c r="KR63" s="3">
        <f ca="1">IFERROR(__xludf.DUMMYFUNCTION("""COMPUTED_VALUE"""),-0.615771548179225)</f>
        <v>-0.61577154817922497</v>
      </c>
      <c r="KS63" s="3">
        <f ca="1">IFERROR(__xludf.DUMMYFUNCTION("""COMPUTED_VALUE"""),-0.61952083440272)</f>
        <v>-0.61952083440271999</v>
      </c>
      <c r="KT63" s="3">
        <f ca="1">IFERROR(__xludf.DUMMYFUNCTION("""COMPUTED_VALUE"""),-0.65488342654191)</f>
        <v>-0.65488342654191001</v>
      </c>
      <c r="KU63" s="3">
        <f ca="1">IFERROR(__xludf.DUMMYFUNCTION("""COMPUTED_VALUE"""),-0.686253227582204)</f>
        <v>-0.68625322758220397</v>
      </c>
      <c r="KV63" s="3">
        <f ca="1">IFERROR(__xludf.DUMMYFUNCTION("""COMPUTED_VALUE"""),-0.704901047631493)</f>
        <v>-0.70490104763149297</v>
      </c>
      <c r="KW63" s="3">
        <f ca="1">IFERROR(__xludf.DUMMYFUNCTION("""COMPUTED_VALUE"""),-0.706171022873038)</f>
        <v>-0.70617102287303801</v>
      </c>
      <c r="KX63" s="3">
        <f ca="1">IFERROR(__xludf.DUMMYFUNCTION("""COMPUTED_VALUE"""),-0.665237603913505)</f>
        <v>-0.66523760391350495</v>
      </c>
      <c r="KY63" s="3">
        <f ca="1">IFERROR(__xludf.DUMMYFUNCTION("""COMPUTED_VALUE"""),-0.637486120723258)</f>
        <v>-0.63748612072325805</v>
      </c>
      <c r="KZ63" s="3">
        <f ca="1">IFERROR(__xludf.DUMMYFUNCTION("""COMPUTED_VALUE"""),-0.58405705155405)</f>
        <v>-0.58405705155404997</v>
      </c>
      <c r="LA63" s="3">
        <f ca="1">IFERROR(__xludf.DUMMYFUNCTION("""COMPUTED_VALUE"""),-0.651365369364084)</f>
        <v>-0.65136536936408396</v>
      </c>
      <c r="LB63" s="3">
        <f ca="1">IFERROR(__xludf.DUMMYFUNCTION("""COMPUTED_VALUE"""),-0.692432999473003)</f>
        <v>-0.69243299947300296</v>
      </c>
      <c r="LC63" s="3">
        <f ca="1">IFERROR(__xludf.DUMMYFUNCTION("""COMPUTED_VALUE"""),-0.693920654937898)</f>
        <v>-0.69392065493789801</v>
      </c>
      <c r="LD63" s="3">
        <f ca="1">IFERROR(__xludf.DUMMYFUNCTION("""COMPUTED_VALUE"""),-0.692766500738086)</f>
        <v>-0.69276650073808599</v>
      </c>
      <c r="LE63" s="3">
        <f ca="1">IFERROR(__xludf.DUMMYFUNCTION("""COMPUTED_VALUE"""),-0.645569215810952)</f>
        <v>-0.64556921581095195</v>
      </c>
      <c r="LF63" s="3">
        <f ca="1">IFERROR(__xludf.DUMMYFUNCTION("""COMPUTED_VALUE"""),-0.645083151351978)</f>
        <v>-0.64508315135197802</v>
      </c>
      <c r="LG63" s="3">
        <f ca="1">IFERROR(__xludf.DUMMYFUNCTION("""COMPUTED_VALUE"""),-0.637282736466647)</f>
        <v>-0.63728273646664702</v>
      </c>
      <c r="LH63" s="3">
        <f ca="1">IFERROR(__xludf.DUMMYFUNCTION("""COMPUTED_VALUE"""),-0.687333480062745)</f>
        <v>-0.68733348006274497</v>
      </c>
      <c r="LI63" s="3">
        <f ca="1">IFERROR(__xludf.DUMMYFUNCTION("""COMPUTED_VALUE"""),-0.751333506854015)</f>
        <v>-0.75133350685401501</v>
      </c>
      <c r="LJ63" s="3">
        <f ca="1">IFERROR(__xludf.DUMMYFUNCTION("""COMPUTED_VALUE"""),-0.701515470924364)</f>
        <v>-0.70151547092436395</v>
      </c>
      <c r="LK63" s="3">
        <f ca="1">IFERROR(__xludf.DUMMYFUNCTION("""COMPUTED_VALUE"""),-0.681561113363117)</f>
        <v>-0.68156111336311698</v>
      </c>
      <c r="LL63" s="3">
        <f ca="1">IFERROR(__xludf.DUMMYFUNCTION("""COMPUTED_VALUE"""),-0.680743494691546)</f>
        <v>-0.68074349469154605</v>
      </c>
      <c r="LM63" s="3">
        <f ca="1">IFERROR(__xludf.DUMMYFUNCTION("""COMPUTED_VALUE"""),-0.687885773967128)</f>
        <v>-0.68788577396712802</v>
      </c>
      <c r="LN63" s="3">
        <f ca="1">IFERROR(__xludf.DUMMYFUNCTION("""COMPUTED_VALUE"""),-0.705630403846297)</f>
        <v>-0.70563040384629705</v>
      </c>
      <c r="LO63" s="3">
        <f ca="1">IFERROR(__xludf.DUMMYFUNCTION("""COMPUTED_VALUE"""),-0.693936521537801)</f>
        <v>-0.69393652153780105</v>
      </c>
      <c r="LP63" s="3">
        <f ca="1">IFERROR(__xludf.DUMMYFUNCTION("""COMPUTED_VALUE"""),-0.758070328671942)</f>
        <v>-0.75807032867194202</v>
      </c>
      <c r="LQ63" s="3">
        <f ca="1">IFERROR(__xludf.DUMMYFUNCTION("""COMPUTED_VALUE"""),-0.74825127323153)</f>
        <v>-0.74825127323152996</v>
      </c>
      <c r="LR63" s="3">
        <f ca="1">IFERROR(__xludf.DUMMYFUNCTION("""COMPUTED_VALUE"""),-0.76499269731497)</f>
        <v>-0.76499269731496999</v>
      </c>
      <c r="LS63" s="3">
        <f ca="1">IFERROR(__xludf.DUMMYFUNCTION("""COMPUTED_VALUE"""),-0.747926250698081)</f>
        <v>-0.74792625069808105</v>
      </c>
      <c r="LT63" s="3">
        <f ca="1">IFERROR(__xludf.DUMMYFUNCTION("""COMPUTED_VALUE"""),-0.739141476735215)</f>
        <v>-0.73914147673521502</v>
      </c>
      <c r="LU63" s="3">
        <f ca="1">IFERROR(__xludf.DUMMYFUNCTION("""COMPUTED_VALUE"""),-0.779984206207463)</f>
        <v>-0.779984206207463</v>
      </c>
      <c r="LV63" s="3">
        <f ca="1">IFERROR(__xludf.DUMMYFUNCTION("""COMPUTED_VALUE"""),-0.788100589679324)</f>
        <v>-0.78810058967932395</v>
      </c>
      <c r="LW63" s="3">
        <f ca="1">IFERROR(__xludf.DUMMYFUNCTION("""COMPUTED_VALUE"""),-0.817838422114812)</f>
        <v>-0.81783842211481195</v>
      </c>
      <c r="LX63" s="3">
        <f ca="1">IFERROR(__xludf.DUMMYFUNCTION("""COMPUTED_VALUE"""),-0.80300796418386)</f>
        <v>-0.80300796418386</v>
      </c>
      <c r="LY63" s="3">
        <f ca="1">IFERROR(__xludf.DUMMYFUNCTION("""COMPUTED_VALUE"""),-0.784807327276986)</f>
        <v>-0.78480732727698599</v>
      </c>
      <c r="LZ63" s="3">
        <f ca="1">IFERROR(__xludf.DUMMYFUNCTION("""COMPUTED_VALUE"""),-0.79368519072672)</f>
        <v>-0.79368519072671995</v>
      </c>
      <c r="MA63" s="3">
        <f ca="1">IFERROR(__xludf.DUMMYFUNCTION("""COMPUTED_VALUE"""),-0.810696966888519)</f>
        <v>-0.810696966888519</v>
      </c>
      <c r="MB63" s="3">
        <f ca="1">IFERROR(__xludf.DUMMYFUNCTION("""COMPUTED_VALUE"""),-0.818555869297581)</f>
        <v>-0.81855586929758095</v>
      </c>
      <c r="MC63" s="3">
        <f ca="1">IFERROR(__xludf.DUMMYFUNCTION("""COMPUTED_VALUE"""),-0.792740455835424)</f>
        <v>-0.79274045583542396</v>
      </c>
      <c r="MD63" s="3">
        <f ca="1">IFERROR(__xludf.DUMMYFUNCTION("""COMPUTED_VALUE"""),-0.836995271593541)</f>
        <v>-0.83699527159354103</v>
      </c>
      <c r="ME63" s="3">
        <f ca="1">IFERROR(__xludf.DUMMYFUNCTION("""COMPUTED_VALUE"""),-0.844263011275273)</f>
        <v>-0.84426301127527303</v>
      </c>
      <c r="MF63" s="3">
        <f ca="1">IFERROR(__xludf.DUMMYFUNCTION("""COMPUTED_VALUE"""),-0.815230830125411)</f>
        <v>-0.81523083012541098</v>
      </c>
      <c r="MG63" s="3">
        <f ca="1">IFERROR(__xludf.DUMMYFUNCTION("""COMPUTED_VALUE"""),-0.826273884590839)</f>
        <v>-0.82627388459083895</v>
      </c>
      <c r="MH63" s="3">
        <f ca="1">IFERROR(__xludf.DUMMYFUNCTION("""COMPUTED_VALUE"""),-0.822294049971401)</f>
        <v>-0.82229404997140099</v>
      </c>
      <c r="MI63" s="3">
        <f ca="1">IFERROR(__xludf.DUMMYFUNCTION("""COMPUTED_VALUE"""),-0.830201924045878)</f>
        <v>-0.830201924045878</v>
      </c>
      <c r="MJ63" s="3">
        <f ca="1">IFERROR(__xludf.DUMMYFUNCTION("""COMPUTED_VALUE"""),-0.824668542295297)</f>
        <v>-0.82466854229529696</v>
      </c>
      <c r="MK63" s="3">
        <f ca="1">IFERROR(__xludf.DUMMYFUNCTION("""COMPUTED_VALUE"""),-0.841153021431289)</f>
        <v>-0.84115302143128901</v>
      </c>
      <c r="ML63" s="3">
        <f ca="1">IFERROR(__xludf.DUMMYFUNCTION("""COMPUTED_VALUE"""),-0.858371148931063)</f>
        <v>-0.85837114893106303</v>
      </c>
      <c r="MM63" s="3">
        <f ca="1">IFERROR(__xludf.DUMMYFUNCTION("""COMPUTED_VALUE"""),-0.849702647092847)</f>
        <v>-0.84970264709284704</v>
      </c>
      <c r="MN63" s="3">
        <f ca="1">IFERROR(__xludf.DUMMYFUNCTION("""COMPUTED_VALUE"""),-0.83544239557324)</f>
        <v>-0.83544239557323996</v>
      </c>
      <c r="MO63" s="3">
        <f ca="1">IFERROR(__xludf.DUMMYFUNCTION("""COMPUTED_VALUE"""),-0.835037909485802)</f>
        <v>-0.83503790948580203</v>
      </c>
      <c r="MP63" s="3">
        <f ca="1">IFERROR(__xludf.DUMMYFUNCTION("""COMPUTED_VALUE"""),-0.830016073340056)</f>
        <v>-0.830016073340056</v>
      </c>
      <c r="MQ63" s="3">
        <f ca="1">IFERROR(__xludf.DUMMYFUNCTION("""COMPUTED_VALUE"""),-0.853862289628885)</f>
        <v>-0.853862289628885</v>
      </c>
      <c r="MR63" s="3">
        <f ca="1">IFERROR(__xludf.DUMMYFUNCTION("""COMPUTED_VALUE"""),-0.854045882594599)</f>
        <v>-0.85404588259459902</v>
      </c>
      <c r="MS63" s="3">
        <f ca="1">IFERROR(__xludf.DUMMYFUNCTION("""COMPUTED_VALUE"""),-0.854011603571867)</f>
        <v>-0.85401160357186701</v>
      </c>
      <c r="MT63" s="3">
        <f ca="1">IFERROR(__xludf.DUMMYFUNCTION("""COMPUTED_VALUE"""),-0.847505516594262)</f>
        <v>-0.84750551659426199</v>
      </c>
      <c r="MU63" s="3">
        <f ca="1">IFERROR(__xludf.DUMMYFUNCTION("""COMPUTED_VALUE"""),-0.859761979809114)</f>
        <v>-0.85976197980911395</v>
      </c>
      <c r="MV63" s="3">
        <f ca="1">IFERROR(__xludf.DUMMYFUNCTION("""COMPUTED_VALUE"""),-0.83533705310302)</f>
        <v>-0.83533705310301998</v>
      </c>
      <c r="MW63" s="3">
        <f ca="1">IFERROR(__xludf.DUMMYFUNCTION("""COMPUTED_VALUE"""),-0.847532806099651)</f>
        <v>-0.84753280609965098</v>
      </c>
      <c r="MX63" s="3">
        <f ca="1">IFERROR(__xludf.DUMMYFUNCTION("""COMPUTED_VALUE"""),-0.83939971877646)</f>
        <v>-0.83939971877646002</v>
      </c>
      <c r="MY63" s="3">
        <f ca="1">IFERROR(__xludf.DUMMYFUNCTION("""COMPUTED_VALUE"""),-0.853147476040683)</f>
        <v>-0.85314747604068297</v>
      </c>
      <c r="MZ63" s="3">
        <f ca="1">IFERROR(__xludf.DUMMYFUNCTION("""COMPUTED_VALUE"""),-0.865172668492706)</f>
        <v>-0.86517266849270602</v>
      </c>
      <c r="NA63" s="3">
        <f ca="1">IFERROR(__xludf.DUMMYFUNCTION("""COMPUTED_VALUE"""),-0.850660209811778)</f>
        <v>-0.85066020981177803</v>
      </c>
      <c r="NB63" s="3">
        <f ca="1">IFERROR(__xludf.DUMMYFUNCTION("""COMPUTED_VALUE"""),-0.843269370037514)</f>
        <v>-0.84326937003751401</v>
      </c>
      <c r="NC63" s="3">
        <f ca="1">IFERROR(__xludf.DUMMYFUNCTION("""COMPUTED_VALUE"""),-0.839389056561917)</f>
        <v>-0.83938905656191698</v>
      </c>
      <c r="ND63" s="3">
        <f ca="1">IFERROR(__xludf.DUMMYFUNCTION("""COMPUTED_VALUE"""),-0.850997704579313)</f>
        <v>-0.85099770457931301</v>
      </c>
      <c r="NE63" s="3">
        <f ca="1">IFERROR(__xludf.DUMMYFUNCTION("""COMPUTED_VALUE"""),-0.832980498625051)</f>
        <v>-0.83298049862505097</v>
      </c>
      <c r="NF63" s="3">
        <f ca="1">IFERROR(__xludf.DUMMYFUNCTION("""COMPUTED_VALUE"""),-0.854047295024449)</f>
        <v>-0.85404729502444898</v>
      </c>
      <c r="NG63" s="3">
        <f ca="1">IFERROR(__xludf.DUMMYFUNCTION("""COMPUTED_VALUE"""),-0.873965792084217)</f>
        <v>-0.87396579208421699</v>
      </c>
      <c r="NH63" s="3">
        <f ca="1">IFERROR(__xludf.DUMMYFUNCTION("""COMPUTED_VALUE"""),-0.881782341407474)</f>
        <v>-0.88178234140747402</v>
      </c>
      <c r="NI63" s="3">
        <f ca="1">IFERROR(__xludf.DUMMYFUNCTION("""COMPUTED_VALUE"""),-0.863010393754376)</f>
        <v>-0.86301039375437605</v>
      </c>
      <c r="NJ63" s="3">
        <f ca="1">IFERROR(__xludf.DUMMYFUNCTION("""COMPUTED_VALUE"""),-0.861715035631443)</f>
        <v>-0.86171503563144303</v>
      </c>
      <c r="NK63" s="3">
        <f ca="1">IFERROR(__xludf.DUMMYFUNCTION("""COMPUTED_VALUE"""),-0.855617661024964)</f>
        <v>-0.85561766102496395</v>
      </c>
      <c r="NL63" s="3">
        <f ca="1">IFERROR(__xludf.DUMMYFUNCTION("""COMPUTED_VALUE"""),-0.852528246550875)</f>
        <v>-0.852528246550875</v>
      </c>
      <c r="NM63" s="3">
        <f ca="1">IFERROR(__xludf.DUMMYFUNCTION("""COMPUTED_VALUE"""),-0.859748552426745)</f>
        <v>-0.85974855242674497</v>
      </c>
      <c r="NN63" s="3">
        <f ca="1">IFERROR(__xludf.DUMMYFUNCTION("""COMPUTED_VALUE"""),-0.86273737178745)</f>
        <v>-0.86273737178745002</v>
      </c>
      <c r="NO63" s="3">
        <f ca="1">IFERROR(__xludf.DUMMYFUNCTION("""COMPUTED_VALUE"""),-0.822770989239041)</f>
        <v>-0.82277098923904102</v>
      </c>
      <c r="NP63" s="3">
        <f ca="1">IFERROR(__xludf.DUMMYFUNCTION("""COMPUTED_VALUE"""),-0.824005199088856)</f>
        <v>-0.82400519908885606</v>
      </c>
      <c r="NQ63" s="3">
        <f ca="1">IFERROR(__xludf.DUMMYFUNCTION("""COMPUTED_VALUE"""),-0.811867748642043)</f>
        <v>-0.81186774864204303</v>
      </c>
      <c r="NR63" s="3">
        <f ca="1">IFERROR(__xludf.DUMMYFUNCTION("""COMPUTED_VALUE"""),-0.839531090580168)</f>
        <v>-0.83953109058016795</v>
      </c>
      <c r="NS63" s="3">
        <f ca="1">IFERROR(__xludf.DUMMYFUNCTION("""COMPUTED_VALUE"""),-0.843841139262836)</f>
        <v>-0.84384113926283599</v>
      </c>
      <c r="NT63" s="3">
        <f ca="1">IFERROR(__xludf.DUMMYFUNCTION("""COMPUTED_VALUE"""),-0.868995127064982)</f>
        <v>-0.86899512706498205</v>
      </c>
      <c r="NU63" s="3">
        <f ca="1">IFERROR(__xludf.DUMMYFUNCTION("""COMPUTED_VALUE"""),-0.867219785256069)</f>
        <v>-0.86721978525606902</v>
      </c>
      <c r="NV63" s="3">
        <f ca="1">IFERROR(__xludf.DUMMYFUNCTION("""COMPUTED_VALUE"""),-0.863901528484716)</f>
        <v>-0.86390152848471602</v>
      </c>
      <c r="NW63" s="3">
        <f ca="1">IFERROR(__xludf.DUMMYFUNCTION("""COMPUTED_VALUE"""),-0.804811282046937)</f>
        <v>-0.80481128204693697</v>
      </c>
      <c r="NX63" s="3">
        <f ca="1">IFERROR(__xludf.DUMMYFUNCTION("""COMPUTED_VALUE"""),-0.813704193899955)</f>
        <v>-0.81370419389995496</v>
      </c>
      <c r="NY63" s="3">
        <f ca="1">IFERROR(__xludf.DUMMYFUNCTION("""COMPUTED_VALUE"""),-0.747866126846408)</f>
        <v>-0.74786612684640796</v>
      </c>
      <c r="NZ63" s="3">
        <f ca="1">IFERROR(__xludf.DUMMYFUNCTION("""COMPUTED_VALUE"""),-0.760498769344712)</f>
        <v>-0.76049876934471194</v>
      </c>
      <c r="OA63" s="3">
        <f ca="1">IFERROR(__xludf.DUMMYFUNCTION("""COMPUTED_VALUE"""),-0.779274230762164)</f>
        <v>-0.77927423076216396</v>
      </c>
      <c r="OB63" s="3">
        <f ca="1">IFERROR(__xludf.DUMMYFUNCTION("""COMPUTED_VALUE"""),-0.75774434114314)</f>
        <v>-0.75774434114314004</v>
      </c>
      <c r="OC63" s="3">
        <f ca="1">IFERROR(__xludf.DUMMYFUNCTION("""COMPUTED_VALUE"""),-0.717975197507874)</f>
        <v>-0.71797519750787397</v>
      </c>
      <c r="OD63" s="3">
        <f ca="1">IFERROR(__xludf.DUMMYFUNCTION("""COMPUTED_VALUE"""),-0.669789324324418)</f>
        <v>-0.66978932432441796</v>
      </c>
      <c r="OE63" s="3">
        <f ca="1">IFERROR(__xludf.DUMMYFUNCTION("""COMPUTED_VALUE"""),-0.549009445796635)</f>
        <v>-0.54900944579663502</v>
      </c>
      <c r="OF63" s="3">
        <f ca="1">IFERROR(__xludf.DUMMYFUNCTION("""COMPUTED_VALUE"""),-0.365131238673968)</f>
        <v>-0.36513123867396802</v>
      </c>
      <c r="OG63" s="3">
        <f ca="1">IFERROR(__xludf.DUMMYFUNCTION("""COMPUTED_VALUE"""),-0.381779940610605)</f>
        <v>-0.381779940610605</v>
      </c>
      <c r="OH63" s="3">
        <f ca="1">IFERROR(__xludf.DUMMYFUNCTION("""COMPUTED_VALUE"""),-0.332027301337539)</f>
        <v>-0.33202730133753899</v>
      </c>
      <c r="OI63" s="3">
        <f ca="1">IFERROR(__xludf.DUMMYFUNCTION("""COMPUTED_VALUE"""),-0.0608429825871653)</f>
        <v>-6.0842982587165299E-2</v>
      </c>
      <c r="OJ63" s="3">
        <f ca="1">IFERROR(__xludf.DUMMYFUNCTION("""COMPUTED_VALUE"""),-0.0218132491012508)</f>
        <v>-2.1813249101250799E-2</v>
      </c>
      <c r="OK63" s="3">
        <f ca="1">IFERROR(__xludf.DUMMYFUNCTION("""COMPUTED_VALUE"""),0.00463097384249211)</f>
        <v>4.63097384249211E-3</v>
      </c>
      <c r="OL63" s="3">
        <f ca="1">IFERROR(__xludf.DUMMYFUNCTION("""COMPUTED_VALUE"""),0.000957774316129977)</f>
        <v>9.5777431612997701E-4</v>
      </c>
      <c r="OM63" s="3">
        <f ca="1">IFERROR(__xludf.DUMMYFUNCTION("""COMPUTED_VALUE"""),0.0238040379317119)</f>
        <v>2.3804037931711899E-2</v>
      </c>
      <c r="ON63" s="3">
        <f ca="1">IFERROR(__xludf.DUMMYFUNCTION("""COMPUTED_VALUE"""),0.0648474752949961)</f>
        <v>6.4847475294996099E-2</v>
      </c>
      <c r="OO63" s="3">
        <f ca="1">IFERROR(__xludf.DUMMYFUNCTION("""COMPUTED_VALUE"""),-0.132729522225693)</f>
        <v>-0.13272952222569301</v>
      </c>
      <c r="OP63" s="3">
        <f ca="1">IFERROR(__xludf.DUMMYFUNCTION("""COMPUTED_VALUE"""),-0.06613820905769)</f>
        <v>-6.6138209057689995E-2</v>
      </c>
      <c r="OQ63" s="3">
        <f ca="1">IFERROR(__xludf.DUMMYFUNCTION("""COMPUTED_VALUE"""),-0.0592779425976159)</f>
        <v>-5.9277942597615901E-2</v>
      </c>
      <c r="OR63" s="3">
        <f ca="1">IFERROR(__xludf.DUMMYFUNCTION("""COMPUTED_VALUE"""),0.01761856932816)</f>
        <v>1.761856932816E-2</v>
      </c>
      <c r="OS63" s="3">
        <f ca="1">IFERROR(__xludf.DUMMYFUNCTION("""COMPUTED_VALUE"""),-0.0705796360444853)</f>
        <v>-7.0579636044485305E-2</v>
      </c>
      <c r="OT63" s="3">
        <f ca="1">IFERROR(__xludf.DUMMYFUNCTION("""COMPUTED_VALUE"""),0.164242263768426)</f>
        <v>0.16424226376842599</v>
      </c>
      <c r="OU63" s="3">
        <f ca="1">IFERROR(__xludf.DUMMYFUNCTION("""COMPUTED_VALUE"""),0.0540977069679582)</f>
        <v>5.4097706967958202E-2</v>
      </c>
      <c r="OV63" s="3">
        <f ca="1">IFERROR(__xludf.DUMMYFUNCTION("""COMPUTED_VALUE"""),0.0581146394041178)</f>
        <v>5.8114639404117797E-2</v>
      </c>
      <c r="OW63" s="3">
        <f ca="1">IFERROR(__xludf.DUMMYFUNCTION("""COMPUTED_VALUE"""),0.0584820926153819)</f>
        <v>5.8482092615381898E-2</v>
      </c>
      <c r="OX63" s="3">
        <f ca="1">IFERROR(__xludf.DUMMYFUNCTION("""COMPUTED_VALUE"""),0.0900831803415718)</f>
        <v>9.0083180341571797E-2</v>
      </c>
      <c r="OY63" s="3">
        <f ca="1">IFERROR(__xludf.DUMMYFUNCTION("""COMPUTED_VALUE"""),0.0461907060723538)</f>
        <v>4.6190706072353802E-2</v>
      </c>
      <c r="OZ63" s="3">
        <f ca="1">IFERROR(__xludf.DUMMYFUNCTION("""COMPUTED_VALUE"""),-0.0143085045148148)</f>
        <v>-1.43085045148148E-2</v>
      </c>
      <c r="PA63" s="3">
        <f ca="1">IFERROR(__xludf.DUMMYFUNCTION("""COMPUTED_VALUE"""),-0.0478575771238451)</f>
        <v>-4.7857577123845099E-2</v>
      </c>
      <c r="PB63" s="3">
        <f ca="1">IFERROR(__xludf.DUMMYFUNCTION("""COMPUTED_VALUE"""),0.00151669302286072)</f>
        <v>1.51669302286072E-3</v>
      </c>
      <c r="PC63" s="3">
        <f ca="1">IFERROR(__xludf.DUMMYFUNCTION("""COMPUTED_VALUE"""),-0.0268400533113933)</f>
        <v>-2.6840053311393299E-2</v>
      </c>
      <c r="PD63" s="3">
        <f ca="1">IFERROR(__xludf.DUMMYFUNCTION("""COMPUTED_VALUE"""),-0.0602476037568885)</f>
        <v>-6.02476037568885E-2</v>
      </c>
      <c r="PE63" s="3">
        <f ca="1">IFERROR(__xludf.DUMMYFUNCTION("""COMPUTED_VALUE"""),0.151544415110359)</f>
        <v>0.15154441511035899</v>
      </c>
      <c r="PF63" s="3">
        <f ca="1">IFERROR(__xludf.DUMMYFUNCTION("""COMPUTED_VALUE"""),0.0309948564897097)</f>
        <v>3.0994856489709701E-2</v>
      </c>
      <c r="PG63" s="3">
        <f ca="1">IFERROR(__xludf.DUMMYFUNCTION("""COMPUTED_VALUE"""),-0.0499402517693515)</f>
        <v>-4.9940251769351497E-2</v>
      </c>
      <c r="PH63" s="3">
        <f ca="1">IFERROR(__xludf.DUMMYFUNCTION("""COMPUTED_VALUE"""),0.0262295602105058)</f>
        <v>2.6229560210505799E-2</v>
      </c>
      <c r="PI63" s="3">
        <f ca="1">IFERROR(__xludf.DUMMYFUNCTION("""COMPUTED_VALUE"""),-0.0174825597506326)</f>
        <v>-1.7482559750632599E-2</v>
      </c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</row>
    <row r="64" spans="1:477" ht="13">
      <c r="A64" s="1" t="str">
        <f ca="1">IFERROR(__xludf.DUMMYFUNCTION("""COMPUTED_VALUE"""),"exo Terrebonne-Mascouche")</f>
        <v>exo Terrebonne-Mascouche</v>
      </c>
      <c r="B64" s="1" t="str">
        <f ca="1">IFERROR(__xludf.DUMMYFUNCTION("""COMPUTED_VALUE"""),"Montréal")</f>
        <v>Montréal</v>
      </c>
      <c r="C64" s="1" t="str">
        <f ca="1">IFERROR(__xludf.DUMMYFUNCTION("""COMPUTED_VALUE"""),"Canada")</f>
        <v>Canada</v>
      </c>
      <c r="D64" s="1" t="str">
        <f ca="1">IFERROR(__xludf.DUMMYFUNCTION("""COMPUTED_VALUE"""),"Quebec")</f>
        <v>Quebec</v>
      </c>
      <c r="E64" s="3">
        <f ca="1">IFERROR(__xludf.DUMMYFUNCTION("""COMPUTED_VALUE"""),-0.414022239013696)</f>
        <v>-0.414022239013696</v>
      </c>
      <c r="F64" s="3">
        <f ca="1">IFERROR(__xludf.DUMMYFUNCTION("""COMPUTED_VALUE"""),-0.443801023304662)</f>
        <v>-0.44380102330466198</v>
      </c>
      <c r="G64" s="3">
        <f ca="1">IFERROR(__xludf.DUMMYFUNCTION("""COMPUTED_VALUE"""),-0.516946905372245)</f>
        <v>-0.51694690537224497</v>
      </c>
      <c r="H64" s="3">
        <f ca="1">IFERROR(__xludf.DUMMYFUNCTION("""COMPUTED_VALUE"""),-0.495619385159018)</f>
        <v>-0.49561938515901799</v>
      </c>
      <c r="I64" s="3">
        <f ca="1">IFERROR(__xludf.DUMMYFUNCTION("""COMPUTED_VALUE"""),-0.48360007432753)</f>
        <v>-0.48360007432752999</v>
      </c>
      <c r="J64" s="3">
        <f ca="1">IFERROR(__xludf.DUMMYFUNCTION("""COMPUTED_VALUE"""),-0.423108004869081)</f>
        <v>-0.42310800486908101</v>
      </c>
      <c r="K64" s="3">
        <f ca="1">IFERROR(__xludf.DUMMYFUNCTION("""COMPUTED_VALUE"""),-0.499856897545893)</f>
        <v>-0.49985689754589302</v>
      </c>
      <c r="L64" s="3">
        <f ca="1">IFERROR(__xludf.DUMMYFUNCTION("""COMPUTED_VALUE"""),-0.526722008148454)</f>
        <v>-0.52672200814845405</v>
      </c>
      <c r="M64" s="3">
        <f ca="1">IFERROR(__xludf.DUMMYFUNCTION("""COMPUTED_VALUE"""),-0.592091235467527)</f>
        <v>-0.59209123546752696</v>
      </c>
      <c r="N64" s="3">
        <f ca="1">IFERROR(__xludf.DUMMYFUNCTION("""COMPUTED_VALUE"""),-0.512722386762944)</f>
        <v>-0.51272238676294402</v>
      </c>
      <c r="O64" s="3">
        <f ca="1">IFERROR(__xludf.DUMMYFUNCTION("""COMPUTED_VALUE"""),-0.466785759036017)</f>
        <v>-0.46678575903601699</v>
      </c>
      <c r="P64" s="3">
        <f ca="1">IFERROR(__xludf.DUMMYFUNCTION("""COMPUTED_VALUE"""),-0.496064087411471)</f>
        <v>-0.49606408741147101</v>
      </c>
      <c r="Q64" s="3">
        <f ca="1">IFERROR(__xludf.DUMMYFUNCTION("""COMPUTED_VALUE"""),-0.489445989844921)</f>
        <v>-0.48944598984492099</v>
      </c>
      <c r="R64" s="3">
        <f ca="1">IFERROR(__xludf.DUMMYFUNCTION("""COMPUTED_VALUE"""),-0.474175127311134)</f>
        <v>-0.47417512731113398</v>
      </c>
      <c r="S64" s="3">
        <f ca="1">IFERROR(__xludf.DUMMYFUNCTION("""COMPUTED_VALUE"""),-0.451064901307055)</f>
        <v>-0.45106490130705501</v>
      </c>
      <c r="T64" s="3">
        <f ca="1">IFERROR(__xludf.DUMMYFUNCTION("""COMPUTED_VALUE"""),-0.580086667563453)</f>
        <v>-0.58008666756345295</v>
      </c>
      <c r="U64" s="3">
        <f ca="1">IFERROR(__xludf.DUMMYFUNCTION("""COMPUTED_VALUE"""),-0.485778459695284)</f>
        <v>-0.48577845969528399</v>
      </c>
      <c r="V64" s="3">
        <f ca="1">IFERROR(__xludf.DUMMYFUNCTION("""COMPUTED_VALUE"""),-0.480900560570019)</f>
        <v>-0.48090056057001901</v>
      </c>
      <c r="W64" s="3">
        <f ca="1">IFERROR(__xludf.DUMMYFUNCTION("""COMPUTED_VALUE"""),-0.475454604585603)</f>
        <v>-0.47545460458560301</v>
      </c>
      <c r="X64" s="3">
        <f ca="1">IFERROR(__xludf.DUMMYFUNCTION("""COMPUTED_VALUE"""),-0.430580803557068)</f>
        <v>-0.43058080355706801</v>
      </c>
      <c r="Y64" s="3">
        <f ca="1">IFERROR(__xludf.DUMMYFUNCTION("""COMPUTED_VALUE"""),-0.437318131252062)</f>
        <v>-0.43731813125206198</v>
      </c>
      <c r="Z64" s="3">
        <f ca="1">IFERROR(__xludf.DUMMYFUNCTION("""COMPUTED_VALUE"""),-0.464699679405344)</f>
        <v>-0.46469967940534401</v>
      </c>
      <c r="AA64" s="3">
        <f ca="1">IFERROR(__xludf.DUMMYFUNCTION("""COMPUTED_VALUE"""),-0.562124084654473)</f>
        <v>-0.56212408465447306</v>
      </c>
      <c r="AB64" s="3">
        <f ca="1">IFERROR(__xludf.DUMMYFUNCTION("""COMPUTED_VALUE"""),-0.551399227784114)</f>
        <v>-0.55139922778411399</v>
      </c>
      <c r="AC64" s="3">
        <f ca="1">IFERROR(__xludf.DUMMYFUNCTION("""COMPUTED_VALUE"""),-0.553149780047342)</f>
        <v>-0.55314978004734205</v>
      </c>
      <c r="AD64" s="3">
        <f ca="1">IFERROR(__xludf.DUMMYFUNCTION("""COMPUTED_VALUE"""),-0.562976738883178)</f>
        <v>-0.56297673888317801</v>
      </c>
      <c r="AE64" s="3">
        <f ca="1">IFERROR(__xludf.DUMMYFUNCTION("""COMPUTED_VALUE"""),-0.565752085545562)</f>
        <v>-0.565752085545562</v>
      </c>
      <c r="AF64" s="3">
        <f ca="1">IFERROR(__xludf.DUMMYFUNCTION("""COMPUTED_VALUE"""),-0.533303548486837)</f>
        <v>-0.53330354848683703</v>
      </c>
      <c r="AG64" s="3">
        <f ca="1">IFERROR(__xludf.DUMMYFUNCTION("""COMPUTED_VALUE"""),-0.522222183714257)</f>
        <v>-0.52222218371425699</v>
      </c>
      <c r="AH64" s="3">
        <f ca="1">IFERROR(__xludf.DUMMYFUNCTION("""COMPUTED_VALUE"""),-0.573283853367961)</f>
        <v>-0.57328385336796095</v>
      </c>
      <c r="AI64" s="3">
        <f ca="1">IFERROR(__xludf.DUMMYFUNCTION("""COMPUTED_VALUE"""),-0.55237195470186)</f>
        <v>-0.55237195470185996</v>
      </c>
      <c r="AJ64" s="3">
        <f ca="1">IFERROR(__xludf.DUMMYFUNCTION("""COMPUTED_VALUE"""),-0.567394365780957)</f>
        <v>-0.56739436578095703</v>
      </c>
      <c r="AK64" s="3">
        <f ca="1">IFERROR(__xludf.DUMMYFUNCTION("""COMPUTED_VALUE"""),-0.588571202483152)</f>
        <v>-0.58857120248315198</v>
      </c>
      <c r="AL64" s="3">
        <f ca="1">IFERROR(__xludf.DUMMYFUNCTION("""COMPUTED_VALUE"""),-0.553659558231903)</f>
        <v>-0.55365955823190305</v>
      </c>
      <c r="AM64" s="3">
        <f ca="1">IFERROR(__xludf.DUMMYFUNCTION("""COMPUTED_VALUE"""),-0.522159887755919)</f>
        <v>-0.52215988775591904</v>
      </c>
      <c r="AN64" s="3">
        <f ca="1">IFERROR(__xludf.DUMMYFUNCTION("""COMPUTED_VALUE"""),-0.541588325081943)</f>
        <v>-0.54158832508194299</v>
      </c>
      <c r="AO64" s="3">
        <f ca="1">IFERROR(__xludf.DUMMYFUNCTION("""COMPUTED_VALUE"""),-0.60614354401256)</f>
        <v>-0.60614354401255999</v>
      </c>
      <c r="AP64" s="3">
        <f ca="1">IFERROR(__xludf.DUMMYFUNCTION("""COMPUTED_VALUE"""),-0.570667833427071)</f>
        <v>-0.57066783342707095</v>
      </c>
      <c r="AQ64" s="3">
        <f ca="1">IFERROR(__xludf.DUMMYFUNCTION("""COMPUTED_VALUE"""),-0.565589532935983)</f>
        <v>-0.56558953293598302</v>
      </c>
      <c r="AR64" s="3">
        <f ca="1">IFERROR(__xludf.DUMMYFUNCTION("""COMPUTED_VALUE"""),-0.604524144437292)</f>
        <v>-0.60452414443729197</v>
      </c>
      <c r="AS64" s="3">
        <f ca="1">IFERROR(__xludf.DUMMYFUNCTION("""COMPUTED_VALUE"""),-0.524942394264692)</f>
        <v>-0.52494239426469202</v>
      </c>
      <c r="AT64" s="3">
        <f ca="1">IFERROR(__xludf.DUMMYFUNCTION("""COMPUTED_VALUE"""),-0.440933273875173)</f>
        <v>-0.440933273875173</v>
      </c>
      <c r="AU64" s="3">
        <f ca="1">IFERROR(__xludf.DUMMYFUNCTION("""COMPUTED_VALUE"""),-0.520312538747352)</f>
        <v>-0.52031253874735195</v>
      </c>
      <c r="AV64" s="3">
        <f ca="1">IFERROR(__xludf.DUMMYFUNCTION("""COMPUTED_VALUE"""),-0.586384517584563)</f>
        <v>-0.586384517584563</v>
      </c>
      <c r="AW64" s="3">
        <f ca="1">IFERROR(__xludf.DUMMYFUNCTION("""COMPUTED_VALUE"""),-0.599943207529596)</f>
        <v>-0.59994320752959596</v>
      </c>
      <c r="AX64" s="3">
        <f ca="1">IFERROR(__xludf.DUMMYFUNCTION("""COMPUTED_VALUE"""),-0.587374710739244)</f>
        <v>-0.58737471073924397</v>
      </c>
      <c r="AY64" s="3">
        <f ca="1">IFERROR(__xludf.DUMMYFUNCTION("""COMPUTED_VALUE"""),-0.637002835994513)</f>
        <v>-0.63700283599451302</v>
      </c>
      <c r="AZ64" s="3">
        <f ca="1">IFERROR(__xludf.DUMMYFUNCTION("""COMPUTED_VALUE"""),-0.58391724791398)</f>
        <v>-0.58391724791398003</v>
      </c>
      <c r="BA64" s="3">
        <f ca="1">IFERROR(__xludf.DUMMYFUNCTION("""COMPUTED_VALUE"""),-0.503299731282514)</f>
        <v>-0.50329973128251404</v>
      </c>
      <c r="BB64" s="3">
        <f ca="1">IFERROR(__xludf.DUMMYFUNCTION("""COMPUTED_VALUE"""),-0.55003610615865)</f>
        <v>-0.55003610615864995</v>
      </c>
      <c r="BC64" s="3">
        <f ca="1">IFERROR(__xludf.DUMMYFUNCTION("""COMPUTED_VALUE"""),-0.619008980634348)</f>
        <v>-0.61900898063434795</v>
      </c>
      <c r="BD64" s="3">
        <f ca="1">IFERROR(__xludf.DUMMYFUNCTION("""COMPUTED_VALUE"""),-0.656645391219074)</f>
        <v>-0.65664539121907395</v>
      </c>
      <c r="BE64" s="3">
        <f ca="1">IFERROR(__xludf.DUMMYFUNCTION("""COMPUTED_VALUE"""),-0.578925352619283)</f>
        <v>-0.57892535261928302</v>
      </c>
      <c r="BF64" s="3">
        <f ca="1">IFERROR(__xludf.DUMMYFUNCTION("""COMPUTED_VALUE"""),-0.650285584998074)</f>
        <v>-0.65028558499807398</v>
      </c>
      <c r="BG64" s="3">
        <f ca="1">IFERROR(__xludf.DUMMYFUNCTION("""COMPUTED_VALUE"""),-0.620571457953902)</f>
        <v>-0.62057145795390201</v>
      </c>
      <c r="BH64" s="3">
        <f ca="1">IFERROR(__xludf.DUMMYFUNCTION("""COMPUTED_VALUE"""),-0.421975042062381)</f>
        <v>-0.42197504206238101</v>
      </c>
      <c r="BI64" s="3">
        <f ca="1">IFERROR(__xludf.DUMMYFUNCTION("""COMPUTED_VALUE"""),-0.540250675878442)</f>
        <v>-0.540250675878442</v>
      </c>
      <c r="BJ64" s="3">
        <f ca="1">IFERROR(__xludf.DUMMYFUNCTION("""COMPUTED_VALUE"""),-0.607315193737218)</f>
        <v>-0.60731519373721798</v>
      </c>
      <c r="BK64" s="3">
        <f ca="1">IFERROR(__xludf.DUMMYFUNCTION("""COMPUTED_VALUE"""),-0.645426223244771)</f>
        <v>-0.64542622324477095</v>
      </c>
      <c r="BL64" s="3">
        <f ca="1">IFERROR(__xludf.DUMMYFUNCTION("""COMPUTED_VALUE"""),-0.644329084425903)</f>
        <v>-0.64432908442590298</v>
      </c>
      <c r="BM64" s="3">
        <f ca="1">IFERROR(__xludf.DUMMYFUNCTION("""COMPUTED_VALUE"""),-0.622487419649284)</f>
        <v>-0.622487419649284</v>
      </c>
      <c r="BN64" s="3">
        <f ca="1">IFERROR(__xludf.DUMMYFUNCTION("""COMPUTED_VALUE"""),-0.630042589302638)</f>
        <v>-0.63004258930263801</v>
      </c>
      <c r="BO64" s="3">
        <f ca="1">IFERROR(__xludf.DUMMYFUNCTION("""COMPUTED_VALUE"""),-0.602881894037997)</f>
        <v>-0.60288189403799697</v>
      </c>
      <c r="BP64" s="3">
        <f ca="1">IFERROR(__xludf.DUMMYFUNCTION("""COMPUTED_VALUE"""),-0.65255701764747)</f>
        <v>-0.65255701764746998</v>
      </c>
      <c r="BQ64" s="3">
        <f ca="1">IFERROR(__xludf.DUMMYFUNCTION("""COMPUTED_VALUE"""),-0.660299451526316)</f>
        <v>-0.66029945152631597</v>
      </c>
      <c r="BR64" s="3">
        <f ca="1">IFERROR(__xludf.DUMMYFUNCTION("""COMPUTED_VALUE"""),-0.673128954392456)</f>
        <v>-0.67312895439245601</v>
      </c>
      <c r="BS64" s="3">
        <f ca="1">IFERROR(__xludf.DUMMYFUNCTION("""COMPUTED_VALUE"""),-0.657301341522141)</f>
        <v>-0.65730134152214104</v>
      </c>
      <c r="BT64" s="3">
        <f ca="1">IFERROR(__xludf.DUMMYFUNCTION("""COMPUTED_VALUE"""),-0.692513979813701)</f>
        <v>-0.692513979813701</v>
      </c>
      <c r="BU64" s="3">
        <f ca="1">IFERROR(__xludf.DUMMYFUNCTION("""COMPUTED_VALUE"""),-0.703045248074508)</f>
        <v>-0.70304524807450797</v>
      </c>
      <c r="BV64" s="3">
        <f ca="1">IFERROR(__xludf.DUMMYFUNCTION("""COMPUTED_VALUE"""),-0.641931290504482)</f>
        <v>-0.64193129050448205</v>
      </c>
      <c r="BW64" s="3">
        <f ca="1">IFERROR(__xludf.DUMMYFUNCTION("""COMPUTED_VALUE"""),-0.701514491892729)</f>
        <v>-0.70151449189272896</v>
      </c>
      <c r="BX64" s="3">
        <f ca="1">IFERROR(__xludf.DUMMYFUNCTION("""COMPUTED_VALUE"""),-0.698042478255514)</f>
        <v>-0.69804247825551402</v>
      </c>
      <c r="BY64" s="3">
        <f ca="1">IFERROR(__xludf.DUMMYFUNCTION("""COMPUTED_VALUE"""),-0.710506028362667)</f>
        <v>-0.71050602836266696</v>
      </c>
      <c r="BZ64" s="3">
        <f ca="1">IFERROR(__xludf.DUMMYFUNCTION("""COMPUTED_VALUE"""),-0.699858750606009)</f>
        <v>-0.69985875060600899</v>
      </c>
      <c r="CA64" s="3">
        <f ca="1">IFERROR(__xludf.DUMMYFUNCTION("""COMPUTED_VALUE"""),-0.706481589948329)</f>
        <v>-0.70648158994832899</v>
      </c>
      <c r="CB64" s="3">
        <f ca="1">IFERROR(__xludf.DUMMYFUNCTION("""COMPUTED_VALUE"""),-0.676908860311035)</f>
        <v>-0.67690886031103503</v>
      </c>
      <c r="CC64" s="3">
        <f ca="1">IFERROR(__xludf.DUMMYFUNCTION("""COMPUTED_VALUE"""),-0.649663814850239)</f>
        <v>-0.64966381485023905</v>
      </c>
      <c r="CD64" s="3">
        <f ca="1">IFERROR(__xludf.DUMMYFUNCTION("""COMPUTED_VALUE"""),-0.698593322414744)</f>
        <v>-0.69859332241474403</v>
      </c>
      <c r="CE64" s="3">
        <f ca="1">IFERROR(__xludf.DUMMYFUNCTION("""COMPUTED_VALUE"""),-0.710983244867222)</f>
        <v>-0.71098324486722198</v>
      </c>
      <c r="CF64" s="3">
        <f ca="1">IFERROR(__xludf.DUMMYFUNCTION("""COMPUTED_VALUE"""),-0.662844452097411)</f>
        <v>-0.66284445209741105</v>
      </c>
      <c r="CG64" s="3">
        <f ca="1">IFERROR(__xludf.DUMMYFUNCTION("""COMPUTED_VALUE"""),-0.670776969129504)</f>
        <v>-0.67077696912950402</v>
      </c>
      <c r="CH64" s="3">
        <f ca="1">IFERROR(__xludf.DUMMYFUNCTION("""COMPUTED_VALUE"""),-0.692554004710815)</f>
        <v>-0.69255400471081496</v>
      </c>
      <c r="CI64" s="3">
        <f ca="1">IFERROR(__xludf.DUMMYFUNCTION("""COMPUTED_VALUE"""),-0.64659116092415)</f>
        <v>-0.64659116092415003</v>
      </c>
      <c r="CJ64" s="3">
        <f ca="1">IFERROR(__xludf.DUMMYFUNCTION("""COMPUTED_VALUE"""),-0.621064841272784)</f>
        <v>-0.62106484127278405</v>
      </c>
      <c r="CK64" s="3">
        <f ca="1">IFERROR(__xludf.DUMMYFUNCTION("""COMPUTED_VALUE"""),-0.684324601753713)</f>
        <v>-0.68432460175371301</v>
      </c>
      <c r="CL64" s="3">
        <f ca="1">IFERROR(__xludf.DUMMYFUNCTION("""COMPUTED_VALUE"""),-0.723605122219967)</f>
        <v>-0.72360512221996698</v>
      </c>
      <c r="CM64" s="3">
        <f ca="1">IFERROR(__xludf.DUMMYFUNCTION("""COMPUTED_VALUE"""),-0.723774874539107)</f>
        <v>-0.72377487453910705</v>
      </c>
      <c r="CN64" s="3">
        <f ca="1">IFERROR(__xludf.DUMMYFUNCTION("""COMPUTED_VALUE"""),-0.71295304935124)</f>
        <v>-0.71295304935124004</v>
      </c>
      <c r="CO64" s="3">
        <f ca="1">IFERROR(__xludf.DUMMYFUNCTION("""COMPUTED_VALUE"""),-0.711489164456521)</f>
        <v>-0.71148916445652099</v>
      </c>
      <c r="CP64" s="3">
        <f ca="1">IFERROR(__xludf.DUMMYFUNCTION("""COMPUTED_VALUE"""),-0.683787620445594)</f>
        <v>-0.68378762044559405</v>
      </c>
      <c r="CQ64" s="3">
        <f ca="1">IFERROR(__xludf.DUMMYFUNCTION("""COMPUTED_VALUE"""),-0.628991525808241)</f>
        <v>-0.62899152580824103</v>
      </c>
      <c r="CR64" s="3">
        <f ca="1">IFERROR(__xludf.DUMMYFUNCTION("""COMPUTED_VALUE"""),-0.648437188635962)</f>
        <v>-0.648437188635962</v>
      </c>
      <c r="CS64" s="3">
        <f ca="1">IFERROR(__xludf.DUMMYFUNCTION("""COMPUTED_VALUE"""),-0.649834993007161)</f>
        <v>-0.64983499300716097</v>
      </c>
      <c r="CT64" s="3">
        <f ca="1">IFERROR(__xludf.DUMMYFUNCTION("""COMPUTED_VALUE"""),-0.632241273901633)</f>
        <v>-0.63224127390163298</v>
      </c>
      <c r="CU64" s="3">
        <f ca="1">IFERROR(__xludf.DUMMYFUNCTION("""COMPUTED_VALUE"""),-0.600912065320668)</f>
        <v>-0.60091206532066799</v>
      </c>
      <c r="CV64" s="3">
        <f ca="1">IFERROR(__xludf.DUMMYFUNCTION("""COMPUTED_VALUE"""),-0.636457543397089)</f>
        <v>-0.63645754339708904</v>
      </c>
      <c r="CW64" s="3">
        <f ca="1">IFERROR(__xludf.DUMMYFUNCTION("""COMPUTED_VALUE"""),-0.576890440662876)</f>
        <v>-0.57689044066287598</v>
      </c>
      <c r="CX64" s="3">
        <f ca="1">IFERROR(__xludf.DUMMYFUNCTION("""COMPUTED_VALUE"""),-0.598401739664062)</f>
        <v>-0.59840173966406196</v>
      </c>
      <c r="CY64" s="3">
        <f ca="1">IFERROR(__xludf.DUMMYFUNCTION("""COMPUTED_VALUE"""),-0.678986907715434)</f>
        <v>-0.67898690771543402</v>
      </c>
      <c r="CZ64" s="3">
        <f ca="1">IFERROR(__xludf.DUMMYFUNCTION("""COMPUTED_VALUE"""),-0.73489560167713)</f>
        <v>-0.73489560167712997</v>
      </c>
      <c r="DA64" s="3">
        <f ca="1">IFERROR(__xludf.DUMMYFUNCTION("""COMPUTED_VALUE"""),-0.549593664816874)</f>
        <v>-0.54959366481687399</v>
      </c>
      <c r="DB64" s="3">
        <f ca="1">IFERROR(__xludf.DUMMYFUNCTION("""COMPUTED_VALUE"""),-0.465156653822314)</f>
        <v>-0.46515665382231403</v>
      </c>
      <c r="DC64" s="3">
        <f ca="1">IFERROR(__xludf.DUMMYFUNCTION("""COMPUTED_VALUE"""),-0.594254659010452)</f>
        <v>-0.59425465901045205</v>
      </c>
      <c r="DD64" s="3">
        <f ca="1">IFERROR(__xludf.DUMMYFUNCTION("""COMPUTED_VALUE"""),-0.609392578638079)</f>
        <v>-0.60939257863807905</v>
      </c>
      <c r="DE64" s="3">
        <f ca="1">IFERROR(__xludf.DUMMYFUNCTION("""COMPUTED_VALUE"""),-0.621066289683537)</f>
        <v>-0.62106628968353705</v>
      </c>
      <c r="DF64" s="3">
        <f ca="1">IFERROR(__xludf.DUMMYFUNCTION("""COMPUTED_VALUE"""),-0.681348418677663)</f>
        <v>-0.68134841867766305</v>
      </c>
      <c r="DG64" s="3">
        <f ca="1">IFERROR(__xludf.DUMMYFUNCTION("""COMPUTED_VALUE"""),-0.756816737649645)</f>
        <v>-0.75681673764964497</v>
      </c>
      <c r="DH64" s="3">
        <f ca="1">IFERROR(__xludf.DUMMYFUNCTION("""COMPUTED_VALUE"""),-0.436102465979364)</f>
        <v>-0.43610246597936397</v>
      </c>
      <c r="DI64" s="3">
        <f ca="1">IFERROR(__xludf.DUMMYFUNCTION("""COMPUTED_VALUE"""),-0.266230774035598)</f>
        <v>-0.26623077403559797</v>
      </c>
      <c r="DJ64" s="3">
        <f ca="1">IFERROR(__xludf.DUMMYFUNCTION("""COMPUTED_VALUE"""),-0.476308649904566)</f>
        <v>-0.47630864990456601</v>
      </c>
      <c r="DK64" s="3">
        <f ca="1">IFERROR(__xludf.DUMMYFUNCTION("""COMPUTED_VALUE"""),-0.484951137223657)</f>
        <v>-0.48495113722365701</v>
      </c>
      <c r="DL64" s="3">
        <f ca="1">IFERROR(__xludf.DUMMYFUNCTION("""COMPUTED_VALUE"""),-0.476516327058001)</f>
        <v>-0.47651632705800101</v>
      </c>
      <c r="DM64" s="3">
        <f ca="1">IFERROR(__xludf.DUMMYFUNCTION("""COMPUTED_VALUE"""),-0.503031973596626)</f>
        <v>-0.50303197359662599</v>
      </c>
      <c r="DN64" s="3">
        <f ca="1">IFERROR(__xludf.DUMMYFUNCTION("""COMPUTED_VALUE"""),-0.592904466671892)</f>
        <v>-0.59290446667189201</v>
      </c>
      <c r="DO64" s="3">
        <f ca="1">IFERROR(__xludf.DUMMYFUNCTION("""COMPUTED_VALUE"""),-0.59794464550515)</f>
        <v>-0.59794464550515003</v>
      </c>
      <c r="DP64" s="3">
        <f ca="1">IFERROR(__xludf.DUMMYFUNCTION("""COMPUTED_VALUE"""),-0.493689278647427)</f>
        <v>-0.49368927864742701</v>
      </c>
      <c r="DQ64" s="3">
        <f ca="1">IFERROR(__xludf.DUMMYFUNCTION("""COMPUTED_VALUE"""),-0.521075944771022)</f>
        <v>-0.52107594477102204</v>
      </c>
      <c r="DR64" s="3">
        <f ca="1">IFERROR(__xludf.DUMMYFUNCTION("""COMPUTED_VALUE"""),-0.510125548888189)</f>
        <v>-0.51012554888818895</v>
      </c>
      <c r="DS64" s="3">
        <f ca="1">IFERROR(__xludf.DUMMYFUNCTION("""COMPUTED_VALUE"""),-0.516606153352452)</f>
        <v>-0.51660615335245197</v>
      </c>
      <c r="DT64" s="3">
        <f ca="1">IFERROR(__xludf.DUMMYFUNCTION("""COMPUTED_VALUE"""),-0.557438213167031)</f>
        <v>-0.55743821316703102</v>
      </c>
      <c r="DU64" s="3">
        <f ca="1">IFERROR(__xludf.DUMMYFUNCTION("""COMPUTED_VALUE"""),-0.600149521715166)</f>
        <v>-0.600149521715166</v>
      </c>
      <c r="DV64" s="3">
        <f ca="1">IFERROR(__xludf.DUMMYFUNCTION("""COMPUTED_VALUE"""),-0.593775353590593)</f>
        <v>-0.59377535359059297</v>
      </c>
      <c r="DW64" s="3">
        <f ca="1">IFERROR(__xludf.DUMMYFUNCTION("""COMPUTED_VALUE"""),-0.622913717169333)</f>
        <v>-0.62291371716933297</v>
      </c>
      <c r="DX64" s="3">
        <f ca="1">IFERROR(__xludf.DUMMYFUNCTION("""COMPUTED_VALUE"""),-0.605207579190509)</f>
        <v>-0.60520757919050905</v>
      </c>
      <c r="DY64" s="3">
        <f ca="1">IFERROR(__xludf.DUMMYFUNCTION("""COMPUTED_VALUE"""),-0.564693692363846)</f>
        <v>-0.56469369236384603</v>
      </c>
      <c r="DZ64" s="3">
        <f ca="1">IFERROR(__xludf.DUMMYFUNCTION("""COMPUTED_VALUE"""),-0.500919979526989)</f>
        <v>-0.50091997952698897</v>
      </c>
      <c r="EA64" s="3">
        <f ca="1">IFERROR(__xludf.DUMMYFUNCTION("""COMPUTED_VALUE"""),-0.548637053176649)</f>
        <v>-0.54863705317664901</v>
      </c>
      <c r="EB64" s="3">
        <f ca="1">IFERROR(__xludf.DUMMYFUNCTION("""COMPUTED_VALUE"""),-0.614988634454158)</f>
        <v>-0.61498863445415797</v>
      </c>
      <c r="EC64" s="3">
        <f ca="1">IFERROR(__xludf.DUMMYFUNCTION("""COMPUTED_VALUE"""),-0.624585253347725)</f>
        <v>-0.62458525334772497</v>
      </c>
      <c r="ED64" s="3">
        <f ca="1">IFERROR(__xludf.DUMMYFUNCTION("""COMPUTED_VALUE"""),-0.628231775856441)</f>
        <v>-0.62823177585644097</v>
      </c>
      <c r="EE64" s="3">
        <f ca="1">IFERROR(__xludf.DUMMYFUNCTION("""COMPUTED_VALUE"""),-0.607572424506118)</f>
        <v>-0.60757242450611804</v>
      </c>
      <c r="EF64" s="3">
        <f ca="1">IFERROR(__xludf.DUMMYFUNCTION("""COMPUTED_VALUE"""),-0.603690752099793)</f>
        <v>-0.60369075209979295</v>
      </c>
      <c r="EG64" s="3">
        <f ca="1">IFERROR(__xludf.DUMMYFUNCTION("""COMPUTED_VALUE"""),-0.520667133261127)</f>
        <v>-0.52066713326112701</v>
      </c>
      <c r="EH64" s="3">
        <f ca="1">IFERROR(__xludf.DUMMYFUNCTION("""COMPUTED_VALUE"""),-0.546427248493166)</f>
        <v>-0.54642724849316604</v>
      </c>
      <c r="EI64" s="3">
        <f ca="1">IFERROR(__xludf.DUMMYFUNCTION("""COMPUTED_VALUE"""),-0.564003703832205)</f>
        <v>-0.56400370383220499</v>
      </c>
      <c r="EJ64" s="3">
        <f ca="1">IFERROR(__xludf.DUMMYFUNCTION("""COMPUTED_VALUE"""),-0.615311576018433)</f>
        <v>-0.615311576018433</v>
      </c>
      <c r="EK64" s="3">
        <f ca="1">IFERROR(__xludf.DUMMYFUNCTION("""COMPUTED_VALUE"""),-0.588956627469342)</f>
        <v>-0.58895662746934196</v>
      </c>
      <c r="EL64" s="3">
        <f ca="1">IFERROR(__xludf.DUMMYFUNCTION("""COMPUTED_VALUE"""),-0.627452149037841)</f>
        <v>-0.62745214903784097</v>
      </c>
      <c r="EM64" s="3">
        <f ca="1">IFERROR(__xludf.DUMMYFUNCTION("""COMPUTED_VALUE"""),-0.608131282571128)</f>
        <v>-0.60813128257112803</v>
      </c>
      <c r="EN64" s="3">
        <f ca="1">IFERROR(__xludf.DUMMYFUNCTION("""COMPUTED_VALUE"""),-0.53451968195747)</f>
        <v>-0.53451968195747002</v>
      </c>
      <c r="EO64" s="3">
        <f ca="1">IFERROR(__xludf.DUMMYFUNCTION("""COMPUTED_VALUE"""),-0.572202964356789)</f>
        <v>-0.57220296435678897</v>
      </c>
      <c r="EP64" s="3">
        <f ca="1">IFERROR(__xludf.DUMMYFUNCTION("""COMPUTED_VALUE"""),-0.627479402387578)</f>
        <v>-0.62747940238757804</v>
      </c>
      <c r="EQ64" s="3">
        <f ca="1">IFERROR(__xludf.DUMMYFUNCTION("""COMPUTED_VALUE"""),-0.673373953859397)</f>
        <v>-0.67337395385939702</v>
      </c>
      <c r="ER64" s="3">
        <f ca="1">IFERROR(__xludf.DUMMYFUNCTION("""COMPUTED_VALUE"""),-0.65792975705818)</f>
        <v>-0.65792975705818002</v>
      </c>
      <c r="ES64" s="3">
        <f ca="1">IFERROR(__xludf.DUMMYFUNCTION("""COMPUTED_VALUE"""),-0.66939154485312)</f>
        <v>-0.66939154485312002</v>
      </c>
      <c r="ET64" s="3">
        <f ca="1">IFERROR(__xludf.DUMMYFUNCTION("""COMPUTED_VALUE"""),-0.629209530774584)</f>
        <v>-0.62920953077458397</v>
      </c>
      <c r="EU64" s="3">
        <f ca="1">IFERROR(__xludf.DUMMYFUNCTION("""COMPUTED_VALUE"""),-0.576733712812153)</f>
        <v>-0.57673371281215302</v>
      </c>
      <c r="EV64" s="3">
        <f ca="1">IFERROR(__xludf.DUMMYFUNCTION("""COMPUTED_VALUE"""),-0.592153598947413)</f>
        <v>-0.59215359894741304</v>
      </c>
      <c r="EW64" s="3">
        <f ca="1">IFERROR(__xludf.DUMMYFUNCTION("""COMPUTED_VALUE"""),-0.646288606098649)</f>
        <v>-0.64628860609864902</v>
      </c>
      <c r="EX64" s="3">
        <f ca="1">IFERROR(__xludf.DUMMYFUNCTION("""COMPUTED_VALUE"""),-0.67718368595965)</f>
        <v>-0.67718368595964995</v>
      </c>
      <c r="EY64" s="3">
        <f ca="1">IFERROR(__xludf.DUMMYFUNCTION("""COMPUTED_VALUE"""),-0.656746568255877)</f>
        <v>-0.65674656825587696</v>
      </c>
      <c r="EZ64" s="3">
        <f ca="1">IFERROR(__xludf.DUMMYFUNCTION("""COMPUTED_VALUE"""),-0.618542223524205)</f>
        <v>-0.61854222352420496</v>
      </c>
      <c r="FA64" s="3">
        <f ca="1">IFERROR(__xludf.DUMMYFUNCTION("""COMPUTED_VALUE"""),-0.579750688105553)</f>
        <v>-0.57975068810555297</v>
      </c>
      <c r="FB64" s="3">
        <f ca="1">IFERROR(__xludf.DUMMYFUNCTION("""COMPUTED_VALUE"""),-0.504072186882461)</f>
        <v>-0.50407218688246103</v>
      </c>
      <c r="FC64" s="3">
        <f ca="1">IFERROR(__xludf.DUMMYFUNCTION("""COMPUTED_VALUE"""),-0.541380933983165)</f>
        <v>-0.541380933983165</v>
      </c>
      <c r="FD64" s="3">
        <f ca="1">IFERROR(__xludf.DUMMYFUNCTION("""COMPUTED_VALUE"""),-0.61667806344867)</f>
        <v>-0.61667806344867004</v>
      </c>
      <c r="FE64" s="3">
        <f ca="1">IFERROR(__xludf.DUMMYFUNCTION("""COMPUTED_VALUE"""),-0.637507376625458)</f>
        <v>-0.63750737662545798</v>
      </c>
      <c r="FF64" s="3">
        <f ca="1">IFERROR(__xludf.DUMMYFUNCTION("""COMPUTED_VALUE"""),-0.634637402695047)</f>
        <v>-0.63463740269504698</v>
      </c>
      <c r="FG64" s="3">
        <f ca="1">IFERROR(__xludf.DUMMYFUNCTION("""COMPUTED_VALUE"""),-0.676738425541111)</f>
        <v>-0.67673842554111097</v>
      </c>
      <c r="FH64" s="3">
        <f ca="1">IFERROR(__xludf.DUMMYFUNCTION("""COMPUTED_VALUE"""),-0.597733328642479)</f>
        <v>-0.59773332864247897</v>
      </c>
      <c r="FI64" s="3">
        <f ca="1">IFERROR(__xludf.DUMMYFUNCTION("""COMPUTED_VALUE"""),-0.54517488958606)</f>
        <v>-0.54517488958605997</v>
      </c>
      <c r="FJ64" s="3">
        <f ca="1">IFERROR(__xludf.DUMMYFUNCTION("""COMPUTED_VALUE"""),-0.515099687308968)</f>
        <v>-0.51509968730896805</v>
      </c>
      <c r="FK64" s="3">
        <f ca="1">IFERROR(__xludf.DUMMYFUNCTION("""COMPUTED_VALUE"""),-0.601613934153572)</f>
        <v>-0.60161393415357201</v>
      </c>
      <c r="FL64" s="3">
        <f ca="1">IFERROR(__xludf.DUMMYFUNCTION("""COMPUTED_VALUE"""),-0.617409782334168)</f>
        <v>-0.61740978233416799</v>
      </c>
      <c r="FM64" s="3">
        <f ca="1">IFERROR(__xludf.DUMMYFUNCTION("""COMPUTED_VALUE"""),-0.599828251400568)</f>
        <v>-0.59982825140056795</v>
      </c>
      <c r="FN64" s="3">
        <f ca="1">IFERROR(__xludf.DUMMYFUNCTION("""COMPUTED_VALUE"""),-0.601558320011888)</f>
        <v>-0.60155832001188803</v>
      </c>
      <c r="FO64" s="3">
        <f ca="1">IFERROR(__xludf.DUMMYFUNCTION("""COMPUTED_VALUE"""),-0.572734084485203)</f>
        <v>-0.57273408448520302</v>
      </c>
      <c r="FP64" s="3">
        <f ca="1">IFERROR(__xludf.DUMMYFUNCTION("""COMPUTED_VALUE"""),-0.493052052058371)</f>
        <v>-0.49305205205837099</v>
      </c>
      <c r="FQ64" s="3">
        <f ca="1">IFERROR(__xludf.DUMMYFUNCTION("""COMPUTED_VALUE"""),-0.503364136090221)</f>
        <v>-0.50336413609022101</v>
      </c>
      <c r="FR64" s="3">
        <f ca="1">IFERROR(__xludf.DUMMYFUNCTION("""COMPUTED_VALUE"""),-0.567091281595829)</f>
        <v>-0.567091281595829</v>
      </c>
      <c r="FS64" s="3">
        <f ca="1">IFERROR(__xludf.DUMMYFUNCTION("""COMPUTED_VALUE"""),-0.587605441997881)</f>
        <v>-0.58760544199788101</v>
      </c>
      <c r="FT64" s="3">
        <f ca="1">IFERROR(__xludf.DUMMYFUNCTION("""COMPUTED_VALUE"""),-0.609224595283244)</f>
        <v>-0.60922459528324402</v>
      </c>
      <c r="FU64" s="3">
        <f ca="1">IFERROR(__xludf.DUMMYFUNCTION("""COMPUTED_VALUE"""),-0.567244242548797)</f>
        <v>-0.56724424254879702</v>
      </c>
      <c r="FV64" s="3">
        <f ca="1">IFERROR(__xludf.DUMMYFUNCTION("""COMPUTED_VALUE"""),-0.509450443733783)</f>
        <v>-0.50945044373378301</v>
      </c>
      <c r="FW64" s="3">
        <f ca="1">IFERROR(__xludf.DUMMYFUNCTION("""COMPUTED_VALUE"""),-0.503081333022237)</f>
        <v>-0.50308133302223701</v>
      </c>
      <c r="FX64" s="3">
        <f ca="1">IFERROR(__xludf.DUMMYFUNCTION("""COMPUTED_VALUE"""),-0.579920799053734)</f>
        <v>-0.57992079905373395</v>
      </c>
      <c r="FY64" s="3">
        <f ca="1">IFERROR(__xludf.DUMMYFUNCTION("""COMPUTED_VALUE"""),-0.642236302562289)</f>
        <v>-0.64223630256228903</v>
      </c>
      <c r="FZ64" s="3">
        <f ca="1">IFERROR(__xludf.DUMMYFUNCTION("""COMPUTED_VALUE"""),-0.609106593228643)</f>
        <v>-0.60910659322864302</v>
      </c>
      <c r="GA64" s="3">
        <f ca="1">IFERROR(__xludf.DUMMYFUNCTION("""COMPUTED_VALUE"""),-0.657318262844138)</f>
        <v>-0.65731826284413797</v>
      </c>
      <c r="GB64" s="3">
        <f ca="1">IFERROR(__xludf.DUMMYFUNCTION("""COMPUTED_VALUE"""),-0.676213141143833)</f>
        <v>-0.67621314114383302</v>
      </c>
      <c r="GC64" s="3">
        <f ca="1">IFERROR(__xludf.DUMMYFUNCTION("""COMPUTED_VALUE"""),-0.649471145006194)</f>
        <v>-0.64947114500619396</v>
      </c>
      <c r="GD64" s="3">
        <f ca="1">IFERROR(__xludf.DUMMYFUNCTION("""COMPUTED_VALUE"""),-0.514115888832141)</f>
        <v>-0.51411588883214099</v>
      </c>
      <c r="GE64" s="3">
        <f ca="1">IFERROR(__xludf.DUMMYFUNCTION("""COMPUTED_VALUE"""),-0.609031634373026)</f>
        <v>-0.60903163437302599</v>
      </c>
      <c r="GF64" s="3">
        <f ca="1">IFERROR(__xludf.DUMMYFUNCTION("""COMPUTED_VALUE"""),-0.620433970675835)</f>
        <v>-0.62043397067583494</v>
      </c>
      <c r="GG64" s="3">
        <f ca="1">IFERROR(__xludf.DUMMYFUNCTION("""COMPUTED_VALUE"""),-0.572163909110532)</f>
        <v>-0.57216390911053205</v>
      </c>
      <c r="GH64" s="3">
        <f ca="1">IFERROR(__xludf.DUMMYFUNCTION("""COMPUTED_VALUE"""),-0.591146647323863)</f>
        <v>-0.59114664732386302</v>
      </c>
      <c r="GI64" s="3">
        <f ca="1">IFERROR(__xludf.DUMMYFUNCTION("""COMPUTED_VALUE"""),-0.563814381310239)</f>
        <v>-0.56381438131023898</v>
      </c>
      <c r="GJ64" s="3">
        <f ca="1">IFERROR(__xludf.DUMMYFUNCTION("""COMPUTED_VALUE"""),-0.453944142543935)</f>
        <v>-0.453944142543935</v>
      </c>
      <c r="GK64" s="3">
        <f ca="1">IFERROR(__xludf.DUMMYFUNCTION("""COMPUTED_VALUE"""),-0.54072587441537)</f>
        <v>-0.54072587441537001</v>
      </c>
      <c r="GL64" s="3">
        <f ca="1">IFERROR(__xludf.DUMMYFUNCTION("""COMPUTED_VALUE"""),-0.56089167218366)</f>
        <v>-0.56089167218365998</v>
      </c>
      <c r="GM64" s="3">
        <f ca="1">IFERROR(__xludf.DUMMYFUNCTION("""COMPUTED_VALUE"""),-0.599424590603855)</f>
        <v>-0.599424590603855</v>
      </c>
      <c r="GN64" s="3">
        <f ca="1">IFERROR(__xludf.DUMMYFUNCTION("""COMPUTED_VALUE"""),-0.53237162166436)</f>
        <v>-0.53237162166436003</v>
      </c>
      <c r="GO64" s="3">
        <f ca="1">IFERROR(__xludf.DUMMYFUNCTION("""COMPUTED_VALUE"""),-0.538599134117537)</f>
        <v>-0.53859913411753702</v>
      </c>
      <c r="GP64" s="3">
        <f ca="1">IFERROR(__xludf.DUMMYFUNCTION("""COMPUTED_VALUE"""),-0.544938831154864)</f>
        <v>-0.54493883115486397</v>
      </c>
      <c r="GQ64" s="3">
        <f ca="1">IFERROR(__xludf.DUMMYFUNCTION("""COMPUTED_VALUE"""),-0.484375657553897)</f>
        <v>-0.484375657553897</v>
      </c>
      <c r="GR64" s="3">
        <f ca="1">IFERROR(__xludf.DUMMYFUNCTION("""COMPUTED_VALUE"""),-0.362872250882157)</f>
        <v>-0.36287225088215702</v>
      </c>
      <c r="GS64" s="3">
        <f ca="1">IFERROR(__xludf.DUMMYFUNCTION("""COMPUTED_VALUE"""),-0.39930880794308)</f>
        <v>-0.39930880794307999</v>
      </c>
      <c r="GT64" s="3">
        <f ca="1">IFERROR(__xludf.DUMMYFUNCTION("""COMPUTED_VALUE"""),-0.527665031890168)</f>
        <v>-0.527665031890168</v>
      </c>
      <c r="GU64" s="3">
        <f ca="1">IFERROR(__xludf.DUMMYFUNCTION("""COMPUTED_VALUE"""),-0.495752134197818)</f>
        <v>-0.495752134197818</v>
      </c>
      <c r="GV64" s="3">
        <f ca="1">IFERROR(__xludf.DUMMYFUNCTION("""COMPUTED_VALUE"""),-0.489122330095334)</f>
        <v>-0.48912233009533401</v>
      </c>
      <c r="GW64" s="3">
        <f ca="1">IFERROR(__xludf.DUMMYFUNCTION("""COMPUTED_VALUE"""),-0.477087224598882)</f>
        <v>-0.47708722459888198</v>
      </c>
      <c r="GX64" s="3">
        <f ca="1">IFERROR(__xludf.DUMMYFUNCTION("""COMPUTED_VALUE"""),-0.408164421621447)</f>
        <v>-0.408164421621447</v>
      </c>
      <c r="GY64" s="3">
        <f ca="1">IFERROR(__xludf.DUMMYFUNCTION("""COMPUTED_VALUE"""),-0.367669006838885)</f>
        <v>-0.36766900683888498</v>
      </c>
      <c r="GZ64" s="3">
        <f ca="1">IFERROR(__xludf.DUMMYFUNCTION("""COMPUTED_VALUE"""),-0.35065062757061)</f>
        <v>-0.35065062757061</v>
      </c>
      <c r="HA64" s="3">
        <f ca="1">IFERROR(__xludf.DUMMYFUNCTION("""COMPUTED_VALUE"""),-0.432108016141336)</f>
        <v>-0.43210801614133598</v>
      </c>
      <c r="HB64" s="3">
        <f ca="1">IFERROR(__xludf.DUMMYFUNCTION("""COMPUTED_VALUE"""),-0.461737077032777)</f>
        <v>-0.461737077032777</v>
      </c>
      <c r="HC64" s="3">
        <f ca="1">IFERROR(__xludf.DUMMYFUNCTION("""COMPUTED_VALUE"""),-0.477070888613461)</f>
        <v>-0.47707088861346097</v>
      </c>
      <c r="HD64" s="3">
        <f ca="1">IFERROR(__xludf.DUMMYFUNCTION("""COMPUTED_VALUE"""),-0.454570426965083)</f>
        <v>-0.45457042696508299</v>
      </c>
      <c r="HE64" s="3">
        <f ca="1">IFERROR(__xludf.DUMMYFUNCTION("""COMPUTED_VALUE"""),-0.388373744084979)</f>
        <v>-0.38837374408497899</v>
      </c>
      <c r="HF64" s="3">
        <f ca="1">IFERROR(__xludf.DUMMYFUNCTION("""COMPUTED_VALUE"""),-0.382224662484093)</f>
        <v>-0.38222466248409298</v>
      </c>
      <c r="HG64" s="3">
        <f ca="1">IFERROR(__xludf.DUMMYFUNCTION("""COMPUTED_VALUE"""),-0.341821661962106)</f>
        <v>-0.341821661962106</v>
      </c>
      <c r="HH64" s="3">
        <f ca="1">IFERROR(__xludf.DUMMYFUNCTION("""COMPUTED_VALUE"""),-0.443951190474818)</f>
        <v>-0.44395119047481801</v>
      </c>
      <c r="HI64" s="3">
        <f ca="1">IFERROR(__xludf.DUMMYFUNCTION("""COMPUTED_VALUE"""),-0.449948123656903)</f>
        <v>-0.44994812365690301</v>
      </c>
      <c r="HJ64" s="3">
        <f ca="1">IFERROR(__xludf.DUMMYFUNCTION("""COMPUTED_VALUE"""),-0.416254037422368)</f>
        <v>-0.416254037422368</v>
      </c>
      <c r="HK64" s="3">
        <f ca="1">IFERROR(__xludf.DUMMYFUNCTION("""COMPUTED_VALUE"""),-0.448036487439786)</f>
        <v>-0.44803648743978602</v>
      </c>
      <c r="HL64" s="3">
        <f ca="1">IFERROR(__xludf.DUMMYFUNCTION("""COMPUTED_VALUE"""),-0.544001983920229)</f>
        <v>-0.54400198392022903</v>
      </c>
      <c r="HM64" s="3">
        <f ca="1">IFERROR(__xludf.DUMMYFUNCTION("""COMPUTED_VALUE"""),-0.183293084087622)</f>
        <v>-0.18329308408762199</v>
      </c>
      <c r="HN64" s="3">
        <f ca="1">IFERROR(__xludf.DUMMYFUNCTION("""COMPUTED_VALUE"""),-0.258672247262283)</f>
        <v>-0.25867224726228299</v>
      </c>
      <c r="HO64" s="3">
        <f ca="1">IFERROR(__xludf.DUMMYFUNCTION("""COMPUTED_VALUE"""),-0.367285148128047)</f>
        <v>-0.36728514812804702</v>
      </c>
      <c r="HP64" s="3">
        <f ca="1">IFERROR(__xludf.DUMMYFUNCTION("""COMPUTED_VALUE"""),-0.393847691123823)</f>
        <v>-0.39384769112382301</v>
      </c>
      <c r="HQ64" s="3">
        <f ca="1">IFERROR(__xludf.DUMMYFUNCTION("""COMPUTED_VALUE"""),-0.398458234376433)</f>
        <v>-0.39845823437643302</v>
      </c>
      <c r="HR64" s="3">
        <f ca="1">IFERROR(__xludf.DUMMYFUNCTION("""COMPUTED_VALUE"""),-0.321980864992799)</f>
        <v>-0.32198086499279899</v>
      </c>
      <c r="HS64" s="3">
        <f ca="1">IFERROR(__xludf.DUMMYFUNCTION("""COMPUTED_VALUE"""),-0.229404419249966)</f>
        <v>-0.22940441924996599</v>
      </c>
      <c r="HT64" s="3">
        <f ca="1">IFERROR(__xludf.DUMMYFUNCTION("""COMPUTED_VALUE"""),-0.312691877884487)</f>
        <v>-0.31269187788448699</v>
      </c>
      <c r="HU64" s="3">
        <f ca="1">IFERROR(__xludf.DUMMYFUNCTION("""COMPUTED_VALUE"""),-0.430639011796677)</f>
        <v>-0.43063901179667702</v>
      </c>
      <c r="HV64" s="3">
        <f ca="1">IFERROR(__xludf.DUMMYFUNCTION("""COMPUTED_VALUE"""),-0.413455526179132)</f>
        <v>-0.413455526179132</v>
      </c>
      <c r="HW64" s="3">
        <f ca="1">IFERROR(__xludf.DUMMYFUNCTION("""COMPUTED_VALUE"""),-0.440168402431619)</f>
        <v>-0.44016840243161898</v>
      </c>
      <c r="HX64" s="3">
        <f ca="1">IFERROR(__xludf.DUMMYFUNCTION("""COMPUTED_VALUE"""),-0.443234418992557)</f>
        <v>-0.443234418992557</v>
      </c>
      <c r="HY64" s="3">
        <f ca="1">IFERROR(__xludf.DUMMYFUNCTION("""COMPUTED_VALUE"""),-0.438807899069761)</f>
        <v>-0.43880789906976098</v>
      </c>
      <c r="HZ64" s="3">
        <f ca="1">IFERROR(__xludf.DUMMYFUNCTION("""COMPUTED_VALUE"""),-0.325436514312768)</f>
        <v>-0.32543651431276799</v>
      </c>
      <c r="IA64" s="3">
        <f ca="1">IFERROR(__xludf.DUMMYFUNCTION("""COMPUTED_VALUE"""),-0.321383362262574)</f>
        <v>-0.32138336226257402</v>
      </c>
      <c r="IB64" s="3">
        <f ca="1">IFERROR(__xludf.DUMMYFUNCTION("""COMPUTED_VALUE"""),-0.296270865860817)</f>
        <v>-0.29627086586081702</v>
      </c>
      <c r="IC64" s="3">
        <f ca="1">IFERROR(__xludf.DUMMYFUNCTION("""COMPUTED_VALUE"""),-0.450731084898973)</f>
        <v>-0.45073108489897301</v>
      </c>
      <c r="ID64" s="3">
        <f ca="1">IFERROR(__xludf.DUMMYFUNCTION("""COMPUTED_VALUE"""),-0.452668195055037)</f>
        <v>-0.45266819505503703</v>
      </c>
      <c r="IE64" s="3">
        <f ca="1">IFERROR(__xludf.DUMMYFUNCTION("""COMPUTED_VALUE"""),-0.39066383058006)</f>
        <v>-0.39066383058005999</v>
      </c>
      <c r="IF64" s="3">
        <f ca="1">IFERROR(__xludf.DUMMYFUNCTION("""COMPUTED_VALUE"""),-0.435813600059723)</f>
        <v>-0.43581360005972303</v>
      </c>
      <c r="IG64" s="3">
        <f ca="1">IFERROR(__xludf.DUMMYFUNCTION("""COMPUTED_VALUE"""),-0.404846134672433)</f>
        <v>-0.40484613467243302</v>
      </c>
      <c r="IH64" s="3">
        <f ca="1">IFERROR(__xludf.DUMMYFUNCTION("""COMPUTED_VALUE"""),-0.257823694765544)</f>
        <v>-0.25782369476554401</v>
      </c>
      <c r="II64" s="3">
        <f ca="1">IFERROR(__xludf.DUMMYFUNCTION("""COMPUTED_VALUE"""),-0.3184328772269)</f>
        <v>-0.3184328772269</v>
      </c>
      <c r="IJ64" s="3">
        <f ca="1">IFERROR(__xludf.DUMMYFUNCTION("""COMPUTED_VALUE"""),-0.412700195154523)</f>
        <v>-0.412700195154523</v>
      </c>
      <c r="IK64" s="3">
        <f ca="1">IFERROR(__xludf.DUMMYFUNCTION("""COMPUTED_VALUE"""),-0.374557603976008)</f>
        <v>-0.37455760397600801</v>
      </c>
      <c r="IL64" s="3">
        <f ca="1">IFERROR(__xludf.DUMMYFUNCTION("""COMPUTED_VALUE"""),-0.326402987603091)</f>
        <v>-0.326402987603091</v>
      </c>
      <c r="IM64" s="3">
        <f ca="1">IFERROR(__xludf.DUMMYFUNCTION("""COMPUTED_VALUE"""),-0.369889460471378)</f>
        <v>-0.369889460471378</v>
      </c>
      <c r="IN64" s="3">
        <f ca="1">IFERROR(__xludf.DUMMYFUNCTION("""COMPUTED_VALUE"""),-0.30939425948235)</f>
        <v>-0.30939425948235</v>
      </c>
      <c r="IO64" s="3">
        <f ca="1">IFERROR(__xludf.DUMMYFUNCTION("""COMPUTED_VALUE"""),-0.300525206147865)</f>
        <v>-0.30052520614786499</v>
      </c>
      <c r="IP64" s="3">
        <f ca="1">IFERROR(__xludf.DUMMYFUNCTION("""COMPUTED_VALUE"""),-0.256059415941683)</f>
        <v>-0.25605941594168302</v>
      </c>
      <c r="IQ64" s="3">
        <f ca="1">IFERROR(__xludf.DUMMYFUNCTION("""COMPUTED_VALUE"""),-0.253633469066434)</f>
        <v>-0.25363346906643403</v>
      </c>
      <c r="IR64" s="3">
        <f ca="1">IFERROR(__xludf.DUMMYFUNCTION("""COMPUTED_VALUE"""),-0.251454658838407)</f>
        <v>-0.25145465883840701</v>
      </c>
      <c r="IS64" s="3">
        <f ca="1">IFERROR(__xludf.DUMMYFUNCTION("""COMPUTED_VALUE"""),-0.272459405232607)</f>
        <v>-0.27245940523260698</v>
      </c>
      <c r="IT64" s="3">
        <f ca="1">IFERROR(__xludf.DUMMYFUNCTION("""COMPUTED_VALUE"""),-0.339365370246499)</f>
        <v>-0.33936537024649899</v>
      </c>
      <c r="IU64" s="3">
        <f ca="1">IFERROR(__xludf.DUMMYFUNCTION("""COMPUTED_VALUE"""),-0.225316049033933)</f>
        <v>-0.22531604903393301</v>
      </c>
      <c r="IV64" s="3">
        <f ca="1">IFERROR(__xludf.DUMMYFUNCTION("""COMPUTED_VALUE"""),-0.322421718805979)</f>
        <v>-0.32242171880597897</v>
      </c>
      <c r="IW64" s="3">
        <f ca="1">IFERROR(__xludf.DUMMYFUNCTION("""COMPUTED_VALUE"""),-0.183979734715187)</f>
        <v>-0.183979734715187</v>
      </c>
      <c r="IX64" s="3">
        <f ca="1">IFERROR(__xludf.DUMMYFUNCTION("""COMPUTED_VALUE"""),-0.17932394543717)</f>
        <v>-0.17932394543717001</v>
      </c>
      <c r="IY64" s="3">
        <f ca="1">IFERROR(__xludf.DUMMYFUNCTION("""COMPUTED_VALUE"""),-0.185280278538958)</f>
        <v>-0.18528027853895801</v>
      </c>
      <c r="IZ64" s="3">
        <f ca="1">IFERROR(__xludf.DUMMYFUNCTION("""COMPUTED_VALUE"""),-0.162771300143305)</f>
        <v>-0.16277130014330499</v>
      </c>
      <c r="JA64" s="3">
        <f ca="1">IFERROR(__xludf.DUMMYFUNCTION("""COMPUTED_VALUE"""),-0.241319114874957)</f>
        <v>-0.241319114874957</v>
      </c>
      <c r="JB64" s="3">
        <f ca="1">IFERROR(__xludf.DUMMYFUNCTION("""COMPUTED_VALUE"""),-0.320212559815499)</f>
        <v>-0.32021255981549901</v>
      </c>
      <c r="JC64" s="3">
        <f ca="1">IFERROR(__xludf.DUMMYFUNCTION("""COMPUTED_VALUE"""),-0.190581754718383)</f>
        <v>-0.19058175471838301</v>
      </c>
      <c r="JD64" s="3">
        <f ca="1">IFERROR(__xludf.DUMMYFUNCTION("""COMPUTED_VALUE"""),-0.19376556166382)</f>
        <v>-0.19376556166382</v>
      </c>
      <c r="JE64" s="3">
        <f ca="1">IFERROR(__xludf.DUMMYFUNCTION("""COMPUTED_VALUE"""),-0.20057962698653)</f>
        <v>-0.20057962698653001</v>
      </c>
      <c r="JF64" s="3">
        <f ca="1">IFERROR(__xludf.DUMMYFUNCTION("""COMPUTED_VALUE"""),-0.234166354657148)</f>
        <v>-0.234166354657148</v>
      </c>
      <c r="JG64" s="3">
        <f ca="1">IFERROR(__xludf.DUMMYFUNCTION("""COMPUTED_VALUE"""),-0.217984034158958)</f>
        <v>-0.21798403415895801</v>
      </c>
      <c r="JH64" s="3">
        <f ca="1">IFERROR(__xludf.DUMMYFUNCTION("""COMPUTED_VALUE"""),-0.195491671280761)</f>
        <v>-0.195491671280761</v>
      </c>
      <c r="JI64" s="3">
        <f ca="1">IFERROR(__xludf.DUMMYFUNCTION("""COMPUTED_VALUE"""),-0.163746131189285)</f>
        <v>-0.16374613118928499</v>
      </c>
      <c r="JJ64" s="3">
        <f ca="1">IFERROR(__xludf.DUMMYFUNCTION("""COMPUTED_VALUE"""),-0.222000951623553)</f>
        <v>-0.22200095162355299</v>
      </c>
      <c r="JK64" s="3">
        <f ca="1">IFERROR(__xludf.DUMMYFUNCTION("""COMPUTED_VALUE"""),-0.202037843816914)</f>
        <v>-0.202037843816914</v>
      </c>
      <c r="JL64" s="3">
        <f ca="1">IFERROR(__xludf.DUMMYFUNCTION("""COMPUTED_VALUE"""),-0.219922192850123)</f>
        <v>-0.21992219285012299</v>
      </c>
      <c r="JM64" s="3">
        <f ca="1">IFERROR(__xludf.DUMMYFUNCTION("""COMPUTED_VALUE"""),-0.212626756782279)</f>
        <v>-0.21262675678227899</v>
      </c>
      <c r="JN64" s="3">
        <f ca="1">IFERROR(__xludf.DUMMYFUNCTION("""COMPUTED_VALUE"""),-0.179366283775261)</f>
        <v>-0.17936628377526101</v>
      </c>
      <c r="JO64" s="3">
        <f ca="1">IFERROR(__xludf.DUMMYFUNCTION("""COMPUTED_VALUE"""),-0.208512762230244)</f>
        <v>-0.20851276223024401</v>
      </c>
      <c r="JP64" s="3">
        <f ca="1">IFERROR(__xludf.DUMMYFUNCTION("""COMPUTED_VALUE"""),-0.157369456307152)</f>
        <v>-0.15736945630715199</v>
      </c>
      <c r="JQ64" s="3">
        <f ca="1">IFERROR(__xludf.DUMMYFUNCTION("""COMPUTED_VALUE"""),-0.26623000123161)</f>
        <v>-0.26623000123161</v>
      </c>
      <c r="JR64" s="3">
        <f ca="1">IFERROR(__xludf.DUMMYFUNCTION("""COMPUTED_VALUE"""),-0.358165068123907)</f>
        <v>-0.35816506812390703</v>
      </c>
      <c r="JS64" s="3">
        <f ca="1">IFERROR(__xludf.DUMMYFUNCTION("""COMPUTED_VALUE"""),-0.237840919654453)</f>
        <v>-0.237840919654453</v>
      </c>
      <c r="JT64" s="3">
        <f ca="1">IFERROR(__xludf.DUMMYFUNCTION("""COMPUTED_VALUE"""),-0.238010612985199)</f>
        <v>-0.23801061298519899</v>
      </c>
      <c r="JU64" s="3">
        <f ca="1">IFERROR(__xludf.DUMMYFUNCTION("""COMPUTED_VALUE"""),-0.26095662494529)</f>
        <v>-0.26095662494528998</v>
      </c>
      <c r="JV64" s="3">
        <f ca="1">IFERROR(__xludf.DUMMYFUNCTION("""COMPUTED_VALUE"""),-0.147274475287468)</f>
        <v>-0.14727447528746801</v>
      </c>
      <c r="JW64" s="3">
        <f ca="1">IFERROR(__xludf.DUMMYFUNCTION("""COMPUTED_VALUE"""),-0.098808046930621)</f>
        <v>-9.8808046930620994E-2</v>
      </c>
      <c r="JX64" s="3">
        <f ca="1">IFERROR(__xludf.DUMMYFUNCTION("""COMPUTED_VALUE"""),-0.211552148790678)</f>
        <v>-0.21155214879067799</v>
      </c>
      <c r="JY64" s="3">
        <f ca="1">IFERROR(__xludf.DUMMYFUNCTION("""COMPUTED_VALUE"""),-0.200416827760888)</f>
        <v>-0.20041682776088801</v>
      </c>
      <c r="JZ64" s="3">
        <f ca="1">IFERROR(__xludf.DUMMYFUNCTION("""COMPUTED_VALUE"""),-0.296384110987639)</f>
        <v>-0.296384110987639</v>
      </c>
      <c r="KA64" s="3">
        <f ca="1">IFERROR(__xludf.DUMMYFUNCTION("""COMPUTED_VALUE"""),-0.360456801356316)</f>
        <v>-0.36045680135631603</v>
      </c>
      <c r="KB64" s="3">
        <f ca="1">IFERROR(__xludf.DUMMYFUNCTION("""COMPUTED_VALUE"""),-0.440305448383757)</f>
        <v>-0.44030544838375701</v>
      </c>
      <c r="KC64" s="3">
        <f ca="1">IFERROR(__xludf.DUMMYFUNCTION("""COMPUTED_VALUE"""),-0.182109053864918)</f>
        <v>-0.18210905386491799</v>
      </c>
      <c r="KD64" s="3">
        <f ca="1">IFERROR(__xludf.DUMMYFUNCTION("""COMPUTED_VALUE"""),-0.108426998043558)</f>
        <v>-0.108426998043558</v>
      </c>
      <c r="KE64" s="3">
        <f ca="1">IFERROR(__xludf.DUMMYFUNCTION("""COMPUTED_VALUE"""),-0.363065313525453)</f>
        <v>-0.36306531352545302</v>
      </c>
      <c r="KF64" s="3">
        <f ca="1">IFERROR(__xludf.DUMMYFUNCTION("""COMPUTED_VALUE"""),-0.336108480605453)</f>
        <v>-0.33610848060545301</v>
      </c>
      <c r="KG64" s="3">
        <f ca="1">IFERROR(__xludf.DUMMYFUNCTION("""COMPUTED_VALUE"""),-0.364113644095186)</f>
        <v>-0.36411364409518598</v>
      </c>
      <c r="KH64" s="3">
        <f ca="1">IFERROR(__xludf.DUMMYFUNCTION("""COMPUTED_VALUE"""),-0.391429953232126)</f>
        <v>-0.39142995323212598</v>
      </c>
      <c r="KI64" s="3">
        <f ca="1">IFERROR(__xludf.DUMMYFUNCTION("""COMPUTED_VALUE"""),-0.560248544136262)</f>
        <v>-0.56024854413626202</v>
      </c>
      <c r="KJ64" s="3">
        <f ca="1">IFERROR(__xludf.DUMMYFUNCTION("""COMPUTED_VALUE"""),-0.313843678819121)</f>
        <v>-0.31384367881912101</v>
      </c>
      <c r="KK64" s="3">
        <f ca="1">IFERROR(__xludf.DUMMYFUNCTION("""COMPUTED_VALUE"""),-0.161733830407089)</f>
        <v>-0.161733830407089</v>
      </c>
      <c r="KL64" s="3">
        <f ca="1">IFERROR(__xludf.DUMMYFUNCTION("""COMPUTED_VALUE"""),-0.340749689135979)</f>
        <v>-0.34074968913597897</v>
      </c>
      <c r="KM64" s="3">
        <f ca="1">IFERROR(__xludf.DUMMYFUNCTION("""COMPUTED_VALUE"""),-0.39510189629428)</f>
        <v>-0.39510189629428</v>
      </c>
      <c r="KN64" s="3">
        <f ca="1">IFERROR(__xludf.DUMMYFUNCTION("""COMPUTED_VALUE"""),-0.545296471797308)</f>
        <v>-0.545296471797308</v>
      </c>
      <c r="KO64" s="3">
        <f ca="1">IFERROR(__xludf.DUMMYFUNCTION("""COMPUTED_VALUE"""),-0.559847303408078)</f>
        <v>-0.55984730340807798</v>
      </c>
      <c r="KP64" s="3">
        <f ca="1">IFERROR(__xludf.DUMMYFUNCTION("""COMPUTED_VALUE"""),-0.579291590472931)</f>
        <v>-0.579291590472931</v>
      </c>
      <c r="KQ64" s="3">
        <f ca="1">IFERROR(__xludf.DUMMYFUNCTION("""COMPUTED_VALUE"""),-0.553108589236354)</f>
        <v>-0.55310858923635398</v>
      </c>
      <c r="KR64" s="3">
        <f ca="1">IFERROR(__xludf.DUMMYFUNCTION("""COMPUTED_VALUE"""),-0.49098944480037)</f>
        <v>-0.49098944480036999</v>
      </c>
      <c r="KS64" s="3">
        <f ca="1">IFERROR(__xludf.DUMMYFUNCTION("""COMPUTED_VALUE"""),-0.491837232045306)</f>
        <v>-0.49183723204530599</v>
      </c>
      <c r="KT64" s="3">
        <f ca="1">IFERROR(__xludf.DUMMYFUNCTION("""COMPUTED_VALUE"""),-0.586918186094798)</f>
        <v>-0.58691818609479796</v>
      </c>
      <c r="KU64" s="3">
        <f ca="1">IFERROR(__xludf.DUMMYFUNCTION("""COMPUTED_VALUE"""),-0.670472793859348)</f>
        <v>-0.67047279385934799</v>
      </c>
      <c r="KV64" s="3">
        <f ca="1">IFERROR(__xludf.DUMMYFUNCTION("""COMPUTED_VALUE"""),-0.670733861645213)</f>
        <v>-0.67073386164521298</v>
      </c>
      <c r="KW64" s="3">
        <f ca="1">IFERROR(__xludf.DUMMYFUNCTION("""COMPUTED_VALUE"""),-0.664033769998875)</f>
        <v>-0.66403376999887498</v>
      </c>
      <c r="KX64" s="3">
        <f ca="1">IFERROR(__xludf.DUMMYFUNCTION("""COMPUTED_VALUE"""),-0.628546069720463)</f>
        <v>-0.62854606972046301</v>
      </c>
      <c r="KY64" s="3">
        <f ca="1">IFERROR(__xludf.DUMMYFUNCTION("""COMPUTED_VALUE"""),-0.573795151080968)</f>
        <v>-0.57379515108096801</v>
      </c>
      <c r="KZ64" s="3">
        <f ca="1">IFERROR(__xludf.DUMMYFUNCTION("""COMPUTED_VALUE"""),-0.466935743801656)</f>
        <v>-0.46693574380165598</v>
      </c>
      <c r="LA64" s="3">
        <f ca="1">IFERROR(__xludf.DUMMYFUNCTION("""COMPUTED_VALUE"""),-0.652832179742195)</f>
        <v>-0.65283217974219498</v>
      </c>
      <c r="LB64" s="3">
        <f ca="1">IFERROR(__xludf.DUMMYFUNCTION("""COMPUTED_VALUE"""),-0.673522768940991)</f>
        <v>-0.67352276894099095</v>
      </c>
      <c r="LC64" s="3">
        <f ca="1">IFERROR(__xludf.DUMMYFUNCTION("""COMPUTED_VALUE"""),-0.635439356687579)</f>
        <v>-0.635439356687579</v>
      </c>
      <c r="LD64" s="3">
        <f ca="1">IFERROR(__xludf.DUMMYFUNCTION("""COMPUTED_VALUE"""),-0.708118307995802)</f>
        <v>-0.708118307995802</v>
      </c>
      <c r="LE64" s="3">
        <f ca="1">IFERROR(__xludf.DUMMYFUNCTION("""COMPUTED_VALUE"""),-0.667189242117502)</f>
        <v>-0.66718924211750197</v>
      </c>
      <c r="LF64" s="3">
        <f ca="1">IFERROR(__xludf.DUMMYFUNCTION("""COMPUTED_VALUE"""),-0.614882810588344)</f>
        <v>-0.61488281058834404</v>
      </c>
      <c r="LG64" s="3">
        <f ca="1">IFERROR(__xludf.DUMMYFUNCTION("""COMPUTED_VALUE"""),-0.58173586214394)</f>
        <v>-0.58173586214394002</v>
      </c>
      <c r="LH64" s="3">
        <f ca="1">IFERROR(__xludf.DUMMYFUNCTION("""COMPUTED_VALUE"""),-0.655214381531223)</f>
        <v>-0.65521438153122302</v>
      </c>
      <c r="LI64" s="3">
        <f ca="1">IFERROR(__xludf.DUMMYFUNCTION("""COMPUTED_VALUE"""),-0.749392253678046)</f>
        <v>-0.74939225367804596</v>
      </c>
      <c r="LJ64" s="3">
        <f ca="1">IFERROR(__xludf.DUMMYFUNCTION("""COMPUTED_VALUE"""),-0.712278281115886)</f>
        <v>-0.71227828111588598</v>
      </c>
      <c r="LK64" s="3">
        <f ca="1">IFERROR(__xludf.DUMMYFUNCTION("""COMPUTED_VALUE"""),-0.677647297792077)</f>
        <v>-0.677647297792077</v>
      </c>
      <c r="LL64" s="3">
        <f ca="1">IFERROR(__xludf.DUMMYFUNCTION("""COMPUTED_VALUE"""),-0.671883956925083)</f>
        <v>-0.67188395692508296</v>
      </c>
      <c r="LM64" s="3">
        <f ca="1">IFERROR(__xludf.DUMMYFUNCTION("""COMPUTED_VALUE"""),-0.63471919456325)</f>
        <v>-0.63471919456324999</v>
      </c>
      <c r="LN64" s="3">
        <f ca="1">IFERROR(__xludf.DUMMYFUNCTION("""COMPUTED_VALUE"""),-0.613765172555784)</f>
        <v>-0.613765172555784</v>
      </c>
      <c r="LO64" s="3">
        <f ca="1">IFERROR(__xludf.DUMMYFUNCTION("""COMPUTED_VALUE"""),-0.647003875029899)</f>
        <v>-0.64700387502989898</v>
      </c>
      <c r="LP64" s="3">
        <f ca="1">IFERROR(__xludf.DUMMYFUNCTION("""COMPUTED_VALUE"""),-0.784449966382527)</f>
        <v>-0.78444996638252695</v>
      </c>
      <c r="LQ64" s="3">
        <f ca="1">IFERROR(__xludf.DUMMYFUNCTION("""COMPUTED_VALUE"""),-0.76840518853621)</f>
        <v>-0.76840518853620998</v>
      </c>
      <c r="LR64" s="3">
        <f ca="1">IFERROR(__xludf.DUMMYFUNCTION("""COMPUTED_VALUE"""),-0.768914366697466)</f>
        <v>-0.76891436669746605</v>
      </c>
      <c r="LS64" s="3">
        <f ca="1">IFERROR(__xludf.DUMMYFUNCTION("""COMPUTED_VALUE"""),-0.74516767555187)</f>
        <v>-0.74516767555187002</v>
      </c>
      <c r="LT64" s="3">
        <f ca="1">IFERROR(__xludf.DUMMYFUNCTION("""COMPUTED_VALUE"""),-0.689619394202449)</f>
        <v>-0.689619394202449</v>
      </c>
      <c r="LU64" s="3">
        <f ca="1">IFERROR(__xludf.DUMMYFUNCTION("""COMPUTED_VALUE"""),-0.680492900759784)</f>
        <v>-0.68049290075978397</v>
      </c>
      <c r="LV64" s="3">
        <f ca="1">IFERROR(__xludf.DUMMYFUNCTION("""COMPUTED_VALUE"""),-0.730323900733664)</f>
        <v>-0.73032390073366404</v>
      </c>
      <c r="LW64" s="3">
        <f ca="1">IFERROR(__xludf.DUMMYFUNCTION("""COMPUTED_VALUE"""),-0.848619127724375)</f>
        <v>-0.84861912772437498</v>
      </c>
      <c r="LX64" s="3">
        <f ca="1">IFERROR(__xludf.DUMMYFUNCTION("""COMPUTED_VALUE"""),-0.813882479761201)</f>
        <v>-0.81388247976120098</v>
      </c>
      <c r="LY64" s="3">
        <f ca="1">IFERROR(__xludf.DUMMYFUNCTION("""COMPUTED_VALUE"""),-0.80155608052836)</f>
        <v>-0.80155608052836003</v>
      </c>
      <c r="LZ64" s="3">
        <f ca="1">IFERROR(__xludf.DUMMYFUNCTION("""COMPUTED_VALUE"""),-0.793008624096349)</f>
        <v>-0.79300862409634898</v>
      </c>
      <c r="MA64" s="3">
        <f ca="1">IFERROR(__xludf.DUMMYFUNCTION("""COMPUTED_VALUE"""),-0.75269210692485)</f>
        <v>-0.75269210692485</v>
      </c>
      <c r="MB64" s="3">
        <f ca="1">IFERROR(__xludf.DUMMYFUNCTION("""COMPUTED_VALUE"""),-0.753860962247611)</f>
        <v>-0.75386096224761101</v>
      </c>
      <c r="MC64" s="3">
        <f ca="1">IFERROR(__xludf.DUMMYFUNCTION("""COMPUTED_VALUE"""),-0.793261791983547)</f>
        <v>-0.79326179198354696</v>
      </c>
      <c r="MD64" s="3">
        <f ca="1">IFERROR(__xludf.DUMMYFUNCTION("""COMPUTED_VALUE"""),-0.849432183075547)</f>
        <v>-0.84943218307554702</v>
      </c>
      <c r="ME64" s="3">
        <f ca="1">IFERROR(__xludf.DUMMYFUNCTION("""COMPUTED_VALUE"""),-0.82561526363455)</f>
        <v>-0.82561526363454996</v>
      </c>
      <c r="MF64" s="3">
        <f ca="1">IFERROR(__xludf.DUMMYFUNCTION("""COMPUTED_VALUE"""),-0.844823998984681)</f>
        <v>-0.84482399898468097</v>
      </c>
      <c r="MG64" s="3">
        <f ca="1">IFERROR(__xludf.DUMMYFUNCTION("""COMPUTED_VALUE"""),-0.84169552220116)</f>
        <v>-0.84169552220115995</v>
      </c>
      <c r="MH64" s="3">
        <f ca="1">IFERROR(__xludf.DUMMYFUNCTION("""COMPUTED_VALUE"""),-0.805658790741913)</f>
        <v>-0.80565879074191304</v>
      </c>
      <c r="MI64" s="3">
        <f ca="1">IFERROR(__xludf.DUMMYFUNCTION("""COMPUTED_VALUE"""),-0.737869686669125)</f>
        <v>-0.737869686669125</v>
      </c>
      <c r="MJ64" s="3">
        <f ca="1">IFERROR(__xludf.DUMMYFUNCTION("""COMPUTED_VALUE"""),-0.782706116733674)</f>
        <v>-0.78270611673367396</v>
      </c>
      <c r="MK64" s="3">
        <f ca="1">IFERROR(__xludf.DUMMYFUNCTION("""COMPUTED_VALUE"""),-0.850779105714435)</f>
        <v>-0.85077910571443505</v>
      </c>
      <c r="ML64" s="3">
        <f ca="1">IFERROR(__xludf.DUMMYFUNCTION("""COMPUTED_VALUE"""),-0.872822541828936)</f>
        <v>-0.87282254182893604</v>
      </c>
      <c r="MM64" s="3">
        <f ca="1">IFERROR(__xludf.DUMMYFUNCTION("""COMPUTED_VALUE"""),-0.856011028786246)</f>
        <v>-0.85601102878624602</v>
      </c>
      <c r="MN64" s="3">
        <f ca="1">IFERROR(__xludf.DUMMYFUNCTION("""COMPUTED_VALUE"""),-0.85840678838614)</f>
        <v>-0.85840678838614004</v>
      </c>
      <c r="MO64" s="3">
        <f ca="1">IFERROR(__xludf.DUMMYFUNCTION("""COMPUTED_VALUE"""),-0.83823979047812)</f>
        <v>-0.83823979047812003</v>
      </c>
      <c r="MP64" s="3">
        <f ca="1">IFERROR(__xludf.DUMMYFUNCTION("""COMPUTED_VALUE"""),-0.78833704998469)</f>
        <v>-0.78833704998469001</v>
      </c>
      <c r="MQ64" s="3">
        <f ca="1">IFERROR(__xludf.DUMMYFUNCTION("""COMPUTED_VALUE"""),-0.79069877279681)</f>
        <v>-0.79069877279681</v>
      </c>
      <c r="MR64" s="3">
        <f ca="1">IFERROR(__xludf.DUMMYFUNCTION("""COMPUTED_VALUE"""),-0.85274323983971)</f>
        <v>-0.85274323983971001</v>
      </c>
      <c r="MS64" s="3">
        <f ca="1">IFERROR(__xludf.DUMMYFUNCTION("""COMPUTED_VALUE"""),-0.87191391297409)</f>
        <v>-0.87191391297409004</v>
      </c>
      <c r="MT64" s="3">
        <f ca="1">IFERROR(__xludf.DUMMYFUNCTION("""COMPUTED_VALUE"""),-0.86463800039166)</f>
        <v>-0.86463800039166006</v>
      </c>
      <c r="MU64" s="3">
        <f ca="1">IFERROR(__xludf.DUMMYFUNCTION("""COMPUTED_VALUE"""),-0.868961445003172)</f>
        <v>-0.86896144500317196</v>
      </c>
      <c r="MV64" s="3">
        <f ca="1">IFERROR(__xludf.DUMMYFUNCTION("""COMPUTED_VALUE"""),-0.823072320876805)</f>
        <v>-0.82307232087680504</v>
      </c>
      <c r="MW64" s="3">
        <f ca="1">IFERROR(__xludf.DUMMYFUNCTION("""COMPUTED_VALUE"""),-0.813856808626051)</f>
        <v>-0.81385680862605103</v>
      </c>
      <c r="MX64" s="3">
        <f ca="1">IFERROR(__xludf.DUMMYFUNCTION("""COMPUTED_VALUE"""),-0.806300755350785)</f>
        <v>-0.80630075535078505</v>
      </c>
      <c r="MY64" s="3">
        <f ca="1">IFERROR(__xludf.DUMMYFUNCTION("""COMPUTED_VALUE"""),-0.848805742882052)</f>
        <v>-0.84880574288205202</v>
      </c>
      <c r="MZ64" s="3">
        <f ca="1">IFERROR(__xludf.DUMMYFUNCTION("""COMPUTED_VALUE"""),-0.881167710038374)</f>
        <v>-0.88116771003837402</v>
      </c>
      <c r="NA64" s="3">
        <f ca="1">IFERROR(__xludf.DUMMYFUNCTION("""COMPUTED_VALUE"""),-0.858953474826131)</f>
        <v>-0.85895347482613105</v>
      </c>
      <c r="NB64" s="3">
        <f ca="1">IFERROR(__xludf.DUMMYFUNCTION("""COMPUTED_VALUE"""),-0.84995008320883)</f>
        <v>-0.84995008320883003</v>
      </c>
      <c r="NC64" s="3">
        <f ca="1">IFERROR(__xludf.DUMMYFUNCTION("""COMPUTED_VALUE"""),-0.800547175131878)</f>
        <v>-0.80054717513187801</v>
      </c>
      <c r="ND64" s="3">
        <f ca="1">IFERROR(__xludf.DUMMYFUNCTION("""COMPUTED_VALUE"""),-0.81003823593322)</f>
        <v>-0.81003823593322</v>
      </c>
      <c r="NE64" s="3">
        <f ca="1">IFERROR(__xludf.DUMMYFUNCTION("""COMPUTED_VALUE"""),-0.821867410385154)</f>
        <v>-0.82186741038515398</v>
      </c>
      <c r="NF64" s="3">
        <f ca="1">IFERROR(__xludf.DUMMYFUNCTION("""COMPUTED_VALUE"""),-0.847008020196792)</f>
        <v>-0.847008020196792</v>
      </c>
      <c r="NG64" s="3">
        <f ca="1">IFERROR(__xludf.DUMMYFUNCTION("""COMPUTED_VALUE"""),-0.894041435213191)</f>
        <v>-0.89404143521319102</v>
      </c>
      <c r="NH64" s="3">
        <f ca="1">IFERROR(__xludf.DUMMYFUNCTION("""COMPUTED_VALUE"""),-0.862229263054879)</f>
        <v>-0.86222926305487901</v>
      </c>
      <c r="NI64" s="3">
        <f ca="1">IFERROR(__xludf.DUMMYFUNCTION("""COMPUTED_VALUE"""),-0.870905744906185)</f>
        <v>-0.870905744906185</v>
      </c>
      <c r="NJ64" s="3">
        <f ca="1">IFERROR(__xludf.DUMMYFUNCTION("""COMPUTED_VALUE"""),-0.84188993943092)</f>
        <v>-0.84188993943092005</v>
      </c>
      <c r="NK64" s="3">
        <f ca="1">IFERROR(__xludf.DUMMYFUNCTION("""COMPUTED_VALUE"""),-0.807050245866161)</f>
        <v>-0.80705024586616103</v>
      </c>
      <c r="NL64" s="3">
        <f ca="1">IFERROR(__xludf.DUMMYFUNCTION("""COMPUTED_VALUE"""),-0.825927403634116)</f>
        <v>-0.82592740363411599</v>
      </c>
      <c r="NM64" s="3">
        <f ca="1">IFERROR(__xludf.DUMMYFUNCTION("""COMPUTED_VALUE"""),-0.866049123571847)</f>
        <v>-0.86604912357184705</v>
      </c>
      <c r="NN64" s="3">
        <f ca="1">IFERROR(__xludf.DUMMYFUNCTION("""COMPUTED_VALUE"""),-0.870458619780606)</f>
        <v>-0.87045861978060601</v>
      </c>
      <c r="NO64" s="3">
        <f ca="1">IFERROR(__xludf.DUMMYFUNCTION("""COMPUTED_VALUE"""),-0.828855391751754)</f>
        <v>-0.82885539175175404</v>
      </c>
      <c r="NP64" s="3">
        <f ca="1">IFERROR(__xludf.DUMMYFUNCTION("""COMPUTED_VALUE"""),-0.84809565618196)</f>
        <v>-0.84809565618196003</v>
      </c>
      <c r="NQ64" s="3">
        <f ca="1">IFERROR(__xludf.DUMMYFUNCTION("""COMPUTED_VALUE"""),-0.784620906631977)</f>
        <v>-0.78462090663197703</v>
      </c>
      <c r="NR64" s="3">
        <f ca="1">IFERROR(__xludf.DUMMYFUNCTION("""COMPUTED_VALUE"""),-0.753133445231279)</f>
        <v>-0.75313344523127901</v>
      </c>
      <c r="NS64" s="3">
        <f ca="1">IFERROR(__xludf.DUMMYFUNCTION("""COMPUTED_VALUE"""),-0.79748639816032)</f>
        <v>-0.79748639816031996</v>
      </c>
      <c r="NT64" s="3">
        <f ca="1">IFERROR(__xludf.DUMMYFUNCTION("""COMPUTED_VALUE"""),-0.84839943265488)</f>
        <v>-0.84839943265488005</v>
      </c>
      <c r="NU64" s="3">
        <f ca="1">IFERROR(__xludf.DUMMYFUNCTION("""COMPUTED_VALUE"""),-0.838620936894487)</f>
        <v>-0.83862093689448702</v>
      </c>
      <c r="NV64" s="3">
        <f ca="1">IFERROR(__xludf.DUMMYFUNCTION("""COMPUTED_VALUE"""),-0.810701596522201)</f>
        <v>-0.81070159652220097</v>
      </c>
      <c r="NW64" s="3">
        <f ca="1">IFERROR(__xludf.DUMMYFUNCTION("""COMPUTED_VALUE"""),-0.785384778739044)</f>
        <v>-0.785384778739044</v>
      </c>
      <c r="NX64" s="3">
        <f ca="1">IFERROR(__xludf.DUMMYFUNCTION("""COMPUTED_VALUE"""),-0.761946112737271)</f>
        <v>-0.76194611273727098</v>
      </c>
      <c r="NY64" s="3">
        <f ca="1">IFERROR(__xludf.DUMMYFUNCTION("""COMPUTED_VALUE"""),-0.657728606613164)</f>
        <v>-0.65772860661316401</v>
      </c>
      <c r="NZ64" s="3">
        <f ca="1">IFERROR(__xludf.DUMMYFUNCTION("""COMPUTED_VALUE"""),-0.683674857062553)</f>
        <v>-0.68367485706255304</v>
      </c>
      <c r="OA64" s="3">
        <f ca="1">IFERROR(__xludf.DUMMYFUNCTION("""COMPUTED_VALUE"""),-0.7645354389309)</f>
        <v>-0.76453543893090004</v>
      </c>
      <c r="OB64" s="3">
        <f ca="1">IFERROR(__xludf.DUMMYFUNCTION("""COMPUTED_VALUE"""),-0.710806913609214)</f>
        <v>-0.710806913609214</v>
      </c>
      <c r="OC64" s="3">
        <f ca="1">IFERROR(__xludf.DUMMYFUNCTION("""COMPUTED_VALUE"""),-0.688982023998422)</f>
        <v>-0.68898202399842201</v>
      </c>
      <c r="OD64" s="3">
        <f ca="1">IFERROR(__xludf.DUMMYFUNCTION("""COMPUTED_VALUE"""),-0.65182535753998)</f>
        <v>-0.65182535753998005</v>
      </c>
      <c r="OE64" s="3">
        <f ca="1">IFERROR(__xludf.DUMMYFUNCTION("""COMPUTED_VALUE"""),-0.571673517357147)</f>
        <v>-0.571673517357147</v>
      </c>
      <c r="OF64" s="3">
        <f ca="1">IFERROR(__xludf.DUMMYFUNCTION("""COMPUTED_VALUE"""),-0.310114370024411)</f>
        <v>-0.310114370024411</v>
      </c>
      <c r="OG64" s="3">
        <f ca="1">IFERROR(__xludf.DUMMYFUNCTION("""COMPUTED_VALUE"""),-0.312803418526046)</f>
        <v>-0.31280341852604598</v>
      </c>
      <c r="OH64" s="3">
        <f ca="1">IFERROR(__xludf.DUMMYFUNCTION("""COMPUTED_VALUE"""),-0.33343748787225)</f>
        <v>-0.33343748787225003</v>
      </c>
      <c r="OI64" s="3">
        <f ca="1">IFERROR(__xludf.DUMMYFUNCTION("""COMPUTED_VALUE"""),-0.028797480241037)</f>
        <v>-2.8797480241037E-2</v>
      </c>
      <c r="OJ64" s="3">
        <f ca="1">IFERROR(__xludf.DUMMYFUNCTION("""COMPUTED_VALUE"""),0.0373628127863863)</f>
        <v>3.7362812786386299E-2</v>
      </c>
      <c r="OK64" s="3">
        <f ca="1">IFERROR(__xludf.DUMMYFUNCTION("""COMPUTED_VALUE"""),0.0237847469060017)</f>
        <v>2.37847469060017E-2</v>
      </c>
      <c r="OL64" s="3">
        <f ca="1">IFERROR(__xludf.DUMMYFUNCTION("""COMPUTED_VALUE"""),0.015174796919356)</f>
        <v>1.5174796919356E-2</v>
      </c>
      <c r="OM64" s="3">
        <f ca="1">IFERROR(__xludf.DUMMYFUNCTION("""COMPUTED_VALUE"""),0.0666016808016085)</f>
        <v>6.6601680801608498E-2</v>
      </c>
      <c r="ON64" s="3">
        <f ca="1">IFERROR(__xludf.DUMMYFUNCTION("""COMPUTED_VALUE"""),0.0678596145756647)</f>
        <v>6.7859614575664695E-2</v>
      </c>
      <c r="OO64" s="3">
        <f ca="1">IFERROR(__xludf.DUMMYFUNCTION("""COMPUTED_VALUE"""),-0.0959132980113575)</f>
        <v>-9.5913298011357506E-2</v>
      </c>
      <c r="OP64" s="3">
        <f ca="1">IFERROR(__xludf.DUMMYFUNCTION("""COMPUTED_VALUE"""),-0.0242960239094229)</f>
        <v>-2.4296023909422901E-2</v>
      </c>
      <c r="OQ64" s="3">
        <f ca="1">IFERROR(__xludf.DUMMYFUNCTION("""COMPUTED_VALUE"""),-0.0107168935502037)</f>
        <v>-1.07168935502037E-2</v>
      </c>
      <c r="OR64" s="3">
        <f ca="1">IFERROR(__xludf.DUMMYFUNCTION("""COMPUTED_VALUE"""),-0.00933226684159282)</f>
        <v>-9.3322668415928203E-3</v>
      </c>
      <c r="OS64" s="3">
        <f ca="1">IFERROR(__xludf.DUMMYFUNCTION("""COMPUTED_VALUE"""),-0.0420809065613411)</f>
        <v>-4.20809065613411E-2</v>
      </c>
      <c r="OT64" s="3">
        <f ca="1">IFERROR(__xludf.DUMMYFUNCTION("""COMPUTED_VALUE"""),0.15297337053466)</f>
        <v>0.15297337053466001</v>
      </c>
      <c r="OU64" s="3">
        <f ca="1">IFERROR(__xludf.DUMMYFUNCTION("""COMPUTED_VALUE"""),0.0869336734097723)</f>
        <v>8.6933673409772302E-2</v>
      </c>
      <c r="OV64" s="3">
        <f ca="1">IFERROR(__xludf.DUMMYFUNCTION("""COMPUTED_VALUE"""),0.0296870702128604)</f>
        <v>2.9687070212860399E-2</v>
      </c>
      <c r="OW64" s="3">
        <f ca="1">IFERROR(__xludf.DUMMYFUNCTION("""COMPUTED_VALUE"""),-0.0300857002524378)</f>
        <v>-3.00857002524378E-2</v>
      </c>
      <c r="OX64" s="3">
        <f ca="1">IFERROR(__xludf.DUMMYFUNCTION("""COMPUTED_VALUE"""),0.0673589370863136)</f>
        <v>6.7358937086313603E-2</v>
      </c>
      <c r="OY64" s="3">
        <f ca="1">IFERROR(__xludf.DUMMYFUNCTION("""COMPUTED_VALUE"""),0.0522610298458503)</f>
        <v>5.22610298458503E-2</v>
      </c>
      <c r="OZ64" s="3">
        <f ca="1">IFERROR(__xludf.DUMMYFUNCTION("""COMPUTED_VALUE"""),0.0113878576553869)</f>
        <v>1.13878576553869E-2</v>
      </c>
      <c r="PA64" s="3">
        <f ca="1">IFERROR(__xludf.DUMMYFUNCTION("""COMPUTED_VALUE"""),0.0680368154860857)</f>
        <v>6.80368154860857E-2</v>
      </c>
      <c r="PB64" s="3">
        <f ca="1">IFERROR(__xludf.DUMMYFUNCTION("""COMPUTED_VALUE"""),0.0762104094700002)</f>
        <v>7.6210409470000198E-2</v>
      </c>
      <c r="PC64" s="3">
        <f ca="1">IFERROR(__xludf.DUMMYFUNCTION("""COMPUTED_VALUE"""),-0.0597038264472304)</f>
        <v>-5.97038264472304E-2</v>
      </c>
      <c r="PD64" s="3">
        <f ca="1">IFERROR(__xludf.DUMMYFUNCTION("""COMPUTED_VALUE"""),-0.0374065483989367)</f>
        <v>-3.7406548398936701E-2</v>
      </c>
      <c r="PE64" s="3">
        <f ca="1">IFERROR(__xludf.DUMMYFUNCTION("""COMPUTED_VALUE"""),0.170832840025715)</f>
        <v>0.170832840025715</v>
      </c>
      <c r="PF64" s="3">
        <f ca="1">IFERROR(__xludf.DUMMYFUNCTION("""COMPUTED_VALUE"""),0.0146279375422906)</f>
        <v>1.46279375422906E-2</v>
      </c>
      <c r="PG64" s="3">
        <f ca="1">IFERROR(__xludf.DUMMYFUNCTION("""COMPUTED_VALUE"""),-0.0495095296962806)</f>
        <v>-4.9509529696280599E-2</v>
      </c>
      <c r="PH64" s="3">
        <f ca="1">IFERROR(__xludf.DUMMYFUNCTION("""COMPUTED_VALUE"""),0.0704707251862111)</f>
        <v>7.04707251862111E-2</v>
      </c>
      <c r="PI64" s="3">
        <f ca="1">IFERROR(__xludf.DUMMYFUNCTION("""COMPUTED_VALUE"""),0.0695038037074795)</f>
        <v>6.9503803707479495E-2</v>
      </c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</row>
    <row r="65" spans="1:477" ht="13">
      <c r="A65" s="1" t="str">
        <f ca="1">IFERROR(__xludf.DUMMYFUNCTION("""COMPUTED_VALUE"""),"exo L'Assomption")</f>
        <v>exo L'Assomption</v>
      </c>
      <c r="B65" s="1" t="str">
        <f ca="1">IFERROR(__xludf.DUMMYFUNCTION("""COMPUTED_VALUE"""),"Montréal")</f>
        <v>Montréal</v>
      </c>
      <c r="C65" s="1" t="str">
        <f ca="1">IFERROR(__xludf.DUMMYFUNCTION("""COMPUTED_VALUE"""),"Canada")</f>
        <v>Canada</v>
      </c>
      <c r="D65" s="1" t="str">
        <f ca="1">IFERROR(__xludf.DUMMYFUNCTION("""COMPUTED_VALUE"""),"Quebec")</f>
        <v>Quebec</v>
      </c>
      <c r="E65" s="3">
        <f ca="1">IFERROR(__xludf.DUMMYFUNCTION("""COMPUTED_VALUE"""),-0.474588512184717)</f>
        <v>-0.47458851218471698</v>
      </c>
      <c r="F65" s="3">
        <f ca="1">IFERROR(__xludf.DUMMYFUNCTION("""COMPUTED_VALUE"""),-0.468950075932643)</f>
        <v>-0.46895007593264298</v>
      </c>
      <c r="G65" s="3">
        <f ca="1">IFERROR(__xludf.DUMMYFUNCTION("""COMPUTED_VALUE"""),-0.510920276777785)</f>
        <v>-0.51092027677778495</v>
      </c>
      <c r="H65" s="3">
        <f ca="1">IFERROR(__xludf.DUMMYFUNCTION("""COMPUTED_VALUE"""),-0.493668771647716)</f>
        <v>-0.493668771647716</v>
      </c>
      <c r="I65" s="3">
        <f ca="1">IFERROR(__xludf.DUMMYFUNCTION("""COMPUTED_VALUE"""),-0.448229943643011)</f>
        <v>-0.448229943643011</v>
      </c>
      <c r="J65" s="3">
        <f ca="1">IFERROR(__xludf.DUMMYFUNCTION("""COMPUTED_VALUE"""),-0.446243884659962)</f>
        <v>-0.44624388465996201</v>
      </c>
      <c r="K65" s="3">
        <f ca="1">IFERROR(__xludf.DUMMYFUNCTION("""COMPUTED_VALUE"""),-0.497385749067714)</f>
        <v>-0.49738574906771399</v>
      </c>
      <c r="L65" s="3">
        <f ca="1">IFERROR(__xludf.DUMMYFUNCTION("""COMPUTED_VALUE"""),-0.486340744414353)</f>
        <v>-0.48634074441435299</v>
      </c>
      <c r="M65" s="3">
        <f ca="1">IFERROR(__xludf.DUMMYFUNCTION("""COMPUTED_VALUE"""),-0.536534353813478)</f>
        <v>-0.53653435381347803</v>
      </c>
      <c r="N65" s="3">
        <f ca="1">IFERROR(__xludf.DUMMYFUNCTION("""COMPUTED_VALUE"""),-0.500331590237969)</f>
        <v>-0.50033159023796903</v>
      </c>
      <c r="O65" s="3">
        <f ca="1">IFERROR(__xludf.DUMMYFUNCTION("""COMPUTED_VALUE"""),-0.526049559577921)</f>
        <v>-0.52604955957792099</v>
      </c>
      <c r="P65" s="3">
        <f ca="1">IFERROR(__xludf.DUMMYFUNCTION("""COMPUTED_VALUE"""),-0.478069140221878)</f>
        <v>-0.47806914022187802</v>
      </c>
      <c r="Q65" s="3">
        <f ca="1">IFERROR(__xludf.DUMMYFUNCTION("""COMPUTED_VALUE"""),-0.488411467594602)</f>
        <v>-0.48841146759460202</v>
      </c>
      <c r="R65" s="3">
        <f ca="1">IFERROR(__xludf.DUMMYFUNCTION("""COMPUTED_VALUE"""),-0.506851957354399)</f>
        <v>-0.50685195735439903</v>
      </c>
      <c r="S65" s="3">
        <f ca="1">IFERROR(__xludf.DUMMYFUNCTION("""COMPUTED_VALUE"""),-0.470048908629315)</f>
        <v>-0.47004890862931498</v>
      </c>
      <c r="T65" s="3">
        <f ca="1">IFERROR(__xludf.DUMMYFUNCTION("""COMPUTED_VALUE"""),-0.521347259777088)</f>
        <v>-0.52134725977708796</v>
      </c>
      <c r="U65" s="3">
        <f ca="1">IFERROR(__xludf.DUMMYFUNCTION("""COMPUTED_VALUE"""),-0.466890705883516)</f>
        <v>-0.466890705883516</v>
      </c>
      <c r="V65" s="3">
        <f ca="1">IFERROR(__xludf.DUMMYFUNCTION("""COMPUTED_VALUE"""),-0.490125637905119)</f>
        <v>-0.49012563790511898</v>
      </c>
      <c r="W65" s="3">
        <f ca="1">IFERROR(__xludf.DUMMYFUNCTION("""COMPUTED_VALUE"""),-0.431723282345713)</f>
        <v>-0.431723282345713</v>
      </c>
      <c r="X65" s="3">
        <f ca="1">IFERROR(__xludf.DUMMYFUNCTION("""COMPUTED_VALUE"""),-0.419582978770751)</f>
        <v>-0.41958297877075101</v>
      </c>
      <c r="Y65" s="3">
        <f ca="1">IFERROR(__xludf.DUMMYFUNCTION("""COMPUTED_VALUE"""),-0.452470218112753)</f>
        <v>-0.45247021811275301</v>
      </c>
      <c r="Z65" s="3">
        <f ca="1">IFERROR(__xludf.DUMMYFUNCTION("""COMPUTED_VALUE"""),-0.487634916609557)</f>
        <v>-0.48763491660955699</v>
      </c>
      <c r="AA65" s="3">
        <f ca="1">IFERROR(__xludf.DUMMYFUNCTION("""COMPUTED_VALUE"""),-0.53970260734883)</f>
        <v>-0.53970260734883002</v>
      </c>
      <c r="AB65" s="3">
        <f ca="1">IFERROR(__xludf.DUMMYFUNCTION("""COMPUTED_VALUE"""),-0.550286151141668)</f>
        <v>-0.55028615114166801</v>
      </c>
      <c r="AC65" s="3">
        <f ca="1">IFERROR(__xludf.DUMMYFUNCTION("""COMPUTED_VALUE"""),-0.52651774005528)</f>
        <v>-0.52651774005527996</v>
      </c>
      <c r="AD65" s="3">
        <f ca="1">IFERROR(__xludf.DUMMYFUNCTION("""COMPUTED_VALUE"""),-0.506357828488635)</f>
        <v>-0.50635782848863498</v>
      </c>
      <c r="AE65" s="3">
        <f ca="1">IFERROR(__xludf.DUMMYFUNCTION("""COMPUTED_VALUE"""),-0.545779113932362)</f>
        <v>-0.545779113932362</v>
      </c>
      <c r="AF65" s="3">
        <f ca="1">IFERROR(__xludf.DUMMYFUNCTION("""COMPUTED_VALUE"""),-0.545076308753627)</f>
        <v>-0.545076308753627</v>
      </c>
      <c r="AG65" s="3">
        <f ca="1">IFERROR(__xludf.DUMMYFUNCTION("""COMPUTED_VALUE"""),-0.532968601553562)</f>
        <v>-0.53296860155356196</v>
      </c>
      <c r="AH65" s="3">
        <f ca="1">IFERROR(__xludf.DUMMYFUNCTION("""COMPUTED_VALUE"""),-0.583641703040196)</f>
        <v>-0.58364170304019602</v>
      </c>
      <c r="AI65" s="3">
        <f ca="1">IFERROR(__xludf.DUMMYFUNCTION("""COMPUTED_VALUE"""),-0.582150347194116)</f>
        <v>-0.58215034719411596</v>
      </c>
      <c r="AJ65" s="3">
        <f ca="1">IFERROR(__xludf.DUMMYFUNCTION("""COMPUTED_VALUE"""),-0.555203502798723)</f>
        <v>-0.55520350279872299</v>
      </c>
      <c r="AK65" s="3">
        <f ca="1">IFERROR(__xludf.DUMMYFUNCTION("""COMPUTED_VALUE"""),-0.574356097571887)</f>
        <v>-0.57435609757188699</v>
      </c>
      <c r="AL65" s="3">
        <f ca="1">IFERROR(__xludf.DUMMYFUNCTION("""COMPUTED_VALUE"""),-0.531002152173093)</f>
        <v>-0.53100215217309299</v>
      </c>
      <c r="AM65" s="3">
        <f ca="1">IFERROR(__xludf.DUMMYFUNCTION("""COMPUTED_VALUE"""),-0.528187422663943)</f>
        <v>-0.52818742266394303</v>
      </c>
      <c r="AN65" s="3">
        <f ca="1">IFERROR(__xludf.DUMMYFUNCTION("""COMPUTED_VALUE"""),-0.576928009771883)</f>
        <v>-0.57692800977188297</v>
      </c>
      <c r="AO65" s="3">
        <f ca="1">IFERROR(__xludf.DUMMYFUNCTION("""COMPUTED_VALUE"""),-0.570445728242368)</f>
        <v>-0.57044572824236806</v>
      </c>
      <c r="AP65" s="3">
        <f ca="1">IFERROR(__xludf.DUMMYFUNCTION("""COMPUTED_VALUE"""),-0.554185371098824)</f>
        <v>-0.55418537109882404</v>
      </c>
      <c r="AQ65" s="3">
        <f ca="1">IFERROR(__xludf.DUMMYFUNCTION("""COMPUTED_VALUE"""),-0.528776314881468)</f>
        <v>-0.52877631488146803</v>
      </c>
      <c r="AR65" s="3">
        <f ca="1">IFERROR(__xludf.DUMMYFUNCTION("""COMPUTED_VALUE"""),-0.55915307966002)</f>
        <v>-0.55915307966002004</v>
      </c>
      <c r="AS65" s="3">
        <f ca="1">IFERROR(__xludf.DUMMYFUNCTION("""COMPUTED_VALUE"""),-0.487030652015535)</f>
        <v>-0.48703065201553503</v>
      </c>
      <c r="AT65" s="3">
        <f ca="1">IFERROR(__xludf.DUMMYFUNCTION("""COMPUTED_VALUE"""),-0.455034845659144)</f>
        <v>-0.45503484565914398</v>
      </c>
      <c r="AU65" s="3">
        <f ca="1">IFERROR(__xludf.DUMMYFUNCTION("""COMPUTED_VALUE"""),-0.5393959218749)</f>
        <v>-0.53939592187490004</v>
      </c>
      <c r="AV65" s="3">
        <f ca="1">IFERROR(__xludf.DUMMYFUNCTION("""COMPUTED_VALUE"""),-0.571007608983559)</f>
        <v>-0.57100760898355896</v>
      </c>
      <c r="AW65" s="3">
        <f ca="1">IFERROR(__xludf.DUMMYFUNCTION("""COMPUTED_VALUE"""),-0.583694649359325)</f>
        <v>-0.58369464935932502</v>
      </c>
      <c r="AX65" s="3">
        <f ca="1">IFERROR(__xludf.DUMMYFUNCTION("""COMPUTED_VALUE"""),-0.591875740658327)</f>
        <v>-0.59187574065832704</v>
      </c>
      <c r="AY65" s="3">
        <f ca="1">IFERROR(__xludf.DUMMYFUNCTION("""COMPUTED_VALUE"""),-0.602844852962044)</f>
        <v>-0.60284485296204404</v>
      </c>
      <c r="AZ65" s="3">
        <f ca="1">IFERROR(__xludf.DUMMYFUNCTION("""COMPUTED_VALUE"""),-0.582973015742949)</f>
        <v>-0.58297301574294902</v>
      </c>
      <c r="BA65" s="3">
        <f ca="1">IFERROR(__xludf.DUMMYFUNCTION("""COMPUTED_VALUE"""),-0.551058057491959)</f>
        <v>-0.55105805749195902</v>
      </c>
      <c r="BB65" s="3">
        <f ca="1">IFERROR(__xludf.DUMMYFUNCTION("""COMPUTED_VALUE"""),-0.565840571037508)</f>
        <v>-0.56584057103750796</v>
      </c>
      <c r="BC65" s="3">
        <f ca="1">IFERROR(__xludf.DUMMYFUNCTION("""COMPUTED_VALUE"""),-0.601229588098884)</f>
        <v>-0.60122958809888405</v>
      </c>
      <c r="BD65" s="3">
        <f ca="1">IFERROR(__xludf.DUMMYFUNCTION("""COMPUTED_VALUE"""),-0.636314130904938)</f>
        <v>-0.63631413090493805</v>
      </c>
      <c r="BE65" s="3">
        <f ca="1">IFERROR(__xludf.DUMMYFUNCTION("""COMPUTED_VALUE"""),-0.561760382242876)</f>
        <v>-0.56176038224287606</v>
      </c>
      <c r="BF65" s="3">
        <f ca="1">IFERROR(__xludf.DUMMYFUNCTION("""COMPUTED_VALUE"""),-0.62039951088508)</f>
        <v>-0.62039951088508005</v>
      </c>
      <c r="BG65" s="3">
        <f ca="1">IFERROR(__xludf.DUMMYFUNCTION("""COMPUTED_VALUE"""),-0.600661129271063)</f>
        <v>-0.60066112927106297</v>
      </c>
      <c r="BH65" s="3">
        <f ca="1">IFERROR(__xludf.DUMMYFUNCTION("""COMPUTED_VALUE"""),-0.485673266830524)</f>
        <v>-0.48567326683052398</v>
      </c>
      <c r="BI65" s="3">
        <f ca="1">IFERROR(__xludf.DUMMYFUNCTION("""COMPUTED_VALUE"""),-0.571787622699823)</f>
        <v>-0.57178762269982297</v>
      </c>
      <c r="BJ65" s="3">
        <f ca="1">IFERROR(__xludf.DUMMYFUNCTION("""COMPUTED_VALUE"""),-0.592789627080842)</f>
        <v>-0.59278962708084204</v>
      </c>
      <c r="BK65" s="3">
        <f ca="1">IFERROR(__xludf.DUMMYFUNCTION("""COMPUTED_VALUE"""),-0.622761050320608)</f>
        <v>-0.62276105032060802</v>
      </c>
      <c r="BL65" s="3">
        <f ca="1">IFERROR(__xludf.DUMMYFUNCTION("""COMPUTED_VALUE"""),-0.620225916554173)</f>
        <v>-0.62022591655417303</v>
      </c>
      <c r="BM65" s="3">
        <f ca="1">IFERROR(__xludf.DUMMYFUNCTION("""COMPUTED_VALUE"""),-0.609294101204948)</f>
        <v>-0.60929410120494798</v>
      </c>
      <c r="BN65" s="3">
        <f ca="1">IFERROR(__xludf.DUMMYFUNCTION("""COMPUTED_VALUE"""),-0.606618484529492)</f>
        <v>-0.60661848452949196</v>
      </c>
      <c r="BO65" s="3">
        <f ca="1">IFERROR(__xludf.DUMMYFUNCTION("""COMPUTED_VALUE"""),-0.624579370043511)</f>
        <v>-0.62457937004351105</v>
      </c>
      <c r="BP65" s="3">
        <f ca="1">IFERROR(__xludf.DUMMYFUNCTION("""COMPUTED_VALUE"""),-0.649077129855852)</f>
        <v>-0.64907712985585198</v>
      </c>
      <c r="BQ65" s="3">
        <f ca="1">IFERROR(__xludf.DUMMYFUNCTION("""COMPUTED_VALUE"""),-0.607091974025277)</f>
        <v>-0.60709197402527704</v>
      </c>
      <c r="BR65" s="3">
        <f ca="1">IFERROR(__xludf.DUMMYFUNCTION("""COMPUTED_VALUE"""),-0.648107546764627)</f>
        <v>-0.64810754676462701</v>
      </c>
      <c r="BS65" s="3">
        <f ca="1">IFERROR(__xludf.DUMMYFUNCTION("""COMPUTED_VALUE"""),-0.62964394796473)</f>
        <v>-0.62964394796473</v>
      </c>
      <c r="BT65" s="3">
        <f ca="1">IFERROR(__xludf.DUMMYFUNCTION("""COMPUTED_VALUE"""),-0.651362656760182)</f>
        <v>-0.65136265676018201</v>
      </c>
      <c r="BU65" s="3">
        <f ca="1">IFERROR(__xludf.DUMMYFUNCTION("""COMPUTED_VALUE"""),-0.680780183442241)</f>
        <v>-0.680780183442241</v>
      </c>
      <c r="BV65" s="3">
        <f ca="1">IFERROR(__xludf.DUMMYFUNCTION("""COMPUTED_VALUE"""),-0.652263117920493)</f>
        <v>-0.65226311792049296</v>
      </c>
      <c r="BW65" s="3">
        <f ca="1">IFERROR(__xludf.DUMMYFUNCTION("""COMPUTED_VALUE"""),-0.692809286069473)</f>
        <v>-0.69280928606947301</v>
      </c>
      <c r="BX65" s="3">
        <f ca="1">IFERROR(__xludf.DUMMYFUNCTION("""COMPUTED_VALUE"""),-0.671692243307077)</f>
        <v>-0.671692243307077</v>
      </c>
      <c r="BY65" s="3">
        <f ca="1">IFERROR(__xludf.DUMMYFUNCTION("""COMPUTED_VALUE"""),-0.667698612296084)</f>
        <v>-0.66769861229608396</v>
      </c>
      <c r="BZ65" s="3">
        <f ca="1">IFERROR(__xludf.DUMMYFUNCTION("""COMPUTED_VALUE"""),-0.668103435874099)</f>
        <v>-0.66810343587409904</v>
      </c>
      <c r="CA65" s="3">
        <f ca="1">IFERROR(__xludf.DUMMYFUNCTION("""COMPUTED_VALUE"""),-0.669277150551543)</f>
        <v>-0.66927715055154302</v>
      </c>
      <c r="CB65" s="3">
        <f ca="1">IFERROR(__xludf.DUMMYFUNCTION("""COMPUTED_VALUE"""),-0.655877270029869)</f>
        <v>-0.65587727002986895</v>
      </c>
      <c r="CC65" s="3">
        <f ca="1">IFERROR(__xludf.DUMMYFUNCTION("""COMPUTED_VALUE"""),-0.636983327211755)</f>
        <v>-0.63698332721175499</v>
      </c>
      <c r="CD65" s="3">
        <f ca="1">IFERROR(__xludf.DUMMYFUNCTION("""COMPUTED_VALUE"""),-0.675710346058506)</f>
        <v>-0.675710346058506</v>
      </c>
      <c r="CE65" s="3">
        <f ca="1">IFERROR(__xludf.DUMMYFUNCTION("""COMPUTED_VALUE"""),-0.665725919066059)</f>
        <v>-0.66572591906605905</v>
      </c>
      <c r="CF65" s="3">
        <f ca="1">IFERROR(__xludf.DUMMYFUNCTION("""COMPUTED_VALUE"""),-0.641197933447666)</f>
        <v>-0.64119793344766596</v>
      </c>
      <c r="CG65" s="3">
        <f ca="1">IFERROR(__xludf.DUMMYFUNCTION("""COMPUTED_VALUE"""),-0.647084218326076)</f>
        <v>-0.64708421832607599</v>
      </c>
      <c r="CH65" s="3">
        <f ca="1">IFERROR(__xludf.DUMMYFUNCTION("""COMPUTED_VALUE"""),-0.632151415381289)</f>
        <v>-0.63215141538128905</v>
      </c>
      <c r="CI65" s="3">
        <f ca="1">IFERROR(__xludf.DUMMYFUNCTION("""COMPUTED_VALUE"""),-0.643103281862697)</f>
        <v>-0.64310328186269705</v>
      </c>
      <c r="CJ65" s="3">
        <f ca="1">IFERROR(__xludf.DUMMYFUNCTION("""COMPUTED_VALUE"""),-0.616586744025461)</f>
        <v>-0.61658674402546099</v>
      </c>
      <c r="CK65" s="3">
        <f ca="1">IFERROR(__xludf.DUMMYFUNCTION("""COMPUTED_VALUE"""),-0.649417785245751)</f>
        <v>-0.649417785245751</v>
      </c>
      <c r="CL65" s="3">
        <f ca="1">IFERROR(__xludf.DUMMYFUNCTION("""COMPUTED_VALUE"""),-0.690009910736965)</f>
        <v>-0.69000991073696505</v>
      </c>
      <c r="CM65" s="3">
        <f ca="1">IFERROR(__xludf.DUMMYFUNCTION("""COMPUTED_VALUE"""),-0.706549171559184)</f>
        <v>-0.70654917155918395</v>
      </c>
      <c r="CN65" s="3">
        <f ca="1">IFERROR(__xludf.DUMMYFUNCTION("""COMPUTED_VALUE"""),-0.694235379321244)</f>
        <v>-0.69423537932124402</v>
      </c>
      <c r="CO65" s="3">
        <f ca="1">IFERROR(__xludf.DUMMYFUNCTION("""COMPUTED_VALUE"""),-0.686355981445956)</f>
        <v>-0.686355981445956</v>
      </c>
      <c r="CP65" s="3">
        <f ca="1">IFERROR(__xludf.DUMMYFUNCTION("""COMPUTED_VALUE"""),-0.676861399568415)</f>
        <v>-0.67686139956841496</v>
      </c>
      <c r="CQ65" s="3">
        <f ca="1">IFERROR(__xludf.DUMMYFUNCTION("""COMPUTED_VALUE"""),-0.639192843427091)</f>
        <v>-0.63919284342709104</v>
      </c>
      <c r="CR65" s="3">
        <f ca="1">IFERROR(__xludf.DUMMYFUNCTION("""COMPUTED_VALUE"""),-0.665626752696925)</f>
        <v>-0.66562675269692495</v>
      </c>
      <c r="CS65" s="3">
        <f ca="1">IFERROR(__xludf.DUMMYFUNCTION("""COMPUTED_VALUE"""),-0.650802238199173)</f>
        <v>-0.65080223819917304</v>
      </c>
      <c r="CT65" s="3">
        <f ca="1">IFERROR(__xludf.DUMMYFUNCTION("""COMPUTED_VALUE"""),-0.64536936601006)</f>
        <v>-0.64536936601006001</v>
      </c>
      <c r="CU65" s="3">
        <f ca="1">IFERROR(__xludf.DUMMYFUNCTION("""COMPUTED_VALUE"""),-0.620611650313312)</f>
        <v>-0.620611650313312</v>
      </c>
      <c r="CV65" s="3">
        <f ca="1">IFERROR(__xludf.DUMMYFUNCTION("""COMPUTED_VALUE"""),-0.61087496157664)</f>
        <v>-0.61087496157664001</v>
      </c>
      <c r="CW65" s="3">
        <f ca="1">IFERROR(__xludf.DUMMYFUNCTION("""COMPUTED_VALUE"""),-0.605364036652865)</f>
        <v>-0.60536403665286498</v>
      </c>
      <c r="CX65" s="3">
        <f ca="1">IFERROR(__xludf.DUMMYFUNCTION("""COMPUTED_VALUE"""),-0.599387626859725)</f>
        <v>-0.59938762685972502</v>
      </c>
      <c r="CY65" s="3">
        <f ca="1">IFERROR(__xludf.DUMMYFUNCTION("""COMPUTED_VALUE"""),-0.663280209252069)</f>
        <v>-0.66328020925206899</v>
      </c>
      <c r="CZ65" s="3">
        <f ca="1">IFERROR(__xludf.DUMMYFUNCTION("""COMPUTED_VALUE"""),-0.740053317127219)</f>
        <v>-0.740053317127219</v>
      </c>
      <c r="DA65" s="3">
        <f ca="1">IFERROR(__xludf.DUMMYFUNCTION("""COMPUTED_VALUE"""),-0.616052682358788)</f>
        <v>-0.61605268235878796</v>
      </c>
      <c r="DB65" s="3">
        <f ca="1">IFERROR(__xludf.DUMMYFUNCTION("""COMPUTED_VALUE"""),-0.459411660013914)</f>
        <v>-0.45941166001391398</v>
      </c>
      <c r="DC65" s="3">
        <f ca="1">IFERROR(__xludf.DUMMYFUNCTION("""COMPUTED_VALUE"""),-0.593808395589198)</f>
        <v>-0.59380839558919796</v>
      </c>
      <c r="DD65" s="3">
        <f ca="1">IFERROR(__xludf.DUMMYFUNCTION("""COMPUTED_VALUE"""),-0.639651369373582)</f>
        <v>-0.63965136937358202</v>
      </c>
      <c r="DE65" s="3">
        <f ca="1">IFERROR(__xludf.DUMMYFUNCTION("""COMPUTED_VALUE"""),-0.599207795008472)</f>
        <v>-0.59920779500847199</v>
      </c>
      <c r="DF65" s="3">
        <f ca="1">IFERROR(__xludf.DUMMYFUNCTION("""COMPUTED_VALUE"""),-0.659883327230294)</f>
        <v>-0.65988332723029397</v>
      </c>
      <c r="DG65" s="3">
        <f ca="1">IFERROR(__xludf.DUMMYFUNCTION("""COMPUTED_VALUE"""),-0.772500812851413)</f>
        <v>-0.77250081285141303</v>
      </c>
      <c r="DH65" s="3">
        <f ca="1">IFERROR(__xludf.DUMMYFUNCTION("""COMPUTED_VALUE"""),-0.557777797333181)</f>
        <v>-0.557777797333181</v>
      </c>
      <c r="DI65" s="3">
        <f ca="1">IFERROR(__xludf.DUMMYFUNCTION("""COMPUTED_VALUE"""),-0.268345485040308)</f>
        <v>-0.26834548504030797</v>
      </c>
      <c r="DJ65" s="3">
        <f ca="1">IFERROR(__xludf.DUMMYFUNCTION("""COMPUTED_VALUE"""),-0.465915259086958)</f>
        <v>-0.46591525908695802</v>
      </c>
      <c r="DK65" s="3">
        <f ca="1">IFERROR(__xludf.DUMMYFUNCTION("""COMPUTED_VALUE"""),-0.485967052419159)</f>
        <v>-0.485967052419159</v>
      </c>
      <c r="DL65" s="3">
        <f ca="1">IFERROR(__xludf.DUMMYFUNCTION("""COMPUTED_VALUE"""),-0.517512325616416)</f>
        <v>-0.51751232561641602</v>
      </c>
      <c r="DM65" s="3">
        <f ca="1">IFERROR(__xludf.DUMMYFUNCTION("""COMPUTED_VALUE"""),-0.514261030597997)</f>
        <v>-0.51426103059799699</v>
      </c>
      <c r="DN65" s="3">
        <f ca="1">IFERROR(__xludf.DUMMYFUNCTION("""COMPUTED_VALUE"""),-0.569556537131447)</f>
        <v>-0.56955653713144705</v>
      </c>
      <c r="DO65" s="3">
        <f ca="1">IFERROR(__xludf.DUMMYFUNCTION("""COMPUTED_VALUE"""),-0.567441490190299)</f>
        <v>-0.56744149019029899</v>
      </c>
      <c r="DP65" s="3">
        <f ca="1">IFERROR(__xludf.DUMMYFUNCTION("""COMPUTED_VALUE"""),-0.432509992979387)</f>
        <v>-0.43250999297938703</v>
      </c>
      <c r="DQ65" s="3">
        <f ca="1">IFERROR(__xludf.DUMMYFUNCTION("""COMPUTED_VALUE"""),-0.483760161176151)</f>
        <v>-0.483760161176151</v>
      </c>
      <c r="DR65" s="3">
        <f ca="1">IFERROR(__xludf.DUMMYFUNCTION("""COMPUTED_VALUE"""),-0.536313761395838)</f>
        <v>-0.53631376139583797</v>
      </c>
      <c r="DS65" s="3">
        <f ca="1">IFERROR(__xludf.DUMMYFUNCTION("""COMPUTED_VALUE"""),-0.506998860251612)</f>
        <v>-0.506998860251612</v>
      </c>
      <c r="DT65" s="3">
        <f ca="1">IFERROR(__xludf.DUMMYFUNCTION("""COMPUTED_VALUE"""),-0.538312048790244)</f>
        <v>-0.53831204879024397</v>
      </c>
      <c r="DU65" s="3">
        <f ca="1">IFERROR(__xludf.DUMMYFUNCTION("""COMPUTED_VALUE"""),-0.565310588914368)</f>
        <v>-0.56531058891436803</v>
      </c>
      <c r="DV65" s="3">
        <f ca="1">IFERROR(__xludf.DUMMYFUNCTION("""COMPUTED_VALUE"""),-0.565393625405542)</f>
        <v>-0.56539362540554206</v>
      </c>
      <c r="DW65" s="3">
        <f ca="1">IFERROR(__xludf.DUMMYFUNCTION("""COMPUTED_VALUE"""),-0.560935922056782)</f>
        <v>-0.560935922056782</v>
      </c>
      <c r="DX65" s="3">
        <f ca="1">IFERROR(__xludf.DUMMYFUNCTION("""COMPUTED_VALUE"""),-0.589840018305644)</f>
        <v>-0.58984001830564403</v>
      </c>
      <c r="DY65" s="3">
        <f ca="1">IFERROR(__xludf.DUMMYFUNCTION("""COMPUTED_VALUE"""),-0.586088623533965)</f>
        <v>-0.58608862353396496</v>
      </c>
      <c r="DZ65" s="3">
        <f ca="1">IFERROR(__xludf.DUMMYFUNCTION("""COMPUTED_VALUE"""),-0.546224805166526)</f>
        <v>-0.54622480516652605</v>
      </c>
      <c r="EA65" s="3">
        <f ca="1">IFERROR(__xludf.DUMMYFUNCTION("""COMPUTED_VALUE"""),-0.53064142139107)</f>
        <v>-0.53064142139106996</v>
      </c>
      <c r="EB65" s="3">
        <f ca="1">IFERROR(__xludf.DUMMYFUNCTION("""COMPUTED_VALUE"""),-0.543788127032396)</f>
        <v>-0.54378812703239598</v>
      </c>
      <c r="EC65" s="3">
        <f ca="1">IFERROR(__xludf.DUMMYFUNCTION("""COMPUTED_VALUE"""),-0.560509729311218)</f>
        <v>-0.56050972931121801</v>
      </c>
      <c r="ED65" s="3">
        <f ca="1">IFERROR(__xludf.DUMMYFUNCTION("""COMPUTED_VALUE"""),-0.571415904335876)</f>
        <v>-0.57141590433587597</v>
      </c>
      <c r="EE65" s="3">
        <f ca="1">IFERROR(__xludf.DUMMYFUNCTION("""COMPUTED_VALUE"""),-0.599866219648845)</f>
        <v>-0.59986621964884501</v>
      </c>
      <c r="EF65" s="3">
        <f ca="1">IFERROR(__xludf.DUMMYFUNCTION("""COMPUTED_VALUE"""),-0.543331014566959)</f>
        <v>-0.54333101456695898</v>
      </c>
      <c r="EG65" s="3">
        <f ca="1">IFERROR(__xludf.DUMMYFUNCTION("""COMPUTED_VALUE"""),-0.508024271961716)</f>
        <v>-0.50802427196171596</v>
      </c>
      <c r="EH65" s="3">
        <f ca="1">IFERROR(__xludf.DUMMYFUNCTION("""COMPUTED_VALUE"""),-0.509848952476632)</f>
        <v>-0.50984895247663198</v>
      </c>
      <c r="EI65" s="3">
        <f ca="1">IFERROR(__xludf.DUMMYFUNCTION("""COMPUTED_VALUE"""),-0.515417439418957)</f>
        <v>-0.51541743941895701</v>
      </c>
      <c r="EJ65" s="3">
        <f ca="1">IFERROR(__xludf.DUMMYFUNCTION("""COMPUTED_VALUE"""),-0.570814456188462)</f>
        <v>-0.57081445618846205</v>
      </c>
      <c r="EK65" s="3">
        <f ca="1">IFERROR(__xludf.DUMMYFUNCTION("""COMPUTED_VALUE"""),-0.50040246991402)</f>
        <v>-0.50040246991402004</v>
      </c>
      <c r="EL65" s="3">
        <f ca="1">IFERROR(__xludf.DUMMYFUNCTION("""COMPUTED_VALUE"""),-0.589265557006408)</f>
        <v>-0.58926555700640804</v>
      </c>
      <c r="EM65" s="3">
        <f ca="1">IFERROR(__xludf.DUMMYFUNCTION("""COMPUTED_VALUE"""),-0.606046620299983)</f>
        <v>-0.60604662029998302</v>
      </c>
      <c r="EN65" s="3">
        <f ca="1">IFERROR(__xludf.DUMMYFUNCTION("""COMPUTED_VALUE"""),-0.526850623513931)</f>
        <v>-0.52685062351393097</v>
      </c>
      <c r="EO65" s="3">
        <f ca="1">IFERROR(__xludf.DUMMYFUNCTION("""COMPUTED_VALUE"""),-0.496784732294498)</f>
        <v>-0.49678473229449799</v>
      </c>
      <c r="EP65" s="3">
        <f ca="1">IFERROR(__xludf.DUMMYFUNCTION("""COMPUTED_VALUE"""),-0.551253467933947)</f>
        <v>-0.55125346793394703</v>
      </c>
      <c r="EQ65" s="3">
        <f ca="1">IFERROR(__xludf.DUMMYFUNCTION("""COMPUTED_VALUE"""),-0.621452891262324)</f>
        <v>-0.62145289126232395</v>
      </c>
      <c r="ER65" s="3">
        <f ca="1">IFERROR(__xludf.DUMMYFUNCTION("""COMPUTED_VALUE"""),-0.603439078152661)</f>
        <v>-0.60343907815266096</v>
      </c>
      <c r="ES65" s="3">
        <f ca="1">IFERROR(__xludf.DUMMYFUNCTION("""COMPUTED_VALUE"""),-0.601219952622428)</f>
        <v>-0.601219952622428</v>
      </c>
      <c r="ET65" s="3">
        <f ca="1">IFERROR(__xludf.DUMMYFUNCTION("""COMPUTED_VALUE"""),-0.561471781329425)</f>
        <v>-0.56147178132942499</v>
      </c>
      <c r="EU65" s="3">
        <f ca="1">IFERROR(__xludf.DUMMYFUNCTION("""COMPUTED_VALUE"""),-0.537680411084833)</f>
        <v>-0.537680411084833</v>
      </c>
      <c r="EV65" s="3">
        <f ca="1">IFERROR(__xludf.DUMMYFUNCTION("""COMPUTED_VALUE"""),-0.526076077663921)</f>
        <v>-0.52607607766392095</v>
      </c>
      <c r="EW65" s="3">
        <f ca="1">IFERROR(__xludf.DUMMYFUNCTION("""COMPUTED_VALUE"""),-0.57540169436212)</f>
        <v>-0.57540169436211996</v>
      </c>
      <c r="EX65" s="3">
        <f ca="1">IFERROR(__xludf.DUMMYFUNCTION("""COMPUTED_VALUE"""),-0.618482294539122)</f>
        <v>-0.61848229453912196</v>
      </c>
      <c r="EY65" s="3">
        <f ca="1">IFERROR(__xludf.DUMMYFUNCTION("""COMPUTED_VALUE"""),-0.600425274870674)</f>
        <v>-0.60042527487067399</v>
      </c>
      <c r="EZ65" s="3">
        <f ca="1">IFERROR(__xludf.DUMMYFUNCTION("""COMPUTED_VALUE"""),-0.586715625824831)</f>
        <v>-0.58671562582483106</v>
      </c>
      <c r="FA65" s="3">
        <f ca="1">IFERROR(__xludf.DUMMYFUNCTION("""COMPUTED_VALUE"""),-0.469710729280186)</f>
        <v>-0.46971072928018598</v>
      </c>
      <c r="FB65" s="3">
        <f ca="1">IFERROR(__xludf.DUMMYFUNCTION("""COMPUTED_VALUE"""),-0.45751515091125)</f>
        <v>-0.45751515091125</v>
      </c>
      <c r="FC65" s="3">
        <f ca="1">IFERROR(__xludf.DUMMYFUNCTION("""COMPUTED_VALUE"""),-0.519352845635037)</f>
        <v>-0.51935284563503703</v>
      </c>
      <c r="FD65" s="3">
        <f ca="1">IFERROR(__xludf.DUMMYFUNCTION("""COMPUTED_VALUE"""),-0.512780236702124)</f>
        <v>-0.51278023670212403</v>
      </c>
      <c r="FE65" s="3">
        <f ca="1">IFERROR(__xludf.DUMMYFUNCTION("""COMPUTED_VALUE"""),-0.554243252241285)</f>
        <v>-0.55424325224128501</v>
      </c>
      <c r="FF65" s="3">
        <f ca="1">IFERROR(__xludf.DUMMYFUNCTION("""COMPUTED_VALUE"""),-0.569839454824552)</f>
        <v>-0.56983945482455201</v>
      </c>
      <c r="FG65" s="3">
        <f ca="1">IFERROR(__xludf.DUMMYFUNCTION("""COMPUTED_VALUE"""),-0.62158115460795)</f>
        <v>-0.62158115460795005</v>
      </c>
      <c r="FH65" s="3">
        <f ca="1">IFERROR(__xludf.DUMMYFUNCTION("""COMPUTED_VALUE"""),-0.526356177293509)</f>
        <v>-0.52635617729350903</v>
      </c>
      <c r="FI65" s="3">
        <f ca="1">IFERROR(__xludf.DUMMYFUNCTION("""COMPUTED_VALUE"""),-0.520465300036173)</f>
        <v>-0.52046530003617297</v>
      </c>
      <c r="FJ65" s="3">
        <f ca="1">IFERROR(__xludf.DUMMYFUNCTION("""COMPUTED_VALUE"""),-0.495053842386338)</f>
        <v>-0.49505384238633798</v>
      </c>
      <c r="FK65" s="3">
        <f ca="1">IFERROR(__xludf.DUMMYFUNCTION("""COMPUTED_VALUE"""),-0.560027157831331)</f>
        <v>-0.56002715783133095</v>
      </c>
      <c r="FL65" s="3">
        <f ca="1">IFERROR(__xludf.DUMMYFUNCTION("""COMPUTED_VALUE"""),-0.531371366396611)</f>
        <v>-0.53137136639661098</v>
      </c>
      <c r="FM65" s="3">
        <f ca="1">IFERROR(__xludf.DUMMYFUNCTION("""COMPUTED_VALUE"""),-0.519723194142392)</f>
        <v>-0.51972319414239199</v>
      </c>
      <c r="FN65" s="3">
        <f ca="1">IFERROR(__xludf.DUMMYFUNCTION("""COMPUTED_VALUE"""),-0.517384528142839)</f>
        <v>-0.51738452814283897</v>
      </c>
      <c r="FO65" s="3">
        <f ca="1">IFERROR(__xludf.DUMMYFUNCTION("""COMPUTED_VALUE"""),-0.535035253847527)</f>
        <v>-0.53503525384752704</v>
      </c>
      <c r="FP65" s="3">
        <f ca="1">IFERROR(__xludf.DUMMYFUNCTION("""COMPUTED_VALUE"""),-0.432050148282137)</f>
        <v>-0.432050148282137</v>
      </c>
      <c r="FQ65" s="3">
        <f ca="1">IFERROR(__xludf.DUMMYFUNCTION("""COMPUTED_VALUE"""),-0.46219080536787)</f>
        <v>-0.46219080536786999</v>
      </c>
      <c r="FR65" s="3">
        <f ca="1">IFERROR(__xludf.DUMMYFUNCTION("""COMPUTED_VALUE"""),-0.484273781902923)</f>
        <v>-0.48427378190292297</v>
      </c>
      <c r="FS65" s="3">
        <f ca="1">IFERROR(__xludf.DUMMYFUNCTION("""COMPUTED_VALUE"""),-0.486737677537193)</f>
        <v>-0.48673767753719299</v>
      </c>
      <c r="FT65" s="3">
        <f ca="1">IFERROR(__xludf.DUMMYFUNCTION("""COMPUTED_VALUE"""),-0.539743133104726)</f>
        <v>-0.53974313310472599</v>
      </c>
      <c r="FU65" s="3">
        <f ca="1">IFERROR(__xludf.DUMMYFUNCTION("""COMPUTED_VALUE"""),-0.49753228234646)</f>
        <v>-0.49753228234646002</v>
      </c>
      <c r="FV65" s="3">
        <f ca="1">IFERROR(__xludf.DUMMYFUNCTION("""COMPUTED_VALUE"""),-0.485280443319973)</f>
        <v>-0.485280443319973</v>
      </c>
      <c r="FW65" s="3">
        <f ca="1">IFERROR(__xludf.DUMMYFUNCTION("""COMPUTED_VALUE"""),-0.503064666128687)</f>
        <v>-0.50306466612868705</v>
      </c>
      <c r="FX65" s="3">
        <f ca="1">IFERROR(__xludf.DUMMYFUNCTION("""COMPUTED_VALUE"""),-0.537138592834001)</f>
        <v>-0.53713859283400101</v>
      </c>
      <c r="FY65" s="3">
        <f ca="1">IFERROR(__xludf.DUMMYFUNCTION("""COMPUTED_VALUE"""),-0.55717663427208)</f>
        <v>-0.55717663427207997</v>
      </c>
      <c r="FZ65" s="3">
        <f ca="1">IFERROR(__xludf.DUMMYFUNCTION("""COMPUTED_VALUE"""),-0.525705419385707)</f>
        <v>-0.52570541938570703</v>
      </c>
      <c r="GA65" s="3">
        <f ca="1">IFERROR(__xludf.DUMMYFUNCTION("""COMPUTED_VALUE"""),-0.580314950788195)</f>
        <v>-0.58031495078819495</v>
      </c>
      <c r="GB65" s="3">
        <f ca="1">IFERROR(__xludf.DUMMYFUNCTION("""COMPUTED_VALUE"""),-0.571317938844925)</f>
        <v>-0.57131793884492499</v>
      </c>
      <c r="GC65" s="3">
        <f ca="1">IFERROR(__xludf.DUMMYFUNCTION("""COMPUTED_VALUE"""),-0.559271845214316)</f>
        <v>-0.55927184521431605</v>
      </c>
      <c r="GD65" s="3">
        <f ca="1">IFERROR(__xludf.DUMMYFUNCTION("""COMPUTED_VALUE"""),-0.451654716523188)</f>
        <v>-0.451654716523188</v>
      </c>
      <c r="GE65" s="3">
        <f ca="1">IFERROR(__xludf.DUMMYFUNCTION("""COMPUTED_VALUE"""),-0.555370708143761)</f>
        <v>-0.55537070814376099</v>
      </c>
      <c r="GF65" s="3">
        <f ca="1">IFERROR(__xludf.DUMMYFUNCTION("""COMPUTED_VALUE"""),-0.52759558448201)</f>
        <v>-0.52759558448201005</v>
      </c>
      <c r="GG65" s="3">
        <f ca="1">IFERROR(__xludf.DUMMYFUNCTION("""COMPUTED_VALUE"""),-0.533156581906308)</f>
        <v>-0.53315658190630799</v>
      </c>
      <c r="GH65" s="3">
        <f ca="1">IFERROR(__xludf.DUMMYFUNCTION("""COMPUTED_VALUE"""),-0.532108650905336)</f>
        <v>-0.53210865090533599</v>
      </c>
      <c r="GI65" s="3">
        <f ca="1">IFERROR(__xludf.DUMMYFUNCTION("""COMPUTED_VALUE"""),-0.493953814090159)</f>
        <v>-0.49395381409015898</v>
      </c>
      <c r="GJ65" s="3">
        <f ca="1">IFERROR(__xludf.DUMMYFUNCTION("""COMPUTED_VALUE"""),-0.426652043860068)</f>
        <v>-0.426652043860068</v>
      </c>
      <c r="GK65" s="3">
        <f ca="1">IFERROR(__xludf.DUMMYFUNCTION("""COMPUTED_VALUE"""),-0.507406131946038)</f>
        <v>-0.50740613194603801</v>
      </c>
      <c r="GL65" s="3">
        <f ca="1">IFERROR(__xludf.DUMMYFUNCTION("""COMPUTED_VALUE"""),-0.49121112198262)</f>
        <v>-0.49121112198262001</v>
      </c>
      <c r="GM65" s="3">
        <f ca="1">IFERROR(__xludf.DUMMYFUNCTION("""COMPUTED_VALUE"""),-0.521587603560155)</f>
        <v>-0.52158760356015499</v>
      </c>
      <c r="GN65" s="3">
        <f ca="1">IFERROR(__xludf.DUMMYFUNCTION("""COMPUTED_VALUE"""),-0.454159683007679)</f>
        <v>-0.454159683007679</v>
      </c>
      <c r="GO65" s="3">
        <f ca="1">IFERROR(__xludf.DUMMYFUNCTION("""COMPUTED_VALUE"""),-0.448589261980038)</f>
        <v>-0.44858926198003801</v>
      </c>
      <c r="GP65" s="3">
        <f ca="1">IFERROR(__xludf.DUMMYFUNCTION("""COMPUTED_VALUE"""),-0.468480165023902)</f>
        <v>-0.468480165023902</v>
      </c>
      <c r="GQ65" s="3">
        <f ca="1">IFERROR(__xludf.DUMMYFUNCTION("""COMPUTED_VALUE"""),-0.405345022465893)</f>
        <v>-0.40534502246589299</v>
      </c>
      <c r="GR65" s="3">
        <f ca="1">IFERROR(__xludf.DUMMYFUNCTION("""COMPUTED_VALUE"""),-0.354773488414935)</f>
        <v>-0.354773488414935</v>
      </c>
      <c r="GS65" s="3">
        <f ca="1">IFERROR(__xludf.DUMMYFUNCTION("""COMPUTED_VALUE"""),-0.325509136153681)</f>
        <v>-0.32550913615368099</v>
      </c>
      <c r="GT65" s="3">
        <f ca="1">IFERROR(__xludf.DUMMYFUNCTION("""COMPUTED_VALUE"""),-0.457663468845226)</f>
        <v>-0.45766346884522602</v>
      </c>
      <c r="GU65" s="3">
        <f ca="1">IFERROR(__xludf.DUMMYFUNCTION("""COMPUTED_VALUE"""),-0.429636740500731)</f>
        <v>-0.42963674050073097</v>
      </c>
      <c r="GV65" s="3">
        <f ca="1">IFERROR(__xludf.DUMMYFUNCTION("""COMPUTED_VALUE"""),-0.442032611604362)</f>
        <v>-0.44203261160436202</v>
      </c>
      <c r="GW65" s="3">
        <f ca="1">IFERROR(__xludf.DUMMYFUNCTION("""COMPUTED_VALUE"""),-0.402264574475503)</f>
        <v>-0.40226457447550301</v>
      </c>
      <c r="GX65" s="3">
        <f ca="1">IFERROR(__xludf.DUMMYFUNCTION("""COMPUTED_VALUE"""),-0.388790959115787)</f>
        <v>-0.38879095911578698</v>
      </c>
      <c r="GY65" s="3">
        <f ca="1">IFERROR(__xludf.DUMMYFUNCTION("""COMPUTED_VALUE"""),-0.386219441478599)</f>
        <v>-0.38621944147859899</v>
      </c>
      <c r="GZ65" s="3">
        <f ca="1">IFERROR(__xludf.DUMMYFUNCTION("""COMPUTED_VALUE"""),-0.375970248028913)</f>
        <v>-0.37597024802891299</v>
      </c>
      <c r="HA65" s="3">
        <f ca="1">IFERROR(__xludf.DUMMYFUNCTION("""COMPUTED_VALUE"""),-0.407550693872947)</f>
        <v>-0.40755069387294701</v>
      </c>
      <c r="HB65" s="3">
        <f ca="1">IFERROR(__xludf.DUMMYFUNCTION("""COMPUTED_VALUE"""),-0.406324308158726)</f>
        <v>-0.406324308158726</v>
      </c>
      <c r="HC65" s="3">
        <f ca="1">IFERROR(__xludf.DUMMYFUNCTION("""COMPUTED_VALUE"""),-0.41192357411339)</f>
        <v>-0.41192357411338998</v>
      </c>
      <c r="HD65" s="3">
        <f ca="1">IFERROR(__xludf.DUMMYFUNCTION("""COMPUTED_VALUE"""),-0.391242403555756)</f>
        <v>-0.39124240355575601</v>
      </c>
      <c r="HE65" s="3">
        <f ca="1">IFERROR(__xludf.DUMMYFUNCTION("""COMPUTED_VALUE"""),-0.347960233056944)</f>
        <v>-0.34796023305694401</v>
      </c>
      <c r="HF65" s="3">
        <f ca="1">IFERROR(__xludf.DUMMYFUNCTION("""COMPUTED_VALUE"""),-0.381098787966488)</f>
        <v>-0.381098787966488</v>
      </c>
      <c r="HG65" s="3">
        <f ca="1">IFERROR(__xludf.DUMMYFUNCTION("""COMPUTED_VALUE"""),-0.309445364494357)</f>
        <v>-0.309445364494357</v>
      </c>
      <c r="HH65" s="3">
        <f ca="1">IFERROR(__xludf.DUMMYFUNCTION("""COMPUTED_VALUE"""),-0.383034346274203)</f>
        <v>-0.38303434627420302</v>
      </c>
      <c r="HI65" s="3">
        <f ca="1">IFERROR(__xludf.DUMMYFUNCTION("""COMPUTED_VALUE"""),-0.38917232554728)</f>
        <v>-0.38917232554727998</v>
      </c>
      <c r="HJ65" s="3">
        <f ca="1">IFERROR(__xludf.DUMMYFUNCTION("""COMPUTED_VALUE"""),-0.376726593800955)</f>
        <v>-0.37672659380095502</v>
      </c>
      <c r="HK65" s="3">
        <f ca="1">IFERROR(__xludf.DUMMYFUNCTION("""COMPUTED_VALUE"""),-0.383413705162681)</f>
        <v>-0.38341370516268097</v>
      </c>
      <c r="HL65" s="3">
        <f ca="1">IFERROR(__xludf.DUMMYFUNCTION("""COMPUTED_VALUE"""),-0.470893678558649)</f>
        <v>-0.470893678558649</v>
      </c>
      <c r="HM65" s="3">
        <f ca="1">IFERROR(__xludf.DUMMYFUNCTION("""COMPUTED_VALUE"""),-0.24744149663041)</f>
        <v>-0.24744149663041001</v>
      </c>
      <c r="HN65" s="3">
        <f ca="1">IFERROR(__xludf.DUMMYFUNCTION("""COMPUTED_VALUE"""),-0.282213515318837)</f>
        <v>-0.28221351531883698</v>
      </c>
      <c r="HO65" s="3">
        <f ca="1">IFERROR(__xludf.DUMMYFUNCTION("""COMPUTED_VALUE"""),-0.359105552263066)</f>
        <v>-0.35910555226306601</v>
      </c>
      <c r="HP65" s="3">
        <f ca="1">IFERROR(__xludf.DUMMYFUNCTION("""COMPUTED_VALUE"""),-0.367411920032067)</f>
        <v>-0.36741192003206702</v>
      </c>
      <c r="HQ65" s="3">
        <f ca="1">IFERROR(__xludf.DUMMYFUNCTION("""COMPUTED_VALUE"""),-0.37665375017129)</f>
        <v>-0.37665375017128999</v>
      </c>
      <c r="HR65" s="3">
        <f ca="1">IFERROR(__xludf.DUMMYFUNCTION("""COMPUTED_VALUE"""),-0.31696580958452)</f>
        <v>-0.31696580958451998</v>
      </c>
      <c r="HS65" s="3">
        <f ca="1">IFERROR(__xludf.DUMMYFUNCTION("""COMPUTED_VALUE"""),-0.25248515117791)</f>
        <v>-0.25248515117790998</v>
      </c>
      <c r="HT65" s="3">
        <f ca="1">IFERROR(__xludf.DUMMYFUNCTION("""COMPUTED_VALUE"""),-0.299664841845396)</f>
        <v>-0.29966484184539599</v>
      </c>
      <c r="HU65" s="3">
        <f ca="1">IFERROR(__xludf.DUMMYFUNCTION("""COMPUTED_VALUE"""),-0.408193307829396)</f>
        <v>-0.408193307829396</v>
      </c>
      <c r="HV65" s="3">
        <f ca="1">IFERROR(__xludf.DUMMYFUNCTION("""COMPUTED_VALUE"""),-0.362946059370665)</f>
        <v>-0.36294605937066499</v>
      </c>
      <c r="HW65" s="3">
        <f ca="1">IFERROR(__xludf.DUMMYFUNCTION("""COMPUTED_VALUE"""),-0.356122094618297)</f>
        <v>-0.35612209461829702</v>
      </c>
      <c r="HX65" s="3">
        <f ca="1">IFERROR(__xludf.DUMMYFUNCTION("""COMPUTED_VALUE"""),-0.421237106640212)</f>
        <v>-0.42123710664021202</v>
      </c>
      <c r="HY65" s="3">
        <f ca="1">IFERROR(__xludf.DUMMYFUNCTION("""COMPUTED_VALUE"""),-0.427717485131602)</f>
        <v>-0.42771748513160202</v>
      </c>
      <c r="HZ65" s="3">
        <f ca="1">IFERROR(__xludf.DUMMYFUNCTION("""COMPUTED_VALUE"""),-0.353137566420557)</f>
        <v>-0.35313756642055699</v>
      </c>
      <c r="IA65" s="3">
        <f ca="1">IFERROR(__xludf.DUMMYFUNCTION("""COMPUTED_VALUE"""),-0.341172395468117)</f>
        <v>-0.34117239546811701</v>
      </c>
      <c r="IB65" s="3">
        <f ca="1">IFERROR(__xludf.DUMMYFUNCTION("""COMPUTED_VALUE"""),-0.286116489619044)</f>
        <v>-0.28611648961904401</v>
      </c>
      <c r="IC65" s="3">
        <f ca="1">IFERROR(__xludf.DUMMYFUNCTION("""COMPUTED_VALUE"""),-0.413956449620996)</f>
        <v>-0.41395644962099598</v>
      </c>
      <c r="ID65" s="3">
        <f ca="1">IFERROR(__xludf.DUMMYFUNCTION("""COMPUTED_VALUE"""),-0.417542926890635)</f>
        <v>-0.41754292689063499</v>
      </c>
      <c r="IE65" s="3">
        <f ca="1">IFERROR(__xludf.DUMMYFUNCTION("""COMPUTED_VALUE"""),-0.374763640133013)</f>
        <v>-0.374763640133013</v>
      </c>
      <c r="IF65" s="3">
        <f ca="1">IFERROR(__xludf.DUMMYFUNCTION("""COMPUTED_VALUE"""),-0.402748023857047)</f>
        <v>-0.402748023857047</v>
      </c>
      <c r="IG65" s="3">
        <f ca="1">IFERROR(__xludf.DUMMYFUNCTION("""COMPUTED_VALUE"""),-0.468440461580184)</f>
        <v>-0.46844046158018399</v>
      </c>
      <c r="IH65" s="3">
        <f ca="1">IFERROR(__xludf.DUMMYFUNCTION("""COMPUTED_VALUE"""),-0.288757148221877)</f>
        <v>-0.28875714822187698</v>
      </c>
      <c r="II65" s="3">
        <f ca="1">IFERROR(__xludf.DUMMYFUNCTION("""COMPUTED_VALUE"""),-0.27552916457777)</f>
        <v>-0.27552916457776999</v>
      </c>
      <c r="IJ65" s="3">
        <f ca="1">IFERROR(__xludf.DUMMYFUNCTION("""COMPUTED_VALUE"""),-0.354245530542522)</f>
        <v>-0.354245530542522</v>
      </c>
      <c r="IK65" s="3">
        <f ca="1">IFERROR(__xludf.DUMMYFUNCTION("""COMPUTED_VALUE"""),-0.367303199023368)</f>
        <v>-0.367303199023368</v>
      </c>
      <c r="IL65" s="3">
        <f ca="1">IFERROR(__xludf.DUMMYFUNCTION("""COMPUTED_VALUE"""),-0.362302917216883)</f>
        <v>-0.36230291721688301</v>
      </c>
      <c r="IM65" s="3">
        <f ca="1">IFERROR(__xludf.DUMMYFUNCTION("""COMPUTED_VALUE"""),-0.391552807836017)</f>
        <v>-0.39155280783601698</v>
      </c>
      <c r="IN65" s="3">
        <f ca="1">IFERROR(__xludf.DUMMYFUNCTION("""COMPUTED_VALUE"""),-0.340746319445541)</f>
        <v>-0.34074631944554101</v>
      </c>
      <c r="IO65" s="3">
        <f ca="1">IFERROR(__xludf.DUMMYFUNCTION("""COMPUTED_VALUE"""),-0.317842640785254)</f>
        <v>-0.31784264078525398</v>
      </c>
      <c r="IP65" s="3">
        <f ca="1">IFERROR(__xludf.DUMMYFUNCTION("""COMPUTED_VALUE"""),-0.208352271262483)</f>
        <v>-0.20835227126248301</v>
      </c>
      <c r="IQ65" s="3">
        <f ca="1">IFERROR(__xludf.DUMMYFUNCTION("""COMPUTED_VALUE"""),-0.26080414409958)</f>
        <v>-0.26080414409958003</v>
      </c>
      <c r="IR65" s="3">
        <f ca="1">IFERROR(__xludf.DUMMYFUNCTION("""COMPUTED_VALUE"""),-0.270351886877769)</f>
        <v>-0.27035188687776901</v>
      </c>
      <c r="IS65" s="3">
        <f ca="1">IFERROR(__xludf.DUMMYFUNCTION("""COMPUTED_VALUE"""),-0.300530695773554)</f>
        <v>-0.30053069577355401</v>
      </c>
      <c r="IT65" s="3">
        <f ca="1">IFERROR(__xludf.DUMMYFUNCTION("""COMPUTED_VALUE"""),-0.317839067110442)</f>
        <v>-0.31783906711044202</v>
      </c>
      <c r="IU65" s="3">
        <f ca="1">IFERROR(__xludf.DUMMYFUNCTION("""COMPUTED_VALUE"""),-0.242837140190293)</f>
        <v>-0.24283714019029301</v>
      </c>
      <c r="IV65" s="3">
        <f ca="1">IFERROR(__xludf.DUMMYFUNCTION("""COMPUTED_VALUE"""),-0.366579132681141)</f>
        <v>-0.36657913268114101</v>
      </c>
      <c r="IW65" s="3">
        <f ca="1">IFERROR(__xludf.DUMMYFUNCTION("""COMPUTED_VALUE"""),-0.220210611214162)</f>
        <v>-0.22021061121416199</v>
      </c>
      <c r="IX65" s="3">
        <f ca="1">IFERROR(__xludf.DUMMYFUNCTION("""COMPUTED_VALUE"""),-0.204207590907342)</f>
        <v>-0.204207590907342</v>
      </c>
      <c r="IY65" s="3">
        <f ca="1">IFERROR(__xludf.DUMMYFUNCTION("""COMPUTED_VALUE"""),-0.236925973055707)</f>
        <v>-0.23692597305570701</v>
      </c>
      <c r="IZ65" s="3">
        <f ca="1">IFERROR(__xludf.DUMMYFUNCTION("""COMPUTED_VALUE"""),-0.237063311680812)</f>
        <v>-0.23706331168081199</v>
      </c>
      <c r="JA65" s="3">
        <f ca="1">IFERROR(__xludf.DUMMYFUNCTION("""COMPUTED_VALUE"""),-0.311468993662053)</f>
        <v>-0.311468993662053</v>
      </c>
      <c r="JB65" s="3">
        <f ca="1">IFERROR(__xludf.DUMMYFUNCTION("""COMPUTED_VALUE"""),-0.365669952063208)</f>
        <v>-0.36566995206320801</v>
      </c>
      <c r="JC65" s="3">
        <f ca="1">IFERROR(__xludf.DUMMYFUNCTION("""COMPUTED_VALUE"""),-0.278447344680119)</f>
        <v>-0.278447344680119</v>
      </c>
      <c r="JD65" s="3">
        <f ca="1">IFERROR(__xludf.DUMMYFUNCTION("""COMPUTED_VALUE"""),-0.316253485408988)</f>
        <v>-0.31625348540898801</v>
      </c>
      <c r="JE65" s="3">
        <f ca="1">IFERROR(__xludf.DUMMYFUNCTION("""COMPUTED_VALUE"""),-0.294755928010015)</f>
        <v>-0.29475592801001499</v>
      </c>
      <c r="JF65" s="3">
        <f ca="1">IFERROR(__xludf.DUMMYFUNCTION("""COMPUTED_VALUE"""),-0.361687183372145)</f>
        <v>-0.361687183372145</v>
      </c>
      <c r="JG65" s="3">
        <f ca="1">IFERROR(__xludf.DUMMYFUNCTION("""COMPUTED_VALUE"""),-0.279473201031667)</f>
        <v>-0.27947320103166701</v>
      </c>
      <c r="JH65" s="3">
        <f ca="1">IFERROR(__xludf.DUMMYFUNCTION("""COMPUTED_VALUE"""),-0.318495267267813)</f>
        <v>-0.31849526726781302</v>
      </c>
      <c r="JI65" s="3">
        <f ca="1">IFERROR(__xludf.DUMMYFUNCTION("""COMPUTED_VALUE"""),-0.218930245894644)</f>
        <v>-0.21893024589464399</v>
      </c>
      <c r="JJ65" s="3">
        <f ca="1">IFERROR(__xludf.DUMMYFUNCTION("""COMPUTED_VALUE"""),-0.190821270646114)</f>
        <v>-0.19082127064611401</v>
      </c>
      <c r="JK65" s="3">
        <f ca="1">IFERROR(__xludf.DUMMYFUNCTION("""COMPUTED_VALUE"""),-0.215241622568484)</f>
        <v>-0.215241622568484</v>
      </c>
      <c r="JL65" s="3">
        <f ca="1">IFERROR(__xludf.DUMMYFUNCTION("""COMPUTED_VALUE"""),-0.253363560391991)</f>
        <v>-0.25336356039199098</v>
      </c>
      <c r="JM65" s="3">
        <f ca="1">IFERROR(__xludf.DUMMYFUNCTION("""COMPUTED_VALUE"""),-0.269808262807304)</f>
        <v>-0.26980826280730402</v>
      </c>
      <c r="JN65" s="3">
        <f ca="1">IFERROR(__xludf.DUMMYFUNCTION("""COMPUTED_VALUE"""),-0.255355111753622)</f>
        <v>-0.25535511175362202</v>
      </c>
      <c r="JO65" s="3">
        <f ca="1">IFERROR(__xludf.DUMMYFUNCTION("""COMPUTED_VALUE"""),-0.26378918476094)</f>
        <v>-0.26378918476093999</v>
      </c>
      <c r="JP65" s="3">
        <f ca="1">IFERROR(__xludf.DUMMYFUNCTION("""COMPUTED_VALUE"""),-0.254553945134614)</f>
        <v>-0.25455394513461399</v>
      </c>
      <c r="JQ65" s="3">
        <f ca="1">IFERROR(__xludf.DUMMYFUNCTION("""COMPUTED_VALUE"""),-0.340746235427934)</f>
        <v>-0.34074623542793397</v>
      </c>
      <c r="JR65" s="3">
        <f ca="1">IFERROR(__xludf.DUMMYFUNCTION("""COMPUTED_VALUE"""),-0.371536397712799)</f>
        <v>-0.371536397712799</v>
      </c>
      <c r="JS65" s="3">
        <f ca="1">IFERROR(__xludf.DUMMYFUNCTION("""COMPUTED_VALUE"""),-0.263169942748835)</f>
        <v>-0.26316994274883498</v>
      </c>
      <c r="JT65" s="3">
        <f ca="1">IFERROR(__xludf.DUMMYFUNCTION("""COMPUTED_VALUE"""),-0.303658584183641)</f>
        <v>-0.303658584183641</v>
      </c>
      <c r="JU65" s="3">
        <f ca="1">IFERROR(__xludf.DUMMYFUNCTION("""COMPUTED_VALUE"""),-0.310586522247209)</f>
        <v>-0.31058652224720901</v>
      </c>
      <c r="JV65" s="3">
        <f ca="1">IFERROR(__xludf.DUMMYFUNCTION("""COMPUTED_VALUE"""),-0.240210420946968)</f>
        <v>-0.24021042094696801</v>
      </c>
      <c r="JW65" s="3">
        <f ca="1">IFERROR(__xludf.DUMMYFUNCTION("""COMPUTED_VALUE"""),-0.201179922414444)</f>
        <v>-0.20117992241444399</v>
      </c>
      <c r="JX65" s="3">
        <f ca="1">IFERROR(__xludf.DUMMYFUNCTION("""COMPUTED_VALUE"""),-0.235511594471123)</f>
        <v>-0.23551159447112299</v>
      </c>
      <c r="JY65" s="3">
        <f ca="1">IFERROR(__xludf.DUMMYFUNCTION("""COMPUTED_VALUE"""),-0.234339074626756)</f>
        <v>-0.23433907462675599</v>
      </c>
      <c r="JZ65" s="3">
        <f ca="1">IFERROR(__xludf.DUMMYFUNCTION("""COMPUTED_VALUE"""),-0.335240783273165)</f>
        <v>-0.33524078327316498</v>
      </c>
      <c r="KA65" s="3">
        <f ca="1">IFERROR(__xludf.DUMMYFUNCTION("""COMPUTED_VALUE"""),-0.351829804999377)</f>
        <v>-0.35182980499937699</v>
      </c>
      <c r="KB65" s="3">
        <f ca="1">IFERROR(__xludf.DUMMYFUNCTION("""COMPUTED_VALUE"""),-0.419025454665241)</f>
        <v>-0.41902545466524099</v>
      </c>
      <c r="KC65" s="3">
        <f ca="1">IFERROR(__xludf.DUMMYFUNCTION("""COMPUTED_VALUE"""),-0.284817883914463)</f>
        <v>-0.284817883914463</v>
      </c>
      <c r="KD65" s="3">
        <f ca="1">IFERROR(__xludf.DUMMYFUNCTION("""COMPUTED_VALUE"""),-0.227112015966565)</f>
        <v>-0.227112015966565</v>
      </c>
      <c r="KE65" s="3">
        <f ca="1">IFERROR(__xludf.DUMMYFUNCTION("""COMPUTED_VALUE"""),-0.354004231244774)</f>
        <v>-0.35400423124477398</v>
      </c>
      <c r="KF65" s="3">
        <f ca="1">IFERROR(__xludf.DUMMYFUNCTION("""COMPUTED_VALUE"""),-0.324024555912056)</f>
        <v>-0.32402455591205598</v>
      </c>
      <c r="KG65" s="3">
        <f ca="1">IFERROR(__xludf.DUMMYFUNCTION("""COMPUTED_VALUE"""),-0.39252179538249)</f>
        <v>-0.39252179538248999</v>
      </c>
      <c r="KH65" s="3">
        <f ca="1">IFERROR(__xludf.DUMMYFUNCTION("""COMPUTED_VALUE"""),-0.372016003661011)</f>
        <v>-0.37201600366101101</v>
      </c>
      <c r="KI65" s="3">
        <f ca="1">IFERROR(__xludf.DUMMYFUNCTION("""COMPUTED_VALUE"""),-0.537184169307305)</f>
        <v>-0.53718416930730495</v>
      </c>
      <c r="KJ65" s="3">
        <f ca="1">IFERROR(__xludf.DUMMYFUNCTION("""COMPUTED_VALUE"""),-0.425424999541603)</f>
        <v>-0.42542499954160301</v>
      </c>
      <c r="KK65" s="3">
        <f ca="1">IFERROR(__xludf.DUMMYFUNCTION("""COMPUTED_VALUE"""),-0.2920086954439)</f>
        <v>-0.29200869544390001</v>
      </c>
      <c r="KL65" s="3">
        <f ca="1">IFERROR(__xludf.DUMMYFUNCTION("""COMPUTED_VALUE"""),-0.383515782464111)</f>
        <v>-0.383515782464111</v>
      </c>
      <c r="KM65" s="3">
        <f ca="1">IFERROR(__xludf.DUMMYFUNCTION("""COMPUTED_VALUE"""),-0.393369216612816)</f>
        <v>-0.39336921661281599</v>
      </c>
      <c r="KN65" s="3">
        <f ca="1">IFERROR(__xludf.DUMMYFUNCTION("""COMPUTED_VALUE"""),-0.481870689645305)</f>
        <v>-0.48187068964530499</v>
      </c>
      <c r="KO65" s="3">
        <f ca="1">IFERROR(__xludf.DUMMYFUNCTION("""COMPUTED_VALUE"""),-0.45918926410238)</f>
        <v>-0.45918926410237998</v>
      </c>
      <c r="KP65" s="3">
        <f ca="1">IFERROR(__xludf.DUMMYFUNCTION("""COMPUTED_VALUE"""),-0.512283782156819)</f>
        <v>-0.51228378215681902</v>
      </c>
      <c r="KQ65" s="3">
        <f ca="1">IFERROR(__xludf.DUMMYFUNCTION("""COMPUTED_VALUE"""),-0.471364851110679)</f>
        <v>-0.471364851110679</v>
      </c>
      <c r="KR65" s="3">
        <f ca="1">IFERROR(__xludf.DUMMYFUNCTION("""COMPUTED_VALUE"""),-0.453189073057553)</f>
        <v>-0.45318907305755302</v>
      </c>
      <c r="KS65" s="3">
        <f ca="1">IFERROR(__xludf.DUMMYFUNCTION("""COMPUTED_VALUE"""),-0.46250093294219)</f>
        <v>-0.46250093294219002</v>
      </c>
      <c r="KT65" s="3">
        <f ca="1">IFERROR(__xludf.DUMMYFUNCTION("""COMPUTED_VALUE"""),-0.532927760484805)</f>
        <v>-0.53292776048480495</v>
      </c>
      <c r="KU65" s="3">
        <f ca="1">IFERROR(__xludf.DUMMYFUNCTION("""COMPUTED_VALUE"""),-0.575957310711815)</f>
        <v>-0.575957310711815</v>
      </c>
      <c r="KV65" s="3">
        <f ca="1">IFERROR(__xludf.DUMMYFUNCTION("""COMPUTED_VALUE"""),-0.553407899430535)</f>
        <v>-0.55340789943053503</v>
      </c>
      <c r="KW65" s="3">
        <f ca="1">IFERROR(__xludf.DUMMYFUNCTION("""COMPUTED_VALUE"""),-0.576615480084842)</f>
        <v>-0.57661548008484198</v>
      </c>
      <c r="KX65" s="3">
        <f ca="1">IFERROR(__xludf.DUMMYFUNCTION("""COMPUTED_VALUE"""),-0.556114869979474)</f>
        <v>-0.55611486997947401</v>
      </c>
      <c r="KY65" s="3">
        <f ca="1">IFERROR(__xludf.DUMMYFUNCTION("""COMPUTED_VALUE"""),-0.485893445927331)</f>
        <v>-0.48589344592733102</v>
      </c>
      <c r="KZ65" s="3">
        <f ca="1">IFERROR(__xludf.DUMMYFUNCTION("""COMPUTED_VALUE"""),-0.385108966634952)</f>
        <v>-0.38510896663495198</v>
      </c>
      <c r="LA65" s="3">
        <f ca="1">IFERROR(__xludf.DUMMYFUNCTION("""COMPUTED_VALUE"""),-0.582591202226745)</f>
        <v>-0.58259120222674499</v>
      </c>
      <c r="LB65" s="3">
        <f ca="1">IFERROR(__xludf.DUMMYFUNCTION("""COMPUTED_VALUE"""),-0.575893302590453)</f>
        <v>-0.57589330259045302</v>
      </c>
      <c r="LC65" s="3">
        <f ca="1">IFERROR(__xludf.DUMMYFUNCTION("""COMPUTED_VALUE"""),-0.555792155109523)</f>
        <v>-0.55579215510952296</v>
      </c>
      <c r="LD65" s="3">
        <f ca="1">IFERROR(__xludf.DUMMYFUNCTION("""COMPUTED_VALUE"""),-0.633092788017168)</f>
        <v>-0.63309278801716795</v>
      </c>
      <c r="LE65" s="3">
        <f ca="1">IFERROR(__xludf.DUMMYFUNCTION("""COMPUTED_VALUE"""),-0.587589150556606)</f>
        <v>-0.58758915055660599</v>
      </c>
      <c r="LF65" s="3">
        <f ca="1">IFERROR(__xludf.DUMMYFUNCTION("""COMPUTED_VALUE"""),-0.55707553528117)</f>
        <v>-0.55707553528117004</v>
      </c>
      <c r="LG65" s="3">
        <f ca="1">IFERROR(__xludf.DUMMYFUNCTION("""COMPUTED_VALUE"""),-0.549006004621348)</f>
        <v>-0.54900600462134796</v>
      </c>
      <c r="LH65" s="3">
        <f ca="1">IFERROR(__xludf.DUMMYFUNCTION("""COMPUTED_VALUE"""),-0.618413294234716)</f>
        <v>-0.61841329423471603</v>
      </c>
      <c r="LI65" s="3">
        <f ca="1">IFERROR(__xludf.DUMMYFUNCTION("""COMPUTED_VALUE"""),-0.643004363059579)</f>
        <v>-0.64300436305957898</v>
      </c>
      <c r="LJ65" s="3">
        <f ca="1">IFERROR(__xludf.DUMMYFUNCTION("""COMPUTED_VALUE"""),-0.625192496597244)</f>
        <v>-0.62519249659724396</v>
      </c>
      <c r="LK65" s="3">
        <f ca="1">IFERROR(__xludf.DUMMYFUNCTION("""COMPUTED_VALUE"""),-0.604885883203683)</f>
        <v>-0.60488588320368297</v>
      </c>
      <c r="LL65" s="3">
        <f ca="1">IFERROR(__xludf.DUMMYFUNCTION("""COMPUTED_VALUE"""),-0.612357558638514)</f>
        <v>-0.61235755863851404</v>
      </c>
      <c r="LM65" s="3">
        <f ca="1">IFERROR(__xludf.DUMMYFUNCTION("""COMPUTED_VALUE"""),-0.579872516270808)</f>
        <v>-0.57987251627080805</v>
      </c>
      <c r="LN65" s="3">
        <f ca="1">IFERROR(__xludf.DUMMYFUNCTION("""COMPUTED_VALUE"""),-0.57388198878287)</f>
        <v>-0.57388198878287</v>
      </c>
      <c r="LO65" s="3">
        <f ca="1">IFERROR(__xludf.DUMMYFUNCTION("""COMPUTED_VALUE"""),-0.623023442088212)</f>
        <v>-0.62302344208821203</v>
      </c>
      <c r="LP65" s="3">
        <f ca="1">IFERROR(__xludf.DUMMYFUNCTION("""COMPUTED_VALUE"""),-0.66892411221473)</f>
        <v>-0.66892411221473003</v>
      </c>
      <c r="LQ65" s="3">
        <f ca="1">IFERROR(__xludf.DUMMYFUNCTION("""COMPUTED_VALUE"""),-0.693496295806173)</f>
        <v>-0.693496295806173</v>
      </c>
      <c r="LR65" s="3">
        <f ca="1">IFERROR(__xludf.DUMMYFUNCTION("""COMPUTED_VALUE"""),-0.683517555578392)</f>
        <v>-0.683517555578392</v>
      </c>
      <c r="LS65" s="3">
        <f ca="1">IFERROR(__xludf.DUMMYFUNCTION("""COMPUTED_VALUE"""),-0.678628117651305)</f>
        <v>-0.67862811765130504</v>
      </c>
      <c r="LT65" s="3">
        <f ca="1">IFERROR(__xludf.DUMMYFUNCTION("""COMPUTED_VALUE"""),-0.664288449727629)</f>
        <v>-0.66428844972762902</v>
      </c>
      <c r="LU65" s="3">
        <f ca="1">IFERROR(__xludf.DUMMYFUNCTION("""COMPUTED_VALUE"""),-0.714142678599207)</f>
        <v>-0.71414267859920699</v>
      </c>
      <c r="LV65" s="3">
        <f ca="1">IFERROR(__xludf.DUMMYFUNCTION("""COMPUTED_VALUE"""),-0.701325834949227)</f>
        <v>-0.70132583494922696</v>
      </c>
      <c r="LW65" s="3">
        <f ca="1">IFERROR(__xludf.DUMMYFUNCTION("""COMPUTED_VALUE"""),-0.759001911307919)</f>
        <v>-0.75900191130791905</v>
      </c>
      <c r="LX65" s="3">
        <f ca="1">IFERROR(__xludf.DUMMYFUNCTION("""COMPUTED_VALUE"""),-0.739818102560637)</f>
        <v>-0.73981810256063696</v>
      </c>
      <c r="LY65" s="3">
        <f ca="1">IFERROR(__xludf.DUMMYFUNCTION("""COMPUTED_VALUE"""),-0.745869361602551)</f>
        <v>-0.74586936160255102</v>
      </c>
      <c r="LZ65" s="3">
        <f ca="1">IFERROR(__xludf.DUMMYFUNCTION("""COMPUTED_VALUE"""),-0.707259603303482)</f>
        <v>-0.70725960330348203</v>
      </c>
      <c r="MA65" s="3">
        <f ca="1">IFERROR(__xludf.DUMMYFUNCTION("""COMPUTED_VALUE"""),-0.713667139840926)</f>
        <v>-0.713667139840926</v>
      </c>
      <c r="MB65" s="3">
        <f ca="1">IFERROR(__xludf.DUMMYFUNCTION("""COMPUTED_VALUE"""),-0.754025611475392)</f>
        <v>-0.75402561147539204</v>
      </c>
      <c r="MC65" s="3">
        <f ca="1">IFERROR(__xludf.DUMMYFUNCTION("""COMPUTED_VALUE"""),-0.710237889589459)</f>
        <v>-0.71023788958945899</v>
      </c>
      <c r="MD65" s="3">
        <f ca="1">IFERROR(__xludf.DUMMYFUNCTION("""COMPUTED_VALUE"""),-0.757945237020235)</f>
        <v>-0.75794523702023497</v>
      </c>
      <c r="ME65" s="3">
        <f ca="1">IFERROR(__xludf.DUMMYFUNCTION("""COMPUTED_VALUE"""),-0.759565066011778)</f>
        <v>-0.75956506601177798</v>
      </c>
      <c r="MF65" s="3">
        <f ca="1">IFERROR(__xludf.DUMMYFUNCTION("""COMPUTED_VALUE"""),-0.767948544821448)</f>
        <v>-0.76794854482144803</v>
      </c>
      <c r="MG65" s="3">
        <f ca="1">IFERROR(__xludf.DUMMYFUNCTION("""COMPUTED_VALUE"""),-0.757275964943233)</f>
        <v>-0.75727596494323302</v>
      </c>
      <c r="MH65" s="3">
        <f ca="1">IFERROR(__xludf.DUMMYFUNCTION("""COMPUTED_VALUE"""),-0.761284283406733)</f>
        <v>-0.76128428340673304</v>
      </c>
      <c r="MI65" s="3">
        <f ca="1">IFERROR(__xludf.DUMMYFUNCTION("""COMPUTED_VALUE"""),-0.732604249811688)</f>
        <v>-0.73260424981168804</v>
      </c>
      <c r="MJ65" s="3">
        <f ca="1">IFERROR(__xludf.DUMMYFUNCTION("""COMPUTED_VALUE"""),-0.706229155729005)</f>
        <v>-0.70622915572900502</v>
      </c>
      <c r="MK65" s="3">
        <f ca="1">IFERROR(__xludf.DUMMYFUNCTION("""COMPUTED_VALUE"""),-0.770469840343638)</f>
        <v>-0.77046984034363797</v>
      </c>
      <c r="ML65" s="3">
        <f ca="1">IFERROR(__xludf.DUMMYFUNCTION("""COMPUTED_VALUE"""),-0.804128996876853)</f>
        <v>-0.80412899687685302</v>
      </c>
      <c r="MM65" s="3">
        <f ca="1">IFERROR(__xludf.DUMMYFUNCTION("""COMPUTED_VALUE"""),-0.800001251986469)</f>
        <v>-0.80000125198646899</v>
      </c>
      <c r="MN65" s="3">
        <f ca="1">IFERROR(__xludf.DUMMYFUNCTION("""COMPUTED_VALUE"""),-0.793071050521553)</f>
        <v>-0.79307105052155302</v>
      </c>
      <c r="MO65" s="3">
        <f ca="1">IFERROR(__xludf.DUMMYFUNCTION("""COMPUTED_VALUE"""),-0.786104032941046)</f>
        <v>-0.78610403294104603</v>
      </c>
      <c r="MP65" s="3">
        <f ca="1">IFERROR(__xludf.DUMMYFUNCTION("""COMPUTED_VALUE"""),-0.798402731385776)</f>
        <v>-0.798402731385776</v>
      </c>
      <c r="MQ65" s="3">
        <f ca="1">IFERROR(__xludf.DUMMYFUNCTION("""COMPUTED_VALUE"""),-0.763288116867331)</f>
        <v>-0.763288116867331</v>
      </c>
      <c r="MR65" s="3">
        <f ca="1">IFERROR(__xludf.DUMMYFUNCTION("""COMPUTED_VALUE"""),-0.807682795538754)</f>
        <v>-0.80768279553875399</v>
      </c>
      <c r="MS65" s="3">
        <f ca="1">IFERROR(__xludf.DUMMYFUNCTION("""COMPUTED_VALUE"""),-0.809456124288441)</f>
        <v>-0.80945612428844105</v>
      </c>
      <c r="MT65" s="3">
        <f ca="1">IFERROR(__xludf.DUMMYFUNCTION("""COMPUTED_VALUE"""),-0.806860038259163)</f>
        <v>-0.80686003825916297</v>
      </c>
      <c r="MU65" s="3">
        <f ca="1">IFERROR(__xludf.DUMMYFUNCTION("""COMPUTED_VALUE"""),-0.796682347724275)</f>
        <v>-0.79668234772427504</v>
      </c>
      <c r="MV65" s="3">
        <f ca="1">IFERROR(__xludf.DUMMYFUNCTION("""COMPUTED_VALUE"""),-0.744879202708958)</f>
        <v>-0.74487920270895802</v>
      </c>
      <c r="MW65" s="3">
        <f ca="1">IFERROR(__xludf.DUMMYFUNCTION("""COMPUTED_VALUE"""),-0.80017821399532)</f>
        <v>-0.80017821399531996</v>
      </c>
      <c r="MX65" s="3">
        <f ca="1">IFERROR(__xludf.DUMMYFUNCTION("""COMPUTED_VALUE"""),-0.777557786948562)</f>
        <v>-0.77755778694856204</v>
      </c>
      <c r="MY65" s="3">
        <f ca="1">IFERROR(__xludf.DUMMYFUNCTION("""COMPUTED_VALUE"""),-0.791211597045304)</f>
        <v>-0.79121159704530397</v>
      </c>
      <c r="MZ65" s="3">
        <f ca="1">IFERROR(__xludf.DUMMYFUNCTION("""COMPUTED_VALUE"""),-0.818224023983863)</f>
        <v>-0.81822402398386296</v>
      </c>
      <c r="NA65" s="3">
        <f ca="1">IFERROR(__xludf.DUMMYFUNCTION("""COMPUTED_VALUE"""),-0.800788418725911)</f>
        <v>-0.800788418725911</v>
      </c>
      <c r="NB65" s="3">
        <f ca="1">IFERROR(__xludf.DUMMYFUNCTION("""COMPUTED_VALUE"""),-0.793309844646836)</f>
        <v>-0.79330984464683596</v>
      </c>
      <c r="NC65" s="3">
        <f ca="1">IFERROR(__xludf.DUMMYFUNCTION("""COMPUTED_VALUE"""),-0.761329550320214)</f>
        <v>-0.76132955032021399</v>
      </c>
      <c r="ND65" s="3">
        <f ca="1">IFERROR(__xludf.DUMMYFUNCTION("""COMPUTED_VALUE"""),-0.814687591127636)</f>
        <v>-0.814687591127636</v>
      </c>
      <c r="NE65" s="3">
        <f ca="1">IFERROR(__xludf.DUMMYFUNCTION("""COMPUTED_VALUE"""),-0.805067700665288)</f>
        <v>-0.80506770066528799</v>
      </c>
      <c r="NF65" s="3">
        <f ca="1">IFERROR(__xludf.DUMMYFUNCTION("""COMPUTED_VALUE"""),-0.811238340835409)</f>
        <v>-0.81123834083540902</v>
      </c>
      <c r="NG65" s="3">
        <f ca="1">IFERROR(__xludf.DUMMYFUNCTION("""COMPUTED_VALUE"""),-0.828700958719547)</f>
        <v>-0.82870095871954697</v>
      </c>
      <c r="NH65" s="3">
        <f ca="1">IFERROR(__xludf.DUMMYFUNCTION("""COMPUTED_VALUE"""),-0.836528082676286)</f>
        <v>-0.83652808267628598</v>
      </c>
      <c r="NI65" s="3">
        <f ca="1">IFERROR(__xludf.DUMMYFUNCTION("""COMPUTED_VALUE"""),-0.827525691888411)</f>
        <v>-0.82752569188841096</v>
      </c>
      <c r="NJ65" s="3">
        <f ca="1">IFERROR(__xludf.DUMMYFUNCTION("""COMPUTED_VALUE"""),-0.799904482037917)</f>
        <v>-0.79990448203791698</v>
      </c>
      <c r="NK65" s="3">
        <f ca="1">IFERROR(__xludf.DUMMYFUNCTION("""COMPUTED_VALUE"""),-0.800846603051165)</f>
        <v>-0.80084660305116495</v>
      </c>
      <c r="NL65" s="3">
        <f ca="1">IFERROR(__xludf.DUMMYFUNCTION("""COMPUTED_VALUE"""),-0.808038114924407)</f>
        <v>-0.80803811492440702</v>
      </c>
      <c r="NM65" s="3">
        <f ca="1">IFERROR(__xludf.DUMMYFUNCTION("""COMPUTED_VALUE"""),-0.818502564983797)</f>
        <v>-0.81850256498379703</v>
      </c>
      <c r="NN65" s="3">
        <f ca="1">IFERROR(__xludf.DUMMYFUNCTION("""COMPUTED_VALUE"""),-0.811206520431355)</f>
        <v>-0.81120652043135499</v>
      </c>
      <c r="NO65" s="3">
        <f ca="1">IFERROR(__xludf.DUMMYFUNCTION("""COMPUTED_VALUE"""),-0.781126723034645)</f>
        <v>-0.78112672303464503</v>
      </c>
      <c r="NP65" s="3">
        <f ca="1">IFERROR(__xludf.DUMMYFUNCTION("""COMPUTED_VALUE"""),-0.76909158660718)</f>
        <v>-0.76909158660718002</v>
      </c>
      <c r="NQ65" s="3">
        <f ca="1">IFERROR(__xludf.DUMMYFUNCTION("""COMPUTED_VALUE"""),-0.751005193732358)</f>
        <v>-0.75100519373235797</v>
      </c>
      <c r="NR65" s="3">
        <f ca="1">IFERROR(__xludf.DUMMYFUNCTION("""COMPUTED_VALUE"""),-0.76798707494384)</f>
        <v>-0.76798707494384</v>
      </c>
      <c r="NS65" s="3">
        <f ca="1">IFERROR(__xludf.DUMMYFUNCTION("""COMPUTED_VALUE"""),-0.795445581729158)</f>
        <v>-0.79544558172915802</v>
      </c>
      <c r="NT65" s="3">
        <f ca="1">IFERROR(__xludf.DUMMYFUNCTION("""COMPUTED_VALUE"""),-0.826188816977635)</f>
        <v>-0.82618881697763502</v>
      </c>
      <c r="NU65" s="3">
        <f ca="1">IFERROR(__xludf.DUMMYFUNCTION("""COMPUTED_VALUE"""),-0.811552208471192)</f>
        <v>-0.81155220847119203</v>
      </c>
      <c r="NV65" s="3">
        <f ca="1">IFERROR(__xludf.DUMMYFUNCTION("""COMPUTED_VALUE"""),-0.814326837622417)</f>
        <v>-0.81432683762241698</v>
      </c>
      <c r="NW65" s="3">
        <f ca="1">IFERROR(__xludf.DUMMYFUNCTION("""COMPUTED_VALUE"""),-0.757042126741062)</f>
        <v>-0.75704212674106197</v>
      </c>
      <c r="NX65" s="3">
        <f ca="1">IFERROR(__xludf.DUMMYFUNCTION("""COMPUTED_VALUE"""),-0.745621517188474)</f>
        <v>-0.74562151718847403</v>
      </c>
      <c r="NY65" s="3">
        <f ca="1">IFERROR(__xludf.DUMMYFUNCTION("""COMPUTED_VALUE"""),-0.643655037821115)</f>
        <v>-0.64365503782111499</v>
      </c>
      <c r="NZ65" s="3">
        <f ca="1">IFERROR(__xludf.DUMMYFUNCTION("""COMPUTED_VALUE"""),-0.680409355214733)</f>
        <v>-0.680409355214733</v>
      </c>
      <c r="OA65" s="3">
        <f ca="1">IFERROR(__xludf.DUMMYFUNCTION("""COMPUTED_VALUE"""),-0.713575925675067)</f>
        <v>-0.713575925675067</v>
      </c>
      <c r="OB65" s="3">
        <f ca="1">IFERROR(__xludf.DUMMYFUNCTION("""COMPUTED_VALUE"""),-0.652269148862884)</f>
        <v>-0.65226914886288401</v>
      </c>
      <c r="OC65" s="3">
        <f ca="1">IFERROR(__xludf.DUMMYFUNCTION("""COMPUTED_VALUE"""),-0.61712301538142)</f>
        <v>-0.61712301538142</v>
      </c>
      <c r="OD65" s="3">
        <f ca="1">IFERROR(__xludf.DUMMYFUNCTION("""COMPUTED_VALUE"""),-0.575836752084384)</f>
        <v>-0.57583675208438401</v>
      </c>
      <c r="OE65" s="3">
        <f ca="1">IFERROR(__xludf.DUMMYFUNCTION("""COMPUTED_VALUE"""),-0.470088080057066)</f>
        <v>-0.47008808005706598</v>
      </c>
      <c r="OF65" s="3">
        <f ca="1">IFERROR(__xludf.DUMMYFUNCTION("""COMPUTED_VALUE"""),-0.343254643729016)</f>
        <v>-0.34325464372901598</v>
      </c>
      <c r="OG65" s="3">
        <f ca="1">IFERROR(__xludf.DUMMYFUNCTION("""COMPUTED_VALUE"""),-0.328545902530988)</f>
        <v>-0.32854590253098798</v>
      </c>
      <c r="OH65" s="3">
        <f ca="1">IFERROR(__xludf.DUMMYFUNCTION("""COMPUTED_VALUE"""),-0.340625771913786)</f>
        <v>-0.34062577191378601</v>
      </c>
      <c r="OI65" s="3">
        <f ca="1">IFERROR(__xludf.DUMMYFUNCTION("""COMPUTED_VALUE"""),-0.120690896625325)</f>
        <v>-0.12069089662532501</v>
      </c>
      <c r="OJ65" s="3">
        <f ca="1">IFERROR(__xludf.DUMMYFUNCTION("""COMPUTED_VALUE"""),-0.0168073604139109)</f>
        <v>-1.6807360413910899E-2</v>
      </c>
      <c r="OK65" s="3">
        <f ca="1">IFERROR(__xludf.DUMMYFUNCTION("""COMPUTED_VALUE"""),-0.0447588581491531)</f>
        <v>-4.4758858149153098E-2</v>
      </c>
      <c r="OL65" s="3">
        <f ca="1">IFERROR(__xludf.DUMMYFUNCTION("""COMPUTED_VALUE"""),0.035701186010207)</f>
        <v>3.5701186010206998E-2</v>
      </c>
      <c r="OM65" s="3">
        <f ca="1">IFERROR(__xludf.DUMMYFUNCTION("""COMPUTED_VALUE"""),-0.0107610254062451)</f>
        <v>-1.0761025406245101E-2</v>
      </c>
      <c r="ON65" s="3">
        <f ca="1">IFERROR(__xludf.DUMMYFUNCTION("""COMPUTED_VALUE"""),0.0352994433080833)</f>
        <v>3.5299443308083302E-2</v>
      </c>
      <c r="OO65" s="3">
        <f ca="1">IFERROR(__xludf.DUMMYFUNCTION("""COMPUTED_VALUE"""),-0.0086151210355404)</f>
        <v>-8.6151210355404004E-3</v>
      </c>
      <c r="OP65" s="3">
        <f ca="1">IFERROR(__xludf.DUMMYFUNCTION("""COMPUTED_VALUE"""),-0.0156475591791498)</f>
        <v>-1.5647559179149801E-2</v>
      </c>
      <c r="OQ65" s="3">
        <f ca="1">IFERROR(__xludf.DUMMYFUNCTION("""COMPUTED_VALUE"""),0.016075001862351)</f>
        <v>1.6075001862351002E-2</v>
      </c>
      <c r="OR65" s="3">
        <f ca="1">IFERROR(__xludf.DUMMYFUNCTION("""COMPUTED_VALUE"""),-0.0361710533002306)</f>
        <v>-3.6171053300230599E-2</v>
      </c>
      <c r="OS65" s="3">
        <f ca="1">IFERROR(__xludf.DUMMYFUNCTION("""COMPUTED_VALUE"""),0.0273158975892904)</f>
        <v>2.73158975892904E-2</v>
      </c>
      <c r="OT65" s="3">
        <f ca="1">IFERROR(__xludf.DUMMYFUNCTION("""COMPUTED_VALUE"""),0.0726596251821038)</f>
        <v>7.2659625182103796E-2</v>
      </c>
      <c r="OU65" s="3">
        <f ca="1">IFERROR(__xludf.DUMMYFUNCTION("""COMPUTED_VALUE"""),0.11357975364785)</f>
        <v>0.11357975364785</v>
      </c>
      <c r="OV65" s="3">
        <f ca="1">IFERROR(__xludf.DUMMYFUNCTION("""COMPUTED_VALUE"""),0.00636985799661138)</f>
        <v>6.3698579966113798E-3</v>
      </c>
      <c r="OW65" s="3">
        <f ca="1">IFERROR(__xludf.DUMMYFUNCTION("""COMPUTED_VALUE"""),-0.0308114076120343)</f>
        <v>-3.0811407612034301E-2</v>
      </c>
      <c r="OX65" s="3">
        <f ca="1">IFERROR(__xludf.DUMMYFUNCTION("""COMPUTED_VALUE"""),-0.0217461993758335)</f>
        <v>-2.1746199375833501E-2</v>
      </c>
      <c r="OY65" s="3">
        <f ca="1">IFERROR(__xludf.DUMMYFUNCTION("""COMPUTED_VALUE"""),0.0297683864989288)</f>
        <v>2.9768386498928798E-2</v>
      </c>
      <c r="OZ65" s="3">
        <f ca="1">IFERROR(__xludf.DUMMYFUNCTION("""COMPUTED_VALUE"""),0.038884851328284)</f>
        <v>3.8884851328284002E-2</v>
      </c>
      <c r="PA65" s="3">
        <f ca="1">IFERROR(__xludf.DUMMYFUNCTION("""COMPUTED_VALUE"""),0.045151380405265)</f>
        <v>4.5151380405265E-2</v>
      </c>
      <c r="PB65" s="3">
        <f ca="1">IFERROR(__xludf.DUMMYFUNCTION("""COMPUTED_VALUE"""),0.0731452473567886)</f>
        <v>7.3145247356788595E-2</v>
      </c>
      <c r="PC65" s="3">
        <f ca="1">IFERROR(__xludf.DUMMYFUNCTION("""COMPUTED_VALUE"""),-0.0187156669072393)</f>
        <v>-1.87156669072393E-2</v>
      </c>
      <c r="PD65" s="3">
        <f ca="1">IFERROR(__xludf.DUMMYFUNCTION("""COMPUTED_VALUE"""),-0.0339489800216727)</f>
        <v>-3.3948980021672702E-2</v>
      </c>
      <c r="PE65" s="3">
        <f ca="1">IFERROR(__xludf.DUMMYFUNCTION("""COMPUTED_VALUE"""),0.00244309932641551)</f>
        <v>2.4430993264155099E-3</v>
      </c>
      <c r="PF65" s="3">
        <f ca="1">IFERROR(__xludf.DUMMYFUNCTION("""COMPUTED_VALUE"""),-0.00557118626006292)</f>
        <v>-5.5711862600629197E-3</v>
      </c>
      <c r="PG65" s="3">
        <f ca="1">IFERROR(__xludf.DUMMYFUNCTION("""COMPUTED_VALUE"""),0.0113583553159846)</f>
        <v>1.13583553159846E-2</v>
      </c>
      <c r="PH65" s="3">
        <f ca="1">IFERROR(__xludf.DUMMYFUNCTION("""COMPUTED_VALUE"""),0.076363156790195)</f>
        <v>7.6363156790194994E-2</v>
      </c>
      <c r="PI65" s="3">
        <f ca="1">IFERROR(__xludf.DUMMYFUNCTION("""COMPUTED_VALUE"""),0.0519272926441054)</f>
        <v>5.1927292644105401E-2</v>
      </c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</row>
    <row r="66" spans="1:477" ht="13">
      <c r="A66" s="1" t="str">
        <f ca="1">IFERROR(__xludf.DUMMYFUNCTION("""COMPUTED_VALUE"""),"CRTL - Lanaudière")</f>
        <v>CRTL - Lanaudière</v>
      </c>
      <c r="B66" s="1" t="str">
        <f ca="1">IFERROR(__xludf.DUMMYFUNCTION("""COMPUTED_VALUE"""),"Montréal")</f>
        <v>Montréal</v>
      </c>
      <c r="C66" s="1" t="str">
        <f ca="1">IFERROR(__xludf.DUMMYFUNCTION("""COMPUTED_VALUE"""),"Canada")</f>
        <v>Canada</v>
      </c>
      <c r="D66" s="1" t="str">
        <f ca="1">IFERROR(__xludf.DUMMYFUNCTION("""COMPUTED_VALUE"""),"Quebec")</f>
        <v>Quebec</v>
      </c>
      <c r="E66" s="3">
        <f ca="1">IFERROR(__xludf.DUMMYFUNCTION("""COMPUTED_VALUE"""),-0.44596708778614)</f>
        <v>-0.44596708778614003</v>
      </c>
      <c r="F66" s="3">
        <f ca="1">IFERROR(__xludf.DUMMYFUNCTION("""COMPUTED_VALUE"""),-0.524432025269417)</f>
        <v>-0.52443202526941701</v>
      </c>
      <c r="G66" s="3">
        <f ca="1">IFERROR(__xludf.DUMMYFUNCTION("""COMPUTED_VALUE"""),-0.558001633384078)</f>
        <v>-0.55800163338407804</v>
      </c>
      <c r="H66" s="3">
        <f ca="1">IFERROR(__xludf.DUMMYFUNCTION("""COMPUTED_VALUE"""),-0.557987331110606)</f>
        <v>-0.55798733111060606</v>
      </c>
      <c r="I66" s="3">
        <f ca="1">IFERROR(__xludf.DUMMYFUNCTION("""COMPUTED_VALUE"""),-0.497225535604083)</f>
        <v>-0.497225535604083</v>
      </c>
      <c r="J66" s="3">
        <f ca="1">IFERROR(__xludf.DUMMYFUNCTION("""COMPUTED_VALUE"""),-0.425325908203103)</f>
        <v>-0.42532590820310301</v>
      </c>
      <c r="K66" s="3">
        <f ca="1">IFERROR(__xludf.DUMMYFUNCTION("""COMPUTED_VALUE"""),-0.444127585107243)</f>
        <v>-0.44412758510724298</v>
      </c>
      <c r="L66" s="3">
        <f ca="1">IFERROR(__xludf.DUMMYFUNCTION("""COMPUTED_VALUE"""),-0.327037086665333)</f>
        <v>-0.32703708666533299</v>
      </c>
      <c r="M66" s="3">
        <f ca="1">IFERROR(__xludf.DUMMYFUNCTION("""COMPUTED_VALUE"""),-0.404423919075204)</f>
        <v>-0.40442391907520397</v>
      </c>
      <c r="N66" s="3">
        <f ca="1">IFERROR(__xludf.DUMMYFUNCTION("""COMPUTED_VALUE"""),-0.575882633097302)</f>
        <v>-0.57588263309730203</v>
      </c>
      <c r="O66" s="3">
        <f ca="1">IFERROR(__xludf.DUMMYFUNCTION("""COMPUTED_VALUE"""),-0.56998002997189)</f>
        <v>-0.56998002997189001</v>
      </c>
      <c r="P66" s="3">
        <f ca="1">IFERROR(__xludf.DUMMYFUNCTION("""COMPUTED_VALUE"""),-0.539720269587311)</f>
        <v>-0.53972026958731101</v>
      </c>
      <c r="Q66" s="3">
        <f ca="1">IFERROR(__xludf.DUMMYFUNCTION("""COMPUTED_VALUE"""),-0.53960703463559)</f>
        <v>-0.53960703463559001</v>
      </c>
      <c r="R66" s="3">
        <f ca="1">IFERROR(__xludf.DUMMYFUNCTION("""COMPUTED_VALUE"""),-0.459391281839729)</f>
        <v>-0.45939128183972899</v>
      </c>
      <c r="S66" s="3">
        <f ca="1">IFERROR(__xludf.DUMMYFUNCTION("""COMPUTED_VALUE"""),-0.471690629372491)</f>
        <v>-0.47169062937249101</v>
      </c>
      <c r="T66" s="3">
        <f ca="1">IFERROR(__xludf.DUMMYFUNCTION("""COMPUTED_VALUE"""),-0.608288519982508)</f>
        <v>-0.60828851998250799</v>
      </c>
      <c r="U66" s="3">
        <f ca="1">IFERROR(__xludf.DUMMYFUNCTION("""COMPUTED_VALUE"""),-0.522805196307448)</f>
        <v>-0.52280519630744804</v>
      </c>
      <c r="V66" s="3">
        <f ca="1">IFERROR(__xludf.DUMMYFUNCTION("""COMPUTED_VALUE"""),-0.560546622164502)</f>
        <v>-0.56054662216450202</v>
      </c>
      <c r="W66" s="3">
        <f ca="1">IFERROR(__xludf.DUMMYFUNCTION("""COMPUTED_VALUE"""),-0.512868216558638)</f>
        <v>-0.51286821655863801</v>
      </c>
      <c r="X66" s="3">
        <f ca="1">IFERROR(__xludf.DUMMYFUNCTION("""COMPUTED_VALUE"""),-0.495758707028331)</f>
        <v>-0.49575870702833102</v>
      </c>
      <c r="Y66" s="3">
        <f ca="1">IFERROR(__xludf.DUMMYFUNCTION("""COMPUTED_VALUE"""),-0.423473554896413)</f>
        <v>-0.42347355489641297</v>
      </c>
      <c r="Z66" s="3">
        <f ca="1">IFERROR(__xludf.DUMMYFUNCTION("""COMPUTED_VALUE"""),-0.440365455423528)</f>
        <v>-0.44036545542352801</v>
      </c>
      <c r="AA66" s="3">
        <f ca="1">IFERROR(__xludf.DUMMYFUNCTION("""COMPUTED_VALUE"""),-0.541685813694491)</f>
        <v>-0.54168581369449098</v>
      </c>
      <c r="AB66" s="3">
        <f ca="1">IFERROR(__xludf.DUMMYFUNCTION("""COMPUTED_VALUE"""),-0.606445236519908)</f>
        <v>-0.606445236519908</v>
      </c>
      <c r="AC66" s="3">
        <f ca="1">IFERROR(__xludf.DUMMYFUNCTION("""COMPUTED_VALUE"""),-0.589859783865418)</f>
        <v>-0.58985978386541804</v>
      </c>
      <c r="AD66" s="3">
        <f ca="1">IFERROR(__xludf.DUMMYFUNCTION("""COMPUTED_VALUE"""),-0.577470089852384)</f>
        <v>-0.57747008985238402</v>
      </c>
      <c r="AE66" s="3">
        <f ca="1">IFERROR(__xludf.DUMMYFUNCTION("""COMPUTED_VALUE"""),-0.559152700375978)</f>
        <v>-0.55915270037597797</v>
      </c>
      <c r="AF66" s="3">
        <f ca="1">IFERROR(__xludf.DUMMYFUNCTION("""COMPUTED_VALUE"""),-0.487672874845446)</f>
        <v>-0.48767287484544602</v>
      </c>
      <c r="AG66" s="3">
        <f ca="1">IFERROR(__xludf.DUMMYFUNCTION("""COMPUTED_VALUE"""),-0.526830136090848)</f>
        <v>-0.52683013609084794</v>
      </c>
      <c r="AH66" s="3">
        <f ca="1">IFERROR(__xludf.DUMMYFUNCTION("""COMPUTED_VALUE"""),-0.626368565889478)</f>
        <v>-0.62636856588947798</v>
      </c>
      <c r="AI66" s="3">
        <f ca="1">IFERROR(__xludf.DUMMYFUNCTION("""COMPUTED_VALUE"""),-0.638182418635201)</f>
        <v>-0.63818241863520098</v>
      </c>
      <c r="AJ66" s="3">
        <f ca="1">IFERROR(__xludf.DUMMYFUNCTION("""COMPUTED_VALUE"""),-0.602665326089182)</f>
        <v>-0.602665326089182</v>
      </c>
      <c r="AK66" s="3">
        <f ca="1">IFERROR(__xludf.DUMMYFUNCTION("""COMPUTED_VALUE"""),-0.653720887333888)</f>
        <v>-0.653720887333888</v>
      </c>
      <c r="AL66" s="3">
        <f ca="1">IFERROR(__xludf.DUMMYFUNCTION("""COMPUTED_VALUE"""),-0.583001875300131)</f>
        <v>-0.58300187530013103</v>
      </c>
      <c r="AM66" s="3">
        <f ca="1">IFERROR(__xludf.DUMMYFUNCTION("""COMPUTED_VALUE"""),-0.486937200241368)</f>
        <v>-0.486937200241368</v>
      </c>
      <c r="AN66" s="3">
        <f ca="1">IFERROR(__xludf.DUMMYFUNCTION("""COMPUTED_VALUE"""),-0.547379279068157)</f>
        <v>-0.54737927906815698</v>
      </c>
      <c r="AO66" s="3">
        <f ca="1">IFERROR(__xludf.DUMMYFUNCTION("""COMPUTED_VALUE"""),-0.641188301330222)</f>
        <v>-0.64118830133022198</v>
      </c>
      <c r="AP66" s="3">
        <f ca="1">IFERROR(__xludf.DUMMYFUNCTION("""COMPUTED_VALUE"""),-0.611016038489431)</f>
        <v>-0.61101603848943098</v>
      </c>
      <c r="AQ66" s="3">
        <f ca="1">IFERROR(__xludf.DUMMYFUNCTION("""COMPUTED_VALUE"""),-0.60831636179863)</f>
        <v>-0.60831636179863002</v>
      </c>
      <c r="AR66" s="3">
        <f ca="1">IFERROR(__xludf.DUMMYFUNCTION("""COMPUTED_VALUE"""),-0.616470942046045)</f>
        <v>-0.61647094204604502</v>
      </c>
      <c r="AS66" s="3">
        <f ca="1">IFERROR(__xludf.DUMMYFUNCTION("""COMPUTED_VALUE"""),-0.480336316173402)</f>
        <v>-0.480336316173402</v>
      </c>
      <c r="AT66" s="3">
        <f ca="1">IFERROR(__xludf.DUMMYFUNCTION("""COMPUTED_VALUE"""),-0.380184173876531)</f>
        <v>-0.38018417387653097</v>
      </c>
      <c r="AU66" s="3">
        <f ca="1">IFERROR(__xludf.DUMMYFUNCTION("""COMPUTED_VALUE"""),-0.514038603096815)</f>
        <v>-0.51403860309681504</v>
      </c>
      <c r="AV66" s="3">
        <f ca="1">IFERROR(__xludf.DUMMYFUNCTION("""COMPUTED_VALUE"""),-0.620103056923236)</f>
        <v>-0.62010305692323597</v>
      </c>
      <c r="AW66" s="3">
        <f ca="1">IFERROR(__xludf.DUMMYFUNCTION("""COMPUTED_VALUE"""),-0.691560025065977)</f>
        <v>-0.69156002506597702</v>
      </c>
      <c r="AX66" s="3">
        <f ca="1">IFERROR(__xludf.DUMMYFUNCTION("""COMPUTED_VALUE"""),-0.683674950059058)</f>
        <v>-0.68367495005905798</v>
      </c>
      <c r="AY66" s="3">
        <f ca="1">IFERROR(__xludf.DUMMYFUNCTION("""COMPUTED_VALUE"""),-0.679864735951335)</f>
        <v>-0.67986473595133501</v>
      </c>
      <c r="AZ66" s="3">
        <f ca="1">IFERROR(__xludf.DUMMYFUNCTION("""COMPUTED_VALUE"""),-0.579769589346675)</f>
        <v>-0.579769589346675</v>
      </c>
      <c r="BA66" s="3">
        <f ca="1">IFERROR(__xludf.DUMMYFUNCTION("""COMPUTED_VALUE"""),-0.47932007534988)</f>
        <v>-0.47932007534988003</v>
      </c>
      <c r="BB66" s="3">
        <f ca="1">IFERROR(__xludf.DUMMYFUNCTION("""COMPUTED_VALUE"""),-0.549673943963708)</f>
        <v>-0.54967394396370794</v>
      </c>
      <c r="BC66" s="3">
        <f ca="1">IFERROR(__xludf.DUMMYFUNCTION("""COMPUTED_VALUE"""),-0.642867020702041)</f>
        <v>-0.64286702070204105</v>
      </c>
      <c r="BD66" s="3">
        <f ca="1">IFERROR(__xludf.DUMMYFUNCTION("""COMPUTED_VALUE"""),-0.720005184197462)</f>
        <v>-0.72000518419746196</v>
      </c>
      <c r="BE66" s="3">
        <f ca="1">IFERROR(__xludf.DUMMYFUNCTION("""COMPUTED_VALUE"""),-0.639601543305145)</f>
        <v>-0.63960154330514496</v>
      </c>
      <c r="BF66" s="3">
        <f ca="1">IFERROR(__xludf.DUMMYFUNCTION("""COMPUTED_VALUE"""),-0.673303048584988)</f>
        <v>-0.67330304858498802</v>
      </c>
      <c r="BG66" s="3">
        <f ca="1">IFERROR(__xludf.DUMMYFUNCTION("""COMPUTED_VALUE"""),-0.640884486914229)</f>
        <v>-0.64088448691422895</v>
      </c>
      <c r="BH66" s="3">
        <f ca="1">IFERROR(__xludf.DUMMYFUNCTION("""COMPUTED_VALUE"""),-0.402935969042258)</f>
        <v>-0.40293596904225798</v>
      </c>
      <c r="BI66" s="3">
        <f ca="1">IFERROR(__xludf.DUMMYFUNCTION("""COMPUTED_VALUE"""),-0.554147882629171)</f>
        <v>-0.55414788262917103</v>
      </c>
      <c r="BJ66" s="3">
        <f ca="1">IFERROR(__xludf.DUMMYFUNCTION("""COMPUTED_VALUE"""),-0.647193559468195)</f>
        <v>-0.64719355946819501</v>
      </c>
      <c r="BK66" s="3">
        <f ca="1">IFERROR(__xludf.DUMMYFUNCTION("""COMPUTED_VALUE"""),-0.700684722435579)</f>
        <v>-0.700684722435579</v>
      </c>
      <c r="BL66" s="3">
        <f ca="1">IFERROR(__xludf.DUMMYFUNCTION("""COMPUTED_VALUE"""),-0.686204108147461)</f>
        <v>-0.68620410814746102</v>
      </c>
      <c r="BM66" s="3">
        <f ca="1">IFERROR(__xludf.DUMMYFUNCTION("""COMPUTED_VALUE"""),-0.636540275885395)</f>
        <v>-0.63654027588539497</v>
      </c>
      <c r="BN66" s="3">
        <f ca="1">IFERROR(__xludf.DUMMYFUNCTION("""COMPUTED_VALUE"""),-0.629881573810985)</f>
        <v>-0.62988157381098497</v>
      </c>
      <c r="BO66" s="3">
        <f ca="1">IFERROR(__xludf.DUMMYFUNCTION("""COMPUTED_VALUE"""),-0.614972575137287)</f>
        <v>-0.61497257513728698</v>
      </c>
      <c r="BP66" s="3">
        <f ca="1">IFERROR(__xludf.DUMMYFUNCTION("""COMPUTED_VALUE"""),-0.652610156315185)</f>
        <v>-0.65261015631518504</v>
      </c>
      <c r="BQ66" s="3">
        <f ca="1">IFERROR(__xludf.DUMMYFUNCTION("""COMPUTED_VALUE"""),-0.689398149161137)</f>
        <v>-0.68939814916113695</v>
      </c>
      <c r="BR66" s="3">
        <f ca="1">IFERROR(__xludf.DUMMYFUNCTION("""COMPUTED_VALUE"""),-0.71068891304118)</f>
        <v>-0.71068891304117998</v>
      </c>
      <c r="BS66" s="3">
        <f ca="1">IFERROR(__xludf.DUMMYFUNCTION("""COMPUTED_VALUE"""),-0.67770480356384)</f>
        <v>-0.67770480356384</v>
      </c>
      <c r="BT66" s="3">
        <f ca="1">IFERROR(__xludf.DUMMYFUNCTION("""COMPUTED_VALUE"""),-0.723237458540305)</f>
        <v>-0.72323745854030497</v>
      </c>
      <c r="BU66" s="3">
        <f ca="1">IFERROR(__xludf.DUMMYFUNCTION("""COMPUTED_VALUE"""),-0.728423046738607)</f>
        <v>-0.72842304673860703</v>
      </c>
      <c r="BV66" s="3">
        <f ca="1">IFERROR(__xludf.DUMMYFUNCTION("""COMPUTED_VALUE"""),-0.638296997440604)</f>
        <v>-0.63829699744060397</v>
      </c>
      <c r="BW66" s="3">
        <f ca="1">IFERROR(__xludf.DUMMYFUNCTION("""COMPUTED_VALUE"""),-0.688459910058867)</f>
        <v>-0.68845991005886698</v>
      </c>
      <c r="BX66" s="3">
        <f ca="1">IFERROR(__xludf.DUMMYFUNCTION("""COMPUTED_VALUE"""),-0.701351110553853)</f>
        <v>-0.70135111055385302</v>
      </c>
      <c r="BY66" s="3">
        <f ca="1">IFERROR(__xludf.DUMMYFUNCTION("""COMPUTED_VALUE"""),-0.717646858956409)</f>
        <v>-0.71764685895640901</v>
      </c>
      <c r="BZ66" s="3">
        <f ca="1">IFERROR(__xludf.DUMMYFUNCTION("""COMPUTED_VALUE"""),-0.682251713341506)</f>
        <v>-0.68225171334150603</v>
      </c>
      <c r="CA66" s="3">
        <f ca="1">IFERROR(__xludf.DUMMYFUNCTION("""COMPUTED_VALUE"""),-0.702981599204973)</f>
        <v>-0.70298159920497305</v>
      </c>
      <c r="CB66" s="3">
        <f ca="1">IFERROR(__xludf.DUMMYFUNCTION("""COMPUTED_VALUE"""),-0.683490431389617)</f>
        <v>-0.68349043138961696</v>
      </c>
      <c r="CC66" s="3">
        <f ca="1">IFERROR(__xludf.DUMMYFUNCTION("""COMPUTED_VALUE"""),-0.610486779617253)</f>
        <v>-0.61048677961725295</v>
      </c>
      <c r="CD66" s="3">
        <f ca="1">IFERROR(__xludf.DUMMYFUNCTION("""COMPUTED_VALUE"""),-0.693275365237412)</f>
        <v>-0.69327536523741196</v>
      </c>
      <c r="CE66" s="3">
        <f ca="1">IFERROR(__xludf.DUMMYFUNCTION("""COMPUTED_VALUE"""),-0.664182824011764)</f>
        <v>-0.66418282401176398</v>
      </c>
      <c r="CF66" s="3">
        <f ca="1">IFERROR(__xludf.DUMMYFUNCTION("""COMPUTED_VALUE"""),-0.662617708069313)</f>
        <v>-0.66261770806931297</v>
      </c>
      <c r="CG66" s="3">
        <f ca="1">IFERROR(__xludf.DUMMYFUNCTION("""COMPUTED_VALUE"""),-0.671302622660131)</f>
        <v>-0.67130262266013097</v>
      </c>
      <c r="CH66" s="3">
        <f ca="1">IFERROR(__xludf.DUMMYFUNCTION("""COMPUTED_VALUE"""),-0.701114431344774)</f>
        <v>-0.70111443134477403</v>
      </c>
      <c r="CI66" s="3">
        <f ca="1">IFERROR(__xludf.DUMMYFUNCTION("""COMPUTED_VALUE"""),-0.654662696028938)</f>
        <v>-0.65466269602893801</v>
      </c>
      <c r="CJ66" s="3">
        <f ca="1">IFERROR(__xludf.DUMMYFUNCTION("""COMPUTED_VALUE"""),-0.593270739458803)</f>
        <v>-0.59327073945880304</v>
      </c>
      <c r="CK66" s="3">
        <f ca="1">IFERROR(__xludf.DUMMYFUNCTION("""COMPUTED_VALUE"""),-0.648998068635899)</f>
        <v>-0.64899806863589904</v>
      </c>
      <c r="CL66" s="3">
        <f ca="1">IFERROR(__xludf.DUMMYFUNCTION("""COMPUTED_VALUE"""),-0.729962719478581)</f>
        <v>-0.72996271947858105</v>
      </c>
      <c r="CM66" s="3">
        <f ca="1">IFERROR(__xludf.DUMMYFUNCTION("""COMPUTED_VALUE"""),-0.747541196294716)</f>
        <v>-0.74754119629471605</v>
      </c>
      <c r="CN66" s="3">
        <f ca="1">IFERROR(__xludf.DUMMYFUNCTION("""COMPUTED_VALUE"""),-0.704626599173759)</f>
        <v>-0.70462659917375903</v>
      </c>
      <c r="CO66" s="3">
        <f ca="1">IFERROR(__xludf.DUMMYFUNCTION("""COMPUTED_VALUE"""),-0.708316197156375)</f>
        <v>-0.70831619715637495</v>
      </c>
      <c r="CP66" s="3">
        <f ca="1">IFERROR(__xludf.DUMMYFUNCTION("""COMPUTED_VALUE"""),-0.661322260302223)</f>
        <v>-0.66132226030222296</v>
      </c>
      <c r="CQ66" s="3">
        <f ca="1">IFERROR(__xludf.DUMMYFUNCTION("""COMPUTED_VALUE"""),-0.633690123872037)</f>
        <v>-0.63369012387203705</v>
      </c>
      <c r="CR66" s="3">
        <f ca="1">IFERROR(__xludf.DUMMYFUNCTION("""COMPUTED_VALUE"""),-0.664765621487704)</f>
        <v>-0.66476562148770402</v>
      </c>
      <c r="CS66" s="3">
        <f ca="1">IFERROR(__xludf.DUMMYFUNCTION("""COMPUTED_VALUE"""),-0.671631909452606)</f>
        <v>-0.67163190945260598</v>
      </c>
      <c r="CT66" s="3">
        <f ca="1">IFERROR(__xludf.DUMMYFUNCTION("""COMPUTED_VALUE"""),-0.673996515624856)</f>
        <v>-0.67399651562485596</v>
      </c>
      <c r="CU66" s="3">
        <f ca="1">IFERROR(__xludf.DUMMYFUNCTION("""COMPUTED_VALUE"""),-0.623352495130778)</f>
        <v>-0.62335249513077795</v>
      </c>
      <c r="CV66" s="3">
        <f ca="1">IFERROR(__xludf.DUMMYFUNCTION("""COMPUTED_VALUE"""),-0.618031998511627)</f>
        <v>-0.61803199851162705</v>
      </c>
      <c r="CW66" s="3">
        <f ca="1">IFERROR(__xludf.DUMMYFUNCTION("""COMPUTED_VALUE"""),-0.5599947821313)</f>
        <v>-0.55999478213130005</v>
      </c>
      <c r="CX66" s="3">
        <f ca="1">IFERROR(__xludf.DUMMYFUNCTION("""COMPUTED_VALUE"""),-0.586903630747746)</f>
        <v>-0.58690363074774599</v>
      </c>
      <c r="CY66" s="3">
        <f ca="1">IFERROR(__xludf.DUMMYFUNCTION("""COMPUTED_VALUE"""),-0.645058502765387)</f>
        <v>-0.64505850276538701</v>
      </c>
      <c r="CZ66" s="3">
        <f ca="1">IFERROR(__xludf.DUMMYFUNCTION("""COMPUTED_VALUE"""),-0.705788830600125)</f>
        <v>-0.70578883060012498</v>
      </c>
      <c r="DA66" s="3">
        <f ca="1">IFERROR(__xludf.DUMMYFUNCTION("""COMPUTED_VALUE"""),-0.660194123792232)</f>
        <v>-0.66019412379223197</v>
      </c>
      <c r="DB66" s="3">
        <f ca="1">IFERROR(__xludf.DUMMYFUNCTION("""COMPUTED_VALUE"""),-0.516182973559781)</f>
        <v>-0.51618297355978104</v>
      </c>
      <c r="DC66" s="3">
        <f ca="1">IFERROR(__xludf.DUMMYFUNCTION("""COMPUTED_VALUE"""),-0.623538361385151)</f>
        <v>-0.62353836138515095</v>
      </c>
      <c r="DD66" s="3">
        <f ca="1">IFERROR(__xludf.DUMMYFUNCTION("""COMPUTED_VALUE"""),-0.619409724444142)</f>
        <v>-0.619409724444142</v>
      </c>
      <c r="DE66" s="3">
        <f ca="1">IFERROR(__xludf.DUMMYFUNCTION("""COMPUTED_VALUE"""),-0.607152694303527)</f>
        <v>-0.60715269430352703</v>
      </c>
      <c r="DF66" s="3">
        <f ca="1">IFERROR(__xludf.DUMMYFUNCTION("""COMPUTED_VALUE"""),-0.619298785283083)</f>
        <v>-0.61929878528308302</v>
      </c>
      <c r="DG66" s="3">
        <f ca="1">IFERROR(__xludf.DUMMYFUNCTION("""COMPUTED_VALUE"""),-0.713781036148145)</f>
        <v>-0.71378103614814503</v>
      </c>
      <c r="DH66" s="3">
        <f ca="1">IFERROR(__xludf.DUMMYFUNCTION("""COMPUTED_VALUE"""),-0.606915638004043)</f>
        <v>-0.60691563800404302</v>
      </c>
      <c r="DI66" s="3">
        <f ca="1">IFERROR(__xludf.DUMMYFUNCTION("""COMPUTED_VALUE"""),-0.382780145193133)</f>
        <v>-0.38278014519313303</v>
      </c>
      <c r="DJ66" s="3">
        <f ca="1">IFERROR(__xludf.DUMMYFUNCTION("""COMPUTED_VALUE"""),-0.520734946758205)</f>
        <v>-0.52073494675820498</v>
      </c>
      <c r="DK66" s="3">
        <f ca="1">IFERROR(__xludf.DUMMYFUNCTION("""COMPUTED_VALUE"""),-0.453160079772736)</f>
        <v>-0.45316007977273598</v>
      </c>
      <c r="DL66" s="3">
        <f ca="1">IFERROR(__xludf.DUMMYFUNCTION("""COMPUTED_VALUE"""),-0.499340581536795)</f>
        <v>-0.499340581536795</v>
      </c>
      <c r="DM66" s="3">
        <f ca="1">IFERROR(__xludf.DUMMYFUNCTION("""COMPUTED_VALUE"""),-0.499377654527369)</f>
        <v>-0.49937765452736899</v>
      </c>
      <c r="DN66" s="3">
        <f ca="1">IFERROR(__xludf.DUMMYFUNCTION("""COMPUTED_VALUE"""),-0.610291974060244)</f>
        <v>-0.61029197406024405</v>
      </c>
      <c r="DO66" s="3">
        <f ca="1">IFERROR(__xludf.DUMMYFUNCTION("""COMPUTED_VALUE"""),-0.642912261729228)</f>
        <v>-0.642912261729228</v>
      </c>
      <c r="DP66" s="3">
        <f ca="1">IFERROR(__xludf.DUMMYFUNCTION("""COMPUTED_VALUE"""),-0.57430982851542)</f>
        <v>-0.57430982851542001</v>
      </c>
      <c r="DQ66" s="3">
        <f ca="1">IFERROR(__xludf.DUMMYFUNCTION("""COMPUTED_VALUE"""),-0.496617269502525)</f>
        <v>-0.49661726950252499</v>
      </c>
      <c r="DR66" s="3">
        <f ca="1">IFERROR(__xludf.DUMMYFUNCTION("""COMPUTED_VALUE"""),-0.535376594703327)</f>
        <v>-0.53537659470332699</v>
      </c>
      <c r="DS66" s="3">
        <f ca="1">IFERROR(__xludf.DUMMYFUNCTION("""COMPUTED_VALUE"""),-0.506996642519468)</f>
        <v>-0.50699664251946797</v>
      </c>
      <c r="DT66" s="3">
        <f ca="1">IFERROR(__xludf.DUMMYFUNCTION("""COMPUTED_VALUE"""),-0.571128247460128)</f>
        <v>-0.57112824746012802</v>
      </c>
      <c r="DU66" s="3">
        <f ca="1">IFERROR(__xludf.DUMMYFUNCTION("""COMPUTED_VALUE"""),-0.649048994836768)</f>
        <v>-0.64904899483676803</v>
      </c>
      <c r="DV66" s="3">
        <f ca="1">IFERROR(__xludf.DUMMYFUNCTION("""COMPUTED_VALUE"""),-0.618170742274256)</f>
        <v>-0.61817074227425595</v>
      </c>
      <c r="DW66" s="3">
        <f ca="1">IFERROR(__xludf.DUMMYFUNCTION("""COMPUTED_VALUE"""),-0.628437349048249)</f>
        <v>-0.62843734904824899</v>
      </c>
      <c r="DX66" s="3">
        <f ca="1">IFERROR(__xludf.DUMMYFUNCTION("""COMPUTED_VALUE"""),-0.624110168934144)</f>
        <v>-0.62411016893414395</v>
      </c>
      <c r="DY66" s="3">
        <f ca="1">IFERROR(__xludf.DUMMYFUNCTION("""COMPUTED_VALUE"""),-0.632798697297934)</f>
        <v>-0.63279869729793403</v>
      </c>
      <c r="DZ66" s="3">
        <f ca="1">IFERROR(__xludf.DUMMYFUNCTION("""COMPUTED_VALUE"""),-0.607482670440492)</f>
        <v>-0.60748267044049198</v>
      </c>
      <c r="EA66" s="3">
        <f ca="1">IFERROR(__xludf.DUMMYFUNCTION("""COMPUTED_VALUE"""),-0.573510772750828)</f>
        <v>-0.57351077275082796</v>
      </c>
      <c r="EB66" s="3">
        <f ca="1">IFERROR(__xludf.DUMMYFUNCTION("""COMPUTED_VALUE"""),-0.63902368943969)</f>
        <v>-0.63902368943969001</v>
      </c>
      <c r="EC66" s="3">
        <f ca="1">IFERROR(__xludf.DUMMYFUNCTION("""COMPUTED_VALUE"""),-0.656302734062105)</f>
        <v>-0.65630273406210504</v>
      </c>
      <c r="ED66" s="3">
        <f ca="1">IFERROR(__xludf.DUMMYFUNCTION("""COMPUTED_VALUE"""),-0.679016248228999)</f>
        <v>-0.67901624822899898</v>
      </c>
      <c r="EE66" s="3">
        <f ca="1">IFERROR(__xludf.DUMMYFUNCTION("""COMPUTED_VALUE"""),-0.667836889056532)</f>
        <v>-0.66783688905653205</v>
      </c>
      <c r="EF66" s="3">
        <f ca="1">IFERROR(__xludf.DUMMYFUNCTION("""COMPUTED_VALUE"""),-0.57298565901035)</f>
        <v>-0.57298565901035003</v>
      </c>
      <c r="EG66" s="3">
        <f ca="1">IFERROR(__xludf.DUMMYFUNCTION("""COMPUTED_VALUE"""),-0.520463567775678)</f>
        <v>-0.52046356777567804</v>
      </c>
      <c r="EH66" s="3">
        <f ca="1">IFERROR(__xludf.DUMMYFUNCTION("""COMPUTED_VALUE"""),-0.545716105735242)</f>
        <v>-0.54571610573524199</v>
      </c>
      <c r="EI66" s="3">
        <f ca="1">IFERROR(__xludf.DUMMYFUNCTION("""COMPUTED_VALUE"""),-0.580427867936865)</f>
        <v>-0.58042786793686496</v>
      </c>
      <c r="EJ66" s="3">
        <f ca="1">IFERROR(__xludf.DUMMYFUNCTION("""COMPUTED_VALUE"""),-0.634170666836767)</f>
        <v>-0.63417066683676704</v>
      </c>
      <c r="EK66" s="3">
        <f ca="1">IFERROR(__xludf.DUMMYFUNCTION("""COMPUTED_VALUE"""),-0.61432660857724)</f>
        <v>-0.61432660857723997</v>
      </c>
      <c r="EL66" s="3">
        <f ca="1">IFERROR(__xludf.DUMMYFUNCTION("""COMPUTED_VALUE"""),-0.670069795179035)</f>
        <v>-0.67006979517903498</v>
      </c>
      <c r="EM66" s="3">
        <f ca="1">IFERROR(__xludf.DUMMYFUNCTION("""COMPUTED_VALUE"""),-0.632237408839013)</f>
        <v>-0.63223740883901303</v>
      </c>
      <c r="EN66" s="3">
        <f ca="1">IFERROR(__xludf.DUMMYFUNCTION("""COMPUTED_VALUE"""),-0.581633351853345)</f>
        <v>-0.58163335185334497</v>
      </c>
      <c r="EO66" s="3">
        <f ca="1">IFERROR(__xludf.DUMMYFUNCTION("""COMPUTED_VALUE"""),-0.552354542866223)</f>
        <v>-0.55235454286622299</v>
      </c>
      <c r="EP66" s="3">
        <f ca="1">IFERROR(__xludf.DUMMYFUNCTION("""COMPUTED_VALUE"""),-0.648195706271441)</f>
        <v>-0.64819570627144096</v>
      </c>
      <c r="EQ66" s="3">
        <f ca="1">IFERROR(__xludf.DUMMYFUNCTION("""COMPUTED_VALUE"""),-0.735560166782893)</f>
        <v>-0.73556016678289304</v>
      </c>
      <c r="ER66" s="3">
        <f ca="1">IFERROR(__xludf.DUMMYFUNCTION("""COMPUTED_VALUE"""),-0.713491527083213)</f>
        <v>-0.71349152708321295</v>
      </c>
      <c r="ES66" s="3">
        <f ca="1">IFERROR(__xludf.DUMMYFUNCTION("""COMPUTED_VALUE"""),-0.713494617864117)</f>
        <v>-0.71349461786411705</v>
      </c>
      <c r="ET66" s="3">
        <f ca="1">IFERROR(__xludf.DUMMYFUNCTION("""COMPUTED_VALUE"""),-0.659422679810919)</f>
        <v>-0.65942267981091895</v>
      </c>
      <c r="EU66" s="3">
        <f ca="1">IFERROR(__xludf.DUMMYFUNCTION("""COMPUTED_VALUE"""),-0.605835385097854)</f>
        <v>-0.60583538509785395</v>
      </c>
      <c r="EV66" s="3">
        <f ca="1">IFERROR(__xludf.DUMMYFUNCTION("""COMPUTED_VALUE"""),-0.610728111583316)</f>
        <v>-0.61072811158331597</v>
      </c>
      <c r="EW66" s="3">
        <f ca="1">IFERROR(__xludf.DUMMYFUNCTION("""COMPUTED_VALUE"""),-0.66258819993524)</f>
        <v>-0.66258819993523999</v>
      </c>
      <c r="EX66" s="3">
        <f ca="1">IFERROR(__xludf.DUMMYFUNCTION("""COMPUTED_VALUE"""),-0.740534230920609)</f>
        <v>-0.74053423092060899</v>
      </c>
      <c r="EY66" s="3">
        <f ca="1">IFERROR(__xludf.DUMMYFUNCTION("""COMPUTED_VALUE"""),-0.695311638403464)</f>
        <v>-0.69531163840346399</v>
      </c>
      <c r="EZ66" s="3">
        <f ca="1">IFERROR(__xludf.DUMMYFUNCTION("""COMPUTED_VALUE"""),-0.659801310430304)</f>
        <v>-0.65980131043030399</v>
      </c>
      <c r="FA66" s="3">
        <f ca="1">IFERROR(__xludf.DUMMYFUNCTION("""COMPUTED_VALUE"""),-0.576585806522329)</f>
        <v>-0.57658580652232905</v>
      </c>
      <c r="FB66" s="3">
        <f ca="1">IFERROR(__xludf.DUMMYFUNCTION("""COMPUTED_VALUE"""),-0.520649005726164)</f>
        <v>-0.52064900572616402</v>
      </c>
      <c r="FC66" s="3">
        <f ca="1">IFERROR(__xludf.DUMMYFUNCTION("""COMPUTED_VALUE"""),-0.562658028690208)</f>
        <v>-0.56265802869020798</v>
      </c>
      <c r="FD66" s="3">
        <f ca="1">IFERROR(__xludf.DUMMYFUNCTION("""COMPUTED_VALUE"""),-0.656993799780903)</f>
        <v>-0.656993799780903</v>
      </c>
      <c r="FE66" s="3">
        <f ca="1">IFERROR(__xludf.DUMMYFUNCTION("""COMPUTED_VALUE"""),-0.671459691618087)</f>
        <v>-0.67145969161808705</v>
      </c>
      <c r="FF66" s="3">
        <f ca="1">IFERROR(__xludf.DUMMYFUNCTION("""COMPUTED_VALUE"""),-0.674743745796015)</f>
        <v>-0.67474374579601504</v>
      </c>
      <c r="FG66" s="3">
        <f ca="1">IFERROR(__xludf.DUMMYFUNCTION("""COMPUTED_VALUE"""),-0.686951577105452)</f>
        <v>-0.68695157710545196</v>
      </c>
      <c r="FH66" s="3">
        <f ca="1">IFERROR(__xludf.DUMMYFUNCTION("""COMPUTED_VALUE"""),-0.572756335547018)</f>
        <v>-0.57275633554701799</v>
      </c>
      <c r="FI66" s="3">
        <f ca="1">IFERROR(__xludf.DUMMYFUNCTION("""COMPUTED_VALUE"""),-0.533207533503717)</f>
        <v>-0.53320753350371697</v>
      </c>
      <c r="FJ66" s="3">
        <f ca="1">IFERROR(__xludf.DUMMYFUNCTION("""COMPUTED_VALUE"""),-0.531182577191265)</f>
        <v>-0.53118257719126505</v>
      </c>
      <c r="FK66" s="3">
        <f ca="1">IFERROR(__xludf.DUMMYFUNCTION("""COMPUTED_VALUE"""),-0.6615378356238)</f>
        <v>-0.66153783562379997</v>
      </c>
      <c r="FL66" s="3">
        <f ca="1">IFERROR(__xludf.DUMMYFUNCTION("""COMPUTED_VALUE"""),-0.652903000832329)</f>
        <v>-0.65290300083232899</v>
      </c>
      <c r="FM66" s="3">
        <f ca="1">IFERROR(__xludf.DUMMYFUNCTION("""COMPUTED_VALUE"""),-0.618708807938182)</f>
        <v>-0.61870880793818195</v>
      </c>
      <c r="FN66" s="3">
        <f ca="1">IFERROR(__xludf.DUMMYFUNCTION("""COMPUTED_VALUE"""),-0.636580586535112)</f>
        <v>-0.63658058653511196</v>
      </c>
      <c r="FO66" s="3">
        <f ca="1">IFERROR(__xludf.DUMMYFUNCTION("""COMPUTED_VALUE"""),-0.599944539221093)</f>
        <v>-0.59994453922109303</v>
      </c>
      <c r="FP66" s="3">
        <f ca="1">IFERROR(__xludf.DUMMYFUNCTION("""COMPUTED_VALUE"""),-0.47256228301471)</f>
        <v>-0.47256228301470998</v>
      </c>
      <c r="FQ66" s="3">
        <f ca="1">IFERROR(__xludf.DUMMYFUNCTION("""COMPUTED_VALUE"""),-0.557603764593528)</f>
        <v>-0.55760376459352801</v>
      </c>
      <c r="FR66" s="3">
        <f ca="1">IFERROR(__xludf.DUMMYFUNCTION("""COMPUTED_VALUE"""),-0.631917444586643)</f>
        <v>-0.63191744458664301</v>
      </c>
      <c r="FS66" s="3">
        <f ca="1">IFERROR(__xludf.DUMMYFUNCTION("""COMPUTED_VALUE"""),-0.625340307966953)</f>
        <v>-0.62534030796695295</v>
      </c>
      <c r="FT66" s="3">
        <f ca="1">IFERROR(__xludf.DUMMYFUNCTION("""COMPUTED_VALUE"""),-0.618613643400575)</f>
        <v>-0.61861364340057501</v>
      </c>
      <c r="FU66" s="3">
        <f ca="1">IFERROR(__xludf.DUMMYFUNCTION("""COMPUTED_VALUE"""),-0.613778456749478)</f>
        <v>-0.61377845674947795</v>
      </c>
      <c r="FV66" s="3">
        <f ca="1">IFERROR(__xludf.DUMMYFUNCTION("""COMPUTED_VALUE"""),-0.544442045517575)</f>
        <v>-0.54444204551757502</v>
      </c>
      <c r="FW66" s="3">
        <f ca="1">IFERROR(__xludf.DUMMYFUNCTION("""COMPUTED_VALUE"""),-0.521985544924341)</f>
        <v>-0.52198554492434102</v>
      </c>
      <c r="FX66" s="3">
        <f ca="1">IFERROR(__xludf.DUMMYFUNCTION("""COMPUTED_VALUE"""),-0.63164278576422)</f>
        <v>-0.63164278576421995</v>
      </c>
      <c r="FY66" s="3">
        <f ca="1">IFERROR(__xludf.DUMMYFUNCTION("""COMPUTED_VALUE"""),-0.699597303689804)</f>
        <v>-0.699597303689804</v>
      </c>
      <c r="FZ66" s="3">
        <f ca="1">IFERROR(__xludf.DUMMYFUNCTION("""COMPUTED_VALUE"""),-0.649467188407447)</f>
        <v>-0.64946718840744699</v>
      </c>
      <c r="GA66" s="3">
        <f ca="1">IFERROR(__xludf.DUMMYFUNCTION("""COMPUTED_VALUE"""),-0.662294582011167)</f>
        <v>-0.66229458201116698</v>
      </c>
      <c r="GB66" s="3">
        <f ca="1">IFERROR(__xludf.DUMMYFUNCTION("""COMPUTED_VALUE"""),-0.61872962939498)</f>
        <v>-0.61872962939498</v>
      </c>
      <c r="GC66" s="3">
        <f ca="1">IFERROR(__xludf.DUMMYFUNCTION("""COMPUTED_VALUE"""),-0.51622305558966)</f>
        <v>-0.51622305558965997</v>
      </c>
      <c r="GD66" s="3">
        <f ca="1">IFERROR(__xludf.DUMMYFUNCTION("""COMPUTED_VALUE"""),-0.434854564784757)</f>
        <v>-0.43485456478475698</v>
      </c>
      <c r="GE66" s="3">
        <f ca="1">IFERROR(__xludf.DUMMYFUNCTION("""COMPUTED_VALUE"""),-0.625901733180502)</f>
        <v>-0.62590173318050202</v>
      </c>
      <c r="GF66" s="3">
        <f ca="1">IFERROR(__xludf.DUMMYFUNCTION("""COMPUTED_VALUE"""),-0.625001778603409)</f>
        <v>-0.625001778603409</v>
      </c>
      <c r="GG66" s="3">
        <f ca="1">IFERROR(__xludf.DUMMYFUNCTION("""COMPUTED_VALUE"""),-0.621922223339093)</f>
        <v>-0.62192222333909297</v>
      </c>
      <c r="GH66" s="3">
        <f ca="1">IFERROR(__xludf.DUMMYFUNCTION("""COMPUTED_VALUE"""),-0.620257714907411)</f>
        <v>-0.620257714907411</v>
      </c>
      <c r="GI66" s="3">
        <f ca="1">IFERROR(__xludf.DUMMYFUNCTION("""COMPUTED_VALUE"""),-0.619994047552142)</f>
        <v>-0.61999404755214205</v>
      </c>
      <c r="GJ66" s="3">
        <f ca="1">IFERROR(__xludf.DUMMYFUNCTION("""COMPUTED_VALUE"""),-0.490632854856237)</f>
        <v>-0.49063285485623698</v>
      </c>
      <c r="GK66" s="3">
        <f ca="1">IFERROR(__xludf.DUMMYFUNCTION("""COMPUTED_VALUE"""),-0.542030027265521)</f>
        <v>-0.54203002726552096</v>
      </c>
      <c r="GL66" s="3">
        <f ca="1">IFERROR(__xludf.DUMMYFUNCTION("""COMPUTED_VALUE"""),-0.55942198294272)</f>
        <v>-0.55942198294272005</v>
      </c>
      <c r="GM66" s="3">
        <f ca="1">IFERROR(__xludf.DUMMYFUNCTION("""COMPUTED_VALUE"""),-0.589648571111593)</f>
        <v>-0.58964857111159297</v>
      </c>
      <c r="GN66" s="3">
        <f ca="1">IFERROR(__xludf.DUMMYFUNCTION("""COMPUTED_VALUE"""),-0.563632540398946)</f>
        <v>-0.56363254039894595</v>
      </c>
      <c r="GO66" s="3">
        <f ca="1">IFERROR(__xludf.DUMMYFUNCTION("""COMPUTED_VALUE"""),-0.566790886382039)</f>
        <v>-0.56679088638203901</v>
      </c>
      <c r="GP66" s="3">
        <f ca="1">IFERROR(__xludf.DUMMYFUNCTION("""COMPUTED_VALUE"""),-0.537383519583836)</f>
        <v>-0.53738351958383601</v>
      </c>
      <c r="GQ66" s="3">
        <f ca="1">IFERROR(__xludf.DUMMYFUNCTION("""COMPUTED_VALUE"""),-0.48850197506472)</f>
        <v>-0.48850197506471998</v>
      </c>
      <c r="GR66" s="3">
        <f ca="1">IFERROR(__xludf.DUMMYFUNCTION("""COMPUTED_VALUE"""),-0.313173999779634)</f>
        <v>-0.313173999779634</v>
      </c>
      <c r="GS66" s="3">
        <f ca="1">IFERROR(__xludf.DUMMYFUNCTION("""COMPUTED_VALUE"""),-0.402931083460169)</f>
        <v>-0.40293108346016898</v>
      </c>
      <c r="GT66" s="3">
        <f ca="1">IFERROR(__xludf.DUMMYFUNCTION("""COMPUTED_VALUE"""),-0.511557635138479)</f>
        <v>-0.51155763513847896</v>
      </c>
      <c r="GU66" s="3">
        <f ca="1">IFERROR(__xludf.DUMMYFUNCTION("""COMPUTED_VALUE"""),-0.518707182853555)</f>
        <v>-0.51870718285355499</v>
      </c>
      <c r="GV66" s="3">
        <f ca="1">IFERROR(__xludf.DUMMYFUNCTION("""COMPUTED_VALUE"""),-0.545425986279989)</f>
        <v>-0.54542598627998895</v>
      </c>
      <c r="GW66" s="3">
        <f ca="1">IFERROR(__xludf.DUMMYFUNCTION("""COMPUTED_VALUE"""),-0.510830187752647)</f>
        <v>-0.51083018775264699</v>
      </c>
      <c r="GX66" s="3">
        <f ca="1">IFERROR(__xludf.DUMMYFUNCTION("""COMPUTED_VALUE"""),-0.37839647881604)</f>
        <v>-0.37839647881603999</v>
      </c>
      <c r="GY66" s="3">
        <f ca="1">IFERROR(__xludf.DUMMYFUNCTION("""COMPUTED_VALUE"""),-0.382239845339158)</f>
        <v>-0.382239845339158</v>
      </c>
      <c r="GZ66" s="3">
        <f ca="1">IFERROR(__xludf.DUMMYFUNCTION("""COMPUTED_VALUE"""),-0.343826055763707)</f>
        <v>-0.34382605576370701</v>
      </c>
      <c r="HA66" s="3">
        <f ca="1">IFERROR(__xludf.DUMMYFUNCTION("""COMPUTED_VALUE"""),-0.376603907180108)</f>
        <v>-0.376603907180108</v>
      </c>
      <c r="HB66" s="3">
        <f ca="1">IFERROR(__xludf.DUMMYFUNCTION("""COMPUTED_VALUE"""),-0.477782519226648)</f>
        <v>-0.47778251922664799</v>
      </c>
      <c r="HC66" s="3">
        <f ca="1">IFERROR(__xludf.DUMMYFUNCTION("""COMPUTED_VALUE"""),-0.507341856265983)</f>
        <v>-0.50734185626598305</v>
      </c>
      <c r="HD66" s="3">
        <f ca="1">IFERROR(__xludf.DUMMYFUNCTION("""COMPUTED_VALUE"""),-0.529059761340774)</f>
        <v>-0.52905976134077404</v>
      </c>
      <c r="HE66" s="3">
        <f ca="1">IFERROR(__xludf.DUMMYFUNCTION("""COMPUTED_VALUE"""),-0.364083473592984)</f>
        <v>-0.36408347359298399</v>
      </c>
      <c r="HF66" s="3">
        <f ca="1">IFERROR(__xludf.DUMMYFUNCTION("""COMPUTED_VALUE"""),-0.335515326154349)</f>
        <v>-0.33551532615434898</v>
      </c>
      <c r="HG66" s="3">
        <f ca="1">IFERROR(__xludf.DUMMYFUNCTION("""COMPUTED_VALUE"""),-0.362139516978824)</f>
        <v>-0.36213951697882402</v>
      </c>
      <c r="HH66" s="3">
        <f ca="1">IFERROR(__xludf.DUMMYFUNCTION("""COMPUTED_VALUE"""),-0.433100174828841)</f>
        <v>-0.433100174828841</v>
      </c>
      <c r="HI66" s="3">
        <f ca="1">IFERROR(__xludf.DUMMYFUNCTION("""COMPUTED_VALUE"""),-0.43468473001644)</f>
        <v>-0.43468473001643998</v>
      </c>
      <c r="HJ66" s="3">
        <f ca="1">IFERROR(__xludf.DUMMYFUNCTION("""COMPUTED_VALUE"""),-0.446721681286286)</f>
        <v>-0.44672168128628598</v>
      </c>
      <c r="HK66" s="3">
        <f ca="1">IFERROR(__xludf.DUMMYFUNCTION("""COMPUTED_VALUE"""),-0.351296260650072)</f>
        <v>-0.35129626065007202</v>
      </c>
      <c r="HL66" s="3">
        <f ca="1">IFERROR(__xludf.DUMMYFUNCTION("""COMPUTED_VALUE"""),-0.398399886608998)</f>
        <v>-0.398399886608998</v>
      </c>
      <c r="HM66" s="3">
        <f ca="1">IFERROR(__xludf.DUMMYFUNCTION("""COMPUTED_VALUE"""),-0.232087097355404)</f>
        <v>-0.232087097355404</v>
      </c>
      <c r="HN66" s="3">
        <f ca="1">IFERROR(__xludf.DUMMYFUNCTION("""COMPUTED_VALUE"""),-0.275945821707741)</f>
        <v>-0.27594582170774101</v>
      </c>
      <c r="HO66" s="3">
        <f ca="1">IFERROR(__xludf.DUMMYFUNCTION("""COMPUTED_VALUE"""),-0.394012641278576)</f>
        <v>-0.39401264127857599</v>
      </c>
      <c r="HP66" s="3">
        <f ca="1">IFERROR(__xludf.DUMMYFUNCTION("""COMPUTED_VALUE"""),-0.47706101593897)</f>
        <v>-0.47706101593896999</v>
      </c>
      <c r="HQ66" s="3">
        <f ca="1">IFERROR(__xludf.DUMMYFUNCTION("""COMPUTED_VALUE"""),-0.44389191893622)</f>
        <v>-0.44389191893621999</v>
      </c>
      <c r="HR66" s="3">
        <f ca="1">IFERROR(__xludf.DUMMYFUNCTION("""COMPUTED_VALUE"""),-0.328120606390347)</f>
        <v>-0.32812060639034701</v>
      </c>
      <c r="HS66" s="3">
        <f ca="1">IFERROR(__xludf.DUMMYFUNCTION("""COMPUTED_VALUE"""),-0.274669450055362)</f>
        <v>-0.27466945005536197</v>
      </c>
      <c r="HT66" s="3">
        <f ca="1">IFERROR(__xludf.DUMMYFUNCTION("""COMPUTED_VALUE"""),-0.287149293389112)</f>
        <v>-0.28714929338911199</v>
      </c>
      <c r="HU66" s="3">
        <f ca="1">IFERROR(__xludf.DUMMYFUNCTION("""COMPUTED_VALUE"""),-0.381373500422527)</f>
        <v>-0.38137350042252699</v>
      </c>
      <c r="HV66" s="3">
        <f ca="1">IFERROR(__xludf.DUMMYFUNCTION("""COMPUTED_VALUE"""),-0.447785306382753)</f>
        <v>-0.44778530638275299</v>
      </c>
      <c r="HW66" s="3">
        <f ca="1">IFERROR(__xludf.DUMMYFUNCTION("""COMPUTED_VALUE"""),-0.496728795862236)</f>
        <v>-0.49672879586223601</v>
      </c>
      <c r="HX66" s="3">
        <f ca="1">IFERROR(__xludf.DUMMYFUNCTION("""COMPUTED_VALUE"""),-0.473191849680875)</f>
        <v>-0.47319184968087502</v>
      </c>
      <c r="HY66" s="3">
        <f ca="1">IFERROR(__xludf.DUMMYFUNCTION("""COMPUTED_VALUE"""),-0.466022657457531)</f>
        <v>-0.46602265745753102</v>
      </c>
      <c r="HZ66" s="3">
        <f ca="1">IFERROR(__xludf.DUMMYFUNCTION("""COMPUTED_VALUE"""),-0.372668553478663)</f>
        <v>-0.37266855347866301</v>
      </c>
      <c r="IA66" s="3">
        <f ca="1">IFERROR(__xludf.DUMMYFUNCTION("""COMPUTED_VALUE"""),-0.36197822355316)</f>
        <v>-0.36197822355316001</v>
      </c>
      <c r="IB66" s="3">
        <f ca="1">IFERROR(__xludf.DUMMYFUNCTION("""COMPUTED_VALUE"""),-0.320046457624807)</f>
        <v>-0.32004645762480699</v>
      </c>
      <c r="IC66" s="3">
        <f ca="1">IFERROR(__xludf.DUMMYFUNCTION("""COMPUTED_VALUE"""),-0.482435321241807)</f>
        <v>-0.48243532124180699</v>
      </c>
      <c r="ID66" s="3">
        <f ca="1">IFERROR(__xludf.DUMMYFUNCTION("""COMPUTED_VALUE"""),-0.521285739413853)</f>
        <v>-0.52128573941385303</v>
      </c>
      <c r="IE66" s="3">
        <f ca="1">IFERROR(__xludf.DUMMYFUNCTION("""COMPUTED_VALUE"""),-0.451387541814309)</f>
        <v>-0.45138754181430901</v>
      </c>
      <c r="IF66" s="3">
        <f ca="1">IFERROR(__xludf.DUMMYFUNCTION("""COMPUTED_VALUE"""),-0.476802147078443)</f>
        <v>-0.47680214707844298</v>
      </c>
      <c r="IG66" s="3">
        <f ca="1">IFERROR(__xludf.DUMMYFUNCTION("""COMPUTED_VALUE"""),-0.451239364020988)</f>
        <v>-0.45123936402098802</v>
      </c>
      <c r="IH66" s="3">
        <f ca="1">IFERROR(__xludf.DUMMYFUNCTION("""COMPUTED_VALUE"""),-0.316009991181931)</f>
        <v>-0.31600999118193102</v>
      </c>
      <c r="II66" s="3">
        <f ca="1">IFERROR(__xludf.DUMMYFUNCTION("""COMPUTED_VALUE"""),-0.301558516260468)</f>
        <v>-0.30155851626046798</v>
      </c>
      <c r="IJ66" s="3">
        <f ca="1">IFERROR(__xludf.DUMMYFUNCTION("""COMPUTED_VALUE"""),-0.473101104240811)</f>
        <v>-0.47310110424081098</v>
      </c>
      <c r="IK66" s="3">
        <f ca="1">IFERROR(__xludf.DUMMYFUNCTION("""COMPUTED_VALUE"""),-0.395397657039359)</f>
        <v>-0.39539765703935897</v>
      </c>
      <c r="IL66" s="3">
        <f ca="1">IFERROR(__xludf.DUMMYFUNCTION("""COMPUTED_VALUE"""),-0.427089273121845)</f>
        <v>-0.42708927312184503</v>
      </c>
      <c r="IM66" s="3">
        <f ca="1">IFERROR(__xludf.DUMMYFUNCTION("""COMPUTED_VALUE"""),-0.47686905949522)</f>
        <v>-0.47686905949522002</v>
      </c>
      <c r="IN66" s="3">
        <f ca="1">IFERROR(__xludf.DUMMYFUNCTION("""COMPUTED_VALUE"""),-0.349346012876715)</f>
        <v>-0.34934601287671502</v>
      </c>
      <c r="IO66" s="3">
        <f ca="1">IFERROR(__xludf.DUMMYFUNCTION("""COMPUTED_VALUE"""),-0.27519205232726)</f>
        <v>-0.27519205232726002</v>
      </c>
      <c r="IP66" s="3">
        <f ca="1">IFERROR(__xludf.DUMMYFUNCTION("""COMPUTED_VALUE"""),-0.190698097662997)</f>
        <v>-0.190698097662997</v>
      </c>
      <c r="IQ66" s="3">
        <f ca="1">IFERROR(__xludf.DUMMYFUNCTION("""COMPUTED_VALUE"""),-0.305974524691179)</f>
        <v>-0.30597452469117897</v>
      </c>
      <c r="IR66" s="3">
        <f ca="1">IFERROR(__xludf.DUMMYFUNCTION("""COMPUTED_VALUE"""),-0.242037362093779)</f>
        <v>-0.24203736209377899</v>
      </c>
      <c r="IS66" s="3">
        <f ca="1">IFERROR(__xludf.DUMMYFUNCTION("""COMPUTED_VALUE"""),-0.330942609155152)</f>
        <v>-0.330942609155152</v>
      </c>
      <c r="IT66" s="3">
        <f ca="1">IFERROR(__xludf.DUMMYFUNCTION("""COMPUTED_VALUE"""),-0.316464302639941)</f>
        <v>-0.31646430263994102</v>
      </c>
      <c r="IU66" s="3">
        <f ca="1">IFERROR(__xludf.DUMMYFUNCTION("""COMPUTED_VALUE"""),-0.201874306684539)</f>
        <v>-0.20187430668453901</v>
      </c>
      <c r="IV66" s="3">
        <f ca="1">IFERROR(__xludf.DUMMYFUNCTION("""COMPUTED_VALUE"""),-0.309188284511238)</f>
        <v>-0.30918828451123798</v>
      </c>
      <c r="IW66" s="3">
        <f ca="1">IFERROR(__xludf.DUMMYFUNCTION("""COMPUTED_VALUE"""),-0.126591235765098)</f>
        <v>-0.12659123576509801</v>
      </c>
      <c r="IX66" s="3">
        <f ca="1">IFERROR(__xludf.DUMMYFUNCTION("""COMPUTED_VALUE"""),-0.0782504094304111)</f>
        <v>-7.8250409430411103E-2</v>
      </c>
      <c r="IY66" s="3">
        <f ca="1">IFERROR(__xludf.DUMMYFUNCTION("""COMPUTED_VALUE"""),-0.0519049096092044)</f>
        <v>-5.1904909609204401E-2</v>
      </c>
      <c r="IZ66" s="3">
        <f ca="1">IFERROR(__xludf.DUMMYFUNCTION("""COMPUTED_VALUE"""),-0.0576453217532716)</f>
        <v>-5.7645321753271597E-2</v>
      </c>
      <c r="JA66" s="3">
        <f ca="1">IFERROR(__xludf.DUMMYFUNCTION("""COMPUTED_VALUE"""),-0.286995121854825)</f>
        <v>-0.28699512185482501</v>
      </c>
      <c r="JB66" s="3">
        <f ca="1">IFERROR(__xludf.DUMMYFUNCTION("""COMPUTED_VALUE"""),-0.425785364564432)</f>
        <v>-0.425785364564432</v>
      </c>
      <c r="JC66" s="3">
        <f ca="1">IFERROR(__xludf.DUMMYFUNCTION("""COMPUTED_VALUE"""),-0.217770765310032)</f>
        <v>-0.21777076531003201</v>
      </c>
      <c r="JD66" s="3">
        <f ca="1">IFERROR(__xludf.DUMMYFUNCTION("""COMPUTED_VALUE"""),-0.278559855376488)</f>
        <v>-0.27855985537648797</v>
      </c>
      <c r="JE66" s="3">
        <f ca="1">IFERROR(__xludf.DUMMYFUNCTION("""COMPUTED_VALUE"""),-0.301647051496057)</f>
        <v>-0.30164705149605697</v>
      </c>
      <c r="JF66" s="3">
        <f ca="1">IFERROR(__xludf.DUMMYFUNCTION("""COMPUTED_VALUE"""),-0.359599435130858)</f>
        <v>-0.35959943513085801</v>
      </c>
      <c r="JG66" s="3">
        <f ca="1">IFERROR(__xludf.DUMMYFUNCTION("""COMPUTED_VALUE"""),-0.269328475813423)</f>
        <v>-0.26932847581342301</v>
      </c>
      <c r="JH66" s="3">
        <f ca="1">IFERROR(__xludf.DUMMYFUNCTION("""COMPUTED_VALUE"""),-0.312282911575456)</f>
        <v>-0.31228291157545601</v>
      </c>
      <c r="JI66" s="3">
        <f ca="1">IFERROR(__xludf.DUMMYFUNCTION("""COMPUTED_VALUE"""),-0.230099523169163)</f>
        <v>-0.23009952316916299</v>
      </c>
      <c r="JJ66" s="3">
        <f ca="1">IFERROR(__xludf.DUMMYFUNCTION("""COMPUTED_VALUE"""),-0.172134946345145)</f>
        <v>-0.17213494634514501</v>
      </c>
      <c r="JK66" s="3">
        <f ca="1">IFERROR(__xludf.DUMMYFUNCTION("""COMPUTED_VALUE"""),-0.223256009912334)</f>
        <v>-0.22325600991233399</v>
      </c>
      <c r="JL66" s="3">
        <f ca="1">IFERROR(__xludf.DUMMYFUNCTION("""COMPUTED_VALUE"""),-0.256646710201591)</f>
        <v>-0.25664671020159102</v>
      </c>
      <c r="JM66" s="3">
        <f ca="1">IFERROR(__xludf.DUMMYFUNCTION("""COMPUTED_VALUE"""),-0.349365820999366)</f>
        <v>-0.34936582099936597</v>
      </c>
      <c r="JN66" s="3">
        <f ca="1">IFERROR(__xludf.DUMMYFUNCTION("""COMPUTED_VALUE"""),-0.235366390332917)</f>
        <v>-0.23536639033291701</v>
      </c>
      <c r="JO66" s="3">
        <f ca="1">IFERROR(__xludf.DUMMYFUNCTION("""COMPUTED_VALUE"""),-0.183226469581124)</f>
        <v>-0.18322646958112401</v>
      </c>
      <c r="JP66" s="3">
        <f ca="1">IFERROR(__xludf.DUMMYFUNCTION("""COMPUTED_VALUE"""),-0.263115642106848)</f>
        <v>-0.26311564210684801</v>
      </c>
      <c r="JQ66" s="3">
        <f ca="1">IFERROR(__xludf.DUMMYFUNCTION("""COMPUTED_VALUE"""),-0.332256809171446)</f>
        <v>-0.33225680917144601</v>
      </c>
      <c r="JR66" s="3">
        <f ca="1">IFERROR(__xludf.DUMMYFUNCTION("""COMPUTED_VALUE"""),-0.37939644876401)</f>
        <v>-0.37939644876401002</v>
      </c>
      <c r="JS66" s="3">
        <f ca="1">IFERROR(__xludf.DUMMYFUNCTION("""COMPUTED_VALUE"""),-0.304772988160852)</f>
        <v>-0.30477298816085202</v>
      </c>
      <c r="JT66" s="3">
        <f ca="1">IFERROR(__xludf.DUMMYFUNCTION("""COMPUTED_VALUE"""),-0.302272993133799)</f>
        <v>-0.30227299313379902</v>
      </c>
      <c r="JU66" s="3">
        <f ca="1">IFERROR(__xludf.DUMMYFUNCTION("""COMPUTED_VALUE"""),-0.29579026464991)</f>
        <v>-0.29579026464990998</v>
      </c>
      <c r="JV66" s="3">
        <f ca="1">IFERROR(__xludf.DUMMYFUNCTION("""COMPUTED_VALUE"""),-0.209897980783345)</f>
        <v>-0.20989798078334501</v>
      </c>
      <c r="JW66" s="3">
        <f ca="1">IFERROR(__xludf.DUMMYFUNCTION("""COMPUTED_VALUE"""),-0.196987083928027)</f>
        <v>-0.196987083928027</v>
      </c>
      <c r="JX66" s="3">
        <f ca="1">IFERROR(__xludf.DUMMYFUNCTION("""COMPUTED_VALUE"""),-0.163685364341156)</f>
        <v>-0.16368536434115599</v>
      </c>
      <c r="JY66" s="3">
        <f ca="1">IFERROR(__xludf.DUMMYFUNCTION("""COMPUTED_VALUE"""),-0.233129732697337)</f>
        <v>-0.233129732697337</v>
      </c>
      <c r="JZ66" s="3">
        <f ca="1">IFERROR(__xludf.DUMMYFUNCTION("""COMPUTED_VALUE"""),-0.300245994240585)</f>
        <v>-0.30024599424058501</v>
      </c>
      <c r="KA66" s="3">
        <f ca="1">IFERROR(__xludf.DUMMYFUNCTION("""COMPUTED_VALUE"""),-0.279739487037967)</f>
        <v>-0.27973948703796703</v>
      </c>
      <c r="KB66" s="3">
        <f ca="1">IFERROR(__xludf.DUMMYFUNCTION("""COMPUTED_VALUE"""),-0.280371843674788)</f>
        <v>-0.28037184367478801</v>
      </c>
      <c r="KC66" s="3">
        <f ca="1">IFERROR(__xludf.DUMMYFUNCTION("""COMPUTED_VALUE"""),-0.254131839227323)</f>
        <v>-0.25413183922732302</v>
      </c>
      <c r="KD66" s="3">
        <f ca="1">IFERROR(__xludf.DUMMYFUNCTION("""COMPUTED_VALUE"""),-0.292239410541984)</f>
        <v>-0.29223941054198399</v>
      </c>
      <c r="KE66" s="3">
        <f ca="1">IFERROR(__xludf.DUMMYFUNCTION("""COMPUTED_VALUE"""),-0.32154690809046)</f>
        <v>-0.32154690809045999</v>
      </c>
      <c r="KF66" s="3">
        <f ca="1">IFERROR(__xludf.DUMMYFUNCTION("""COMPUTED_VALUE"""),-0.3290277827074)</f>
        <v>-0.32902778270740002</v>
      </c>
      <c r="KG66" s="3">
        <f ca="1">IFERROR(__xludf.DUMMYFUNCTION("""COMPUTED_VALUE"""),-0.390786860343003)</f>
        <v>-0.39078686034300297</v>
      </c>
      <c r="KH66" s="3">
        <f ca="1">IFERROR(__xludf.DUMMYFUNCTION("""COMPUTED_VALUE"""),-0.376397353026218)</f>
        <v>-0.37639735302621802</v>
      </c>
      <c r="KI66" s="3">
        <f ca="1">IFERROR(__xludf.DUMMYFUNCTION("""COMPUTED_VALUE"""),-0.435705583657104)</f>
        <v>-0.43570558365710399</v>
      </c>
      <c r="KJ66" s="3">
        <f ca="1">IFERROR(__xludf.DUMMYFUNCTION("""COMPUTED_VALUE"""),-0.411344049848904)</f>
        <v>-0.41134404984890399</v>
      </c>
      <c r="KK66" s="3">
        <f ca="1">IFERROR(__xludf.DUMMYFUNCTION("""COMPUTED_VALUE"""),-0.296522721875736)</f>
        <v>-0.29652272187573597</v>
      </c>
      <c r="KL66" s="3">
        <f ca="1">IFERROR(__xludf.DUMMYFUNCTION("""COMPUTED_VALUE"""),-0.260732344269345)</f>
        <v>-0.260732344269345</v>
      </c>
      <c r="KM66" s="3">
        <f ca="1">IFERROR(__xludf.DUMMYFUNCTION("""COMPUTED_VALUE"""),-0.331564176247279)</f>
        <v>-0.33156417624727902</v>
      </c>
      <c r="KN66" s="3">
        <f ca="1">IFERROR(__xludf.DUMMYFUNCTION("""COMPUTED_VALUE"""),-0.44791195421788)</f>
        <v>-0.44791195421787999</v>
      </c>
      <c r="KO66" s="3">
        <f ca="1">IFERROR(__xludf.DUMMYFUNCTION("""COMPUTED_VALUE"""),-0.472292328806391)</f>
        <v>-0.47229232880639099</v>
      </c>
      <c r="KP66" s="3">
        <f ca="1">IFERROR(__xludf.DUMMYFUNCTION("""COMPUTED_VALUE"""),-0.493282173811793)</f>
        <v>-0.49328217381179301</v>
      </c>
      <c r="KQ66" s="3">
        <f ca="1">IFERROR(__xludf.DUMMYFUNCTION("""COMPUTED_VALUE"""),-0.438320297875954)</f>
        <v>-0.438320297875954</v>
      </c>
      <c r="KR66" s="3">
        <f ca="1">IFERROR(__xludf.DUMMYFUNCTION("""COMPUTED_VALUE"""),-0.38254487714304)</f>
        <v>-0.38254487714303997</v>
      </c>
      <c r="KS66" s="3">
        <f ca="1">IFERROR(__xludf.DUMMYFUNCTION("""COMPUTED_VALUE"""),-0.416170713440011)</f>
        <v>-0.416170713440011</v>
      </c>
      <c r="KT66" s="3">
        <f ca="1">IFERROR(__xludf.DUMMYFUNCTION("""COMPUTED_VALUE"""),-0.52999263021374)</f>
        <v>-0.52999263021373999</v>
      </c>
      <c r="KU66" s="3">
        <f ca="1">IFERROR(__xludf.DUMMYFUNCTION("""COMPUTED_VALUE"""),-0.549089437786712)</f>
        <v>-0.54908943778671204</v>
      </c>
      <c r="KV66" s="3">
        <f ca="1">IFERROR(__xludf.DUMMYFUNCTION("""COMPUTED_VALUE"""),-0.554171383795042)</f>
        <v>-0.55417138379504205</v>
      </c>
      <c r="KW66" s="3">
        <f ca="1">IFERROR(__xludf.DUMMYFUNCTION("""COMPUTED_VALUE"""),-0.547818848925478)</f>
        <v>-0.54781884892547805</v>
      </c>
      <c r="KX66" s="3">
        <f ca="1">IFERROR(__xludf.DUMMYFUNCTION("""COMPUTED_VALUE"""),-0.484466152028628)</f>
        <v>-0.48446615202862803</v>
      </c>
      <c r="KY66" s="3">
        <f ca="1">IFERROR(__xludf.DUMMYFUNCTION("""COMPUTED_VALUE"""),-0.490002399106819)</f>
        <v>-0.49000239910681898</v>
      </c>
      <c r="KZ66" s="3">
        <f ca="1">IFERROR(__xludf.DUMMYFUNCTION("""COMPUTED_VALUE"""),-0.339440700288955)</f>
        <v>-0.33944070028895501</v>
      </c>
      <c r="LA66" s="3">
        <f ca="1">IFERROR(__xludf.DUMMYFUNCTION("""COMPUTED_VALUE"""),-0.574634380501146)</f>
        <v>-0.57463438050114601</v>
      </c>
      <c r="LB66" s="3">
        <f ca="1">IFERROR(__xludf.DUMMYFUNCTION("""COMPUTED_VALUE"""),-0.567361283312047)</f>
        <v>-0.56736128331204705</v>
      </c>
      <c r="LC66" s="3">
        <f ca="1">IFERROR(__xludf.DUMMYFUNCTION("""COMPUTED_VALUE"""),-0.527960397803925)</f>
        <v>-0.52796039780392501</v>
      </c>
      <c r="LD66" s="3">
        <f ca="1">IFERROR(__xludf.DUMMYFUNCTION("""COMPUTED_VALUE"""),-0.599939129180123)</f>
        <v>-0.59993912918012304</v>
      </c>
      <c r="LE66" s="3">
        <f ca="1">IFERROR(__xludf.DUMMYFUNCTION("""COMPUTED_VALUE"""),-0.577762808640773)</f>
        <v>-0.57776280864077301</v>
      </c>
      <c r="LF66" s="3">
        <f ca="1">IFERROR(__xludf.DUMMYFUNCTION("""COMPUTED_VALUE"""),-0.548551308168097)</f>
        <v>-0.54855130816809705</v>
      </c>
      <c r="LG66" s="3">
        <f ca="1">IFERROR(__xludf.DUMMYFUNCTION("""COMPUTED_VALUE"""),-0.568600996059991)</f>
        <v>-0.56860099605999104</v>
      </c>
      <c r="LH66" s="3">
        <f ca="1">IFERROR(__xludf.DUMMYFUNCTION("""COMPUTED_VALUE"""),-0.554200353052171)</f>
        <v>-0.55420035305217097</v>
      </c>
      <c r="LI66" s="3">
        <f ca="1">IFERROR(__xludf.DUMMYFUNCTION("""COMPUTED_VALUE"""),-0.673424028708645)</f>
        <v>-0.67342402870864504</v>
      </c>
      <c r="LJ66" s="3">
        <f ca="1">IFERROR(__xludf.DUMMYFUNCTION("""COMPUTED_VALUE"""),-0.642980465922084)</f>
        <v>-0.64298046592208402</v>
      </c>
      <c r="LK66" s="3">
        <f ca="1">IFERROR(__xludf.DUMMYFUNCTION("""COMPUTED_VALUE"""),-0.517645536136152)</f>
        <v>-0.51764553613615205</v>
      </c>
      <c r="LL66" s="3">
        <f ca="1">IFERROR(__xludf.DUMMYFUNCTION("""COMPUTED_VALUE"""),-0.618579389137189)</f>
        <v>-0.61857938913718902</v>
      </c>
      <c r="LM66" s="3">
        <f ca="1">IFERROR(__xludf.DUMMYFUNCTION("""COMPUTED_VALUE"""),-0.604087209102192)</f>
        <v>-0.60408720910219205</v>
      </c>
      <c r="LN66" s="3">
        <f ca="1">IFERROR(__xludf.DUMMYFUNCTION("""COMPUTED_VALUE"""),-0.61652229178027)</f>
        <v>-0.61652229178026996</v>
      </c>
      <c r="LO66" s="3">
        <f ca="1">IFERROR(__xludf.DUMMYFUNCTION("""COMPUTED_VALUE"""),-0.586461014763662)</f>
        <v>-0.58646101476366197</v>
      </c>
      <c r="LP66" s="3">
        <f ca="1">IFERROR(__xludf.DUMMYFUNCTION("""COMPUTED_VALUE"""),-0.692471941751537)</f>
        <v>-0.69247194175153703</v>
      </c>
      <c r="LQ66" s="3">
        <f ca="1">IFERROR(__xludf.DUMMYFUNCTION("""COMPUTED_VALUE"""),-0.693850615834397)</f>
        <v>-0.693850615834397</v>
      </c>
      <c r="LR66" s="3">
        <f ca="1">IFERROR(__xludf.DUMMYFUNCTION("""COMPUTED_VALUE"""),-0.714603260104365)</f>
        <v>-0.71460326010436503</v>
      </c>
      <c r="LS66" s="3">
        <f ca="1">IFERROR(__xludf.DUMMYFUNCTION("""COMPUTED_VALUE"""),-0.667866211970494)</f>
        <v>-0.66786621197049401</v>
      </c>
      <c r="LT66" s="3">
        <f ca="1">IFERROR(__xludf.DUMMYFUNCTION("""COMPUTED_VALUE"""),-0.60019250930141)</f>
        <v>-0.60019250930140999</v>
      </c>
      <c r="LU66" s="3">
        <f ca="1">IFERROR(__xludf.DUMMYFUNCTION("""COMPUTED_VALUE"""),-0.747054512000991)</f>
        <v>-0.74705451200099104</v>
      </c>
      <c r="LV66" s="3">
        <f ca="1">IFERROR(__xludf.DUMMYFUNCTION("""COMPUTED_VALUE"""),-0.668298267174848)</f>
        <v>-0.66829826717484797</v>
      </c>
      <c r="LW66" s="3">
        <f ca="1">IFERROR(__xludf.DUMMYFUNCTION("""COMPUTED_VALUE"""),-0.787837019478335)</f>
        <v>-0.78783701947833495</v>
      </c>
      <c r="LX66" s="3">
        <f ca="1">IFERROR(__xludf.DUMMYFUNCTION("""COMPUTED_VALUE"""),-0.727668033620502)</f>
        <v>-0.72766803362050203</v>
      </c>
      <c r="LY66" s="3">
        <f ca="1">IFERROR(__xludf.DUMMYFUNCTION("""COMPUTED_VALUE"""),-0.723617625801505)</f>
        <v>-0.72361762580150502</v>
      </c>
      <c r="LZ66" s="3">
        <f ca="1">IFERROR(__xludf.DUMMYFUNCTION("""COMPUTED_VALUE"""),-0.759452927204246)</f>
        <v>-0.75945292720424595</v>
      </c>
      <c r="MA66" s="3">
        <f ca="1">IFERROR(__xludf.DUMMYFUNCTION("""COMPUTED_VALUE"""),-0.739296896209856)</f>
        <v>-0.73929689620985595</v>
      </c>
      <c r="MB66" s="3">
        <f ca="1">IFERROR(__xludf.DUMMYFUNCTION("""COMPUTED_VALUE"""),-0.741162220108041)</f>
        <v>-0.741162220108041</v>
      </c>
      <c r="MC66" s="3">
        <f ca="1">IFERROR(__xludf.DUMMYFUNCTION("""COMPUTED_VALUE"""),-0.722999626923036)</f>
        <v>-0.72299962692303599</v>
      </c>
      <c r="MD66" s="3">
        <f ca="1">IFERROR(__xludf.DUMMYFUNCTION("""COMPUTED_VALUE"""),-0.780004334391222)</f>
        <v>-0.78000433439122197</v>
      </c>
      <c r="ME66" s="3">
        <f ca="1">IFERROR(__xludf.DUMMYFUNCTION("""COMPUTED_VALUE"""),-0.776730443065646)</f>
        <v>-0.77673044306564598</v>
      </c>
      <c r="MF66" s="3">
        <f ca="1">IFERROR(__xludf.DUMMYFUNCTION("""COMPUTED_VALUE"""),-0.816021608834894)</f>
        <v>-0.81602160883489405</v>
      </c>
      <c r="MG66" s="3">
        <f ca="1">IFERROR(__xludf.DUMMYFUNCTION("""COMPUTED_VALUE"""),-0.804608817036845)</f>
        <v>-0.80460881703684495</v>
      </c>
      <c r="MH66" s="3">
        <f ca="1">IFERROR(__xludf.DUMMYFUNCTION("""COMPUTED_VALUE"""),-0.757182723930728)</f>
        <v>-0.75718272393072805</v>
      </c>
      <c r="MI66" s="3">
        <f ca="1">IFERROR(__xludf.DUMMYFUNCTION("""COMPUTED_VALUE"""),-0.761958484847947)</f>
        <v>-0.76195848484794704</v>
      </c>
      <c r="MJ66" s="3">
        <f ca="1">IFERROR(__xludf.DUMMYFUNCTION("""COMPUTED_VALUE"""),-0.688725796926672)</f>
        <v>-0.68872579692667202</v>
      </c>
      <c r="MK66" s="3">
        <f ca="1">IFERROR(__xludf.DUMMYFUNCTION("""COMPUTED_VALUE"""),-0.776635424717844)</f>
        <v>-0.77663542471784397</v>
      </c>
      <c r="ML66" s="3">
        <f ca="1">IFERROR(__xludf.DUMMYFUNCTION("""COMPUTED_VALUE"""),-0.807760654145633)</f>
        <v>-0.80776065414563303</v>
      </c>
      <c r="MM66" s="3">
        <f ca="1">IFERROR(__xludf.DUMMYFUNCTION("""COMPUTED_VALUE"""),-0.827978791741225)</f>
        <v>-0.82797879174122502</v>
      </c>
      <c r="MN66" s="3">
        <f ca="1">IFERROR(__xludf.DUMMYFUNCTION("""COMPUTED_VALUE"""),-0.808081597258946)</f>
        <v>-0.80808159725894602</v>
      </c>
      <c r="MO66" s="3">
        <f ca="1">IFERROR(__xludf.DUMMYFUNCTION("""COMPUTED_VALUE"""),-0.785772347384151)</f>
        <v>-0.78577234738415103</v>
      </c>
      <c r="MP66" s="3">
        <f ca="1">IFERROR(__xludf.DUMMYFUNCTION("""COMPUTED_VALUE"""),-0.766794676439925)</f>
        <v>-0.76679467643992505</v>
      </c>
      <c r="MQ66" s="3">
        <f ca="1">IFERROR(__xludf.DUMMYFUNCTION("""COMPUTED_VALUE"""),-0.734056171528712)</f>
        <v>-0.73405617152871205</v>
      </c>
      <c r="MR66" s="3">
        <f ca="1">IFERROR(__xludf.DUMMYFUNCTION("""COMPUTED_VALUE"""),-0.844280228652237)</f>
        <v>-0.84428022865223695</v>
      </c>
      <c r="MS66" s="3">
        <f ca="1">IFERROR(__xludf.DUMMYFUNCTION("""COMPUTED_VALUE"""),-0.839771537976587)</f>
        <v>-0.83977153797658699</v>
      </c>
      <c r="MT66" s="3">
        <f ca="1">IFERROR(__xludf.DUMMYFUNCTION("""COMPUTED_VALUE"""),-0.809070120304161)</f>
        <v>-0.80907012030416103</v>
      </c>
      <c r="MU66" s="3">
        <f ca="1">IFERROR(__xludf.DUMMYFUNCTION("""COMPUTED_VALUE"""),-0.816798734898338)</f>
        <v>-0.81679873489833799</v>
      </c>
      <c r="MV66" s="3">
        <f ca="1">IFERROR(__xludf.DUMMYFUNCTION("""COMPUTED_VALUE"""),-0.773131265123531)</f>
        <v>-0.77313126512353103</v>
      </c>
      <c r="MW66" s="3">
        <f ca="1">IFERROR(__xludf.DUMMYFUNCTION("""COMPUTED_VALUE"""),-0.792641007897403)</f>
        <v>-0.79264100789740299</v>
      </c>
      <c r="MX66" s="3">
        <f ca="1">IFERROR(__xludf.DUMMYFUNCTION("""COMPUTED_VALUE"""),-0.740020846061612)</f>
        <v>-0.740020846061612</v>
      </c>
      <c r="MY66" s="3">
        <f ca="1">IFERROR(__xludf.DUMMYFUNCTION("""COMPUTED_VALUE"""),-0.803853398390652)</f>
        <v>-0.80385339839065195</v>
      </c>
      <c r="MZ66" s="3">
        <f ca="1">IFERROR(__xludf.DUMMYFUNCTION("""COMPUTED_VALUE"""),-0.837436110294881)</f>
        <v>-0.83743611029488096</v>
      </c>
      <c r="NA66" s="3">
        <f ca="1">IFERROR(__xludf.DUMMYFUNCTION("""COMPUTED_VALUE"""),-0.81206291197955)</f>
        <v>-0.81206291197955005</v>
      </c>
      <c r="NB66" s="3">
        <f ca="1">IFERROR(__xludf.DUMMYFUNCTION("""COMPUTED_VALUE"""),-0.79419616165586)</f>
        <v>-0.79419616165586004</v>
      </c>
      <c r="NC66" s="3">
        <f ca="1">IFERROR(__xludf.DUMMYFUNCTION("""COMPUTED_VALUE"""),-0.712604417166265)</f>
        <v>-0.71260441716626499</v>
      </c>
      <c r="ND66" s="3">
        <f ca="1">IFERROR(__xludf.DUMMYFUNCTION("""COMPUTED_VALUE"""),-0.751041695197185)</f>
        <v>-0.751041695197185</v>
      </c>
      <c r="NE66" s="3">
        <f ca="1">IFERROR(__xludf.DUMMYFUNCTION("""COMPUTED_VALUE"""),-0.744030667211337)</f>
        <v>-0.74403066721133704</v>
      </c>
      <c r="NF66" s="3">
        <f ca="1">IFERROR(__xludf.DUMMYFUNCTION("""COMPUTED_VALUE"""),-0.730450709170695)</f>
        <v>-0.73045070917069499</v>
      </c>
      <c r="NG66" s="3">
        <f ca="1">IFERROR(__xludf.DUMMYFUNCTION("""COMPUTED_VALUE"""),-0.851212620900931)</f>
        <v>-0.85121262090093097</v>
      </c>
      <c r="NH66" s="3">
        <f ca="1">IFERROR(__xludf.DUMMYFUNCTION("""COMPUTED_VALUE"""),-0.826470636087982)</f>
        <v>-0.82647063608798199</v>
      </c>
      <c r="NI66" s="3">
        <f ca="1">IFERROR(__xludf.DUMMYFUNCTION("""COMPUTED_VALUE"""),-0.842588814454784)</f>
        <v>-0.84258881445478395</v>
      </c>
      <c r="NJ66" s="3">
        <f ca="1">IFERROR(__xludf.DUMMYFUNCTION("""COMPUTED_VALUE"""),-0.76718216253617)</f>
        <v>-0.76718216253617</v>
      </c>
      <c r="NK66" s="3">
        <f ca="1">IFERROR(__xludf.DUMMYFUNCTION("""COMPUTED_VALUE"""),-0.76937746646575)</f>
        <v>-0.76937746646575</v>
      </c>
      <c r="NL66" s="3">
        <f ca="1">IFERROR(__xludf.DUMMYFUNCTION("""COMPUTED_VALUE"""),-0.782480522863795)</f>
        <v>-0.78248052286379499</v>
      </c>
      <c r="NM66" s="3">
        <f ca="1">IFERROR(__xludf.DUMMYFUNCTION("""COMPUTED_VALUE"""),-0.784791836304485)</f>
        <v>-0.78479183630448501</v>
      </c>
      <c r="NN66" s="3">
        <f ca="1">IFERROR(__xludf.DUMMYFUNCTION("""COMPUTED_VALUE"""),-0.833186799565665)</f>
        <v>-0.83318679956566499</v>
      </c>
      <c r="NO66" s="3">
        <f ca="1">IFERROR(__xludf.DUMMYFUNCTION("""COMPUTED_VALUE"""),-0.789367821251849)</f>
        <v>-0.78936782125184901</v>
      </c>
      <c r="NP66" s="3">
        <f ca="1">IFERROR(__xludf.DUMMYFUNCTION("""COMPUTED_VALUE"""),-0.746206588876991)</f>
        <v>-0.74620658887699098</v>
      </c>
      <c r="NQ66" s="3">
        <f ca="1">IFERROR(__xludf.DUMMYFUNCTION("""COMPUTED_VALUE"""),-0.688668251319938)</f>
        <v>-0.68866825131993803</v>
      </c>
      <c r="NR66" s="3">
        <f ca="1">IFERROR(__xludf.DUMMYFUNCTION("""COMPUTED_VALUE"""),-0.717143984471021)</f>
        <v>-0.71714398447102101</v>
      </c>
      <c r="NS66" s="3">
        <f ca="1">IFERROR(__xludf.DUMMYFUNCTION("""COMPUTED_VALUE"""),-0.772758410640377)</f>
        <v>-0.77275841064037698</v>
      </c>
      <c r="NT66" s="3">
        <f ca="1">IFERROR(__xludf.DUMMYFUNCTION("""COMPUTED_VALUE"""),-0.840938826965811)</f>
        <v>-0.84093882696581101</v>
      </c>
      <c r="NU66" s="3">
        <f ca="1">IFERROR(__xludf.DUMMYFUNCTION("""COMPUTED_VALUE"""),-0.845290831183426)</f>
        <v>-0.84529083118342596</v>
      </c>
      <c r="NV66" s="3">
        <f ca="1">IFERROR(__xludf.DUMMYFUNCTION("""COMPUTED_VALUE"""),-0.831477476981833)</f>
        <v>-0.83147747698183305</v>
      </c>
      <c r="NW66" s="3">
        <f ca="1">IFERROR(__xludf.DUMMYFUNCTION("""COMPUTED_VALUE"""),-0.787073273819786)</f>
        <v>-0.78707327381978598</v>
      </c>
      <c r="NX66" s="3">
        <f ca="1">IFERROR(__xludf.DUMMYFUNCTION("""COMPUTED_VALUE"""),-0.754279465390677)</f>
        <v>-0.75427946539067703</v>
      </c>
      <c r="NY66" s="3">
        <f ca="1">IFERROR(__xludf.DUMMYFUNCTION("""COMPUTED_VALUE"""),-0.626930852734837)</f>
        <v>-0.62693085273483695</v>
      </c>
      <c r="NZ66" s="3">
        <f ca="1">IFERROR(__xludf.DUMMYFUNCTION("""COMPUTED_VALUE"""),-0.642300676403977)</f>
        <v>-0.64230067640397703</v>
      </c>
      <c r="OA66" s="3">
        <f ca="1">IFERROR(__xludf.DUMMYFUNCTION("""COMPUTED_VALUE"""),-0.728922343648261)</f>
        <v>-0.72892234364826103</v>
      </c>
      <c r="OB66" s="3">
        <f ca="1">IFERROR(__xludf.DUMMYFUNCTION("""COMPUTED_VALUE"""),-0.707502517991476)</f>
        <v>-0.70750251799147601</v>
      </c>
      <c r="OC66" s="3">
        <f ca="1">IFERROR(__xludf.DUMMYFUNCTION("""COMPUTED_VALUE"""),-0.705875542214244)</f>
        <v>-0.70587554221424398</v>
      </c>
      <c r="OD66" s="3">
        <f ca="1">IFERROR(__xludf.DUMMYFUNCTION("""COMPUTED_VALUE"""),-0.643390709955937)</f>
        <v>-0.64339070995593695</v>
      </c>
      <c r="OE66" s="3">
        <f ca="1">IFERROR(__xludf.DUMMYFUNCTION("""COMPUTED_VALUE"""),-0.585984015194702)</f>
        <v>-0.585984015194702</v>
      </c>
      <c r="OF66" s="3">
        <f ca="1">IFERROR(__xludf.DUMMYFUNCTION("""COMPUTED_VALUE"""),-0.286101546915785)</f>
        <v>-0.28610154691578499</v>
      </c>
      <c r="OG66" s="3">
        <f ca="1">IFERROR(__xludf.DUMMYFUNCTION("""COMPUTED_VALUE"""),-0.305856875908297)</f>
        <v>-0.30585687590829702</v>
      </c>
      <c r="OH66" s="3">
        <f ca="1">IFERROR(__xludf.DUMMYFUNCTION("""COMPUTED_VALUE"""),-0.350190545302387)</f>
        <v>-0.35019054530238702</v>
      </c>
      <c r="OI66" s="3">
        <f ca="1">IFERROR(__xludf.DUMMYFUNCTION("""COMPUTED_VALUE"""),-0.14456701715162)</f>
        <v>-0.14456701715161999</v>
      </c>
      <c r="OJ66" s="3">
        <f ca="1">IFERROR(__xludf.DUMMYFUNCTION("""COMPUTED_VALUE"""),-0.00482917785850034)</f>
        <v>-4.8291778585003399E-3</v>
      </c>
      <c r="OK66" s="3">
        <f ca="1">IFERROR(__xludf.DUMMYFUNCTION("""COMPUTED_VALUE"""),-0.0701796267858502)</f>
        <v>-7.0179626785850199E-2</v>
      </c>
      <c r="OL66" s="3">
        <f ca="1">IFERROR(__xludf.DUMMYFUNCTION("""COMPUTED_VALUE"""),0.0277625257229199)</f>
        <v>2.7762525722919901E-2</v>
      </c>
      <c r="OM66" s="3">
        <f ca="1">IFERROR(__xludf.DUMMYFUNCTION("""COMPUTED_VALUE"""),0.242293485735159)</f>
        <v>0.24229348573515899</v>
      </c>
      <c r="ON66" s="3">
        <f ca="1">IFERROR(__xludf.DUMMYFUNCTION("""COMPUTED_VALUE"""),0.186495138828493)</f>
        <v>0.186495138828493</v>
      </c>
      <c r="OO66" s="3">
        <f ca="1">IFERROR(__xludf.DUMMYFUNCTION("""COMPUTED_VALUE"""),-0.0364343497433987)</f>
        <v>-3.6434349743398702E-2</v>
      </c>
      <c r="OP66" s="3">
        <f ca="1">IFERROR(__xludf.DUMMYFUNCTION("""COMPUTED_VALUE"""),0.0191180822798642)</f>
        <v>1.9118082279864199E-2</v>
      </c>
      <c r="OQ66" s="3">
        <f ca="1">IFERROR(__xludf.DUMMYFUNCTION("""COMPUTED_VALUE"""),0.0276952294034866)</f>
        <v>2.76952294034866E-2</v>
      </c>
      <c r="OR66" s="3">
        <f ca="1">IFERROR(__xludf.DUMMYFUNCTION("""COMPUTED_VALUE"""),0.00583929248530168)</f>
        <v>5.8392924853016802E-3</v>
      </c>
      <c r="OS66" s="3">
        <f ca="1">IFERROR(__xludf.DUMMYFUNCTION("""COMPUTED_VALUE"""),0.0886529557307587)</f>
        <v>8.8652955730758695E-2</v>
      </c>
      <c r="OT66" s="3">
        <f ca="1">IFERROR(__xludf.DUMMYFUNCTION("""COMPUTED_VALUE"""),0.211377939375211)</f>
        <v>0.21137793937521099</v>
      </c>
      <c r="OU66" s="3">
        <f ca="1">IFERROR(__xludf.DUMMYFUNCTION("""COMPUTED_VALUE"""),0.102402459966461)</f>
        <v>0.102402459966461</v>
      </c>
      <c r="OV66" s="3">
        <f ca="1">IFERROR(__xludf.DUMMYFUNCTION("""COMPUTED_VALUE"""),-0.0396308535266672)</f>
        <v>-3.9630853526667197E-2</v>
      </c>
      <c r="OW66" s="3">
        <f ca="1">IFERROR(__xludf.DUMMYFUNCTION("""COMPUTED_VALUE"""),-0.132116844723768)</f>
        <v>-0.132116844723768</v>
      </c>
      <c r="OX66" s="3">
        <f ca="1">IFERROR(__xludf.DUMMYFUNCTION("""COMPUTED_VALUE"""),0.0399672939643469)</f>
        <v>3.9967293964346902E-2</v>
      </c>
      <c r="OY66" s="3">
        <f ca="1">IFERROR(__xludf.DUMMYFUNCTION("""COMPUTED_VALUE"""),0.0123505200662075)</f>
        <v>1.23505200662075E-2</v>
      </c>
      <c r="OZ66" s="3">
        <f ca="1">IFERROR(__xludf.DUMMYFUNCTION("""COMPUTED_VALUE"""),0.0831683686795288)</f>
        <v>8.3168368679528801E-2</v>
      </c>
      <c r="PA66" s="3">
        <f ca="1">IFERROR(__xludf.DUMMYFUNCTION("""COMPUTED_VALUE"""),0.181387875188711)</f>
        <v>0.181387875188711</v>
      </c>
      <c r="PB66" s="3">
        <f ca="1">IFERROR(__xludf.DUMMYFUNCTION("""COMPUTED_VALUE"""),0.0725275756493692)</f>
        <v>7.2527575649369194E-2</v>
      </c>
      <c r="PC66" s="3">
        <f ca="1">IFERROR(__xludf.DUMMYFUNCTION("""COMPUTED_VALUE"""),-0.101374604200185)</f>
        <v>-0.101374604200185</v>
      </c>
      <c r="PD66" s="3">
        <f ca="1">IFERROR(__xludf.DUMMYFUNCTION("""COMPUTED_VALUE"""),-0.0940428675896309)</f>
        <v>-9.4042867589630902E-2</v>
      </c>
      <c r="PE66" s="3">
        <f ca="1">IFERROR(__xludf.DUMMYFUNCTION("""COMPUTED_VALUE"""),0.138402604412467)</f>
        <v>0.13840260441246699</v>
      </c>
      <c r="PF66" s="3">
        <f ca="1">IFERROR(__xludf.DUMMYFUNCTION("""COMPUTED_VALUE"""),-0.0545643272736096)</f>
        <v>-5.4564327273609603E-2</v>
      </c>
      <c r="PG66" s="3">
        <f ca="1">IFERROR(__xludf.DUMMYFUNCTION("""COMPUTED_VALUE"""),-0.0188155094914177)</f>
        <v>-1.8815509491417699E-2</v>
      </c>
      <c r="PH66" s="3">
        <f ca="1">IFERROR(__xludf.DUMMYFUNCTION("""COMPUTED_VALUE"""),0.174342861359656)</f>
        <v>0.17434286135965599</v>
      </c>
      <c r="PI66" s="3">
        <f ca="1">IFERROR(__xludf.DUMMYFUNCTION("""COMPUTED_VALUE"""),0.118165595671743)</f>
        <v>0.11816559567174301</v>
      </c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</row>
    <row r="67" spans="1:477" ht="13">
      <c r="A67" s="1" t="str">
        <f ca="1">IFERROR(__xludf.DUMMYFUNCTION("""COMPUTED_VALUE"""),"Saint-Jean-sur-Richelieu")</f>
        <v>Saint-Jean-sur-Richelieu</v>
      </c>
      <c r="B67" s="1" t="str">
        <f ca="1">IFERROR(__xludf.DUMMYFUNCTION("""COMPUTED_VALUE"""),"Montréal")</f>
        <v>Montréal</v>
      </c>
      <c r="C67" s="1" t="str">
        <f ca="1">IFERROR(__xludf.DUMMYFUNCTION("""COMPUTED_VALUE"""),"Canada")</f>
        <v>Canada</v>
      </c>
      <c r="D67" s="1" t="str">
        <f ca="1">IFERROR(__xludf.DUMMYFUNCTION("""COMPUTED_VALUE"""),"Quebec")</f>
        <v>Quebec</v>
      </c>
      <c r="E67" s="3">
        <f ca="1">IFERROR(__xludf.DUMMYFUNCTION("""COMPUTED_VALUE"""),-0.707675634652577)</f>
        <v>-0.70767563465257699</v>
      </c>
      <c r="F67" s="3">
        <f ca="1">IFERROR(__xludf.DUMMYFUNCTION("""COMPUTED_VALUE"""),-0.724880832545245)</f>
        <v>-0.72488083254524505</v>
      </c>
      <c r="G67" s="3">
        <f ca="1">IFERROR(__xludf.DUMMYFUNCTION("""COMPUTED_VALUE"""),-0.761983681363156)</f>
        <v>-0.76198368136315597</v>
      </c>
      <c r="H67" s="3">
        <f ca="1">IFERROR(__xludf.DUMMYFUNCTION("""COMPUTED_VALUE"""),-0.736704585880138)</f>
        <v>-0.73670458588013799</v>
      </c>
      <c r="I67" s="3">
        <f ca="1">IFERROR(__xludf.DUMMYFUNCTION("""COMPUTED_VALUE"""),-0.834546316394903)</f>
        <v>-0.83454631639490295</v>
      </c>
      <c r="J67" s="3">
        <f ca="1">IFERROR(__xludf.DUMMYFUNCTION("""COMPUTED_VALUE"""),-0.874718838449746)</f>
        <v>-0.87471883844974596</v>
      </c>
      <c r="K67" s="3">
        <f ca="1">IFERROR(__xludf.DUMMYFUNCTION("""COMPUTED_VALUE"""),-0.80944902902278)</f>
        <v>-0.80944902902278004</v>
      </c>
      <c r="L67" s="3">
        <f ca="1">IFERROR(__xludf.DUMMYFUNCTION("""COMPUTED_VALUE"""),-0.83061472722507)</f>
        <v>-0.83061472722507002</v>
      </c>
      <c r="M67" s="3">
        <f ca="1">IFERROR(__xludf.DUMMYFUNCTION("""COMPUTED_VALUE"""),-0.849441076143663)</f>
        <v>-0.84944107614366304</v>
      </c>
      <c r="N67" s="3">
        <f ca="1">IFERROR(__xludf.DUMMYFUNCTION("""COMPUTED_VALUE"""),-0.748667136588885)</f>
        <v>-0.74866713658888495</v>
      </c>
      <c r="O67" s="3">
        <f ca="1">IFERROR(__xludf.DUMMYFUNCTION("""COMPUTED_VALUE"""),-0.765217896470554)</f>
        <v>-0.76521789647055405</v>
      </c>
      <c r="P67" s="3">
        <f ca="1">IFERROR(__xludf.DUMMYFUNCTION("""COMPUTED_VALUE"""),-0.732793682761996)</f>
        <v>-0.73279368276199597</v>
      </c>
      <c r="Q67" s="3">
        <f ca="1">IFERROR(__xludf.DUMMYFUNCTION("""COMPUTED_VALUE"""),-0.810147256076224)</f>
        <v>-0.81014725607622395</v>
      </c>
      <c r="R67" s="3">
        <f ca="1">IFERROR(__xludf.DUMMYFUNCTION("""COMPUTED_VALUE"""),-0.764711232190901)</f>
        <v>-0.76471123219090098</v>
      </c>
      <c r="S67" s="3">
        <f ca="1">IFERROR(__xludf.DUMMYFUNCTION("""COMPUTED_VALUE"""),-0.719356734277387)</f>
        <v>-0.719356734277387</v>
      </c>
      <c r="T67" s="3">
        <f ca="1">IFERROR(__xludf.DUMMYFUNCTION("""COMPUTED_VALUE"""),-0.775132438843113)</f>
        <v>-0.775132438843113</v>
      </c>
      <c r="U67" s="3">
        <f ca="1">IFERROR(__xludf.DUMMYFUNCTION("""COMPUTED_VALUE"""),-0.713649105837326)</f>
        <v>-0.71364910583732599</v>
      </c>
      <c r="V67" s="3">
        <f ca="1">IFERROR(__xludf.DUMMYFUNCTION("""COMPUTED_VALUE"""),-0.701263173314731)</f>
        <v>-0.70126317331473098</v>
      </c>
      <c r="W67" s="3">
        <f ca="1">IFERROR(__xludf.DUMMYFUNCTION("""COMPUTED_VALUE"""),-0.725713726070398)</f>
        <v>-0.72571372607039797</v>
      </c>
      <c r="X67" s="3">
        <f ca="1">IFERROR(__xludf.DUMMYFUNCTION("""COMPUTED_VALUE"""),-0.759721062164426)</f>
        <v>-0.75972106216442603</v>
      </c>
      <c r="Y67" s="3">
        <f ca="1">IFERROR(__xludf.DUMMYFUNCTION("""COMPUTED_VALUE"""),-0.719694525833451)</f>
        <v>-0.71969452583345095</v>
      </c>
      <c r="Z67" s="3">
        <f ca="1">IFERROR(__xludf.DUMMYFUNCTION("""COMPUTED_VALUE"""),-0.700025610245371)</f>
        <v>-0.70002561024537102</v>
      </c>
      <c r="AA67" s="3">
        <f ca="1">IFERROR(__xludf.DUMMYFUNCTION("""COMPUTED_VALUE"""),-0.756144067051366)</f>
        <v>-0.75614406705136605</v>
      </c>
      <c r="AB67" s="3">
        <f ca="1">IFERROR(__xludf.DUMMYFUNCTION("""COMPUTED_VALUE"""),-0.764930545497027)</f>
        <v>-0.76493054549702699</v>
      </c>
      <c r="AC67" s="3">
        <f ca="1">IFERROR(__xludf.DUMMYFUNCTION("""COMPUTED_VALUE"""),-0.771986188802776)</f>
        <v>-0.77198618880277603</v>
      </c>
      <c r="AD67" s="3">
        <f ca="1">IFERROR(__xludf.DUMMYFUNCTION("""COMPUTED_VALUE"""),-0.765039225691738)</f>
        <v>-0.76503922569173799</v>
      </c>
      <c r="AE67" s="3">
        <f ca="1">IFERROR(__xludf.DUMMYFUNCTION("""COMPUTED_VALUE"""),-0.780629739611277)</f>
        <v>-0.78062973961127702</v>
      </c>
      <c r="AF67" s="3">
        <f ca="1">IFERROR(__xludf.DUMMYFUNCTION("""COMPUTED_VALUE"""),-0.814813905050541)</f>
        <v>-0.81481390505054097</v>
      </c>
      <c r="AG67" s="3">
        <f ca="1">IFERROR(__xludf.DUMMYFUNCTION("""COMPUTED_VALUE"""),-0.786634512219756)</f>
        <v>-0.786634512219756</v>
      </c>
      <c r="AH67" s="3">
        <f ca="1">IFERROR(__xludf.DUMMYFUNCTION("""COMPUTED_VALUE"""),-0.785215307285268)</f>
        <v>-0.785215307285268</v>
      </c>
      <c r="AI67" s="3">
        <f ca="1">IFERROR(__xludf.DUMMYFUNCTION("""COMPUTED_VALUE"""),-0.792243011218712)</f>
        <v>-0.79224301121871199</v>
      </c>
      <c r="AJ67" s="3">
        <f ca="1">IFERROR(__xludf.DUMMYFUNCTION("""COMPUTED_VALUE"""),-0.793270220577441)</f>
        <v>-0.79327022057744101</v>
      </c>
      <c r="AK67" s="3">
        <f ca="1">IFERROR(__xludf.DUMMYFUNCTION("""COMPUTED_VALUE"""),-0.812072287620435)</f>
        <v>-0.81207228762043504</v>
      </c>
      <c r="AL67" s="3">
        <f ca="1">IFERROR(__xludf.DUMMYFUNCTION("""COMPUTED_VALUE"""),-0.797111738409539)</f>
        <v>-0.79711173840953897</v>
      </c>
      <c r="AM67" s="3">
        <f ca="1">IFERROR(__xludf.DUMMYFUNCTION("""COMPUTED_VALUE"""),-0.795166281662344)</f>
        <v>-0.79516628166234404</v>
      </c>
      <c r="AN67" s="3">
        <f ca="1">IFERROR(__xludf.DUMMYFUNCTION("""COMPUTED_VALUE"""),-0.799520684333946)</f>
        <v>-0.79952068433394596</v>
      </c>
      <c r="AO67" s="3">
        <f ca="1">IFERROR(__xludf.DUMMYFUNCTION("""COMPUTED_VALUE"""),-0.800102648372382)</f>
        <v>-0.80010264837238199</v>
      </c>
      <c r="AP67" s="3">
        <f ca="1">IFERROR(__xludf.DUMMYFUNCTION("""COMPUTED_VALUE"""),-0.808181691765106)</f>
        <v>-0.80818169176510601</v>
      </c>
      <c r="AQ67" s="3">
        <f ca="1">IFERROR(__xludf.DUMMYFUNCTION("""COMPUTED_VALUE"""),-0.777445840820428)</f>
        <v>-0.777445840820428</v>
      </c>
      <c r="AR67" s="3">
        <f ca="1">IFERROR(__xludf.DUMMYFUNCTION("""COMPUTED_VALUE"""),-0.800698266307319)</f>
        <v>-0.800698266307319</v>
      </c>
      <c r="AS67" s="3">
        <f ca="1">IFERROR(__xludf.DUMMYFUNCTION("""COMPUTED_VALUE"""),-0.765887883551802)</f>
        <v>-0.76588788355180204</v>
      </c>
      <c r="AT67" s="3">
        <f ca="1">IFERROR(__xludf.DUMMYFUNCTION("""COMPUTED_VALUE"""),-0.782619447458941)</f>
        <v>-0.78261944745894096</v>
      </c>
      <c r="AU67" s="3">
        <f ca="1">IFERROR(__xludf.DUMMYFUNCTION("""COMPUTED_VALUE"""),-0.794879432359967)</f>
        <v>-0.79487943235996705</v>
      </c>
      <c r="AV67" s="3">
        <f ca="1">IFERROR(__xludf.DUMMYFUNCTION("""COMPUTED_VALUE"""),-0.810945516039727)</f>
        <v>-0.81094551603972698</v>
      </c>
      <c r="AW67" s="3">
        <f ca="1">IFERROR(__xludf.DUMMYFUNCTION("""COMPUTED_VALUE"""),-0.82446262160639)</f>
        <v>-0.82446262160638994</v>
      </c>
      <c r="AX67" s="3">
        <f ca="1">IFERROR(__xludf.DUMMYFUNCTION("""COMPUTED_VALUE"""),-0.805624325207344)</f>
        <v>-0.80562432520734395</v>
      </c>
      <c r="AY67" s="3">
        <f ca="1">IFERROR(__xludf.DUMMYFUNCTION("""COMPUTED_VALUE"""),-0.804602973056362)</f>
        <v>-0.80460297305636197</v>
      </c>
      <c r="AZ67" s="3">
        <f ca="1">IFERROR(__xludf.DUMMYFUNCTION("""COMPUTED_VALUE"""),-0.804392374371694)</f>
        <v>-0.80439237437169397</v>
      </c>
      <c r="BA67" s="3">
        <f ca="1">IFERROR(__xludf.DUMMYFUNCTION("""COMPUTED_VALUE"""),-0.835724224829102)</f>
        <v>-0.83572422482910202</v>
      </c>
      <c r="BB67" s="3">
        <f ca="1">IFERROR(__xludf.DUMMYFUNCTION("""COMPUTED_VALUE"""),-0.822664794343769)</f>
        <v>-0.82266479434376905</v>
      </c>
      <c r="BC67" s="3">
        <f ca="1">IFERROR(__xludf.DUMMYFUNCTION("""COMPUTED_VALUE"""),-0.827937311463846)</f>
        <v>-0.82793731146384597</v>
      </c>
      <c r="BD67" s="3">
        <f ca="1">IFERROR(__xludf.DUMMYFUNCTION("""COMPUTED_VALUE"""),-0.839993309564538)</f>
        <v>-0.83999330956453799</v>
      </c>
      <c r="BE67" s="3">
        <f ca="1">IFERROR(__xludf.DUMMYFUNCTION("""COMPUTED_VALUE"""),-0.793962568307552)</f>
        <v>-0.79396256830755196</v>
      </c>
      <c r="BF67" s="3">
        <f ca="1">IFERROR(__xludf.DUMMYFUNCTION("""COMPUTED_VALUE"""),-0.830742169613074)</f>
        <v>-0.83074216961307401</v>
      </c>
      <c r="BG67" s="3">
        <f ca="1">IFERROR(__xludf.DUMMYFUNCTION("""COMPUTED_VALUE"""),-0.812103811546406)</f>
        <v>-0.81210381154640598</v>
      </c>
      <c r="BH67" s="3">
        <f ca="1">IFERROR(__xludf.DUMMYFUNCTION("""COMPUTED_VALUE"""),-0.786554685230837)</f>
        <v>-0.78655468523083705</v>
      </c>
      <c r="BI67" s="3">
        <f ca="1">IFERROR(__xludf.DUMMYFUNCTION("""COMPUTED_VALUE"""),-0.822501603685565)</f>
        <v>-0.82250160368556502</v>
      </c>
      <c r="BJ67" s="3">
        <f ca="1">IFERROR(__xludf.DUMMYFUNCTION("""COMPUTED_VALUE"""),-0.817518787790074)</f>
        <v>-0.81751878779007403</v>
      </c>
      <c r="BK67" s="3">
        <f ca="1">IFERROR(__xludf.DUMMYFUNCTION("""COMPUTED_VALUE"""),-0.815622681203919)</f>
        <v>-0.81562268120391901</v>
      </c>
      <c r="BL67" s="3">
        <f ca="1">IFERROR(__xludf.DUMMYFUNCTION("""COMPUTED_VALUE"""),-0.83712925301284)</f>
        <v>-0.83712925301284002</v>
      </c>
      <c r="BM67" s="3">
        <f ca="1">IFERROR(__xludf.DUMMYFUNCTION("""COMPUTED_VALUE"""),-0.830475203215865)</f>
        <v>-0.83047520321586499</v>
      </c>
      <c r="BN67" s="3">
        <f ca="1">IFERROR(__xludf.DUMMYFUNCTION("""COMPUTED_VALUE"""),-0.823142437561848)</f>
        <v>-0.82314243756184802</v>
      </c>
      <c r="BO67" s="3">
        <f ca="1">IFERROR(__xludf.DUMMYFUNCTION("""COMPUTED_VALUE"""),-0.847457662529672)</f>
        <v>-0.84745766252967203</v>
      </c>
      <c r="BP67" s="3">
        <f ca="1">IFERROR(__xludf.DUMMYFUNCTION("""COMPUTED_VALUE"""),-0.849663922652391)</f>
        <v>-0.84966392265239099</v>
      </c>
      <c r="BQ67" s="3">
        <f ca="1">IFERROR(__xludf.DUMMYFUNCTION("""COMPUTED_VALUE"""),-0.845021667432999)</f>
        <v>-0.845021667432999</v>
      </c>
      <c r="BR67" s="3">
        <f ca="1">IFERROR(__xludf.DUMMYFUNCTION("""COMPUTED_VALUE"""),-0.827732588315279)</f>
        <v>-0.82773258831527896</v>
      </c>
      <c r="BS67" s="3">
        <f ca="1">IFERROR(__xludf.DUMMYFUNCTION("""COMPUTED_VALUE"""),-0.850559214630995)</f>
        <v>-0.85055921463099504</v>
      </c>
      <c r="BT67" s="3">
        <f ca="1">IFERROR(__xludf.DUMMYFUNCTION("""COMPUTED_VALUE"""),-0.852812717524213)</f>
        <v>-0.85281271752421295</v>
      </c>
      <c r="BU67" s="3">
        <f ca="1">IFERROR(__xludf.DUMMYFUNCTION("""COMPUTED_VALUE"""),-0.854126153040288)</f>
        <v>-0.85412615304028805</v>
      </c>
      <c r="BV67" s="3">
        <f ca="1">IFERROR(__xludf.DUMMYFUNCTION("""COMPUTED_VALUE"""),-0.837337258978735)</f>
        <v>-0.83733725897873501</v>
      </c>
      <c r="BW67" s="3">
        <f ca="1">IFERROR(__xludf.DUMMYFUNCTION("""COMPUTED_VALUE"""),-0.877796830298133)</f>
        <v>-0.87779683029813305</v>
      </c>
      <c r="BX67" s="3">
        <f ca="1">IFERROR(__xludf.DUMMYFUNCTION("""COMPUTED_VALUE"""),-0.865216610927761)</f>
        <v>-0.86521661092776103</v>
      </c>
      <c r="BY67" s="3">
        <f ca="1">IFERROR(__xludf.DUMMYFUNCTION("""COMPUTED_VALUE"""),-0.826983790530722)</f>
        <v>-0.82698379053072202</v>
      </c>
      <c r="BZ67" s="3">
        <f ca="1">IFERROR(__xludf.DUMMYFUNCTION("""COMPUTED_VALUE"""),-0.856347099205728)</f>
        <v>-0.85634709920572805</v>
      </c>
      <c r="CA67" s="3">
        <f ca="1">IFERROR(__xludf.DUMMYFUNCTION("""COMPUTED_VALUE"""),-0.873064676454955)</f>
        <v>-0.873064676454955</v>
      </c>
      <c r="CB67" s="3">
        <f ca="1">IFERROR(__xludf.DUMMYFUNCTION("""COMPUTED_VALUE"""),-0.832403452840352)</f>
        <v>-0.832403452840352</v>
      </c>
      <c r="CC67" s="3">
        <f ca="1">IFERROR(__xludf.DUMMYFUNCTION("""COMPUTED_VALUE"""),-0.827990483256494)</f>
        <v>-0.82799048325649405</v>
      </c>
      <c r="CD67" s="3">
        <f ca="1">IFERROR(__xludf.DUMMYFUNCTION("""COMPUTED_VALUE"""),-0.869632335187052)</f>
        <v>-0.86963233518705196</v>
      </c>
      <c r="CE67" s="3">
        <f ca="1">IFERROR(__xludf.DUMMYFUNCTION("""COMPUTED_VALUE"""),-0.875657597833335)</f>
        <v>-0.87565759783333497</v>
      </c>
      <c r="CF67" s="3">
        <f ca="1">IFERROR(__xludf.DUMMYFUNCTION("""COMPUTED_VALUE"""),-0.844432494277868)</f>
        <v>-0.84443249427786804</v>
      </c>
      <c r="CG67" s="3">
        <f ca="1">IFERROR(__xludf.DUMMYFUNCTION("""COMPUTED_VALUE"""),-0.872021954701511)</f>
        <v>-0.872021954701511</v>
      </c>
      <c r="CH67" s="3">
        <f ca="1">IFERROR(__xludf.DUMMYFUNCTION("""COMPUTED_VALUE"""),-0.861162226307782)</f>
        <v>-0.86116222630778205</v>
      </c>
      <c r="CI67" s="3">
        <f ca="1">IFERROR(__xludf.DUMMYFUNCTION("""COMPUTED_VALUE"""),-0.879594218260608)</f>
        <v>-0.87959421826060802</v>
      </c>
      <c r="CJ67" s="3">
        <f ca="1">IFERROR(__xludf.DUMMYFUNCTION("""COMPUTED_VALUE"""),-0.850184621309259)</f>
        <v>-0.85018462130925898</v>
      </c>
      <c r="CK67" s="3">
        <f ca="1">IFERROR(__xludf.DUMMYFUNCTION("""COMPUTED_VALUE"""),-0.881504995222183)</f>
        <v>-0.88150499522218295</v>
      </c>
      <c r="CL67" s="3">
        <f ca="1">IFERROR(__xludf.DUMMYFUNCTION("""COMPUTED_VALUE"""),-0.888492547325025)</f>
        <v>-0.88849254732502503</v>
      </c>
      <c r="CM67" s="3">
        <f ca="1">IFERROR(__xludf.DUMMYFUNCTION("""COMPUTED_VALUE"""),-0.891967595609127)</f>
        <v>-0.89196759560912697</v>
      </c>
      <c r="CN67" s="3">
        <f ca="1">IFERROR(__xludf.DUMMYFUNCTION("""COMPUTED_VALUE"""),-0.886922327846416)</f>
        <v>-0.886922327846416</v>
      </c>
      <c r="CO67" s="3">
        <f ca="1">IFERROR(__xludf.DUMMYFUNCTION("""COMPUTED_VALUE"""),-0.899286964404385)</f>
        <v>-0.89928696440438505</v>
      </c>
      <c r="CP67" s="3">
        <f ca="1">IFERROR(__xludf.DUMMYFUNCTION("""COMPUTED_VALUE"""),-0.895606840849283)</f>
        <v>-0.89560684084928299</v>
      </c>
      <c r="CQ67" s="3">
        <f ca="1">IFERROR(__xludf.DUMMYFUNCTION("""COMPUTED_VALUE"""),-0.861945277700018)</f>
        <v>-0.86194527770001805</v>
      </c>
      <c r="CR67" s="3">
        <f ca="1">IFERROR(__xludf.DUMMYFUNCTION("""COMPUTED_VALUE"""),-0.854147025054034)</f>
        <v>-0.85414702505403395</v>
      </c>
      <c r="CS67" s="3">
        <f ca="1">IFERROR(__xludf.DUMMYFUNCTION("""COMPUTED_VALUE"""),-0.861299714136121)</f>
        <v>-0.86129971413612105</v>
      </c>
      <c r="CT67" s="3">
        <f ca="1">IFERROR(__xludf.DUMMYFUNCTION("""COMPUTED_VALUE"""),-0.873634735045819)</f>
        <v>-0.87363473504581901</v>
      </c>
      <c r="CU67" s="3">
        <f ca="1">IFERROR(__xludf.DUMMYFUNCTION("""COMPUTED_VALUE"""),-0.819410721950765)</f>
        <v>-0.81941072195076503</v>
      </c>
      <c r="CV67" s="3">
        <f ca="1">IFERROR(__xludf.DUMMYFUNCTION("""COMPUTED_VALUE"""),-0.826619725822086)</f>
        <v>-0.82661972582208598</v>
      </c>
      <c r="CW67" s="3">
        <f ca="1">IFERROR(__xludf.DUMMYFUNCTION("""COMPUTED_VALUE"""),-0.789869741443556)</f>
        <v>-0.78986974144355604</v>
      </c>
      <c r="CX67" s="3">
        <f ca="1">IFERROR(__xludf.DUMMYFUNCTION("""COMPUTED_VALUE"""),-0.798228514463623)</f>
        <v>-0.79822851446362297</v>
      </c>
      <c r="CY67" s="3">
        <f ca="1">IFERROR(__xludf.DUMMYFUNCTION("""COMPUTED_VALUE"""),-0.809003656816443)</f>
        <v>-0.80900365681644304</v>
      </c>
      <c r="CZ67" s="3">
        <f ca="1">IFERROR(__xludf.DUMMYFUNCTION("""COMPUTED_VALUE"""),-0.869621962599354)</f>
        <v>-0.86962196259935398</v>
      </c>
      <c r="DA67" s="3">
        <f ca="1">IFERROR(__xludf.DUMMYFUNCTION("""COMPUTED_VALUE"""),-0.805041584703229)</f>
        <v>-0.80504158470322895</v>
      </c>
      <c r="DB67" s="3">
        <f ca="1">IFERROR(__xludf.DUMMYFUNCTION("""COMPUTED_VALUE"""),-0.771577336196737)</f>
        <v>-0.77157733619673696</v>
      </c>
      <c r="DC67" s="3">
        <f ca="1">IFERROR(__xludf.DUMMYFUNCTION("""COMPUTED_VALUE"""),-0.821296814956003)</f>
        <v>-0.82129681495600304</v>
      </c>
      <c r="DD67" s="3">
        <f ca="1">IFERROR(__xludf.DUMMYFUNCTION("""COMPUTED_VALUE"""),-0.856372798021897)</f>
        <v>-0.85637279802189703</v>
      </c>
      <c r="DE67" s="3">
        <f ca="1">IFERROR(__xludf.DUMMYFUNCTION("""COMPUTED_VALUE"""),-0.82461486673711)</f>
        <v>-0.82461486673711004</v>
      </c>
      <c r="DF67" s="3">
        <f ca="1">IFERROR(__xludf.DUMMYFUNCTION("""COMPUTED_VALUE"""),-0.83320711710504)</f>
        <v>-0.83320711710504003</v>
      </c>
      <c r="DG67" s="3">
        <f ca="1">IFERROR(__xludf.DUMMYFUNCTION("""COMPUTED_VALUE"""),-0.889776612779046)</f>
        <v>-0.88977661277904596</v>
      </c>
      <c r="DH67" s="3">
        <f ca="1">IFERROR(__xludf.DUMMYFUNCTION("""COMPUTED_VALUE"""),-0.791158488271553)</f>
        <v>-0.791158488271553</v>
      </c>
      <c r="DI67" s="3">
        <f ca="1">IFERROR(__xludf.DUMMYFUNCTION("""COMPUTED_VALUE"""),-0.667541825481627)</f>
        <v>-0.66754182548162699</v>
      </c>
      <c r="DJ67" s="3">
        <f ca="1">IFERROR(__xludf.DUMMYFUNCTION("""COMPUTED_VALUE"""),-0.750861411720565)</f>
        <v>-0.75086141172056498</v>
      </c>
      <c r="DK67" s="3">
        <f ca="1">IFERROR(__xludf.DUMMYFUNCTION("""COMPUTED_VALUE"""),-0.778546828525324)</f>
        <v>-0.77854682852532398</v>
      </c>
      <c r="DL67" s="3">
        <f ca="1">IFERROR(__xludf.DUMMYFUNCTION("""COMPUTED_VALUE"""),-0.771288674862734)</f>
        <v>-0.771288674862734</v>
      </c>
      <c r="DM67" s="3">
        <f ca="1">IFERROR(__xludf.DUMMYFUNCTION("""COMPUTED_VALUE"""),-0.784648167054957)</f>
        <v>-0.78464816705495699</v>
      </c>
      <c r="DN67" s="3">
        <f ca="1">IFERROR(__xludf.DUMMYFUNCTION("""COMPUTED_VALUE"""),-0.806641219147962)</f>
        <v>-0.80664121914796205</v>
      </c>
      <c r="DO67" s="3">
        <f ca="1">IFERROR(__xludf.DUMMYFUNCTION("""COMPUTED_VALUE"""),-0.796752162190532)</f>
        <v>-0.79675216219053202</v>
      </c>
      <c r="DP67" s="3">
        <f ca="1">IFERROR(__xludf.DUMMYFUNCTION("""COMPUTED_VALUE"""),-0.756409015386142)</f>
        <v>-0.75640901538614203</v>
      </c>
      <c r="DQ67" s="3">
        <f ca="1">IFERROR(__xludf.DUMMYFUNCTION("""COMPUTED_VALUE"""),-0.753935654576935)</f>
        <v>-0.75393565457693501</v>
      </c>
      <c r="DR67" s="3">
        <f ca="1">IFERROR(__xludf.DUMMYFUNCTION("""COMPUTED_VALUE"""),-0.77306841461543)</f>
        <v>-0.77306841461542997</v>
      </c>
      <c r="DS67" s="3">
        <f ca="1">IFERROR(__xludf.DUMMYFUNCTION("""COMPUTED_VALUE"""),-0.782202113353374)</f>
        <v>-0.78220211335337397</v>
      </c>
      <c r="DT67" s="3">
        <f ca="1">IFERROR(__xludf.DUMMYFUNCTION("""COMPUTED_VALUE"""),-0.773473289292144)</f>
        <v>-0.77347328929214398</v>
      </c>
      <c r="DU67" s="3">
        <f ca="1">IFERROR(__xludf.DUMMYFUNCTION("""COMPUTED_VALUE"""),-0.786422701409836)</f>
        <v>-0.78642270140983594</v>
      </c>
      <c r="DV67" s="3">
        <f ca="1">IFERROR(__xludf.DUMMYFUNCTION("""COMPUTED_VALUE"""),-0.783601606010505)</f>
        <v>-0.78360160601050499</v>
      </c>
      <c r="DW67" s="3">
        <f ca="1">IFERROR(__xludf.DUMMYFUNCTION("""COMPUTED_VALUE"""),-0.805299756628013)</f>
        <v>-0.80529975662801301</v>
      </c>
      <c r="DX67" s="3">
        <f ca="1">IFERROR(__xludf.DUMMYFUNCTION("""COMPUTED_VALUE"""),-0.803655752769201)</f>
        <v>-0.80365575276920098</v>
      </c>
      <c r="DY67" s="3">
        <f ca="1">IFERROR(__xludf.DUMMYFUNCTION("""COMPUTED_VALUE"""),-0.814258440152346)</f>
        <v>-0.81425844015234605</v>
      </c>
      <c r="DZ67" s="3">
        <f ca="1">IFERROR(__xludf.DUMMYFUNCTION("""COMPUTED_VALUE"""),-0.78377363893731)</f>
        <v>-0.78377363893731</v>
      </c>
      <c r="EA67" s="3">
        <f ca="1">IFERROR(__xludf.DUMMYFUNCTION("""COMPUTED_VALUE"""),-0.803503255903349)</f>
        <v>-0.80350325590334903</v>
      </c>
      <c r="EB67" s="3">
        <f ca="1">IFERROR(__xludf.DUMMYFUNCTION("""COMPUTED_VALUE"""),-0.790433498721816)</f>
        <v>-0.79043349872181601</v>
      </c>
      <c r="EC67" s="3">
        <f ca="1">IFERROR(__xludf.DUMMYFUNCTION("""COMPUTED_VALUE"""),-0.775913577673556)</f>
        <v>-0.77591357767355595</v>
      </c>
      <c r="ED67" s="3">
        <f ca="1">IFERROR(__xludf.DUMMYFUNCTION("""COMPUTED_VALUE"""),-0.789371230491511)</f>
        <v>-0.78937123049151103</v>
      </c>
      <c r="EE67" s="3">
        <f ca="1">IFERROR(__xludf.DUMMYFUNCTION("""COMPUTED_VALUE"""),-0.774855270224245)</f>
        <v>-0.77485527022424505</v>
      </c>
      <c r="EF67" s="3">
        <f ca="1">IFERROR(__xludf.DUMMYFUNCTION("""COMPUTED_VALUE"""),-0.775561907208662)</f>
        <v>-0.77556190720866203</v>
      </c>
      <c r="EG67" s="3">
        <f ca="1">IFERROR(__xludf.DUMMYFUNCTION("""COMPUTED_VALUE"""),-0.724734606395072)</f>
        <v>-0.72473460639507203</v>
      </c>
      <c r="EH67" s="3">
        <f ca="1">IFERROR(__xludf.DUMMYFUNCTION("""COMPUTED_VALUE"""),-0.761408753696078)</f>
        <v>-0.76140875369607797</v>
      </c>
      <c r="EI67" s="3">
        <f ca="1">IFERROR(__xludf.DUMMYFUNCTION("""COMPUTED_VALUE"""),-0.753748350824352)</f>
        <v>-0.75374835082435199</v>
      </c>
      <c r="EJ67" s="3">
        <f ca="1">IFERROR(__xludf.DUMMYFUNCTION("""COMPUTED_VALUE"""),-0.773922422941794)</f>
        <v>-0.77392242294179403</v>
      </c>
      <c r="EK67" s="3">
        <f ca="1">IFERROR(__xludf.DUMMYFUNCTION("""COMPUTED_VALUE"""),-0.743231076459453)</f>
        <v>-0.74323107645945297</v>
      </c>
      <c r="EL67" s="3">
        <f ca="1">IFERROR(__xludf.DUMMYFUNCTION("""COMPUTED_VALUE"""),-0.774651047294457)</f>
        <v>-0.774651047294457</v>
      </c>
      <c r="EM67" s="3">
        <f ca="1">IFERROR(__xludf.DUMMYFUNCTION("""COMPUTED_VALUE"""),-0.830094320646422)</f>
        <v>-0.83009432064642197</v>
      </c>
      <c r="EN67" s="3">
        <f ca="1">IFERROR(__xludf.DUMMYFUNCTION("""COMPUTED_VALUE"""),-0.796700892354448)</f>
        <v>-0.79670089235444796</v>
      </c>
      <c r="EO67" s="3">
        <f ca="1">IFERROR(__xludf.DUMMYFUNCTION("""COMPUTED_VALUE"""),-0.772702942402183)</f>
        <v>-0.77270294240218296</v>
      </c>
      <c r="EP67" s="3">
        <f ca="1">IFERROR(__xludf.DUMMYFUNCTION("""COMPUTED_VALUE"""),-0.772282889416669)</f>
        <v>-0.77228288941666901</v>
      </c>
      <c r="EQ67" s="3">
        <f ca="1">IFERROR(__xludf.DUMMYFUNCTION("""COMPUTED_VALUE"""),-0.818529722052706)</f>
        <v>-0.81852972205270602</v>
      </c>
      <c r="ER67" s="3">
        <f ca="1">IFERROR(__xludf.DUMMYFUNCTION("""COMPUTED_VALUE"""),-0.804595272751003)</f>
        <v>-0.80459527275100295</v>
      </c>
      <c r="ES67" s="3">
        <f ca="1">IFERROR(__xludf.DUMMYFUNCTION("""COMPUTED_VALUE"""),-0.805425326673872)</f>
        <v>-0.80542532667387201</v>
      </c>
      <c r="ET67" s="3">
        <f ca="1">IFERROR(__xludf.DUMMYFUNCTION("""COMPUTED_VALUE"""),-0.797578431696847)</f>
        <v>-0.79757843169684695</v>
      </c>
      <c r="EU67" s="3">
        <f ca="1">IFERROR(__xludf.DUMMYFUNCTION("""COMPUTED_VALUE"""),-0.804250097741221)</f>
        <v>-0.80425009774122103</v>
      </c>
      <c r="EV67" s="3">
        <f ca="1">IFERROR(__xludf.DUMMYFUNCTION("""COMPUTED_VALUE"""),-0.792690867643914)</f>
        <v>-0.79269086764391405</v>
      </c>
      <c r="EW67" s="3">
        <f ca="1">IFERROR(__xludf.DUMMYFUNCTION("""COMPUTED_VALUE"""),-0.824904126741959)</f>
        <v>-0.82490412674195901</v>
      </c>
      <c r="EX67" s="3">
        <f ca="1">IFERROR(__xludf.DUMMYFUNCTION("""COMPUTED_VALUE"""),-0.841346220802331)</f>
        <v>-0.84134622080233101</v>
      </c>
      <c r="EY67" s="3">
        <f ca="1">IFERROR(__xludf.DUMMYFUNCTION("""COMPUTED_VALUE"""),-0.827432651776596)</f>
        <v>-0.82743265177659597</v>
      </c>
      <c r="EZ67" s="3">
        <f ca="1">IFERROR(__xludf.DUMMYFUNCTION("""COMPUTED_VALUE"""),-0.795317941723004)</f>
        <v>-0.79531794172300396</v>
      </c>
      <c r="FA67" s="3">
        <f ca="1">IFERROR(__xludf.DUMMYFUNCTION("""COMPUTED_VALUE"""),-0.81049425701638)</f>
        <v>-0.81049425701638</v>
      </c>
      <c r="FB67" s="3">
        <f ca="1">IFERROR(__xludf.DUMMYFUNCTION("""COMPUTED_VALUE"""),-0.738713620110475)</f>
        <v>-0.73871362011047503</v>
      </c>
      <c r="FC67" s="3">
        <f ca="1">IFERROR(__xludf.DUMMYFUNCTION("""COMPUTED_VALUE"""),-0.738530853413769)</f>
        <v>-0.73853085341376901</v>
      </c>
      <c r="FD67" s="3">
        <f ca="1">IFERROR(__xludf.DUMMYFUNCTION("""COMPUTED_VALUE"""),-0.790421948342678)</f>
        <v>-0.79042194834267798</v>
      </c>
      <c r="FE67" s="3">
        <f ca="1">IFERROR(__xludf.DUMMYFUNCTION("""COMPUTED_VALUE"""),-0.827694049530473)</f>
        <v>-0.82769404953047299</v>
      </c>
      <c r="FF67" s="3">
        <f ca="1">IFERROR(__xludf.DUMMYFUNCTION("""COMPUTED_VALUE"""),-0.811689108292552)</f>
        <v>-0.81168910829255203</v>
      </c>
      <c r="FG67" s="3">
        <f ca="1">IFERROR(__xludf.DUMMYFUNCTION("""COMPUTED_VALUE"""),-0.826108619628708)</f>
        <v>-0.82610861962870796</v>
      </c>
      <c r="FH67" s="3">
        <f ca="1">IFERROR(__xludf.DUMMYFUNCTION("""COMPUTED_VALUE"""),-0.80896597474991)</f>
        <v>-0.80896597474991006</v>
      </c>
      <c r="FI67" s="3">
        <f ca="1">IFERROR(__xludf.DUMMYFUNCTION("""COMPUTED_VALUE"""),-0.733834494294059)</f>
        <v>-0.733834494294059</v>
      </c>
      <c r="FJ67" s="3">
        <f ca="1">IFERROR(__xludf.DUMMYFUNCTION("""COMPUTED_VALUE"""),-0.733524508914015)</f>
        <v>-0.73352450891401499</v>
      </c>
      <c r="FK67" s="3">
        <f ca="1">IFERROR(__xludf.DUMMYFUNCTION("""COMPUTED_VALUE"""),-0.78208611588044)</f>
        <v>-0.78208611588043997</v>
      </c>
      <c r="FL67" s="3">
        <f ca="1">IFERROR(__xludf.DUMMYFUNCTION("""COMPUTED_VALUE"""),-0.78967544219473)</f>
        <v>-0.78967544219472996</v>
      </c>
      <c r="FM67" s="3">
        <f ca="1">IFERROR(__xludf.DUMMYFUNCTION("""COMPUTED_VALUE"""),-0.780135221258121)</f>
        <v>-0.78013522125812096</v>
      </c>
      <c r="FN67" s="3">
        <f ca="1">IFERROR(__xludf.DUMMYFUNCTION("""COMPUTED_VALUE"""),-0.780100631663179)</f>
        <v>-0.780100631663179</v>
      </c>
      <c r="FO67" s="3">
        <f ca="1">IFERROR(__xludf.DUMMYFUNCTION("""COMPUTED_VALUE"""),-0.792603590588663)</f>
        <v>-0.79260359058866303</v>
      </c>
      <c r="FP67" s="3">
        <f ca="1">IFERROR(__xludf.DUMMYFUNCTION("""COMPUTED_VALUE"""),-0.777029615416302)</f>
        <v>-0.777029615416302</v>
      </c>
      <c r="FQ67" s="3">
        <f ca="1">IFERROR(__xludf.DUMMYFUNCTION("""COMPUTED_VALUE"""),-0.789383853859942)</f>
        <v>-0.78938385385994203</v>
      </c>
      <c r="FR67" s="3">
        <f ca="1">IFERROR(__xludf.DUMMYFUNCTION("""COMPUTED_VALUE"""),-0.770845339144801)</f>
        <v>-0.77084533914480102</v>
      </c>
      <c r="FS67" s="3">
        <f ca="1">IFERROR(__xludf.DUMMYFUNCTION("""COMPUTED_VALUE"""),-0.778850273476419)</f>
        <v>-0.778850273476419</v>
      </c>
      <c r="FT67" s="3">
        <f ca="1">IFERROR(__xludf.DUMMYFUNCTION("""COMPUTED_VALUE"""),-0.778803476301189)</f>
        <v>-0.77880347630118896</v>
      </c>
      <c r="FU67" s="3">
        <f ca="1">IFERROR(__xludf.DUMMYFUNCTION("""COMPUTED_VALUE"""),-0.789549652177836)</f>
        <v>-0.78954965217783601</v>
      </c>
      <c r="FV67" s="3">
        <f ca="1">IFERROR(__xludf.DUMMYFUNCTION("""COMPUTED_VALUE"""),-0.735501016150783)</f>
        <v>-0.735501016150783</v>
      </c>
      <c r="FW67" s="3">
        <f ca="1">IFERROR(__xludf.DUMMYFUNCTION("""COMPUTED_VALUE"""),-0.795493840865077)</f>
        <v>-0.79549384086507702</v>
      </c>
      <c r="FX67" s="3">
        <f ca="1">IFERROR(__xludf.DUMMYFUNCTION("""COMPUTED_VALUE"""),-0.761664975236452)</f>
        <v>-0.76166497523645205</v>
      </c>
      <c r="FY67" s="3">
        <f ca="1">IFERROR(__xludf.DUMMYFUNCTION("""COMPUTED_VALUE"""),-0.781605235554393)</f>
        <v>-0.78160523555439299</v>
      </c>
      <c r="FZ67" s="3">
        <f ca="1">IFERROR(__xludf.DUMMYFUNCTION("""COMPUTED_VALUE"""),-0.764217328618936)</f>
        <v>-0.76421732861893599</v>
      </c>
      <c r="GA67" s="3">
        <f ca="1">IFERROR(__xludf.DUMMYFUNCTION("""COMPUTED_VALUE"""),-0.785861111022289)</f>
        <v>-0.78586111102228895</v>
      </c>
      <c r="GB67" s="3">
        <f ca="1">IFERROR(__xludf.DUMMYFUNCTION("""COMPUTED_VALUE"""),-0.775514513461621)</f>
        <v>-0.77551451346162104</v>
      </c>
      <c r="GC67" s="3">
        <f ca="1">IFERROR(__xludf.DUMMYFUNCTION("""COMPUTED_VALUE"""),-0.766616658425411)</f>
        <v>-0.76661665842541105</v>
      </c>
      <c r="GD67" s="3">
        <f ca="1">IFERROR(__xludf.DUMMYFUNCTION("""COMPUTED_VALUE"""),-0.782037551447237)</f>
        <v>-0.78203755144723697</v>
      </c>
      <c r="GE67" s="3">
        <f ca="1">IFERROR(__xludf.DUMMYFUNCTION("""COMPUTED_VALUE"""),-0.786320043050831)</f>
        <v>-0.78632004305083103</v>
      </c>
      <c r="GF67" s="3">
        <f ca="1">IFERROR(__xludf.DUMMYFUNCTION("""COMPUTED_VALUE"""),-0.775243943764995)</f>
        <v>-0.77524394376499495</v>
      </c>
      <c r="GG67" s="3">
        <f ca="1">IFERROR(__xludf.DUMMYFUNCTION("""COMPUTED_VALUE"""),-0.755586347532508)</f>
        <v>-0.75558634753250797</v>
      </c>
      <c r="GH67" s="3">
        <f ca="1">IFERROR(__xludf.DUMMYFUNCTION("""COMPUTED_VALUE"""),-0.735999993668799)</f>
        <v>-0.73599999366879898</v>
      </c>
      <c r="GI67" s="3">
        <f ca="1">IFERROR(__xludf.DUMMYFUNCTION("""COMPUTED_VALUE"""),-0.717044106143344)</f>
        <v>-0.71704410614334402</v>
      </c>
      <c r="GJ67" s="3">
        <f ca="1">IFERROR(__xludf.DUMMYFUNCTION("""COMPUTED_VALUE"""),-0.716619041497013)</f>
        <v>-0.71661904149701305</v>
      </c>
      <c r="GK67" s="3">
        <f ca="1">IFERROR(__xludf.DUMMYFUNCTION("""COMPUTED_VALUE"""),-0.762902447522384)</f>
        <v>-0.76290244752238401</v>
      </c>
      <c r="GL67" s="3">
        <f ca="1">IFERROR(__xludf.DUMMYFUNCTION("""COMPUTED_VALUE"""),-0.760604979646212)</f>
        <v>-0.76060497964621199</v>
      </c>
      <c r="GM67" s="3">
        <f ca="1">IFERROR(__xludf.DUMMYFUNCTION("""COMPUTED_VALUE"""),-0.77185825649053)</f>
        <v>-0.77185825649052997</v>
      </c>
      <c r="GN67" s="3">
        <f ca="1">IFERROR(__xludf.DUMMYFUNCTION("""COMPUTED_VALUE"""),-0.740337363034666)</f>
        <v>-0.74033736303466602</v>
      </c>
      <c r="GO67" s="3">
        <f ca="1">IFERROR(__xludf.DUMMYFUNCTION("""COMPUTED_VALUE"""),-0.734807502034444)</f>
        <v>-0.734807502034444</v>
      </c>
      <c r="GP67" s="3">
        <f ca="1">IFERROR(__xludf.DUMMYFUNCTION("""COMPUTED_VALUE"""),-0.707677923925144)</f>
        <v>-0.70767792392514395</v>
      </c>
      <c r="GQ67" s="3">
        <f ca="1">IFERROR(__xludf.DUMMYFUNCTION("""COMPUTED_VALUE"""),-0.708082187390093)</f>
        <v>-0.70808218739009299</v>
      </c>
      <c r="GR67" s="3">
        <f ca="1">IFERROR(__xludf.DUMMYFUNCTION("""COMPUTED_VALUE"""),-0.620450442842929)</f>
        <v>-0.62045044284292905</v>
      </c>
      <c r="GS67" s="3">
        <f ca="1">IFERROR(__xludf.DUMMYFUNCTION("""COMPUTED_VALUE"""),-0.635751671304145)</f>
        <v>-0.63575167130414501</v>
      </c>
      <c r="GT67" s="3">
        <f ca="1">IFERROR(__xludf.DUMMYFUNCTION("""COMPUTED_VALUE"""),-0.709129710011269)</f>
        <v>-0.70912971001126901</v>
      </c>
      <c r="GU67" s="3">
        <f ca="1">IFERROR(__xludf.DUMMYFUNCTION("""COMPUTED_VALUE"""),-0.683728440939637)</f>
        <v>-0.68372844093963703</v>
      </c>
      <c r="GV67" s="3">
        <f ca="1">IFERROR(__xludf.DUMMYFUNCTION("""COMPUTED_VALUE"""),-0.689130828893482)</f>
        <v>-0.68913082889348198</v>
      </c>
      <c r="GW67" s="3">
        <f ca="1">IFERROR(__xludf.DUMMYFUNCTION("""COMPUTED_VALUE"""),-0.688226414658995)</f>
        <v>-0.68822641465899503</v>
      </c>
      <c r="GX67" s="3">
        <f ca="1">IFERROR(__xludf.DUMMYFUNCTION("""COMPUTED_VALUE"""),-0.699822100567173)</f>
        <v>-0.69982210056717298</v>
      </c>
      <c r="GY67" s="3">
        <f ca="1">IFERROR(__xludf.DUMMYFUNCTION("""COMPUTED_VALUE"""),-0.645243087295229)</f>
        <v>-0.64524308729522895</v>
      </c>
      <c r="GZ67" s="3">
        <f ca="1">IFERROR(__xludf.DUMMYFUNCTION("""COMPUTED_VALUE"""),-0.655708034496262)</f>
        <v>-0.65570803449626203</v>
      </c>
      <c r="HA67" s="3">
        <f ca="1">IFERROR(__xludf.DUMMYFUNCTION("""COMPUTED_VALUE"""),-0.705991297857543)</f>
        <v>-0.705991297857543</v>
      </c>
      <c r="HB67" s="3">
        <f ca="1">IFERROR(__xludf.DUMMYFUNCTION("""COMPUTED_VALUE"""),-0.667723378879433)</f>
        <v>-0.667723378879433</v>
      </c>
      <c r="HC67" s="3">
        <f ca="1">IFERROR(__xludf.DUMMYFUNCTION("""COMPUTED_VALUE"""),-0.69471199117262)</f>
        <v>-0.69471199117261995</v>
      </c>
      <c r="HD67" s="3">
        <f ca="1">IFERROR(__xludf.DUMMYFUNCTION("""COMPUTED_VALUE"""),-0.661158793145406)</f>
        <v>-0.66115879314540604</v>
      </c>
      <c r="HE67" s="3">
        <f ca="1">IFERROR(__xludf.DUMMYFUNCTION("""COMPUTED_VALUE"""),-0.677803929280014)</f>
        <v>-0.67780392928001398</v>
      </c>
      <c r="HF67" s="3">
        <f ca="1">IFERROR(__xludf.DUMMYFUNCTION("""COMPUTED_VALUE"""),-0.635739816124861)</f>
        <v>-0.63573981612486097</v>
      </c>
      <c r="HG67" s="3">
        <f ca="1">IFERROR(__xludf.DUMMYFUNCTION("""COMPUTED_VALUE"""),-0.601431654603621)</f>
        <v>-0.60143165460362102</v>
      </c>
      <c r="HH67" s="3">
        <f ca="1">IFERROR(__xludf.DUMMYFUNCTION("""COMPUTED_VALUE"""),-0.662958029702197)</f>
        <v>-0.66295802970219697</v>
      </c>
      <c r="HI67" s="3">
        <f ca="1">IFERROR(__xludf.DUMMYFUNCTION("""COMPUTED_VALUE"""),-0.662281003683447)</f>
        <v>-0.662281003683447</v>
      </c>
      <c r="HJ67" s="3">
        <f ca="1">IFERROR(__xludf.DUMMYFUNCTION("""COMPUTED_VALUE"""),-0.65486091825973)</f>
        <v>-0.65486091825973003</v>
      </c>
      <c r="HK67" s="3">
        <f ca="1">IFERROR(__xludf.DUMMYFUNCTION("""COMPUTED_VALUE"""),-0.645428477511944)</f>
        <v>-0.64542847751194399</v>
      </c>
      <c r="HL67" s="3">
        <f ca="1">IFERROR(__xludf.DUMMYFUNCTION("""COMPUTED_VALUE"""),-0.718095785779639)</f>
        <v>-0.71809578577963895</v>
      </c>
      <c r="HM67" s="3">
        <f ca="1">IFERROR(__xludf.DUMMYFUNCTION("""COMPUTED_VALUE"""),-0.546064227830652)</f>
        <v>-0.546064227830652</v>
      </c>
      <c r="HN67" s="3">
        <f ca="1">IFERROR(__xludf.DUMMYFUNCTION("""COMPUTED_VALUE"""),-0.528365656574816)</f>
        <v>-0.52836565657481604</v>
      </c>
      <c r="HO67" s="3">
        <f ca="1">IFERROR(__xludf.DUMMYFUNCTION("""COMPUTED_VALUE"""),-0.616476409998881)</f>
        <v>-0.61647640999888098</v>
      </c>
      <c r="HP67" s="3">
        <f ca="1">IFERROR(__xludf.DUMMYFUNCTION("""COMPUTED_VALUE"""),-0.614988768850929)</f>
        <v>-0.61498876885092901</v>
      </c>
      <c r="HQ67" s="3">
        <f ca="1">IFERROR(__xludf.DUMMYFUNCTION("""COMPUTED_VALUE"""),-0.613796317010629)</f>
        <v>-0.61379631701062898</v>
      </c>
      <c r="HR67" s="3">
        <f ca="1">IFERROR(__xludf.DUMMYFUNCTION("""COMPUTED_VALUE"""),-0.576178185554988)</f>
        <v>-0.57617818555498801</v>
      </c>
      <c r="HS67" s="3">
        <f ca="1">IFERROR(__xludf.DUMMYFUNCTION("""COMPUTED_VALUE"""),-0.535915874772363)</f>
        <v>-0.53591587477236302</v>
      </c>
      <c r="HT67" s="3">
        <f ca="1">IFERROR(__xludf.DUMMYFUNCTION("""COMPUTED_VALUE"""),-0.624297706274866)</f>
        <v>-0.62429770627486603</v>
      </c>
      <c r="HU67" s="3">
        <f ca="1">IFERROR(__xludf.DUMMYFUNCTION("""COMPUTED_VALUE"""),-0.66525995494239)</f>
        <v>-0.66525995494238999</v>
      </c>
      <c r="HV67" s="3">
        <f ca="1">IFERROR(__xludf.DUMMYFUNCTION("""COMPUTED_VALUE"""),-0.632146042283944)</f>
        <v>-0.632146042283944</v>
      </c>
      <c r="HW67" s="3">
        <f ca="1">IFERROR(__xludf.DUMMYFUNCTION("""COMPUTED_VALUE"""),-0.635722752626486)</f>
        <v>-0.63572275262648603</v>
      </c>
      <c r="HX67" s="3">
        <f ca="1">IFERROR(__xludf.DUMMYFUNCTION("""COMPUTED_VALUE"""),-0.612852034970235)</f>
        <v>-0.61285203497023499</v>
      </c>
      <c r="HY67" s="3">
        <f ca="1">IFERROR(__xludf.DUMMYFUNCTION("""COMPUTED_VALUE"""),-0.617696025200929)</f>
        <v>-0.61769602520092903</v>
      </c>
      <c r="HZ67" s="3">
        <f ca="1">IFERROR(__xludf.DUMMYFUNCTION("""COMPUTED_VALUE"""),-0.587926085851035)</f>
        <v>-0.58792608585103501</v>
      </c>
      <c r="IA67" s="3">
        <f ca="1">IFERROR(__xludf.DUMMYFUNCTION("""COMPUTED_VALUE"""),-0.624303121917762)</f>
        <v>-0.62430312191776205</v>
      </c>
      <c r="IB67" s="3">
        <f ca="1">IFERROR(__xludf.DUMMYFUNCTION("""COMPUTED_VALUE"""),-0.565693495489474)</f>
        <v>-0.56569349548947401</v>
      </c>
      <c r="IC67" s="3">
        <f ca="1">IFERROR(__xludf.DUMMYFUNCTION("""COMPUTED_VALUE"""),-0.68347081925685)</f>
        <v>-0.68347081925685005</v>
      </c>
      <c r="ID67" s="3">
        <f ca="1">IFERROR(__xludf.DUMMYFUNCTION("""COMPUTED_VALUE"""),-0.669823882061872)</f>
        <v>-0.66982388206187204</v>
      </c>
      <c r="IE67" s="3">
        <f ca="1">IFERROR(__xludf.DUMMYFUNCTION("""COMPUTED_VALUE"""),-0.611530357697501)</f>
        <v>-0.61153035769750097</v>
      </c>
      <c r="IF67" s="3">
        <f ca="1">IFERROR(__xludf.DUMMYFUNCTION("""COMPUTED_VALUE"""),-0.651910255644314)</f>
        <v>-0.65191025564431404</v>
      </c>
      <c r="IG67" s="3">
        <f ca="1">IFERROR(__xludf.DUMMYFUNCTION("""COMPUTED_VALUE"""),-0.65953568374425)</f>
        <v>-0.65953568374424998</v>
      </c>
      <c r="IH67" s="3">
        <f ca="1">IFERROR(__xludf.DUMMYFUNCTION("""COMPUTED_VALUE"""),-0.560311068570666)</f>
        <v>-0.56031106857066604</v>
      </c>
      <c r="II67" s="3">
        <f ca="1">IFERROR(__xludf.DUMMYFUNCTION("""COMPUTED_VALUE"""),-0.546091505430636)</f>
        <v>-0.546091505430636</v>
      </c>
      <c r="IJ67" s="3">
        <f ca="1">IFERROR(__xludf.DUMMYFUNCTION("""COMPUTED_VALUE"""),-0.610293459544877)</f>
        <v>-0.61029345954487701</v>
      </c>
      <c r="IK67" s="3">
        <f ca="1">IFERROR(__xludf.DUMMYFUNCTION("""COMPUTED_VALUE"""),-0.626335242175186)</f>
        <v>-0.62633524217518599</v>
      </c>
      <c r="IL67" s="3">
        <f ca="1">IFERROR(__xludf.DUMMYFUNCTION("""COMPUTED_VALUE"""),-0.609591279013657)</f>
        <v>-0.60959127901365695</v>
      </c>
      <c r="IM67" s="3">
        <f ca="1">IFERROR(__xludf.DUMMYFUNCTION("""COMPUTED_VALUE"""),-0.625627134450158)</f>
        <v>-0.62562713445015805</v>
      </c>
      <c r="IN67" s="3">
        <f ca="1">IFERROR(__xludf.DUMMYFUNCTION("""COMPUTED_VALUE"""),-0.588135427649332)</f>
        <v>-0.58813542764933202</v>
      </c>
      <c r="IO67" s="3">
        <f ca="1">IFERROR(__xludf.DUMMYFUNCTION("""COMPUTED_VALUE"""),-0.578137566756485)</f>
        <v>-0.57813756675648498</v>
      </c>
      <c r="IP67" s="3">
        <f ca="1">IFERROR(__xludf.DUMMYFUNCTION("""COMPUTED_VALUE"""),-0.557371769022306)</f>
        <v>-0.55737176902230601</v>
      </c>
      <c r="IQ67" s="3">
        <f ca="1">IFERROR(__xludf.DUMMYFUNCTION("""COMPUTED_VALUE"""),-0.599614169106668)</f>
        <v>-0.59961416910666798</v>
      </c>
      <c r="IR67" s="3">
        <f ca="1">IFERROR(__xludf.DUMMYFUNCTION("""COMPUTED_VALUE"""),-0.570164766441652)</f>
        <v>-0.57016476644165204</v>
      </c>
      <c r="IS67" s="3">
        <f ca="1">IFERROR(__xludf.DUMMYFUNCTION("""COMPUTED_VALUE"""),-0.616855208672605)</f>
        <v>-0.61685520867260502</v>
      </c>
      <c r="IT67" s="3">
        <f ca="1">IFERROR(__xludf.DUMMYFUNCTION("""COMPUTED_VALUE"""),-0.632270000511169)</f>
        <v>-0.63227000051116899</v>
      </c>
      <c r="IU67" s="3">
        <f ca="1">IFERROR(__xludf.DUMMYFUNCTION("""COMPUTED_VALUE"""),-0.548226404867985)</f>
        <v>-0.54822640486798502</v>
      </c>
      <c r="IV67" s="3">
        <f ca="1">IFERROR(__xludf.DUMMYFUNCTION("""COMPUTED_VALUE"""),-0.563774916798943)</f>
        <v>-0.56377491679894298</v>
      </c>
      <c r="IW67" s="3">
        <f ca="1">IFERROR(__xludf.DUMMYFUNCTION("""COMPUTED_VALUE"""),-0.515587446386088)</f>
        <v>-0.515587446386088</v>
      </c>
      <c r="IX67" s="3">
        <f ca="1">IFERROR(__xludf.DUMMYFUNCTION("""COMPUTED_VALUE"""),-0.508694553449111)</f>
        <v>-0.50869455344911096</v>
      </c>
      <c r="IY67" s="3">
        <f ca="1">IFERROR(__xludf.DUMMYFUNCTION("""COMPUTED_VALUE"""),-0.519509393294252)</f>
        <v>-0.51950939329425205</v>
      </c>
      <c r="IZ67" s="3">
        <f ca="1">IFERROR(__xludf.DUMMYFUNCTION("""COMPUTED_VALUE"""),-0.495873283131166)</f>
        <v>-0.49587328313116602</v>
      </c>
      <c r="JA67" s="3">
        <f ca="1">IFERROR(__xludf.DUMMYFUNCTION("""COMPUTED_VALUE"""),-0.474301788868892)</f>
        <v>-0.47430178886889202</v>
      </c>
      <c r="JB67" s="3">
        <f ca="1">IFERROR(__xludf.DUMMYFUNCTION("""COMPUTED_VALUE"""),-0.580408877178231)</f>
        <v>-0.58040887717823098</v>
      </c>
      <c r="JC67" s="3">
        <f ca="1">IFERROR(__xludf.DUMMYFUNCTION("""COMPUTED_VALUE"""),-0.468110777552522)</f>
        <v>-0.46811077755252201</v>
      </c>
      <c r="JD67" s="3">
        <f ca="1">IFERROR(__xludf.DUMMYFUNCTION("""COMPUTED_VALUE"""),-0.476028622423555)</f>
        <v>-0.47602862242355498</v>
      </c>
      <c r="JE67" s="3">
        <f ca="1">IFERROR(__xludf.DUMMYFUNCTION("""COMPUTED_VALUE"""),-0.527080945245594)</f>
        <v>-0.52708094524559401</v>
      </c>
      <c r="JF67" s="3">
        <f ca="1">IFERROR(__xludf.DUMMYFUNCTION("""COMPUTED_VALUE"""),-0.554897614821057)</f>
        <v>-0.55489761482105704</v>
      </c>
      <c r="JG67" s="3">
        <f ca="1">IFERROR(__xludf.DUMMYFUNCTION("""COMPUTED_VALUE"""),-0.495904296712213)</f>
        <v>-0.49590429671221298</v>
      </c>
      <c r="JH67" s="3">
        <f ca="1">IFERROR(__xludf.DUMMYFUNCTION("""COMPUTED_VALUE"""),-0.45265250325742)</f>
        <v>-0.45265250325742001</v>
      </c>
      <c r="JI67" s="3">
        <f ca="1">IFERROR(__xludf.DUMMYFUNCTION("""COMPUTED_VALUE"""),-0.501810947939001)</f>
        <v>-0.50181094793900105</v>
      </c>
      <c r="JJ67" s="3">
        <f ca="1">IFERROR(__xludf.DUMMYFUNCTION("""COMPUTED_VALUE"""),-0.43777675298077)</f>
        <v>-0.43777675298077001</v>
      </c>
      <c r="JK67" s="3">
        <f ca="1">IFERROR(__xludf.DUMMYFUNCTION("""COMPUTED_VALUE"""),-0.495393495829828)</f>
        <v>-0.495393495829828</v>
      </c>
      <c r="JL67" s="3">
        <f ca="1">IFERROR(__xludf.DUMMYFUNCTION("""COMPUTED_VALUE"""),-0.499437636725717)</f>
        <v>-0.499437636725717</v>
      </c>
      <c r="JM67" s="3">
        <f ca="1">IFERROR(__xludf.DUMMYFUNCTION("""COMPUTED_VALUE"""),-0.51485186921102)</f>
        <v>-0.51485186921102</v>
      </c>
      <c r="JN67" s="3">
        <f ca="1">IFERROR(__xludf.DUMMYFUNCTION("""COMPUTED_VALUE"""),-0.491377934873205)</f>
        <v>-0.49137793487320502</v>
      </c>
      <c r="JO67" s="3">
        <f ca="1">IFERROR(__xludf.DUMMYFUNCTION("""COMPUTED_VALUE"""),-0.491834724252259)</f>
        <v>-0.49183472425225899</v>
      </c>
      <c r="JP67" s="3">
        <f ca="1">IFERROR(__xludf.DUMMYFUNCTION("""COMPUTED_VALUE"""),-0.456940202828763)</f>
        <v>-0.45694020282876302</v>
      </c>
      <c r="JQ67" s="3">
        <f ca="1">IFERROR(__xludf.DUMMYFUNCTION("""COMPUTED_VALUE"""),-0.516644216706263)</f>
        <v>-0.51664421670626304</v>
      </c>
      <c r="JR67" s="3">
        <f ca="1">IFERROR(__xludf.DUMMYFUNCTION("""COMPUTED_VALUE"""),-0.541760723560349)</f>
        <v>-0.54176072356034899</v>
      </c>
      <c r="JS67" s="3">
        <f ca="1">IFERROR(__xludf.DUMMYFUNCTION("""COMPUTED_VALUE"""),-0.514845437770852)</f>
        <v>-0.51484543777085201</v>
      </c>
      <c r="JT67" s="3">
        <f ca="1">IFERROR(__xludf.DUMMYFUNCTION("""COMPUTED_VALUE"""),-0.555990889805258)</f>
        <v>-0.55599088980525802</v>
      </c>
      <c r="JU67" s="3">
        <f ca="1">IFERROR(__xludf.DUMMYFUNCTION("""COMPUTED_VALUE"""),-0.533960275061117)</f>
        <v>-0.53396027506111698</v>
      </c>
      <c r="JV67" s="3">
        <f ca="1">IFERROR(__xludf.DUMMYFUNCTION("""COMPUTED_VALUE"""),-0.482655324430906)</f>
        <v>-0.48265532443090597</v>
      </c>
      <c r="JW67" s="3">
        <f ca="1">IFERROR(__xludf.DUMMYFUNCTION("""COMPUTED_VALUE"""),-0.409390087359286)</f>
        <v>-0.409390087359286</v>
      </c>
      <c r="JX67" s="3">
        <f ca="1">IFERROR(__xludf.DUMMYFUNCTION("""COMPUTED_VALUE"""),-0.473167243205631)</f>
        <v>-0.47316724320563103</v>
      </c>
      <c r="JY67" s="3">
        <f ca="1">IFERROR(__xludf.DUMMYFUNCTION("""COMPUTED_VALUE"""),-0.4122501485007)</f>
        <v>-0.41225014850070002</v>
      </c>
      <c r="JZ67" s="3">
        <f ca="1">IFERROR(__xludf.DUMMYFUNCTION("""COMPUTED_VALUE"""),-0.509052512613573)</f>
        <v>-0.50905251261357298</v>
      </c>
      <c r="KA67" s="3">
        <f ca="1">IFERROR(__xludf.DUMMYFUNCTION("""COMPUTED_VALUE"""),-0.556015164412228)</f>
        <v>-0.55601516441222798</v>
      </c>
      <c r="KB67" s="3">
        <f ca="1">IFERROR(__xludf.DUMMYFUNCTION("""COMPUTED_VALUE"""),-0.645306839110435)</f>
        <v>-0.64530683911043496</v>
      </c>
      <c r="KC67" s="3">
        <f ca="1">IFERROR(__xludf.DUMMYFUNCTION("""COMPUTED_VALUE"""),-0.516102568626501)</f>
        <v>-0.51610256862650095</v>
      </c>
      <c r="KD67" s="3">
        <f ca="1">IFERROR(__xludf.DUMMYFUNCTION("""COMPUTED_VALUE"""),-0.474187932072009)</f>
        <v>-0.47418793207200899</v>
      </c>
      <c r="KE67" s="3">
        <f ca="1">IFERROR(__xludf.DUMMYFUNCTION("""COMPUTED_VALUE"""),-0.542099572489659)</f>
        <v>-0.54209957248965901</v>
      </c>
      <c r="KF67" s="3">
        <f ca="1">IFERROR(__xludf.DUMMYFUNCTION("""COMPUTED_VALUE"""),-0.543993762487029)</f>
        <v>-0.54399376248702902</v>
      </c>
      <c r="KG67" s="3">
        <f ca="1">IFERROR(__xludf.DUMMYFUNCTION("""COMPUTED_VALUE"""),-0.580918487435504)</f>
        <v>-0.58091848743550401</v>
      </c>
      <c r="KH67" s="3">
        <f ca="1">IFERROR(__xludf.DUMMYFUNCTION("""COMPUTED_VALUE"""),-0.638238458506232)</f>
        <v>-0.63823845850623195</v>
      </c>
      <c r="KI67" s="3">
        <f ca="1">IFERROR(__xludf.DUMMYFUNCTION("""COMPUTED_VALUE"""),-0.712357241484487)</f>
        <v>-0.71235724148448698</v>
      </c>
      <c r="KJ67" s="3">
        <f ca="1">IFERROR(__xludf.DUMMYFUNCTION("""COMPUTED_VALUE"""),-0.590988768959023)</f>
        <v>-0.59098876895902297</v>
      </c>
      <c r="KK67" s="3">
        <f ca="1">IFERROR(__xludf.DUMMYFUNCTION("""COMPUTED_VALUE"""),-0.524271713561513)</f>
        <v>-0.52427171356151303</v>
      </c>
      <c r="KL67" s="3">
        <f ca="1">IFERROR(__xludf.DUMMYFUNCTION("""COMPUTED_VALUE"""),-0.564220327276295)</f>
        <v>-0.56422032727629501</v>
      </c>
      <c r="KM67" s="3">
        <f ca="1">IFERROR(__xludf.DUMMYFUNCTION("""COMPUTED_VALUE"""),-0.545973826243801)</f>
        <v>-0.54597382624380097</v>
      </c>
      <c r="KN67" s="3">
        <f ca="1">IFERROR(__xludf.DUMMYFUNCTION("""COMPUTED_VALUE"""),-0.673115440050206)</f>
        <v>-0.67311544005020596</v>
      </c>
      <c r="KO67" s="3">
        <f ca="1">IFERROR(__xludf.DUMMYFUNCTION("""COMPUTED_VALUE"""),-0.664680126334841)</f>
        <v>-0.66468012633484097</v>
      </c>
      <c r="KP67" s="3">
        <f ca="1">IFERROR(__xludf.DUMMYFUNCTION("""COMPUTED_VALUE"""),-0.674965806288263)</f>
        <v>-0.67496580628826297</v>
      </c>
      <c r="KQ67" s="3">
        <f ca="1">IFERROR(__xludf.DUMMYFUNCTION("""COMPUTED_VALUE"""),-0.678078835455345)</f>
        <v>-0.67807883545534497</v>
      </c>
      <c r="KR67" s="3">
        <f ca="1">IFERROR(__xludf.DUMMYFUNCTION("""COMPUTED_VALUE"""),-0.651991142553997)</f>
        <v>-0.65199114255399704</v>
      </c>
      <c r="KS67" s="3">
        <f ca="1">IFERROR(__xludf.DUMMYFUNCTION("""COMPUTED_VALUE"""),-0.665420891771663)</f>
        <v>-0.66542089177166297</v>
      </c>
      <c r="KT67" s="3">
        <f ca="1">IFERROR(__xludf.DUMMYFUNCTION("""COMPUTED_VALUE"""),-0.692848992938827)</f>
        <v>-0.69284899293882696</v>
      </c>
      <c r="KU67" s="3">
        <f ca="1">IFERROR(__xludf.DUMMYFUNCTION("""COMPUTED_VALUE"""),-0.750779184802603)</f>
        <v>-0.75077918480260297</v>
      </c>
      <c r="KV67" s="3">
        <f ca="1">IFERROR(__xludf.DUMMYFUNCTION("""COMPUTED_VALUE"""),-0.776820065634374)</f>
        <v>-0.776820065634374</v>
      </c>
      <c r="KW67" s="3">
        <f ca="1">IFERROR(__xludf.DUMMYFUNCTION("""COMPUTED_VALUE"""),-0.725580514259019)</f>
        <v>-0.72558051425901904</v>
      </c>
      <c r="KX67" s="3">
        <f ca="1">IFERROR(__xludf.DUMMYFUNCTION("""COMPUTED_VALUE"""),-0.717773342434793)</f>
        <v>-0.71777334243479296</v>
      </c>
      <c r="KY67" s="3">
        <f ca="1">IFERROR(__xludf.DUMMYFUNCTION("""COMPUTED_VALUE"""),-0.704684108745798)</f>
        <v>-0.70468410874579801</v>
      </c>
      <c r="KZ67" s="3">
        <f ca="1">IFERROR(__xludf.DUMMYFUNCTION("""COMPUTED_VALUE"""),-0.601890883555185)</f>
        <v>-0.60189088355518505</v>
      </c>
      <c r="LA67" s="3">
        <f ca="1">IFERROR(__xludf.DUMMYFUNCTION("""COMPUTED_VALUE"""),-0.710551806788705)</f>
        <v>-0.710551806788705</v>
      </c>
      <c r="LB67" s="3">
        <f ca="1">IFERROR(__xludf.DUMMYFUNCTION("""COMPUTED_VALUE"""),-0.748978979684257)</f>
        <v>-0.74897897968425697</v>
      </c>
      <c r="LC67" s="3">
        <f ca="1">IFERROR(__xludf.DUMMYFUNCTION("""COMPUTED_VALUE"""),-0.75242666222618)</f>
        <v>-0.75242666222618004</v>
      </c>
      <c r="LD67" s="3">
        <f ca="1">IFERROR(__xludf.DUMMYFUNCTION("""COMPUTED_VALUE"""),-0.816833330302841)</f>
        <v>-0.816833330302841</v>
      </c>
      <c r="LE67" s="3">
        <f ca="1">IFERROR(__xludf.DUMMYFUNCTION("""COMPUTED_VALUE"""),-0.788143612808225)</f>
        <v>-0.78814361280822498</v>
      </c>
      <c r="LF67" s="3">
        <f ca="1">IFERROR(__xludf.DUMMYFUNCTION("""COMPUTED_VALUE"""),-0.760986657780403)</f>
        <v>-0.76098665778040298</v>
      </c>
      <c r="LG67" s="3">
        <f ca="1">IFERROR(__xludf.DUMMYFUNCTION("""COMPUTED_VALUE"""),-0.777460924285686)</f>
        <v>-0.77746092428568603</v>
      </c>
      <c r="LH67" s="3">
        <f ca="1">IFERROR(__xludf.DUMMYFUNCTION("""COMPUTED_VALUE"""),-0.80438237826947)</f>
        <v>-0.80438237826947001</v>
      </c>
      <c r="LI67" s="3">
        <f ca="1">IFERROR(__xludf.DUMMYFUNCTION("""COMPUTED_VALUE"""),-0.834793930547114)</f>
        <v>-0.83479393054711404</v>
      </c>
      <c r="LJ67" s="3">
        <f ca="1">IFERROR(__xludf.DUMMYFUNCTION("""COMPUTED_VALUE"""),-0.816826118019765)</f>
        <v>-0.81682611801976501</v>
      </c>
      <c r="LK67" s="3">
        <f ca="1">IFERROR(__xludf.DUMMYFUNCTION("""COMPUTED_VALUE"""),-0.793240944103196)</f>
        <v>-0.79324094410319601</v>
      </c>
      <c r="LL67" s="3">
        <f ca="1">IFERROR(__xludf.DUMMYFUNCTION("""COMPUTED_VALUE"""),-0.787848307044056)</f>
        <v>-0.78784830704405595</v>
      </c>
      <c r="LM67" s="3">
        <f ca="1">IFERROR(__xludf.DUMMYFUNCTION("""COMPUTED_VALUE"""),-0.784835767394705)</f>
        <v>-0.78483576739470495</v>
      </c>
      <c r="LN67" s="3">
        <f ca="1">IFERROR(__xludf.DUMMYFUNCTION("""COMPUTED_VALUE"""),-0.806612576466642)</f>
        <v>-0.80661257646664197</v>
      </c>
      <c r="LO67" s="3">
        <f ca="1">IFERROR(__xludf.DUMMYFUNCTION("""COMPUTED_VALUE"""),-0.816674903861055)</f>
        <v>-0.81667490386105501</v>
      </c>
      <c r="LP67" s="3">
        <f ca="1">IFERROR(__xludf.DUMMYFUNCTION("""COMPUTED_VALUE"""),-0.835591684993626)</f>
        <v>-0.83559168499362602</v>
      </c>
      <c r="LQ67" s="3">
        <f ca="1">IFERROR(__xludf.DUMMYFUNCTION("""COMPUTED_VALUE"""),-0.861517359070011)</f>
        <v>-0.86151735907001104</v>
      </c>
      <c r="LR67" s="3">
        <f ca="1">IFERROR(__xludf.DUMMYFUNCTION("""COMPUTED_VALUE"""),-0.832470035075691)</f>
        <v>-0.83247003507569095</v>
      </c>
      <c r="LS67" s="3">
        <f ca="1">IFERROR(__xludf.DUMMYFUNCTION("""COMPUTED_VALUE"""),-0.87151127525306)</f>
        <v>-0.87151127525306005</v>
      </c>
      <c r="LT67" s="3">
        <f ca="1">IFERROR(__xludf.DUMMYFUNCTION("""COMPUTED_VALUE"""),-0.884926491730261)</f>
        <v>-0.88492649173026094</v>
      </c>
      <c r="LU67" s="3">
        <f ca="1">IFERROR(__xludf.DUMMYFUNCTION("""COMPUTED_VALUE"""),-0.881799228570714)</f>
        <v>-0.88179922857071402</v>
      </c>
      <c r="LV67" s="3">
        <f ca="1">IFERROR(__xludf.DUMMYFUNCTION("""COMPUTED_VALUE"""),-0.877382629911488)</f>
        <v>-0.87738262991148797</v>
      </c>
      <c r="LW67" s="3">
        <f ca="1">IFERROR(__xludf.DUMMYFUNCTION("""COMPUTED_VALUE"""),-0.884991645089635)</f>
        <v>-0.88499164508963502</v>
      </c>
      <c r="LX67" s="3">
        <f ca="1">IFERROR(__xludf.DUMMYFUNCTION("""COMPUTED_VALUE"""),-0.856436317917957)</f>
        <v>-0.85643631791795705</v>
      </c>
      <c r="LY67" s="3">
        <f ca="1">IFERROR(__xludf.DUMMYFUNCTION("""COMPUTED_VALUE"""),-0.88657698334843)</f>
        <v>-0.88657698334843005</v>
      </c>
      <c r="LZ67" s="3">
        <f ca="1">IFERROR(__xludf.DUMMYFUNCTION("""COMPUTED_VALUE"""),-0.882429986777096)</f>
        <v>-0.88242998677709605</v>
      </c>
      <c r="MA67" s="3">
        <f ca="1">IFERROR(__xludf.DUMMYFUNCTION("""COMPUTED_VALUE"""),-0.866892293716694)</f>
        <v>-0.86689229371669396</v>
      </c>
      <c r="MB67" s="3">
        <f ca="1">IFERROR(__xludf.DUMMYFUNCTION("""COMPUTED_VALUE"""),-0.89452197866828)</f>
        <v>-0.89452197866827998</v>
      </c>
      <c r="MC67" s="3">
        <f ca="1">IFERROR(__xludf.DUMMYFUNCTION("""COMPUTED_VALUE"""),-0.86652562273063)</f>
        <v>-0.86652562273063005</v>
      </c>
      <c r="MD67" s="3">
        <f ca="1">IFERROR(__xludf.DUMMYFUNCTION("""COMPUTED_VALUE"""),-0.891744137173163)</f>
        <v>-0.89174413717316303</v>
      </c>
      <c r="ME67" s="3">
        <f ca="1">IFERROR(__xludf.DUMMYFUNCTION("""COMPUTED_VALUE"""),-0.874923466897225)</f>
        <v>-0.874923466897225</v>
      </c>
      <c r="MF67" s="3">
        <f ca="1">IFERROR(__xludf.DUMMYFUNCTION("""COMPUTED_VALUE"""),-0.868268782815068)</f>
        <v>-0.86826878281506803</v>
      </c>
      <c r="MG67" s="3">
        <f ca="1">IFERROR(__xludf.DUMMYFUNCTION("""COMPUTED_VALUE"""),-0.872858675449358)</f>
        <v>-0.87285867544935802</v>
      </c>
      <c r="MH67" s="3">
        <f ca="1">IFERROR(__xludf.DUMMYFUNCTION("""COMPUTED_VALUE"""),-0.874494857756432)</f>
        <v>-0.87449485775643199</v>
      </c>
      <c r="MI67" s="3">
        <f ca="1">IFERROR(__xludf.DUMMYFUNCTION("""COMPUTED_VALUE"""),-0.892350540579051)</f>
        <v>-0.89235054057905105</v>
      </c>
      <c r="MJ67" s="3">
        <f ca="1">IFERROR(__xludf.DUMMYFUNCTION("""COMPUTED_VALUE"""),-0.899052206833575)</f>
        <v>-0.89905220683357501</v>
      </c>
      <c r="MK67" s="3">
        <f ca="1">IFERROR(__xludf.DUMMYFUNCTION("""COMPUTED_VALUE"""),-0.904564791637976)</f>
        <v>-0.90456479163797598</v>
      </c>
      <c r="ML67" s="3">
        <f ca="1">IFERROR(__xludf.DUMMYFUNCTION("""COMPUTED_VALUE"""),-0.911067538799771)</f>
        <v>-0.91106753879977098</v>
      </c>
      <c r="MM67" s="3">
        <f ca="1">IFERROR(__xludf.DUMMYFUNCTION("""COMPUTED_VALUE"""),-0.899982118632942)</f>
        <v>-0.89998211863294197</v>
      </c>
      <c r="MN67" s="3">
        <f ca="1">IFERROR(__xludf.DUMMYFUNCTION("""COMPUTED_VALUE"""),-0.900280509156999)</f>
        <v>-0.90028050915699898</v>
      </c>
      <c r="MO67" s="3">
        <f ca="1">IFERROR(__xludf.DUMMYFUNCTION("""COMPUTED_VALUE"""),-0.879719184058053)</f>
        <v>-0.87971918405805305</v>
      </c>
      <c r="MP67" s="3">
        <f ca="1">IFERROR(__xludf.DUMMYFUNCTION("""COMPUTED_VALUE"""),-0.902197393998146)</f>
        <v>-0.90219739399814602</v>
      </c>
      <c r="MQ67" s="3">
        <f ca="1">IFERROR(__xludf.DUMMYFUNCTION("""COMPUTED_VALUE"""),-0.910630938613822)</f>
        <v>-0.91063093861382205</v>
      </c>
      <c r="MR67" s="3">
        <f ca="1">IFERROR(__xludf.DUMMYFUNCTION("""COMPUTED_VALUE"""),-0.929304713057242)</f>
        <v>-0.92930471305724205</v>
      </c>
      <c r="MS67" s="3">
        <f ca="1">IFERROR(__xludf.DUMMYFUNCTION("""COMPUTED_VALUE"""),-0.921939646586645)</f>
        <v>-0.92193964658664496</v>
      </c>
      <c r="MT67" s="3">
        <f ca="1">IFERROR(__xludf.DUMMYFUNCTION("""COMPUTED_VALUE"""),-0.918715344920896)</f>
        <v>-0.91871534492089602</v>
      </c>
      <c r="MU67" s="3">
        <f ca="1">IFERROR(__xludf.DUMMYFUNCTION("""COMPUTED_VALUE"""),-0.91430317082632)</f>
        <v>-0.91430317082631996</v>
      </c>
      <c r="MV67" s="3">
        <f ca="1">IFERROR(__xludf.DUMMYFUNCTION("""COMPUTED_VALUE"""),-0.888684660514645)</f>
        <v>-0.88868466051464501</v>
      </c>
      <c r="MW67" s="3">
        <f ca="1">IFERROR(__xludf.DUMMYFUNCTION("""COMPUTED_VALUE"""),-0.898530133769187)</f>
        <v>-0.898530133769187</v>
      </c>
      <c r="MX67" s="3">
        <f ca="1">IFERROR(__xludf.DUMMYFUNCTION("""COMPUTED_VALUE"""),-0.906144086835394)</f>
        <v>-0.90614408683539405</v>
      </c>
      <c r="MY67" s="3">
        <f ca="1">IFERROR(__xludf.DUMMYFUNCTION("""COMPUTED_VALUE"""),-0.920735289494111)</f>
        <v>-0.92073528949411099</v>
      </c>
      <c r="MZ67" s="3">
        <f ca="1">IFERROR(__xludf.DUMMYFUNCTION("""COMPUTED_VALUE"""),-0.924759620359872)</f>
        <v>-0.92475962035987203</v>
      </c>
      <c r="NA67" s="3">
        <f ca="1">IFERROR(__xludf.DUMMYFUNCTION("""COMPUTED_VALUE"""),-0.90226122216843)</f>
        <v>-0.90226122216842997</v>
      </c>
      <c r="NB67" s="3">
        <f ca="1">IFERROR(__xludf.DUMMYFUNCTION("""COMPUTED_VALUE"""),-0.914525781485822)</f>
        <v>-0.91452578148582198</v>
      </c>
      <c r="NC67" s="3">
        <f ca="1">IFERROR(__xludf.DUMMYFUNCTION("""COMPUTED_VALUE"""),-0.923338996501506)</f>
        <v>-0.92333899650150597</v>
      </c>
      <c r="ND67" s="3">
        <f ca="1">IFERROR(__xludf.DUMMYFUNCTION("""COMPUTED_VALUE"""),-0.912349622665088)</f>
        <v>-0.91234962266508801</v>
      </c>
      <c r="NE67" s="3">
        <f ca="1">IFERROR(__xludf.DUMMYFUNCTION("""COMPUTED_VALUE"""),-0.88460535660057)</f>
        <v>-0.88460535660057005</v>
      </c>
      <c r="NF67" s="3">
        <f ca="1">IFERROR(__xludf.DUMMYFUNCTION("""COMPUTED_VALUE"""),-0.916612088408217)</f>
        <v>-0.91661208840821695</v>
      </c>
      <c r="NG67" s="3">
        <f ca="1">IFERROR(__xludf.DUMMYFUNCTION("""COMPUTED_VALUE"""),-0.904873029240033)</f>
        <v>-0.90487302924003299</v>
      </c>
      <c r="NH67" s="3">
        <f ca="1">IFERROR(__xludf.DUMMYFUNCTION("""COMPUTED_VALUE"""),-0.89096141925807)</f>
        <v>-0.89096141925807004</v>
      </c>
      <c r="NI67" s="3">
        <f ca="1">IFERROR(__xludf.DUMMYFUNCTION("""COMPUTED_VALUE"""),-0.911590506654922)</f>
        <v>-0.91159050665492203</v>
      </c>
      <c r="NJ67" s="3">
        <f ca="1">IFERROR(__xludf.DUMMYFUNCTION("""COMPUTED_VALUE"""),-0.917733291314348)</f>
        <v>-0.917733291314348</v>
      </c>
      <c r="NK67" s="3">
        <f ca="1">IFERROR(__xludf.DUMMYFUNCTION("""COMPUTED_VALUE"""),-0.902083794939994)</f>
        <v>-0.90208379493999402</v>
      </c>
      <c r="NL67" s="3">
        <f ca="1">IFERROR(__xludf.DUMMYFUNCTION("""COMPUTED_VALUE"""),-0.88253118823068)</f>
        <v>-0.88253118823068</v>
      </c>
      <c r="NM67" s="3">
        <f ca="1">IFERROR(__xludf.DUMMYFUNCTION("""COMPUTED_VALUE"""),-0.887919375270537)</f>
        <v>-0.88791937527053699</v>
      </c>
      <c r="NN67" s="3">
        <f ca="1">IFERROR(__xludf.DUMMYFUNCTION("""COMPUTED_VALUE"""),-0.880408078588366)</f>
        <v>-0.88040807858836601</v>
      </c>
      <c r="NO67" s="3">
        <f ca="1">IFERROR(__xludf.DUMMYFUNCTION("""COMPUTED_VALUE"""),-0.829678293144175)</f>
        <v>-0.82967829314417496</v>
      </c>
      <c r="NP67" s="3">
        <f ca="1">IFERROR(__xludf.DUMMYFUNCTION("""COMPUTED_VALUE"""),-0.836417042081877)</f>
        <v>-0.83641704208187695</v>
      </c>
      <c r="NQ67" s="3">
        <f ca="1">IFERROR(__xludf.DUMMYFUNCTION("""COMPUTED_VALUE"""),-0.84992534070015)</f>
        <v>-0.84992534070015002</v>
      </c>
      <c r="NR67" s="3">
        <f ca="1">IFERROR(__xludf.DUMMYFUNCTION("""COMPUTED_VALUE"""),-0.873806485042479)</f>
        <v>-0.87380648504247904</v>
      </c>
      <c r="NS67" s="3">
        <f ca="1">IFERROR(__xludf.DUMMYFUNCTION("""COMPUTED_VALUE"""),-0.900893054386208)</f>
        <v>-0.90089305438620804</v>
      </c>
      <c r="NT67" s="3">
        <f ca="1">IFERROR(__xludf.DUMMYFUNCTION("""COMPUTED_VALUE"""),-0.927632075944906)</f>
        <v>-0.92763207594490604</v>
      </c>
      <c r="NU67" s="3">
        <f ca="1">IFERROR(__xludf.DUMMYFUNCTION("""COMPUTED_VALUE"""),-0.895443009966469)</f>
        <v>-0.89544300996646897</v>
      </c>
      <c r="NV67" s="3">
        <f ca="1">IFERROR(__xludf.DUMMYFUNCTION("""COMPUTED_VALUE"""),-0.871829656145667)</f>
        <v>-0.87182965614566699</v>
      </c>
      <c r="NW67" s="3">
        <f ca="1">IFERROR(__xludf.DUMMYFUNCTION("""COMPUTED_VALUE"""),-0.857371137556607)</f>
        <v>-0.85737113755660699</v>
      </c>
      <c r="NX67" s="3">
        <f ca="1">IFERROR(__xludf.DUMMYFUNCTION("""COMPUTED_VALUE"""),-0.852863601414034)</f>
        <v>-0.85286360141403394</v>
      </c>
      <c r="NY67" s="3">
        <f ca="1">IFERROR(__xludf.DUMMYFUNCTION("""COMPUTED_VALUE"""),-0.819985750671695)</f>
        <v>-0.81998575067169499</v>
      </c>
      <c r="NZ67" s="3">
        <f ca="1">IFERROR(__xludf.DUMMYFUNCTION("""COMPUTED_VALUE"""),-0.82883655548623)</f>
        <v>-0.82883655548623003</v>
      </c>
      <c r="OA67" s="3">
        <f ca="1">IFERROR(__xludf.DUMMYFUNCTION("""COMPUTED_VALUE"""),-0.820958658880593)</f>
        <v>-0.82095865888059305</v>
      </c>
      <c r="OB67" s="3">
        <f ca="1">IFERROR(__xludf.DUMMYFUNCTION("""COMPUTED_VALUE"""),-0.797469476656095)</f>
        <v>-0.79746947665609502</v>
      </c>
      <c r="OC67" s="3">
        <f ca="1">IFERROR(__xludf.DUMMYFUNCTION("""COMPUTED_VALUE"""),-0.744909187117848)</f>
        <v>-0.74490918711784804</v>
      </c>
      <c r="OD67" s="3">
        <f ca="1">IFERROR(__xludf.DUMMYFUNCTION("""COMPUTED_VALUE"""),-0.695701725827156)</f>
        <v>-0.69570172582715595</v>
      </c>
      <c r="OE67" s="3">
        <f ca="1">IFERROR(__xludf.DUMMYFUNCTION("""COMPUTED_VALUE"""),-0.570542407835886)</f>
        <v>-0.57054240783588595</v>
      </c>
      <c r="OF67" s="3">
        <f ca="1">IFERROR(__xludf.DUMMYFUNCTION("""COMPUTED_VALUE"""),-0.529151660460396)</f>
        <v>-0.52915166046039597</v>
      </c>
      <c r="OG67" s="3">
        <f ca="1">IFERROR(__xludf.DUMMYFUNCTION("""COMPUTED_VALUE"""),-0.401161274429046)</f>
        <v>-0.40116127442904598</v>
      </c>
      <c r="OH67" s="3">
        <f ca="1">IFERROR(__xludf.DUMMYFUNCTION("""COMPUTED_VALUE"""),-0.376577080040138)</f>
        <v>-0.37657708004013801</v>
      </c>
      <c r="OI67" s="3">
        <f ca="1">IFERROR(__xludf.DUMMYFUNCTION("""COMPUTED_VALUE"""),-0.110784945962642)</f>
        <v>-0.110784945962642</v>
      </c>
      <c r="OJ67" s="3">
        <f ca="1">IFERROR(__xludf.DUMMYFUNCTION("""COMPUTED_VALUE"""),-0.0318546674345452)</f>
        <v>-3.1854667434545202E-2</v>
      </c>
      <c r="OK67" s="3">
        <f ca="1">IFERROR(__xludf.DUMMYFUNCTION("""COMPUTED_VALUE"""),0.00279069263558717)</f>
        <v>2.7906926355871701E-3</v>
      </c>
      <c r="OL67" s="3">
        <f ca="1">IFERROR(__xludf.DUMMYFUNCTION("""COMPUTED_VALUE"""),0.0500497441333505)</f>
        <v>5.0049744133350497E-2</v>
      </c>
      <c r="OM67" s="3">
        <f ca="1">IFERROR(__xludf.DUMMYFUNCTION("""COMPUTED_VALUE"""),-0.0103789975535987)</f>
        <v>-1.0378997553598701E-2</v>
      </c>
      <c r="ON67" s="3">
        <f ca="1">IFERROR(__xludf.DUMMYFUNCTION("""COMPUTED_VALUE"""),0.110925635918521)</f>
        <v>0.110925635918521</v>
      </c>
      <c r="OO67" s="3">
        <f ca="1">IFERROR(__xludf.DUMMYFUNCTION("""COMPUTED_VALUE"""),0.0162720319388811)</f>
        <v>1.6272031938881101E-2</v>
      </c>
      <c r="OP67" s="3">
        <f ca="1">IFERROR(__xludf.DUMMYFUNCTION("""COMPUTED_VALUE"""),0.0725066510796292)</f>
        <v>7.2506651079629197E-2</v>
      </c>
      <c r="OQ67" s="3">
        <f ca="1">IFERROR(__xludf.DUMMYFUNCTION("""COMPUTED_VALUE"""),0.0727306352378012)</f>
        <v>7.2730635237801197E-2</v>
      </c>
      <c r="OR67" s="3">
        <f ca="1">IFERROR(__xludf.DUMMYFUNCTION("""COMPUTED_VALUE"""),0.119142237458629)</f>
        <v>0.11914223745862899</v>
      </c>
      <c r="OS67" s="3">
        <f ca="1">IFERROR(__xludf.DUMMYFUNCTION("""COMPUTED_VALUE"""),0.0395392029218057)</f>
        <v>3.9539202921805697E-2</v>
      </c>
      <c r="OT67" s="3">
        <f ca="1">IFERROR(__xludf.DUMMYFUNCTION("""COMPUTED_VALUE"""),0.0461205247931149)</f>
        <v>4.6120524793114903E-2</v>
      </c>
      <c r="OU67" s="3">
        <f ca="1">IFERROR(__xludf.DUMMYFUNCTION("""COMPUTED_VALUE"""),0.0316400747654521)</f>
        <v>3.1640074765452102E-2</v>
      </c>
      <c r="OV67" s="3">
        <f ca="1">IFERROR(__xludf.DUMMYFUNCTION("""COMPUTED_VALUE"""),0.0298866925850807)</f>
        <v>2.9886692585080699E-2</v>
      </c>
      <c r="OW67" s="3">
        <f ca="1">IFERROR(__xludf.DUMMYFUNCTION("""COMPUTED_VALUE"""),-0.0288608003464257)</f>
        <v>-2.88608003464257E-2</v>
      </c>
      <c r="OX67" s="3">
        <f ca="1">IFERROR(__xludf.DUMMYFUNCTION("""COMPUTED_VALUE"""),0.0284260368263837)</f>
        <v>2.8426036826383699E-2</v>
      </c>
      <c r="OY67" s="3">
        <f ca="1">IFERROR(__xludf.DUMMYFUNCTION("""COMPUTED_VALUE"""),0.0417813205293642)</f>
        <v>4.1781320529364202E-2</v>
      </c>
      <c r="OZ67" s="3">
        <f ca="1">IFERROR(__xludf.DUMMYFUNCTION("""COMPUTED_VALUE"""),-0.0585450698240908)</f>
        <v>-5.8545069824090801E-2</v>
      </c>
      <c r="PA67" s="3">
        <f ca="1">IFERROR(__xludf.DUMMYFUNCTION("""COMPUTED_VALUE"""),-0.0882189936045931)</f>
        <v>-8.8218993604593093E-2</v>
      </c>
      <c r="PB67" s="3">
        <f ca="1">IFERROR(__xludf.DUMMYFUNCTION("""COMPUTED_VALUE"""),-0.046810736019512)</f>
        <v>-4.6810736019512002E-2</v>
      </c>
      <c r="PC67" s="3">
        <f ca="1">IFERROR(__xludf.DUMMYFUNCTION("""COMPUTED_VALUE"""),0.0121444524607419)</f>
        <v>1.21444524607419E-2</v>
      </c>
      <c r="PD67" s="3">
        <f ca="1">IFERROR(__xludf.DUMMYFUNCTION("""COMPUTED_VALUE"""),-0.0274163579085531)</f>
        <v>-2.74163579085531E-2</v>
      </c>
      <c r="PE67" s="3">
        <f ca="1">IFERROR(__xludf.DUMMYFUNCTION("""COMPUTED_VALUE"""),0.18434425232975)</f>
        <v>0.18434425232974999</v>
      </c>
      <c r="PF67" s="3">
        <f ca="1">IFERROR(__xludf.DUMMYFUNCTION("""COMPUTED_VALUE"""),0.0135730134006291)</f>
        <v>1.3573013400629099E-2</v>
      </c>
      <c r="PG67" s="3">
        <f ca="1">IFERROR(__xludf.DUMMYFUNCTION("""COMPUTED_VALUE"""),0.0263220120755889)</f>
        <v>2.6322012075588899E-2</v>
      </c>
      <c r="PH67" s="3">
        <f ca="1">IFERROR(__xludf.DUMMYFUNCTION("""COMPUTED_VALUE"""),0.0966639119989405)</f>
        <v>9.6663911998940505E-2</v>
      </c>
      <c r="PI67" s="3">
        <f ca="1">IFERROR(__xludf.DUMMYFUNCTION("""COMPUTED_VALUE"""),-0.0206794133949794)</f>
        <v>-2.0679413394979401E-2</v>
      </c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</row>
    <row r="68" spans="1:477" ht="13">
      <c r="A68" s="1" t="str">
        <f ca="1">IFERROR(__xludf.DUMMYFUNCTION("""COMPUTED_VALUE"""),"exo Haut-Saint-Laurent")</f>
        <v>exo Haut-Saint-Laurent</v>
      </c>
      <c r="B68" s="1" t="str">
        <f ca="1">IFERROR(__xludf.DUMMYFUNCTION("""COMPUTED_VALUE"""),"Montréal")</f>
        <v>Montréal</v>
      </c>
      <c r="C68" s="1" t="str">
        <f ca="1">IFERROR(__xludf.DUMMYFUNCTION("""COMPUTED_VALUE"""),"Canada")</f>
        <v>Canada</v>
      </c>
      <c r="D68" s="1" t="str">
        <f ca="1">IFERROR(__xludf.DUMMYFUNCTION("""COMPUTED_VALUE"""),"Quebec")</f>
        <v>Quebec</v>
      </c>
      <c r="E68" s="3">
        <f ca="1">IFERROR(__xludf.DUMMYFUNCTION("""COMPUTED_VALUE"""),-0.530960305636576)</f>
        <v>-0.53096030563657604</v>
      </c>
      <c r="F68" s="3">
        <f ca="1">IFERROR(__xludf.DUMMYFUNCTION("""COMPUTED_VALUE"""),-0.642625687590231)</f>
        <v>-0.64262568759023098</v>
      </c>
      <c r="G68" s="3">
        <f ca="1">IFERROR(__xludf.DUMMYFUNCTION("""COMPUTED_VALUE"""),-0.665363884446328)</f>
        <v>-0.66536388444632799</v>
      </c>
      <c r="H68" s="3">
        <f ca="1">IFERROR(__xludf.DUMMYFUNCTION("""COMPUTED_VALUE"""),-0.645722643602121)</f>
        <v>-0.64572264360212095</v>
      </c>
      <c r="I68" s="3">
        <f ca="1">IFERROR(__xludf.DUMMYFUNCTION("""COMPUTED_VALUE"""),-0.634642111803497)</f>
        <v>-0.63464211180349706</v>
      </c>
      <c r="J68" s="3">
        <f ca="1">IFERROR(__xludf.DUMMYFUNCTION("""COMPUTED_VALUE"""),-0.621704175926526)</f>
        <v>-0.62170417592652605</v>
      </c>
      <c r="K68" s="3">
        <f ca="1">IFERROR(__xludf.DUMMYFUNCTION("""COMPUTED_VALUE"""),-0.529963857732008)</f>
        <v>-0.52996385773200805</v>
      </c>
      <c r="L68" s="3">
        <f ca="1">IFERROR(__xludf.DUMMYFUNCTION("""COMPUTED_VALUE"""),-0.572284965426458)</f>
        <v>-0.57228496542645801</v>
      </c>
      <c r="M68" s="3">
        <f ca="1">IFERROR(__xludf.DUMMYFUNCTION("""COMPUTED_VALUE"""),-0.701655980841244)</f>
        <v>-0.70165598084124403</v>
      </c>
      <c r="N68" s="3">
        <f ca="1">IFERROR(__xludf.DUMMYFUNCTION("""COMPUTED_VALUE"""),-0.643884355493523)</f>
        <v>-0.64388435549352296</v>
      </c>
      <c r="O68" s="3">
        <f ca="1">IFERROR(__xludf.DUMMYFUNCTION("""COMPUTED_VALUE"""),-0.668383691207796)</f>
        <v>-0.66838369120779595</v>
      </c>
      <c r="P68" s="3">
        <f ca="1">IFERROR(__xludf.DUMMYFUNCTION("""COMPUTED_VALUE"""),-0.663995510207009)</f>
        <v>-0.66399551020700898</v>
      </c>
      <c r="Q68" s="3">
        <f ca="1">IFERROR(__xludf.DUMMYFUNCTION("""COMPUTED_VALUE"""),-0.651612194506365)</f>
        <v>-0.65161219450636498</v>
      </c>
      <c r="R68" s="3">
        <f ca="1">IFERROR(__xludf.DUMMYFUNCTION("""COMPUTED_VALUE"""),-0.536312219795414)</f>
        <v>-0.53631221979541399</v>
      </c>
      <c r="S68" s="3">
        <f ca="1">IFERROR(__xludf.DUMMYFUNCTION("""COMPUTED_VALUE"""),-0.569841597483308)</f>
        <v>-0.56984159748330798</v>
      </c>
      <c r="T68" s="3">
        <f ca="1">IFERROR(__xludf.DUMMYFUNCTION("""COMPUTED_VALUE"""),-0.680605068779652)</f>
        <v>-0.68060506877965199</v>
      </c>
      <c r="U68" s="3">
        <f ca="1">IFERROR(__xludf.DUMMYFUNCTION("""COMPUTED_VALUE"""),-0.606704819957744)</f>
        <v>-0.60670481995774395</v>
      </c>
      <c r="V68" s="3">
        <f ca="1">IFERROR(__xludf.DUMMYFUNCTION("""COMPUTED_VALUE"""),-0.671409731526898)</f>
        <v>-0.67140973152689798</v>
      </c>
      <c r="W68" s="3">
        <f ca="1">IFERROR(__xludf.DUMMYFUNCTION("""COMPUTED_VALUE"""),-0.636936147482687)</f>
        <v>-0.63693614748268701</v>
      </c>
      <c r="X68" s="3">
        <f ca="1">IFERROR(__xludf.DUMMYFUNCTION("""COMPUTED_VALUE"""),-0.577036516042725)</f>
        <v>-0.57703651604272499</v>
      </c>
      <c r="Y68" s="3">
        <f ca="1">IFERROR(__xludf.DUMMYFUNCTION("""COMPUTED_VALUE"""),-0.435973553671658)</f>
        <v>-0.43597355367165802</v>
      </c>
      <c r="Z68" s="3">
        <f ca="1">IFERROR(__xludf.DUMMYFUNCTION("""COMPUTED_VALUE"""),-0.539570600963201)</f>
        <v>-0.53957060096320097</v>
      </c>
      <c r="AA68" s="3">
        <f ca="1">IFERROR(__xludf.DUMMYFUNCTION("""COMPUTED_VALUE"""),-0.672485926339211)</f>
        <v>-0.672485926339211</v>
      </c>
      <c r="AB68" s="3">
        <f ca="1">IFERROR(__xludf.DUMMYFUNCTION("""COMPUTED_VALUE"""),-0.67855204034556)</f>
        <v>-0.67855204034556005</v>
      </c>
      <c r="AC68" s="3">
        <f ca="1">IFERROR(__xludf.DUMMYFUNCTION("""COMPUTED_VALUE"""),-0.671258717912568)</f>
        <v>-0.67125871791256797</v>
      </c>
      <c r="AD68" s="3">
        <f ca="1">IFERROR(__xludf.DUMMYFUNCTION("""COMPUTED_VALUE"""),-0.679579773514571)</f>
        <v>-0.679579773514571</v>
      </c>
      <c r="AE68" s="3">
        <f ca="1">IFERROR(__xludf.DUMMYFUNCTION("""COMPUTED_VALUE"""),-0.681934188055357)</f>
        <v>-0.68193418805535699</v>
      </c>
      <c r="AF68" s="3">
        <f ca="1">IFERROR(__xludf.DUMMYFUNCTION("""COMPUTED_VALUE"""),-0.522010854953505)</f>
        <v>-0.52201085495350497</v>
      </c>
      <c r="AG68" s="3">
        <f ca="1">IFERROR(__xludf.DUMMYFUNCTION("""COMPUTED_VALUE"""),-0.602560043505419)</f>
        <v>-0.60256004350541903</v>
      </c>
      <c r="AH68" s="3">
        <f ca="1">IFERROR(__xludf.DUMMYFUNCTION("""COMPUTED_VALUE"""),-0.697784362018546)</f>
        <v>-0.69778436201854599</v>
      </c>
      <c r="AI68" s="3">
        <f ca="1">IFERROR(__xludf.DUMMYFUNCTION("""COMPUTED_VALUE"""),-0.674128825597752)</f>
        <v>-0.674128825597752</v>
      </c>
      <c r="AJ68" s="3">
        <f ca="1">IFERROR(__xludf.DUMMYFUNCTION("""COMPUTED_VALUE"""),-0.679637440343265)</f>
        <v>-0.67963744034326501</v>
      </c>
      <c r="AK68" s="3">
        <f ca="1">IFERROR(__xludf.DUMMYFUNCTION("""COMPUTED_VALUE"""),-0.703749352211575)</f>
        <v>-0.70374935221157497</v>
      </c>
      <c r="AL68" s="3">
        <f ca="1">IFERROR(__xludf.DUMMYFUNCTION("""COMPUTED_VALUE"""),-0.673820198039501)</f>
        <v>-0.67382019803950099</v>
      </c>
      <c r="AM68" s="3">
        <f ca="1">IFERROR(__xludf.DUMMYFUNCTION("""COMPUTED_VALUE"""),-0.588621186670403)</f>
        <v>-0.58862118667040297</v>
      </c>
      <c r="AN68" s="3">
        <f ca="1">IFERROR(__xludf.DUMMYFUNCTION("""COMPUTED_VALUE"""),-0.625932781471355)</f>
        <v>-0.625932781471355</v>
      </c>
      <c r="AO68" s="3">
        <f ca="1">IFERROR(__xludf.DUMMYFUNCTION("""COMPUTED_VALUE"""),-0.671083313550744)</f>
        <v>-0.67108331355074402</v>
      </c>
      <c r="AP68" s="3">
        <f ca="1">IFERROR(__xludf.DUMMYFUNCTION("""COMPUTED_VALUE"""),-0.65687720784828)</f>
        <v>-0.65687720784827996</v>
      </c>
      <c r="AQ68" s="3">
        <f ca="1">IFERROR(__xludf.DUMMYFUNCTION("""COMPUTED_VALUE"""),-0.643663033263088)</f>
        <v>-0.64366303326308805</v>
      </c>
      <c r="AR68" s="3">
        <f ca="1">IFERROR(__xludf.DUMMYFUNCTION("""COMPUTED_VALUE"""),-0.661185230226116)</f>
        <v>-0.66118523022611597</v>
      </c>
      <c r="AS68" s="3">
        <f ca="1">IFERROR(__xludf.DUMMYFUNCTION("""COMPUTED_VALUE"""),-0.584790587347327)</f>
        <v>-0.58479058734732703</v>
      </c>
      <c r="AT68" s="3">
        <f ca="1">IFERROR(__xludf.DUMMYFUNCTION("""COMPUTED_VALUE"""),-0.494356249138779)</f>
        <v>-0.49435624913877901</v>
      </c>
      <c r="AU68" s="3">
        <f ca="1">IFERROR(__xludf.DUMMYFUNCTION("""COMPUTED_VALUE"""),-0.612275457607655)</f>
        <v>-0.612275457607655</v>
      </c>
      <c r="AV68" s="3">
        <f ca="1">IFERROR(__xludf.DUMMYFUNCTION("""COMPUTED_VALUE"""),-0.683178791312077)</f>
        <v>-0.68317879131207704</v>
      </c>
      <c r="AW68" s="3">
        <f ca="1">IFERROR(__xludf.DUMMYFUNCTION("""COMPUTED_VALUE"""),-0.662698253912047)</f>
        <v>-0.66269825391204695</v>
      </c>
      <c r="AX68" s="3">
        <f ca="1">IFERROR(__xludf.DUMMYFUNCTION("""COMPUTED_VALUE"""),-0.641385991494235)</f>
        <v>-0.64138599149423503</v>
      </c>
      <c r="AY68" s="3">
        <f ca="1">IFERROR(__xludf.DUMMYFUNCTION("""COMPUTED_VALUE"""),-0.679994646136774)</f>
        <v>-0.67999464613677396</v>
      </c>
      <c r="AZ68" s="3">
        <f ca="1">IFERROR(__xludf.DUMMYFUNCTION("""COMPUTED_VALUE"""),-0.663248830899894)</f>
        <v>-0.66324883089989395</v>
      </c>
      <c r="BA68" s="3">
        <f ca="1">IFERROR(__xludf.DUMMYFUNCTION("""COMPUTED_VALUE"""),-0.58300719598514)</f>
        <v>-0.58300719598513995</v>
      </c>
      <c r="BB68" s="3">
        <f ca="1">IFERROR(__xludf.DUMMYFUNCTION("""COMPUTED_VALUE"""),-0.603989507264963)</f>
        <v>-0.60398950726496303</v>
      </c>
      <c r="BC68" s="3">
        <f ca="1">IFERROR(__xludf.DUMMYFUNCTION("""COMPUTED_VALUE"""),-0.705948020767671)</f>
        <v>-0.70594802076767105</v>
      </c>
      <c r="BD68" s="3">
        <f ca="1">IFERROR(__xludf.DUMMYFUNCTION("""COMPUTED_VALUE"""),-0.707527788890872)</f>
        <v>-0.70752778889087198</v>
      </c>
      <c r="BE68" s="3">
        <f ca="1">IFERROR(__xludf.DUMMYFUNCTION("""COMPUTED_VALUE"""),-0.661192206440037)</f>
        <v>-0.66119220644003696</v>
      </c>
      <c r="BF68" s="3">
        <f ca="1">IFERROR(__xludf.DUMMYFUNCTION("""COMPUTED_VALUE"""),-0.740657238327833)</f>
        <v>-0.74065723832783303</v>
      </c>
      <c r="BG68" s="3">
        <f ca="1">IFERROR(__xludf.DUMMYFUNCTION("""COMPUTED_VALUE"""),-0.687749222851088)</f>
        <v>-0.68774922285108797</v>
      </c>
      <c r="BH68" s="3">
        <f ca="1">IFERROR(__xludf.DUMMYFUNCTION("""COMPUTED_VALUE"""),-0.511956479872108)</f>
        <v>-0.51195647987210802</v>
      </c>
      <c r="BI68" s="3">
        <f ca="1">IFERROR(__xludf.DUMMYFUNCTION("""COMPUTED_VALUE"""),-0.619575547555295)</f>
        <v>-0.61957554755529498</v>
      </c>
      <c r="BJ68" s="3">
        <f ca="1">IFERROR(__xludf.DUMMYFUNCTION("""COMPUTED_VALUE"""),-0.715634383545277)</f>
        <v>-0.71563438354527698</v>
      </c>
      <c r="BK68" s="3">
        <f ca="1">IFERROR(__xludf.DUMMYFUNCTION("""COMPUTED_VALUE"""),-0.703822446388282)</f>
        <v>-0.70382244638828195</v>
      </c>
      <c r="BL68" s="3">
        <f ca="1">IFERROR(__xludf.DUMMYFUNCTION("""COMPUTED_VALUE"""),-0.727235348497788)</f>
        <v>-0.72723534849778804</v>
      </c>
      <c r="BM68" s="3">
        <f ca="1">IFERROR(__xludf.DUMMYFUNCTION("""COMPUTED_VALUE"""),-0.714052102906467)</f>
        <v>-0.71405210290646703</v>
      </c>
      <c r="BN68" s="3">
        <f ca="1">IFERROR(__xludf.DUMMYFUNCTION("""COMPUTED_VALUE"""),-0.694493330070369)</f>
        <v>-0.69449333007036895</v>
      </c>
      <c r="BO68" s="3">
        <f ca="1">IFERROR(__xludf.DUMMYFUNCTION("""COMPUTED_VALUE"""),-0.626780769948581)</f>
        <v>-0.62678076994858101</v>
      </c>
      <c r="BP68" s="3">
        <f ca="1">IFERROR(__xludf.DUMMYFUNCTION("""COMPUTED_VALUE"""),-0.713940103845899)</f>
        <v>-0.71394010384589901</v>
      </c>
      <c r="BQ68" s="3">
        <f ca="1">IFERROR(__xludf.DUMMYFUNCTION("""COMPUTED_VALUE"""),-0.738371492670915)</f>
        <v>-0.73837149267091495</v>
      </c>
      <c r="BR68" s="3">
        <f ca="1">IFERROR(__xludf.DUMMYFUNCTION("""COMPUTED_VALUE"""),-0.740148986798466)</f>
        <v>-0.74014898679846597</v>
      </c>
      <c r="BS68" s="3">
        <f ca="1">IFERROR(__xludf.DUMMYFUNCTION("""COMPUTED_VALUE"""),-0.740427696505118)</f>
        <v>-0.74042769650511797</v>
      </c>
      <c r="BT68" s="3">
        <f ca="1">IFERROR(__xludf.DUMMYFUNCTION("""COMPUTED_VALUE"""),-0.738876677556378)</f>
        <v>-0.73887667755637798</v>
      </c>
      <c r="BU68" s="3">
        <f ca="1">IFERROR(__xludf.DUMMYFUNCTION("""COMPUTED_VALUE"""),-0.756394537963567)</f>
        <v>-0.75639453796356704</v>
      </c>
      <c r="BV68" s="3">
        <f ca="1">IFERROR(__xludf.DUMMYFUNCTION("""COMPUTED_VALUE"""),-0.665340326949598)</f>
        <v>-0.66534032694959799</v>
      </c>
      <c r="BW68" s="3">
        <f ca="1">IFERROR(__xludf.DUMMYFUNCTION("""COMPUTED_VALUE"""),-0.720952179871873)</f>
        <v>-0.72095217987187299</v>
      </c>
      <c r="BX68" s="3">
        <f ca="1">IFERROR(__xludf.DUMMYFUNCTION("""COMPUTED_VALUE"""),-0.74995690979868)</f>
        <v>-0.74995690979868002</v>
      </c>
      <c r="BY68" s="3">
        <f ca="1">IFERROR(__xludf.DUMMYFUNCTION("""COMPUTED_VALUE"""),-0.741608594890637)</f>
        <v>-0.74160859489063702</v>
      </c>
      <c r="BZ68" s="3">
        <f ca="1">IFERROR(__xludf.DUMMYFUNCTION("""COMPUTED_VALUE"""),-0.724384980831039)</f>
        <v>-0.72438498083103897</v>
      </c>
      <c r="CA68" s="3">
        <f ca="1">IFERROR(__xludf.DUMMYFUNCTION("""COMPUTED_VALUE"""),-0.74885062971715)</f>
        <v>-0.74885062971715</v>
      </c>
      <c r="CB68" s="3">
        <f ca="1">IFERROR(__xludf.DUMMYFUNCTION("""COMPUTED_VALUE"""),-0.697704492846676)</f>
        <v>-0.69770449284667602</v>
      </c>
      <c r="CC68" s="3">
        <f ca="1">IFERROR(__xludf.DUMMYFUNCTION("""COMPUTED_VALUE"""),-0.673326862073021)</f>
        <v>-0.67332686207302095</v>
      </c>
      <c r="CD68" s="3">
        <f ca="1">IFERROR(__xludf.DUMMYFUNCTION("""COMPUTED_VALUE"""),-0.712933059524528)</f>
        <v>-0.71293305952452801</v>
      </c>
      <c r="CE68" s="3">
        <f ca="1">IFERROR(__xludf.DUMMYFUNCTION("""COMPUTED_VALUE"""),-0.747705980016345)</f>
        <v>-0.74770598001634503</v>
      </c>
      <c r="CF68" s="3">
        <f ca="1">IFERROR(__xludf.DUMMYFUNCTION("""COMPUTED_VALUE"""),-0.722186865537573)</f>
        <v>-0.72218686553757305</v>
      </c>
      <c r="CG68" s="3">
        <f ca="1">IFERROR(__xludf.DUMMYFUNCTION("""COMPUTED_VALUE"""),-0.710849233553137)</f>
        <v>-0.71084923355313701</v>
      </c>
      <c r="CH68" s="3">
        <f ca="1">IFERROR(__xludf.DUMMYFUNCTION("""COMPUTED_VALUE"""),-0.736388630860449)</f>
        <v>-0.73638863086044903</v>
      </c>
      <c r="CI68" s="3">
        <f ca="1">IFERROR(__xludf.DUMMYFUNCTION("""COMPUTED_VALUE"""),-0.715193546917941)</f>
        <v>-0.71519354691794101</v>
      </c>
      <c r="CJ68" s="3">
        <f ca="1">IFERROR(__xludf.DUMMYFUNCTION("""COMPUTED_VALUE"""),-0.611033895186782)</f>
        <v>-0.61103389518678197</v>
      </c>
      <c r="CK68" s="3">
        <f ca="1">IFERROR(__xludf.DUMMYFUNCTION("""COMPUTED_VALUE"""),-0.656097314385342)</f>
        <v>-0.65609731438534202</v>
      </c>
      <c r="CL68" s="3">
        <f ca="1">IFERROR(__xludf.DUMMYFUNCTION("""COMPUTED_VALUE"""),-0.749457200980162)</f>
        <v>-0.749457200980162</v>
      </c>
      <c r="CM68" s="3">
        <f ca="1">IFERROR(__xludf.DUMMYFUNCTION("""COMPUTED_VALUE"""),-0.749455494171227)</f>
        <v>-0.74945549417122703</v>
      </c>
      <c r="CN68" s="3">
        <f ca="1">IFERROR(__xludf.DUMMYFUNCTION("""COMPUTED_VALUE"""),-0.761866632569917)</f>
        <v>-0.76186663256991705</v>
      </c>
      <c r="CO68" s="3">
        <f ca="1">IFERROR(__xludf.DUMMYFUNCTION("""COMPUTED_VALUE"""),-0.771182957875076)</f>
        <v>-0.77118295787507596</v>
      </c>
      <c r="CP68" s="3">
        <f ca="1">IFERROR(__xludf.DUMMYFUNCTION("""COMPUTED_VALUE"""),-0.740550329112466)</f>
        <v>-0.74055032911246599</v>
      </c>
      <c r="CQ68" s="3">
        <f ca="1">IFERROR(__xludf.DUMMYFUNCTION("""COMPUTED_VALUE"""),-0.628809082264417)</f>
        <v>-0.62880908226441701</v>
      </c>
      <c r="CR68" s="3">
        <f ca="1">IFERROR(__xludf.DUMMYFUNCTION("""COMPUTED_VALUE"""),-0.698011860215938)</f>
        <v>-0.69801186021593797</v>
      </c>
      <c r="CS68" s="3">
        <f ca="1">IFERROR(__xludf.DUMMYFUNCTION("""COMPUTED_VALUE"""),-0.716047788183981)</f>
        <v>-0.71604778818398096</v>
      </c>
      <c r="CT68" s="3">
        <f ca="1">IFERROR(__xludf.DUMMYFUNCTION("""COMPUTED_VALUE"""),-0.726513935970027)</f>
        <v>-0.726513935970027</v>
      </c>
      <c r="CU68" s="3">
        <f ca="1">IFERROR(__xludf.DUMMYFUNCTION("""COMPUTED_VALUE"""),-0.696900308372667)</f>
        <v>-0.69690030837266703</v>
      </c>
      <c r="CV68" s="3">
        <f ca="1">IFERROR(__xludf.DUMMYFUNCTION("""COMPUTED_VALUE"""),-0.712526985282776)</f>
        <v>-0.71252698528277603</v>
      </c>
      <c r="CW68" s="3">
        <f ca="1">IFERROR(__xludf.DUMMYFUNCTION("""COMPUTED_VALUE"""),-0.728801806671938)</f>
        <v>-0.72880180667193795</v>
      </c>
      <c r="CX68" s="3">
        <f ca="1">IFERROR(__xludf.DUMMYFUNCTION("""COMPUTED_VALUE"""),-0.880878126841214)</f>
        <v>-0.88087812684121403</v>
      </c>
      <c r="CY68" s="3">
        <f ca="1">IFERROR(__xludf.DUMMYFUNCTION("""COMPUTED_VALUE"""),-0.80800658056244)</f>
        <v>-0.80800658056244001</v>
      </c>
      <c r="CZ68" s="3">
        <f ca="1">IFERROR(__xludf.DUMMYFUNCTION("""COMPUTED_VALUE"""),-0.78832596196312)</f>
        <v>-0.78832596196311999</v>
      </c>
      <c r="DA68" s="3">
        <f ca="1">IFERROR(__xludf.DUMMYFUNCTION("""COMPUTED_VALUE"""),-0.671983692935378)</f>
        <v>-0.67198369293537796</v>
      </c>
      <c r="DB68" s="3">
        <f ca="1">IFERROR(__xludf.DUMMYFUNCTION("""COMPUTED_VALUE"""),-0.561221602434813)</f>
        <v>-0.56122160243481301</v>
      </c>
      <c r="DC68" s="3">
        <f ca="1">IFERROR(__xludf.DUMMYFUNCTION("""COMPUTED_VALUE"""),-0.685471772339561)</f>
        <v>-0.68547177233956103</v>
      </c>
      <c r="DD68" s="3">
        <f ca="1">IFERROR(__xludf.DUMMYFUNCTION("""COMPUTED_VALUE"""),-0.79188124815375)</f>
        <v>-0.79188124815375005</v>
      </c>
      <c r="DE68" s="3">
        <f ca="1">IFERROR(__xludf.DUMMYFUNCTION("""COMPUTED_VALUE"""),-0.889053840587524)</f>
        <v>-0.88905384058752401</v>
      </c>
      <c r="DF68" s="3">
        <f ca="1">IFERROR(__xludf.DUMMYFUNCTION("""COMPUTED_VALUE"""),-0.816986214444905)</f>
        <v>-0.81698621444490505</v>
      </c>
      <c r="DG68" s="3">
        <f ca="1">IFERROR(__xludf.DUMMYFUNCTION("""COMPUTED_VALUE"""),-0.813001067640568)</f>
        <v>-0.81300106764056801</v>
      </c>
      <c r="DH68" s="3">
        <f ca="1">IFERROR(__xludf.DUMMYFUNCTION("""COMPUTED_VALUE"""),-0.662462536911999)</f>
        <v>-0.66246253691199897</v>
      </c>
      <c r="DI68" s="3">
        <f ca="1">IFERROR(__xludf.DUMMYFUNCTION("""COMPUTED_VALUE"""),-0.423156530343375)</f>
        <v>-0.42315653034337503</v>
      </c>
      <c r="DJ68" s="3">
        <f ca="1">IFERROR(__xludf.DUMMYFUNCTION("""COMPUTED_VALUE"""),-0.630051726821666)</f>
        <v>-0.63005172682166599</v>
      </c>
      <c r="DK68" s="3">
        <f ca="1">IFERROR(__xludf.DUMMYFUNCTION("""COMPUTED_VALUE"""),-0.73276386863598)</f>
        <v>-0.73276386863597998</v>
      </c>
      <c r="DL68" s="3">
        <f ca="1">IFERROR(__xludf.DUMMYFUNCTION("""COMPUTED_VALUE"""),-0.844188529888616)</f>
        <v>-0.84418852988861603</v>
      </c>
      <c r="DM68" s="3">
        <f ca="1">IFERROR(__xludf.DUMMYFUNCTION("""COMPUTED_VALUE"""),-0.717190018453091)</f>
        <v>-0.71719001845309105</v>
      </c>
      <c r="DN68" s="3">
        <f ca="1">IFERROR(__xludf.DUMMYFUNCTION("""COMPUTED_VALUE"""),-0.679232284982395)</f>
        <v>-0.67923228498239496</v>
      </c>
      <c r="DO68" s="3">
        <f ca="1">IFERROR(__xludf.DUMMYFUNCTION("""COMPUTED_VALUE"""),-0.667071735669997)</f>
        <v>-0.667071735669997</v>
      </c>
      <c r="DP68" s="3">
        <f ca="1">IFERROR(__xludf.DUMMYFUNCTION("""COMPUTED_VALUE"""),-0.579252845265189)</f>
        <v>-0.57925284526518905</v>
      </c>
      <c r="DQ68" s="3">
        <f ca="1">IFERROR(__xludf.DUMMYFUNCTION("""COMPUTED_VALUE"""),-0.626998433464778)</f>
        <v>-0.62699843346477802</v>
      </c>
      <c r="DR68" s="3">
        <f ca="1">IFERROR(__xludf.DUMMYFUNCTION("""COMPUTED_VALUE"""),-0.648860221879195)</f>
        <v>-0.64886022187919501</v>
      </c>
      <c r="DS68" s="3">
        <f ca="1">IFERROR(__xludf.DUMMYFUNCTION("""COMPUTED_VALUE"""),-0.552734791569946)</f>
        <v>-0.55273479156994598</v>
      </c>
      <c r="DT68" s="3">
        <f ca="1">IFERROR(__xludf.DUMMYFUNCTION("""COMPUTED_VALUE"""),-0.60472162226848)</f>
        <v>-0.60472162226848003</v>
      </c>
      <c r="DU68" s="3">
        <f ca="1">IFERROR(__xludf.DUMMYFUNCTION("""COMPUTED_VALUE"""),-0.664639178196492)</f>
        <v>-0.66463917819649199</v>
      </c>
      <c r="DV68" s="3">
        <f ca="1">IFERROR(__xludf.DUMMYFUNCTION("""COMPUTED_VALUE"""),-0.681011793823505)</f>
        <v>-0.68101179382350496</v>
      </c>
      <c r="DW68" s="3">
        <f ca="1">IFERROR(__xludf.DUMMYFUNCTION("""COMPUTED_VALUE"""),-0.678008683737433)</f>
        <v>-0.67800868373743295</v>
      </c>
      <c r="DX68" s="3">
        <f ca="1">IFERROR(__xludf.DUMMYFUNCTION("""COMPUTED_VALUE"""),-0.667868919536653)</f>
        <v>-0.66786891953665295</v>
      </c>
      <c r="DY68" s="3">
        <f ca="1">IFERROR(__xludf.DUMMYFUNCTION("""COMPUTED_VALUE"""),-0.682226293442712)</f>
        <v>-0.68222629344271202</v>
      </c>
      <c r="DZ68" s="3">
        <f ca="1">IFERROR(__xludf.DUMMYFUNCTION("""COMPUTED_VALUE"""),-0.569897959164158)</f>
        <v>-0.56989795916415797</v>
      </c>
      <c r="EA68" s="3">
        <f ca="1">IFERROR(__xludf.DUMMYFUNCTION("""COMPUTED_VALUE"""),-0.590023115474918)</f>
        <v>-0.59002311547491804</v>
      </c>
      <c r="EB68" s="3">
        <f ca="1">IFERROR(__xludf.DUMMYFUNCTION("""COMPUTED_VALUE"""),-0.683525106789591)</f>
        <v>-0.683525106789591</v>
      </c>
      <c r="EC68" s="3">
        <f ca="1">IFERROR(__xludf.DUMMYFUNCTION("""COMPUTED_VALUE"""),-0.71947797149906)</f>
        <v>-0.71947797149906001</v>
      </c>
      <c r="ED68" s="3">
        <f ca="1">IFERROR(__xludf.DUMMYFUNCTION("""COMPUTED_VALUE"""),-0.725638270816853)</f>
        <v>-0.72563827081685295</v>
      </c>
      <c r="EE68" s="3">
        <f ca="1">IFERROR(__xludf.DUMMYFUNCTION("""COMPUTED_VALUE"""),-0.670260518155527)</f>
        <v>-0.67026051815552701</v>
      </c>
      <c r="EF68" s="3">
        <f ca="1">IFERROR(__xludf.DUMMYFUNCTION("""COMPUTED_VALUE"""),-0.61658275823478)</f>
        <v>-0.61658275823478004</v>
      </c>
      <c r="EG68" s="3">
        <f ca="1">IFERROR(__xludf.DUMMYFUNCTION("""COMPUTED_VALUE"""),-0.510647190562003)</f>
        <v>-0.51064719056200303</v>
      </c>
      <c r="EH68" s="3">
        <f ca="1">IFERROR(__xludf.DUMMYFUNCTION("""COMPUTED_VALUE"""),-0.545938978076559)</f>
        <v>-0.545938978076559</v>
      </c>
      <c r="EI68" s="3">
        <f ca="1">IFERROR(__xludf.DUMMYFUNCTION("""COMPUTED_VALUE"""),-0.634022084070583)</f>
        <v>-0.63402208407058303</v>
      </c>
      <c r="EJ68" s="3">
        <f ca="1">IFERROR(__xludf.DUMMYFUNCTION("""COMPUTED_VALUE"""),-0.685633449142279)</f>
        <v>-0.68563344914227897</v>
      </c>
      <c r="EK68" s="3">
        <f ca="1">IFERROR(__xludf.DUMMYFUNCTION("""COMPUTED_VALUE"""),-0.658050281335842)</f>
        <v>-0.65805028133584198</v>
      </c>
      <c r="EL68" s="3">
        <f ca="1">IFERROR(__xludf.DUMMYFUNCTION("""COMPUTED_VALUE"""),-0.691504588984246)</f>
        <v>-0.69150458898424605</v>
      </c>
      <c r="EM68" s="3">
        <f ca="1">IFERROR(__xludf.DUMMYFUNCTION("""COMPUTED_VALUE"""),-0.682749476207312)</f>
        <v>-0.68274947620731197</v>
      </c>
      <c r="EN68" s="3">
        <f ca="1">IFERROR(__xludf.DUMMYFUNCTION("""COMPUTED_VALUE"""),-0.551790550949595)</f>
        <v>-0.55179055094959495</v>
      </c>
      <c r="EO68" s="3">
        <f ca="1">IFERROR(__xludf.DUMMYFUNCTION("""COMPUTED_VALUE"""),-0.58079928857805)</f>
        <v>-0.58079928857804997</v>
      </c>
      <c r="EP68" s="3">
        <f ca="1">IFERROR(__xludf.DUMMYFUNCTION("""COMPUTED_VALUE"""),-0.669285150217967)</f>
        <v>-0.66928515021796697</v>
      </c>
      <c r="EQ68" s="3">
        <f ca="1">IFERROR(__xludf.DUMMYFUNCTION("""COMPUTED_VALUE"""),-0.74881912626258)</f>
        <v>-0.74881912626257996</v>
      </c>
      <c r="ER68" s="3">
        <f ca="1">IFERROR(__xludf.DUMMYFUNCTION("""COMPUTED_VALUE"""),-0.706545788196525)</f>
        <v>-0.70654578819652503</v>
      </c>
      <c r="ES68" s="3">
        <f ca="1">IFERROR(__xludf.DUMMYFUNCTION("""COMPUTED_VALUE"""),-0.72525761255355)</f>
        <v>-0.72525761255355004</v>
      </c>
      <c r="ET68" s="3">
        <f ca="1">IFERROR(__xludf.DUMMYFUNCTION("""COMPUTED_VALUE"""),-0.709504197113451)</f>
        <v>-0.70950419711345103</v>
      </c>
      <c r="EU68" s="3">
        <f ca="1">IFERROR(__xludf.DUMMYFUNCTION("""COMPUTED_VALUE"""),-0.538869155643654)</f>
        <v>-0.53886915564365401</v>
      </c>
      <c r="EV68" s="3">
        <f ca="1">IFERROR(__xludf.DUMMYFUNCTION("""COMPUTED_VALUE"""),-0.603426859892341)</f>
        <v>-0.60342685989234102</v>
      </c>
      <c r="EW68" s="3">
        <f ca="1">IFERROR(__xludf.DUMMYFUNCTION("""COMPUTED_VALUE"""),-0.705898915443182)</f>
        <v>-0.70589891544318195</v>
      </c>
      <c r="EX68" s="3">
        <f ca="1">IFERROR(__xludf.DUMMYFUNCTION("""COMPUTED_VALUE"""),-0.742155103191172)</f>
        <v>-0.74215510319117195</v>
      </c>
      <c r="EY68" s="3">
        <f ca="1">IFERROR(__xludf.DUMMYFUNCTION("""COMPUTED_VALUE"""),-0.728511367825381)</f>
        <v>-0.72851136782538095</v>
      </c>
      <c r="EZ68" s="3">
        <f ca="1">IFERROR(__xludf.DUMMYFUNCTION("""COMPUTED_VALUE"""),-0.703362695922475)</f>
        <v>-0.70336269592247502</v>
      </c>
      <c r="FA68" s="3">
        <f ca="1">IFERROR(__xludf.DUMMYFUNCTION("""COMPUTED_VALUE"""),-0.658001209849533)</f>
        <v>-0.65800120984953303</v>
      </c>
      <c r="FB68" s="3">
        <f ca="1">IFERROR(__xludf.DUMMYFUNCTION("""COMPUTED_VALUE"""),-0.457441750401764)</f>
        <v>-0.45744175040176399</v>
      </c>
      <c r="FC68" s="3">
        <f ca="1">IFERROR(__xludf.DUMMYFUNCTION("""COMPUTED_VALUE"""),-0.551936868594358)</f>
        <v>-0.55193686859435798</v>
      </c>
      <c r="FD68" s="3">
        <f ca="1">IFERROR(__xludf.DUMMYFUNCTION("""COMPUTED_VALUE"""),-0.657858101208957)</f>
        <v>-0.65785810120895705</v>
      </c>
      <c r="FE68" s="3">
        <f ca="1">IFERROR(__xludf.DUMMYFUNCTION("""COMPUTED_VALUE"""),-0.701589432499042)</f>
        <v>-0.70158943249904204</v>
      </c>
      <c r="FF68" s="3">
        <f ca="1">IFERROR(__xludf.DUMMYFUNCTION("""COMPUTED_VALUE"""),-0.70247933321193)</f>
        <v>-0.70247933321193001</v>
      </c>
      <c r="FG68" s="3">
        <f ca="1">IFERROR(__xludf.DUMMYFUNCTION("""COMPUTED_VALUE"""),-0.733647201786656)</f>
        <v>-0.73364720178665599</v>
      </c>
      <c r="FH68" s="3">
        <f ca="1">IFERROR(__xludf.DUMMYFUNCTION("""COMPUTED_VALUE"""),-0.675210566128905)</f>
        <v>-0.67521056612890495</v>
      </c>
      <c r="FI68" s="3">
        <f ca="1">IFERROR(__xludf.DUMMYFUNCTION("""COMPUTED_VALUE"""),-0.520785426595771)</f>
        <v>-0.52078542659577098</v>
      </c>
      <c r="FJ68" s="3">
        <f ca="1">IFERROR(__xludf.DUMMYFUNCTION("""COMPUTED_VALUE"""),-0.593130162846139)</f>
        <v>-0.59313016284613895</v>
      </c>
      <c r="FK68" s="3">
        <f ca="1">IFERROR(__xludf.DUMMYFUNCTION("""COMPUTED_VALUE"""),-0.688909796030712)</f>
        <v>-0.68890979603071201</v>
      </c>
      <c r="FL68" s="3">
        <f ca="1">IFERROR(__xludf.DUMMYFUNCTION("""COMPUTED_VALUE"""),-0.699854354606539)</f>
        <v>-0.699854354606539</v>
      </c>
      <c r="FM68" s="3">
        <f ca="1">IFERROR(__xludf.DUMMYFUNCTION("""COMPUTED_VALUE"""),-0.659997958390687)</f>
        <v>-0.65999795839068698</v>
      </c>
      <c r="FN68" s="3">
        <f ca="1">IFERROR(__xludf.DUMMYFUNCTION("""COMPUTED_VALUE"""),-0.636559652551867)</f>
        <v>-0.63655965255186697</v>
      </c>
      <c r="FO68" s="3">
        <f ca="1">IFERROR(__xludf.DUMMYFUNCTION("""COMPUTED_VALUE"""),-0.604240743136895)</f>
        <v>-0.60424074313689502</v>
      </c>
      <c r="FP68" s="3">
        <f ca="1">IFERROR(__xludf.DUMMYFUNCTION("""COMPUTED_VALUE"""),-0.477118865347228)</f>
        <v>-0.47711886534722803</v>
      </c>
      <c r="FQ68" s="3">
        <f ca="1">IFERROR(__xludf.DUMMYFUNCTION("""COMPUTED_VALUE"""),-0.600851264628217)</f>
        <v>-0.60085126462821703</v>
      </c>
      <c r="FR68" s="3">
        <f ca="1">IFERROR(__xludf.DUMMYFUNCTION("""COMPUTED_VALUE"""),-0.648848059678996)</f>
        <v>-0.64884805967899595</v>
      </c>
      <c r="FS68" s="3">
        <f ca="1">IFERROR(__xludf.DUMMYFUNCTION("""COMPUTED_VALUE"""),-0.694979261866549)</f>
        <v>-0.69497926186654901</v>
      </c>
      <c r="FT68" s="3">
        <f ca="1">IFERROR(__xludf.DUMMYFUNCTION("""COMPUTED_VALUE"""),-0.640823504755759)</f>
        <v>-0.640823504755759</v>
      </c>
      <c r="FU68" s="3">
        <f ca="1">IFERROR(__xludf.DUMMYFUNCTION("""COMPUTED_VALUE"""),-0.607480474505861)</f>
        <v>-0.60748047450586096</v>
      </c>
      <c r="FV68" s="3">
        <f ca="1">IFERROR(__xludf.DUMMYFUNCTION("""COMPUTED_VALUE"""),-0.533520473840715)</f>
        <v>-0.53352047384071499</v>
      </c>
      <c r="FW68" s="3">
        <f ca="1">IFERROR(__xludf.DUMMYFUNCTION("""COMPUTED_VALUE"""),-0.464660054310943)</f>
        <v>-0.46466005431094298</v>
      </c>
      <c r="FX68" s="3">
        <f ca="1">IFERROR(__xludf.DUMMYFUNCTION("""COMPUTED_VALUE"""),-0.571306771564707)</f>
        <v>-0.57130677156470699</v>
      </c>
      <c r="FY68" s="3">
        <f ca="1">IFERROR(__xludf.DUMMYFUNCTION("""COMPUTED_VALUE"""),-0.654936454082719)</f>
        <v>-0.65493645408271906</v>
      </c>
      <c r="FZ68" s="3">
        <f ca="1">IFERROR(__xludf.DUMMYFUNCTION("""COMPUTED_VALUE"""),-0.619851166358211)</f>
        <v>-0.61985116635821103</v>
      </c>
      <c r="GA68" s="3">
        <f ca="1">IFERROR(__xludf.DUMMYFUNCTION("""COMPUTED_VALUE"""),-0.660920824380504)</f>
        <v>-0.66092082438050404</v>
      </c>
      <c r="GB68" s="3">
        <f ca="1">IFERROR(__xludf.DUMMYFUNCTION("""COMPUTED_VALUE"""),-0.654251426864239)</f>
        <v>-0.65425142686423898</v>
      </c>
      <c r="GC68" s="3">
        <f ca="1">IFERROR(__xludf.DUMMYFUNCTION("""COMPUTED_VALUE"""),-0.562635803646885)</f>
        <v>-0.56263580364688504</v>
      </c>
      <c r="GD68" s="3">
        <f ca="1">IFERROR(__xludf.DUMMYFUNCTION("""COMPUTED_VALUE"""),-0.459165612265169)</f>
        <v>-0.459165612265169</v>
      </c>
      <c r="GE68" s="3">
        <f ca="1">IFERROR(__xludf.DUMMYFUNCTION("""COMPUTED_VALUE"""),-0.573884939932206)</f>
        <v>-0.57388493993220602</v>
      </c>
      <c r="GF68" s="3">
        <f ca="1">IFERROR(__xludf.DUMMYFUNCTION("""COMPUTED_VALUE"""),-0.664068516208826)</f>
        <v>-0.66406851620882601</v>
      </c>
      <c r="GG68" s="3">
        <f ca="1">IFERROR(__xludf.DUMMYFUNCTION("""COMPUTED_VALUE"""),-0.627901504168861)</f>
        <v>-0.62790150416886104</v>
      </c>
      <c r="GH68" s="3">
        <f ca="1">IFERROR(__xludf.DUMMYFUNCTION("""COMPUTED_VALUE"""),-0.603357807985854)</f>
        <v>-0.60335780798585403</v>
      </c>
      <c r="GI68" s="3">
        <f ca="1">IFERROR(__xludf.DUMMYFUNCTION("""COMPUTED_VALUE"""),-0.577100618418713)</f>
        <v>-0.57710061841871296</v>
      </c>
      <c r="GJ68" s="3">
        <f ca="1">IFERROR(__xludf.DUMMYFUNCTION("""COMPUTED_VALUE"""),-0.445694861590738)</f>
        <v>-0.44569486159073801</v>
      </c>
      <c r="GK68" s="3">
        <f ca="1">IFERROR(__xludf.DUMMYFUNCTION("""COMPUTED_VALUE"""),-0.477765335876675)</f>
        <v>-0.47776533587667502</v>
      </c>
      <c r="GL68" s="3">
        <f ca="1">IFERROR(__xludf.DUMMYFUNCTION("""COMPUTED_VALUE"""),-0.581604339899159)</f>
        <v>-0.58160433989915905</v>
      </c>
      <c r="GM68" s="3">
        <f ca="1">IFERROR(__xludf.DUMMYFUNCTION("""COMPUTED_VALUE"""),-0.608962783169912)</f>
        <v>-0.60896278316991204</v>
      </c>
      <c r="GN68" s="3">
        <f ca="1">IFERROR(__xludf.DUMMYFUNCTION("""COMPUTED_VALUE"""),-0.589820738264195)</f>
        <v>-0.58982073826419501</v>
      </c>
      <c r="GO68" s="3">
        <f ca="1">IFERROR(__xludf.DUMMYFUNCTION("""COMPUTED_VALUE"""),-0.569281691979522)</f>
        <v>-0.56928169197952205</v>
      </c>
      <c r="GP68" s="3">
        <f ca="1">IFERROR(__xludf.DUMMYFUNCTION("""COMPUTED_VALUE"""),-0.57094819020622)</f>
        <v>-0.57094819020622001</v>
      </c>
      <c r="GQ68" s="3">
        <f ca="1">IFERROR(__xludf.DUMMYFUNCTION("""COMPUTED_VALUE"""),-0.485992524678212)</f>
        <v>-0.48599252467821202</v>
      </c>
      <c r="GR68" s="3">
        <f ca="1">IFERROR(__xludf.DUMMYFUNCTION("""COMPUTED_VALUE"""),-0.248139144086637)</f>
        <v>-0.24813914408663701</v>
      </c>
      <c r="GS68" s="3">
        <f ca="1">IFERROR(__xludf.DUMMYFUNCTION("""COMPUTED_VALUE"""),-0.438243738501877)</f>
        <v>-0.43824373850187698</v>
      </c>
      <c r="GT68" s="3">
        <f ca="1">IFERROR(__xludf.DUMMYFUNCTION("""COMPUTED_VALUE"""),-0.569007360236862)</f>
        <v>-0.56900736023686205</v>
      </c>
      <c r="GU68" s="3">
        <f ca="1">IFERROR(__xludf.DUMMYFUNCTION("""COMPUTED_VALUE"""),-0.552170533517272)</f>
        <v>-0.55217053351727197</v>
      </c>
      <c r="GV68" s="3">
        <f ca="1">IFERROR(__xludf.DUMMYFUNCTION("""COMPUTED_VALUE"""),-0.517033979446717)</f>
        <v>-0.51703397944671703</v>
      </c>
      <c r="GW68" s="3">
        <f ca="1">IFERROR(__xludf.DUMMYFUNCTION("""COMPUTED_VALUE"""),-0.540673666662479)</f>
        <v>-0.54067366666247896</v>
      </c>
      <c r="GX68" s="3">
        <f ca="1">IFERROR(__xludf.DUMMYFUNCTION("""COMPUTED_VALUE"""),-0.454409531933305)</f>
        <v>-0.45440953193330502</v>
      </c>
      <c r="GY68" s="3">
        <f ca="1">IFERROR(__xludf.DUMMYFUNCTION("""COMPUTED_VALUE"""),-0.286154051672177)</f>
        <v>-0.286154051672177</v>
      </c>
      <c r="GZ68" s="3">
        <f ca="1">IFERROR(__xludf.DUMMYFUNCTION("""COMPUTED_VALUE"""),-0.457442729904271)</f>
        <v>-0.45744272990427098</v>
      </c>
      <c r="HA68" s="3">
        <f ca="1">IFERROR(__xludf.DUMMYFUNCTION("""COMPUTED_VALUE"""),-0.537769180115675)</f>
        <v>-0.53776918011567498</v>
      </c>
      <c r="HB68" s="3">
        <f ca="1">IFERROR(__xludf.DUMMYFUNCTION("""COMPUTED_VALUE"""),-0.513740456783273)</f>
        <v>-0.51374045678327296</v>
      </c>
      <c r="HC68" s="3">
        <f ca="1">IFERROR(__xludf.DUMMYFUNCTION("""COMPUTED_VALUE"""),-0.499899987774067)</f>
        <v>-0.49989998777406702</v>
      </c>
      <c r="HD68" s="3">
        <f ca="1">IFERROR(__xludf.DUMMYFUNCTION("""COMPUTED_VALUE"""),-0.501373983348231)</f>
        <v>-0.50137398334823102</v>
      </c>
      <c r="HE68" s="3">
        <f ca="1">IFERROR(__xludf.DUMMYFUNCTION("""COMPUTED_VALUE"""),-0.447077371448063)</f>
        <v>-0.44707737144806298</v>
      </c>
      <c r="HF68" s="3">
        <f ca="1">IFERROR(__xludf.DUMMYFUNCTION("""COMPUTED_VALUE"""),-0.311820341415504)</f>
        <v>-0.31182034141550402</v>
      </c>
      <c r="HG68" s="3">
        <f ca="1">IFERROR(__xludf.DUMMYFUNCTION("""COMPUTED_VALUE"""),-0.349583923464429)</f>
        <v>-0.34958392346442901</v>
      </c>
      <c r="HH68" s="3">
        <f ca="1">IFERROR(__xludf.DUMMYFUNCTION("""COMPUTED_VALUE"""),-0.515901038959067)</f>
        <v>-0.51590103895906703</v>
      </c>
      <c r="HI68" s="3">
        <f ca="1">IFERROR(__xludf.DUMMYFUNCTION("""COMPUTED_VALUE"""),-0.513883806851218)</f>
        <v>-0.51388380685121804</v>
      </c>
      <c r="HJ68" s="3">
        <f ca="1">IFERROR(__xludf.DUMMYFUNCTION("""COMPUTED_VALUE"""),-0.499213829504001)</f>
        <v>-0.49921382950400101</v>
      </c>
      <c r="HK68" s="3">
        <f ca="1">IFERROR(__xludf.DUMMYFUNCTION("""COMPUTED_VALUE"""),-0.457172539384671)</f>
        <v>-0.45717253938467101</v>
      </c>
      <c r="HL68" s="3">
        <f ca="1">IFERROR(__xludf.DUMMYFUNCTION("""COMPUTED_VALUE"""),-0.492403901223986)</f>
        <v>-0.49240390122398597</v>
      </c>
      <c r="HM68" s="3">
        <f ca="1">IFERROR(__xludf.DUMMYFUNCTION("""COMPUTED_VALUE"""),-0.208253917989592)</f>
        <v>-0.208253917989592</v>
      </c>
      <c r="HN68" s="3">
        <f ca="1">IFERROR(__xludf.DUMMYFUNCTION("""COMPUTED_VALUE"""),-0.379951023626844)</f>
        <v>-0.37995102362684402</v>
      </c>
      <c r="HO68" s="3">
        <f ca="1">IFERROR(__xludf.DUMMYFUNCTION("""COMPUTED_VALUE"""),-0.479280597859568)</f>
        <v>-0.479280597859568</v>
      </c>
      <c r="HP68" s="3">
        <f ca="1">IFERROR(__xludf.DUMMYFUNCTION("""COMPUTED_VALUE"""),-0.456264461806892)</f>
        <v>-0.45626446180689201</v>
      </c>
      <c r="HQ68" s="3">
        <f ca="1">IFERROR(__xludf.DUMMYFUNCTION("""COMPUTED_VALUE"""),-0.510673300798591)</f>
        <v>-0.51067330079859097</v>
      </c>
      <c r="HR68" s="3">
        <f ca="1">IFERROR(__xludf.DUMMYFUNCTION("""COMPUTED_VALUE"""),-0.427842126745203)</f>
        <v>-0.427842126745203</v>
      </c>
      <c r="HS68" s="3">
        <f ca="1">IFERROR(__xludf.DUMMYFUNCTION("""COMPUTED_VALUE"""),-0.316472985714578)</f>
        <v>-0.31647298571457799</v>
      </c>
      <c r="HT68" s="3">
        <f ca="1">IFERROR(__xludf.DUMMYFUNCTION("""COMPUTED_VALUE"""),-0.285202207957681)</f>
        <v>-0.28520220795768098</v>
      </c>
      <c r="HU68" s="3">
        <f ca="1">IFERROR(__xludf.DUMMYFUNCTION("""COMPUTED_VALUE"""),-0.520203876120459)</f>
        <v>-0.52020387612045904</v>
      </c>
      <c r="HV68" s="3">
        <f ca="1">IFERROR(__xludf.DUMMYFUNCTION("""COMPUTED_VALUE"""),-0.497497341350161)</f>
        <v>-0.49749734135016099</v>
      </c>
      <c r="HW68" s="3">
        <f ca="1">IFERROR(__xludf.DUMMYFUNCTION("""COMPUTED_VALUE"""),-0.547259552300437)</f>
        <v>-0.54725955230043699</v>
      </c>
      <c r="HX68" s="3">
        <f ca="1">IFERROR(__xludf.DUMMYFUNCTION("""COMPUTED_VALUE"""),-0.555998872510945)</f>
        <v>-0.55599887251094504</v>
      </c>
      <c r="HY68" s="3">
        <f ca="1">IFERROR(__xludf.DUMMYFUNCTION("""COMPUTED_VALUE"""),-0.503548034758767)</f>
        <v>-0.50354803475876697</v>
      </c>
      <c r="HZ68" s="3">
        <f ca="1">IFERROR(__xludf.DUMMYFUNCTION("""COMPUTED_VALUE"""),-0.394092110510913)</f>
        <v>-0.39409211051091297</v>
      </c>
      <c r="IA68" s="3">
        <f ca="1">IFERROR(__xludf.DUMMYFUNCTION("""COMPUTED_VALUE"""),-0.419331547424391)</f>
        <v>-0.41933154742439099</v>
      </c>
      <c r="IB68" s="3">
        <f ca="1">IFERROR(__xludf.DUMMYFUNCTION("""COMPUTED_VALUE"""),-0.420228373439096)</f>
        <v>-0.42022837343909603</v>
      </c>
      <c r="IC68" s="3">
        <f ca="1">IFERROR(__xludf.DUMMYFUNCTION("""COMPUTED_VALUE"""),-0.507283420940738)</f>
        <v>-0.50728342094073797</v>
      </c>
      <c r="ID68" s="3">
        <f ca="1">IFERROR(__xludf.DUMMYFUNCTION("""COMPUTED_VALUE"""),-0.51645661187642)</f>
        <v>-0.51645661187642</v>
      </c>
      <c r="IE68" s="3">
        <f ca="1">IFERROR(__xludf.DUMMYFUNCTION("""COMPUTED_VALUE"""),-0.528766624551747)</f>
        <v>-0.52876662455174706</v>
      </c>
      <c r="IF68" s="3">
        <f ca="1">IFERROR(__xludf.DUMMYFUNCTION("""COMPUTED_VALUE"""),-0.541379861273937)</f>
        <v>-0.541379861273937</v>
      </c>
      <c r="IG68" s="3">
        <f ca="1">IFERROR(__xludf.DUMMYFUNCTION("""COMPUTED_VALUE"""),-0.511141751071884)</f>
        <v>-0.51114175107188398</v>
      </c>
      <c r="IH68" s="3">
        <f ca="1">IFERROR(__xludf.DUMMYFUNCTION("""COMPUTED_VALUE"""),-0.373654730950865)</f>
        <v>-0.37365473095086499</v>
      </c>
      <c r="II68" s="3">
        <f ca="1">IFERROR(__xludf.DUMMYFUNCTION("""COMPUTED_VALUE"""),-0.373151877067548)</f>
        <v>-0.37315187706754799</v>
      </c>
      <c r="IJ68" s="3">
        <f ca="1">IFERROR(__xludf.DUMMYFUNCTION("""COMPUTED_VALUE"""),-0.453712346500527)</f>
        <v>-0.453712346500527</v>
      </c>
      <c r="IK68" s="3">
        <f ca="1">IFERROR(__xludf.DUMMYFUNCTION("""COMPUTED_VALUE"""),-0.465958953207331)</f>
        <v>-0.46595895320733099</v>
      </c>
      <c r="IL68" s="3">
        <f ca="1">IFERROR(__xludf.DUMMYFUNCTION("""COMPUTED_VALUE"""),-0.464442149942406)</f>
        <v>-0.46444214994240601</v>
      </c>
      <c r="IM68" s="3">
        <f ca="1">IFERROR(__xludf.DUMMYFUNCTION("""COMPUTED_VALUE"""),-0.467596224607746)</f>
        <v>-0.46759622460774602</v>
      </c>
      <c r="IN68" s="3">
        <f ca="1">IFERROR(__xludf.DUMMYFUNCTION("""COMPUTED_VALUE"""),-0.38376426080677)</f>
        <v>-0.38376426080677001</v>
      </c>
      <c r="IO68" s="3">
        <f ca="1">IFERROR(__xludf.DUMMYFUNCTION("""COMPUTED_VALUE"""),-0.432626448863991)</f>
        <v>-0.43262644886399099</v>
      </c>
      <c r="IP68" s="3">
        <f ca="1">IFERROR(__xludf.DUMMYFUNCTION("""COMPUTED_VALUE"""),-0.363371547053905)</f>
        <v>-0.36337154705390501</v>
      </c>
      <c r="IQ68" s="3">
        <f ca="1">IFERROR(__xludf.DUMMYFUNCTION("""COMPUTED_VALUE"""),-0.443405198032804)</f>
        <v>-0.44340519803280398</v>
      </c>
      <c r="IR68" s="3">
        <f ca="1">IFERROR(__xludf.DUMMYFUNCTION("""COMPUTED_VALUE"""),-0.453692075903189)</f>
        <v>-0.453692075903189</v>
      </c>
      <c r="IS68" s="3">
        <f ca="1">IFERROR(__xludf.DUMMYFUNCTION("""COMPUTED_VALUE"""),-0.5017919278792)</f>
        <v>-0.50179192787920002</v>
      </c>
      <c r="IT68" s="3">
        <f ca="1">IFERROR(__xludf.DUMMYFUNCTION("""COMPUTED_VALUE"""),-0.506878990500876)</f>
        <v>-0.50687899050087604</v>
      </c>
      <c r="IU68" s="3">
        <f ca="1">IFERROR(__xludf.DUMMYFUNCTION("""COMPUTED_VALUE"""),-0.385106870648814)</f>
        <v>-0.38510687064881399</v>
      </c>
      <c r="IV68" s="3">
        <f ca="1">IFERROR(__xludf.DUMMYFUNCTION("""COMPUTED_VALUE"""),-0.384495405492052)</f>
        <v>-0.38449540549205202</v>
      </c>
      <c r="IW68" s="3">
        <f ca="1">IFERROR(__xludf.DUMMYFUNCTION("""COMPUTED_VALUE"""),-0.255891181403221)</f>
        <v>-0.25589118140322098</v>
      </c>
      <c r="IX68" s="3">
        <f ca="1">IFERROR(__xludf.DUMMYFUNCTION("""COMPUTED_VALUE"""),-0.299110370442701)</f>
        <v>-0.299110370442701</v>
      </c>
      <c r="IY68" s="3">
        <f ca="1">IFERROR(__xludf.DUMMYFUNCTION("""COMPUTED_VALUE"""),-0.297287140136466)</f>
        <v>-0.29728714013646601</v>
      </c>
      <c r="IZ68" s="3">
        <f ca="1">IFERROR(__xludf.DUMMYFUNCTION("""COMPUTED_VALUE"""),-0.320286757249334)</f>
        <v>-0.32028675724933398</v>
      </c>
      <c r="JA68" s="3">
        <f ca="1">IFERROR(__xludf.DUMMYFUNCTION("""COMPUTED_VALUE"""),-0.300479309818355)</f>
        <v>-0.30047930981835502</v>
      </c>
      <c r="JB68" s="3">
        <f ca="1">IFERROR(__xludf.DUMMYFUNCTION("""COMPUTED_VALUE"""),-0.391816216954831)</f>
        <v>-0.39181621695483099</v>
      </c>
      <c r="JC68" s="3">
        <f ca="1">IFERROR(__xludf.DUMMYFUNCTION("""COMPUTED_VALUE"""),-0.321543365633853)</f>
        <v>-0.321543365633853</v>
      </c>
      <c r="JD68" s="3">
        <f ca="1">IFERROR(__xludf.DUMMYFUNCTION("""COMPUTED_VALUE"""),-0.262795022556647)</f>
        <v>-0.262795022556647</v>
      </c>
      <c r="JE68" s="3">
        <f ca="1">IFERROR(__xludf.DUMMYFUNCTION("""COMPUTED_VALUE"""),-0.355840463197587)</f>
        <v>-0.355840463197587</v>
      </c>
      <c r="JF68" s="3">
        <f ca="1">IFERROR(__xludf.DUMMYFUNCTION("""COMPUTED_VALUE"""),-0.395391067230906)</f>
        <v>-0.395391067230906</v>
      </c>
      <c r="JG68" s="3">
        <f ca="1">IFERROR(__xludf.DUMMYFUNCTION("""COMPUTED_VALUE"""),-0.417708315869519)</f>
        <v>-0.41770831586951901</v>
      </c>
      <c r="JH68" s="3">
        <f ca="1">IFERROR(__xludf.DUMMYFUNCTION("""COMPUTED_VALUE"""),-0.334652090605741)</f>
        <v>-0.33465209060574103</v>
      </c>
      <c r="JI68" s="3">
        <f ca="1">IFERROR(__xludf.DUMMYFUNCTION("""COMPUTED_VALUE"""),-0.356681614571874)</f>
        <v>-0.35668161457187397</v>
      </c>
      <c r="JJ68" s="3">
        <f ca="1">IFERROR(__xludf.DUMMYFUNCTION("""COMPUTED_VALUE"""),-0.335019953246076)</f>
        <v>-0.33501995324607597</v>
      </c>
      <c r="JK68" s="3">
        <f ca="1">IFERROR(__xludf.DUMMYFUNCTION("""COMPUTED_VALUE"""),-0.324434224638606)</f>
        <v>-0.32443422463860599</v>
      </c>
      <c r="JL68" s="3">
        <f ca="1">IFERROR(__xludf.DUMMYFUNCTION("""COMPUTED_VALUE"""),-0.433897085332779)</f>
        <v>-0.43389708533277899</v>
      </c>
      <c r="JM68" s="3">
        <f ca="1">IFERROR(__xludf.DUMMYFUNCTION("""COMPUTED_VALUE"""),-0.40429850009313)</f>
        <v>-0.40429850009313001</v>
      </c>
      <c r="JN68" s="3">
        <f ca="1">IFERROR(__xludf.DUMMYFUNCTION("""COMPUTED_VALUE"""),-0.381056826603198)</f>
        <v>-0.38105682660319801</v>
      </c>
      <c r="JO68" s="3">
        <f ca="1">IFERROR(__xludf.DUMMYFUNCTION("""COMPUTED_VALUE"""),-0.39490951562951)</f>
        <v>-0.39490951562950999</v>
      </c>
      <c r="JP68" s="3">
        <f ca="1">IFERROR(__xludf.DUMMYFUNCTION("""COMPUTED_VALUE"""),-0.342350594161032)</f>
        <v>-0.34235059416103197</v>
      </c>
      <c r="JQ68" s="3">
        <f ca="1">IFERROR(__xludf.DUMMYFUNCTION("""COMPUTED_VALUE"""),-0.32841962017991)</f>
        <v>-0.32841962017991</v>
      </c>
      <c r="JR68" s="3">
        <f ca="1">IFERROR(__xludf.DUMMYFUNCTION("""COMPUTED_VALUE"""),-0.488642056185352)</f>
        <v>-0.488642056185352</v>
      </c>
      <c r="JS68" s="3">
        <f ca="1">IFERROR(__xludf.DUMMYFUNCTION("""COMPUTED_VALUE"""),-0.469831245827985)</f>
        <v>-0.46983124582798502</v>
      </c>
      <c r="JT68" s="3">
        <f ca="1">IFERROR(__xludf.DUMMYFUNCTION("""COMPUTED_VALUE"""),-0.435038270966928)</f>
        <v>-0.43503827096692799</v>
      </c>
      <c r="JU68" s="3">
        <f ca="1">IFERROR(__xludf.DUMMYFUNCTION("""COMPUTED_VALUE"""),-0.468921549315706)</f>
        <v>-0.46892154931570601</v>
      </c>
      <c r="JV68" s="3">
        <f ca="1">IFERROR(__xludf.DUMMYFUNCTION("""COMPUTED_VALUE"""),-0.436589630709596)</f>
        <v>-0.436589630709596</v>
      </c>
      <c r="JW68" s="3">
        <f ca="1">IFERROR(__xludf.DUMMYFUNCTION("""COMPUTED_VALUE"""),-0.295561012867306)</f>
        <v>-0.29556101286730602</v>
      </c>
      <c r="JX68" s="3">
        <f ca="1">IFERROR(__xludf.DUMMYFUNCTION("""COMPUTED_VALUE"""),-0.314927331929751)</f>
        <v>-0.31492733192975098</v>
      </c>
      <c r="JY68" s="3">
        <f ca="1">IFERROR(__xludf.DUMMYFUNCTION("""COMPUTED_VALUE"""),-0.350337288929357)</f>
        <v>-0.350337288929357</v>
      </c>
      <c r="JZ68" s="3">
        <f ca="1">IFERROR(__xludf.DUMMYFUNCTION("""COMPUTED_VALUE"""),-0.46856089222495)</f>
        <v>-0.46856089222495001</v>
      </c>
      <c r="KA68" s="3">
        <f ca="1">IFERROR(__xludf.DUMMYFUNCTION("""COMPUTED_VALUE"""),-0.492215154502566)</f>
        <v>-0.49221515450256598</v>
      </c>
      <c r="KB68" s="3">
        <f ca="1">IFERROR(__xludf.DUMMYFUNCTION("""COMPUTED_VALUE"""),-0.561202109800693)</f>
        <v>-0.56120210980069296</v>
      </c>
      <c r="KC68" s="3">
        <f ca="1">IFERROR(__xludf.DUMMYFUNCTION("""COMPUTED_VALUE"""),-0.438636039228286)</f>
        <v>-0.43863603922828598</v>
      </c>
      <c r="KD68" s="3">
        <f ca="1">IFERROR(__xludf.DUMMYFUNCTION("""COMPUTED_VALUE"""),-0.426920847412429)</f>
        <v>-0.42692084741242903</v>
      </c>
      <c r="KE68" s="3">
        <f ca="1">IFERROR(__xludf.DUMMYFUNCTION("""COMPUTED_VALUE"""),-0.47262045731424)</f>
        <v>-0.47262045731424002</v>
      </c>
      <c r="KF68" s="3">
        <f ca="1">IFERROR(__xludf.DUMMYFUNCTION("""COMPUTED_VALUE"""),-0.500772183296644)</f>
        <v>-0.50077218329664397</v>
      </c>
      <c r="KG68" s="3">
        <f ca="1">IFERROR(__xludf.DUMMYFUNCTION("""COMPUTED_VALUE"""),-0.499494576290092)</f>
        <v>-0.49949457629009197</v>
      </c>
      <c r="KH68" s="3">
        <f ca="1">IFERROR(__xludf.DUMMYFUNCTION("""COMPUTED_VALUE"""),-0.560707739700542)</f>
        <v>-0.560707739700542</v>
      </c>
      <c r="KI68" s="3">
        <f ca="1">IFERROR(__xludf.DUMMYFUNCTION("""COMPUTED_VALUE"""),-0.708178601954073)</f>
        <v>-0.70817860195407301</v>
      </c>
      <c r="KJ68" s="3">
        <f ca="1">IFERROR(__xludf.DUMMYFUNCTION("""COMPUTED_VALUE"""),-0.511710394427698)</f>
        <v>-0.51171039442769795</v>
      </c>
      <c r="KK68" s="3">
        <f ca="1">IFERROR(__xludf.DUMMYFUNCTION("""COMPUTED_VALUE"""),-0.429248922975577)</f>
        <v>-0.42924892297557699</v>
      </c>
      <c r="KL68" s="3">
        <f ca="1">IFERROR(__xludf.DUMMYFUNCTION("""COMPUTED_VALUE"""),-0.42555690739444)</f>
        <v>-0.42555690739444002</v>
      </c>
      <c r="KM68" s="3">
        <f ca="1">IFERROR(__xludf.DUMMYFUNCTION("""COMPUTED_VALUE"""),-0.567687693552453)</f>
        <v>-0.56768769355245297</v>
      </c>
      <c r="KN68" s="3">
        <f ca="1">IFERROR(__xludf.DUMMYFUNCTION("""COMPUTED_VALUE"""),-0.616940845044821)</f>
        <v>-0.61694084504482105</v>
      </c>
      <c r="KO68" s="3">
        <f ca="1">IFERROR(__xludf.DUMMYFUNCTION("""COMPUTED_VALUE"""),-0.62876720476946)</f>
        <v>-0.62876720476946002</v>
      </c>
      <c r="KP68" s="3">
        <f ca="1">IFERROR(__xludf.DUMMYFUNCTION("""COMPUTED_VALUE"""),-0.61388963729979)</f>
        <v>-0.61388963729978996</v>
      </c>
      <c r="KQ68" s="3">
        <f ca="1">IFERROR(__xludf.DUMMYFUNCTION("""COMPUTED_VALUE"""),-0.600890841339476)</f>
        <v>-0.60089084133947601</v>
      </c>
      <c r="KR68" s="3">
        <f ca="1">IFERROR(__xludf.DUMMYFUNCTION("""COMPUTED_VALUE"""),-0.595986288371119)</f>
        <v>-0.595986288371119</v>
      </c>
      <c r="KS68" s="3">
        <f ca="1">IFERROR(__xludf.DUMMYFUNCTION("""COMPUTED_VALUE"""),-0.628149013328363)</f>
        <v>-0.62814901332836304</v>
      </c>
      <c r="KT68" s="3">
        <f ca="1">IFERROR(__xludf.DUMMYFUNCTION("""COMPUTED_VALUE"""),-0.648067870989998)</f>
        <v>-0.64806787098999796</v>
      </c>
      <c r="KU68" s="3">
        <f ca="1">IFERROR(__xludf.DUMMYFUNCTION("""COMPUTED_VALUE"""),-0.693619291918565)</f>
        <v>-0.69361929191856497</v>
      </c>
      <c r="KV68" s="3">
        <f ca="1">IFERROR(__xludf.DUMMYFUNCTION("""COMPUTED_VALUE"""),-0.707663427153306)</f>
        <v>-0.70766342715330599</v>
      </c>
      <c r="KW68" s="3">
        <f ca="1">IFERROR(__xludf.DUMMYFUNCTION("""COMPUTED_VALUE"""),-0.704259282953419)</f>
        <v>-0.704259282953419</v>
      </c>
      <c r="KX68" s="3">
        <f ca="1">IFERROR(__xludf.DUMMYFUNCTION("""COMPUTED_VALUE"""),-0.66933004429569)</f>
        <v>-0.66933004429568999</v>
      </c>
      <c r="KY68" s="3">
        <f ca="1">IFERROR(__xludf.DUMMYFUNCTION("""COMPUTED_VALUE"""),-0.614685483385887)</f>
        <v>-0.61468548338588702</v>
      </c>
      <c r="KZ68" s="3">
        <f ca="1">IFERROR(__xludf.DUMMYFUNCTION("""COMPUTED_VALUE"""),-0.551106110883334)</f>
        <v>-0.55110611088333405</v>
      </c>
      <c r="LA68" s="3">
        <f ca="1">IFERROR(__xludf.DUMMYFUNCTION("""COMPUTED_VALUE"""),-0.664403496592355)</f>
        <v>-0.66440349659235498</v>
      </c>
      <c r="LB68" s="3">
        <f ca="1">IFERROR(__xludf.DUMMYFUNCTION("""COMPUTED_VALUE"""),-0.67453479728094)</f>
        <v>-0.67453479728094001</v>
      </c>
      <c r="LC68" s="3">
        <f ca="1">IFERROR(__xludf.DUMMYFUNCTION("""COMPUTED_VALUE"""),-0.707857489587155)</f>
        <v>-0.707857489587155</v>
      </c>
      <c r="LD68" s="3">
        <f ca="1">IFERROR(__xludf.DUMMYFUNCTION("""COMPUTED_VALUE"""),-0.70575053136542)</f>
        <v>-0.70575053136541999</v>
      </c>
      <c r="LE68" s="3">
        <f ca="1">IFERROR(__xludf.DUMMYFUNCTION("""COMPUTED_VALUE"""),-0.668006912155918)</f>
        <v>-0.66800691215591801</v>
      </c>
      <c r="LF68" s="3">
        <f ca="1">IFERROR(__xludf.DUMMYFUNCTION("""COMPUTED_VALUE"""),-0.658663217000607)</f>
        <v>-0.65866321700060704</v>
      </c>
      <c r="LG68" s="3">
        <f ca="1">IFERROR(__xludf.DUMMYFUNCTION("""COMPUTED_VALUE"""),-0.6197027361467)</f>
        <v>-0.61970273614670002</v>
      </c>
      <c r="LH68" s="3">
        <f ca="1">IFERROR(__xludf.DUMMYFUNCTION("""COMPUTED_VALUE"""),-0.695068844237803)</f>
        <v>-0.69506884423780302</v>
      </c>
      <c r="LI68" s="3">
        <f ca="1">IFERROR(__xludf.DUMMYFUNCTION("""COMPUTED_VALUE"""),-0.755559709176716)</f>
        <v>-0.755559709176716</v>
      </c>
      <c r="LJ68" s="3">
        <f ca="1">IFERROR(__xludf.DUMMYFUNCTION("""COMPUTED_VALUE"""),-0.729812189200798)</f>
        <v>-0.72981218920079804</v>
      </c>
      <c r="LK68" s="3">
        <f ca="1">IFERROR(__xludf.DUMMYFUNCTION("""COMPUTED_VALUE"""),-0.681990339684955)</f>
        <v>-0.68199033968495504</v>
      </c>
      <c r="LL68" s="3">
        <f ca="1">IFERROR(__xludf.DUMMYFUNCTION("""COMPUTED_VALUE"""),-0.70467311350151)</f>
        <v>-0.70467311350150996</v>
      </c>
      <c r="LM68" s="3">
        <f ca="1">IFERROR(__xludf.DUMMYFUNCTION("""COMPUTED_VALUE"""),-0.677233209699614)</f>
        <v>-0.67723320969961398</v>
      </c>
      <c r="LN68" s="3">
        <f ca="1">IFERROR(__xludf.DUMMYFUNCTION("""COMPUTED_VALUE"""),-0.705163003715224)</f>
        <v>-0.705163003715224</v>
      </c>
      <c r="LO68" s="3">
        <f ca="1">IFERROR(__xludf.DUMMYFUNCTION("""COMPUTED_VALUE"""),-0.686787394760142)</f>
        <v>-0.68678739476014194</v>
      </c>
      <c r="LP68" s="3">
        <f ca="1">IFERROR(__xludf.DUMMYFUNCTION("""COMPUTED_VALUE"""),-0.788256751359638)</f>
        <v>-0.78825675135963802</v>
      </c>
      <c r="LQ68" s="3">
        <f ca="1">IFERROR(__xludf.DUMMYFUNCTION("""COMPUTED_VALUE"""),-0.75985095359123)</f>
        <v>-0.75985095359123001</v>
      </c>
      <c r="LR68" s="3">
        <f ca="1">IFERROR(__xludf.DUMMYFUNCTION("""COMPUTED_VALUE"""),-0.786337459139205)</f>
        <v>-0.78633745913920505</v>
      </c>
      <c r="LS68" s="3">
        <f ca="1">IFERROR(__xludf.DUMMYFUNCTION("""COMPUTED_VALUE"""),-0.77842717634389)</f>
        <v>-0.77842717634389003</v>
      </c>
      <c r="LT68" s="3">
        <f ca="1">IFERROR(__xludf.DUMMYFUNCTION("""COMPUTED_VALUE"""),-0.769203998865538)</f>
        <v>-0.76920399886553803</v>
      </c>
      <c r="LU68" s="3">
        <f ca="1">IFERROR(__xludf.DUMMYFUNCTION("""COMPUTED_VALUE"""),-0.778761454846811)</f>
        <v>-0.77876145484681103</v>
      </c>
      <c r="LV68" s="3">
        <f ca="1">IFERROR(__xludf.DUMMYFUNCTION("""COMPUTED_VALUE"""),-0.782192953206197)</f>
        <v>-0.78219295320619697</v>
      </c>
      <c r="LW68" s="3">
        <f ca="1">IFERROR(__xludf.DUMMYFUNCTION("""COMPUTED_VALUE"""),-0.835371597872219)</f>
        <v>-0.83537159787221904</v>
      </c>
      <c r="LX68" s="3">
        <f ca="1">IFERROR(__xludf.DUMMYFUNCTION("""COMPUTED_VALUE"""),-0.817951325878218)</f>
        <v>-0.81795132587821795</v>
      </c>
      <c r="LY68" s="3">
        <f ca="1">IFERROR(__xludf.DUMMYFUNCTION("""COMPUTED_VALUE"""),-0.811357188686509)</f>
        <v>-0.81135718868650897</v>
      </c>
      <c r="LZ68" s="3">
        <f ca="1">IFERROR(__xludf.DUMMYFUNCTION("""COMPUTED_VALUE"""),-0.798504532328943)</f>
        <v>-0.79850453232894303</v>
      </c>
      <c r="MA68" s="3">
        <f ca="1">IFERROR(__xludf.DUMMYFUNCTION("""COMPUTED_VALUE"""),-0.798583865221984)</f>
        <v>-0.79858386522198399</v>
      </c>
      <c r="MB68" s="3">
        <f ca="1">IFERROR(__xludf.DUMMYFUNCTION("""COMPUTED_VALUE"""),-0.808982630730212)</f>
        <v>-0.80898263073021204</v>
      </c>
      <c r="MC68" s="3">
        <f ca="1">IFERROR(__xludf.DUMMYFUNCTION("""COMPUTED_VALUE"""),-0.792360396213715)</f>
        <v>-0.79236039621371501</v>
      </c>
      <c r="MD68" s="3">
        <f ca="1">IFERROR(__xludf.DUMMYFUNCTION("""COMPUTED_VALUE"""),-0.845020952139)</f>
        <v>-0.84502095213899997</v>
      </c>
      <c r="ME68" s="3">
        <f ca="1">IFERROR(__xludf.DUMMYFUNCTION("""COMPUTED_VALUE"""),-0.85761556986433)</f>
        <v>-0.85761556986432996</v>
      </c>
      <c r="MF68" s="3">
        <f ca="1">IFERROR(__xludf.DUMMYFUNCTION("""COMPUTED_VALUE"""),-0.845076603578319)</f>
        <v>-0.84507660357831904</v>
      </c>
      <c r="MG68" s="3">
        <f ca="1">IFERROR(__xludf.DUMMYFUNCTION("""COMPUTED_VALUE"""),-0.824465884476815)</f>
        <v>-0.82446588447681501</v>
      </c>
      <c r="MH68" s="3">
        <f ca="1">IFERROR(__xludf.DUMMYFUNCTION("""COMPUTED_VALUE"""),-0.82488443480058)</f>
        <v>-0.82488443480058005</v>
      </c>
      <c r="MI68" s="3">
        <f ca="1">IFERROR(__xludf.DUMMYFUNCTION("""COMPUTED_VALUE"""),-0.838874465342438)</f>
        <v>-0.83887446534243804</v>
      </c>
      <c r="MJ68" s="3">
        <f ca="1">IFERROR(__xludf.DUMMYFUNCTION("""COMPUTED_VALUE"""),-0.820380545441294)</f>
        <v>-0.82038054544129402</v>
      </c>
      <c r="MK68" s="3">
        <f ca="1">IFERROR(__xludf.DUMMYFUNCTION("""COMPUTED_VALUE"""),-0.851822126112775)</f>
        <v>-0.85182212611277497</v>
      </c>
      <c r="ML68" s="3">
        <f ca="1">IFERROR(__xludf.DUMMYFUNCTION("""COMPUTED_VALUE"""),-0.863397408075876)</f>
        <v>-0.86339740807587595</v>
      </c>
      <c r="MM68" s="3">
        <f ca="1">IFERROR(__xludf.DUMMYFUNCTION("""COMPUTED_VALUE"""),-0.841078497801001)</f>
        <v>-0.84107849780100097</v>
      </c>
      <c r="MN68" s="3">
        <f ca="1">IFERROR(__xludf.DUMMYFUNCTION("""COMPUTED_VALUE"""),-0.846692279335025)</f>
        <v>-0.846692279335025</v>
      </c>
      <c r="MO68" s="3">
        <f ca="1">IFERROR(__xludf.DUMMYFUNCTION("""COMPUTED_VALUE"""),-0.816023792835811)</f>
        <v>-0.81602379283581095</v>
      </c>
      <c r="MP68" s="3">
        <f ca="1">IFERROR(__xludf.DUMMYFUNCTION("""COMPUTED_VALUE"""),-0.832152160549829)</f>
        <v>-0.83215216054982899</v>
      </c>
      <c r="MQ68" s="3">
        <f ca="1">IFERROR(__xludf.DUMMYFUNCTION("""COMPUTED_VALUE"""),-0.839634817518181)</f>
        <v>-0.83963481751818103</v>
      </c>
      <c r="MR68" s="3">
        <f ca="1">IFERROR(__xludf.DUMMYFUNCTION("""COMPUTED_VALUE"""),-0.85017842974665)</f>
        <v>-0.85017842974665003</v>
      </c>
      <c r="MS68" s="3">
        <f ca="1">IFERROR(__xludf.DUMMYFUNCTION("""COMPUTED_VALUE"""),-0.864506387486387)</f>
        <v>-0.86450638748638697</v>
      </c>
      <c r="MT68" s="3">
        <f ca="1">IFERROR(__xludf.DUMMYFUNCTION("""COMPUTED_VALUE"""),-0.860116315314096)</f>
        <v>-0.86011631531409605</v>
      </c>
      <c r="MU68" s="3">
        <f ca="1">IFERROR(__xludf.DUMMYFUNCTION("""COMPUTED_VALUE"""),-0.871692635904159)</f>
        <v>-0.87169263590415902</v>
      </c>
      <c r="MV68" s="3">
        <f ca="1">IFERROR(__xludf.DUMMYFUNCTION("""COMPUTED_VALUE"""),-0.832825919264824)</f>
        <v>-0.83282591926482397</v>
      </c>
      <c r="MW68" s="3">
        <f ca="1">IFERROR(__xludf.DUMMYFUNCTION("""COMPUTED_VALUE"""),-0.847636862646147)</f>
        <v>-0.84763686264614702</v>
      </c>
      <c r="MX68" s="3">
        <f ca="1">IFERROR(__xludf.DUMMYFUNCTION("""COMPUTED_VALUE"""),-0.831008933577018)</f>
        <v>-0.83100893357701799</v>
      </c>
      <c r="MY68" s="3">
        <f ca="1">IFERROR(__xludf.DUMMYFUNCTION("""COMPUTED_VALUE"""),-0.845610943274735)</f>
        <v>-0.84561094327473496</v>
      </c>
      <c r="MZ68" s="3">
        <f ca="1">IFERROR(__xludf.DUMMYFUNCTION("""COMPUTED_VALUE"""),-0.877576217890003)</f>
        <v>-0.87757621789000295</v>
      </c>
      <c r="NA68" s="3">
        <f ca="1">IFERROR(__xludf.DUMMYFUNCTION("""COMPUTED_VALUE"""),-0.873461967656037)</f>
        <v>-0.87346196765603701</v>
      </c>
      <c r="NB68" s="3">
        <f ca="1">IFERROR(__xludf.DUMMYFUNCTION("""COMPUTED_VALUE"""),-0.875311377883816)</f>
        <v>-0.87531137788381597</v>
      </c>
      <c r="NC68" s="3">
        <f ca="1">IFERROR(__xludf.DUMMYFUNCTION("""COMPUTED_VALUE"""),-0.880896715919187)</f>
        <v>-0.88089671591918695</v>
      </c>
      <c r="ND68" s="3">
        <f ca="1">IFERROR(__xludf.DUMMYFUNCTION("""COMPUTED_VALUE"""),-0.845885955530648)</f>
        <v>-0.84588595553064805</v>
      </c>
      <c r="NE68" s="3">
        <f ca="1">IFERROR(__xludf.DUMMYFUNCTION("""COMPUTED_VALUE"""),-0.851784952755203)</f>
        <v>-0.85178495275520305</v>
      </c>
      <c r="NF68" s="3">
        <f ca="1">IFERROR(__xludf.DUMMYFUNCTION("""COMPUTED_VALUE"""),-0.876135458188746)</f>
        <v>-0.87613545818874605</v>
      </c>
      <c r="NG68" s="3">
        <f ca="1">IFERROR(__xludf.DUMMYFUNCTION("""COMPUTED_VALUE"""),-0.888272547658424)</f>
        <v>-0.88827254765842401</v>
      </c>
      <c r="NH68" s="3">
        <f ca="1">IFERROR(__xludf.DUMMYFUNCTION("""COMPUTED_VALUE"""),-0.898915552888935)</f>
        <v>-0.89891555288893499</v>
      </c>
      <c r="NI68" s="3">
        <f ca="1">IFERROR(__xludf.DUMMYFUNCTION("""COMPUTED_VALUE"""),-0.880900139636088)</f>
        <v>-0.88090013963608804</v>
      </c>
      <c r="NJ68" s="3">
        <f ca="1">IFERROR(__xludf.DUMMYFUNCTION("""COMPUTED_VALUE"""),-0.86613210850144)</f>
        <v>-0.86613210850143996</v>
      </c>
      <c r="NK68" s="3">
        <f ca="1">IFERROR(__xludf.DUMMYFUNCTION("""COMPUTED_VALUE"""),-0.853098037669843)</f>
        <v>-0.85309803766984305</v>
      </c>
      <c r="NL68" s="3">
        <f ca="1">IFERROR(__xludf.DUMMYFUNCTION("""COMPUTED_VALUE"""),-0.834459996442067)</f>
        <v>-0.83445999644206703</v>
      </c>
      <c r="NM68" s="3">
        <f ca="1">IFERROR(__xludf.DUMMYFUNCTION("""COMPUTED_VALUE"""),-0.855064389593338)</f>
        <v>-0.85506438959333797</v>
      </c>
      <c r="NN68" s="3">
        <f ca="1">IFERROR(__xludf.DUMMYFUNCTION("""COMPUTED_VALUE"""),-0.86259055657835)</f>
        <v>-0.86259055657835004</v>
      </c>
      <c r="NO68" s="3">
        <f ca="1">IFERROR(__xludf.DUMMYFUNCTION("""COMPUTED_VALUE"""),-0.836603760042349)</f>
        <v>-0.83660376004234904</v>
      </c>
      <c r="NP68" s="3">
        <f ca="1">IFERROR(__xludf.DUMMYFUNCTION("""COMPUTED_VALUE"""),-0.821281087295974)</f>
        <v>-0.82128108729597404</v>
      </c>
      <c r="NQ68" s="3">
        <f ca="1">IFERROR(__xludf.DUMMYFUNCTION("""COMPUTED_VALUE"""),-0.813501428931912)</f>
        <v>-0.81350142893191202</v>
      </c>
      <c r="NR68" s="3">
        <f ca="1">IFERROR(__xludf.DUMMYFUNCTION("""COMPUTED_VALUE"""),-0.837452623175514)</f>
        <v>-0.83745262317551405</v>
      </c>
      <c r="NS68" s="3">
        <f ca="1">IFERROR(__xludf.DUMMYFUNCTION("""COMPUTED_VALUE"""),-0.834846460627304)</f>
        <v>-0.83484646062730405</v>
      </c>
      <c r="NT68" s="3">
        <f ca="1">IFERROR(__xludf.DUMMYFUNCTION("""COMPUTED_VALUE"""),-0.872742541145161)</f>
        <v>-0.87274254114516103</v>
      </c>
      <c r="NU68" s="3">
        <f ca="1">IFERROR(__xludf.DUMMYFUNCTION("""COMPUTED_VALUE"""),-0.878179709858235)</f>
        <v>-0.87817970985823501</v>
      </c>
      <c r="NV68" s="3">
        <f ca="1">IFERROR(__xludf.DUMMYFUNCTION("""COMPUTED_VALUE"""),-0.881813500210481)</f>
        <v>-0.88181350021048099</v>
      </c>
      <c r="NW68" s="3">
        <f ca="1">IFERROR(__xludf.DUMMYFUNCTION("""COMPUTED_VALUE"""),-0.838280466773044)</f>
        <v>-0.83828046677304402</v>
      </c>
      <c r="NX68" s="3">
        <f ca="1">IFERROR(__xludf.DUMMYFUNCTION("""COMPUTED_VALUE"""),-0.84776422562724)</f>
        <v>-0.84776422562723996</v>
      </c>
      <c r="NY68" s="3">
        <f ca="1">IFERROR(__xludf.DUMMYFUNCTION("""COMPUTED_VALUE"""),-0.756850493957354)</f>
        <v>-0.75685049395735404</v>
      </c>
      <c r="NZ68" s="3">
        <f ca="1">IFERROR(__xludf.DUMMYFUNCTION("""COMPUTED_VALUE"""),-0.799627946715467)</f>
        <v>-0.799627946715467</v>
      </c>
      <c r="OA68" s="3">
        <f ca="1">IFERROR(__xludf.DUMMYFUNCTION("""COMPUTED_VALUE"""),-0.799048290220627)</f>
        <v>-0.79904829022062696</v>
      </c>
      <c r="OB68" s="3">
        <f ca="1">IFERROR(__xludf.DUMMYFUNCTION("""COMPUTED_VALUE"""),-0.773437808512473)</f>
        <v>-0.77343780851247301</v>
      </c>
      <c r="OC68" s="3">
        <f ca="1">IFERROR(__xludf.DUMMYFUNCTION("""COMPUTED_VALUE"""),-0.768042524877458)</f>
        <v>-0.76804252487745805</v>
      </c>
      <c r="OD68" s="3">
        <f ca="1">IFERROR(__xludf.DUMMYFUNCTION("""COMPUTED_VALUE"""),-0.716362349535828)</f>
        <v>-0.716362349535828</v>
      </c>
      <c r="OE68" s="3">
        <f ca="1">IFERROR(__xludf.DUMMYFUNCTION("""COMPUTED_VALUE"""),-0.594277809759059)</f>
        <v>-0.59427780975905897</v>
      </c>
      <c r="OF68" s="3">
        <f ca="1">IFERROR(__xludf.DUMMYFUNCTION("""COMPUTED_VALUE"""),-0.37144767874495)</f>
        <v>-0.37144767874494999</v>
      </c>
      <c r="OG68" s="3">
        <f ca="1">IFERROR(__xludf.DUMMYFUNCTION("""COMPUTED_VALUE"""),-0.391466396598255)</f>
        <v>-0.391466396598255</v>
      </c>
      <c r="OH68" s="3">
        <f ca="1">IFERROR(__xludf.DUMMYFUNCTION("""COMPUTED_VALUE"""),-0.310659596113649)</f>
        <v>-0.31065959611364902</v>
      </c>
      <c r="OI68" s="3">
        <f ca="1">IFERROR(__xludf.DUMMYFUNCTION("""COMPUTED_VALUE"""),-0.0766377515238018)</f>
        <v>-7.6637751523801798E-2</v>
      </c>
      <c r="OJ68" s="3">
        <f ca="1">IFERROR(__xludf.DUMMYFUNCTION("""COMPUTED_VALUE"""),-0.0550689034493757)</f>
        <v>-5.5068903449375699E-2</v>
      </c>
      <c r="OK68" s="3">
        <f ca="1">IFERROR(__xludf.DUMMYFUNCTION("""COMPUTED_VALUE"""),-0.0217983159470058)</f>
        <v>-2.1798315947005799E-2</v>
      </c>
      <c r="OL68" s="3">
        <f ca="1">IFERROR(__xludf.DUMMYFUNCTION("""COMPUTED_VALUE"""),0.0127689141397124)</f>
        <v>1.2768914139712401E-2</v>
      </c>
      <c r="OM68" s="3">
        <f ca="1">IFERROR(__xludf.DUMMYFUNCTION("""COMPUTED_VALUE"""),-0.019973130480921)</f>
        <v>-1.9973130480921E-2</v>
      </c>
      <c r="ON68" s="3">
        <f ca="1">IFERROR(__xludf.DUMMYFUNCTION("""COMPUTED_VALUE"""),0.0522629122725215)</f>
        <v>5.22629122725215E-2</v>
      </c>
      <c r="OO68" s="3">
        <f ca="1">IFERROR(__xludf.DUMMYFUNCTION("""COMPUTED_VALUE"""),-0.138005671890044)</f>
        <v>-0.13800567189004401</v>
      </c>
      <c r="OP68" s="3">
        <f ca="1">IFERROR(__xludf.DUMMYFUNCTION("""COMPUTED_VALUE"""),-0.0855063254479987)</f>
        <v>-8.5506325447998702E-2</v>
      </c>
      <c r="OQ68" s="3">
        <f ca="1">IFERROR(__xludf.DUMMYFUNCTION("""COMPUTED_VALUE"""),-0.11034218051496)</f>
        <v>-0.11034218051496</v>
      </c>
      <c r="OR68" s="3">
        <f ca="1">IFERROR(__xludf.DUMMYFUNCTION("""COMPUTED_VALUE"""),-0.0909421349292445)</f>
        <v>-9.0942134929244495E-2</v>
      </c>
      <c r="OS68" s="3">
        <f ca="1">IFERROR(__xludf.DUMMYFUNCTION("""COMPUTED_VALUE"""),-0.106828969388113)</f>
        <v>-0.106828969388113</v>
      </c>
      <c r="OT68" s="3">
        <f ca="1">IFERROR(__xludf.DUMMYFUNCTION("""COMPUTED_VALUE"""),0.204083857006224)</f>
        <v>0.204083857006224</v>
      </c>
      <c r="OU68" s="3">
        <f ca="1">IFERROR(__xludf.DUMMYFUNCTION("""COMPUTED_VALUE"""),0.0613816381713745)</f>
        <v>6.13816381713745E-2</v>
      </c>
      <c r="OV68" s="3">
        <f ca="1">IFERROR(__xludf.DUMMYFUNCTION("""COMPUTED_VALUE"""),0.0614772479665608)</f>
        <v>6.1477247966560802E-2</v>
      </c>
      <c r="OW68" s="3">
        <f ca="1">IFERROR(__xludf.DUMMYFUNCTION("""COMPUTED_VALUE"""),0.12454545438864)</f>
        <v>0.12454545438864</v>
      </c>
      <c r="OX68" s="3">
        <f ca="1">IFERROR(__xludf.DUMMYFUNCTION("""COMPUTED_VALUE"""),0.119401633603356)</f>
        <v>0.119401633603356</v>
      </c>
      <c r="OY68" s="3">
        <f ca="1">IFERROR(__xludf.DUMMYFUNCTION("""COMPUTED_VALUE"""),0.0795845434590305)</f>
        <v>7.9584543459030502E-2</v>
      </c>
      <c r="OZ68" s="3">
        <f ca="1">IFERROR(__xludf.DUMMYFUNCTION("""COMPUTED_VALUE"""),-0.028695955991368)</f>
        <v>-2.8695955991368E-2</v>
      </c>
      <c r="PA68" s="3">
        <f ca="1">IFERROR(__xludf.DUMMYFUNCTION("""COMPUTED_VALUE"""),-0.0851601038253895)</f>
        <v>-8.5160103825389494E-2</v>
      </c>
      <c r="PB68" s="3">
        <f ca="1">IFERROR(__xludf.DUMMYFUNCTION("""COMPUTED_VALUE"""),0.00186337233383904)</f>
        <v>1.86337233383904E-3</v>
      </c>
      <c r="PC68" s="3">
        <f ca="1">IFERROR(__xludf.DUMMYFUNCTION("""COMPUTED_VALUE"""),-0.00450401946131151)</f>
        <v>-4.5040194613115104E-3</v>
      </c>
      <c r="PD68" s="3">
        <f ca="1">IFERROR(__xludf.DUMMYFUNCTION("""COMPUTED_VALUE"""),-0.0456632102634855)</f>
        <v>-4.56632102634855E-2</v>
      </c>
      <c r="PE68" s="3">
        <f ca="1">IFERROR(__xludf.DUMMYFUNCTION("""COMPUTED_VALUE"""),0.156667108588365)</f>
        <v>0.15666710858836499</v>
      </c>
      <c r="PF68" s="3">
        <f ca="1">IFERROR(__xludf.DUMMYFUNCTION("""COMPUTED_VALUE"""),0.0193084079773628)</f>
        <v>1.9308407977362801E-2</v>
      </c>
      <c r="PG68" s="3">
        <f ca="1">IFERROR(__xludf.DUMMYFUNCTION("""COMPUTED_VALUE"""),-0.0791378736238835)</f>
        <v>-7.9137873623883498E-2</v>
      </c>
      <c r="PH68" s="3">
        <f ca="1">IFERROR(__xludf.DUMMYFUNCTION("""COMPUTED_VALUE"""),0.0224342287123731)</f>
        <v>2.2434228712373099E-2</v>
      </c>
      <c r="PI68" s="3">
        <f ca="1">IFERROR(__xludf.DUMMYFUNCTION("""COMPUTED_VALUE"""),-0.0163439484149149)</f>
        <v>-1.6343948414914902E-2</v>
      </c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</row>
    <row r="69" spans="1:477" ht="13">
      <c r="A69" s="1" t="str">
        <f ca="1">IFERROR(__xludf.DUMMYFUNCTION("""COMPUTED_VALUE"""),"exo La Presqu'Île")</f>
        <v>exo La Presqu'Île</v>
      </c>
      <c r="B69" s="1" t="str">
        <f ca="1">IFERROR(__xludf.DUMMYFUNCTION("""COMPUTED_VALUE"""),"Montréal")</f>
        <v>Montréal</v>
      </c>
      <c r="C69" s="1" t="str">
        <f ca="1">IFERROR(__xludf.DUMMYFUNCTION("""COMPUTED_VALUE"""),"Canada")</f>
        <v>Canada</v>
      </c>
      <c r="D69" s="1" t="str">
        <f ca="1">IFERROR(__xludf.DUMMYFUNCTION("""COMPUTED_VALUE"""),"Quebec")</f>
        <v>Quebec</v>
      </c>
      <c r="E69" s="3">
        <f ca="1">IFERROR(__xludf.DUMMYFUNCTION("""COMPUTED_VALUE"""),-0.52969253393989)</f>
        <v>-0.52969253393989002</v>
      </c>
      <c r="F69" s="3">
        <f ca="1">IFERROR(__xludf.DUMMYFUNCTION("""COMPUTED_VALUE"""),-0.642552804927433)</f>
        <v>-0.64255280492743305</v>
      </c>
      <c r="G69" s="3">
        <f ca="1">IFERROR(__xludf.DUMMYFUNCTION("""COMPUTED_VALUE"""),-0.715889264154154)</f>
        <v>-0.71588926415415399</v>
      </c>
      <c r="H69" s="3">
        <f ca="1">IFERROR(__xludf.DUMMYFUNCTION("""COMPUTED_VALUE"""),-0.669313492087902)</f>
        <v>-0.66931349208790203</v>
      </c>
      <c r="I69" s="3">
        <f ca="1">IFERROR(__xludf.DUMMYFUNCTION("""COMPUTED_VALUE"""),-0.691163473167598)</f>
        <v>-0.69116347316759796</v>
      </c>
      <c r="J69" s="3">
        <f ca="1">IFERROR(__xludf.DUMMYFUNCTION("""COMPUTED_VALUE"""),-0.609023181534813)</f>
        <v>-0.60902318153481305</v>
      </c>
      <c r="K69" s="3">
        <f ca="1">IFERROR(__xludf.DUMMYFUNCTION("""COMPUTED_VALUE"""),-0.647050784709785)</f>
        <v>-0.64705078470978505</v>
      </c>
      <c r="L69" s="3">
        <f ca="1">IFERROR(__xludf.DUMMYFUNCTION("""COMPUTED_VALUE"""),-0.699878611349192)</f>
        <v>-0.69987861134919205</v>
      </c>
      <c r="M69" s="3">
        <f ca="1">IFERROR(__xludf.DUMMYFUNCTION("""COMPUTED_VALUE"""),-0.760977990948052)</f>
        <v>-0.76097799094805196</v>
      </c>
      <c r="N69" s="3">
        <f ca="1">IFERROR(__xludf.DUMMYFUNCTION("""COMPUTED_VALUE"""),-0.716583012183397)</f>
        <v>-0.71658301218339704</v>
      </c>
      <c r="O69" s="3">
        <f ca="1">IFERROR(__xludf.DUMMYFUNCTION("""COMPUTED_VALUE"""),-0.730709382505219)</f>
        <v>-0.730709382505219</v>
      </c>
      <c r="P69" s="3">
        <f ca="1">IFERROR(__xludf.DUMMYFUNCTION("""COMPUTED_VALUE"""),-0.697735411508549)</f>
        <v>-0.69773541150854901</v>
      </c>
      <c r="Q69" s="3">
        <f ca="1">IFERROR(__xludf.DUMMYFUNCTION("""COMPUTED_VALUE"""),-0.691691414097504)</f>
        <v>-0.69169141409750401</v>
      </c>
      <c r="R69" s="3">
        <f ca="1">IFERROR(__xludf.DUMMYFUNCTION("""COMPUTED_VALUE"""),-0.638943939641715)</f>
        <v>-0.63894393964171503</v>
      </c>
      <c r="S69" s="3">
        <f ca="1">IFERROR(__xludf.DUMMYFUNCTION("""COMPUTED_VALUE"""),-0.629256527770421)</f>
        <v>-0.62925652777042096</v>
      </c>
      <c r="T69" s="3">
        <f ca="1">IFERROR(__xludf.DUMMYFUNCTION("""COMPUTED_VALUE"""),-0.721179048007355)</f>
        <v>-0.72117904800735499</v>
      </c>
      <c r="U69" s="3">
        <f ca="1">IFERROR(__xludf.DUMMYFUNCTION("""COMPUTED_VALUE"""),-0.680869544527089)</f>
        <v>-0.68086954452708903</v>
      </c>
      <c r="V69" s="3">
        <f ca="1">IFERROR(__xludf.DUMMYFUNCTION("""COMPUTED_VALUE"""),-0.705133464417537)</f>
        <v>-0.70513346441753699</v>
      </c>
      <c r="W69" s="3">
        <f ca="1">IFERROR(__xludf.DUMMYFUNCTION("""COMPUTED_VALUE"""),-0.706165825959268)</f>
        <v>-0.70616582595926802</v>
      </c>
      <c r="X69" s="3">
        <f ca="1">IFERROR(__xludf.DUMMYFUNCTION("""COMPUTED_VALUE"""),-0.640532382666405)</f>
        <v>-0.640532382666405</v>
      </c>
      <c r="Y69" s="3">
        <f ca="1">IFERROR(__xludf.DUMMYFUNCTION("""COMPUTED_VALUE"""),-0.527974385102563)</f>
        <v>-0.527974385102563</v>
      </c>
      <c r="Z69" s="3">
        <f ca="1">IFERROR(__xludf.DUMMYFUNCTION("""COMPUTED_VALUE"""),-0.578910080844286)</f>
        <v>-0.57891008084428597</v>
      </c>
      <c r="AA69" s="3">
        <f ca="1">IFERROR(__xludf.DUMMYFUNCTION("""COMPUTED_VALUE"""),-0.720678953089462)</f>
        <v>-0.72067895308946195</v>
      </c>
      <c r="AB69" s="3">
        <f ca="1">IFERROR(__xludf.DUMMYFUNCTION("""COMPUTED_VALUE"""),-0.729220117874665)</f>
        <v>-0.72922011787466501</v>
      </c>
      <c r="AC69" s="3">
        <f ca="1">IFERROR(__xludf.DUMMYFUNCTION("""COMPUTED_VALUE"""),-0.75208547032779)</f>
        <v>-0.75208547032779005</v>
      </c>
      <c r="AD69" s="3">
        <f ca="1">IFERROR(__xludf.DUMMYFUNCTION("""COMPUTED_VALUE"""),-0.764792740081171)</f>
        <v>-0.76479274008117104</v>
      </c>
      <c r="AE69" s="3">
        <f ca="1">IFERROR(__xludf.DUMMYFUNCTION("""COMPUTED_VALUE"""),-0.699332144205354)</f>
        <v>-0.69933214420535394</v>
      </c>
      <c r="AF69" s="3">
        <f ca="1">IFERROR(__xludf.DUMMYFUNCTION("""COMPUTED_VALUE"""),-0.597314090414585)</f>
        <v>-0.59731409041458505</v>
      </c>
      <c r="AG69" s="3">
        <f ca="1">IFERROR(__xludf.DUMMYFUNCTION("""COMPUTED_VALUE"""),-0.634202699978706)</f>
        <v>-0.63420269997870604</v>
      </c>
      <c r="AH69" s="3">
        <f ca="1">IFERROR(__xludf.DUMMYFUNCTION("""COMPUTED_VALUE"""),-0.716442131670309)</f>
        <v>-0.71644213167030901</v>
      </c>
      <c r="AI69" s="3">
        <f ca="1">IFERROR(__xludf.DUMMYFUNCTION("""COMPUTED_VALUE"""),-0.713393113613225)</f>
        <v>-0.71339311361322499</v>
      </c>
      <c r="AJ69" s="3">
        <f ca="1">IFERROR(__xludf.DUMMYFUNCTION("""COMPUTED_VALUE"""),-0.70228817650993)</f>
        <v>-0.70228817650993003</v>
      </c>
      <c r="AK69" s="3">
        <f ca="1">IFERROR(__xludf.DUMMYFUNCTION("""COMPUTED_VALUE"""),-0.734024438636646)</f>
        <v>-0.73402443863664601</v>
      </c>
      <c r="AL69" s="3">
        <f ca="1">IFERROR(__xludf.DUMMYFUNCTION("""COMPUTED_VALUE"""),-0.722440126063094)</f>
        <v>-0.72244012606309405</v>
      </c>
      <c r="AM69" s="3">
        <f ca="1">IFERROR(__xludf.DUMMYFUNCTION("""COMPUTED_VALUE"""),-0.610671680604535)</f>
        <v>-0.61067168060453503</v>
      </c>
      <c r="AN69" s="3">
        <f ca="1">IFERROR(__xludf.DUMMYFUNCTION("""COMPUTED_VALUE"""),-0.664008229157239)</f>
        <v>-0.664008229157239</v>
      </c>
      <c r="AO69" s="3">
        <f ca="1">IFERROR(__xludf.DUMMYFUNCTION("""COMPUTED_VALUE"""),-0.745869475439928)</f>
        <v>-0.74586947543992799</v>
      </c>
      <c r="AP69" s="3">
        <f ca="1">IFERROR(__xludf.DUMMYFUNCTION("""COMPUTED_VALUE"""),-0.751015020816794)</f>
        <v>-0.75101502081679405</v>
      </c>
      <c r="AQ69" s="3">
        <f ca="1">IFERROR(__xludf.DUMMYFUNCTION("""COMPUTED_VALUE"""),-0.717626348792719)</f>
        <v>-0.71762634879271903</v>
      </c>
      <c r="AR69" s="3">
        <f ca="1">IFERROR(__xludf.DUMMYFUNCTION("""COMPUTED_VALUE"""),-0.738074781720249)</f>
        <v>-0.73807478172024898</v>
      </c>
      <c r="AS69" s="3">
        <f ca="1">IFERROR(__xludf.DUMMYFUNCTION("""COMPUTED_VALUE"""),-0.673338727537818)</f>
        <v>-0.67333872753781798</v>
      </c>
      <c r="AT69" s="3">
        <f ca="1">IFERROR(__xludf.DUMMYFUNCTION("""COMPUTED_VALUE"""),-0.567610957781122)</f>
        <v>-0.56761095778112203</v>
      </c>
      <c r="AU69" s="3">
        <f ca="1">IFERROR(__xludf.DUMMYFUNCTION("""COMPUTED_VALUE"""),-0.634641098475358)</f>
        <v>-0.63464109847535799</v>
      </c>
      <c r="AV69" s="3">
        <f ca="1">IFERROR(__xludf.DUMMYFUNCTION("""COMPUTED_VALUE"""),-0.709734545774163)</f>
        <v>-0.70973454577416295</v>
      </c>
      <c r="AW69" s="3">
        <f ca="1">IFERROR(__xludf.DUMMYFUNCTION("""COMPUTED_VALUE"""),-0.747425893445813)</f>
        <v>-0.74742589344581301</v>
      </c>
      <c r="AX69" s="3">
        <f ca="1">IFERROR(__xludf.DUMMYFUNCTION("""COMPUTED_VALUE"""),-0.740943616859532)</f>
        <v>-0.74094361685953203</v>
      </c>
      <c r="AY69" s="3">
        <f ca="1">IFERROR(__xludf.DUMMYFUNCTION("""COMPUTED_VALUE"""),-0.772111095378256)</f>
        <v>-0.77211109537825595</v>
      </c>
      <c r="AZ69" s="3">
        <f ca="1">IFERROR(__xludf.DUMMYFUNCTION("""COMPUTED_VALUE"""),-0.728898954776388)</f>
        <v>-0.728898954776388</v>
      </c>
      <c r="BA69" s="3">
        <f ca="1">IFERROR(__xludf.DUMMYFUNCTION("""COMPUTED_VALUE"""),-0.59114593161308)</f>
        <v>-0.59114593161308004</v>
      </c>
      <c r="BB69" s="3">
        <f ca="1">IFERROR(__xludf.DUMMYFUNCTION("""COMPUTED_VALUE"""),-0.676333736490805)</f>
        <v>-0.67633373649080497</v>
      </c>
      <c r="BC69" s="3">
        <f ca="1">IFERROR(__xludf.DUMMYFUNCTION("""COMPUTED_VALUE"""),-0.784562780321273)</f>
        <v>-0.78456278032127302</v>
      </c>
      <c r="BD69" s="3">
        <f ca="1">IFERROR(__xludf.DUMMYFUNCTION("""COMPUTED_VALUE"""),-0.795557832702418)</f>
        <v>-0.79555783270241798</v>
      </c>
      <c r="BE69" s="3">
        <f ca="1">IFERROR(__xludf.DUMMYFUNCTION("""COMPUTED_VALUE"""),-0.725152995684454)</f>
        <v>-0.72515299568445402</v>
      </c>
      <c r="BF69" s="3">
        <f ca="1">IFERROR(__xludf.DUMMYFUNCTION("""COMPUTED_VALUE"""),-0.79968899390372)</f>
        <v>-0.79968899390371995</v>
      </c>
      <c r="BG69" s="3">
        <f ca="1">IFERROR(__xludf.DUMMYFUNCTION("""COMPUTED_VALUE"""),-0.741114676639717)</f>
        <v>-0.74111467663971697</v>
      </c>
      <c r="BH69" s="3">
        <f ca="1">IFERROR(__xludf.DUMMYFUNCTION("""COMPUTED_VALUE"""),-0.628163639987907)</f>
        <v>-0.62816363998790703</v>
      </c>
      <c r="BI69" s="3">
        <f ca="1">IFERROR(__xludf.DUMMYFUNCTION("""COMPUTED_VALUE"""),-0.655113821170011)</f>
        <v>-0.65511382117001105</v>
      </c>
      <c r="BJ69" s="3">
        <f ca="1">IFERROR(__xludf.DUMMYFUNCTION("""COMPUTED_VALUE"""),-0.763883674535851)</f>
        <v>-0.76388367453585104</v>
      </c>
      <c r="BK69" s="3">
        <f ca="1">IFERROR(__xludf.DUMMYFUNCTION("""COMPUTED_VALUE"""),-0.780929474055463)</f>
        <v>-0.78092947405546298</v>
      </c>
      <c r="BL69" s="3">
        <f ca="1">IFERROR(__xludf.DUMMYFUNCTION("""COMPUTED_VALUE"""),-0.784406459970305)</f>
        <v>-0.784406459970305</v>
      </c>
      <c r="BM69" s="3">
        <f ca="1">IFERROR(__xludf.DUMMYFUNCTION("""COMPUTED_VALUE"""),-0.778166017048714)</f>
        <v>-0.77816601704871402</v>
      </c>
      <c r="BN69" s="3">
        <f ca="1">IFERROR(__xludf.DUMMYFUNCTION("""COMPUTED_VALUE"""),-0.774763151560325)</f>
        <v>-0.77476315156032505</v>
      </c>
      <c r="BO69" s="3">
        <f ca="1">IFERROR(__xludf.DUMMYFUNCTION("""COMPUTED_VALUE"""),-0.676047700927709)</f>
        <v>-0.67604770092770905</v>
      </c>
      <c r="BP69" s="3">
        <f ca="1">IFERROR(__xludf.DUMMYFUNCTION("""COMPUTED_VALUE"""),-0.748374146325249)</f>
        <v>-0.74837414632524901</v>
      </c>
      <c r="BQ69" s="3">
        <f ca="1">IFERROR(__xludf.DUMMYFUNCTION("""COMPUTED_VALUE"""),-0.792080531279937)</f>
        <v>-0.79208053127993705</v>
      </c>
      <c r="BR69" s="3">
        <f ca="1">IFERROR(__xludf.DUMMYFUNCTION("""COMPUTED_VALUE"""),-0.805952082666245)</f>
        <v>-0.80595208266624496</v>
      </c>
      <c r="BS69" s="3">
        <f ca="1">IFERROR(__xludf.DUMMYFUNCTION("""COMPUTED_VALUE"""),-0.811565597542618)</f>
        <v>-0.81156559754261803</v>
      </c>
      <c r="BT69" s="3">
        <f ca="1">IFERROR(__xludf.DUMMYFUNCTION("""COMPUTED_VALUE"""),-0.834662241721466)</f>
        <v>-0.83466224172146597</v>
      </c>
      <c r="BU69" s="3">
        <f ca="1">IFERROR(__xludf.DUMMYFUNCTION("""COMPUTED_VALUE"""),-0.821540914060246)</f>
        <v>-0.82154091406024599</v>
      </c>
      <c r="BV69" s="3">
        <f ca="1">IFERROR(__xludf.DUMMYFUNCTION("""COMPUTED_VALUE"""),-0.717844315075013)</f>
        <v>-0.71784431507501301</v>
      </c>
      <c r="BW69" s="3">
        <f ca="1">IFERROR(__xludf.DUMMYFUNCTION("""COMPUTED_VALUE"""),-0.776219722944982)</f>
        <v>-0.77621972294498198</v>
      </c>
      <c r="BX69" s="3">
        <f ca="1">IFERROR(__xludf.DUMMYFUNCTION("""COMPUTED_VALUE"""),-0.826571955530307)</f>
        <v>-0.82657195553030705</v>
      </c>
      <c r="BY69" s="3">
        <f ca="1">IFERROR(__xludf.DUMMYFUNCTION("""COMPUTED_VALUE"""),-0.834024843824123)</f>
        <v>-0.83402484382412301</v>
      </c>
      <c r="BZ69" s="3">
        <f ca="1">IFERROR(__xludf.DUMMYFUNCTION("""COMPUTED_VALUE"""),-0.828737526048566)</f>
        <v>-0.82873752604856599</v>
      </c>
      <c r="CA69" s="3">
        <f ca="1">IFERROR(__xludf.DUMMYFUNCTION("""COMPUTED_VALUE"""),-0.841182117085551)</f>
        <v>-0.84118211708555102</v>
      </c>
      <c r="CB69" s="3">
        <f ca="1">IFERROR(__xludf.DUMMYFUNCTION("""COMPUTED_VALUE"""),-0.796477567503824)</f>
        <v>-0.79647756750382404</v>
      </c>
      <c r="CC69" s="3">
        <f ca="1">IFERROR(__xludf.DUMMYFUNCTION("""COMPUTED_VALUE"""),-0.72713470382855)</f>
        <v>-0.72713470382855006</v>
      </c>
      <c r="CD69" s="3">
        <f ca="1">IFERROR(__xludf.DUMMYFUNCTION("""COMPUTED_VALUE"""),-0.738917367512191)</f>
        <v>-0.73891736751219095</v>
      </c>
      <c r="CE69" s="3">
        <f ca="1">IFERROR(__xludf.DUMMYFUNCTION("""COMPUTED_VALUE"""),-0.786899857693931)</f>
        <v>-0.786899857693931</v>
      </c>
      <c r="CF69" s="3">
        <f ca="1">IFERROR(__xludf.DUMMYFUNCTION("""COMPUTED_VALUE"""),-0.788482495042734)</f>
        <v>-0.78848249504273404</v>
      </c>
      <c r="CG69" s="3">
        <f ca="1">IFERROR(__xludf.DUMMYFUNCTION("""COMPUTED_VALUE"""),-0.814542898081712)</f>
        <v>-0.81454289808171199</v>
      </c>
      <c r="CH69" s="3">
        <f ca="1">IFERROR(__xludf.DUMMYFUNCTION("""COMPUTED_VALUE"""),-0.807759476064132)</f>
        <v>-0.80775947606413201</v>
      </c>
      <c r="CI69" s="3">
        <f ca="1">IFERROR(__xludf.DUMMYFUNCTION("""COMPUTED_VALUE"""),-0.770637001476458)</f>
        <v>-0.77063700147645797</v>
      </c>
      <c r="CJ69" s="3">
        <f ca="1">IFERROR(__xludf.DUMMYFUNCTION("""COMPUTED_VALUE"""),-0.675449266139858)</f>
        <v>-0.67544926613985801</v>
      </c>
      <c r="CK69" s="3">
        <f ca="1">IFERROR(__xludf.DUMMYFUNCTION("""COMPUTED_VALUE"""),-0.731811891876111)</f>
        <v>-0.73181189187611095</v>
      </c>
      <c r="CL69" s="3">
        <f ca="1">IFERROR(__xludf.DUMMYFUNCTION("""COMPUTED_VALUE"""),-0.811053648044315)</f>
        <v>-0.81105364804431501</v>
      </c>
      <c r="CM69" s="3">
        <f ca="1">IFERROR(__xludf.DUMMYFUNCTION("""COMPUTED_VALUE"""),-0.815042361866896)</f>
        <v>-0.81504236186689605</v>
      </c>
      <c r="CN69" s="3">
        <f ca="1">IFERROR(__xludf.DUMMYFUNCTION("""COMPUTED_VALUE"""),-0.813223146302908)</f>
        <v>-0.81322314630290804</v>
      </c>
      <c r="CO69" s="3">
        <f ca="1">IFERROR(__xludf.DUMMYFUNCTION("""COMPUTED_VALUE"""),-0.811193385211329)</f>
        <v>-0.811193385211329</v>
      </c>
      <c r="CP69" s="3">
        <f ca="1">IFERROR(__xludf.DUMMYFUNCTION("""COMPUTED_VALUE"""),-0.760251827329435)</f>
        <v>-0.76025182732943497</v>
      </c>
      <c r="CQ69" s="3">
        <f ca="1">IFERROR(__xludf.DUMMYFUNCTION("""COMPUTED_VALUE"""),-0.651399262984511)</f>
        <v>-0.65139926298451101</v>
      </c>
      <c r="CR69" s="3">
        <f ca="1">IFERROR(__xludf.DUMMYFUNCTION("""COMPUTED_VALUE"""),-0.686554432873256)</f>
        <v>-0.68655443287325602</v>
      </c>
      <c r="CS69" s="3">
        <f ca="1">IFERROR(__xludf.DUMMYFUNCTION("""COMPUTED_VALUE"""),-0.722804021863152)</f>
        <v>-0.72280402186315196</v>
      </c>
      <c r="CT69" s="3">
        <f ca="1">IFERROR(__xludf.DUMMYFUNCTION("""COMPUTED_VALUE"""),-0.684139392515487)</f>
        <v>-0.68413939251548705</v>
      </c>
      <c r="CU69" s="3">
        <f ca="1">IFERROR(__xludf.DUMMYFUNCTION("""COMPUTED_VALUE"""),-0.656725840500784)</f>
        <v>-0.65672584050078397</v>
      </c>
      <c r="CV69" s="3">
        <f ca="1">IFERROR(__xludf.DUMMYFUNCTION("""COMPUTED_VALUE"""),-0.694534931199199)</f>
        <v>-0.69453493119919896</v>
      </c>
      <c r="CW69" s="3">
        <f ca="1">IFERROR(__xludf.DUMMYFUNCTION("""COMPUTED_VALUE"""),-0.706651451040376)</f>
        <v>-0.70665145104037597</v>
      </c>
      <c r="CX69" s="3">
        <f ca="1">IFERROR(__xludf.DUMMYFUNCTION("""COMPUTED_VALUE"""),-0.713187095093487)</f>
        <v>-0.71318709509348699</v>
      </c>
      <c r="CY69" s="3">
        <f ca="1">IFERROR(__xludf.DUMMYFUNCTION("""COMPUTED_VALUE"""),-0.780094929694954)</f>
        <v>-0.78009492969495398</v>
      </c>
      <c r="CZ69" s="3">
        <f ca="1">IFERROR(__xludf.DUMMYFUNCTION("""COMPUTED_VALUE"""),-0.822169274501205)</f>
        <v>-0.82216927450120503</v>
      </c>
      <c r="DA69" s="3">
        <f ca="1">IFERROR(__xludf.DUMMYFUNCTION("""COMPUTED_VALUE"""),-0.633687417075339)</f>
        <v>-0.63368741707533904</v>
      </c>
      <c r="DB69" s="3">
        <f ca="1">IFERROR(__xludf.DUMMYFUNCTION("""COMPUTED_VALUE"""),-0.606013433087298)</f>
        <v>-0.60601343308729805</v>
      </c>
      <c r="DC69" s="3">
        <f ca="1">IFERROR(__xludf.DUMMYFUNCTION("""COMPUTED_VALUE"""),-0.731591895311422)</f>
        <v>-0.73159189531142199</v>
      </c>
      <c r="DD69" s="3">
        <f ca="1">IFERROR(__xludf.DUMMYFUNCTION("""COMPUTED_VALUE"""),-0.766590992286925)</f>
        <v>-0.76659099228692495</v>
      </c>
      <c r="DE69" s="3">
        <f ca="1">IFERROR(__xludf.DUMMYFUNCTION("""COMPUTED_VALUE"""),-0.735490000711976)</f>
        <v>-0.73549000071197601</v>
      </c>
      <c r="DF69" s="3">
        <f ca="1">IFERROR(__xludf.DUMMYFUNCTION("""COMPUTED_VALUE"""),-0.806395889170592)</f>
        <v>-0.80639588917059202</v>
      </c>
      <c r="DG69" s="3">
        <f ca="1">IFERROR(__xludf.DUMMYFUNCTION("""COMPUTED_VALUE"""),-0.858964255490673)</f>
        <v>-0.85896425549067301</v>
      </c>
      <c r="DH69" s="3">
        <f ca="1">IFERROR(__xludf.DUMMYFUNCTION("""COMPUTED_VALUE"""),-0.583423142426475)</f>
        <v>-0.58342314242647497</v>
      </c>
      <c r="DI69" s="3">
        <f ca="1">IFERROR(__xludf.DUMMYFUNCTION("""COMPUTED_VALUE"""),-0.413696928481333)</f>
        <v>-0.41369692848133299</v>
      </c>
      <c r="DJ69" s="3">
        <f ca="1">IFERROR(__xludf.DUMMYFUNCTION("""COMPUTED_VALUE"""),-0.617973415042389)</f>
        <v>-0.61797341504238901</v>
      </c>
      <c r="DK69" s="3">
        <f ca="1">IFERROR(__xludf.DUMMYFUNCTION("""COMPUTED_VALUE"""),-0.627118650066182)</f>
        <v>-0.62711865006618195</v>
      </c>
      <c r="DL69" s="3">
        <f ca="1">IFERROR(__xludf.DUMMYFUNCTION("""COMPUTED_VALUE"""),-0.626084756465285)</f>
        <v>-0.62608475646528505</v>
      </c>
      <c r="DM69" s="3">
        <f ca="1">IFERROR(__xludf.DUMMYFUNCTION("""COMPUTED_VALUE"""),-0.641649143822361)</f>
        <v>-0.64164914382236105</v>
      </c>
      <c r="DN69" s="3">
        <f ca="1">IFERROR(__xludf.DUMMYFUNCTION("""COMPUTED_VALUE"""),-0.669034441673293)</f>
        <v>-0.66903444167329296</v>
      </c>
      <c r="DO69" s="3">
        <f ca="1">IFERROR(__xludf.DUMMYFUNCTION("""COMPUTED_VALUE"""),-0.663568281073709)</f>
        <v>-0.66356828107370902</v>
      </c>
      <c r="DP69" s="3">
        <f ca="1">IFERROR(__xludf.DUMMYFUNCTION("""COMPUTED_VALUE"""),-0.671999308131336)</f>
        <v>-0.67199930813133602</v>
      </c>
      <c r="DQ69" s="3">
        <f ca="1">IFERROR(__xludf.DUMMYFUNCTION("""COMPUTED_VALUE"""),-0.684131036103604)</f>
        <v>-0.68413103610360404</v>
      </c>
      <c r="DR69" s="3">
        <f ca="1">IFERROR(__xludf.DUMMYFUNCTION("""COMPUTED_VALUE"""),-0.673374510204689)</f>
        <v>-0.67337451020468897</v>
      </c>
      <c r="DS69" s="3">
        <f ca="1">IFERROR(__xludf.DUMMYFUNCTION("""COMPUTED_VALUE"""),-0.643040254289517)</f>
        <v>-0.64304025428951705</v>
      </c>
      <c r="DT69" s="3">
        <f ca="1">IFERROR(__xludf.DUMMYFUNCTION("""COMPUTED_VALUE"""),-0.691198539664042)</f>
        <v>-0.69119853966404199</v>
      </c>
      <c r="DU69" s="3">
        <f ca="1">IFERROR(__xludf.DUMMYFUNCTION("""COMPUTED_VALUE"""),-0.749237381842704)</f>
        <v>-0.74923738184270405</v>
      </c>
      <c r="DV69" s="3">
        <f ca="1">IFERROR(__xludf.DUMMYFUNCTION("""COMPUTED_VALUE"""),-0.740963375366653)</f>
        <v>-0.74096337536665302</v>
      </c>
      <c r="DW69" s="3">
        <f ca="1">IFERROR(__xludf.DUMMYFUNCTION("""COMPUTED_VALUE"""),-0.756755281535318)</f>
        <v>-0.75675528153531801</v>
      </c>
      <c r="DX69" s="3">
        <f ca="1">IFERROR(__xludf.DUMMYFUNCTION("""COMPUTED_VALUE"""),-0.761631734705615)</f>
        <v>-0.76163173470561496</v>
      </c>
      <c r="DY69" s="3">
        <f ca="1">IFERROR(__xludf.DUMMYFUNCTION("""COMPUTED_VALUE"""),-0.732110895369159)</f>
        <v>-0.73211089536915896</v>
      </c>
      <c r="DZ69" s="3">
        <f ca="1">IFERROR(__xludf.DUMMYFUNCTION("""COMPUTED_VALUE"""),-0.638702961636151)</f>
        <v>-0.63870296163615103</v>
      </c>
      <c r="EA69" s="3">
        <f ca="1">IFERROR(__xludf.DUMMYFUNCTION("""COMPUTED_VALUE"""),-0.663925939516515)</f>
        <v>-0.66392593951651502</v>
      </c>
      <c r="EB69" s="3">
        <f ca="1">IFERROR(__xludf.DUMMYFUNCTION("""COMPUTED_VALUE"""),-0.768504374542761)</f>
        <v>-0.76850437454276099</v>
      </c>
      <c r="EC69" s="3">
        <f ca="1">IFERROR(__xludf.DUMMYFUNCTION("""COMPUTED_VALUE"""),-0.776132941554213)</f>
        <v>-0.77613294155421297</v>
      </c>
      <c r="ED69" s="3">
        <f ca="1">IFERROR(__xludf.DUMMYFUNCTION("""COMPUTED_VALUE"""),-0.783484647175005)</f>
        <v>-0.78348464717500499</v>
      </c>
      <c r="EE69" s="3">
        <f ca="1">IFERROR(__xludf.DUMMYFUNCTION("""COMPUTED_VALUE"""),-0.770707705037794)</f>
        <v>-0.77070770503779396</v>
      </c>
      <c r="EF69" s="3">
        <f ca="1">IFERROR(__xludf.DUMMYFUNCTION("""COMPUTED_VALUE"""),-0.725618767478426)</f>
        <v>-0.72561876747842602</v>
      </c>
      <c r="EG69" s="3">
        <f ca="1">IFERROR(__xludf.DUMMYFUNCTION("""COMPUTED_VALUE"""),-0.633179313837962)</f>
        <v>-0.633179313837962</v>
      </c>
      <c r="EH69" s="3">
        <f ca="1">IFERROR(__xludf.DUMMYFUNCTION("""COMPUTED_VALUE"""),-0.643989081679586)</f>
        <v>-0.64398908167958602</v>
      </c>
      <c r="EI69" s="3">
        <f ca="1">IFERROR(__xludf.DUMMYFUNCTION("""COMPUTED_VALUE"""),-0.764495073034385)</f>
        <v>-0.76449507303438502</v>
      </c>
      <c r="EJ69" s="3">
        <f ca="1">IFERROR(__xludf.DUMMYFUNCTION("""COMPUTED_VALUE"""),-0.763836154644518)</f>
        <v>-0.76383615464451804</v>
      </c>
      <c r="EK69" s="3">
        <f ca="1">IFERROR(__xludf.DUMMYFUNCTION("""COMPUTED_VALUE"""),-0.738854479888478)</f>
        <v>-0.73885447988847797</v>
      </c>
      <c r="EL69" s="3">
        <f ca="1">IFERROR(__xludf.DUMMYFUNCTION("""COMPUTED_VALUE"""),-0.791888125649724)</f>
        <v>-0.791888125649724</v>
      </c>
      <c r="EM69" s="3">
        <f ca="1">IFERROR(__xludf.DUMMYFUNCTION("""COMPUTED_VALUE"""),-0.756427846020572)</f>
        <v>-0.756427846020572</v>
      </c>
      <c r="EN69" s="3">
        <f ca="1">IFERROR(__xludf.DUMMYFUNCTION("""COMPUTED_VALUE"""),-0.599700232592422)</f>
        <v>-0.599700232592422</v>
      </c>
      <c r="EO69" s="3">
        <f ca="1">IFERROR(__xludf.DUMMYFUNCTION("""COMPUTED_VALUE"""),-0.667514893838371)</f>
        <v>-0.66751489383837104</v>
      </c>
      <c r="EP69" s="3">
        <f ca="1">IFERROR(__xludf.DUMMYFUNCTION("""COMPUTED_VALUE"""),-0.776533729404624)</f>
        <v>-0.77653372940462395</v>
      </c>
      <c r="EQ69" s="3">
        <f ca="1">IFERROR(__xludf.DUMMYFUNCTION("""COMPUTED_VALUE"""),-0.807882474450437)</f>
        <v>-0.80788247445043704</v>
      </c>
      <c r="ER69" s="3">
        <f ca="1">IFERROR(__xludf.DUMMYFUNCTION("""COMPUTED_VALUE"""),-0.802816749704952)</f>
        <v>-0.80281674970495198</v>
      </c>
      <c r="ES69" s="3">
        <f ca="1">IFERROR(__xludf.DUMMYFUNCTION("""COMPUTED_VALUE"""),-0.797932840649683)</f>
        <v>-0.79793284064968295</v>
      </c>
      <c r="ET69" s="3">
        <f ca="1">IFERROR(__xludf.DUMMYFUNCTION("""COMPUTED_VALUE"""),-0.782389851851579)</f>
        <v>-0.78238985185157905</v>
      </c>
      <c r="EU69" s="3">
        <f ca="1">IFERROR(__xludf.DUMMYFUNCTION("""COMPUTED_VALUE"""),-0.653219335518455)</f>
        <v>-0.65321933551845501</v>
      </c>
      <c r="EV69" s="3">
        <f ca="1">IFERROR(__xludf.DUMMYFUNCTION("""COMPUTED_VALUE"""),-0.706251341648547)</f>
        <v>-0.70625134164854697</v>
      </c>
      <c r="EW69" s="3">
        <f ca="1">IFERROR(__xludf.DUMMYFUNCTION("""COMPUTED_VALUE"""),-0.780536176174717)</f>
        <v>-0.78053617617471704</v>
      </c>
      <c r="EX69" s="3">
        <f ca="1">IFERROR(__xludf.DUMMYFUNCTION("""COMPUTED_VALUE"""),-0.804765031127515)</f>
        <v>-0.80476503112751496</v>
      </c>
      <c r="EY69" s="3">
        <f ca="1">IFERROR(__xludf.DUMMYFUNCTION("""COMPUTED_VALUE"""),-0.807769655210512)</f>
        <v>-0.80776965521051203</v>
      </c>
      <c r="EZ69" s="3">
        <f ca="1">IFERROR(__xludf.DUMMYFUNCTION("""COMPUTED_VALUE"""),-0.790212469506177)</f>
        <v>-0.79021246950617696</v>
      </c>
      <c r="FA69" s="3">
        <f ca="1">IFERROR(__xludf.DUMMYFUNCTION("""COMPUTED_VALUE"""),-0.745857246406776)</f>
        <v>-0.74585724640677598</v>
      </c>
      <c r="FB69" s="3">
        <f ca="1">IFERROR(__xludf.DUMMYFUNCTION("""COMPUTED_VALUE"""),-0.58191990690072)</f>
        <v>-0.58191990690072004</v>
      </c>
      <c r="FC69" s="3">
        <f ca="1">IFERROR(__xludf.DUMMYFUNCTION("""COMPUTED_VALUE"""),-0.620304830792877)</f>
        <v>-0.62030483079287702</v>
      </c>
      <c r="FD69" s="3">
        <f ca="1">IFERROR(__xludf.DUMMYFUNCTION("""COMPUTED_VALUE"""),-0.747645739865349)</f>
        <v>-0.74764573986534899</v>
      </c>
      <c r="FE69" s="3">
        <f ca="1">IFERROR(__xludf.DUMMYFUNCTION("""COMPUTED_VALUE"""),-0.780336054710062)</f>
        <v>-0.78033605471006195</v>
      </c>
      <c r="FF69" s="3">
        <f ca="1">IFERROR(__xludf.DUMMYFUNCTION("""COMPUTED_VALUE"""),-0.777848156677568)</f>
        <v>-0.77784815667756801</v>
      </c>
      <c r="FG69" s="3">
        <f ca="1">IFERROR(__xludf.DUMMYFUNCTION("""COMPUTED_VALUE"""),-0.809716291916853)</f>
        <v>-0.80971629191685301</v>
      </c>
      <c r="FH69" s="3">
        <f ca="1">IFERROR(__xludf.DUMMYFUNCTION("""COMPUTED_VALUE"""),-0.762156899071696)</f>
        <v>-0.76215689907169604</v>
      </c>
      <c r="FI69" s="3">
        <f ca="1">IFERROR(__xludf.DUMMYFUNCTION("""COMPUTED_VALUE"""),-0.634786311035854)</f>
        <v>-0.63478631103585403</v>
      </c>
      <c r="FJ69" s="3">
        <f ca="1">IFERROR(__xludf.DUMMYFUNCTION("""COMPUTED_VALUE"""),-0.663381073655205)</f>
        <v>-0.66338107365520504</v>
      </c>
      <c r="FK69" s="3">
        <f ca="1">IFERROR(__xludf.DUMMYFUNCTION("""COMPUTED_VALUE"""),-0.772231858296455)</f>
        <v>-0.77223185829645502</v>
      </c>
      <c r="FL69" s="3">
        <f ca="1">IFERROR(__xludf.DUMMYFUNCTION("""COMPUTED_VALUE"""),-0.771652938418588)</f>
        <v>-0.77165293841858795</v>
      </c>
      <c r="FM69" s="3">
        <f ca="1">IFERROR(__xludf.DUMMYFUNCTION("""COMPUTED_VALUE"""),-0.762581677287532)</f>
        <v>-0.76258167728753201</v>
      </c>
      <c r="FN69" s="3">
        <f ca="1">IFERROR(__xludf.DUMMYFUNCTION("""COMPUTED_VALUE"""),-0.756543399154065)</f>
        <v>-0.75654339915406499</v>
      </c>
      <c r="FO69" s="3">
        <f ca="1">IFERROR(__xludf.DUMMYFUNCTION("""COMPUTED_VALUE"""),-0.723139696057877)</f>
        <v>-0.72313969605787698</v>
      </c>
      <c r="FP69" s="3">
        <f ca="1">IFERROR(__xludf.DUMMYFUNCTION("""COMPUTED_VALUE"""),-0.569861467183501)</f>
        <v>-0.56986146718350095</v>
      </c>
      <c r="FQ69" s="3">
        <f ca="1">IFERROR(__xludf.DUMMYFUNCTION("""COMPUTED_VALUE"""),-0.680236592590587)</f>
        <v>-0.680236592590587</v>
      </c>
      <c r="FR69" s="3">
        <f ca="1">IFERROR(__xludf.DUMMYFUNCTION("""COMPUTED_VALUE"""),-0.765072851046142)</f>
        <v>-0.76507285104614198</v>
      </c>
      <c r="FS69" s="3">
        <f ca="1">IFERROR(__xludf.DUMMYFUNCTION("""COMPUTED_VALUE"""),-0.774688958673744)</f>
        <v>-0.77468895867374399</v>
      </c>
      <c r="FT69" s="3">
        <f ca="1">IFERROR(__xludf.DUMMYFUNCTION("""COMPUTED_VALUE"""),-0.768734270713441)</f>
        <v>-0.76873427071344103</v>
      </c>
      <c r="FU69" s="3">
        <f ca="1">IFERROR(__xludf.DUMMYFUNCTION("""COMPUTED_VALUE"""),-0.734075940415177)</f>
        <v>-0.73407594041517699</v>
      </c>
      <c r="FV69" s="3">
        <f ca="1">IFERROR(__xludf.DUMMYFUNCTION("""COMPUTED_VALUE"""),-0.667534637960107)</f>
        <v>-0.66753463796010704</v>
      </c>
      <c r="FW69" s="3">
        <f ca="1">IFERROR(__xludf.DUMMYFUNCTION("""COMPUTED_VALUE"""),-0.612904728162807)</f>
        <v>-0.61290472816280706</v>
      </c>
      <c r="FX69" s="3">
        <f ca="1">IFERROR(__xludf.DUMMYFUNCTION("""COMPUTED_VALUE"""),-0.667032234475664)</f>
        <v>-0.66703223447566395</v>
      </c>
      <c r="FY69" s="3">
        <f ca="1">IFERROR(__xludf.DUMMYFUNCTION("""COMPUTED_VALUE"""),-0.787267370774327)</f>
        <v>-0.78726737077432696</v>
      </c>
      <c r="FZ69" s="3">
        <f ca="1">IFERROR(__xludf.DUMMYFUNCTION("""COMPUTED_VALUE"""),-0.743027537718248)</f>
        <v>-0.74302753771824803</v>
      </c>
      <c r="GA69" s="3">
        <f ca="1">IFERROR(__xludf.DUMMYFUNCTION("""COMPUTED_VALUE"""),-0.783549564084986)</f>
        <v>-0.78354956408498599</v>
      </c>
      <c r="GB69" s="3">
        <f ca="1">IFERROR(__xludf.DUMMYFUNCTION("""COMPUTED_VALUE"""),-0.818132939426122)</f>
        <v>-0.81813293942612197</v>
      </c>
      <c r="GC69" s="3">
        <f ca="1">IFERROR(__xludf.DUMMYFUNCTION("""COMPUTED_VALUE"""),-0.797027330916392)</f>
        <v>-0.797027330916392</v>
      </c>
      <c r="GD69" s="3">
        <f ca="1">IFERROR(__xludf.DUMMYFUNCTION("""COMPUTED_VALUE"""),-0.582709132973583)</f>
        <v>-0.58270913297358296</v>
      </c>
      <c r="GE69" s="3">
        <f ca="1">IFERROR(__xludf.DUMMYFUNCTION("""COMPUTED_VALUE"""),-0.707662400727038)</f>
        <v>-0.70766240072703801</v>
      </c>
      <c r="GF69" s="3">
        <f ca="1">IFERROR(__xludf.DUMMYFUNCTION("""COMPUTED_VALUE"""),-0.770672080109181)</f>
        <v>-0.77067208010918098</v>
      </c>
      <c r="GG69" s="3">
        <f ca="1">IFERROR(__xludf.DUMMYFUNCTION("""COMPUTED_VALUE"""),-0.759443308411814)</f>
        <v>-0.75944330841181396</v>
      </c>
      <c r="GH69" s="3">
        <f ca="1">IFERROR(__xludf.DUMMYFUNCTION("""COMPUTED_VALUE"""),-0.748756765689568)</f>
        <v>-0.74875676568956795</v>
      </c>
      <c r="GI69" s="3">
        <f ca="1">IFERROR(__xludf.DUMMYFUNCTION("""COMPUTED_VALUE"""),-0.718889077974404)</f>
        <v>-0.71888907797440404</v>
      </c>
      <c r="GJ69" s="3">
        <f ca="1">IFERROR(__xludf.DUMMYFUNCTION("""COMPUTED_VALUE"""),-0.639075775640401)</f>
        <v>-0.63907577564040097</v>
      </c>
      <c r="GK69" s="3">
        <f ca="1">IFERROR(__xludf.DUMMYFUNCTION("""COMPUTED_VALUE"""),-0.606056533673502)</f>
        <v>-0.60605653367350198</v>
      </c>
      <c r="GL69" s="3">
        <f ca="1">IFERROR(__xludf.DUMMYFUNCTION("""COMPUTED_VALUE"""),-0.689312815756171)</f>
        <v>-0.68931281575617098</v>
      </c>
      <c r="GM69" s="3">
        <f ca="1">IFERROR(__xludf.DUMMYFUNCTION("""COMPUTED_VALUE"""),-0.762402799295732)</f>
        <v>-0.76240279929573196</v>
      </c>
      <c r="GN69" s="3">
        <f ca="1">IFERROR(__xludf.DUMMYFUNCTION("""COMPUTED_VALUE"""),-0.758985015455722)</f>
        <v>-0.75898501545572195</v>
      </c>
      <c r="GO69" s="3">
        <f ca="1">IFERROR(__xludf.DUMMYFUNCTION("""COMPUTED_VALUE"""),-0.746134615554919)</f>
        <v>-0.746134615554919</v>
      </c>
      <c r="GP69" s="3">
        <f ca="1">IFERROR(__xludf.DUMMYFUNCTION("""COMPUTED_VALUE"""),-0.736667891615201)</f>
        <v>-0.73666789161520096</v>
      </c>
      <c r="GQ69" s="3">
        <f ca="1">IFERROR(__xludf.DUMMYFUNCTION("""COMPUTED_VALUE"""),-0.694511592952725)</f>
        <v>-0.69451159295272502</v>
      </c>
      <c r="GR69" s="3">
        <f ca="1">IFERROR(__xludf.DUMMYFUNCTION("""COMPUTED_VALUE"""),-0.526792589114599)</f>
        <v>-0.52679258911459903</v>
      </c>
      <c r="GS69" s="3">
        <f ca="1">IFERROR(__xludf.DUMMYFUNCTION("""COMPUTED_VALUE"""),-0.575445048821931)</f>
        <v>-0.57544504882193104</v>
      </c>
      <c r="GT69" s="3">
        <f ca="1">IFERROR(__xludf.DUMMYFUNCTION("""COMPUTED_VALUE"""),-0.702255880903385)</f>
        <v>-0.70225588090338498</v>
      </c>
      <c r="GU69" s="3">
        <f ca="1">IFERROR(__xludf.DUMMYFUNCTION("""COMPUTED_VALUE"""),-0.720961200393871)</f>
        <v>-0.72096120039387102</v>
      </c>
      <c r="GV69" s="3">
        <f ca="1">IFERROR(__xludf.DUMMYFUNCTION("""COMPUTED_VALUE"""),-0.718441088642017)</f>
        <v>-0.71844108864201695</v>
      </c>
      <c r="GW69" s="3">
        <f ca="1">IFERROR(__xludf.DUMMYFUNCTION("""COMPUTED_VALUE"""),-0.704566613463381)</f>
        <v>-0.70456661346338101</v>
      </c>
      <c r="GX69" s="3">
        <f ca="1">IFERROR(__xludf.DUMMYFUNCTION("""COMPUTED_VALUE"""),-0.629934389681686)</f>
        <v>-0.62993438968168602</v>
      </c>
      <c r="GY69" s="3">
        <f ca="1">IFERROR(__xludf.DUMMYFUNCTION("""COMPUTED_VALUE"""),-0.478385375969494)</f>
        <v>-0.47838537596949399</v>
      </c>
      <c r="GZ69" s="3">
        <f ca="1">IFERROR(__xludf.DUMMYFUNCTION("""COMPUTED_VALUE"""),-0.543828433404185)</f>
        <v>-0.54382843340418496</v>
      </c>
      <c r="HA69" s="3">
        <f ca="1">IFERROR(__xludf.DUMMYFUNCTION("""COMPUTED_VALUE"""),-0.669377667688301)</f>
        <v>-0.66937766768830098</v>
      </c>
      <c r="HB69" s="3">
        <f ca="1">IFERROR(__xludf.DUMMYFUNCTION("""COMPUTED_VALUE"""),-0.697228329444685)</f>
        <v>-0.69722832944468505</v>
      </c>
      <c r="HC69" s="3">
        <f ca="1">IFERROR(__xludf.DUMMYFUNCTION("""COMPUTED_VALUE"""),-0.699635618342548)</f>
        <v>-0.69963561834254795</v>
      </c>
      <c r="HD69" s="3">
        <f ca="1">IFERROR(__xludf.DUMMYFUNCTION("""COMPUTED_VALUE"""),-0.694776426090449)</f>
        <v>-0.69477642609044898</v>
      </c>
      <c r="HE69" s="3">
        <f ca="1">IFERROR(__xludf.DUMMYFUNCTION("""COMPUTED_VALUE"""),-0.634617940316518)</f>
        <v>-0.63461794031651797</v>
      </c>
      <c r="HF69" s="3">
        <f ca="1">IFERROR(__xludf.DUMMYFUNCTION("""COMPUTED_VALUE"""),-0.499538151371861)</f>
        <v>-0.49953815137186097</v>
      </c>
      <c r="HG69" s="3">
        <f ca="1">IFERROR(__xludf.DUMMYFUNCTION("""COMPUTED_VALUE"""),-0.543688602193764)</f>
        <v>-0.54368860219376403</v>
      </c>
      <c r="HH69" s="3">
        <f ca="1">IFERROR(__xludf.DUMMYFUNCTION("""COMPUTED_VALUE"""),-0.692977921825229)</f>
        <v>-0.69297792182522899</v>
      </c>
      <c r="HI69" s="3">
        <f ca="1">IFERROR(__xludf.DUMMYFUNCTION("""COMPUTED_VALUE"""),-0.681852297900012)</f>
        <v>-0.68185229790001201</v>
      </c>
      <c r="HJ69" s="3">
        <f ca="1">IFERROR(__xludf.DUMMYFUNCTION("""COMPUTED_VALUE"""),-0.672160999954183)</f>
        <v>-0.67216099995418299</v>
      </c>
      <c r="HK69" s="3">
        <f ca="1">IFERROR(__xludf.DUMMYFUNCTION("""COMPUTED_VALUE"""),-0.690224250651802)</f>
        <v>-0.69022425065180204</v>
      </c>
      <c r="HL69" s="3">
        <f ca="1">IFERROR(__xludf.DUMMYFUNCTION("""COMPUTED_VALUE"""),-0.735029332999685)</f>
        <v>-0.73502933299968498</v>
      </c>
      <c r="HM69" s="3">
        <f ca="1">IFERROR(__xludf.DUMMYFUNCTION("""COMPUTED_VALUE"""),-0.390695775507813)</f>
        <v>-0.39069577550781298</v>
      </c>
      <c r="HN69" s="3">
        <f ca="1">IFERROR(__xludf.DUMMYFUNCTION("""COMPUTED_VALUE"""),-0.433076177541889)</f>
        <v>-0.43307617754188898</v>
      </c>
      <c r="HO69" s="3">
        <f ca="1">IFERROR(__xludf.DUMMYFUNCTION("""COMPUTED_VALUE"""),-0.653223592111845)</f>
        <v>-0.653223592111845</v>
      </c>
      <c r="HP69" s="3">
        <f ca="1">IFERROR(__xludf.DUMMYFUNCTION("""COMPUTED_VALUE"""),-0.670226298763)</f>
        <v>-0.67022629876299999</v>
      </c>
      <c r="HQ69" s="3">
        <f ca="1">IFERROR(__xludf.DUMMYFUNCTION("""COMPUTED_VALUE"""),-0.677576430564224)</f>
        <v>-0.67757643056422401</v>
      </c>
      <c r="HR69" s="3">
        <f ca="1">IFERROR(__xludf.DUMMYFUNCTION("""COMPUTED_VALUE"""),-0.625233655373741)</f>
        <v>-0.62523365537374098</v>
      </c>
      <c r="HS69" s="3">
        <f ca="1">IFERROR(__xludf.DUMMYFUNCTION("""COMPUTED_VALUE"""),-0.52163446296852)</f>
        <v>-0.52163446296852001</v>
      </c>
      <c r="HT69" s="3">
        <f ca="1">IFERROR(__xludf.DUMMYFUNCTION("""COMPUTED_VALUE"""),-0.44216664842263)</f>
        <v>-0.44216664842262998</v>
      </c>
      <c r="HU69" s="3">
        <f ca="1">IFERROR(__xludf.DUMMYFUNCTION("""COMPUTED_VALUE"""),-0.572218900581702)</f>
        <v>-0.57221890058170199</v>
      </c>
      <c r="HV69" s="3">
        <f ca="1">IFERROR(__xludf.DUMMYFUNCTION("""COMPUTED_VALUE"""),-0.631423442986671)</f>
        <v>-0.63142344298667097</v>
      </c>
      <c r="HW69" s="3">
        <f ca="1">IFERROR(__xludf.DUMMYFUNCTION("""COMPUTED_VALUE"""),-0.679306776360159)</f>
        <v>-0.67930677636015901</v>
      </c>
      <c r="HX69" s="3">
        <f ca="1">IFERROR(__xludf.DUMMYFUNCTION("""COMPUTED_VALUE"""),-0.666097229391733)</f>
        <v>-0.66609722939173299</v>
      </c>
      <c r="HY69" s="3">
        <f ca="1">IFERROR(__xludf.DUMMYFUNCTION("""COMPUTED_VALUE"""),-0.608292079210843)</f>
        <v>-0.60829207921084305</v>
      </c>
      <c r="HZ69" s="3">
        <f ca="1">IFERROR(__xludf.DUMMYFUNCTION("""COMPUTED_VALUE"""),-0.513266930782305)</f>
        <v>-0.51326693078230501</v>
      </c>
      <c r="IA69" s="3">
        <f ca="1">IFERROR(__xludf.DUMMYFUNCTION("""COMPUTED_VALUE"""),-0.506953003254034)</f>
        <v>-0.50695300325403403</v>
      </c>
      <c r="IB69" s="3">
        <f ca="1">IFERROR(__xludf.DUMMYFUNCTION("""COMPUTED_VALUE"""),-0.512069998781443)</f>
        <v>-0.51206999878144299</v>
      </c>
      <c r="IC69" s="3">
        <f ca="1">IFERROR(__xludf.DUMMYFUNCTION("""COMPUTED_VALUE"""),-0.708423920849072)</f>
        <v>-0.70842392084907202</v>
      </c>
      <c r="ID69" s="3">
        <f ca="1">IFERROR(__xludf.DUMMYFUNCTION("""COMPUTED_VALUE"""),-0.720130576167488)</f>
        <v>-0.72013057616748799</v>
      </c>
      <c r="IE69" s="3">
        <f ca="1">IFERROR(__xludf.DUMMYFUNCTION("""COMPUTED_VALUE"""),-0.688088654445451)</f>
        <v>-0.68808865444545098</v>
      </c>
      <c r="IF69" s="3">
        <f ca="1">IFERROR(__xludf.DUMMYFUNCTION("""COMPUTED_VALUE"""),-0.693724602182554)</f>
        <v>-0.69372460218255405</v>
      </c>
      <c r="IG69" s="3">
        <f ca="1">IFERROR(__xludf.DUMMYFUNCTION("""COMPUTED_VALUE"""),-0.668735968781742)</f>
        <v>-0.66873596878174202</v>
      </c>
      <c r="IH69" s="3">
        <f ca="1">IFERROR(__xludf.DUMMYFUNCTION("""COMPUTED_VALUE"""),-0.49358659385304)</f>
        <v>-0.49358659385303999</v>
      </c>
      <c r="II69" s="3">
        <f ca="1">IFERROR(__xludf.DUMMYFUNCTION("""COMPUTED_VALUE"""),-0.487975021802382)</f>
        <v>-0.487975021802382</v>
      </c>
      <c r="IJ69" s="3">
        <f ca="1">IFERROR(__xludf.DUMMYFUNCTION("""COMPUTED_VALUE"""),-0.605599376830233)</f>
        <v>-0.60559937683023302</v>
      </c>
      <c r="IK69" s="3">
        <f ca="1">IFERROR(__xludf.DUMMYFUNCTION("""COMPUTED_VALUE"""),-0.582910312702224)</f>
        <v>-0.58291031270222404</v>
      </c>
      <c r="IL69" s="3">
        <f ca="1">IFERROR(__xludf.DUMMYFUNCTION("""COMPUTED_VALUE"""),-0.606551937455184)</f>
        <v>-0.60655193745518399</v>
      </c>
      <c r="IM69" s="3">
        <f ca="1">IFERROR(__xludf.DUMMYFUNCTION("""COMPUTED_VALUE"""),-0.6129891260685)</f>
        <v>-0.61298912606849998</v>
      </c>
      <c r="IN69" s="3">
        <f ca="1">IFERROR(__xludf.DUMMYFUNCTION("""COMPUTED_VALUE"""),-0.544187799148066)</f>
        <v>-0.54418779914806603</v>
      </c>
      <c r="IO69" s="3">
        <f ca="1">IFERROR(__xludf.DUMMYFUNCTION("""COMPUTED_VALUE"""),-0.539336088505263)</f>
        <v>-0.53933608850526304</v>
      </c>
      <c r="IP69" s="3">
        <f ca="1">IFERROR(__xludf.DUMMYFUNCTION("""COMPUTED_VALUE"""),-0.475983586304366)</f>
        <v>-0.47598358630436599</v>
      </c>
      <c r="IQ69" s="3">
        <f ca="1">IFERROR(__xludf.DUMMYFUNCTION("""COMPUTED_VALUE"""),-0.550489709460104)</f>
        <v>-0.550489709460104</v>
      </c>
      <c r="IR69" s="3">
        <f ca="1">IFERROR(__xludf.DUMMYFUNCTION("""COMPUTED_VALUE"""),-0.60048632937903)</f>
        <v>-0.60048632937903001</v>
      </c>
      <c r="IS69" s="3">
        <f ca="1">IFERROR(__xludf.DUMMYFUNCTION("""COMPUTED_VALUE"""),-0.612571033357813)</f>
        <v>-0.61257103335781304</v>
      </c>
      <c r="IT69" s="3">
        <f ca="1">IFERROR(__xludf.DUMMYFUNCTION("""COMPUTED_VALUE"""),-0.610959715746593)</f>
        <v>-0.61095971574659302</v>
      </c>
      <c r="IU69" s="3">
        <f ca="1">IFERROR(__xludf.DUMMYFUNCTION("""COMPUTED_VALUE"""),-0.535977058919717)</f>
        <v>-0.53597705891971703</v>
      </c>
      <c r="IV69" s="3">
        <f ca="1">IFERROR(__xludf.DUMMYFUNCTION("""COMPUTED_VALUE"""),-0.506444875519656)</f>
        <v>-0.506444875519656</v>
      </c>
      <c r="IW69" s="3">
        <f ca="1">IFERROR(__xludf.DUMMYFUNCTION("""COMPUTED_VALUE"""),-0.376754073232701)</f>
        <v>-0.37675407323270099</v>
      </c>
      <c r="IX69" s="3">
        <f ca="1">IFERROR(__xludf.DUMMYFUNCTION("""COMPUTED_VALUE"""),-0.470156757579004)</f>
        <v>-0.47015675757900399</v>
      </c>
      <c r="IY69" s="3">
        <f ca="1">IFERROR(__xludf.DUMMYFUNCTION("""COMPUTED_VALUE"""),-0.438206830027073)</f>
        <v>-0.438206830027073</v>
      </c>
      <c r="IZ69" s="3">
        <f ca="1">IFERROR(__xludf.DUMMYFUNCTION("""COMPUTED_VALUE"""),-0.388752702505411)</f>
        <v>-0.388752702505411</v>
      </c>
      <c r="JA69" s="3">
        <f ca="1">IFERROR(__xludf.DUMMYFUNCTION("""COMPUTED_VALUE"""),-0.517343787844569)</f>
        <v>-0.51734378784456903</v>
      </c>
      <c r="JB69" s="3">
        <f ca="1">IFERROR(__xludf.DUMMYFUNCTION("""COMPUTED_VALUE"""),-0.554781668217988)</f>
        <v>-0.55478166821798802</v>
      </c>
      <c r="JC69" s="3">
        <f ca="1">IFERROR(__xludf.DUMMYFUNCTION("""COMPUTED_VALUE"""),-0.487477489068579)</f>
        <v>-0.48747748906857902</v>
      </c>
      <c r="JD69" s="3">
        <f ca="1">IFERROR(__xludf.DUMMYFUNCTION("""COMPUTED_VALUE"""),-0.458395759267726)</f>
        <v>-0.45839575926772602</v>
      </c>
      <c r="JE69" s="3">
        <f ca="1">IFERROR(__xludf.DUMMYFUNCTION("""COMPUTED_VALUE"""),-0.561228475236702)</f>
        <v>-0.56122847523670205</v>
      </c>
      <c r="JF69" s="3">
        <f ca="1">IFERROR(__xludf.DUMMYFUNCTION("""COMPUTED_VALUE"""),-0.598238692703223)</f>
        <v>-0.59823869270322305</v>
      </c>
      <c r="JG69" s="3">
        <f ca="1">IFERROR(__xludf.DUMMYFUNCTION("""COMPUTED_VALUE"""),-0.551129600510416)</f>
        <v>-0.55112960051041604</v>
      </c>
      <c r="JH69" s="3">
        <f ca="1">IFERROR(__xludf.DUMMYFUNCTION("""COMPUTED_VALUE"""),-0.534946419495945)</f>
        <v>-0.53494641949594501</v>
      </c>
      <c r="JI69" s="3">
        <f ca="1">IFERROR(__xludf.DUMMYFUNCTION("""COMPUTED_VALUE"""),-0.50246427787267)</f>
        <v>-0.50246427787267001</v>
      </c>
      <c r="JJ69" s="3">
        <f ca="1">IFERROR(__xludf.DUMMYFUNCTION("""COMPUTED_VALUE"""),-0.374449815873071)</f>
        <v>-0.37444981587307102</v>
      </c>
      <c r="JK69" s="3">
        <f ca="1">IFERROR(__xludf.DUMMYFUNCTION("""COMPUTED_VALUE"""),-0.419804253957985)</f>
        <v>-0.41980425395798499</v>
      </c>
      <c r="JL69" s="3">
        <f ca="1">IFERROR(__xludf.DUMMYFUNCTION("""COMPUTED_VALUE"""),-0.563942930176051)</f>
        <v>-0.56394293017605102</v>
      </c>
      <c r="JM69" s="3">
        <f ca="1">IFERROR(__xludf.DUMMYFUNCTION("""COMPUTED_VALUE"""),-0.553752132840342)</f>
        <v>-0.55375213284034197</v>
      </c>
      <c r="JN69" s="3">
        <f ca="1">IFERROR(__xludf.DUMMYFUNCTION("""COMPUTED_VALUE"""),-0.514298913996286)</f>
        <v>-0.51429891399628602</v>
      </c>
      <c r="JO69" s="3">
        <f ca="1">IFERROR(__xludf.DUMMYFUNCTION("""COMPUTED_VALUE"""),-0.530273206160479)</f>
        <v>-0.53027320616047902</v>
      </c>
      <c r="JP69" s="3">
        <f ca="1">IFERROR(__xludf.DUMMYFUNCTION("""COMPUTED_VALUE"""),-0.541541509936165)</f>
        <v>-0.54154150993616501</v>
      </c>
      <c r="JQ69" s="3">
        <f ca="1">IFERROR(__xludf.DUMMYFUNCTION("""COMPUTED_VALUE"""),-0.450848395873167)</f>
        <v>-0.450848395873167</v>
      </c>
      <c r="JR69" s="3">
        <f ca="1">IFERROR(__xludf.DUMMYFUNCTION("""COMPUTED_VALUE"""),-0.560516804826501)</f>
        <v>-0.56051680482650101</v>
      </c>
      <c r="JS69" s="3">
        <f ca="1">IFERROR(__xludf.DUMMYFUNCTION("""COMPUTED_VALUE"""),-0.575151308363529)</f>
        <v>-0.57515130836352901</v>
      </c>
      <c r="JT69" s="3">
        <f ca="1">IFERROR(__xludf.DUMMYFUNCTION("""COMPUTED_VALUE"""),-0.56172189746406)</f>
        <v>-0.56172189746405998</v>
      </c>
      <c r="JU69" s="3">
        <f ca="1">IFERROR(__xludf.DUMMYFUNCTION("""COMPUTED_VALUE"""),-0.555017044232049)</f>
        <v>-0.55501704423204901</v>
      </c>
      <c r="JV69" s="3">
        <f ca="1">IFERROR(__xludf.DUMMYFUNCTION("""COMPUTED_VALUE"""),-0.506172297901121)</f>
        <v>-0.50617229790112095</v>
      </c>
      <c r="JW69" s="3">
        <f ca="1">IFERROR(__xludf.DUMMYFUNCTION("""COMPUTED_VALUE"""),-0.47703941193106)</f>
        <v>-0.47703941193105998</v>
      </c>
      <c r="JX69" s="3">
        <f ca="1">IFERROR(__xludf.DUMMYFUNCTION("""COMPUTED_VALUE"""),-0.410111280531052)</f>
        <v>-0.410111280531052</v>
      </c>
      <c r="JY69" s="3">
        <f ca="1">IFERROR(__xludf.DUMMYFUNCTION("""COMPUTED_VALUE"""),-0.409755204891134)</f>
        <v>-0.40975520489113398</v>
      </c>
      <c r="JZ69" s="3">
        <f ca="1">IFERROR(__xludf.DUMMYFUNCTION("""COMPUTED_VALUE"""),-0.553062866379881)</f>
        <v>-0.553062866379881</v>
      </c>
      <c r="KA69" s="3">
        <f ca="1">IFERROR(__xludf.DUMMYFUNCTION("""COMPUTED_VALUE"""),-0.667039247679447)</f>
        <v>-0.667039247679447</v>
      </c>
      <c r="KB69" s="3">
        <f ca="1">IFERROR(__xludf.DUMMYFUNCTION("""COMPUTED_VALUE"""),-0.609789326691471)</f>
        <v>-0.60978932669147101</v>
      </c>
      <c r="KC69" s="3">
        <f ca="1">IFERROR(__xludf.DUMMYFUNCTION("""COMPUTED_VALUE"""),-0.521159854692923)</f>
        <v>-0.52115985469292303</v>
      </c>
      <c r="KD69" s="3">
        <f ca="1">IFERROR(__xludf.DUMMYFUNCTION("""COMPUTED_VALUE"""),-0.42838970438912)</f>
        <v>-0.42838970438912</v>
      </c>
      <c r="KE69" s="3">
        <f ca="1">IFERROR(__xludf.DUMMYFUNCTION("""COMPUTED_VALUE"""),-0.478006680336713)</f>
        <v>-0.47800668033671301</v>
      </c>
      <c r="KF69" s="3">
        <f ca="1">IFERROR(__xludf.DUMMYFUNCTION("""COMPUTED_VALUE"""),-0.555177901321679)</f>
        <v>-0.55517790132167899</v>
      </c>
      <c r="KG69" s="3">
        <f ca="1">IFERROR(__xludf.DUMMYFUNCTION("""COMPUTED_VALUE"""),-0.601407691399472)</f>
        <v>-0.60140769139947203</v>
      </c>
      <c r="KH69" s="3">
        <f ca="1">IFERROR(__xludf.DUMMYFUNCTION("""COMPUTED_VALUE"""),-0.694209606269608)</f>
        <v>-0.69420960626960804</v>
      </c>
      <c r="KI69" s="3">
        <f ca="1">IFERROR(__xludf.DUMMYFUNCTION("""COMPUTED_VALUE"""),-0.739461583847198)</f>
        <v>-0.73946158384719796</v>
      </c>
      <c r="KJ69" s="3">
        <f ca="1">IFERROR(__xludf.DUMMYFUNCTION("""COMPUTED_VALUE"""),-0.572968715712581)</f>
        <v>-0.57296871571258101</v>
      </c>
      <c r="KK69" s="3">
        <f ca="1">IFERROR(__xludf.DUMMYFUNCTION("""COMPUTED_VALUE"""),-0.481087945591665)</f>
        <v>-0.48108794559166501</v>
      </c>
      <c r="KL69" s="3">
        <f ca="1">IFERROR(__xludf.DUMMYFUNCTION("""COMPUTED_VALUE"""),-0.498163915341463)</f>
        <v>-0.49816391534146298</v>
      </c>
      <c r="KM69" s="3">
        <f ca="1">IFERROR(__xludf.DUMMYFUNCTION("""COMPUTED_VALUE"""),-0.558088942345405)</f>
        <v>-0.55808894234540496</v>
      </c>
      <c r="KN69" s="3">
        <f ca="1">IFERROR(__xludf.DUMMYFUNCTION("""COMPUTED_VALUE"""),-0.678611492444809)</f>
        <v>-0.67861149244480901</v>
      </c>
      <c r="KO69" s="3">
        <f ca="1">IFERROR(__xludf.DUMMYFUNCTION("""COMPUTED_VALUE"""),-0.693903586158516)</f>
        <v>-0.69390358615851599</v>
      </c>
      <c r="KP69" s="3">
        <f ca="1">IFERROR(__xludf.DUMMYFUNCTION("""COMPUTED_VALUE"""),-0.707344377152204)</f>
        <v>-0.707344377152204</v>
      </c>
      <c r="KQ69" s="3">
        <f ca="1">IFERROR(__xludf.DUMMYFUNCTION("""COMPUTED_VALUE"""),-0.694845586316566)</f>
        <v>-0.69484558631656601</v>
      </c>
      <c r="KR69" s="3">
        <f ca="1">IFERROR(__xludf.DUMMYFUNCTION("""COMPUTED_VALUE"""),-0.62287354694385)</f>
        <v>-0.62287354694385</v>
      </c>
      <c r="KS69" s="3">
        <f ca="1">IFERROR(__xludf.DUMMYFUNCTION("""COMPUTED_VALUE"""),-0.618187739438067)</f>
        <v>-0.61818773943806704</v>
      </c>
      <c r="KT69" s="3">
        <f ca="1">IFERROR(__xludf.DUMMYFUNCTION("""COMPUTED_VALUE"""),-0.661940554644982)</f>
        <v>-0.66194055464498203</v>
      </c>
      <c r="KU69" s="3">
        <f ca="1">IFERROR(__xludf.DUMMYFUNCTION("""COMPUTED_VALUE"""),-0.746946442514876)</f>
        <v>-0.74694644251487596</v>
      </c>
      <c r="KV69" s="3">
        <f ca="1">IFERROR(__xludf.DUMMYFUNCTION("""COMPUTED_VALUE"""),-0.760220149154751)</f>
        <v>-0.760220149154751</v>
      </c>
      <c r="KW69" s="3">
        <f ca="1">IFERROR(__xludf.DUMMYFUNCTION("""COMPUTED_VALUE"""),-0.758789819484908)</f>
        <v>-0.75878981948490798</v>
      </c>
      <c r="KX69" s="3">
        <f ca="1">IFERROR(__xludf.DUMMYFUNCTION("""COMPUTED_VALUE"""),-0.777433547704965)</f>
        <v>-0.77743354770496498</v>
      </c>
      <c r="KY69" s="3">
        <f ca="1">IFERROR(__xludf.DUMMYFUNCTION("""COMPUTED_VALUE"""),-0.750976537825352)</f>
        <v>-0.75097653782535201</v>
      </c>
      <c r="KZ69" s="3">
        <f ca="1">IFERROR(__xludf.DUMMYFUNCTION("""COMPUTED_VALUE"""),-0.635754482467001)</f>
        <v>-0.63575448246700095</v>
      </c>
      <c r="LA69" s="3">
        <f ca="1">IFERROR(__xludf.DUMMYFUNCTION("""COMPUTED_VALUE"""),-0.698828786360123)</f>
        <v>-0.69882878636012302</v>
      </c>
      <c r="LB69" s="3">
        <f ca="1">IFERROR(__xludf.DUMMYFUNCTION("""COMPUTED_VALUE"""),-0.7644332608584)</f>
        <v>-0.76443326085840002</v>
      </c>
      <c r="LC69" s="3">
        <f ca="1">IFERROR(__xludf.DUMMYFUNCTION("""COMPUTED_VALUE"""),-0.768914909856904)</f>
        <v>-0.76891490985690403</v>
      </c>
      <c r="LD69" s="3">
        <f ca="1">IFERROR(__xludf.DUMMYFUNCTION("""COMPUTED_VALUE"""),-0.776408837441759)</f>
        <v>-0.77640883744175904</v>
      </c>
      <c r="LE69" s="3">
        <f ca="1">IFERROR(__xludf.DUMMYFUNCTION("""COMPUTED_VALUE"""),-0.773583187982562)</f>
        <v>-0.77358318798256198</v>
      </c>
      <c r="LF69" s="3">
        <f ca="1">IFERROR(__xludf.DUMMYFUNCTION("""COMPUTED_VALUE"""),-0.726868690964322)</f>
        <v>-0.72686869096432205</v>
      </c>
      <c r="LG69" s="3">
        <f ca="1">IFERROR(__xludf.DUMMYFUNCTION("""COMPUTED_VALUE"""),-0.688044411820206)</f>
        <v>-0.68804441182020604</v>
      </c>
      <c r="LH69" s="3">
        <f ca="1">IFERROR(__xludf.DUMMYFUNCTION("""COMPUTED_VALUE"""),-0.75651781034462)</f>
        <v>-0.75651781034461996</v>
      </c>
      <c r="LI69" s="3">
        <f ca="1">IFERROR(__xludf.DUMMYFUNCTION("""COMPUTED_VALUE"""),-0.823266294753454)</f>
        <v>-0.82326629475345403</v>
      </c>
      <c r="LJ69" s="3">
        <f ca="1">IFERROR(__xludf.DUMMYFUNCTION("""COMPUTED_VALUE"""),-0.792516341956057)</f>
        <v>-0.79251634195605702</v>
      </c>
      <c r="LK69" s="3">
        <f ca="1">IFERROR(__xludf.DUMMYFUNCTION("""COMPUTED_VALUE"""),-0.802264234940302)</f>
        <v>-0.80226423494030197</v>
      </c>
      <c r="LL69" s="3">
        <f ca="1">IFERROR(__xludf.DUMMYFUNCTION("""COMPUTED_VALUE"""),-0.7739806555039)</f>
        <v>-0.77398065550390005</v>
      </c>
      <c r="LM69" s="3">
        <f ca="1">IFERROR(__xludf.DUMMYFUNCTION("""COMPUTED_VALUE"""),-0.753342961913239)</f>
        <v>-0.75334296191323902</v>
      </c>
      <c r="LN69" s="3">
        <f ca="1">IFERROR(__xludf.DUMMYFUNCTION("""COMPUTED_VALUE"""),-0.773853758422827)</f>
        <v>-0.773853758422827</v>
      </c>
      <c r="LO69" s="3">
        <f ca="1">IFERROR(__xludf.DUMMYFUNCTION("""COMPUTED_VALUE"""),-0.799681774724284)</f>
        <v>-0.79968177472428403</v>
      </c>
      <c r="LP69" s="3">
        <f ca="1">IFERROR(__xludf.DUMMYFUNCTION("""COMPUTED_VALUE"""),-0.848685189718558)</f>
        <v>-0.848685189718558</v>
      </c>
      <c r="LQ69" s="3">
        <f ca="1">IFERROR(__xludf.DUMMYFUNCTION("""COMPUTED_VALUE"""),-0.845283912376819)</f>
        <v>-0.84528391237681899</v>
      </c>
      <c r="LR69" s="3">
        <f ca="1">IFERROR(__xludf.DUMMYFUNCTION("""COMPUTED_VALUE"""),-0.844038074736855)</f>
        <v>-0.84403807473685499</v>
      </c>
      <c r="LS69" s="3">
        <f ca="1">IFERROR(__xludf.DUMMYFUNCTION("""COMPUTED_VALUE"""),-0.855957520696367)</f>
        <v>-0.85595752069636699</v>
      </c>
      <c r="LT69" s="3">
        <f ca="1">IFERROR(__xludf.DUMMYFUNCTION("""COMPUTED_VALUE"""),-0.778287494857326)</f>
        <v>-0.77828749485732596</v>
      </c>
      <c r="LU69" s="3">
        <f ca="1">IFERROR(__xludf.DUMMYFUNCTION("""COMPUTED_VALUE"""),-0.783664039816434)</f>
        <v>-0.78366403981643395</v>
      </c>
      <c r="LV69" s="3">
        <f ca="1">IFERROR(__xludf.DUMMYFUNCTION("""COMPUTED_VALUE"""),-0.849677039134819)</f>
        <v>-0.84967703913481896</v>
      </c>
      <c r="LW69" s="3">
        <f ca="1">IFERROR(__xludf.DUMMYFUNCTION("""COMPUTED_VALUE"""),-0.877686428718161)</f>
        <v>-0.87768642871816105</v>
      </c>
      <c r="LX69" s="3">
        <f ca="1">IFERROR(__xludf.DUMMYFUNCTION("""COMPUTED_VALUE"""),-0.875391602052054)</f>
        <v>-0.87539160205205402</v>
      </c>
      <c r="LY69" s="3">
        <f ca="1">IFERROR(__xludf.DUMMYFUNCTION("""COMPUTED_VALUE"""),-0.876098352798125)</f>
        <v>-0.87609835279812498</v>
      </c>
      <c r="LZ69" s="3">
        <f ca="1">IFERROR(__xludf.DUMMYFUNCTION("""COMPUTED_VALUE"""),-0.884012326027159)</f>
        <v>-0.88401232602715896</v>
      </c>
      <c r="MA69" s="3">
        <f ca="1">IFERROR(__xludf.DUMMYFUNCTION("""COMPUTED_VALUE"""),-0.829115963545172)</f>
        <v>-0.82911596354517203</v>
      </c>
      <c r="MB69" s="3">
        <f ca="1">IFERROR(__xludf.DUMMYFUNCTION("""COMPUTED_VALUE"""),-0.854650826818711)</f>
        <v>-0.85465082681871096</v>
      </c>
      <c r="MC69" s="3">
        <f ca="1">IFERROR(__xludf.DUMMYFUNCTION("""COMPUTED_VALUE"""),-0.870430277558653)</f>
        <v>-0.87043027755865299</v>
      </c>
      <c r="MD69" s="3">
        <f ca="1">IFERROR(__xludf.DUMMYFUNCTION("""COMPUTED_VALUE"""),-0.919115278612552)</f>
        <v>-0.91911527861255204</v>
      </c>
      <c r="ME69" s="3">
        <f ca="1">IFERROR(__xludf.DUMMYFUNCTION("""COMPUTED_VALUE"""),-0.905023286895275)</f>
        <v>-0.905023286895275</v>
      </c>
      <c r="MF69" s="3">
        <f ca="1">IFERROR(__xludf.DUMMYFUNCTION("""COMPUTED_VALUE"""),-0.907094048428799)</f>
        <v>-0.90709404842879904</v>
      </c>
      <c r="MG69" s="3">
        <f ca="1">IFERROR(__xludf.DUMMYFUNCTION("""COMPUTED_VALUE"""),-0.907502199317229)</f>
        <v>-0.90750219931722897</v>
      </c>
      <c r="MH69" s="3">
        <f ca="1">IFERROR(__xludf.DUMMYFUNCTION("""COMPUTED_VALUE"""),-0.887648816136803)</f>
        <v>-0.88764881613680302</v>
      </c>
      <c r="MI69" s="3">
        <f ca="1">IFERROR(__xludf.DUMMYFUNCTION("""COMPUTED_VALUE"""),-0.827265008482728)</f>
        <v>-0.82726500848272799</v>
      </c>
      <c r="MJ69" s="3">
        <f ca="1">IFERROR(__xludf.DUMMYFUNCTION("""COMPUTED_VALUE"""),-0.850364268702006)</f>
        <v>-0.85036426870200599</v>
      </c>
      <c r="MK69" s="3">
        <f ca="1">IFERROR(__xludf.DUMMYFUNCTION("""COMPUTED_VALUE"""),-0.907977517260953)</f>
        <v>-0.90797751726095299</v>
      </c>
      <c r="ML69" s="3">
        <f ca="1">IFERROR(__xludf.DUMMYFUNCTION("""COMPUTED_VALUE"""),-0.932812057824465)</f>
        <v>-0.93281205782446497</v>
      </c>
      <c r="MM69" s="3">
        <f ca="1">IFERROR(__xludf.DUMMYFUNCTION("""COMPUTED_VALUE"""),-0.92336609754838)</f>
        <v>-0.92336609754837995</v>
      </c>
      <c r="MN69" s="3">
        <f ca="1">IFERROR(__xludf.DUMMYFUNCTION("""COMPUTED_VALUE"""),-0.92010480103476)</f>
        <v>-0.92010480103476</v>
      </c>
      <c r="MO69" s="3">
        <f ca="1">IFERROR(__xludf.DUMMYFUNCTION("""COMPUTED_VALUE"""),-0.900313370712805)</f>
        <v>-0.90031337071280504</v>
      </c>
      <c r="MP69" s="3">
        <f ca="1">IFERROR(__xludf.DUMMYFUNCTION("""COMPUTED_VALUE"""),-0.853648307735346)</f>
        <v>-0.85364830773534595</v>
      </c>
      <c r="MQ69" s="3">
        <f ca="1">IFERROR(__xludf.DUMMYFUNCTION("""COMPUTED_VALUE"""),-0.856871626110886)</f>
        <v>-0.85687162611088596</v>
      </c>
      <c r="MR69" s="3">
        <f ca="1">IFERROR(__xludf.DUMMYFUNCTION("""COMPUTED_VALUE"""),-0.911592978582998)</f>
        <v>-0.91159297858299804</v>
      </c>
      <c r="MS69" s="3">
        <f ca="1">IFERROR(__xludf.DUMMYFUNCTION("""COMPUTED_VALUE"""),-0.940915540944451)</f>
        <v>-0.94091554094445096</v>
      </c>
      <c r="MT69" s="3">
        <f ca="1">IFERROR(__xludf.DUMMYFUNCTION("""COMPUTED_VALUE"""),-0.91584146764819)</f>
        <v>-0.91584146764818997</v>
      </c>
      <c r="MU69" s="3">
        <f ca="1">IFERROR(__xludf.DUMMYFUNCTION("""COMPUTED_VALUE"""),-0.902857475296205)</f>
        <v>-0.90285747529620497</v>
      </c>
      <c r="MV69" s="3">
        <f ca="1">IFERROR(__xludf.DUMMYFUNCTION("""COMPUTED_VALUE"""),-0.885154885294601)</f>
        <v>-0.88515488529460096</v>
      </c>
      <c r="MW69" s="3">
        <f ca="1">IFERROR(__xludf.DUMMYFUNCTION("""COMPUTED_VALUE"""),-0.867343552200761)</f>
        <v>-0.86734355220076098</v>
      </c>
      <c r="MX69" s="3">
        <f ca="1">IFERROR(__xludf.DUMMYFUNCTION("""COMPUTED_VALUE"""),-0.859360753640338)</f>
        <v>-0.85936075364033804</v>
      </c>
      <c r="MY69" s="3">
        <f ca="1">IFERROR(__xludf.DUMMYFUNCTION("""COMPUTED_VALUE"""),-0.919647404431384)</f>
        <v>-0.91964740443138404</v>
      </c>
      <c r="MZ69" s="3">
        <f ca="1">IFERROR(__xludf.DUMMYFUNCTION("""COMPUTED_VALUE"""),-0.921897451875639)</f>
        <v>-0.92189745187563898</v>
      </c>
      <c r="NA69" s="3">
        <f ca="1">IFERROR(__xludf.DUMMYFUNCTION("""COMPUTED_VALUE"""),-0.916732730044449)</f>
        <v>-0.916732730044449</v>
      </c>
      <c r="NB69" s="3">
        <f ca="1">IFERROR(__xludf.DUMMYFUNCTION("""COMPUTED_VALUE"""),-0.887640235906847)</f>
        <v>-0.88764023590684704</v>
      </c>
      <c r="NC69" s="3">
        <f ca="1">IFERROR(__xludf.DUMMYFUNCTION("""COMPUTED_VALUE"""),-0.860164078880053)</f>
        <v>-0.86016407888005297</v>
      </c>
      <c r="ND69" s="3">
        <f ca="1">IFERROR(__xludf.DUMMYFUNCTION("""COMPUTED_VALUE"""),-0.852188253219324)</f>
        <v>-0.85218825321932401</v>
      </c>
      <c r="NE69" s="3">
        <f ca="1">IFERROR(__xludf.DUMMYFUNCTION("""COMPUTED_VALUE"""),-0.863661464950158)</f>
        <v>-0.86366146495015805</v>
      </c>
      <c r="NF69" s="3">
        <f ca="1">IFERROR(__xludf.DUMMYFUNCTION("""COMPUTED_VALUE"""),-0.896569966111963)</f>
        <v>-0.89656996611196305</v>
      </c>
      <c r="NG69" s="3">
        <f ca="1">IFERROR(__xludf.DUMMYFUNCTION("""COMPUTED_VALUE"""),-0.928783518977303)</f>
        <v>-0.92878351897730305</v>
      </c>
      <c r="NH69" s="3">
        <f ca="1">IFERROR(__xludf.DUMMYFUNCTION("""COMPUTED_VALUE"""),-0.923321402320275)</f>
        <v>-0.92332140232027504</v>
      </c>
      <c r="NI69" s="3">
        <f ca="1">IFERROR(__xludf.DUMMYFUNCTION("""COMPUTED_VALUE"""),-0.926626525370332)</f>
        <v>-0.92662652537033197</v>
      </c>
      <c r="NJ69" s="3">
        <f ca="1">IFERROR(__xludf.DUMMYFUNCTION("""COMPUTED_VALUE"""),-0.914031213463004)</f>
        <v>-0.91403121346300398</v>
      </c>
      <c r="NK69" s="3">
        <f ca="1">IFERROR(__xludf.DUMMYFUNCTION("""COMPUTED_VALUE"""),-0.847508756882727)</f>
        <v>-0.84750875688272698</v>
      </c>
      <c r="NL69" s="3">
        <f ca="1">IFERROR(__xludf.DUMMYFUNCTION("""COMPUTED_VALUE"""),-0.844607199784861)</f>
        <v>-0.84460719978486098</v>
      </c>
      <c r="NM69" s="3">
        <f ca="1">IFERROR(__xludf.DUMMYFUNCTION("""COMPUTED_VALUE"""),-0.919738626211331)</f>
        <v>-0.91973862621133096</v>
      </c>
      <c r="NN69" s="3">
        <f ca="1">IFERROR(__xludf.DUMMYFUNCTION("""COMPUTED_VALUE"""),-0.924070015221384)</f>
        <v>-0.92407001522138399</v>
      </c>
      <c r="NO69" s="3">
        <f ca="1">IFERROR(__xludf.DUMMYFUNCTION("""COMPUTED_VALUE"""),-0.918961025071119)</f>
        <v>-0.91896102507111899</v>
      </c>
      <c r="NP69" s="3">
        <f ca="1">IFERROR(__xludf.DUMMYFUNCTION("""COMPUTED_VALUE"""),-0.902103813684514)</f>
        <v>-0.90210381368451398</v>
      </c>
      <c r="NQ69" s="3">
        <f ca="1">IFERROR(__xludf.DUMMYFUNCTION("""COMPUTED_VALUE"""),-0.883787916963468)</f>
        <v>-0.88378791696346803</v>
      </c>
      <c r="NR69" s="3">
        <f ca="1">IFERROR(__xludf.DUMMYFUNCTION("""COMPUTED_VALUE"""),-0.823578937866476)</f>
        <v>-0.82357893786647596</v>
      </c>
      <c r="NS69" s="3">
        <f ca="1">IFERROR(__xludf.DUMMYFUNCTION("""COMPUTED_VALUE"""),-0.864629510418823)</f>
        <v>-0.86462951041882297</v>
      </c>
      <c r="NT69" s="3">
        <f ca="1">IFERROR(__xludf.DUMMYFUNCTION("""COMPUTED_VALUE"""),-0.912437117217558)</f>
        <v>-0.91243711721755805</v>
      </c>
      <c r="NU69" s="3">
        <f ca="1">IFERROR(__xludf.DUMMYFUNCTION("""COMPUTED_VALUE"""),-0.908623950136928)</f>
        <v>-0.90862395013692798</v>
      </c>
      <c r="NV69" s="3">
        <f ca="1">IFERROR(__xludf.DUMMYFUNCTION("""COMPUTED_VALUE"""),-0.894331760114042)</f>
        <v>-0.89433176011404203</v>
      </c>
      <c r="NW69" s="3">
        <f ca="1">IFERROR(__xludf.DUMMYFUNCTION("""COMPUTED_VALUE"""),-0.859367420911335)</f>
        <v>-0.859367420911335</v>
      </c>
      <c r="NX69" s="3">
        <f ca="1">IFERROR(__xludf.DUMMYFUNCTION("""COMPUTED_VALUE"""),-0.84150579148959)</f>
        <v>-0.84150579148959004</v>
      </c>
      <c r="NY69" s="3">
        <f ca="1">IFERROR(__xludf.DUMMYFUNCTION("""COMPUTED_VALUE"""),-0.733131680894854)</f>
        <v>-0.73313168089485403</v>
      </c>
      <c r="NZ69" s="3">
        <f ca="1">IFERROR(__xludf.DUMMYFUNCTION("""COMPUTED_VALUE"""),-0.801489197048804)</f>
        <v>-0.80148919704880395</v>
      </c>
      <c r="OA69" s="3">
        <f ca="1">IFERROR(__xludf.DUMMYFUNCTION("""COMPUTED_VALUE"""),-0.850186115047241)</f>
        <v>-0.85018611504724095</v>
      </c>
      <c r="OB69" s="3">
        <f ca="1">IFERROR(__xludf.DUMMYFUNCTION("""COMPUTED_VALUE"""),-0.822227404143653)</f>
        <v>-0.82222740414365303</v>
      </c>
      <c r="OC69" s="3">
        <f ca="1">IFERROR(__xludf.DUMMYFUNCTION("""COMPUTED_VALUE"""),-0.802100157736262)</f>
        <v>-0.80210015773626198</v>
      </c>
      <c r="OD69" s="3">
        <f ca="1">IFERROR(__xludf.DUMMYFUNCTION("""COMPUTED_VALUE"""),-0.767698619172253)</f>
        <v>-0.76769861917225302</v>
      </c>
      <c r="OE69" s="3">
        <f ca="1">IFERROR(__xludf.DUMMYFUNCTION("""COMPUTED_VALUE"""),-0.688804756571156)</f>
        <v>-0.68880475657115603</v>
      </c>
      <c r="OF69" s="3">
        <f ca="1">IFERROR(__xludf.DUMMYFUNCTION("""COMPUTED_VALUE"""),-0.46969690763151)</f>
        <v>-0.46969690763151001</v>
      </c>
      <c r="OG69" s="3">
        <f ca="1">IFERROR(__xludf.DUMMYFUNCTION("""COMPUTED_VALUE"""),-0.421723370829535)</f>
        <v>-0.42172337082953498</v>
      </c>
      <c r="OH69" s="3">
        <f ca="1">IFERROR(__xludf.DUMMYFUNCTION("""COMPUTED_VALUE"""),-0.298655796611678)</f>
        <v>-0.29865579661167801</v>
      </c>
      <c r="OI69" s="3">
        <f ca="1">IFERROR(__xludf.DUMMYFUNCTION("""COMPUTED_VALUE"""),0.0948819251922645)</f>
        <v>9.4881925192264502E-2</v>
      </c>
      <c r="OJ69" s="3">
        <f ca="1">IFERROR(__xludf.DUMMYFUNCTION("""COMPUTED_VALUE"""),0.144303998208227)</f>
        <v>0.14430399820822701</v>
      </c>
      <c r="OK69" s="3">
        <f ca="1">IFERROR(__xludf.DUMMYFUNCTION("""COMPUTED_VALUE"""),0.146274716695556)</f>
        <v>0.146274716695556</v>
      </c>
      <c r="OL69" s="3">
        <f ca="1">IFERROR(__xludf.DUMMYFUNCTION("""COMPUTED_VALUE"""),0.0721111293197773)</f>
        <v>7.2111129319777298E-2</v>
      </c>
      <c r="OM69" s="3">
        <f ca="1">IFERROR(__xludf.DUMMYFUNCTION("""COMPUTED_VALUE"""),0.111823959310242)</f>
        <v>0.111823959310242</v>
      </c>
      <c r="ON69" s="3">
        <f ca="1">IFERROR(__xludf.DUMMYFUNCTION("""COMPUTED_VALUE"""),0.0226304636510288)</f>
        <v>2.26304636510288E-2</v>
      </c>
      <c r="OO69" s="3">
        <f ca="1">IFERROR(__xludf.DUMMYFUNCTION("""COMPUTED_VALUE"""),-0.235202885825377)</f>
        <v>-0.23520288582537699</v>
      </c>
      <c r="OP69" s="3">
        <f ca="1">IFERROR(__xludf.DUMMYFUNCTION("""COMPUTED_VALUE"""),-0.172113703749357)</f>
        <v>-0.172113703749357</v>
      </c>
      <c r="OQ69" s="3">
        <f ca="1">IFERROR(__xludf.DUMMYFUNCTION("""COMPUTED_VALUE"""),-0.188897390469404)</f>
        <v>-0.18889739046940399</v>
      </c>
      <c r="OR69" s="3">
        <f ca="1">IFERROR(__xludf.DUMMYFUNCTION("""COMPUTED_VALUE"""),-0.165081491272101)</f>
        <v>-0.16508149127210101</v>
      </c>
      <c r="OS69" s="3">
        <f ca="1">IFERROR(__xludf.DUMMYFUNCTION("""COMPUTED_VALUE"""),-0.108817809112152)</f>
        <v>-0.108817809112152</v>
      </c>
      <c r="OT69" s="3">
        <f ca="1">IFERROR(__xludf.DUMMYFUNCTION("""COMPUTED_VALUE"""),0.188589658491311)</f>
        <v>0.18858965849131101</v>
      </c>
      <c r="OU69" s="3">
        <f ca="1">IFERROR(__xludf.DUMMYFUNCTION("""COMPUTED_VALUE"""),0.0546705784400787)</f>
        <v>5.46705784400787E-2</v>
      </c>
      <c r="OV69" s="3">
        <f ca="1">IFERROR(__xludf.DUMMYFUNCTION("""COMPUTED_VALUE"""),0.102827552792053)</f>
        <v>0.102827552792053</v>
      </c>
      <c r="OW69" s="3">
        <f ca="1">IFERROR(__xludf.DUMMYFUNCTION("""COMPUTED_VALUE"""),0.0497058490681989)</f>
        <v>4.9705849068198901E-2</v>
      </c>
      <c r="OX69" s="3">
        <f ca="1">IFERROR(__xludf.DUMMYFUNCTION("""COMPUTED_VALUE"""),0.108840626428358)</f>
        <v>0.108840626428358</v>
      </c>
      <c r="OY69" s="3">
        <f ca="1">IFERROR(__xludf.DUMMYFUNCTION("""COMPUTED_VALUE"""),0.100751284382956)</f>
        <v>0.100751284382956</v>
      </c>
      <c r="OZ69" s="3">
        <f ca="1">IFERROR(__xludf.DUMMYFUNCTION("""COMPUTED_VALUE"""),0.0921933127655623)</f>
        <v>9.2193312765562294E-2</v>
      </c>
      <c r="PA69" s="3">
        <f ca="1">IFERROR(__xludf.DUMMYFUNCTION("""COMPUTED_VALUE"""),0.00847416026233527)</f>
        <v>8.4741602623352695E-3</v>
      </c>
      <c r="PB69" s="3">
        <f ca="1">IFERROR(__xludf.DUMMYFUNCTION("""COMPUTED_VALUE"""),0.0285151707224942)</f>
        <v>2.8515170722494199E-2</v>
      </c>
      <c r="PC69" s="3">
        <f ca="1">IFERROR(__xludf.DUMMYFUNCTION("""COMPUTED_VALUE"""),-0.0283032860423075)</f>
        <v>-2.8303286042307502E-2</v>
      </c>
      <c r="PD69" s="3">
        <f ca="1">IFERROR(__xludf.DUMMYFUNCTION("""COMPUTED_VALUE"""),-0.0637273975634858)</f>
        <v>-6.3727397563485805E-2</v>
      </c>
      <c r="PE69" s="3">
        <f ca="1">IFERROR(__xludf.DUMMYFUNCTION("""COMPUTED_VALUE"""),0.279697394215781)</f>
        <v>0.27969739421578099</v>
      </c>
      <c r="PF69" s="3">
        <f ca="1">IFERROR(__xludf.DUMMYFUNCTION("""COMPUTED_VALUE"""),0.0402622885650736)</f>
        <v>4.0262288565073599E-2</v>
      </c>
      <c r="PG69" s="3">
        <f ca="1">IFERROR(__xludf.DUMMYFUNCTION("""COMPUTED_VALUE"""),-0.000395804302420033)</f>
        <v>-3.9580430242003301E-4</v>
      </c>
      <c r="PH69" s="3">
        <f ca="1">IFERROR(__xludf.DUMMYFUNCTION("""COMPUTED_VALUE"""),0.00585509880418433)</f>
        <v>5.8550988041843298E-3</v>
      </c>
      <c r="PI69" s="3">
        <f ca="1">IFERROR(__xludf.DUMMYFUNCTION("""COMPUTED_VALUE"""),0.0397493138254925)</f>
        <v>3.9749313825492502E-2</v>
      </c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</row>
    <row r="70" spans="1:477" ht="13">
      <c r="A70" s="1" t="str">
        <f ca="1">IFERROR(__xludf.DUMMYFUNCTION("""COMPUTED_VALUE"""),"exo Le Richelain")</f>
        <v>exo Le Richelain</v>
      </c>
      <c r="B70" s="1" t="str">
        <f ca="1">IFERROR(__xludf.DUMMYFUNCTION("""COMPUTED_VALUE"""),"Montréal")</f>
        <v>Montréal</v>
      </c>
      <c r="C70" s="1" t="str">
        <f ca="1">IFERROR(__xludf.DUMMYFUNCTION("""COMPUTED_VALUE"""),"Canada")</f>
        <v>Canada</v>
      </c>
      <c r="D70" s="1" t="str">
        <f ca="1">IFERROR(__xludf.DUMMYFUNCTION("""COMPUTED_VALUE"""),"Quebec")</f>
        <v>Quebec</v>
      </c>
      <c r="E70" s="3">
        <f ca="1">IFERROR(__xludf.DUMMYFUNCTION("""COMPUTED_VALUE"""),-0.603866095121613)</f>
        <v>-0.60386609512161304</v>
      </c>
      <c r="F70" s="3">
        <f ca="1">IFERROR(__xludf.DUMMYFUNCTION("""COMPUTED_VALUE"""),-0.646112180962068)</f>
        <v>-0.64611218096206802</v>
      </c>
      <c r="G70" s="3">
        <f ca="1">IFERROR(__xludf.DUMMYFUNCTION("""COMPUTED_VALUE"""),-0.689123608399623)</f>
        <v>-0.68912360839962306</v>
      </c>
      <c r="H70" s="3">
        <f ca="1">IFERROR(__xludf.DUMMYFUNCTION("""COMPUTED_VALUE"""),-0.657445729514694)</f>
        <v>-0.65744572951469404</v>
      </c>
      <c r="I70" s="3">
        <f ca="1">IFERROR(__xludf.DUMMYFUNCTION("""COMPUTED_VALUE"""),-0.658731794184122)</f>
        <v>-0.65873179418412198</v>
      </c>
      <c r="J70" s="3">
        <f ca="1">IFERROR(__xludf.DUMMYFUNCTION("""COMPUTED_VALUE"""),-0.669566152523047)</f>
        <v>-0.66956615252304696</v>
      </c>
      <c r="K70" s="3">
        <f ca="1">IFERROR(__xludf.DUMMYFUNCTION("""COMPUTED_VALUE"""),-0.690746206566428)</f>
        <v>-0.69074620656642804</v>
      </c>
      <c r="L70" s="3">
        <f ca="1">IFERROR(__xludf.DUMMYFUNCTION("""COMPUTED_VALUE"""),-0.697836822610851)</f>
        <v>-0.697836822610851</v>
      </c>
      <c r="M70" s="3">
        <f ca="1">IFERROR(__xludf.DUMMYFUNCTION("""COMPUTED_VALUE"""),-0.717747476404687)</f>
        <v>-0.71774747640468695</v>
      </c>
      <c r="N70" s="3">
        <f ca="1">IFERROR(__xludf.DUMMYFUNCTION("""COMPUTED_VALUE"""),-0.687831061213491)</f>
        <v>-0.68783106121349102</v>
      </c>
      <c r="O70" s="3">
        <f ca="1">IFERROR(__xludf.DUMMYFUNCTION("""COMPUTED_VALUE"""),-0.71219272304589)</f>
        <v>-0.71219272304588999</v>
      </c>
      <c r="P70" s="3">
        <f ca="1">IFERROR(__xludf.DUMMYFUNCTION("""COMPUTED_VALUE"""),-0.688369938751975)</f>
        <v>-0.68836993875197505</v>
      </c>
      <c r="Q70" s="3">
        <f ca="1">IFERROR(__xludf.DUMMYFUNCTION("""COMPUTED_VALUE"""),-0.70777502634075)</f>
        <v>-0.70777502634074996</v>
      </c>
      <c r="R70" s="3">
        <f ca="1">IFERROR(__xludf.DUMMYFUNCTION("""COMPUTED_VALUE"""),-0.695994769887079)</f>
        <v>-0.69599476988707898</v>
      </c>
      <c r="S70" s="3">
        <f ca="1">IFERROR(__xludf.DUMMYFUNCTION("""COMPUTED_VALUE"""),-0.649315242884695)</f>
        <v>-0.649315242884695</v>
      </c>
      <c r="T70" s="3">
        <f ca="1">IFERROR(__xludf.DUMMYFUNCTION("""COMPUTED_VALUE"""),-0.735852450680618)</f>
        <v>-0.735852450680618</v>
      </c>
      <c r="U70" s="3">
        <f ca="1">IFERROR(__xludf.DUMMYFUNCTION("""COMPUTED_VALUE"""),-0.684825406655847)</f>
        <v>-0.68482540665584701</v>
      </c>
      <c r="V70" s="3">
        <f ca="1">IFERROR(__xludf.DUMMYFUNCTION("""COMPUTED_VALUE"""),-0.673032235352009)</f>
        <v>-0.67303223535200896</v>
      </c>
      <c r="W70" s="3">
        <f ca="1">IFERROR(__xludf.DUMMYFUNCTION("""COMPUTED_VALUE"""),-0.6560928717769)</f>
        <v>-0.65609287177690001</v>
      </c>
      <c r="X70" s="3">
        <f ca="1">IFERROR(__xludf.DUMMYFUNCTION("""COMPUTED_VALUE"""),-0.709066421454496)</f>
        <v>-0.70906642145449605</v>
      </c>
      <c r="Y70" s="3">
        <f ca="1">IFERROR(__xludf.DUMMYFUNCTION("""COMPUTED_VALUE"""),-0.62529638788813)</f>
        <v>-0.62529638788813002</v>
      </c>
      <c r="Z70" s="3">
        <f ca="1">IFERROR(__xludf.DUMMYFUNCTION("""COMPUTED_VALUE"""),-0.617450761729498)</f>
        <v>-0.61745076172949798</v>
      </c>
      <c r="AA70" s="3">
        <f ca="1">IFERROR(__xludf.DUMMYFUNCTION("""COMPUTED_VALUE"""),-0.706345546788257)</f>
        <v>-0.70634554678825701</v>
      </c>
      <c r="AB70" s="3">
        <f ca="1">IFERROR(__xludf.DUMMYFUNCTION("""COMPUTED_VALUE"""),-0.711241155435703)</f>
        <v>-0.71124115543570299</v>
      </c>
      <c r="AC70" s="3">
        <f ca="1">IFERROR(__xludf.DUMMYFUNCTION("""COMPUTED_VALUE"""),-0.70152704727726)</f>
        <v>-0.70152704727726001</v>
      </c>
      <c r="AD70" s="3">
        <f ca="1">IFERROR(__xludf.DUMMYFUNCTION("""COMPUTED_VALUE"""),-0.703256258869999)</f>
        <v>-0.70325625886999898</v>
      </c>
      <c r="AE70" s="3">
        <f ca="1">IFERROR(__xludf.DUMMYFUNCTION("""COMPUTED_VALUE"""),-0.734407362495264)</f>
        <v>-0.73440736249526395</v>
      </c>
      <c r="AF70" s="3">
        <f ca="1">IFERROR(__xludf.DUMMYFUNCTION("""COMPUTED_VALUE"""),-0.710942278188641)</f>
        <v>-0.71094227818864097</v>
      </c>
      <c r="AG70" s="3">
        <f ca="1">IFERROR(__xludf.DUMMYFUNCTION("""COMPUTED_VALUE"""),-0.698368609324516)</f>
        <v>-0.69836860932451605</v>
      </c>
      <c r="AH70" s="3">
        <f ca="1">IFERROR(__xludf.DUMMYFUNCTION("""COMPUTED_VALUE"""),-0.717427547265223)</f>
        <v>-0.71742754726522295</v>
      </c>
      <c r="AI70" s="3">
        <f ca="1">IFERROR(__xludf.DUMMYFUNCTION("""COMPUTED_VALUE"""),-0.736947095063168)</f>
        <v>-0.73694709506316802</v>
      </c>
      <c r="AJ70" s="3">
        <f ca="1">IFERROR(__xludf.DUMMYFUNCTION("""COMPUTED_VALUE"""),-0.750604235857318)</f>
        <v>-0.75060423585731795</v>
      </c>
      <c r="AK70" s="3">
        <f ca="1">IFERROR(__xludf.DUMMYFUNCTION("""COMPUTED_VALUE"""),-0.75283356638712)</f>
        <v>-0.75283356638711996</v>
      </c>
      <c r="AL70" s="3">
        <f ca="1">IFERROR(__xludf.DUMMYFUNCTION("""COMPUTED_VALUE"""),-0.747099606648722)</f>
        <v>-0.74709960664872199</v>
      </c>
      <c r="AM70" s="3">
        <f ca="1">IFERROR(__xludf.DUMMYFUNCTION("""COMPUTED_VALUE"""),-0.726899607669411)</f>
        <v>-0.72689960766941097</v>
      </c>
      <c r="AN70" s="3">
        <f ca="1">IFERROR(__xludf.DUMMYFUNCTION("""COMPUTED_VALUE"""),-0.731621191252801)</f>
        <v>-0.73162119125280101</v>
      </c>
      <c r="AO70" s="3">
        <f ca="1">IFERROR(__xludf.DUMMYFUNCTION("""COMPUTED_VALUE"""),-0.764504962991363)</f>
        <v>-0.76450496299136295</v>
      </c>
      <c r="AP70" s="3">
        <f ca="1">IFERROR(__xludf.DUMMYFUNCTION("""COMPUTED_VALUE"""),-0.740901051363411)</f>
        <v>-0.740901051363411</v>
      </c>
      <c r="AQ70" s="3">
        <f ca="1">IFERROR(__xludf.DUMMYFUNCTION("""COMPUTED_VALUE"""),-0.723467013514649)</f>
        <v>-0.72346701351464904</v>
      </c>
      <c r="AR70" s="3">
        <f ca="1">IFERROR(__xludf.DUMMYFUNCTION("""COMPUTED_VALUE"""),-0.738433088931729)</f>
        <v>-0.73843308893172899</v>
      </c>
      <c r="AS70" s="3">
        <f ca="1">IFERROR(__xludf.DUMMYFUNCTION("""COMPUTED_VALUE"""),-0.682885555136027)</f>
        <v>-0.682885555136027</v>
      </c>
      <c r="AT70" s="3">
        <f ca="1">IFERROR(__xludf.DUMMYFUNCTION("""COMPUTED_VALUE"""),-0.661183770345928)</f>
        <v>-0.66118377034592801</v>
      </c>
      <c r="AU70" s="3">
        <f ca="1">IFERROR(__xludf.DUMMYFUNCTION("""COMPUTED_VALUE"""),-0.742425905193332)</f>
        <v>-0.74242590519333196</v>
      </c>
      <c r="AV70" s="3">
        <f ca="1">IFERROR(__xludf.DUMMYFUNCTION("""COMPUTED_VALUE"""),-0.768616998799522)</f>
        <v>-0.76861699879952206</v>
      </c>
      <c r="AW70" s="3">
        <f ca="1">IFERROR(__xludf.DUMMYFUNCTION("""COMPUTED_VALUE"""),-0.794736211413433)</f>
        <v>-0.79473621141343298</v>
      </c>
      <c r="AX70" s="3">
        <f ca="1">IFERROR(__xludf.DUMMYFUNCTION("""COMPUTED_VALUE"""),-0.782141450017943)</f>
        <v>-0.782141450017943</v>
      </c>
      <c r="AY70" s="3">
        <f ca="1">IFERROR(__xludf.DUMMYFUNCTION("""COMPUTED_VALUE"""),-0.767616167451047)</f>
        <v>-0.76761616745104699</v>
      </c>
      <c r="AZ70" s="3">
        <f ca="1">IFERROR(__xludf.DUMMYFUNCTION("""COMPUTED_VALUE"""),-0.770338714625839)</f>
        <v>-0.77033871462583903</v>
      </c>
      <c r="BA70" s="3">
        <f ca="1">IFERROR(__xludf.DUMMYFUNCTION("""COMPUTED_VALUE"""),-0.718788461195667)</f>
        <v>-0.71878846119566697</v>
      </c>
      <c r="BB70" s="3">
        <f ca="1">IFERROR(__xludf.DUMMYFUNCTION("""COMPUTED_VALUE"""),-0.734858562940013)</f>
        <v>-0.73485856294001295</v>
      </c>
      <c r="BC70" s="3">
        <f ca="1">IFERROR(__xludf.DUMMYFUNCTION("""COMPUTED_VALUE"""),-0.800613606800987)</f>
        <v>-0.80061360680098703</v>
      </c>
      <c r="BD70" s="3">
        <f ca="1">IFERROR(__xludf.DUMMYFUNCTION("""COMPUTED_VALUE"""),-0.806900903206406)</f>
        <v>-0.80690090320640595</v>
      </c>
      <c r="BE70" s="3">
        <f ca="1">IFERROR(__xludf.DUMMYFUNCTION("""COMPUTED_VALUE"""),-0.756202978553472)</f>
        <v>-0.75620297855347196</v>
      </c>
      <c r="BF70" s="3">
        <f ca="1">IFERROR(__xludf.DUMMYFUNCTION("""COMPUTED_VALUE"""),-0.784840304897256)</f>
        <v>-0.78484030489725598</v>
      </c>
      <c r="BG70" s="3">
        <f ca="1">IFERROR(__xludf.DUMMYFUNCTION("""COMPUTED_VALUE"""),-0.770855327212469)</f>
        <v>-0.77085532721246897</v>
      </c>
      <c r="BH70" s="3">
        <f ca="1">IFERROR(__xludf.DUMMYFUNCTION("""COMPUTED_VALUE"""),-0.687145342007736)</f>
        <v>-0.68714534200773603</v>
      </c>
      <c r="BI70" s="3">
        <f ca="1">IFERROR(__xludf.DUMMYFUNCTION("""COMPUTED_VALUE"""),-0.754636065813615)</f>
        <v>-0.75463606581361498</v>
      </c>
      <c r="BJ70" s="3">
        <f ca="1">IFERROR(__xludf.DUMMYFUNCTION("""COMPUTED_VALUE"""),-0.788812000777041)</f>
        <v>-0.78881200077704094</v>
      </c>
      <c r="BK70" s="3">
        <f ca="1">IFERROR(__xludf.DUMMYFUNCTION("""COMPUTED_VALUE"""),-0.796946658939966)</f>
        <v>-0.79694665893996597</v>
      </c>
      <c r="BL70" s="3">
        <f ca="1">IFERROR(__xludf.DUMMYFUNCTION("""COMPUTED_VALUE"""),-0.808970868396709)</f>
        <v>-0.80897086839670895</v>
      </c>
      <c r="BM70" s="3">
        <f ca="1">IFERROR(__xludf.DUMMYFUNCTION("""COMPUTED_VALUE"""),-0.810524332795063)</f>
        <v>-0.81052433279506297</v>
      </c>
      <c r="BN70" s="3">
        <f ca="1">IFERROR(__xludf.DUMMYFUNCTION("""COMPUTED_VALUE"""),-0.801764947426062)</f>
        <v>-0.80176494742606197</v>
      </c>
      <c r="BO70" s="3">
        <f ca="1">IFERROR(__xludf.DUMMYFUNCTION("""COMPUTED_VALUE"""),-0.790724008886408)</f>
        <v>-0.79072400888640804</v>
      </c>
      <c r="BP70" s="3">
        <f ca="1">IFERROR(__xludf.DUMMYFUNCTION("""COMPUTED_VALUE"""),-0.799332167293754)</f>
        <v>-0.799332167293754</v>
      </c>
      <c r="BQ70" s="3">
        <f ca="1">IFERROR(__xludf.DUMMYFUNCTION("""COMPUTED_VALUE"""),-0.816816919660661)</f>
        <v>-0.81681691966066095</v>
      </c>
      <c r="BR70" s="3">
        <f ca="1">IFERROR(__xludf.DUMMYFUNCTION("""COMPUTED_VALUE"""),-0.814811695375738)</f>
        <v>-0.81481169537573805</v>
      </c>
      <c r="BS70" s="3">
        <f ca="1">IFERROR(__xludf.DUMMYFUNCTION("""COMPUTED_VALUE"""),-0.814105118104388)</f>
        <v>-0.81410511810438801</v>
      </c>
      <c r="BT70" s="3">
        <f ca="1">IFERROR(__xludf.DUMMYFUNCTION("""COMPUTED_VALUE"""),-0.804750612441271)</f>
        <v>-0.804750612441271</v>
      </c>
      <c r="BU70" s="3">
        <f ca="1">IFERROR(__xludf.DUMMYFUNCTION("""COMPUTED_VALUE"""),-0.818765471502589)</f>
        <v>-0.81876547150258905</v>
      </c>
      <c r="BV70" s="3">
        <f ca="1">IFERROR(__xludf.DUMMYFUNCTION("""COMPUTED_VALUE"""),-0.800191065438899)</f>
        <v>-0.80019106543889895</v>
      </c>
      <c r="BW70" s="3">
        <f ca="1">IFERROR(__xludf.DUMMYFUNCTION("""COMPUTED_VALUE"""),-0.837843563015634)</f>
        <v>-0.83784356301563401</v>
      </c>
      <c r="BX70" s="3">
        <f ca="1">IFERROR(__xludf.DUMMYFUNCTION("""COMPUTED_VALUE"""),-0.838201147055627)</f>
        <v>-0.83820114705562698</v>
      </c>
      <c r="BY70" s="3">
        <f ca="1">IFERROR(__xludf.DUMMYFUNCTION("""COMPUTED_VALUE"""),-0.818707518181427)</f>
        <v>-0.81870751818142695</v>
      </c>
      <c r="BZ70" s="3">
        <f ca="1">IFERROR(__xludf.DUMMYFUNCTION("""COMPUTED_VALUE"""),-0.835277928785837)</f>
        <v>-0.83527792878583695</v>
      </c>
      <c r="CA70" s="3">
        <f ca="1">IFERROR(__xludf.DUMMYFUNCTION("""COMPUTED_VALUE"""),-0.831748634802951)</f>
        <v>-0.83174863480295103</v>
      </c>
      <c r="CB70" s="3">
        <f ca="1">IFERROR(__xludf.DUMMYFUNCTION("""COMPUTED_VALUE"""),-0.792633468143182)</f>
        <v>-0.79263346814318203</v>
      </c>
      <c r="CC70" s="3">
        <f ca="1">IFERROR(__xludf.DUMMYFUNCTION("""COMPUTED_VALUE"""),-0.800997841953427)</f>
        <v>-0.80099784195342705</v>
      </c>
      <c r="CD70" s="3">
        <f ca="1">IFERROR(__xludf.DUMMYFUNCTION("""COMPUTED_VALUE"""),-0.830954416696134)</f>
        <v>-0.83095441669613401</v>
      </c>
      <c r="CE70" s="3">
        <f ca="1">IFERROR(__xludf.DUMMYFUNCTION("""COMPUTED_VALUE"""),-0.825747927168465)</f>
        <v>-0.82574792716846501</v>
      </c>
      <c r="CF70" s="3">
        <f ca="1">IFERROR(__xludf.DUMMYFUNCTION("""COMPUTED_VALUE"""),-0.800676324600327)</f>
        <v>-0.80067632460032701</v>
      </c>
      <c r="CG70" s="3">
        <f ca="1">IFERROR(__xludf.DUMMYFUNCTION("""COMPUTED_VALUE"""),-0.824869867521992)</f>
        <v>-0.82486986752199198</v>
      </c>
      <c r="CH70" s="3">
        <f ca="1">IFERROR(__xludf.DUMMYFUNCTION("""COMPUTED_VALUE"""),-0.796638901643731)</f>
        <v>-0.79663890164373097</v>
      </c>
      <c r="CI70" s="3">
        <f ca="1">IFERROR(__xludf.DUMMYFUNCTION("""COMPUTED_VALUE"""),-0.824476847801824)</f>
        <v>-0.82447684780182395</v>
      </c>
      <c r="CJ70" s="3">
        <f ca="1">IFERROR(__xludf.DUMMYFUNCTION("""COMPUTED_VALUE"""),-0.754049331507648)</f>
        <v>-0.75404933150764797</v>
      </c>
      <c r="CK70" s="3">
        <f ca="1">IFERROR(__xludf.DUMMYFUNCTION("""COMPUTED_VALUE"""),-0.849240866695041)</f>
        <v>-0.84924086669504095</v>
      </c>
      <c r="CL70" s="3">
        <f ca="1">IFERROR(__xludf.DUMMYFUNCTION("""COMPUTED_VALUE"""),-0.849900251968746)</f>
        <v>-0.84990025196874597</v>
      </c>
      <c r="CM70" s="3">
        <f ca="1">IFERROR(__xludf.DUMMYFUNCTION("""COMPUTED_VALUE"""),-0.842504367966357)</f>
        <v>-0.84250436796635697</v>
      </c>
      <c r="CN70" s="3">
        <f ca="1">IFERROR(__xludf.DUMMYFUNCTION("""COMPUTED_VALUE"""),-0.84080313570387)</f>
        <v>-0.84080313570387</v>
      </c>
      <c r="CO70" s="3">
        <f ca="1">IFERROR(__xludf.DUMMYFUNCTION("""COMPUTED_VALUE"""),-0.836323794900572)</f>
        <v>-0.83632379490057196</v>
      </c>
      <c r="CP70" s="3">
        <f ca="1">IFERROR(__xludf.DUMMYFUNCTION("""COMPUTED_VALUE"""),-0.832129659054334)</f>
        <v>-0.832129659054334</v>
      </c>
      <c r="CQ70" s="3">
        <f ca="1">IFERROR(__xludf.DUMMYFUNCTION("""COMPUTED_VALUE"""),-0.824104012215604)</f>
        <v>-0.82410401221560403</v>
      </c>
      <c r="CR70" s="3">
        <f ca="1">IFERROR(__xludf.DUMMYFUNCTION("""COMPUTED_VALUE"""),-0.817152145652783)</f>
        <v>-0.81715214565278305</v>
      </c>
      <c r="CS70" s="3">
        <f ca="1">IFERROR(__xludf.DUMMYFUNCTION("""COMPUTED_VALUE"""),-0.786458730273045)</f>
        <v>-0.78645873027304503</v>
      </c>
      <c r="CT70" s="3">
        <f ca="1">IFERROR(__xludf.DUMMYFUNCTION("""COMPUTED_VALUE"""),-0.80499143470304)</f>
        <v>-0.80499143470304002</v>
      </c>
      <c r="CU70" s="3">
        <f ca="1">IFERROR(__xludf.DUMMYFUNCTION("""COMPUTED_VALUE"""),-0.743483740511315)</f>
        <v>-0.74348374051131505</v>
      </c>
      <c r="CV70" s="3">
        <f ca="1">IFERROR(__xludf.DUMMYFUNCTION("""COMPUTED_VALUE"""),-0.77679551684332)</f>
        <v>-0.77679551684332004</v>
      </c>
      <c r="CW70" s="3">
        <f ca="1">IFERROR(__xludf.DUMMYFUNCTION("""COMPUTED_VALUE"""),-0.763442240296746)</f>
        <v>-0.76344224029674601</v>
      </c>
      <c r="CX70" s="3">
        <f ca="1">IFERROR(__xludf.DUMMYFUNCTION("""COMPUTED_VALUE"""),-0.722235197823017)</f>
        <v>-0.72223519782301704</v>
      </c>
      <c r="CY70" s="3">
        <f ca="1">IFERROR(__xludf.DUMMYFUNCTION("""COMPUTED_VALUE"""),-0.794712333359149)</f>
        <v>-0.79471233335914904</v>
      </c>
      <c r="CZ70" s="3">
        <f ca="1">IFERROR(__xludf.DUMMYFUNCTION("""COMPUTED_VALUE"""),-0.856766759664036)</f>
        <v>-0.85676675966403604</v>
      </c>
      <c r="DA70" s="3">
        <f ca="1">IFERROR(__xludf.DUMMYFUNCTION("""COMPUTED_VALUE"""),-0.761849861229732)</f>
        <v>-0.76184986122973197</v>
      </c>
      <c r="DB70" s="3">
        <f ca="1">IFERROR(__xludf.DUMMYFUNCTION("""COMPUTED_VALUE"""),-0.725315981201094)</f>
        <v>-0.72531598120109397</v>
      </c>
      <c r="DC70" s="3">
        <f ca="1">IFERROR(__xludf.DUMMYFUNCTION("""COMPUTED_VALUE"""),-0.797686632238837)</f>
        <v>-0.79768663223883696</v>
      </c>
      <c r="DD70" s="3">
        <f ca="1">IFERROR(__xludf.DUMMYFUNCTION("""COMPUTED_VALUE"""),-0.830081483635834)</f>
        <v>-0.83008148363583401</v>
      </c>
      <c r="DE70" s="3">
        <f ca="1">IFERROR(__xludf.DUMMYFUNCTION("""COMPUTED_VALUE"""),-0.799156899593998)</f>
        <v>-0.79915689959399805</v>
      </c>
      <c r="DF70" s="3">
        <f ca="1">IFERROR(__xludf.DUMMYFUNCTION("""COMPUTED_VALUE"""),-0.813792855679287)</f>
        <v>-0.81379285567928705</v>
      </c>
      <c r="DG70" s="3">
        <f ca="1">IFERROR(__xludf.DUMMYFUNCTION("""COMPUTED_VALUE"""),-0.87411034313223)</f>
        <v>-0.87411034313223002</v>
      </c>
      <c r="DH70" s="3">
        <f ca="1">IFERROR(__xludf.DUMMYFUNCTION("""COMPUTED_VALUE"""),-0.707442011591393)</f>
        <v>-0.70744201159139297</v>
      </c>
      <c r="DI70" s="3">
        <f ca="1">IFERROR(__xludf.DUMMYFUNCTION("""COMPUTED_VALUE"""),-0.560479702020575)</f>
        <v>-0.56047970202057495</v>
      </c>
      <c r="DJ70" s="3">
        <f ca="1">IFERROR(__xludf.DUMMYFUNCTION("""COMPUTED_VALUE"""),-0.697580200665317)</f>
        <v>-0.69758020066531701</v>
      </c>
      <c r="DK70" s="3">
        <f ca="1">IFERROR(__xludf.DUMMYFUNCTION("""COMPUTED_VALUE"""),-0.702353577913757)</f>
        <v>-0.70235357791375697</v>
      </c>
      <c r="DL70" s="3">
        <f ca="1">IFERROR(__xludf.DUMMYFUNCTION("""COMPUTED_VALUE"""),-0.726085752855557)</f>
        <v>-0.72608575285555699</v>
      </c>
      <c r="DM70" s="3">
        <f ca="1">IFERROR(__xludf.DUMMYFUNCTION("""COMPUTED_VALUE"""),-0.722590622244891)</f>
        <v>-0.72259062224489101</v>
      </c>
      <c r="DN70" s="3">
        <f ca="1">IFERROR(__xludf.DUMMYFUNCTION("""COMPUTED_VALUE"""),-0.767302535789352)</f>
        <v>-0.76730253578935204</v>
      </c>
      <c r="DO70" s="3">
        <f ca="1">IFERROR(__xludf.DUMMYFUNCTION("""COMPUTED_VALUE"""),-0.749316564951854)</f>
        <v>-0.74931656495185395</v>
      </c>
      <c r="DP70" s="3">
        <f ca="1">IFERROR(__xludf.DUMMYFUNCTION("""COMPUTED_VALUE"""),-0.694602576215534)</f>
        <v>-0.69460257621553401</v>
      </c>
      <c r="DQ70" s="3">
        <f ca="1">IFERROR(__xludf.DUMMYFUNCTION("""COMPUTED_VALUE"""),-0.700461175588024)</f>
        <v>-0.70046117558802401</v>
      </c>
      <c r="DR70" s="3">
        <f ca="1">IFERROR(__xludf.DUMMYFUNCTION("""COMPUTED_VALUE"""),-0.711352108320023)</f>
        <v>-0.71135210832002305</v>
      </c>
      <c r="DS70" s="3">
        <f ca="1">IFERROR(__xludf.DUMMYFUNCTION("""COMPUTED_VALUE"""),-0.740601432759906)</f>
        <v>-0.74060143275990598</v>
      </c>
      <c r="DT70" s="3">
        <f ca="1">IFERROR(__xludf.DUMMYFUNCTION("""COMPUTED_VALUE"""),-0.717029558527339)</f>
        <v>-0.71702955852733896</v>
      </c>
      <c r="DU70" s="3">
        <f ca="1">IFERROR(__xludf.DUMMYFUNCTION("""COMPUTED_VALUE"""),-0.741257116129691)</f>
        <v>-0.74125711612969103</v>
      </c>
      <c r="DV70" s="3">
        <f ca="1">IFERROR(__xludf.DUMMYFUNCTION("""COMPUTED_VALUE"""),-0.75370069688076)</f>
        <v>-0.75370069688076002</v>
      </c>
      <c r="DW70" s="3">
        <f ca="1">IFERROR(__xludf.DUMMYFUNCTION("""COMPUTED_VALUE"""),-0.762849005686817)</f>
        <v>-0.76284900568681702</v>
      </c>
      <c r="DX70" s="3">
        <f ca="1">IFERROR(__xludf.DUMMYFUNCTION("""COMPUTED_VALUE"""),-0.762894710224561)</f>
        <v>-0.76289471022456101</v>
      </c>
      <c r="DY70" s="3">
        <f ca="1">IFERROR(__xludf.DUMMYFUNCTION("""COMPUTED_VALUE"""),-0.767927110542498)</f>
        <v>-0.76792711054249796</v>
      </c>
      <c r="DZ70" s="3">
        <f ca="1">IFERROR(__xludf.DUMMYFUNCTION("""COMPUTED_VALUE"""),-0.721878617896785)</f>
        <v>-0.72187861789678498</v>
      </c>
      <c r="EA70" s="3">
        <f ca="1">IFERROR(__xludf.DUMMYFUNCTION("""COMPUTED_VALUE"""),-0.736249009489069)</f>
        <v>-0.73624900948906902</v>
      </c>
      <c r="EB70" s="3">
        <f ca="1">IFERROR(__xludf.DUMMYFUNCTION("""COMPUTED_VALUE"""),-0.751861802478743)</f>
        <v>-0.75186180247874301</v>
      </c>
      <c r="EC70" s="3">
        <f ca="1">IFERROR(__xludf.DUMMYFUNCTION("""COMPUTED_VALUE"""),-0.736332767415093)</f>
        <v>-0.73633276741509301</v>
      </c>
      <c r="ED70" s="3">
        <f ca="1">IFERROR(__xludf.DUMMYFUNCTION("""COMPUTED_VALUE"""),-0.758622911065655)</f>
        <v>-0.75862291106565505</v>
      </c>
      <c r="EE70" s="3">
        <f ca="1">IFERROR(__xludf.DUMMYFUNCTION("""COMPUTED_VALUE"""),-0.742699978372782)</f>
        <v>-0.74269997837278201</v>
      </c>
      <c r="EF70" s="3">
        <f ca="1">IFERROR(__xludf.DUMMYFUNCTION("""COMPUTED_VALUE"""),-0.733899754939092)</f>
        <v>-0.73389975493909199</v>
      </c>
      <c r="EG70" s="3">
        <f ca="1">IFERROR(__xludf.DUMMYFUNCTION("""COMPUTED_VALUE"""),-0.688101619228508)</f>
        <v>-0.68810161922850799</v>
      </c>
      <c r="EH70" s="3">
        <f ca="1">IFERROR(__xludf.DUMMYFUNCTION("""COMPUTED_VALUE"""),-0.735571559886147)</f>
        <v>-0.73557155988614698</v>
      </c>
      <c r="EI70" s="3">
        <f ca="1">IFERROR(__xludf.DUMMYFUNCTION("""COMPUTED_VALUE"""),-0.741382754899859)</f>
        <v>-0.74138275489985905</v>
      </c>
      <c r="EJ70" s="3">
        <f ca="1">IFERROR(__xludf.DUMMYFUNCTION("""COMPUTED_VALUE"""),-0.745798737273516)</f>
        <v>-0.74579873727351598</v>
      </c>
      <c r="EK70" s="3">
        <f ca="1">IFERROR(__xludf.DUMMYFUNCTION("""COMPUTED_VALUE"""),-0.740729235981738)</f>
        <v>-0.74072923598173801</v>
      </c>
      <c r="EL70" s="3">
        <f ca="1">IFERROR(__xludf.DUMMYFUNCTION("""COMPUTED_VALUE"""),-0.765157913326168)</f>
        <v>-0.765157913326168</v>
      </c>
      <c r="EM70" s="3">
        <f ca="1">IFERROR(__xludf.DUMMYFUNCTION("""COMPUTED_VALUE"""),-0.775787525727628)</f>
        <v>-0.77578752572762799</v>
      </c>
      <c r="EN70" s="3">
        <f ca="1">IFERROR(__xludf.DUMMYFUNCTION("""COMPUTED_VALUE"""),-0.736711166872672)</f>
        <v>-0.73671116687267202</v>
      </c>
      <c r="EO70" s="3">
        <f ca="1">IFERROR(__xludf.DUMMYFUNCTION("""COMPUTED_VALUE"""),-0.729020071505757)</f>
        <v>-0.72902007150575698</v>
      </c>
      <c r="EP70" s="3">
        <f ca="1">IFERROR(__xludf.DUMMYFUNCTION("""COMPUTED_VALUE"""),-0.766498774253325)</f>
        <v>-0.76649877425332502</v>
      </c>
      <c r="EQ70" s="3">
        <f ca="1">IFERROR(__xludf.DUMMYFUNCTION("""COMPUTED_VALUE"""),-0.770853750315637)</f>
        <v>-0.77085375031563697</v>
      </c>
      <c r="ER70" s="3">
        <f ca="1">IFERROR(__xludf.DUMMYFUNCTION("""COMPUTED_VALUE"""),-0.781772777419484)</f>
        <v>-0.78177277741948403</v>
      </c>
      <c r="ES70" s="3">
        <f ca="1">IFERROR(__xludf.DUMMYFUNCTION("""COMPUTED_VALUE"""),-0.782453589545741)</f>
        <v>-0.78245358954574096</v>
      </c>
      <c r="ET70" s="3">
        <f ca="1">IFERROR(__xludf.DUMMYFUNCTION("""COMPUTED_VALUE"""),-0.752078374581221)</f>
        <v>-0.75207837458122095</v>
      </c>
      <c r="EU70" s="3">
        <f ca="1">IFERROR(__xludf.DUMMYFUNCTION("""COMPUTED_VALUE"""),-0.746870157857251)</f>
        <v>-0.74687015785725097</v>
      </c>
      <c r="EV70" s="3">
        <f ca="1">IFERROR(__xludf.DUMMYFUNCTION("""COMPUTED_VALUE"""),-0.72311222659868)</f>
        <v>-0.72311222659868002</v>
      </c>
      <c r="EW70" s="3">
        <f ca="1">IFERROR(__xludf.DUMMYFUNCTION("""COMPUTED_VALUE"""),-0.776941244611192)</f>
        <v>-0.77694124461119196</v>
      </c>
      <c r="EX70" s="3">
        <f ca="1">IFERROR(__xludf.DUMMYFUNCTION("""COMPUTED_VALUE"""),-0.790633546733899)</f>
        <v>-0.79063354673389896</v>
      </c>
      <c r="EY70" s="3">
        <f ca="1">IFERROR(__xludf.DUMMYFUNCTION("""COMPUTED_VALUE"""),-0.790062055613029)</f>
        <v>-0.790062055613029</v>
      </c>
      <c r="EZ70" s="3">
        <f ca="1">IFERROR(__xludf.DUMMYFUNCTION("""COMPUTED_VALUE"""),-0.76473910240987)</f>
        <v>-0.76473910240986998</v>
      </c>
      <c r="FA70" s="3">
        <f ca="1">IFERROR(__xludf.DUMMYFUNCTION("""COMPUTED_VALUE"""),-0.77316261520815)</f>
        <v>-0.77316261520814999</v>
      </c>
      <c r="FB70" s="3">
        <f ca="1">IFERROR(__xludf.DUMMYFUNCTION("""COMPUTED_VALUE"""),-0.681753243541465)</f>
        <v>-0.68175324354146505</v>
      </c>
      <c r="FC70" s="3">
        <f ca="1">IFERROR(__xludf.DUMMYFUNCTION("""COMPUTED_VALUE"""),-0.680628072584263)</f>
        <v>-0.68062807258426306</v>
      </c>
      <c r="FD70" s="3">
        <f ca="1">IFERROR(__xludf.DUMMYFUNCTION("""COMPUTED_VALUE"""),-0.765319421830604)</f>
        <v>-0.76531942183060397</v>
      </c>
      <c r="FE70" s="3">
        <f ca="1">IFERROR(__xludf.DUMMYFUNCTION("""COMPUTED_VALUE"""),-0.784648767357807)</f>
        <v>-0.78464876735780698</v>
      </c>
      <c r="FF70" s="3">
        <f ca="1">IFERROR(__xludf.DUMMYFUNCTION("""COMPUTED_VALUE"""),-0.786306322366732)</f>
        <v>-0.78630632236673204</v>
      </c>
      <c r="FG70" s="3">
        <f ca="1">IFERROR(__xludf.DUMMYFUNCTION("""COMPUTED_VALUE"""),-0.776201984873328)</f>
        <v>-0.77620198487332803</v>
      </c>
      <c r="FH70" s="3">
        <f ca="1">IFERROR(__xludf.DUMMYFUNCTION("""COMPUTED_VALUE"""),-0.769410348665656)</f>
        <v>-0.76941034866565605</v>
      </c>
      <c r="FI70" s="3">
        <f ca="1">IFERROR(__xludf.DUMMYFUNCTION("""COMPUTED_VALUE"""),-0.680950409389936)</f>
        <v>-0.68095040938993601</v>
      </c>
      <c r="FJ70" s="3">
        <f ca="1">IFERROR(__xludf.DUMMYFUNCTION("""COMPUTED_VALUE"""),-0.675826096568806)</f>
        <v>-0.67582609656880599</v>
      </c>
      <c r="FK70" s="3">
        <f ca="1">IFERROR(__xludf.DUMMYFUNCTION("""COMPUTED_VALUE"""),-0.756809345522551)</f>
        <v>-0.75680934552255097</v>
      </c>
      <c r="FL70" s="3">
        <f ca="1">IFERROR(__xludf.DUMMYFUNCTION("""COMPUTED_VALUE"""),-0.744689184645912)</f>
        <v>-0.74468918464591205</v>
      </c>
      <c r="FM70" s="3">
        <f ca="1">IFERROR(__xludf.DUMMYFUNCTION("""COMPUTED_VALUE"""),-0.750493090764742)</f>
        <v>-0.75049309076474202</v>
      </c>
      <c r="FN70" s="3">
        <f ca="1">IFERROR(__xludf.DUMMYFUNCTION("""COMPUTED_VALUE"""),-0.742926515760916)</f>
        <v>-0.74292651576091595</v>
      </c>
      <c r="FO70" s="3">
        <f ca="1">IFERROR(__xludf.DUMMYFUNCTION("""COMPUTED_VALUE"""),-0.752597594782253)</f>
        <v>-0.75259759478225297</v>
      </c>
      <c r="FP70" s="3">
        <f ca="1">IFERROR(__xludf.DUMMYFUNCTION("""COMPUTED_VALUE"""),-0.700996810575701)</f>
        <v>-0.70099681057570096</v>
      </c>
      <c r="FQ70" s="3">
        <f ca="1">IFERROR(__xludf.DUMMYFUNCTION("""COMPUTED_VALUE"""),-0.702475497122102)</f>
        <v>-0.702475497122102</v>
      </c>
      <c r="FR70" s="3">
        <f ca="1">IFERROR(__xludf.DUMMYFUNCTION("""COMPUTED_VALUE"""),-0.71507242944199)</f>
        <v>-0.71507242944199001</v>
      </c>
      <c r="FS70" s="3">
        <f ca="1">IFERROR(__xludf.DUMMYFUNCTION("""COMPUTED_VALUE"""),-0.738831794907783)</f>
        <v>-0.73883179490778295</v>
      </c>
      <c r="FT70" s="3">
        <f ca="1">IFERROR(__xludf.DUMMYFUNCTION("""COMPUTED_VALUE"""),-0.73209124563002)</f>
        <v>-0.73209124563002004</v>
      </c>
      <c r="FU70" s="3">
        <f ca="1">IFERROR(__xludf.DUMMYFUNCTION("""COMPUTED_VALUE"""),-0.729266304868336)</f>
        <v>-0.72926630486833599</v>
      </c>
      <c r="FV70" s="3">
        <f ca="1">IFERROR(__xludf.DUMMYFUNCTION("""COMPUTED_VALUE"""),-0.667878662848506)</f>
        <v>-0.66787866284850606</v>
      </c>
      <c r="FW70" s="3">
        <f ca="1">IFERROR(__xludf.DUMMYFUNCTION("""COMPUTED_VALUE"""),-0.708055568275257)</f>
        <v>-0.70805556827525695</v>
      </c>
      <c r="FX70" s="3">
        <f ca="1">IFERROR(__xludf.DUMMYFUNCTION("""COMPUTED_VALUE"""),-0.705103153523398)</f>
        <v>-0.70510315352339803</v>
      </c>
      <c r="FY70" s="3">
        <f ca="1">IFERROR(__xludf.DUMMYFUNCTION("""COMPUTED_VALUE"""),-0.751975228037489)</f>
        <v>-0.75197522803748895</v>
      </c>
      <c r="FZ70" s="3">
        <f ca="1">IFERROR(__xludf.DUMMYFUNCTION("""COMPUTED_VALUE"""),-0.729234665619266)</f>
        <v>-0.72923466561926598</v>
      </c>
      <c r="GA70" s="3">
        <f ca="1">IFERROR(__xludf.DUMMYFUNCTION("""COMPUTED_VALUE"""),-0.758415382617612)</f>
        <v>-0.75841538261761199</v>
      </c>
      <c r="GB70" s="3">
        <f ca="1">IFERROR(__xludf.DUMMYFUNCTION("""COMPUTED_VALUE"""),-0.776723374424298)</f>
        <v>-0.77672337442429795</v>
      </c>
      <c r="GC70" s="3">
        <f ca="1">IFERROR(__xludf.DUMMYFUNCTION("""COMPUTED_VALUE"""),-0.748760426155037)</f>
        <v>-0.74876042615503702</v>
      </c>
      <c r="GD70" s="3">
        <f ca="1">IFERROR(__xludf.DUMMYFUNCTION("""COMPUTED_VALUE"""),-0.733061938107013)</f>
        <v>-0.73306193810701303</v>
      </c>
      <c r="GE70" s="3">
        <f ca="1">IFERROR(__xludf.DUMMYFUNCTION("""COMPUTED_VALUE"""),-0.75161817210708)</f>
        <v>-0.75161817210708004</v>
      </c>
      <c r="GF70" s="3">
        <f ca="1">IFERROR(__xludf.DUMMYFUNCTION("""COMPUTED_VALUE"""),-0.736622746903936)</f>
        <v>-0.73662274690393603</v>
      </c>
      <c r="GG70" s="3">
        <f ca="1">IFERROR(__xludf.DUMMYFUNCTION("""COMPUTED_VALUE"""),-0.754134598831453)</f>
        <v>-0.75413459883145295</v>
      </c>
      <c r="GH70" s="3">
        <f ca="1">IFERROR(__xludf.DUMMYFUNCTION("""COMPUTED_VALUE"""),-0.716971702972706)</f>
        <v>-0.71697170297270596</v>
      </c>
      <c r="GI70" s="3">
        <f ca="1">IFERROR(__xludf.DUMMYFUNCTION("""COMPUTED_VALUE"""),-0.703974670639915)</f>
        <v>-0.70397467063991503</v>
      </c>
      <c r="GJ70" s="3">
        <f ca="1">IFERROR(__xludf.DUMMYFUNCTION("""COMPUTED_VALUE"""),-0.639980123012511)</f>
        <v>-0.63998012301251095</v>
      </c>
      <c r="GK70" s="3">
        <f ca="1">IFERROR(__xludf.DUMMYFUNCTION("""COMPUTED_VALUE"""),-0.714844391413159)</f>
        <v>-0.71484439141315903</v>
      </c>
      <c r="GL70" s="3">
        <f ca="1">IFERROR(__xludf.DUMMYFUNCTION("""COMPUTED_VALUE"""),-0.712769854964282)</f>
        <v>-0.71276985496428202</v>
      </c>
      <c r="GM70" s="3">
        <f ca="1">IFERROR(__xludf.DUMMYFUNCTION("""COMPUTED_VALUE"""),-0.746174240964236)</f>
        <v>-0.74617424096423601</v>
      </c>
      <c r="GN70" s="3">
        <f ca="1">IFERROR(__xludf.DUMMYFUNCTION("""COMPUTED_VALUE"""),-0.70025463770415)</f>
        <v>-0.70025463770414997</v>
      </c>
      <c r="GO70" s="3">
        <f ca="1">IFERROR(__xludf.DUMMYFUNCTION("""COMPUTED_VALUE"""),-0.688920138829122)</f>
        <v>-0.68892013882912195</v>
      </c>
      <c r="GP70" s="3">
        <f ca="1">IFERROR(__xludf.DUMMYFUNCTION("""COMPUTED_VALUE"""),-0.646672589119289)</f>
        <v>-0.64667258911928904</v>
      </c>
      <c r="GQ70" s="3">
        <f ca="1">IFERROR(__xludf.DUMMYFUNCTION("""COMPUTED_VALUE"""),-0.643827790128225)</f>
        <v>-0.643827790128225</v>
      </c>
      <c r="GR70" s="3">
        <f ca="1">IFERROR(__xludf.DUMMYFUNCTION("""COMPUTED_VALUE"""),-0.544425519576309)</f>
        <v>-0.54442551957630902</v>
      </c>
      <c r="GS70" s="3">
        <f ca="1">IFERROR(__xludf.DUMMYFUNCTION("""COMPUTED_VALUE"""),-0.560237431872287)</f>
        <v>-0.56023743187228703</v>
      </c>
      <c r="GT70" s="3">
        <f ca="1">IFERROR(__xludf.DUMMYFUNCTION("""COMPUTED_VALUE"""),-0.651075716141709)</f>
        <v>-0.651075716141709</v>
      </c>
      <c r="GU70" s="3">
        <f ca="1">IFERROR(__xludf.DUMMYFUNCTION("""COMPUTED_VALUE"""),-0.659006097506442)</f>
        <v>-0.65900609750644201</v>
      </c>
      <c r="GV70" s="3">
        <f ca="1">IFERROR(__xludf.DUMMYFUNCTION("""COMPUTED_VALUE"""),-0.642495883455137)</f>
        <v>-0.64249588345513697</v>
      </c>
      <c r="GW70" s="3">
        <f ca="1">IFERROR(__xludf.DUMMYFUNCTION("""COMPUTED_VALUE"""),-0.624319198157667)</f>
        <v>-0.62431919815766701</v>
      </c>
      <c r="GX70" s="3">
        <f ca="1">IFERROR(__xludf.DUMMYFUNCTION("""COMPUTED_VALUE"""),-0.628862281447821)</f>
        <v>-0.62886228144782097</v>
      </c>
      <c r="GY70" s="3">
        <f ca="1">IFERROR(__xludf.DUMMYFUNCTION("""COMPUTED_VALUE"""),-0.565828940372816)</f>
        <v>-0.56582894037281595</v>
      </c>
      <c r="GZ70" s="3">
        <f ca="1">IFERROR(__xludf.DUMMYFUNCTION("""COMPUTED_VALUE"""),-0.578660774067287)</f>
        <v>-0.578660774067287</v>
      </c>
      <c r="HA70" s="3">
        <f ca="1">IFERROR(__xludf.DUMMYFUNCTION("""COMPUTED_VALUE"""),-0.628132801670798)</f>
        <v>-0.62813280167079799</v>
      </c>
      <c r="HB70" s="3">
        <f ca="1">IFERROR(__xludf.DUMMYFUNCTION("""COMPUTED_VALUE"""),-0.62911245032433)</f>
        <v>-0.62911245032433005</v>
      </c>
      <c r="HC70" s="3">
        <f ca="1">IFERROR(__xludf.DUMMYFUNCTION("""COMPUTED_VALUE"""),-0.639794972832562)</f>
        <v>-0.63979497283256204</v>
      </c>
      <c r="HD70" s="3">
        <f ca="1">IFERROR(__xludf.DUMMYFUNCTION("""COMPUTED_VALUE"""),-0.610058455792416)</f>
        <v>-0.61005845579241602</v>
      </c>
      <c r="HE70" s="3">
        <f ca="1">IFERROR(__xludf.DUMMYFUNCTION("""COMPUTED_VALUE"""),-0.586807823768974)</f>
        <v>-0.586807823768974</v>
      </c>
      <c r="HF70" s="3">
        <f ca="1">IFERROR(__xludf.DUMMYFUNCTION("""COMPUTED_VALUE"""),-0.545988936225272)</f>
        <v>-0.545988936225272</v>
      </c>
      <c r="HG70" s="3">
        <f ca="1">IFERROR(__xludf.DUMMYFUNCTION("""COMPUTED_VALUE"""),-0.492377452056794)</f>
        <v>-0.49237745205679401</v>
      </c>
      <c r="HH70" s="3">
        <f ca="1">IFERROR(__xludf.DUMMYFUNCTION("""COMPUTED_VALUE"""),-0.592180145256159)</f>
        <v>-0.59218014525615903</v>
      </c>
      <c r="HI70" s="3">
        <f ca="1">IFERROR(__xludf.DUMMYFUNCTION("""COMPUTED_VALUE"""),-0.601358126783389)</f>
        <v>-0.60135812678338896</v>
      </c>
      <c r="HJ70" s="3">
        <f ca="1">IFERROR(__xludf.DUMMYFUNCTION("""COMPUTED_VALUE"""),-0.60809215484462)</f>
        <v>-0.60809215484461998</v>
      </c>
      <c r="HK70" s="3">
        <f ca="1">IFERROR(__xludf.DUMMYFUNCTION("""COMPUTED_VALUE"""),-0.598049812247224)</f>
        <v>-0.59804981224722398</v>
      </c>
      <c r="HL70" s="3">
        <f ca="1">IFERROR(__xludf.DUMMYFUNCTION("""COMPUTED_VALUE"""),-0.681063070870428)</f>
        <v>-0.68106307087042794</v>
      </c>
      <c r="HM70" s="3">
        <f ca="1">IFERROR(__xludf.DUMMYFUNCTION("""COMPUTED_VALUE"""),-0.445005957302899)</f>
        <v>-0.44500595730289899</v>
      </c>
      <c r="HN70" s="3">
        <f ca="1">IFERROR(__xludf.DUMMYFUNCTION("""COMPUTED_VALUE"""),-0.45470036030602)</f>
        <v>-0.45470036030602001</v>
      </c>
      <c r="HO70" s="3">
        <f ca="1">IFERROR(__xludf.DUMMYFUNCTION("""COMPUTED_VALUE"""),-0.562791472378528)</f>
        <v>-0.562791472378528</v>
      </c>
      <c r="HP70" s="3">
        <f ca="1">IFERROR(__xludf.DUMMYFUNCTION("""COMPUTED_VALUE"""),-0.551734496382771)</f>
        <v>-0.55173449638277094</v>
      </c>
      <c r="HQ70" s="3">
        <f ca="1">IFERROR(__xludf.DUMMYFUNCTION("""COMPUTED_VALUE"""),-0.56669395431537)</f>
        <v>-0.56669395431536995</v>
      </c>
      <c r="HR70" s="3">
        <f ca="1">IFERROR(__xludf.DUMMYFUNCTION("""COMPUTED_VALUE"""),-0.518904452727776)</f>
        <v>-0.51890445272777597</v>
      </c>
      <c r="HS70" s="3">
        <f ca="1">IFERROR(__xludf.DUMMYFUNCTION("""COMPUTED_VALUE"""),-0.444748034727843)</f>
        <v>-0.44474803472784302</v>
      </c>
      <c r="HT70" s="3">
        <f ca="1">IFERROR(__xludf.DUMMYFUNCTION("""COMPUTED_VALUE"""),-0.530390792398887)</f>
        <v>-0.53039079239888698</v>
      </c>
      <c r="HU70" s="3">
        <f ca="1">IFERROR(__xludf.DUMMYFUNCTION("""COMPUTED_VALUE"""),-0.550997940288481)</f>
        <v>-0.55099794028848104</v>
      </c>
      <c r="HV70" s="3">
        <f ca="1">IFERROR(__xludf.DUMMYFUNCTION("""COMPUTED_VALUE"""),-0.610400520502111)</f>
        <v>-0.61040052050211102</v>
      </c>
      <c r="HW70" s="3">
        <f ca="1">IFERROR(__xludf.DUMMYFUNCTION("""COMPUTED_VALUE"""),-0.627174062961698)</f>
        <v>-0.62717406296169798</v>
      </c>
      <c r="HX70" s="3">
        <f ca="1">IFERROR(__xludf.DUMMYFUNCTION("""COMPUTED_VALUE"""),-0.592906811568128)</f>
        <v>-0.59290681156812797</v>
      </c>
      <c r="HY70" s="3">
        <f ca="1">IFERROR(__xludf.DUMMYFUNCTION("""COMPUTED_VALUE"""),-0.606225395684217)</f>
        <v>-0.60622539568421696</v>
      </c>
      <c r="HZ70" s="3">
        <f ca="1">IFERROR(__xludf.DUMMYFUNCTION("""COMPUTED_VALUE"""),-0.521968741991795)</f>
        <v>-0.52196874199179499</v>
      </c>
      <c r="IA70" s="3">
        <f ca="1">IFERROR(__xludf.DUMMYFUNCTION("""COMPUTED_VALUE"""),-0.552043193657487)</f>
        <v>-0.552043193657487</v>
      </c>
      <c r="IB70" s="3">
        <f ca="1">IFERROR(__xludf.DUMMYFUNCTION("""COMPUTED_VALUE"""),-0.52272506124586)</f>
        <v>-0.52272506124586005</v>
      </c>
      <c r="IC70" s="3">
        <f ca="1">IFERROR(__xludf.DUMMYFUNCTION("""COMPUTED_VALUE"""),-0.714007651346141)</f>
        <v>-0.71400765134614097</v>
      </c>
      <c r="ID70" s="3">
        <f ca="1">IFERROR(__xludf.DUMMYFUNCTION("""COMPUTED_VALUE"""),-0.686159308154524)</f>
        <v>-0.68615930815452397</v>
      </c>
      <c r="IE70" s="3">
        <f ca="1">IFERROR(__xludf.DUMMYFUNCTION("""COMPUTED_VALUE"""),-0.625387186928289)</f>
        <v>-0.62538718692828899</v>
      </c>
      <c r="IF70" s="3">
        <f ca="1">IFERROR(__xludf.DUMMYFUNCTION("""COMPUTED_VALUE"""),-0.650263496037378)</f>
        <v>-0.65026349603737799</v>
      </c>
      <c r="IG70" s="3">
        <f ca="1">IFERROR(__xludf.DUMMYFUNCTION("""COMPUTED_VALUE"""),-0.619123040983554)</f>
        <v>-0.61912304098355397</v>
      </c>
      <c r="IH70" s="3">
        <f ca="1">IFERROR(__xludf.DUMMYFUNCTION("""COMPUTED_VALUE"""),-0.454562476474153)</f>
        <v>-0.45456247647415299</v>
      </c>
      <c r="II70" s="3">
        <f ca="1">IFERROR(__xludf.DUMMYFUNCTION("""COMPUTED_VALUE"""),-0.490332886609873)</f>
        <v>-0.49033288660987301</v>
      </c>
      <c r="IJ70" s="3">
        <f ca="1">IFERROR(__xludf.DUMMYFUNCTION("""COMPUTED_VALUE"""),-0.611417516832573)</f>
        <v>-0.61141751683257295</v>
      </c>
      <c r="IK70" s="3">
        <f ca="1">IFERROR(__xludf.DUMMYFUNCTION("""COMPUTED_VALUE"""),-0.615154598242665)</f>
        <v>-0.61515459824266505</v>
      </c>
      <c r="IL70" s="3">
        <f ca="1">IFERROR(__xludf.DUMMYFUNCTION("""COMPUTED_VALUE"""),-0.598672136624581)</f>
        <v>-0.59867213662458096</v>
      </c>
      <c r="IM70" s="3">
        <f ca="1">IFERROR(__xludf.DUMMYFUNCTION("""COMPUTED_VALUE"""),-0.603683718455528)</f>
        <v>-0.60368371845552804</v>
      </c>
      <c r="IN70" s="3">
        <f ca="1">IFERROR(__xludf.DUMMYFUNCTION("""COMPUTED_VALUE"""),-0.541878823707698)</f>
        <v>-0.54187882370769802</v>
      </c>
      <c r="IO70" s="3">
        <f ca="1">IFERROR(__xludf.DUMMYFUNCTION("""COMPUTED_VALUE"""),-0.456780627954163)</f>
        <v>-0.45678062795416302</v>
      </c>
      <c r="IP70" s="3">
        <f ca="1">IFERROR(__xludf.DUMMYFUNCTION("""COMPUTED_VALUE"""),-0.471606556482096)</f>
        <v>-0.47160655648209598</v>
      </c>
      <c r="IQ70" s="3">
        <f ca="1">IFERROR(__xludf.DUMMYFUNCTION("""COMPUTED_VALUE"""),-0.536256350840412)</f>
        <v>-0.53625635084041201</v>
      </c>
      <c r="IR70" s="3">
        <f ca="1">IFERROR(__xludf.DUMMYFUNCTION("""COMPUTED_VALUE"""),-0.520486214069692)</f>
        <v>-0.52048621406969198</v>
      </c>
      <c r="IS70" s="3">
        <f ca="1">IFERROR(__xludf.DUMMYFUNCTION("""COMPUTED_VALUE"""),-0.550450549571114)</f>
        <v>-0.55045054957111395</v>
      </c>
      <c r="IT70" s="3">
        <f ca="1">IFERROR(__xludf.DUMMYFUNCTION("""COMPUTED_VALUE"""),-0.611479332137162)</f>
        <v>-0.61147933213716199</v>
      </c>
      <c r="IU70" s="3">
        <f ca="1">IFERROR(__xludf.DUMMYFUNCTION("""COMPUTED_VALUE"""),-0.532567609641498)</f>
        <v>-0.53256760964149796</v>
      </c>
      <c r="IV70" s="3">
        <f ca="1">IFERROR(__xludf.DUMMYFUNCTION("""COMPUTED_VALUE"""),-0.494726812532413)</f>
        <v>-0.49472681253241302</v>
      </c>
      <c r="IW70" s="3">
        <f ca="1">IFERROR(__xludf.DUMMYFUNCTION("""COMPUTED_VALUE"""),-0.416403297425916)</f>
        <v>-0.41640329742591597</v>
      </c>
      <c r="IX70" s="3">
        <f ca="1">IFERROR(__xludf.DUMMYFUNCTION("""COMPUTED_VALUE"""),-0.461935075579365)</f>
        <v>-0.46193507557936497</v>
      </c>
      <c r="IY70" s="3">
        <f ca="1">IFERROR(__xludf.DUMMYFUNCTION("""COMPUTED_VALUE"""),-0.431663468520436)</f>
        <v>-0.43166346852043602</v>
      </c>
      <c r="IZ70" s="3">
        <f ca="1">IFERROR(__xludf.DUMMYFUNCTION("""COMPUTED_VALUE"""),-0.441152415205665)</f>
        <v>-0.441152415205665</v>
      </c>
      <c r="JA70" s="3">
        <f ca="1">IFERROR(__xludf.DUMMYFUNCTION("""COMPUTED_VALUE"""),-0.490072498010926)</f>
        <v>-0.49007249801092601</v>
      </c>
      <c r="JB70" s="3">
        <f ca="1">IFERROR(__xludf.DUMMYFUNCTION("""COMPUTED_VALUE"""),-0.5276121700505)</f>
        <v>-0.52761217005049998</v>
      </c>
      <c r="JC70" s="3">
        <f ca="1">IFERROR(__xludf.DUMMYFUNCTION("""COMPUTED_VALUE"""),-0.400415593030779)</f>
        <v>-0.400415593030779</v>
      </c>
      <c r="JD70" s="3">
        <f ca="1">IFERROR(__xludf.DUMMYFUNCTION("""COMPUTED_VALUE"""),-0.438977545999006)</f>
        <v>-0.43897754599900601</v>
      </c>
      <c r="JE70" s="3">
        <f ca="1">IFERROR(__xludf.DUMMYFUNCTION("""COMPUTED_VALUE"""),-0.491800923661606)</f>
        <v>-0.49180092366160599</v>
      </c>
      <c r="JF70" s="3">
        <f ca="1">IFERROR(__xludf.DUMMYFUNCTION("""COMPUTED_VALUE"""),-0.53541152701485)</f>
        <v>-0.53541152701484995</v>
      </c>
      <c r="JG70" s="3">
        <f ca="1">IFERROR(__xludf.DUMMYFUNCTION("""COMPUTED_VALUE"""),-0.508202202492784)</f>
        <v>-0.50820220249278403</v>
      </c>
      <c r="JH70" s="3">
        <f ca="1">IFERROR(__xludf.DUMMYFUNCTION("""COMPUTED_VALUE"""),-0.436499595800281)</f>
        <v>-0.43649959580028103</v>
      </c>
      <c r="JI70" s="3">
        <f ca="1">IFERROR(__xludf.DUMMYFUNCTION("""COMPUTED_VALUE"""),-0.480356369647695)</f>
        <v>-0.48035636964769501</v>
      </c>
      <c r="JJ70" s="3">
        <f ca="1">IFERROR(__xludf.DUMMYFUNCTION("""COMPUTED_VALUE"""),-0.438513883817412)</f>
        <v>-0.43851388381741202</v>
      </c>
      <c r="JK70" s="3">
        <f ca="1">IFERROR(__xludf.DUMMYFUNCTION("""COMPUTED_VALUE"""),-0.503807260828187)</f>
        <v>-0.50380726082818705</v>
      </c>
      <c r="JL70" s="3">
        <f ca="1">IFERROR(__xludf.DUMMYFUNCTION("""COMPUTED_VALUE"""),-0.489903298208701)</f>
        <v>-0.48990329820870099</v>
      </c>
      <c r="JM70" s="3">
        <f ca="1">IFERROR(__xludf.DUMMYFUNCTION("""COMPUTED_VALUE"""),-0.508001539059245)</f>
        <v>-0.50800153905924506</v>
      </c>
      <c r="JN70" s="3">
        <f ca="1">IFERROR(__xludf.DUMMYFUNCTION("""COMPUTED_VALUE"""),-0.483281457629025)</f>
        <v>-0.48328145762902502</v>
      </c>
      <c r="JO70" s="3">
        <f ca="1">IFERROR(__xludf.DUMMYFUNCTION("""COMPUTED_VALUE"""),-0.455599134606139)</f>
        <v>-0.45559913460613899</v>
      </c>
      <c r="JP70" s="3">
        <f ca="1">IFERROR(__xludf.DUMMYFUNCTION("""COMPUTED_VALUE"""),-0.451108501421446)</f>
        <v>-0.45110850142144598</v>
      </c>
      <c r="JQ70" s="3">
        <f ca="1">IFERROR(__xludf.DUMMYFUNCTION("""COMPUTED_VALUE"""),-0.524466122694802)</f>
        <v>-0.52446612269480197</v>
      </c>
      <c r="JR70" s="3">
        <f ca="1">IFERROR(__xludf.DUMMYFUNCTION("""COMPUTED_VALUE"""),-0.527957162784811)</f>
        <v>-0.52795716278481097</v>
      </c>
      <c r="JS70" s="3">
        <f ca="1">IFERROR(__xludf.DUMMYFUNCTION("""COMPUTED_VALUE"""),-0.504632360763874)</f>
        <v>-0.50463236076387397</v>
      </c>
      <c r="JT70" s="3">
        <f ca="1">IFERROR(__xludf.DUMMYFUNCTION("""COMPUTED_VALUE"""),-0.543077838334471)</f>
        <v>-0.54307783833447099</v>
      </c>
      <c r="JU70" s="3">
        <f ca="1">IFERROR(__xludf.DUMMYFUNCTION("""COMPUTED_VALUE"""),-0.559085636206927)</f>
        <v>-0.55908563620692697</v>
      </c>
      <c r="JV70" s="3">
        <f ca="1">IFERROR(__xludf.DUMMYFUNCTION("""COMPUTED_VALUE"""),-0.474934045956068)</f>
        <v>-0.47493404595606797</v>
      </c>
      <c r="JW70" s="3">
        <f ca="1">IFERROR(__xludf.DUMMYFUNCTION("""COMPUTED_VALUE"""),-0.452434904587233)</f>
        <v>-0.45243490458723301</v>
      </c>
      <c r="JX70" s="3">
        <f ca="1">IFERROR(__xludf.DUMMYFUNCTION("""COMPUTED_VALUE"""),-0.415622464778891)</f>
        <v>-0.41562246477889098</v>
      </c>
      <c r="JY70" s="3">
        <f ca="1">IFERROR(__xludf.DUMMYFUNCTION("""COMPUTED_VALUE"""),-0.43715754185946)</f>
        <v>-0.43715754185945999</v>
      </c>
      <c r="JZ70" s="3">
        <f ca="1">IFERROR(__xludf.DUMMYFUNCTION("""COMPUTED_VALUE"""),-0.493899441714813)</f>
        <v>-0.49389944171481298</v>
      </c>
      <c r="KA70" s="3">
        <f ca="1">IFERROR(__xludf.DUMMYFUNCTION("""COMPUTED_VALUE"""),-0.541288913615379)</f>
        <v>-0.54128891361537901</v>
      </c>
      <c r="KB70" s="3">
        <f ca="1">IFERROR(__xludf.DUMMYFUNCTION("""COMPUTED_VALUE"""),-0.603258204229926)</f>
        <v>-0.60325820422992604</v>
      </c>
      <c r="KC70" s="3">
        <f ca="1">IFERROR(__xludf.DUMMYFUNCTION("""COMPUTED_VALUE"""),-0.501487759315264)</f>
        <v>-0.50148775931526401</v>
      </c>
      <c r="KD70" s="3">
        <f ca="1">IFERROR(__xludf.DUMMYFUNCTION("""COMPUTED_VALUE"""),-0.45302628977862)</f>
        <v>-0.45302628977861997</v>
      </c>
      <c r="KE70" s="3">
        <f ca="1">IFERROR(__xludf.DUMMYFUNCTION("""COMPUTED_VALUE"""),-0.514883134747542)</f>
        <v>-0.51488313474754199</v>
      </c>
      <c r="KF70" s="3">
        <f ca="1">IFERROR(__xludf.DUMMYFUNCTION("""COMPUTED_VALUE"""),-0.530164577478974)</f>
        <v>-0.53016457747897405</v>
      </c>
      <c r="KG70" s="3">
        <f ca="1">IFERROR(__xludf.DUMMYFUNCTION("""COMPUTED_VALUE"""),-0.580195510154368)</f>
        <v>-0.58019551015436799</v>
      </c>
      <c r="KH70" s="3">
        <f ca="1">IFERROR(__xludf.DUMMYFUNCTION("""COMPUTED_VALUE"""),-0.653877252967153)</f>
        <v>-0.65387725296715304</v>
      </c>
      <c r="KI70" s="3">
        <f ca="1">IFERROR(__xludf.DUMMYFUNCTION("""COMPUTED_VALUE"""),-0.694113675950753)</f>
        <v>-0.69411367595075302</v>
      </c>
      <c r="KJ70" s="3">
        <f ca="1">IFERROR(__xludf.DUMMYFUNCTION("""COMPUTED_VALUE"""),-0.556250671237948)</f>
        <v>-0.55625067123794802</v>
      </c>
      <c r="KK70" s="3">
        <f ca="1">IFERROR(__xludf.DUMMYFUNCTION("""COMPUTED_VALUE"""),-0.486521808802671)</f>
        <v>-0.48652180880267099</v>
      </c>
      <c r="KL70" s="3">
        <f ca="1">IFERROR(__xludf.DUMMYFUNCTION("""COMPUTED_VALUE"""),-0.531411561663274)</f>
        <v>-0.53141156166327397</v>
      </c>
      <c r="KM70" s="3">
        <f ca="1">IFERROR(__xludf.DUMMYFUNCTION("""COMPUTED_VALUE"""),-0.493999744925305)</f>
        <v>-0.49399974492530502</v>
      </c>
      <c r="KN70" s="3">
        <f ca="1">IFERROR(__xludf.DUMMYFUNCTION("""COMPUTED_VALUE"""),-0.609758946198252)</f>
        <v>-0.60975894619825199</v>
      </c>
      <c r="KO70" s="3">
        <f ca="1">IFERROR(__xludf.DUMMYFUNCTION("""COMPUTED_VALUE"""),-0.61039899853856)</f>
        <v>-0.61039899853855994</v>
      </c>
      <c r="KP70" s="3">
        <f ca="1">IFERROR(__xludf.DUMMYFUNCTION("""COMPUTED_VALUE"""),-0.61353003656962)</f>
        <v>-0.61353003656962002</v>
      </c>
      <c r="KQ70" s="3">
        <f ca="1">IFERROR(__xludf.DUMMYFUNCTION("""COMPUTED_VALUE"""),-0.624571509004916)</f>
        <v>-0.62457150900491598</v>
      </c>
      <c r="KR70" s="3">
        <f ca="1">IFERROR(__xludf.DUMMYFUNCTION("""COMPUTED_VALUE"""),-0.611094134115964)</f>
        <v>-0.61109413411596403</v>
      </c>
      <c r="KS70" s="3">
        <f ca="1">IFERROR(__xludf.DUMMYFUNCTION("""COMPUTED_VALUE"""),-0.605007993339821)</f>
        <v>-0.60500799333982103</v>
      </c>
      <c r="KT70" s="3">
        <f ca="1">IFERROR(__xludf.DUMMYFUNCTION("""COMPUTED_VALUE"""),-0.664139272849297)</f>
        <v>-0.66413927284929697</v>
      </c>
      <c r="KU70" s="3">
        <f ca="1">IFERROR(__xludf.DUMMYFUNCTION("""COMPUTED_VALUE"""),-0.714925923256648)</f>
        <v>-0.71492592325664805</v>
      </c>
      <c r="KV70" s="3">
        <f ca="1">IFERROR(__xludf.DUMMYFUNCTION("""COMPUTED_VALUE"""),-0.725997914533199)</f>
        <v>-0.72599791453319895</v>
      </c>
      <c r="KW70" s="3">
        <f ca="1">IFERROR(__xludf.DUMMYFUNCTION("""COMPUTED_VALUE"""),-0.702224857939293)</f>
        <v>-0.70222485793929301</v>
      </c>
      <c r="KX70" s="3">
        <f ca="1">IFERROR(__xludf.DUMMYFUNCTION("""COMPUTED_VALUE"""),-0.667073946218917)</f>
        <v>-0.66707394621891702</v>
      </c>
      <c r="KY70" s="3">
        <f ca="1">IFERROR(__xludf.DUMMYFUNCTION("""COMPUTED_VALUE"""),-0.657132223328767)</f>
        <v>-0.65713222332876697</v>
      </c>
      <c r="KZ70" s="3">
        <f ca="1">IFERROR(__xludf.DUMMYFUNCTION("""COMPUTED_VALUE"""),-0.57195603148305)</f>
        <v>-0.57195603148304996</v>
      </c>
      <c r="LA70" s="3">
        <f ca="1">IFERROR(__xludf.DUMMYFUNCTION("""COMPUTED_VALUE"""),-0.693657100148559)</f>
        <v>-0.69365710014855897</v>
      </c>
      <c r="LB70" s="3">
        <f ca="1">IFERROR(__xludf.DUMMYFUNCTION("""COMPUTED_VALUE"""),-0.696701371680624)</f>
        <v>-0.69670137168062396</v>
      </c>
      <c r="LC70" s="3">
        <f ca="1">IFERROR(__xludf.DUMMYFUNCTION("""COMPUTED_VALUE"""),-0.726862546124387)</f>
        <v>-0.72686254612438705</v>
      </c>
      <c r="LD70" s="3">
        <f ca="1">IFERROR(__xludf.DUMMYFUNCTION("""COMPUTED_VALUE"""),-0.751608488662589)</f>
        <v>-0.751608488662589</v>
      </c>
      <c r="LE70" s="3">
        <f ca="1">IFERROR(__xludf.DUMMYFUNCTION("""COMPUTED_VALUE"""),-0.711773193492034)</f>
        <v>-0.71177319349203405</v>
      </c>
      <c r="LF70" s="3">
        <f ca="1">IFERROR(__xludf.DUMMYFUNCTION("""COMPUTED_VALUE"""),-0.714576026387144)</f>
        <v>-0.71457602638714401</v>
      </c>
      <c r="LG70" s="3">
        <f ca="1">IFERROR(__xludf.DUMMYFUNCTION("""COMPUTED_VALUE"""),-0.718715722204921)</f>
        <v>-0.71871572220492097</v>
      </c>
      <c r="LH70" s="3">
        <f ca="1">IFERROR(__xludf.DUMMYFUNCTION("""COMPUTED_VALUE"""),-0.763487764568768)</f>
        <v>-0.76348776456876799</v>
      </c>
      <c r="LI70" s="3">
        <f ca="1">IFERROR(__xludf.DUMMYFUNCTION("""COMPUTED_VALUE"""),-0.793180306244633)</f>
        <v>-0.79318030624463298</v>
      </c>
      <c r="LJ70" s="3">
        <f ca="1">IFERROR(__xludf.DUMMYFUNCTION("""COMPUTED_VALUE"""),-0.771427641852857)</f>
        <v>-0.77142764185285695</v>
      </c>
      <c r="LK70" s="3">
        <f ca="1">IFERROR(__xludf.DUMMYFUNCTION("""COMPUTED_VALUE"""),-0.732373678876011)</f>
        <v>-0.73237367887601101</v>
      </c>
      <c r="LL70" s="3">
        <f ca="1">IFERROR(__xludf.DUMMYFUNCTION("""COMPUTED_VALUE"""),-0.739711161242498)</f>
        <v>-0.73971116124249803</v>
      </c>
      <c r="LM70" s="3">
        <f ca="1">IFERROR(__xludf.DUMMYFUNCTION("""COMPUTED_VALUE"""),-0.746903244726026)</f>
        <v>-0.74690324472602598</v>
      </c>
      <c r="LN70" s="3">
        <f ca="1">IFERROR(__xludf.DUMMYFUNCTION("""COMPUTED_VALUE"""),-0.768909445131537)</f>
        <v>-0.76890944513153703</v>
      </c>
      <c r="LO70" s="3">
        <f ca="1">IFERROR(__xludf.DUMMYFUNCTION("""COMPUTED_VALUE"""),-0.770777858827865)</f>
        <v>-0.77077785882786498</v>
      </c>
      <c r="LP70" s="3">
        <f ca="1">IFERROR(__xludf.DUMMYFUNCTION("""COMPUTED_VALUE"""),-0.790034414323165)</f>
        <v>-0.79003441432316501</v>
      </c>
      <c r="LQ70" s="3">
        <f ca="1">IFERROR(__xludf.DUMMYFUNCTION("""COMPUTED_VALUE"""),-0.830318427163726)</f>
        <v>-0.83031842716372595</v>
      </c>
      <c r="LR70" s="3">
        <f ca="1">IFERROR(__xludf.DUMMYFUNCTION("""COMPUTED_VALUE"""),-0.776081171652332)</f>
        <v>-0.77608117165233204</v>
      </c>
      <c r="LS70" s="3">
        <f ca="1">IFERROR(__xludf.DUMMYFUNCTION("""COMPUTED_VALUE"""),-0.832176551721793)</f>
        <v>-0.83217655172179295</v>
      </c>
      <c r="LT70" s="3">
        <f ca="1">IFERROR(__xludf.DUMMYFUNCTION("""COMPUTED_VALUE"""),-0.858851318954423)</f>
        <v>-0.85885131895442302</v>
      </c>
      <c r="LU70" s="3">
        <f ca="1">IFERROR(__xludf.DUMMYFUNCTION("""COMPUTED_VALUE"""),-0.835836448207413)</f>
        <v>-0.83583644820741299</v>
      </c>
      <c r="LV70" s="3">
        <f ca="1">IFERROR(__xludf.DUMMYFUNCTION("""COMPUTED_VALUE"""),-0.836820215781745)</f>
        <v>-0.83682021578174504</v>
      </c>
      <c r="LW70" s="3">
        <f ca="1">IFERROR(__xludf.DUMMYFUNCTION("""COMPUTED_VALUE"""),-0.864328669774986)</f>
        <v>-0.86432866977498601</v>
      </c>
      <c r="LX70" s="3">
        <f ca="1">IFERROR(__xludf.DUMMYFUNCTION("""COMPUTED_VALUE"""),-0.828705143315269)</f>
        <v>-0.82870514331526901</v>
      </c>
      <c r="LY70" s="3">
        <f ca="1">IFERROR(__xludf.DUMMYFUNCTION("""COMPUTED_VALUE"""),-0.852975505481909)</f>
        <v>-0.85297550548190904</v>
      </c>
      <c r="LZ70" s="3">
        <f ca="1">IFERROR(__xludf.DUMMYFUNCTION("""COMPUTED_VALUE"""),-0.856673450956714)</f>
        <v>-0.85667345095671399</v>
      </c>
      <c r="MA70" s="3">
        <f ca="1">IFERROR(__xludf.DUMMYFUNCTION("""COMPUTED_VALUE"""),-0.852654825538107)</f>
        <v>-0.85265482553810701</v>
      </c>
      <c r="MB70" s="3">
        <f ca="1">IFERROR(__xludf.DUMMYFUNCTION("""COMPUTED_VALUE"""),-0.867388048664589)</f>
        <v>-0.86738804866458896</v>
      </c>
      <c r="MC70" s="3">
        <f ca="1">IFERROR(__xludf.DUMMYFUNCTION("""COMPUTED_VALUE"""),-0.850548765446317)</f>
        <v>-0.85054876544631697</v>
      </c>
      <c r="MD70" s="3">
        <f ca="1">IFERROR(__xludf.DUMMYFUNCTION("""COMPUTED_VALUE"""),-0.883982160290464)</f>
        <v>-0.88398216029046395</v>
      </c>
      <c r="ME70" s="3">
        <f ca="1">IFERROR(__xludf.DUMMYFUNCTION("""COMPUTED_VALUE"""),-0.88076810516669)</f>
        <v>-0.88076810516669002</v>
      </c>
      <c r="MF70" s="3">
        <f ca="1">IFERROR(__xludf.DUMMYFUNCTION("""COMPUTED_VALUE"""),-0.848207666052835)</f>
        <v>-0.84820766605283504</v>
      </c>
      <c r="MG70" s="3">
        <f ca="1">IFERROR(__xludf.DUMMYFUNCTION("""COMPUTED_VALUE"""),-0.84427232028244)</f>
        <v>-0.84427232028244004</v>
      </c>
      <c r="MH70" s="3">
        <f ca="1">IFERROR(__xludf.DUMMYFUNCTION("""COMPUTED_VALUE"""),-0.856567225306319)</f>
        <v>-0.85656722530631901</v>
      </c>
      <c r="MI70" s="3">
        <f ca="1">IFERROR(__xludf.DUMMYFUNCTION("""COMPUTED_VALUE"""),-0.862254272929241)</f>
        <v>-0.86225427292924095</v>
      </c>
      <c r="MJ70" s="3">
        <f ca="1">IFERROR(__xludf.DUMMYFUNCTION("""COMPUTED_VALUE"""),-0.863335059020525)</f>
        <v>-0.86333505902052499</v>
      </c>
      <c r="MK70" s="3">
        <f ca="1">IFERROR(__xludf.DUMMYFUNCTION("""COMPUTED_VALUE"""),-0.885620565219494)</f>
        <v>-0.88562056521949395</v>
      </c>
      <c r="ML70" s="3">
        <f ca="1">IFERROR(__xludf.DUMMYFUNCTION("""COMPUTED_VALUE"""),-0.898428869119758)</f>
        <v>-0.89842886911975794</v>
      </c>
      <c r="MM70" s="3">
        <f ca="1">IFERROR(__xludf.DUMMYFUNCTION("""COMPUTED_VALUE"""),-0.873964053302907)</f>
        <v>-0.87396405330290705</v>
      </c>
      <c r="MN70" s="3">
        <f ca="1">IFERROR(__xludf.DUMMYFUNCTION("""COMPUTED_VALUE"""),-0.882807350736057)</f>
        <v>-0.88280735073605698</v>
      </c>
      <c r="MO70" s="3">
        <f ca="1">IFERROR(__xludf.DUMMYFUNCTION("""COMPUTED_VALUE"""),-0.886353711940255)</f>
        <v>-0.88635371194025503</v>
      </c>
      <c r="MP70" s="3">
        <f ca="1">IFERROR(__xludf.DUMMYFUNCTION("""COMPUTED_VALUE"""),-0.869862033246019)</f>
        <v>-0.86986203324601896</v>
      </c>
      <c r="MQ70" s="3">
        <f ca="1">IFERROR(__xludf.DUMMYFUNCTION("""COMPUTED_VALUE"""),-0.893199583012171)</f>
        <v>-0.89319958301217095</v>
      </c>
      <c r="MR70" s="3">
        <f ca="1">IFERROR(__xludf.DUMMYFUNCTION("""COMPUTED_VALUE"""),-0.908809949847236)</f>
        <v>-0.90880994984723595</v>
      </c>
      <c r="MS70" s="3">
        <f ca="1">IFERROR(__xludf.DUMMYFUNCTION("""COMPUTED_VALUE"""),-0.900804740084875)</f>
        <v>-0.90080474008487499</v>
      </c>
      <c r="MT70" s="3">
        <f ca="1">IFERROR(__xludf.DUMMYFUNCTION("""COMPUTED_VALUE"""),-0.906286391064928)</f>
        <v>-0.90628639106492803</v>
      </c>
      <c r="MU70" s="3">
        <f ca="1">IFERROR(__xludf.DUMMYFUNCTION("""COMPUTED_VALUE"""),-0.909768161497514)</f>
        <v>-0.90976816149751405</v>
      </c>
      <c r="MV70" s="3">
        <f ca="1">IFERROR(__xludf.DUMMYFUNCTION("""COMPUTED_VALUE"""),-0.879342236304645)</f>
        <v>-0.87934223630464503</v>
      </c>
      <c r="MW70" s="3">
        <f ca="1">IFERROR(__xludf.DUMMYFUNCTION("""COMPUTED_VALUE"""),-0.896559251215896)</f>
        <v>-0.89655925121589597</v>
      </c>
      <c r="MX70" s="3">
        <f ca="1">IFERROR(__xludf.DUMMYFUNCTION("""COMPUTED_VALUE"""),-0.886584413992285)</f>
        <v>-0.88658441399228505</v>
      </c>
      <c r="MY70" s="3">
        <f ca="1">IFERROR(__xludf.DUMMYFUNCTION("""COMPUTED_VALUE"""),-0.912290718519452)</f>
        <v>-0.91229071851945198</v>
      </c>
      <c r="MZ70" s="3">
        <f ca="1">IFERROR(__xludf.DUMMYFUNCTION("""COMPUTED_VALUE"""),-0.909142722264041)</f>
        <v>-0.90914272226404103</v>
      </c>
      <c r="NA70" s="3">
        <f ca="1">IFERROR(__xludf.DUMMYFUNCTION("""COMPUTED_VALUE"""),-0.902337446093617)</f>
        <v>-0.90233744609361699</v>
      </c>
      <c r="NB70" s="3">
        <f ca="1">IFERROR(__xludf.DUMMYFUNCTION("""COMPUTED_VALUE"""),-0.908441485898311)</f>
        <v>-0.90844148589831097</v>
      </c>
      <c r="NC70" s="3">
        <f ca="1">IFERROR(__xludf.DUMMYFUNCTION("""COMPUTED_VALUE"""),-0.904215779618928)</f>
        <v>-0.90421577961892796</v>
      </c>
      <c r="ND70" s="3">
        <f ca="1">IFERROR(__xludf.DUMMYFUNCTION("""COMPUTED_VALUE"""),-0.898221056791337)</f>
        <v>-0.89822105679133701</v>
      </c>
      <c r="NE70" s="3">
        <f ca="1">IFERROR(__xludf.DUMMYFUNCTION("""COMPUTED_VALUE"""),-0.904165114387173)</f>
        <v>-0.90416511438717295</v>
      </c>
      <c r="NF70" s="3">
        <f ca="1">IFERROR(__xludf.DUMMYFUNCTION("""COMPUTED_VALUE"""),-0.92092592901953)</f>
        <v>-0.92092592901952997</v>
      </c>
      <c r="NG70" s="3">
        <f ca="1">IFERROR(__xludf.DUMMYFUNCTION("""COMPUTED_VALUE"""),-0.909680871867282)</f>
        <v>-0.90968087186728197</v>
      </c>
      <c r="NH70" s="3">
        <f ca="1">IFERROR(__xludf.DUMMYFUNCTION("""COMPUTED_VALUE"""),-0.896423390313227)</f>
        <v>-0.89642339031322704</v>
      </c>
      <c r="NI70" s="3">
        <f ca="1">IFERROR(__xludf.DUMMYFUNCTION("""COMPUTED_VALUE"""),-0.909635632160544)</f>
        <v>-0.90963563216054399</v>
      </c>
      <c r="NJ70" s="3">
        <f ca="1">IFERROR(__xludf.DUMMYFUNCTION("""COMPUTED_VALUE"""),-0.911540320406857)</f>
        <v>-0.91154032040685695</v>
      </c>
      <c r="NK70" s="3">
        <f ca="1">IFERROR(__xludf.DUMMYFUNCTION("""COMPUTED_VALUE"""),-0.891259155982727)</f>
        <v>-0.89125915598272698</v>
      </c>
      <c r="NL70" s="3">
        <f ca="1">IFERROR(__xludf.DUMMYFUNCTION("""COMPUTED_VALUE"""),-0.87704857935538)</f>
        <v>-0.87704857935538005</v>
      </c>
      <c r="NM70" s="3">
        <f ca="1">IFERROR(__xludf.DUMMYFUNCTION("""COMPUTED_VALUE"""),-0.891940031839186)</f>
        <v>-0.89194003183918602</v>
      </c>
      <c r="NN70" s="3">
        <f ca="1">IFERROR(__xludf.DUMMYFUNCTION("""COMPUTED_VALUE"""),-0.885023185273085)</f>
        <v>-0.88502318527308499</v>
      </c>
      <c r="NO70" s="3">
        <f ca="1">IFERROR(__xludf.DUMMYFUNCTION("""COMPUTED_VALUE"""),-0.857571416696845)</f>
        <v>-0.857571416696845</v>
      </c>
      <c r="NP70" s="3">
        <f ca="1">IFERROR(__xludf.DUMMYFUNCTION("""COMPUTED_VALUE"""),-0.852573557945308)</f>
        <v>-0.85257355794530798</v>
      </c>
      <c r="NQ70" s="3">
        <f ca="1">IFERROR(__xludf.DUMMYFUNCTION("""COMPUTED_VALUE"""),-0.846154877761263)</f>
        <v>-0.84615487776126297</v>
      </c>
      <c r="NR70" s="3">
        <f ca="1">IFERROR(__xludf.DUMMYFUNCTION("""COMPUTED_VALUE"""),-0.874276986972255)</f>
        <v>-0.87427698697225498</v>
      </c>
      <c r="NS70" s="3">
        <f ca="1">IFERROR(__xludf.DUMMYFUNCTION("""COMPUTED_VALUE"""),-0.888740243289943)</f>
        <v>-0.88874024328994305</v>
      </c>
      <c r="NT70" s="3">
        <f ca="1">IFERROR(__xludf.DUMMYFUNCTION("""COMPUTED_VALUE"""),-0.92867570913342)</f>
        <v>-0.92867570913342001</v>
      </c>
      <c r="NU70" s="3">
        <f ca="1">IFERROR(__xludf.DUMMYFUNCTION("""COMPUTED_VALUE"""),-0.905065961504152)</f>
        <v>-0.90506596150415197</v>
      </c>
      <c r="NV70" s="3">
        <f ca="1">IFERROR(__xludf.DUMMYFUNCTION("""COMPUTED_VALUE"""),-0.89462926143466)</f>
        <v>-0.89462926143466004</v>
      </c>
      <c r="NW70" s="3">
        <f ca="1">IFERROR(__xludf.DUMMYFUNCTION("""COMPUTED_VALUE"""),-0.8791706574282)</f>
        <v>-0.8791706574282</v>
      </c>
      <c r="NX70" s="3">
        <f ca="1">IFERROR(__xludf.DUMMYFUNCTION("""COMPUTED_VALUE"""),-0.875897706825531)</f>
        <v>-0.87589770682553103</v>
      </c>
      <c r="NY70" s="3">
        <f ca="1">IFERROR(__xludf.DUMMYFUNCTION("""COMPUTED_VALUE"""),-0.832278914996459)</f>
        <v>-0.83227891499645901</v>
      </c>
      <c r="NZ70" s="3">
        <f ca="1">IFERROR(__xludf.DUMMYFUNCTION("""COMPUTED_VALUE"""),-0.824240047947107)</f>
        <v>-0.82424004794710704</v>
      </c>
      <c r="OA70" s="3">
        <f ca="1">IFERROR(__xludf.DUMMYFUNCTION("""COMPUTED_VALUE"""),-0.839726088773954)</f>
        <v>-0.83972608877395405</v>
      </c>
      <c r="OB70" s="3">
        <f ca="1">IFERROR(__xludf.DUMMYFUNCTION("""COMPUTED_VALUE"""),-0.807099901285095)</f>
        <v>-0.80709990128509501</v>
      </c>
      <c r="OC70" s="3">
        <f ca="1">IFERROR(__xludf.DUMMYFUNCTION("""COMPUTED_VALUE"""),-0.784761566736747)</f>
        <v>-0.78476156673674702</v>
      </c>
      <c r="OD70" s="3">
        <f ca="1">IFERROR(__xludf.DUMMYFUNCTION("""COMPUTED_VALUE"""),-0.71285722610417)</f>
        <v>-0.71285722610417002</v>
      </c>
      <c r="OE70" s="3">
        <f ca="1">IFERROR(__xludf.DUMMYFUNCTION("""COMPUTED_VALUE"""),-0.626149255164963)</f>
        <v>-0.626149255164963</v>
      </c>
      <c r="OF70" s="3">
        <f ca="1">IFERROR(__xludf.DUMMYFUNCTION("""COMPUTED_VALUE"""),-0.414681399399814)</f>
        <v>-0.41468139939981402</v>
      </c>
      <c r="OG70" s="3">
        <f ca="1">IFERROR(__xludf.DUMMYFUNCTION("""COMPUTED_VALUE"""),-0.372968465097236)</f>
        <v>-0.37296846509723602</v>
      </c>
      <c r="OH70" s="3">
        <f ca="1">IFERROR(__xludf.DUMMYFUNCTION("""COMPUTED_VALUE"""),-0.277836100997835)</f>
        <v>-0.27783610099783501</v>
      </c>
      <c r="OI70" s="3">
        <f ca="1">IFERROR(__xludf.DUMMYFUNCTION("""COMPUTED_VALUE"""),-0.0890281610845865)</f>
        <v>-8.9028161084586499E-2</v>
      </c>
      <c r="OJ70" s="3">
        <f ca="1">IFERROR(__xludf.DUMMYFUNCTION("""COMPUTED_VALUE"""),0.0062857887748704)</f>
        <v>6.2857887748704001E-3</v>
      </c>
      <c r="OK70" s="3">
        <f ca="1">IFERROR(__xludf.DUMMYFUNCTION("""COMPUTED_VALUE"""),0.0663034706614382)</f>
        <v>6.6303470661438199E-2</v>
      </c>
      <c r="OL70" s="3">
        <f ca="1">IFERROR(__xludf.DUMMYFUNCTION("""COMPUTED_VALUE"""),-0.0110716663332487)</f>
        <v>-1.10716663332487E-2</v>
      </c>
      <c r="OM70" s="3">
        <f ca="1">IFERROR(__xludf.DUMMYFUNCTION("""COMPUTED_VALUE"""),0.00493675266988646)</f>
        <v>4.9367526698864597E-3</v>
      </c>
      <c r="ON70" s="3">
        <f ca="1">IFERROR(__xludf.DUMMYFUNCTION("""COMPUTED_VALUE"""),0.0953412224471528)</f>
        <v>9.5341222447152804E-2</v>
      </c>
      <c r="OO70" s="3">
        <f ca="1">IFERROR(__xludf.DUMMYFUNCTION("""COMPUTED_VALUE"""),0.0677341620950384)</f>
        <v>6.7734162095038394E-2</v>
      </c>
      <c r="OP70" s="3">
        <f ca="1">IFERROR(__xludf.DUMMYFUNCTION("""COMPUTED_VALUE"""),0.0573144999326613)</f>
        <v>5.73144999326613E-2</v>
      </c>
      <c r="OQ70" s="3">
        <f ca="1">IFERROR(__xludf.DUMMYFUNCTION("""COMPUTED_VALUE"""),0.024454644377559)</f>
        <v>2.4454644377558999E-2</v>
      </c>
      <c r="OR70" s="3">
        <f ca="1">IFERROR(__xludf.DUMMYFUNCTION("""COMPUTED_VALUE"""),0.0973515009954251)</f>
        <v>9.7351500995425097E-2</v>
      </c>
      <c r="OS70" s="3">
        <f ca="1">IFERROR(__xludf.DUMMYFUNCTION("""COMPUTED_VALUE"""),0.0327031921645111)</f>
        <v>3.2703192164511098E-2</v>
      </c>
      <c r="OT70" s="3">
        <f ca="1">IFERROR(__xludf.DUMMYFUNCTION("""COMPUTED_VALUE"""),0.180110797555351)</f>
        <v>0.180110797555351</v>
      </c>
      <c r="OU70" s="3">
        <f ca="1">IFERROR(__xludf.DUMMYFUNCTION("""COMPUTED_VALUE"""),0.0826580171298332)</f>
        <v>8.26580171298332E-2</v>
      </c>
      <c r="OV70" s="3">
        <f ca="1">IFERROR(__xludf.DUMMYFUNCTION("""COMPUTED_VALUE"""),0.0694932202885096)</f>
        <v>6.94932202885096E-2</v>
      </c>
      <c r="OW70" s="3">
        <f ca="1">IFERROR(__xludf.DUMMYFUNCTION("""COMPUTED_VALUE"""),-0.0345929274573295)</f>
        <v>-3.4592927457329503E-2</v>
      </c>
      <c r="OX70" s="3">
        <f ca="1">IFERROR(__xludf.DUMMYFUNCTION("""COMPUTED_VALUE"""),0.0383500365678632)</f>
        <v>3.8350036567863198E-2</v>
      </c>
      <c r="OY70" s="3">
        <f ca="1">IFERROR(__xludf.DUMMYFUNCTION("""COMPUTED_VALUE"""),-0.033292196010257)</f>
        <v>-3.3292196010257E-2</v>
      </c>
      <c r="OZ70" s="3">
        <f ca="1">IFERROR(__xludf.DUMMYFUNCTION("""COMPUTED_VALUE"""),-0.0876114784166538)</f>
        <v>-8.7611478416653801E-2</v>
      </c>
      <c r="PA70" s="3">
        <f ca="1">IFERROR(__xludf.DUMMYFUNCTION("""COMPUTED_VALUE"""),0.0121619866866273)</f>
        <v>1.21619866866273E-2</v>
      </c>
      <c r="PB70" s="3">
        <f ca="1">IFERROR(__xludf.DUMMYFUNCTION("""COMPUTED_VALUE"""),0.0220938599789273)</f>
        <v>2.2093859978927301E-2</v>
      </c>
      <c r="PC70" s="3">
        <f ca="1">IFERROR(__xludf.DUMMYFUNCTION("""COMPUTED_VALUE"""),-0.0403218720403744)</f>
        <v>-4.03218720403744E-2</v>
      </c>
      <c r="PD70" s="3">
        <f ca="1">IFERROR(__xludf.DUMMYFUNCTION("""COMPUTED_VALUE"""),-0.0550192984926986)</f>
        <v>-5.5019298492698598E-2</v>
      </c>
      <c r="PE70" s="3">
        <f ca="1">IFERROR(__xludf.DUMMYFUNCTION("""COMPUTED_VALUE"""),0.144972443339948)</f>
        <v>0.14497244333994799</v>
      </c>
      <c r="PF70" s="3">
        <f ca="1">IFERROR(__xludf.DUMMYFUNCTION("""COMPUTED_VALUE"""),0.00736443136592734)</f>
        <v>7.3644313659273399E-3</v>
      </c>
      <c r="PG70" s="3">
        <f ca="1">IFERROR(__xludf.DUMMYFUNCTION("""COMPUTED_VALUE"""),0.0059721512567612)</f>
        <v>5.9721512567612002E-3</v>
      </c>
      <c r="PH70" s="3">
        <f ca="1">IFERROR(__xludf.DUMMYFUNCTION("""COMPUTED_VALUE"""),0.193044614506656)</f>
        <v>0.193044614506656</v>
      </c>
      <c r="PI70" s="3">
        <f ca="1">IFERROR(__xludf.DUMMYFUNCTION("""COMPUTED_VALUE"""),0.0472850849418855)</f>
        <v>4.7285084941885498E-2</v>
      </c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</row>
    <row r="71" spans="1:477" ht="13">
      <c r="A71" s="1" t="str">
        <f ca="1">IFERROR(__xludf.DUMMYFUNCTION("""COMPUTED_VALUE"""),"RTL")</f>
        <v>RTL</v>
      </c>
      <c r="B71" s="1" t="str">
        <f ca="1">IFERROR(__xludf.DUMMYFUNCTION("""COMPUTED_VALUE"""),"Montréal")</f>
        <v>Montréal</v>
      </c>
      <c r="C71" s="1" t="str">
        <f ca="1">IFERROR(__xludf.DUMMYFUNCTION("""COMPUTED_VALUE"""),"Canada")</f>
        <v>Canada</v>
      </c>
      <c r="D71" s="1" t="str">
        <f ca="1">IFERROR(__xludf.DUMMYFUNCTION("""COMPUTED_VALUE"""),"Quebec")</f>
        <v>Quebec</v>
      </c>
      <c r="E71" s="3">
        <f ca="1">IFERROR(__xludf.DUMMYFUNCTION("""COMPUTED_VALUE"""),-0.533339234059065)</f>
        <v>-0.53333923405906503</v>
      </c>
      <c r="F71" s="3">
        <f ca="1">IFERROR(__xludf.DUMMYFUNCTION("""COMPUTED_VALUE"""),-0.571760233519867)</f>
        <v>-0.57176023351986704</v>
      </c>
      <c r="G71" s="3">
        <f ca="1">IFERROR(__xludf.DUMMYFUNCTION("""COMPUTED_VALUE"""),-0.617707091647472)</f>
        <v>-0.61770709164747195</v>
      </c>
      <c r="H71" s="3">
        <f ca="1">IFERROR(__xludf.DUMMYFUNCTION("""COMPUTED_VALUE"""),-0.59246806701875)</f>
        <v>-0.59246806701874999</v>
      </c>
      <c r="I71" s="3">
        <f ca="1">IFERROR(__xludf.DUMMYFUNCTION("""COMPUTED_VALUE"""),-0.586847922725092)</f>
        <v>-0.58684792272509201</v>
      </c>
      <c r="J71" s="3">
        <f ca="1">IFERROR(__xludf.DUMMYFUNCTION("""COMPUTED_VALUE"""),-0.619360841167275)</f>
        <v>-0.61936084116727497</v>
      </c>
      <c r="K71" s="3">
        <f ca="1">IFERROR(__xludf.DUMMYFUNCTION("""COMPUTED_VALUE"""),-0.585291716398263)</f>
        <v>-0.58529171639826305</v>
      </c>
      <c r="L71" s="3">
        <f ca="1">IFERROR(__xludf.DUMMYFUNCTION("""COMPUTED_VALUE"""),-0.575714594528093)</f>
        <v>-0.57571459452809304</v>
      </c>
      <c r="M71" s="3">
        <f ca="1">IFERROR(__xludf.DUMMYFUNCTION("""COMPUTED_VALUE"""),-0.640505198042279)</f>
        <v>-0.64050519804227901</v>
      </c>
      <c r="N71" s="3">
        <f ca="1">IFERROR(__xludf.DUMMYFUNCTION("""COMPUTED_VALUE"""),-0.599874089486379)</f>
        <v>-0.59987408948637899</v>
      </c>
      <c r="O71" s="3">
        <f ca="1">IFERROR(__xludf.DUMMYFUNCTION("""COMPUTED_VALUE"""),-0.621990084237034)</f>
        <v>-0.62199008423703395</v>
      </c>
      <c r="P71" s="3">
        <f ca="1">IFERROR(__xludf.DUMMYFUNCTION("""COMPUTED_VALUE"""),-0.590762244865282)</f>
        <v>-0.59076224486528195</v>
      </c>
      <c r="Q71" s="3">
        <f ca="1">IFERROR(__xludf.DUMMYFUNCTION("""COMPUTED_VALUE"""),-0.593822019963782)</f>
        <v>-0.59382201996378203</v>
      </c>
      <c r="R71" s="3">
        <f ca="1">IFERROR(__xludf.DUMMYFUNCTION("""COMPUTED_VALUE"""),-0.586896692247968)</f>
        <v>-0.58689669224796803</v>
      </c>
      <c r="S71" s="3">
        <f ca="1">IFERROR(__xludf.DUMMYFUNCTION("""COMPUTED_VALUE"""),-0.532484909893238)</f>
        <v>-0.53248490989323805</v>
      </c>
      <c r="T71" s="3">
        <f ca="1">IFERROR(__xludf.DUMMYFUNCTION("""COMPUTED_VALUE"""),-0.663416363276369)</f>
        <v>-0.66341636327636899</v>
      </c>
      <c r="U71" s="3">
        <f ca="1">IFERROR(__xludf.DUMMYFUNCTION("""COMPUTED_VALUE"""),-0.583085971964195)</f>
        <v>-0.58308597196419498</v>
      </c>
      <c r="V71" s="3">
        <f ca="1">IFERROR(__xludf.DUMMYFUNCTION("""COMPUTED_VALUE"""),-0.593698261677839)</f>
        <v>-0.59369826167783901</v>
      </c>
      <c r="W71" s="3">
        <f ca="1">IFERROR(__xludf.DUMMYFUNCTION("""COMPUTED_VALUE"""),-0.580986913646161)</f>
        <v>-0.58098691364616095</v>
      </c>
      <c r="X71" s="3">
        <f ca="1">IFERROR(__xludf.DUMMYFUNCTION("""COMPUTED_VALUE"""),-0.610988623066735)</f>
        <v>-0.61098862306673496</v>
      </c>
      <c r="Y71" s="3">
        <f ca="1">IFERROR(__xludf.DUMMYFUNCTION("""COMPUTED_VALUE"""),-0.532298637557014)</f>
        <v>-0.53229863755701401</v>
      </c>
      <c r="Z71" s="3">
        <f ca="1">IFERROR(__xludf.DUMMYFUNCTION("""COMPUTED_VALUE"""),-0.556275596208945)</f>
        <v>-0.55627559620894496</v>
      </c>
      <c r="AA71" s="3">
        <f ca="1">IFERROR(__xludf.DUMMYFUNCTION("""COMPUTED_VALUE"""),-0.644388094021404)</f>
        <v>-0.64438809402140396</v>
      </c>
      <c r="AB71" s="3">
        <f ca="1">IFERROR(__xludf.DUMMYFUNCTION("""COMPUTED_VALUE"""),-0.645500976084921)</f>
        <v>-0.64550097608492096</v>
      </c>
      <c r="AC71" s="3">
        <f ca="1">IFERROR(__xludf.DUMMYFUNCTION("""COMPUTED_VALUE"""),-0.630881050007944)</f>
        <v>-0.63088105000794403</v>
      </c>
      <c r="AD71" s="3">
        <f ca="1">IFERROR(__xludf.DUMMYFUNCTION("""COMPUTED_VALUE"""),-0.631673311275575)</f>
        <v>-0.63167331127557502</v>
      </c>
      <c r="AE71" s="3">
        <f ca="1">IFERROR(__xludf.DUMMYFUNCTION("""COMPUTED_VALUE"""),-0.650608446888888)</f>
        <v>-0.65060844688888797</v>
      </c>
      <c r="AF71" s="3">
        <f ca="1">IFERROR(__xludf.DUMMYFUNCTION("""COMPUTED_VALUE"""),-0.606151496560102)</f>
        <v>-0.60615149656010203</v>
      </c>
      <c r="AG71" s="3">
        <f ca="1">IFERROR(__xludf.DUMMYFUNCTION("""COMPUTED_VALUE"""),-0.605031111942889)</f>
        <v>-0.60503111194288905</v>
      </c>
      <c r="AH71" s="3">
        <f ca="1">IFERROR(__xludf.DUMMYFUNCTION("""COMPUTED_VALUE"""),-0.653610088757424)</f>
        <v>-0.65361008875742399</v>
      </c>
      <c r="AI71" s="3">
        <f ca="1">IFERROR(__xludf.DUMMYFUNCTION("""COMPUTED_VALUE"""),-0.668668662869244)</f>
        <v>-0.66866866286924398</v>
      </c>
      <c r="AJ71" s="3">
        <f ca="1">IFERROR(__xludf.DUMMYFUNCTION("""COMPUTED_VALUE"""),-0.658908437268327)</f>
        <v>-0.65890843726832704</v>
      </c>
      <c r="AK71" s="3">
        <f ca="1">IFERROR(__xludf.DUMMYFUNCTION("""COMPUTED_VALUE"""),-0.681525101624501)</f>
        <v>-0.68152510162450097</v>
      </c>
      <c r="AL71" s="3">
        <f ca="1">IFERROR(__xludf.DUMMYFUNCTION("""COMPUTED_VALUE"""),-0.642756128590755)</f>
        <v>-0.64275612859075504</v>
      </c>
      <c r="AM71" s="3">
        <f ca="1">IFERROR(__xludf.DUMMYFUNCTION("""COMPUTED_VALUE"""),-0.613630308068468)</f>
        <v>-0.61363030806846797</v>
      </c>
      <c r="AN71" s="3">
        <f ca="1">IFERROR(__xludf.DUMMYFUNCTION("""COMPUTED_VALUE"""),-0.640749645513244)</f>
        <v>-0.64074964551324398</v>
      </c>
      <c r="AO71" s="3">
        <f ca="1">IFERROR(__xludf.DUMMYFUNCTION("""COMPUTED_VALUE"""),-0.692315949321677)</f>
        <v>-0.69231594932167695</v>
      </c>
      <c r="AP71" s="3">
        <f ca="1">IFERROR(__xludf.DUMMYFUNCTION("""COMPUTED_VALUE"""),-0.68086897466375)</f>
        <v>-0.68086897466374996</v>
      </c>
      <c r="AQ71" s="3">
        <f ca="1">IFERROR(__xludf.DUMMYFUNCTION("""COMPUTED_VALUE"""),-0.654729791838418)</f>
        <v>-0.65472979183841795</v>
      </c>
      <c r="AR71" s="3">
        <f ca="1">IFERROR(__xludf.DUMMYFUNCTION("""COMPUTED_VALUE"""),-0.685017991488767)</f>
        <v>-0.68501799148876696</v>
      </c>
      <c r="AS71" s="3">
        <f ca="1">IFERROR(__xludf.DUMMYFUNCTION("""COMPUTED_VALUE"""),-0.63296694884273)</f>
        <v>-0.63296694884272997</v>
      </c>
      <c r="AT71" s="3">
        <f ca="1">IFERROR(__xludf.DUMMYFUNCTION("""COMPUTED_VALUE"""),-0.564730670513459)</f>
        <v>-0.56473067051345904</v>
      </c>
      <c r="AU71" s="3">
        <f ca="1">IFERROR(__xludf.DUMMYFUNCTION("""COMPUTED_VALUE"""),-0.639077286197338)</f>
        <v>-0.63907728619733795</v>
      </c>
      <c r="AV71" s="3">
        <f ca="1">IFERROR(__xludf.DUMMYFUNCTION("""COMPUTED_VALUE"""),-0.664410849290715)</f>
        <v>-0.66441084929071503</v>
      </c>
      <c r="AW71" s="3">
        <f ca="1">IFERROR(__xludf.DUMMYFUNCTION("""COMPUTED_VALUE"""),-0.689844279749523)</f>
        <v>-0.689844279749523</v>
      </c>
      <c r="AX71" s="3">
        <f ca="1">IFERROR(__xludf.DUMMYFUNCTION("""COMPUTED_VALUE"""),-0.684698291110043)</f>
        <v>-0.68469829111004299</v>
      </c>
      <c r="AY71" s="3">
        <f ca="1">IFERROR(__xludf.DUMMYFUNCTION("""COMPUTED_VALUE"""),-0.681172070375747)</f>
        <v>-0.68117207037574701</v>
      </c>
      <c r="AZ71" s="3">
        <f ca="1">IFERROR(__xludf.DUMMYFUNCTION("""COMPUTED_VALUE"""),-0.669793490658657)</f>
        <v>-0.66979349065865701</v>
      </c>
      <c r="BA71" s="3">
        <f ca="1">IFERROR(__xludf.DUMMYFUNCTION("""COMPUTED_VALUE"""),-0.627926639986682)</f>
        <v>-0.62792663998668197</v>
      </c>
      <c r="BB71" s="3">
        <f ca="1">IFERROR(__xludf.DUMMYFUNCTION("""COMPUTED_VALUE"""),-0.647246493263509)</f>
        <v>-0.64724649326350903</v>
      </c>
      <c r="BC71" s="3">
        <f ca="1">IFERROR(__xludf.DUMMYFUNCTION("""COMPUTED_VALUE"""),-0.71195185424002)</f>
        <v>-0.71195185424002005</v>
      </c>
      <c r="BD71" s="3">
        <f ca="1">IFERROR(__xludf.DUMMYFUNCTION("""COMPUTED_VALUE"""),-0.735714910302109)</f>
        <v>-0.735714910302109</v>
      </c>
      <c r="BE71" s="3">
        <f ca="1">IFERROR(__xludf.DUMMYFUNCTION("""COMPUTED_VALUE"""),-0.677792320949717)</f>
        <v>-0.67779232094971698</v>
      </c>
      <c r="BF71" s="3">
        <f ca="1">IFERROR(__xludf.DUMMYFUNCTION("""COMPUTED_VALUE"""),-0.725566180237141)</f>
        <v>-0.72556618023714103</v>
      </c>
      <c r="BG71" s="3">
        <f ca="1">IFERROR(__xludf.DUMMYFUNCTION("""COMPUTED_VALUE"""),-0.682746843237514)</f>
        <v>-0.682746843237514</v>
      </c>
      <c r="BH71" s="3">
        <f ca="1">IFERROR(__xludf.DUMMYFUNCTION("""COMPUTED_VALUE"""),-0.593379665840488)</f>
        <v>-0.59337966584048796</v>
      </c>
      <c r="BI71" s="3">
        <f ca="1">IFERROR(__xludf.DUMMYFUNCTION("""COMPUTED_VALUE"""),-0.647346358534885)</f>
        <v>-0.64734635853488498</v>
      </c>
      <c r="BJ71" s="3">
        <f ca="1">IFERROR(__xludf.DUMMYFUNCTION("""COMPUTED_VALUE"""),-0.70613629268021)</f>
        <v>-0.70613629268021005</v>
      </c>
      <c r="BK71" s="3">
        <f ca="1">IFERROR(__xludf.DUMMYFUNCTION("""COMPUTED_VALUE"""),-0.702597497481839)</f>
        <v>-0.70259749748183897</v>
      </c>
      <c r="BL71" s="3">
        <f ca="1">IFERROR(__xludf.DUMMYFUNCTION("""COMPUTED_VALUE"""),-0.708289109545278)</f>
        <v>-0.70828910954527802</v>
      </c>
      <c r="BM71" s="3">
        <f ca="1">IFERROR(__xludf.DUMMYFUNCTION("""COMPUTED_VALUE"""),-0.71428178611105)</f>
        <v>-0.71428178611104998</v>
      </c>
      <c r="BN71" s="3">
        <f ca="1">IFERROR(__xludf.DUMMYFUNCTION("""COMPUTED_VALUE"""),-0.718967400638291)</f>
        <v>-0.71896740063829101</v>
      </c>
      <c r="BO71" s="3">
        <f ca="1">IFERROR(__xludf.DUMMYFUNCTION("""COMPUTED_VALUE"""),-0.699244370172422)</f>
        <v>-0.69924437017242203</v>
      </c>
      <c r="BP71" s="3">
        <f ca="1">IFERROR(__xludf.DUMMYFUNCTION("""COMPUTED_VALUE"""),-0.720932886441355)</f>
        <v>-0.720932886441355</v>
      </c>
      <c r="BQ71" s="3">
        <f ca="1">IFERROR(__xludf.DUMMYFUNCTION("""COMPUTED_VALUE"""),-0.74637023421086)</f>
        <v>-0.74637023421086002</v>
      </c>
      <c r="BR71" s="3">
        <f ca="1">IFERROR(__xludf.DUMMYFUNCTION("""COMPUTED_VALUE"""),-0.735725503077443)</f>
        <v>-0.735725503077443</v>
      </c>
      <c r="BS71" s="3">
        <f ca="1">IFERROR(__xludf.DUMMYFUNCTION("""COMPUTED_VALUE"""),-0.744844866457184)</f>
        <v>-0.74484486645718395</v>
      </c>
      <c r="BT71" s="3">
        <f ca="1">IFERROR(__xludf.DUMMYFUNCTION("""COMPUTED_VALUE"""),-0.751485777821796)</f>
        <v>-0.75148577782179604</v>
      </c>
      <c r="BU71" s="3">
        <f ca="1">IFERROR(__xludf.DUMMYFUNCTION("""COMPUTED_VALUE"""),-0.757203659497764)</f>
        <v>-0.75720365949776403</v>
      </c>
      <c r="BV71" s="3">
        <f ca="1">IFERROR(__xludf.DUMMYFUNCTION("""COMPUTED_VALUE"""),-0.712978234838707)</f>
        <v>-0.71297823483870704</v>
      </c>
      <c r="BW71" s="3">
        <f ca="1">IFERROR(__xludf.DUMMYFUNCTION("""COMPUTED_VALUE"""),-0.762209604262054)</f>
        <v>-0.76220960426205397</v>
      </c>
      <c r="BX71" s="3">
        <f ca="1">IFERROR(__xludf.DUMMYFUNCTION("""COMPUTED_VALUE"""),-0.76833085002458)</f>
        <v>-0.76833085002458001</v>
      </c>
      <c r="BY71" s="3">
        <f ca="1">IFERROR(__xludf.DUMMYFUNCTION("""COMPUTED_VALUE"""),-0.755531790497089)</f>
        <v>-0.75553179049708896</v>
      </c>
      <c r="BZ71" s="3">
        <f ca="1">IFERROR(__xludf.DUMMYFUNCTION("""COMPUTED_VALUE"""),-0.76027345295912)</f>
        <v>-0.76027345295911997</v>
      </c>
      <c r="CA71" s="3">
        <f ca="1">IFERROR(__xludf.DUMMYFUNCTION("""COMPUTED_VALUE"""),-0.763219575340552)</f>
        <v>-0.76321957534055196</v>
      </c>
      <c r="CB71" s="3">
        <f ca="1">IFERROR(__xludf.DUMMYFUNCTION("""COMPUTED_VALUE"""),-0.741551936529184)</f>
        <v>-0.74155193652918405</v>
      </c>
      <c r="CC71" s="3">
        <f ca="1">IFERROR(__xludf.DUMMYFUNCTION("""COMPUTED_VALUE"""),-0.715195030828204)</f>
        <v>-0.71519503082820401</v>
      </c>
      <c r="CD71" s="3">
        <f ca="1">IFERROR(__xludf.DUMMYFUNCTION("""COMPUTED_VALUE"""),-0.737211071217231)</f>
        <v>-0.73721107121723095</v>
      </c>
      <c r="CE71" s="3">
        <f ca="1">IFERROR(__xludf.DUMMYFUNCTION("""COMPUTED_VALUE"""),-0.752941158370284)</f>
        <v>-0.75294115837028397</v>
      </c>
      <c r="CF71" s="3">
        <f ca="1">IFERROR(__xludf.DUMMYFUNCTION("""COMPUTED_VALUE"""),-0.741506879225402)</f>
        <v>-0.74150687922540204</v>
      </c>
      <c r="CG71" s="3">
        <f ca="1">IFERROR(__xludf.DUMMYFUNCTION("""COMPUTED_VALUE"""),-0.766351942177718)</f>
        <v>-0.76635194217771796</v>
      </c>
      <c r="CH71" s="3">
        <f ca="1">IFERROR(__xludf.DUMMYFUNCTION("""COMPUTED_VALUE"""),-0.746819452562433)</f>
        <v>-0.74681945256243298</v>
      </c>
      <c r="CI71" s="3">
        <f ca="1">IFERROR(__xludf.DUMMYFUNCTION("""COMPUTED_VALUE"""),-0.739467572120853)</f>
        <v>-0.73946757212085301</v>
      </c>
      <c r="CJ71" s="3">
        <f ca="1">IFERROR(__xludf.DUMMYFUNCTION("""COMPUTED_VALUE"""),-0.686418373104391)</f>
        <v>-0.68641837310439102</v>
      </c>
      <c r="CK71" s="3">
        <f ca="1">IFERROR(__xludf.DUMMYFUNCTION("""COMPUTED_VALUE"""),-0.737664195822506)</f>
        <v>-0.73766419582250597</v>
      </c>
      <c r="CL71" s="3">
        <f ca="1">IFERROR(__xludf.DUMMYFUNCTION("""COMPUTED_VALUE"""),-0.787937182461987)</f>
        <v>-0.78793718246198696</v>
      </c>
      <c r="CM71" s="3">
        <f ca="1">IFERROR(__xludf.DUMMYFUNCTION("""COMPUTED_VALUE"""),-0.785420393893202)</f>
        <v>-0.78542039389320195</v>
      </c>
      <c r="CN71" s="3">
        <f ca="1">IFERROR(__xludf.DUMMYFUNCTION("""COMPUTED_VALUE"""),-0.79850470874542)</f>
        <v>-0.79850470874542001</v>
      </c>
      <c r="CO71" s="3">
        <f ca="1">IFERROR(__xludf.DUMMYFUNCTION("""COMPUTED_VALUE"""),-0.779490197935059)</f>
        <v>-0.77949019793505903</v>
      </c>
      <c r="CP71" s="3">
        <f ca="1">IFERROR(__xludf.DUMMYFUNCTION("""COMPUTED_VALUE"""),-0.779497904426833)</f>
        <v>-0.77949790442683298</v>
      </c>
      <c r="CQ71" s="3">
        <f ca="1">IFERROR(__xludf.DUMMYFUNCTION("""COMPUTED_VALUE"""),-0.72038809787741)</f>
        <v>-0.72038809787740998</v>
      </c>
      <c r="CR71" s="3">
        <f ca="1">IFERROR(__xludf.DUMMYFUNCTION("""COMPUTED_VALUE"""),-0.727855762224464)</f>
        <v>-0.72785576222446402</v>
      </c>
      <c r="CS71" s="3">
        <f ca="1">IFERROR(__xludf.DUMMYFUNCTION("""COMPUTED_VALUE"""),-0.73740555129153)</f>
        <v>-0.73740555129152996</v>
      </c>
      <c r="CT71" s="3">
        <f ca="1">IFERROR(__xludf.DUMMYFUNCTION("""COMPUTED_VALUE"""),-0.749711985983672)</f>
        <v>-0.74971198598367195</v>
      </c>
      <c r="CU71" s="3">
        <f ca="1">IFERROR(__xludf.DUMMYFUNCTION("""COMPUTED_VALUE"""),-0.717556687416063)</f>
        <v>-0.71755668741606304</v>
      </c>
      <c r="CV71" s="3">
        <f ca="1">IFERROR(__xludf.DUMMYFUNCTION("""COMPUTED_VALUE"""),-0.737633910495858)</f>
        <v>-0.73763391049585803</v>
      </c>
      <c r="CW71" s="3">
        <f ca="1">IFERROR(__xludf.DUMMYFUNCTION("""COMPUTED_VALUE"""),-0.714924169278925)</f>
        <v>-0.71492416927892499</v>
      </c>
      <c r="CX71" s="3">
        <f ca="1">IFERROR(__xludf.DUMMYFUNCTION("""COMPUTED_VALUE"""),-0.653892266456405)</f>
        <v>-0.65389226645640497</v>
      </c>
      <c r="CY71" s="3">
        <f ca="1">IFERROR(__xludf.DUMMYFUNCTION("""COMPUTED_VALUE"""),-0.712656529505033)</f>
        <v>-0.712656529505033</v>
      </c>
      <c r="CZ71" s="3">
        <f ca="1">IFERROR(__xludf.DUMMYFUNCTION("""COMPUTED_VALUE"""),-0.817272774244919)</f>
        <v>-0.81727277424491895</v>
      </c>
      <c r="DA71" s="3">
        <f ca="1">IFERROR(__xludf.DUMMYFUNCTION("""COMPUTED_VALUE"""),-0.703600358147988)</f>
        <v>-0.70360035814798805</v>
      </c>
      <c r="DB71" s="3">
        <f ca="1">IFERROR(__xludf.DUMMYFUNCTION("""COMPUTED_VALUE"""),-0.596798625212261)</f>
        <v>-0.59679862521226101</v>
      </c>
      <c r="DC71" s="3">
        <f ca="1">IFERROR(__xludf.DUMMYFUNCTION("""COMPUTED_VALUE"""),-0.699396925467643)</f>
        <v>-0.69939692546764298</v>
      </c>
      <c r="DD71" s="3">
        <f ca="1">IFERROR(__xludf.DUMMYFUNCTION("""COMPUTED_VALUE"""),-0.743248774546336)</f>
        <v>-0.74324877454633598</v>
      </c>
      <c r="DE71" s="3">
        <f ca="1">IFERROR(__xludf.DUMMYFUNCTION("""COMPUTED_VALUE"""),-0.691640541155894)</f>
        <v>-0.69164054115589402</v>
      </c>
      <c r="DF71" s="3">
        <f ca="1">IFERROR(__xludf.DUMMYFUNCTION("""COMPUTED_VALUE"""),-0.718113444973398)</f>
        <v>-0.71811344497339802</v>
      </c>
      <c r="DG71" s="3">
        <f ca="1">IFERROR(__xludf.DUMMYFUNCTION("""COMPUTED_VALUE"""),-0.848846958864989)</f>
        <v>-0.84884695886498895</v>
      </c>
      <c r="DH71" s="3">
        <f ca="1">IFERROR(__xludf.DUMMYFUNCTION("""COMPUTED_VALUE"""),-0.666231451070642)</f>
        <v>-0.66623145107064197</v>
      </c>
      <c r="DI71" s="3">
        <f ca="1">IFERROR(__xludf.DUMMYFUNCTION("""COMPUTED_VALUE"""),-0.443918627256349)</f>
        <v>-0.44391862725634901</v>
      </c>
      <c r="DJ71" s="3">
        <f ca="1">IFERROR(__xludf.DUMMYFUNCTION("""COMPUTED_VALUE"""),-0.595966355531532)</f>
        <v>-0.59596635553153199</v>
      </c>
      <c r="DK71" s="3">
        <f ca="1">IFERROR(__xludf.DUMMYFUNCTION("""COMPUTED_VALUE"""),-0.615696895821612)</f>
        <v>-0.61569689582161202</v>
      </c>
      <c r="DL71" s="3">
        <f ca="1">IFERROR(__xludf.DUMMYFUNCTION("""COMPUTED_VALUE"""),-0.617278080520022)</f>
        <v>-0.61727808052002198</v>
      </c>
      <c r="DM71" s="3">
        <f ca="1">IFERROR(__xludf.DUMMYFUNCTION("""COMPUTED_VALUE"""),-0.608550841676017)</f>
        <v>-0.60855084167601703</v>
      </c>
      <c r="DN71" s="3">
        <f ca="1">IFERROR(__xludf.DUMMYFUNCTION("""COMPUTED_VALUE"""),-0.674627414591917)</f>
        <v>-0.674627414591917</v>
      </c>
      <c r="DO71" s="3">
        <f ca="1">IFERROR(__xludf.DUMMYFUNCTION("""COMPUTED_VALUE"""),-0.670576739857063)</f>
        <v>-0.67057673985706301</v>
      </c>
      <c r="DP71" s="3">
        <f ca="1">IFERROR(__xludf.DUMMYFUNCTION("""COMPUTED_VALUE"""),-0.571525033678075)</f>
        <v>-0.57152503367807495</v>
      </c>
      <c r="DQ71" s="3">
        <f ca="1">IFERROR(__xludf.DUMMYFUNCTION("""COMPUTED_VALUE"""),-0.606763849544508)</f>
        <v>-0.60676384954450802</v>
      </c>
      <c r="DR71" s="3">
        <f ca="1">IFERROR(__xludf.DUMMYFUNCTION("""COMPUTED_VALUE"""),-0.62175595178864)</f>
        <v>-0.62175595178863996</v>
      </c>
      <c r="DS71" s="3">
        <f ca="1">IFERROR(__xludf.DUMMYFUNCTION("""COMPUTED_VALUE"""),-0.624750529035333)</f>
        <v>-0.62475052903533301</v>
      </c>
      <c r="DT71" s="3">
        <f ca="1">IFERROR(__xludf.DUMMYFUNCTION("""COMPUTED_VALUE"""),-0.625379842354618)</f>
        <v>-0.62537984235461797</v>
      </c>
      <c r="DU71" s="3">
        <f ca="1">IFERROR(__xludf.DUMMYFUNCTION("""COMPUTED_VALUE"""),-0.667210022885295)</f>
        <v>-0.66721002288529496</v>
      </c>
      <c r="DV71" s="3">
        <f ca="1">IFERROR(__xludf.DUMMYFUNCTION("""COMPUTED_VALUE"""),-0.671188712333165)</f>
        <v>-0.67118871233316502</v>
      </c>
      <c r="DW71" s="3">
        <f ca="1">IFERROR(__xludf.DUMMYFUNCTION("""COMPUTED_VALUE"""),-0.68011741836077)</f>
        <v>-0.68011741836077</v>
      </c>
      <c r="DX71" s="3">
        <f ca="1">IFERROR(__xludf.DUMMYFUNCTION("""COMPUTED_VALUE"""),-0.680006515317073)</f>
        <v>-0.68000651531707301</v>
      </c>
      <c r="DY71" s="3">
        <f ca="1">IFERROR(__xludf.DUMMYFUNCTION("""COMPUTED_VALUE"""),-0.677154523632211)</f>
        <v>-0.67715452363221096</v>
      </c>
      <c r="DZ71" s="3">
        <f ca="1">IFERROR(__xludf.DUMMYFUNCTION("""COMPUTED_VALUE"""),-0.629021781349833)</f>
        <v>-0.629021781349833</v>
      </c>
      <c r="EA71" s="3">
        <f ca="1">IFERROR(__xludf.DUMMYFUNCTION("""COMPUTED_VALUE"""),-0.624913613603968)</f>
        <v>-0.62491361360396802</v>
      </c>
      <c r="EB71" s="3">
        <f ca="1">IFERROR(__xludf.DUMMYFUNCTION("""COMPUTED_VALUE"""),-0.679024904730783)</f>
        <v>-0.67902490473078303</v>
      </c>
      <c r="EC71" s="3">
        <f ca="1">IFERROR(__xludf.DUMMYFUNCTION("""COMPUTED_VALUE"""),-0.672713910082346)</f>
        <v>-0.67271391008234604</v>
      </c>
      <c r="ED71" s="3">
        <f ca="1">IFERROR(__xludf.DUMMYFUNCTION("""COMPUTED_VALUE"""),-0.689990789893649)</f>
        <v>-0.68999078989364904</v>
      </c>
      <c r="EE71" s="3">
        <f ca="1">IFERROR(__xludf.DUMMYFUNCTION("""COMPUTED_VALUE"""),-0.673878680900936)</f>
        <v>-0.67387868090093594</v>
      </c>
      <c r="EF71" s="3">
        <f ca="1">IFERROR(__xludf.DUMMYFUNCTION("""COMPUTED_VALUE"""),-0.670466928844609)</f>
        <v>-0.67046692884460901</v>
      </c>
      <c r="EG71" s="3">
        <f ca="1">IFERROR(__xludf.DUMMYFUNCTION("""COMPUTED_VALUE"""),-0.589581737281854)</f>
        <v>-0.58958173728185403</v>
      </c>
      <c r="EH71" s="3">
        <f ca="1">IFERROR(__xludf.DUMMYFUNCTION("""COMPUTED_VALUE"""),-0.614725191346872)</f>
        <v>-0.61472519134687198</v>
      </c>
      <c r="EI71" s="3">
        <f ca="1">IFERROR(__xludf.DUMMYFUNCTION("""COMPUTED_VALUE"""),-0.643471170443301)</f>
        <v>-0.64347117044330104</v>
      </c>
      <c r="EJ71" s="3">
        <f ca="1">IFERROR(__xludf.DUMMYFUNCTION("""COMPUTED_VALUE"""),-0.670605186064463)</f>
        <v>-0.67060518606446295</v>
      </c>
      <c r="EK71" s="3">
        <f ca="1">IFERROR(__xludf.DUMMYFUNCTION("""COMPUTED_VALUE"""),-0.661417224825928)</f>
        <v>-0.66141722482592802</v>
      </c>
      <c r="EL71" s="3">
        <f ca="1">IFERROR(__xludf.DUMMYFUNCTION("""COMPUTED_VALUE"""),-0.691897902770267)</f>
        <v>-0.69189790277026697</v>
      </c>
      <c r="EM71" s="3">
        <f ca="1">IFERROR(__xludf.DUMMYFUNCTION("""COMPUTED_VALUE"""),-0.69718002809515)</f>
        <v>-0.69718002809515001</v>
      </c>
      <c r="EN71" s="3">
        <f ca="1">IFERROR(__xludf.DUMMYFUNCTION("""COMPUTED_VALUE"""),-0.637756386716106)</f>
        <v>-0.63775638671610602</v>
      </c>
      <c r="EO71" s="3">
        <f ca="1">IFERROR(__xludf.DUMMYFUNCTION("""COMPUTED_VALUE"""),-0.6373125221946)</f>
        <v>-0.6373125221946</v>
      </c>
      <c r="EP71" s="3">
        <f ca="1">IFERROR(__xludf.DUMMYFUNCTION("""COMPUTED_VALUE"""),-0.699254392434546)</f>
        <v>-0.69925439243454601</v>
      </c>
      <c r="EQ71" s="3">
        <f ca="1">IFERROR(__xludf.DUMMYFUNCTION("""COMPUTED_VALUE"""),-0.723818311987711)</f>
        <v>-0.72381831198771096</v>
      </c>
      <c r="ER71" s="3">
        <f ca="1">IFERROR(__xludf.DUMMYFUNCTION("""COMPUTED_VALUE"""),-0.710173191127152)</f>
        <v>-0.71017319112715205</v>
      </c>
      <c r="ES71" s="3">
        <f ca="1">IFERROR(__xludf.DUMMYFUNCTION("""COMPUTED_VALUE"""),-0.711652202895467)</f>
        <v>-0.71165220289546705</v>
      </c>
      <c r="ET71" s="3">
        <f ca="1">IFERROR(__xludf.DUMMYFUNCTION("""COMPUTED_VALUE"""),-0.695017673195906)</f>
        <v>-0.69501767319590602</v>
      </c>
      <c r="EU71" s="3">
        <f ca="1">IFERROR(__xludf.DUMMYFUNCTION("""COMPUTED_VALUE"""),-0.644604790461859)</f>
        <v>-0.64460479046185903</v>
      </c>
      <c r="EV71" s="3">
        <f ca="1">IFERROR(__xludf.DUMMYFUNCTION("""COMPUTED_VALUE"""),-0.633173326604549)</f>
        <v>-0.63317332660454895</v>
      </c>
      <c r="EW71" s="3">
        <f ca="1">IFERROR(__xludf.DUMMYFUNCTION("""COMPUTED_VALUE"""),-0.694491828620611)</f>
        <v>-0.69449182862061098</v>
      </c>
      <c r="EX71" s="3">
        <f ca="1">IFERROR(__xludf.DUMMYFUNCTION("""COMPUTED_VALUE"""),-0.719671056320535)</f>
        <v>-0.71967105632053496</v>
      </c>
      <c r="EY71" s="3">
        <f ca="1">IFERROR(__xludf.DUMMYFUNCTION("""COMPUTED_VALUE"""),-0.713994097478613)</f>
        <v>-0.71399409747861298</v>
      </c>
      <c r="EZ71" s="3">
        <f ca="1">IFERROR(__xludf.DUMMYFUNCTION("""COMPUTED_VALUE"""),-0.682792663113407)</f>
        <v>-0.68279266311340703</v>
      </c>
      <c r="FA71" s="3">
        <f ca="1">IFERROR(__xludf.DUMMYFUNCTION("""COMPUTED_VALUE"""),-0.659757906298995)</f>
        <v>-0.659757906298995</v>
      </c>
      <c r="FB71" s="3">
        <f ca="1">IFERROR(__xludf.DUMMYFUNCTION("""COMPUTED_VALUE"""),-0.578343041131897)</f>
        <v>-0.57834304113189705</v>
      </c>
      <c r="FC71" s="3">
        <f ca="1">IFERROR(__xludf.DUMMYFUNCTION("""COMPUTED_VALUE"""),-0.595703709633305)</f>
        <v>-0.59570370963330499</v>
      </c>
      <c r="FD71" s="3">
        <f ca="1">IFERROR(__xludf.DUMMYFUNCTION("""COMPUTED_VALUE"""),-0.667894812942552)</f>
        <v>-0.66789481294255204</v>
      </c>
      <c r="FE71" s="3">
        <f ca="1">IFERROR(__xludf.DUMMYFUNCTION("""COMPUTED_VALUE"""),-0.691119846047327)</f>
        <v>-0.69111984604732701</v>
      </c>
      <c r="FF71" s="3">
        <f ca="1">IFERROR(__xludf.DUMMYFUNCTION("""COMPUTED_VALUE"""),-0.681535786093594)</f>
        <v>-0.681535786093594</v>
      </c>
      <c r="FG71" s="3">
        <f ca="1">IFERROR(__xludf.DUMMYFUNCTION("""COMPUTED_VALUE"""),-0.693939869254989)</f>
        <v>-0.69393986925498896</v>
      </c>
      <c r="FH71" s="3">
        <f ca="1">IFERROR(__xludf.DUMMYFUNCTION("""COMPUTED_VALUE"""),-0.666747337990747)</f>
        <v>-0.66674733799074704</v>
      </c>
      <c r="FI71" s="3">
        <f ca="1">IFERROR(__xludf.DUMMYFUNCTION("""COMPUTED_VALUE"""),-0.594525930908097)</f>
        <v>-0.59452593090809702</v>
      </c>
      <c r="FJ71" s="3">
        <f ca="1">IFERROR(__xludf.DUMMYFUNCTION("""COMPUTED_VALUE"""),-0.589824137537262)</f>
        <v>-0.58982413753726204</v>
      </c>
      <c r="FK71" s="3">
        <f ca="1">IFERROR(__xludf.DUMMYFUNCTION("""COMPUTED_VALUE"""),-0.672812564143551)</f>
        <v>-0.67281256414355095</v>
      </c>
      <c r="FL71" s="3">
        <f ca="1">IFERROR(__xludf.DUMMYFUNCTION("""COMPUTED_VALUE"""),-0.663622890329628)</f>
        <v>-0.66362289032962796</v>
      </c>
      <c r="FM71" s="3">
        <f ca="1">IFERROR(__xludf.DUMMYFUNCTION("""COMPUTED_VALUE"""),-0.650619312716528)</f>
        <v>-0.65061931271652795</v>
      </c>
      <c r="FN71" s="3">
        <f ca="1">IFERROR(__xludf.DUMMYFUNCTION("""COMPUTED_VALUE"""),-0.640804562973194)</f>
        <v>-0.64080456297319399</v>
      </c>
      <c r="FO71" s="3">
        <f ca="1">IFERROR(__xludf.DUMMYFUNCTION("""COMPUTED_VALUE"""),-0.651628570914666)</f>
        <v>-0.65162857091466597</v>
      </c>
      <c r="FP71" s="3">
        <f ca="1">IFERROR(__xludf.DUMMYFUNCTION("""COMPUTED_VALUE"""),-0.593389014438726)</f>
        <v>-0.59338901443872605</v>
      </c>
      <c r="FQ71" s="3">
        <f ca="1">IFERROR(__xludf.DUMMYFUNCTION("""COMPUTED_VALUE"""),-0.610839655352347)</f>
        <v>-0.61083965535234697</v>
      </c>
      <c r="FR71" s="3">
        <f ca="1">IFERROR(__xludf.DUMMYFUNCTION("""COMPUTED_VALUE"""),-0.632459687119353)</f>
        <v>-0.63245968711935296</v>
      </c>
      <c r="FS71" s="3">
        <f ca="1">IFERROR(__xludf.DUMMYFUNCTION("""COMPUTED_VALUE"""),-0.652913472349969)</f>
        <v>-0.65291347234996899</v>
      </c>
      <c r="FT71" s="3">
        <f ca="1">IFERROR(__xludf.DUMMYFUNCTION("""COMPUTED_VALUE"""),-0.665453330233334)</f>
        <v>-0.66545333023333397</v>
      </c>
      <c r="FU71" s="3">
        <f ca="1">IFERROR(__xludf.DUMMYFUNCTION("""COMPUTED_VALUE"""),-0.647896368232713)</f>
        <v>-0.64789636823271302</v>
      </c>
      <c r="FV71" s="3">
        <f ca="1">IFERROR(__xludf.DUMMYFUNCTION("""COMPUTED_VALUE"""),-0.596865612929745)</f>
        <v>-0.59686561292974505</v>
      </c>
      <c r="FW71" s="3">
        <f ca="1">IFERROR(__xludf.DUMMYFUNCTION("""COMPUTED_VALUE"""),-0.593793470108414)</f>
        <v>-0.59379347010841399</v>
      </c>
      <c r="FX71" s="3">
        <f ca="1">IFERROR(__xludf.DUMMYFUNCTION("""COMPUTED_VALUE"""),-0.620527576755871)</f>
        <v>-0.620527576755871</v>
      </c>
      <c r="FY71" s="3">
        <f ca="1">IFERROR(__xludf.DUMMYFUNCTION("""COMPUTED_VALUE"""),-0.679768385659942)</f>
        <v>-0.67976838565994202</v>
      </c>
      <c r="FZ71" s="3">
        <f ca="1">IFERROR(__xludf.DUMMYFUNCTION("""COMPUTED_VALUE"""),-0.654771992960167)</f>
        <v>-0.65477199296016697</v>
      </c>
      <c r="GA71" s="3">
        <f ca="1">IFERROR(__xludf.DUMMYFUNCTION("""COMPUTED_VALUE"""),-0.668813683956182)</f>
        <v>-0.66881368395618201</v>
      </c>
      <c r="GB71" s="3">
        <f ca="1">IFERROR(__xludf.DUMMYFUNCTION("""COMPUTED_VALUE"""),-0.68982134931917)</f>
        <v>-0.68982134931917005</v>
      </c>
      <c r="GC71" s="3">
        <f ca="1">IFERROR(__xludf.DUMMYFUNCTION("""COMPUTED_VALUE"""),-0.710103154537068)</f>
        <v>-0.71010315453706796</v>
      </c>
      <c r="GD71" s="3">
        <f ca="1">IFERROR(__xludf.DUMMYFUNCTION("""COMPUTED_VALUE"""),-0.61706551191009)</f>
        <v>-0.61706551191008996</v>
      </c>
      <c r="GE71" s="3">
        <f ca="1">IFERROR(__xludf.DUMMYFUNCTION("""COMPUTED_VALUE"""),-0.665560381820628)</f>
        <v>-0.66556038182062804</v>
      </c>
      <c r="GF71" s="3">
        <f ca="1">IFERROR(__xludf.DUMMYFUNCTION("""COMPUTED_VALUE"""),-0.668075186929837)</f>
        <v>-0.66807518692983703</v>
      </c>
      <c r="GG71" s="3">
        <f ca="1">IFERROR(__xludf.DUMMYFUNCTION("""COMPUTED_VALUE"""),-0.672576022116151)</f>
        <v>-0.67257602211615097</v>
      </c>
      <c r="GH71" s="3">
        <f ca="1">IFERROR(__xludf.DUMMYFUNCTION("""COMPUTED_VALUE"""),-0.669112697263931)</f>
        <v>-0.66911269726393097</v>
      </c>
      <c r="GI71" s="3">
        <f ca="1">IFERROR(__xludf.DUMMYFUNCTION("""COMPUTED_VALUE"""),-0.644021876636628)</f>
        <v>-0.64402187663662802</v>
      </c>
      <c r="GJ71" s="3">
        <f ca="1">IFERROR(__xludf.DUMMYFUNCTION("""COMPUTED_VALUE"""),-0.566006835554858)</f>
        <v>-0.56600683555485798</v>
      </c>
      <c r="GK71" s="3">
        <f ca="1">IFERROR(__xludf.DUMMYFUNCTION("""COMPUTED_VALUE"""),-0.617259513766569)</f>
        <v>-0.61725951376656896</v>
      </c>
      <c r="GL71" s="3">
        <f ca="1">IFERROR(__xludf.DUMMYFUNCTION("""COMPUTED_VALUE"""),-0.615442762611046)</f>
        <v>-0.61544276261104602</v>
      </c>
      <c r="GM71" s="3">
        <f ca="1">IFERROR(__xludf.DUMMYFUNCTION("""COMPUTED_VALUE"""),-0.683231945933423)</f>
        <v>-0.68323194593342296</v>
      </c>
      <c r="GN71" s="3">
        <f ca="1">IFERROR(__xludf.DUMMYFUNCTION("""COMPUTED_VALUE"""),-0.624363351060542)</f>
        <v>-0.62436335106054197</v>
      </c>
      <c r="GO71" s="3">
        <f ca="1">IFERROR(__xludf.DUMMYFUNCTION("""COMPUTED_VALUE"""),-0.597923994080494)</f>
        <v>-0.59792399408049401</v>
      </c>
      <c r="GP71" s="3">
        <f ca="1">IFERROR(__xludf.DUMMYFUNCTION("""COMPUTED_VALUE"""),-0.599064825480813)</f>
        <v>-0.59906482548081297</v>
      </c>
      <c r="GQ71" s="3">
        <f ca="1">IFERROR(__xludf.DUMMYFUNCTION("""COMPUTED_VALUE"""),-0.592930880150653)</f>
        <v>-0.59293088015065298</v>
      </c>
      <c r="GR71" s="3">
        <f ca="1">IFERROR(__xludf.DUMMYFUNCTION("""COMPUTED_VALUE"""),-0.470531358719314)</f>
        <v>-0.47053135871931401</v>
      </c>
      <c r="GS71" s="3">
        <f ca="1">IFERROR(__xludf.DUMMYFUNCTION("""COMPUTED_VALUE"""),-0.484360122935878)</f>
        <v>-0.48436012293587799</v>
      </c>
      <c r="GT71" s="3">
        <f ca="1">IFERROR(__xludf.DUMMYFUNCTION("""COMPUTED_VALUE"""),-0.58184809100473)</f>
        <v>-0.58184809100473001</v>
      </c>
      <c r="GU71" s="3">
        <f ca="1">IFERROR(__xludf.DUMMYFUNCTION("""COMPUTED_VALUE"""),-0.569859558766019)</f>
        <v>-0.56985955876601901</v>
      </c>
      <c r="GV71" s="3">
        <f ca="1">IFERROR(__xludf.DUMMYFUNCTION("""COMPUTED_VALUE"""),-0.565216533165477)</f>
        <v>-0.56521653316547704</v>
      </c>
      <c r="GW71" s="3">
        <f ca="1">IFERROR(__xludf.DUMMYFUNCTION("""COMPUTED_VALUE"""),-0.558431965059203)</f>
        <v>-0.55843196505920301</v>
      </c>
      <c r="GX71" s="3">
        <f ca="1">IFERROR(__xludf.DUMMYFUNCTION("""COMPUTED_VALUE"""),-0.538950252067834)</f>
        <v>-0.53895025206783398</v>
      </c>
      <c r="GY71" s="3">
        <f ca="1">IFERROR(__xludf.DUMMYFUNCTION("""COMPUTED_VALUE"""),-0.469139380881815)</f>
        <v>-0.469139380881815</v>
      </c>
      <c r="GZ71" s="3">
        <f ca="1">IFERROR(__xludf.DUMMYFUNCTION("""COMPUTED_VALUE"""),-0.468081701392175)</f>
        <v>-0.46808170139217498</v>
      </c>
      <c r="HA71" s="3">
        <f ca="1">IFERROR(__xludf.DUMMYFUNCTION("""COMPUTED_VALUE"""),-0.556161907057818)</f>
        <v>-0.55616190705781798</v>
      </c>
      <c r="HB71" s="3">
        <f ca="1">IFERROR(__xludf.DUMMYFUNCTION("""COMPUTED_VALUE"""),-0.540639903036674)</f>
        <v>-0.54063990303667397</v>
      </c>
      <c r="HC71" s="3">
        <f ca="1">IFERROR(__xludf.DUMMYFUNCTION("""COMPUTED_VALUE"""),-0.555904597583805)</f>
        <v>-0.55590459758380495</v>
      </c>
      <c r="HD71" s="3">
        <f ca="1">IFERROR(__xludf.DUMMYFUNCTION("""COMPUTED_VALUE"""),-0.541861856599118)</f>
        <v>-0.54186185659911801</v>
      </c>
      <c r="HE71" s="3">
        <f ca="1">IFERROR(__xludf.DUMMYFUNCTION("""COMPUTED_VALUE"""),-0.515690044084072)</f>
        <v>-0.51569004408407204</v>
      </c>
      <c r="HF71" s="3">
        <f ca="1">IFERROR(__xludf.DUMMYFUNCTION("""COMPUTED_VALUE"""),-0.48740803704466)</f>
        <v>-0.48740803704466001</v>
      </c>
      <c r="HG71" s="3">
        <f ca="1">IFERROR(__xludf.DUMMYFUNCTION("""COMPUTED_VALUE"""),-0.421559255604506)</f>
        <v>-0.42155925560450602</v>
      </c>
      <c r="HH71" s="3">
        <f ca="1">IFERROR(__xludf.DUMMYFUNCTION("""COMPUTED_VALUE"""),-0.52905130019084)</f>
        <v>-0.52905130019084001</v>
      </c>
      <c r="HI71" s="3">
        <f ca="1">IFERROR(__xludf.DUMMYFUNCTION("""COMPUTED_VALUE"""),-0.542952227372029)</f>
        <v>-0.54295222737202897</v>
      </c>
      <c r="HJ71" s="3">
        <f ca="1">IFERROR(__xludf.DUMMYFUNCTION("""COMPUTED_VALUE"""),-0.537614443414642)</f>
        <v>-0.53761444341464204</v>
      </c>
      <c r="HK71" s="3">
        <f ca="1">IFERROR(__xludf.DUMMYFUNCTION("""COMPUTED_VALUE"""),-0.520900973983221)</f>
        <v>-0.52090097398322099</v>
      </c>
      <c r="HL71" s="3">
        <f ca="1">IFERROR(__xludf.DUMMYFUNCTION("""COMPUTED_VALUE"""),-0.632821369152006)</f>
        <v>-0.63282136915200604</v>
      </c>
      <c r="HM71" s="3">
        <f ca="1">IFERROR(__xludf.DUMMYFUNCTION("""COMPUTED_VALUE"""),-0.388627730407318)</f>
        <v>-0.38862773040731802</v>
      </c>
      <c r="HN71" s="3">
        <f ca="1">IFERROR(__xludf.DUMMYFUNCTION("""COMPUTED_VALUE"""),-0.400931359557241)</f>
        <v>-0.40093135955724102</v>
      </c>
      <c r="HO71" s="3">
        <f ca="1">IFERROR(__xludf.DUMMYFUNCTION("""COMPUTED_VALUE"""),-0.501988012080019)</f>
        <v>-0.50198801208001897</v>
      </c>
      <c r="HP71" s="3">
        <f ca="1">IFERROR(__xludf.DUMMYFUNCTION("""COMPUTED_VALUE"""),-0.514518312261209)</f>
        <v>-0.51451831226120903</v>
      </c>
      <c r="HQ71" s="3">
        <f ca="1">IFERROR(__xludf.DUMMYFUNCTION("""COMPUTED_VALUE"""),-0.526308214201008)</f>
        <v>-0.52630821420100804</v>
      </c>
      <c r="HR71" s="3">
        <f ca="1">IFERROR(__xludf.DUMMYFUNCTION("""COMPUTED_VALUE"""),-0.489268789807648)</f>
        <v>-0.48926878980764799</v>
      </c>
      <c r="HS71" s="3">
        <f ca="1">IFERROR(__xludf.DUMMYFUNCTION("""COMPUTED_VALUE"""),-0.392001391185251)</f>
        <v>-0.39200139118525101</v>
      </c>
      <c r="HT71" s="3">
        <f ca="1">IFERROR(__xludf.DUMMYFUNCTION("""COMPUTED_VALUE"""),-0.436083692282394)</f>
        <v>-0.43608369228239402</v>
      </c>
      <c r="HU71" s="3">
        <f ca="1">IFERROR(__xludf.DUMMYFUNCTION("""COMPUTED_VALUE"""),-0.513824551686512)</f>
        <v>-0.51382455168651198</v>
      </c>
      <c r="HV71" s="3">
        <f ca="1">IFERROR(__xludf.DUMMYFUNCTION("""COMPUTED_VALUE"""),-0.550167724426139)</f>
        <v>-0.55016772442613904</v>
      </c>
      <c r="HW71" s="3">
        <f ca="1">IFERROR(__xludf.DUMMYFUNCTION("""COMPUTED_VALUE"""),-0.58544775755291)</f>
        <v>-0.58544775755291001</v>
      </c>
      <c r="HX71" s="3">
        <f ca="1">IFERROR(__xludf.DUMMYFUNCTION("""COMPUTED_VALUE"""),-0.573782917390557)</f>
        <v>-0.57378291739055698</v>
      </c>
      <c r="HY71" s="3">
        <f ca="1">IFERROR(__xludf.DUMMYFUNCTION("""COMPUTED_VALUE"""),-0.585679586655793)</f>
        <v>-0.58567958665579301</v>
      </c>
      <c r="HZ71" s="3">
        <f ca="1">IFERROR(__xludf.DUMMYFUNCTION("""COMPUTED_VALUE"""),-0.468174140205788)</f>
        <v>-0.46817414020578801</v>
      </c>
      <c r="IA71" s="3">
        <f ca="1">IFERROR(__xludf.DUMMYFUNCTION("""COMPUTED_VALUE"""),-0.455424897415366)</f>
        <v>-0.45542489741536601</v>
      </c>
      <c r="IB71" s="3">
        <f ca="1">IFERROR(__xludf.DUMMYFUNCTION("""COMPUTED_VALUE"""),-0.412756699711604)</f>
        <v>-0.412756699711604</v>
      </c>
      <c r="IC71" s="3">
        <f ca="1">IFERROR(__xludf.DUMMYFUNCTION("""COMPUTED_VALUE"""),-0.581396486083179)</f>
        <v>-0.58139648608317895</v>
      </c>
      <c r="ID71" s="3">
        <f ca="1">IFERROR(__xludf.DUMMYFUNCTION("""COMPUTED_VALUE"""),-0.584257957755714)</f>
        <v>-0.58425795775571399</v>
      </c>
      <c r="IE71" s="3">
        <f ca="1">IFERROR(__xludf.DUMMYFUNCTION("""COMPUTED_VALUE"""),-0.528225808097068)</f>
        <v>-0.52822580809706798</v>
      </c>
      <c r="IF71" s="3">
        <f ca="1">IFERROR(__xludf.DUMMYFUNCTION("""COMPUTED_VALUE"""),-0.542571253542197)</f>
        <v>-0.54257125354219704</v>
      </c>
      <c r="IG71" s="3">
        <f ca="1">IFERROR(__xludf.DUMMYFUNCTION("""COMPUTED_VALUE"""),-0.546644689178927)</f>
        <v>-0.54664468917892695</v>
      </c>
      <c r="IH71" s="3">
        <f ca="1">IFERROR(__xludf.DUMMYFUNCTION("""COMPUTED_VALUE"""),-0.417264868890913)</f>
        <v>-0.41726486889091302</v>
      </c>
      <c r="II71" s="3">
        <f ca="1">IFERROR(__xludf.DUMMYFUNCTION("""COMPUTED_VALUE"""),-0.419939899259789)</f>
        <v>-0.41993989925978897</v>
      </c>
      <c r="IJ71" s="3">
        <f ca="1">IFERROR(__xludf.DUMMYFUNCTION("""COMPUTED_VALUE"""),-0.512860237967068)</f>
        <v>-0.51286023796706803</v>
      </c>
      <c r="IK71" s="3">
        <f ca="1">IFERROR(__xludf.DUMMYFUNCTION("""COMPUTED_VALUE"""),-0.527754979047269)</f>
        <v>-0.52775497904726898</v>
      </c>
      <c r="IL71" s="3">
        <f ca="1">IFERROR(__xludf.DUMMYFUNCTION("""COMPUTED_VALUE"""),-0.48249323716541)</f>
        <v>-0.48249323716540998</v>
      </c>
      <c r="IM71" s="3">
        <f ca="1">IFERROR(__xludf.DUMMYFUNCTION("""COMPUTED_VALUE"""),-0.490597600257152)</f>
        <v>-0.49059760025715199</v>
      </c>
      <c r="IN71" s="3">
        <f ca="1">IFERROR(__xludf.DUMMYFUNCTION("""COMPUTED_VALUE"""),-0.468575649262851)</f>
        <v>-0.468575649262851</v>
      </c>
      <c r="IO71" s="3">
        <f ca="1">IFERROR(__xludf.DUMMYFUNCTION("""COMPUTED_VALUE"""),-0.439040363214502)</f>
        <v>-0.43904036321450202</v>
      </c>
      <c r="IP71" s="3">
        <f ca="1">IFERROR(__xludf.DUMMYFUNCTION("""COMPUTED_VALUE"""),-0.381333856324087)</f>
        <v>-0.38133385632408701</v>
      </c>
      <c r="IQ71" s="3">
        <f ca="1">IFERROR(__xludf.DUMMYFUNCTION("""COMPUTED_VALUE"""),-0.440370476450545)</f>
        <v>-0.440370476450545</v>
      </c>
      <c r="IR71" s="3">
        <f ca="1">IFERROR(__xludf.DUMMYFUNCTION("""COMPUTED_VALUE"""),-0.44851732987956)</f>
        <v>-0.44851732987956</v>
      </c>
      <c r="IS71" s="3">
        <f ca="1">IFERROR(__xludf.DUMMYFUNCTION("""COMPUTED_VALUE"""),-0.442061146130799)</f>
        <v>-0.442061146130799</v>
      </c>
      <c r="IT71" s="3">
        <f ca="1">IFERROR(__xludf.DUMMYFUNCTION("""COMPUTED_VALUE"""),-0.507350442678038)</f>
        <v>-0.50735044267803797</v>
      </c>
      <c r="IU71" s="3">
        <f ca="1">IFERROR(__xludf.DUMMYFUNCTION("""COMPUTED_VALUE"""),-0.422398583547453)</f>
        <v>-0.42239858354745302</v>
      </c>
      <c r="IV71" s="3">
        <f ca="1">IFERROR(__xludf.DUMMYFUNCTION("""COMPUTED_VALUE"""),-0.457154647783125)</f>
        <v>-0.45715464778312498</v>
      </c>
      <c r="IW71" s="3">
        <f ca="1">IFERROR(__xludf.DUMMYFUNCTION("""COMPUTED_VALUE"""),-0.353695987124306)</f>
        <v>-0.353695987124306</v>
      </c>
      <c r="IX71" s="3">
        <f ca="1">IFERROR(__xludf.DUMMYFUNCTION("""COMPUTED_VALUE"""),-0.360587054778784)</f>
        <v>-0.360587054778784</v>
      </c>
      <c r="IY71" s="3">
        <f ca="1">IFERROR(__xludf.DUMMYFUNCTION("""COMPUTED_VALUE"""),-0.355515946702296)</f>
        <v>-0.35551594670229603</v>
      </c>
      <c r="IZ71" s="3">
        <f ca="1">IFERROR(__xludf.DUMMYFUNCTION("""COMPUTED_VALUE"""),-0.37109375867567)</f>
        <v>-0.37109375867567002</v>
      </c>
      <c r="JA71" s="3">
        <f ca="1">IFERROR(__xludf.DUMMYFUNCTION("""COMPUTED_VALUE"""),-0.353360668799611)</f>
        <v>-0.35336066879961098</v>
      </c>
      <c r="JB71" s="3">
        <f ca="1">IFERROR(__xludf.DUMMYFUNCTION("""COMPUTED_VALUE"""),-0.434684559205189)</f>
        <v>-0.434684559205189</v>
      </c>
      <c r="JC71" s="3">
        <f ca="1">IFERROR(__xludf.DUMMYFUNCTION("""COMPUTED_VALUE"""),-0.322296645381671)</f>
        <v>-0.32229664538167102</v>
      </c>
      <c r="JD71" s="3">
        <f ca="1">IFERROR(__xludf.DUMMYFUNCTION("""COMPUTED_VALUE"""),-0.341644580358583)</f>
        <v>-0.34164458035858303</v>
      </c>
      <c r="JE71" s="3">
        <f ca="1">IFERROR(__xludf.DUMMYFUNCTION("""COMPUTED_VALUE"""),-0.366001217036513)</f>
        <v>-0.366001217036513</v>
      </c>
      <c r="JF71" s="3">
        <f ca="1">IFERROR(__xludf.DUMMYFUNCTION("""COMPUTED_VALUE"""),-0.415233490143702)</f>
        <v>-0.41523349014370198</v>
      </c>
      <c r="JG71" s="3">
        <f ca="1">IFERROR(__xludf.DUMMYFUNCTION("""COMPUTED_VALUE"""),-0.419153449774113)</f>
        <v>-0.41915344977411301</v>
      </c>
      <c r="JH71" s="3">
        <f ca="1">IFERROR(__xludf.DUMMYFUNCTION("""COMPUTED_VALUE"""),-0.356633986571407)</f>
        <v>-0.35663398657140699</v>
      </c>
      <c r="JI71" s="3">
        <f ca="1">IFERROR(__xludf.DUMMYFUNCTION("""COMPUTED_VALUE"""),-0.365521575749612)</f>
        <v>-0.36552157574961203</v>
      </c>
      <c r="JJ71" s="3">
        <f ca="1">IFERROR(__xludf.DUMMYFUNCTION("""COMPUTED_VALUE"""),-0.306125572069448)</f>
        <v>-0.30612557206944802</v>
      </c>
      <c r="JK71" s="3">
        <f ca="1">IFERROR(__xludf.DUMMYFUNCTION("""COMPUTED_VALUE"""),-0.320349280076394)</f>
        <v>-0.32034928007639402</v>
      </c>
      <c r="JL71" s="3">
        <f ca="1">IFERROR(__xludf.DUMMYFUNCTION("""COMPUTED_VALUE"""),-0.406270408875099)</f>
        <v>-0.40627040887509902</v>
      </c>
      <c r="JM71" s="3">
        <f ca="1">IFERROR(__xludf.DUMMYFUNCTION("""COMPUTED_VALUE"""),-0.422989686125874)</f>
        <v>-0.42298968612587401</v>
      </c>
      <c r="JN71" s="3">
        <f ca="1">IFERROR(__xludf.DUMMYFUNCTION("""COMPUTED_VALUE"""),-0.406116731484196)</f>
        <v>-0.40611673148419603</v>
      </c>
      <c r="JO71" s="3">
        <f ca="1">IFERROR(__xludf.DUMMYFUNCTION("""COMPUTED_VALUE"""),-0.380050372621551)</f>
        <v>-0.380050372621551</v>
      </c>
      <c r="JP71" s="3">
        <f ca="1">IFERROR(__xludf.DUMMYFUNCTION("""COMPUTED_VALUE"""),-0.357742986798778)</f>
        <v>-0.35774298679877797</v>
      </c>
      <c r="JQ71" s="3">
        <f ca="1">IFERROR(__xludf.DUMMYFUNCTION("""COMPUTED_VALUE"""),-0.385634317931766)</f>
        <v>-0.385634317931766</v>
      </c>
      <c r="JR71" s="3">
        <f ca="1">IFERROR(__xludf.DUMMYFUNCTION("""COMPUTED_VALUE"""),-0.446892852400245)</f>
        <v>-0.44689285240024501</v>
      </c>
      <c r="JS71" s="3">
        <f ca="1">IFERROR(__xludf.DUMMYFUNCTION("""COMPUTED_VALUE"""),-0.417078860763252)</f>
        <v>-0.41707886076325201</v>
      </c>
      <c r="JT71" s="3">
        <f ca="1">IFERROR(__xludf.DUMMYFUNCTION("""COMPUTED_VALUE"""),-0.432547023028285)</f>
        <v>-0.43254702302828502</v>
      </c>
      <c r="JU71" s="3">
        <f ca="1">IFERROR(__xludf.DUMMYFUNCTION("""COMPUTED_VALUE"""),-0.471716142982255)</f>
        <v>-0.471716142982255</v>
      </c>
      <c r="JV71" s="3">
        <f ca="1">IFERROR(__xludf.DUMMYFUNCTION("""COMPUTED_VALUE"""),-0.427075685538126)</f>
        <v>-0.42707568553812603</v>
      </c>
      <c r="JW71" s="3">
        <f ca="1">IFERROR(__xludf.DUMMYFUNCTION("""COMPUTED_VALUE"""),-0.337044510591199)</f>
        <v>-0.337044510591199</v>
      </c>
      <c r="JX71" s="3">
        <f ca="1">IFERROR(__xludf.DUMMYFUNCTION("""COMPUTED_VALUE"""),-0.364498341394775)</f>
        <v>-0.36449834139477499</v>
      </c>
      <c r="JY71" s="3">
        <f ca="1">IFERROR(__xludf.DUMMYFUNCTION("""COMPUTED_VALUE"""),-0.355992038339324)</f>
        <v>-0.35599203833932402</v>
      </c>
      <c r="JZ71" s="3">
        <f ca="1">IFERROR(__xludf.DUMMYFUNCTION("""COMPUTED_VALUE"""),-0.437424324847039)</f>
        <v>-0.43742432484703903</v>
      </c>
      <c r="KA71" s="3">
        <f ca="1">IFERROR(__xludf.DUMMYFUNCTION("""COMPUTED_VALUE"""),-0.446886294468412)</f>
        <v>-0.44688629446841199</v>
      </c>
      <c r="KB71" s="3">
        <f ca="1">IFERROR(__xludf.DUMMYFUNCTION("""COMPUTED_VALUE"""),-0.551073593178437)</f>
        <v>-0.55107359317843696</v>
      </c>
      <c r="KC71" s="3">
        <f ca="1">IFERROR(__xludf.DUMMYFUNCTION("""COMPUTED_VALUE"""),-0.427693795949318)</f>
        <v>-0.427693795949318</v>
      </c>
      <c r="KD71" s="3">
        <f ca="1">IFERROR(__xludf.DUMMYFUNCTION("""COMPUTED_VALUE"""),-0.343556953266336)</f>
        <v>-0.34355695326633601</v>
      </c>
      <c r="KE71" s="3">
        <f ca="1">IFERROR(__xludf.DUMMYFUNCTION("""COMPUTED_VALUE"""),-0.44292647069289)</f>
        <v>-0.44292647069288998</v>
      </c>
      <c r="KF71" s="3">
        <f ca="1">IFERROR(__xludf.DUMMYFUNCTION("""COMPUTED_VALUE"""),-0.451577691036749)</f>
        <v>-0.451577691036749</v>
      </c>
      <c r="KG71" s="3">
        <f ca="1">IFERROR(__xludf.DUMMYFUNCTION("""COMPUTED_VALUE"""),-0.486745335749944)</f>
        <v>-0.486745335749944</v>
      </c>
      <c r="KH71" s="3">
        <f ca="1">IFERROR(__xludf.DUMMYFUNCTION("""COMPUTED_VALUE"""),-0.515547439665059)</f>
        <v>-0.515547439665059</v>
      </c>
      <c r="KI71" s="3">
        <f ca="1">IFERROR(__xludf.DUMMYFUNCTION("""COMPUTED_VALUE"""),-0.651217449687783)</f>
        <v>-0.65121744968778295</v>
      </c>
      <c r="KJ71" s="3">
        <f ca="1">IFERROR(__xludf.DUMMYFUNCTION("""COMPUTED_VALUE"""),-0.512214869572066)</f>
        <v>-0.51221486957206597</v>
      </c>
      <c r="KK71" s="3">
        <f ca="1">IFERROR(__xludf.DUMMYFUNCTION("""COMPUTED_VALUE"""),-0.403036015170549)</f>
        <v>-0.40303601517054899</v>
      </c>
      <c r="KL71" s="3">
        <f ca="1">IFERROR(__xludf.DUMMYFUNCTION("""COMPUTED_VALUE"""),-0.514745412355406)</f>
        <v>-0.51474541235540605</v>
      </c>
      <c r="KM71" s="3">
        <f ca="1">IFERROR(__xludf.DUMMYFUNCTION("""COMPUTED_VALUE"""),-0.489555402286894)</f>
        <v>-0.48955540228689398</v>
      </c>
      <c r="KN71" s="3">
        <f ca="1">IFERROR(__xludf.DUMMYFUNCTION("""COMPUTED_VALUE"""),-0.599233099694467)</f>
        <v>-0.59923309969446703</v>
      </c>
      <c r="KO71" s="3">
        <f ca="1">IFERROR(__xludf.DUMMYFUNCTION("""COMPUTED_VALUE"""),-0.612713097887635)</f>
        <v>-0.61271309788763495</v>
      </c>
      <c r="KP71" s="3">
        <f ca="1">IFERROR(__xludf.DUMMYFUNCTION("""COMPUTED_VALUE"""),-0.618216994588367)</f>
        <v>-0.61821699458836699</v>
      </c>
      <c r="KQ71" s="3">
        <f ca="1">IFERROR(__xludf.DUMMYFUNCTION("""COMPUTED_VALUE"""),-0.610848304496144)</f>
        <v>-0.61084830449614402</v>
      </c>
      <c r="KR71" s="3">
        <f ca="1">IFERROR(__xludf.DUMMYFUNCTION("""COMPUTED_VALUE"""),-0.574866038660589)</f>
        <v>-0.57486603866058905</v>
      </c>
      <c r="KS71" s="3">
        <f ca="1">IFERROR(__xludf.DUMMYFUNCTION("""COMPUTED_VALUE"""),-0.570104380512301)</f>
        <v>-0.57010438051230095</v>
      </c>
      <c r="KT71" s="3">
        <f ca="1">IFERROR(__xludf.DUMMYFUNCTION("""COMPUTED_VALUE"""),-0.637882584302003)</f>
        <v>-0.63788258430200295</v>
      </c>
      <c r="KU71" s="3">
        <f ca="1">IFERROR(__xludf.DUMMYFUNCTION("""COMPUTED_VALUE"""),-0.688599738258209)</f>
        <v>-0.68859973825820897</v>
      </c>
      <c r="KV71" s="3">
        <f ca="1">IFERROR(__xludf.DUMMYFUNCTION("""COMPUTED_VALUE"""),-0.71286476431118)</f>
        <v>-0.71286476431117995</v>
      </c>
      <c r="KW71" s="3">
        <f ca="1">IFERROR(__xludf.DUMMYFUNCTION("""COMPUTED_VALUE"""),-0.699574324907256)</f>
        <v>-0.69957432490725602</v>
      </c>
      <c r="KX71" s="3">
        <f ca="1">IFERROR(__xludf.DUMMYFUNCTION("""COMPUTED_VALUE"""),-0.677070873385238)</f>
        <v>-0.67707087338523797</v>
      </c>
      <c r="KY71" s="3">
        <f ca="1">IFERROR(__xludf.DUMMYFUNCTION("""COMPUTED_VALUE"""),-0.673588723962373)</f>
        <v>-0.67358872396237301</v>
      </c>
      <c r="KZ71" s="3">
        <f ca="1">IFERROR(__xludf.DUMMYFUNCTION("""COMPUTED_VALUE"""),-0.529617698855337)</f>
        <v>-0.52961769885533705</v>
      </c>
      <c r="LA71" s="3">
        <f ca="1">IFERROR(__xludf.DUMMYFUNCTION("""COMPUTED_VALUE"""),-0.677512737824904)</f>
        <v>-0.67751273782490395</v>
      </c>
      <c r="LB71" s="3">
        <f ca="1">IFERROR(__xludf.DUMMYFUNCTION("""COMPUTED_VALUE"""),-0.701221672656993)</f>
        <v>-0.70122167265699298</v>
      </c>
      <c r="LC71" s="3">
        <f ca="1">IFERROR(__xludf.DUMMYFUNCTION("""COMPUTED_VALUE"""),-0.707879519056459)</f>
        <v>-0.70787951905645896</v>
      </c>
      <c r="LD71" s="3">
        <f ca="1">IFERROR(__xludf.DUMMYFUNCTION("""COMPUTED_VALUE"""),-0.742912342506064)</f>
        <v>-0.74291234250606397</v>
      </c>
      <c r="LE71" s="3">
        <f ca="1">IFERROR(__xludf.DUMMYFUNCTION("""COMPUTED_VALUE"""),-0.715189114360876)</f>
        <v>-0.71518911436087595</v>
      </c>
      <c r="LF71" s="3">
        <f ca="1">IFERROR(__xludf.DUMMYFUNCTION("""COMPUTED_VALUE"""),-0.707630407191018)</f>
        <v>-0.707630407191018</v>
      </c>
      <c r="LG71" s="3">
        <f ca="1">IFERROR(__xludf.DUMMYFUNCTION("""COMPUTED_VALUE"""),-0.674368533659671)</f>
        <v>-0.67436853365967098</v>
      </c>
      <c r="LH71" s="3">
        <f ca="1">IFERROR(__xludf.DUMMYFUNCTION("""COMPUTED_VALUE"""),-0.722744305679781)</f>
        <v>-0.72274430567978099</v>
      </c>
      <c r="LI71" s="3">
        <f ca="1">IFERROR(__xludf.DUMMYFUNCTION("""COMPUTED_VALUE"""),-0.774347371082689)</f>
        <v>-0.77434737108268903</v>
      </c>
      <c r="LJ71" s="3">
        <f ca="1">IFERROR(__xludf.DUMMYFUNCTION("""COMPUTED_VALUE"""),-0.766528391717642)</f>
        <v>-0.76652839171764198</v>
      </c>
      <c r="LK71" s="3">
        <f ca="1">IFERROR(__xludf.DUMMYFUNCTION("""COMPUTED_VALUE"""),-0.72962207185909)</f>
        <v>-0.72962207185909</v>
      </c>
      <c r="LL71" s="3">
        <f ca="1">IFERROR(__xludf.DUMMYFUNCTION("""COMPUTED_VALUE"""),-0.733478070996389)</f>
        <v>-0.73347807099638895</v>
      </c>
      <c r="LM71" s="3">
        <f ca="1">IFERROR(__xludf.DUMMYFUNCTION("""COMPUTED_VALUE"""),-0.716215681815282)</f>
        <v>-0.71621568181528195</v>
      </c>
      <c r="LN71" s="3">
        <f ca="1">IFERROR(__xludf.DUMMYFUNCTION("""COMPUTED_VALUE"""),-0.72558317392026)</f>
        <v>-0.72558317392025995</v>
      </c>
      <c r="LO71" s="3">
        <f ca="1">IFERROR(__xludf.DUMMYFUNCTION("""COMPUTED_VALUE"""),-0.761077244167226)</f>
        <v>-0.761077244167226</v>
      </c>
      <c r="LP71" s="3">
        <f ca="1">IFERROR(__xludf.DUMMYFUNCTION("""COMPUTED_VALUE"""),-0.790404107456191)</f>
        <v>-0.79040410745619105</v>
      </c>
      <c r="LQ71" s="3">
        <f ca="1">IFERROR(__xludf.DUMMYFUNCTION("""COMPUTED_VALUE"""),-0.815779437046675)</f>
        <v>-0.81577943704667499</v>
      </c>
      <c r="LR71" s="3">
        <f ca="1">IFERROR(__xludf.DUMMYFUNCTION("""COMPUTED_VALUE"""),-0.787954506846605)</f>
        <v>-0.78795450684660495</v>
      </c>
      <c r="LS71" s="3">
        <f ca="1">IFERROR(__xludf.DUMMYFUNCTION("""COMPUTED_VALUE"""),-0.808158202538769)</f>
        <v>-0.80815820253876902</v>
      </c>
      <c r="LT71" s="3">
        <f ca="1">IFERROR(__xludf.DUMMYFUNCTION("""COMPUTED_VALUE"""),-0.807861099603978)</f>
        <v>-0.80786109960397801</v>
      </c>
      <c r="LU71" s="3">
        <f ca="1">IFERROR(__xludf.DUMMYFUNCTION("""COMPUTED_VALUE"""),-0.797855851797535)</f>
        <v>-0.79785585179753504</v>
      </c>
      <c r="LV71" s="3">
        <f ca="1">IFERROR(__xludf.DUMMYFUNCTION("""COMPUTED_VALUE"""),-0.792290847580112)</f>
        <v>-0.79229084758011203</v>
      </c>
      <c r="LW71" s="3">
        <f ca="1">IFERROR(__xludf.DUMMYFUNCTION("""COMPUTED_VALUE"""),-0.859755489779183)</f>
        <v>-0.85975548977918304</v>
      </c>
      <c r="LX71" s="3">
        <f ca="1">IFERROR(__xludf.DUMMYFUNCTION("""COMPUTED_VALUE"""),-0.838496139021165)</f>
        <v>-0.83849613902116504</v>
      </c>
      <c r="LY71" s="3">
        <f ca="1">IFERROR(__xludf.DUMMYFUNCTION("""COMPUTED_VALUE"""),-0.828947665809681)</f>
        <v>-0.82894766580968104</v>
      </c>
      <c r="LZ71" s="3">
        <f ca="1">IFERROR(__xludf.DUMMYFUNCTION("""COMPUTED_VALUE"""),-0.835090433192145)</f>
        <v>-0.83509043319214504</v>
      </c>
      <c r="MA71" s="3">
        <f ca="1">IFERROR(__xludf.DUMMYFUNCTION("""COMPUTED_VALUE"""),-0.816386561166057)</f>
        <v>-0.81638656116605701</v>
      </c>
      <c r="MB71" s="3">
        <f ca="1">IFERROR(__xludf.DUMMYFUNCTION("""COMPUTED_VALUE"""),-0.825062626690616)</f>
        <v>-0.82506262669061603</v>
      </c>
      <c r="MC71" s="3">
        <f ca="1">IFERROR(__xludf.DUMMYFUNCTION("""COMPUTED_VALUE"""),-0.818818011898607)</f>
        <v>-0.81881801189860703</v>
      </c>
      <c r="MD71" s="3">
        <f ca="1">IFERROR(__xludf.DUMMYFUNCTION("""COMPUTED_VALUE"""),-0.858578176728079)</f>
        <v>-0.85857817672807901</v>
      </c>
      <c r="ME71" s="3">
        <f ca="1">IFERROR(__xludf.DUMMYFUNCTION("""COMPUTED_VALUE"""),-0.8509588771206)</f>
        <v>-0.85095887712060003</v>
      </c>
      <c r="MF71" s="3">
        <f ca="1">IFERROR(__xludf.DUMMYFUNCTION("""COMPUTED_VALUE"""),-0.837149125802125)</f>
        <v>-0.83714912580212497</v>
      </c>
      <c r="MG71" s="3">
        <f ca="1">IFERROR(__xludf.DUMMYFUNCTION("""COMPUTED_VALUE"""),-0.848772275456399)</f>
        <v>-0.84877227545639899</v>
      </c>
      <c r="MH71" s="3">
        <f ca="1">IFERROR(__xludf.DUMMYFUNCTION("""COMPUTED_VALUE"""),-0.837480853888769)</f>
        <v>-0.83748085388876903</v>
      </c>
      <c r="MI71" s="3">
        <f ca="1">IFERROR(__xludf.DUMMYFUNCTION("""COMPUTED_VALUE"""),-0.826850484748684)</f>
        <v>-0.82685048474868394</v>
      </c>
      <c r="MJ71" s="3">
        <f ca="1">IFERROR(__xludf.DUMMYFUNCTION("""COMPUTED_VALUE"""),-0.815025629418122)</f>
        <v>-0.81502562941812196</v>
      </c>
      <c r="MK71" s="3">
        <f ca="1">IFERROR(__xludf.DUMMYFUNCTION("""COMPUTED_VALUE"""),-0.860934043942917)</f>
        <v>-0.86093404394291695</v>
      </c>
      <c r="ML71" s="3">
        <f ca="1">IFERROR(__xludf.DUMMYFUNCTION("""COMPUTED_VALUE"""),-0.886554662127763)</f>
        <v>-0.88655466212776302</v>
      </c>
      <c r="MM71" s="3">
        <f ca="1">IFERROR(__xludf.DUMMYFUNCTION("""COMPUTED_VALUE"""),-0.863429701842283)</f>
        <v>-0.86342970184228296</v>
      </c>
      <c r="MN71" s="3">
        <f ca="1">IFERROR(__xludf.DUMMYFUNCTION("""COMPUTED_VALUE"""),-0.863982583525046)</f>
        <v>-0.86398258352504598</v>
      </c>
      <c r="MO71" s="3">
        <f ca="1">IFERROR(__xludf.DUMMYFUNCTION("""COMPUTED_VALUE"""),-0.854999461518495)</f>
        <v>-0.85499946151849504</v>
      </c>
      <c r="MP71" s="3">
        <f ca="1">IFERROR(__xludf.DUMMYFUNCTION("""COMPUTED_VALUE"""),-0.860189653409014)</f>
        <v>-0.86018965340901399</v>
      </c>
      <c r="MQ71" s="3">
        <f ca="1">IFERROR(__xludf.DUMMYFUNCTION("""COMPUTED_VALUE"""),-0.843709114944804)</f>
        <v>-0.84370911494480405</v>
      </c>
      <c r="MR71" s="3">
        <f ca="1">IFERROR(__xludf.DUMMYFUNCTION("""COMPUTED_VALUE"""),-0.883188271441942)</f>
        <v>-0.88318827144194201</v>
      </c>
      <c r="MS71" s="3">
        <f ca="1">IFERROR(__xludf.DUMMYFUNCTION("""COMPUTED_VALUE"""),-0.887462696749242)</f>
        <v>-0.88746269674924205</v>
      </c>
      <c r="MT71" s="3">
        <f ca="1">IFERROR(__xludf.DUMMYFUNCTION("""COMPUTED_VALUE"""),-0.887867882794045)</f>
        <v>-0.88786788279404505</v>
      </c>
      <c r="MU71" s="3">
        <f ca="1">IFERROR(__xludf.DUMMYFUNCTION("""COMPUTED_VALUE"""),-0.882272658312272)</f>
        <v>-0.88227265831227197</v>
      </c>
      <c r="MV71" s="3">
        <f ca="1">IFERROR(__xludf.DUMMYFUNCTION("""COMPUTED_VALUE"""),-0.852090718622252)</f>
        <v>-0.85209071862225205</v>
      </c>
      <c r="MW71" s="3">
        <f ca="1">IFERROR(__xludf.DUMMYFUNCTION("""COMPUTED_VALUE"""),-0.868605807718808)</f>
        <v>-0.86860580771880802</v>
      </c>
      <c r="MX71" s="3">
        <f ca="1">IFERROR(__xludf.DUMMYFUNCTION("""COMPUTED_VALUE"""),-0.851057129152825)</f>
        <v>-0.85105712915282505</v>
      </c>
      <c r="MY71" s="3">
        <f ca="1">IFERROR(__xludf.DUMMYFUNCTION("""COMPUTED_VALUE"""),-0.884853422340199)</f>
        <v>-0.88485342234019904</v>
      </c>
      <c r="MZ71" s="3">
        <f ca="1">IFERROR(__xludf.DUMMYFUNCTION("""COMPUTED_VALUE"""),-0.892204523465563)</f>
        <v>-0.892204523465563</v>
      </c>
      <c r="NA71" s="3">
        <f ca="1">IFERROR(__xludf.DUMMYFUNCTION("""COMPUTED_VALUE"""),-0.891199327737499)</f>
        <v>-0.89119932773749899</v>
      </c>
      <c r="NB71" s="3">
        <f ca="1">IFERROR(__xludf.DUMMYFUNCTION("""COMPUTED_VALUE"""),-0.890916590763528)</f>
        <v>-0.89091659076352803</v>
      </c>
      <c r="NC71" s="3">
        <f ca="1">IFERROR(__xludf.DUMMYFUNCTION("""COMPUTED_VALUE"""),-0.888291161883173)</f>
        <v>-0.88829116188317303</v>
      </c>
      <c r="ND71" s="3">
        <f ca="1">IFERROR(__xludf.DUMMYFUNCTION("""COMPUTED_VALUE"""),-0.859987623326383)</f>
        <v>-0.85998762332638301</v>
      </c>
      <c r="NE71" s="3">
        <f ca="1">IFERROR(__xludf.DUMMYFUNCTION("""COMPUTED_VALUE"""),-0.862848379278313)</f>
        <v>-0.86284837927831304</v>
      </c>
      <c r="NF71" s="3">
        <f ca="1">IFERROR(__xludf.DUMMYFUNCTION("""COMPUTED_VALUE"""),-0.894853644828188)</f>
        <v>-0.89485364482818797</v>
      </c>
      <c r="NG71" s="3">
        <f ca="1">IFERROR(__xludf.DUMMYFUNCTION("""COMPUTED_VALUE"""),-0.892907776107643)</f>
        <v>-0.89290777610764305</v>
      </c>
      <c r="NH71" s="3">
        <f ca="1">IFERROR(__xludf.DUMMYFUNCTION("""COMPUTED_VALUE"""),-0.885412340995188)</f>
        <v>-0.88541234099518795</v>
      </c>
      <c r="NI71" s="3">
        <f ca="1">IFERROR(__xludf.DUMMYFUNCTION("""COMPUTED_VALUE"""),-0.886766601384248)</f>
        <v>-0.88676660138424801</v>
      </c>
      <c r="NJ71" s="3">
        <f ca="1">IFERROR(__xludf.DUMMYFUNCTION("""COMPUTED_VALUE"""),-0.876263913387483)</f>
        <v>-0.876263913387483</v>
      </c>
      <c r="NK71" s="3">
        <f ca="1">IFERROR(__xludf.DUMMYFUNCTION("""COMPUTED_VALUE"""),-0.864657860037079)</f>
        <v>-0.86465786003707901</v>
      </c>
      <c r="NL71" s="3">
        <f ca="1">IFERROR(__xludf.DUMMYFUNCTION("""COMPUTED_VALUE"""),-0.857086248753455)</f>
        <v>-0.85708624875345496</v>
      </c>
      <c r="NM71" s="3">
        <f ca="1">IFERROR(__xludf.DUMMYFUNCTION("""COMPUTED_VALUE"""),-0.884337518686209)</f>
        <v>-0.88433751868620902</v>
      </c>
      <c r="NN71" s="3">
        <f ca="1">IFERROR(__xludf.DUMMYFUNCTION("""COMPUTED_VALUE"""),-0.882613874936673)</f>
        <v>-0.88261387493667298</v>
      </c>
      <c r="NO71" s="3">
        <f ca="1">IFERROR(__xludf.DUMMYFUNCTION("""COMPUTED_VALUE"""),-0.854064914784255)</f>
        <v>-0.85406491478425495</v>
      </c>
      <c r="NP71" s="3">
        <f ca="1">IFERROR(__xludf.DUMMYFUNCTION("""COMPUTED_VALUE"""),-0.854525976877831)</f>
        <v>-0.85452597687783105</v>
      </c>
      <c r="NQ71" s="3">
        <f ca="1">IFERROR(__xludf.DUMMYFUNCTION("""COMPUTED_VALUE"""),-0.812132577263003)</f>
        <v>-0.81213257726300303</v>
      </c>
      <c r="NR71" s="3">
        <f ca="1">IFERROR(__xludf.DUMMYFUNCTION("""COMPUTED_VALUE"""),-0.828532008004588)</f>
        <v>-0.82853200800458804</v>
      </c>
      <c r="NS71" s="3">
        <f ca="1">IFERROR(__xludf.DUMMYFUNCTION("""COMPUTED_VALUE"""),-0.844570937450373)</f>
        <v>-0.84457093745037304</v>
      </c>
      <c r="NT71" s="3">
        <f ca="1">IFERROR(__xludf.DUMMYFUNCTION("""COMPUTED_VALUE"""),-0.891221389503038)</f>
        <v>-0.89122138950303798</v>
      </c>
      <c r="NU71" s="3">
        <f ca="1">IFERROR(__xludf.DUMMYFUNCTION("""COMPUTED_VALUE"""),-0.878987432752682)</f>
        <v>-0.87898743275268199</v>
      </c>
      <c r="NV71" s="3">
        <f ca="1">IFERROR(__xludf.DUMMYFUNCTION("""COMPUTED_VALUE"""),-0.871571645760113)</f>
        <v>-0.87157164576011303</v>
      </c>
      <c r="NW71" s="3">
        <f ca="1">IFERROR(__xludf.DUMMYFUNCTION("""COMPUTED_VALUE"""),-0.8296087231083)</f>
        <v>-0.82960872310830003</v>
      </c>
      <c r="NX71" s="3">
        <f ca="1">IFERROR(__xludf.DUMMYFUNCTION("""COMPUTED_VALUE"""),-0.827528831353203)</f>
        <v>-0.82752883135320299</v>
      </c>
      <c r="NY71" s="3">
        <f ca="1">IFERROR(__xludf.DUMMYFUNCTION("""COMPUTED_VALUE"""),-0.754251426953252)</f>
        <v>-0.75425142695325198</v>
      </c>
      <c r="NZ71" s="3">
        <f ca="1">IFERROR(__xludf.DUMMYFUNCTION("""COMPUTED_VALUE"""),-0.750531948022511)</f>
        <v>-0.750531948022511</v>
      </c>
      <c r="OA71" s="3">
        <f ca="1">IFERROR(__xludf.DUMMYFUNCTION("""COMPUTED_VALUE"""),-0.794855034489676)</f>
        <v>-0.79485503448967598</v>
      </c>
      <c r="OB71" s="3">
        <f ca="1">IFERROR(__xludf.DUMMYFUNCTION("""COMPUTED_VALUE"""),-0.745483246369809)</f>
        <v>-0.74548324636980901</v>
      </c>
      <c r="OC71" s="3">
        <f ca="1">IFERROR(__xludf.DUMMYFUNCTION("""COMPUTED_VALUE"""),-0.725003153139681)</f>
        <v>-0.725003153139681</v>
      </c>
      <c r="OD71" s="3">
        <f ca="1">IFERROR(__xludf.DUMMYFUNCTION("""COMPUTED_VALUE"""),-0.676617909822881)</f>
        <v>-0.67661790982288095</v>
      </c>
      <c r="OE71" s="3">
        <f ca="1">IFERROR(__xludf.DUMMYFUNCTION("""COMPUTED_VALUE"""),-0.588605086369516)</f>
        <v>-0.58860508636951603</v>
      </c>
      <c r="OF71" s="3">
        <f ca="1">IFERROR(__xludf.DUMMYFUNCTION("""COMPUTED_VALUE"""),-0.36739089816377)</f>
        <v>-0.36739089816377002</v>
      </c>
      <c r="OG71" s="3">
        <f ca="1">IFERROR(__xludf.DUMMYFUNCTION("""COMPUTED_VALUE"""),-0.362254634242328)</f>
        <v>-0.36225463424232801</v>
      </c>
      <c r="OH71" s="3">
        <f ca="1">IFERROR(__xludf.DUMMYFUNCTION("""COMPUTED_VALUE"""),-0.326720798982605)</f>
        <v>-0.32672079898260498</v>
      </c>
      <c r="OI71" s="3">
        <f ca="1">IFERROR(__xludf.DUMMYFUNCTION("""COMPUTED_VALUE"""),-0.075931558253303)</f>
        <v>-7.5931558253303E-2</v>
      </c>
      <c r="OJ71" s="3">
        <f ca="1">IFERROR(__xludf.DUMMYFUNCTION("""COMPUTED_VALUE"""),-0.0202667079469631)</f>
        <v>-2.02667079469631E-2</v>
      </c>
      <c r="OK71" s="3">
        <f ca="1">IFERROR(__xludf.DUMMYFUNCTION("""COMPUTED_VALUE"""),0.0208062025922497)</f>
        <v>2.08062025922497E-2</v>
      </c>
      <c r="OL71" s="3">
        <f ca="1">IFERROR(__xludf.DUMMYFUNCTION("""COMPUTED_VALUE"""),0.0112165349713593)</f>
        <v>1.1216534971359301E-2</v>
      </c>
      <c r="OM71" s="3">
        <f ca="1">IFERROR(__xludf.DUMMYFUNCTION("""COMPUTED_VALUE"""),-0.0398417754389606)</f>
        <v>-3.98417754389606E-2</v>
      </c>
      <c r="ON71" s="3">
        <f ca="1">IFERROR(__xludf.DUMMYFUNCTION("""COMPUTED_VALUE"""),0.0274477324156843)</f>
        <v>2.7447732415684298E-2</v>
      </c>
      <c r="OO71" s="3">
        <f ca="1">IFERROR(__xludf.DUMMYFUNCTION("""COMPUTED_VALUE"""),-0.024153211082918)</f>
        <v>-2.4153211082918E-2</v>
      </c>
      <c r="OP71" s="3">
        <f ca="1">IFERROR(__xludf.DUMMYFUNCTION("""COMPUTED_VALUE"""),-0.0436957219105433)</f>
        <v>-4.36957219105433E-2</v>
      </c>
      <c r="OQ71" s="3">
        <f ca="1">IFERROR(__xludf.DUMMYFUNCTION("""COMPUTED_VALUE"""),-0.0286097207255234)</f>
        <v>-2.86097207255234E-2</v>
      </c>
      <c r="OR71" s="3">
        <f ca="1">IFERROR(__xludf.DUMMYFUNCTION("""COMPUTED_VALUE"""),0.0180378258280622)</f>
        <v>1.8037825828062199E-2</v>
      </c>
      <c r="OS71" s="3">
        <f ca="1">IFERROR(__xludf.DUMMYFUNCTION("""COMPUTED_VALUE"""),-0.0163640500656081)</f>
        <v>-1.63640500656081E-2</v>
      </c>
      <c r="OT71" s="3">
        <f ca="1">IFERROR(__xludf.DUMMYFUNCTION("""COMPUTED_VALUE"""),0.0699030429908071)</f>
        <v>6.9903042990807102E-2</v>
      </c>
      <c r="OU71" s="3">
        <f ca="1">IFERROR(__xludf.DUMMYFUNCTION("""COMPUTED_VALUE"""),0.0415848225900827)</f>
        <v>4.1584822590082698E-2</v>
      </c>
      <c r="OV71" s="3">
        <f ca="1">IFERROR(__xludf.DUMMYFUNCTION("""COMPUTED_VALUE"""),0.0616508426869002)</f>
        <v>6.1650842686900201E-2</v>
      </c>
      <c r="OW71" s="3">
        <f ca="1">IFERROR(__xludf.DUMMYFUNCTION("""COMPUTED_VALUE"""),-0.0438349561796576)</f>
        <v>-4.3834956179657603E-2</v>
      </c>
      <c r="OX71" s="3">
        <f ca="1">IFERROR(__xludf.DUMMYFUNCTION("""COMPUTED_VALUE"""),-0.000862344957589855)</f>
        <v>-8.6234495758985498E-4</v>
      </c>
      <c r="OY71" s="3">
        <f ca="1">IFERROR(__xludf.DUMMYFUNCTION("""COMPUTED_VALUE"""),0.0120702137150499)</f>
        <v>1.2070213715049899E-2</v>
      </c>
      <c r="OZ71" s="3">
        <f ca="1">IFERROR(__xludf.DUMMYFUNCTION("""COMPUTED_VALUE"""),0.0116903561032444)</f>
        <v>1.16903561032444E-2</v>
      </c>
      <c r="PA71" s="3">
        <f ca="1">IFERROR(__xludf.DUMMYFUNCTION("""COMPUTED_VALUE"""),-0.0114700479930407)</f>
        <v>-1.1470047993040701E-2</v>
      </c>
      <c r="PB71" s="3">
        <f ca="1">IFERROR(__xludf.DUMMYFUNCTION("""COMPUTED_VALUE"""),0.018935279724787)</f>
        <v>1.8935279724787001E-2</v>
      </c>
      <c r="PC71" s="3">
        <f ca="1">IFERROR(__xludf.DUMMYFUNCTION("""COMPUTED_VALUE"""),-0.0330820165523249)</f>
        <v>-3.30820165523249E-2</v>
      </c>
      <c r="PD71" s="3">
        <f ca="1">IFERROR(__xludf.DUMMYFUNCTION("""COMPUTED_VALUE"""),-0.0899731762119475)</f>
        <v>-8.9973176211947503E-2</v>
      </c>
      <c r="PE71" s="3">
        <f ca="1">IFERROR(__xludf.DUMMYFUNCTION("""COMPUTED_VALUE"""),0.125017916443936)</f>
        <v>0.12501791644393601</v>
      </c>
      <c r="PF71" s="3">
        <f ca="1">IFERROR(__xludf.DUMMYFUNCTION("""COMPUTED_VALUE"""),0.0205727834905606)</f>
        <v>2.05727834905606E-2</v>
      </c>
      <c r="PG71" s="3">
        <f ca="1">IFERROR(__xludf.DUMMYFUNCTION("""COMPUTED_VALUE"""),0.0605454412180443)</f>
        <v>6.0545441218044303E-2</v>
      </c>
      <c r="PH71" s="3">
        <f ca="1">IFERROR(__xludf.DUMMYFUNCTION("""COMPUTED_VALUE"""),0.118828765306686)</f>
        <v>0.118828765306686</v>
      </c>
      <c r="PI71" s="3">
        <f ca="1">IFERROR(__xludf.DUMMYFUNCTION("""COMPUTED_VALUE"""),0.0434662931897038)</f>
        <v>4.3466293189703797E-2</v>
      </c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</row>
    <row r="72" spans="1:477" ht="13">
      <c r="A72" s="1" t="str">
        <f ca="1">IFERROR(__xludf.DUMMYFUNCTION("""COMPUTED_VALUE"""),"exo Vallée-du-Richelieu")</f>
        <v>exo Vallée-du-Richelieu</v>
      </c>
      <c r="B72" s="1" t="str">
        <f ca="1">IFERROR(__xludf.DUMMYFUNCTION("""COMPUTED_VALUE"""),"Montréal")</f>
        <v>Montréal</v>
      </c>
      <c r="C72" s="1" t="str">
        <f ca="1">IFERROR(__xludf.DUMMYFUNCTION("""COMPUTED_VALUE"""),"Canada")</f>
        <v>Canada</v>
      </c>
      <c r="D72" s="1" t="str">
        <f ca="1">IFERROR(__xludf.DUMMYFUNCTION("""COMPUTED_VALUE"""),"Quebec")</f>
        <v>Quebec</v>
      </c>
      <c r="E72" s="3">
        <f ca="1">IFERROR(__xludf.DUMMYFUNCTION("""COMPUTED_VALUE"""),-0.540700164928529)</f>
        <v>-0.54070016492852901</v>
      </c>
      <c r="F72" s="3">
        <f ca="1">IFERROR(__xludf.DUMMYFUNCTION("""COMPUTED_VALUE"""),-0.620591366638705)</f>
        <v>-0.62059136663870496</v>
      </c>
      <c r="G72" s="3">
        <f ca="1">IFERROR(__xludf.DUMMYFUNCTION("""COMPUTED_VALUE"""),-0.65456851192371)</f>
        <v>-0.65456851192371002</v>
      </c>
      <c r="H72" s="3">
        <f ca="1">IFERROR(__xludf.DUMMYFUNCTION("""COMPUTED_VALUE"""),-0.631949199343357)</f>
        <v>-0.63194919934335703</v>
      </c>
      <c r="I72" s="3">
        <f ca="1">IFERROR(__xludf.DUMMYFUNCTION("""COMPUTED_VALUE"""),-0.641732491585494)</f>
        <v>-0.64173249158549395</v>
      </c>
      <c r="J72" s="3">
        <f ca="1">IFERROR(__xludf.DUMMYFUNCTION("""COMPUTED_VALUE"""),-0.553193567920188)</f>
        <v>-0.55319356792018803</v>
      </c>
      <c r="K72" s="3">
        <f ca="1">IFERROR(__xludf.DUMMYFUNCTION("""COMPUTED_VALUE"""),-0.607809651632983)</f>
        <v>-0.60780965163298295</v>
      </c>
      <c r="L72" s="3">
        <f ca="1">IFERROR(__xludf.DUMMYFUNCTION("""COMPUTED_VALUE"""),-0.598532735151422)</f>
        <v>-0.59853273515142202</v>
      </c>
      <c r="M72" s="3">
        <f ca="1">IFERROR(__xludf.DUMMYFUNCTION("""COMPUTED_VALUE"""),-0.68294451474269)</f>
        <v>-0.68294451474269002</v>
      </c>
      <c r="N72" s="3">
        <f ca="1">IFERROR(__xludf.DUMMYFUNCTION("""COMPUTED_VALUE"""),-0.65891027059172)</f>
        <v>-0.65891027059172003</v>
      </c>
      <c r="O72" s="3">
        <f ca="1">IFERROR(__xludf.DUMMYFUNCTION("""COMPUTED_VALUE"""),-0.691021370550885)</f>
        <v>-0.69102137055088497</v>
      </c>
      <c r="P72" s="3">
        <f ca="1">IFERROR(__xludf.DUMMYFUNCTION("""COMPUTED_VALUE"""),-0.663504082460121)</f>
        <v>-0.66350408246012105</v>
      </c>
      <c r="Q72" s="3">
        <f ca="1">IFERROR(__xludf.DUMMYFUNCTION("""COMPUTED_VALUE"""),-0.633289927561237)</f>
        <v>-0.63328992756123703</v>
      </c>
      <c r="R72" s="3">
        <f ca="1">IFERROR(__xludf.DUMMYFUNCTION("""COMPUTED_VALUE"""),-0.559444973287168)</f>
        <v>-0.55944497328716802</v>
      </c>
      <c r="S72" s="3">
        <f ca="1">IFERROR(__xludf.DUMMYFUNCTION("""COMPUTED_VALUE"""),-0.581120342431379)</f>
        <v>-0.581120342431379</v>
      </c>
      <c r="T72" s="3">
        <f ca="1">IFERROR(__xludf.DUMMYFUNCTION("""COMPUTED_VALUE"""),-0.714637226189952)</f>
        <v>-0.71463722618995196</v>
      </c>
      <c r="U72" s="3">
        <f ca="1">IFERROR(__xludf.DUMMYFUNCTION("""COMPUTED_VALUE"""),-0.67810058253729)</f>
        <v>-0.67810058253729</v>
      </c>
      <c r="V72" s="3">
        <f ca="1">IFERROR(__xludf.DUMMYFUNCTION("""COMPUTED_VALUE"""),-0.654243871048863)</f>
        <v>-0.65424387104886295</v>
      </c>
      <c r="W72" s="3">
        <f ca="1">IFERROR(__xludf.DUMMYFUNCTION("""COMPUTED_VALUE"""),-0.641086663162273)</f>
        <v>-0.64108666316227303</v>
      </c>
      <c r="X72" s="3">
        <f ca="1">IFERROR(__xludf.DUMMYFUNCTION("""COMPUTED_VALUE"""),-0.640307188180223)</f>
        <v>-0.64030718818022303</v>
      </c>
      <c r="Y72" s="3">
        <f ca="1">IFERROR(__xludf.DUMMYFUNCTION("""COMPUTED_VALUE"""),-0.484468809103453)</f>
        <v>-0.48446880910345302</v>
      </c>
      <c r="Z72" s="3">
        <f ca="1">IFERROR(__xludf.DUMMYFUNCTION("""COMPUTED_VALUE"""),-0.535783017480519)</f>
        <v>-0.53578301748051904</v>
      </c>
      <c r="AA72" s="3">
        <f ca="1">IFERROR(__xludf.DUMMYFUNCTION("""COMPUTED_VALUE"""),-0.680770150466328)</f>
        <v>-0.68077015046632805</v>
      </c>
      <c r="AB72" s="3">
        <f ca="1">IFERROR(__xludf.DUMMYFUNCTION("""COMPUTED_VALUE"""),-0.689510603319337)</f>
        <v>-0.689510603319337</v>
      </c>
      <c r="AC72" s="3">
        <f ca="1">IFERROR(__xludf.DUMMYFUNCTION("""COMPUTED_VALUE"""),-0.694620301721865)</f>
        <v>-0.69462030172186495</v>
      </c>
      <c r="AD72" s="3">
        <f ca="1">IFERROR(__xludf.DUMMYFUNCTION("""COMPUTED_VALUE"""),-0.696576212567863)</f>
        <v>-0.69657621256786295</v>
      </c>
      <c r="AE72" s="3">
        <f ca="1">IFERROR(__xludf.DUMMYFUNCTION("""COMPUTED_VALUE"""),-0.642316046298182)</f>
        <v>-0.64231604629818195</v>
      </c>
      <c r="AF72" s="3">
        <f ca="1">IFERROR(__xludf.DUMMYFUNCTION("""COMPUTED_VALUE"""),-0.552918896087812)</f>
        <v>-0.55291889608781197</v>
      </c>
      <c r="AG72" s="3">
        <f ca="1">IFERROR(__xludf.DUMMYFUNCTION("""COMPUTED_VALUE"""),-0.612985130588188)</f>
        <v>-0.61298513058818804</v>
      </c>
      <c r="AH72" s="3">
        <f ca="1">IFERROR(__xludf.DUMMYFUNCTION("""COMPUTED_VALUE"""),-0.685987414674562)</f>
        <v>-0.68598741467456203</v>
      </c>
      <c r="AI72" s="3">
        <f ca="1">IFERROR(__xludf.DUMMYFUNCTION("""COMPUTED_VALUE"""),-0.707840695361356)</f>
        <v>-0.70784069536135596</v>
      </c>
      <c r="AJ72" s="3">
        <f ca="1">IFERROR(__xludf.DUMMYFUNCTION("""COMPUTED_VALUE"""),-0.70111236244564)</f>
        <v>-0.70111236244564001</v>
      </c>
      <c r="AK72" s="3">
        <f ca="1">IFERROR(__xludf.DUMMYFUNCTION("""COMPUTED_VALUE"""),-0.704773245829553)</f>
        <v>-0.70477324582955303</v>
      </c>
      <c r="AL72" s="3">
        <f ca="1">IFERROR(__xludf.DUMMYFUNCTION("""COMPUTED_VALUE"""),-0.62641497868009)</f>
        <v>-0.62641497868009</v>
      </c>
      <c r="AM72" s="3">
        <f ca="1">IFERROR(__xludf.DUMMYFUNCTION("""COMPUTED_VALUE"""),-0.560518814789967)</f>
        <v>-0.56051881478996701</v>
      </c>
      <c r="AN72" s="3">
        <f ca="1">IFERROR(__xludf.DUMMYFUNCTION("""COMPUTED_VALUE"""),-0.669001045730964)</f>
        <v>-0.66900104573096397</v>
      </c>
      <c r="AO72" s="3">
        <f ca="1">IFERROR(__xludf.DUMMYFUNCTION("""COMPUTED_VALUE"""),-0.73194578952426)</f>
        <v>-0.73194578952426004</v>
      </c>
      <c r="AP72" s="3">
        <f ca="1">IFERROR(__xludf.DUMMYFUNCTION("""COMPUTED_VALUE"""),-0.714057774968903)</f>
        <v>-0.71405777496890299</v>
      </c>
      <c r="AQ72" s="3">
        <f ca="1">IFERROR(__xludf.DUMMYFUNCTION("""COMPUTED_VALUE"""),-0.692921164900656)</f>
        <v>-0.69292116490065603</v>
      </c>
      <c r="AR72" s="3">
        <f ca="1">IFERROR(__xludf.DUMMYFUNCTION("""COMPUTED_VALUE"""),-0.697851633236538)</f>
        <v>-0.69785163323653798</v>
      </c>
      <c r="AS72" s="3">
        <f ca="1">IFERROR(__xludf.DUMMYFUNCTION("""COMPUTED_VALUE"""),-0.642088315277545)</f>
        <v>-0.64208831527754495</v>
      </c>
      <c r="AT72" s="3">
        <f ca="1">IFERROR(__xludf.DUMMYFUNCTION("""COMPUTED_VALUE"""),-0.530140704532916)</f>
        <v>-0.53014070453291595</v>
      </c>
      <c r="AU72" s="3">
        <f ca="1">IFERROR(__xludf.DUMMYFUNCTION("""COMPUTED_VALUE"""),-0.630361820782611)</f>
        <v>-0.63036182078261105</v>
      </c>
      <c r="AV72" s="3">
        <f ca="1">IFERROR(__xludf.DUMMYFUNCTION("""COMPUTED_VALUE"""),-0.717471161000244)</f>
        <v>-0.717471161000244</v>
      </c>
      <c r="AW72" s="3">
        <f ca="1">IFERROR(__xludf.DUMMYFUNCTION("""COMPUTED_VALUE"""),-0.752898601445976)</f>
        <v>-0.75289860144597598</v>
      </c>
      <c r="AX72" s="3">
        <f ca="1">IFERROR(__xludf.DUMMYFUNCTION("""COMPUTED_VALUE"""),-0.734278731750078)</f>
        <v>-0.73427873175007796</v>
      </c>
      <c r="AY72" s="3">
        <f ca="1">IFERROR(__xludf.DUMMYFUNCTION("""COMPUTED_VALUE"""),-0.733000015400564)</f>
        <v>-0.73300001540056403</v>
      </c>
      <c r="AZ72" s="3">
        <f ca="1">IFERROR(__xludf.DUMMYFUNCTION("""COMPUTED_VALUE"""),-0.67920569829335)</f>
        <v>-0.67920569829334998</v>
      </c>
      <c r="BA72" s="3">
        <f ca="1">IFERROR(__xludf.DUMMYFUNCTION("""COMPUTED_VALUE"""),-0.576722529808856)</f>
        <v>-0.57672252980885597</v>
      </c>
      <c r="BB72" s="3">
        <f ca="1">IFERROR(__xludf.DUMMYFUNCTION("""COMPUTED_VALUE"""),-0.650386684211752)</f>
        <v>-0.65038668421175205</v>
      </c>
      <c r="BC72" s="3">
        <f ca="1">IFERROR(__xludf.DUMMYFUNCTION("""COMPUTED_VALUE"""),-0.758652128647938)</f>
        <v>-0.75865212864793796</v>
      </c>
      <c r="BD72" s="3">
        <f ca="1">IFERROR(__xludf.DUMMYFUNCTION("""COMPUTED_VALUE"""),-0.761547757401481)</f>
        <v>-0.76154775740148095</v>
      </c>
      <c r="BE72" s="3">
        <f ca="1">IFERROR(__xludf.DUMMYFUNCTION("""COMPUTED_VALUE"""),-0.738362254902601)</f>
        <v>-0.73836225490260099</v>
      </c>
      <c r="BF72" s="3">
        <f ca="1">IFERROR(__xludf.DUMMYFUNCTION("""COMPUTED_VALUE"""),-0.776186171517456)</f>
        <v>-0.77618617151745595</v>
      </c>
      <c r="BG72" s="3">
        <f ca="1">IFERROR(__xludf.DUMMYFUNCTION("""COMPUTED_VALUE"""),-0.685423576280009)</f>
        <v>-0.68542357628000905</v>
      </c>
      <c r="BH72" s="3">
        <f ca="1">IFERROR(__xludf.DUMMYFUNCTION("""COMPUTED_VALUE"""),-0.579271403680979)</f>
        <v>-0.57927140368097896</v>
      </c>
      <c r="BI72" s="3">
        <f ca="1">IFERROR(__xludf.DUMMYFUNCTION("""COMPUTED_VALUE"""),-0.686958274917092)</f>
        <v>-0.68695827491709205</v>
      </c>
      <c r="BJ72" s="3">
        <f ca="1">IFERROR(__xludf.DUMMYFUNCTION("""COMPUTED_VALUE"""),-0.730281716621367)</f>
        <v>-0.73028171662136698</v>
      </c>
      <c r="BK72" s="3">
        <f ca="1">IFERROR(__xludf.DUMMYFUNCTION("""COMPUTED_VALUE"""),-0.745848145643703)</f>
        <v>-0.74584814564370305</v>
      </c>
      <c r="BL72" s="3">
        <f ca="1">IFERROR(__xludf.DUMMYFUNCTION("""COMPUTED_VALUE"""),-0.773031565127039)</f>
        <v>-0.77303156512703897</v>
      </c>
      <c r="BM72" s="3">
        <f ca="1">IFERROR(__xludf.DUMMYFUNCTION("""COMPUTED_VALUE"""),-0.766968396856591)</f>
        <v>-0.76696839685659102</v>
      </c>
      <c r="BN72" s="3">
        <f ca="1">IFERROR(__xludf.DUMMYFUNCTION("""COMPUTED_VALUE"""),-0.745296717871455)</f>
        <v>-0.74529671787145502</v>
      </c>
      <c r="BO72" s="3">
        <f ca="1">IFERROR(__xludf.DUMMYFUNCTION("""COMPUTED_VALUE"""),-0.687924057414025)</f>
        <v>-0.68792405741402496</v>
      </c>
      <c r="BP72" s="3">
        <f ca="1">IFERROR(__xludf.DUMMYFUNCTION("""COMPUTED_VALUE"""),-0.742779983284925)</f>
        <v>-0.74277998328492501</v>
      </c>
      <c r="BQ72" s="3">
        <f ca="1">IFERROR(__xludf.DUMMYFUNCTION("""COMPUTED_VALUE"""),-0.79436249309209)</f>
        <v>-0.79436249309208995</v>
      </c>
      <c r="BR72" s="3">
        <f ca="1">IFERROR(__xludf.DUMMYFUNCTION("""COMPUTED_VALUE"""),-0.788554624191225)</f>
        <v>-0.78855462419122502</v>
      </c>
      <c r="BS72" s="3">
        <f ca="1">IFERROR(__xludf.DUMMYFUNCTION("""COMPUTED_VALUE"""),-0.788861893737771)</f>
        <v>-0.78886189373777105</v>
      </c>
      <c r="BT72" s="3">
        <f ca="1">IFERROR(__xludf.DUMMYFUNCTION("""COMPUTED_VALUE"""),-0.789895135522996)</f>
        <v>-0.78989513552299595</v>
      </c>
      <c r="BU72" s="3">
        <f ca="1">IFERROR(__xludf.DUMMYFUNCTION("""COMPUTED_VALUE"""),-0.798418614717931)</f>
        <v>-0.79841861471793096</v>
      </c>
      <c r="BV72" s="3">
        <f ca="1">IFERROR(__xludf.DUMMYFUNCTION("""COMPUTED_VALUE"""),-0.75962859904089)</f>
        <v>-0.75962859904088997</v>
      </c>
      <c r="BW72" s="3">
        <f ca="1">IFERROR(__xludf.DUMMYFUNCTION("""COMPUTED_VALUE"""),-0.8109201459373)</f>
        <v>-0.8109201459373</v>
      </c>
      <c r="BX72" s="3">
        <f ca="1">IFERROR(__xludf.DUMMYFUNCTION("""COMPUTED_VALUE"""),-0.81065001241228)</f>
        <v>-0.81065001241227996</v>
      </c>
      <c r="BY72" s="3">
        <f ca="1">IFERROR(__xludf.DUMMYFUNCTION("""COMPUTED_VALUE"""),-0.796013436247965)</f>
        <v>-0.79601343624796495</v>
      </c>
      <c r="BZ72" s="3">
        <f ca="1">IFERROR(__xludf.DUMMYFUNCTION("""COMPUTED_VALUE"""),-0.805062289682324)</f>
        <v>-0.80506228968232396</v>
      </c>
      <c r="CA72" s="3">
        <f ca="1">IFERROR(__xludf.DUMMYFUNCTION("""COMPUTED_VALUE"""),-0.812184184090691)</f>
        <v>-0.81218418409069104</v>
      </c>
      <c r="CB72" s="3">
        <f ca="1">IFERROR(__xludf.DUMMYFUNCTION("""COMPUTED_VALUE"""),-0.789417182224495)</f>
        <v>-0.78941718222449497</v>
      </c>
      <c r="CC72" s="3">
        <f ca="1">IFERROR(__xludf.DUMMYFUNCTION("""COMPUTED_VALUE"""),-0.730528535289045)</f>
        <v>-0.73052853528904504</v>
      </c>
      <c r="CD72" s="3">
        <f ca="1">IFERROR(__xludf.DUMMYFUNCTION("""COMPUTED_VALUE"""),-0.781176699919972)</f>
        <v>-0.78117669991997196</v>
      </c>
      <c r="CE72" s="3">
        <f ca="1">IFERROR(__xludf.DUMMYFUNCTION("""COMPUTED_VALUE"""),-0.795437433410613)</f>
        <v>-0.79543743341061302</v>
      </c>
      <c r="CF72" s="3">
        <f ca="1">IFERROR(__xludf.DUMMYFUNCTION("""COMPUTED_VALUE"""),-0.773697130853106)</f>
        <v>-0.77369713085310599</v>
      </c>
      <c r="CG72" s="3">
        <f ca="1">IFERROR(__xludf.DUMMYFUNCTION("""COMPUTED_VALUE"""),-0.787763580668928)</f>
        <v>-0.78776358066892804</v>
      </c>
      <c r="CH72" s="3">
        <f ca="1">IFERROR(__xludf.DUMMYFUNCTION("""COMPUTED_VALUE"""),-0.786380757239545)</f>
        <v>-0.78638075723954504</v>
      </c>
      <c r="CI72" s="3">
        <f ca="1">IFERROR(__xludf.DUMMYFUNCTION("""COMPUTED_VALUE"""),-0.761697317012415)</f>
        <v>-0.76169731701241505</v>
      </c>
      <c r="CJ72" s="3">
        <f ca="1">IFERROR(__xludf.DUMMYFUNCTION("""COMPUTED_VALUE"""),-0.715983054524575)</f>
        <v>-0.715983054524575</v>
      </c>
      <c r="CK72" s="3">
        <f ca="1">IFERROR(__xludf.DUMMYFUNCTION("""COMPUTED_VALUE"""),-0.805656904061827)</f>
        <v>-0.805656904061827</v>
      </c>
      <c r="CL72" s="3">
        <f ca="1">IFERROR(__xludf.DUMMYFUNCTION("""COMPUTED_VALUE"""),-0.842165713554877)</f>
        <v>-0.84216571355487702</v>
      </c>
      <c r="CM72" s="3">
        <f ca="1">IFERROR(__xludf.DUMMYFUNCTION("""COMPUTED_VALUE"""),-0.821836353378928)</f>
        <v>-0.82183635337892802</v>
      </c>
      <c r="CN72" s="3">
        <f ca="1">IFERROR(__xludf.DUMMYFUNCTION("""COMPUTED_VALUE"""),-0.828845691458236)</f>
        <v>-0.82884569145823594</v>
      </c>
      <c r="CO72" s="3">
        <f ca="1">IFERROR(__xludf.DUMMYFUNCTION("""COMPUTED_VALUE"""),-0.825273718905269)</f>
        <v>-0.82527371890526902</v>
      </c>
      <c r="CP72" s="3">
        <f ca="1">IFERROR(__xludf.DUMMYFUNCTION("""COMPUTED_VALUE"""),-0.821380369919735)</f>
        <v>-0.82138036991973495</v>
      </c>
      <c r="CQ72" s="3">
        <f ca="1">IFERROR(__xludf.DUMMYFUNCTION("""COMPUTED_VALUE"""),-0.767980376423897)</f>
        <v>-0.76798037642389705</v>
      </c>
      <c r="CR72" s="3">
        <f ca="1">IFERROR(__xludf.DUMMYFUNCTION("""COMPUTED_VALUE"""),-0.774024482686243)</f>
        <v>-0.77402448268624302</v>
      </c>
      <c r="CS72" s="3">
        <f ca="1">IFERROR(__xludf.DUMMYFUNCTION("""COMPUTED_VALUE"""),-0.77817932894074)</f>
        <v>-0.77817932894074004</v>
      </c>
      <c r="CT72" s="3">
        <f ca="1">IFERROR(__xludf.DUMMYFUNCTION("""COMPUTED_VALUE"""),-0.755857339185486)</f>
        <v>-0.75585733918548603</v>
      </c>
      <c r="CU72" s="3">
        <f ca="1">IFERROR(__xludf.DUMMYFUNCTION("""COMPUTED_VALUE"""),-0.715132086784609)</f>
        <v>-0.71513208678460904</v>
      </c>
      <c r="CV72" s="3">
        <f ca="1">IFERROR(__xludf.DUMMYFUNCTION("""COMPUTED_VALUE"""),-0.73577981329941)</f>
        <v>-0.73577981329941</v>
      </c>
      <c r="CW72" s="3">
        <f ca="1">IFERROR(__xludf.DUMMYFUNCTION("""COMPUTED_VALUE"""),-0.702157209525477)</f>
        <v>-0.702157209525477</v>
      </c>
      <c r="CX72" s="3">
        <f ca="1">IFERROR(__xludf.DUMMYFUNCTION("""COMPUTED_VALUE"""),-0.653407284609616)</f>
        <v>-0.65340728460961595</v>
      </c>
      <c r="CY72" s="3">
        <f ca="1">IFERROR(__xludf.DUMMYFUNCTION("""COMPUTED_VALUE"""),-0.77161965486953)</f>
        <v>-0.77161965486952999</v>
      </c>
      <c r="CZ72" s="3">
        <f ca="1">IFERROR(__xludf.DUMMYFUNCTION("""COMPUTED_VALUE"""),-0.814242123847057)</f>
        <v>-0.81424212384705696</v>
      </c>
      <c r="DA72" s="3">
        <f ca="1">IFERROR(__xludf.DUMMYFUNCTION("""COMPUTED_VALUE"""),-0.700639096042755)</f>
        <v>-0.70063909604275498</v>
      </c>
      <c r="DB72" s="3">
        <f ca="1">IFERROR(__xludf.DUMMYFUNCTION("""COMPUTED_VALUE"""),-0.647978127722288)</f>
        <v>-0.64797812772228802</v>
      </c>
      <c r="DC72" s="3">
        <f ca="1">IFERROR(__xludf.DUMMYFUNCTION("""COMPUTED_VALUE"""),-0.734827285950659)</f>
        <v>-0.73482728595065905</v>
      </c>
      <c r="DD72" s="3">
        <f ca="1">IFERROR(__xludf.DUMMYFUNCTION("""COMPUTED_VALUE"""),-0.777678044880508)</f>
        <v>-0.77767804488050796</v>
      </c>
      <c r="DE72" s="3">
        <f ca="1">IFERROR(__xludf.DUMMYFUNCTION("""COMPUTED_VALUE"""),-0.72963585794457)</f>
        <v>-0.72963585794456998</v>
      </c>
      <c r="DF72" s="3">
        <f ca="1">IFERROR(__xludf.DUMMYFUNCTION("""COMPUTED_VALUE"""),-0.794503856667125)</f>
        <v>-0.79450385666712497</v>
      </c>
      <c r="DG72" s="3">
        <f ca="1">IFERROR(__xludf.DUMMYFUNCTION("""COMPUTED_VALUE"""),-0.85315791024107)</f>
        <v>-0.85315791024107002</v>
      </c>
      <c r="DH72" s="3">
        <f ca="1">IFERROR(__xludf.DUMMYFUNCTION("""COMPUTED_VALUE"""),-0.656572530165049)</f>
        <v>-0.65657253016504902</v>
      </c>
      <c r="DI72" s="3">
        <f ca="1">IFERROR(__xludf.DUMMYFUNCTION("""COMPUTED_VALUE"""),-0.501496850968203)</f>
        <v>-0.50149685096820296</v>
      </c>
      <c r="DJ72" s="3">
        <f ca="1">IFERROR(__xludf.DUMMYFUNCTION("""COMPUTED_VALUE"""),-0.646017404850312)</f>
        <v>-0.646017404850312</v>
      </c>
      <c r="DK72" s="3">
        <f ca="1">IFERROR(__xludf.DUMMYFUNCTION("""COMPUTED_VALUE"""),-0.637520723655826)</f>
        <v>-0.63752072365582602</v>
      </c>
      <c r="DL72" s="3">
        <f ca="1">IFERROR(__xludf.DUMMYFUNCTION("""COMPUTED_VALUE"""),-0.653725286179084)</f>
        <v>-0.65372528617908399</v>
      </c>
      <c r="DM72" s="3">
        <f ca="1">IFERROR(__xludf.DUMMYFUNCTION("""COMPUTED_VALUE"""),-0.667701618115945)</f>
        <v>-0.66770161811594497</v>
      </c>
      <c r="DN72" s="3">
        <f ca="1">IFERROR(__xludf.DUMMYFUNCTION("""COMPUTED_VALUE"""),-0.713038925242064)</f>
        <v>-0.71303892524206403</v>
      </c>
      <c r="DO72" s="3">
        <f ca="1">IFERROR(__xludf.DUMMYFUNCTION("""COMPUTED_VALUE"""),-0.711444019304758)</f>
        <v>-0.71144401930475798</v>
      </c>
      <c r="DP72" s="3">
        <f ca="1">IFERROR(__xludf.DUMMYFUNCTION("""COMPUTED_VALUE"""),-0.625545072927632)</f>
        <v>-0.62554507292763195</v>
      </c>
      <c r="DQ72" s="3">
        <f ca="1">IFERROR(__xludf.DUMMYFUNCTION("""COMPUTED_VALUE"""),-0.650996069379301)</f>
        <v>-0.65099606937930099</v>
      </c>
      <c r="DR72" s="3">
        <f ca="1">IFERROR(__xludf.DUMMYFUNCTION("""COMPUTED_VALUE"""),-0.620685337258797)</f>
        <v>-0.62068533725879704</v>
      </c>
      <c r="DS72" s="3">
        <f ca="1">IFERROR(__xludf.DUMMYFUNCTION("""COMPUTED_VALUE"""),-0.62670491213897)</f>
        <v>-0.62670491213896995</v>
      </c>
      <c r="DT72" s="3">
        <f ca="1">IFERROR(__xludf.DUMMYFUNCTION("""COMPUTED_VALUE"""),-0.642382486910018)</f>
        <v>-0.64238248691001798</v>
      </c>
      <c r="DU72" s="3">
        <f ca="1">IFERROR(__xludf.DUMMYFUNCTION("""COMPUTED_VALUE"""),-0.672626416667806)</f>
        <v>-0.67262641666780598</v>
      </c>
      <c r="DV72" s="3">
        <f ca="1">IFERROR(__xludf.DUMMYFUNCTION("""COMPUTED_VALUE"""),-0.684700136812054)</f>
        <v>-0.68470013681205399</v>
      </c>
      <c r="DW72" s="3">
        <f ca="1">IFERROR(__xludf.DUMMYFUNCTION("""COMPUTED_VALUE"""),-0.695944483047935)</f>
        <v>-0.69594448304793499</v>
      </c>
      <c r="DX72" s="3">
        <f ca="1">IFERROR(__xludf.DUMMYFUNCTION("""COMPUTED_VALUE"""),-0.71595738047645)</f>
        <v>-0.71595738047644997</v>
      </c>
      <c r="DY72" s="3">
        <f ca="1">IFERROR(__xludf.DUMMYFUNCTION("""COMPUTED_VALUE"""),-0.683147535769036)</f>
        <v>-0.68314753576903597</v>
      </c>
      <c r="DZ72" s="3">
        <f ca="1">IFERROR(__xludf.DUMMYFUNCTION("""COMPUTED_VALUE"""),-0.601290216372455)</f>
        <v>-0.60129021637245506</v>
      </c>
      <c r="EA72" s="3">
        <f ca="1">IFERROR(__xludf.DUMMYFUNCTION("""COMPUTED_VALUE"""),-0.6347781949635)</f>
        <v>-0.63477819496349996</v>
      </c>
      <c r="EB72" s="3">
        <f ca="1">IFERROR(__xludf.DUMMYFUNCTION("""COMPUTED_VALUE"""),-0.700989673033742)</f>
        <v>-0.70098967303374204</v>
      </c>
      <c r="EC72" s="3">
        <f ca="1">IFERROR(__xludf.DUMMYFUNCTION("""COMPUTED_VALUE"""),-0.702508557481837)</f>
        <v>-0.70250855748183705</v>
      </c>
      <c r="ED72" s="3">
        <f ca="1">IFERROR(__xludf.DUMMYFUNCTION("""COMPUTED_VALUE"""),-0.737992580112681)</f>
        <v>-0.73799258011268098</v>
      </c>
      <c r="EE72" s="3">
        <f ca="1">IFERROR(__xludf.DUMMYFUNCTION("""COMPUTED_VALUE"""),-0.732148722131481)</f>
        <v>-0.73214872213148097</v>
      </c>
      <c r="EF72" s="3">
        <f ca="1">IFERROR(__xludf.DUMMYFUNCTION("""COMPUTED_VALUE"""),-0.699931871715764)</f>
        <v>-0.69993187171576399</v>
      </c>
      <c r="EG72" s="3">
        <f ca="1">IFERROR(__xludf.DUMMYFUNCTION("""COMPUTED_VALUE"""),-0.56334745264139)</f>
        <v>-0.56334745264138997</v>
      </c>
      <c r="EH72" s="3">
        <f ca="1">IFERROR(__xludf.DUMMYFUNCTION("""COMPUTED_VALUE"""),-0.599045519774287)</f>
        <v>-0.59904551977428699</v>
      </c>
      <c r="EI72" s="3">
        <f ca="1">IFERROR(__xludf.DUMMYFUNCTION("""COMPUTED_VALUE"""),-0.658071490583924)</f>
        <v>-0.658071490583924</v>
      </c>
      <c r="EJ72" s="3">
        <f ca="1">IFERROR(__xludf.DUMMYFUNCTION("""COMPUTED_VALUE"""),-0.693918165004128)</f>
        <v>-0.69391816500412795</v>
      </c>
      <c r="EK72" s="3">
        <f ca="1">IFERROR(__xludf.DUMMYFUNCTION("""COMPUTED_VALUE"""),-0.717764843492733)</f>
        <v>-0.71776484349273295</v>
      </c>
      <c r="EL72" s="3">
        <f ca="1">IFERROR(__xludf.DUMMYFUNCTION("""COMPUTED_VALUE"""),-0.745040836138476)</f>
        <v>-0.74504083613847605</v>
      </c>
      <c r="EM72" s="3">
        <f ca="1">IFERROR(__xludf.DUMMYFUNCTION("""COMPUTED_VALUE"""),-0.721643415240843)</f>
        <v>-0.72164341524084297</v>
      </c>
      <c r="EN72" s="3">
        <f ca="1">IFERROR(__xludf.DUMMYFUNCTION("""COMPUTED_VALUE"""),-0.630245334143714)</f>
        <v>-0.63024533414371398</v>
      </c>
      <c r="EO72" s="3">
        <f ca="1">IFERROR(__xludf.DUMMYFUNCTION("""COMPUTED_VALUE"""),-0.666083416713604)</f>
        <v>-0.66608341671360405</v>
      </c>
      <c r="EP72" s="3">
        <f ca="1">IFERROR(__xludf.DUMMYFUNCTION("""COMPUTED_VALUE"""),-0.751651769755258)</f>
        <v>-0.75165176975525805</v>
      </c>
      <c r="EQ72" s="3">
        <f ca="1">IFERROR(__xludf.DUMMYFUNCTION("""COMPUTED_VALUE"""),-0.768715929669022)</f>
        <v>-0.76871592966902202</v>
      </c>
      <c r="ER72" s="3">
        <f ca="1">IFERROR(__xludf.DUMMYFUNCTION("""COMPUTED_VALUE"""),-0.766261657501382)</f>
        <v>-0.76626165750138198</v>
      </c>
      <c r="ES72" s="3">
        <f ca="1">IFERROR(__xludf.DUMMYFUNCTION("""COMPUTED_VALUE"""),-0.769488876676588)</f>
        <v>-0.76948887667658805</v>
      </c>
      <c r="ET72" s="3">
        <f ca="1">IFERROR(__xludf.DUMMYFUNCTION("""COMPUTED_VALUE"""),-0.731578720449332)</f>
        <v>-0.73157872044933203</v>
      </c>
      <c r="EU72" s="3">
        <f ca="1">IFERROR(__xludf.DUMMYFUNCTION("""COMPUTED_VALUE"""),-0.647084557264608)</f>
        <v>-0.64708455726460801</v>
      </c>
      <c r="EV72" s="3">
        <f ca="1">IFERROR(__xludf.DUMMYFUNCTION("""COMPUTED_VALUE"""),-0.643139813326943)</f>
        <v>-0.64313981332694303</v>
      </c>
      <c r="EW72" s="3">
        <f ca="1">IFERROR(__xludf.DUMMYFUNCTION("""COMPUTED_VALUE"""),-0.747838219502969)</f>
        <v>-0.74783821950296903</v>
      </c>
      <c r="EX72" s="3">
        <f ca="1">IFERROR(__xludf.DUMMYFUNCTION("""COMPUTED_VALUE"""),-0.776877157503118)</f>
        <v>-0.77687715750311803</v>
      </c>
      <c r="EY72" s="3">
        <f ca="1">IFERROR(__xludf.DUMMYFUNCTION("""COMPUTED_VALUE"""),-0.767508186726061)</f>
        <v>-0.76750818672606103</v>
      </c>
      <c r="EZ72" s="3">
        <f ca="1">IFERROR(__xludf.DUMMYFUNCTION("""COMPUTED_VALUE"""),-0.742385514752268)</f>
        <v>-0.74238551475226799</v>
      </c>
      <c r="FA72" s="3">
        <f ca="1">IFERROR(__xludf.DUMMYFUNCTION("""COMPUTED_VALUE"""),-0.71881374168653)</f>
        <v>-0.71881374168653001</v>
      </c>
      <c r="FB72" s="3">
        <f ca="1">IFERROR(__xludf.DUMMYFUNCTION("""COMPUTED_VALUE"""),-0.583988887211895)</f>
        <v>-0.58398888721189501</v>
      </c>
      <c r="FC72" s="3">
        <f ca="1">IFERROR(__xludf.DUMMYFUNCTION("""COMPUTED_VALUE"""),-0.628374812627024)</f>
        <v>-0.62837481262702399</v>
      </c>
      <c r="FD72" s="3">
        <f ca="1">IFERROR(__xludf.DUMMYFUNCTION("""COMPUTED_VALUE"""),-0.729913389410339)</f>
        <v>-0.72991338941033901</v>
      </c>
      <c r="FE72" s="3">
        <f ca="1">IFERROR(__xludf.DUMMYFUNCTION("""COMPUTED_VALUE"""),-0.75612022126935)</f>
        <v>-0.75612022126934997</v>
      </c>
      <c r="FF72" s="3">
        <f ca="1">IFERROR(__xludf.DUMMYFUNCTION("""COMPUTED_VALUE"""),-0.747857709486595)</f>
        <v>-0.74785770948659502</v>
      </c>
      <c r="FG72" s="3">
        <f ca="1">IFERROR(__xludf.DUMMYFUNCTION("""COMPUTED_VALUE"""),-0.729061792355187)</f>
        <v>-0.72906179235518698</v>
      </c>
      <c r="FH72" s="3">
        <f ca="1">IFERROR(__xludf.DUMMYFUNCTION("""COMPUTED_VALUE"""),-0.71886446400415)</f>
        <v>-0.71886446400415005</v>
      </c>
      <c r="FI72" s="3">
        <f ca="1">IFERROR(__xludf.DUMMYFUNCTION("""COMPUTED_VALUE"""),-0.588473536823429)</f>
        <v>-0.58847353682342896</v>
      </c>
      <c r="FJ72" s="3">
        <f ca="1">IFERROR(__xludf.DUMMYFUNCTION("""COMPUTED_VALUE"""),-0.655372358677605)</f>
        <v>-0.65537235867760502</v>
      </c>
      <c r="FK72" s="3">
        <f ca="1">IFERROR(__xludf.DUMMYFUNCTION("""COMPUTED_VALUE"""),-0.721831797435443)</f>
        <v>-0.72183179743544301</v>
      </c>
      <c r="FL72" s="3">
        <f ca="1">IFERROR(__xludf.DUMMYFUNCTION("""COMPUTED_VALUE"""),-0.728203130698174)</f>
        <v>-0.72820313069817399</v>
      </c>
      <c r="FM72" s="3">
        <f ca="1">IFERROR(__xludf.DUMMYFUNCTION("""COMPUTED_VALUE"""),-0.741671014974532)</f>
        <v>-0.74167101497453203</v>
      </c>
      <c r="FN72" s="3">
        <f ca="1">IFERROR(__xludf.DUMMYFUNCTION("""COMPUTED_VALUE"""),-0.70962861341809)</f>
        <v>-0.70962861341809003</v>
      </c>
      <c r="FO72" s="3">
        <f ca="1">IFERROR(__xludf.DUMMYFUNCTION("""COMPUTED_VALUE"""),-0.718723975211379)</f>
        <v>-0.71872397521137898</v>
      </c>
      <c r="FP72" s="3">
        <f ca="1">IFERROR(__xludf.DUMMYFUNCTION("""COMPUTED_VALUE"""),-0.656230016065494)</f>
        <v>-0.65623001606549403</v>
      </c>
      <c r="FQ72" s="3">
        <f ca="1">IFERROR(__xludf.DUMMYFUNCTION("""COMPUTED_VALUE"""),-0.665993651231426)</f>
        <v>-0.66599365123142595</v>
      </c>
      <c r="FR72" s="3">
        <f ca="1">IFERROR(__xludf.DUMMYFUNCTION("""COMPUTED_VALUE"""),-0.710164126711102)</f>
        <v>-0.71016412671110196</v>
      </c>
      <c r="FS72" s="3">
        <f ca="1">IFERROR(__xludf.DUMMYFUNCTION("""COMPUTED_VALUE"""),-0.736299469439219)</f>
        <v>-0.73629946943921898</v>
      </c>
      <c r="FT72" s="3">
        <f ca="1">IFERROR(__xludf.DUMMYFUNCTION("""COMPUTED_VALUE"""),-0.761504028113755)</f>
        <v>-0.76150402811375495</v>
      </c>
      <c r="FU72" s="3">
        <f ca="1">IFERROR(__xludf.DUMMYFUNCTION("""COMPUTED_VALUE"""),-0.735014686712363)</f>
        <v>-0.73501468671236303</v>
      </c>
      <c r="FV72" s="3">
        <f ca="1">IFERROR(__xludf.DUMMYFUNCTION("""COMPUTED_VALUE"""),-0.681330631017655)</f>
        <v>-0.68133063101765501</v>
      </c>
      <c r="FW72" s="3">
        <f ca="1">IFERROR(__xludf.DUMMYFUNCTION("""COMPUTED_VALUE"""),-0.654239206631417)</f>
        <v>-0.65423920663141699</v>
      </c>
      <c r="FX72" s="3">
        <f ca="1">IFERROR(__xludf.DUMMYFUNCTION("""COMPUTED_VALUE"""),-0.71482366789587)</f>
        <v>-0.71482366789587004</v>
      </c>
      <c r="FY72" s="3">
        <f ca="1">IFERROR(__xludf.DUMMYFUNCTION("""COMPUTED_VALUE"""),-0.780572346495408)</f>
        <v>-0.78057234649540796</v>
      </c>
      <c r="FZ72" s="3">
        <f ca="1">IFERROR(__xludf.DUMMYFUNCTION("""COMPUTED_VALUE"""),-0.767858381788495)</f>
        <v>-0.76785838178849497</v>
      </c>
      <c r="GA72" s="3">
        <f ca="1">IFERROR(__xludf.DUMMYFUNCTION("""COMPUTED_VALUE"""),-0.793031428878588)</f>
        <v>-0.79303142887858802</v>
      </c>
      <c r="GB72" s="3">
        <f ca="1">IFERROR(__xludf.DUMMYFUNCTION("""COMPUTED_VALUE"""),-0.811728128337251)</f>
        <v>-0.81172812833725105</v>
      </c>
      <c r="GC72" s="3">
        <f ca="1">IFERROR(__xludf.DUMMYFUNCTION("""COMPUTED_VALUE"""),-0.747327383479853)</f>
        <v>-0.74732738347985295</v>
      </c>
      <c r="GD72" s="3">
        <f ca="1">IFERROR(__xludf.DUMMYFUNCTION("""COMPUTED_VALUE"""),-0.732501943212286)</f>
        <v>-0.73250194321228601</v>
      </c>
      <c r="GE72" s="3">
        <f ca="1">IFERROR(__xludf.DUMMYFUNCTION("""COMPUTED_VALUE"""),-0.770264270415934)</f>
        <v>-0.77026427041593404</v>
      </c>
      <c r="GF72" s="3">
        <f ca="1">IFERROR(__xludf.DUMMYFUNCTION("""COMPUTED_VALUE"""),-0.786004787649859)</f>
        <v>-0.78600478764985904</v>
      </c>
      <c r="GG72" s="3">
        <f ca="1">IFERROR(__xludf.DUMMYFUNCTION("""COMPUTED_VALUE"""),-0.806784512285493)</f>
        <v>-0.80678451228549297</v>
      </c>
      <c r="GH72" s="3">
        <f ca="1">IFERROR(__xludf.DUMMYFUNCTION("""COMPUTED_VALUE"""),-0.801482880109469)</f>
        <v>-0.801482880109469</v>
      </c>
      <c r="GI72" s="3">
        <f ca="1">IFERROR(__xludf.DUMMYFUNCTION("""COMPUTED_VALUE"""),-0.784252335489626)</f>
        <v>-0.78425233548962603</v>
      </c>
      <c r="GJ72" s="3">
        <f ca="1">IFERROR(__xludf.DUMMYFUNCTION("""COMPUTED_VALUE"""),-0.72950653658966)</f>
        <v>-0.72950653658966003</v>
      </c>
      <c r="GK72" s="3">
        <f ca="1">IFERROR(__xludf.DUMMYFUNCTION("""COMPUTED_VALUE"""),-0.732332478701595)</f>
        <v>-0.73233247870159501</v>
      </c>
      <c r="GL72" s="3">
        <f ca="1">IFERROR(__xludf.DUMMYFUNCTION("""COMPUTED_VALUE"""),-0.751274580115815)</f>
        <v>-0.75127458011581505</v>
      </c>
      <c r="GM72" s="3">
        <f ca="1">IFERROR(__xludf.DUMMYFUNCTION("""COMPUTED_VALUE"""),-0.785932867105907)</f>
        <v>-0.78593286710590704</v>
      </c>
      <c r="GN72" s="3">
        <f ca="1">IFERROR(__xludf.DUMMYFUNCTION("""COMPUTED_VALUE"""),-0.764349116606942)</f>
        <v>-0.76434911660694205</v>
      </c>
      <c r="GO72" s="3">
        <f ca="1">IFERROR(__xludf.DUMMYFUNCTION("""COMPUTED_VALUE"""),-0.74149200761039)</f>
        <v>-0.74149200761039002</v>
      </c>
      <c r="GP72" s="3">
        <f ca="1">IFERROR(__xludf.DUMMYFUNCTION("""COMPUTED_VALUE"""),-0.732387809041988)</f>
        <v>-0.73238780904198797</v>
      </c>
      <c r="GQ72" s="3">
        <f ca="1">IFERROR(__xludf.DUMMYFUNCTION("""COMPUTED_VALUE"""),-0.678095099822164)</f>
        <v>-0.67809509982216398</v>
      </c>
      <c r="GR72" s="3">
        <f ca="1">IFERROR(__xludf.DUMMYFUNCTION("""COMPUTED_VALUE"""),-0.567869036288665)</f>
        <v>-0.56786903628866503</v>
      </c>
      <c r="GS72" s="3">
        <f ca="1">IFERROR(__xludf.DUMMYFUNCTION("""COMPUTED_VALUE"""),-0.59032303295711)</f>
        <v>-0.59032303295710997</v>
      </c>
      <c r="GT72" s="3">
        <f ca="1">IFERROR(__xludf.DUMMYFUNCTION("""COMPUTED_VALUE"""),-0.666919311784756)</f>
        <v>-0.66691931178475605</v>
      </c>
      <c r="GU72" s="3">
        <f ca="1">IFERROR(__xludf.DUMMYFUNCTION("""COMPUTED_VALUE"""),-0.683989877945068)</f>
        <v>-0.68398987794506805</v>
      </c>
      <c r="GV72" s="3">
        <f ca="1">IFERROR(__xludf.DUMMYFUNCTION("""COMPUTED_VALUE"""),-0.669965664659016)</f>
        <v>-0.66996566465901597</v>
      </c>
      <c r="GW72" s="3">
        <f ca="1">IFERROR(__xludf.DUMMYFUNCTION("""COMPUTED_VALUE"""),-0.644080363770535)</f>
        <v>-0.64408036377053501</v>
      </c>
      <c r="GX72" s="3">
        <f ca="1">IFERROR(__xludf.DUMMYFUNCTION("""COMPUTED_VALUE"""),-0.619883707156541)</f>
        <v>-0.61988370715654095</v>
      </c>
      <c r="GY72" s="3">
        <f ca="1">IFERROR(__xludf.DUMMYFUNCTION("""COMPUTED_VALUE"""),-0.503571482540575)</f>
        <v>-0.50357148254057504</v>
      </c>
      <c r="GZ72" s="3">
        <f ca="1">IFERROR(__xludf.DUMMYFUNCTION("""COMPUTED_VALUE"""),-0.504440230061652)</f>
        <v>-0.50444023006165195</v>
      </c>
      <c r="HA72" s="3">
        <f ca="1">IFERROR(__xludf.DUMMYFUNCTION("""COMPUTED_VALUE"""),-0.611789596729462)</f>
        <v>-0.61178959672946198</v>
      </c>
      <c r="HB72" s="3">
        <f ca="1">IFERROR(__xludf.DUMMYFUNCTION("""COMPUTED_VALUE"""),-0.611519471477977)</f>
        <v>-0.61151947147797703</v>
      </c>
      <c r="HC72" s="3">
        <f ca="1">IFERROR(__xludf.DUMMYFUNCTION("""COMPUTED_VALUE"""),-0.62192321749196)</f>
        <v>-0.62192321749196</v>
      </c>
      <c r="HD72" s="3">
        <f ca="1">IFERROR(__xludf.DUMMYFUNCTION("""COMPUTED_VALUE"""),-0.593805329944364)</f>
        <v>-0.59380532994436397</v>
      </c>
      <c r="HE72" s="3">
        <f ca="1">IFERROR(__xludf.DUMMYFUNCTION("""COMPUTED_VALUE"""),-0.547650607365015)</f>
        <v>-0.54765060736501503</v>
      </c>
      <c r="HF72" s="3">
        <f ca="1">IFERROR(__xludf.DUMMYFUNCTION("""COMPUTED_VALUE"""),-0.42481068467656)</f>
        <v>-0.42481068467656002</v>
      </c>
      <c r="HG72" s="3">
        <f ca="1">IFERROR(__xludf.DUMMYFUNCTION("""COMPUTED_VALUE"""),-0.382551518657169)</f>
        <v>-0.38255151865716902</v>
      </c>
      <c r="HH72" s="3">
        <f ca="1">IFERROR(__xludf.DUMMYFUNCTION("""COMPUTED_VALUE"""),-0.586664818053476)</f>
        <v>-0.58666481805347603</v>
      </c>
      <c r="HI72" s="3">
        <f ca="1">IFERROR(__xludf.DUMMYFUNCTION("""COMPUTED_VALUE"""),-0.585585396757786)</f>
        <v>-0.58558539675778598</v>
      </c>
      <c r="HJ72" s="3">
        <f ca="1">IFERROR(__xludf.DUMMYFUNCTION("""COMPUTED_VALUE"""),-0.564737145183354)</f>
        <v>-0.56473714518335405</v>
      </c>
      <c r="HK72" s="3">
        <f ca="1">IFERROR(__xludf.DUMMYFUNCTION("""COMPUTED_VALUE"""),-0.576199527218645)</f>
        <v>-0.57619952721864498</v>
      </c>
      <c r="HL72" s="3">
        <f ca="1">IFERROR(__xludf.DUMMYFUNCTION("""COMPUTED_VALUE"""),-0.597770303780178)</f>
        <v>-0.59777030378017804</v>
      </c>
      <c r="HM72" s="3">
        <f ca="1">IFERROR(__xludf.DUMMYFUNCTION("""COMPUTED_VALUE"""),-0.319660287712984)</f>
        <v>-0.31966028771298399</v>
      </c>
      <c r="HN72" s="3">
        <f ca="1">IFERROR(__xludf.DUMMYFUNCTION("""COMPUTED_VALUE"""),-0.393574070082663)</f>
        <v>-0.39357407008266299</v>
      </c>
      <c r="HO72" s="3">
        <f ca="1">IFERROR(__xludf.DUMMYFUNCTION("""COMPUTED_VALUE"""),-0.533871386251765)</f>
        <v>-0.533871386251765</v>
      </c>
      <c r="HP72" s="3">
        <f ca="1">IFERROR(__xludf.DUMMYFUNCTION("""COMPUTED_VALUE"""),-0.536460502519694)</f>
        <v>-0.53646050251969402</v>
      </c>
      <c r="HQ72" s="3">
        <f ca="1">IFERROR(__xludf.DUMMYFUNCTION("""COMPUTED_VALUE"""),-0.542841918436155)</f>
        <v>-0.54284191843615504</v>
      </c>
      <c r="HR72" s="3">
        <f ca="1">IFERROR(__xludf.DUMMYFUNCTION("""COMPUTED_VALUE"""),-0.486942664060941)</f>
        <v>-0.486942664060941</v>
      </c>
      <c r="HS72" s="3">
        <f ca="1">IFERROR(__xludf.DUMMYFUNCTION("""COMPUTED_VALUE"""),-0.378284121802762)</f>
        <v>-0.378284121802762</v>
      </c>
      <c r="HT72" s="3">
        <f ca="1">IFERROR(__xludf.DUMMYFUNCTION("""COMPUTED_VALUE"""),-0.40013321056519)</f>
        <v>-0.40013321056519002</v>
      </c>
      <c r="HU72" s="3">
        <f ca="1">IFERROR(__xludf.DUMMYFUNCTION("""COMPUTED_VALUE"""),-0.50980672623272)</f>
        <v>-0.50980672623272005</v>
      </c>
      <c r="HV72" s="3">
        <f ca="1">IFERROR(__xludf.DUMMYFUNCTION("""COMPUTED_VALUE"""),-0.597928969763075)</f>
        <v>-0.59792896976307497</v>
      </c>
      <c r="HW72" s="3">
        <f ca="1">IFERROR(__xludf.DUMMYFUNCTION("""COMPUTED_VALUE"""),-0.615967120197474)</f>
        <v>-0.61596712019747402</v>
      </c>
      <c r="HX72" s="3">
        <f ca="1">IFERROR(__xludf.DUMMYFUNCTION("""COMPUTED_VALUE"""),-0.554678465420172)</f>
        <v>-0.55467846542017196</v>
      </c>
      <c r="HY72" s="3">
        <f ca="1">IFERROR(__xludf.DUMMYFUNCTION("""COMPUTED_VALUE"""),-0.59042098604189)</f>
        <v>-0.59042098604188997</v>
      </c>
      <c r="HZ72" s="3">
        <f ca="1">IFERROR(__xludf.DUMMYFUNCTION("""COMPUTED_VALUE"""),-0.409030924330864)</f>
        <v>-0.40903092433086402</v>
      </c>
      <c r="IA72" s="3">
        <f ca="1">IFERROR(__xludf.DUMMYFUNCTION("""COMPUTED_VALUE"""),-0.427056271017607)</f>
        <v>-0.42705627101760701</v>
      </c>
      <c r="IB72" s="3">
        <f ca="1">IFERROR(__xludf.DUMMYFUNCTION("""COMPUTED_VALUE"""),-0.390063384040322)</f>
        <v>-0.39006338404032198</v>
      </c>
      <c r="IC72" s="3">
        <f ca="1">IFERROR(__xludf.DUMMYFUNCTION("""COMPUTED_VALUE"""),-0.65282286812689)</f>
        <v>-0.65282286812689005</v>
      </c>
      <c r="ID72" s="3">
        <f ca="1">IFERROR(__xludf.DUMMYFUNCTION("""COMPUTED_VALUE"""),-0.653424772447142)</f>
        <v>-0.65342477244714203</v>
      </c>
      <c r="IE72" s="3">
        <f ca="1">IFERROR(__xludf.DUMMYFUNCTION("""COMPUTED_VALUE"""),-0.568183231772194)</f>
        <v>-0.56818323177219399</v>
      </c>
      <c r="IF72" s="3">
        <f ca="1">IFERROR(__xludf.DUMMYFUNCTION("""COMPUTED_VALUE"""),-0.589411376285003)</f>
        <v>-0.58941137628500295</v>
      </c>
      <c r="IG72" s="3">
        <f ca="1">IFERROR(__xludf.DUMMYFUNCTION("""COMPUTED_VALUE"""),-0.553877375389716)</f>
        <v>-0.55387737538971604</v>
      </c>
      <c r="IH72" s="3">
        <f ca="1">IFERROR(__xludf.DUMMYFUNCTION("""COMPUTED_VALUE"""),-0.370542885129442)</f>
        <v>-0.370542885129442</v>
      </c>
      <c r="II72" s="3">
        <f ca="1">IFERROR(__xludf.DUMMYFUNCTION("""COMPUTED_VALUE"""),-0.382341276433679)</f>
        <v>-0.38234127643367899</v>
      </c>
      <c r="IJ72" s="3">
        <f ca="1">IFERROR(__xludf.DUMMYFUNCTION("""COMPUTED_VALUE"""),-0.567655008756881)</f>
        <v>-0.56765500875688102</v>
      </c>
      <c r="IK72" s="3">
        <f ca="1">IFERROR(__xludf.DUMMYFUNCTION("""COMPUTED_VALUE"""),-0.560193979520785)</f>
        <v>-0.56019397952078498</v>
      </c>
      <c r="IL72" s="3">
        <f ca="1">IFERROR(__xludf.DUMMYFUNCTION("""COMPUTED_VALUE"""),-0.480667810430948)</f>
        <v>-0.48066781043094797</v>
      </c>
      <c r="IM72" s="3">
        <f ca="1">IFERROR(__xludf.DUMMYFUNCTION("""COMPUTED_VALUE"""),-0.50006311898312)</f>
        <v>-0.50006311898311995</v>
      </c>
      <c r="IN72" s="3">
        <f ca="1">IFERROR(__xludf.DUMMYFUNCTION("""COMPUTED_VALUE"""),-0.392704303611493)</f>
        <v>-0.392704303611493</v>
      </c>
      <c r="IO72" s="3">
        <f ca="1">IFERROR(__xludf.DUMMYFUNCTION("""COMPUTED_VALUE"""),-0.318153356009304)</f>
        <v>-0.318153356009304</v>
      </c>
      <c r="IP72" s="3">
        <f ca="1">IFERROR(__xludf.DUMMYFUNCTION("""COMPUTED_VALUE"""),-0.309691234433616)</f>
        <v>-0.30969123443361601</v>
      </c>
      <c r="IQ72" s="3">
        <f ca="1">IFERROR(__xludf.DUMMYFUNCTION("""COMPUTED_VALUE"""),-0.418690283718787)</f>
        <v>-0.41869028371878703</v>
      </c>
      <c r="IR72" s="3">
        <f ca="1">IFERROR(__xludf.DUMMYFUNCTION("""COMPUTED_VALUE"""),-0.422183554370111)</f>
        <v>-0.42218355437011101</v>
      </c>
      <c r="IS72" s="3">
        <f ca="1">IFERROR(__xludf.DUMMYFUNCTION("""COMPUTED_VALUE"""),-0.416858064897422)</f>
        <v>-0.416858064897422</v>
      </c>
      <c r="IT72" s="3">
        <f ca="1">IFERROR(__xludf.DUMMYFUNCTION("""COMPUTED_VALUE"""),-0.498516818325617)</f>
        <v>-0.49851681832561701</v>
      </c>
      <c r="IU72" s="3">
        <f ca="1">IFERROR(__xludf.DUMMYFUNCTION("""COMPUTED_VALUE"""),-0.388972058916378)</f>
        <v>-0.38897205891637798</v>
      </c>
      <c r="IV72" s="3">
        <f ca="1">IFERROR(__xludf.DUMMYFUNCTION("""COMPUTED_VALUE"""),-0.391122342951816)</f>
        <v>-0.39112234295181603</v>
      </c>
      <c r="IW72" s="3">
        <f ca="1">IFERROR(__xludf.DUMMYFUNCTION("""COMPUTED_VALUE"""),-0.308160157438698)</f>
        <v>-0.30816015743869801</v>
      </c>
      <c r="IX72" s="3">
        <f ca="1">IFERROR(__xludf.DUMMYFUNCTION("""COMPUTED_VALUE"""),-0.317042746111916)</f>
        <v>-0.31704274611191602</v>
      </c>
      <c r="IY72" s="3">
        <f ca="1">IFERROR(__xludf.DUMMYFUNCTION("""COMPUTED_VALUE"""),-0.342701272073917)</f>
        <v>-0.34270127207391698</v>
      </c>
      <c r="IZ72" s="3">
        <f ca="1">IFERROR(__xludf.DUMMYFUNCTION("""COMPUTED_VALUE"""),-0.344833300704688)</f>
        <v>-0.34483330070468798</v>
      </c>
      <c r="JA72" s="3">
        <f ca="1">IFERROR(__xludf.DUMMYFUNCTION("""COMPUTED_VALUE"""),-0.318764422123886)</f>
        <v>-0.318764422123886</v>
      </c>
      <c r="JB72" s="3">
        <f ca="1">IFERROR(__xludf.DUMMYFUNCTION("""COMPUTED_VALUE"""),-0.399362612649792)</f>
        <v>-0.399362612649792</v>
      </c>
      <c r="JC72" s="3">
        <f ca="1">IFERROR(__xludf.DUMMYFUNCTION("""COMPUTED_VALUE"""),-0.255391173102545)</f>
        <v>-0.255391173102545</v>
      </c>
      <c r="JD72" s="3">
        <f ca="1">IFERROR(__xludf.DUMMYFUNCTION("""COMPUTED_VALUE"""),-0.292359397430405)</f>
        <v>-0.29235939743040501</v>
      </c>
      <c r="JE72" s="3">
        <f ca="1">IFERROR(__xludf.DUMMYFUNCTION("""COMPUTED_VALUE"""),-0.321896327044609)</f>
        <v>-0.32189632704460902</v>
      </c>
      <c r="JF72" s="3">
        <f ca="1">IFERROR(__xludf.DUMMYFUNCTION("""COMPUTED_VALUE"""),-0.386833556548657)</f>
        <v>-0.38683355654865698</v>
      </c>
      <c r="JG72" s="3">
        <f ca="1">IFERROR(__xludf.DUMMYFUNCTION("""COMPUTED_VALUE"""),-0.362917088019446)</f>
        <v>-0.362917088019446</v>
      </c>
      <c r="JH72" s="3">
        <f ca="1">IFERROR(__xludf.DUMMYFUNCTION("""COMPUTED_VALUE"""),-0.321056746123085)</f>
        <v>-0.32105674612308499</v>
      </c>
      <c r="JI72" s="3">
        <f ca="1">IFERROR(__xludf.DUMMYFUNCTION("""COMPUTED_VALUE"""),-0.301844752090704)</f>
        <v>-0.30184475209070399</v>
      </c>
      <c r="JJ72" s="3">
        <f ca="1">IFERROR(__xludf.DUMMYFUNCTION("""COMPUTED_VALUE"""),-0.247229913383226)</f>
        <v>-0.247229913383226</v>
      </c>
      <c r="JK72" s="3">
        <f ca="1">IFERROR(__xludf.DUMMYFUNCTION("""COMPUTED_VALUE"""),-0.289799044203865)</f>
        <v>-0.28979904420386499</v>
      </c>
      <c r="JL72" s="3">
        <f ca="1">IFERROR(__xludf.DUMMYFUNCTION("""COMPUTED_VALUE"""),-0.386802179946462)</f>
        <v>-0.38680217994646199</v>
      </c>
      <c r="JM72" s="3">
        <f ca="1">IFERROR(__xludf.DUMMYFUNCTION("""COMPUTED_VALUE"""),-0.389168030525875)</f>
        <v>-0.38916803052587501</v>
      </c>
      <c r="JN72" s="3">
        <f ca="1">IFERROR(__xludf.DUMMYFUNCTION("""COMPUTED_VALUE"""),-0.368501032888895)</f>
        <v>-0.36850103288889502</v>
      </c>
      <c r="JO72" s="3">
        <f ca="1">IFERROR(__xludf.DUMMYFUNCTION("""COMPUTED_VALUE"""),-0.347906567858075)</f>
        <v>-0.347906567858075</v>
      </c>
      <c r="JP72" s="3">
        <f ca="1">IFERROR(__xludf.DUMMYFUNCTION("""COMPUTED_VALUE"""),-0.256273239348125)</f>
        <v>-0.25627323934812501</v>
      </c>
      <c r="JQ72" s="3">
        <f ca="1">IFERROR(__xludf.DUMMYFUNCTION("""COMPUTED_VALUE"""),-0.390627166555337)</f>
        <v>-0.39062716655533702</v>
      </c>
      <c r="JR72" s="3">
        <f ca="1">IFERROR(__xludf.DUMMYFUNCTION("""COMPUTED_VALUE"""),-0.347573202329454)</f>
        <v>-0.34757320232945399</v>
      </c>
      <c r="JS72" s="3">
        <f ca="1">IFERROR(__xludf.DUMMYFUNCTION("""COMPUTED_VALUE"""),-0.400579782811738)</f>
        <v>-0.40057978281173801</v>
      </c>
      <c r="JT72" s="3">
        <f ca="1">IFERROR(__xludf.DUMMYFUNCTION("""COMPUTED_VALUE"""),-0.425433340177169)</f>
        <v>-0.42543334017716899</v>
      </c>
      <c r="JU72" s="3">
        <f ca="1">IFERROR(__xludf.DUMMYFUNCTION("""COMPUTED_VALUE"""),-0.439238939850496)</f>
        <v>-0.439238939850496</v>
      </c>
      <c r="JV72" s="3">
        <f ca="1">IFERROR(__xludf.DUMMYFUNCTION("""COMPUTED_VALUE"""),-0.366908156870758)</f>
        <v>-0.36690815687075801</v>
      </c>
      <c r="JW72" s="3">
        <f ca="1">IFERROR(__xludf.DUMMYFUNCTION("""COMPUTED_VALUE"""),-0.274594386893836)</f>
        <v>-0.27459438689383597</v>
      </c>
      <c r="JX72" s="3">
        <f ca="1">IFERROR(__xludf.DUMMYFUNCTION("""COMPUTED_VALUE"""),-0.266717167411197)</f>
        <v>-0.266717167411197</v>
      </c>
      <c r="JY72" s="3">
        <f ca="1">IFERROR(__xludf.DUMMYFUNCTION("""COMPUTED_VALUE"""),-0.276395968152961)</f>
        <v>-0.27639596815296102</v>
      </c>
      <c r="JZ72" s="3">
        <f ca="1">IFERROR(__xludf.DUMMYFUNCTION("""COMPUTED_VALUE"""),-0.357385807809014)</f>
        <v>-0.35738580780901402</v>
      </c>
      <c r="KA72" s="3">
        <f ca="1">IFERROR(__xludf.DUMMYFUNCTION("""COMPUTED_VALUE"""),-0.380770731695651)</f>
        <v>-0.38077073169565101</v>
      </c>
      <c r="KB72" s="3">
        <f ca="1">IFERROR(__xludf.DUMMYFUNCTION("""COMPUTED_VALUE"""),-0.4866847104382)</f>
        <v>-0.4866847104382</v>
      </c>
      <c r="KC72" s="3">
        <f ca="1">IFERROR(__xludf.DUMMYFUNCTION("""COMPUTED_VALUE"""),-0.340620859737704)</f>
        <v>-0.34062085973770401</v>
      </c>
      <c r="KD72" s="3">
        <f ca="1">IFERROR(__xludf.DUMMYFUNCTION("""COMPUTED_VALUE"""),-0.279779521871779)</f>
        <v>-0.27977952187177901</v>
      </c>
      <c r="KE72" s="3">
        <f ca="1">IFERROR(__xludf.DUMMYFUNCTION("""COMPUTED_VALUE"""),-0.365616080203334)</f>
        <v>-0.36561608020333403</v>
      </c>
      <c r="KF72" s="3">
        <f ca="1">IFERROR(__xludf.DUMMYFUNCTION("""COMPUTED_VALUE"""),-0.390446888353966)</f>
        <v>-0.39044688835396602</v>
      </c>
      <c r="KG72" s="3">
        <f ca="1">IFERROR(__xludf.DUMMYFUNCTION("""COMPUTED_VALUE"""),-0.42497791526892)</f>
        <v>-0.42497791526891998</v>
      </c>
      <c r="KH72" s="3">
        <f ca="1">IFERROR(__xludf.DUMMYFUNCTION("""COMPUTED_VALUE"""),-0.521750192781912)</f>
        <v>-0.52175019278191204</v>
      </c>
      <c r="KI72" s="3">
        <f ca="1">IFERROR(__xludf.DUMMYFUNCTION("""COMPUTED_VALUE"""),-0.60080353276764)</f>
        <v>-0.60080353276763998</v>
      </c>
      <c r="KJ72" s="3">
        <f ca="1">IFERROR(__xludf.DUMMYFUNCTION("""COMPUTED_VALUE"""),-0.397893492524353)</f>
        <v>-0.39789349252435302</v>
      </c>
      <c r="KK72" s="3">
        <f ca="1">IFERROR(__xludf.DUMMYFUNCTION("""COMPUTED_VALUE"""),-0.3388765962714)</f>
        <v>-0.33887659627139999</v>
      </c>
      <c r="KL72" s="3">
        <f ca="1">IFERROR(__xludf.DUMMYFUNCTION("""COMPUTED_VALUE"""),-0.416698762019043)</f>
        <v>-0.41669876201904299</v>
      </c>
      <c r="KM72" s="3">
        <f ca="1">IFERROR(__xludf.DUMMYFUNCTION("""COMPUTED_VALUE"""),-0.475775912968218)</f>
        <v>-0.47577591296821797</v>
      </c>
      <c r="KN72" s="3">
        <f ca="1">IFERROR(__xludf.DUMMYFUNCTION("""COMPUTED_VALUE"""),-0.578732118035406)</f>
        <v>-0.57873211803540603</v>
      </c>
      <c r="KO72" s="3">
        <f ca="1">IFERROR(__xludf.DUMMYFUNCTION("""COMPUTED_VALUE"""),-0.581515840050264)</f>
        <v>-0.58151584005026402</v>
      </c>
      <c r="KP72" s="3">
        <f ca="1">IFERROR(__xludf.DUMMYFUNCTION("""COMPUTED_VALUE"""),-0.613292764876489)</f>
        <v>-0.61329276487648898</v>
      </c>
      <c r="KQ72" s="3">
        <f ca="1">IFERROR(__xludf.DUMMYFUNCTION("""COMPUTED_VALUE"""),-0.60212335303067)</f>
        <v>-0.60212335303066999</v>
      </c>
      <c r="KR72" s="3">
        <f ca="1">IFERROR(__xludf.DUMMYFUNCTION("""COMPUTED_VALUE"""),-0.567266417664778)</f>
        <v>-0.56726641766477803</v>
      </c>
      <c r="KS72" s="3">
        <f ca="1">IFERROR(__xludf.DUMMYFUNCTION("""COMPUTED_VALUE"""),-0.573760685283774)</f>
        <v>-0.573760685283774</v>
      </c>
      <c r="KT72" s="3">
        <f ca="1">IFERROR(__xludf.DUMMYFUNCTION("""COMPUTED_VALUE"""),-0.617340704593071)</f>
        <v>-0.617340704593071</v>
      </c>
      <c r="KU72" s="3">
        <f ca="1">IFERROR(__xludf.DUMMYFUNCTION("""COMPUTED_VALUE"""),-0.705436830359141)</f>
        <v>-0.70543683035914095</v>
      </c>
      <c r="KV72" s="3">
        <f ca="1">IFERROR(__xludf.DUMMYFUNCTION("""COMPUTED_VALUE"""),-0.715552121376038)</f>
        <v>-0.71555212137603796</v>
      </c>
      <c r="KW72" s="3">
        <f ca="1">IFERROR(__xludf.DUMMYFUNCTION("""COMPUTED_VALUE"""),-0.680277555732625)</f>
        <v>-0.68027755573262505</v>
      </c>
      <c r="KX72" s="3">
        <f ca="1">IFERROR(__xludf.DUMMYFUNCTION("""COMPUTED_VALUE"""),-0.63347284103269)</f>
        <v>-0.63347284103268997</v>
      </c>
      <c r="KY72" s="3">
        <f ca="1">IFERROR(__xludf.DUMMYFUNCTION("""COMPUTED_VALUE"""),-0.616620398531302)</f>
        <v>-0.61662039853130202</v>
      </c>
      <c r="KZ72" s="3">
        <f ca="1">IFERROR(__xludf.DUMMYFUNCTION("""COMPUTED_VALUE"""),-0.531961608522333)</f>
        <v>-0.53196160852233298</v>
      </c>
      <c r="LA72" s="3">
        <f ca="1">IFERROR(__xludf.DUMMYFUNCTION("""COMPUTED_VALUE"""),-0.684356789156951)</f>
        <v>-0.68435678915695097</v>
      </c>
      <c r="LB72" s="3">
        <f ca="1">IFERROR(__xludf.DUMMYFUNCTION("""COMPUTED_VALUE"""),-0.667475707491945)</f>
        <v>-0.66747570749194496</v>
      </c>
      <c r="LC72" s="3">
        <f ca="1">IFERROR(__xludf.DUMMYFUNCTION("""COMPUTED_VALUE"""),-0.698437752171144)</f>
        <v>-0.69843775217114401</v>
      </c>
      <c r="LD72" s="3">
        <f ca="1">IFERROR(__xludf.DUMMYFUNCTION("""COMPUTED_VALUE"""),-0.716375010821419)</f>
        <v>-0.71637501082141897</v>
      </c>
      <c r="LE72" s="3">
        <f ca="1">IFERROR(__xludf.DUMMYFUNCTION("""COMPUTED_VALUE"""),-0.705488602357027)</f>
        <v>-0.70548860235702704</v>
      </c>
      <c r="LF72" s="3">
        <f ca="1">IFERROR(__xludf.DUMMYFUNCTION("""COMPUTED_VALUE"""),-0.689826154595123)</f>
        <v>-0.68982615459512298</v>
      </c>
      <c r="LG72" s="3">
        <f ca="1">IFERROR(__xludf.DUMMYFUNCTION("""COMPUTED_VALUE"""),-0.652317863870297)</f>
        <v>-0.652317863870297</v>
      </c>
      <c r="LH72" s="3">
        <f ca="1">IFERROR(__xludf.DUMMYFUNCTION("""COMPUTED_VALUE"""),-0.74106849648053)</f>
        <v>-0.74106849648052997</v>
      </c>
      <c r="LI72" s="3">
        <f ca="1">IFERROR(__xludf.DUMMYFUNCTION("""COMPUTED_VALUE"""),-0.765559874349928)</f>
        <v>-0.765559874349928</v>
      </c>
      <c r="LJ72" s="3">
        <f ca="1">IFERROR(__xludf.DUMMYFUNCTION("""COMPUTED_VALUE"""),-0.778298524112916)</f>
        <v>-0.778298524112916</v>
      </c>
      <c r="LK72" s="3">
        <f ca="1">IFERROR(__xludf.DUMMYFUNCTION("""COMPUTED_VALUE"""),-0.71567657127627)</f>
        <v>-0.71567657127627005</v>
      </c>
      <c r="LL72" s="3">
        <f ca="1">IFERROR(__xludf.DUMMYFUNCTION("""COMPUTED_VALUE"""),-0.688686198020526)</f>
        <v>-0.688686198020526</v>
      </c>
      <c r="LM72" s="3">
        <f ca="1">IFERROR(__xludf.DUMMYFUNCTION("""COMPUTED_VALUE"""),-0.649325032435981)</f>
        <v>-0.64932503243598105</v>
      </c>
      <c r="LN72" s="3">
        <f ca="1">IFERROR(__xludf.DUMMYFUNCTION("""COMPUTED_VALUE"""),-0.726586339225898)</f>
        <v>-0.72658633922589799</v>
      </c>
      <c r="LO72" s="3">
        <f ca="1">IFERROR(__xludf.DUMMYFUNCTION("""COMPUTED_VALUE"""),-0.783853317768577)</f>
        <v>-0.78385331776857703</v>
      </c>
      <c r="LP72" s="3">
        <f ca="1">IFERROR(__xludf.DUMMYFUNCTION("""COMPUTED_VALUE"""),-0.802317245078348)</f>
        <v>-0.80231724507834801</v>
      </c>
      <c r="LQ72" s="3">
        <f ca="1">IFERROR(__xludf.DUMMYFUNCTION("""COMPUTED_VALUE"""),-0.817903119760704)</f>
        <v>-0.81790311976070396</v>
      </c>
      <c r="LR72" s="3">
        <f ca="1">IFERROR(__xludf.DUMMYFUNCTION("""COMPUTED_VALUE"""),-0.777602451741639)</f>
        <v>-0.777602451741639</v>
      </c>
      <c r="LS72" s="3">
        <f ca="1">IFERROR(__xludf.DUMMYFUNCTION("""COMPUTED_VALUE"""),-0.810645203961437)</f>
        <v>-0.81064520396143702</v>
      </c>
      <c r="LT72" s="3">
        <f ca="1">IFERROR(__xludf.DUMMYFUNCTION("""COMPUTED_VALUE"""),-0.801664444149163)</f>
        <v>-0.80166444414916305</v>
      </c>
      <c r="LU72" s="3">
        <f ca="1">IFERROR(__xludf.DUMMYFUNCTION("""COMPUTED_VALUE"""),-0.78131284003461)</f>
        <v>-0.78131284003460999</v>
      </c>
      <c r="LV72" s="3">
        <f ca="1">IFERROR(__xludf.DUMMYFUNCTION("""COMPUTED_VALUE"""),-0.806426842770552)</f>
        <v>-0.80642684277055199</v>
      </c>
      <c r="LW72" s="3">
        <f ca="1">IFERROR(__xludf.DUMMYFUNCTION("""COMPUTED_VALUE"""),-0.882660516859882)</f>
        <v>-0.88266051685988201</v>
      </c>
      <c r="LX72" s="3">
        <f ca="1">IFERROR(__xludf.DUMMYFUNCTION("""COMPUTED_VALUE"""),-0.854929758095028)</f>
        <v>-0.85492975809502803</v>
      </c>
      <c r="LY72" s="3">
        <f ca="1">IFERROR(__xludf.DUMMYFUNCTION("""COMPUTED_VALUE"""),-0.843326639855317)</f>
        <v>-0.84332663985531697</v>
      </c>
      <c r="LZ72" s="3">
        <f ca="1">IFERROR(__xludf.DUMMYFUNCTION("""COMPUTED_VALUE"""),-0.84608841177787)</f>
        <v>-0.84608841177786998</v>
      </c>
      <c r="MA72" s="3">
        <f ca="1">IFERROR(__xludf.DUMMYFUNCTION("""COMPUTED_VALUE"""),-0.827032867797978)</f>
        <v>-0.82703286779797802</v>
      </c>
      <c r="MB72" s="3">
        <f ca="1">IFERROR(__xludf.DUMMYFUNCTION("""COMPUTED_VALUE"""),-0.846217732877909)</f>
        <v>-0.84621773287790902</v>
      </c>
      <c r="MC72" s="3">
        <f ca="1">IFERROR(__xludf.DUMMYFUNCTION("""COMPUTED_VALUE"""),-0.839189639339366)</f>
        <v>-0.83918963933936597</v>
      </c>
      <c r="MD72" s="3">
        <f ca="1">IFERROR(__xludf.DUMMYFUNCTION("""COMPUTED_VALUE"""),-0.888246463947065)</f>
        <v>-0.88824646394706497</v>
      </c>
      <c r="ME72" s="3">
        <f ca="1">IFERROR(__xludf.DUMMYFUNCTION("""COMPUTED_VALUE"""),-0.876477602680855)</f>
        <v>-0.87647760268085495</v>
      </c>
      <c r="MF72" s="3">
        <f ca="1">IFERROR(__xludf.DUMMYFUNCTION("""COMPUTED_VALUE"""),-0.854459421878101)</f>
        <v>-0.85445942187810098</v>
      </c>
      <c r="MG72" s="3">
        <f ca="1">IFERROR(__xludf.DUMMYFUNCTION("""COMPUTED_VALUE"""),-0.855081152139636)</f>
        <v>-0.85508115213963598</v>
      </c>
      <c r="MH72" s="3">
        <f ca="1">IFERROR(__xludf.DUMMYFUNCTION("""COMPUTED_VALUE"""),-0.83869912725632)</f>
        <v>-0.83869912725632001</v>
      </c>
      <c r="MI72" s="3">
        <f ca="1">IFERROR(__xludf.DUMMYFUNCTION("""COMPUTED_VALUE"""),-0.845028033071781)</f>
        <v>-0.84502803307178098</v>
      </c>
      <c r="MJ72" s="3">
        <f ca="1">IFERROR(__xludf.DUMMYFUNCTION("""COMPUTED_VALUE"""),-0.865984098455911)</f>
        <v>-0.86598409845591096</v>
      </c>
      <c r="MK72" s="3">
        <f ca="1">IFERROR(__xludf.DUMMYFUNCTION("""COMPUTED_VALUE"""),-0.887799566365361)</f>
        <v>-0.88779956636536095</v>
      </c>
      <c r="ML72" s="3">
        <f ca="1">IFERROR(__xludf.DUMMYFUNCTION("""COMPUTED_VALUE"""),-0.893413424496721)</f>
        <v>-0.89341342449672101</v>
      </c>
      <c r="MM72" s="3">
        <f ca="1">IFERROR(__xludf.DUMMYFUNCTION("""COMPUTED_VALUE"""),-0.872168286896277)</f>
        <v>-0.87216828689627701</v>
      </c>
      <c r="MN72" s="3">
        <f ca="1">IFERROR(__xludf.DUMMYFUNCTION("""COMPUTED_VALUE"""),-0.876010244009398)</f>
        <v>-0.87601024400939798</v>
      </c>
      <c r="MO72" s="3">
        <f ca="1">IFERROR(__xludf.DUMMYFUNCTION("""COMPUTED_VALUE"""),-0.863171372374655)</f>
        <v>-0.86317137237465502</v>
      </c>
      <c r="MP72" s="3">
        <f ca="1">IFERROR(__xludf.DUMMYFUNCTION("""COMPUTED_VALUE"""),-0.840588535860843)</f>
        <v>-0.84058853586084303</v>
      </c>
      <c r="MQ72" s="3">
        <f ca="1">IFERROR(__xludf.DUMMYFUNCTION("""COMPUTED_VALUE"""),-0.862307839543083)</f>
        <v>-0.86230783954308299</v>
      </c>
      <c r="MR72" s="3">
        <f ca="1">IFERROR(__xludf.DUMMYFUNCTION("""COMPUTED_VALUE"""),-0.907288612385197)</f>
        <v>-0.90728861238519698</v>
      </c>
      <c r="MS72" s="3">
        <f ca="1">IFERROR(__xludf.DUMMYFUNCTION("""COMPUTED_VALUE"""),-0.916784730707775)</f>
        <v>-0.916784730707775</v>
      </c>
      <c r="MT72" s="3">
        <f ca="1">IFERROR(__xludf.DUMMYFUNCTION("""COMPUTED_VALUE"""),-0.917795519357086)</f>
        <v>-0.91779551935708603</v>
      </c>
      <c r="MU72" s="3">
        <f ca="1">IFERROR(__xludf.DUMMYFUNCTION("""COMPUTED_VALUE"""),-0.897449368481921)</f>
        <v>-0.89744936848192103</v>
      </c>
      <c r="MV72" s="3">
        <f ca="1">IFERROR(__xludf.DUMMYFUNCTION("""COMPUTED_VALUE"""),-0.860780086650033)</f>
        <v>-0.86078008665003303</v>
      </c>
      <c r="MW72" s="3">
        <f ca="1">IFERROR(__xludf.DUMMYFUNCTION("""COMPUTED_VALUE"""),-0.917564012964331)</f>
        <v>-0.91756401296433099</v>
      </c>
      <c r="MX72" s="3">
        <f ca="1">IFERROR(__xludf.DUMMYFUNCTION("""COMPUTED_VALUE"""),-0.888453375624184)</f>
        <v>-0.88845337562418403</v>
      </c>
      <c r="MY72" s="3">
        <f ca="1">IFERROR(__xludf.DUMMYFUNCTION("""COMPUTED_VALUE"""),-0.917323066986127)</f>
        <v>-0.91732306698612698</v>
      </c>
      <c r="MZ72" s="3">
        <f ca="1">IFERROR(__xludf.DUMMYFUNCTION("""COMPUTED_VALUE"""),-0.921990988791088)</f>
        <v>-0.92199098879108798</v>
      </c>
      <c r="NA72" s="3">
        <f ca="1">IFERROR(__xludf.DUMMYFUNCTION("""COMPUTED_VALUE"""),-0.911174967390123)</f>
        <v>-0.91117496739012305</v>
      </c>
      <c r="NB72" s="3">
        <f ca="1">IFERROR(__xludf.DUMMYFUNCTION("""COMPUTED_VALUE"""),-0.906267222701802)</f>
        <v>-0.90626722270180204</v>
      </c>
      <c r="NC72" s="3">
        <f ca="1">IFERROR(__xludf.DUMMYFUNCTION("""COMPUTED_VALUE"""),-0.898061228878371)</f>
        <v>-0.89806122887837103</v>
      </c>
      <c r="ND72" s="3">
        <f ca="1">IFERROR(__xludf.DUMMYFUNCTION("""COMPUTED_VALUE"""),-0.881575861447369)</f>
        <v>-0.88157586144736899</v>
      </c>
      <c r="NE72" s="3">
        <f ca="1">IFERROR(__xludf.DUMMYFUNCTION("""COMPUTED_VALUE"""),-0.897733837352211)</f>
        <v>-0.89773383735221102</v>
      </c>
      <c r="NF72" s="3">
        <f ca="1">IFERROR(__xludf.DUMMYFUNCTION("""COMPUTED_VALUE"""),-0.928840315175216)</f>
        <v>-0.92884031517521604</v>
      </c>
      <c r="NG72" s="3">
        <f ca="1">IFERROR(__xludf.DUMMYFUNCTION("""COMPUTED_VALUE"""),-0.919431066061222)</f>
        <v>-0.91943106606122205</v>
      </c>
      <c r="NH72" s="3">
        <f ca="1">IFERROR(__xludf.DUMMYFUNCTION("""COMPUTED_VALUE"""),-0.911567164615524)</f>
        <v>-0.91156716461552401</v>
      </c>
      <c r="NI72" s="3">
        <f ca="1">IFERROR(__xludf.DUMMYFUNCTION("""COMPUTED_VALUE"""),-0.916356307458688)</f>
        <v>-0.91635630745868801</v>
      </c>
      <c r="NJ72" s="3">
        <f ca="1">IFERROR(__xludf.DUMMYFUNCTION("""COMPUTED_VALUE"""),-0.897247063233643)</f>
        <v>-0.89724706323364301</v>
      </c>
      <c r="NK72" s="3">
        <f ca="1">IFERROR(__xludf.DUMMYFUNCTION("""COMPUTED_VALUE"""),-0.858381922124174)</f>
        <v>-0.85838192212417397</v>
      </c>
      <c r="NL72" s="3">
        <f ca="1">IFERROR(__xludf.DUMMYFUNCTION("""COMPUTED_VALUE"""),-0.861243798491458)</f>
        <v>-0.86124379849145805</v>
      </c>
      <c r="NM72" s="3">
        <f ca="1">IFERROR(__xludf.DUMMYFUNCTION("""COMPUTED_VALUE"""),-0.901256922578829)</f>
        <v>-0.90125692257882895</v>
      </c>
      <c r="NN72" s="3">
        <f ca="1">IFERROR(__xludf.DUMMYFUNCTION("""COMPUTED_VALUE"""),-0.894818611423804)</f>
        <v>-0.89481861142380403</v>
      </c>
      <c r="NO72" s="3">
        <f ca="1">IFERROR(__xludf.DUMMYFUNCTION("""COMPUTED_VALUE"""),-0.87462109894155)</f>
        <v>-0.87462109894155005</v>
      </c>
      <c r="NP72" s="3">
        <f ca="1">IFERROR(__xludf.DUMMYFUNCTION("""COMPUTED_VALUE"""),-0.866807553255243)</f>
        <v>-0.86680755325524295</v>
      </c>
      <c r="NQ72" s="3">
        <f ca="1">IFERROR(__xludf.DUMMYFUNCTION("""COMPUTED_VALUE"""),-0.84964792735829)</f>
        <v>-0.84964792735828998</v>
      </c>
      <c r="NR72" s="3">
        <f ca="1">IFERROR(__xludf.DUMMYFUNCTION("""COMPUTED_VALUE"""),-0.88108450279301)</f>
        <v>-0.88108450279300998</v>
      </c>
      <c r="NS72" s="3">
        <f ca="1">IFERROR(__xludf.DUMMYFUNCTION("""COMPUTED_VALUE"""),-0.864999174100138)</f>
        <v>-0.86499917410013805</v>
      </c>
      <c r="NT72" s="3">
        <f ca="1">IFERROR(__xludf.DUMMYFUNCTION("""COMPUTED_VALUE"""),-0.934939796780248)</f>
        <v>-0.93493979678024797</v>
      </c>
      <c r="NU72" s="3">
        <f ca="1">IFERROR(__xludf.DUMMYFUNCTION("""COMPUTED_VALUE"""),-0.906565423871283)</f>
        <v>-0.90656542387128303</v>
      </c>
      <c r="NV72" s="3">
        <f ca="1">IFERROR(__xludf.DUMMYFUNCTION("""COMPUTED_VALUE"""),-0.914008838395572)</f>
        <v>-0.91400883839557201</v>
      </c>
      <c r="NW72" s="3">
        <f ca="1">IFERROR(__xludf.DUMMYFUNCTION("""COMPUTED_VALUE"""),-0.869666816744675)</f>
        <v>-0.86966681674467505</v>
      </c>
      <c r="NX72" s="3">
        <f ca="1">IFERROR(__xludf.DUMMYFUNCTION("""COMPUTED_VALUE"""),-0.842139015169337)</f>
        <v>-0.84213901516933698</v>
      </c>
      <c r="NY72" s="3">
        <f ca="1">IFERROR(__xludf.DUMMYFUNCTION("""COMPUTED_VALUE"""),-0.792152152794126)</f>
        <v>-0.79215215279412599</v>
      </c>
      <c r="NZ72" s="3">
        <f ca="1">IFERROR(__xludf.DUMMYFUNCTION("""COMPUTED_VALUE"""),-0.790257990108087)</f>
        <v>-0.79025799010808695</v>
      </c>
      <c r="OA72" s="3">
        <f ca="1">IFERROR(__xludf.DUMMYFUNCTION("""COMPUTED_VALUE"""),-0.835578868965305)</f>
        <v>-0.83557886896530498</v>
      </c>
      <c r="OB72" s="3">
        <f ca="1">IFERROR(__xludf.DUMMYFUNCTION("""COMPUTED_VALUE"""),-0.77948340203109)</f>
        <v>-0.77948340203109001</v>
      </c>
      <c r="OC72" s="3">
        <f ca="1">IFERROR(__xludf.DUMMYFUNCTION("""COMPUTED_VALUE"""),-0.751739186939081)</f>
        <v>-0.75173918693908104</v>
      </c>
      <c r="OD72" s="3">
        <f ca="1">IFERROR(__xludf.DUMMYFUNCTION("""COMPUTED_VALUE"""),-0.731879604491167)</f>
        <v>-0.73187960449116696</v>
      </c>
      <c r="OE72" s="3">
        <f ca="1">IFERROR(__xludf.DUMMYFUNCTION("""COMPUTED_VALUE"""),-0.599168322982915)</f>
        <v>-0.599168322982915</v>
      </c>
      <c r="OF72" s="3">
        <f ca="1">IFERROR(__xludf.DUMMYFUNCTION("""COMPUTED_VALUE"""),-0.350473306652414)</f>
        <v>-0.350473306652414</v>
      </c>
      <c r="OG72" s="3">
        <f ca="1">IFERROR(__xludf.DUMMYFUNCTION("""COMPUTED_VALUE"""),-0.386850957214749)</f>
        <v>-0.38685095721474899</v>
      </c>
      <c r="OH72" s="3">
        <f ca="1">IFERROR(__xludf.DUMMYFUNCTION("""COMPUTED_VALUE"""),-0.282934529393613)</f>
        <v>-0.28293452939361302</v>
      </c>
      <c r="OI72" s="3">
        <f ca="1">IFERROR(__xludf.DUMMYFUNCTION("""COMPUTED_VALUE"""),-0.0708581750762443)</f>
        <v>-7.0858175076244298E-2</v>
      </c>
      <c r="OJ72" s="3">
        <f ca="1">IFERROR(__xludf.DUMMYFUNCTION("""COMPUTED_VALUE"""),0.00889259324291602)</f>
        <v>8.8925932429160196E-3</v>
      </c>
      <c r="OK72" s="3">
        <f ca="1">IFERROR(__xludf.DUMMYFUNCTION("""COMPUTED_VALUE"""),0.116315253581068)</f>
        <v>0.11631525358106801</v>
      </c>
      <c r="OL72" s="3">
        <f ca="1">IFERROR(__xludf.DUMMYFUNCTION("""COMPUTED_VALUE"""),0.0532011077040794)</f>
        <v>5.3201107704079403E-2</v>
      </c>
      <c r="OM72" s="3">
        <f ca="1">IFERROR(__xludf.DUMMYFUNCTION("""COMPUTED_VALUE"""),-0.0238505056135182)</f>
        <v>-2.3850505613518199E-2</v>
      </c>
      <c r="ON72" s="3">
        <f ca="1">IFERROR(__xludf.DUMMYFUNCTION("""COMPUTED_VALUE"""),0.0404759795789229)</f>
        <v>4.0475979578922898E-2</v>
      </c>
      <c r="OO72" s="3">
        <f ca="1">IFERROR(__xludf.DUMMYFUNCTION("""COMPUTED_VALUE"""),0.0372912118735457)</f>
        <v>3.7291211873545699E-2</v>
      </c>
      <c r="OP72" s="3">
        <f ca="1">IFERROR(__xludf.DUMMYFUNCTION("""COMPUTED_VALUE"""),-0.0530542915767365)</f>
        <v>-5.3054291576736502E-2</v>
      </c>
      <c r="OQ72" s="3">
        <f ca="1">IFERROR(__xludf.DUMMYFUNCTION("""COMPUTED_VALUE"""),-0.0211298152895582)</f>
        <v>-2.11298152895582E-2</v>
      </c>
      <c r="OR72" s="3">
        <f ca="1">IFERROR(__xludf.DUMMYFUNCTION("""COMPUTED_VALUE"""),0.0131940896049733)</f>
        <v>1.31940896049733E-2</v>
      </c>
      <c r="OS72" s="3">
        <f ca="1">IFERROR(__xludf.DUMMYFUNCTION("""COMPUTED_VALUE"""),0.0137621096869628)</f>
        <v>1.3762109686962801E-2</v>
      </c>
      <c r="OT72" s="3">
        <f ca="1">IFERROR(__xludf.DUMMYFUNCTION("""COMPUTED_VALUE"""),0.0236651745716021)</f>
        <v>2.36651745716021E-2</v>
      </c>
      <c r="OU72" s="3">
        <f ca="1">IFERROR(__xludf.DUMMYFUNCTION("""COMPUTED_VALUE"""),-0.0122633436038522)</f>
        <v>-1.22633436038522E-2</v>
      </c>
      <c r="OV72" s="3">
        <f ca="1">IFERROR(__xludf.DUMMYFUNCTION("""COMPUTED_VALUE"""),0.131341913846331)</f>
        <v>0.13134191384633101</v>
      </c>
      <c r="OW72" s="3">
        <f ca="1">IFERROR(__xludf.DUMMYFUNCTION("""COMPUTED_VALUE"""),-0.031293639229607)</f>
        <v>-3.1293639229606998E-2</v>
      </c>
      <c r="OX72" s="3">
        <f ca="1">IFERROR(__xludf.DUMMYFUNCTION("""COMPUTED_VALUE"""),0.0223990938449232)</f>
        <v>2.2399093844923199E-2</v>
      </c>
      <c r="OY72" s="3">
        <f ca="1">IFERROR(__xludf.DUMMYFUNCTION("""COMPUTED_VALUE"""),-0.0265052538118822)</f>
        <v>-2.65052538118822E-2</v>
      </c>
      <c r="OZ72" s="3">
        <f ca="1">IFERROR(__xludf.DUMMYFUNCTION("""COMPUTED_VALUE"""),-0.0297982752572034)</f>
        <v>-2.97982752572034E-2</v>
      </c>
      <c r="PA72" s="3">
        <f ca="1">IFERROR(__xludf.DUMMYFUNCTION("""COMPUTED_VALUE"""),0.0781334803385183)</f>
        <v>7.8133480338518302E-2</v>
      </c>
      <c r="PB72" s="3">
        <f ca="1">IFERROR(__xludf.DUMMYFUNCTION("""COMPUTED_VALUE"""),0.0387999482660819)</f>
        <v>3.87999482660819E-2</v>
      </c>
      <c r="PC72" s="3">
        <f ca="1">IFERROR(__xludf.DUMMYFUNCTION("""COMPUTED_VALUE"""),-0.0171689221098735)</f>
        <v>-1.7168922109873499E-2</v>
      </c>
      <c r="PD72" s="3">
        <f ca="1">IFERROR(__xludf.DUMMYFUNCTION("""COMPUTED_VALUE"""),-0.0504395982176292)</f>
        <v>-5.0439598217629202E-2</v>
      </c>
      <c r="PE72" s="3">
        <f ca="1">IFERROR(__xludf.DUMMYFUNCTION("""COMPUTED_VALUE"""),0.117355740852453)</f>
        <v>0.117355740852453</v>
      </c>
      <c r="PF72" s="3">
        <f ca="1">IFERROR(__xludf.DUMMYFUNCTION("""COMPUTED_VALUE"""),0.0332983494927749)</f>
        <v>3.3298349492774902E-2</v>
      </c>
      <c r="PG72" s="3">
        <f ca="1">IFERROR(__xludf.DUMMYFUNCTION("""COMPUTED_VALUE"""),0.126201269750357)</f>
        <v>0.126201269750357</v>
      </c>
      <c r="PH72" s="3">
        <f ca="1">IFERROR(__xludf.DUMMYFUNCTION("""COMPUTED_VALUE"""),0.14901346416888)</f>
        <v>0.14901346416888001</v>
      </c>
      <c r="PI72" s="3">
        <f ca="1">IFERROR(__xludf.DUMMYFUNCTION("""COMPUTED_VALUE"""),0.00405560864612608)</f>
        <v>4.0556086461260802E-3</v>
      </c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</row>
    <row r="73" spans="1:477" ht="13">
      <c r="A73" s="1" t="str">
        <f ca="1">IFERROR(__xludf.DUMMYFUNCTION("""COMPUTED_VALUE"""),"STM")</f>
        <v>STM</v>
      </c>
      <c r="B73" s="1" t="str">
        <f ca="1">IFERROR(__xludf.DUMMYFUNCTION("""COMPUTED_VALUE"""),"Montréal")</f>
        <v>Montréal</v>
      </c>
      <c r="C73" s="1" t="str">
        <f ca="1">IFERROR(__xludf.DUMMYFUNCTION("""COMPUTED_VALUE"""),"Canada")</f>
        <v>Canada</v>
      </c>
      <c r="D73" s="1" t="str">
        <f ca="1">IFERROR(__xludf.DUMMYFUNCTION("""COMPUTED_VALUE"""),"Quebec")</f>
        <v>Quebec</v>
      </c>
      <c r="E73" s="3">
        <f ca="1">IFERROR(__xludf.DUMMYFUNCTION("""COMPUTED_VALUE"""),-0.563902438263455)</f>
        <v>-0.56390243826345499</v>
      </c>
      <c r="F73" s="3">
        <f ca="1">IFERROR(__xludf.DUMMYFUNCTION("""COMPUTED_VALUE"""),-0.583874118384723)</f>
        <v>-0.58387411838472303</v>
      </c>
      <c r="G73" s="3">
        <f ca="1">IFERROR(__xludf.DUMMYFUNCTION("""COMPUTED_VALUE"""),-0.631710269377568)</f>
        <v>-0.63171026937756802</v>
      </c>
      <c r="H73" s="3">
        <f ca="1">IFERROR(__xludf.DUMMYFUNCTION("""COMPUTED_VALUE"""),-0.618931913627793)</f>
        <v>-0.61893191362779298</v>
      </c>
      <c r="I73" s="3">
        <f ca="1">IFERROR(__xludf.DUMMYFUNCTION("""COMPUTED_VALUE"""),-0.606934602287307)</f>
        <v>-0.606934602287307</v>
      </c>
      <c r="J73" s="3">
        <f ca="1">IFERROR(__xludf.DUMMYFUNCTION("""COMPUTED_VALUE"""),-0.638067334359934)</f>
        <v>-0.63806733435993401</v>
      </c>
      <c r="K73" s="3">
        <f ca="1">IFERROR(__xludf.DUMMYFUNCTION("""COMPUTED_VALUE"""),-0.627606370988767)</f>
        <v>-0.62760637098876704</v>
      </c>
      <c r="L73" s="3">
        <f ca="1">IFERROR(__xludf.DUMMYFUNCTION("""COMPUTED_VALUE"""),-0.607749465478086)</f>
        <v>-0.60774946547808595</v>
      </c>
      <c r="M73" s="3">
        <f ca="1">IFERROR(__xludf.DUMMYFUNCTION("""COMPUTED_VALUE"""),-0.657877470256099)</f>
        <v>-0.657877470256099</v>
      </c>
      <c r="N73" s="3">
        <f ca="1">IFERROR(__xludf.DUMMYFUNCTION("""COMPUTED_VALUE"""),-0.62023511700917)</f>
        <v>-0.62023511700917</v>
      </c>
      <c r="O73" s="3">
        <f ca="1">IFERROR(__xludf.DUMMYFUNCTION("""COMPUTED_VALUE"""),-0.624092702943659)</f>
        <v>-0.62409270294365904</v>
      </c>
      <c r="P73" s="3">
        <f ca="1">IFERROR(__xludf.DUMMYFUNCTION("""COMPUTED_VALUE"""),-0.615604621341382)</f>
        <v>-0.61560462134138205</v>
      </c>
      <c r="Q73" s="3">
        <f ca="1">IFERROR(__xludf.DUMMYFUNCTION("""COMPUTED_VALUE"""),-0.618494014151604)</f>
        <v>-0.61849401415160399</v>
      </c>
      <c r="R73" s="3">
        <f ca="1">IFERROR(__xludf.DUMMYFUNCTION("""COMPUTED_VALUE"""),-0.604090824889936)</f>
        <v>-0.60409082488993604</v>
      </c>
      <c r="S73" s="3">
        <f ca="1">IFERROR(__xludf.DUMMYFUNCTION("""COMPUTED_VALUE"""),-0.603101583257016)</f>
        <v>-0.60310158325701602</v>
      </c>
      <c r="T73" s="3">
        <f ca="1">IFERROR(__xludf.DUMMYFUNCTION("""COMPUTED_VALUE"""),-0.659112129785946)</f>
        <v>-0.65911212978594602</v>
      </c>
      <c r="U73" s="3">
        <f ca="1">IFERROR(__xludf.DUMMYFUNCTION("""COMPUTED_VALUE"""),-0.623881831060274)</f>
        <v>-0.62388183106027395</v>
      </c>
      <c r="V73" s="3">
        <f ca="1">IFERROR(__xludf.DUMMYFUNCTION("""COMPUTED_VALUE"""),-0.642793281081753)</f>
        <v>-0.64279328108175304</v>
      </c>
      <c r="W73" s="3">
        <f ca="1">IFERROR(__xludf.DUMMYFUNCTION("""COMPUTED_VALUE"""),-0.625481302053072)</f>
        <v>-0.62548130205307195</v>
      </c>
      <c r="X73" s="3">
        <f ca="1">IFERROR(__xludf.DUMMYFUNCTION("""COMPUTED_VALUE"""),-0.627768887441579)</f>
        <v>-0.62776888744157899</v>
      </c>
      <c r="Y73" s="3">
        <f ca="1">IFERROR(__xludf.DUMMYFUNCTION("""COMPUTED_VALUE"""),-0.565506742146062)</f>
        <v>-0.565506742146062</v>
      </c>
      <c r="Z73" s="3">
        <f ca="1">IFERROR(__xludf.DUMMYFUNCTION("""COMPUTED_VALUE"""),-0.597313255526533)</f>
        <v>-0.59731325552653303</v>
      </c>
      <c r="AA73" s="3">
        <f ca="1">IFERROR(__xludf.DUMMYFUNCTION("""COMPUTED_VALUE"""),-0.655396171165409)</f>
        <v>-0.65539617116540905</v>
      </c>
      <c r="AB73" s="3">
        <f ca="1">IFERROR(__xludf.DUMMYFUNCTION("""COMPUTED_VALUE"""),-0.651134916077793)</f>
        <v>-0.65113491607779295</v>
      </c>
      <c r="AC73" s="3">
        <f ca="1">IFERROR(__xludf.DUMMYFUNCTION("""COMPUTED_VALUE"""),-0.64862993448116)</f>
        <v>-0.64862993448116002</v>
      </c>
      <c r="AD73" s="3">
        <f ca="1">IFERROR(__xludf.DUMMYFUNCTION("""COMPUTED_VALUE"""),-0.648044842232176)</f>
        <v>-0.64804484223217595</v>
      </c>
      <c r="AE73" s="3">
        <f ca="1">IFERROR(__xludf.DUMMYFUNCTION("""COMPUTED_VALUE"""),-0.659388303374913)</f>
        <v>-0.65938830337491305</v>
      </c>
      <c r="AF73" s="3">
        <f ca="1">IFERROR(__xludf.DUMMYFUNCTION("""COMPUTED_VALUE"""),-0.611615167392059)</f>
        <v>-0.61161516739205901</v>
      </c>
      <c r="AG73" s="3">
        <f ca="1">IFERROR(__xludf.DUMMYFUNCTION("""COMPUTED_VALUE"""),-0.606276261813869)</f>
        <v>-0.60627626181386896</v>
      </c>
      <c r="AH73" s="3">
        <f ca="1">IFERROR(__xludf.DUMMYFUNCTION("""COMPUTED_VALUE"""),-0.66049443841457)</f>
        <v>-0.66049443841457001</v>
      </c>
      <c r="AI73" s="3">
        <f ca="1">IFERROR(__xludf.DUMMYFUNCTION("""COMPUTED_VALUE"""),-0.657702333626177)</f>
        <v>-0.65770233362617703</v>
      </c>
      <c r="AJ73" s="3">
        <f ca="1">IFERROR(__xludf.DUMMYFUNCTION("""COMPUTED_VALUE"""),-0.650836588995104)</f>
        <v>-0.65083658899510399</v>
      </c>
      <c r="AK73" s="3">
        <f ca="1">IFERROR(__xludf.DUMMYFUNCTION("""COMPUTED_VALUE"""),-0.670653379627596)</f>
        <v>-0.67065337962759597</v>
      </c>
      <c r="AL73" s="3">
        <f ca="1">IFERROR(__xludf.DUMMYFUNCTION("""COMPUTED_VALUE"""),-0.66262792190458)</f>
        <v>-0.66262792190457998</v>
      </c>
      <c r="AM73" s="3">
        <f ca="1">IFERROR(__xludf.DUMMYFUNCTION("""COMPUTED_VALUE"""),-0.610754387894749)</f>
        <v>-0.61075438789474901</v>
      </c>
      <c r="AN73" s="3">
        <f ca="1">IFERROR(__xludf.DUMMYFUNCTION("""COMPUTED_VALUE"""),-0.625525934085586)</f>
        <v>-0.62552593408558599</v>
      </c>
      <c r="AO73" s="3">
        <f ca="1">IFERROR(__xludf.DUMMYFUNCTION("""COMPUTED_VALUE"""),-0.681505342861892)</f>
        <v>-0.68150534286189202</v>
      </c>
      <c r="AP73" s="3">
        <f ca="1">IFERROR(__xludf.DUMMYFUNCTION("""COMPUTED_VALUE"""),-0.671417935096584)</f>
        <v>-0.67141793509658398</v>
      </c>
      <c r="AQ73" s="3">
        <f ca="1">IFERROR(__xludf.DUMMYFUNCTION("""COMPUTED_VALUE"""),-0.661133943846567)</f>
        <v>-0.66113394384656698</v>
      </c>
      <c r="AR73" s="3">
        <f ca="1">IFERROR(__xludf.DUMMYFUNCTION("""COMPUTED_VALUE"""),-0.67828299259271)</f>
        <v>-0.67828299259270997</v>
      </c>
      <c r="AS73" s="3">
        <f ca="1">IFERROR(__xludf.DUMMYFUNCTION("""COMPUTED_VALUE"""),-0.653422592771125)</f>
        <v>-0.65342259277112502</v>
      </c>
      <c r="AT73" s="3">
        <f ca="1">IFERROR(__xludf.DUMMYFUNCTION("""COMPUTED_VALUE"""),-0.56301022389208)</f>
        <v>-0.56301022389208</v>
      </c>
      <c r="AU73" s="3">
        <f ca="1">IFERROR(__xludf.DUMMYFUNCTION("""COMPUTED_VALUE"""),-0.61659315006759)</f>
        <v>-0.61659315006758997</v>
      </c>
      <c r="AV73" s="3">
        <f ca="1">IFERROR(__xludf.DUMMYFUNCTION("""COMPUTED_VALUE"""),-0.6552597321908)</f>
        <v>-0.65525973219080003</v>
      </c>
      <c r="AW73" s="3">
        <f ca="1">IFERROR(__xludf.DUMMYFUNCTION("""COMPUTED_VALUE"""),-0.671423089050824)</f>
        <v>-0.67142308905082404</v>
      </c>
      <c r="AX73" s="3">
        <f ca="1">IFERROR(__xludf.DUMMYFUNCTION("""COMPUTED_VALUE"""),-0.663289379505575)</f>
        <v>-0.66328937950557498</v>
      </c>
      <c r="AY73" s="3">
        <f ca="1">IFERROR(__xludf.DUMMYFUNCTION("""COMPUTED_VALUE"""),-0.684477684142576)</f>
        <v>-0.68447768414257604</v>
      </c>
      <c r="AZ73" s="3">
        <f ca="1">IFERROR(__xludf.DUMMYFUNCTION("""COMPUTED_VALUE"""),-0.665212279836203)</f>
        <v>-0.66521227983620301</v>
      </c>
      <c r="BA73" s="3">
        <f ca="1">IFERROR(__xludf.DUMMYFUNCTION("""COMPUTED_VALUE"""),-0.618184336913716)</f>
        <v>-0.61818433691371599</v>
      </c>
      <c r="BB73" s="3">
        <f ca="1">IFERROR(__xludf.DUMMYFUNCTION("""COMPUTED_VALUE"""),-0.635476595450122)</f>
        <v>-0.63547659545012203</v>
      </c>
      <c r="BC73" s="3">
        <f ca="1">IFERROR(__xludf.DUMMYFUNCTION("""COMPUTED_VALUE"""),-0.692746074707541)</f>
        <v>-0.69274607470754102</v>
      </c>
      <c r="BD73" s="3">
        <f ca="1">IFERROR(__xludf.DUMMYFUNCTION("""COMPUTED_VALUE"""),-0.726673830219555)</f>
        <v>-0.72667383021955501</v>
      </c>
      <c r="BE73" s="3">
        <f ca="1">IFERROR(__xludf.DUMMYFUNCTION("""COMPUTED_VALUE"""),-0.644651515877911)</f>
        <v>-0.64465151587791103</v>
      </c>
      <c r="BF73" s="3">
        <f ca="1">IFERROR(__xludf.DUMMYFUNCTION("""COMPUTED_VALUE"""),-0.710151009283286)</f>
        <v>-0.71015100928328601</v>
      </c>
      <c r="BG73" s="3">
        <f ca="1">IFERROR(__xludf.DUMMYFUNCTION("""COMPUTED_VALUE"""),-0.68781527645294)</f>
        <v>-0.68781527645294005</v>
      </c>
      <c r="BH73" s="3">
        <f ca="1">IFERROR(__xludf.DUMMYFUNCTION("""COMPUTED_VALUE"""),-0.59660581622468)</f>
        <v>-0.59660581622468001</v>
      </c>
      <c r="BI73" s="3">
        <f ca="1">IFERROR(__xludf.DUMMYFUNCTION("""COMPUTED_VALUE"""),-0.638021478556333)</f>
        <v>-0.63802147855633295</v>
      </c>
      <c r="BJ73" s="3">
        <f ca="1">IFERROR(__xludf.DUMMYFUNCTION("""COMPUTED_VALUE"""),-0.695849839211405)</f>
        <v>-0.69584983921140497</v>
      </c>
      <c r="BK73" s="3">
        <f ca="1">IFERROR(__xludf.DUMMYFUNCTION("""COMPUTED_VALUE"""),-0.705018645920409)</f>
        <v>-0.70501864592040897</v>
      </c>
      <c r="BL73" s="3">
        <f ca="1">IFERROR(__xludf.DUMMYFUNCTION("""COMPUTED_VALUE"""),-0.703010726545713)</f>
        <v>-0.70301072654571295</v>
      </c>
      <c r="BM73" s="3">
        <f ca="1">IFERROR(__xludf.DUMMYFUNCTION("""COMPUTED_VALUE"""),-0.697762008991273)</f>
        <v>-0.69776200899127305</v>
      </c>
      <c r="BN73" s="3">
        <f ca="1">IFERROR(__xludf.DUMMYFUNCTION("""COMPUTED_VALUE"""),-0.704759758091795)</f>
        <v>-0.70475975809179503</v>
      </c>
      <c r="BO73" s="3">
        <f ca="1">IFERROR(__xludf.DUMMYFUNCTION("""COMPUTED_VALUE"""),-0.690900934335848)</f>
        <v>-0.69090093433584798</v>
      </c>
      <c r="BP73" s="3">
        <f ca="1">IFERROR(__xludf.DUMMYFUNCTION("""COMPUTED_VALUE"""),-0.715253409084242)</f>
        <v>-0.71525340908424195</v>
      </c>
      <c r="BQ73" s="3">
        <f ca="1">IFERROR(__xludf.DUMMYFUNCTION("""COMPUTED_VALUE"""),-0.717009651878393)</f>
        <v>-0.71700965187839305</v>
      </c>
      <c r="BR73" s="3">
        <f ca="1">IFERROR(__xludf.DUMMYFUNCTION("""COMPUTED_VALUE"""),-0.715457434797016)</f>
        <v>-0.71545743479701596</v>
      </c>
      <c r="BS73" s="3">
        <f ca="1">IFERROR(__xludf.DUMMYFUNCTION("""COMPUTED_VALUE"""),-0.705550744244412)</f>
        <v>-0.705550744244412</v>
      </c>
      <c r="BT73" s="3">
        <f ca="1">IFERROR(__xludf.DUMMYFUNCTION("""COMPUTED_VALUE"""),-0.730815761664276)</f>
        <v>-0.73081576166427598</v>
      </c>
      <c r="BU73" s="3">
        <f ca="1">IFERROR(__xludf.DUMMYFUNCTION("""COMPUTED_VALUE"""),-0.74570502869877)</f>
        <v>-0.74570502869876998</v>
      </c>
      <c r="BV73" s="3">
        <f ca="1">IFERROR(__xludf.DUMMYFUNCTION("""COMPUTED_VALUE"""),-0.708593277085572)</f>
        <v>-0.70859327708557196</v>
      </c>
      <c r="BW73" s="3">
        <f ca="1">IFERROR(__xludf.DUMMYFUNCTION("""COMPUTED_VALUE"""),-0.738016065318588)</f>
        <v>-0.73801606531858799</v>
      </c>
      <c r="BX73" s="3">
        <f ca="1">IFERROR(__xludf.DUMMYFUNCTION("""COMPUTED_VALUE"""),-0.738884892735323)</f>
        <v>-0.73888489273532298</v>
      </c>
      <c r="BY73" s="3">
        <f ca="1">IFERROR(__xludf.DUMMYFUNCTION("""COMPUTED_VALUE"""),-0.745536808010385)</f>
        <v>-0.74553680801038502</v>
      </c>
      <c r="BZ73" s="3">
        <f ca="1">IFERROR(__xludf.DUMMYFUNCTION("""COMPUTED_VALUE"""),-0.735809991477917)</f>
        <v>-0.73580999147791704</v>
      </c>
      <c r="CA73" s="3">
        <f ca="1">IFERROR(__xludf.DUMMYFUNCTION("""COMPUTED_VALUE"""),-0.74238624959607)</f>
        <v>-0.74238624959607002</v>
      </c>
      <c r="CB73" s="3">
        <f ca="1">IFERROR(__xludf.DUMMYFUNCTION("""COMPUTED_VALUE"""),-0.736297261843341)</f>
        <v>-0.73629726184334099</v>
      </c>
      <c r="CC73" s="3">
        <f ca="1">IFERROR(__xludf.DUMMYFUNCTION("""COMPUTED_VALUE"""),-0.706418249032063)</f>
        <v>-0.70641824903206296</v>
      </c>
      <c r="CD73" s="3">
        <f ca="1">IFERROR(__xludf.DUMMYFUNCTION("""COMPUTED_VALUE"""),-0.720125002540299)</f>
        <v>-0.72012500254029899</v>
      </c>
      <c r="CE73" s="3">
        <f ca="1">IFERROR(__xludf.DUMMYFUNCTION("""COMPUTED_VALUE"""),-0.736967326877114)</f>
        <v>-0.73696732687711397</v>
      </c>
      <c r="CF73" s="3">
        <f ca="1">IFERROR(__xludf.DUMMYFUNCTION("""COMPUTED_VALUE"""),-0.714368780122234)</f>
        <v>-0.71436878012223404</v>
      </c>
      <c r="CG73" s="3">
        <f ca="1">IFERROR(__xludf.DUMMYFUNCTION("""COMPUTED_VALUE"""),-0.734412852102167)</f>
        <v>-0.734412852102167</v>
      </c>
      <c r="CH73" s="3">
        <f ca="1">IFERROR(__xludf.DUMMYFUNCTION("""COMPUTED_VALUE"""),-0.735068744789806)</f>
        <v>-0.73506874478980599</v>
      </c>
      <c r="CI73" s="3">
        <f ca="1">IFERROR(__xludf.DUMMYFUNCTION("""COMPUTED_VALUE"""),-0.722142637389866)</f>
        <v>-0.72214263738986595</v>
      </c>
      <c r="CJ73" s="3">
        <f ca="1">IFERROR(__xludf.DUMMYFUNCTION("""COMPUTED_VALUE"""),-0.680360860426084)</f>
        <v>-0.68036086042608401</v>
      </c>
      <c r="CK73" s="3">
        <f ca="1">IFERROR(__xludf.DUMMYFUNCTION("""COMPUTED_VALUE"""),-0.716731780452064)</f>
        <v>-0.71673178045206398</v>
      </c>
      <c r="CL73" s="3">
        <f ca="1">IFERROR(__xludf.DUMMYFUNCTION("""COMPUTED_VALUE"""),-0.759453074853832)</f>
        <v>-0.75945307485383196</v>
      </c>
      <c r="CM73" s="3">
        <f ca="1">IFERROR(__xludf.DUMMYFUNCTION("""COMPUTED_VALUE"""),-0.768633301754298)</f>
        <v>-0.768633301754298</v>
      </c>
      <c r="CN73" s="3">
        <f ca="1">IFERROR(__xludf.DUMMYFUNCTION("""COMPUTED_VALUE"""),-0.768040323542866)</f>
        <v>-0.768040323542866</v>
      </c>
      <c r="CO73" s="3">
        <f ca="1">IFERROR(__xludf.DUMMYFUNCTION("""COMPUTED_VALUE"""),-0.76121458165995)</f>
        <v>-0.76121458165995004</v>
      </c>
      <c r="CP73" s="3">
        <f ca="1">IFERROR(__xludf.DUMMYFUNCTION("""COMPUTED_VALUE"""),-0.756712485596335)</f>
        <v>-0.75671248559633497</v>
      </c>
      <c r="CQ73" s="3">
        <f ca="1">IFERROR(__xludf.DUMMYFUNCTION("""COMPUTED_VALUE"""),-0.707917004995587)</f>
        <v>-0.70791700499558696</v>
      </c>
      <c r="CR73" s="3">
        <f ca="1">IFERROR(__xludf.DUMMYFUNCTION("""COMPUTED_VALUE"""),-0.711820438127461)</f>
        <v>-0.71182043812746099</v>
      </c>
      <c r="CS73" s="3">
        <f ca="1">IFERROR(__xludf.DUMMYFUNCTION("""COMPUTED_VALUE"""),-0.714756070885663)</f>
        <v>-0.71475607088566295</v>
      </c>
      <c r="CT73" s="3">
        <f ca="1">IFERROR(__xludf.DUMMYFUNCTION("""COMPUTED_VALUE"""),-0.720663478938246)</f>
        <v>-0.720663478938246</v>
      </c>
      <c r="CU73" s="3">
        <f ca="1">IFERROR(__xludf.DUMMYFUNCTION("""COMPUTED_VALUE"""),-0.690446779835836)</f>
        <v>-0.69044677983583602</v>
      </c>
      <c r="CV73" s="3">
        <f ca="1">IFERROR(__xludf.DUMMYFUNCTION("""COMPUTED_VALUE"""),-0.705911607743517)</f>
        <v>-0.70591160774351702</v>
      </c>
      <c r="CW73" s="3">
        <f ca="1">IFERROR(__xludf.DUMMYFUNCTION("""COMPUTED_VALUE"""),-0.69625739990297)</f>
        <v>-0.69625739990296998</v>
      </c>
      <c r="CX73" s="3">
        <f ca="1">IFERROR(__xludf.DUMMYFUNCTION("""COMPUTED_VALUE"""),-0.656372480479847)</f>
        <v>-0.65637248047984698</v>
      </c>
      <c r="CY73" s="3">
        <f ca="1">IFERROR(__xludf.DUMMYFUNCTION("""COMPUTED_VALUE"""),-0.694216480487942)</f>
        <v>-0.69421648048794204</v>
      </c>
      <c r="CZ73" s="3">
        <f ca="1">IFERROR(__xludf.DUMMYFUNCTION("""COMPUTED_VALUE"""),-0.785948615747502)</f>
        <v>-0.78594861574750197</v>
      </c>
      <c r="DA73" s="3">
        <f ca="1">IFERROR(__xludf.DUMMYFUNCTION("""COMPUTED_VALUE"""),-0.683462785922505)</f>
        <v>-0.68346278592250498</v>
      </c>
      <c r="DB73" s="3">
        <f ca="1">IFERROR(__xludf.DUMMYFUNCTION("""COMPUTED_VALUE"""),-0.562893455473967)</f>
        <v>-0.56289345547396696</v>
      </c>
      <c r="DC73" s="3">
        <f ca="1">IFERROR(__xludf.DUMMYFUNCTION("""COMPUTED_VALUE"""),-0.674751469634858)</f>
        <v>-0.67475146963485799</v>
      </c>
      <c r="DD73" s="3">
        <f ca="1">IFERROR(__xludf.DUMMYFUNCTION("""COMPUTED_VALUE"""),-0.712274463474859)</f>
        <v>-0.71227446347485901</v>
      </c>
      <c r="DE73" s="3">
        <f ca="1">IFERROR(__xludf.DUMMYFUNCTION("""COMPUTED_VALUE"""),-0.666015549837874)</f>
        <v>-0.66601554983787403</v>
      </c>
      <c r="DF73" s="3">
        <f ca="1">IFERROR(__xludf.DUMMYFUNCTION("""COMPUTED_VALUE"""),-0.699830908812169)</f>
        <v>-0.69983090881216903</v>
      </c>
      <c r="DG73" s="3">
        <f ca="1">IFERROR(__xludf.DUMMYFUNCTION("""COMPUTED_VALUE"""),-0.808531892348623)</f>
        <v>-0.80853189234862299</v>
      </c>
      <c r="DH73" s="3">
        <f ca="1">IFERROR(__xludf.DUMMYFUNCTION("""COMPUTED_VALUE"""),-0.631295497135397)</f>
        <v>-0.63129549713539701</v>
      </c>
      <c r="DI73" s="3">
        <f ca="1">IFERROR(__xludf.DUMMYFUNCTION("""COMPUTED_VALUE"""),-0.416956092091602)</f>
        <v>-0.416956092091602</v>
      </c>
      <c r="DJ73" s="3">
        <f ca="1">IFERROR(__xludf.DUMMYFUNCTION("""COMPUTED_VALUE"""),-0.57674419224918)</f>
        <v>-0.57674419224918005</v>
      </c>
      <c r="DK73" s="3">
        <f ca="1">IFERROR(__xludf.DUMMYFUNCTION("""COMPUTED_VALUE"""),-0.592606947123551)</f>
        <v>-0.592606947123551</v>
      </c>
      <c r="DL73" s="3">
        <f ca="1">IFERROR(__xludf.DUMMYFUNCTION("""COMPUTED_VALUE"""),-0.583587183097435)</f>
        <v>-0.58358718309743496</v>
      </c>
      <c r="DM73" s="3">
        <f ca="1">IFERROR(__xludf.DUMMYFUNCTION("""COMPUTED_VALUE"""),-0.585108371817742)</f>
        <v>-0.585108371817742</v>
      </c>
      <c r="DN73" s="3">
        <f ca="1">IFERROR(__xludf.DUMMYFUNCTION("""COMPUTED_VALUE"""),-0.630874796832052)</f>
        <v>-0.63087479683205205</v>
      </c>
      <c r="DO73" s="3">
        <f ca="1">IFERROR(__xludf.DUMMYFUNCTION("""COMPUTED_VALUE"""),-0.638358923303063)</f>
        <v>-0.63835892330306299</v>
      </c>
      <c r="DP73" s="3">
        <f ca="1">IFERROR(__xludf.DUMMYFUNCTION("""COMPUTED_VALUE"""),-0.552425052755569)</f>
        <v>-0.55242505275556897</v>
      </c>
      <c r="DQ73" s="3">
        <f ca="1">IFERROR(__xludf.DUMMYFUNCTION("""COMPUTED_VALUE"""),-0.58775748309122)</f>
        <v>-0.58775748309122</v>
      </c>
      <c r="DR73" s="3">
        <f ca="1">IFERROR(__xludf.DUMMYFUNCTION("""COMPUTED_VALUE"""),-0.614031542935046)</f>
        <v>-0.61403154293504603</v>
      </c>
      <c r="DS73" s="3">
        <f ca="1">IFERROR(__xludf.DUMMYFUNCTION("""COMPUTED_VALUE"""),-0.615018666423289)</f>
        <v>-0.61501866642328895</v>
      </c>
      <c r="DT73" s="3">
        <f ca="1">IFERROR(__xludf.DUMMYFUNCTION("""COMPUTED_VALUE"""),-0.626217702747573)</f>
        <v>-0.62621770274757305</v>
      </c>
      <c r="DU73" s="3">
        <f ca="1">IFERROR(__xludf.DUMMYFUNCTION("""COMPUTED_VALUE"""),-0.654026998095336)</f>
        <v>-0.65402699809533604</v>
      </c>
      <c r="DV73" s="3">
        <f ca="1">IFERROR(__xludf.DUMMYFUNCTION("""COMPUTED_VALUE"""),-0.654472499988412)</f>
        <v>-0.65447249998841195</v>
      </c>
      <c r="DW73" s="3">
        <f ca="1">IFERROR(__xludf.DUMMYFUNCTION("""COMPUTED_VALUE"""),-0.665736737157026)</f>
        <v>-0.66573673715702597</v>
      </c>
      <c r="DX73" s="3">
        <f ca="1">IFERROR(__xludf.DUMMYFUNCTION("""COMPUTED_VALUE"""),-0.662860695048287)</f>
        <v>-0.66286069504828704</v>
      </c>
      <c r="DY73" s="3">
        <f ca="1">IFERROR(__xludf.DUMMYFUNCTION("""COMPUTED_VALUE"""),-0.668370153651665)</f>
        <v>-0.66837015365166497</v>
      </c>
      <c r="DZ73" s="3">
        <f ca="1">IFERROR(__xludf.DUMMYFUNCTION("""COMPUTED_VALUE"""),-0.619408822819319)</f>
        <v>-0.61940882281931897</v>
      </c>
      <c r="EA73" s="3">
        <f ca="1">IFERROR(__xludf.DUMMYFUNCTION("""COMPUTED_VALUE"""),-0.624683494048381)</f>
        <v>-0.62468349404838097</v>
      </c>
      <c r="EB73" s="3">
        <f ca="1">IFERROR(__xludf.DUMMYFUNCTION("""COMPUTED_VALUE"""),-0.656428653024023)</f>
        <v>-0.65642865302402298</v>
      </c>
      <c r="EC73" s="3">
        <f ca="1">IFERROR(__xludf.DUMMYFUNCTION("""COMPUTED_VALUE"""),-0.681709883086475)</f>
        <v>-0.68170988308647495</v>
      </c>
      <c r="ED73" s="3">
        <f ca="1">IFERROR(__xludf.DUMMYFUNCTION("""COMPUTED_VALUE"""),-0.679586786993946)</f>
        <v>-0.67958678699394603</v>
      </c>
      <c r="EE73" s="3">
        <f ca="1">IFERROR(__xludf.DUMMYFUNCTION("""COMPUTED_VALUE"""),-0.651932880585534)</f>
        <v>-0.651932880585534</v>
      </c>
      <c r="EF73" s="3">
        <f ca="1">IFERROR(__xludf.DUMMYFUNCTION("""COMPUTED_VALUE"""),-0.650415917469706)</f>
        <v>-0.65041591746970595</v>
      </c>
      <c r="EG73" s="3">
        <f ca="1">IFERROR(__xludf.DUMMYFUNCTION("""COMPUTED_VALUE"""),-0.599393379612224)</f>
        <v>-0.59939337961222405</v>
      </c>
      <c r="EH73" s="3">
        <f ca="1">IFERROR(__xludf.DUMMYFUNCTION("""COMPUTED_VALUE"""),-0.623804551359058)</f>
        <v>-0.62380455135905799</v>
      </c>
      <c r="EI73" s="3">
        <f ca="1">IFERROR(__xludf.DUMMYFUNCTION("""COMPUTED_VALUE"""),-0.642500096917382)</f>
        <v>-0.64250009691738197</v>
      </c>
      <c r="EJ73" s="3">
        <f ca="1">IFERROR(__xludf.DUMMYFUNCTION("""COMPUTED_VALUE"""),-0.664100486039512)</f>
        <v>-0.66410048603951199</v>
      </c>
      <c r="EK73" s="3">
        <f ca="1">IFERROR(__xludf.DUMMYFUNCTION("""COMPUTED_VALUE"""),-0.635124552746422)</f>
        <v>-0.63512455274642199</v>
      </c>
      <c r="EL73" s="3">
        <f ca="1">IFERROR(__xludf.DUMMYFUNCTION("""COMPUTED_VALUE"""),-0.676848499521556)</f>
        <v>-0.67684849952155601</v>
      </c>
      <c r="EM73" s="3">
        <f ca="1">IFERROR(__xludf.DUMMYFUNCTION("""COMPUTED_VALUE"""),-0.684073761334314)</f>
        <v>-0.68407376133431397</v>
      </c>
      <c r="EN73" s="3">
        <f ca="1">IFERROR(__xludf.DUMMYFUNCTION("""COMPUTED_VALUE"""),-0.625157217036552)</f>
        <v>-0.62515721703655203</v>
      </c>
      <c r="EO73" s="3">
        <f ca="1">IFERROR(__xludf.DUMMYFUNCTION("""COMPUTED_VALUE"""),-0.633250837367114)</f>
        <v>-0.63325083736711396</v>
      </c>
      <c r="EP73" s="3">
        <f ca="1">IFERROR(__xludf.DUMMYFUNCTION("""COMPUTED_VALUE"""),-0.678833310794381)</f>
        <v>-0.67883331079438103</v>
      </c>
      <c r="EQ73" s="3">
        <f ca="1">IFERROR(__xludf.DUMMYFUNCTION("""COMPUTED_VALUE"""),-0.720813941626036)</f>
        <v>-0.72081394162603596</v>
      </c>
      <c r="ER73" s="3">
        <f ca="1">IFERROR(__xludf.DUMMYFUNCTION("""COMPUTED_VALUE"""),-0.703728450375634)</f>
        <v>-0.70372845037563403</v>
      </c>
      <c r="ES73" s="3">
        <f ca="1">IFERROR(__xludf.DUMMYFUNCTION("""COMPUTED_VALUE"""),-0.705180335643685)</f>
        <v>-0.70518033564368499</v>
      </c>
      <c r="ET73" s="3">
        <f ca="1">IFERROR(__xludf.DUMMYFUNCTION("""COMPUTED_VALUE"""),-0.69467504229886)</f>
        <v>-0.69467504229886001</v>
      </c>
      <c r="EU73" s="3">
        <f ca="1">IFERROR(__xludf.DUMMYFUNCTION("""COMPUTED_VALUE"""),-0.637797420997149)</f>
        <v>-0.63779742099714898</v>
      </c>
      <c r="EV73" s="3">
        <f ca="1">IFERROR(__xludf.DUMMYFUNCTION("""COMPUTED_VALUE"""),-0.635456349458231)</f>
        <v>-0.63545634945823104</v>
      </c>
      <c r="EW73" s="3">
        <f ca="1">IFERROR(__xludf.DUMMYFUNCTION("""COMPUTED_VALUE"""),-0.687151863359683)</f>
        <v>-0.68715186335968303</v>
      </c>
      <c r="EX73" s="3">
        <f ca="1">IFERROR(__xludf.DUMMYFUNCTION("""COMPUTED_VALUE"""),-0.718218138457726)</f>
        <v>-0.71821813845772597</v>
      </c>
      <c r="EY73" s="3">
        <f ca="1">IFERROR(__xludf.DUMMYFUNCTION("""COMPUTED_VALUE"""),-0.717497961088845)</f>
        <v>-0.717497961088845</v>
      </c>
      <c r="EZ73" s="3">
        <f ca="1">IFERROR(__xludf.DUMMYFUNCTION("""COMPUTED_VALUE"""),-0.699891202365974)</f>
        <v>-0.69989120236597402</v>
      </c>
      <c r="FA73" s="3">
        <f ca="1">IFERROR(__xludf.DUMMYFUNCTION("""COMPUTED_VALUE"""),-0.679107491374087)</f>
        <v>-0.67910749137408699</v>
      </c>
      <c r="FB73" s="3">
        <f ca="1">IFERROR(__xludf.DUMMYFUNCTION("""COMPUTED_VALUE"""),-0.58777910111326)</f>
        <v>-0.58777910111326004</v>
      </c>
      <c r="FC73" s="3">
        <f ca="1">IFERROR(__xludf.DUMMYFUNCTION("""COMPUTED_VALUE"""),-0.610265111165224)</f>
        <v>-0.61026511116522397</v>
      </c>
      <c r="FD73" s="3">
        <f ca="1">IFERROR(__xludf.DUMMYFUNCTION("""COMPUTED_VALUE"""),-0.663743235417588)</f>
        <v>-0.66374323541758795</v>
      </c>
      <c r="FE73" s="3">
        <f ca="1">IFERROR(__xludf.DUMMYFUNCTION("""COMPUTED_VALUE"""),-0.692789736442361)</f>
        <v>-0.69278973644236097</v>
      </c>
      <c r="FF73" s="3">
        <f ca="1">IFERROR(__xludf.DUMMYFUNCTION("""COMPUTED_VALUE"""),-0.681595465468066)</f>
        <v>-0.68159546546806604</v>
      </c>
      <c r="FG73" s="3">
        <f ca="1">IFERROR(__xludf.DUMMYFUNCTION("""COMPUTED_VALUE"""),-0.71082027986851)</f>
        <v>-0.71082027986851004</v>
      </c>
      <c r="FH73" s="3">
        <f ca="1">IFERROR(__xludf.DUMMYFUNCTION("""COMPUTED_VALUE"""),-0.680523937078692)</f>
        <v>-0.68052393707869197</v>
      </c>
      <c r="FI73" s="3">
        <f ca="1">IFERROR(__xludf.DUMMYFUNCTION("""COMPUTED_VALUE"""),-0.62491082925779)</f>
        <v>-0.62491082925778996</v>
      </c>
      <c r="FJ73" s="3">
        <f ca="1">IFERROR(__xludf.DUMMYFUNCTION("""COMPUTED_VALUE"""),-0.600732534892909)</f>
        <v>-0.60073253489290901</v>
      </c>
      <c r="FK73" s="3">
        <f ca="1">IFERROR(__xludf.DUMMYFUNCTION("""COMPUTED_VALUE"""),-0.656104927394557)</f>
        <v>-0.65610492739455695</v>
      </c>
      <c r="FL73" s="3">
        <f ca="1">IFERROR(__xludf.DUMMYFUNCTION("""COMPUTED_VALUE"""),-0.677086443306886)</f>
        <v>-0.67708644330688605</v>
      </c>
      <c r="FM73" s="3">
        <f ca="1">IFERROR(__xludf.DUMMYFUNCTION("""COMPUTED_VALUE"""),-0.661781373692675)</f>
        <v>-0.66178137369267498</v>
      </c>
      <c r="FN73" s="3">
        <f ca="1">IFERROR(__xludf.DUMMYFUNCTION("""COMPUTED_VALUE"""),-0.655011646509553)</f>
        <v>-0.65501164650955301</v>
      </c>
      <c r="FO73" s="3">
        <f ca="1">IFERROR(__xludf.DUMMYFUNCTION("""COMPUTED_VALUE"""),-0.649711422574742)</f>
        <v>-0.64971142257474201</v>
      </c>
      <c r="FP73" s="3">
        <f ca="1">IFERROR(__xludf.DUMMYFUNCTION("""COMPUTED_VALUE"""),-0.575349721437382)</f>
        <v>-0.57534972143738194</v>
      </c>
      <c r="FQ73" s="3">
        <f ca="1">IFERROR(__xludf.DUMMYFUNCTION("""COMPUTED_VALUE"""),-0.603906211878878)</f>
        <v>-0.60390621187887805</v>
      </c>
      <c r="FR73" s="3">
        <f ca="1">IFERROR(__xludf.DUMMYFUNCTION("""COMPUTED_VALUE"""),-0.615762187320125)</f>
        <v>-0.615762187320125</v>
      </c>
      <c r="FS73" s="3">
        <f ca="1">IFERROR(__xludf.DUMMYFUNCTION("""COMPUTED_VALUE"""),-0.656098950365089)</f>
        <v>-0.65609895036508903</v>
      </c>
      <c r="FT73" s="3">
        <f ca="1">IFERROR(__xludf.DUMMYFUNCTION("""COMPUTED_VALUE"""),-0.647913876106579)</f>
        <v>-0.64791387610657902</v>
      </c>
      <c r="FU73" s="3">
        <f ca="1">IFERROR(__xludf.DUMMYFUNCTION("""COMPUTED_VALUE"""),-0.629924849640575)</f>
        <v>-0.62992484964057505</v>
      </c>
      <c r="FV73" s="3">
        <f ca="1">IFERROR(__xludf.DUMMYFUNCTION("""COMPUTED_VALUE"""),-0.585588973135673)</f>
        <v>-0.58558897313567304</v>
      </c>
      <c r="FW73" s="3">
        <f ca="1">IFERROR(__xludf.DUMMYFUNCTION("""COMPUTED_VALUE"""),-0.593773984002784)</f>
        <v>-0.59377398400278403</v>
      </c>
      <c r="FX73" s="3">
        <f ca="1">IFERROR(__xludf.DUMMYFUNCTION("""COMPUTED_VALUE"""),-0.607150627515867)</f>
        <v>-0.60715062751586701</v>
      </c>
      <c r="FY73" s="3">
        <f ca="1">IFERROR(__xludf.DUMMYFUNCTION("""COMPUTED_VALUE"""),-0.650061701312194)</f>
        <v>-0.65006170131219398</v>
      </c>
      <c r="FZ73" s="3">
        <f ca="1">IFERROR(__xludf.DUMMYFUNCTION("""COMPUTED_VALUE"""),-0.645653762513207)</f>
        <v>-0.64565376251320705</v>
      </c>
      <c r="GA73" s="3">
        <f ca="1">IFERROR(__xludf.DUMMYFUNCTION("""COMPUTED_VALUE"""),-0.661053286147328)</f>
        <v>-0.66105328614732795</v>
      </c>
      <c r="GB73" s="3">
        <f ca="1">IFERROR(__xludf.DUMMYFUNCTION("""COMPUTED_VALUE"""),-0.658002513198861)</f>
        <v>-0.65800251319886105</v>
      </c>
      <c r="GC73" s="3">
        <f ca="1">IFERROR(__xludf.DUMMYFUNCTION("""COMPUTED_VALUE"""),-0.694034925415087)</f>
        <v>-0.69403492541508705</v>
      </c>
      <c r="GD73" s="3">
        <f ca="1">IFERROR(__xludf.DUMMYFUNCTION("""COMPUTED_VALUE"""),-0.590555966275214)</f>
        <v>-0.59055596627521401</v>
      </c>
      <c r="GE73" s="3">
        <f ca="1">IFERROR(__xludf.DUMMYFUNCTION("""COMPUTED_VALUE"""),-0.64092594690643)</f>
        <v>-0.64092594690643001</v>
      </c>
      <c r="GF73" s="3">
        <f ca="1">IFERROR(__xludf.DUMMYFUNCTION("""COMPUTED_VALUE"""),-0.657652459332001)</f>
        <v>-0.657652459332001</v>
      </c>
      <c r="GG73" s="3">
        <f ca="1">IFERROR(__xludf.DUMMYFUNCTION("""COMPUTED_VALUE"""),-0.653851092943729)</f>
        <v>-0.65385109294372901</v>
      </c>
      <c r="GH73" s="3">
        <f ca="1">IFERROR(__xludf.DUMMYFUNCTION("""COMPUTED_VALUE"""),-0.63967399578888)</f>
        <v>-0.63967399578887996</v>
      </c>
      <c r="GI73" s="3">
        <f ca="1">IFERROR(__xludf.DUMMYFUNCTION("""COMPUTED_VALUE"""),-0.631993078418588)</f>
        <v>-0.63199307841858798</v>
      </c>
      <c r="GJ73" s="3">
        <f ca="1">IFERROR(__xludf.DUMMYFUNCTION("""COMPUTED_VALUE"""),-0.558354161267651)</f>
        <v>-0.55835416126765103</v>
      </c>
      <c r="GK73" s="3">
        <f ca="1">IFERROR(__xludf.DUMMYFUNCTION("""COMPUTED_VALUE"""),-0.593452133659718)</f>
        <v>-0.59345213365971805</v>
      </c>
      <c r="GL73" s="3">
        <f ca="1">IFERROR(__xludf.DUMMYFUNCTION("""COMPUTED_VALUE"""),-0.600710498973708)</f>
        <v>-0.60071049897370798</v>
      </c>
      <c r="GM73" s="3">
        <f ca="1">IFERROR(__xludf.DUMMYFUNCTION("""COMPUTED_VALUE"""),-0.649877005450691)</f>
        <v>-0.64987700545069105</v>
      </c>
      <c r="GN73" s="3">
        <f ca="1">IFERROR(__xludf.DUMMYFUNCTION("""COMPUTED_VALUE"""),-0.616461615219303)</f>
        <v>-0.61646161521930298</v>
      </c>
      <c r="GO73" s="3">
        <f ca="1">IFERROR(__xludf.DUMMYFUNCTION("""COMPUTED_VALUE"""),-0.579537835800894)</f>
        <v>-0.57953783580089402</v>
      </c>
      <c r="GP73" s="3">
        <f ca="1">IFERROR(__xludf.DUMMYFUNCTION("""COMPUTED_VALUE"""),-0.600020305920976)</f>
        <v>-0.60002030592097599</v>
      </c>
      <c r="GQ73" s="3">
        <f ca="1">IFERROR(__xludf.DUMMYFUNCTION("""COMPUTED_VALUE"""),-0.588381467910792)</f>
        <v>-0.58838146791079204</v>
      </c>
      <c r="GR73" s="3">
        <f ca="1">IFERROR(__xludf.DUMMYFUNCTION("""COMPUTED_VALUE"""),-0.476945098491059)</f>
        <v>-0.47694509849105898</v>
      </c>
      <c r="GS73" s="3">
        <f ca="1">IFERROR(__xludf.DUMMYFUNCTION("""COMPUTED_VALUE"""),-0.49233856331643)</f>
        <v>-0.49233856331643</v>
      </c>
      <c r="GT73" s="3">
        <f ca="1">IFERROR(__xludf.DUMMYFUNCTION("""COMPUTED_VALUE"""),-0.579966997277093)</f>
        <v>-0.579966997277093</v>
      </c>
      <c r="GU73" s="3">
        <f ca="1">IFERROR(__xludf.DUMMYFUNCTION("""COMPUTED_VALUE"""),-0.572379405002681)</f>
        <v>-0.57237940500268103</v>
      </c>
      <c r="GV73" s="3">
        <f ca="1">IFERROR(__xludf.DUMMYFUNCTION("""COMPUTED_VALUE"""),-0.5674734268631)</f>
        <v>-0.56747342686309998</v>
      </c>
      <c r="GW73" s="3">
        <f ca="1">IFERROR(__xludf.DUMMYFUNCTION("""COMPUTED_VALUE"""),-0.568047189102988)</f>
        <v>-0.56804718910298801</v>
      </c>
      <c r="GX73" s="3">
        <f ca="1">IFERROR(__xludf.DUMMYFUNCTION("""COMPUTED_VALUE"""),-0.550587127956907)</f>
        <v>-0.55058712795690701</v>
      </c>
      <c r="GY73" s="3">
        <f ca="1">IFERROR(__xludf.DUMMYFUNCTION("""COMPUTED_VALUE"""),-0.462844943032133)</f>
        <v>-0.46284494303213303</v>
      </c>
      <c r="GZ73" s="3">
        <f ca="1">IFERROR(__xludf.DUMMYFUNCTION("""COMPUTED_VALUE"""),-0.467276396915793)</f>
        <v>-0.46727639691579298</v>
      </c>
      <c r="HA73" s="3">
        <f ca="1">IFERROR(__xludf.DUMMYFUNCTION("""COMPUTED_VALUE"""),-0.545577930373954)</f>
        <v>-0.54557793037395397</v>
      </c>
      <c r="HB73" s="3">
        <f ca="1">IFERROR(__xludf.DUMMYFUNCTION("""COMPUTED_VALUE"""),-0.544400641801988)</f>
        <v>-0.54440064180198799</v>
      </c>
      <c r="HC73" s="3">
        <f ca="1">IFERROR(__xludf.DUMMYFUNCTION("""COMPUTED_VALUE"""),-0.545891554223889)</f>
        <v>-0.54589155422388902</v>
      </c>
      <c r="HD73" s="3">
        <f ca="1">IFERROR(__xludf.DUMMYFUNCTION("""COMPUTED_VALUE"""),-0.541643723142259)</f>
        <v>-0.54164372314225895</v>
      </c>
      <c r="HE73" s="3">
        <f ca="1">IFERROR(__xludf.DUMMYFUNCTION("""COMPUTED_VALUE"""),-0.532290172040995)</f>
        <v>-0.53229017204099505</v>
      </c>
      <c r="HF73" s="3">
        <f ca="1">IFERROR(__xludf.DUMMYFUNCTION("""COMPUTED_VALUE"""),-0.492731045076978)</f>
        <v>-0.49273104507697801</v>
      </c>
      <c r="HG73" s="3">
        <f ca="1">IFERROR(__xludf.DUMMYFUNCTION("""COMPUTED_VALUE"""),-0.434649386296814)</f>
        <v>-0.43464938629681399</v>
      </c>
      <c r="HH73" s="3">
        <f ca="1">IFERROR(__xludf.DUMMYFUNCTION("""COMPUTED_VALUE"""),-0.515716784558392)</f>
        <v>-0.51571678455839198</v>
      </c>
      <c r="HI73" s="3">
        <f ca="1">IFERROR(__xludf.DUMMYFUNCTION("""COMPUTED_VALUE"""),-0.541922151821073)</f>
        <v>-0.54192215182107295</v>
      </c>
      <c r="HJ73" s="3">
        <f ca="1">IFERROR(__xludf.DUMMYFUNCTION("""COMPUTED_VALUE"""),-0.535092456586062)</f>
        <v>-0.53509245658606197</v>
      </c>
      <c r="HK73" s="3">
        <f ca="1">IFERROR(__xludf.DUMMYFUNCTION("""COMPUTED_VALUE"""),-0.525923116006908)</f>
        <v>-0.525923116006908</v>
      </c>
      <c r="HL73" s="3">
        <f ca="1">IFERROR(__xludf.DUMMYFUNCTION("""COMPUTED_VALUE"""),-0.624801652768047)</f>
        <v>-0.624801652768047</v>
      </c>
      <c r="HM73" s="3">
        <f ca="1">IFERROR(__xludf.DUMMYFUNCTION("""COMPUTED_VALUE"""),-0.416421063710446)</f>
        <v>-0.41642106371044602</v>
      </c>
      <c r="HN73" s="3">
        <f ca="1">IFERROR(__xludf.DUMMYFUNCTION("""COMPUTED_VALUE"""),-0.430431185440018)</f>
        <v>-0.43043118544001802</v>
      </c>
      <c r="HO73" s="3">
        <f ca="1">IFERROR(__xludf.DUMMYFUNCTION("""COMPUTED_VALUE"""),-0.495187673325223)</f>
        <v>-0.49518767332522301</v>
      </c>
      <c r="HP73" s="3">
        <f ca="1">IFERROR(__xludf.DUMMYFUNCTION("""COMPUTED_VALUE"""),-0.5063424894609)</f>
        <v>-0.50634248946089999</v>
      </c>
      <c r="HQ73" s="3">
        <f ca="1">IFERROR(__xludf.DUMMYFUNCTION("""COMPUTED_VALUE"""),-0.541886770846974)</f>
        <v>-0.54188677084697401</v>
      </c>
      <c r="HR73" s="3">
        <f ca="1">IFERROR(__xludf.DUMMYFUNCTION("""COMPUTED_VALUE"""),-0.484165442980675)</f>
        <v>-0.48416544298067499</v>
      </c>
      <c r="HS73" s="3">
        <f ca="1">IFERROR(__xludf.DUMMYFUNCTION("""COMPUTED_VALUE"""),-0.404817754050967)</f>
        <v>-0.40481775405096698</v>
      </c>
      <c r="HT73" s="3">
        <f ca="1">IFERROR(__xludf.DUMMYFUNCTION("""COMPUTED_VALUE"""),-0.409843358131336)</f>
        <v>-0.40984335813133599</v>
      </c>
      <c r="HU73" s="3">
        <f ca="1">IFERROR(__xludf.DUMMYFUNCTION("""COMPUTED_VALUE"""),-0.503856335955091)</f>
        <v>-0.50385633595509105</v>
      </c>
      <c r="HV73" s="3">
        <f ca="1">IFERROR(__xludf.DUMMYFUNCTION("""COMPUTED_VALUE"""),-0.501235668289504)</f>
        <v>-0.50123566828950405</v>
      </c>
      <c r="HW73" s="3">
        <f ca="1">IFERROR(__xludf.DUMMYFUNCTION("""COMPUTED_VALUE"""),-0.529225083664045)</f>
        <v>-0.52922508366404497</v>
      </c>
      <c r="HX73" s="3">
        <f ca="1">IFERROR(__xludf.DUMMYFUNCTION("""COMPUTED_VALUE"""),-0.542393652022385)</f>
        <v>-0.54239365202238499</v>
      </c>
      <c r="HY73" s="3">
        <f ca="1">IFERROR(__xludf.DUMMYFUNCTION("""COMPUTED_VALUE"""),-0.541930713049553)</f>
        <v>-0.54193071304955298</v>
      </c>
      <c r="HZ73" s="3">
        <f ca="1">IFERROR(__xludf.DUMMYFUNCTION("""COMPUTED_VALUE"""),-0.43495300047261)</f>
        <v>-0.43495300047260999</v>
      </c>
      <c r="IA73" s="3">
        <f ca="1">IFERROR(__xludf.DUMMYFUNCTION("""COMPUTED_VALUE"""),-0.448473007455814)</f>
        <v>-0.44847300745581398</v>
      </c>
      <c r="IB73" s="3">
        <f ca="1">IFERROR(__xludf.DUMMYFUNCTION("""COMPUTED_VALUE"""),-0.39953631312)</f>
        <v>-0.39953631311999999</v>
      </c>
      <c r="IC73" s="3">
        <f ca="1">IFERROR(__xludf.DUMMYFUNCTION("""COMPUTED_VALUE"""),-0.531397679188419)</f>
        <v>-0.53139767918841896</v>
      </c>
      <c r="ID73" s="3">
        <f ca="1">IFERROR(__xludf.DUMMYFUNCTION("""COMPUTED_VALUE"""),-0.528778471163406)</f>
        <v>-0.52877847116340604</v>
      </c>
      <c r="IE73" s="3">
        <f ca="1">IFERROR(__xludf.DUMMYFUNCTION("""COMPUTED_VALUE"""),-0.482318970630517)</f>
        <v>-0.48231897063051699</v>
      </c>
      <c r="IF73" s="3">
        <f ca="1">IFERROR(__xludf.DUMMYFUNCTION("""COMPUTED_VALUE"""),-0.516046321154777)</f>
        <v>-0.516046321154777</v>
      </c>
      <c r="IG73" s="3">
        <f ca="1">IFERROR(__xludf.DUMMYFUNCTION("""COMPUTED_VALUE"""),-0.525754990305634)</f>
        <v>-0.525754990305634</v>
      </c>
      <c r="IH73" s="3">
        <f ca="1">IFERROR(__xludf.DUMMYFUNCTION("""COMPUTED_VALUE"""),-0.41546147608516)</f>
        <v>-0.41546147608515999</v>
      </c>
      <c r="II73" s="3">
        <f ca="1">IFERROR(__xludf.DUMMYFUNCTION("""COMPUTED_VALUE"""),-0.403866943376588)</f>
        <v>-0.40386694337658802</v>
      </c>
      <c r="IJ73" s="3">
        <f ca="1">IFERROR(__xludf.DUMMYFUNCTION("""COMPUTED_VALUE"""),-0.474268909859723)</f>
        <v>-0.47426890985972298</v>
      </c>
      <c r="IK73" s="3">
        <f ca="1">IFERROR(__xludf.DUMMYFUNCTION("""COMPUTED_VALUE"""),-0.484328723256297)</f>
        <v>-0.484328723256297</v>
      </c>
      <c r="IL73" s="3">
        <f ca="1">IFERROR(__xludf.DUMMYFUNCTION("""COMPUTED_VALUE"""),-0.460722526957877)</f>
        <v>-0.46072252695787702</v>
      </c>
      <c r="IM73" s="3">
        <f ca="1">IFERROR(__xludf.DUMMYFUNCTION("""COMPUTED_VALUE"""),-0.482959960533168)</f>
        <v>-0.48295996053316798</v>
      </c>
      <c r="IN73" s="3">
        <f ca="1">IFERROR(__xludf.DUMMYFUNCTION("""COMPUTED_VALUE"""),-0.455441861088482)</f>
        <v>-0.455441861088482</v>
      </c>
      <c r="IO73" s="3">
        <f ca="1">IFERROR(__xludf.DUMMYFUNCTION("""COMPUTED_VALUE"""),-0.43699114467659)</f>
        <v>-0.43699114467659</v>
      </c>
      <c r="IP73" s="3">
        <f ca="1">IFERROR(__xludf.DUMMYFUNCTION("""COMPUTED_VALUE"""),-0.374833426381825)</f>
        <v>-0.37483342638182499</v>
      </c>
      <c r="IQ73" s="3">
        <f ca="1">IFERROR(__xludf.DUMMYFUNCTION("""COMPUTED_VALUE"""),-0.430345273132484)</f>
        <v>-0.430345273132484</v>
      </c>
      <c r="IR73" s="3">
        <f ca="1">IFERROR(__xludf.DUMMYFUNCTION("""COMPUTED_VALUE"""),-0.457056667791782)</f>
        <v>-0.457056667791782</v>
      </c>
      <c r="IS73" s="3">
        <f ca="1">IFERROR(__xludf.DUMMYFUNCTION("""COMPUTED_VALUE"""),-0.455576002683005)</f>
        <v>-0.45557600268300502</v>
      </c>
      <c r="IT73" s="3">
        <f ca="1">IFERROR(__xludf.DUMMYFUNCTION("""COMPUTED_VALUE"""),-0.491853521335241)</f>
        <v>-0.49185352133524102</v>
      </c>
      <c r="IU73" s="3">
        <f ca="1">IFERROR(__xludf.DUMMYFUNCTION("""COMPUTED_VALUE"""),-0.431669502146868)</f>
        <v>-0.431669502146868</v>
      </c>
      <c r="IV73" s="3">
        <f ca="1">IFERROR(__xludf.DUMMYFUNCTION("""COMPUTED_VALUE"""),-0.46092179056069)</f>
        <v>-0.46092179056068999</v>
      </c>
      <c r="IW73" s="3">
        <f ca="1">IFERROR(__xludf.DUMMYFUNCTION("""COMPUTED_VALUE"""),-0.351301910188787)</f>
        <v>-0.35130191018878698</v>
      </c>
      <c r="IX73" s="3">
        <f ca="1">IFERROR(__xludf.DUMMYFUNCTION("""COMPUTED_VALUE"""),-0.429894526946849)</f>
        <v>-0.42989452694684899</v>
      </c>
      <c r="IY73" s="3">
        <f ca="1">IFERROR(__xludf.DUMMYFUNCTION("""COMPUTED_VALUE"""),-0.4527798892458)</f>
        <v>-0.45277988924579998</v>
      </c>
      <c r="IZ73" s="3">
        <f ca="1">IFERROR(__xludf.DUMMYFUNCTION("""COMPUTED_VALUE"""),-0.452452124002738)</f>
        <v>-0.45245212400273799</v>
      </c>
      <c r="JA73" s="3">
        <f ca="1">IFERROR(__xludf.DUMMYFUNCTION("""COMPUTED_VALUE"""),-0.423450295423914)</f>
        <v>-0.42345029542391399</v>
      </c>
      <c r="JB73" s="3">
        <f ca="1">IFERROR(__xludf.DUMMYFUNCTION("""COMPUTED_VALUE"""),-0.460075995179549)</f>
        <v>-0.460075995179549</v>
      </c>
      <c r="JC73" s="3">
        <f ca="1">IFERROR(__xludf.DUMMYFUNCTION("""COMPUTED_VALUE"""),-0.398264388670269)</f>
        <v>-0.39826438867026898</v>
      </c>
      <c r="JD73" s="3">
        <f ca="1">IFERROR(__xludf.DUMMYFUNCTION("""COMPUTED_VALUE"""),-0.361553900900926)</f>
        <v>-0.36155390090092598</v>
      </c>
      <c r="JE73" s="3">
        <f ca="1">IFERROR(__xludf.DUMMYFUNCTION("""COMPUTED_VALUE"""),-0.417067741918889)</f>
        <v>-0.41706774191888901</v>
      </c>
      <c r="JF73" s="3">
        <f ca="1">IFERROR(__xludf.DUMMYFUNCTION("""COMPUTED_VALUE"""),-0.453083337459184)</f>
        <v>-0.453083337459184</v>
      </c>
      <c r="JG73" s="3">
        <f ca="1">IFERROR(__xludf.DUMMYFUNCTION("""COMPUTED_VALUE"""),-0.44521020805152)</f>
        <v>-0.44521020805152001</v>
      </c>
      <c r="JH73" s="3">
        <f ca="1">IFERROR(__xludf.DUMMYFUNCTION("""COMPUTED_VALUE"""),-0.422773964255524)</f>
        <v>-0.42277396425552399</v>
      </c>
      <c r="JI73" s="3">
        <f ca="1">IFERROR(__xludf.DUMMYFUNCTION("""COMPUTED_VALUE"""),-0.406827257876119)</f>
        <v>-0.40682725787611901</v>
      </c>
      <c r="JJ73" s="3">
        <f ca="1">IFERROR(__xludf.DUMMYFUNCTION("""COMPUTED_VALUE"""),-0.363877081138358)</f>
        <v>-0.36387708113835798</v>
      </c>
      <c r="JK73" s="3">
        <f ca="1">IFERROR(__xludf.DUMMYFUNCTION("""COMPUTED_VALUE"""),-0.336821521924476)</f>
        <v>-0.33682152192447601</v>
      </c>
      <c r="JL73" s="3">
        <f ca="1">IFERROR(__xludf.DUMMYFUNCTION("""COMPUTED_VALUE"""),-0.41386608561663)</f>
        <v>-0.41386608561663002</v>
      </c>
      <c r="JM73" s="3">
        <f ca="1">IFERROR(__xludf.DUMMYFUNCTION("""COMPUTED_VALUE"""),-0.434360382315843)</f>
        <v>-0.43436038231584301</v>
      </c>
      <c r="JN73" s="3">
        <f ca="1">IFERROR(__xludf.DUMMYFUNCTION("""COMPUTED_VALUE"""),-0.412303062859788)</f>
        <v>-0.41230306285978802</v>
      </c>
      <c r="JO73" s="3">
        <f ca="1">IFERROR(__xludf.DUMMYFUNCTION("""COMPUTED_VALUE"""),-0.417142262345168)</f>
        <v>-0.41714226234516799</v>
      </c>
      <c r="JP73" s="3">
        <f ca="1">IFERROR(__xludf.DUMMYFUNCTION("""COMPUTED_VALUE"""),-0.406330612947418)</f>
        <v>-0.40633061294741801</v>
      </c>
      <c r="JQ73" s="3">
        <f ca="1">IFERROR(__xludf.DUMMYFUNCTION("""COMPUTED_VALUE"""),-0.371674698887434)</f>
        <v>-0.37167469888743399</v>
      </c>
      <c r="JR73" s="3">
        <f ca="1">IFERROR(__xludf.DUMMYFUNCTION("""COMPUTED_VALUE"""),-0.448105882199515)</f>
        <v>-0.44810588219951503</v>
      </c>
      <c r="JS73" s="3">
        <f ca="1">IFERROR(__xludf.DUMMYFUNCTION("""COMPUTED_VALUE"""),-0.432539738424405)</f>
        <v>-0.43253973842440502</v>
      </c>
      <c r="JT73" s="3">
        <f ca="1">IFERROR(__xludf.DUMMYFUNCTION("""COMPUTED_VALUE"""),-0.447204436733269)</f>
        <v>-0.44720443673326898</v>
      </c>
      <c r="JU73" s="3">
        <f ca="1">IFERROR(__xludf.DUMMYFUNCTION("""COMPUTED_VALUE"""),-0.465267591217915)</f>
        <v>-0.465267591217915</v>
      </c>
      <c r="JV73" s="3">
        <f ca="1">IFERROR(__xludf.DUMMYFUNCTION("""COMPUTED_VALUE"""),-0.438051758640907)</f>
        <v>-0.43805175864090701</v>
      </c>
      <c r="JW73" s="3">
        <f ca="1">IFERROR(__xludf.DUMMYFUNCTION("""COMPUTED_VALUE"""),-0.365115522163005)</f>
        <v>-0.36511552216300502</v>
      </c>
      <c r="JX73" s="3">
        <f ca="1">IFERROR(__xludf.DUMMYFUNCTION("""COMPUTED_VALUE"""),-0.369174316461663)</f>
        <v>-0.36917431646166299</v>
      </c>
      <c r="JY73" s="3">
        <f ca="1">IFERROR(__xludf.DUMMYFUNCTION("""COMPUTED_VALUE"""),-0.36429102448901)</f>
        <v>-0.36429102448901002</v>
      </c>
      <c r="JZ73" s="3">
        <f ca="1">IFERROR(__xludf.DUMMYFUNCTION("""COMPUTED_VALUE"""),-0.443456395997633)</f>
        <v>-0.44345639599763298</v>
      </c>
      <c r="KA73" s="3">
        <f ca="1">IFERROR(__xludf.DUMMYFUNCTION("""COMPUTED_VALUE"""),-0.470706845114806)</f>
        <v>-0.47070684511480598</v>
      </c>
      <c r="KB73" s="3">
        <f ca="1">IFERROR(__xludf.DUMMYFUNCTION("""COMPUTED_VALUE"""),-0.525369492684934)</f>
        <v>-0.52536949268493405</v>
      </c>
      <c r="KC73" s="3">
        <f ca="1">IFERROR(__xludf.DUMMYFUNCTION("""COMPUTED_VALUE"""),-0.455447576057056)</f>
        <v>-0.45544757605705599</v>
      </c>
      <c r="KD73" s="3">
        <f ca="1">IFERROR(__xludf.DUMMYFUNCTION("""COMPUTED_VALUE"""),-0.367750191293989)</f>
        <v>-0.367750191293989</v>
      </c>
      <c r="KE73" s="3">
        <f ca="1">IFERROR(__xludf.DUMMYFUNCTION("""COMPUTED_VALUE"""),-0.475304236991228)</f>
        <v>-0.47530423699122798</v>
      </c>
      <c r="KF73" s="3">
        <f ca="1">IFERROR(__xludf.DUMMYFUNCTION("""COMPUTED_VALUE"""),-0.459477451183518)</f>
        <v>-0.45947745118351802</v>
      </c>
      <c r="KG73" s="3">
        <f ca="1">IFERROR(__xludf.DUMMYFUNCTION("""COMPUTED_VALUE"""),-0.503288825231165)</f>
        <v>-0.50328882523116503</v>
      </c>
      <c r="KH73" s="3">
        <f ca="1">IFERROR(__xludf.DUMMYFUNCTION("""COMPUTED_VALUE"""),-0.522312229492491)</f>
        <v>-0.52231222949249101</v>
      </c>
      <c r="KI73" s="3">
        <f ca="1">IFERROR(__xludf.DUMMYFUNCTION("""COMPUTED_VALUE"""),-0.64458671732962)</f>
        <v>-0.64458671732962003</v>
      </c>
      <c r="KJ73" s="3">
        <f ca="1">IFERROR(__xludf.DUMMYFUNCTION("""COMPUTED_VALUE"""),-0.535319745901784)</f>
        <v>-0.53531974590178399</v>
      </c>
      <c r="KK73" s="3">
        <f ca="1">IFERROR(__xludf.DUMMYFUNCTION("""COMPUTED_VALUE"""),-0.409409678730821)</f>
        <v>-0.40940967873082101</v>
      </c>
      <c r="KL73" s="3">
        <f ca="1">IFERROR(__xludf.DUMMYFUNCTION("""COMPUTED_VALUE"""),-0.500856433982996)</f>
        <v>-0.50085643398299595</v>
      </c>
      <c r="KM73" s="3">
        <f ca="1">IFERROR(__xludf.DUMMYFUNCTION("""COMPUTED_VALUE"""),-0.468641881243928)</f>
        <v>-0.46864188124392803</v>
      </c>
      <c r="KN73" s="3">
        <f ca="1">IFERROR(__xludf.DUMMYFUNCTION("""COMPUTED_VALUE"""),-0.562332970794263)</f>
        <v>-0.56233297079426303</v>
      </c>
      <c r="KO73" s="3">
        <f ca="1">IFERROR(__xludf.DUMMYFUNCTION("""COMPUTED_VALUE"""),-0.595793685148108)</f>
        <v>-0.59579368514810804</v>
      </c>
      <c r="KP73" s="3">
        <f ca="1">IFERROR(__xludf.DUMMYFUNCTION("""COMPUTED_VALUE"""),-0.604805857387906)</f>
        <v>-0.60480585738790604</v>
      </c>
      <c r="KQ73" s="3">
        <f ca="1">IFERROR(__xludf.DUMMYFUNCTION("""COMPUTED_VALUE"""),-0.606580995352456)</f>
        <v>-0.60658099535245602</v>
      </c>
      <c r="KR73" s="3">
        <f ca="1">IFERROR(__xludf.DUMMYFUNCTION("""COMPUTED_VALUE"""),-0.566904305481479)</f>
        <v>-0.56690430548147897</v>
      </c>
      <c r="KS73" s="3">
        <f ca="1">IFERROR(__xludf.DUMMYFUNCTION("""COMPUTED_VALUE"""),-0.566776763582514)</f>
        <v>-0.56677676358251405</v>
      </c>
      <c r="KT73" s="3">
        <f ca="1">IFERROR(__xludf.DUMMYFUNCTION("""COMPUTED_VALUE"""),-0.599350863086462)</f>
        <v>-0.59935086308646202</v>
      </c>
      <c r="KU73" s="3">
        <f ca="1">IFERROR(__xludf.DUMMYFUNCTION("""COMPUTED_VALUE"""),-0.647577759162129)</f>
        <v>-0.64757775916212901</v>
      </c>
      <c r="KV73" s="3">
        <f ca="1">IFERROR(__xludf.DUMMYFUNCTION("""COMPUTED_VALUE"""),-0.668328811363766)</f>
        <v>-0.66832881136376598</v>
      </c>
      <c r="KW73" s="3">
        <f ca="1">IFERROR(__xludf.DUMMYFUNCTION("""COMPUTED_VALUE"""),-0.671192298589257)</f>
        <v>-0.671192298589257</v>
      </c>
      <c r="KX73" s="3">
        <f ca="1">IFERROR(__xludf.DUMMYFUNCTION("""COMPUTED_VALUE"""),-0.659250503860366)</f>
        <v>-0.65925050386036599</v>
      </c>
      <c r="KY73" s="3">
        <f ca="1">IFERROR(__xludf.DUMMYFUNCTION("""COMPUTED_VALUE"""),-0.650027818588464)</f>
        <v>-0.65002781858846403</v>
      </c>
      <c r="KZ73" s="3">
        <f ca="1">IFERROR(__xludf.DUMMYFUNCTION("""COMPUTED_VALUE"""),-0.548469740627633)</f>
        <v>-0.54846974062763298</v>
      </c>
      <c r="LA73" s="3">
        <f ca="1">IFERROR(__xludf.DUMMYFUNCTION("""COMPUTED_VALUE"""),-0.645365373441869)</f>
        <v>-0.64536537344186895</v>
      </c>
      <c r="LB73" s="3">
        <f ca="1">IFERROR(__xludf.DUMMYFUNCTION("""COMPUTED_VALUE"""),-0.669118608724173)</f>
        <v>-0.66911860872417295</v>
      </c>
      <c r="LC73" s="3">
        <f ca="1">IFERROR(__xludf.DUMMYFUNCTION("""COMPUTED_VALUE"""),-0.670622228974535)</f>
        <v>-0.67062222897453505</v>
      </c>
      <c r="LD73" s="3">
        <f ca="1">IFERROR(__xludf.DUMMYFUNCTION("""COMPUTED_VALUE"""),-0.707971206314086)</f>
        <v>-0.70797120631408605</v>
      </c>
      <c r="LE73" s="3">
        <f ca="1">IFERROR(__xludf.DUMMYFUNCTION("""COMPUTED_VALUE"""),-0.704057649406128)</f>
        <v>-0.70405764940612803</v>
      </c>
      <c r="LF73" s="3">
        <f ca="1">IFERROR(__xludf.DUMMYFUNCTION("""COMPUTED_VALUE"""),-0.677488611401483)</f>
        <v>-0.67748861140148298</v>
      </c>
      <c r="LG73" s="3">
        <f ca="1">IFERROR(__xludf.DUMMYFUNCTION("""COMPUTED_VALUE"""),-0.638341443403217)</f>
        <v>-0.63834144340321697</v>
      </c>
      <c r="LH73" s="3">
        <f ca="1">IFERROR(__xludf.DUMMYFUNCTION("""COMPUTED_VALUE"""),-0.67160675232157)</f>
        <v>-0.67160675232156997</v>
      </c>
      <c r="LI73" s="3">
        <f ca="1">IFERROR(__xludf.DUMMYFUNCTION("""COMPUTED_VALUE"""),-0.732349050305611)</f>
        <v>-0.73234905030561104</v>
      </c>
      <c r="LJ73" s="3">
        <f ca="1">IFERROR(__xludf.DUMMYFUNCTION("""COMPUTED_VALUE"""),-0.72226697390785)</f>
        <v>-0.72226697390785</v>
      </c>
      <c r="LK73" s="3">
        <f ca="1">IFERROR(__xludf.DUMMYFUNCTION("""COMPUTED_VALUE"""),-0.702382890824503)</f>
        <v>-0.702382890824503</v>
      </c>
      <c r="LL73" s="3">
        <f ca="1">IFERROR(__xludf.DUMMYFUNCTION("""COMPUTED_VALUE"""),-0.709093924417194)</f>
        <v>-0.70909392441719399</v>
      </c>
      <c r="LM73" s="3">
        <f ca="1">IFERROR(__xludf.DUMMYFUNCTION("""COMPUTED_VALUE"""),-0.691145543522064)</f>
        <v>-0.69114554352206403</v>
      </c>
      <c r="LN73" s="3">
        <f ca="1">IFERROR(__xludf.DUMMYFUNCTION("""COMPUTED_VALUE"""),-0.693341234306981)</f>
        <v>-0.69334123430698102</v>
      </c>
      <c r="LO73" s="3">
        <f ca="1">IFERROR(__xludf.DUMMYFUNCTION("""COMPUTED_VALUE"""),-0.699663553660998)</f>
        <v>-0.69966355366099797</v>
      </c>
      <c r="LP73" s="3">
        <f ca="1">IFERROR(__xludf.DUMMYFUNCTION("""COMPUTED_VALUE"""),-0.752390044071253)</f>
        <v>-0.75239004407125298</v>
      </c>
      <c r="LQ73" s="3">
        <f ca="1">IFERROR(__xludf.DUMMYFUNCTION("""COMPUTED_VALUE"""),-0.767190250864072)</f>
        <v>-0.767190250864072</v>
      </c>
      <c r="LR73" s="3">
        <f ca="1">IFERROR(__xludf.DUMMYFUNCTION("""COMPUTED_VALUE"""),-0.760650586067904)</f>
        <v>-0.76065058606790403</v>
      </c>
      <c r="LS73" s="3">
        <f ca="1">IFERROR(__xludf.DUMMYFUNCTION("""COMPUTED_VALUE"""),-0.772435082978515)</f>
        <v>-0.77243508297851504</v>
      </c>
      <c r="LT73" s="3">
        <f ca="1">IFERROR(__xludf.DUMMYFUNCTION("""COMPUTED_VALUE"""),-0.751834931339421)</f>
        <v>-0.75183493133942103</v>
      </c>
      <c r="LU73" s="3">
        <f ca="1">IFERROR(__xludf.DUMMYFUNCTION("""COMPUTED_VALUE"""),-0.771183691397983)</f>
        <v>-0.77118369139798304</v>
      </c>
      <c r="LV73" s="3">
        <f ca="1">IFERROR(__xludf.DUMMYFUNCTION("""COMPUTED_VALUE"""),-0.75108702490059)</f>
        <v>-0.75108702490058998</v>
      </c>
      <c r="LW73" s="3">
        <f ca="1">IFERROR(__xludf.DUMMYFUNCTION("""COMPUTED_VALUE"""),-0.814507924986792)</f>
        <v>-0.81450792498679203</v>
      </c>
      <c r="LX73" s="3">
        <f ca="1">IFERROR(__xludf.DUMMYFUNCTION("""COMPUTED_VALUE"""),-0.79771354569227)</f>
        <v>-0.79771354569227004</v>
      </c>
      <c r="LY73" s="3">
        <f ca="1">IFERROR(__xludf.DUMMYFUNCTION("""COMPUTED_VALUE"""),-0.790682387703615)</f>
        <v>-0.79068238770361499</v>
      </c>
      <c r="LZ73" s="3">
        <f ca="1">IFERROR(__xludf.DUMMYFUNCTION("""COMPUTED_VALUE"""),-0.793994929811992)</f>
        <v>-0.79399492981199205</v>
      </c>
      <c r="MA73" s="3">
        <f ca="1">IFERROR(__xludf.DUMMYFUNCTION("""COMPUTED_VALUE"""),-0.76246323365161)</f>
        <v>-0.76246323365160995</v>
      </c>
      <c r="MB73" s="3">
        <f ca="1">IFERROR(__xludf.DUMMYFUNCTION("""COMPUTED_VALUE"""),-0.808308673267025)</f>
        <v>-0.80830867326702505</v>
      </c>
      <c r="MC73" s="3">
        <f ca="1">IFERROR(__xludf.DUMMYFUNCTION("""COMPUTED_VALUE"""),-0.77832861980538)</f>
        <v>-0.77832861980538004</v>
      </c>
      <c r="MD73" s="3">
        <f ca="1">IFERROR(__xludf.DUMMYFUNCTION("""COMPUTED_VALUE"""),-0.8215941462283)</f>
        <v>-0.82159414622829996</v>
      </c>
      <c r="ME73" s="3">
        <f ca="1">IFERROR(__xludf.DUMMYFUNCTION("""COMPUTED_VALUE"""),-0.820316313048184)</f>
        <v>-0.82031631304818398</v>
      </c>
      <c r="MF73" s="3">
        <f ca="1">IFERROR(__xludf.DUMMYFUNCTION("""COMPUTED_VALUE"""),-0.816181954990632)</f>
        <v>-0.81618195499063195</v>
      </c>
      <c r="MG73" s="3">
        <f ca="1">IFERROR(__xludf.DUMMYFUNCTION("""COMPUTED_VALUE"""),-0.819922792129431)</f>
        <v>-0.81992279212943098</v>
      </c>
      <c r="MH73" s="3">
        <f ca="1">IFERROR(__xludf.DUMMYFUNCTION("""COMPUTED_VALUE"""),-0.804196091416296)</f>
        <v>-0.804196091416296</v>
      </c>
      <c r="MI73" s="3">
        <f ca="1">IFERROR(__xludf.DUMMYFUNCTION("""COMPUTED_VALUE"""),-0.809986395636355)</f>
        <v>-0.80998639563635499</v>
      </c>
      <c r="MJ73" s="3">
        <f ca="1">IFERROR(__xludf.DUMMYFUNCTION("""COMPUTED_VALUE"""),-0.783281559346174)</f>
        <v>-0.78328155934617405</v>
      </c>
      <c r="MK73" s="3">
        <f ca="1">IFERROR(__xludf.DUMMYFUNCTION("""COMPUTED_VALUE"""),-0.819501672225327)</f>
        <v>-0.81950167222532699</v>
      </c>
      <c r="ML73" s="3">
        <f ca="1">IFERROR(__xludf.DUMMYFUNCTION("""COMPUTED_VALUE"""),-0.843799951129401)</f>
        <v>-0.84379995112940098</v>
      </c>
      <c r="MM73" s="3">
        <f ca="1">IFERROR(__xludf.DUMMYFUNCTION("""COMPUTED_VALUE"""),-0.833086044529268)</f>
        <v>-0.83308604452926804</v>
      </c>
      <c r="MN73" s="3">
        <f ca="1">IFERROR(__xludf.DUMMYFUNCTION("""COMPUTED_VALUE"""),-0.831732989927195)</f>
        <v>-0.83173298992719502</v>
      </c>
      <c r="MO73" s="3">
        <f ca="1">IFERROR(__xludf.DUMMYFUNCTION("""COMPUTED_VALUE"""),-0.81644587890926)</f>
        <v>-0.81644587890926001</v>
      </c>
      <c r="MP73" s="3">
        <f ca="1">IFERROR(__xludf.DUMMYFUNCTION("""COMPUTED_VALUE"""),-0.838608489997082)</f>
        <v>-0.83860848999708204</v>
      </c>
      <c r="MQ73" s="3">
        <f ca="1">IFERROR(__xludf.DUMMYFUNCTION("""COMPUTED_VALUE"""),-0.809335834557979)</f>
        <v>-0.80933583455797897</v>
      </c>
      <c r="MR73" s="3">
        <f ca="1">IFERROR(__xludf.DUMMYFUNCTION("""COMPUTED_VALUE"""),-0.840602628144815)</f>
        <v>-0.84060262814481501</v>
      </c>
      <c r="MS73" s="3">
        <f ca="1">IFERROR(__xludf.DUMMYFUNCTION("""COMPUTED_VALUE"""),-0.845354064499876)</f>
        <v>-0.84535406449987605</v>
      </c>
      <c r="MT73" s="3">
        <f ca="1">IFERROR(__xludf.DUMMYFUNCTION("""COMPUTED_VALUE"""),-0.847275972171067)</f>
        <v>-0.84727597217106698</v>
      </c>
      <c r="MU73" s="3">
        <f ca="1">IFERROR(__xludf.DUMMYFUNCTION("""COMPUTED_VALUE"""),-0.850224116916732)</f>
        <v>-0.85022411691673205</v>
      </c>
      <c r="MV73" s="3">
        <f ca="1">IFERROR(__xludf.DUMMYFUNCTION("""COMPUTED_VALUE"""),-0.814402744072367)</f>
        <v>-0.81440274407236701</v>
      </c>
      <c r="MW73" s="3">
        <f ca="1">IFERROR(__xludf.DUMMYFUNCTION("""COMPUTED_VALUE"""),-0.849127115484424)</f>
        <v>-0.84912711548442399</v>
      </c>
      <c r="MX73" s="3">
        <f ca="1">IFERROR(__xludf.DUMMYFUNCTION("""COMPUTED_VALUE"""),-0.823385505476181)</f>
        <v>-0.82338550547618095</v>
      </c>
      <c r="MY73" s="3">
        <f ca="1">IFERROR(__xludf.DUMMYFUNCTION("""COMPUTED_VALUE"""),-0.844778286273772)</f>
        <v>-0.84477828627377205</v>
      </c>
      <c r="MZ73" s="3">
        <f ca="1">IFERROR(__xludf.DUMMYFUNCTION("""COMPUTED_VALUE"""),-0.858122738219735)</f>
        <v>-0.85812273821973495</v>
      </c>
      <c r="NA73" s="3">
        <f ca="1">IFERROR(__xludf.DUMMYFUNCTION("""COMPUTED_VALUE"""),-0.85262514896294)</f>
        <v>-0.85262514896293995</v>
      </c>
      <c r="NB73" s="3">
        <f ca="1">IFERROR(__xludf.DUMMYFUNCTION("""COMPUTED_VALUE"""),-0.849332933947789)</f>
        <v>-0.84933293394778897</v>
      </c>
      <c r="NC73" s="3">
        <f ca="1">IFERROR(__xludf.DUMMYFUNCTION("""COMPUTED_VALUE"""),-0.839412100064655)</f>
        <v>-0.83941210006465505</v>
      </c>
      <c r="ND73" s="3">
        <f ca="1">IFERROR(__xludf.DUMMYFUNCTION("""COMPUTED_VALUE"""),-0.850380583979358)</f>
        <v>-0.85038058397935801</v>
      </c>
      <c r="NE73" s="3">
        <f ca="1">IFERROR(__xludf.DUMMYFUNCTION("""COMPUTED_VALUE"""),-0.836431795184377)</f>
        <v>-0.83643179518437705</v>
      </c>
      <c r="NF73" s="3">
        <f ca="1">IFERROR(__xludf.DUMMYFUNCTION("""COMPUTED_VALUE"""),-0.856168983570516)</f>
        <v>-0.85616898357051596</v>
      </c>
      <c r="NG73" s="3">
        <f ca="1">IFERROR(__xludf.DUMMYFUNCTION("""COMPUTED_VALUE"""),-0.866437432752215)</f>
        <v>-0.86643743275221496</v>
      </c>
      <c r="NH73" s="3">
        <f ca="1">IFERROR(__xludf.DUMMYFUNCTION("""COMPUTED_VALUE"""),-0.861369089579855)</f>
        <v>-0.86136908957985503</v>
      </c>
      <c r="NI73" s="3">
        <f ca="1">IFERROR(__xludf.DUMMYFUNCTION("""COMPUTED_VALUE"""),-0.860794150193066)</f>
        <v>-0.86079415019306604</v>
      </c>
      <c r="NJ73" s="3">
        <f ca="1">IFERROR(__xludf.DUMMYFUNCTION("""COMPUTED_VALUE"""),-0.850122872331387)</f>
        <v>-0.85012287233138695</v>
      </c>
      <c r="NK73" s="3">
        <f ca="1">IFERROR(__xludf.DUMMYFUNCTION("""COMPUTED_VALUE"""),-0.856597807381253)</f>
        <v>-0.85659780738125302</v>
      </c>
      <c r="NL73" s="3">
        <f ca="1">IFERROR(__xludf.DUMMYFUNCTION("""COMPUTED_VALUE"""),-0.836763244649442)</f>
        <v>-0.83676324464944196</v>
      </c>
      <c r="NM73" s="3">
        <f ca="1">IFERROR(__xludf.DUMMYFUNCTION("""COMPUTED_VALUE"""),-0.850489949620201)</f>
        <v>-0.85048994962020097</v>
      </c>
      <c r="NN73" s="3">
        <f ca="1">IFERROR(__xludf.DUMMYFUNCTION("""COMPUTED_VALUE"""),-0.854166614712291)</f>
        <v>-0.85416661471229105</v>
      </c>
      <c r="NO73" s="3">
        <f ca="1">IFERROR(__xludf.DUMMYFUNCTION("""COMPUTED_VALUE"""),-0.832293045574112)</f>
        <v>-0.83229304557411199</v>
      </c>
      <c r="NP73" s="3">
        <f ca="1">IFERROR(__xludf.DUMMYFUNCTION("""COMPUTED_VALUE"""),-0.845177916257755)</f>
        <v>-0.84517791625775496</v>
      </c>
      <c r="NQ73" s="3">
        <f ca="1">IFERROR(__xludf.DUMMYFUNCTION("""COMPUTED_VALUE"""),-0.808806988833662)</f>
        <v>-0.80880698883366198</v>
      </c>
      <c r="NR73" s="3">
        <f ca="1">IFERROR(__xludf.DUMMYFUNCTION("""COMPUTED_VALUE"""),-0.818891348868975)</f>
        <v>-0.81889134886897497</v>
      </c>
      <c r="NS73" s="3">
        <f ca="1">IFERROR(__xludf.DUMMYFUNCTION("""COMPUTED_VALUE"""),-0.83537906488014)</f>
        <v>-0.83537906488014002</v>
      </c>
      <c r="NT73" s="3">
        <f ca="1">IFERROR(__xludf.DUMMYFUNCTION("""COMPUTED_VALUE"""),-0.858117889387132)</f>
        <v>-0.85811788938713196</v>
      </c>
      <c r="NU73" s="3">
        <f ca="1">IFERROR(__xludf.DUMMYFUNCTION("""COMPUTED_VALUE"""),-0.854445511587056)</f>
        <v>-0.85444551158705595</v>
      </c>
      <c r="NV73" s="3">
        <f ca="1">IFERROR(__xludf.DUMMYFUNCTION("""COMPUTED_VALUE"""),-0.849553363074382)</f>
        <v>-0.84955336307438201</v>
      </c>
      <c r="NW73" s="3">
        <f ca="1">IFERROR(__xludf.DUMMYFUNCTION("""COMPUTED_VALUE"""),-0.794459847048123)</f>
        <v>-0.794459847048123</v>
      </c>
      <c r="NX73" s="3">
        <f ca="1">IFERROR(__xludf.DUMMYFUNCTION("""COMPUTED_VALUE"""),-0.792628753798553)</f>
        <v>-0.79262875379855302</v>
      </c>
      <c r="NY73" s="3">
        <f ca="1">IFERROR(__xludf.DUMMYFUNCTION("""COMPUTED_VALUE"""),-0.731529901777822)</f>
        <v>-0.73152990177782196</v>
      </c>
      <c r="NZ73" s="3">
        <f ca="1">IFERROR(__xludf.DUMMYFUNCTION("""COMPUTED_VALUE"""),-0.731881306345832)</f>
        <v>-0.73188130634583204</v>
      </c>
      <c r="OA73" s="3">
        <f ca="1">IFERROR(__xludf.DUMMYFUNCTION("""COMPUTED_VALUE"""),-0.768074373154534)</f>
        <v>-0.76807437315453397</v>
      </c>
      <c r="OB73" s="3">
        <f ca="1">IFERROR(__xludf.DUMMYFUNCTION("""COMPUTED_VALUE"""),-0.735054593795223)</f>
        <v>-0.73505459379522298</v>
      </c>
      <c r="OC73" s="3">
        <f ca="1">IFERROR(__xludf.DUMMYFUNCTION("""COMPUTED_VALUE"""),-0.709163640040295)</f>
        <v>-0.70916364004029497</v>
      </c>
      <c r="OD73" s="3">
        <f ca="1">IFERROR(__xludf.DUMMYFUNCTION("""COMPUTED_VALUE"""),-0.662712913208735)</f>
        <v>-0.66271291320873504</v>
      </c>
      <c r="OE73" s="3">
        <f ca="1">IFERROR(__xludf.DUMMYFUNCTION("""COMPUTED_VALUE"""),-0.581143142411642)</f>
        <v>-0.581143142411642</v>
      </c>
      <c r="OF73" s="3">
        <f ca="1">IFERROR(__xludf.DUMMYFUNCTION("""COMPUTED_VALUE"""),-0.372754331675552)</f>
        <v>-0.372754331675552</v>
      </c>
      <c r="OG73" s="3">
        <f ca="1">IFERROR(__xludf.DUMMYFUNCTION("""COMPUTED_VALUE"""),-0.339854632767301)</f>
        <v>-0.33985463276730099</v>
      </c>
      <c r="OH73" s="3">
        <f ca="1">IFERROR(__xludf.DUMMYFUNCTION("""COMPUTED_VALUE"""),-0.310975592551234)</f>
        <v>-0.31097559255123403</v>
      </c>
      <c r="OI73" s="3">
        <f ca="1">IFERROR(__xludf.DUMMYFUNCTION("""COMPUTED_VALUE"""),-0.0632606886435169)</f>
        <v>-6.3260688643516902E-2</v>
      </c>
      <c r="OJ73" s="3">
        <f ca="1">IFERROR(__xludf.DUMMYFUNCTION("""COMPUTED_VALUE"""),0.00240260423051918)</f>
        <v>2.4026042305191802E-3</v>
      </c>
      <c r="OK73" s="3">
        <f ca="1">IFERROR(__xludf.DUMMYFUNCTION("""COMPUTED_VALUE"""),0.0104759387729786)</f>
        <v>1.04759387729786E-2</v>
      </c>
      <c r="OL73" s="3">
        <f ca="1">IFERROR(__xludf.DUMMYFUNCTION("""COMPUTED_VALUE"""),-0.011237871456265)</f>
        <v>-1.1237871456265E-2</v>
      </c>
      <c r="OM73" s="3">
        <f ca="1">IFERROR(__xludf.DUMMYFUNCTION("""COMPUTED_VALUE"""),-0.0328186242391255)</f>
        <v>-3.2818624239125502E-2</v>
      </c>
      <c r="ON73" s="3">
        <f ca="1">IFERROR(__xludf.DUMMYFUNCTION("""COMPUTED_VALUE"""),0.0199035873482682)</f>
        <v>1.9903587348268199E-2</v>
      </c>
      <c r="OO73" s="3">
        <f ca="1">IFERROR(__xludf.DUMMYFUNCTION("""COMPUTED_VALUE"""),-0.0757077362523511)</f>
        <v>-7.5707736252351096E-2</v>
      </c>
      <c r="OP73" s="3">
        <f ca="1">IFERROR(__xludf.DUMMYFUNCTION("""COMPUTED_VALUE"""),-0.0630569713756254)</f>
        <v>-6.3056971375625395E-2</v>
      </c>
      <c r="OQ73" s="3">
        <f ca="1">IFERROR(__xludf.DUMMYFUNCTION("""COMPUTED_VALUE"""),-0.055165322029709)</f>
        <v>-5.5165322029709002E-2</v>
      </c>
      <c r="OR73" s="3">
        <f ca="1">IFERROR(__xludf.DUMMYFUNCTION("""COMPUTED_VALUE"""),-0.0450873551851426)</f>
        <v>-4.5087355185142598E-2</v>
      </c>
      <c r="OS73" s="3">
        <f ca="1">IFERROR(__xludf.DUMMYFUNCTION("""COMPUTED_VALUE"""),-0.0749885772184417)</f>
        <v>-7.4988577218441696E-2</v>
      </c>
      <c r="OT73" s="3">
        <f ca="1">IFERROR(__xludf.DUMMYFUNCTION("""COMPUTED_VALUE"""),0.114453931274983)</f>
        <v>0.114453931274983</v>
      </c>
      <c r="OU73" s="3">
        <f ca="1">IFERROR(__xludf.DUMMYFUNCTION("""COMPUTED_VALUE"""),0.0731439691490227)</f>
        <v>7.31439691490227E-2</v>
      </c>
      <c r="OV73" s="3">
        <f ca="1">IFERROR(__xludf.DUMMYFUNCTION("""COMPUTED_VALUE"""),0.0626387788965379)</f>
        <v>6.2638778896537906E-2</v>
      </c>
      <c r="OW73" s="3">
        <f ca="1">IFERROR(__xludf.DUMMYFUNCTION("""COMPUTED_VALUE"""),0.0102358861861702)</f>
        <v>1.02358861861702E-2</v>
      </c>
      <c r="OX73" s="3">
        <f ca="1">IFERROR(__xludf.DUMMYFUNCTION("""COMPUTED_VALUE"""),0.0216678788636934)</f>
        <v>2.16678788636934E-2</v>
      </c>
      <c r="OY73" s="3">
        <f ca="1">IFERROR(__xludf.DUMMYFUNCTION("""COMPUTED_VALUE"""),-0.00527730501887235)</f>
        <v>-5.2773050188723502E-3</v>
      </c>
      <c r="OZ73" s="3">
        <f ca="1">IFERROR(__xludf.DUMMYFUNCTION("""COMPUTED_VALUE"""),-0.00950583495082046)</f>
        <v>-9.50583495082046E-3</v>
      </c>
      <c r="PA73" s="3">
        <f ca="1">IFERROR(__xludf.DUMMYFUNCTION("""COMPUTED_VALUE"""),0.029321186779019)</f>
        <v>2.9321186779019001E-2</v>
      </c>
      <c r="PB73" s="3">
        <f ca="1">IFERROR(__xludf.DUMMYFUNCTION("""COMPUTED_VALUE"""),0.0232862100325101)</f>
        <v>2.32862100325101E-2</v>
      </c>
      <c r="PC73" s="3">
        <f ca="1">IFERROR(__xludf.DUMMYFUNCTION("""COMPUTED_VALUE"""),-0.0262003958810451)</f>
        <v>-2.6200395881045099E-2</v>
      </c>
      <c r="PD73" s="3">
        <f ca="1">IFERROR(__xludf.DUMMYFUNCTION("""COMPUTED_VALUE"""),-0.0963110928470105)</f>
        <v>-9.6311092847010504E-2</v>
      </c>
      <c r="PE73" s="3">
        <f ca="1">IFERROR(__xludf.DUMMYFUNCTION("""COMPUTED_VALUE"""),0.126489977488174)</f>
        <v>0.126489977488174</v>
      </c>
      <c r="PF73" s="3">
        <f ca="1">IFERROR(__xludf.DUMMYFUNCTION("""COMPUTED_VALUE"""),0.0291727574220501)</f>
        <v>2.91727574220501E-2</v>
      </c>
      <c r="PG73" s="3">
        <f ca="1">IFERROR(__xludf.DUMMYFUNCTION("""COMPUTED_VALUE"""),0.00720644514938406)</f>
        <v>7.2064451493840604E-3</v>
      </c>
      <c r="PH73" s="3">
        <f ca="1">IFERROR(__xludf.DUMMYFUNCTION("""COMPUTED_VALUE"""),0.0725317378707894)</f>
        <v>7.2531737870789398E-2</v>
      </c>
      <c r="PI73" s="3">
        <f ca="1">IFERROR(__xludf.DUMMYFUNCTION("""COMPUTED_VALUE"""),0.0342340122235249)</f>
        <v>3.4234012223524901E-2</v>
      </c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</row>
    <row r="74" spans="1:477" ht="13">
      <c r="A74" s="1" t="str">
        <f ca="1">IFERROR(__xludf.DUMMYFUNCTION("""COMPUTED_VALUE"""),"STL")</f>
        <v>STL</v>
      </c>
      <c r="B74" s="1" t="str">
        <f ca="1">IFERROR(__xludf.DUMMYFUNCTION("""COMPUTED_VALUE"""),"Montréal")</f>
        <v>Montréal</v>
      </c>
      <c r="C74" s="1" t="str">
        <f ca="1">IFERROR(__xludf.DUMMYFUNCTION("""COMPUTED_VALUE"""),"Canada")</f>
        <v>Canada</v>
      </c>
      <c r="D74" s="1" t="str">
        <f ca="1">IFERROR(__xludf.DUMMYFUNCTION("""COMPUTED_VALUE"""),"Quebec")</f>
        <v>Quebec</v>
      </c>
      <c r="E74" s="3">
        <f ca="1">IFERROR(__xludf.DUMMYFUNCTION("""COMPUTED_VALUE"""),-0.496404049863928)</f>
        <v>-0.496404049863928</v>
      </c>
      <c r="F74" s="3">
        <f ca="1">IFERROR(__xludf.DUMMYFUNCTION("""COMPUTED_VALUE"""),-0.523548599404057)</f>
        <v>-0.52354859940405696</v>
      </c>
      <c r="G74" s="3">
        <f ca="1">IFERROR(__xludf.DUMMYFUNCTION("""COMPUTED_VALUE"""),-0.563354108973523)</f>
        <v>-0.563354108973523</v>
      </c>
      <c r="H74" s="3">
        <f ca="1">IFERROR(__xludf.DUMMYFUNCTION("""COMPUTED_VALUE"""),-0.551173089118169)</f>
        <v>-0.55117308911816898</v>
      </c>
      <c r="I74" s="3">
        <f ca="1">IFERROR(__xludf.DUMMYFUNCTION("""COMPUTED_VALUE"""),-0.519450315849958)</f>
        <v>-0.51945031584995804</v>
      </c>
      <c r="J74" s="3">
        <f ca="1">IFERROR(__xludf.DUMMYFUNCTION("""COMPUTED_VALUE"""),-0.529699574826126)</f>
        <v>-0.52969957482612595</v>
      </c>
      <c r="K74" s="3">
        <f ca="1">IFERROR(__xludf.DUMMYFUNCTION("""COMPUTED_VALUE"""),-0.573238936241544)</f>
        <v>-0.57323893624154398</v>
      </c>
      <c r="L74" s="3">
        <f ca="1">IFERROR(__xludf.DUMMYFUNCTION("""COMPUTED_VALUE"""),-0.507011113536177)</f>
        <v>-0.507011113536177</v>
      </c>
      <c r="M74" s="3">
        <f ca="1">IFERROR(__xludf.DUMMYFUNCTION("""COMPUTED_VALUE"""),-0.551491262923171)</f>
        <v>-0.55149126292317097</v>
      </c>
      <c r="N74" s="3">
        <f ca="1">IFERROR(__xludf.DUMMYFUNCTION("""COMPUTED_VALUE"""),-0.569622268152286)</f>
        <v>-0.569622268152286</v>
      </c>
      <c r="O74" s="3">
        <f ca="1">IFERROR(__xludf.DUMMYFUNCTION("""COMPUTED_VALUE"""),-0.565950306743868)</f>
        <v>-0.56595030674386804</v>
      </c>
      <c r="P74" s="3">
        <f ca="1">IFERROR(__xludf.DUMMYFUNCTION("""COMPUTED_VALUE"""),-0.554158534592961)</f>
        <v>-0.55415853459296105</v>
      </c>
      <c r="Q74" s="3">
        <f ca="1">IFERROR(__xludf.DUMMYFUNCTION("""COMPUTED_VALUE"""),-0.570908711948653)</f>
        <v>-0.570908711948653</v>
      </c>
      <c r="R74" s="3">
        <f ca="1">IFERROR(__xludf.DUMMYFUNCTION("""COMPUTED_VALUE"""),-0.553245443890587)</f>
        <v>-0.55324544389058705</v>
      </c>
      <c r="S74" s="3">
        <f ca="1">IFERROR(__xludf.DUMMYFUNCTION("""COMPUTED_VALUE"""),-0.53916198907077)</f>
        <v>-0.53916198907076995</v>
      </c>
      <c r="T74" s="3">
        <f ca="1">IFERROR(__xludf.DUMMYFUNCTION("""COMPUTED_VALUE"""),-0.63628678638113)</f>
        <v>-0.63628678638113001</v>
      </c>
      <c r="U74" s="3">
        <f ca="1">IFERROR(__xludf.DUMMYFUNCTION("""COMPUTED_VALUE"""),-0.56144548909897)</f>
        <v>-0.56144548909896996</v>
      </c>
      <c r="V74" s="3">
        <f ca="1">IFERROR(__xludf.DUMMYFUNCTION("""COMPUTED_VALUE"""),-0.576439487160969)</f>
        <v>-0.57643948716096904</v>
      </c>
      <c r="W74" s="3">
        <f ca="1">IFERROR(__xludf.DUMMYFUNCTION("""COMPUTED_VALUE"""),-0.560962975083869)</f>
        <v>-0.56096297508386905</v>
      </c>
      <c r="X74" s="3">
        <f ca="1">IFERROR(__xludf.DUMMYFUNCTION("""COMPUTED_VALUE"""),-0.557352093016209)</f>
        <v>-0.55735209301620903</v>
      </c>
      <c r="Y74" s="3">
        <f ca="1">IFERROR(__xludf.DUMMYFUNCTION("""COMPUTED_VALUE"""),-0.482174516292706)</f>
        <v>-0.48217451629270602</v>
      </c>
      <c r="Z74" s="3">
        <f ca="1">IFERROR(__xludf.DUMMYFUNCTION("""COMPUTED_VALUE"""),-0.520294870983064)</f>
        <v>-0.52029487098306404</v>
      </c>
      <c r="AA74" s="3">
        <f ca="1">IFERROR(__xludf.DUMMYFUNCTION("""COMPUTED_VALUE"""),-0.58271440945991)</f>
        <v>-0.58271440945991004</v>
      </c>
      <c r="AB74" s="3">
        <f ca="1">IFERROR(__xludf.DUMMYFUNCTION("""COMPUTED_VALUE"""),-0.588377678351831)</f>
        <v>-0.58837767835183097</v>
      </c>
      <c r="AC74" s="3">
        <f ca="1">IFERROR(__xludf.DUMMYFUNCTION("""COMPUTED_VALUE"""),-0.591981939444173)</f>
        <v>-0.59198193944417299</v>
      </c>
      <c r="AD74" s="3">
        <f ca="1">IFERROR(__xludf.DUMMYFUNCTION("""COMPUTED_VALUE"""),-0.609005398017206)</f>
        <v>-0.60900539801720599</v>
      </c>
      <c r="AE74" s="3">
        <f ca="1">IFERROR(__xludf.DUMMYFUNCTION("""COMPUTED_VALUE"""),-0.607466367851516)</f>
        <v>-0.60746636785151598</v>
      </c>
      <c r="AF74" s="3">
        <f ca="1">IFERROR(__xludf.DUMMYFUNCTION("""COMPUTED_VALUE"""),-0.557909907293174)</f>
        <v>-0.55790990729317402</v>
      </c>
      <c r="AG74" s="3">
        <f ca="1">IFERROR(__xludf.DUMMYFUNCTION("""COMPUTED_VALUE"""),-0.549524806094363)</f>
        <v>-0.54952480609436305</v>
      </c>
      <c r="AH74" s="3">
        <f ca="1">IFERROR(__xludf.DUMMYFUNCTION("""COMPUTED_VALUE"""),-0.616772845991728)</f>
        <v>-0.61677284599172799</v>
      </c>
      <c r="AI74" s="3">
        <f ca="1">IFERROR(__xludf.DUMMYFUNCTION("""COMPUTED_VALUE"""),-0.606456600350384)</f>
        <v>-0.60645660035038396</v>
      </c>
      <c r="AJ74" s="3">
        <f ca="1">IFERROR(__xludf.DUMMYFUNCTION("""COMPUTED_VALUE"""),-0.603523275559756)</f>
        <v>-0.60352327555975605</v>
      </c>
      <c r="AK74" s="3">
        <f ca="1">IFERROR(__xludf.DUMMYFUNCTION("""COMPUTED_VALUE"""),-0.624498602100871)</f>
        <v>-0.62449860210087105</v>
      </c>
      <c r="AL74" s="3">
        <f ca="1">IFERROR(__xludf.DUMMYFUNCTION("""COMPUTED_VALUE"""),-0.618297324623673)</f>
        <v>-0.61829732462367304</v>
      </c>
      <c r="AM74" s="3">
        <f ca="1">IFERROR(__xludf.DUMMYFUNCTION("""COMPUTED_VALUE"""),-0.55249744488909)</f>
        <v>-0.55249744488909003</v>
      </c>
      <c r="AN74" s="3">
        <f ca="1">IFERROR(__xludf.DUMMYFUNCTION("""COMPUTED_VALUE"""),-0.553941486659407)</f>
        <v>-0.55394148665940701</v>
      </c>
      <c r="AO74" s="3">
        <f ca="1">IFERROR(__xludf.DUMMYFUNCTION("""COMPUTED_VALUE"""),-0.631245878701541)</f>
        <v>-0.63124587870154103</v>
      </c>
      <c r="AP74" s="3">
        <f ca="1">IFERROR(__xludf.DUMMYFUNCTION("""COMPUTED_VALUE"""),-0.621842482834656)</f>
        <v>-0.62184248283465604</v>
      </c>
      <c r="AQ74" s="3">
        <f ca="1">IFERROR(__xludf.DUMMYFUNCTION("""COMPUTED_VALUE"""),-0.60145212542457)</f>
        <v>-0.60145212542457005</v>
      </c>
      <c r="AR74" s="3">
        <f ca="1">IFERROR(__xludf.DUMMYFUNCTION("""COMPUTED_VALUE"""),-0.617464901574093)</f>
        <v>-0.61746490157409295</v>
      </c>
      <c r="AS74" s="3">
        <f ca="1">IFERROR(__xludf.DUMMYFUNCTION("""COMPUTED_VALUE"""),-0.584061101900865)</f>
        <v>-0.58406110190086502</v>
      </c>
      <c r="AT74" s="3">
        <f ca="1">IFERROR(__xludf.DUMMYFUNCTION("""COMPUTED_VALUE"""),-0.500972916822998)</f>
        <v>-0.50097291682299805</v>
      </c>
      <c r="AU74" s="3">
        <f ca="1">IFERROR(__xludf.DUMMYFUNCTION("""COMPUTED_VALUE"""),-0.552616381539011)</f>
        <v>-0.55261638153901105</v>
      </c>
      <c r="AV74" s="3">
        <f ca="1">IFERROR(__xludf.DUMMYFUNCTION("""COMPUTED_VALUE"""),-0.615467673840986)</f>
        <v>-0.615467673840986</v>
      </c>
      <c r="AW74" s="3">
        <f ca="1">IFERROR(__xludf.DUMMYFUNCTION("""COMPUTED_VALUE"""),-0.635732143122148)</f>
        <v>-0.63573214312214799</v>
      </c>
      <c r="AX74" s="3">
        <f ca="1">IFERROR(__xludf.DUMMYFUNCTION("""COMPUTED_VALUE"""),-0.628892547794859)</f>
        <v>-0.62889254779485904</v>
      </c>
      <c r="AY74" s="3">
        <f ca="1">IFERROR(__xludf.DUMMYFUNCTION("""COMPUTED_VALUE"""),-0.65784144574486)</f>
        <v>-0.65784144574486003</v>
      </c>
      <c r="AZ74" s="3">
        <f ca="1">IFERROR(__xludf.DUMMYFUNCTION("""COMPUTED_VALUE"""),-0.634342001788089)</f>
        <v>-0.63434200178808897</v>
      </c>
      <c r="BA74" s="3">
        <f ca="1">IFERROR(__xludf.DUMMYFUNCTION("""COMPUTED_VALUE"""),-0.564787082334827)</f>
        <v>-0.564787082334827</v>
      </c>
      <c r="BB74" s="3">
        <f ca="1">IFERROR(__xludf.DUMMYFUNCTION("""COMPUTED_VALUE"""),-0.564980886172465)</f>
        <v>-0.564980886172465</v>
      </c>
      <c r="BC74" s="3">
        <f ca="1">IFERROR(__xludf.DUMMYFUNCTION("""COMPUTED_VALUE"""),-0.649679173141534)</f>
        <v>-0.64967917314153401</v>
      </c>
      <c r="BD74" s="3">
        <f ca="1">IFERROR(__xludf.DUMMYFUNCTION("""COMPUTED_VALUE"""),-0.696285958408617)</f>
        <v>-0.69628595840861696</v>
      </c>
      <c r="BE74" s="3">
        <f ca="1">IFERROR(__xludf.DUMMYFUNCTION("""COMPUTED_VALUE"""),-0.60503361182878)</f>
        <v>-0.60503361182878002</v>
      </c>
      <c r="BF74" s="3">
        <f ca="1">IFERROR(__xludf.DUMMYFUNCTION("""COMPUTED_VALUE"""),-0.676917149013364)</f>
        <v>-0.67691714901336397</v>
      </c>
      <c r="BG74" s="3">
        <f ca="1">IFERROR(__xludf.DUMMYFUNCTION("""COMPUTED_VALUE"""),-0.651685991066409)</f>
        <v>-0.65168599106640901</v>
      </c>
      <c r="BH74" s="3">
        <f ca="1">IFERROR(__xludf.DUMMYFUNCTION("""COMPUTED_VALUE"""),-0.512522130026326)</f>
        <v>-0.51252213002632596</v>
      </c>
      <c r="BI74" s="3">
        <f ca="1">IFERROR(__xludf.DUMMYFUNCTION("""COMPUTED_VALUE"""),-0.573933620120914)</f>
        <v>-0.57393362012091398</v>
      </c>
      <c r="BJ74" s="3">
        <f ca="1">IFERROR(__xludf.DUMMYFUNCTION("""COMPUTED_VALUE"""),-0.637669570238962)</f>
        <v>-0.63766957023896198</v>
      </c>
      <c r="BK74" s="3">
        <f ca="1">IFERROR(__xludf.DUMMYFUNCTION("""COMPUTED_VALUE"""),-0.659035444604864)</f>
        <v>-0.65903544460486396</v>
      </c>
      <c r="BL74" s="3">
        <f ca="1">IFERROR(__xludf.DUMMYFUNCTION("""COMPUTED_VALUE"""),-0.652881323622646)</f>
        <v>-0.65288132362264595</v>
      </c>
      <c r="BM74" s="3">
        <f ca="1">IFERROR(__xludf.DUMMYFUNCTION("""COMPUTED_VALUE"""),-0.64337139083926)</f>
        <v>-0.64337139083925998</v>
      </c>
      <c r="BN74" s="3">
        <f ca="1">IFERROR(__xludf.DUMMYFUNCTION("""COMPUTED_VALUE"""),-0.661057858520705)</f>
        <v>-0.66105785852070498</v>
      </c>
      <c r="BO74" s="3">
        <f ca="1">IFERROR(__xludf.DUMMYFUNCTION("""COMPUTED_VALUE"""),-0.633599243315897)</f>
        <v>-0.63359924331589701</v>
      </c>
      <c r="BP74" s="3">
        <f ca="1">IFERROR(__xludf.DUMMYFUNCTION("""COMPUTED_VALUE"""),-0.664263728546592)</f>
        <v>-0.66426372854659199</v>
      </c>
      <c r="BQ74" s="3">
        <f ca="1">IFERROR(__xludf.DUMMYFUNCTION("""COMPUTED_VALUE"""),-0.671567952350569)</f>
        <v>-0.67156795235056899</v>
      </c>
      <c r="BR74" s="3">
        <f ca="1">IFERROR(__xludf.DUMMYFUNCTION("""COMPUTED_VALUE"""),-0.685114984765335)</f>
        <v>-0.68511498476533506</v>
      </c>
      <c r="BS74" s="3">
        <f ca="1">IFERROR(__xludf.DUMMYFUNCTION("""COMPUTED_VALUE"""),-0.672969183681756)</f>
        <v>-0.67296918368175596</v>
      </c>
      <c r="BT74" s="3">
        <f ca="1">IFERROR(__xludf.DUMMYFUNCTION("""COMPUTED_VALUE"""),-0.712908274706918)</f>
        <v>-0.71290827470691798</v>
      </c>
      <c r="BU74" s="3">
        <f ca="1">IFERROR(__xludf.DUMMYFUNCTION("""COMPUTED_VALUE"""),-0.736635470531777)</f>
        <v>-0.73663547053177703</v>
      </c>
      <c r="BV74" s="3">
        <f ca="1">IFERROR(__xludf.DUMMYFUNCTION("""COMPUTED_VALUE"""),-0.675237187739261)</f>
        <v>-0.675237187739261</v>
      </c>
      <c r="BW74" s="3">
        <f ca="1">IFERROR(__xludf.DUMMYFUNCTION("""COMPUTED_VALUE"""),-0.70566856032801)</f>
        <v>-0.70566856032800995</v>
      </c>
      <c r="BX74" s="3">
        <f ca="1">IFERROR(__xludf.DUMMYFUNCTION("""COMPUTED_VALUE"""),-0.723688868036638)</f>
        <v>-0.72368886803663801</v>
      </c>
      <c r="BY74" s="3">
        <f ca="1">IFERROR(__xludf.DUMMYFUNCTION("""COMPUTED_VALUE"""),-0.73016421417227)</f>
        <v>-0.73016421417226995</v>
      </c>
      <c r="BZ74" s="3">
        <f ca="1">IFERROR(__xludf.DUMMYFUNCTION("""COMPUTED_VALUE"""),-0.713454193192297)</f>
        <v>-0.71345419319229697</v>
      </c>
      <c r="CA74" s="3">
        <f ca="1">IFERROR(__xludf.DUMMYFUNCTION("""COMPUTED_VALUE"""),-0.724684941006537)</f>
        <v>-0.72468494100653702</v>
      </c>
      <c r="CB74" s="3">
        <f ca="1">IFERROR(__xludf.DUMMYFUNCTION("""COMPUTED_VALUE"""),-0.715888137854859)</f>
        <v>-0.71588813785485905</v>
      </c>
      <c r="CC74" s="3">
        <f ca="1">IFERROR(__xludf.DUMMYFUNCTION("""COMPUTED_VALUE"""),-0.677383396271006)</f>
        <v>-0.67738339627100597</v>
      </c>
      <c r="CD74" s="3">
        <f ca="1">IFERROR(__xludf.DUMMYFUNCTION("""COMPUTED_VALUE"""),-0.699092489069409)</f>
        <v>-0.69909248906940902</v>
      </c>
      <c r="CE74" s="3">
        <f ca="1">IFERROR(__xludf.DUMMYFUNCTION("""COMPUTED_VALUE"""),-0.718831623664808)</f>
        <v>-0.71883162366480802</v>
      </c>
      <c r="CF74" s="3">
        <f ca="1">IFERROR(__xludf.DUMMYFUNCTION("""COMPUTED_VALUE"""),-0.695269543037316)</f>
        <v>-0.69526954303731603</v>
      </c>
      <c r="CG74" s="3">
        <f ca="1">IFERROR(__xludf.DUMMYFUNCTION("""COMPUTED_VALUE"""),-0.70488260065607)</f>
        <v>-0.70488260065607</v>
      </c>
      <c r="CH74" s="3">
        <f ca="1">IFERROR(__xludf.DUMMYFUNCTION("""COMPUTED_VALUE"""),-0.712327268413069)</f>
        <v>-0.71232726841306904</v>
      </c>
      <c r="CI74" s="3">
        <f ca="1">IFERROR(__xludf.DUMMYFUNCTION("""COMPUTED_VALUE"""),-0.690832196998882)</f>
        <v>-0.69083219699888199</v>
      </c>
      <c r="CJ74" s="3">
        <f ca="1">IFERROR(__xludf.DUMMYFUNCTION("""COMPUTED_VALUE"""),-0.647078258770403)</f>
        <v>-0.64707825877040304</v>
      </c>
      <c r="CK74" s="3">
        <f ca="1">IFERROR(__xludf.DUMMYFUNCTION("""COMPUTED_VALUE"""),-0.68748692117436)</f>
        <v>-0.68748692117436005</v>
      </c>
      <c r="CL74" s="3">
        <f ca="1">IFERROR(__xludf.DUMMYFUNCTION("""COMPUTED_VALUE"""),-0.744847644228187)</f>
        <v>-0.74484764422818694</v>
      </c>
      <c r="CM74" s="3">
        <f ca="1">IFERROR(__xludf.DUMMYFUNCTION("""COMPUTED_VALUE"""),-0.734591448899582)</f>
        <v>-0.73459144889958194</v>
      </c>
      <c r="CN74" s="3">
        <f ca="1">IFERROR(__xludf.DUMMYFUNCTION("""COMPUTED_VALUE"""),-0.748127986543166)</f>
        <v>-0.74812798654316603</v>
      </c>
      <c r="CO74" s="3">
        <f ca="1">IFERROR(__xludf.DUMMYFUNCTION("""COMPUTED_VALUE"""),-0.740579742976676)</f>
        <v>-0.74057974297667595</v>
      </c>
      <c r="CP74" s="3">
        <f ca="1">IFERROR(__xludf.DUMMYFUNCTION("""COMPUTED_VALUE"""),-0.725434154338064)</f>
        <v>-0.72543415433806402</v>
      </c>
      <c r="CQ74" s="3">
        <f ca="1">IFERROR(__xludf.DUMMYFUNCTION("""COMPUTED_VALUE"""),-0.663609734646402)</f>
        <v>-0.66360973464640205</v>
      </c>
      <c r="CR74" s="3">
        <f ca="1">IFERROR(__xludf.DUMMYFUNCTION("""COMPUTED_VALUE"""),-0.667630212419445)</f>
        <v>-0.66763021241944498</v>
      </c>
      <c r="CS74" s="3">
        <f ca="1">IFERROR(__xludf.DUMMYFUNCTION("""COMPUTED_VALUE"""),-0.690851943256717)</f>
        <v>-0.69085194325671695</v>
      </c>
      <c r="CT74" s="3">
        <f ca="1">IFERROR(__xludf.DUMMYFUNCTION("""COMPUTED_VALUE"""),-0.683496523063918)</f>
        <v>-0.68349652306391795</v>
      </c>
      <c r="CU74" s="3">
        <f ca="1">IFERROR(__xludf.DUMMYFUNCTION("""COMPUTED_VALUE"""),-0.653174955137669)</f>
        <v>-0.65317495513766899</v>
      </c>
      <c r="CV74" s="3">
        <f ca="1">IFERROR(__xludf.DUMMYFUNCTION("""COMPUTED_VALUE"""),-0.674015550973737)</f>
        <v>-0.674015550973737</v>
      </c>
      <c r="CW74" s="3">
        <f ca="1">IFERROR(__xludf.DUMMYFUNCTION("""COMPUTED_VALUE"""),-0.660720217275557)</f>
        <v>-0.66072021727555696</v>
      </c>
      <c r="CX74" s="3">
        <f ca="1">IFERROR(__xludf.DUMMYFUNCTION("""COMPUTED_VALUE"""),-0.639194703080453)</f>
        <v>-0.63919470308045301</v>
      </c>
      <c r="CY74" s="3">
        <f ca="1">IFERROR(__xludf.DUMMYFUNCTION("""COMPUTED_VALUE"""),-0.691790285220175)</f>
        <v>-0.69179028522017505</v>
      </c>
      <c r="CZ74" s="3">
        <f ca="1">IFERROR(__xludf.DUMMYFUNCTION("""COMPUTED_VALUE"""),-0.770094302724737)</f>
        <v>-0.770094302724737</v>
      </c>
      <c r="DA74" s="3">
        <f ca="1">IFERROR(__xludf.DUMMYFUNCTION("""COMPUTED_VALUE"""),-0.68105529868134)</f>
        <v>-0.68105529868133996</v>
      </c>
      <c r="DB74" s="3">
        <f ca="1">IFERROR(__xludf.DUMMYFUNCTION("""COMPUTED_VALUE"""),-0.558218643896)</f>
        <v>-0.55821864389599996</v>
      </c>
      <c r="DC74" s="3">
        <f ca="1">IFERROR(__xludf.DUMMYFUNCTION("""COMPUTED_VALUE"""),-0.634092738801669)</f>
        <v>-0.63409273880166905</v>
      </c>
      <c r="DD74" s="3">
        <f ca="1">IFERROR(__xludf.DUMMYFUNCTION("""COMPUTED_VALUE"""),-0.688417875110241)</f>
        <v>-0.688417875110241</v>
      </c>
      <c r="DE74" s="3">
        <f ca="1">IFERROR(__xludf.DUMMYFUNCTION("""COMPUTED_VALUE"""),-0.638960081846776)</f>
        <v>-0.638960081846776</v>
      </c>
      <c r="DF74" s="3">
        <f ca="1">IFERROR(__xludf.DUMMYFUNCTION("""COMPUTED_VALUE"""),-0.686411699099937)</f>
        <v>-0.68641169909993704</v>
      </c>
      <c r="DG74" s="3">
        <f ca="1">IFERROR(__xludf.DUMMYFUNCTION("""COMPUTED_VALUE"""),-0.799332285334369)</f>
        <v>-0.79933228533436895</v>
      </c>
      <c r="DH74" s="3">
        <f ca="1">IFERROR(__xludf.DUMMYFUNCTION("""COMPUTED_VALUE"""),-0.60827930633284)</f>
        <v>-0.60827930633284</v>
      </c>
      <c r="DI74" s="3">
        <f ca="1">IFERROR(__xludf.DUMMYFUNCTION("""COMPUTED_VALUE"""),-0.370054057816093)</f>
        <v>-0.37005405781609302</v>
      </c>
      <c r="DJ74" s="3">
        <f ca="1">IFERROR(__xludf.DUMMYFUNCTION("""COMPUTED_VALUE"""),-0.520824185864069)</f>
        <v>-0.52082418586406898</v>
      </c>
      <c r="DK74" s="3">
        <f ca="1">IFERROR(__xludf.DUMMYFUNCTION("""COMPUTED_VALUE"""),-0.541539188349916)</f>
        <v>-0.54153918834991599</v>
      </c>
      <c r="DL74" s="3">
        <f ca="1">IFERROR(__xludf.DUMMYFUNCTION("""COMPUTED_VALUE"""),-0.546233203872927)</f>
        <v>-0.54623320387292695</v>
      </c>
      <c r="DM74" s="3">
        <f ca="1">IFERROR(__xludf.DUMMYFUNCTION("""COMPUTED_VALUE"""),-0.548863950091532)</f>
        <v>-0.54886395009153199</v>
      </c>
      <c r="DN74" s="3">
        <f ca="1">IFERROR(__xludf.DUMMYFUNCTION("""COMPUTED_VALUE"""),-0.617071401709511)</f>
        <v>-0.61707140170951102</v>
      </c>
      <c r="DO74" s="3">
        <f ca="1">IFERROR(__xludf.DUMMYFUNCTION("""COMPUTED_VALUE"""),-0.637379612933547)</f>
        <v>-0.63737961293354695</v>
      </c>
      <c r="DP74" s="3">
        <f ca="1">IFERROR(__xludf.DUMMYFUNCTION("""COMPUTED_VALUE"""),-0.536769253459274)</f>
        <v>-0.53676925345927395</v>
      </c>
      <c r="DQ74" s="3">
        <f ca="1">IFERROR(__xludf.DUMMYFUNCTION("""COMPUTED_VALUE"""),-0.56236023393722)</f>
        <v>-0.56236023393722001</v>
      </c>
      <c r="DR74" s="3">
        <f ca="1">IFERROR(__xludf.DUMMYFUNCTION("""COMPUTED_VALUE"""),-0.585452942326063)</f>
        <v>-0.58545294232606304</v>
      </c>
      <c r="DS74" s="3">
        <f ca="1">IFERROR(__xludf.DUMMYFUNCTION("""COMPUTED_VALUE"""),-0.573276816120142)</f>
        <v>-0.57327681612014203</v>
      </c>
      <c r="DT74" s="3">
        <f ca="1">IFERROR(__xludf.DUMMYFUNCTION("""COMPUTED_VALUE"""),-0.590418718037221)</f>
        <v>-0.59041871803722101</v>
      </c>
      <c r="DU74" s="3">
        <f ca="1">IFERROR(__xludf.DUMMYFUNCTION("""COMPUTED_VALUE"""),-0.638557573852506)</f>
        <v>-0.638557573852506</v>
      </c>
      <c r="DV74" s="3">
        <f ca="1">IFERROR(__xludf.DUMMYFUNCTION("""COMPUTED_VALUE"""),-0.629156380642002)</f>
        <v>-0.62915638064200197</v>
      </c>
      <c r="DW74" s="3">
        <f ca="1">IFERROR(__xludf.DUMMYFUNCTION("""COMPUTED_VALUE"""),-0.640597726626997)</f>
        <v>-0.64059772662699699</v>
      </c>
      <c r="DX74" s="3">
        <f ca="1">IFERROR(__xludf.DUMMYFUNCTION("""COMPUTED_VALUE"""),-0.626975221773861)</f>
        <v>-0.626975221773861</v>
      </c>
      <c r="DY74" s="3">
        <f ca="1">IFERROR(__xludf.DUMMYFUNCTION("""COMPUTED_VALUE"""),-0.629195301494983)</f>
        <v>-0.62919530149498304</v>
      </c>
      <c r="DZ74" s="3">
        <f ca="1">IFERROR(__xludf.DUMMYFUNCTION("""COMPUTED_VALUE"""),-0.567046528439241)</f>
        <v>-0.56704652843924097</v>
      </c>
      <c r="EA74" s="3">
        <f ca="1">IFERROR(__xludf.DUMMYFUNCTION("""COMPUTED_VALUE"""),-0.572099637482578)</f>
        <v>-0.57209963748257797</v>
      </c>
      <c r="EB74" s="3">
        <f ca="1">IFERROR(__xludf.DUMMYFUNCTION("""COMPUTED_VALUE"""),-0.645230975961961)</f>
        <v>-0.645230975961961</v>
      </c>
      <c r="EC74" s="3">
        <f ca="1">IFERROR(__xludf.DUMMYFUNCTION("""COMPUTED_VALUE"""),-0.6473672170665)</f>
        <v>-0.64736721706650002</v>
      </c>
      <c r="ED74" s="3">
        <f ca="1">IFERROR(__xludf.DUMMYFUNCTION("""COMPUTED_VALUE"""),-0.650224944423694)</f>
        <v>-0.65022494442369405</v>
      </c>
      <c r="EE74" s="3">
        <f ca="1">IFERROR(__xludf.DUMMYFUNCTION("""COMPUTED_VALUE"""),-0.628440688314036)</f>
        <v>-0.62844068831403599</v>
      </c>
      <c r="EF74" s="3">
        <f ca="1">IFERROR(__xludf.DUMMYFUNCTION("""COMPUTED_VALUE"""),-0.615342488990466)</f>
        <v>-0.61534248899046595</v>
      </c>
      <c r="EG74" s="3">
        <f ca="1">IFERROR(__xludf.DUMMYFUNCTION("""COMPUTED_VALUE"""),-0.546617629746334)</f>
        <v>-0.54661762974633399</v>
      </c>
      <c r="EH74" s="3">
        <f ca="1">IFERROR(__xludf.DUMMYFUNCTION("""COMPUTED_VALUE"""),-0.560193096847249)</f>
        <v>-0.56019309684724905</v>
      </c>
      <c r="EI74" s="3">
        <f ca="1">IFERROR(__xludf.DUMMYFUNCTION("""COMPUTED_VALUE"""),-0.593778817642159)</f>
        <v>-0.59377881764215901</v>
      </c>
      <c r="EJ74" s="3">
        <f ca="1">IFERROR(__xludf.DUMMYFUNCTION("""COMPUTED_VALUE"""),-0.626755548570578)</f>
        <v>-0.62675554857057802</v>
      </c>
      <c r="EK74" s="3">
        <f ca="1">IFERROR(__xludf.DUMMYFUNCTION("""COMPUTED_VALUE"""),-0.595203317813026)</f>
        <v>-0.59520331781302604</v>
      </c>
      <c r="EL74" s="3">
        <f ca="1">IFERROR(__xludf.DUMMYFUNCTION("""COMPUTED_VALUE"""),-0.643140964048779)</f>
        <v>-0.64314096404877896</v>
      </c>
      <c r="EM74" s="3">
        <f ca="1">IFERROR(__xludf.DUMMYFUNCTION("""COMPUTED_VALUE"""),-0.641328852068398)</f>
        <v>-0.64132885206839796</v>
      </c>
      <c r="EN74" s="3">
        <f ca="1">IFERROR(__xludf.DUMMYFUNCTION("""COMPUTED_VALUE"""),-0.554342719396715)</f>
        <v>-0.55434271939671498</v>
      </c>
      <c r="EO74" s="3">
        <f ca="1">IFERROR(__xludf.DUMMYFUNCTION("""COMPUTED_VALUE"""),-0.580005049465045)</f>
        <v>-0.58000504946504505</v>
      </c>
      <c r="EP74" s="3">
        <f ca="1">IFERROR(__xludf.DUMMYFUNCTION("""COMPUTED_VALUE"""),-0.64411291791436)</f>
        <v>-0.64411291791435998</v>
      </c>
      <c r="EQ74" s="3">
        <f ca="1">IFERROR(__xludf.DUMMYFUNCTION("""COMPUTED_VALUE"""),-0.688806166239307)</f>
        <v>-0.68880616623930702</v>
      </c>
      <c r="ER74" s="3">
        <f ca="1">IFERROR(__xludf.DUMMYFUNCTION("""COMPUTED_VALUE"""),-0.677856909131532)</f>
        <v>-0.67785690913153196</v>
      </c>
      <c r="ES74" s="3">
        <f ca="1">IFERROR(__xludf.DUMMYFUNCTION("""COMPUTED_VALUE"""),-0.672192643248147)</f>
        <v>-0.67219264324814698</v>
      </c>
      <c r="ET74" s="3">
        <f ca="1">IFERROR(__xludf.DUMMYFUNCTION("""COMPUTED_VALUE"""),-0.658992046932442)</f>
        <v>-0.65899204693244195</v>
      </c>
      <c r="EU74" s="3">
        <f ca="1">IFERROR(__xludf.DUMMYFUNCTION("""COMPUTED_VALUE"""),-0.582047685541842)</f>
        <v>-0.58204768554184205</v>
      </c>
      <c r="EV74" s="3">
        <f ca="1">IFERROR(__xludf.DUMMYFUNCTION("""COMPUTED_VALUE"""),-0.589563147090756)</f>
        <v>-0.58956314709075597</v>
      </c>
      <c r="EW74" s="3">
        <f ca="1">IFERROR(__xludf.DUMMYFUNCTION("""COMPUTED_VALUE"""),-0.65955583947226)</f>
        <v>-0.65955583947226004</v>
      </c>
      <c r="EX74" s="3">
        <f ca="1">IFERROR(__xludf.DUMMYFUNCTION("""COMPUTED_VALUE"""),-0.685125798775802)</f>
        <v>-0.68512579877580204</v>
      </c>
      <c r="EY74" s="3">
        <f ca="1">IFERROR(__xludf.DUMMYFUNCTION("""COMPUTED_VALUE"""),-0.676203011218512)</f>
        <v>-0.67620301121851201</v>
      </c>
      <c r="EZ74" s="3">
        <f ca="1">IFERROR(__xludf.DUMMYFUNCTION("""COMPUTED_VALUE"""),-0.652053428470329)</f>
        <v>-0.65205342847032899</v>
      </c>
      <c r="FA74" s="3">
        <f ca="1">IFERROR(__xludf.DUMMYFUNCTION("""COMPUTED_VALUE"""),-0.622609419244677)</f>
        <v>-0.62260941924467705</v>
      </c>
      <c r="FB74" s="3">
        <f ca="1">IFERROR(__xludf.DUMMYFUNCTION("""COMPUTED_VALUE"""),-0.532572780674714)</f>
        <v>-0.53257278067471403</v>
      </c>
      <c r="FC74" s="3">
        <f ca="1">IFERROR(__xludf.DUMMYFUNCTION("""COMPUTED_VALUE"""),-0.535248664177636)</f>
        <v>-0.53524866417763595</v>
      </c>
      <c r="FD74" s="3">
        <f ca="1">IFERROR(__xludf.DUMMYFUNCTION("""COMPUTED_VALUE"""),-0.626179017766172)</f>
        <v>-0.62617901776617202</v>
      </c>
      <c r="FE74" s="3">
        <f ca="1">IFERROR(__xludf.DUMMYFUNCTION("""COMPUTED_VALUE"""),-0.641901368414081)</f>
        <v>-0.64190136841408096</v>
      </c>
      <c r="FF74" s="3">
        <f ca="1">IFERROR(__xludf.DUMMYFUNCTION("""COMPUTED_VALUE"""),-0.64728535589956)</f>
        <v>-0.64728535589956004</v>
      </c>
      <c r="FG74" s="3">
        <f ca="1">IFERROR(__xludf.DUMMYFUNCTION("""COMPUTED_VALUE"""),-0.685787293114748)</f>
        <v>-0.68578729311474795</v>
      </c>
      <c r="FH74" s="3">
        <f ca="1">IFERROR(__xludf.DUMMYFUNCTION("""COMPUTED_VALUE"""),-0.640027999288764)</f>
        <v>-0.64002799928876397</v>
      </c>
      <c r="FI74" s="3">
        <f ca="1">IFERROR(__xludf.DUMMYFUNCTION("""COMPUTED_VALUE"""),-0.575279029253682)</f>
        <v>-0.57527902925368202</v>
      </c>
      <c r="FJ74" s="3">
        <f ca="1">IFERROR(__xludf.DUMMYFUNCTION("""COMPUTED_VALUE"""),-0.52769381687269)</f>
        <v>-0.52769381687269001</v>
      </c>
      <c r="FK74" s="3">
        <f ca="1">IFERROR(__xludf.DUMMYFUNCTION("""COMPUTED_VALUE"""),-0.616818383392443)</f>
        <v>-0.61681838339244299</v>
      </c>
      <c r="FL74" s="3">
        <f ca="1">IFERROR(__xludf.DUMMYFUNCTION("""COMPUTED_VALUE"""),-0.628776686835875)</f>
        <v>-0.62877668683587495</v>
      </c>
      <c r="FM74" s="3">
        <f ca="1">IFERROR(__xludf.DUMMYFUNCTION("""COMPUTED_VALUE"""),-0.617858406792307)</f>
        <v>-0.61785840679230697</v>
      </c>
      <c r="FN74" s="3">
        <f ca="1">IFERROR(__xludf.DUMMYFUNCTION("""COMPUTED_VALUE"""),-0.619376119889128)</f>
        <v>-0.619376119889128</v>
      </c>
      <c r="FO74" s="3">
        <f ca="1">IFERROR(__xludf.DUMMYFUNCTION("""COMPUTED_VALUE"""),-0.62620963468081)</f>
        <v>-0.62620963468081003</v>
      </c>
      <c r="FP74" s="3">
        <f ca="1">IFERROR(__xludf.DUMMYFUNCTION("""COMPUTED_VALUE"""),-0.517961821591903)</f>
        <v>-0.51796182159190296</v>
      </c>
      <c r="FQ74" s="3">
        <f ca="1">IFERROR(__xludf.DUMMYFUNCTION("""COMPUTED_VALUE"""),-0.540268272209318)</f>
        <v>-0.54026827220931795</v>
      </c>
      <c r="FR74" s="3">
        <f ca="1">IFERROR(__xludf.DUMMYFUNCTION("""COMPUTED_VALUE"""),-0.591604045408397)</f>
        <v>-0.59160404540839695</v>
      </c>
      <c r="FS74" s="3">
        <f ca="1">IFERROR(__xludf.DUMMYFUNCTION("""COMPUTED_VALUE"""),-0.621833968506391)</f>
        <v>-0.62183396850639105</v>
      </c>
      <c r="FT74" s="3">
        <f ca="1">IFERROR(__xludf.DUMMYFUNCTION("""COMPUTED_VALUE"""),-0.633582135298862)</f>
        <v>-0.63358213529886198</v>
      </c>
      <c r="FU74" s="3">
        <f ca="1">IFERROR(__xludf.DUMMYFUNCTION("""COMPUTED_VALUE"""),-0.607116205573558)</f>
        <v>-0.60711620557355805</v>
      </c>
      <c r="FV74" s="3">
        <f ca="1">IFERROR(__xludf.DUMMYFUNCTION("""COMPUTED_VALUE"""),-0.568298053575516)</f>
        <v>-0.56829805357551599</v>
      </c>
      <c r="FW74" s="3">
        <f ca="1">IFERROR(__xludf.DUMMYFUNCTION("""COMPUTED_VALUE"""),-0.534533090917167)</f>
        <v>-0.53453309091716705</v>
      </c>
      <c r="FX74" s="3">
        <f ca="1">IFERROR(__xludf.DUMMYFUNCTION("""COMPUTED_VALUE"""),-0.560949548521459)</f>
        <v>-0.56094954852145895</v>
      </c>
      <c r="FY74" s="3">
        <f ca="1">IFERROR(__xludf.DUMMYFUNCTION("""COMPUTED_VALUE"""),-0.637245910729427)</f>
        <v>-0.63724591072942705</v>
      </c>
      <c r="FZ74" s="3">
        <f ca="1">IFERROR(__xludf.DUMMYFUNCTION("""COMPUTED_VALUE"""),-0.614598162777788)</f>
        <v>-0.614598162777788</v>
      </c>
      <c r="GA74" s="3">
        <f ca="1">IFERROR(__xludf.DUMMYFUNCTION("""COMPUTED_VALUE"""),-0.647202789920505)</f>
        <v>-0.64720278992050495</v>
      </c>
      <c r="GB74" s="3">
        <f ca="1">IFERROR(__xludf.DUMMYFUNCTION("""COMPUTED_VALUE"""),-0.647819107175489)</f>
        <v>-0.64781910717548896</v>
      </c>
      <c r="GC74" s="3">
        <f ca="1">IFERROR(__xludf.DUMMYFUNCTION("""COMPUTED_VALUE"""),-0.616880283321539)</f>
        <v>-0.61688028332153899</v>
      </c>
      <c r="GD74" s="3">
        <f ca="1">IFERROR(__xludf.DUMMYFUNCTION("""COMPUTED_VALUE"""),-0.535049797561689)</f>
        <v>-0.53504979756168902</v>
      </c>
      <c r="GE74" s="3">
        <f ca="1">IFERROR(__xludf.DUMMYFUNCTION("""COMPUTED_VALUE"""),-0.594506600607549)</f>
        <v>-0.59450660060754901</v>
      </c>
      <c r="GF74" s="3">
        <f ca="1">IFERROR(__xludf.DUMMYFUNCTION("""COMPUTED_VALUE"""),-0.637214597142797)</f>
        <v>-0.63721459714279705</v>
      </c>
      <c r="GG74" s="3">
        <f ca="1">IFERROR(__xludf.DUMMYFUNCTION("""COMPUTED_VALUE"""),-0.618205374720589)</f>
        <v>-0.61820537472058901</v>
      </c>
      <c r="GH74" s="3">
        <f ca="1">IFERROR(__xludf.DUMMYFUNCTION("""COMPUTED_VALUE"""),-0.626566584147516)</f>
        <v>-0.62656658414751598</v>
      </c>
      <c r="GI74" s="3">
        <f ca="1">IFERROR(__xludf.DUMMYFUNCTION("""COMPUTED_VALUE"""),-0.608496492748142)</f>
        <v>-0.60849649274814199</v>
      </c>
      <c r="GJ74" s="3">
        <f ca="1">IFERROR(__xludf.DUMMYFUNCTION("""COMPUTED_VALUE"""),-0.525489232786665)</f>
        <v>-0.52548923278666504</v>
      </c>
      <c r="GK74" s="3">
        <f ca="1">IFERROR(__xludf.DUMMYFUNCTION("""COMPUTED_VALUE"""),-0.535501368976323)</f>
        <v>-0.53550136897632294</v>
      </c>
      <c r="GL74" s="3">
        <f ca="1">IFERROR(__xludf.DUMMYFUNCTION("""COMPUTED_VALUE"""),-0.549831218287399)</f>
        <v>-0.549831218287399</v>
      </c>
      <c r="GM74" s="3">
        <f ca="1">IFERROR(__xludf.DUMMYFUNCTION("""COMPUTED_VALUE"""),-0.625038492854996)</f>
        <v>-0.62503849285499602</v>
      </c>
      <c r="GN74" s="3">
        <f ca="1">IFERROR(__xludf.DUMMYFUNCTION("""COMPUTED_VALUE"""),-0.568884289453141)</f>
        <v>-0.56888428945314096</v>
      </c>
      <c r="GO74" s="3">
        <f ca="1">IFERROR(__xludf.DUMMYFUNCTION("""COMPUTED_VALUE"""),-0.551811326765231)</f>
        <v>-0.55181132676523104</v>
      </c>
      <c r="GP74" s="3">
        <f ca="1">IFERROR(__xludf.DUMMYFUNCTION("""COMPUTED_VALUE"""),-0.569375825239989)</f>
        <v>-0.56937582523998898</v>
      </c>
      <c r="GQ74" s="3">
        <f ca="1">IFERROR(__xludf.DUMMYFUNCTION("""COMPUTED_VALUE"""),-0.52242312679027)</f>
        <v>-0.52242312679027003</v>
      </c>
      <c r="GR74" s="3">
        <f ca="1">IFERROR(__xludf.DUMMYFUNCTION("""COMPUTED_VALUE"""),-0.410362811834397)</f>
        <v>-0.41036281183439699</v>
      </c>
      <c r="GS74" s="3">
        <f ca="1">IFERROR(__xludf.DUMMYFUNCTION("""COMPUTED_VALUE"""),-0.408429469401401)</f>
        <v>-0.40842946940140101</v>
      </c>
      <c r="GT74" s="3">
        <f ca="1">IFERROR(__xludf.DUMMYFUNCTION("""COMPUTED_VALUE"""),-0.547306698593867)</f>
        <v>-0.54730669859386705</v>
      </c>
      <c r="GU74" s="3">
        <f ca="1">IFERROR(__xludf.DUMMYFUNCTION("""COMPUTED_VALUE"""),-0.525662224322823)</f>
        <v>-0.52566222432282295</v>
      </c>
      <c r="GV74" s="3">
        <f ca="1">IFERROR(__xludf.DUMMYFUNCTION("""COMPUTED_VALUE"""),-0.521450035810139)</f>
        <v>-0.52145003581013905</v>
      </c>
      <c r="GW74" s="3">
        <f ca="1">IFERROR(__xludf.DUMMYFUNCTION("""COMPUTED_VALUE"""),-0.522843156237059)</f>
        <v>-0.52284315623705901</v>
      </c>
      <c r="GX74" s="3">
        <f ca="1">IFERROR(__xludf.DUMMYFUNCTION("""COMPUTED_VALUE"""),-0.493131093040247)</f>
        <v>-0.49313109304024699</v>
      </c>
      <c r="GY74" s="3">
        <f ca="1">IFERROR(__xludf.DUMMYFUNCTION("""COMPUTED_VALUE"""),-0.409933015903679)</f>
        <v>-0.40993301590367898</v>
      </c>
      <c r="GZ74" s="3">
        <f ca="1">IFERROR(__xludf.DUMMYFUNCTION("""COMPUTED_VALUE"""),-0.407414045754919)</f>
        <v>-0.40741404575491902</v>
      </c>
      <c r="HA74" s="3">
        <f ca="1">IFERROR(__xludf.DUMMYFUNCTION("""COMPUTED_VALUE"""),-0.492218069885747)</f>
        <v>-0.49221806988574701</v>
      </c>
      <c r="HB74" s="3">
        <f ca="1">IFERROR(__xludf.DUMMYFUNCTION("""COMPUTED_VALUE"""),-0.480684681907453)</f>
        <v>-0.480684681907453</v>
      </c>
      <c r="HC74" s="3">
        <f ca="1">IFERROR(__xludf.DUMMYFUNCTION("""COMPUTED_VALUE"""),-0.496908149142511)</f>
        <v>-0.49690814914251102</v>
      </c>
      <c r="HD74" s="3">
        <f ca="1">IFERROR(__xludf.DUMMYFUNCTION("""COMPUTED_VALUE"""),-0.492182310733355)</f>
        <v>-0.492182310733355</v>
      </c>
      <c r="HE74" s="3">
        <f ca="1">IFERROR(__xludf.DUMMYFUNCTION("""COMPUTED_VALUE"""),-0.459307904790885)</f>
        <v>-0.45930790479088501</v>
      </c>
      <c r="HF74" s="3">
        <f ca="1">IFERROR(__xludf.DUMMYFUNCTION("""COMPUTED_VALUE"""),-0.451072329014336)</f>
        <v>-0.45107232901433603</v>
      </c>
      <c r="HG74" s="3">
        <f ca="1">IFERROR(__xludf.DUMMYFUNCTION("""COMPUTED_VALUE"""),-0.364671602364953)</f>
        <v>-0.364671602364953</v>
      </c>
      <c r="HH74" s="3">
        <f ca="1">IFERROR(__xludf.DUMMYFUNCTION("""COMPUTED_VALUE"""),-0.476141041040875)</f>
        <v>-0.47614104104087501</v>
      </c>
      <c r="HI74" s="3">
        <f ca="1">IFERROR(__xludf.DUMMYFUNCTION("""COMPUTED_VALUE"""),-0.483914233847816)</f>
        <v>-0.48391423384781601</v>
      </c>
      <c r="HJ74" s="3">
        <f ca="1">IFERROR(__xludf.DUMMYFUNCTION("""COMPUTED_VALUE"""),-0.475596102611811)</f>
        <v>-0.47559610261181101</v>
      </c>
      <c r="HK74" s="3">
        <f ca="1">IFERROR(__xludf.DUMMYFUNCTION("""COMPUTED_VALUE"""),-0.475758979486525)</f>
        <v>-0.47575897948652501</v>
      </c>
      <c r="HL74" s="3">
        <f ca="1">IFERROR(__xludf.DUMMYFUNCTION("""COMPUTED_VALUE"""),-0.558344094338746)</f>
        <v>-0.55834409433874599</v>
      </c>
      <c r="HM74" s="3">
        <f ca="1">IFERROR(__xludf.DUMMYFUNCTION("""COMPUTED_VALUE"""),-0.278488741059602)</f>
        <v>-0.27848874105960197</v>
      </c>
      <c r="HN74" s="3">
        <f ca="1">IFERROR(__xludf.DUMMYFUNCTION("""COMPUTED_VALUE"""),-0.33752036577378)</f>
        <v>-0.33752036577377997</v>
      </c>
      <c r="HO74" s="3">
        <f ca="1">IFERROR(__xludf.DUMMYFUNCTION("""COMPUTED_VALUE"""),-0.424300590281659)</f>
        <v>-0.42430059028165901</v>
      </c>
      <c r="HP74" s="3">
        <f ca="1">IFERROR(__xludf.DUMMYFUNCTION("""COMPUTED_VALUE"""),-0.449945732508626)</f>
        <v>-0.44994573250862602</v>
      </c>
      <c r="HQ74" s="3">
        <f ca="1">IFERROR(__xludf.DUMMYFUNCTION("""COMPUTED_VALUE"""),-0.469103261579748)</f>
        <v>-0.46910326157974802</v>
      </c>
      <c r="HR74" s="3">
        <f ca="1">IFERROR(__xludf.DUMMYFUNCTION("""COMPUTED_VALUE"""),-0.419241925762841)</f>
        <v>-0.41924192576284097</v>
      </c>
      <c r="HS74" s="3">
        <f ca="1">IFERROR(__xludf.DUMMYFUNCTION("""COMPUTED_VALUE"""),-0.329631289711383)</f>
        <v>-0.329631289711383</v>
      </c>
      <c r="HT74" s="3">
        <f ca="1">IFERROR(__xludf.DUMMYFUNCTION("""COMPUTED_VALUE"""),-0.344860511829497)</f>
        <v>-0.34486051182949701</v>
      </c>
      <c r="HU74" s="3">
        <f ca="1">IFERROR(__xludf.DUMMYFUNCTION("""COMPUTED_VALUE"""),-0.465529214085906)</f>
        <v>-0.46552921408590597</v>
      </c>
      <c r="HV74" s="3">
        <f ca="1">IFERROR(__xludf.DUMMYFUNCTION("""COMPUTED_VALUE"""),-0.44011520329578)</f>
        <v>-0.44011520329578002</v>
      </c>
      <c r="HW74" s="3">
        <f ca="1">IFERROR(__xludf.DUMMYFUNCTION("""COMPUTED_VALUE"""),-0.47656334765068)</f>
        <v>-0.47656334765067998</v>
      </c>
      <c r="HX74" s="3">
        <f ca="1">IFERROR(__xludf.DUMMYFUNCTION("""COMPUTED_VALUE"""),-0.480818932480451)</f>
        <v>-0.48081893248045099</v>
      </c>
      <c r="HY74" s="3">
        <f ca="1">IFERROR(__xludf.DUMMYFUNCTION("""COMPUTED_VALUE"""),-0.492621629824777)</f>
        <v>-0.49262162982477697</v>
      </c>
      <c r="HZ74" s="3">
        <f ca="1">IFERROR(__xludf.DUMMYFUNCTION("""COMPUTED_VALUE"""),-0.398387855050295)</f>
        <v>-0.398387855050295</v>
      </c>
      <c r="IA74" s="3">
        <f ca="1">IFERROR(__xludf.DUMMYFUNCTION("""COMPUTED_VALUE"""),-0.387591505776778)</f>
        <v>-0.38759150577677798</v>
      </c>
      <c r="IB74" s="3">
        <f ca="1">IFERROR(__xludf.DUMMYFUNCTION("""COMPUTED_VALUE"""),-0.329534876095114)</f>
        <v>-0.329534876095114</v>
      </c>
      <c r="IC74" s="3">
        <f ca="1">IFERROR(__xludf.DUMMYFUNCTION("""COMPUTED_VALUE"""),-0.479999352185848)</f>
        <v>-0.47999935218584799</v>
      </c>
      <c r="ID74" s="3">
        <f ca="1">IFERROR(__xludf.DUMMYFUNCTION("""COMPUTED_VALUE"""),-0.484439955455997)</f>
        <v>-0.484439955455997</v>
      </c>
      <c r="IE74" s="3">
        <f ca="1">IFERROR(__xludf.DUMMYFUNCTION("""COMPUTED_VALUE"""),-0.433344670611277)</f>
        <v>-0.43334467061127702</v>
      </c>
      <c r="IF74" s="3">
        <f ca="1">IFERROR(__xludf.DUMMYFUNCTION("""COMPUTED_VALUE"""),-0.479320006163929)</f>
        <v>-0.479320006163929</v>
      </c>
      <c r="IG74" s="3">
        <f ca="1">IFERROR(__xludf.DUMMYFUNCTION("""COMPUTED_VALUE"""),-0.463153476756917)</f>
        <v>-0.46315347675691698</v>
      </c>
      <c r="IH74" s="3">
        <f ca="1">IFERROR(__xludf.DUMMYFUNCTION("""COMPUTED_VALUE"""),-0.336124647628572)</f>
        <v>-0.33612464762857203</v>
      </c>
      <c r="II74" s="3">
        <f ca="1">IFERROR(__xludf.DUMMYFUNCTION("""COMPUTED_VALUE"""),-0.324310455555856)</f>
        <v>-0.32431045555585603</v>
      </c>
      <c r="IJ74" s="3">
        <f ca="1">IFERROR(__xludf.DUMMYFUNCTION("""COMPUTED_VALUE"""),-0.423630725426215)</f>
        <v>-0.42363072542621499</v>
      </c>
      <c r="IK74" s="3">
        <f ca="1">IFERROR(__xludf.DUMMYFUNCTION("""COMPUTED_VALUE"""),-0.415566851267844)</f>
        <v>-0.41556685126784398</v>
      </c>
      <c r="IL74" s="3">
        <f ca="1">IFERROR(__xludf.DUMMYFUNCTION("""COMPUTED_VALUE"""),-0.390572651475455)</f>
        <v>-0.390572651475455</v>
      </c>
      <c r="IM74" s="3">
        <f ca="1">IFERROR(__xludf.DUMMYFUNCTION("""COMPUTED_VALUE"""),-0.408207015947546)</f>
        <v>-0.40820701594754599</v>
      </c>
      <c r="IN74" s="3">
        <f ca="1">IFERROR(__xludf.DUMMYFUNCTION("""COMPUTED_VALUE"""),-0.370295032066013)</f>
        <v>-0.370295032066013</v>
      </c>
      <c r="IO74" s="3">
        <f ca="1">IFERROR(__xludf.DUMMYFUNCTION("""COMPUTED_VALUE"""),-0.369784852528518)</f>
        <v>-0.369784852528518</v>
      </c>
      <c r="IP74" s="3">
        <f ca="1">IFERROR(__xludf.DUMMYFUNCTION("""COMPUTED_VALUE"""),-0.285943329216816)</f>
        <v>-0.28594332921681598</v>
      </c>
      <c r="IQ74" s="3">
        <f ca="1">IFERROR(__xludf.DUMMYFUNCTION("""COMPUTED_VALUE"""),-0.349639821146193)</f>
        <v>-0.34963982114619302</v>
      </c>
      <c r="IR74" s="3">
        <f ca="1">IFERROR(__xludf.DUMMYFUNCTION("""COMPUTED_VALUE"""),-0.372373498134395)</f>
        <v>-0.37237349813439502</v>
      </c>
      <c r="IS74" s="3">
        <f ca="1">IFERROR(__xludf.DUMMYFUNCTION("""COMPUTED_VALUE"""),-0.378405805414025)</f>
        <v>-0.37840580541402502</v>
      </c>
      <c r="IT74" s="3">
        <f ca="1">IFERROR(__xludf.DUMMYFUNCTION("""COMPUTED_VALUE"""),-0.443352918287839)</f>
        <v>-0.44335291828783902</v>
      </c>
      <c r="IU74" s="3">
        <f ca="1">IFERROR(__xludf.DUMMYFUNCTION("""COMPUTED_VALUE"""),-0.330973631150372)</f>
        <v>-0.33097363115037198</v>
      </c>
      <c r="IV74" s="3">
        <f ca="1">IFERROR(__xludf.DUMMYFUNCTION("""COMPUTED_VALUE"""),-0.397778751372224)</f>
        <v>-0.39777875137222402</v>
      </c>
      <c r="IW74" s="3">
        <f ca="1">IFERROR(__xludf.DUMMYFUNCTION("""COMPUTED_VALUE"""),-0.229445445476002)</f>
        <v>-0.22944544547600201</v>
      </c>
      <c r="IX74" s="3">
        <f ca="1">IFERROR(__xludf.DUMMYFUNCTION("""COMPUTED_VALUE"""),-0.298671680343934)</f>
        <v>-0.29867168034393399</v>
      </c>
      <c r="IY74" s="3">
        <f ca="1">IFERROR(__xludf.DUMMYFUNCTION("""COMPUTED_VALUE"""),-0.296102163070163)</f>
        <v>-0.29610216307016302</v>
      </c>
      <c r="IZ74" s="3">
        <f ca="1">IFERROR(__xludf.DUMMYFUNCTION("""COMPUTED_VALUE"""),-0.270422679113484)</f>
        <v>-0.270422679113484</v>
      </c>
      <c r="JA74" s="3">
        <f ca="1">IFERROR(__xludf.DUMMYFUNCTION("""COMPUTED_VALUE"""),-0.28261550797709)</f>
        <v>-0.28261550797709001</v>
      </c>
      <c r="JB74" s="3">
        <f ca="1">IFERROR(__xludf.DUMMYFUNCTION("""COMPUTED_VALUE"""),-0.356289033703312)</f>
        <v>-0.356289033703312</v>
      </c>
      <c r="JC74" s="3">
        <f ca="1">IFERROR(__xludf.DUMMYFUNCTION("""COMPUTED_VALUE"""),-0.286275349416101)</f>
        <v>-0.286275349416101</v>
      </c>
      <c r="JD74" s="3">
        <f ca="1">IFERROR(__xludf.DUMMYFUNCTION("""COMPUTED_VALUE"""),-0.216253455254638)</f>
        <v>-0.21625345525463799</v>
      </c>
      <c r="JE74" s="3">
        <f ca="1">IFERROR(__xludf.DUMMYFUNCTION("""COMPUTED_VALUE"""),-0.292466692492603)</f>
        <v>-0.29246669249260299</v>
      </c>
      <c r="JF74" s="3">
        <f ca="1">IFERROR(__xludf.DUMMYFUNCTION("""COMPUTED_VALUE"""),-0.33540643706376)</f>
        <v>-0.33540643706376</v>
      </c>
      <c r="JG74" s="3">
        <f ca="1">IFERROR(__xludf.DUMMYFUNCTION("""COMPUTED_VALUE"""),-0.319352885171039)</f>
        <v>-0.31935288517103899</v>
      </c>
      <c r="JH74" s="3">
        <f ca="1">IFERROR(__xludf.DUMMYFUNCTION("""COMPUTED_VALUE"""),-0.303883330460765)</f>
        <v>-0.30388333046076499</v>
      </c>
      <c r="JI74" s="3">
        <f ca="1">IFERROR(__xludf.DUMMYFUNCTION("""COMPUTED_VALUE"""),-0.298721074878337)</f>
        <v>-0.29872107487833699</v>
      </c>
      <c r="JJ74" s="3">
        <f ca="1">IFERROR(__xludf.DUMMYFUNCTION("""COMPUTED_VALUE"""),-0.280867484238508)</f>
        <v>-0.28086748423850799</v>
      </c>
      <c r="JK74" s="3">
        <f ca="1">IFERROR(__xludf.DUMMYFUNCTION("""COMPUTED_VALUE"""),-0.22460036281337)</f>
        <v>-0.22460036281337001</v>
      </c>
      <c r="JL74" s="3">
        <f ca="1">IFERROR(__xludf.DUMMYFUNCTION("""COMPUTED_VALUE"""),-0.322795353180762)</f>
        <v>-0.32279535318076202</v>
      </c>
      <c r="JM74" s="3">
        <f ca="1">IFERROR(__xludf.DUMMYFUNCTION("""COMPUTED_VALUE"""),-0.319246490826149)</f>
        <v>-0.31924649082614898</v>
      </c>
      <c r="JN74" s="3">
        <f ca="1">IFERROR(__xludf.DUMMYFUNCTION("""COMPUTED_VALUE"""),-0.288777459892397)</f>
        <v>-0.288777459892397</v>
      </c>
      <c r="JO74" s="3">
        <f ca="1">IFERROR(__xludf.DUMMYFUNCTION("""COMPUTED_VALUE"""),-0.312101228489327)</f>
        <v>-0.31210122848932698</v>
      </c>
      <c r="JP74" s="3">
        <f ca="1">IFERROR(__xludf.DUMMYFUNCTION("""COMPUTED_VALUE"""),-0.304976485468348)</f>
        <v>-0.30497648546834799</v>
      </c>
      <c r="JQ74" s="3">
        <f ca="1">IFERROR(__xludf.DUMMYFUNCTION("""COMPUTED_VALUE"""),-0.330775608923581)</f>
        <v>-0.33077560892358099</v>
      </c>
      <c r="JR74" s="3">
        <f ca="1">IFERROR(__xludf.DUMMYFUNCTION("""COMPUTED_VALUE"""),-0.393130697725095)</f>
        <v>-0.39313069772509501</v>
      </c>
      <c r="JS74" s="3">
        <f ca="1">IFERROR(__xludf.DUMMYFUNCTION("""COMPUTED_VALUE"""),-0.336533387838622)</f>
        <v>-0.33653338783862202</v>
      </c>
      <c r="JT74" s="3">
        <f ca="1">IFERROR(__xludf.DUMMYFUNCTION("""COMPUTED_VALUE"""),-0.340979804170236)</f>
        <v>-0.34097980417023599</v>
      </c>
      <c r="JU74" s="3">
        <f ca="1">IFERROR(__xludf.DUMMYFUNCTION("""COMPUTED_VALUE"""),-0.368287231445426)</f>
        <v>-0.36828723144542602</v>
      </c>
      <c r="JV74" s="3">
        <f ca="1">IFERROR(__xludf.DUMMYFUNCTION("""COMPUTED_VALUE"""),-0.329886626362364)</f>
        <v>-0.32988662636236399</v>
      </c>
      <c r="JW74" s="3">
        <f ca="1">IFERROR(__xludf.DUMMYFUNCTION("""COMPUTED_VALUE"""),-0.276411420949761)</f>
        <v>-0.27641142094976101</v>
      </c>
      <c r="JX74" s="3">
        <f ca="1">IFERROR(__xludf.DUMMYFUNCTION("""COMPUTED_VALUE"""),-0.29328597046915)</f>
        <v>-0.29328597046915</v>
      </c>
      <c r="JY74" s="3">
        <f ca="1">IFERROR(__xludf.DUMMYFUNCTION("""COMPUTED_VALUE"""),-0.282177908066706)</f>
        <v>-0.28217790806670601</v>
      </c>
      <c r="JZ74" s="3">
        <f ca="1">IFERROR(__xludf.DUMMYFUNCTION("""COMPUTED_VALUE"""),-0.370573970393961)</f>
        <v>-0.37057397039396101</v>
      </c>
      <c r="KA74" s="3">
        <f ca="1">IFERROR(__xludf.DUMMYFUNCTION("""COMPUTED_VALUE"""),-0.356832988152504)</f>
        <v>-0.35683298815250403</v>
      </c>
      <c r="KB74" s="3">
        <f ca="1">IFERROR(__xludf.DUMMYFUNCTION("""COMPUTED_VALUE"""),-0.387282546718038)</f>
        <v>-0.38728254671803802</v>
      </c>
      <c r="KC74" s="3">
        <f ca="1">IFERROR(__xludf.DUMMYFUNCTION("""COMPUTED_VALUE"""),-0.358234107675246)</f>
        <v>-0.35823410767524599</v>
      </c>
      <c r="KD74" s="3">
        <f ca="1">IFERROR(__xludf.DUMMYFUNCTION("""COMPUTED_VALUE"""),-0.312020197348696)</f>
        <v>-0.31202019734869602</v>
      </c>
      <c r="KE74" s="3">
        <f ca="1">IFERROR(__xludf.DUMMYFUNCTION("""COMPUTED_VALUE"""),-0.431091682089639)</f>
        <v>-0.43109168208963899</v>
      </c>
      <c r="KF74" s="3">
        <f ca="1">IFERROR(__xludf.DUMMYFUNCTION("""COMPUTED_VALUE"""),-0.390185894973012)</f>
        <v>-0.39018589497301198</v>
      </c>
      <c r="KG74" s="3">
        <f ca="1">IFERROR(__xludf.DUMMYFUNCTION("""COMPUTED_VALUE"""),-0.421088402648986)</f>
        <v>-0.421088402648986</v>
      </c>
      <c r="KH74" s="3">
        <f ca="1">IFERROR(__xludf.DUMMYFUNCTION("""COMPUTED_VALUE"""),-0.439564010964413)</f>
        <v>-0.439564010964413</v>
      </c>
      <c r="KI74" s="3">
        <f ca="1">IFERROR(__xludf.DUMMYFUNCTION("""COMPUTED_VALUE"""),-0.556594014266151)</f>
        <v>-0.55659401426615096</v>
      </c>
      <c r="KJ74" s="3">
        <f ca="1">IFERROR(__xludf.DUMMYFUNCTION("""COMPUTED_VALUE"""),-0.455923056599996)</f>
        <v>-0.45592305659999599</v>
      </c>
      <c r="KK74" s="3">
        <f ca="1">IFERROR(__xludf.DUMMYFUNCTION("""COMPUTED_VALUE"""),-0.33624793149807)</f>
        <v>-0.33624793149806997</v>
      </c>
      <c r="KL74" s="3">
        <f ca="1">IFERROR(__xludf.DUMMYFUNCTION("""COMPUTED_VALUE"""),-0.446841031900776)</f>
        <v>-0.44684103190077601</v>
      </c>
      <c r="KM74" s="3">
        <f ca="1">IFERROR(__xludf.DUMMYFUNCTION("""COMPUTED_VALUE"""),-0.403623101673428)</f>
        <v>-0.40362310167342802</v>
      </c>
      <c r="KN74" s="3">
        <f ca="1">IFERROR(__xludf.DUMMYFUNCTION("""COMPUTED_VALUE"""),-0.506723805071521)</f>
        <v>-0.50672380507152104</v>
      </c>
      <c r="KO74" s="3">
        <f ca="1">IFERROR(__xludf.DUMMYFUNCTION("""COMPUTED_VALUE"""),-0.527564528894569)</f>
        <v>-0.52756452889456895</v>
      </c>
      <c r="KP74" s="3">
        <f ca="1">IFERROR(__xludf.DUMMYFUNCTION("""COMPUTED_VALUE"""),-0.546512661048121)</f>
        <v>-0.54651266104812102</v>
      </c>
      <c r="KQ74" s="3">
        <f ca="1">IFERROR(__xludf.DUMMYFUNCTION("""COMPUTED_VALUE"""),-0.530199918976205)</f>
        <v>-0.530199918976205</v>
      </c>
      <c r="KR74" s="3">
        <f ca="1">IFERROR(__xludf.DUMMYFUNCTION("""COMPUTED_VALUE"""),-0.512014655258812)</f>
        <v>-0.51201465525881196</v>
      </c>
      <c r="KS74" s="3">
        <f ca="1">IFERROR(__xludf.DUMMYFUNCTION("""COMPUTED_VALUE"""),-0.546420674212737)</f>
        <v>-0.54642067421273699</v>
      </c>
      <c r="KT74" s="3">
        <f ca="1">IFERROR(__xludf.DUMMYFUNCTION("""COMPUTED_VALUE"""),-0.579657600918701)</f>
        <v>-0.579657600918701</v>
      </c>
      <c r="KU74" s="3">
        <f ca="1">IFERROR(__xludf.DUMMYFUNCTION("""COMPUTED_VALUE"""),-0.616563580037969)</f>
        <v>-0.61656358003796896</v>
      </c>
      <c r="KV74" s="3">
        <f ca="1">IFERROR(__xludf.DUMMYFUNCTION("""COMPUTED_VALUE"""),-0.636003046528374)</f>
        <v>-0.63600304652837403</v>
      </c>
      <c r="KW74" s="3">
        <f ca="1">IFERROR(__xludf.DUMMYFUNCTION("""COMPUTED_VALUE"""),-0.638608912771377)</f>
        <v>-0.63860891277137699</v>
      </c>
      <c r="KX74" s="3">
        <f ca="1">IFERROR(__xludf.DUMMYFUNCTION("""COMPUTED_VALUE"""),-0.603477671634454)</f>
        <v>-0.60347767163445398</v>
      </c>
      <c r="KY74" s="3">
        <f ca="1">IFERROR(__xludf.DUMMYFUNCTION("""COMPUTED_VALUE"""),-0.600058366536049)</f>
        <v>-0.60005836653604905</v>
      </c>
      <c r="KZ74" s="3">
        <f ca="1">IFERROR(__xludf.DUMMYFUNCTION("""COMPUTED_VALUE"""),-0.52581193819104)</f>
        <v>-0.52581193819104</v>
      </c>
      <c r="LA74" s="3">
        <f ca="1">IFERROR(__xludf.DUMMYFUNCTION("""COMPUTED_VALUE"""),-0.616018811310991)</f>
        <v>-0.61601881131099101</v>
      </c>
      <c r="LB74" s="3">
        <f ca="1">IFERROR(__xludf.DUMMYFUNCTION("""COMPUTED_VALUE"""),-0.647605780669)</f>
        <v>-0.64760578066899999</v>
      </c>
      <c r="LC74" s="3">
        <f ca="1">IFERROR(__xludf.DUMMYFUNCTION("""COMPUTED_VALUE"""),-0.614648949178372)</f>
        <v>-0.61464894917837198</v>
      </c>
      <c r="LD74" s="3">
        <f ca="1">IFERROR(__xludf.DUMMYFUNCTION("""COMPUTED_VALUE"""),-0.677760747093659)</f>
        <v>-0.67776074709365897</v>
      </c>
      <c r="LE74" s="3">
        <f ca="1">IFERROR(__xludf.DUMMYFUNCTION("""COMPUTED_VALUE"""),-0.657555896983769)</f>
        <v>-0.65755589698376904</v>
      </c>
      <c r="LF74" s="3">
        <f ca="1">IFERROR(__xludf.DUMMYFUNCTION("""COMPUTED_VALUE"""),-0.632907382600975)</f>
        <v>-0.63290738260097501</v>
      </c>
      <c r="LG74" s="3">
        <f ca="1">IFERROR(__xludf.DUMMYFUNCTION("""COMPUTED_VALUE"""),-0.616410431606335)</f>
        <v>-0.61641043160633502</v>
      </c>
      <c r="LH74" s="3">
        <f ca="1">IFERROR(__xludf.DUMMYFUNCTION("""COMPUTED_VALUE"""),-0.644800327231304)</f>
        <v>-0.64480032723130398</v>
      </c>
      <c r="LI74" s="3">
        <f ca="1">IFERROR(__xludf.DUMMYFUNCTION("""COMPUTED_VALUE"""),-0.712657965461091)</f>
        <v>-0.71265796546109095</v>
      </c>
      <c r="LJ74" s="3">
        <f ca="1">IFERROR(__xludf.DUMMYFUNCTION("""COMPUTED_VALUE"""),-0.688356411830122)</f>
        <v>-0.68835641183012197</v>
      </c>
      <c r="LK74" s="3">
        <f ca="1">IFERROR(__xludf.DUMMYFUNCTION("""COMPUTED_VALUE"""),-0.663666554491026)</f>
        <v>-0.66366655449102596</v>
      </c>
      <c r="LL74" s="3">
        <f ca="1">IFERROR(__xludf.DUMMYFUNCTION("""COMPUTED_VALUE"""),-0.655038480738842)</f>
        <v>-0.65503848073884197</v>
      </c>
      <c r="LM74" s="3">
        <f ca="1">IFERROR(__xludf.DUMMYFUNCTION("""COMPUTED_VALUE"""),-0.657345947338219)</f>
        <v>-0.65734594733821905</v>
      </c>
      <c r="LN74" s="3">
        <f ca="1">IFERROR(__xludf.DUMMYFUNCTION("""COMPUTED_VALUE"""),-0.661739057368763)</f>
        <v>-0.66173905736876304</v>
      </c>
      <c r="LO74" s="3">
        <f ca="1">IFERROR(__xludf.DUMMYFUNCTION("""COMPUTED_VALUE"""),-0.669365240270524)</f>
        <v>-0.66936524027052402</v>
      </c>
      <c r="LP74" s="3">
        <f ca="1">IFERROR(__xludf.DUMMYFUNCTION("""COMPUTED_VALUE"""),-0.741336868370252)</f>
        <v>-0.74133686837025203</v>
      </c>
      <c r="LQ74" s="3">
        <f ca="1">IFERROR(__xludf.DUMMYFUNCTION("""COMPUTED_VALUE"""),-0.74287002699681)</f>
        <v>-0.74287002699681004</v>
      </c>
      <c r="LR74" s="3">
        <f ca="1">IFERROR(__xludf.DUMMYFUNCTION("""COMPUTED_VALUE"""),-0.740573664683496)</f>
        <v>-0.74057366468349595</v>
      </c>
      <c r="LS74" s="3">
        <f ca="1">IFERROR(__xludf.DUMMYFUNCTION("""COMPUTED_VALUE"""),-0.732743232069267)</f>
        <v>-0.73274323206926695</v>
      </c>
      <c r="LT74" s="3">
        <f ca="1">IFERROR(__xludf.DUMMYFUNCTION("""COMPUTED_VALUE"""),-0.700414228940041)</f>
        <v>-0.70041422894004102</v>
      </c>
      <c r="LU74" s="3">
        <f ca="1">IFERROR(__xludf.DUMMYFUNCTION("""COMPUTED_VALUE"""),-0.746187607450817)</f>
        <v>-0.74618760745081703</v>
      </c>
      <c r="LV74" s="3">
        <f ca="1">IFERROR(__xludf.DUMMYFUNCTION("""COMPUTED_VALUE"""),-0.742361892054225)</f>
        <v>-0.74236189205422498</v>
      </c>
      <c r="LW74" s="3">
        <f ca="1">IFERROR(__xludf.DUMMYFUNCTION("""COMPUTED_VALUE"""),-0.826370581277162)</f>
        <v>-0.82637058127716201</v>
      </c>
      <c r="LX74" s="3">
        <f ca="1">IFERROR(__xludf.DUMMYFUNCTION("""COMPUTED_VALUE"""),-0.789778353128068)</f>
        <v>-0.78977835312806799</v>
      </c>
      <c r="LY74" s="3">
        <f ca="1">IFERROR(__xludf.DUMMYFUNCTION("""COMPUTED_VALUE"""),-0.785267046736309)</f>
        <v>-0.78526704673630898</v>
      </c>
      <c r="LZ74" s="3">
        <f ca="1">IFERROR(__xludf.DUMMYFUNCTION("""COMPUTED_VALUE"""),-0.792603205219218)</f>
        <v>-0.79260320521921801</v>
      </c>
      <c r="MA74" s="3">
        <f ca="1">IFERROR(__xludf.DUMMYFUNCTION("""COMPUTED_VALUE"""),-0.755621194517825)</f>
        <v>-0.75562119451782495</v>
      </c>
      <c r="MB74" s="3">
        <f ca="1">IFERROR(__xludf.DUMMYFUNCTION("""COMPUTED_VALUE"""),-0.802434758368666)</f>
        <v>-0.80243475836866596</v>
      </c>
      <c r="MC74" s="3">
        <f ca="1">IFERROR(__xludf.DUMMYFUNCTION("""COMPUTED_VALUE"""),-0.784284441057354)</f>
        <v>-0.78428444105735395</v>
      </c>
      <c r="MD74" s="3">
        <f ca="1">IFERROR(__xludf.DUMMYFUNCTION("""COMPUTED_VALUE"""),-0.839056263084636)</f>
        <v>-0.83905626308463599</v>
      </c>
      <c r="ME74" s="3">
        <f ca="1">IFERROR(__xludf.DUMMYFUNCTION("""COMPUTED_VALUE"""),-0.825742436135544)</f>
        <v>-0.82574243613554399</v>
      </c>
      <c r="MF74" s="3">
        <f ca="1">IFERROR(__xludf.DUMMYFUNCTION("""COMPUTED_VALUE"""),-0.826267971863809)</f>
        <v>-0.82626797186380896</v>
      </c>
      <c r="MG74" s="3">
        <f ca="1">IFERROR(__xludf.DUMMYFUNCTION("""COMPUTED_VALUE"""),-0.828933088537486)</f>
        <v>-0.82893308853748604</v>
      </c>
      <c r="MH74" s="3">
        <f ca="1">IFERROR(__xludf.DUMMYFUNCTION("""COMPUTED_VALUE"""),-0.803060846073392)</f>
        <v>-0.80306084607339201</v>
      </c>
      <c r="MI74" s="3">
        <f ca="1">IFERROR(__xludf.DUMMYFUNCTION("""COMPUTED_VALUE"""),-0.793411496456103)</f>
        <v>-0.79341149645610298</v>
      </c>
      <c r="MJ74" s="3">
        <f ca="1">IFERROR(__xludf.DUMMYFUNCTION("""COMPUTED_VALUE"""),-0.783994043185939)</f>
        <v>-0.78399404318593902</v>
      </c>
      <c r="MK74" s="3">
        <f ca="1">IFERROR(__xludf.DUMMYFUNCTION("""COMPUTED_VALUE"""),-0.839641636763277)</f>
        <v>-0.83964163676327697</v>
      </c>
      <c r="ML74" s="3">
        <f ca="1">IFERROR(__xludf.DUMMYFUNCTION("""COMPUTED_VALUE"""),-0.865387173372453)</f>
        <v>-0.86538717337245297</v>
      </c>
      <c r="MM74" s="3">
        <f ca="1">IFERROR(__xludf.DUMMYFUNCTION("""COMPUTED_VALUE"""),-0.83391074704983)</f>
        <v>-0.83391074704983004</v>
      </c>
      <c r="MN74" s="3">
        <f ca="1">IFERROR(__xludf.DUMMYFUNCTION("""COMPUTED_VALUE"""),-0.844934272361645)</f>
        <v>-0.84493427236164498</v>
      </c>
      <c r="MO74" s="3">
        <f ca="1">IFERROR(__xludf.DUMMYFUNCTION("""COMPUTED_VALUE"""),-0.836426406288923)</f>
        <v>-0.83642640628892295</v>
      </c>
      <c r="MP74" s="3">
        <f ca="1">IFERROR(__xludf.DUMMYFUNCTION("""COMPUTED_VALUE"""),-0.82770039545744)</f>
        <v>-0.82770039545744001</v>
      </c>
      <c r="MQ74" s="3">
        <f ca="1">IFERROR(__xludf.DUMMYFUNCTION("""COMPUTED_VALUE"""),-0.810871300660517)</f>
        <v>-0.81087130066051705</v>
      </c>
      <c r="MR74" s="3">
        <f ca="1">IFERROR(__xludf.DUMMYFUNCTION("""COMPUTED_VALUE"""),-0.850957895624252)</f>
        <v>-0.85095789562425195</v>
      </c>
      <c r="MS74" s="3">
        <f ca="1">IFERROR(__xludf.DUMMYFUNCTION("""COMPUTED_VALUE"""),-0.858584417838624)</f>
        <v>-0.85858441783862405</v>
      </c>
      <c r="MT74" s="3">
        <f ca="1">IFERROR(__xludf.DUMMYFUNCTION("""COMPUTED_VALUE"""),-0.850511057264503)</f>
        <v>-0.85051105726450305</v>
      </c>
      <c r="MU74" s="3">
        <f ca="1">IFERROR(__xludf.DUMMYFUNCTION("""COMPUTED_VALUE"""),-0.852610265585532)</f>
        <v>-0.85261026558553199</v>
      </c>
      <c r="MV74" s="3">
        <f ca="1">IFERROR(__xludf.DUMMYFUNCTION("""COMPUTED_VALUE"""),-0.821947351839617)</f>
        <v>-0.82194735183961698</v>
      </c>
      <c r="MW74" s="3">
        <f ca="1">IFERROR(__xludf.DUMMYFUNCTION("""COMPUTED_VALUE"""),-0.841921041697659)</f>
        <v>-0.84192104169765902</v>
      </c>
      <c r="MX74" s="3">
        <f ca="1">IFERROR(__xludf.DUMMYFUNCTION("""COMPUTED_VALUE"""),-0.817518576442709)</f>
        <v>-0.81751857644270898</v>
      </c>
      <c r="MY74" s="3">
        <f ca="1">IFERROR(__xludf.DUMMYFUNCTION("""COMPUTED_VALUE"""),-0.845504037407843)</f>
        <v>-0.84550403740784297</v>
      </c>
      <c r="MZ74" s="3">
        <f ca="1">IFERROR(__xludf.DUMMYFUNCTION("""COMPUTED_VALUE"""),-0.859554798163216)</f>
        <v>-0.85955479816321601</v>
      </c>
      <c r="NA74" s="3">
        <f ca="1">IFERROR(__xludf.DUMMYFUNCTION("""COMPUTED_VALUE"""),-0.846663786652457)</f>
        <v>-0.84666378665245701</v>
      </c>
      <c r="NB74" s="3">
        <f ca="1">IFERROR(__xludf.DUMMYFUNCTION("""COMPUTED_VALUE"""),-0.837983804498868)</f>
        <v>-0.837983804498868</v>
      </c>
      <c r="NC74" s="3">
        <f ca="1">IFERROR(__xludf.DUMMYFUNCTION("""COMPUTED_VALUE"""),-0.823997945067069)</f>
        <v>-0.82399794506706903</v>
      </c>
      <c r="ND74" s="3">
        <f ca="1">IFERROR(__xludf.DUMMYFUNCTION("""COMPUTED_VALUE"""),-0.829632923595148)</f>
        <v>-0.82963292359514795</v>
      </c>
      <c r="NE74" s="3">
        <f ca="1">IFERROR(__xludf.DUMMYFUNCTION("""COMPUTED_VALUE"""),-0.818777360831815)</f>
        <v>-0.81877736083181496</v>
      </c>
      <c r="NF74" s="3">
        <f ca="1">IFERROR(__xludf.DUMMYFUNCTION("""COMPUTED_VALUE"""),-0.831557286525788)</f>
        <v>-0.83155728652578798</v>
      </c>
      <c r="NG74" s="3">
        <f ca="1">IFERROR(__xludf.DUMMYFUNCTION("""COMPUTED_VALUE"""),-0.867325365065754)</f>
        <v>-0.86732536506575397</v>
      </c>
      <c r="NH74" s="3">
        <f ca="1">IFERROR(__xludf.DUMMYFUNCTION("""COMPUTED_VALUE"""),-0.852548023263299)</f>
        <v>-0.85254802326329904</v>
      </c>
      <c r="NI74" s="3">
        <f ca="1">IFERROR(__xludf.DUMMYFUNCTION("""COMPUTED_VALUE"""),-0.846370019350089)</f>
        <v>-0.84637001935008904</v>
      </c>
      <c r="NJ74" s="3">
        <f ca="1">IFERROR(__xludf.DUMMYFUNCTION("""COMPUTED_VALUE"""),-0.847099337996541)</f>
        <v>-0.84709933799654102</v>
      </c>
      <c r="NK74" s="3">
        <f ca="1">IFERROR(__xludf.DUMMYFUNCTION("""COMPUTED_VALUE"""),-0.835413803837775)</f>
        <v>-0.83541380383777497</v>
      </c>
      <c r="NL74" s="3">
        <f ca="1">IFERROR(__xludf.DUMMYFUNCTION("""COMPUTED_VALUE"""),-0.826402549432418)</f>
        <v>-0.82640254943241798</v>
      </c>
      <c r="NM74" s="3">
        <f ca="1">IFERROR(__xludf.DUMMYFUNCTION("""COMPUTED_VALUE"""),-0.855169971620899)</f>
        <v>-0.85516997162089903</v>
      </c>
      <c r="NN74" s="3">
        <f ca="1">IFERROR(__xludf.DUMMYFUNCTION("""COMPUTED_VALUE"""),-0.850243294592605)</f>
        <v>-0.85024329459260495</v>
      </c>
      <c r="NO74" s="3">
        <f ca="1">IFERROR(__xludf.DUMMYFUNCTION("""COMPUTED_VALUE"""),-0.818904666751001)</f>
        <v>-0.81890466675100104</v>
      </c>
      <c r="NP74" s="3">
        <f ca="1">IFERROR(__xludf.DUMMYFUNCTION("""COMPUTED_VALUE"""),-0.831518725998709)</f>
        <v>-0.83151872599870902</v>
      </c>
      <c r="NQ74" s="3">
        <f ca="1">IFERROR(__xludf.DUMMYFUNCTION("""COMPUTED_VALUE"""),-0.803862904497556)</f>
        <v>-0.80386290449755604</v>
      </c>
      <c r="NR74" s="3">
        <f ca="1">IFERROR(__xludf.DUMMYFUNCTION("""COMPUTED_VALUE"""),-0.786642748143267)</f>
        <v>-0.78664274814326696</v>
      </c>
      <c r="NS74" s="3">
        <f ca="1">IFERROR(__xludf.DUMMYFUNCTION("""COMPUTED_VALUE"""),-0.810801004011322)</f>
        <v>-0.81080100401132205</v>
      </c>
      <c r="NT74" s="3">
        <f ca="1">IFERROR(__xludf.DUMMYFUNCTION("""COMPUTED_VALUE"""),-0.855614600518983)</f>
        <v>-0.85561460051898297</v>
      </c>
      <c r="NU74" s="3">
        <f ca="1">IFERROR(__xludf.DUMMYFUNCTION("""COMPUTED_VALUE"""),-0.848371000369903)</f>
        <v>-0.84837100036990298</v>
      </c>
      <c r="NV74" s="3">
        <f ca="1">IFERROR(__xludf.DUMMYFUNCTION("""COMPUTED_VALUE"""),-0.838063365502703)</f>
        <v>-0.83806336550270299</v>
      </c>
      <c r="NW74" s="3">
        <f ca="1">IFERROR(__xludf.DUMMYFUNCTION("""COMPUTED_VALUE"""),-0.805357938687836)</f>
        <v>-0.80535793868783601</v>
      </c>
      <c r="NX74" s="3">
        <f ca="1">IFERROR(__xludf.DUMMYFUNCTION("""COMPUTED_VALUE"""),-0.788611771955164)</f>
        <v>-0.78861177195516396</v>
      </c>
      <c r="NY74" s="3">
        <f ca="1">IFERROR(__xludf.DUMMYFUNCTION("""COMPUTED_VALUE"""),-0.705752090544296)</f>
        <v>-0.705752090544296</v>
      </c>
      <c r="NZ74" s="3">
        <f ca="1">IFERROR(__xludf.DUMMYFUNCTION("""COMPUTED_VALUE"""),-0.707344004127437)</f>
        <v>-0.70734400412743703</v>
      </c>
      <c r="OA74" s="3">
        <f ca="1">IFERROR(__xludf.DUMMYFUNCTION("""COMPUTED_VALUE"""),-0.768761388703119)</f>
        <v>-0.76876138870311905</v>
      </c>
      <c r="OB74" s="3">
        <f ca="1">IFERROR(__xludf.DUMMYFUNCTION("""COMPUTED_VALUE"""),-0.716292725871933)</f>
        <v>-0.71629272587193304</v>
      </c>
      <c r="OC74" s="3">
        <f ca="1">IFERROR(__xludf.DUMMYFUNCTION("""COMPUTED_VALUE"""),-0.700028451935113)</f>
        <v>-0.70002845193511298</v>
      </c>
      <c r="OD74" s="3">
        <f ca="1">IFERROR(__xludf.DUMMYFUNCTION("""COMPUTED_VALUE"""),-0.655311388722527)</f>
        <v>-0.65531138872252703</v>
      </c>
      <c r="OE74" s="3">
        <f ca="1">IFERROR(__xludf.DUMMYFUNCTION("""COMPUTED_VALUE"""),-0.548583351283635)</f>
        <v>-0.548583351283635</v>
      </c>
      <c r="OF74" s="3">
        <f ca="1">IFERROR(__xludf.DUMMYFUNCTION("""COMPUTED_VALUE"""),-0.363660526510216)</f>
        <v>-0.36366052651021602</v>
      </c>
      <c r="OG74" s="3">
        <f ca="1">IFERROR(__xludf.DUMMYFUNCTION("""COMPUTED_VALUE"""),-0.342167810568731)</f>
        <v>-0.34216781056873102</v>
      </c>
      <c r="OH74" s="3">
        <f ca="1">IFERROR(__xludf.DUMMYFUNCTION("""COMPUTED_VALUE"""),-0.346079648460034)</f>
        <v>-0.34607964846003397</v>
      </c>
      <c r="OI74" s="3">
        <f ca="1">IFERROR(__xludf.DUMMYFUNCTION("""COMPUTED_VALUE"""),-0.0509603879709591)</f>
        <v>-5.0960387970959101E-2</v>
      </c>
      <c r="OJ74" s="3">
        <f ca="1">IFERROR(__xludf.DUMMYFUNCTION("""COMPUTED_VALUE"""),-0.0153471997914818)</f>
        <v>-1.5347199791481801E-2</v>
      </c>
      <c r="OK74" s="3">
        <f ca="1">IFERROR(__xludf.DUMMYFUNCTION("""COMPUTED_VALUE"""),-0.0374073102827809)</f>
        <v>-3.7407310282780902E-2</v>
      </c>
      <c r="OL74" s="3">
        <f ca="1">IFERROR(__xludf.DUMMYFUNCTION("""COMPUTED_VALUE"""),0.00428480986673207)</f>
        <v>4.2848098667320703E-3</v>
      </c>
      <c r="OM74" s="3">
        <f ca="1">IFERROR(__xludf.DUMMYFUNCTION("""COMPUTED_VALUE"""),0.0396027520896682)</f>
        <v>3.9602752089668201E-2</v>
      </c>
      <c r="ON74" s="3">
        <f ca="1">IFERROR(__xludf.DUMMYFUNCTION("""COMPUTED_VALUE"""),0.0730651063194156)</f>
        <v>7.3065106319415596E-2</v>
      </c>
      <c r="OO74" s="3">
        <f ca="1">IFERROR(__xludf.DUMMYFUNCTION("""COMPUTED_VALUE"""),-0.0739204961021414)</f>
        <v>-7.3920496102141395E-2</v>
      </c>
      <c r="OP74" s="3">
        <f ca="1">IFERROR(__xludf.DUMMYFUNCTION("""COMPUTED_VALUE"""),-0.0223351453385635)</f>
        <v>-2.2335145338563501E-2</v>
      </c>
      <c r="OQ74" s="3">
        <f ca="1">IFERROR(__xludf.DUMMYFUNCTION("""COMPUTED_VALUE"""),0.00293880963141868)</f>
        <v>2.9388096314186801E-3</v>
      </c>
      <c r="OR74" s="3">
        <f ca="1">IFERROR(__xludf.DUMMYFUNCTION("""COMPUTED_VALUE"""),0.0212397150947509)</f>
        <v>2.1239715094750901E-2</v>
      </c>
      <c r="OS74" s="3">
        <f ca="1">IFERROR(__xludf.DUMMYFUNCTION("""COMPUTED_VALUE"""),-0.0524643386732266)</f>
        <v>-5.2464338673226599E-2</v>
      </c>
      <c r="OT74" s="3">
        <f ca="1">IFERROR(__xludf.DUMMYFUNCTION("""COMPUTED_VALUE"""),0.178191199945259)</f>
        <v>0.178191199945259</v>
      </c>
      <c r="OU74" s="3">
        <f ca="1">IFERROR(__xludf.DUMMYFUNCTION("""COMPUTED_VALUE"""),0.0983985647650449)</f>
        <v>9.8398564765044896E-2</v>
      </c>
      <c r="OV74" s="3">
        <f ca="1">IFERROR(__xludf.DUMMYFUNCTION("""COMPUTED_VALUE"""),0.0566301321364228)</f>
        <v>5.6630132136422803E-2</v>
      </c>
      <c r="OW74" s="3">
        <f ca="1">IFERROR(__xludf.DUMMYFUNCTION("""COMPUTED_VALUE"""),-0.0468490809177168)</f>
        <v>-4.68490809177168E-2</v>
      </c>
      <c r="OX74" s="3">
        <f ca="1">IFERROR(__xludf.DUMMYFUNCTION("""COMPUTED_VALUE"""),0.0259514879419981)</f>
        <v>2.59514879419981E-2</v>
      </c>
      <c r="OY74" s="3">
        <f ca="1">IFERROR(__xludf.DUMMYFUNCTION("""COMPUTED_VALUE"""),0.00279539180853793)</f>
        <v>2.7953918085379301E-3</v>
      </c>
      <c r="OZ74" s="3">
        <f ca="1">IFERROR(__xludf.DUMMYFUNCTION("""COMPUTED_VALUE"""),-0.0130593795112479)</f>
        <v>-1.3059379511247899E-2</v>
      </c>
      <c r="PA74" s="3">
        <f ca="1">IFERROR(__xludf.DUMMYFUNCTION("""COMPUTED_VALUE"""),0.0539005702281936)</f>
        <v>5.3900570228193598E-2</v>
      </c>
      <c r="PB74" s="3">
        <f ca="1">IFERROR(__xludf.DUMMYFUNCTION("""COMPUTED_VALUE"""),0.074131543442568)</f>
        <v>7.4131543442568004E-2</v>
      </c>
      <c r="PC74" s="3">
        <f ca="1">IFERROR(__xludf.DUMMYFUNCTION("""COMPUTED_VALUE"""),-0.0409610882565872)</f>
        <v>-4.0961088256587203E-2</v>
      </c>
      <c r="PD74" s="3">
        <f ca="1">IFERROR(__xludf.DUMMYFUNCTION("""COMPUTED_VALUE"""),-0.101035167473369)</f>
        <v>-0.10103516747336901</v>
      </c>
      <c r="PE74" s="3">
        <f ca="1">IFERROR(__xludf.DUMMYFUNCTION("""COMPUTED_VALUE"""),0.136812582829042)</f>
        <v>0.13681258282904199</v>
      </c>
      <c r="PF74" s="3">
        <f ca="1">IFERROR(__xludf.DUMMYFUNCTION("""COMPUTED_VALUE"""),0.0022959105628717)</f>
        <v>2.2959105628717002E-3</v>
      </c>
      <c r="PG74" s="3">
        <f ca="1">IFERROR(__xludf.DUMMYFUNCTION("""COMPUTED_VALUE"""),-0.00438272623533275)</f>
        <v>-4.3827262353327498E-3</v>
      </c>
      <c r="PH74" s="3">
        <f ca="1">IFERROR(__xludf.DUMMYFUNCTION("""COMPUTED_VALUE"""),0.0707430217100439)</f>
        <v>7.0743021710043902E-2</v>
      </c>
      <c r="PI74" s="3">
        <f ca="1">IFERROR(__xludf.DUMMYFUNCTION("""COMPUTED_VALUE"""),0.056386665225945)</f>
        <v>5.6386665225945001E-2</v>
      </c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</row>
    <row r="75" spans="1:477" ht="13">
      <c r="A75" s="1" t="str">
        <f ca="1">IFERROR(__xludf.DUMMYFUNCTION("""COMPUTED_VALUE"""),"exo Laurentides")</f>
        <v>exo Laurentides</v>
      </c>
      <c r="B75" s="1" t="str">
        <f ca="1">IFERROR(__xludf.DUMMYFUNCTION("""COMPUTED_VALUE"""),"Montréal")</f>
        <v>Montréal</v>
      </c>
      <c r="C75" s="1" t="str">
        <f ca="1">IFERROR(__xludf.DUMMYFUNCTION("""COMPUTED_VALUE"""),"Canada")</f>
        <v>Canada</v>
      </c>
      <c r="D75" s="1" t="str">
        <f ca="1">IFERROR(__xludf.DUMMYFUNCTION("""COMPUTED_VALUE"""),"Quebec")</f>
        <v>Quebec</v>
      </c>
      <c r="E75" s="3">
        <f ca="1">IFERROR(__xludf.DUMMYFUNCTION("""COMPUTED_VALUE"""),-0.376854223532555)</f>
        <v>-0.37685422353255499</v>
      </c>
      <c r="F75" s="3">
        <f ca="1">IFERROR(__xludf.DUMMYFUNCTION("""COMPUTED_VALUE"""),-0.347842587311915)</f>
        <v>-0.34784258731191497</v>
      </c>
      <c r="G75" s="3">
        <f ca="1">IFERROR(__xludf.DUMMYFUNCTION("""COMPUTED_VALUE"""),-0.390842604125014)</f>
        <v>-0.39084260412501398</v>
      </c>
      <c r="H75" s="3">
        <f ca="1">IFERROR(__xludf.DUMMYFUNCTION("""COMPUTED_VALUE"""),-0.349738303130684)</f>
        <v>-0.34973830313068399</v>
      </c>
      <c r="I75" s="3">
        <f ca="1">IFERROR(__xludf.DUMMYFUNCTION("""COMPUTED_VALUE"""),-0.300495057834283)</f>
        <v>-0.30049505783428299</v>
      </c>
      <c r="J75" s="3">
        <f ca="1">IFERROR(__xludf.DUMMYFUNCTION("""COMPUTED_VALUE"""),-0.420572807108479)</f>
        <v>-0.420572807108479</v>
      </c>
      <c r="K75" s="3">
        <f ca="1">IFERROR(__xludf.DUMMYFUNCTION("""COMPUTED_VALUE"""),-0.560061362418241)</f>
        <v>-0.560061362418241</v>
      </c>
      <c r="L75" s="3">
        <f ca="1">IFERROR(__xludf.DUMMYFUNCTION("""COMPUTED_VALUE"""),-0.534609958422983)</f>
        <v>-0.53460995842298298</v>
      </c>
      <c r="M75" s="3">
        <f ca="1">IFERROR(__xludf.DUMMYFUNCTION("""COMPUTED_VALUE"""),-0.518173862954368)</f>
        <v>-0.51817386295436796</v>
      </c>
      <c r="N75" s="3">
        <f ca="1">IFERROR(__xludf.DUMMYFUNCTION("""COMPUTED_VALUE"""),-0.424039025579296)</f>
        <v>-0.42403902557929601</v>
      </c>
      <c r="O75" s="3">
        <f ca="1">IFERROR(__xludf.DUMMYFUNCTION("""COMPUTED_VALUE"""),-0.350256659847143)</f>
        <v>-0.35025665984714299</v>
      </c>
      <c r="P75" s="3">
        <f ca="1">IFERROR(__xludf.DUMMYFUNCTION("""COMPUTED_VALUE"""),-0.347120490166444)</f>
        <v>-0.34712049016644397</v>
      </c>
      <c r="Q75" s="3">
        <f ca="1">IFERROR(__xludf.DUMMYFUNCTION("""COMPUTED_VALUE"""),-0.421677303499568)</f>
        <v>-0.421677303499568</v>
      </c>
      <c r="R75" s="3">
        <f ca="1">IFERROR(__xludf.DUMMYFUNCTION("""COMPUTED_VALUE"""),-0.532415745186317)</f>
        <v>-0.53241574518631696</v>
      </c>
      <c r="S75" s="3">
        <f ca="1">IFERROR(__xludf.DUMMYFUNCTION("""COMPUTED_VALUE"""),-0.443886930746897)</f>
        <v>-0.443886930746897</v>
      </c>
      <c r="T75" s="3">
        <f ca="1">IFERROR(__xludf.DUMMYFUNCTION("""COMPUTED_VALUE"""),-0.515200598078187)</f>
        <v>-0.51520059807818697</v>
      </c>
      <c r="U75" s="3">
        <f ca="1">IFERROR(__xludf.DUMMYFUNCTION("""COMPUTED_VALUE"""),-0.383752325942671)</f>
        <v>-0.383752325942671</v>
      </c>
      <c r="V75" s="3">
        <f ca="1">IFERROR(__xludf.DUMMYFUNCTION("""COMPUTED_VALUE"""),-0.372663432876641)</f>
        <v>-0.372663432876641</v>
      </c>
      <c r="W75" s="3">
        <f ca="1">IFERROR(__xludf.DUMMYFUNCTION("""COMPUTED_VALUE"""),-0.328425986077509)</f>
        <v>-0.328425986077509</v>
      </c>
      <c r="X75" s="3">
        <f ca="1">IFERROR(__xludf.DUMMYFUNCTION("""COMPUTED_VALUE"""),-0.340215091886729)</f>
        <v>-0.34021509188672899</v>
      </c>
      <c r="Y75" s="3">
        <f ca="1">IFERROR(__xludf.DUMMYFUNCTION("""COMPUTED_VALUE"""),-0.432324804089987)</f>
        <v>-0.43232480408998702</v>
      </c>
      <c r="Z75" s="3">
        <f ca="1">IFERROR(__xludf.DUMMYFUNCTION("""COMPUTED_VALUE"""),-0.399120546918963)</f>
        <v>-0.39912054691896298</v>
      </c>
      <c r="AA75" s="3">
        <f ca="1">IFERROR(__xludf.DUMMYFUNCTION("""COMPUTED_VALUE"""),-0.46809681617494)</f>
        <v>-0.46809681617493998</v>
      </c>
      <c r="AB75" s="3">
        <f ca="1">IFERROR(__xludf.DUMMYFUNCTION("""COMPUTED_VALUE"""),-0.458276357446265)</f>
        <v>-0.45827635744626499</v>
      </c>
      <c r="AC75" s="3">
        <f ca="1">IFERROR(__xludf.DUMMYFUNCTION("""COMPUTED_VALUE"""),-0.449775063811155)</f>
        <v>-0.44977506381115501</v>
      </c>
      <c r="AD75" s="3">
        <f ca="1">IFERROR(__xludf.DUMMYFUNCTION("""COMPUTED_VALUE"""),-0.466984394031383)</f>
        <v>-0.46698439403138298</v>
      </c>
      <c r="AE75" s="3">
        <f ca="1">IFERROR(__xludf.DUMMYFUNCTION("""COMPUTED_VALUE"""),-0.487180258227705)</f>
        <v>-0.487180258227705</v>
      </c>
      <c r="AF75" s="3">
        <f ca="1">IFERROR(__xludf.DUMMYFUNCTION("""COMPUTED_VALUE"""),-0.582693183334798)</f>
        <v>-0.58269318333479803</v>
      </c>
      <c r="AG75" s="3">
        <f ca="1">IFERROR(__xludf.DUMMYFUNCTION("""COMPUTED_VALUE"""),-0.508918491145999)</f>
        <v>-0.50891849114599896</v>
      </c>
      <c r="AH75" s="3">
        <f ca="1">IFERROR(__xludf.DUMMYFUNCTION("""COMPUTED_VALUE"""),-0.485699911793261)</f>
        <v>-0.485699911793261</v>
      </c>
      <c r="AI75" s="3">
        <f ca="1">IFERROR(__xludf.DUMMYFUNCTION("""COMPUTED_VALUE"""),-0.42808944238629)</f>
        <v>-0.42808944238628999</v>
      </c>
      <c r="AJ75" s="3">
        <f ca="1">IFERROR(__xludf.DUMMYFUNCTION("""COMPUTED_VALUE"""),-0.45977336966506)</f>
        <v>-0.45977336966505999</v>
      </c>
      <c r="AK75" s="3">
        <f ca="1">IFERROR(__xludf.DUMMYFUNCTION("""COMPUTED_VALUE"""),-0.490931374667955)</f>
        <v>-0.490931374667955</v>
      </c>
      <c r="AL75" s="3">
        <f ca="1">IFERROR(__xludf.DUMMYFUNCTION("""COMPUTED_VALUE"""),-0.533843133458777)</f>
        <v>-0.53384313345877699</v>
      </c>
      <c r="AM75" s="3">
        <f ca="1">IFERROR(__xludf.DUMMYFUNCTION("""COMPUTED_VALUE"""),-0.532473942435951)</f>
        <v>-0.53247394243595103</v>
      </c>
      <c r="AN75" s="3">
        <f ca="1">IFERROR(__xludf.DUMMYFUNCTION("""COMPUTED_VALUE"""),-0.441268826420914)</f>
        <v>-0.44126882642091397</v>
      </c>
      <c r="AO75" s="3">
        <f ca="1">IFERROR(__xludf.DUMMYFUNCTION("""COMPUTED_VALUE"""),-0.51286539947225)</f>
        <v>-0.51286539947224996</v>
      </c>
      <c r="AP75" s="3">
        <f ca="1">IFERROR(__xludf.DUMMYFUNCTION("""COMPUTED_VALUE"""),-0.498713519480875)</f>
        <v>-0.498713519480875</v>
      </c>
      <c r="AQ75" s="3">
        <f ca="1">IFERROR(__xludf.DUMMYFUNCTION("""COMPUTED_VALUE"""),-0.439305163930507)</f>
        <v>-0.439305163930507</v>
      </c>
      <c r="AR75" s="3">
        <f ca="1">IFERROR(__xludf.DUMMYFUNCTION("""COMPUTED_VALUE"""),-0.484526479761262)</f>
        <v>-0.48452647976126201</v>
      </c>
      <c r="AS75" s="3">
        <f ca="1">IFERROR(__xludf.DUMMYFUNCTION("""COMPUTED_VALUE"""),-0.476278267558801)</f>
        <v>-0.47627826755880098</v>
      </c>
      <c r="AT75" s="3">
        <f ca="1">IFERROR(__xludf.DUMMYFUNCTION("""COMPUTED_VALUE"""),-0.47745116397724)</f>
        <v>-0.47745116397724002</v>
      </c>
      <c r="AU75" s="3">
        <f ca="1">IFERROR(__xludf.DUMMYFUNCTION("""COMPUTED_VALUE"""),-0.456130249354146)</f>
        <v>-0.45613024935414598</v>
      </c>
      <c r="AV75" s="3">
        <f ca="1">IFERROR(__xludf.DUMMYFUNCTION("""COMPUTED_VALUE"""),-0.488087781438573)</f>
        <v>-0.48808778143857301</v>
      </c>
      <c r="AW75" s="3">
        <f ca="1">IFERROR(__xludf.DUMMYFUNCTION("""COMPUTED_VALUE"""),-0.5234054834035)</f>
        <v>-0.52340548340350002</v>
      </c>
      <c r="AX75" s="3">
        <f ca="1">IFERROR(__xludf.DUMMYFUNCTION("""COMPUTED_VALUE"""),-0.473999029376851)</f>
        <v>-0.47399902937685101</v>
      </c>
      <c r="AY75" s="3">
        <f ca="1">IFERROR(__xludf.DUMMYFUNCTION("""COMPUTED_VALUE"""),-0.53935186885362)</f>
        <v>-0.53935186885361996</v>
      </c>
      <c r="AZ75" s="3">
        <f ca="1">IFERROR(__xludf.DUMMYFUNCTION("""COMPUTED_VALUE"""),-0.579195350029311)</f>
        <v>-0.579195350029311</v>
      </c>
      <c r="BA75" s="3">
        <f ca="1">IFERROR(__xludf.DUMMYFUNCTION("""COMPUTED_VALUE"""),-0.578337881666057)</f>
        <v>-0.57833788166605704</v>
      </c>
      <c r="BB75" s="3">
        <f ca="1">IFERROR(__xludf.DUMMYFUNCTION("""COMPUTED_VALUE"""),-0.474684271788148)</f>
        <v>-0.47468427178814798</v>
      </c>
      <c r="BC75" s="3">
        <f ca="1">IFERROR(__xludf.DUMMYFUNCTION("""COMPUTED_VALUE"""),-0.571900192958891)</f>
        <v>-0.57190019295889105</v>
      </c>
      <c r="BD75" s="3">
        <f ca="1">IFERROR(__xludf.DUMMYFUNCTION("""COMPUTED_VALUE"""),-0.593174695442151)</f>
        <v>-0.59317469544215096</v>
      </c>
      <c r="BE75" s="3">
        <f ca="1">IFERROR(__xludf.DUMMYFUNCTION("""COMPUTED_VALUE"""),-0.44737906885068)</f>
        <v>-0.44737906885068002</v>
      </c>
      <c r="BF75" s="3">
        <f ca="1">IFERROR(__xludf.DUMMYFUNCTION("""COMPUTED_VALUE"""),-0.551537530069308)</f>
        <v>-0.55153753006930795</v>
      </c>
      <c r="BG75" s="3">
        <f ca="1">IFERROR(__xludf.DUMMYFUNCTION("""COMPUTED_VALUE"""),-0.594067087444062)</f>
        <v>-0.594067087444062</v>
      </c>
      <c r="BH75" s="3">
        <f ca="1">IFERROR(__xludf.DUMMYFUNCTION("""COMPUTED_VALUE"""),-0.487768002399956)</f>
        <v>-0.48776800239995599</v>
      </c>
      <c r="BI75" s="3">
        <f ca="1">IFERROR(__xludf.DUMMYFUNCTION("""COMPUTED_VALUE"""),-0.498786740634433)</f>
        <v>-0.49878674063443301</v>
      </c>
      <c r="BJ75" s="3">
        <f ca="1">IFERROR(__xludf.DUMMYFUNCTION("""COMPUTED_VALUE"""),-0.493833624711552)</f>
        <v>-0.49383362471155201</v>
      </c>
      <c r="BK75" s="3">
        <f ca="1">IFERROR(__xludf.DUMMYFUNCTION("""COMPUTED_VALUE"""),-0.549575936412849)</f>
        <v>-0.54957593641284896</v>
      </c>
      <c r="BL75" s="3">
        <f ca="1">IFERROR(__xludf.DUMMYFUNCTION("""COMPUTED_VALUE"""),-0.523796975242445)</f>
        <v>-0.52379697524244495</v>
      </c>
      <c r="BM75" s="3">
        <f ca="1">IFERROR(__xludf.DUMMYFUNCTION("""COMPUTED_VALUE"""),-0.483479112283844)</f>
        <v>-0.48347911228384399</v>
      </c>
      <c r="BN75" s="3">
        <f ca="1">IFERROR(__xludf.DUMMYFUNCTION("""COMPUTED_VALUE"""),-0.594019227002588)</f>
        <v>-0.59401922700258802</v>
      </c>
      <c r="BO75" s="3">
        <f ca="1">IFERROR(__xludf.DUMMYFUNCTION("""COMPUTED_VALUE"""),-0.639964014568545)</f>
        <v>-0.63996401456854501</v>
      </c>
      <c r="BP75" s="3">
        <f ca="1">IFERROR(__xludf.DUMMYFUNCTION("""COMPUTED_VALUE"""),-0.593890251582909)</f>
        <v>-0.59389025158290898</v>
      </c>
      <c r="BQ75" s="3">
        <f ca="1">IFERROR(__xludf.DUMMYFUNCTION("""COMPUTED_VALUE"""),-0.551332141919669)</f>
        <v>-0.55133214191966895</v>
      </c>
      <c r="BR75" s="3">
        <f ca="1">IFERROR(__xludf.DUMMYFUNCTION("""COMPUTED_VALUE"""),-0.569654101662295)</f>
        <v>-0.56965410166229502</v>
      </c>
      <c r="BS75" s="3">
        <f ca="1">IFERROR(__xludf.DUMMYFUNCTION("""COMPUTED_VALUE"""),-0.567559787151258)</f>
        <v>-0.56755978715125799</v>
      </c>
      <c r="BT75" s="3">
        <f ca="1">IFERROR(__xludf.DUMMYFUNCTION("""COMPUTED_VALUE"""),-0.589229594929829)</f>
        <v>-0.58922959492982896</v>
      </c>
      <c r="BU75" s="3">
        <f ca="1">IFERROR(__xludf.DUMMYFUNCTION("""COMPUTED_VALUE"""),-0.69917559536769)</f>
        <v>-0.69917559536769003</v>
      </c>
      <c r="BV75" s="3">
        <f ca="1">IFERROR(__xludf.DUMMYFUNCTION("""COMPUTED_VALUE"""),-0.708097542446657)</f>
        <v>-0.70809754244665701</v>
      </c>
      <c r="BW75" s="3">
        <f ca="1">IFERROR(__xludf.DUMMYFUNCTION("""COMPUTED_VALUE"""),-0.684160764293672)</f>
        <v>-0.68416076429367201</v>
      </c>
      <c r="BX75" s="3">
        <f ca="1">IFERROR(__xludf.DUMMYFUNCTION("""COMPUTED_VALUE"""),-0.627434088263395)</f>
        <v>-0.62743408826339497</v>
      </c>
      <c r="BY75" s="3">
        <f ca="1">IFERROR(__xludf.DUMMYFUNCTION("""COMPUTED_VALUE"""),-0.640692301075263)</f>
        <v>-0.64069230107526298</v>
      </c>
      <c r="BZ75" s="3">
        <f ca="1">IFERROR(__xludf.DUMMYFUNCTION("""COMPUTED_VALUE"""),-0.625671840222612)</f>
        <v>-0.62567184022261202</v>
      </c>
      <c r="CA75" s="3">
        <f ca="1">IFERROR(__xludf.DUMMYFUNCTION("""COMPUTED_VALUE"""),-0.607358395137499)</f>
        <v>-0.60735839513749901</v>
      </c>
      <c r="CB75" s="3">
        <f ca="1">IFERROR(__xludf.DUMMYFUNCTION("""COMPUTED_VALUE"""),-0.652182574998058)</f>
        <v>-0.65218257499805798</v>
      </c>
      <c r="CC75" s="3">
        <f ca="1">IFERROR(__xludf.DUMMYFUNCTION("""COMPUTED_VALUE"""),-0.730177036230694)</f>
        <v>-0.73017703623069397</v>
      </c>
      <c r="CD75" s="3">
        <f ca="1">IFERROR(__xludf.DUMMYFUNCTION("""COMPUTED_VALUE"""),-0.687453513022205)</f>
        <v>-0.68745351302220503</v>
      </c>
      <c r="CE75" s="3">
        <f ca="1">IFERROR(__xludf.DUMMYFUNCTION("""COMPUTED_VALUE"""),-0.606279912474571)</f>
        <v>-0.60627991247457103</v>
      </c>
      <c r="CF75" s="3">
        <f ca="1">IFERROR(__xludf.DUMMYFUNCTION("""COMPUTED_VALUE"""),-0.555317757076859)</f>
        <v>-0.55531775707685904</v>
      </c>
      <c r="CG75" s="3">
        <f ca="1">IFERROR(__xludf.DUMMYFUNCTION("""COMPUTED_VALUE"""),-0.582894934027646)</f>
        <v>-0.58289493402764603</v>
      </c>
      <c r="CH75" s="3">
        <f ca="1">IFERROR(__xludf.DUMMYFUNCTION("""COMPUTED_VALUE"""),-0.623561132628361)</f>
        <v>-0.62356113262836099</v>
      </c>
      <c r="CI75" s="3">
        <f ca="1">IFERROR(__xludf.DUMMYFUNCTION("""COMPUTED_VALUE"""),-0.638948948545445)</f>
        <v>-0.63894894854544504</v>
      </c>
      <c r="CJ75" s="3">
        <f ca="1">IFERROR(__xludf.DUMMYFUNCTION("""COMPUTED_VALUE"""),-0.677117072816694)</f>
        <v>-0.67711707281669398</v>
      </c>
      <c r="CK75" s="3">
        <f ca="1">IFERROR(__xludf.DUMMYFUNCTION("""COMPUTED_VALUE"""),-0.661787252662699)</f>
        <v>-0.661787252662699</v>
      </c>
      <c r="CL75" s="3">
        <f ca="1">IFERROR(__xludf.DUMMYFUNCTION("""COMPUTED_VALUE"""),-0.645352918312406)</f>
        <v>-0.64535291831240604</v>
      </c>
      <c r="CM75" s="3">
        <f ca="1">IFERROR(__xludf.DUMMYFUNCTION("""COMPUTED_VALUE"""),-0.635237098610925)</f>
        <v>-0.63523709861092503</v>
      </c>
      <c r="CN75" s="3">
        <f ca="1">IFERROR(__xludf.DUMMYFUNCTION("""COMPUTED_VALUE"""),-0.652106991502735)</f>
        <v>-0.65210699150273499</v>
      </c>
      <c r="CO75" s="3">
        <f ca="1">IFERROR(__xludf.DUMMYFUNCTION("""COMPUTED_VALUE"""),-0.618908915906295)</f>
        <v>-0.61890891590629504</v>
      </c>
      <c r="CP75" s="3">
        <f ca="1">IFERROR(__xludf.DUMMYFUNCTION("""COMPUTED_VALUE"""),-0.656012927877911)</f>
        <v>-0.65601292787791099</v>
      </c>
      <c r="CQ75" s="3">
        <f ca="1">IFERROR(__xludf.DUMMYFUNCTION("""COMPUTED_VALUE"""),-0.710021438034295)</f>
        <v>-0.71002143803429496</v>
      </c>
      <c r="CR75" s="3">
        <f ca="1">IFERROR(__xludf.DUMMYFUNCTION("""COMPUTED_VALUE"""),-0.594958929501966)</f>
        <v>-0.59495892950196605</v>
      </c>
      <c r="CS75" s="3">
        <f ca="1">IFERROR(__xludf.DUMMYFUNCTION("""COMPUTED_VALUE"""),-0.544563538177038)</f>
        <v>-0.54456353817703795</v>
      </c>
      <c r="CT75" s="3">
        <f ca="1">IFERROR(__xludf.DUMMYFUNCTION("""COMPUTED_VALUE"""),-0.508213059788501)</f>
        <v>-0.50821305978850095</v>
      </c>
      <c r="CU75" s="3">
        <f ca="1">IFERROR(__xludf.DUMMYFUNCTION("""COMPUTED_VALUE"""),-0.47783742971093)</f>
        <v>-0.47783742971093002</v>
      </c>
      <c r="CV75" s="3">
        <f ca="1">IFERROR(__xludf.DUMMYFUNCTION("""COMPUTED_VALUE"""),-0.493956944891984)</f>
        <v>-0.493956944891984</v>
      </c>
      <c r="CW75" s="3">
        <f ca="1">IFERROR(__xludf.DUMMYFUNCTION("""COMPUTED_VALUE"""),-0.543954671925814)</f>
        <v>-0.54395467192581404</v>
      </c>
      <c r="CX75" s="3">
        <f ca="1">IFERROR(__xludf.DUMMYFUNCTION("""COMPUTED_VALUE"""),-0.622429290659863)</f>
        <v>-0.62242929065986297</v>
      </c>
      <c r="CY75" s="3">
        <f ca="1">IFERROR(__xludf.DUMMYFUNCTION("""COMPUTED_VALUE"""),-0.652163999631012)</f>
        <v>-0.65216399963101201</v>
      </c>
      <c r="CZ75" s="3">
        <f ca="1">IFERROR(__xludf.DUMMYFUNCTION("""COMPUTED_VALUE"""),-0.70889227068709)</f>
        <v>-0.70889227068709004</v>
      </c>
      <c r="DA75" s="3">
        <f ca="1">IFERROR(__xludf.DUMMYFUNCTION("""COMPUTED_VALUE"""),-0.487944416284756)</f>
        <v>-0.48794441628475599</v>
      </c>
      <c r="DB75" s="3">
        <f ca="1">IFERROR(__xludf.DUMMYFUNCTION("""COMPUTED_VALUE"""),-0.38223184764701)</f>
        <v>-0.38223184764701001</v>
      </c>
      <c r="DC75" s="3">
        <f ca="1">IFERROR(__xludf.DUMMYFUNCTION("""COMPUTED_VALUE"""),-0.541066078471456)</f>
        <v>-0.54106607847145605</v>
      </c>
      <c r="DD75" s="3">
        <f ca="1">IFERROR(__xludf.DUMMYFUNCTION("""COMPUTED_VALUE"""),-0.640929190077236)</f>
        <v>-0.64092919007723603</v>
      </c>
      <c r="DE75" s="3">
        <f ca="1">IFERROR(__xludf.DUMMYFUNCTION("""COMPUTED_VALUE"""),-0.648992089431095)</f>
        <v>-0.64899208943109499</v>
      </c>
      <c r="DF75" s="3">
        <f ca="1">IFERROR(__xludf.DUMMYFUNCTION("""COMPUTED_VALUE"""),-0.644800917546907)</f>
        <v>-0.64480091754690705</v>
      </c>
      <c r="DG75" s="3">
        <f ca="1">IFERROR(__xludf.DUMMYFUNCTION("""COMPUTED_VALUE"""),-0.759700277880073)</f>
        <v>-0.75970027788007299</v>
      </c>
      <c r="DH75" s="3">
        <f ca="1">IFERROR(__xludf.DUMMYFUNCTION("""COMPUTED_VALUE"""),-0.442070370515308)</f>
        <v>-0.44207037051530801</v>
      </c>
      <c r="DI75" s="3">
        <f ca="1">IFERROR(__xludf.DUMMYFUNCTION("""COMPUTED_VALUE"""),-0.114280959741989)</f>
        <v>-0.114280959741989</v>
      </c>
      <c r="DJ75" s="3">
        <f ca="1">IFERROR(__xludf.DUMMYFUNCTION("""COMPUTED_VALUE"""),-0.383088882772104)</f>
        <v>-0.38308888277210401</v>
      </c>
      <c r="DK75" s="3">
        <f ca="1">IFERROR(__xludf.DUMMYFUNCTION("""COMPUTED_VALUE"""),-0.476383139707009)</f>
        <v>-0.47638313970700902</v>
      </c>
      <c r="DL75" s="3">
        <f ca="1">IFERROR(__xludf.DUMMYFUNCTION("""COMPUTED_VALUE"""),-0.494028498099299)</f>
        <v>-0.494028498099299</v>
      </c>
      <c r="DM75" s="3">
        <f ca="1">IFERROR(__xludf.DUMMYFUNCTION("""COMPUTED_VALUE"""),-0.437989005171139)</f>
        <v>-0.43798900517113898</v>
      </c>
      <c r="DN75" s="3">
        <f ca="1">IFERROR(__xludf.DUMMYFUNCTION("""COMPUTED_VALUE"""),-0.52094886231533)</f>
        <v>-0.52094886231533</v>
      </c>
      <c r="DO75" s="3">
        <f ca="1">IFERROR(__xludf.DUMMYFUNCTION("""COMPUTED_VALUE"""),-0.536565364583129)</f>
        <v>-0.53656536458312898</v>
      </c>
      <c r="DP75" s="3">
        <f ca="1">IFERROR(__xludf.DUMMYFUNCTION("""COMPUTED_VALUE"""),-0.400167136637206)</f>
        <v>-0.40016713663720599</v>
      </c>
      <c r="DQ75" s="3">
        <f ca="1">IFERROR(__xludf.DUMMYFUNCTION("""COMPUTED_VALUE"""),-0.448967495183949)</f>
        <v>-0.44896749518394902</v>
      </c>
      <c r="DR75" s="3">
        <f ca="1">IFERROR(__xludf.DUMMYFUNCTION("""COMPUTED_VALUE"""),-0.519367793889619)</f>
        <v>-0.51936779388961896</v>
      </c>
      <c r="DS75" s="3">
        <f ca="1">IFERROR(__xludf.DUMMYFUNCTION("""COMPUTED_VALUE"""),-0.536487129259014)</f>
        <v>-0.53648712925901398</v>
      </c>
      <c r="DT75" s="3">
        <f ca="1">IFERROR(__xludf.DUMMYFUNCTION("""COMPUTED_VALUE"""),-0.478331015265464)</f>
        <v>-0.47833101526546401</v>
      </c>
      <c r="DU75" s="3">
        <f ca="1">IFERROR(__xludf.DUMMYFUNCTION("""COMPUTED_VALUE"""),-0.537406793165493)</f>
        <v>-0.537406793165493</v>
      </c>
      <c r="DV75" s="3">
        <f ca="1">IFERROR(__xludf.DUMMYFUNCTION("""COMPUTED_VALUE"""),-0.535076533161714)</f>
        <v>-0.535076533161714</v>
      </c>
      <c r="DW75" s="3">
        <f ca="1">IFERROR(__xludf.DUMMYFUNCTION("""COMPUTED_VALUE"""),-0.540751565741966)</f>
        <v>-0.54075156574196603</v>
      </c>
      <c r="DX75" s="3">
        <f ca="1">IFERROR(__xludf.DUMMYFUNCTION("""COMPUTED_VALUE"""),-0.541825108855141)</f>
        <v>-0.54182510885514101</v>
      </c>
      <c r="DY75" s="3">
        <f ca="1">IFERROR(__xludf.DUMMYFUNCTION("""COMPUTED_VALUE"""),-0.552746752586334)</f>
        <v>-0.55274675258633399</v>
      </c>
      <c r="DZ75" s="3">
        <f ca="1">IFERROR(__xludf.DUMMYFUNCTION("""COMPUTED_VALUE"""),-0.551024421298212)</f>
        <v>-0.55102442129821205</v>
      </c>
      <c r="EA75" s="3">
        <f ca="1">IFERROR(__xludf.DUMMYFUNCTION("""COMPUTED_VALUE"""),-0.482262431749103)</f>
        <v>-0.48226243174910299</v>
      </c>
      <c r="EB75" s="3">
        <f ca="1">IFERROR(__xludf.DUMMYFUNCTION("""COMPUTED_VALUE"""),-0.539210583704272)</f>
        <v>-0.539210583704272</v>
      </c>
      <c r="EC75" s="3">
        <f ca="1">IFERROR(__xludf.DUMMYFUNCTION("""COMPUTED_VALUE"""),-0.534672054502283)</f>
        <v>-0.53467205450228295</v>
      </c>
      <c r="ED75" s="3">
        <f ca="1">IFERROR(__xludf.DUMMYFUNCTION("""COMPUTED_VALUE"""),-0.560072692388859)</f>
        <v>-0.56007269238885904</v>
      </c>
      <c r="EE75" s="3">
        <f ca="1">IFERROR(__xludf.DUMMYFUNCTION("""COMPUTED_VALUE"""),-0.523747848600924)</f>
        <v>-0.52374784860092405</v>
      </c>
      <c r="EF75" s="3">
        <f ca="1">IFERROR(__xludf.DUMMYFUNCTION("""COMPUTED_VALUE"""),-0.551516159604962)</f>
        <v>-0.55151615960496203</v>
      </c>
      <c r="EG75" s="3">
        <f ca="1">IFERROR(__xludf.DUMMYFUNCTION("""COMPUTED_VALUE"""),-0.503603582734104)</f>
        <v>-0.50360358273410399</v>
      </c>
      <c r="EH75" s="3">
        <f ca="1">IFERROR(__xludf.DUMMYFUNCTION("""COMPUTED_VALUE"""),-0.474668657157222)</f>
        <v>-0.47466865715722201</v>
      </c>
      <c r="EI75" s="3">
        <f ca="1">IFERROR(__xludf.DUMMYFUNCTION("""COMPUTED_VALUE"""),-0.486654449189224)</f>
        <v>-0.48665444918922401</v>
      </c>
      <c r="EJ75" s="3">
        <f ca="1">IFERROR(__xludf.DUMMYFUNCTION("""COMPUTED_VALUE"""),-0.526176340293769)</f>
        <v>-0.52617634029376903</v>
      </c>
      <c r="EK75" s="3">
        <f ca="1">IFERROR(__xludf.DUMMYFUNCTION("""COMPUTED_VALUE"""),-0.497545732751618)</f>
        <v>-0.49754573275161801</v>
      </c>
      <c r="EL75" s="3">
        <f ca="1">IFERROR(__xludf.DUMMYFUNCTION("""COMPUTED_VALUE"""),-0.558637645244218)</f>
        <v>-0.558637645244218</v>
      </c>
      <c r="EM75" s="3">
        <f ca="1">IFERROR(__xludf.DUMMYFUNCTION("""COMPUTED_VALUE"""),-0.578671740015509)</f>
        <v>-0.57867174001550903</v>
      </c>
      <c r="EN75" s="3">
        <f ca="1">IFERROR(__xludf.DUMMYFUNCTION("""COMPUTED_VALUE"""),-0.536306949308373)</f>
        <v>-0.53630694930837297</v>
      </c>
      <c r="EO75" s="3">
        <f ca="1">IFERROR(__xludf.DUMMYFUNCTION("""COMPUTED_VALUE"""),-0.503895496119949)</f>
        <v>-0.50389549611994899</v>
      </c>
      <c r="EP75" s="3">
        <f ca="1">IFERROR(__xludf.DUMMYFUNCTION("""COMPUTED_VALUE"""),-0.562222090013058)</f>
        <v>-0.56222209001305801</v>
      </c>
      <c r="EQ75" s="3">
        <f ca="1">IFERROR(__xludf.DUMMYFUNCTION("""COMPUTED_VALUE"""),-0.610584440047952)</f>
        <v>-0.61058444004795198</v>
      </c>
      <c r="ER75" s="3">
        <f ca="1">IFERROR(__xludf.DUMMYFUNCTION("""COMPUTED_VALUE"""),-0.582855562003268)</f>
        <v>-0.58285556200326805</v>
      </c>
      <c r="ES75" s="3">
        <f ca="1">IFERROR(__xludf.DUMMYFUNCTION("""COMPUTED_VALUE"""),-0.592931372531415)</f>
        <v>-0.59293137253141504</v>
      </c>
      <c r="ET75" s="3">
        <f ca="1">IFERROR(__xludf.DUMMYFUNCTION("""COMPUTED_VALUE"""),-0.620231431479765)</f>
        <v>-0.62023143147976501</v>
      </c>
      <c r="EU75" s="3">
        <f ca="1">IFERROR(__xludf.DUMMYFUNCTION("""COMPUTED_VALUE"""),-0.54769060103541)</f>
        <v>-0.54769060103541001</v>
      </c>
      <c r="EV75" s="3">
        <f ca="1">IFERROR(__xludf.DUMMYFUNCTION("""COMPUTED_VALUE"""),-0.528747825676695)</f>
        <v>-0.52874782567669498</v>
      </c>
      <c r="EW75" s="3">
        <f ca="1">IFERROR(__xludf.DUMMYFUNCTION("""COMPUTED_VALUE"""),-0.574208034165825)</f>
        <v>-0.574208034165825</v>
      </c>
      <c r="EX75" s="3">
        <f ca="1">IFERROR(__xludf.DUMMYFUNCTION("""COMPUTED_VALUE"""),-0.584258845340524)</f>
        <v>-0.58425884534052397</v>
      </c>
      <c r="EY75" s="3">
        <f ca="1">IFERROR(__xludf.DUMMYFUNCTION("""COMPUTED_VALUE"""),-0.591869869022118)</f>
        <v>-0.59186986902211802</v>
      </c>
      <c r="EZ75" s="3">
        <f ca="1">IFERROR(__xludf.DUMMYFUNCTION("""COMPUTED_VALUE"""),-0.560705117567867)</f>
        <v>-0.56070511756786701</v>
      </c>
      <c r="FA75" s="3">
        <f ca="1">IFERROR(__xludf.DUMMYFUNCTION("""COMPUTED_VALUE"""),-0.552049771348971)</f>
        <v>-0.55204977134897104</v>
      </c>
      <c r="FB75" s="3">
        <f ca="1">IFERROR(__xludf.DUMMYFUNCTION("""COMPUTED_VALUE"""),-0.482301866479527)</f>
        <v>-0.482301866479527</v>
      </c>
      <c r="FC75" s="3">
        <f ca="1">IFERROR(__xludf.DUMMYFUNCTION("""COMPUTED_VALUE"""),-0.471706665377772)</f>
        <v>-0.47170666537777201</v>
      </c>
      <c r="FD75" s="3">
        <f ca="1">IFERROR(__xludf.DUMMYFUNCTION("""COMPUTED_VALUE"""),-0.547244562179457)</f>
        <v>-0.54724456217945705</v>
      </c>
      <c r="FE75" s="3">
        <f ca="1">IFERROR(__xludf.DUMMYFUNCTION("""COMPUTED_VALUE"""),-0.559305270582776)</f>
        <v>-0.55930527058277602</v>
      </c>
      <c r="FF75" s="3">
        <f ca="1">IFERROR(__xludf.DUMMYFUNCTION("""COMPUTED_VALUE"""),-0.53581049094533)</f>
        <v>-0.53581049094532995</v>
      </c>
      <c r="FG75" s="3">
        <f ca="1">IFERROR(__xludf.DUMMYFUNCTION("""COMPUTED_VALUE"""),-0.592974168651753)</f>
        <v>-0.59297416865175301</v>
      </c>
      <c r="FH75" s="3">
        <f ca="1">IFERROR(__xludf.DUMMYFUNCTION("""COMPUTED_VALUE"""),-0.621733386955094)</f>
        <v>-0.62173338695509395</v>
      </c>
      <c r="FI75" s="3">
        <f ca="1">IFERROR(__xludf.DUMMYFUNCTION("""COMPUTED_VALUE"""),-0.559190219298532)</f>
        <v>-0.55919021929853197</v>
      </c>
      <c r="FJ75" s="3">
        <f ca="1">IFERROR(__xludf.DUMMYFUNCTION("""COMPUTED_VALUE"""),-0.523128058929318)</f>
        <v>-0.52312805892931802</v>
      </c>
      <c r="FK75" s="3">
        <f ca="1">IFERROR(__xludf.DUMMYFUNCTION("""COMPUTED_VALUE"""),-0.654497528581722)</f>
        <v>-0.65449752858172205</v>
      </c>
      <c r="FL75" s="3">
        <f ca="1">IFERROR(__xludf.DUMMYFUNCTION("""COMPUTED_VALUE"""),-0.67762234546879)</f>
        <v>-0.67762234546878997</v>
      </c>
      <c r="FM75" s="3">
        <f ca="1">IFERROR(__xludf.DUMMYFUNCTION("""COMPUTED_VALUE"""),-0.652431383413217)</f>
        <v>-0.65243138341321705</v>
      </c>
      <c r="FN75" s="3">
        <f ca="1">IFERROR(__xludf.DUMMYFUNCTION("""COMPUTED_VALUE"""),-0.670139534946615)</f>
        <v>-0.67013953494661505</v>
      </c>
      <c r="FO75" s="3">
        <f ca="1">IFERROR(__xludf.DUMMYFUNCTION("""COMPUTED_VALUE"""),-0.659386600039189)</f>
        <v>-0.65938660003918903</v>
      </c>
      <c r="FP75" s="3">
        <f ca="1">IFERROR(__xludf.DUMMYFUNCTION("""COMPUTED_VALUE"""),-0.58539392731689)</f>
        <v>-0.58539392731688999</v>
      </c>
      <c r="FQ75" s="3">
        <f ca="1">IFERROR(__xludf.DUMMYFUNCTION("""COMPUTED_VALUE"""),-0.583464654418962)</f>
        <v>-0.583464654418962</v>
      </c>
      <c r="FR75" s="3">
        <f ca="1">IFERROR(__xludf.DUMMYFUNCTION("""COMPUTED_VALUE"""),-0.640284968355841)</f>
        <v>-0.64028496835584103</v>
      </c>
      <c r="FS75" s="3">
        <f ca="1">IFERROR(__xludf.DUMMYFUNCTION("""COMPUTED_VALUE"""),-0.671874503781768)</f>
        <v>-0.67187450378176805</v>
      </c>
      <c r="FT75" s="3">
        <f ca="1">IFERROR(__xludf.DUMMYFUNCTION("""COMPUTED_VALUE"""),-0.671976261962651)</f>
        <v>-0.67197626196265103</v>
      </c>
      <c r="FU75" s="3">
        <f ca="1">IFERROR(__xludf.DUMMYFUNCTION("""COMPUTED_VALUE"""),-0.635425320038521)</f>
        <v>-0.63542532003852104</v>
      </c>
      <c r="FV75" s="3">
        <f ca="1">IFERROR(__xludf.DUMMYFUNCTION("""COMPUTED_VALUE"""),-0.607997605317734)</f>
        <v>-0.60799760531773395</v>
      </c>
      <c r="FW75" s="3">
        <f ca="1">IFERROR(__xludf.DUMMYFUNCTION("""COMPUTED_VALUE"""),-0.525358999865794)</f>
        <v>-0.52535899986579404</v>
      </c>
      <c r="FX75" s="3">
        <f ca="1">IFERROR(__xludf.DUMMYFUNCTION("""COMPUTED_VALUE"""),-0.596947908404657)</f>
        <v>-0.59694790840465695</v>
      </c>
      <c r="FY75" s="3">
        <f ca="1">IFERROR(__xludf.DUMMYFUNCTION("""COMPUTED_VALUE"""),-0.69238270575596)</f>
        <v>-0.69238270575595995</v>
      </c>
      <c r="FZ75" s="3">
        <f ca="1">IFERROR(__xludf.DUMMYFUNCTION("""COMPUTED_VALUE"""),-0.668908044032192)</f>
        <v>-0.66890804403219195</v>
      </c>
      <c r="GA75" s="3">
        <f ca="1">IFERROR(__xludf.DUMMYFUNCTION("""COMPUTED_VALUE"""),-0.690658870380993)</f>
        <v>-0.69065887038099305</v>
      </c>
      <c r="GB75" s="3">
        <f ca="1">IFERROR(__xludf.DUMMYFUNCTION("""COMPUTED_VALUE"""),-0.696308784981567)</f>
        <v>-0.69630878498156701</v>
      </c>
      <c r="GC75" s="3">
        <f ca="1">IFERROR(__xludf.DUMMYFUNCTION("""COMPUTED_VALUE"""),-0.652919556191373)</f>
        <v>-0.65291955619137299</v>
      </c>
      <c r="GD75" s="3">
        <f ca="1">IFERROR(__xludf.DUMMYFUNCTION("""COMPUTED_VALUE"""),-0.58853538438977)</f>
        <v>-0.58853538438977004</v>
      </c>
      <c r="GE75" s="3">
        <f ca="1">IFERROR(__xludf.DUMMYFUNCTION("""COMPUTED_VALUE"""),-0.658511673137017)</f>
        <v>-0.65851167313701697</v>
      </c>
      <c r="GF75" s="3">
        <f ca="1">IFERROR(__xludf.DUMMYFUNCTION("""COMPUTED_VALUE"""),-0.682191709020559)</f>
        <v>-0.68219170902055903</v>
      </c>
      <c r="GG75" s="3">
        <f ca="1">IFERROR(__xludf.DUMMYFUNCTION("""COMPUTED_VALUE"""),-0.657302894932789)</f>
        <v>-0.65730289493278904</v>
      </c>
      <c r="GH75" s="3">
        <f ca="1">IFERROR(__xludf.DUMMYFUNCTION("""COMPUTED_VALUE"""),-0.676717896496152)</f>
        <v>-0.67671789649615199</v>
      </c>
      <c r="GI75" s="3">
        <f ca="1">IFERROR(__xludf.DUMMYFUNCTION("""COMPUTED_VALUE"""),-0.639259719421952)</f>
        <v>-0.63925971942195203</v>
      </c>
      <c r="GJ75" s="3">
        <f ca="1">IFERROR(__xludf.DUMMYFUNCTION("""COMPUTED_VALUE"""),-0.555690185781978)</f>
        <v>-0.55569018578197804</v>
      </c>
      <c r="GK75" s="3">
        <f ca="1">IFERROR(__xludf.DUMMYFUNCTION("""COMPUTED_VALUE"""),-0.579158375106581)</f>
        <v>-0.57915837510658097</v>
      </c>
      <c r="GL75" s="3">
        <f ca="1">IFERROR(__xludf.DUMMYFUNCTION("""COMPUTED_VALUE"""),-0.629465324620227)</f>
        <v>-0.62946532462022697</v>
      </c>
      <c r="GM75" s="3">
        <f ca="1">IFERROR(__xludf.DUMMYFUNCTION("""COMPUTED_VALUE"""),-0.678644566735182)</f>
        <v>-0.67864456673518203</v>
      </c>
      <c r="GN75" s="3">
        <f ca="1">IFERROR(__xludf.DUMMYFUNCTION("""COMPUTED_VALUE"""),-0.610665984838225)</f>
        <v>-0.61066598483822498</v>
      </c>
      <c r="GO75" s="3">
        <f ca="1">IFERROR(__xludf.DUMMYFUNCTION("""COMPUTED_VALUE"""),-0.59782379864577)</f>
        <v>-0.59782379864576995</v>
      </c>
      <c r="GP75" s="3">
        <f ca="1">IFERROR(__xludf.DUMMYFUNCTION("""COMPUTED_VALUE"""),-0.604709841427852)</f>
        <v>-0.604709841427852</v>
      </c>
      <c r="GQ75" s="3">
        <f ca="1">IFERROR(__xludf.DUMMYFUNCTION("""COMPUTED_VALUE"""),-0.541629469579637)</f>
        <v>-0.54162946957963698</v>
      </c>
      <c r="GR75" s="3">
        <f ca="1">IFERROR(__xludf.DUMMYFUNCTION("""COMPUTED_VALUE"""),-0.357133893909952)</f>
        <v>-0.35713389390995198</v>
      </c>
      <c r="GS75" s="3">
        <f ca="1">IFERROR(__xludf.DUMMYFUNCTION("""COMPUTED_VALUE"""),-0.401254526820331)</f>
        <v>-0.40125452682033103</v>
      </c>
      <c r="GT75" s="3">
        <f ca="1">IFERROR(__xludf.DUMMYFUNCTION("""COMPUTED_VALUE"""),-0.557235509167264)</f>
        <v>-0.55723550916726405</v>
      </c>
      <c r="GU75" s="3">
        <f ca="1">IFERROR(__xludf.DUMMYFUNCTION("""COMPUTED_VALUE"""),-0.546831683030539)</f>
        <v>-0.54683168303053897</v>
      </c>
      <c r="GV75" s="3">
        <f ca="1">IFERROR(__xludf.DUMMYFUNCTION("""COMPUTED_VALUE"""),-0.562021513648667)</f>
        <v>-0.56202151364866704</v>
      </c>
      <c r="GW75" s="3">
        <f ca="1">IFERROR(__xludf.DUMMYFUNCTION("""COMPUTED_VALUE"""),-0.546858598723043)</f>
        <v>-0.54685859872304299</v>
      </c>
      <c r="GX75" s="3">
        <f ca="1">IFERROR(__xludf.DUMMYFUNCTION("""COMPUTED_VALUE"""),-0.505892095807795)</f>
        <v>-0.50589209580779504</v>
      </c>
      <c r="GY75" s="3">
        <f ca="1">IFERROR(__xludf.DUMMYFUNCTION("""COMPUTED_VALUE"""),-0.40165034403842)</f>
        <v>-0.40165034403841998</v>
      </c>
      <c r="GZ75" s="3">
        <f ca="1">IFERROR(__xludf.DUMMYFUNCTION("""COMPUTED_VALUE"""),-0.415297178967769)</f>
        <v>-0.41529717896776902</v>
      </c>
      <c r="HA75" s="3">
        <f ca="1">IFERROR(__xludf.DUMMYFUNCTION("""COMPUTED_VALUE"""),-0.518749166290846)</f>
        <v>-0.518749166290846</v>
      </c>
      <c r="HB75" s="3">
        <f ca="1">IFERROR(__xludf.DUMMYFUNCTION("""COMPUTED_VALUE"""),-0.509591729165296)</f>
        <v>-0.50959172916529605</v>
      </c>
      <c r="HC75" s="3">
        <f ca="1">IFERROR(__xludf.DUMMYFUNCTION("""COMPUTED_VALUE"""),-0.537453553702665)</f>
        <v>-0.53745355370266501</v>
      </c>
      <c r="HD75" s="3">
        <f ca="1">IFERROR(__xludf.DUMMYFUNCTION("""COMPUTED_VALUE"""),-0.524531909729052)</f>
        <v>-0.52453190972905195</v>
      </c>
      <c r="HE75" s="3">
        <f ca="1">IFERROR(__xludf.DUMMYFUNCTION("""COMPUTED_VALUE"""),-0.468611446856566)</f>
        <v>-0.46861144685656603</v>
      </c>
      <c r="HF75" s="3">
        <f ca="1">IFERROR(__xludf.DUMMYFUNCTION("""COMPUTED_VALUE"""),-0.470111968242251)</f>
        <v>-0.47011196824225099</v>
      </c>
      <c r="HG75" s="3">
        <f ca="1">IFERROR(__xludf.DUMMYFUNCTION("""COMPUTED_VALUE"""),-0.381339479916084)</f>
        <v>-0.38133947991608402</v>
      </c>
      <c r="HH75" s="3">
        <f ca="1">IFERROR(__xludf.DUMMYFUNCTION("""COMPUTED_VALUE"""),-0.51127448229708)</f>
        <v>-0.51127448229707995</v>
      </c>
      <c r="HI75" s="3">
        <f ca="1">IFERROR(__xludf.DUMMYFUNCTION("""COMPUTED_VALUE"""),-0.534886565623698)</f>
        <v>-0.53488656562369796</v>
      </c>
      <c r="HJ75" s="3">
        <f ca="1">IFERROR(__xludf.DUMMYFUNCTION("""COMPUTED_VALUE"""),-0.512383551467632)</f>
        <v>-0.51238355146763204</v>
      </c>
      <c r="HK75" s="3">
        <f ca="1">IFERROR(__xludf.DUMMYFUNCTION("""COMPUTED_VALUE"""),-0.50639967058517)</f>
        <v>-0.50639967058516999</v>
      </c>
      <c r="HL75" s="3">
        <f ca="1">IFERROR(__xludf.DUMMYFUNCTION("""COMPUTED_VALUE"""),-0.554794134834472)</f>
        <v>-0.55479413483447204</v>
      </c>
      <c r="HM75" s="3">
        <f ca="1">IFERROR(__xludf.DUMMYFUNCTION("""COMPUTED_VALUE"""),-0.262733835718559)</f>
        <v>-0.26273383571855902</v>
      </c>
      <c r="HN75" s="3">
        <f ca="1">IFERROR(__xludf.DUMMYFUNCTION("""COMPUTED_VALUE"""),-0.334491598964061)</f>
        <v>-0.334491598964061</v>
      </c>
      <c r="HO75" s="3">
        <f ca="1">IFERROR(__xludf.DUMMYFUNCTION("""COMPUTED_VALUE"""),-0.441249168855634)</f>
        <v>-0.44124916885563398</v>
      </c>
      <c r="HP75" s="3">
        <f ca="1">IFERROR(__xludf.DUMMYFUNCTION("""COMPUTED_VALUE"""),-0.46671824624168)</f>
        <v>-0.46671824624168001</v>
      </c>
      <c r="HQ75" s="3">
        <f ca="1">IFERROR(__xludf.DUMMYFUNCTION("""COMPUTED_VALUE"""),-0.482871879570367)</f>
        <v>-0.48287187957036698</v>
      </c>
      <c r="HR75" s="3">
        <f ca="1">IFERROR(__xludf.DUMMYFUNCTION("""COMPUTED_VALUE"""),-0.414298203939482)</f>
        <v>-0.41429820393948202</v>
      </c>
      <c r="HS75" s="3">
        <f ca="1">IFERROR(__xludf.DUMMYFUNCTION("""COMPUTED_VALUE"""),-0.292733193541667)</f>
        <v>-0.29273319354166699</v>
      </c>
      <c r="HT75" s="3">
        <f ca="1">IFERROR(__xludf.DUMMYFUNCTION("""COMPUTED_VALUE"""),-0.291119928972816)</f>
        <v>-0.29111992897281602</v>
      </c>
      <c r="HU75" s="3">
        <f ca="1">IFERROR(__xludf.DUMMYFUNCTION("""COMPUTED_VALUE"""),-0.492266973706616)</f>
        <v>-0.49226697370661598</v>
      </c>
      <c r="HV75" s="3">
        <f ca="1">IFERROR(__xludf.DUMMYFUNCTION("""COMPUTED_VALUE"""),-0.469384138751411)</f>
        <v>-0.469384138751411</v>
      </c>
      <c r="HW75" s="3">
        <f ca="1">IFERROR(__xludf.DUMMYFUNCTION("""COMPUTED_VALUE"""),-0.529103459179536)</f>
        <v>-0.52910345917953605</v>
      </c>
      <c r="HX75" s="3">
        <f ca="1">IFERROR(__xludf.DUMMYFUNCTION("""COMPUTED_VALUE"""),-0.496064232211428)</f>
        <v>-0.49606423221142798</v>
      </c>
      <c r="HY75" s="3">
        <f ca="1">IFERROR(__xludf.DUMMYFUNCTION("""COMPUTED_VALUE"""),-0.494759265276916)</f>
        <v>-0.49475926527691599</v>
      </c>
      <c r="HZ75" s="3">
        <f ca="1">IFERROR(__xludf.DUMMYFUNCTION("""COMPUTED_VALUE"""),-0.398130691204748)</f>
        <v>-0.39813069120474798</v>
      </c>
      <c r="IA75" s="3">
        <f ca="1">IFERROR(__xludf.DUMMYFUNCTION("""COMPUTED_VALUE"""),-0.353075523095673)</f>
        <v>-0.35307552309567303</v>
      </c>
      <c r="IB75" s="3">
        <f ca="1">IFERROR(__xludf.DUMMYFUNCTION("""COMPUTED_VALUE"""),-0.340291463431813)</f>
        <v>-0.34029146343181299</v>
      </c>
      <c r="IC75" s="3">
        <f ca="1">IFERROR(__xludf.DUMMYFUNCTION("""COMPUTED_VALUE"""),-0.521783690149629)</f>
        <v>-0.521783690149629</v>
      </c>
      <c r="ID75" s="3">
        <f ca="1">IFERROR(__xludf.DUMMYFUNCTION("""COMPUTED_VALUE"""),-0.478665011673866)</f>
        <v>-0.47866501167386599</v>
      </c>
      <c r="IE75" s="3">
        <f ca="1">IFERROR(__xludf.DUMMYFUNCTION("""COMPUTED_VALUE"""),-0.489864150314743)</f>
        <v>-0.48986415031474301</v>
      </c>
      <c r="IF75" s="3">
        <f ca="1">IFERROR(__xludf.DUMMYFUNCTION("""COMPUTED_VALUE"""),-0.523652351039775)</f>
        <v>-0.52365235103977503</v>
      </c>
      <c r="IG75" s="3">
        <f ca="1">IFERROR(__xludf.DUMMYFUNCTION("""COMPUTED_VALUE"""),-0.465583636483472)</f>
        <v>-0.46558363648347201</v>
      </c>
      <c r="IH75" s="3">
        <f ca="1">IFERROR(__xludf.DUMMYFUNCTION("""COMPUTED_VALUE"""),-0.269142241400108)</f>
        <v>-0.26914224140010801</v>
      </c>
      <c r="II75" s="3">
        <f ca="1">IFERROR(__xludf.DUMMYFUNCTION("""COMPUTED_VALUE"""),-0.369654250100206)</f>
        <v>-0.36965425010020603</v>
      </c>
      <c r="IJ75" s="3">
        <f ca="1">IFERROR(__xludf.DUMMYFUNCTION("""COMPUTED_VALUE"""),-0.464186842676495)</f>
        <v>-0.46418684267649502</v>
      </c>
      <c r="IK75" s="3">
        <f ca="1">IFERROR(__xludf.DUMMYFUNCTION("""COMPUTED_VALUE"""),-0.453812760088798)</f>
        <v>-0.45381276008879801</v>
      </c>
      <c r="IL75" s="3">
        <f ca="1">IFERROR(__xludf.DUMMYFUNCTION("""COMPUTED_VALUE"""),-0.411599424534748)</f>
        <v>-0.41159942453474802</v>
      </c>
      <c r="IM75" s="3">
        <f ca="1">IFERROR(__xludf.DUMMYFUNCTION("""COMPUTED_VALUE"""),-0.446508894553499)</f>
        <v>-0.44650889455349901</v>
      </c>
      <c r="IN75" s="3">
        <f ca="1">IFERROR(__xludf.DUMMYFUNCTION("""COMPUTED_VALUE"""),-0.427189705311957)</f>
        <v>-0.42718970531195699</v>
      </c>
      <c r="IO75" s="3">
        <f ca="1">IFERROR(__xludf.DUMMYFUNCTION("""COMPUTED_VALUE"""),-0.372720195562907)</f>
        <v>-0.37272019556290698</v>
      </c>
      <c r="IP75" s="3">
        <f ca="1">IFERROR(__xludf.DUMMYFUNCTION("""COMPUTED_VALUE"""),-0.292566165624638)</f>
        <v>-0.292566165624638</v>
      </c>
      <c r="IQ75" s="3">
        <f ca="1">IFERROR(__xludf.DUMMYFUNCTION("""COMPUTED_VALUE"""),-0.341451871145606)</f>
        <v>-0.34145187114560599</v>
      </c>
      <c r="IR75" s="3">
        <f ca="1">IFERROR(__xludf.DUMMYFUNCTION("""COMPUTED_VALUE"""),-0.355168019017144)</f>
        <v>-0.35516801901714401</v>
      </c>
      <c r="IS75" s="3">
        <f ca="1">IFERROR(__xludf.DUMMYFUNCTION("""COMPUTED_VALUE"""),-0.406642720443219)</f>
        <v>-0.40664272044321897</v>
      </c>
      <c r="IT75" s="3">
        <f ca="1">IFERROR(__xludf.DUMMYFUNCTION("""COMPUTED_VALUE"""),-0.493104070542677)</f>
        <v>-0.49310407054267702</v>
      </c>
      <c r="IU75" s="3">
        <f ca="1">IFERROR(__xludf.DUMMYFUNCTION("""COMPUTED_VALUE"""),-0.376069316758325)</f>
        <v>-0.376069316758325</v>
      </c>
      <c r="IV75" s="3">
        <f ca="1">IFERROR(__xludf.DUMMYFUNCTION("""COMPUTED_VALUE"""),-0.371272297444686)</f>
        <v>-0.37127229744468598</v>
      </c>
      <c r="IW75" s="3">
        <f ca="1">IFERROR(__xludf.DUMMYFUNCTION("""COMPUTED_VALUE"""),-0.260557037698827)</f>
        <v>-0.26055703769882699</v>
      </c>
      <c r="IX75" s="3">
        <f ca="1">IFERROR(__xludf.DUMMYFUNCTION("""COMPUTED_VALUE"""),-0.342285502373234)</f>
        <v>-0.34228550237323402</v>
      </c>
      <c r="IY75" s="3">
        <f ca="1">IFERROR(__xludf.DUMMYFUNCTION("""COMPUTED_VALUE"""),-0.352735812116662)</f>
        <v>-0.352735812116662</v>
      </c>
      <c r="IZ75" s="3">
        <f ca="1">IFERROR(__xludf.DUMMYFUNCTION("""COMPUTED_VALUE"""),-0.346468444811735)</f>
        <v>-0.346468444811735</v>
      </c>
      <c r="JA75" s="3">
        <f ca="1">IFERROR(__xludf.DUMMYFUNCTION("""COMPUTED_VALUE"""),-0.285233001926928)</f>
        <v>-0.28523300192692802</v>
      </c>
      <c r="JB75" s="3">
        <f ca="1">IFERROR(__xludf.DUMMYFUNCTION("""COMPUTED_VALUE"""),-0.396093595286363)</f>
        <v>-0.39609359528636301</v>
      </c>
      <c r="JC75" s="3">
        <f ca="1">IFERROR(__xludf.DUMMYFUNCTION("""COMPUTED_VALUE"""),-0.225574955478861)</f>
        <v>-0.225574955478861</v>
      </c>
      <c r="JD75" s="3">
        <f ca="1">IFERROR(__xludf.DUMMYFUNCTION("""COMPUTED_VALUE"""),-0.157777426582017)</f>
        <v>-0.15777742658201699</v>
      </c>
      <c r="JE75" s="3">
        <f ca="1">IFERROR(__xludf.DUMMYFUNCTION("""COMPUTED_VALUE"""),-0.287953320034163)</f>
        <v>-0.28795332003416302</v>
      </c>
      <c r="JF75" s="3">
        <f ca="1">IFERROR(__xludf.DUMMYFUNCTION("""COMPUTED_VALUE"""),-0.33217881609712)</f>
        <v>-0.33217881609712002</v>
      </c>
      <c r="JG75" s="3">
        <f ca="1">IFERROR(__xludf.DUMMYFUNCTION("""COMPUTED_VALUE"""),-0.286952214052572)</f>
        <v>-0.28695221405257199</v>
      </c>
      <c r="JH75" s="3">
        <f ca="1">IFERROR(__xludf.DUMMYFUNCTION("""COMPUTED_VALUE"""),-0.322622210947585)</f>
        <v>-0.32262221094758498</v>
      </c>
      <c r="JI75" s="3">
        <f ca="1">IFERROR(__xludf.DUMMYFUNCTION("""COMPUTED_VALUE"""),-0.307810179481462)</f>
        <v>-0.307810179481462</v>
      </c>
      <c r="JJ75" s="3">
        <f ca="1">IFERROR(__xludf.DUMMYFUNCTION("""COMPUTED_VALUE"""),-0.20859715391166)</f>
        <v>-0.20859715391166</v>
      </c>
      <c r="JK75" s="3">
        <f ca="1">IFERROR(__xludf.DUMMYFUNCTION("""COMPUTED_VALUE"""),-0.259374055479541)</f>
        <v>-0.25937405547954101</v>
      </c>
      <c r="JL75" s="3">
        <f ca="1">IFERROR(__xludf.DUMMYFUNCTION("""COMPUTED_VALUE"""),-0.393095601171138)</f>
        <v>-0.39309560117113801</v>
      </c>
      <c r="JM75" s="3">
        <f ca="1">IFERROR(__xludf.DUMMYFUNCTION("""COMPUTED_VALUE"""),-0.3360293491804)</f>
        <v>-0.33602934918040001</v>
      </c>
      <c r="JN75" s="3">
        <f ca="1">IFERROR(__xludf.DUMMYFUNCTION("""COMPUTED_VALUE"""),-0.311700329556663)</f>
        <v>-0.31170032955666299</v>
      </c>
      <c r="JO75" s="3">
        <f ca="1">IFERROR(__xludf.DUMMYFUNCTION("""COMPUTED_VALUE"""),-0.353196281370562)</f>
        <v>-0.35319628137056203</v>
      </c>
      <c r="JP75" s="3">
        <f ca="1">IFERROR(__xludf.DUMMYFUNCTION("""COMPUTED_VALUE"""),-0.286520460420136)</f>
        <v>-0.28652046042013601</v>
      </c>
      <c r="JQ75" s="3">
        <f ca="1">IFERROR(__xludf.DUMMYFUNCTION("""COMPUTED_VALUE"""),-0.294479780198755)</f>
        <v>-0.29447978019875498</v>
      </c>
      <c r="JR75" s="3">
        <f ca="1">IFERROR(__xludf.DUMMYFUNCTION("""COMPUTED_VALUE"""),-0.432478516090658)</f>
        <v>-0.43247851609065802</v>
      </c>
      <c r="JS75" s="3">
        <f ca="1">IFERROR(__xludf.DUMMYFUNCTION("""COMPUTED_VALUE"""),-0.381451687531563)</f>
        <v>-0.381451687531563</v>
      </c>
      <c r="JT75" s="3">
        <f ca="1">IFERROR(__xludf.DUMMYFUNCTION("""COMPUTED_VALUE"""),-0.383264338625687)</f>
        <v>-0.38326433862568698</v>
      </c>
      <c r="JU75" s="3">
        <f ca="1">IFERROR(__xludf.DUMMYFUNCTION("""COMPUTED_VALUE"""),-0.40926538767562)</f>
        <v>-0.40926538767561998</v>
      </c>
      <c r="JV75" s="3">
        <f ca="1">IFERROR(__xludf.DUMMYFUNCTION("""COMPUTED_VALUE"""),-0.3694274395521)</f>
        <v>-0.3694274395521</v>
      </c>
      <c r="JW75" s="3">
        <f ca="1">IFERROR(__xludf.DUMMYFUNCTION("""COMPUTED_VALUE"""),-0.268932882011793)</f>
        <v>-0.268932882011793</v>
      </c>
      <c r="JX75" s="3">
        <f ca="1">IFERROR(__xludf.DUMMYFUNCTION("""COMPUTED_VALUE"""),-0.225424679469671)</f>
        <v>-0.22542467946967101</v>
      </c>
      <c r="JY75" s="3">
        <f ca="1">IFERROR(__xludf.DUMMYFUNCTION("""COMPUTED_VALUE"""),-0.239492180334065)</f>
        <v>-0.239492180334065</v>
      </c>
      <c r="JZ75" s="3">
        <f ca="1">IFERROR(__xludf.DUMMYFUNCTION("""COMPUTED_VALUE"""),-0.402747532540653)</f>
        <v>-0.40274753254065299</v>
      </c>
      <c r="KA75" s="3">
        <f ca="1">IFERROR(__xludf.DUMMYFUNCTION("""COMPUTED_VALUE"""),-0.381727189139454)</f>
        <v>-0.38172718913945403</v>
      </c>
      <c r="KB75" s="3">
        <f ca="1">IFERROR(__xludf.DUMMYFUNCTION("""COMPUTED_VALUE"""),-0.450278870197075)</f>
        <v>-0.45027887019707502</v>
      </c>
      <c r="KC75" s="3">
        <f ca="1">IFERROR(__xludf.DUMMYFUNCTION("""COMPUTED_VALUE"""),-0.329490818504536)</f>
        <v>-0.32949081850453599</v>
      </c>
      <c r="KD75" s="3">
        <f ca="1">IFERROR(__xludf.DUMMYFUNCTION("""COMPUTED_VALUE"""),-0.304103975995447)</f>
        <v>-0.30410397599544697</v>
      </c>
      <c r="KE75" s="3">
        <f ca="1">IFERROR(__xludf.DUMMYFUNCTION("""COMPUTED_VALUE"""),-0.40393285743178)</f>
        <v>-0.40393285743177998</v>
      </c>
      <c r="KF75" s="3">
        <f ca="1">IFERROR(__xludf.DUMMYFUNCTION("""COMPUTED_VALUE"""),-0.371527955886538)</f>
        <v>-0.37152795588653797</v>
      </c>
      <c r="KG75" s="3">
        <f ca="1">IFERROR(__xludf.DUMMYFUNCTION("""COMPUTED_VALUE"""),-0.442234419555483)</f>
        <v>-0.44223441955548298</v>
      </c>
      <c r="KH75" s="3">
        <f ca="1">IFERROR(__xludf.DUMMYFUNCTION("""COMPUTED_VALUE"""),-0.481047144141518)</f>
        <v>-0.481047144141518</v>
      </c>
      <c r="KI75" s="3">
        <f ca="1">IFERROR(__xludf.DUMMYFUNCTION("""COMPUTED_VALUE"""),-0.573530445223983)</f>
        <v>-0.573530445223983</v>
      </c>
      <c r="KJ75" s="3">
        <f ca="1">IFERROR(__xludf.DUMMYFUNCTION("""COMPUTED_VALUE"""),-0.464292426893504)</f>
        <v>-0.46429242689350397</v>
      </c>
      <c r="KK75" s="3">
        <f ca="1">IFERROR(__xludf.DUMMYFUNCTION("""COMPUTED_VALUE"""),-0.28573454107638)</f>
        <v>-0.28573454107638002</v>
      </c>
      <c r="KL75" s="3">
        <f ca="1">IFERROR(__xludf.DUMMYFUNCTION("""COMPUTED_VALUE"""),-0.352182886736892)</f>
        <v>-0.35218288673689202</v>
      </c>
      <c r="KM75" s="3">
        <f ca="1">IFERROR(__xludf.DUMMYFUNCTION("""COMPUTED_VALUE"""),-0.369070568090811)</f>
        <v>-0.36907056809081101</v>
      </c>
      <c r="KN75" s="3">
        <f ca="1">IFERROR(__xludf.DUMMYFUNCTION("""COMPUTED_VALUE"""),-0.504291686249763)</f>
        <v>-0.50429168624976295</v>
      </c>
      <c r="KO75" s="3">
        <f ca="1">IFERROR(__xludf.DUMMYFUNCTION("""COMPUTED_VALUE"""),-0.519930992867307)</f>
        <v>-0.51993099286730704</v>
      </c>
      <c r="KP75" s="3">
        <f ca="1">IFERROR(__xludf.DUMMYFUNCTION("""COMPUTED_VALUE"""),-0.586696073388432)</f>
        <v>-0.58669607338843199</v>
      </c>
      <c r="KQ75" s="3">
        <f ca="1">IFERROR(__xludf.DUMMYFUNCTION("""COMPUTED_VALUE"""),-0.580798590955103)</f>
        <v>-0.580798590955103</v>
      </c>
      <c r="KR75" s="3">
        <f ca="1">IFERROR(__xludf.DUMMYFUNCTION("""COMPUTED_VALUE"""),-0.53351643428236)</f>
        <v>-0.53351643428235995</v>
      </c>
      <c r="KS75" s="3">
        <f ca="1">IFERROR(__xludf.DUMMYFUNCTION("""COMPUTED_VALUE"""),-0.51459700796833)</f>
        <v>-0.51459700796832997</v>
      </c>
      <c r="KT75" s="3">
        <f ca="1">IFERROR(__xludf.DUMMYFUNCTION("""COMPUTED_VALUE"""),-0.57132437513583)</f>
        <v>-0.57132437513583001</v>
      </c>
      <c r="KU75" s="3">
        <f ca="1">IFERROR(__xludf.DUMMYFUNCTION("""COMPUTED_VALUE"""),-0.658016125905937)</f>
        <v>-0.65801612590593705</v>
      </c>
      <c r="KV75" s="3">
        <f ca="1">IFERROR(__xludf.DUMMYFUNCTION("""COMPUTED_VALUE"""),-0.663862914354377)</f>
        <v>-0.66386291435437705</v>
      </c>
      <c r="KW75" s="3">
        <f ca="1">IFERROR(__xludf.DUMMYFUNCTION("""COMPUTED_VALUE"""),-0.656724293214073)</f>
        <v>-0.656724293214073</v>
      </c>
      <c r="KX75" s="3">
        <f ca="1">IFERROR(__xludf.DUMMYFUNCTION("""COMPUTED_VALUE"""),-0.597066004558093)</f>
        <v>-0.597066004558093</v>
      </c>
      <c r="KY75" s="3">
        <f ca="1">IFERROR(__xludf.DUMMYFUNCTION("""COMPUTED_VALUE"""),-0.565726504488698)</f>
        <v>-0.56572650448869799</v>
      </c>
      <c r="KZ75" s="3">
        <f ca="1">IFERROR(__xludf.DUMMYFUNCTION("""COMPUTED_VALUE"""),-0.457736435222657)</f>
        <v>-0.457736435222657</v>
      </c>
      <c r="LA75" s="3">
        <f ca="1">IFERROR(__xludf.DUMMYFUNCTION("""COMPUTED_VALUE"""),-0.618278698657124)</f>
        <v>-0.61827869865712404</v>
      </c>
      <c r="LB75" s="3">
        <f ca="1">IFERROR(__xludf.DUMMYFUNCTION("""COMPUTED_VALUE"""),-0.64548873690916)</f>
        <v>-0.64548873690915998</v>
      </c>
      <c r="LC75" s="3">
        <f ca="1">IFERROR(__xludf.DUMMYFUNCTION("""COMPUTED_VALUE"""),-0.649792441271295)</f>
        <v>-0.64979244127129498</v>
      </c>
      <c r="LD75" s="3">
        <f ca="1">IFERROR(__xludf.DUMMYFUNCTION("""COMPUTED_VALUE"""),-0.718819227346934)</f>
        <v>-0.71881922734693404</v>
      </c>
      <c r="LE75" s="3">
        <f ca="1">IFERROR(__xludf.DUMMYFUNCTION("""COMPUTED_VALUE"""),-0.693569276855491)</f>
        <v>-0.69356927685549097</v>
      </c>
      <c r="LF75" s="3">
        <f ca="1">IFERROR(__xludf.DUMMYFUNCTION("""COMPUTED_VALUE"""),-0.606573869462175)</f>
        <v>-0.60657386946217495</v>
      </c>
      <c r="LG75" s="3">
        <f ca="1">IFERROR(__xludf.DUMMYFUNCTION("""COMPUTED_VALUE"""),-0.591278200791004)</f>
        <v>-0.59127820079100402</v>
      </c>
      <c r="LH75" s="3">
        <f ca="1">IFERROR(__xludf.DUMMYFUNCTION("""COMPUTED_VALUE"""),-0.675577215672098)</f>
        <v>-0.67557721567209805</v>
      </c>
      <c r="LI75" s="3">
        <f ca="1">IFERROR(__xludf.DUMMYFUNCTION("""COMPUTED_VALUE"""),-0.727464039748966)</f>
        <v>-0.72746403974896601</v>
      </c>
      <c r="LJ75" s="3">
        <f ca="1">IFERROR(__xludf.DUMMYFUNCTION("""COMPUTED_VALUE"""),-0.712125290736842)</f>
        <v>-0.71212529073684205</v>
      </c>
      <c r="LK75" s="3">
        <f ca="1">IFERROR(__xludf.DUMMYFUNCTION("""COMPUTED_VALUE"""),-0.681363347017997)</f>
        <v>-0.68136334701799695</v>
      </c>
      <c r="LL75" s="3">
        <f ca="1">IFERROR(__xludf.DUMMYFUNCTION("""COMPUTED_VALUE"""),-0.681287230400905)</f>
        <v>-0.681287230400905</v>
      </c>
      <c r="LM75" s="3">
        <f ca="1">IFERROR(__xludf.DUMMYFUNCTION("""COMPUTED_VALUE"""),-0.636346727442373)</f>
        <v>-0.63634672744237297</v>
      </c>
      <c r="LN75" s="3">
        <f ca="1">IFERROR(__xludf.DUMMYFUNCTION("""COMPUTED_VALUE"""),-0.651159411256148)</f>
        <v>-0.65115941125614796</v>
      </c>
      <c r="LO75" s="3">
        <f ca="1">IFERROR(__xludf.DUMMYFUNCTION("""COMPUTED_VALUE"""),-0.699980387686124)</f>
        <v>-0.69998038768612403</v>
      </c>
      <c r="LP75" s="3">
        <f ca="1">IFERROR(__xludf.DUMMYFUNCTION("""COMPUTED_VALUE"""),-0.795326230951513)</f>
        <v>-0.795326230951513</v>
      </c>
      <c r="LQ75" s="3">
        <f ca="1">IFERROR(__xludf.DUMMYFUNCTION("""COMPUTED_VALUE"""),-0.79261254980516)</f>
        <v>-0.79261254980516005</v>
      </c>
      <c r="LR75" s="3">
        <f ca="1">IFERROR(__xludf.DUMMYFUNCTION("""COMPUTED_VALUE"""),-0.779163197513055)</f>
        <v>-0.77916319751305496</v>
      </c>
      <c r="LS75" s="3">
        <f ca="1">IFERROR(__xludf.DUMMYFUNCTION("""COMPUTED_VALUE"""),-0.79148173730651)</f>
        <v>-0.79148173730650995</v>
      </c>
      <c r="LT75" s="3">
        <f ca="1">IFERROR(__xludf.DUMMYFUNCTION("""COMPUTED_VALUE"""),-0.767988210204175)</f>
        <v>-0.76798821020417496</v>
      </c>
      <c r="LU75" s="3">
        <f ca="1">IFERROR(__xludf.DUMMYFUNCTION("""COMPUTED_VALUE"""),-0.762262994359143)</f>
        <v>-0.76226299435914302</v>
      </c>
      <c r="LV75" s="3">
        <f ca="1">IFERROR(__xludf.DUMMYFUNCTION("""COMPUTED_VALUE"""),-0.765093185999753)</f>
        <v>-0.76509318599975296</v>
      </c>
      <c r="LW75" s="3">
        <f ca="1">IFERROR(__xludf.DUMMYFUNCTION("""COMPUTED_VALUE"""),-0.855930650666635)</f>
        <v>-0.85593065066663498</v>
      </c>
      <c r="LX75" s="3">
        <f ca="1">IFERROR(__xludf.DUMMYFUNCTION("""COMPUTED_VALUE"""),-0.807960593633696)</f>
        <v>-0.80796059363369599</v>
      </c>
      <c r="LY75" s="3">
        <f ca="1">IFERROR(__xludf.DUMMYFUNCTION("""COMPUTED_VALUE"""),-0.793130995330168)</f>
        <v>-0.79313099533016795</v>
      </c>
      <c r="LZ75" s="3">
        <f ca="1">IFERROR(__xludf.DUMMYFUNCTION("""COMPUTED_VALUE"""),-0.795829231611005)</f>
        <v>-0.79582923161100505</v>
      </c>
      <c r="MA75" s="3">
        <f ca="1">IFERROR(__xludf.DUMMYFUNCTION("""COMPUTED_VALUE"""),-0.770653771647464)</f>
        <v>-0.77065377164746396</v>
      </c>
      <c r="MB75" s="3">
        <f ca="1">IFERROR(__xludf.DUMMYFUNCTION("""COMPUTED_VALUE"""),-0.79991987448832)</f>
        <v>-0.79991987448832003</v>
      </c>
      <c r="MC75" s="3">
        <f ca="1">IFERROR(__xludf.DUMMYFUNCTION("""COMPUTED_VALUE"""),-0.837301809647825)</f>
        <v>-0.83730180964782497</v>
      </c>
      <c r="MD75" s="3">
        <f ca="1">IFERROR(__xludf.DUMMYFUNCTION("""COMPUTED_VALUE"""),-0.890030463873882)</f>
        <v>-0.89003046387388196</v>
      </c>
      <c r="ME75" s="3">
        <f ca="1">IFERROR(__xludf.DUMMYFUNCTION("""COMPUTED_VALUE"""),-0.859026027140636)</f>
        <v>-0.85902602714063603</v>
      </c>
      <c r="MF75" s="3">
        <f ca="1">IFERROR(__xludf.DUMMYFUNCTION("""COMPUTED_VALUE"""),-0.858564378230708)</f>
        <v>-0.85856437823070797</v>
      </c>
      <c r="MG75" s="3">
        <f ca="1">IFERROR(__xludf.DUMMYFUNCTION("""COMPUTED_VALUE"""),-0.849033115729464)</f>
        <v>-0.84903311572946405</v>
      </c>
      <c r="MH75" s="3">
        <f ca="1">IFERROR(__xludf.DUMMYFUNCTION("""COMPUTED_VALUE"""),-0.838031688728014)</f>
        <v>-0.83803168872801403</v>
      </c>
      <c r="MI75" s="3">
        <f ca="1">IFERROR(__xludf.DUMMYFUNCTION("""COMPUTED_VALUE"""),-0.80120981929505)</f>
        <v>-0.80120981929504997</v>
      </c>
      <c r="MJ75" s="3">
        <f ca="1">IFERROR(__xludf.DUMMYFUNCTION("""COMPUTED_VALUE"""),-0.810130741152683)</f>
        <v>-0.81013074115268302</v>
      </c>
      <c r="MK75" s="3">
        <f ca="1">IFERROR(__xludf.DUMMYFUNCTION("""COMPUTED_VALUE"""),-0.869336946346372)</f>
        <v>-0.86933694634637204</v>
      </c>
      <c r="ML75" s="3">
        <f ca="1">IFERROR(__xludf.DUMMYFUNCTION("""COMPUTED_VALUE"""),-0.881205712210738)</f>
        <v>-0.88120571221073796</v>
      </c>
      <c r="MM75" s="3">
        <f ca="1">IFERROR(__xludf.DUMMYFUNCTION("""COMPUTED_VALUE"""),-0.852476575461595)</f>
        <v>-0.85247657546159505</v>
      </c>
      <c r="MN75" s="3">
        <f ca="1">IFERROR(__xludf.DUMMYFUNCTION("""COMPUTED_VALUE"""),-0.884694916423942)</f>
        <v>-0.88469491642394205</v>
      </c>
      <c r="MO75" s="3">
        <f ca="1">IFERROR(__xludf.DUMMYFUNCTION("""COMPUTED_VALUE"""),-0.879522017537677)</f>
        <v>-0.879522017537677</v>
      </c>
      <c r="MP75" s="3">
        <f ca="1">IFERROR(__xludf.DUMMYFUNCTION("""COMPUTED_VALUE"""),-0.8382079596541)</f>
        <v>-0.8382079596541</v>
      </c>
      <c r="MQ75" s="3">
        <f ca="1">IFERROR(__xludf.DUMMYFUNCTION("""COMPUTED_VALUE"""),-0.862023511737245)</f>
        <v>-0.86202351173724501</v>
      </c>
      <c r="MR75" s="3">
        <f ca="1">IFERROR(__xludf.DUMMYFUNCTION("""COMPUTED_VALUE"""),-0.892582239390728)</f>
        <v>-0.89258223939072801</v>
      </c>
      <c r="MS75" s="3">
        <f ca="1">IFERROR(__xludf.DUMMYFUNCTION("""COMPUTED_VALUE"""),-0.882126747608777)</f>
        <v>-0.88212674760877696</v>
      </c>
      <c r="MT75" s="3">
        <f ca="1">IFERROR(__xludf.DUMMYFUNCTION("""COMPUTED_VALUE"""),-0.873192899828608)</f>
        <v>-0.87319289982860804</v>
      </c>
      <c r="MU75" s="3">
        <f ca="1">IFERROR(__xludf.DUMMYFUNCTION("""COMPUTED_VALUE"""),-0.900766162199768)</f>
        <v>-0.90076616219976802</v>
      </c>
      <c r="MV75" s="3">
        <f ca="1">IFERROR(__xludf.DUMMYFUNCTION("""COMPUTED_VALUE"""),-0.856862736070636)</f>
        <v>-0.85686273607063601</v>
      </c>
      <c r="MW75" s="3">
        <f ca="1">IFERROR(__xludf.DUMMYFUNCTION("""COMPUTED_VALUE"""),-0.849446760942324)</f>
        <v>-0.84944676094232396</v>
      </c>
      <c r="MX75" s="3">
        <f ca="1">IFERROR(__xludf.DUMMYFUNCTION("""COMPUTED_VALUE"""),-0.855726790952034)</f>
        <v>-0.85572679095203397</v>
      </c>
      <c r="MY75" s="3">
        <f ca="1">IFERROR(__xludf.DUMMYFUNCTION("""COMPUTED_VALUE"""),-0.8962226813666)</f>
        <v>-0.89622268136659999</v>
      </c>
      <c r="MZ75" s="3">
        <f ca="1">IFERROR(__xludf.DUMMYFUNCTION("""COMPUTED_VALUE"""),-0.888208478768927)</f>
        <v>-0.88820847876892695</v>
      </c>
      <c r="NA75" s="3">
        <f ca="1">IFERROR(__xludf.DUMMYFUNCTION("""COMPUTED_VALUE"""),-0.875391763825734)</f>
        <v>-0.87539176382573403</v>
      </c>
      <c r="NB75" s="3">
        <f ca="1">IFERROR(__xludf.DUMMYFUNCTION("""COMPUTED_VALUE"""),-0.885200715076122)</f>
        <v>-0.88520071507612197</v>
      </c>
      <c r="NC75" s="3">
        <f ca="1">IFERROR(__xludf.DUMMYFUNCTION("""COMPUTED_VALUE"""),-0.885987242643411)</f>
        <v>-0.885987242643411</v>
      </c>
      <c r="ND75" s="3">
        <f ca="1">IFERROR(__xludf.DUMMYFUNCTION("""COMPUTED_VALUE"""),-0.845103867175094)</f>
        <v>-0.845103867175094</v>
      </c>
      <c r="NE75" s="3">
        <f ca="1">IFERROR(__xludf.DUMMYFUNCTION("""COMPUTED_VALUE"""),-0.845639220591573)</f>
        <v>-0.84563922059157304</v>
      </c>
      <c r="NF75" s="3">
        <f ca="1">IFERROR(__xludf.DUMMYFUNCTION("""COMPUTED_VALUE"""),-0.890802962467298)</f>
        <v>-0.89080296246729795</v>
      </c>
      <c r="NG75" s="3">
        <f ca="1">IFERROR(__xludf.DUMMYFUNCTION("""COMPUTED_VALUE"""),-0.902321090477361)</f>
        <v>-0.90232109047736098</v>
      </c>
      <c r="NH75" s="3">
        <f ca="1">IFERROR(__xludf.DUMMYFUNCTION("""COMPUTED_VALUE"""),-0.873052794750226)</f>
        <v>-0.87305279475022601</v>
      </c>
      <c r="NI75" s="3">
        <f ca="1">IFERROR(__xludf.DUMMYFUNCTION("""COMPUTED_VALUE"""),-0.87176903923745)</f>
        <v>-0.87176903923744997</v>
      </c>
      <c r="NJ75" s="3">
        <f ca="1">IFERROR(__xludf.DUMMYFUNCTION("""COMPUTED_VALUE"""),-0.87492671335027)</f>
        <v>-0.87492671335026995</v>
      </c>
      <c r="NK75" s="3">
        <f ca="1">IFERROR(__xludf.DUMMYFUNCTION("""COMPUTED_VALUE"""),-0.833599574808146)</f>
        <v>-0.83359957480814595</v>
      </c>
      <c r="NL75" s="3">
        <f ca="1">IFERROR(__xludf.DUMMYFUNCTION("""COMPUTED_VALUE"""),-0.842228069992251)</f>
        <v>-0.84222806999225097</v>
      </c>
      <c r="NM75" s="3">
        <f ca="1">IFERROR(__xludf.DUMMYFUNCTION("""COMPUTED_VALUE"""),-0.877806078061945)</f>
        <v>-0.87780607806194499</v>
      </c>
      <c r="NN75" s="3">
        <f ca="1">IFERROR(__xludf.DUMMYFUNCTION("""COMPUTED_VALUE"""),-0.891581945786848)</f>
        <v>-0.89158194578684802</v>
      </c>
      <c r="NO75" s="3">
        <f ca="1">IFERROR(__xludf.DUMMYFUNCTION("""COMPUTED_VALUE"""),-0.82745929186454)</f>
        <v>-0.82745929186454004</v>
      </c>
      <c r="NP75" s="3">
        <f ca="1">IFERROR(__xludf.DUMMYFUNCTION("""COMPUTED_VALUE"""),-0.843932024854148)</f>
        <v>-0.84393202485414798</v>
      </c>
      <c r="NQ75" s="3">
        <f ca="1">IFERROR(__xludf.DUMMYFUNCTION("""COMPUTED_VALUE"""),-0.803079373202333)</f>
        <v>-0.80307937320233302</v>
      </c>
      <c r="NR75" s="3">
        <f ca="1">IFERROR(__xludf.DUMMYFUNCTION("""COMPUTED_VALUE"""),-0.824121747347619)</f>
        <v>-0.824121747347619</v>
      </c>
      <c r="NS75" s="3">
        <f ca="1">IFERROR(__xludf.DUMMYFUNCTION("""COMPUTED_VALUE"""),-0.85688799107703)</f>
        <v>-0.85688799107702995</v>
      </c>
      <c r="NT75" s="3">
        <f ca="1">IFERROR(__xludf.DUMMYFUNCTION("""COMPUTED_VALUE"""),-0.888620704656789)</f>
        <v>-0.888620704656789</v>
      </c>
      <c r="NU75" s="3">
        <f ca="1">IFERROR(__xludf.DUMMYFUNCTION("""COMPUTED_VALUE"""),-0.88867029610256)</f>
        <v>-0.88867029610255999</v>
      </c>
      <c r="NV75" s="3">
        <f ca="1">IFERROR(__xludf.DUMMYFUNCTION("""COMPUTED_VALUE"""),-0.86151656708206)</f>
        <v>-0.86151656708206004</v>
      </c>
      <c r="NW75" s="3">
        <f ca="1">IFERROR(__xludf.DUMMYFUNCTION("""COMPUTED_VALUE"""),-0.833030911490164)</f>
        <v>-0.83303091149016395</v>
      </c>
      <c r="NX75" s="3">
        <f ca="1">IFERROR(__xludf.DUMMYFUNCTION("""COMPUTED_VALUE"""),-0.792692230188304)</f>
        <v>-0.79269223018830404</v>
      </c>
      <c r="NY75" s="3">
        <f ca="1">IFERROR(__xludf.DUMMYFUNCTION("""COMPUTED_VALUE"""),-0.719439066964652)</f>
        <v>-0.71943906696465199</v>
      </c>
      <c r="NZ75" s="3">
        <f ca="1">IFERROR(__xludf.DUMMYFUNCTION("""COMPUTED_VALUE"""),-0.75566398208395)</f>
        <v>-0.75566398208395003</v>
      </c>
      <c r="OA75" s="3">
        <f ca="1">IFERROR(__xludf.DUMMYFUNCTION("""COMPUTED_VALUE"""),-0.829033124396916)</f>
        <v>-0.82903312439691601</v>
      </c>
      <c r="OB75" s="3">
        <f ca="1">IFERROR(__xludf.DUMMYFUNCTION("""COMPUTED_VALUE"""),-0.771858159015291)</f>
        <v>-0.77185815901529098</v>
      </c>
      <c r="OC75" s="3">
        <f ca="1">IFERROR(__xludf.DUMMYFUNCTION("""COMPUTED_VALUE"""),-0.748981307837035)</f>
        <v>-0.74898130783703498</v>
      </c>
      <c r="OD75" s="3">
        <f ca="1">IFERROR(__xludf.DUMMYFUNCTION("""COMPUTED_VALUE"""),-0.70503646956631)</f>
        <v>-0.70503646956631005</v>
      </c>
      <c r="OE75" s="3">
        <f ca="1">IFERROR(__xludf.DUMMYFUNCTION("""COMPUTED_VALUE"""),-0.535869467816965)</f>
        <v>-0.53586946781696498</v>
      </c>
      <c r="OF75" s="3">
        <f ca="1">IFERROR(__xludf.DUMMYFUNCTION("""COMPUTED_VALUE"""),-0.328953862648922)</f>
        <v>-0.32895386264892201</v>
      </c>
      <c r="OG75" s="3">
        <f ca="1">IFERROR(__xludf.DUMMYFUNCTION("""COMPUTED_VALUE"""),-0.377912873326824)</f>
        <v>-0.37791287332682399</v>
      </c>
      <c r="OH75" s="3">
        <f ca="1">IFERROR(__xludf.DUMMYFUNCTION("""COMPUTED_VALUE"""),-0.40930764877536)</f>
        <v>-0.40930764877536002</v>
      </c>
      <c r="OI75" s="3">
        <f ca="1">IFERROR(__xludf.DUMMYFUNCTION("""COMPUTED_VALUE"""),-0.127508403624877)</f>
        <v>-0.127508403624877</v>
      </c>
      <c r="OJ75" s="3">
        <f ca="1">IFERROR(__xludf.DUMMYFUNCTION("""COMPUTED_VALUE"""),-0.0302418067185902)</f>
        <v>-3.0241806718590201E-2</v>
      </c>
      <c r="OK75" s="3">
        <f ca="1">IFERROR(__xludf.DUMMYFUNCTION("""COMPUTED_VALUE"""),-0.0726889574911016)</f>
        <v>-7.2688957491101602E-2</v>
      </c>
      <c r="OL75" s="3">
        <f ca="1">IFERROR(__xludf.DUMMYFUNCTION("""COMPUTED_VALUE"""),0.0232489912540103)</f>
        <v>2.3248991254010299E-2</v>
      </c>
      <c r="OM75" s="3">
        <f ca="1">IFERROR(__xludf.DUMMYFUNCTION("""COMPUTED_VALUE"""),0.286728816041464)</f>
        <v>0.286728816041464</v>
      </c>
      <c r="ON75" s="3">
        <f ca="1">IFERROR(__xludf.DUMMYFUNCTION("""COMPUTED_VALUE"""),0.0951775603421605)</f>
        <v>9.5177560342160503E-2</v>
      </c>
      <c r="OO75" s="3">
        <f ca="1">IFERROR(__xludf.DUMMYFUNCTION("""COMPUTED_VALUE"""),-0.173248849190018)</f>
        <v>-0.17324884919001801</v>
      </c>
      <c r="OP75" s="3">
        <f ca="1">IFERROR(__xludf.DUMMYFUNCTION("""COMPUTED_VALUE"""),-0.140562373355907)</f>
        <v>-0.14056237335590699</v>
      </c>
      <c r="OQ75" s="3">
        <f ca="1">IFERROR(__xludf.DUMMYFUNCTION("""COMPUTED_VALUE"""),-0.0658165309691926)</f>
        <v>-6.5816530969192599E-2</v>
      </c>
      <c r="OR75" s="3">
        <f ca="1">IFERROR(__xludf.DUMMYFUNCTION("""COMPUTED_VALUE"""),-0.0471017396978071)</f>
        <v>-4.71017396978071E-2</v>
      </c>
      <c r="OS75" s="3">
        <f ca="1">IFERROR(__xludf.DUMMYFUNCTION("""COMPUTED_VALUE"""),-0.0291444826408614)</f>
        <v>-2.9144482640861401E-2</v>
      </c>
      <c r="OT75" s="3">
        <f ca="1">IFERROR(__xludf.DUMMYFUNCTION("""COMPUTED_VALUE"""),0.347054083577045)</f>
        <v>0.34705408357704498</v>
      </c>
      <c r="OU75" s="3">
        <f ca="1">IFERROR(__xludf.DUMMYFUNCTION("""COMPUTED_VALUE"""),0.095223947401513)</f>
        <v>9.5223947401513007E-2</v>
      </c>
      <c r="OV75" s="3">
        <f ca="1">IFERROR(__xludf.DUMMYFUNCTION("""COMPUTED_VALUE"""),0.0387610220649843)</f>
        <v>3.8761022064984302E-2</v>
      </c>
      <c r="OW75" s="3">
        <f ca="1">IFERROR(__xludf.DUMMYFUNCTION("""COMPUTED_VALUE"""),-0.0589866254799338)</f>
        <v>-5.8986625479933802E-2</v>
      </c>
      <c r="OX75" s="3">
        <f ca="1">IFERROR(__xludf.DUMMYFUNCTION("""COMPUTED_VALUE"""),0.0566449884659201)</f>
        <v>5.6644988465920101E-2</v>
      </c>
      <c r="OY75" s="3">
        <f ca="1">IFERROR(__xludf.DUMMYFUNCTION("""COMPUTED_VALUE"""),-0.0283177215032404)</f>
        <v>-2.8317721503240401E-2</v>
      </c>
      <c r="OZ75" s="3">
        <f ca="1">IFERROR(__xludf.DUMMYFUNCTION("""COMPUTED_VALUE"""),-0.00175592787122802)</f>
        <v>-1.7559278712280201E-3</v>
      </c>
      <c r="PA75" s="3">
        <f ca="1">IFERROR(__xludf.DUMMYFUNCTION("""COMPUTED_VALUE"""),0.168595749969683)</f>
        <v>0.16859574996968299</v>
      </c>
      <c r="PB75" s="3">
        <f ca="1">IFERROR(__xludf.DUMMYFUNCTION("""COMPUTED_VALUE"""),0.084369511341537)</f>
        <v>8.4369511341537001E-2</v>
      </c>
      <c r="PC75" s="3">
        <f ca="1">IFERROR(__xludf.DUMMYFUNCTION("""COMPUTED_VALUE"""),-0.0633465021727854)</f>
        <v>-6.3346502172785396E-2</v>
      </c>
      <c r="PD75" s="3">
        <f ca="1">IFERROR(__xludf.DUMMYFUNCTION("""COMPUTED_VALUE"""),-0.101848627780029)</f>
        <v>-0.101848627780029</v>
      </c>
      <c r="PE75" s="3">
        <f ca="1">IFERROR(__xludf.DUMMYFUNCTION("""COMPUTED_VALUE"""),0.141358068891787)</f>
        <v>0.14135806889178701</v>
      </c>
      <c r="PF75" s="3">
        <f ca="1">IFERROR(__xludf.DUMMYFUNCTION("""COMPUTED_VALUE"""),-0.00969447520340249)</f>
        <v>-9.6944752034024903E-3</v>
      </c>
      <c r="PG75" s="3">
        <f ca="1">IFERROR(__xludf.DUMMYFUNCTION("""COMPUTED_VALUE"""),0.0152959715485698)</f>
        <v>1.5295971548569799E-2</v>
      </c>
      <c r="PH75" s="3">
        <f ca="1">IFERROR(__xludf.DUMMYFUNCTION("""COMPUTED_VALUE"""),0.209168323768925)</f>
        <v>0.209168323768925</v>
      </c>
      <c r="PI75" s="3">
        <f ca="1">IFERROR(__xludf.DUMMYFUNCTION("""COMPUTED_VALUE"""),0.0570849378303131)</f>
        <v>5.7084937830313098E-2</v>
      </c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</row>
    <row r="76" spans="1:477" ht="13">
      <c r="A76" s="1" t="str">
        <f ca="1">IFERROR(__xludf.DUMMYFUNCTION("""COMPUTED_VALUE"""),"exo Roussillon")</f>
        <v>exo Roussillon</v>
      </c>
      <c r="B76" s="1" t="str">
        <f ca="1">IFERROR(__xludf.DUMMYFUNCTION("""COMPUTED_VALUE"""),"Montréal")</f>
        <v>Montréal</v>
      </c>
      <c r="C76" s="1" t="str">
        <f ca="1">IFERROR(__xludf.DUMMYFUNCTION("""COMPUTED_VALUE"""),"Canada")</f>
        <v>Canada</v>
      </c>
      <c r="D76" s="1" t="str">
        <f ca="1">IFERROR(__xludf.DUMMYFUNCTION("""COMPUTED_VALUE"""),"Quebec")</f>
        <v>Quebec</v>
      </c>
      <c r="E76" s="3">
        <f ca="1">IFERROR(__xludf.DUMMYFUNCTION("""COMPUTED_VALUE"""),-0.615523187776115)</f>
        <v>-0.61552318777611503</v>
      </c>
      <c r="F76" s="3">
        <f ca="1">IFERROR(__xludf.DUMMYFUNCTION("""COMPUTED_VALUE"""),-0.638383673876999)</f>
        <v>-0.63838367387699901</v>
      </c>
      <c r="G76" s="3">
        <f ca="1">IFERROR(__xludf.DUMMYFUNCTION("""COMPUTED_VALUE"""),-0.680365968235077)</f>
        <v>-0.680365968235077</v>
      </c>
      <c r="H76" s="3">
        <f ca="1">IFERROR(__xludf.DUMMYFUNCTION("""COMPUTED_VALUE"""),-0.666719320554804)</f>
        <v>-0.66671932055480398</v>
      </c>
      <c r="I76" s="3">
        <f ca="1">IFERROR(__xludf.DUMMYFUNCTION("""COMPUTED_VALUE"""),-0.68972996837585)</f>
        <v>-0.68972996837584999</v>
      </c>
      <c r="J76" s="3">
        <f ca="1">IFERROR(__xludf.DUMMYFUNCTION("""COMPUTED_VALUE"""),-0.67795877252179)</f>
        <v>-0.67795877252179004</v>
      </c>
      <c r="K76" s="3">
        <f ca="1">IFERROR(__xludf.DUMMYFUNCTION("""COMPUTED_VALUE"""),-0.747495408662831)</f>
        <v>-0.74749540866283104</v>
      </c>
      <c r="L76" s="3">
        <f ca="1">IFERROR(__xludf.DUMMYFUNCTION("""COMPUTED_VALUE"""),-0.768551393823433)</f>
        <v>-0.76855139382343296</v>
      </c>
      <c r="M76" s="3">
        <f ca="1">IFERROR(__xludf.DUMMYFUNCTION("""COMPUTED_VALUE"""),-0.785174213991848)</f>
        <v>-0.78517421399184795</v>
      </c>
      <c r="N76" s="3">
        <f ca="1">IFERROR(__xludf.DUMMYFUNCTION("""COMPUTED_VALUE"""),-0.683182755772696)</f>
        <v>-0.68318275577269605</v>
      </c>
      <c r="O76" s="3">
        <f ca="1">IFERROR(__xludf.DUMMYFUNCTION("""COMPUTED_VALUE"""),-0.692564668773955)</f>
        <v>-0.69256466877395495</v>
      </c>
      <c r="P76" s="3">
        <f ca="1">IFERROR(__xludf.DUMMYFUNCTION("""COMPUTED_VALUE"""),-0.683349265452848)</f>
        <v>-0.68334926545284802</v>
      </c>
      <c r="Q76" s="3">
        <f ca="1">IFERROR(__xludf.DUMMYFUNCTION("""COMPUTED_VALUE"""),-0.710112989291502)</f>
        <v>-0.71011298929150202</v>
      </c>
      <c r="R76" s="3">
        <f ca="1">IFERROR(__xludf.DUMMYFUNCTION("""COMPUTED_VALUE"""),-0.735600990586815)</f>
        <v>-0.73560099058681505</v>
      </c>
      <c r="S76" s="3">
        <f ca="1">IFERROR(__xludf.DUMMYFUNCTION("""COMPUTED_VALUE"""),-0.671722412243039)</f>
        <v>-0.67172241224303897</v>
      </c>
      <c r="T76" s="3">
        <f ca="1">IFERROR(__xludf.DUMMYFUNCTION("""COMPUTED_VALUE"""),-0.722873694998253)</f>
        <v>-0.72287369499825305</v>
      </c>
      <c r="U76" s="3">
        <f ca="1">IFERROR(__xludf.DUMMYFUNCTION("""COMPUTED_VALUE"""),-0.656244160316839)</f>
        <v>-0.65624416031683896</v>
      </c>
      <c r="V76" s="3">
        <f ca="1">IFERROR(__xludf.DUMMYFUNCTION("""COMPUTED_VALUE"""),-0.686840437544892)</f>
        <v>-0.68684043754489199</v>
      </c>
      <c r="W76" s="3">
        <f ca="1">IFERROR(__xludf.DUMMYFUNCTION("""COMPUTED_VALUE"""),-0.658524881856907)</f>
        <v>-0.65852488185690705</v>
      </c>
      <c r="X76" s="3">
        <f ca="1">IFERROR(__xludf.DUMMYFUNCTION("""COMPUTED_VALUE"""),-0.683796259764746)</f>
        <v>-0.68379625976474601</v>
      </c>
      <c r="Y76" s="3">
        <f ca="1">IFERROR(__xludf.DUMMYFUNCTION("""COMPUTED_VALUE"""),-0.640000338749966)</f>
        <v>-0.64000033874996598</v>
      </c>
      <c r="Z76" s="3">
        <f ca="1">IFERROR(__xludf.DUMMYFUNCTION("""COMPUTED_VALUE"""),-0.639257703010998)</f>
        <v>-0.63925770301099805</v>
      </c>
      <c r="AA76" s="3">
        <f ca="1">IFERROR(__xludf.DUMMYFUNCTION("""COMPUTED_VALUE"""),-0.698579491375242)</f>
        <v>-0.698579491375242</v>
      </c>
      <c r="AB76" s="3">
        <f ca="1">IFERROR(__xludf.DUMMYFUNCTION("""COMPUTED_VALUE"""),-0.700938171829075)</f>
        <v>-0.70093817182907503</v>
      </c>
      <c r="AC76" s="3">
        <f ca="1">IFERROR(__xludf.DUMMYFUNCTION("""COMPUTED_VALUE"""),-0.707994129838915)</f>
        <v>-0.70799412983891497</v>
      </c>
      <c r="AD76" s="3">
        <f ca="1">IFERROR(__xludf.DUMMYFUNCTION("""COMPUTED_VALUE"""),-0.702973550745337)</f>
        <v>-0.70297355074533696</v>
      </c>
      <c r="AE76" s="3">
        <f ca="1">IFERROR(__xludf.DUMMYFUNCTION("""COMPUTED_VALUE"""),-0.713400233406687)</f>
        <v>-0.71340023340668701</v>
      </c>
      <c r="AF76" s="3">
        <f ca="1">IFERROR(__xludf.DUMMYFUNCTION("""COMPUTED_VALUE"""),-0.748651879942073)</f>
        <v>-0.74865187994207305</v>
      </c>
      <c r="AG76" s="3">
        <f ca="1">IFERROR(__xludf.DUMMYFUNCTION("""COMPUTED_VALUE"""),-0.690322872339789)</f>
        <v>-0.69032287233978895</v>
      </c>
      <c r="AH76" s="3">
        <f ca="1">IFERROR(__xludf.DUMMYFUNCTION("""COMPUTED_VALUE"""),-0.711656643741504)</f>
        <v>-0.71165664374150395</v>
      </c>
      <c r="AI76" s="3">
        <f ca="1">IFERROR(__xludf.DUMMYFUNCTION("""COMPUTED_VALUE"""),-0.717801581718295)</f>
        <v>-0.717801581718295</v>
      </c>
      <c r="AJ76" s="3">
        <f ca="1">IFERROR(__xludf.DUMMYFUNCTION("""COMPUTED_VALUE"""),-0.710088696765707)</f>
        <v>-0.71008869676570696</v>
      </c>
      <c r="AK76" s="3">
        <f ca="1">IFERROR(__xludf.DUMMYFUNCTION("""COMPUTED_VALUE"""),-0.717989537320579)</f>
        <v>-0.71798953732057902</v>
      </c>
      <c r="AL76" s="3">
        <f ca="1">IFERROR(__xludf.DUMMYFUNCTION("""COMPUTED_VALUE"""),-0.72000162602422)</f>
        <v>-0.72000162602422002</v>
      </c>
      <c r="AM76" s="3">
        <f ca="1">IFERROR(__xludf.DUMMYFUNCTION("""COMPUTED_VALUE"""),-0.73796438634522)</f>
        <v>-0.73796438634521999</v>
      </c>
      <c r="AN76" s="3">
        <f ca="1">IFERROR(__xludf.DUMMYFUNCTION("""COMPUTED_VALUE"""),-0.723652042701183)</f>
        <v>-0.723652042701183</v>
      </c>
      <c r="AO76" s="3">
        <f ca="1">IFERROR(__xludf.DUMMYFUNCTION("""COMPUTED_VALUE"""),-0.735306480300526)</f>
        <v>-0.73530648030052603</v>
      </c>
      <c r="AP76" s="3">
        <f ca="1">IFERROR(__xludf.DUMMYFUNCTION("""COMPUTED_VALUE"""),-0.722505792832311)</f>
        <v>-0.72250579283231098</v>
      </c>
      <c r="AQ76" s="3">
        <f ca="1">IFERROR(__xludf.DUMMYFUNCTION("""COMPUTED_VALUE"""),-0.700499866369926)</f>
        <v>-0.70049986636992601</v>
      </c>
      <c r="AR76" s="3">
        <f ca="1">IFERROR(__xludf.DUMMYFUNCTION("""COMPUTED_VALUE"""),-0.729962232773507)</f>
        <v>-0.72996223277350702</v>
      </c>
      <c r="AS76" s="3">
        <f ca="1">IFERROR(__xludf.DUMMYFUNCTION("""COMPUTED_VALUE"""),-0.667382679583504)</f>
        <v>-0.66738267958350395</v>
      </c>
      <c r="AT76" s="3">
        <f ca="1">IFERROR(__xludf.DUMMYFUNCTION("""COMPUTED_VALUE"""),-0.702042143714195)</f>
        <v>-0.70204214371419504</v>
      </c>
      <c r="AU76" s="3">
        <f ca="1">IFERROR(__xludf.DUMMYFUNCTION("""COMPUTED_VALUE"""),-0.73349809255136)</f>
        <v>-0.73349809255136</v>
      </c>
      <c r="AV76" s="3">
        <f ca="1">IFERROR(__xludf.DUMMYFUNCTION("""COMPUTED_VALUE"""),-0.733091620966131)</f>
        <v>-0.73309162096613101</v>
      </c>
      <c r="AW76" s="3">
        <f ca="1">IFERROR(__xludf.DUMMYFUNCTION("""COMPUTED_VALUE"""),-0.748110172620252)</f>
        <v>-0.74811017262025203</v>
      </c>
      <c r="AX76" s="3">
        <f ca="1">IFERROR(__xludf.DUMMYFUNCTION("""COMPUTED_VALUE"""),-0.71928934254268)</f>
        <v>-0.71928934254267995</v>
      </c>
      <c r="AY76" s="3">
        <f ca="1">IFERROR(__xludf.DUMMYFUNCTION("""COMPUTED_VALUE"""),-0.735509265805567)</f>
        <v>-0.73550926580556697</v>
      </c>
      <c r="AZ76" s="3">
        <f ca="1">IFERROR(__xludf.DUMMYFUNCTION("""COMPUTED_VALUE"""),-0.739268060556388)</f>
        <v>-0.73926806055638805</v>
      </c>
      <c r="BA76" s="3">
        <f ca="1">IFERROR(__xludf.DUMMYFUNCTION("""COMPUTED_VALUE"""),-0.776151431897342)</f>
        <v>-0.77615143189734204</v>
      </c>
      <c r="BB76" s="3">
        <f ca="1">IFERROR(__xludf.DUMMYFUNCTION("""COMPUTED_VALUE"""),-0.752260371441169)</f>
        <v>-0.75226037144116897</v>
      </c>
      <c r="BC76" s="3">
        <f ca="1">IFERROR(__xludf.DUMMYFUNCTION("""COMPUTED_VALUE"""),-0.779046641051855)</f>
        <v>-0.77904664105185495</v>
      </c>
      <c r="BD76" s="3">
        <f ca="1">IFERROR(__xludf.DUMMYFUNCTION("""COMPUTED_VALUE"""),-0.775564105462991)</f>
        <v>-0.77556410546299104</v>
      </c>
      <c r="BE76" s="3">
        <f ca="1">IFERROR(__xludf.DUMMYFUNCTION("""COMPUTED_VALUE"""),-0.725296066810781)</f>
        <v>-0.72529606681078096</v>
      </c>
      <c r="BF76" s="3">
        <f ca="1">IFERROR(__xludf.DUMMYFUNCTION("""COMPUTED_VALUE"""),-0.780045139772872)</f>
        <v>-0.78004513977287204</v>
      </c>
      <c r="BG76" s="3">
        <f ca="1">IFERROR(__xludf.DUMMYFUNCTION("""COMPUTED_VALUE"""),-0.749144014077055)</f>
        <v>-0.749144014077055</v>
      </c>
      <c r="BH76" s="3">
        <f ca="1">IFERROR(__xludf.DUMMYFUNCTION("""COMPUTED_VALUE"""),-0.744329295184327)</f>
        <v>-0.744329295184327</v>
      </c>
      <c r="BI76" s="3">
        <f ca="1">IFERROR(__xludf.DUMMYFUNCTION("""COMPUTED_VALUE"""),-0.748433801441462)</f>
        <v>-0.74843380144146199</v>
      </c>
      <c r="BJ76" s="3">
        <f ca="1">IFERROR(__xludf.DUMMYFUNCTION("""COMPUTED_VALUE"""),-0.761897284260648)</f>
        <v>-0.76189728426064796</v>
      </c>
      <c r="BK76" s="3">
        <f ca="1">IFERROR(__xludf.DUMMYFUNCTION("""COMPUTED_VALUE"""),-0.768850501365497)</f>
        <v>-0.76885050136549704</v>
      </c>
      <c r="BL76" s="3">
        <f ca="1">IFERROR(__xludf.DUMMYFUNCTION("""COMPUTED_VALUE"""),-0.777621923098864)</f>
        <v>-0.77762192309886402</v>
      </c>
      <c r="BM76" s="3">
        <f ca="1">IFERROR(__xludf.DUMMYFUNCTION("""COMPUTED_VALUE"""),-0.778136601558656)</f>
        <v>-0.77813660155865605</v>
      </c>
      <c r="BN76" s="3">
        <f ca="1">IFERROR(__xludf.DUMMYFUNCTION("""COMPUTED_VALUE"""),-0.776672750460958)</f>
        <v>-0.77667275046095796</v>
      </c>
      <c r="BO76" s="3">
        <f ca="1">IFERROR(__xludf.DUMMYFUNCTION("""COMPUTED_VALUE"""),-0.764016876820222)</f>
        <v>-0.76401687682022201</v>
      </c>
      <c r="BP76" s="3">
        <f ca="1">IFERROR(__xludf.DUMMYFUNCTION("""COMPUTED_VALUE"""),-0.772050438915575)</f>
        <v>-0.77205043891557501</v>
      </c>
      <c r="BQ76" s="3">
        <f ca="1">IFERROR(__xludf.DUMMYFUNCTION("""COMPUTED_VALUE"""),-0.78422457743424)</f>
        <v>-0.78422457743424001</v>
      </c>
      <c r="BR76" s="3">
        <f ca="1">IFERROR(__xludf.DUMMYFUNCTION("""COMPUTED_VALUE"""),-0.777334257436257)</f>
        <v>-0.77733425743625695</v>
      </c>
      <c r="BS76" s="3">
        <f ca="1">IFERROR(__xludf.DUMMYFUNCTION("""COMPUTED_VALUE"""),-0.784843147584895)</f>
        <v>-0.78484314758489504</v>
      </c>
      <c r="BT76" s="3">
        <f ca="1">IFERROR(__xludf.DUMMYFUNCTION("""COMPUTED_VALUE"""),-0.791531953799265)</f>
        <v>-0.791531953799265</v>
      </c>
      <c r="BU76" s="3">
        <f ca="1">IFERROR(__xludf.DUMMYFUNCTION("""COMPUTED_VALUE"""),-0.803779345969509)</f>
        <v>-0.80377934596950895</v>
      </c>
      <c r="BV76" s="3">
        <f ca="1">IFERROR(__xludf.DUMMYFUNCTION("""COMPUTED_VALUE"""),-0.768258534878864)</f>
        <v>-0.76825853487886397</v>
      </c>
      <c r="BW76" s="3">
        <f ca="1">IFERROR(__xludf.DUMMYFUNCTION("""COMPUTED_VALUE"""),-0.813456723171928)</f>
        <v>-0.81345672317192796</v>
      </c>
      <c r="BX76" s="3">
        <f ca="1">IFERROR(__xludf.DUMMYFUNCTION("""COMPUTED_VALUE"""),-0.811152070699383)</f>
        <v>-0.811152070699383</v>
      </c>
      <c r="BY76" s="3">
        <f ca="1">IFERROR(__xludf.DUMMYFUNCTION("""COMPUTED_VALUE"""),-0.802168845022493)</f>
        <v>-0.80216884502249297</v>
      </c>
      <c r="BZ76" s="3">
        <f ca="1">IFERROR(__xludf.DUMMYFUNCTION("""COMPUTED_VALUE"""),-0.804015436130991)</f>
        <v>-0.80401543613099102</v>
      </c>
      <c r="CA76" s="3">
        <f ca="1">IFERROR(__xludf.DUMMYFUNCTION("""COMPUTED_VALUE"""),-0.808186265367866)</f>
        <v>-0.80818626536786597</v>
      </c>
      <c r="CB76" s="3">
        <f ca="1">IFERROR(__xludf.DUMMYFUNCTION("""COMPUTED_VALUE"""),-0.780207804493866)</f>
        <v>-0.78020780449386595</v>
      </c>
      <c r="CC76" s="3">
        <f ca="1">IFERROR(__xludf.DUMMYFUNCTION("""COMPUTED_VALUE"""),-0.771860765052548)</f>
        <v>-0.77186076505254797</v>
      </c>
      <c r="CD76" s="3">
        <f ca="1">IFERROR(__xludf.DUMMYFUNCTION("""COMPUTED_VALUE"""),-0.792774102054907)</f>
        <v>-0.79277410205490695</v>
      </c>
      <c r="CE76" s="3">
        <f ca="1">IFERROR(__xludf.DUMMYFUNCTION("""COMPUTED_VALUE"""),-0.786690628443663)</f>
        <v>-0.786690628443663</v>
      </c>
      <c r="CF76" s="3">
        <f ca="1">IFERROR(__xludf.DUMMYFUNCTION("""COMPUTED_VALUE"""),-0.765527645056205)</f>
        <v>-0.76552764505620496</v>
      </c>
      <c r="CG76" s="3">
        <f ca="1">IFERROR(__xludf.DUMMYFUNCTION("""COMPUTED_VALUE"""),-0.773758980713188)</f>
        <v>-0.77375898071318805</v>
      </c>
      <c r="CH76" s="3">
        <f ca="1">IFERROR(__xludf.DUMMYFUNCTION("""COMPUTED_VALUE"""),-0.771641679475548)</f>
        <v>-0.77164167947554796</v>
      </c>
      <c r="CI76" s="3">
        <f ca="1">IFERROR(__xludf.DUMMYFUNCTION("""COMPUTED_VALUE"""),-0.765869866837933)</f>
        <v>-0.76586986683793301</v>
      </c>
      <c r="CJ76" s="3">
        <f ca="1">IFERROR(__xludf.DUMMYFUNCTION("""COMPUTED_VALUE"""),-0.760743577128352)</f>
        <v>-0.76074357712835206</v>
      </c>
      <c r="CK76" s="3">
        <f ca="1">IFERROR(__xludf.DUMMYFUNCTION("""COMPUTED_VALUE"""),-0.793436472006487)</f>
        <v>-0.79343647200648704</v>
      </c>
      <c r="CL76" s="3">
        <f ca="1">IFERROR(__xludf.DUMMYFUNCTION("""COMPUTED_VALUE"""),-0.795590448093693)</f>
        <v>-0.79559044809369295</v>
      </c>
      <c r="CM76" s="3">
        <f ca="1">IFERROR(__xludf.DUMMYFUNCTION("""COMPUTED_VALUE"""),-0.797285131334377)</f>
        <v>-0.79728513133437695</v>
      </c>
      <c r="CN76" s="3">
        <f ca="1">IFERROR(__xludf.DUMMYFUNCTION("""COMPUTED_VALUE"""),-0.796252294810387)</f>
        <v>-0.79625229481038695</v>
      </c>
      <c r="CO76" s="3">
        <f ca="1">IFERROR(__xludf.DUMMYFUNCTION("""COMPUTED_VALUE"""),-0.782684980360441)</f>
        <v>-0.78268498036044098</v>
      </c>
      <c r="CP76" s="3">
        <f ca="1">IFERROR(__xludf.DUMMYFUNCTION("""COMPUTED_VALUE"""),-0.773057618224803)</f>
        <v>-0.77305761822480301</v>
      </c>
      <c r="CQ76" s="3">
        <f ca="1">IFERROR(__xludf.DUMMYFUNCTION("""COMPUTED_VALUE"""),-0.793050484319676)</f>
        <v>-0.79305048431967595</v>
      </c>
      <c r="CR76" s="3">
        <f ca="1">IFERROR(__xludf.DUMMYFUNCTION("""COMPUTED_VALUE"""),-0.755293887040129)</f>
        <v>-0.75529388704012901</v>
      </c>
      <c r="CS76" s="3">
        <f ca="1">IFERROR(__xludf.DUMMYFUNCTION("""COMPUTED_VALUE"""),-0.729651758546117)</f>
        <v>-0.72965175854611697</v>
      </c>
      <c r="CT76" s="3">
        <f ca="1">IFERROR(__xludf.DUMMYFUNCTION("""COMPUTED_VALUE"""),-0.716332162781148)</f>
        <v>-0.71633216278114797</v>
      </c>
      <c r="CU76" s="3">
        <f ca="1">IFERROR(__xludf.DUMMYFUNCTION("""COMPUTED_VALUE"""),-0.657289138441234)</f>
        <v>-0.65728913844123404</v>
      </c>
      <c r="CV76" s="3">
        <f ca="1">IFERROR(__xludf.DUMMYFUNCTION("""COMPUTED_VALUE"""),-0.692812343611602)</f>
        <v>-0.69281234361160204</v>
      </c>
      <c r="CW76" s="3">
        <f ca="1">IFERROR(__xludf.DUMMYFUNCTION("""COMPUTED_VALUE"""),-0.673022863931876)</f>
        <v>-0.67302286393187605</v>
      </c>
      <c r="CX76" s="3">
        <f ca="1">IFERROR(__xludf.DUMMYFUNCTION("""COMPUTED_VALUE"""),-0.733422598291472)</f>
        <v>-0.73342259829147205</v>
      </c>
      <c r="CY76" s="3">
        <f ca="1">IFERROR(__xludf.DUMMYFUNCTION("""COMPUTED_VALUE"""),-0.801595084580086)</f>
        <v>-0.80159508458008599</v>
      </c>
      <c r="CZ76" s="3">
        <f ca="1">IFERROR(__xludf.DUMMYFUNCTION("""COMPUTED_VALUE"""),-0.843021576921883)</f>
        <v>-0.84302157692188295</v>
      </c>
      <c r="DA76" s="3">
        <f ca="1">IFERROR(__xludf.DUMMYFUNCTION("""COMPUTED_VALUE"""),-0.628578594373684)</f>
        <v>-0.62857859437368402</v>
      </c>
      <c r="DB76" s="3">
        <f ca="1">IFERROR(__xludf.DUMMYFUNCTION("""COMPUTED_VALUE"""),-0.564918455883204)</f>
        <v>-0.564918455883204</v>
      </c>
      <c r="DC76" s="3">
        <f ca="1">IFERROR(__xludf.DUMMYFUNCTION("""COMPUTED_VALUE"""),-0.72160054078921)</f>
        <v>-0.72160054078920999</v>
      </c>
      <c r="DD76" s="3">
        <f ca="1">IFERROR(__xludf.DUMMYFUNCTION("""COMPUTED_VALUE"""),-0.749313009203803)</f>
        <v>-0.74931300920380295</v>
      </c>
      <c r="DE76" s="3">
        <f ca="1">IFERROR(__xludf.DUMMYFUNCTION("""COMPUTED_VALUE"""),-0.792849951985847)</f>
        <v>-0.79284995198584696</v>
      </c>
      <c r="DF76" s="3">
        <f ca="1">IFERROR(__xludf.DUMMYFUNCTION("""COMPUTED_VALUE"""),-0.820534326173141)</f>
        <v>-0.82053432617314104</v>
      </c>
      <c r="DG76" s="3">
        <f ca="1">IFERROR(__xludf.DUMMYFUNCTION("""COMPUTED_VALUE"""),-0.869824589255464)</f>
        <v>-0.86982458925546402</v>
      </c>
      <c r="DH76" s="3">
        <f ca="1">IFERROR(__xludf.DUMMYFUNCTION("""COMPUTED_VALUE"""),-0.605915711702109)</f>
        <v>-0.60591571170210901</v>
      </c>
      <c r="DI76" s="3">
        <f ca="1">IFERROR(__xludf.DUMMYFUNCTION("""COMPUTED_VALUE"""),-0.449754084905286)</f>
        <v>-0.44975408490528601</v>
      </c>
      <c r="DJ76" s="3">
        <f ca="1">IFERROR(__xludf.DUMMYFUNCTION("""COMPUTED_VALUE"""),-0.651479804882757)</f>
        <v>-0.65147980488275703</v>
      </c>
      <c r="DK76" s="3">
        <f ca="1">IFERROR(__xludf.DUMMYFUNCTION("""COMPUTED_VALUE"""),-0.676761567881206)</f>
        <v>-0.67676156788120601</v>
      </c>
      <c r="DL76" s="3">
        <f ca="1">IFERROR(__xludf.DUMMYFUNCTION("""COMPUTED_VALUE"""),-0.708806334096979)</f>
        <v>-0.70880633409697902</v>
      </c>
      <c r="DM76" s="3">
        <f ca="1">IFERROR(__xludf.DUMMYFUNCTION("""COMPUTED_VALUE"""),-0.677392588575201)</f>
        <v>-0.67739258857520102</v>
      </c>
      <c r="DN76" s="3">
        <f ca="1">IFERROR(__xludf.DUMMYFUNCTION("""COMPUTED_VALUE"""),-0.740790137303225)</f>
        <v>-0.74079013730322496</v>
      </c>
      <c r="DO76" s="3">
        <f ca="1">IFERROR(__xludf.DUMMYFUNCTION("""COMPUTED_VALUE"""),-0.697644967974314)</f>
        <v>-0.69764496797431397</v>
      </c>
      <c r="DP76" s="3">
        <f ca="1">IFERROR(__xludf.DUMMYFUNCTION("""COMPUTED_VALUE"""),-0.634436488332857)</f>
        <v>-0.63443648833285704</v>
      </c>
      <c r="DQ76" s="3">
        <f ca="1">IFERROR(__xludf.DUMMYFUNCTION("""COMPUTED_VALUE"""),-0.657318169648567)</f>
        <v>-0.65731816964856704</v>
      </c>
      <c r="DR76" s="3">
        <f ca="1">IFERROR(__xludf.DUMMYFUNCTION("""COMPUTED_VALUE"""),-0.68185294679981)</f>
        <v>-0.68185294679981001</v>
      </c>
      <c r="DS76" s="3">
        <f ca="1">IFERROR(__xludf.DUMMYFUNCTION("""COMPUTED_VALUE"""),-0.71936750792368)</f>
        <v>-0.71936750792367998</v>
      </c>
      <c r="DT76" s="3">
        <f ca="1">IFERROR(__xludf.DUMMYFUNCTION("""COMPUTED_VALUE"""),-0.702896522770181)</f>
        <v>-0.702896522770181</v>
      </c>
      <c r="DU76" s="3">
        <f ca="1">IFERROR(__xludf.DUMMYFUNCTION("""COMPUTED_VALUE"""),-0.72205612492214)</f>
        <v>-0.72205612492214</v>
      </c>
      <c r="DV76" s="3">
        <f ca="1">IFERROR(__xludf.DUMMYFUNCTION("""COMPUTED_VALUE"""),-0.717877543778646)</f>
        <v>-0.71787754377864599</v>
      </c>
      <c r="DW76" s="3">
        <f ca="1">IFERROR(__xludf.DUMMYFUNCTION("""COMPUTED_VALUE"""),-0.738141529311122)</f>
        <v>-0.73814152931112198</v>
      </c>
      <c r="DX76" s="3">
        <f ca="1">IFERROR(__xludf.DUMMYFUNCTION("""COMPUTED_VALUE"""),-0.736669607148547)</f>
        <v>-0.73666960714854701</v>
      </c>
      <c r="DY76" s="3">
        <f ca="1">IFERROR(__xludf.DUMMYFUNCTION("""COMPUTED_VALUE"""),-0.741502731402657)</f>
        <v>-0.74150273140265699</v>
      </c>
      <c r="DZ76" s="3">
        <f ca="1">IFERROR(__xludf.DUMMYFUNCTION("""COMPUTED_VALUE"""),-0.695598829367565)</f>
        <v>-0.69559882936756501</v>
      </c>
      <c r="EA76" s="3">
        <f ca="1">IFERROR(__xludf.DUMMYFUNCTION("""COMPUTED_VALUE"""),-0.737455293865495)</f>
        <v>-0.73745529386549502</v>
      </c>
      <c r="EB76" s="3">
        <f ca="1">IFERROR(__xludf.DUMMYFUNCTION("""COMPUTED_VALUE"""),-0.744906602301201)</f>
        <v>-0.74490660230120098</v>
      </c>
      <c r="EC76" s="3">
        <f ca="1">IFERROR(__xludf.DUMMYFUNCTION("""COMPUTED_VALUE"""),-0.749546606606438)</f>
        <v>-0.74954660660643802</v>
      </c>
      <c r="ED76" s="3">
        <f ca="1">IFERROR(__xludf.DUMMYFUNCTION("""COMPUTED_VALUE"""),-0.761420026092974)</f>
        <v>-0.76142002609297399</v>
      </c>
      <c r="EE76" s="3">
        <f ca="1">IFERROR(__xludf.DUMMYFUNCTION("""COMPUTED_VALUE"""),-0.73752600871588)</f>
        <v>-0.73752600871588003</v>
      </c>
      <c r="EF76" s="3">
        <f ca="1">IFERROR(__xludf.DUMMYFUNCTION("""COMPUTED_VALUE"""),-0.694120321326742)</f>
        <v>-0.69412032132674195</v>
      </c>
      <c r="EG76" s="3">
        <f ca="1">IFERROR(__xludf.DUMMYFUNCTION("""COMPUTED_VALUE"""),-0.642296860475916)</f>
        <v>-0.64229686047591605</v>
      </c>
      <c r="EH76" s="3">
        <f ca="1">IFERROR(__xludf.DUMMYFUNCTION("""COMPUTED_VALUE"""),-0.698394207688696)</f>
        <v>-0.69839420768869598</v>
      </c>
      <c r="EI76" s="3">
        <f ca="1">IFERROR(__xludf.DUMMYFUNCTION("""COMPUTED_VALUE"""),-0.720224193610563)</f>
        <v>-0.720224193610563</v>
      </c>
      <c r="EJ76" s="3">
        <f ca="1">IFERROR(__xludf.DUMMYFUNCTION("""COMPUTED_VALUE"""),-0.751735902237374)</f>
        <v>-0.75173590223737397</v>
      </c>
      <c r="EK76" s="3">
        <f ca="1">IFERROR(__xludf.DUMMYFUNCTION("""COMPUTED_VALUE"""),-0.730789400517515)</f>
        <v>-0.73078940051751495</v>
      </c>
      <c r="EL76" s="3">
        <f ca="1">IFERROR(__xludf.DUMMYFUNCTION("""COMPUTED_VALUE"""),-0.755715716714958)</f>
        <v>-0.75571571671495796</v>
      </c>
      <c r="EM76" s="3">
        <f ca="1">IFERROR(__xludf.DUMMYFUNCTION("""COMPUTED_VALUE"""),-0.762270371429585)</f>
        <v>-0.76227037142958498</v>
      </c>
      <c r="EN76" s="3">
        <f ca="1">IFERROR(__xludf.DUMMYFUNCTION("""COMPUTED_VALUE"""),-0.731736865955332)</f>
        <v>-0.73173686595533205</v>
      </c>
      <c r="EO76" s="3">
        <f ca="1">IFERROR(__xludf.DUMMYFUNCTION("""COMPUTED_VALUE"""),-0.714896890945813)</f>
        <v>-0.71489689094581299</v>
      </c>
      <c r="EP76" s="3">
        <f ca="1">IFERROR(__xludf.DUMMYFUNCTION("""COMPUTED_VALUE"""),-0.751746507591699)</f>
        <v>-0.75174650759169903</v>
      </c>
      <c r="EQ76" s="3">
        <f ca="1">IFERROR(__xludf.DUMMYFUNCTION("""COMPUTED_VALUE"""),-0.775052472533859)</f>
        <v>-0.775052472533859</v>
      </c>
      <c r="ER76" s="3">
        <f ca="1">IFERROR(__xludf.DUMMYFUNCTION("""COMPUTED_VALUE"""),-0.774643419944107)</f>
        <v>-0.77464341994410701</v>
      </c>
      <c r="ES76" s="3">
        <f ca="1">IFERROR(__xludf.DUMMYFUNCTION("""COMPUTED_VALUE"""),-0.788335754285079)</f>
        <v>-0.78833575428507896</v>
      </c>
      <c r="ET76" s="3">
        <f ca="1">IFERROR(__xludf.DUMMYFUNCTION("""COMPUTED_VALUE"""),-0.755218428283242)</f>
        <v>-0.75521842828324204</v>
      </c>
      <c r="EU76" s="3">
        <f ca="1">IFERROR(__xludf.DUMMYFUNCTION("""COMPUTED_VALUE"""),-0.749839566320246)</f>
        <v>-0.74983956632024595</v>
      </c>
      <c r="EV76" s="3">
        <f ca="1">IFERROR(__xludf.DUMMYFUNCTION("""COMPUTED_VALUE"""),-0.709907636379017)</f>
        <v>-0.70990763637901699</v>
      </c>
      <c r="EW76" s="3">
        <f ca="1">IFERROR(__xludf.DUMMYFUNCTION("""COMPUTED_VALUE"""),-0.75923562051861)</f>
        <v>-0.75923562051861004</v>
      </c>
      <c r="EX76" s="3">
        <f ca="1">IFERROR(__xludf.DUMMYFUNCTION("""COMPUTED_VALUE"""),-0.781762730105985)</f>
        <v>-0.78176273010598496</v>
      </c>
      <c r="EY76" s="3">
        <f ca="1">IFERROR(__xludf.DUMMYFUNCTION("""COMPUTED_VALUE"""),-0.796953999756885)</f>
        <v>-0.79695399975688497</v>
      </c>
      <c r="EZ76" s="3">
        <f ca="1">IFERROR(__xludf.DUMMYFUNCTION("""COMPUTED_VALUE"""),-0.773504620907306)</f>
        <v>-0.77350462090730598</v>
      </c>
      <c r="FA76" s="3">
        <f ca="1">IFERROR(__xludf.DUMMYFUNCTION("""COMPUTED_VALUE"""),-0.74499563840358)</f>
        <v>-0.74499563840357996</v>
      </c>
      <c r="FB76" s="3">
        <f ca="1">IFERROR(__xludf.DUMMYFUNCTION("""COMPUTED_VALUE"""),-0.654246639248638)</f>
        <v>-0.65424663924863802</v>
      </c>
      <c r="FC76" s="3">
        <f ca="1">IFERROR(__xludf.DUMMYFUNCTION("""COMPUTED_VALUE"""),-0.691497929963028)</f>
        <v>-0.69149792996302795</v>
      </c>
      <c r="FD76" s="3">
        <f ca="1">IFERROR(__xludf.DUMMYFUNCTION("""COMPUTED_VALUE"""),-0.736545479187711)</f>
        <v>-0.73654547918771096</v>
      </c>
      <c r="FE76" s="3">
        <f ca="1">IFERROR(__xludf.DUMMYFUNCTION("""COMPUTED_VALUE"""),-0.763726780906076)</f>
        <v>-0.76372678090607604</v>
      </c>
      <c r="FF76" s="3">
        <f ca="1">IFERROR(__xludf.DUMMYFUNCTION("""COMPUTED_VALUE"""),-0.774523451779892)</f>
        <v>-0.77452345177989201</v>
      </c>
      <c r="FG76" s="3">
        <f ca="1">IFERROR(__xludf.DUMMYFUNCTION("""COMPUTED_VALUE"""),-0.779427015251761)</f>
        <v>-0.77942701525176095</v>
      </c>
      <c r="FH76" s="3">
        <f ca="1">IFERROR(__xludf.DUMMYFUNCTION("""COMPUTED_VALUE"""),-0.762381481165765)</f>
        <v>-0.76238148116576498</v>
      </c>
      <c r="FI76" s="3">
        <f ca="1">IFERROR(__xludf.DUMMYFUNCTION("""COMPUTED_VALUE"""),-0.673817058790519)</f>
        <v>-0.67381705879051901</v>
      </c>
      <c r="FJ76" s="3">
        <f ca="1">IFERROR(__xludf.DUMMYFUNCTION("""COMPUTED_VALUE"""),-0.678066220961311)</f>
        <v>-0.67806622096131097</v>
      </c>
      <c r="FK76" s="3">
        <f ca="1">IFERROR(__xludf.DUMMYFUNCTION("""COMPUTED_VALUE"""),-0.725775683160309)</f>
        <v>-0.72577568316030905</v>
      </c>
      <c r="FL76" s="3">
        <f ca="1">IFERROR(__xludf.DUMMYFUNCTION("""COMPUTED_VALUE"""),-0.74803221099694)</f>
        <v>-0.74803221099693995</v>
      </c>
      <c r="FM76" s="3">
        <f ca="1">IFERROR(__xludf.DUMMYFUNCTION("""COMPUTED_VALUE"""),-0.746952740236357)</f>
        <v>-0.74695274023635705</v>
      </c>
      <c r="FN76" s="3">
        <f ca="1">IFERROR(__xludf.DUMMYFUNCTION("""COMPUTED_VALUE"""),-0.718905706990444)</f>
        <v>-0.71890570699044398</v>
      </c>
      <c r="FO76" s="3">
        <f ca="1">IFERROR(__xludf.DUMMYFUNCTION("""COMPUTED_VALUE"""),-0.735414058201419)</f>
        <v>-0.73541405820141903</v>
      </c>
      <c r="FP76" s="3">
        <f ca="1">IFERROR(__xludf.DUMMYFUNCTION("""COMPUTED_VALUE"""),-0.701950033011685)</f>
        <v>-0.70195003301168502</v>
      </c>
      <c r="FQ76" s="3">
        <f ca="1">IFERROR(__xludf.DUMMYFUNCTION("""COMPUTED_VALUE"""),-0.678247797094092)</f>
        <v>-0.678247797094092</v>
      </c>
      <c r="FR76" s="3">
        <f ca="1">IFERROR(__xludf.DUMMYFUNCTION("""COMPUTED_VALUE"""),-0.704931241533879)</f>
        <v>-0.70493124153387898</v>
      </c>
      <c r="FS76" s="3">
        <f ca="1">IFERROR(__xludf.DUMMYFUNCTION("""COMPUTED_VALUE"""),-0.735750102872882)</f>
        <v>-0.73575010287288201</v>
      </c>
      <c r="FT76" s="3">
        <f ca="1">IFERROR(__xludf.DUMMYFUNCTION("""COMPUTED_VALUE"""),-0.708554923200306)</f>
        <v>-0.708554923200306</v>
      </c>
      <c r="FU76" s="3">
        <f ca="1">IFERROR(__xludf.DUMMYFUNCTION("""COMPUTED_VALUE"""),-0.681299889871243)</f>
        <v>-0.68129988987124301</v>
      </c>
      <c r="FV76" s="3">
        <f ca="1">IFERROR(__xludf.DUMMYFUNCTION("""COMPUTED_VALUE"""),-0.592040599759253)</f>
        <v>-0.59204059975925305</v>
      </c>
      <c r="FW76" s="3">
        <f ca="1">IFERROR(__xludf.DUMMYFUNCTION("""COMPUTED_VALUE"""),-0.673691730156279)</f>
        <v>-0.67369173015627903</v>
      </c>
      <c r="FX76" s="3">
        <f ca="1">IFERROR(__xludf.DUMMYFUNCTION("""COMPUTED_VALUE"""),-0.690514680396613)</f>
        <v>-0.69051468039661301</v>
      </c>
      <c r="FY76" s="3">
        <f ca="1">IFERROR(__xludf.DUMMYFUNCTION("""COMPUTED_VALUE"""),-0.737932049657002)</f>
        <v>-0.73793204965700199</v>
      </c>
      <c r="FZ76" s="3">
        <f ca="1">IFERROR(__xludf.DUMMYFUNCTION("""COMPUTED_VALUE"""),-0.710391538268652)</f>
        <v>-0.71039153826865198</v>
      </c>
      <c r="GA76" s="3">
        <f ca="1">IFERROR(__xludf.DUMMYFUNCTION("""COMPUTED_VALUE"""),-0.739505274492894)</f>
        <v>-0.73950527449289405</v>
      </c>
      <c r="GB76" s="3">
        <f ca="1">IFERROR(__xludf.DUMMYFUNCTION("""COMPUTED_VALUE"""),-0.768847171723701)</f>
        <v>-0.76884717172370098</v>
      </c>
      <c r="GC76" s="3">
        <f ca="1">IFERROR(__xludf.DUMMYFUNCTION("""COMPUTED_VALUE"""),-0.818155125884371)</f>
        <v>-0.818155125884371</v>
      </c>
      <c r="GD76" s="3">
        <f ca="1">IFERROR(__xludf.DUMMYFUNCTION("""COMPUTED_VALUE"""),-0.674463876044246)</f>
        <v>-0.67446387604424596</v>
      </c>
      <c r="GE76" s="3">
        <f ca="1">IFERROR(__xludf.DUMMYFUNCTION("""COMPUTED_VALUE"""),-0.714550484017973)</f>
        <v>-0.71455048401797305</v>
      </c>
      <c r="GF76" s="3">
        <f ca="1">IFERROR(__xludf.DUMMYFUNCTION("""COMPUTED_VALUE"""),-0.717631376625391)</f>
        <v>-0.717631376625391</v>
      </c>
      <c r="GG76" s="3">
        <f ca="1">IFERROR(__xludf.DUMMYFUNCTION("""COMPUTED_VALUE"""),-0.708833515522649)</f>
        <v>-0.70883351552264895</v>
      </c>
      <c r="GH76" s="3">
        <f ca="1">IFERROR(__xludf.DUMMYFUNCTION("""COMPUTED_VALUE"""),-0.695723891135298)</f>
        <v>-0.69572389113529798</v>
      </c>
      <c r="GI76" s="3">
        <f ca="1">IFERROR(__xludf.DUMMYFUNCTION("""COMPUTED_VALUE"""),-0.664515203696281)</f>
        <v>-0.66451520369628103</v>
      </c>
      <c r="GJ76" s="3">
        <f ca="1">IFERROR(__xludf.DUMMYFUNCTION("""COMPUTED_VALUE"""),-0.56743032376058)</f>
        <v>-0.56743032376058</v>
      </c>
      <c r="GK76" s="3">
        <f ca="1">IFERROR(__xludf.DUMMYFUNCTION("""COMPUTED_VALUE"""),-0.695503825627823)</f>
        <v>-0.69550382562782298</v>
      </c>
      <c r="GL76" s="3">
        <f ca="1">IFERROR(__xludf.DUMMYFUNCTION("""COMPUTED_VALUE"""),-0.684066358919446)</f>
        <v>-0.684066358919446</v>
      </c>
      <c r="GM76" s="3">
        <f ca="1">IFERROR(__xludf.DUMMYFUNCTION("""COMPUTED_VALUE"""),-0.691363473199741)</f>
        <v>-0.69136347319974101</v>
      </c>
      <c r="GN76" s="3">
        <f ca="1">IFERROR(__xludf.DUMMYFUNCTION("""COMPUTED_VALUE"""),-0.686853302574428)</f>
        <v>-0.686853302574428</v>
      </c>
      <c r="GO76" s="3">
        <f ca="1">IFERROR(__xludf.DUMMYFUNCTION("""COMPUTED_VALUE"""),-0.670048120131224)</f>
        <v>-0.67004812013122395</v>
      </c>
      <c r="GP76" s="3">
        <f ca="1">IFERROR(__xludf.DUMMYFUNCTION("""COMPUTED_VALUE"""),-0.649623779711078)</f>
        <v>-0.64962377971107799</v>
      </c>
      <c r="GQ76" s="3">
        <f ca="1">IFERROR(__xludf.DUMMYFUNCTION("""COMPUTED_VALUE"""),-0.619203273038498)</f>
        <v>-0.61920327303849798</v>
      </c>
      <c r="GR76" s="3">
        <f ca="1">IFERROR(__xludf.DUMMYFUNCTION("""COMPUTED_VALUE"""),-0.523323957533362)</f>
        <v>-0.52332395753336203</v>
      </c>
      <c r="GS76" s="3">
        <f ca="1">IFERROR(__xludf.DUMMYFUNCTION("""COMPUTED_VALUE"""),-0.575825351489949)</f>
        <v>-0.57582535148994896</v>
      </c>
      <c r="GT76" s="3">
        <f ca="1">IFERROR(__xludf.DUMMYFUNCTION("""COMPUTED_VALUE"""),-0.646008668612578)</f>
        <v>-0.646008668612578</v>
      </c>
      <c r="GU76" s="3">
        <f ca="1">IFERROR(__xludf.DUMMYFUNCTION("""COMPUTED_VALUE"""),-0.633116025990079)</f>
        <v>-0.63311602599007899</v>
      </c>
      <c r="GV76" s="3">
        <f ca="1">IFERROR(__xludf.DUMMYFUNCTION("""COMPUTED_VALUE"""),-0.623048335475914)</f>
        <v>-0.62304833547591398</v>
      </c>
      <c r="GW76" s="3">
        <f ca="1">IFERROR(__xludf.DUMMYFUNCTION("""COMPUTED_VALUE"""),-0.619086618944807)</f>
        <v>-0.61908661894480699</v>
      </c>
      <c r="GX76" s="3">
        <f ca="1">IFERROR(__xludf.DUMMYFUNCTION("""COMPUTED_VALUE"""),-0.590445563093634)</f>
        <v>-0.59044556309363405</v>
      </c>
      <c r="GY76" s="3">
        <f ca="1">IFERROR(__xludf.DUMMYFUNCTION("""COMPUTED_VALUE"""),-0.577597602342965)</f>
        <v>-0.57759760234296498</v>
      </c>
      <c r="GZ76" s="3">
        <f ca="1">IFERROR(__xludf.DUMMYFUNCTION("""COMPUTED_VALUE"""),-0.606024907889585)</f>
        <v>-0.60602490788958496</v>
      </c>
      <c r="HA76" s="3">
        <f ca="1">IFERROR(__xludf.DUMMYFUNCTION("""COMPUTED_VALUE"""),-0.605285756096426)</f>
        <v>-0.60528575609642599</v>
      </c>
      <c r="HB76" s="3">
        <f ca="1">IFERROR(__xludf.DUMMYFUNCTION("""COMPUTED_VALUE"""),-0.609712987538992)</f>
        <v>-0.60971298753899195</v>
      </c>
      <c r="HC76" s="3">
        <f ca="1">IFERROR(__xludf.DUMMYFUNCTION("""COMPUTED_VALUE"""),-0.608541657389058)</f>
        <v>-0.60854165738905797</v>
      </c>
      <c r="HD76" s="3">
        <f ca="1">IFERROR(__xludf.DUMMYFUNCTION("""COMPUTED_VALUE"""),-0.59456684622674)</f>
        <v>-0.59456684622674005</v>
      </c>
      <c r="HE76" s="3">
        <f ca="1">IFERROR(__xludf.DUMMYFUNCTION("""COMPUTED_VALUE"""),-0.568954920544624)</f>
        <v>-0.56895492054462404</v>
      </c>
      <c r="HF76" s="3">
        <f ca="1">IFERROR(__xludf.DUMMYFUNCTION("""COMPUTED_VALUE"""),-0.52014167824738)</f>
        <v>-0.52014167824738</v>
      </c>
      <c r="HG76" s="3">
        <f ca="1">IFERROR(__xludf.DUMMYFUNCTION("""COMPUTED_VALUE"""),-0.516985415490351)</f>
        <v>-0.51698541549035104</v>
      </c>
      <c r="HH76" s="3">
        <f ca="1">IFERROR(__xludf.DUMMYFUNCTION("""COMPUTED_VALUE"""),-0.597145936671401)</f>
        <v>-0.59714593667140103</v>
      </c>
      <c r="HI76" s="3">
        <f ca="1">IFERROR(__xludf.DUMMYFUNCTION("""COMPUTED_VALUE"""),-0.590987684161437)</f>
        <v>-0.59098768416143699</v>
      </c>
      <c r="HJ76" s="3">
        <f ca="1">IFERROR(__xludf.DUMMYFUNCTION("""COMPUTED_VALUE"""),-0.592616363147613)</f>
        <v>-0.59261636314761301</v>
      </c>
      <c r="HK76" s="3">
        <f ca="1">IFERROR(__xludf.DUMMYFUNCTION("""COMPUTED_VALUE"""),-0.610879110964381)</f>
        <v>-0.61087911096438097</v>
      </c>
      <c r="HL76" s="3">
        <f ca="1">IFERROR(__xludf.DUMMYFUNCTION("""COMPUTED_VALUE"""),-0.776695754608828)</f>
        <v>-0.776695754608828</v>
      </c>
      <c r="HM76" s="3">
        <f ca="1">IFERROR(__xludf.DUMMYFUNCTION("""COMPUTED_VALUE"""),-0.401423263220271)</f>
        <v>-0.401423263220271</v>
      </c>
      <c r="HN76" s="3">
        <f ca="1">IFERROR(__xludf.DUMMYFUNCTION("""COMPUTED_VALUE"""),-0.470728026270957)</f>
        <v>-0.470728026270957</v>
      </c>
      <c r="HO76" s="3">
        <f ca="1">IFERROR(__xludf.DUMMYFUNCTION("""COMPUTED_VALUE"""),-0.555796527276855)</f>
        <v>-0.55579652727685502</v>
      </c>
      <c r="HP76" s="3">
        <f ca="1">IFERROR(__xludf.DUMMYFUNCTION("""COMPUTED_VALUE"""),-0.541505838033202)</f>
        <v>-0.54150583803320196</v>
      </c>
      <c r="HQ76" s="3">
        <f ca="1">IFERROR(__xludf.DUMMYFUNCTION("""COMPUTED_VALUE"""),-0.580749807740017)</f>
        <v>-0.58074980774001705</v>
      </c>
      <c r="HR76" s="3">
        <f ca="1">IFERROR(__xludf.DUMMYFUNCTION("""COMPUTED_VALUE"""),-0.502841366338454)</f>
        <v>-0.502841366338454</v>
      </c>
      <c r="HS76" s="3">
        <f ca="1">IFERROR(__xludf.DUMMYFUNCTION("""COMPUTED_VALUE"""),-0.417457948668757)</f>
        <v>-0.41745794866875702</v>
      </c>
      <c r="HT76" s="3">
        <f ca="1">IFERROR(__xludf.DUMMYFUNCTION("""COMPUTED_VALUE"""),-0.509958497853819)</f>
        <v>-0.50995849785381897</v>
      </c>
      <c r="HU76" s="3">
        <f ca="1">IFERROR(__xludf.DUMMYFUNCTION("""COMPUTED_VALUE"""),-0.570997472250364)</f>
        <v>-0.57099747225036401</v>
      </c>
      <c r="HV76" s="3">
        <f ca="1">IFERROR(__xludf.DUMMYFUNCTION("""COMPUTED_VALUE"""),-0.603147873811411)</f>
        <v>-0.60314787381141099</v>
      </c>
      <c r="HW76" s="3">
        <f ca="1">IFERROR(__xludf.DUMMYFUNCTION("""COMPUTED_VALUE"""),-0.636651880649403)</f>
        <v>-0.63665188064940303</v>
      </c>
      <c r="HX76" s="3">
        <f ca="1">IFERROR(__xludf.DUMMYFUNCTION("""COMPUTED_VALUE"""),-0.630087688851483)</f>
        <v>-0.63008768885148303</v>
      </c>
      <c r="HY76" s="3">
        <f ca="1">IFERROR(__xludf.DUMMYFUNCTION("""COMPUTED_VALUE"""),-0.603143296198835)</f>
        <v>-0.603143296198835</v>
      </c>
      <c r="HZ76" s="3">
        <f ca="1">IFERROR(__xludf.DUMMYFUNCTION("""COMPUTED_VALUE"""),-0.524693892910363)</f>
        <v>-0.52469389291036295</v>
      </c>
      <c r="IA76" s="3">
        <f ca="1">IFERROR(__xludf.DUMMYFUNCTION("""COMPUTED_VALUE"""),-0.613313934398552)</f>
        <v>-0.61331393439855197</v>
      </c>
      <c r="IB76" s="3">
        <f ca="1">IFERROR(__xludf.DUMMYFUNCTION("""COMPUTED_VALUE"""),-0.668601425514905)</f>
        <v>-0.66860142551490498</v>
      </c>
      <c r="IC76" s="3">
        <f ca="1">IFERROR(__xludf.DUMMYFUNCTION("""COMPUTED_VALUE"""),-0.852412137620205)</f>
        <v>-0.85241213762020496</v>
      </c>
      <c r="ID76" s="3">
        <f ca="1">IFERROR(__xludf.DUMMYFUNCTION("""COMPUTED_VALUE"""),-0.842918132952856)</f>
        <v>-0.842918132952856</v>
      </c>
      <c r="IE76" s="3">
        <f ca="1">IFERROR(__xludf.DUMMYFUNCTION("""COMPUTED_VALUE"""),-0.83599528053717)</f>
        <v>-0.83599528053716998</v>
      </c>
      <c r="IF76" s="3">
        <f ca="1">IFERROR(__xludf.DUMMYFUNCTION("""COMPUTED_VALUE"""),-0.848899691873349)</f>
        <v>-0.84889969187334902</v>
      </c>
      <c r="IG76" s="3">
        <f ca="1">IFERROR(__xludf.DUMMYFUNCTION("""COMPUTED_VALUE"""),-0.798748955442043)</f>
        <v>-0.79874895544204305</v>
      </c>
      <c r="IH76" s="3">
        <f ca="1">IFERROR(__xludf.DUMMYFUNCTION("""COMPUTED_VALUE"""),-0.544155589591394)</f>
        <v>-0.54415558959139398</v>
      </c>
      <c r="II76" s="3">
        <f ca="1">IFERROR(__xludf.DUMMYFUNCTION("""COMPUTED_VALUE"""),-0.669224928372448)</f>
        <v>-0.66922492837244796</v>
      </c>
      <c r="IJ76" s="3">
        <f ca="1">IFERROR(__xludf.DUMMYFUNCTION("""COMPUTED_VALUE"""),-0.811988607870783)</f>
        <v>-0.81198860787078297</v>
      </c>
      <c r="IK76" s="3">
        <f ca="1">IFERROR(__xludf.DUMMYFUNCTION("""COMPUTED_VALUE"""),-0.830776951881703)</f>
        <v>-0.83077695188170297</v>
      </c>
      <c r="IL76" s="3">
        <f ca="1">IFERROR(__xludf.DUMMYFUNCTION("""COMPUTED_VALUE"""),-0.812899752770782)</f>
        <v>-0.81289975277078197</v>
      </c>
      <c r="IM76" s="3">
        <f ca="1">IFERROR(__xludf.DUMMYFUNCTION("""COMPUTED_VALUE"""),-0.819230973272479)</f>
        <v>-0.81923097327247896</v>
      </c>
      <c r="IN76" s="3">
        <f ca="1">IFERROR(__xludf.DUMMYFUNCTION("""COMPUTED_VALUE"""),-0.754705889436279)</f>
        <v>-0.75470588943627903</v>
      </c>
      <c r="IO76" s="3">
        <f ca="1">IFERROR(__xludf.DUMMYFUNCTION("""COMPUTED_VALUE"""),-0.584986283634797)</f>
        <v>-0.58498628363479699</v>
      </c>
      <c r="IP76" s="3">
        <f ca="1">IFERROR(__xludf.DUMMYFUNCTION("""COMPUTED_VALUE"""),-0.65217512631479)</f>
        <v>-0.65217512631479002</v>
      </c>
      <c r="IQ76" s="3">
        <f ca="1">IFERROR(__xludf.DUMMYFUNCTION("""COMPUTED_VALUE"""),-0.778817331449998)</f>
        <v>-0.77881733144999798</v>
      </c>
      <c r="IR76" s="3">
        <f ca="1">IFERROR(__xludf.DUMMYFUNCTION("""COMPUTED_VALUE"""),-0.793604501664013)</f>
        <v>-0.79360450166401297</v>
      </c>
      <c r="IS76" s="3">
        <f ca="1">IFERROR(__xludf.DUMMYFUNCTION("""COMPUTED_VALUE"""),-0.820959555333094)</f>
        <v>-0.82095955533309395</v>
      </c>
      <c r="IT76" s="3">
        <f ca="1">IFERROR(__xludf.DUMMYFUNCTION("""COMPUTED_VALUE"""),-0.827604381971086)</f>
        <v>-0.82760438197108599</v>
      </c>
      <c r="IU76" s="3">
        <f ca="1">IFERROR(__xludf.DUMMYFUNCTION("""COMPUTED_VALUE"""),-0.747228083145358)</f>
        <v>-0.74722808314535805</v>
      </c>
      <c r="IV76" s="3">
        <f ca="1">IFERROR(__xludf.DUMMYFUNCTION("""COMPUTED_VALUE"""),-0.642500828495877)</f>
        <v>-0.64250082849587697</v>
      </c>
      <c r="IW76" s="3">
        <f ca="1">IFERROR(__xludf.DUMMYFUNCTION("""COMPUTED_VALUE"""),-0.620060062849838)</f>
        <v>-0.62006006284983795</v>
      </c>
      <c r="IX76" s="3">
        <f ca="1">IFERROR(__xludf.DUMMYFUNCTION("""COMPUTED_VALUE"""),-0.724530308149865)</f>
        <v>-0.72453030814986497</v>
      </c>
      <c r="IY76" s="3">
        <f ca="1">IFERROR(__xludf.DUMMYFUNCTION("""COMPUTED_VALUE"""),-0.711193983538132)</f>
        <v>-0.71119398353813201</v>
      </c>
      <c r="IZ76" s="3">
        <f ca="1">IFERROR(__xludf.DUMMYFUNCTION("""COMPUTED_VALUE"""),-0.723948897782239)</f>
        <v>-0.72394889778223903</v>
      </c>
      <c r="JA76" s="3">
        <f ca="1">IFERROR(__xludf.DUMMYFUNCTION("""COMPUTED_VALUE"""),-0.764254550215008)</f>
        <v>-0.76425455021500799</v>
      </c>
      <c r="JB76" s="3">
        <f ca="1">IFERROR(__xludf.DUMMYFUNCTION("""COMPUTED_VALUE"""),-0.748654047020387)</f>
        <v>-0.74865404702038696</v>
      </c>
      <c r="JC76" s="3">
        <f ca="1">IFERROR(__xludf.DUMMYFUNCTION("""COMPUTED_VALUE"""),-0.522422164622297)</f>
        <v>-0.52242216462229696</v>
      </c>
      <c r="JD76" s="3">
        <f ca="1">IFERROR(__xludf.DUMMYFUNCTION("""COMPUTED_VALUE"""),-0.623804879906668)</f>
        <v>-0.623804879906668</v>
      </c>
      <c r="JE76" s="3">
        <f ca="1">IFERROR(__xludf.DUMMYFUNCTION("""COMPUTED_VALUE"""),-0.743100764466385)</f>
        <v>-0.74310076446638496</v>
      </c>
      <c r="JF76" s="3">
        <f ca="1">IFERROR(__xludf.DUMMYFUNCTION("""COMPUTED_VALUE"""),-0.774760355332909)</f>
        <v>-0.77476035533290899</v>
      </c>
      <c r="JG76" s="3">
        <f ca="1">IFERROR(__xludf.DUMMYFUNCTION("""COMPUTED_VALUE"""),-0.770725249072012)</f>
        <v>-0.77072524907201201</v>
      </c>
      <c r="JH76" s="3">
        <f ca="1">IFERROR(__xludf.DUMMYFUNCTION("""COMPUTED_VALUE"""),-0.732827529582524)</f>
        <v>-0.73282752958252395</v>
      </c>
      <c r="JI76" s="3">
        <f ca="1">IFERROR(__xludf.DUMMYFUNCTION("""COMPUTED_VALUE"""),-0.693889206620317)</f>
        <v>-0.69388920662031695</v>
      </c>
      <c r="JJ76" s="3">
        <f ca="1">IFERROR(__xludf.DUMMYFUNCTION("""COMPUTED_VALUE"""),-0.548220989417208)</f>
        <v>-0.54822098941720798</v>
      </c>
      <c r="JK76" s="3">
        <f ca="1">IFERROR(__xludf.DUMMYFUNCTION("""COMPUTED_VALUE"""),-0.665392225966484)</f>
        <v>-0.66539222596648395</v>
      </c>
      <c r="JL76" s="3">
        <f ca="1">IFERROR(__xludf.DUMMYFUNCTION("""COMPUTED_VALUE"""),-0.770371115125018)</f>
        <v>-0.77037111512501799</v>
      </c>
      <c r="JM76" s="3">
        <f ca="1">IFERROR(__xludf.DUMMYFUNCTION("""COMPUTED_VALUE"""),-0.760878357633076)</f>
        <v>-0.76087835763307599</v>
      </c>
      <c r="JN76" s="3">
        <f ca="1">IFERROR(__xludf.DUMMYFUNCTION("""COMPUTED_VALUE"""),-0.762200164190449)</f>
        <v>-0.762200164190449</v>
      </c>
      <c r="JO76" s="3">
        <f ca="1">IFERROR(__xludf.DUMMYFUNCTION("""COMPUTED_VALUE"""),-0.75349324199805)</f>
        <v>-0.75349324199805001</v>
      </c>
      <c r="JP76" s="3">
        <f ca="1">IFERROR(__xludf.DUMMYFUNCTION("""COMPUTED_VALUE"""),-0.702956405556425)</f>
        <v>-0.70295640555642502</v>
      </c>
      <c r="JQ76" s="3">
        <f ca="1">IFERROR(__xludf.DUMMYFUNCTION("""COMPUTED_VALUE"""),-0.613704456357414)</f>
        <v>-0.613704456357414</v>
      </c>
      <c r="JR76" s="3">
        <f ca="1">IFERROR(__xludf.DUMMYFUNCTION("""COMPUTED_VALUE"""),-0.719263039506311)</f>
        <v>-0.71926303950631099</v>
      </c>
      <c r="JS76" s="3">
        <f ca="1">IFERROR(__xludf.DUMMYFUNCTION("""COMPUTED_VALUE"""),-0.775020348277578)</f>
        <v>-0.77502034827757804</v>
      </c>
      <c r="JT76" s="3">
        <f ca="1">IFERROR(__xludf.DUMMYFUNCTION("""COMPUTED_VALUE"""),-0.779979653125393)</f>
        <v>-0.77997965312539297</v>
      </c>
      <c r="JU76" s="3">
        <f ca="1">IFERROR(__xludf.DUMMYFUNCTION("""COMPUTED_VALUE"""),-0.792218467075894)</f>
        <v>-0.79221846707589405</v>
      </c>
      <c r="JV76" s="3">
        <f ca="1">IFERROR(__xludf.DUMMYFUNCTION("""COMPUTED_VALUE"""),-0.745193484684031)</f>
        <v>-0.74519348468403102</v>
      </c>
      <c r="JW76" s="3">
        <f ca="1">IFERROR(__xludf.DUMMYFUNCTION("""COMPUTED_VALUE"""),-0.646599093795997)</f>
        <v>-0.646599093795997</v>
      </c>
      <c r="JX76" s="3">
        <f ca="1">IFERROR(__xludf.DUMMYFUNCTION("""COMPUTED_VALUE"""),-0.509439899815408)</f>
        <v>-0.50943989981540805</v>
      </c>
      <c r="JY76" s="3">
        <f ca="1">IFERROR(__xludf.DUMMYFUNCTION("""COMPUTED_VALUE"""),-0.644884515816438)</f>
        <v>-0.64488451581643802</v>
      </c>
      <c r="JZ76" s="3">
        <f ca="1">IFERROR(__xludf.DUMMYFUNCTION("""COMPUTED_VALUE"""),-0.777148422263817)</f>
        <v>-0.77714842226381697</v>
      </c>
      <c r="KA76" s="3">
        <f ca="1">IFERROR(__xludf.DUMMYFUNCTION("""COMPUTED_VALUE"""),-0.769659657657604)</f>
        <v>-0.76965965765760402</v>
      </c>
      <c r="KB76" s="3">
        <f ca="1">IFERROR(__xludf.DUMMYFUNCTION("""COMPUTED_VALUE"""),-0.79643550539857)</f>
        <v>-0.79643550539857</v>
      </c>
      <c r="KC76" s="3">
        <f ca="1">IFERROR(__xludf.DUMMYFUNCTION("""COMPUTED_VALUE"""),-0.761547105261312)</f>
        <v>-0.76154710526131197</v>
      </c>
      <c r="KD76" s="3">
        <f ca="1">IFERROR(__xludf.DUMMYFUNCTION("""COMPUTED_VALUE"""),-0.649597042234799)</f>
        <v>-0.64959704223479897</v>
      </c>
      <c r="KE76" s="3">
        <f ca="1">IFERROR(__xludf.DUMMYFUNCTION("""COMPUTED_VALUE"""),-0.617785617132936)</f>
        <v>-0.617785617132936</v>
      </c>
      <c r="KF76" s="3">
        <f ca="1">IFERROR(__xludf.DUMMYFUNCTION("""COMPUTED_VALUE"""),-0.699537335016569)</f>
        <v>-0.69953733501656901</v>
      </c>
      <c r="KG76" s="3">
        <f ca="1">IFERROR(__xludf.DUMMYFUNCTION("""COMPUTED_VALUE"""),-0.813746027257081)</f>
        <v>-0.81374602725708101</v>
      </c>
      <c r="KH76" s="3">
        <f ca="1">IFERROR(__xludf.DUMMYFUNCTION("""COMPUTED_VALUE"""),-0.806630723573489)</f>
        <v>-0.80663072357348897</v>
      </c>
      <c r="KI76" s="3">
        <f ca="1">IFERROR(__xludf.DUMMYFUNCTION("""COMPUTED_VALUE"""),-0.829495981367724)</f>
        <v>-0.82949598136772396</v>
      </c>
      <c r="KJ76" s="3">
        <f ca="1">IFERROR(__xludf.DUMMYFUNCTION("""COMPUTED_VALUE"""),-0.791230864528144)</f>
        <v>-0.79123086452814395</v>
      </c>
      <c r="KK76" s="3">
        <f ca="1">IFERROR(__xludf.DUMMYFUNCTION("""COMPUTED_VALUE"""),-0.675893781243992)</f>
        <v>-0.67589378124399202</v>
      </c>
      <c r="KL76" s="3">
        <f ca="1">IFERROR(__xludf.DUMMYFUNCTION("""COMPUTED_VALUE"""),-0.586434686655307)</f>
        <v>-0.58643468665530696</v>
      </c>
      <c r="KM76" s="3">
        <f ca="1">IFERROR(__xludf.DUMMYFUNCTION("""COMPUTED_VALUE"""),-0.702887833140868)</f>
        <v>-0.702887833140868</v>
      </c>
      <c r="KN76" s="3">
        <f ca="1">IFERROR(__xludf.DUMMYFUNCTION("""COMPUTED_VALUE"""),-0.83389207825382)</f>
        <v>-0.83389207825381995</v>
      </c>
      <c r="KO76" s="3">
        <f ca="1">IFERROR(__xludf.DUMMYFUNCTION("""COMPUTED_VALUE"""),-0.831932345325011)</f>
        <v>-0.83193234532501104</v>
      </c>
      <c r="KP76" s="3">
        <f ca="1">IFERROR(__xludf.DUMMYFUNCTION("""COMPUTED_VALUE"""),-0.836129716839369)</f>
        <v>-0.83612971683936899</v>
      </c>
      <c r="KQ76" s="3">
        <f ca="1">IFERROR(__xludf.DUMMYFUNCTION("""COMPUTED_VALUE"""),-0.842734705970394)</f>
        <v>-0.84273470597039402</v>
      </c>
      <c r="KR76" s="3">
        <f ca="1">IFERROR(__xludf.DUMMYFUNCTION("""COMPUTED_VALUE"""),-0.772137127970095)</f>
        <v>-0.77213712797009504</v>
      </c>
      <c r="KS76" s="3">
        <f ca="1">IFERROR(__xludf.DUMMYFUNCTION("""COMPUTED_VALUE"""),-0.688626603031928)</f>
        <v>-0.68862660303192802</v>
      </c>
      <c r="KT76" s="3">
        <f ca="1">IFERROR(__xludf.DUMMYFUNCTION("""COMPUTED_VALUE"""),-0.791426344737954)</f>
        <v>-0.79142634473795404</v>
      </c>
      <c r="KU76" s="3">
        <f ca="1">IFERROR(__xludf.DUMMYFUNCTION("""COMPUTED_VALUE"""),-0.866401038325933)</f>
        <v>-0.86640103832593296</v>
      </c>
      <c r="KV76" s="3">
        <f ca="1">IFERROR(__xludf.DUMMYFUNCTION("""COMPUTED_VALUE"""),-0.889393956615032)</f>
        <v>-0.88939395661503196</v>
      </c>
      <c r="KW76" s="3">
        <f ca="1">IFERROR(__xludf.DUMMYFUNCTION("""COMPUTED_VALUE"""),-0.8682395901331)</f>
        <v>-0.86823959013310004</v>
      </c>
      <c r="KX76" s="3">
        <f ca="1">IFERROR(__xludf.DUMMYFUNCTION("""COMPUTED_VALUE"""),-0.859218600426076)</f>
        <v>-0.85921860042607601</v>
      </c>
      <c r="KY76" s="3">
        <f ca="1">IFERROR(__xludf.DUMMYFUNCTION("""COMPUTED_VALUE"""),-0.822826396427554)</f>
        <v>-0.82282639642755395</v>
      </c>
      <c r="KZ76" s="3">
        <f ca="1">IFERROR(__xludf.DUMMYFUNCTION("""COMPUTED_VALUE"""),-0.690167080198806)</f>
        <v>-0.69016708019880602</v>
      </c>
      <c r="LA76" s="3">
        <f ca="1">IFERROR(__xludf.DUMMYFUNCTION("""COMPUTED_VALUE"""),-0.822259520252478)</f>
        <v>-0.82225952025247795</v>
      </c>
      <c r="LB76" s="3">
        <f ca="1">IFERROR(__xludf.DUMMYFUNCTION("""COMPUTED_VALUE"""),-0.88146178164234)</f>
        <v>-0.88146178164234001</v>
      </c>
      <c r="LC76" s="3">
        <f ca="1">IFERROR(__xludf.DUMMYFUNCTION("""COMPUTED_VALUE"""),-0.901346177567989)</f>
        <v>-0.90134617756798896</v>
      </c>
      <c r="LD76" s="3">
        <f ca="1">IFERROR(__xludf.DUMMYFUNCTION("""COMPUTED_VALUE"""),-0.922286976621339)</f>
        <v>-0.92228697662133896</v>
      </c>
      <c r="LE76" s="3">
        <f ca="1">IFERROR(__xludf.DUMMYFUNCTION("""COMPUTED_VALUE"""),-0.897634318336603)</f>
        <v>-0.89763431833660301</v>
      </c>
      <c r="LF76" s="3">
        <f ca="1">IFERROR(__xludf.DUMMYFUNCTION("""COMPUTED_VALUE"""),-0.868521238066174)</f>
        <v>-0.86852123806617398</v>
      </c>
      <c r="LG76" s="3">
        <f ca="1">IFERROR(__xludf.DUMMYFUNCTION("""COMPUTED_VALUE"""),-0.780057891284942)</f>
        <v>-0.78005789128494196</v>
      </c>
      <c r="LH76" s="3">
        <f ca="1">IFERROR(__xludf.DUMMYFUNCTION("""COMPUTED_VALUE"""),-0.889151439346351)</f>
        <v>-0.88915143934635099</v>
      </c>
      <c r="LI76" s="3">
        <f ca="1">IFERROR(__xludf.DUMMYFUNCTION("""COMPUTED_VALUE"""),-0.931547809599158)</f>
        <v>-0.93154780959915795</v>
      </c>
      <c r="LJ76" s="3">
        <f ca="1">IFERROR(__xludf.DUMMYFUNCTION("""COMPUTED_VALUE"""),-0.924585185236968)</f>
        <v>-0.92458518523696798</v>
      </c>
      <c r="LK76" s="3">
        <f ca="1">IFERROR(__xludf.DUMMYFUNCTION("""COMPUTED_VALUE"""),-0.910189573659328)</f>
        <v>-0.91018957365932796</v>
      </c>
      <c r="LL76" s="3">
        <f ca="1">IFERROR(__xludf.DUMMYFUNCTION("""COMPUTED_VALUE"""),-0.896125665660217)</f>
        <v>-0.89612566566021701</v>
      </c>
      <c r="LM76" s="3">
        <f ca="1">IFERROR(__xludf.DUMMYFUNCTION("""COMPUTED_VALUE"""),-0.869604942346568)</f>
        <v>-0.86960494234656804</v>
      </c>
      <c r="LN76" s="3">
        <f ca="1">IFERROR(__xludf.DUMMYFUNCTION("""COMPUTED_VALUE"""),-0.833015083577555)</f>
        <v>-0.83301508357755505</v>
      </c>
      <c r="LO76" s="3">
        <f ca="1">IFERROR(__xludf.DUMMYFUNCTION("""COMPUTED_VALUE"""),-0.881327367680405)</f>
        <v>-0.88132736768040498</v>
      </c>
      <c r="LP76" s="3">
        <f ca="1">IFERROR(__xludf.DUMMYFUNCTION("""COMPUTED_VALUE"""),-0.94155430017442)</f>
        <v>-0.94155430017441999</v>
      </c>
      <c r="LQ76" s="3">
        <f ca="1">IFERROR(__xludf.DUMMYFUNCTION("""COMPUTED_VALUE"""),-0.958663173659177)</f>
        <v>-0.95866317365917697</v>
      </c>
      <c r="LR76" s="3">
        <f ca="1">IFERROR(__xludf.DUMMYFUNCTION("""COMPUTED_VALUE"""),-0.946290124356975)</f>
        <v>-0.94629012435697502</v>
      </c>
      <c r="LS76" s="3">
        <f ca="1">IFERROR(__xludf.DUMMYFUNCTION("""COMPUTED_VALUE"""),-0.952340402497841)</f>
        <v>-0.95234040249784102</v>
      </c>
      <c r="LT76" s="3">
        <f ca="1">IFERROR(__xludf.DUMMYFUNCTION("""COMPUTED_VALUE"""),-0.929937029509526)</f>
        <v>-0.92993702950952595</v>
      </c>
      <c r="LU76" s="3">
        <f ca="1">IFERROR(__xludf.DUMMYFUNCTION("""COMPUTED_VALUE"""),-0.886662132228503)</f>
        <v>-0.88666213222850299</v>
      </c>
      <c r="LV76" s="3">
        <f ca="1">IFERROR(__xludf.DUMMYFUNCTION("""COMPUTED_VALUE"""),-0.930314502043335)</f>
        <v>-0.93031450204333499</v>
      </c>
      <c r="LW76" s="3">
        <f ca="1">IFERROR(__xludf.DUMMYFUNCTION("""COMPUTED_VALUE"""),-0.968861045490094)</f>
        <v>-0.968861045490094</v>
      </c>
      <c r="LX76" s="3">
        <f ca="1">IFERROR(__xludf.DUMMYFUNCTION("""COMPUTED_VALUE"""),-0.961226760989561)</f>
        <v>-0.96122676098956095</v>
      </c>
      <c r="LY76" s="3">
        <f ca="1">IFERROR(__xludf.DUMMYFUNCTION("""COMPUTED_VALUE"""),-0.96466299116869)</f>
        <v>-0.96466299116869003</v>
      </c>
      <c r="LZ76" s="3">
        <f ca="1">IFERROR(__xludf.DUMMYFUNCTION("""COMPUTED_VALUE"""),-0.961372986484344)</f>
        <v>-0.96137298648434399</v>
      </c>
      <c r="MA76" s="3">
        <f ca="1">IFERROR(__xludf.DUMMYFUNCTION("""COMPUTED_VALUE"""),-0.953198159183386)</f>
        <v>-0.95319815918338602</v>
      </c>
      <c r="MB76" s="3">
        <f ca="1">IFERROR(__xludf.DUMMYFUNCTION("""COMPUTED_VALUE"""),-0.912641126545325)</f>
        <v>-0.91264112654532503</v>
      </c>
      <c r="MC76" s="3">
        <f ca="1">IFERROR(__xludf.DUMMYFUNCTION("""COMPUTED_VALUE"""),-0.935968864341593)</f>
        <v>-0.93596886434159299</v>
      </c>
      <c r="MD76" s="3">
        <f ca="1">IFERROR(__xludf.DUMMYFUNCTION("""COMPUTED_VALUE"""),-0.967913151712903)</f>
        <v>-0.96791315171290304</v>
      </c>
      <c r="ME76" s="3">
        <f ca="1">IFERROR(__xludf.DUMMYFUNCTION("""COMPUTED_VALUE"""),-0.967707903275812)</f>
        <v>-0.96770790327581202</v>
      </c>
      <c r="MF76" s="3">
        <f ca="1">IFERROR(__xludf.DUMMYFUNCTION("""COMPUTED_VALUE"""),-0.958120537692253)</f>
        <v>-0.95812053769225303</v>
      </c>
      <c r="MG76" s="3">
        <f ca="1">IFERROR(__xludf.DUMMYFUNCTION("""COMPUTED_VALUE"""),-0.954974266412307)</f>
        <v>-0.95497426641230698</v>
      </c>
      <c r="MH76" s="3">
        <f ca="1">IFERROR(__xludf.DUMMYFUNCTION("""COMPUTED_VALUE"""),-0.943139313840382)</f>
        <v>-0.94313931384038197</v>
      </c>
      <c r="MI76" s="3">
        <f ca="1">IFERROR(__xludf.DUMMYFUNCTION("""COMPUTED_VALUE"""),-0.909804815291533)</f>
        <v>-0.90980481529153301</v>
      </c>
      <c r="MJ76" s="3">
        <f ca="1">IFERROR(__xludf.DUMMYFUNCTION("""COMPUTED_VALUE"""),-0.946506994074702)</f>
        <v>-0.94650699407470196</v>
      </c>
      <c r="MK76" s="3">
        <f ca="1">IFERROR(__xludf.DUMMYFUNCTION("""COMPUTED_VALUE"""),-0.973120760205951)</f>
        <v>-0.97312076020595095</v>
      </c>
      <c r="ML76" s="3">
        <f ca="1">IFERROR(__xludf.DUMMYFUNCTION("""COMPUTED_VALUE"""),-0.96846692885573)</f>
        <v>-0.96846692885573005</v>
      </c>
      <c r="MM76" s="3">
        <f ca="1">IFERROR(__xludf.DUMMYFUNCTION("""COMPUTED_VALUE"""),-0.965997708808245)</f>
        <v>-0.96599770880824498</v>
      </c>
      <c r="MN76" s="3">
        <f ca="1">IFERROR(__xludf.DUMMYFUNCTION("""COMPUTED_VALUE"""),-0.962769040020166)</f>
        <v>-0.96276904002016594</v>
      </c>
      <c r="MO76" s="3">
        <f ca="1">IFERROR(__xludf.DUMMYFUNCTION("""COMPUTED_VALUE"""),-0.95962110264275)</f>
        <v>-0.95962110264275002</v>
      </c>
      <c r="MP76" s="3">
        <f ca="1">IFERROR(__xludf.DUMMYFUNCTION("""COMPUTED_VALUE"""),-0.918955925419319)</f>
        <v>-0.91895592541931903</v>
      </c>
      <c r="MQ76" s="3">
        <f ca="1">IFERROR(__xludf.DUMMYFUNCTION("""COMPUTED_VALUE"""),-0.948380005364733)</f>
        <v>-0.94838000536473299</v>
      </c>
      <c r="MR76" s="3">
        <f ca="1">IFERROR(__xludf.DUMMYFUNCTION("""COMPUTED_VALUE"""),-0.975124155860981)</f>
        <v>-0.975124155860981</v>
      </c>
      <c r="MS76" s="3">
        <f ca="1">IFERROR(__xludf.DUMMYFUNCTION("""COMPUTED_VALUE"""),-0.977615128585867)</f>
        <v>-0.97761512858586697</v>
      </c>
      <c r="MT76" s="3">
        <f ca="1">IFERROR(__xludf.DUMMYFUNCTION("""COMPUTED_VALUE"""),-0.976473747199144)</f>
        <v>-0.97647374719914404</v>
      </c>
      <c r="MU76" s="3">
        <f ca="1">IFERROR(__xludf.DUMMYFUNCTION("""COMPUTED_VALUE"""),-0.970127795230671)</f>
        <v>-0.97012779523067105</v>
      </c>
      <c r="MV76" s="3">
        <f ca="1">IFERROR(__xludf.DUMMYFUNCTION("""COMPUTED_VALUE"""),-0.947209248765518)</f>
        <v>-0.94720924876551804</v>
      </c>
      <c r="MW76" s="3">
        <f ca="1">IFERROR(__xludf.DUMMYFUNCTION("""COMPUTED_VALUE"""),-0.930432660842094)</f>
        <v>-0.93043266084209397</v>
      </c>
      <c r="MX76" s="3">
        <f ca="1">IFERROR(__xludf.DUMMYFUNCTION("""COMPUTED_VALUE"""),-0.93782148971304)</f>
        <v>-0.93782148971304002</v>
      </c>
      <c r="MY76" s="3">
        <f ca="1">IFERROR(__xludf.DUMMYFUNCTION("""COMPUTED_VALUE"""),-0.972930601484139)</f>
        <v>-0.97293060148413901</v>
      </c>
      <c r="MZ76" s="3">
        <f ca="1">IFERROR(__xludf.DUMMYFUNCTION("""COMPUTED_VALUE"""),-0.972939829861892)</f>
        <v>-0.97293982986189198</v>
      </c>
      <c r="NA76" s="3">
        <f ca="1">IFERROR(__xludf.DUMMYFUNCTION("""COMPUTED_VALUE"""),-0.972755273603343)</f>
        <v>-0.97275527360334302</v>
      </c>
      <c r="NB76" s="3">
        <f ca="1">IFERROR(__xludf.DUMMYFUNCTION("""COMPUTED_VALUE"""),-0.965725306089112)</f>
        <v>-0.965725306089112</v>
      </c>
      <c r="NC76" s="3">
        <f ca="1">IFERROR(__xludf.DUMMYFUNCTION("""COMPUTED_VALUE"""),-0.959592423661331)</f>
        <v>-0.95959242366133102</v>
      </c>
      <c r="ND76" s="3">
        <f ca="1">IFERROR(__xludf.DUMMYFUNCTION("""COMPUTED_VALUE"""),-0.920624777600862)</f>
        <v>-0.92062477760086203</v>
      </c>
      <c r="NE76" s="3">
        <f ca="1">IFERROR(__xludf.DUMMYFUNCTION("""COMPUTED_VALUE"""),-0.93637043702154)</f>
        <v>-0.93637043702153999</v>
      </c>
      <c r="NF76" s="3">
        <f ca="1">IFERROR(__xludf.DUMMYFUNCTION("""COMPUTED_VALUE"""),-0.969978388445801)</f>
        <v>-0.96997838844580098</v>
      </c>
      <c r="NG76" s="3">
        <f ca="1">IFERROR(__xludf.DUMMYFUNCTION("""COMPUTED_VALUE"""),-0.973133193082419)</f>
        <v>-0.97313319308241897</v>
      </c>
      <c r="NH76" s="3">
        <f ca="1">IFERROR(__xludf.DUMMYFUNCTION("""COMPUTED_VALUE"""),-0.97408666808403)</f>
        <v>-0.97408666808402999</v>
      </c>
      <c r="NI76" s="3">
        <f ca="1">IFERROR(__xludf.DUMMYFUNCTION("""COMPUTED_VALUE"""),-0.970326484463253)</f>
        <v>-0.97032648446325298</v>
      </c>
      <c r="NJ76" s="3">
        <f ca="1">IFERROR(__xludf.DUMMYFUNCTION("""COMPUTED_VALUE"""),-0.965246449370734)</f>
        <v>-0.96524644937073401</v>
      </c>
      <c r="NK76" s="3">
        <f ca="1">IFERROR(__xludf.DUMMYFUNCTION("""COMPUTED_VALUE"""),-0.921503574001264)</f>
        <v>-0.92150357400126404</v>
      </c>
      <c r="NL76" s="3">
        <f ca="1">IFERROR(__xludf.DUMMYFUNCTION("""COMPUTED_VALUE"""),-0.931580576716433)</f>
        <v>-0.93158057671643302</v>
      </c>
      <c r="NM76" s="3">
        <f ca="1">IFERROR(__xludf.DUMMYFUNCTION("""COMPUTED_VALUE"""),-0.963682054179775)</f>
        <v>-0.96368205417977504</v>
      </c>
      <c r="NN76" s="3">
        <f ca="1">IFERROR(__xludf.DUMMYFUNCTION("""COMPUTED_VALUE"""),-0.955659939697198)</f>
        <v>-0.95565993969719798</v>
      </c>
      <c r="NO76" s="3">
        <f ca="1">IFERROR(__xludf.DUMMYFUNCTION("""COMPUTED_VALUE"""),-0.946165057665249)</f>
        <v>-0.94616505766524905</v>
      </c>
      <c r="NP76" s="3">
        <f ca="1">IFERROR(__xludf.DUMMYFUNCTION("""COMPUTED_VALUE"""),-0.933647350975069)</f>
        <v>-0.93364735097506901</v>
      </c>
      <c r="NQ76" s="3">
        <f ca="1">IFERROR(__xludf.DUMMYFUNCTION("""COMPUTED_VALUE"""),-0.915495316550507)</f>
        <v>-0.91549531655050698</v>
      </c>
      <c r="NR76" s="3">
        <f ca="1">IFERROR(__xludf.DUMMYFUNCTION("""COMPUTED_VALUE"""),-0.888219950429951)</f>
        <v>-0.88821995042995106</v>
      </c>
      <c r="NS76" s="3">
        <f ca="1">IFERROR(__xludf.DUMMYFUNCTION("""COMPUTED_VALUE"""),-0.890447207983206)</f>
        <v>-0.89044720798320598</v>
      </c>
      <c r="NT76" s="3">
        <f ca="1">IFERROR(__xludf.DUMMYFUNCTION("""COMPUTED_VALUE"""),-0.908846025615178)</f>
        <v>-0.90884602561517802</v>
      </c>
      <c r="NU76" s="3">
        <f ca="1">IFERROR(__xludf.DUMMYFUNCTION("""COMPUTED_VALUE"""),-0.89746458400882)</f>
        <v>-0.89746458400882001</v>
      </c>
      <c r="NV76" s="3">
        <f ca="1">IFERROR(__xludf.DUMMYFUNCTION("""COMPUTED_VALUE"""),-0.889182010444633)</f>
        <v>-0.88918201044463296</v>
      </c>
      <c r="NW76" s="3">
        <f ca="1">IFERROR(__xludf.DUMMYFUNCTION("""COMPUTED_VALUE"""),-0.839831511686808)</f>
        <v>-0.83983151168680803</v>
      </c>
      <c r="NX76" s="3">
        <f ca="1">IFERROR(__xludf.DUMMYFUNCTION("""COMPUTED_VALUE"""),-0.851861559899556)</f>
        <v>-0.85186155989955603</v>
      </c>
      <c r="NY76" s="3">
        <f ca="1">IFERROR(__xludf.DUMMYFUNCTION("""COMPUTED_VALUE"""),-0.84149625698902)</f>
        <v>-0.84149625698901998</v>
      </c>
      <c r="NZ76" s="3">
        <f ca="1">IFERROR(__xludf.DUMMYFUNCTION("""COMPUTED_VALUE"""),-0.834600055000848)</f>
        <v>-0.834600055000848</v>
      </c>
      <c r="OA76" s="3">
        <f ca="1">IFERROR(__xludf.DUMMYFUNCTION("""COMPUTED_VALUE"""),-0.81762151503464)</f>
        <v>-0.81762151503463998</v>
      </c>
      <c r="OB76" s="3">
        <f ca="1">IFERROR(__xludf.DUMMYFUNCTION("""COMPUTED_VALUE"""),-0.792431764512946)</f>
        <v>-0.79243176451294595</v>
      </c>
      <c r="OC76" s="3">
        <f ca="1">IFERROR(__xludf.DUMMYFUNCTION("""COMPUTED_VALUE"""),-0.767215689107757)</f>
        <v>-0.76721568910775695</v>
      </c>
      <c r="OD76" s="3">
        <f ca="1">IFERROR(__xludf.DUMMYFUNCTION("""COMPUTED_VALUE"""),-0.704609786923519)</f>
        <v>-0.70460978692351905</v>
      </c>
      <c r="OE76" s="3">
        <f ca="1">IFERROR(__xludf.DUMMYFUNCTION("""COMPUTED_VALUE"""),-0.60082919981908)</f>
        <v>-0.60082919981908001</v>
      </c>
      <c r="OF76" s="3">
        <f ca="1">IFERROR(__xludf.DUMMYFUNCTION("""COMPUTED_VALUE"""),-0.485444326138205)</f>
        <v>-0.48544432613820498</v>
      </c>
      <c r="OG76" s="3">
        <f ca="1">IFERROR(__xludf.DUMMYFUNCTION("""COMPUTED_VALUE"""),-0.392646150057155)</f>
        <v>-0.39264615005715497</v>
      </c>
      <c r="OH76" s="3">
        <f ca="1">IFERROR(__xludf.DUMMYFUNCTION("""COMPUTED_VALUE"""),-0.261048925224932)</f>
        <v>-0.261048925224932</v>
      </c>
      <c r="OI76" s="3">
        <f ca="1">IFERROR(__xludf.DUMMYFUNCTION("""COMPUTED_VALUE"""),-0.017805116777287)</f>
        <v>-1.7805116777287001E-2</v>
      </c>
      <c r="OJ76" s="3">
        <f ca="1">IFERROR(__xludf.DUMMYFUNCTION("""COMPUTED_VALUE"""),0.0420198439217203)</f>
        <v>4.2019843921720298E-2</v>
      </c>
      <c r="OK76" s="3">
        <f ca="1">IFERROR(__xludf.DUMMYFUNCTION("""COMPUTED_VALUE"""),0.137448651266668)</f>
        <v>0.137448651266668</v>
      </c>
      <c r="OL76" s="3">
        <f ca="1">IFERROR(__xludf.DUMMYFUNCTION("""COMPUTED_VALUE"""),0.0610516864516215)</f>
        <v>6.1051686451621498E-2</v>
      </c>
      <c r="OM76" s="3">
        <f ca="1">IFERROR(__xludf.DUMMYFUNCTION("""COMPUTED_VALUE"""),-0.0778327854230868)</f>
        <v>-7.7832785423086803E-2</v>
      </c>
      <c r="ON76" s="3">
        <f ca="1">IFERROR(__xludf.DUMMYFUNCTION("""COMPUTED_VALUE"""),0.0293444603953865)</f>
        <v>2.9344460395386501E-2</v>
      </c>
      <c r="OO76" s="3">
        <f ca="1">IFERROR(__xludf.DUMMYFUNCTION("""COMPUTED_VALUE"""),-0.025147359188771)</f>
        <v>-2.5147359188771E-2</v>
      </c>
      <c r="OP76" s="3">
        <f ca="1">IFERROR(__xludf.DUMMYFUNCTION("""COMPUTED_VALUE"""),-0.0324365504710697)</f>
        <v>-3.2436550471069699E-2</v>
      </c>
      <c r="OQ76" s="3">
        <f ca="1">IFERROR(__xludf.DUMMYFUNCTION("""COMPUTED_VALUE"""),-0.0310348010446436)</f>
        <v>-3.1034801044643599E-2</v>
      </c>
      <c r="OR76" s="3">
        <f ca="1">IFERROR(__xludf.DUMMYFUNCTION("""COMPUTED_VALUE"""),0.0564593517459401)</f>
        <v>5.6459351745940099E-2</v>
      </c>
      <c r="OS76" s="3">
        <f ca="1">IFERROR(__xludf.DUMMYFUNCTION("""COMPUTED_VALUE"""),0.0180588438920898)</f>
        <v>1.8058843892089799E-2</v>
      </c>
      <c r="OT76" s="3">
        <f ca="1">IFERROR(__xludf.DUMMYFUNCTION("""COMPUTED_VALUE"""),-0.0607881671574364)</f>
        <v>-6.0788167157436401E-2</v>
      </c>
      <c r="OU76" s="3">
        <f ca="1">IFERROR(__xludf.DUMMYFUNCTION("""COMPUTED_VALUE"""),-0.0409082177215847)</f>
        <v>-4.0908217721584698E-2</v>
      </c>
      <c r="OV76" s="3">
        <f ca="1">IFERROR(__xludf.DUMMYFUNCTION("""COMPUTED_VALUE"""),0.109246816110919)</f>
        <v>0.10924681611091901</v>
      </c>
      <c r="OW76" s="3">
        <f ca="1">IFERROR(__xludf.DUMMYFUNCTION("""COMPUTED_VALUE"""),0.0745709144803004)</f>
        <v>7.4570914480300399E-2</v>
      </c>
      <c r="OX76" s="3">
        <f ca="1">IFERROR(__xludf.DUMMYFUNCTION("""COMPUTED_VALUE"""),0.123415801156398)</f>
        <v>0.123415801156398</v>
      </c>
      <c r="OY76" s="3">
        <f ca="1">IFERROR(__xludf.DUMMYFUNCTION("""COMPUTED_VALUE"""),0.0710477682659327)</f>
        <v>7.1047768265932704E-2</v>
      </c>
      <c r="OZ76" s="3">
        <f ca="1">IFERROR(__xludf.DUMMYFUNCTION("""COMPUTED_VALUE"""),-0.0106919151631788)</f>
        <v>-1.06919151631788E-2</v>
      </c>
      <c r="PA76" s="3">
        <f ca="1">IFERROR(__xludf.DUMMYFUNCTION("""COMPUTED_VALUE"""),-0.233492109421857)</f>
        <v>-0.233492109421857</v>
      </c>
      <c r="PB76" s="3">
        <f ca="1">IFERROR(__xludf.DUMMYFUNCTION("""COMPUTED_VALUE"""),-0.0710794510613772)</f>
        <v>-7.1079451061377197E-2</v>
      </c>
      <c r="PC76" s="3">
        <f ca="1">IFERROR(__xludf.DUMMYFUNCTION("""COMPUTED_VALUE"""),-0.00119664322682755)</f>
        <v>-1.1966432268275501E-3</v>
      </c>
      <c r="PD76" s="3">
        <f ca="1">IFERROR(__xludf.DUMMYFUNCTION("""COMPUTED_VALUE"""),-0.0465124961064039)</f>
        <v>-4.65124961064039E-2</v>
      </c>
      <c r="PE76" s="3">
        <f ca="1">IFERROR(__xludf.DUMMYFUNCTION("""COMPUTED_VALUE"""),0.213909013363908)</f>
        <v>0.213909013363908</v>
      </c>
      <c r="PF76" s="3">
        <f ca="1">IFERROR(__xludf.DUMMYFUNCTION("""COMPUTED_VALUE"""),0.0754081590259019)</f>
        <v>7.5408159025901894E-2</v>
      </c>
      <c r="PG76" s="3">
        <f ca="1">IFERROR(__xludf.DUMMYFUNCTION("""COMPUTED_VALUE"""),0.00669128898136617)</f>
        <v>6.6912889813661698E-3</v>
      </c>
      <c r="PH76" s="3">
        <f ca="1">IFERROR(__xludf.DUMMYFUNCTION("""COMPUTED_VALUE"""),-0.126386201850175)</f>
        <v>-0.12638620185017499</v>
      </c>
      <c r="PI76" s="3">
        <f ca="1">IFERROR(__xludf.DUMMYFUNCTION("""COMPUTED_VALUE"""),-0.0797941048347784)</f>
        <v>-7.9794104834778404E-2</v>
      </c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</row>
    <row r="77" spans="1:477" ht="13">
      <c r="A77" s="1" t="str">
        <f ca="1">IFERROR(__xludf.DUMMYFUNCTION("""COMPUTED_VALUE"""),"exo Sorel-Varennes")</f>
        <v>exo Sorel-Varennes</v>
      </c>
      <c r="B77" s="1" t="str">
        <f ca="1">IFERROR(__xludf.DUMMYFUNCTION("""COMPUTED_VALUE"""),"Montréal")</f>
        <v>Montréal</v>
      </c>
      <c r="C77" s="1" t="str">
        <f ca="1">IFERROR(__xludf.DUMMYFUNCTION("""COMPUTED_VALUE"""),"Canada")</f>
        <v>Canada</v>
      </c>
      <c r="D77" s="1" t="str">
        <f ca="1">IFERROR(__xludf.DUMMYFUNCTION("""COMPUTED_VALUE"""),"Quebec")</f>
        <v>Quebec</v>
      </c>
      <c r="E77" s="3">
        <f ca="1">IFERROR(__xludf.DUMMYFUNCTION("""COMPUTED_VALUE"""),-0.489936236735984)</f>
        <v>-0.48993623673598402</v>
      </c>
      <c r="F77" s="3">
        <f ca="1">IFERROR(__xludf.DUMMYFUNCTION("""COMPUTED_VALUE"""),-0.561482204512754)</f>
        <v>-0.56148220451275399</v>
      </c>
      <c r="G77" s="3">
        <f ca="1">IFERROR(__xludf.DUMMYFUNCTION("""COMPUTED_VALUE"""),-0.571284295207853)</f>
        <v>-0.57128429520785295</v>
      </c>
      <c r="H77" s="3">
        <f ca="1">IFERROR(__xludf.DUMMYFUNCTION("""COMPUTED_VALUE"""),-0.534022800871264)</f>
        <v>-0.53402280087126397</v>
      </c>
      <c r="I77" s="3">
        <f ca="1">IFERROR(__xludf.DUMMYFUNCTION("""COMPUTED_VALUE"""),-0.546279131370538)</f>
        <v>-0.54627913137053796</v>
      </c>
      <c r="J77" s="3">
        <f ca="1">IFERROR(__xludf.DUMMYFUNCTION("""COMPUTED_VALUE"""),-0.505202588830117)</f>
        <v>-0.50520258883011704</v>
      </c>
      <c r="K77" s="3">
        <f ca="1">IFERROR(__xludf.DUMMYFUNCTION("""COMPUTED_VALUE"""),-0.486661092915292)</f>
        <v>-0.48666109291529203</v>
      </c>
      <c r="L77" s="3">
        <f ca="1">IFERROR(__xludf.DUMMYFUNCTION("""COMPUTED_VALUE"""),-0.491780262695214)</f>
        <v>-0.49178026269521402</v>
      </c>
      <c r="M77" s="3">
        <f ca="1">IFERROR(__xludf.DUMMYFUNCTION("""COMPUTED_VALUE"""),-0.559179682476539)</f>
        <v>-0.55917968247653904</v>
      </c>
      <c r="N77" s="3">
        <f ca="1">IFERROR(__xludf.DUMMYFUNCTION("""COMPUTED_VALUE"""),-0.556174500538485)</f>
        <v>-0.55617450053848505</v>
      </c>
      <c r="O77" s="3">
        <f ca="1">IFERROR(__xludf.DUMMYFUNCTION("""COMPUTED_VALUE"""),-0.571335117333936)</f>
        <v>-0.57133511733393605</v>
      </c>
      <c r="P77" s="3">
        <f ca="1">IFERROR(__xludf.DUMMYFUNCTION("""COMPUTED_VALUE"""),-0.568280440394666)</f>
        <v>-0.56828044039466596</v>
      </c>
      <c r="Q77" s="3">
        <f ca="1">IFERROR(__xludf.DUMMYFUNCTION("""COMPUTED_VALUE"""),-0.571407207288227)</f>
        <v>-0.57140720728822703</v>
      </c>
      <c r="R77" s="3">
        <f ca="1">IFERROR(__xludf.DUMMYFUNCTION("""COMPUTED_VALUE"""),-0.528676094334266)</f>
        <v>-0.52867609433426599</v>
      </c>
      <c r="S77" s="3">
        <f ca="1">IFERROR(__xludf.DUMMYFUNCTION("""COMPUTED_VALUE"""),-0.486591513765483)</f>
        <v>-0.48659151376548299</v>
      </c>
      <c r="T77" s="3">
        <f ca="1">IFERROR(__xludf.DUMMYFUNCTION("""COMPUTED_VALUE"""),-0.649140358390566)</f>
        <v>-0.64914035839056605</v>
      </c>
      <c r="U77" s="3">
        <f ca="1">IFERROR(__xludf.DUMMYFUNCTION("""COMPUTED_VALUE"""),-0.575386589658371)</f>
        <v>-0.57538658965837097</v>
      </c>
      <c r="V77" s="3">
        <f ca="1">IFERROR(__xludf.DUMMYFUNCTION("""COMPUTED_VALUE"""),-0.572290961870785)</f>
        <v>-0.57229096187078499</v>
      </c>
      <c r="W77" s="3">
        <f ca="1">IFERROR(__xludf.DUMMYFUNCTION("""COMPUTED_VALUE"""),-0.573684763578403)</f>
        <v>-0.57368476357840303</v>
      </c>
      <c r="X77" s="3">
        <f ca="1">IFERROR(__xludf.DUMMYFUNCTION("""COMPUTED_VALUE"""),-0.581373760196992)</f>
        <v>-0.58137376019699205</v>
      </c>
      <c r="Y77" s="3">
        <f ca="1">IFERROR(__xludf.DUMMYFUNCTION("""COMPUTED_VALUE"""),-0.437959385433936)</f>
        <v>-0.43795938543393598</v>
      </c>
      <c r="Z77" s="3">
        <f ca="1">IFERROR(__xludf.DUMMYFUNCTION("""COMPUTED_VALUE"""),-0.499900919382794)</f>
        <v>-0.49990091938279402</v>
      </c>
      <c r="AA77" s="3">
        <f ca="1">IFERROR(__xludf.DUMMYFUNCTION("""COMPUTED_VALUE"""),-0.626276740756458)</f>
        <v>-0.62627674075645801</v>
      </c>
      <c r="AB77" s="3">
        <f ca="1">IFERROR(__xludf.DUMMYFUNCTION("""COMPUTED_VALUE"""),-0.618177313066152)</f>
        <v>-0.61817731306615198</v>
      </c>
      <c r="AC77" s="3">
        <f ca="1">IFERROR(__xludf.DUMMYFUNCTION("""COMPUTED_VALUE"""),-0.585361892505496)</f>
        <v>-0.58536189250549597</v>
      </c>
      <c r="AD77" s="3">
        <f ca="1">IFERROR(__xludf.DUMMYFUNCTION("""COMPUTED_VALUE"""),-0.611311714693915)</f>
        <v>-0.61131171469391499</v>
      </c>
      <c r="AE77" s="3">
        <f ca="1">IFERROR(__xludf.DUMMYFUNCTION("""COMPUTED_VALUE"""),-0.571584744599781)</f>
        <v>-0.57158474459978104</v>
      </c>
      <c r="AF77" s="3">
        <f ca="1">IFERROR(__xludf.DUMMYFUNCTION("""COMPUTED_VALUE"""),-0.521970208419973)</f>
        <v>-0.52197020841997299</v>
      </c>
      <c r="AG77" s="3">
        <f ca="1">IFERROR(__xludf.DUMMYFUNCTION("""COMPUTED_VALUE"""),-0.546217465184555)</f>
        <v>-0.54621746518455505</v>
      </c>
      <c r="AH77" s="3">
        <f ca="1">IFERROR(__xludf.DUMMYFUNCTION("""COMPUTED_VALUE"""),-0.625036765858899)</f>
        <v>-0.625036765858899</v>
      </c>
      <c r="AI77" s="3">
        <f ca="1">IFERROR(__xludf.DUMMYFUNCTION("""COMPUTED_VALUE"""),-0.654054712293032)</f>
        <v>-0.65405471229303203</v>
      </c>
      <c r="AJ77" s="3">
        <f ca="1">IFERROR(__xludf.DUMMYFUNCTION("""COMPUTED_VALUE"""),-0.647567138391276)</f>
        <v>-0.647567138391276</v>
      </c>
      <c r="AK77" s="3">
        <f ca="1">IFERROR(__xludf.DUMMYFUNCTION("""COMPUTED_VALUE"""),-0.652094763549526)</f>
        <v>-0.652094763549526</v>
      </c>
      <c r="AL77" s="3">
        <f ca="1">IFERROR(__xludf.DUMMYFUNCTION("""COMPUTED_VALUE"""),-0.554549352004762)</f>
        <v>-0.55454935200476196</v>
      </c>
      <c r="AM77" s="3">
        <f ca="1">IFERROR(__xludf.DUMMYFUNCTION("""COMPUTED_VALUE"""),-0.577459197593364)</f>
        <v>-0.57745919759336395</v>
      </c>
      <c r="AN77" s="3">
        <f ca="1">IFERROR(__xludf.DUMMYFUNCTION("""COMPUTED_VALUE"""),-0.631469262649298)</f>
        <v>-0.63146926264929804</v>
      </c>
      <c r="AO77" s="3">
        <f ca="1">IFERROR(__xludf.DUMMYFUNCTION("""COMPUTED_VALUE"""),-0.656380333002955)</f>
        <v>-0.65638033300295495</v>
      </c>
      <c r="AP77" s="3">
        <f ca="1">IFERROR(__xludf.DUMMYFUNCTION("""COMPUTED_VALUE"""),-0.632966357311178)</f>
        <v>-0.63296635731117801</v>
      </c>
      <c r="AQ77" s="3">
        <f ca="1">IFERROR(__xludf.DUMMYFUNCTION("""COMPUTED_VALUE"""),-0.631714670209889)</f>
        <v>-0.63171467020988903</v>
      </c>
      <c r="AR77" s="3">
        <f ca="1">IFERROR(__xludf.DUMMYFUNCTION("""COMPUTED_VALUE"""),-0.652708084113242)</f>
        <v>-0.65270808411324199</v>
      </c>
      <c r="AS77" s="3">
        <f ca="1">IFERROR(__xludf.DUMMYFUNCTION("""COMPUTED_VALUE"""),-0.566919503817004)</f>
        <v>-0.56691950381700396</v>
      </c>
      <c r="AT77" s="3">
        <f ca="1">IFERROR(__xludf.DUMMYFUNCTION("""COMPUTED_VALUE"""),-0.469955854478985)</f>
        <v>-0.46995585447898502</v>
      </c>
      <c r="AU77" s="3">
        <f ca="1">IFERROR(__xludf.DUMMYFUNCTION("""COMPUTED_VALUE"""),-0.606851138950734)</f>
        <v>-0.60685113895073395</v>
      </c>
      <c r="AV77" s="3">
        <f ca="1">IFERROR(__xludf.DUMMYFUNCTION("""COMPUTED_VALUE"""),-0.688227675211459)</f>
        <v>-0.688227675211459</v>
      </c>
      <c r="AW77" s="3">
        <f ca="1">IFERROR(__xludf.DUMMYFUNCTION("""COMPUTED_VALUE"""),-0.701382305862743)</f>
        <v>-0.70138230586274297</v>
      </c>
      <c r="AX77" s="3">
        <f ca="1">IFERROR(__xludf.DUMMYFUNCTION("""COMPUTED_VALUE"""),-0.691060921142966)</f>
        <v>-0.69106092114296602</v>
      </c>
      <c r="AY77" s="3">
        <f ca="1">IFERROR(__xludf.DUMMYFUNCTION("""COMPUTED_VALUE"""),-0.691737827761042)</f>
        <v>-0.69173782776104198</v>
      </c>
      <c r="AZ77" s="3">
        <f ca="1">IFERROR(__xludf.DUMMYFUNCTION("""COMPUTED_VALUE"""),-0.658669749602877)</f>
        <v>-0.65866974960287705</v>
      </c>
      <c r="BA77" s="3">
        <f ca="1">IFERROR(__xludf.DUMMYFUNCTION("""COMPUTED_VALUE"""),-0.60783930810798)</f>
        <v>-0.60783930810798004</v>
      </c>
      <c r="BB77" s="3">
        <f ca="1">IFERROR(__xludf.DUMMYFUNCTION("""COMPUTED_VALUE"""),-0.655653922068834)</f>
        <v>-0.65565392206883399</v>
      </c>
      <c r="BC77" s="3">
        <f ca="1">IFERROR(__xludf.DUMMYFUNCTION("""COMPUTED_VALUE"""),-0.751246983320645)</f>
        <v>-0.75124698332064499</v>
      </c>
      <c r="BD77" s="3">
        <f ca="1">IFERROR(__xludf.DUMMYFUNCTION("""COMPUTED_VALUE"""),-0.732533864833699)</f>
        <v>-0.73253386483369898</v>
      </c>
      <c r="BE77" s="3">
        <f ca="1">IFERROR(__xludf.DUMMYFUNCTION("""COMPUTED_VALUE"""),-0.672625579414891)</f>
        <v>-0.67262557941489098</v>
      </c>
      <c r="BF77" s="3">
        <f ca="1">IFERROR(__xludf.DUMMYFUNCTION("""COMPUTED_VALUE"""),-0.709916971862175)</f>
        <v>-0.70991697186217495</v>
      </c>
      <c r="BG77" s="3">
        <f ca="1">IFERROR(__xludf.DUMMYFUNCTION("""COMPUTED_VALUE"""),-0.646544152739043)</f>
        <v>-0.64654415273904298</v>
      </c>
      <c r="BH77" s="3">
        <f ca="1">IFERROR(__xludf.DUMMYFUNCTION("""COMPUTED_VALUE"""),-0.580781293578762)</f>
        <v>-0.58078129357876196</v>
      </c>
      <c r="BI77" s="3">
        <f ca="1">IFERROR(__xludf.DUMMYFUNCTION("""COMPUTED_VALUE"""),-0.647352066508465)</f>
        <v>-0.647352066508465</v>
      </c>
      <c r="BJ77" s="3">
        <f ca="1">IFERROR(__xludf.DUMMYFUNCTION("""COMPUTED_VALUE"""),-0.738549752657579)</f>
        <v>-0.73854975265757905</v>
      </c>
      <c r="BK77" s="3">
        <f ca="1">IFERROR(__xludf.DUMMYFUNCTION("""COMPUTED_VALUE"""),-0.720541293325214)</f>
        <v>-0.72054129332521399</v>
      </c>
      <c r="BL77" s="3">
        <f ca="1">IFERROR(__xludf.DUMMYFUNCTION("""COMPUTED_VALUE"""),-0.721022646914523)</f>
        <v>-0.721022646914523</v>
      </c>
      <c r="BM77" s="3">
        <f ca="1">IFERROR(__xludf.DUMMYFUNCTION("""COMPUTED_VALUE"""),-0.75308212532287)</f>
        <v>-0.75308212532287</v>
      </c>
      <c r="BN77" s="3">
        <f ca="1">IFERROR(__xludf.DUMMYFUNCTION("""COMPUTED_VALUE"""),-0.76555800172614)</f>
        <v>-0.76555800172613997</v>
      </c>
      <c r="BO77" s="3">
        <f ca="1">IFERROR(__xludf.DUMMYFUNCTION("""COMPUTED_VALUE"""),-0.661107516746081)</f>
        <v>-0.66110751674608104</v>
      </c>
      <c r="BP77" s="3">
        <f ca="1">IFERROR(__xludf.DUMMYFUNCTION("""COMPUTED_VALUE"""),-0.702272022183651)</f>
        <v>-0.70227202218365103</v>
      </c>
      <c r="BQ77" s="3">
        <f ca="1">IFERROR(__xludf.DUMMYFUNCTION("""COMPUTED_VALUE"""),-0.801174910778257)</f>
        <v>-0.80117491077825698</v>
      </c>
      <c r="BR77" s="3">
        <f ca="1">IFERROR(__xludf.DUMMYFUNCTION("""COMPUTED_VALUE"""),-0.74044580699577)</f>
        <v>-0.74044580699577001</v>
      </c>
      <c r="BS77" s="3">
        <f ca="1">IFERROR(__xludf.DUMMYFUNCTION("""COMPUTED_VALUE"""),-0.74777137105452)</f>
        <v>-0.74777137105451996</v>
      </c>
      <c r="BT77" s="3">
        <f ca="1">IFERROR(__xludf.DUMMYFUNCTION("""COMPUTED_VALUE"""),-0.767361385752395)</f>
        <v>-0.76736138575239499</v>
      </c>
      <c r="BU77" s="3">
        <f ca="1">IFERROR(__xludf.DUMMYFUNCTION("""COMPUTED_VALUE"""),-0.751670245692959)</f>
        <v>-0.75167024569295904</v>
      </c>
      <c r="BV77" s="3">
        <f ca="1">IFERROR(__xludf.DUMMYFUNCTION("""COMPUTED_VALUE"""),-0.692652942379442)</f>
        <v>-0.69265294237944197</v>
      </c>
      <c r="BW77" s="3">
        <f ca="1">IFERROR(__xludf.DUMMYFUNCTION("""COMPUTED_VALUE"""),-0.730705150605146)</f>
        <v>-0.73070515060514596</v>
      </c>
      <c r="BX77" s="3">
        <f ca="1">IFERROR(__xludf.DUMMYFUNCTION("""COMPUTED_VALUE"""),-0.809028593809127)</f>
        <v>-0.80902859380912695</v>
      </c>
      <c r="BY77" s="3">
        <f ca="1">IFERROR(__xludf.DUMMYFUNCTION("""COMPUTED_VALUE"""),-0.766292880428315)</f>
        <v>-0.766292880428315</v>
      </c>
      <c r="BZ77" s="3">
        <f ca="1">IFERROR(__xludf.DUMMYFUNCTION("""COMPUTED_VALUE"""),-0.758334912583414)</f>
        <v>-0.75833491258341401</v>
      </c>
      <c r="CA77" s="3">
        <f ca="1">IFERROR(__xludf.DUMMYFUNCTION("""COMPUTED_VALUE"""),-0.773496622770917)</f>
        <v>-0.77349662277091702</v>
      </c>
      <c r="CB77" s="3">
        <f ca="1">IFERROR(__xludf.DUMMYFUNCTION("""COMPUTED_VALUE"""),-0.747028749474823)</f>
        <v>-0.74702874947482301</v>
      </c>
      <c r="CC77" s="3">
        <f ca="1">IFERROR(__xludf.DUMMYFUNCTION("""COMPUTED_VALUE"""),-0.70375132615488)</f>
        <v>-0.70375132615488001</v>
      </c>
      <c r="CD77" s="3">
        <f ca="1">IFERROR(__xludf.DUMMYFUNCTION("""COMPUTED_VALUE"""),-0.74404213535833)</f>
        <v>-0.74404213535832997</v>
      </c>
      <c r="CE77" s="3">
        <f ca="1">IFERROR(__xludf.DUMMYFUNCTION("""COMPUTED_VALUE"""),-0.750464547197361)</f>
        <v>-0.750464547197361</v>
      </c>
      <c r="CF77" s="3">
        <f ca="1">IFERROR(__xludf.DUMMYFUNCTION("""COMPUTED_VALUE"""),-0.747639988734325)</f>
        <v>-0.74763998873432502</v>
      </c>
      <c r="CG77" s="3">
        <f ca="1">IFERROR(__xludf.DUMMYFUNCTION("""COMPUTED_VALUE"""),-0.76093956947174)</f>
        <v>-0.76093956947174002</v>
      </c>
      <c r="CH77" s="3">
        <f ca="1">IFERROR(__xludf.DUMMYFUNCTION("""COMPUTED_VALUE"""),-0.749198763942647)</f>
        <v>-0.74919876394264695</v>
      </c>
      <c r="CI77" s="3">
        <f ca="1">IFERROR(__xludf.DUMMYFUNCTION("""COMPUTED_VALUE"""),-0.743310688119448)</f>
        <v>-0.743310688119448</v>
      </c>
      <c r="CJ77" s="3">
        <f ca="1">IFERROR(__xludf.DUMMYFUNCTION("""COMPUTED_VALUE"""),-0.676208110505653)</f>
        <v>-0.67620811050565299</v>
      </c>
      <c r="CK77" s="3">
        <f ca="1">IFERROR(__xludf.DUMMYFUNCTION("""COMPUTED_VALUE"""),-0.712765847395239)</f>
        <v>-0.71276584739523896</v>
      </c>
      <c r="CL77" s="3">
        <f ca="1">IFERROR(__xludf.DUMMYFUNCTION("""COMPUTED_VALUE"""),-0.815263232179426)</f>
        <v>-0.81526323217942598</v>
      </c>
      <c r="CM77" s="3">
        <f ca="1">IFERROR(__xludf.DUMMYFUNCTION("""COMPUTED_VALUE"""),-0.78941586893826)</f>
        <v>-0.78941586893825999</v>
      </c>
      <c r="CN77" s="3">
        <f ca="1">IFERROR(__xludf.DUMMYFUNCTION("""COMPUTED_VALUE"""),-0.766193747364008)</f>
        <v>-0.76619374736400803</v>
      </c>
      <c r="CO77" s="3">
        <f ca="1">IFERROR(__xludf.DUMMYFUNCTION("""COMPUTED_VALUE"""),-0.7735836102721)</f>
        <v>-0.77358361027209999</v>
      </c>
      <c r="CP77" s="3">
        <f ca="1">IFERROR(__xludf.DUMMYFUNCTION("""COMPUTED_VALUE"""),-0.760078844414774)</f>
        <v>-0.76007884441477402</v>
      </c>
      <c r="CQ77" s="3">
        <f ca="1">IFERROR(__xludf.DUMMYFUNCTION("""COMPUTED_VALUE"""),-0.730758532099497)</f>
        <v>-0.73075853209949704</v>
      </c>
      <c r="CR77" s="3">
        <f ca="1">IFERROR(__xludf.DUMMYFUNCTION("""COMPUTED_VALUE"""),-0.722488561771108)</f>
        <v>-0.72248856177110798</v>
      </c>
      <c r="CS77" s="3">
        <f ca="1">IFERROR(__xludf.DUMMYFUNCTION("""COMPUTED_VALUE"""),-0.700687549835547)</f>
        <v>-0.70068754983554704</v>
      </c>
      <c r="CT77" s="3">
        <f ca="1">IFERROR(__xludf.DUMMYFUNCTION("""COMPUTED_VALUE"""),-0.686032968353445)</f>
        <v>-0.68603296835344496</v>
      </c>
      <c r="CU77" s="3">
        <f ca="1">IFERROR(__xludf.DUMMYFUNCTION("""COMPUTED_VALUE"""),-0.656019733597662)</f>
        <v>-0.65601973359766197</v>
      </c>
      <c r="CV77" s="3">
        <f ca="1">IFERROR(__xludf.DUMMYFUNCTION("""COMPUTED_VALUE"""),-0.666369607487697)</f>
        <v>-0.66636960748769702</v>
      </c>
      <c r="CW77" s="3">
        <f ca="1">IFERROR(__xludf.DUMMYFUNCTION("""COMPUTED_VALUE"""),-0.611079349758615)</f>
        <v>-0.611079349758615</v>
      </c>
      <c r="CX77" s="3">
        <f ca="1">IFERROR(__xludf.DUMMYFUNCTION("""COMPUTED_VALUE"""),-0.516646850933449)</f>
        <v>-0.51664685093344898</v>
      </c>
      <c r="CY77" s="3">
        <f ca="1">IFERROR(__xludf.DUMMYFUNCTION("""COMPUTED_VALUE"""),-0.668683919942946)</f>
        <v>-0.66868391994294596</v>
      </c>
      <c r="CZ77" s="3">
        <f ca="1">IFERROR(__xludf.DUMMYFUNCTION("""COMPUTED_VALUE"""),-0.719235323538367)</f>
        <v>-0.71923532353836706</v>
      </c>
      <c r="DA77" s="3">
        <f ca="1">IFERROR(__xludf.DUMMYFUNCTION("""COMPUTED_VALUE"""),-0.615184129296489)</f>
        <v>-0.61518412929648902</v>
      </c>
      <c r="DB77" s="3">
        <f ca="1">IFERROR(__xludf.DUMMYFUNCTION("""COMPUTED_VALUE"""),-0.590466320988177)</f>
        <v>-0.59046632098817697</v>
      </c>
      <c r="DC77" s="3">
        <f ca="1">IFERROR(__xludf.DUMMYFUNCTION("""COMPUTED_VALUE"""),-0.718552231380047)</f>
        <v>-0.71855223138004698</v>
      </c>
      <c r="DD77" s="3">
        <f ca="1">IFERROR(__xludf.DUMMYFUNCTION("""COMPUTED_VALUE"""),-0.734497600311289)</f>
        <v>-0.73449760031128897</v>
      </c>
      <c r="DE77" s="3">
        <f ca="1">IFERROR(__xludf.DUMMYFUNCTION("""COMPUTED_VALUE"""),-0.662314780063282)</f>
        <v>-0.66231478006328204</v>
      </c>
      <c r="DF77" s="3">
        <f ca="1">IFERROR(__xludf.DUMMYFUNCTION("""COMPUTED_VALUE"""),-0.687999013841263)</f>
        <v>-0.68799901384126305</v>
      </c>
      <c r="DG77" s="3">
        <f ca="1">IFERROR(__xludf.DUMMYFUNCTION("""COMPUTED_VALUE"""),-0.820602729783102)</f>
        <v>-0.820602729783102</v>
      </c>
      <c r="DH77" s="3">
        <f ca="1">IFERROR(__xludf.DUMMYFUNCTION("""COMPUTED_VALUE"""),-0.616702346022537)</f>
        <v>-0.61670234602253704</v>
      </c>
      <c r="DI77" s="3">
        <f ca="1">IFERROR(__xludf.DUMMYFUNCTION("""COMPUTED_VALUE"""),-0.454762724336872)</f>
        <v>-0.45476272433687198</v>
      </c>
      <c r="DJ77" s="3">
        <f ca="1">IFERROR(__xludf.DUMMYFUNCTION("""COMPUTED_VALUE"""),-0.603394058910623)</f>
        <v>-0.60339405891062303</v>
      </c>
      <c r="DK77" s="3">
        <f ca="1">IFERROR(__xludf.DUMMYFUNCTION("""COMPUTED_VALUE"""),-0.611115743617223)</f>
        <v>-0.61111574361722298</v>
      </c>
      <c r="DL77" s="3">
        <f ca="1">IFERROR(__xludf.DUMMYFUNCTION("""COMPUTED_VALUE"""),-0.644020807604324)</f>
        <v>-0.64402080760432401</v>
      </c>
      <c r="DM77" s="3">
        <f ca="1">IFERROR(__xludf.DUMMYFUNCTION("""COMPUTED_VALUE"""),-0.610295501537606)</f>
        <v>-0.61029550153760603</v>
      </c>
      <c r="DN77" s="3">
        <f ca="1">IFERROR(__xludf.DUMMYFUNCTION("""COMPUTED_VALUE"""),-0.684576373303185)</f>
        <v>-0.68457637330318499</v>
      </c>
      <c r="DO77" s="3">
        <f ca="1">IFERROR(__xludf.DUMMYFUNCTION("""COMPUTED_VALUE"""),-0.657468391479372)</f>
        <v>-0.65746839147937197</v>
      </c>
      <c r="DP77" s="3">
        <f ca="1">IFERROR(__xludf.DUMMYFUNCTION("""COMPUTED_VALUE"""),-0.54215907790068)</f>
        <v>-0.54215907790067996</v>
      </c>
      <c r="DQ77" s="3">
        <f ca="1">IFERROR(__xludf.DUMMYFUNCTION("""COMPUTED_VALUE"""),-0.599192355037257)</f>
        <v>-0.59919235503725699</v>
      </c>
      <c r="DR77" s="3">
        <f ca="1">IFERROR(__xludf.DUMMYFUNCTION("""COMPUTED_VALUE"""),-0.611345302026426)</f>
        <v>-0.61134530202642601</v>
      </c>
      <c r="DS77" s="3">
        <f ca="1">IFERROR(__xludf.DUMMYFUNCTION("""COMPUTED_VALUE"""),-0.562582554326755)</f>
        <v>-0.56258255432675497</v>
      </c>
      <c r="DT77" s="3">
        <f ca="1">IFERROR(__xludf.DUMMYFUNCTION("""COMPUTED_VALUE"""),-0.579486014475581)</f>
        <v>-0.57948601447558101</v>
      </c>
      <c r="DU77" s="3">
        <f ca="1">IFERROR(__xludf.DUMMYFUNCTION("""COMPUTED_VALUE"""),-0.682736553166329)</f>
        <v>-0.68273655316632897</v>
      </c>
      <c r="DV77" s="3">
        <f ca="1">IFERROR(__xludf.DUMMYFUNCTION("""COMPUTED_VALUE"""),-0.675506041127787)</f>
        <v>-0.675506041127787</v>
      </c>
      <c r="DW77" s="3">
        <f ca="1">IFERROR(__xludf.DUMMYFUNCTION("""COMPUTED_VALUE"""),-0.682495123703401)</f>
        <v>-0.68249512370340104</v>
      </c>
      <c r="DX77" s="3">
        <f ca="1">IFERROR(__xludf.DUMMYFUNCTION("""COMPUTED_VALUE"""),-0.68636437528701)</f>
        <v>-0.68636437528701</v>
      </c>
      <c r="DY77" s="3">
        <f ca="1">IFERROR(__xludf.DUMMYFUNCTION("""COMPUTED_VALUE"""),-0.644864891463209)</f>
        <v>-0.64486489146320902</v>
      </c>
      <c r="DZ77" s="3">
        <f ca="1">IFERROR(__xludf.DUMMYFUNCTION("""COMPUTED_VALUE"""),-0.609907297517493)</f>
        <v>-0.60990729751749295</v>
      </c>
      <c r="EA77" s="3">
        <f ca="1">IFERROR(__xludf.DUMMYFUNCTION("""COMPUTED_VALUE"""),-0.598950148354961)</f>
        <v>-0.59895014835496097</v>
      </c>
      <c r="EB77" s="3">
        <f ca="1">IFERROR(__xludf.DUMMYFUNCTION("""COMPUTED_VALUE"""),-0.685434357141859)</f>
        <v>-0.68543435714185896</v>
      </c>
      <c r="EC77" s="3">
        <f ca="1">IFERROR(__xludf.DUMMYFUNCTION("""COMPUTED_VALUE"""),-0.687610855128535)</f>
        <v>-0.68761085512853504</v>
      </c>
      <c r="ED77" s="3">
        <f ca="1">IFERROR(__xludf.DUMMYFUNCTION("""COMPUTED_VALUE"""),-0.71743983533588)</f>
        <v>-0.71743983533587996</v>
      </c>
      <c r="EE77" s="3">
        <f ca="1">IFERROR(__xludf.DUMMYFUNCTION("""COMPUTED_VALUE"""),-0.691258637795964)</f>
        <v>-0.69125863779596397</v>
      </c>
      <c r="EF77" s="3">
        <f ca="1">IFERROR(__xludf.DUMMYFUNCTION("""COMPUTED_VALUE"""),-0.643952238726124)</f>
        <v>-0.64395223872612395</v>
      </c>
      <c r="EG77" s="3">
        <f ca="1">IFERROR(__xludf.DUMMYFUNCTION("""COMPUTED_VALUE"""),-0.622809534047708)</f>
        <v>-0.622809534047708</v>
      </c>
      <c r="EH77" s="3">
        <f ca="1">IFERROR(__xludf.DUMMYFUNCTION("""COMPUTED_VALUE"""),-0.647813475352356)</f>
        <v>-0.64781347535235601</v>
      </c>
      <c r="EI77" s="3">
        <f ca="1">IFERROR(__xludf.DUMMYFUNCTION("""COMPUTED_VALUE"""),-0.646036978976701)</f>
        <v>-0.64603697897670098</v>
      </c>
      <c r="EJ77" s="3">
        <f ca="1">IFERROR(__xludf.DUMMYFUNCTION("""COMPUTED_VALUE"""),-0.644702817592971)</f>
        <v>-0.64470281759297099</v>
      </c>
      <c r="EK77" s="3">
        <f ca="1">IFERROR(__xludf.DUMMYFUNCTION("""COMPUTED_VALUE"""),-0.695049610387326)</f>
        <v>-0.69504961038732604</v>
      </c>
      <c r="EL77" s="3">
        <f ca="1">IFERROR(__xludf.DUMMYFUNCTION("""COMPUTED_VALUE"""),-0.725655585714203)</f>
        <v>-0.72565558571420297</v>
      </c>
      <c r="EM77" s="3">
        <f ca="1">IFERROR(__xludf.DUMMYFUNCTION("""COMPUTED_VALUE"""),-0.685736060206602)</f>
        <v>-0.68573606020660205</v>
      </c>
      <c r="EN77" s="3">
        <f ca="1">IFERROR(__xludf.DUMMYFUNCTION("""COMPUTED_VALUE"""),-0.614386262762574)</f>
        <v>-0.61438626276257402</v>
      </c>
      <c r="EO77" s="3">
        <f ca="1">IFERROR(__xludf.DUMMYFUNCTION("""COMPUTED_VALUE"""),-0.678609631035904)</f>
        <v>-0.67860963103590399</v>
      </c>
      <c r="EP77" s="3">
        <f ca="1">IFERROR(__xludf.DUMMYFUNCTION("""COMPUTED_VALUE"""),-0.72189913346945)</f>
        <v>-0.72189913346945001</v>
      </c>
      <c r="EQ77" s="3">
        <f ca="1">IFERROR(__xludf.DUMMYFUNCTION("""COMPUTED_VALUE"""),-0.739044048281795)</f>
        <v>-0.73904404828179504</v>
      </c>
      <c r="ER77" s="3">
        <f ca="1">IFERROR(__xludf.DUMMYFUNCTION("""COMPUTED_VALUE"""),-0.745578419268832)</f>
        <v>-0.74557841926883195</v>
      </c>
      <c r="ES77" s="3">
        <f ca="1">IFERROR(__xludf.DUMMYFUNCTION("""COMPUTED_VALUE"""),-0.749008915476765)</f>
        <v>-0.74900891547676496</v>
      </c>
      <c r="ET77" s="3">
        <f ca="1">IFERROR(__xludf.DUMMYFUNCTION("""COMPUTED_VALUE"""),-0.681467252230631)</f>
        <v>-0.68146725223063098</v>
      </c>
      <c r="EU77" s="3">
        <f ca="1">IFERROR(__xludf.DUMMYFUNCTION("""COMPUTED_VALUE"""),-0.701368639458864)</f>
        <v>-0.70136863945886396</v>
      </c>
      <c r="EV77" s="3">
        <f ca="1">IFERROR(__xludf.DUMMYFUNCTION("""COMPUTED_VALUE"""),-0.673118140524589)</f>
        <v>-0.67311814052458896</v>
      </c>
      <c r="EW77" s="3">
        <f ca="1">IFERROR(__xludf.DUMMYFUNCTION("""COMPUTED_VALUE"""),-0.724761347973663)</f>
        <v>-0.72476134797366298</v>
      </c>
      <c r="EX77" s="3">
        <f ca="1">IFERROR(__xludf.DUMMYFUNCTION("""COMPUTED_VALUE"""),-0.735271771660881)</f>
        <v>-0.73527177166088098</v>
      </c>
      <c r="EY77" s="3">
        <f ca="1">IFERROR(__xludf.DUMMYFUNCTION("""COMPUTED_VALUE"""),-0.736496339923318)</f>
        <v>-0.73649633992331798</v>
      </c>
      <c r="EZ77" s="3">
        <f ca="1">IFERROR(__xludf.DUMMYFUNCTION("""COMPUTED_VALUE"""),-0.726796503607577)</f>
        <v>-0.72679650360757697</v>
      </c>
      <c r="FA77" s="3">
        <f ca="1">IFERROR(__xludf.DUMMYFUNCTION("""COMPUTED_VALUE"""),-0.679839684408281)</f>
        <v>-0.67983968440828102</v>
      </c>
      <c r="FB77" s="3">
        <f ca="1">IFERROR(__xludf.DUMMYFUNCTION("""COMPUTED_VALUE"""),-0.629622012751086)</f>
        <v>-0.62962201275108598</v>
      </c>
      <c r="FC77" s="3">
        <f ca="1">IFERROR(__xludf.DUMMYFUNCTION("""COMPUTED_VALUE"""),-0.639073727423116)</f>
        <v>-0.63907372742311597</v>
      </c>
      <c r="FD77" s="3">
        <f ca="1">IFERROR(__xludf.DUMMYFUNCTION("""COMPUTED_VALUE"""),-0.734380361136274)</f>
        <v>-0.73438036113627403</v>
      </c>
      <c r="FE77" s="3">
        <f ca="1">IFERROR(__xludf.DUMMYFUNCTION("""COMPUTED_VALUE"""),-0.708333290764252)</f>
        <v>-0.708333290764252</v>
      </c>
      <c r="FF77" s="3">
        <f ca="1">IFERROR(__xludf.DUMMYFUNCTION("""COMPUTED_VALUE"""),-0.7314519399777)</f>
        <v>-0.73145193997769997</v>
      </c>
      <c r="FG77" s="3">
        <f ca="1">IFERROR(__xludf.DUMMYFUNCTION("""COMPUTED_VALUE"""),-0.722374939451694)</f>
        <v>-0.72237493945169395</v>
      </c>
      <c r="FH77" s="3">
        <f ca="1">IFERROR(__xludf.DUMMYFUNCTION("""COMPUTED_VALUE"""),-0.654782157429477)</f>
        <v>-0.65478215742947699</v>
      </c>
      <c r="FI77" s="3">
        <f ca="1">IFERROR(__xludf.DUMMYFUNCTION("""COMPUTED_VALUE"""),-0.586718321583745)</f>
        <v>-0.58671832158374504</v>
      </c>
      <c r="FJ77" s="3">
        <f ca="1">IFERROR(__xludf.DUMMYFUNCTION("""COMPUTED_VALUE"""),-0.633461978927292)</f>
        <v>-0.63346197892729195</v>
      </c>
      <c r="FK77" s="3">
        <f ca="1">IFERROR(__xludf.DUMMYFUNCTION("""COMPUTED_VALUE"""),-0.720727628529614)</f>
        <v>-0.72072762852961403</v>
      </c>
      <c r="FL77" s="3">
        <f ca="1">IFERROR(__xludf.DUMMYFUNCTION("""COMPUTED_VALUE"""),-0.677889159127484)</f>
        <v>-0.67788915912748404</v>
      </c>
      <c r="FM77" s="3">
        <f ca="1">IFERROR(__xludf.DUMMYFUNCTION("""COMPUTED_VALUE"""),-0.700915996899758)</f>
        <v>-0.70091599689975803</v>
      </c>
      <c r="FN77" s="3">
        <f ca="1">IFERROR(__xludf.DUMMYFUNCTION("""COMPUTED_VALUE"""),-0.690306180843273)</f>
        <v>-0.690306180843273</v>
      </c>
      <c r="FO77" s="3">
        <f ca="1">IFERROR(__xludf.DUMMYFUNCTION("""COMPUTED_VALUE"""),-0.670287421105912)</f>
        <v>-0.670287421105912</v>
      </c>
      <c r="FP77" s="3">
        <f ca="1">IFERROR(__xludf.DUMMYFUNCTION("""COMPUTED_VALUE"""),-0.64618586142679)</f>
        <v>-0.64618586142679002</v>
      </c>
      <c r="FQ77" s="3">
        <f ca="1">IFERROR(__xludf.DUMMYFUNCTION("""COMPUTED_VALUE"""),-0.630135360996166)</f>
        <v>-0.63013536099616596</v>
      </c>
      <c r="FR77" s="3">
        <f ca="1">IFERROR(__xludf.DUMMYFUNCTION("""COMPUTED_VALUE"""),-0.649639840463946)</f>
        <v>-0.64963984046394596</v>
      </c>
      <c r="FS77" s="3">
        <f ca="1">IFERROR(__xludf.DUMMYFUNCTION("""COMPUTED_VALUE"""),-0.664556794198044)</f>
        <v>-0.66455679419804403</v>
      </c>
      <c r="FT77" s="3">
        <f ca="1">IFERROR(__xludf.DUMMYFUNCTION("""COMPUTED_VALUE"""),-0.67965861506948)</f>
        <v>-0.67965861506948</v>
      </c>
      <c r="FU77" s="3">
        <f ca="1">IFERROR(__xludf.DUMMYFUNCTION("""COMPUTED_VALUE"""),-0.677520989343502)</f>
        <v>-0.67752098934350202</v>
      </c>
      <c r="FV77" s="3">
        <f ca="1">IFERROR(__xludf.DUMMYFUNCTION("""COMPUTED_VALUE"""),-0.591624496124435)</f>
        <v>-0.59162449612443502</v>
      </c>
      <c r="FW77" s="3">
        <f ca="1">IFERROR(__xludf.DUMMYFUNCTION("""COMPUTED_VALUE"""),-0.610211757815123)</f>
        <v>-0.61021175781512305</v>
      </c>
      <c r="FX77" s="3">
        <f ca="1">IFERROR(__xludf.DUMMYFUNCTION("""COMPUTED_VALUE"""),-0.634275467017365)</f>
        <v>-0.63427546701736504</v>
      </c>
      <c r="FY77" s="3">
        <f ca="1">IFERROR(__xludf.DUMMYFUNCTION("""COMPUTED_VALUE"""),-0.707832788626224)</f>
        <v>-0.70783278862622401</v>
      </c>
      <c r="FZ77" s="3">
        <f ca="1">IFERROR(__xludf.DUMMYFUNCTION("""COMPUTED_VALUE"""),-0.671132275018162)</f>
        <v>-0.67113227501816197</v>
      </c>
      <c r="GA77" s="3">
        <f ca="1">IFERROR(__xludf.DUMMYFUNCTION("""COMPUTED_VALUE"""),-0.717267609936817)</f>
        <v>-0.71726760993681704</v>
      </c>
      <c r="GB77" s="3">
        <f ca="1">IFERROR(__xludf.DUMMYFUNCTION("""COMPUTED_VALUE"""),-0.732604047826564)</f>
        <v>-0.73260404782656396</v>
      </c>
      <c r="GC77" s="3">
        <f ca="1">IFERROR(__xludf.DUMMYFUNCTION("""COMPUTED_VALUE"""),-0.661076169840097)</f>
        <v>-0.66107616984009698</v>
      </c>
      <c r="GD77" s="3">
        <f ca="1">IFERROR(__xludf.DUMMYFUNCTION("""COMPUTED_VALUE"""),-0.641570872733204)</f>
        <v>-0.64157087273320401</v>
      </c>
      <c r="GE77" s="3">
        <f ca="1">IFERROR(__xludf.DUMMYFUNCTION("""COMPUTED_VALUE"""),-0.662346171518962)</f>
        <v>-0.66234617151896202</v>
      </c>
      <c r="GF77" s="3">
        <f ca="1">IFERROR(__xludf.DUMMYFUNCTION("""COMPUTED_VALUE"""),-0.686048147416976)</f>
        <v>-0.68604814741697595</v>
      </c>
      <c r="GG77" s="3">
        <f ca="1">IFERROR(__xludf.DUMMYFUNCTION("""COMPUTED_VALUE"""),-0.687640260106467)</f>
        <v>-0.68764026010646695</v>
      </c>
      <c r="GH77" s="3">
        <f ca="1">IFERROR(__xludf.DUMMYFUNCTION("""COMPUTED_VALUE"""),-0.694472284024126)</f>
        <v>-0.69447228402412597</v>
      </c>
      <c r="GI77" s="3">
        <f ca="1">IFERROR(__xludf.DUMMYFUNCTION("""COMPUTED_VALUE"""),-0.690102233471308)</f>
        <v>-0.69010223347130795</v>
      </c>
      <c r="GJ77" s="3">
        <f ca="1">IFERROR(__xludf.DUMMYFUNCTION("""COMPUTED_VALUE"""),-0.589969121878934)</f>
        <v>-0.58996912187893402</v>
      </c>
      <c r="GK77" s="3">
        <f ca="1">IFERROR(__xludf.DUMMYFUNCTION("""COMPUTED_VALUE"""),-0.640708164562271)</f>
        <v>-0.64070816456227098</v>
      </c>
      <c r="GL77" s="3">
        <f ca="1">IFERROR(__xludf.DUMMYFUNCTION("""COMPUTED_VALUE"""),-0.64239093381224)</f>
        <v>-0.64239093381223999</v>
      </c>
      <c r="GM77" s="3">
        <f ca="1">IFERROR(__xludf.DUMMYFUNCTION("""COMPUTED_VALUE"""),-0.693410462291938)</f>
        <v>-0.69341046229193803</v>
      </c>
      <c r="GN77" s="3">
        <f ca="1">IFERROR(__xludf.DUMMYFUNCTION("""COMPUTED_VALUE"""),-0.656182231548551)</f>
        <v>-0.65618223154855104</v>
      </c>
      <c r="GO77" s="3">
        <f ca="1">IFERROR(__xludf.DUMMYFUNCTION("""COMPUTED_VALUE"""),-0.605909452857408)</f>
        <v>-0.60590945285740805</v>
      </c>
      <c r="GP77" s="3">
        <f ca="1">IFERROR(__xludf.DUMMYFUNCTION("""COMPUTED_VALUE"""),-0.584438203500346)</f>
        <v>-0.58443820350034603</v>
      </c>
      <c r="GQ77" s="3">
        <f ca="1">IFERROR(__xludf.DUMMYFUNCTION("""COMPUTED_VALUE"""),-0.561771756946804)</f>
        <v>-0.56177175694680404</v>
      </c>
      <c r="GR77" s="3">
        <f ca="1">IFERROR(__xludf.DUMMYFUNCTION("""COMPUTED_VALUE"""),-0.42787675135263)</f>
        <v>-0.42787675135262998</v>
      </c>
      <c r="GS77" s="3">
        <f ca="1">IFERROR(__xludf.DUMMYFUNCTION("""COMPUTED_VALUE"""),-0.467172137606915)</f>
        <v>-0.46717213760691501</v>
      </c>
      <c r="GT77" s="3">
        <f ca="1">IFERROR(__xludf.DUMMYFUNCTION("""COMPUTED_VALUE"""),-0.556401219200188)</f>
        <v>-0.55640121920018804</v>
      </c>
      <c r="GU77" s="3">
        <f ca="1">IFERROR(__xludf.DUMMYFUNCTION("""COMPUTED_VALUE"""),-0.582632563823274)</f>
        <v>-0.582632563823274</v>
      </c>
      <c r="GV77" s="3">
        <f ca="1">IFERROR(__xludf.DUMMYFUNCTION("""COMPUTED_VALUE"""),-0.584455235973361)</f>
        <v>-0.58445523597336102</v>
      </c>
      <c r="GW77" s="3">
        <f ca="1">IFERROR(__xludf.DUMMYFUNCTION("""COMPUTED_VALUE"""),-0.584799598634582)</f>
        <v>-0.58479959863458197</v>
      </c>
      <c r="GX77" s="3">
        <f ca="1">IFERROR(__xludf.DUMMYFUNCTION("""COMPUTED_VALUE"""),-0.50869782697254)</f>
        <v>-0.50869782697253996</v>
      </c>
      <c r="GY77" s="3">
        <f ca="1">IFERROR(__xludf.DUMMYFUNCTION("""COMPUTED_VALUE"""),-0.434348635497354)</f>
        <v>-0.43434863549735397</v>
      </c>
      <c r="GZ77" s="3">
        <f ca="1">IFERROR(__xludf.DUMMYFUNCTION("""COMPUTED_VALUE"""),-0.438930569238449)</f>
        <v>-0.43893056923844898</v>
      </c>
      <c r="HA77" s="3">
        <f ca="1">IFERROR(__xludf.DUMMYFUNCTION("""COMPUTED_VALUE"""),-0.546040695579382)</f>
        <v>-0.54604069557938195</v>
      </c>
      <c r="HB77" s="3">
        <f ca="1">IFERROR(__xludf.DUMMYFUNCTION("""COMPUTED_VALUE"""),-0.544172857655576)</f>
        <v>-0.54417285765557599</v>
      </c>
      <c r="HC77" s="3">
        <f ca="1">IFERROR(__xludf.DUMMYFUNCTION("""COMPUTED_VALUE"""),-0.550875113941651)</f>
        <v>-0.55087511394165101</v>
      </c>
      <c r="HD77" s="3">
        <f ca="1">IFERROR(__xludf.DUMMYFUNCTION("""COMPUTED_VALUE"""),-0.580802278450305)</f>
        <v>-0.58080227845030497</v>
      </c>
      <c r="HE77" s="3">
        <f ca="1">IFERROR(__xludf.DUMMYFUNCTION("""COMPUTED_VALUE"""),-0.486417821647097)</f>
        <v>-0.48641782164709702</v>
      </c>
      <c r="HF77" s="3">
        <f ca="1">IFERROR(__xludf.DUMMYFUNCTION("""COMPUTED_VALUE"""),-0.402316873595888)</f>
        <v>-0.40231687359588802</v>
      </c>
      <c r="HG77" s="3">
        <f ca="1">IFERROR(__xludf.DUMMYFUNCTION("""COMPUTED_VALUE"""),-0.401406836524562)</f>
        <v>-0.40140683652456199</v>
      </c>
      <c r="HH77" s="3">
        <f ca="1">IFERROR(__xludf.DUMMYFUNCTION("""COMPUTED_VALUE"""),-0.527233235697572)</f>
        <v>-0.52723323569757197</v>
      </c>
      <c r="HI77" s="3">
        <f ca="1">IFERROR(__xludf.DUMMYFUNCTION("""COMPUTED_VALUE"""),-0.538003635017919)</f>
        <v>-0.53800363501791904</v>
      </c>
      <c r="HJ77" s="3">
        <f ca="1">IFERROR(__xludf.DUMMYFUNCTION("""COMPUTED_VALUE"""),-0.559367641656594)</f>
        <v>-0.55936764165659403</v>
      </c>
      <c r="HK77" s="3">
        <f ca="1">IFERROR(__xludf.DUMMYFUNCTION("""COMPUTED_VALUE"""),-0.533316624227042)</f>
        <v>-0.53331662422704196</v>
      </c>
      <c r="HL77" s="3">
        <f ca="1">IFERROR(__xludf.DUMMYFUNCTION("""COMPUTED_VALUE"""),-0.54192767227204)</f>
        <v>-0.54192767227203997</v>
      </c>
      <c r="HM77" s="3">
        <f ca="1">IFERROR(__xludf.DUMMYFUNCTION("""COMPUTED_VALUE"""),-0.261497109487338)</f>
        <v>-0.26149710948733801</v>
      </c>
      <c r="HN77" s="3">
        <f ca="1">IFERROR(__xludf.DUMMYFUNCTION("""COMPUTED_VALUE"""),-0.306758066262379)</f>
        <v>-0.306758066262379</v>
      </c>
      <c r="HO77" s="3">
        <f ca="1">IFERROR(__xludf.DUMMYFUNCTION("""COMPUTED_VALUE"""),-0.480929082031379)</f>
        <v>-0.48092908203137902</v>
      </c>
      <c r="HP77" s="3">
        <f ca="1">IFERROR(__xludf.DUMMYFUNCTION("""COMPUTED_VALUE"""),-0.470621396833954)</f>
        <v>-0.47062139683395399</v>
      </c>
      <c r="HQ77" s="3">
        <f ca="1">IFERROR(__xludf.DUMMYFUNCTION("""COMPUTED_VALUE"""),-0.475366899166207)</f>
        <v>-0.475366899166207</v>
      </c>
      <c r="HR77" s="3">
        <f ca="1">IFERROR(__xludf.DUMMYFUNCTION("""COMPUTED_VALUE"""),-0.442387895788276)</f>
        <v>-0.44238789578827598</v>
      </c>
      <c r="HS77" s="3">
        <f ca="1">IFERROR(__xludf.DUMMYFUNCTION("""COMPUTED_VALUE"""),-0.350928965420248)</f>
        <v>-0.35092896542024798</v>
      </c>
      <c r="HT77" s="3">
        <f ca="1">IFERROR(__xludf.DUMMYFUNCTION("""COMPUTED_VALUE"""),-0.379909255985084)</f>
        <v>-0.37990925598508402</v>
      </c>
      <c r="HU77" s="3">
        <f ca="1">IFERROR(__xludf.DUMMYFUNCTION("""COMPUTED_VALUE"""),-0.461711388888208)</f>
        <v>-0.46171138888820801</v>
      </c>
      <c r="HV77" s="3">
        <f ca="1">IFERROR(__xludf.DUMMYFUNCTION("""COMPUTED_VALUE"""),-0.578381132102557)</f>
        <v>-0.57838113210255704</v>
      </c>
      <c r="HW77" s="3">
        <f ca="1">IFERROR(__xludf.DUMMYFUNCTION("""COMPUTED_VALUE"""),-0.565406659438382)</f>
        <v>-0.56540665943838198</v>
      </c>
      <c r="HX77" s="3">
        <f ca="1">IFERROR(__xludf.DUMMYFUNCTION("""COMPUTED_VALUE"""),-0.550714917329373)</f>
        <v>-0.55071491732937305</v>
      </c>
      <c r="HY77" s="3">
        <f ca="1">IFERROR(__xludf.DUMMYFUNCTION("""COMPUTED_VALUE"""),-0.567690767851676)</f>
        <v>-0.56769076785167605</v>
      </c>
      <c r="HZ77" s="3">
        <f ca="1">IFERROR(__xludf.DUMMYFUNCTION("""COMPUTED_VALUE"""),-0.423879544430129)</f>
        <v>-0.42387954443012898</v>
      </c>
      <c r="IA77" s="3">
        <f ca="1">IFERROR(__xludf.DUMMYFUNCTION("""COMPUTED_VALUE"""),-0.367252818653071)</f>
        <v>-0.36725281865307102</v>
      </c>
      <c r="IB77" s="3">
        <f ca="1">IFERROR(__xludf.DUMMYFUNCTION("""COMPUTED_VALUE"""),-0.375654816174259)</f>
        <v>-0.375654816174259</v>
      </c>
      <c r="IC77" s="3">
        <f ca="1">IFERROR(__xludf.DUMMYFUNCTION("""COMPUTED_VALUE"""),-0.624172734314977)</f>
        <v>-0.624172734314977</v>
      </c>
      <c r="ID77" s="3">
        <f ca="1">IFERROR(__xludf.DUMMYFUNCTION("""COMPUTED_VALUE"""),-0.618149275034146)</f>
        <v>-0.61814927503414596</v>
      </c>
      <c r="IE77" s="3">
        <f ca="1">IFERROR(__xludf.DUMMYFUNCTION("""COMPUTED_VALUE"""),-0.528060657910647)</f>
        <v>-0.52806065791064705</v>
      </c>
      <c r="IF77" s="3">
        <f ca="1">IFERROR(__xludf.DUMMYFUNCTION("""COMPUTED_VALUE"""),-0.570543002285816)</f>
        <v>-0.570543002285816</v>
      </c>
      <c r="IG77" s="3">
        <f ca="1">IFERROR(__xludf.DUMMYFUNCTION("""COMPUTED_VALUE"""),-0.572751344820008)</f>
        <v>-0.572751344820008</v>
      </c>
      <c r="IH77" s="3">
        <f ca="1">IFERROR(__xludf.DUMMYFUNCTION("""COMPUTED_VALUE"""),-0.378626779163047)</f>
        <v>-0.37862677916304699</v>
      </c>
      <c r="II77" s="3">
        <f ca="1">IFERROR(__xludf.DUMMYFUNCTION("""COMPUTED_VALUE"""),-0.362449240385293)</f>
        <v>-0.36244924038529303</v>
      </c>
      <c r="IJ77" s="3">
        <f ca="1">IFERROR(__xludf.DUMMYFUNCTION("""COMPUTED_VALUE"""),-0.533764957369128)</f>
        <v>-0.53376495736912799</v>
      </c>
      <c r="IK77" s="3">
        <f ca="1">IFERROR(__xludf.DUMMYFUNCTION("""COMPUTED_VALUE"""),-0.480747843037458)</f>
        <v>-0.48074784303745799</v>
      </c>
      <c r="IL77" s="3">
        <f ca="1">IFERROR(__xludf.DUMMYFUNCTION("""COMPUTED_VALUE"""),-0.471357216995788)</f>
        <v>-0.47135721699578798</v>
      </c>
      <c r="IM77" s="3">
        <f ca="1">IFERROR(__xludf.DUMMYFUNCTION("""COMPUTED_VALUE"""),-0.463795268025959)</f>
        <v>-0.463795268025959</v>
      </c>
      <c r="IN77" s="3">
        <f ca="1">IFERROR(__xludf.DUMMYFUNCTION("""COMPUTED_VALUE"""),-0.461532490464483)</f>
        <v>-0.46153249046448303</v>
      </c>
      <c r="IO77" s="3">
        <f ca="1">IFERROR(__xludf.DUMMYFUNCTION("""COMPUTED_VALUE"""),-0.368833957225379)</f>
        <v>-0.36883395722537898</v>
      </c>
      <c r="IP77" s="3">
        <f ca="1">IFERROR(__xludf.DUMMYFUNCTION("""COMPUTED_VALUE"""),-0.276417626957287)</f>
        <v>-0.276417626957287</v>
      </c>
      <c r="IQ77" s="3">
        <f ca="1">IFERROR(__xludf.DUMMYFUNCTION("""COMPUTED_VALUE"""),-0.352304959512214)</f>
        <v>-0.35230495951221402</v>
      </c>
      <c r="IR77" s="3">
        <f ca="1">IFERROR(__xludf.DUMMYFUNCTION("""COMPUTED_VALUE"""),-0.318366795813032)</f>
        <v>-0.31836679581303201</v>
      </c>
      <c r="IS77" s="3">
        <f ca="1">IFERROR(__xludf.DUMMYFUNCTION("""COMPUTED_VALUE"""),-0.365821586226429)</f>
        <v>-0.36582158622642902</v>
      </c>
      <c r="IT77" s="3">
        <f ca="1">IFERROR(__xludf.DUMMYFUNCTION("""COMPUTED_VALUE"""),-0.42425355005046)</f>
        <v>-0.42425355005046</v>
      </c>
      <c r="IU77" s="3">
        <f ca="1">IFERROR(__xludf.DUMMYFUNCTION("""COMPUTED_VALUE"""),-0.341147052320315)</f>
        <v>-0.341147052320315</v>
      </c>
      <c r="IV77" s="3">
        <f ca="1">IFERROR(__xludf.DUMMYFUNCTION("""COMPUTED_VALUE"""),-0.414860520353761)</f>
        <v>-0.41486052035376098</v>
      </c>
      <c r="IW77" s="3">
        <f ca="1">IFERROR(__xludf.DUMMYFUNCTION("""COMPUTED_VALUE"""),-0.212537866064181)</f>
        <v>-0.21253786606418101</v>
      </c>
      <c r="IX77" s="3">
        <f ca="1">IFERROR(__xludf.DUMMYFUNCTION("""COMPUTED_VALUE"""),-0.220527760431559)</f>
        <v>-0.220527760431559</v>
      </c>
      <c r="IY77" s="3">
        <f ca="1">IFERROR(__xludf.DUMMYFUNCTION("""COMPUTED_VALUE"""),-0.249402063193965)</f>
        <v>-0.24940206319396499</v>
      </c>
      <c r="IZ77" s="3">
        <f ca="1">IFERROR(__xludf.DUMMYFUNCTION("""COMPUTED_VALUE"""),-0.240627257776207)</f>
        <v>-0.240627257776207</v>
      </c>
      <c r="JA77" s="3">
        <f ca="1">IFERROR(__xludf.DUMMYFUNCTION("""COMPUTED_VALUE"""),-0.243858207177664)</f>
        <v>-0.24385820717766399</v>
      </c>
      <c r="JB77" s="3">
        <f ca="1">IFERROR(__xludf.DUMMYFUNCTION("""COMPUTED_VALUE"""),-0.382088207053476)</f>
        <v>-0.38208820705347601</v>
      </c>
      <c r="JC77" s="3">
        <f ca="1">IFERROR(__xludf.DUMMYFUNCTION("""COMPUTED_VALUE"""),-0.366503041827547)</f>
        <v>-0.366503041827547</v>
      </c>
      <c r="JD77" s="3">
        <f ca="1">IFERROR(__xludf.DUMMYFUNCTION("""COMPUTED_VALUE"""),-0.323913877321926)</f>
        <v>-0.323913877321926</v>
      </c>
      <c r="JE77" s="3">
        <f ca="1">IFERROR(__xludf.DUMMYFUNCTION("""COMPUTED_VALUE"""),-0.272809512932394)</f>
        <v>-0.27280951293239403</v>
      </c>
      <c r="JF77" s="3">
        <f ca="1">IFERROR(__xludf.DUMMYFUNCTION("""COMPUTED_VALUE"""),-0.339556153036197)</f>
        <v>-0.33955615303619702</v>
      </c>
      <c r="JG77" s="3">
        <f ca="1">IFERROR(__xludf.DUMMYFUNCTION("""COMPUTED_VALUE"""),-0.307910499806454)</f>
        <v>-0.30791049980645402</v>
      </c>
      <c r="JH77" s="3">
        <f ca="1">IFERROR(__xludf.DUMMYFUNCTION("""COMPUTED_VALUE"""),-0.196913968374395)</f>
        <v>-0.19691396837439501</v>
      </c>
      <c r="JI77" s="3">
        <f ca="1">IFERROR(__xludf.DUMMYFUNCTION("""COMPUTED_VALUE"""),-0.285347622087579)</f>
        <v>-0.28534762208757902</v>
      </c>
      <c r="JJ77" s="3">
        <f ca="1">IFERROR(__xludf.DUMMYFUNCTION("""COMPUTED_VALUE"""),-0.3415494955581)</f>
        <v>-0.34154949555809999</v>
      </c>
      <c r="JK77" s="3">
        <f ca="1">IFERROR(__xludf.DUMMYFUNCTION("""COMPUTED_VALUE"""),-0.257933549319325)</f>
        <v>-0.257933549319325</v>
      </c>
      <c r="JL77" s="3">
        <f ca="1">IFERROR(__xludf.DUMMYFUNCTION("""COMPUTED_VALUE"""),-0.315855146226573)</f>
        <v>-0.31585514622657301</v>
      </c>
      <c r="JM77" s="3">
        <f ca="1">IFERROR(__xludf.DUMMYFUNCTION("""COMPUTED_VALUE"""),-0.329189570524919)</f>
        <v>-0.32918957052491898</v>
      </c>
      <c r="JN77" s="3">
        <f ca="1">IFERROR(__xludf.DUMMYFUNCTION("""COMPUTED_VALUE"""),-0.271359234678231)</f>
        <v>-0.27135923467823098</v>
      </c>
      <c r="JO77" s="3">
        <f ca="1">IFERROR(__xludf.DUMMYFUNCTION("""COMPUTED_VALUE"""),-0.259821036137318)</f>
        <v>-0.259821036137318</v>
      </c>
      <c r="JP77" s="3">
        <f ca="1">IFERROR(__xludf.DUMMYFUNCTION("""COMPUTED_VALUE"""),-0.266974252000854)</f>
        <v>-0.26697425200085401</v>
      </c>
      <c r="JQ77" s="3">
        <f ca="1">IFERROR(__xludf.DUMMYFUNCTION("""COMPUTED_VALUE"""),-0.44328070488888)</f>
        <v>-0.44328070488888</v>
      </c>
      <c r="JR77" s="3">
        <f ca="1">IFERROR(__xludf.DUMMYFUNCTION("""COMPUTED_VALUE"""),-0.446659980946895)</f>
        <v>-0.44665998094689502</v>
      </c>
      <c r="JS77" s="3">
        <f ca="1">IFERROR(__xludf.DUMMYFUNCTION("""COMPUTED_VALUE"""),-0.315271700298974)</f>
        <v>-0.315271700298974</v>
      </c>
      <c r="JT77" s="3">
        <f ca="1">IFERROR(__xludf.DUMMYFUNCTION("""COMPUTED_VALUE"""),-0.321809070442497)</f>
        <v>-0.32180907044249701</v>
      </c>
      <c r="JU77" s="3">
        <f ca="1">IFERROR(__xludf.DUMMYFUNCTION("""COMPUTED_VALUE"""),-0.349130724375664)</f>
        <v>-0.349130724375664</v>
      </c>
      <c r="JV77" s="3">
        <f ca="1">IFERROR(__xludf.DUMMYFUNCTION("""COMPUTED_VALUE"""),-0.296597423241641)</f>
        <v>-0.29659742324164101</v>
      </c>
      <c r="JW77" s="3">
        <f ca="1">IFERROR(__xludf.DUMMYFUNCTION("""COMPUTED_VALUE"""),-0.254422526735747)</f>
        <v>-0.254422526735747</v>
      </c>
      <c r="JX77" s="3">
        <f ca="1">IFERROR(__xludf.DUMMYFUNCTION("""COMPUTED_VALUE"""),-0.273013646079329)</f>
        <v>-0.27301364607932899</v>
      </c>
      <c r="JY77" s="3">
        <f ca="1">IFERROR(__xludf.DUMMYFUNCTION("""COMPUTED_VALUE"""),-0.280810500096177)</f>
        <v>-0.28081050009617697</v>
      </c>
      <c r="JZ77" s="3">
        <f ca="1">IFERROR(__xludf.DUMMYFUNCTION("""COMPUTED_VALUE"""),-0.288733768251314)</f>
        <v>-0.28873376825131403</v>
      </c>
      <c r="KA77" s="3">
        <f ca="1">IFERROR(__xludf.DUMMYFUNCTION("""COMPUTED_VALUE"""),-0.326727087245912)</f>
        <v>-0.32672708724591198</v>
      </c>
      <c r="KB77" s="3">
        <f ca="1">IFERROR(__xludf.DUMMYFUNCTION("""COMPUTED_VALUE"""),-0.408057080091393)</f>
        <v>-0.40805708009139302</v>
      </c>
      <c r="KC77" s="3">
        <f ca="1">IFERROR(__xludf.DUMMYFUNCTION("""COMPUTED_VALUE"""),-0.29780077278129)</f>
        <v>-0.29780077278129002</v>
      </c>
      <c r="KD77" s="3">
        <f ca="1">IFERROR(__xludf.DUMMYFUNCTION("""COMPUTED_VALUE"""),-0.314280981518801)</f>
        <v>-0.31428098151880102</v>
      </c>
      <c r="KE77" s="3">
        <f ca="1">IFERROR(__xludf.DUMMYFUNCTION("""COMPUTED_VALUE"""),-0.434552898015695)</f>
        <v>-0.43455289801569502</v>
      </c>
      <c r="KF77" s="3">
        <f ca="1">IFERROR(__xludf.DUMMYFUNCTION("""COMPUTED_VALUE"""),-0.397481295649335)</f>
        <v>-0.39748129564933499</v>
      </c>
      <c r="KG77" s="3">
        <f ca="1">IFERROR(__xludf.DUMMYFUNCTION("""COMPUTED_VALUE"""),-0.318066757047056)</f>
        <v>-0.318066757047056</v>
      </c>
      <c r="KH77" s="3">
        <f ca="1">IFERROR(__xludf.DUMMYFUNCTION("""COMPUTED_VALUE"""),-0.439105010906175)</f>
        <v>-0.43910501090617499</v>
      </c>
      <c r="KI77" s="3">
        <f ca="1">IFERROR(__xludf.DUMMYFUNCTION("""COMPUTED_VALUE"""),-0.475664039844136)</f>
        <v>-0.47566403984413602</v>
      </c>
      <c r="KJ77" s="3">
        <f ca="1">IFERROR(__xludf.DUMMYFUNCTION("""COMPUTED_VALUE"""),-0.33343625213368)</f>
        <v>-0.33343625213368</v>
      </c>
      <c r="KK77" s="3">
        <f ca="1">IFERROR(__xludf.DUMMYFUNCTION("""COMPUTED_VALUE"""),-0.333200722221149)</f>
        <v>-0.33320072222114899</v>
      </c>
      <c r="KL77" s="3">
        <f ca="1">IFERROR(__xludf.DUMMYFUNCTION("""COMPUTED_VALUE"""),-0.412211348028905)</f>
        <v>-0.41221134802890502</v>
      </c>
      <c r="KM77" s="3">
        <f ca="1">IFERROR(__xludf.DUMMYFUNCTION("""COMPUTED_VALUE"""),-0.469418940268642)</f>
        <v>-0.469418940268642</v>
      </c>
      <c r="KN77" s="3">
        <f ca="1">IFERROR(__xludf.DUMMYFUNCTION("""COMPUTED_VALUE"""),-0.539589586489807)</f>
        <v>-0.53958958648980704</v>
      </c>
      <c r="KO77" s="3">
        <f ca="1">IFERROR(__xludf.DUMMYFUNCTION("""COMPUTED_VALUE"""),-0.523430875055847)</f>
        <v>-0.52343087505584696</v>
      </c>
      <c r="KP77" s="3">
        <f ca="1">IFERROR(__xludf.DUMMYFUNCTION("""COMPUTED_VALUE"""),-0.528696576063726)</f>
        <v>-0.528696576063726</v>
      </c>
      <c r="KQ77" s="3">
        <f ca="1">IFERROR(__xludf.DUMMYFUNCTION("""COMPUTED_VALUE"""),-0.545577725791147)</f>
        <v>-0.54557772579114705</v>
      </c>
      <c r="KR77" s="3">
        <f ca="1">IFERROR(__xludf.DUMMYFUNCTION("""COMPUTED_VALUE"""),-0.550228069834677)</f>
        <v>-0.55022806983467698</v>
      </c>
      <c r="KS77" s="3">
        <f ca="1">IFERROR(__xludf.DUMMYFUNCTION("""COMPUTED_VALUE"""),-0.512785300179239)</f>
        <v>-0.51278530017923896</v>
      </c>
      <c r="KT77" s="3">
        <f ca="1">IFERROR(__xludf.DUMMYFUNCTION("""COMPUTED_VALUE"""),-0.597202856250226)</f>
        <v>-0.59720285625022596</v>
      </c>
      <c r="KU77" s="3">
        <f ca="1">IFERROR(__xludf.DUMMYFUNCTION("""COMPUTED_VALUE"""),-0.62014118008586)</f>
        <v>-0.62014118008586006</v>
      </c>
      <c r="KV77" s="3">
        <f ca="1">IFERROR(__xludf.DUMMYFUNCTION("""COMPUTED_VALUE"""),-0.654975951390538)</f>
        <v>-0.65497595139053799</v>
      </c>
      <c r="KW77" s="3">
        <f ca="1">IFERROR(__xludf.DUMMYFUNCTION("""COMPUTED_VALUE"""),-0.628695106339981)</f>
        <v>-0.62869510633998105</v>
      </c>
      <c r="KX77" s="3">
        <f ca="1">IFERROR(__xludf.DUMMYFUNCTION("""COMPUTED_VALUE"""),-0.610310513796516)</f>
        <v>-0.61031051379651602</v>
      </c>
      <c r="KY77" s="3">
        <f ca="1">IFERROR(__xludf.DUMMYFUNCTION("""COMPUTED_VALUE"""),-0.596631528442696)</f>
        <v>-0.59663152844269596</v>
      </c>
      <c r="KZ77" s="3">
        <f ca="1">IFERROR(__xludf.DUMMYFUNCTION("""COMPUTED_VALUE"""),-0.456807182034038)</f>
        <v>-0.45680718203403797</v>
      </c>
      <c r="LA77" s="3">
        <f ca="1">IFERROR(__xludf.DUMMYFUNCTION("""COMPUTED_VALUE"""),-0.652874245252817)</f>
        <v>-0.65287424525281701</v>
      </c>
      <c r="LB77" s="3">
        <f ca="1">IFERROR(__xludf.DUMMYFUNCTION("""COMPUTED_VALUE"""),-0.616207348858957)</f>
        <v>-0.616207348858957</v>
      </c>
      <c r="LC77" s="3">
        <f ca="1">IFERROR(__xludf.DUMMYFUNCTION("""COMPUTED_VALUE"""),-0.656188032490272)</f>
        <v>-0.65618803249027202</v>
      </c>
      <c r="LD77" s="3">
        <f ca="1">IFERROR(__xludf.DUMMYFUNCTION("""COMPUTED_VALUE"""),-0.655449151226233)</f>
        <v>-0.65544915122623304</v>
      </c>
      <c r="LE77" s="3">
        <f ca="1">IFERROR(__xludf.DUMMYFUNCTION("""COMPUTED_VALUE"""),-0.646739020609693)</f>
        <v>-0.64673902060969302</v>
      </c>
      <c r="LF77" s="3">
        <f ca="1">IFERROR(__xludf.DUMMYFUNCTION("""COMPUTED_VALUE"""),-0.626630587831321)</f>
        <v>-0.62663058783132097</v>
      </c>
      <c r="LG77" s="3">
        <f ca="1">IFERROR(__xludf.DUMMYFUNCTION("""COMPUTED_VALUE"""),-0.625139251661551)</f>
        <v>-0.62513925166155104</v>
      </c>
      <c r="LH77" s="3">
        <f ca="1">IFERROR(__xludf.DUMMYFUNCTION("""COMPUTED_VALUE"""),-0.693897633797454)</f>
        <v>-0.69389763379745395</v>
      </c>
      <c r="LI77" s="3">
        <f ca="1">IFERROR(__xludf.DUMMYFUNCTION("""COMPUTED_VALUE"""),-0.701754185609251)</f>
        <v>-0.70175418560925096</v>
      </c>
      <c r="LJ77" s="3">
        <f ca="1">IFERROR(__xludf.DUMMYFUNCTION("""COMPUTED_VALUE"""),-0.735471118967848)</f>
        <v>-0.735471118967848</v>
      </c>
      <c r="LK77" s="3">
        <f ca="1">IFERROR(__xludf.DUMMYFUNCTION("""COMPUTED_VALUE"""),-0.703582064762286)</f>
        <v>-0.70358206476228602</v>
      </c>
      <c r="LL77" s="3">
        <f ca="1">IFERROR(__xludf.DUMMYFUNCTION("""COMPUTED_VALUE"""),-0.705389693352425)</f>
        <v>-0.70538969335242496</v>
      </c>
      <c r="LM77" s="3">
        <f ca="1">IFERROR(__xludf.DUMMYFUNCTION("""COMPUTED_VALUE"""),-0.690740438232259)</f>
        <v>-0.69074043823225895</v>
      </c>
      <c r="LN77" s="3">
        <f ca="1">IFERROR(__xludf.DUMMYFUNCTION("""COMPUTED_VALUE"""),-0.734167925691278)</f>
        <v>-0.73416792569127798</v>
      </c>
      <c r="LO77" s="3">
        <f ca="1">IFERROR(__xludf.DUMMYFUNCTION("""COMPUTED_VALUE"""),-0.727935105816472)</f>
        <v>-0.72793510581647203</v>
      </c>
      <c r="LP77" s="3">
        <f ca="1">IFERROR(__xludf.DUMMYFUNCTION("""COMPUTED_VALUE"""),-0.762916105908104)</f>
        <v>-0.76291610590810399</v>
      </c>
      <c r="LQ77" s="3">
        <f ca="1">IFERROR(__xludf.DUMMYFUNCTION("""COMPUTED_VALUE"""),-0.815363970268381)</f>
        <v>-0.81536397026838103</v>
      </c>
      <c r="LR77" s="3">
        <f ca="1">IFERROR(__xludf.DUMMYFUNCTION("""COMPUTED_VALUE"""),-0.772594292627187)</f>
        <v>-0.77259429262718704</v>
      </c>
      <c r="LS77" s="3">
        <f ca="1">IFERROR(__xludf.DUMMYFUNCTION("""COMPUTED_VALUE"""),-0.798619188291508)</f>
        <v>-0.79861918829150802</v>
      </c>
      <c r="LT77" s="3">
        <f ca="1">IFERROR(__xludf.DUMMYFUNCTION("""COMPUTED_VALUE"""),-0.782227020146851)</f>
        <v>-0.78222702014685097</v>
      </c>
      <c r="LU77" s="3">
        <f ca="1">IFERROR(__xludf.DUMMYFUNCTION("""COMPUTED_VALUE"""),-0.745380560356392)</f>
        <v>-0.745380560356392</v>
      </c>
      <c r="LV77" s="3">
        <f ca="1">IFERROR(__xludf.DUMMYFUNCTION("""COMPUTED_VALUE"""),-0.799380406521743)</f>
        <v>-0.79938040652174303</v>
      </c>
      <c r="LW77" s="3">
        <f ca="1">IFERROR(__xludf.DUMMYFUNCTION("""COMPUTED_VALUE"""),-0.864076738509222)</f>
        <v>-0.86407673850922195</v>
      </c>
      <c r="LX77" s="3">
        <f ca="1">IFERROR(__xludf.DUMMYFUNCTION("""COMPUTED_VALUE"""),-0.839837101774654)</f>
        <v>-0.83983710177465398</v>
      </c>
      <c r="LY77" s="3">
        <f ca="1">IFERROR(__xludf.DUMMYFUNCTION("""COMPUTED_VALUE"""),-0.803127354244171)</f>
        <v>-0.80312735424417103</v>
      </c>
      <c r="LZ77" s="3">
        <f ca="1">IFERROR(__xludf.DUMMYFUNCTION("""COMPUTED_VALUE"""),-0.833984927176246)</f>
        <v>-0.83398492717624595</v>
      </c>
      <c r="MA77" s="3">
        <f ca="1">IFERROR(__xludf.DUMMYFUNCTION("""COMPUTED_VALUE"""),-0.819227457567756)</f>
        <v>-0.81922745756775595</v>
      </c>
      <c r="MB77" s="3">
        <f ca="1">IFERROR(__xludf.DUMMYFUNCTION("""COMPUTED_VALUE"""),-0.821731044438374)</f>
        <v>-0.82173104443837397</v>
      </c>
      <c r="MC77" s="3">
        <f ca="1">IFERROR(__xludf.DUMMYFUNCTION("""COMPUTED_VALUE"""),-0.789116644201726)</f>
        <v>-0.789116644201726</v>
      </c>
      <c r="MD77" s="3">
        <f ca="1">IFERROR(__xludf.DUMMYFUNCTION("""COMPUTED_VALUE"""),-0.872681188778866)</f>
        <v>-0.87268118877886602</v>
      </c>
      <c r="ME77" s="3">
        <f ca="1">IFERROR(__xludf.DUMMYFUNCTION("""COMPUTED_VALUE"""),-0.853487767485415)</f>
        <v>-0.85348776748541499</v>
      </c>
      <c r="MF77" s="3">
        <f ca="1">IFERROR(__xludf.DUMMYFUNCTION("""COMPUTED_VALUE"""),-0.852142898155707)</f>
        <v>-0.85214289815570698</v>
      </c>
      <c r="MG77" s="3">
        <f ca="1">IFERROR(__xludf.DUMMYFUNCTION("""COMPUTED_VALUE"""),-0.823156779469262)</f>
        <v>-0.82315677946926202</v>
      </c>
      <c r="MH77" s="3">
        <f ca="1">IFERROR(__xludf.DUMMYFUNCTION("""COMPUTED_VALUE"""),-0.770061676707064)</f>
        <v>-0.77006167670706405</v>
      </c>
      <c r="MI77" s="3">
        <f ca="1">IFERROR(__xludf.DUMMYFUNCTION("""COMPUTED_VALUE"""),-0.815363666157283)</f>
        <v>-0.81536366615728295</v>
      </c>
      <c r="MJ77" s="3">
        <f ca="1">IFERROR(__xludf.DUMMYFUNCTION("""COMPUTED_VALUE"""),-0.809166788415753)</f>
        <v>-0.80916678841575296</v>
      </c>
      <c r="MK77" s="3">
        <f ca="1">IFERROR(__xludf.DUMMYFUNCTION("""COMPUTED_VALUE"""),-0.85172647428378)</f>
        <v>-0.85172647428378001</v>
      </c>
      <c r="ML77" s="3">
        <f ca="1">IFERROR(__xludf.DUMMYFUNCTION("""COMPUTED_VALUE"""),-0.865607195866138)</f>
        <v>-0.86560719586613799</v>
      </c>
      <c r="MM77" s="3">
        <f ca="1">IFERROR(__xludf.DUMMYFUNCTION("""COMPUTED_VALUE"""),-0.849005478142997)</f>
        <v>-0.84900547814299698</v>
      </c>
      <c r="MN77" s="3">
        <f ca="1">IFERROR(__xludf.DUMMYFUNCTION("""COMPUTED_VALUE"""),-0.863760102433926)</f>
        <v>-0.86376010243392598</v>
      </c>
      <c r="MO77" s="3">
        <f ca="1">IFERROR(__xludf.DUMMYFUNCTION("""COMPUTED_VALUE"""),-0.852789831986692)</f>
        <v>-0.852789831986692</v>
      </c>
      <c r="MP77" s="3">
        <f ca="1">IFERROR(__xludf.DUMMYFUNCTION("""COMPUTED_VALUE"""),-0.846885881157039)</f>
        <v>-0.846885881157039</v>
      </c>
      <c r="MQ77" s="3">
        <f ca="1">IFERROR(__xludf.DUMMYFUNCTION("""COMPUTED_VALUE"""),-0.86428566331783)</f>
        <v>-0.86428566331782997</v>
      </c>
      <c r="MR77" s="3">
        <f ca="1">IFERROR(__xludf.DUMMYFUNCTION("""COMPUTED_VALUE"""),-0.891538249817313)</f>
        <v>-0.891538249817313</v>
      </c>
      <c r="MS77" s="3">
        <f ca="1">IFERROR(__xludf.DUMMYFUNCTION("""COMPUTED_VALUE"""),-0.896126480347939)</f>
        <v>-0.89612648034793896</v>
      </c>
      <c r="MT77" s="3">
        <f ca="1">IFERROR(__xludf.DUMMYFUNCTION("""COMPUTED_VALUE"""),-0.89450131602843)</f>
        <v>-0.89450131602842997</v>
      </c>
      <c r="MU77" s="3">
        <f ca="1">IFERROR(__xludf.DUMMYFUNCTION("""COMPUTED_VALUE"""),-0.877830667751913)</f>
        <v>-0.87783066775191299</v>
      </c>
      <c r="MV77" s="3">
        <f ca="1">IFERROR(__xludf.DUMMYFUNCTION("""COMPUTED_VALUE"""),-0.844498330260476)</f>
        <v>-0.84449833026047605</v>
      </c>
      <c r="MW77" s="3">
        <f ca="1">IFERROR(__xludf.DUMMYFUNCTION("""COMPUTED_VALUE"""),-0.90432519783564)</f>
        <v>-0.90432519783564003</v>
      </c>
      <c r="MX77" s="3">
        <f ca="1">IFERROR(__xludf.DUMMYFUNCTION("""COMPUTED_VALUE"""),-0.877010363438629)</f>
        <v>-0.87701036343862904</v>
      </c>
      <c r="MY77" s="3">
        <f ca="1">IFERROR(__xludf.DUMMYFUNCTION("""COMPUTED_VALUE"""),-0.913243927919323)</f>
        <v>-0.91324392791932296</v>
      </c>
      <c r="MZ77" s="3">
        <f ca="1">IFERROR(__xludf.DUMMYFUNCTION("""COMPUTED_VALUE"""),-0.894686751636933)</f>
        <v>-0.89468675163693301</v>
      </c>
      <c r="NA77" s="3">
        <f ca="1">IFERROR(__xludf.DUMMYFUNCTION("""COMPUTED_VALUE"""),-0.903374678665724)</f>
        <v>-0.90337467866572396</v>
      </c>
      <c r="NB77" s="3">
        <f ca="1">IFERROR(__xludf.DUMMYFUNCTION("""COMPUTED_VALUE"""),-0.91488611880875)</f>
        <v>-0.91488611880875004</v>
      </c>
      <c r="NC77" s="3">
        <f ca="1">IFERROR(__xludf.DUMMYFUNCTION("""COMPUTED_VALUE"""),-0.869081869511857)</f>
        <v>-0.86908186951185695</v>
      </c>
      <c r="ND77" s="3">
        <f ca="1">IFERROR(__xludf.DUMMYFUNCTION("""COMPUTED_VALUE"""),-0.893929568823095)</f>
        <v>-0.89392956882309504</v>
      </c>
      <c r="NE77" s="3">
        <f ca="1">IFERROR(__xludf.DUMMYFUNCTION("""COMPUTED_VALUE"""),-0.896940696654769)</f>
        <v>-0.89694069665476905</v>
      </c>
      <c r="NF77" s="3">
        <f ca="1">IFERROR(__xludf.DUMMYFUNCTION("""COMPUTED_VALUE"""),-0.908654996914934)</f>
        <v>-0.90865499691493401</v>
      </c>
      <c r="NG77" s="3">
        <f ca="1">IFERROR(__xludf.DUMMYFUNCTION("""COMPUTED_VALUE"""),-0.897358209533681)</f>
        <v>-0.89735820953368095</v>
      </c>
      <c r="NH77" s="3">
        <f ca="1">IFERROR(__xludf.DUMMYFUNCTION("""COMPUTED_VALUE"""),-0.903654434908233)</f>
        <v>-0.90365443490823305</v>
      </c>
      <c r="NI77" s="3">
        <f ca="1">IFERROR(__xludf.DUMMYFUNCTION("""COMPUTED_VALUE"""),-0.885165469518232)</f>
        <v>-0.88516546951823205</v>
      </c>
      <c r="NJ77" s="3">
        <f ca="1">IFERROR(__xludf.DUMMYFUNCTION("""COMPUTED_VALUE"""),-0.890096836413098)</f>
        <v>-0.890096836413098</v>
      </c>
      <c r="NK77" s="3">
        <f ca="1">IFERROR(__xludf.DUMMYFUNCTION("""COMPUTED_VALUE"""),-0.867150986357475)</f>
        <v>-0.86715098635747501</v>
      </c>
      <c r="NL77" s="3">
        <f ca="1">IFERROR(__xludf.DUMMYFUNCTION("""COMPUTED_VALUE"""),-0.846998304989116)</f>
        <v>-0.84699830498911599</v>
      </c>
      <c r="NM77" s="3">
        <f ca="1">IFERROR(__xludf.DUMMYFUNCTION("""COMPUTED_VALUE"""),-0.898862192275457)</f>
        <v>-0.89886219227545705</v>
      </c>
      <c r="NN77" s="3">
        <f ca="1">IFERROR(__xludf.DUMMYFUNCTION("""COMPUTED_VALUE"""),-0.883761413357483)</f>
        <v>-0.88376141335748304</v>
      </c>
      <c r="NO77" s="3">
        <f ca="1">IFERROR(__xludf.DUMMYFUNCTION("""COMPUTED_VALUE"""),-0.850793090315446)</f>
        <v>-0.85079309031544603</v>
      </c>
      <c r="NP77" s="3">
        <f ca="1">IFERROR(__xludf.DUMMYFUNCTION("""COMPUTED_VALUE"""),-0.833440203973414)</f>
        <v>-0.83344020397341401</v>
      </c>
      <c r="NQ77" s="3">
        <f ca="1">IFERROR(__xludf.DUMMYFUNCTION("""COMPUTED_VALUE"""),-0.809405110173508)</f>
        <v>-0.80940511017350802</v>
      </c>
      <c r="NR77" s="3">
        <f ca="1">IFERROR(__xludf.DUMMYFUNCTION("""COMPUTED_VALUE"""),-0.832121118906466)</f>
        <v>-0.83212111890646601</v>
      </c>
      <c r="NS77" s="3">
        <f ca="1">IFERROR(__xludf.DUMMYFUNCTION("""COMPUTED_VALUE"""),-0.855589627208214)</f>
        <v>-0.85558962720821397</v>
      </c>
      <c r="NT77" s="3">
        <f ca="1">IFERROR(__xludf.DUMMYFUNCTION("""COMPUTED_VALUE"""),-0.91350385503314)</f>
        <v>-0.91350385503314002</v>
      </c>
      <c r="NU77" s="3">
        <f ca="1">IFERROR(__xludf.DUMMYFUNCTION("""COMPUTED_VALUE"""),-0.906267766404674)</f>
        <v>-0.90626776640467399</v>
      </c>
      <c r="NV77" s="3">
        <f ca="1">IFERROR(__xludf.DUMMYFUNCTION("""COMPUTED_VALUE"""),-0.872039707993401)</f>
        <v>-0.87203970799340103</v>
      </c>
      <c r="NW77" s="3">
        <f ca="1">IFERROR(__xludf.DUMMYFUNCTION("""COMPUTED_VALUE"""),-0.843315056746098)</f>
        <v>-0.84331505674609797</v>
      </c>
      <c r="NX77" s="3">
        <f ca="1">IFERROR(__xludf.DUMMYFUNCTION("""COMPUTED_VALUE"""),-0.784102270479093)</f>
        <v>-0.78410227047909298</v>
      </c>
      <c r="NY77" s="3">
        <f ca="1">IFERROR(__xludf.DUMMYFUNCTION("""COMPUTED_VALUE"""),-0.748620451352584)</f>
        <v>-0.74862045135258404</v>
      </c>
      <c r="NZ77" s="3">
        <f ca="1">IFERROR(__xludf.DUMMYFUNCTION("""COMPUTED_VALUE"""),-0.74418345104741)</f>
        <v>-0.74418345104741002</v>
      </c>
      <c r="OA77" s="3">
        <f ca="1">IFERROR(__xludf.DUMMYFUNCTION("""COMPUTED_VALUE"""),-0.783310064432878)</f>
        <v>-0.78331006443287798</v>
      </c>
      <c r="OB77" s="3">
        <f ca="1">IFERROR(__xludf.DUMMYFUNCTION("""COMPUTED_VALUE"""),-0.683354288597082)</f>
        <v>-0.68335428859708203</v>
      </c>
      <c r="OC77" s="3">
        <f ca="1">IFERROR(__xludf.DUMMYFUNCTION("""COMPUTED_VALUE"""),-0.683837609625513)</f>
        <v>-0.68383760962551299</v>
      </c>
      <c r="OD77" s="3">
        <f ca="1">IFERROR(__xludf.DUMMYFUNCTION("""COMPUTED_VALUE"""),-0.689517090803103)</f>
        <v>-0.68951709080310297</v>
      </c>
      <c r="OE77" s="3">
        <f ca="1">IFERROR(__xludf.DUMMYFUNCTION("""COMPUTED_VALUE"""),-0.579286976518683)</f>
        <v>-0.57928697651868299</v>
      </c>
      <c r="OF77" s="3">
        <f ca="1">IFERROR(__xludf.DUMMYFUNCTION("""COMPUTED_VALUE"""),-0.398269516739176)</f>
        <v>-0.39826951673917599</v>
      </c>
      <c r="OG77" s="3">
        <f ca="1">IFERROR(__xludf.DUMMYFUNCTION("""COMPUTED_VALUE"""),-0.40279220455595)</f>
        <v>-0.40279220455595</v>
      </c>
      <c r="OH77" s="3">
        <f ca="1">IFERROR(__xludf.DUMMYFUNCTION("""COMPUTED_VALUE"""),-0.253352202440921)</f>
        <v>-0.25335220244092099</v>
      </c>
      <c r="OI77" s="3">
        <f ca="1">IFERROR(__xludf.DUMMYFUNCTION("""COMPUTED_VALUE"""),-0.0734635779554412)</f>
        <v>-7.3463577955441201E-2</v>
      </c>
      <c r="OJ77" s="3">
        <f ca="1">IFERROR(__xludf.DUMMYFUNCTION("""COMPUTED_VALUE"""),0.0978007933503966)</f>
        <v>9.7800793350396598E-2</v>
      </c>
      <c r="OK77" s="3">
        <f ca="1">IFERROR(__xludf.DUMMYFUNCTION("""COMPUTED_VALUE"""),0.194106658458625)</f>
        <v>0.19410665845862499</v>
      </c>
      <c r="OL77" s="3">
        <f ca="1">IFERROR(__xludf.DUMMYFUNCTION("""COMPUTED_VALUE"""),0.0623841572117169)</f>
        <v>6.2384157211716897E-2</v>
      </c>
      <c r="OM77" s="3">
        <f ca="1">IFERROR(__xludf.DUMMYFUNCTION("""COMPUTED_VALUE"""),-0.00433598161137382)</f>
        <v>-4.3359816113738197E-3</v>
      </c>
      <c r="ON77" s="3">
        <f ca="1">IFERROR(__xludf.DUMMYFUNCTION("""COMPUTED_VALUE"""),0.123503260216375)</f>
        <v>0.123503260216375</v>
      </c>
      <c r="OO77" s="3">
        <f ca="1">IFERROR(__xludf.DUMMYFUNCTION("""COMPUTED_VALUE"""),0.0670555892895226)</f>
        <v>6.7055589289522599E-2</v>
      </c>
      <c r="OP77" s="3">
        <f ca="1">IFERROR(__xludf.DUMMYFUNCTION("""COMPUTED_VALUE"""),0.00602445387890671)</f>
        <v>6.0244538789067104E-3</v>
      </c>
      <c r="OQ77" s="3">
        <f ca="1">IFERROR(__xludf.DUMMYFUNCTION("""COMPUTED_VALUE"""),0.0512388169383171)</f>
        <v>5.1238816938317097E-2</v>
      </c>
      <c r="OR77" s="3">
        <f ca="1">IFERROR(__xludf.DUMMYFUNCTION("""COMPUTED_VALUE"""),0.133766734621093)</f>
        <v>0.13376673462109301</v>
      </c>
      <c r="OS77" s="3">
        <f ca="1">IFERROR(__xludf.DUMMYFUNCTION("""COMPUTED_VALUE"""),0.128867398863084)</f>
        <v>0.12886739886308399</v>
      </c>
      <c r="OT77" s="3">
        <f ca="1">IFERROR(__xludf.DUMMYFUNCTION("""COMPUTED_VALUE"""),0.14935628102714)</f>
        <v>0.14935628102713999</v>
      </c>
      <c r="OU77" s="3">
        <f ca="1">IFERROR(__xludf.DUMMYFUNCTION("""COMPUTED_VALUE"""),0.0523171326083775)</f>
        <v>5.2317132608377503E-2</v>
      </c>
      <c r="OV77" s="3">
        <f ca="1">IFERROR(__xludf.DUMMYFUNCTION("""COMPUTED_VALUE"""),0.107393418889262)</f>
        <v>0.107393418889262</v>
      </c>
      <c r="OW77" s="3">
        <f ca="1">IFERROR(__xludf.DUMMYFUNCTION("""COMPUTED_VALUE"""),-0.062293327729331)</f>
        <v>-6.2293327729331001E-2</v>
      </c>
      <c r="OX77" s="3">
        <f ca="1">IFERROR(__xludf.DUMMYFUNCTION("""COMPUTED_VALUE"""),0.0504275738707613)</f>
        <v>5.04275738707613E-2</v>
      </c>
      <c r="OY77" s="3">
        <f ca="1">IFERROR(__xludf.DUMMYFUNCTION("""COMPUTED_VALUE"""),-0.0329711277257103)</f>
        <v>-3.29711277257103E-2</v>
      </c>
      <c r="OZ77" s="3">
        <f ca="1">IFERROR(__xludf.DUMMYFUNCTION("""COMPUTED_VALUE"""),-0.0381814049771258)</f>
        <v>-3.8181404977125799E-2</v>
      </c>
      <c r="PA77" s="3">
        <f ca="1">IFERROR(__xludf.DUMMYFUNCTION("""COMPUTED_VALUE"""),-0.0355863195745242)</f>
        <v>-3.5586319574524197E-2</v>
      </c>
      <c r="PB77" s="3">
        <f ca="1">IFERROR(__xludf.DUMMYFUNCTION("""COMPUTED_VALUE"""),0.0304421649524588)</f>
        <v>3.04421649524588E-2</v>
      </c>
      <c r="PC77" s="3">
        <f ca="1">IFERROR(__xludf.DUMMYFUNCTION("""COMPUTED_VALUE"""),-0.0352008500485853)</f>
        <v>-3.5200850048585301E-2</v>
      </c>
      <c r="PD77" s="3">
        <f ca="1">IFERROR(__xludf.DUMMYFUNCTION("""COMPUTED_VALUE"""),-0.0293838374916185)</f>
        <v>-2.9383837491618499E-2</v>
      </c>
      <c r="PE77" s="3">
        <f ca="1">IFERROR(__xludf.DUMMYFUNCTION("""COMPUTED_VALUE"""),0.120906498302638)</f>
        <v>0.120906498302638</v>
      </c>
      <c r="PF77" s="3">
        <f ca="1">IFERROR(__xludf.DUMMYFUNCTION("""COMPUTED_VALUE"""),0.0946661656984819)</f>
        <v>9.4666165698481894E-2</v>
      </c>
      <c r="PG77" s="3">
        <f ca="1">IFERROR(__xludf.DUMMYFUNCTION("""COMPUTED_VALUE"""),0.128181745036425)</f>
        <v>0.12818174503642499</v>
      </c>
      <c r="PH77" s="3">
        <f ca="1">IFERROR(__xludf.DUMMYFUNCTION("""COMPUTED_VALUE"""),0.0560110955446315)</f>
        <v>5.6011095544631503E-2</v>
      </c>
      <c r="PI77" s="3">
        <f ca="1">IFERROR(__xludf.DUMMYFUNCTION("""COMPUTED_VALUE"""),0.0616368603841626)</f>
        <v>6.1636860384162599E-2</v>
      </c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</row>
    <row r="78" spans="1:477" ht="13">
      <c r="A78" s="1" t="str">
        <f ca="1">IFERROR(__xludf.DUMMYFUNCTION("""COMPUTED_VALUE"""),"PATH")</f>
        <v>PATH</v>
      </c>
      <c r="B78" s="1" t="str">
        <f ca="1">IFERROR(__xludf.DUMMYFUNCTION("""COMPUTED_VALUE"""),"NYC")</f>
        <v>NYC</v>
      </c>
      <c r="C78" s="1" t="str">
        <f ca="1">IFERROR(__xludf.DUMMYFUNCTION("""COMPUTED_VALUE"""),"United States")</f>
        <v>United States</v>
      </c>
      <c r="D78" s="1" t="str">
        <f ca="1">IFERROR(__xludf.DUMMYFUNCTION("""COMPUTED_VALUE"""),"New Jersey, New York")</f>
        <v>New Jersey, New York</v>
      </c>
      <c r="E78" s="3">
        <f ca="1">IFERROR(__xludf.DUMMYFUNCTION("""COMPUTED_VALUE"""),-0.40726042750679)</f>
        <v>-0.40726042750678998</v>
      </c>
      <c r="F78" s="3">
        <f ca="1">IFERROR(__xludf.DUMMYFUNCTION("""COMPUTED_VALUE"""),-0.421089942572537)</f>
        <v>-0.42108994257253701</v>
      </c>
      <c r="G78" s="3">
        <f ca="1">IFERROR(__xludf.DUMMYFUNCTION("""COMPUTED_VALUE"""),-0.455511555989949)</f>
        <v>-0.45551155598994902</v>
      </c>
      <c r="H78" s="3">
        <f ca="1">IFERROR(__xludf.DUMMYFUNCTION("""COMPUTED_VALUE"""),-0.457989799636919)</f>
        <v>-0.45798979963691899</v>
      </c>
      <c r="I78" s="3">
        <f ca="1">IFERROR(__xludf.DUMMYFUNCTION("""COMPUTED_VALUE"""),-0.469244431954781)</f>
        <v>-0.46924443195478099</v>
      </c>
      <c r="J78" s="3">
        <f ca="1">IFERROR(__xludf.DUMMYFUNCTION("""COMPUTED_VALUE"""),-0.451716066733125)</f>
        <v>-0.45171606673312498</v>
      </c>
      <c r="K78" s="3">
        <f ca="1">IFERROR(__xludf.DUMMYFUNCTION("""COMPUTED_VALUE"""),-0.445658079617802)</f>
        <v>-0.44565807961780202</v>
      </c>
      <c r="L78" s="3">
        <f ca="1">IFERROR(__xludf.DUMMYFUNCTION("""COMPUTED_VALUE"""),-0.466549174801695)</f>
        <v>-0.466549174801695</v>
      </c>
      <c r="M78" s="3">
        <f ca="1">IFERROR(__xludf.DUMMYFUNCTION("""COMPUTED_VALUE"""),-0.481539469768323)</f>
        <v>-0.48153946976832301</v>
      </c>
      <c r="N78" s="3">
        <f ca="1">IFERROR(__xludf.DUMMYFUNCTION("""COMPUTED_VALUE"""),-0.490023581631579)</f>
        <v>-0.490023581631579</v>
      </c>
      <c r="O78" s="3">
        <f ca="1">IFERROR(__xludf.DUMMYFUNCTION("""COMPUTED_VALUE"""),-0.507085208837683)</f>
        <v>-0.50708520883768304</v>
      </c>
      <c r="P78" s="3">
        <f ca="1">IFERROR(__xludf.DUMMYFUNCTION("""COMPUTED_VALUE"""),-0.501313669477788)</f>
        <v>-0.50131366947778799</v>
      </c>
      <c r="Q78" s="3">
        <f ca="1">IFERROR(__xludf.DUMMYFUNCTION("""COMPUTED_VALUE"""),-0.491776957474726)</f>
        <v>-0.491776957474726</v>
      </c>
      <c r="R78" s="3">
        <f ca="1">IFERROR(__xludf.DUMMYFUNCTION("""COMPUTED_VALUE"""),-0.452644481053549)</f>
        <v>-0.45264448105354899</v>
      </c>
      <c r="S78" s="3">
        <f ca="1">IFERROR(__xludf.DUMMYFUNCTION("""COMPUTED_VALUE"""),-0.434475688033154)</f>
        <v>-0.43447568803315401</v>
      </c>
      <c r="T78" s="3">
        <f ca="1">IFERROR(__xludf.DUMMYFUNCTION("""COMPUTED_VALUE"""),-0.546282019121589)</f>
        <v>-0.54628201912158902</v>
      </c>
      <c r="U78" s="3">
        <f ca="1">IFERROR(__xludf.DUMMYFUNCTION("""COMPUTED_VALUE"""),-0.587714584380641)</f>
        <v>-0.58771458438064095</v>
      </c>
      <c r="V78" s="3">
        <f ca="1">IFERROR(__xludf.DUMMYFUNCTION("""COMPUTED_VALUE"""),-0.614062251234752)</f>
        <v>-0.614062251234752</v>
      </c>
      <c r="W78" s="3">
        <f ca="1">IFERROR(__xludf.DUMMYFUNCTION("""COMPUTED_VALUE"""),-0.57663923140894)</f>
        <v>-0.57663923140894002</v>
      </c>
      <c r="X78" s="3">
        <f ca="1">IFERROR(__xludf.DUMMYFUNCTION("""COMPUTED_VALUE"""),-0.521932191085047)</f>
        <v>-0.52193219108504696</v>
      </c>
      <c r="Y78" s="3">
        <f ca="1">IFERROR(__xludf.DUMMYFUNCTION("""COMPUTED_VALUE"""),-0.460220203401678)</f>
        <v>-0.46022020340167802</v>
      </c>
      <c r="Z78" s="3">
        <f ca="1">IFERROR(__xludf.DUMMYFUNCTION("""COMPUTED_VALUE"""),-0.507752835704026)</f>
        <v>-0.50775283570402596</v>
      </c>
      <c r="AA78" s="3">
        <f ca="1">IFERROR(__xludf.DUMMYFUNCTION("""COMPUTED_VALUE"""),-0.571293573708968)</f>
        <v>-0.57129357370896805</v>
      </c>
      <c r="AB78" s="3">
        <f ca="1">IFERROR(__xludf.DUMMYFUNCTION("""COMPUTED_VALUE"""),-0.617596205884039)</f>
        <v>-0.61759620588403896</v>
      </c>
      <c r="AC78" s="3">
        <f ca="1">IFERROR(__xludf.DUMMYFUNCTION("""COMPUTED_VALUE"""),-0.612530587400952)</f>
        <v>-0.61253058740095201</v>
      </c>
      <c r="AD78" s="3">
        <f ca="1">IFERROR(__xludf.DUMMYFUNCTION("""COMPUTED_VALUE"""),-0.618561916069198)</f>
        <v>-0.61856191606919797</v>
      </c>
      <c r="AE78" s="3">
        <f ca="1">IFERROR(__xludf.DUMMYFUNCTION("""COMPUTED_VALUE"""),-0.575075291438714)</f>
        <v>-0.57507529143871405</v>
      </c>
      <c r="AF78" s="3">
        <f ca="1">IFERROR(__xludf.DUMMYFUNCTION("""COMPUTED_VALUE"""),-0.518175888704735)</f>
        <v>-0.51817588870473497</v>
      </c>
      <c r="AG78" s="3">
        <f ca="1">IFERROR(__xludf.DUMMYFUNCTION("""COMPUTED_VALUE"""),-0.550964903582151)</f>
        <v>-0.550964903582151</v>
      </c>
      <c r="AH78" s="3">
        <f ca="1">IFERROR(__xludf.DUMMYFUNCTION("""COMPUTED_VALUE"""),-0.559820474020578)</f>
        <v>-0.559820474020578</v>
      </c>
      <c r="AI78" s="3">
        <f ca="1">IFERROR(__xludf.DUMMYFUNCTION("""COMPUTED_VALUE"""),-0.587157571804947)</f>
        <v>-0.58715757180494699</v>
      </c>
      <c r="AJ78" s="3">
        <f ca="1">IFERROR(__xludf.DUMMYFUNCTION("""COMPUTED_VALUE"""),-0.602854153871992)</f>
        <v>-0.60285415387199204</v>
      </c>
      <c r="AK78" s="3">
        <f ca="1">IFERROR(__xludf.DUMMYFUNCTION("""COMPUTED_VALUE"""),-0.596322646850039)</f>
        <v>-0.596322646850039</v>
      </c>
      <c r="AL78" s="3">
        <f ca="1">IFERROR(__xludf.DUMMYFUNCTION("""COMPUTED_VALUE"""),-0.579833253735089)</f>
        <v>-0.57983325373508898</v>
      </c>
      <c r="AM78" s="3">
        <f ca="1">IFERROR(__xludf.DUMMYFUNCTION("""COMPUTED_VALUE"""),-0.516555843960095)</f>
        <v>-0.51655584396009502</v>
      </c>
      <c r="AN78" s="3">
        <f ca="1">IFERROR(__xludf.DUMMYFUNCTION("""COMPUTED_VALUE"""),-0.576359107354117)</f>
        <v>-0.576359107354117</v>
      </c>
      <c r="AO78" s="3">
        <f ca="1">IFERROR(__xludf.DUMMYFUNCTION("""COMPUTED_VALUE"""),-0.607933627509266)</f>
        <v>-0.60793362750926605</v>
      </c>
      <c r="AP78" s="3">
        <f ca="1">IFERROR(__xludf.DUMMYFUNCTION("""COMPUTED_VALUE"""),-0.605750232268085)</f>
        <v>-0.605750232268085</v>
      </c>
      <c r="AQ78" s="3">
        <f ca="1">IFERROR(__xludf.DUMMYFUNCTION("""COMPUTED_VALUE"""),-0.603688700983198)</f>
        <v>-0.60368870098319805</v>
      </c>
      <c r="AR78" s="3">
        <f ca="1">IFERROR(__xludf.DUMMYFUNCTION("""COMPUTED_VALUE"""),-0.627187841743523)</f>
        <v>-0.62718784174352304</v>
      </c>
      <c r="AS78" s="3">
        <f ca="1">IFERROR(__xludf.DUMMYFUNCTION("""COMPUTED_VALUE"""),-0.579328098454372)</f>
        <v>-0.57932809845437205</v>
      </c>
      <c r="AT78" s="3">
        <f ca="1">IFERROR(__xludf.DUMMYFUNCTION("""COMPUTED_VALUE"""),-0.507707771568849)</f>
        <v>-0.50770777156884905</v>
      </c>
      <c r="AU78" s="3">
        <f ca="1">IFERROR(__xludf.DUMMYFUNCTION("""COMPUTED_VALUE"""),-0.570110167065847)</f>
        <v>-0.57011016706584705</v>
      </c>
      <c r="AV78" s="3">
        <f ca="1">IFERROR(__xludf.DUMMYFUNCTION("""COMPUTED_VALUE"""),-0.597976698456151)</f>
        <v>-0.59797669845615098</v>
      </c>
      <c r="AW78" s="3">
        <f ca="1">IFERROR(__xludf.DUMMYFUNCTION("""COMPUTED_VALUE"""),-0.589690522835421)</f>
        <v>-0.589690522835421</v>
      </c>
      <c r="AX78" s="3">
        <f ca="1">IFERROR(__xludf.DUMMYFUNCTION("""COMPUTED_VALUE"""),-0.589224234488243)</f>
        <v>-0.58922423448824301</v>
      </c>
      <c r="AY78" s="3">
        <f ca="1">IFERROR(__xludf.DUMMYFUNCTION("""COMPUTED_VALUE"""),-0.617581312813368)</f>
        <v>-0.61758131281336803</v>
      </c>
      <c r="AZ78" s="3">
        <f ca="1">IFERROR(__xludf.DUMMYFUNCTION("""COMPUTED_VALUE"""),-0.583440501887595)</f>
        <v>-0.583440501887595</v>
      </c>
      <c r="BA78" s="3">
        <f ca="1">IFERROR(__xludf.DUMMYFUNCTION("""COMPUTED_VALUE"""),-0.4923207938705)</f>
        <v>-0.49232079387049998</v>
      </c>
      <c r="BB78" s="3">
        <f ca="1">IFERROR(__xludf.DUMMYFUNCTION("""COMPUTED_VALUE"""),-0.550467985541848)</f>
        <v>-0.55046798554184795</v>
      </c>
      <c r="BC78" s="3">
        <f ca="1">IFERROR(__xludf.DUMMYFUNCTION("""COMPUTED_VALUE"""),-0.590149101997897)</f>
        <v>-0.59014910199789705</v>
      </c>
      <c r="BD78" s="3">
        <f ca="1">IFERROR(__xludf.DUMMYFUNCTION("""COMPUTED_VALUE"""),-0.607325112865906)</f>
        <v>-0.60732511286590596</v>
      </c>
      <c r="BE78" s="3">
        <f ca="1">IFERROR(__xludf.DUMMYFUNCTION("""COMPUTED_VALUE"""),-0.597079522829831)</f>
        <v>-0.59707952282983101</v>
      </c>
      <c r="BF78" s="3">
        <f ca="1">IFERROR(__xludf.DUMMYFUNCTION("""COMPUTED_VALUE"""),-0.562486462102378)</f>
        <v>-0.56248646210237796</v>
      </c>
      <c r="BG78" s="3">
        <f ca="1">IFERROR(__xludf.DUMMYFUNCTION("""COMPUTED_VALUE"""),-0.514880698565816)</f>
        <v>-0.51488069856581598</v>
      </c>
      <c r="BH78" s="3">
        <f ca="1">IFERROR(__xludf.DUMMYFUNCTION("""COMPUTED_VALUE"""),-0.509669192106858)</f>
        <v>-0.50966919210685802</v>
      </c>
      <c r="BI78" s="3">
        <f ca="1">IFERROR(__xludf.DUMMYFUNCTION("""COMPUTED_VALUE"""),-0.575715844702606)</f>
        <v>-0.57571584470260595</v>
      </c>
      <c r="BJ78" s="3">
        <f ca="1">IFERROR(__xludf.DUMMYFUNCTION("""COMPUTED_VALUE"""),-0.623725702578887)</f>
        <v>-0.62372570257888704</v>
      </c>
      <c r="BK78" s="3">
        <f ca="1">IFERROR(__xludf.DUMMYFUNCTION("""COMPUTED_VALUE"""),-0.63815977390887)</f>
        <v>-0.63815977390887002</v>
      </c>
      <c r="BL78" s="3">
        <f ca="1">IFERROR(__xludf.DUMMYFUNCTION("""COMPUTED_VALUE"""),-0.640847074365356)</f>
        <v>-0.64084707436535604</v>
      </c>
      <c r="BM78" s="3">
        <f ca="1">IFERROR(__xludf.DUMMYFUNCTION("""COMPUTED_VALUE"""),-0.634676179102236)</f>
        <v>-0.63467617910223595</v>
      </c>
      <c r="BN78" s="3">
        <f ca="1">IFERROR(__xludf.DUMMYFUNCTION("""COMPUTED_VALUE"""),-0.595782361927623)</f>
        <v>-0.59578236192762302</v>
      </c>
      <c r="BO78" s="3">
        <f ca="1">IFERROR(__xludf.DUMMYFUNCTION("""COMPUTED_VALUE"""),-0.54574470899772)</f>
        <v>-0.54574470899771998</v>
      </c>
      <c r="BP78" s="3">
        <f ca="1">IFERROR(__xludf.DUMMYFUNCTION("""COMPUTED_VALUE"""),-0.520874950354822)</f>
        <v>-0.52087495035482201</v>
      </c>
      <c r="BQ78" s="3">
        <f ca="1">IFERROR(__xludf.DUMMYFUNCTION("""COMPUTED_VALUE"""),-0.606248002915997)</f>
        <v>-0.60624800291599701</v>
      </c>
      <c r="BR78" s="3">
        <f ca="1">IFERROR(__xludf.DUMMYFUNCTION("""COMPUTED_VALUE"""),-0.590697835415544)</f>
        <v>-0.59069783541554399</v>
      </c>
      <c r="BS78" s="3">
        <f ca="1">IFERROR(__xludf.DUMMYFUNCTION("""COMPUTED_VALUE"""),-0.60122827043926)</f>
        <v>-0.60122827043925997</v>
      </c>
      <c r="BT78" s="3">
        <f ca="1">IFERROR(__xludf.DUMMYFUNCTION("""COMPUTED_VALUE"""),-0.64630496702181)</f>
        <v>-0.64630496702180995</v>
      </c>
      <c r="BU78" s="3">
        <f ca="1">IFERROR(__xludf.DUMMYFUNCTION("""COMPUTED_VALUE"""),-0.630148961937367)</f>
        <v>-0.63014896193736702</v>
      </c>
      <c r="BV78" s="3">
        <f ca="1">IFERROR(__xludf.DUMMYFUNCTION("""COMPUTED_VALUE"""),-0.563737780666079)</f>
        <v>-0.56373778066607905</v>
      </c>
      <c r="BW78" s="3">
        <f ca="1">IFERROR(__xludf.DUMMYFUNCTION("""COMPUTED_VALUE"""),-0.627343488708646)</f>
        <v>-0.62734348870864598</v>
      </c>
      <c r="BX78" s="3">
        <f ca="1">IFERROR(__xludf.DUMMYFUNCTION("""COMPUTED_VALUE"""),-0.695152959044424)</f>
        <v>-0.69515295904442398</v>
      </c>
      <c r="BY78" s="3">
        <f ca="1">IFERROR(__xludf.DUMMYFUNCTION("""COMPUTED_VALUE"""),-0.682619656205433)</f>
        <v>-0.68261965620543297</v>
      </c>
      <c r="BZ78" s="3">
        <f ca="1">IFERROR(__xludf.DUMMYFUNCTION("""COMPUTED_VALUE"""),-0.679676445118569)</f>
        <v>-0.67967644511856895</v>
      </c>
      <c r="CA78" s="3">
        <f ca="1">IFERROR(__xludf.DUMMYFUNCTION("""COMPUTED_VALUE"""),-0.673544355504991)</f>
        <v>-0.67354435550499103</v>
      </c>
      <c r="CB78" s="3">
        <f ca="1">IFERROR(__xludf.DUMMYFUNCTION("""COMPUTED_VALUE"""),-0.610864276128004)</f>
        <v>-0.61086427612800398</v>
      </c>
      <c r="CC78" s="3">
        <f ca="1">IFERROR(__xludf.DUMMYFUNCTION("""COMPUTED_VALUE"""),-0.557370857498231)</f>
        <v>-0.55737085749823101</v>
      </c>
      <c r="CD78" s="3">
        <f ca="1">IFERROR(__xludf.DUMMYFUNCTION("""COMPUTED_VALUE"""),-0.593685639036996)</f>
        <v>-0.593685639036996</v>
      </c>
      <c r="CE78" s="3">
        <f ca="1">IFERROR(__xludf.DUMMYFUNCTION("""COMPUTED_VALUE"""),-0.668360253452103)</f>
        <v>-0.66836025345210304</v>
      </c>
      <c r="CF78" s="3">
        <f ca="1">IFERROR(__xludf.DUMMYFUNCTION("""COMPUTED_VALUE"""),-0.682553993300976)</f>
        <v>-0.68255399330097599</v>
      </c>
      <c r="CG78" s="3">
        <f ca="1">IFERROR(__xludf.DUMMYFUNCTION("""COMPUTED_VALUE"""),-0.68831418715963)</f>
        <v>-0.68831418715963</v>
      </c>
      <c r="CH78" s="3">
        <f ca="1">IFERROR(__xludf.DUMMYFUNCTION("""COMPUTED_VALUE"""),-0.661616631087891)</f>
        <v>-0.66161663108789104</v>
      </c>
      <c r="CI78" s="3">
        <f ca="1">IFERROR(__xludf.DUMMYFUNCTION("""COMPUTED_VALUE"""),-0.595946555097612)</f>
        <v>-0.59594655509761196</v>
      </c>
      <c r="CJ78" s="3">
        <f ca="1">IFERROR(__xludf.DUMMYFUNCTION("""COMPUTED_VALUE"""),-0.562492472021871)</f>
        <v>-0.56249247202187103</v>
      </c>
      <c r="CK78" s="3">
        <f ca="1">IFERROR(__xludf.DUMMYFUNCTION("""COMPUTED_VALUE"""),-0.609866418359964)</f>
        <v>-0.60986641835996402</v>
      </c>
      <c r="CL78" s="3">
        <f ca="1">IFERROR(__xludf.DUMMYFUNCTION("""COMPUTED_VALUE"""),-0.66163705637062)</f>
        <v>-0.66163705637061998</v>
      </c>
      <c r="CM78" s="3">
        <f ca="1">IFERROR(__xludf.DUMMYFUNCTION("""COMPUTED_VALUE"""),-0.653508767490027)</f>
        <v>-0.65350876749002695</v>
      </c>
      <c r="CN78" s="3">
        <f ca="1">IFERROR(__xludf.DUMMYFUNCTION("""COMPUTED_VALUE"""),-0.661449575645418)</f>
        <v>-0.66144957564541795</v>
      </c>
      <c r="CO78" s="3">
        <f ca="1">IFERROR(__xludf.DUMMYFUNCTION("""COMPUTED_VALUE"""),-0.633462877077332)</f>
        <v>-0.63346287707733195</v>
      </c>
      <c r="CP78" s="3">
        <f ca="1">IFERROR(__xludf.DUMMYFUNCTION("""COMPUTED_VALUE"""),-0.643054373849527)</f>
        <v>-0.64305437384952702</v>
      </c>
      <c r="CQ78" s="3">
        <f ca="1">IFERROR(__xludf.DUMMYFUNCTION("""COMPUTED_VALUE"""),-0.602536297634327)</f>
        <v>-0.60253629763432703</v>
      </c>
      <c r="CR78" s="3">
        <f ca="1">IFERROR(__xludf.DUMMYFUNCTION("""COMPUTED_VALUE"""),-0.598172536347507)</f>
        <v>-0.598172536347507</v>
      </c>
      <c r="CS78" s="3">
        <f ca="1">IFERROR(__xludf.DUMMYFUNCTION("""COMPUTED_VALUE"""),-0.649861609722098)</f>
        <v>-0.64986160972209805</v>
      </c>
      <c r="CT78" s="3">
        <f ca="1">IFERROR(__xludf.DUMMYFUNCTION("""COMPUTED_VALUE"""),-0.642605373013995)</f>
        <v>-0.64260537301399501</v>
      </c>
      <c r="CU78" s="3">
        <f ca="1">IFERROR(__xludf.DUMMYFUNCTION("""COMPUTED_VALUE"""),-0.615801872647932)</f>
        <v>-0.61580187264793196</v>
      </c>
      <c r="CV78" s="3">
        <f ca="1">IFERROR(__xludf.DUMMYFUNCTION("""COMPUTED_VALUE"""),-0.6414517433063)</f>
        <v>-0.64145174330629995</v>
      </c>
      <c r="CW78" s="3">
        <f ca="1">IFERROR(__xludf.DUMMYFUNCTION("""COMPUTED_VALUE"""),-0.646774896916243)</f>
        <v>-0.64677489691624301</v>
      </c>
      <c r="CX78" s="3">
        <f ca="1">IFERROR(__xludf.DUMMYFUNCTION("""COMPUTED_VALUE"""),-0.636116513603145)</f>
        <v>-0.63611651360314503</v>
      </c>
      <c r="CY78" s="3">
        <f ca="1">IFERROR(__xludf.DUMMYFUNCTION("""COMPUTED_VALUE"""),-0.658783777665549)</f>
        <v>-0.65878377766554896</v>
      </c>
      <c r="CZ78" s="3">
        <f ca="1">IFERROR(__xludf.DUMMYFUNCTION("""COMPUTED_VALUE"""),-0.696694797477876)</f>
        <v>-0.69669479747787599</v>
      </c>
      <c r="DA78" s="3">
        <f ca="1">IFERROR(__xludf.DUMMYFUNCTION("""COMPUTED_VALUE"""),-0.559489675727892)</f>
        <v>-0.55948967572789199</v>
      </c>
      <c r="DB78" s="3">
        <f ca="1">IFERROR(__xludf.DUMMYFUNCTION("""COMPUTED_VALUE"""),-0.494018761331058)</f>
        <v>-0.49401876133105799</v>
      </c>
      <c r="DC78" s="3">
        <f ca="1">IFERROR(__xludf.DUMMYFUNCTION("""COMPUTED_VALUE"""),-0.589804768876581)</f>
        <v>-0.58980476887658095</v>
      </c>
      <c r="DD78" s="3">
        <f ca="1">IFERROR(__xludf.DUMMYFUNCTION("""COMPUTED_VALUE"""),-0.593370915055682)</f>
        <v>-0.59337091505568196</v>
      </c>
      <c r="DE78" s="3">
        <f ca="1">IFERROR(__xludf.DUMMYFUNCTION("""COMPUTED_VALUE"""),-0.623076220122564)</f>
        <v>-0.62307622012256403</v>
      </c>
      <c r="DF78" s="3">
        <f ca="1">IFERROR(__xludf.DUMMYFUNCTION("""COMPUTED_VALUE"""),-0.663922915864149)</f>
        <v>-0.66392291586414898</v>
      </c>
      <c r="DG78" s="3">
        <f ca="1">IFERROR(__xludf.DUMMYFUNCTION("""COMPUTED_VALUE"""),-0.743417248850838)</f>
        <v>-0.74341724885083804</v>
      </c>
      <c r="DH78" s="3">
        <f ca="1">IFERROR(__xludf.DUMMYFUNCTION("""COMPUTED_VALUE"""),-0.568773331646484)</f>
        <v>-0.56877333164648403</v>
      </c>
      <c r="DI78" s="3">
        <f ca="1">IFERROR(__xludf.DUMMYFUNCTION("""COMPUTED_VALUE"""),-0.511827843998797)</f>
        <v>-0.51182784399879699</v>
      </c>
      <c r="DJ78" s="3">
        <f ca="1">IFERROR(__xludf.DUMMYFUNCTION("""COMPUTED_VALUE"""),-0.599751511121482)</f>
        <v>-0.59975151112148195</v>
      </c>
      <c r="DK78" s="3">
        <f ca="1">IFERROR(__xludf.DUMMYFUNCTION("""COMPUTED_VALUE"""),-0.599783335262711)</f>
        <v>-0.59978333526271099</v>
      </c>
      <c r="DL78" s="3">
        <f ca="1">IFERROR(__xludf.DUMMYFUNCTION("""COMPUTED_VALUE"""),-0.575309045663629)</f>
        <v>-0.57530904566362895</v>
      </c>
      <c r="DM78" s="3">
        <f ca="1">IFERROR(__xludf.DUMMYFUNCTION("""COMPUTED_VALUE"""),-0.590373739098673)</f>
        <v>-0.59037373909867297</v>
      </c>
      <c r="DN78" s="3">
        <f ca="1">IFERROR(__xludf.DUMMYFUNCTION("""COMPUTED_VALUE"""),-0.660125244596625)</f>
        <v>-0.66012524459662503</v>
      </c>
      <c r="DO78" s="3">
        <f ca="1">IFERROR(__xludf.DUMMYFUNCTION("""COMPUTED_VALUE"""),-0.658785314235006)</f>
        <v>-0.65878531423500597</v>
      </c>
      <c r="DP78" s="3">
        <f ca="1">IFERROR(__xludf.DUMMYFUNCTION("""COMPUTED_VALUE"""),-0.582520582952108)</f>
        <v>-0.58252058295210796</v>
      </c>
      <c r="DQ78" s="3">
        <f ca="1">IFERROR(__xludf.DUMMYFUNCTION("""COMPUTED_VALUE"""),-0.656237867253649)</f>
        <v>-0.65623786725364897</v>
      </c>
      <c r="DR78" s="3">
        <f ca="1">IFERROR(__xludf.DUMMYFUNCTION("""COMPUTED_VALUE"""),-0.675147015988875)</f>
        <v>-0.67514701598887505</v>
      </c>
      <c r="DS78" s="3">
        <f ca="1">IFERROR(__xludf.DUMMYFUNCTION("""COMPUTED_VALUE"""),-0.612261483435784)</f>
        <v>-0.61226148343578402</v>
      </c>
      <c r="DT78" s="3">
        <f ca="1">IFERROR(__xludf.DUMMYFUNCTION("""COMPUTED_VALUE"""),-0.630585575740325)</f>
        <v>-0.63058557574032503</v>
      </c>
      <c r="DU78" s="3">
        <f ca="1">IFERROR(__xludf.DUMMYFUNCTION("""COMPUTED_VALUE"""),-0.688676661639346)</f>
        <v>-0.68867666163934604</v>
      </c>
      <c r="DV78" s="3">
        <f ca="1">IFERROR(__xludf.DUMMYFUNCTION("""COMPUTED_VALUE"""),-0.687173115335928)</f>
        <v>-0.68717311533592795</v>
      </c>
      <c r="DW78" s="3">
        <f ca="1">IFERROR(__xludf.DUMMYFUNCTION("""COMPUTED_VALUE"""),-0.688245669419132)</f>
        <v>-0.68824566941913201</v>
      </c>
      <c r="DX78" s="3">
        <f ca="1">IFERROR(__xludf.DUMMYFUNCTION("""COMPUTED_VALUE"""),-0.684130811621532)</f>
        <v>-0.684130811621532</v>
      </c>
      <c r="DY78" s="3">
        <f ca="1">IFERROR(__xludf.DUMMYFUNCTION("""COMPUTED_VALUE"""),-0.653827101440066)</f>
        <v>-0.65382710144006595</v>
      </c>
      <c r="DZ78" s="3">
        <f ca="1">IFERROR(__xludf.DUMMYFUNCTION("""COMPUTED_VALUE"""),-0.579753418511977)</f>
        <v>-0.57975341851197704</v>
      </c>
      <c r="EA78" s="3">
        <f ca="1">IFERROR(__xludf.DUMMYFUNCTION("""COMPUTED_VALUE"""),-0.649131919667594)</f>
        <v>-0.64913191966759398</v>
      </c>
      <c r="EB78" s="3">
        <f ca="1">IFERROR(__xludf.DUMMYFUNCTION("""COMPUTED_VALUE"""),-0.665833646981925)</f>
        <v>-0.66583364698192504</v>
      </c>
      <c r="EC78" s="3">
        <f ca="1">IFERROR(__xludf.DUMMYFUNCTION("""COMPUTED_VALUE"""),-0.660124569138961)</f>
        <v>-0.660124569138961</v>
      </c>
      <c r="ED78" s="3">
        <f ca="1">IFERROR(__xludf.DUMMYFUNCTION("""COMPUTED_VALUE"""),-0.682928853544428)</f>
        <v>-0.68292885354442801</v>
      </c>
      <c r="EE78" s="3">
        <f ca="1">IFERROR(__xludf.DUMMYFUNCTION("""COMPUTED_VALUE"""),-0.668784986016141)</f>
        <v>-0.668784986016141</v>
      </c>
      <c r="EF78" s="3">
        <f ca="1">IFERROR(__xludf.DUMMYFUNCTION("""COMPUTED_VALUE"""),-0.666840785462113)</f>
        <v>-0.66684078546211301</v>
      </c>
      <c r="EG78" s="3">
        <f ca="1">IFERROR(__xludf.DUMMYFUNCTION("""COMPUTED_VALUE"""),-0.583235389888379)</f>
        <v>-0.58323538988837897</v>
      </c>
      <c r="EH78" s="3">
        <f ca="1">IFERROR(__xludf.DUMMYFUNCTION("""COMPUTED_VALUE"""),-0.634572904078644)</f>
        <v>-0.63457290407864397</v>
      </c>
      <c r="EI78" s="3">
        <f ca="1">IFERROR(__xludf.DUMMYFUNCTION("""COMPUTED_VALUE"""),-0.66714675878028)</f>
        <v>-0.66714675878027996</v>
      </c>
      <c r="EJ78" s="3">
        <f ca="1">IFERROR(__xludf.DUMMYFUNCTION("""COMPUTED_VALUE"""),-0.706254545462793)</f>
        <v>-0.70625454546279298</v>
      </c>
      <c r="EK78" s="3">
        <f ca="1">IFERROR(__xludf.DUMMYFUNCTION("""COMPUTED_VALUE"""),-0.653093908564522)</f>
        <v>-0.65309390856452199</v>
      </c>
      <c r="EL78" s="3">
        <f ca="1">IFERROR(__xludf.DUMMYFUNCTION("""COMPUTED_VALUE"""),-0.647669608428819)</f>
        <v>-0.64766960842881904</v>
      </c>
      <c r="EM78" s="3">
        <f ca="1">IFERROR(__xludf.DUMMYFUNCTION("""COMPUTED_VALUE"""),-0.618887844555255)</f>
        <v>-0.61888784455525503</v>
      </c>
      <c r="EN78" s="3">
        <f ca="1">IFERROR(__xludf.DUMMYFUNCTION("""COMPUTED_VALUE"""),-0.524616798239082)</f>
        <v>-0.52461679823908203</v>
      </c>
      <c r="EO78" s="3">
        <f ca="1">IFERROR(__xludf.DUMMYFUNCTION("""COMPUTED_VALUE"""),-0.566823598583855)</f>
        <v>-0.566823598583855</v>
      </c>
      <c r="EP78" s="3">
        <f ca="1">IFERROR(__xludf.DUMMYFUNCTION("""COMPUTED_VALUE"""),-0.6260273467372)</f>
        <v>-0.62602734673719995</v>
      </c>
      <c r="EQ78" s="3">
        <f ca="1">IFERROR(__xludf.DUMMYFUNCTION("""COMPUTED_VALUE"""),-0.64195929754328)</f>
        <v>-0.64195929754327996</v>
      </c>
      <c r="ER78" s="3">
        <f ca="1">IFERROR(__xludf.DUMMYFUNCTION("""COMPUTED_VALUE"""),-0.675162063732238)</f>
        <v>-0.67516206373223797</v>
      </c>
      <c r="ES78" s="3">
        <f ca="1">IFERROR(__xludf.DUMMYFUNCTION("""COMPUTED_VALUE"""),-0.657901044811035)</f>
        <v>-0.65790104481103495</v>
      </c>
      <c r="ET78" s="3">
        <f ca="1">IFERROR(__xludf.DUMMYFUNCTION("""COMPUTED_VALUE"""),-0.622289518842821)</f>
        <v>-0.62228951884282102</v>
      </c>
      <c r="EU78" s="3">
        <f ca="1">IFERROR(__xludf.DUMMYFUNCTION("""COMPUTED_VALUE"""),-0.563575806796551)</f>
        <v>-0.56357580679655095</v>
      </c>
      <c r="EV78" s="3">
        <f ca="1">IFERROR(__xludf.DUMMYFUNCTION("""COMPUTED_VALUE"""),-0.58407900503998)</f>
        <v>-0.58407900503998</v>
      </c>
      <c r="EW78" s="3">
        <f ca="1">IFERROR(__xludf.DUMMYFUNCTION("""COMPUTED_VALUE"""),-0.676511474312127)</f>
        <v>-0.67651147431212699</v>
      </c>
      <c r="EX78" s="3">
        <f ca="1">IFERROR(__xludf.DUMMYFUNCTION("""COMPUTED_VALUE"""),-0.683317979344608)</f>
        <v>-0.68331797934460803</v>
      </c>
      <c r="EY78" s="3">
        <f ca="1">IFERROR(__xludf.DUMMYFUNCTION("""COMPUTED_VALUE"""),-0.681360369144464)</f>
        <v>-0.68136036914446396</v>
      </c>
      <c r="EZ78" s="3">
        <f ca="1">IFERROR(__xludf.DUMMYFUNCTION("""COMPUTED_VALUE"""),-0.610156644977415)</f>
        <v>-0.61015664497741495</v>
      </c>
      <c r="FA78" s="3">
        <f ca="1">IFERROR(__xludf.DUMMYFUNCTION("""COMPUTED_VALUE"""),-0.552459728594055)</f>
        <v>-0.55245972859405501</v>
      </c>
      <c r="FB78" s="3">
        <f ca="1">IFERROR(__xludf.DUMMYFUNCTION("""COMPUTED_VALUE"""),-0.516474795517026)</f>
        <v>-0.51647479551702602</v>
      </c>
      <c r="FC78" s="3">
        <f ca="1">IFERROR(__xludf.DUMMYFUNCTION("""COMPUTED_VALUE"""),-0.581814278137173)</f>
        <v>-0.58181427813717301</v>
      </c>
      <c r="FD78" s="3">
        <f ca="1">IFERROR(__xludf.DUMMYFUNCTION("""COMPUTED_VALUE"""),-0.644827839599419)</f>
        <v>-0.64482783959941903</v>
      </c>
      <c r="FE78" s="3">
        <f ca="1">IFERROR(__xludf.DUMMYFUNCTION("""COMPUTED_VALUE"""),-0.653544223912683)</f>
        <v>-0.65354422391268296</v>
      </c>
      <c r="FF78" s="3">
        <f ca="1">IFERROR(__xludf.DUMMYFUNCTION("""COMPUTED_VALUE"""),-0.681021484688094)</f>
        <v>-0.68102148468809398</v>
      </c>
      <c r="FG78" s="3">
        <f ca="1">IFERROR(__xludf.DUMMYFUNCTION("""COMPUTED_VALUE"""),-0.647485212532763)</f>
        <v>-0.64748521253276303</v>
      </c>
      <c r="FH78" s="3">
        <f ca="1">IFERROR(__xludf.DUMMYFUNCTION("""COMPUTED_VALUE"""),-0.598713317053368)</f>
        <v>-0.59871331705336805</v>
      </c>
      <c r="FI78" s="3">
        <f ca="1">IFERROR(__xludf.DUMMYFUNCTION("""COMPUTED_VALUE"""),-0.518595950298099)</f>
        <v>-0.51859595029809902</v>
      </c>
      <c r="FJ78" s="3">
        <f ca="1">IFERROR(__xludf.DUMMYFUNCTION("""COMPUTED_VALUE"""),-0.581285402980267)</f>
        <v>-0.58128540298026699</v>
      </c>
      <c r="FK78" s="3">
        <f ca="1">IFERROR(__xludf.DUMMYFUNCTION("""COMPUTED_VALUE"""),-0.673161958366607)</f>
        <v>-0.67316195836660697</v>
      </c>
      <c r="FL78" s="3">
        <f ca="1">IFERROR(__xludf.DUMMYFUNCTION("""COMPUTED_VALUE"""),-0.689662747004613)</f>
        <v>-0.68966274700461305</v>
      </c>
      <c r="FM78" s="3">
        <f ca="1">IFERROR(__xludf.DUMMYFUNCTION("""COMPUTED_VALUE"""),-0.659267261844362)</f>
        <v>-0.65926726184436202</v>
      </c>
      <c r="FN78" s="3">
        <f ca="1">IFERROR(__xludf.DUMMYFUNCTION("""COMPUTED_VALUE"""),-0.636206860503909)</f>
        <v>-0.63620686050390896</v>
      </c>
      <c r="FO78" s="3">
        <f ca="1">IFERROR(__xludf.DUMMYFUNCTION("""COMPUTED_VALUE"""),-0.628528996980153)</f>
        <v>-0.62852899698015297</v>
      </c>
      <c r="FP78" s="3">
        <f ca="1">IFERROR(__xludf.DUMMYFUNCTION("""COMPUTED_VALUE"""),-0.530378985272281)</f>
        <v>-0.530378985272281</v>
      </c>
      <c r="FQ78" s="3">
        <f ca="1">IFERROR(__xludf.DUMMYFUNCTION("""COMPUTED_VALUE"""),-0.577528451581453)</f>
        <v>-0.57752845158145305</v>
      </c>
      <c r="FR78" s="3">
        <f ca="1">IFERROR(__xludf.DUMMYFUNCTION("""COMPUTED_VALUE"""),-0.650184981129083)</f>
        <v>-0.65018498112908296</v>
      </c>
      <c r="FS78" s="3">
        <f ca="1">IFERROR(__xludf.DUMMYFUNCTION("""COMPUTED_VALUE"""),-0.644372391454598)</f>
        <v>-0.64437239145459801</v>
      </c>
      <c r="FT78" s="3">
        <f ca="1">IFERROR(__xludf.DUMMYFUNCTION("""COMPUTED_VALUE"""),-0.658629012538955)</f>
        <v>-0.65862901253895501</v>
      </c>
      <c r="FU78" s="3">
        <f ca="1">IFERROR(__xludf.DUMMYFUNCTION("""COMPUTED_VALUE"""),-0.635112082433698)</f>
        <v>-0.63511208243369799</v>
      </c>
      <c r="FV78" s="3">
        <f ca="1">IFERROR(__xludf.DUMMYFUNCTION("""COMPUTED_VALUE"""),-0.577082369171077)</f>
        <v>-0.57708236917107703</v>
      </c>
      <c r="FW78" s="3">
        <f ca="1">IFERROR(__xludf.DUMMYFUNCTION("""COMPUTED_VALUE"""),-0.520591585644424)</f>
        <v>-0.52059158564442398</v>
      </c>
      <c r="FX78" s="3">
        <f ca="1">IFERROR(__xludf.DUMMYFUNCTION("""COMPUTED_VALUE"""),-0.596698375459583)</f>
        <v>-0.59669837545958304</v>
      </c>
      <c r="FY78" s="3">
        <f ca="1">IFERROR(__xludf.DUMMYFUNCTION("""COMPUTED_VALUE"""),-0.683425815750946)</f>
        <v>-0.68342581575094596</v>
      </c>
      <c r="FZ78" s="3">
        <f ca="1">IFERROR(__xludf.DUMMYFUNCTION("""COMPUTED_VALUE"""),-0.645993664996747)</f>
        <v>-0.64599366499674704</v>
      </c>
      <c r="GA78" s="3">
        <f ca="1">IFERROR(__xludf.DUMMYFUNCTION("""COMPUTED_VALUE"""),-0.640492366174093)</f>
        <v>-0.640492366174093</v>
      </c>
      <c r="GB78" s="3">
        <f ca="1">IFERROR(__xludf.DUMMYFUNCTION("""COMPUTED_VALUE"""),-0.654279843671951)</f>
        <v>-0.65427984367195102</v>
      </c>
      <c r="GC78" s="3">
        <f ca="1">IFERROR(__xludf.DUMMYFUNCTION("""COMPUTED_VALUE"""),-0.608460965398595)</f>
        <v>-0.60846096539859496</v>
      </c>
      <c r="GD78" s="3">
        <f ca="1">IFERROR(__xludf.DUMMYFUNCTION("""COMPUTED_VALUE"""),-0.496049312702982)</f>
        <v>-0.49604931270298203</v>
      </c>
      <c r="GE78" s="3">
        <f ca="1">IFERROR(__xludf.DUMMYFUNCTION("""COMPUTED_VALUE"""),-0.529404888430734)</f>
        <v>-0.52940488843073397</v>
      </c>
      <c r="GF78" s="3">
        <f ca="1">IFERROR(__xludf.DUMMYFUNCTION("""COMPUTED_VALUE"""),-0.640044214591001)</f>
        <v>-0.64004421459100103</v>
      </c>
      <c r="GG78" s="3">
        <f ca="1">IFERROR(__xludf.DUMMYFUNCTION("""COMPUTED_VALUE"""),-0.625145206339204)</f>
        <v>-0.62514520633920401</v>
      </c>
      <c r="GH78" s="3">
        <f ca="1">IFERROR(__xludf.DUMMYFUNCTION("""COMPUTED_VALUE"""),-0.642778696445882)</f>
        <v>-0.64277869644588204</v>
      </c>
      <c r="GI78" s="3">
        <f ca="1">IFERROR(__xludf.DUMMYFUNCTION("""COMPUTED_VALUE"""),-0.632500762577675)</f>
        <v>-0.63250076257767496</v>
      </c>
      <c r="GJ78" s="3">
        <f ca="1">IFERROR(__xludf.DUMMYFUNCTION("""COMPUTED_VALUE"""),-0.590911231472564)</f>
        <v>-0.59091123147256397</v>
      </c>
      <c r="GK78" s="3">
        <f ca="1">IFERROR(__xludf.DUMMYFUNCTION("""COMPUTED_VALUE"""),-0.539613029456956)</f>
        <v>-0.53961302945695599</v>
      </c>
      <c r="GL78" s="3">
        <f ca="1">IFERROR(__xludf.DUMMYFUNCTION("""COMPUTED_VALUE"""),-0.575851677640998)</f>
        <v>-0.57585167764099798</v>
      </c>
      <c r="GM78" s="3">
        <f ca="1">IFERROR(__xludf.DUMMYFUNCTION("""COMPUTED_VALUE"""),-0.654364352974524)</f>
        <v>-0.654364352974524</v>
      </c>
      <c r="GN78" s="3">
        <f ca="1">IFERROR(__xludf.DUMMYFUNCTION("""COMPUTED_VALUE"""),-0.643484943006144)</f>
        <v>-0.64348494300614401</v>
      </c>
      <c r="GO78" s="3">
        <f ca="1">IFERROR(__xludf.DUMMYFUNCTION("""COMPUTED_VALUE"""),-0.640552562305751)</f>
        <v>-0.64055256230575097</v>
      </c>
      <c r="GP78" s="3">
        <f ca="1">IFERROR(__xludf.DUMMYFUNCTION("""COMPUTED_VALUE"""),-0.639431057401136)</f>
        <v>-0.63943105740113604</v>
      </c>
      <c r="GQ78" s="3">
        <f ca="1">IFERROR(__xludf.DUMMYFUNCTION("""COMPUTED_VALUE"""),-0.592098170997365)</f>
        <v>-0.59209817099736495</v>
      </c>
      <c r="GR78" s="3">
        <f ca="1">IFERROR(__xludf.DUMMYFUNCTION("""COMPUTED_VALUE"""),-0.517047249500972)</f>
        <v>-0.51704724950097203</v>
      </c>
      <c r="GS78" s="3">
        <f ca="1">IFERROR(__xludf.DUMMYFUNCTION("""COMPUTED_VALUE"""),-0.565931835799594)</f>
        <v>-0.56593183579959405</v>
      </c>
      <c r="GT78" s="3">
        <f ca="1">IFERROR(__xludf.DUMMYFUNCTION("""COMPUTED_VALUE"""),-0.647850632935412)</f>
        <v>-0.64785063293541201</v>
      </c>
      <c r="GU78" s="3">
        <f ca="1">IFERROR(__xludf.DUMMYFUNCTION("""COMPUTED_VALUE"""),-0.651868165149892)</f>
        <v>-0.65186816514989199</v>
      </c>
      <c r="GV78" s="3">
        <f ca="1">IFERROR(__xludf.DUMMYFUNCTION("""COMPUTED_VALUE"""),-0.641216607419298)</f>
        <v>-0.64121660741929798</v>
      </c>
      <c r="GW78" s="3">
        <f ca="1">IFERROR(__xludf.DUMMYFUNCTION("""COMPUTED_VALUE"""),-0.627784830781649)</f>
        <v>-0.62778483078164904</v>
      </c>
      <c r="GX78" s="3">
        <f ca="1">IFERROR(__xludf.DUMMYFUNCTION("""COMPUTED_VALUE"""),-0.568283430556114)</f>
        <v>-0.56828343055611397</v>
      </c>
      <c r="GY78" s="3">
        <f ca="1">IFERROR(__xludf.DUMMYFUNCTION("""COMPUTED_VALUE"""),-0.450427462710823)</f>
        <v>-0.45042746271082301</v>
      </c>
      <c r="GZ78" s="3">
        <f ca="1">IFERROR(__xludf.DUMMYFUNCTION("""COMPUTED_VALUE"""),-0.546436682652322)</f>
        <v>-0.54643668265232204</v>
      </c>
      <c r="HA78" s="3">
        <f ca="1">IFERROR(__xludf.DUMMYFUNCTION("""COMPUTED_VALUE"""),-0.634814392023127)</f>
        <v>-0.63481439202312695</v>
      </c>
      <c r="HB78" s="3">
        <f ca="1">IFERROR(__xludf.DUMMYFUNCTION("""COMPUTED_VALUE"""),-0.651487212237545)</f>
        <v>-0.65148721223754502</v>
      </c>
      <c r="HC78" s="3">
        <f ca="1">IFERROR(__xludf.DUMMYFUNCTION("""COMPUTED_VALUE"""),-0.649345245395296)</f>
        <v>-0.64934524539529603</v>
      </c>
      <c r="HD78" s="3">
        <f ca="1">IFERROR(__xludf.DUMMYFUNCTION("""COMPUTED_VALUE"""),-0.640663530993198)</f>
        <v>-0.64066353099319795</v>
      </c>
      <c r="HE78" s="3">
        <f ca="1">IFERROR(__xludf.DUMMYFUNCTION("""COMPUTED_VALUE"""),-0.597343416281623)</f>
        <v>-0.59734341628162302</v>
      </c>
      <c r="HF78" s="3">
        <f ca="1">IFERROR(__xludf.DUMMYFUNCTION("""COMPUTED_VALUE"""),-0.516325958588858)</f>
        <v>-0.51632595858885799</v>
      </c>
      <c r="HG78" s="3">
        <f ca="1">IFERROR(__xludf.DUMMYFUNCTION("""COMPUTED_VALUE"""),-0.528066133015076)</f>
        <v>-0.52806613301507599</v>
      </c>
      <c r="HH78" s="3">
        <f ca="1">IFERROR(__xludf.DUMMYFUNCTION("""COMPUTED_VALUE"""),-0.629100319431896)</f>
        <v>-0.62910031943189604</v>
      </c>
      <c r="HI78" s="3">
        <f ca="1">IFERROR(__xludf.DUMMYFUNCTION("""COMPUTED_VALUE"""),-0.647420716932281)</f>
        <v>-0.64742071693228098</v>
      </c>
      <c r="HJ78" s="3">
        <f ca="1">IFERROR(__xludf.DUMMYFUNCTION("""COMPUTED_VALUE"""),-0.626085126550968)</f>
        <v>-0.62608512655096804</v>
      </c>
      <c r="HK78" s="3">
        <f ca="1">IFERROR(__xludf.DUMMYFUNCTION("""COMPUTED_VALUE"""),-0.5659143173918)</f>
        <v>-0.56591431739179998</v>
      </c>
      <c r="HL78" s="3">
        <f ca="1">IFERROR(__xludf.DUMMYFUNCTION("""COMPUTED_VALUE"""),-0.421691613090758)</f>
        <v>-0.42169161309075798</v>
      </c>
      <c r="HM78" s="3">
        <f ca="1">IFERROR(__xludf.DUMMYFUNCTION("""COMPUTED_VALUE"""),-0.486983977414951)</f>
        <v>-0.48698397741495097</v>
      </c>
      <c r="HN78" s="3">
        <f ca="1">IFERROR(__xludf.DUMMYFUNCTION("""COMPUTED_VALUE"""),-0.520377989104255)</f>
        <v>-0.52037798910425503</v>
      </c>
      <c r="HO78" s="3">
        <f ca="1">IFERROR(__xludf.DUMMYFUNCTION("""COMPUTED_VALUE"""),-0.604134828889247)</f>
        <v>-0.60413482888924697</v>
      </c>
      <c r="HP78" s="3">
        <f ca="1">IFERROR(__xludf.DUMMYFUNCTION("""COMPUTED_VALUE"""),-0.625933376510156)</f>
        <v>-0.62593337651015601</v>
      </c>
      <c r="HQ78" s="3">
        <f ca="1">IFERROR(__xludf.DUMMYFUNCTION("""COMPUTED_VALUE"""),-0.635180334320274)</f>
        <v>-0.63518033432027399</v>
      </c>
      <c r="HR78" s="3">
        <f ca="1">IFERROR(__xludf.DUMMYFUNCTION("""COMPUTED_VALUE"""),-0.615831836328393)</f>
        <v>-0.615831836328393</v>
      </c>
      <c r="HS78" s="3">
        <f ca="1">IFERROR(__xludf.DUMMYFUNCTION("""COMPUTED_VALUE"""),-0.559176491415717)</f>
        <v>-0.55917649141571701</v>
      </c>
      <c r="HT78" s="3">
        <f ca="1">IFERROR(__xludf.DUMMYFUNCTION("""COMPUTED_VALUE"""),-0.492021499725628)</f>
        <v>-0.49202149972562798</v>
      </c>
      <c r="HU78" s="3">
        <f ca="1">IFERROR(__xludf.DUMMYFUNCTION("""COMPUTED_VALUE"""),-0.570068732675252)</f>
        <v>-0.57006873267525204</v>
      </c>
      <c r="HV78" s="3">
        <f ca="1">IFERROR(__xludf.DUMMYFUNCTION("""COMPUTED_VALUE"""),-0.581868951063094)</f>
        <v>-0.581868951063094</v>
      </c>
      <c r="HW78" s="3">
        <f ca="1">IFERROR(__xludf.DUMMYFUNCTION("""COMPUTED_VALUE"""),-0.595366820030122)</f>
        <v>-0.59536682003012198</v>
      </c>
      <c r="HX78" s="3">
        <f ca="1">IFERROR(__xludf.DUMMYFUNCTION("""COMPUTED_VALUE"""),-0.583851306477693)</f>
        <v>-0.58385130647769301</v>
      </c>
      <c r="HY78" s="3">
        <f ca="1">IFERROR(__xludf.DUMMYFUNCTION("""COMPUTED_VALUE"""),-0.548136082943145)</f>
        <v>-0.54813608294314498</v>
      </c>
      <c r="HZ78" s="3">
        <f ca="1">IFERROR(__xludf.DUMMYFUNCTION("""COMPUTED_VALUE"""),-0.505900714523054)</f>
        <v>-0.50590071452305396</v>
      </c>
      <c r="IA78" s="3">
        <f ca="1">IFERROR(__xludf.DUMMYFUNCTION("""COMPUTED_VALUE"""),-0.515109851449024)</f>
        <v>-0.51510985144902399</v>
      </c>
      <c r="IB78" s="3">
        <f ca="1">IFERROR(__xludf.DUMMYFUNCTION("""COMPUTED_VALUE"""),-0.53159737934095)</f>
        <v>-0.53159737934094997</v>
      </c>
      <c r="IC78" s="3">
        <f ca="1">IFERROR(__xludf.DUMMYFUNCTION("""COMPUTED_VALUE"""),-0.54393653866085)</f>
        <v>-0.54393653866085001</v>
      </c>
      <c r="ID78" s="3">
        <f ca="1">IFERROR(__xludf.DUMMYFUNCTION("""COMPUTED_VALUE"""),-0.566812124156642)</f>
        <v>-0.56681212415664195</v>
      </c>
      <c r="IE78" s="3">
        <f ca="1">IFERROR(__xludf.DUMMYFUNCTION("""COMPUTED_VALUE"""),-0.5606462738224)</f>
        <v>-0.56064627382239995</v>
      </c>
      <c r="IF78" s="3">
        <f ca="1">IFERROR(__xludf.DUMMYFUNCTION("""COMPUTED_VALUE"""),-0.545365523656147)</f>
        <v>-0.54536552365614699</v>
      </c>
      <c r="IG78" s="3">
        <f ca="1">IFERROR(__xludf.DUMMYFUNCTION("""COMPUTED_VALUE"""),-0.54707419052849)</f>
        <v>-0.54707419052849005</v>
      </c>
      <c r="IH78" s="3">
        <f ca="1">IFERROR(__xludf.DUMMYFUNCTION("""COMPUTED_VALUE"""),-0.567170556228513)</f>
        <v>-0.56717055622851298</v>
      </c>
      <c r="II78" s="3">
        <f ca="1">IFERROR(__xludf.DUMMYFUNCTION("""COMPUTED_VALUE"""),-0.509907465590424)</f>
        <v>-0.50990746559042399</v>
      </c>
      <c r="IJ78" s="3">
        <f ca="1">IFERROR(__xludf.DUMMYFUNCTION("""COMPUTED_VALUE"""),-0.530672803134486)</f>
        <v>-0.53067280313448595</v>
      </c>
      <c r="IK78" s="3">
        <f ca="1">IFERROR(__xludf.DUMMYFUNCTION("""COMPUTED_VALUE"""),-0.584878811875451)</f>
        <v>-0.58487881187545099</v>
      </c>
      <c r="IL78" s="3">
        <f ca="1">IFERROR(__xludf.DUMMYFUNCTION("""COMPUTED_VALUE"""),-0.547306788369328)</f>
        <v>-0.547306788369328</v>
      </c>
      <c r="IM78" s="3">
        <f ca="1">IFERROR(__xludf.DUMMYFUNCTION("""COMPUTED_VALUE"""),-0.517342096844863)</f>
        <v>-0.51734209684486299</v>
      </c>
      <c r="IN78" s="3">
        <f ca="1">IFERROR(__xludf.DUMMYFUNCTION("""COMPUTED_VALUE"""),-0.50378391537254)</f>
        <v>-0.50378391537253997</v>
      </c>
      <c r="IO78" s="3">
        <f ca="1">IFERROR(__xludf.DUMMYFUNCTION("""COMPUTED_VALUE"""),-0.494641711727328)</f>
        <v>-0.49464171172732802</v>
      </c>
      <c r="IP78" s="3">
        <f ca="1">IFERROR(__xludf.DUMMYFUNCTION("""COMPUTED_VALUE"""),-0.55536905511569)</f>
        <v>-0.55536905511569001</v>
      </c>
      <c r="IQ78" s="3">
        <f ca="1">IFERROR(__xludf.DUMMYFUNCTION("""COMPUTED_VALUE"""),-0.560581701352664)</f>
        <v>-0.56058170135266405</v>
      </c>
      <c r="IR78" s="3">
        <f ca="1">IFERROR(__xludf.DUMMYFUNCTION("""COMPUTED_VALUE"""),-0.542398367190945)</f>
        <v>-0.54239836719094503</v>
      </c>
      <c r="IS78" s="3">
        <f ca="1">IFERROR(__xludf.DUMMYFUNCTION("""COMPUTED_VALUE"""),-0.492979825805983)</f>
        <v>-0.49297982580598299</v>
      </c>
      <c r="IT78" s="3">
        <f ca="1">IFERROR(__xludf.DUMMYFUNCTION("""COMPUTED_VALUE"""),-0.551386948557624)</f>
        <v>-0.55138694855762405</v>
      </c>
      <c r="IU78" s="3">
        <f ca="1">IFERROR(__xludf.DUMMYFUNCTION("""COMPUTED_VALUE"""),-0.507155074937138)</f>
        <v>-0.50715507493713796</v>
      </c>
      <c r="IV78" s="3">
        <f ca="1">IFERROR(__xludf.DUMMYFUNCTION("""COMPUTED_VALUE"""),-0.507343718170246)</f>
        <v>-0.50734371817024604</v>
      </c>
      <c r="IW78" s="3">
        <f ca="1">IFERROR(__xludf.DUMMYFUNCTION("""COMPUTED_VALUE"""),-0.523669798162375)</f>
        <v>-0.52366979816237502</v>
      </c>
      <c r="IX78" s="3">
        <f ca="1">IFERROR(__xludf.DUMMYFUNCTION("""COMPUTED_VALUE"""),-0.574540839758405)</f>
        <v>-0.57454083975840498</v>
      </c>
      <c r="IY78" s="3">
        <f ca="1">IFERROR(__xludf.DUMMYFUNCTION("""COMPUTED_VALUE"""),-0.574141264789064)</f>
        <v>-0.57414126478906402</v>
      </c>
      <c r="IZ78" s="3">
        <f ca="1">IFERROR(__xludf.DUMMYFUNCTION("""COMPUTED_VALUE"""),-0.555428594412395)</f>
        <v>-0.555428594412395</v>
      </c>
      <c r="JA78" s="3">
        <f ca="1">IFERROR(__xludf.DUMMYFUNCTION("""COMPUTED_VALUE"""),-0.561987232833063)</f>
        <v>-0.56198723283306296</v>
      </c>
      <c r="JB78" s="3">
        <f ca="1">IFERROR(__xludf.DUMMYFUNCTION("""COMPUTED_VALUE"""),-0.524457807039489)</f>
        <v>-0.52445780703948897</v>
      </c>
      <c r="JC78" s="3">
        <f ca="1">IFERROR(__xludf.DUMMYFUNCTION("""COMPUTED_VALUE"""),-0.451402078525506)</f>
        <v>-0.45140207852550601</v>
      </c>
      <c r="JD78" s="3">
        <f ca="1">IFERROR(__xludf.DUMMYFUNCTION("""COMPUTED_VALUE"""),-0.521518272280799)</f>
        <v>-0.52151827228079894</v>
      </c>
      <c r="JE78" s="3">
        <f ca="1">IFERROR(__xludf.DUMMYFUNCTION("""COMPUTED_VALUE"""),-0.62446462153456)</f>
        <v>-0.62446462153455995</v>
      </c>
      <c r="JF78" s="3">
        <f ca="1">IFERROR(__xludf.DUMMYFUNCTION("""COMPUTED_VALUE"""),-0.598476556176067)</f>
        <v>-0.59847655617606699</v>
      </c>
      <c r="JG78" s="3">
        <f ca="1">IFERROR(__xludf.DUMMYFUNCTION("""COMPUTED_VALUE"""),-0.59696773533778)</f>
        <v>-0.59696773533778003</v>
      </c>
      <c r="JH78" s="3">
        <f ca="1">IFERROR(__xludf.DUMMYFUNCTION("""COMPUTED_VALUE"""),-0.577470444144209)</f>
        <v>-0.57747044414420901</v>
      </c>
      <c r="JI78" s="3">
        <f ca="1">IFERROR(__xludf.DUMMYFUNCTION("""COMPUTED_VALUE"""),-0.537873754701332)</f>
        <v>-0.53787375470133203</v>
      </c>
      <c r="JJ78" s="3">
        <f ca="1">IFERROR(__xludf.DUMMYFUNCTION("""COMPUTED_VALUE"""),-0.483811328526689)</f>
        <v>-0.48381132852668901</v>
      </c>
      <c r="JK78" s="3">
        <f ca="1">IFERROR(__xludf.DUMMYFUNCTION("""COMPUTED_VALUE"""),-0.577850719216156)</f>
        <v>-0.57785071921615605</v>
      </c>
      <c r="JL78" s="3">
        <f ca="1">IFERROR(__xludf.DUMMYFUNCTION("""COMPUTED_VALUE"""),-0.62970854841844)</f>
        <v>-0.62970854841844004</v>
      </c>
      <c r="JM78" s="3">
        <f ca="1">IFERROR(__xludf.DUMMYFUNCTION("""COMPUTED_VALUE"""),-0.611689023176683)</f>
        <v>-0.61168902317668306</v>
      </c>
      <c r="JN78" s="3">
        <f ca="1">IFERROR(__xludf.DUMMYFUNCTION("""COMPUTED_VALUE"""),-0.604989739869117)</f>
        <v>-0.60498973986911697</v>
      </c>
      <c r="JO78" s="3">
        <f ca="1">IFERROR(__xludf.DUMMYFUNCTION("""COMPUTED_VALUE"""),-0.59156628988722)</f>
        <v>-0.59156628988722004</v>
      </c>
      <c r="JP78" s="3">
        <f ca="1">IFERROR(__xludf.DUMMYFUNCTION("""COMPUTED_VALUE"""),-0.544895427566733)</f>
        <v>-0.54489542756673304</v>
      </c>
      <c r="JQ78" s="3">
        <f ca="1">IFERROR(__xludf.DUMMYFUNCTION("""COMPUTED_VALUE"""),-0.554378235007872)</f>
        <v>-0.55437823500787198</v>
      </c>
      <c r="JR78" s="3">
        <f ca="1">IFERROR(__xludf.DUMMYFUNCTION("""COMPUTED_VALUE"""),-0.650176291957687)</f>
        <v>-0.650176291957687</v>
      </c>
      <c r="JS78" s="3">
        <f ca="1">IFERROR(__xludf.DUMMYFUNCTION("""COMPUTED_VALUE"""),-0.651618831605778)</f>
        <v>-0.65161883160577805</v>
      </c>
      <c r="JT78" s="3">
        <f ca="1">IFERROR(__xludf.DUMMYFUNCTION("""COMPUTED_VALUE"""),-0.576504094662929)</f>
        <v>-0.57650409466292896</v>
      </c>
      <c r="JU78" s="3">
        <f ca="1">IFERROR(__xludf.DUMMYFUNCTION("""COMPUTED_VALUE"""),-0.641448507645334)</f>
        <v>-0.64144850764533401</v>
      </c>
      <c r="JV78" s="3">
        <f ca="1">IFERROR(__xludf.DUMMYFUNCTION("""COMPUTED_VALUE"""),-0.618349668330833)</f>
        <v>-0.61834966833083305</v>
      </c>
      <c r="JW78" s="3">
        <f ca="1">IFERROR(__xludf.DUMMYFUNCTION("""COMPUTED_VALUE"""),-0.606422717309788)</f>
        <v>-0.60642271730978803</v>
      </c>
      <c r="JX78" s="3">
        <f ca="1">IFERROR(__xludf.DUMMYFUNCTION("""COMPUTED_VALUE"""),-0.596718306099453)</f>
        <v>-0.59671830609945298</v>
      </c>
      <c r="JY78" s="3">
        <f ca="1">IFERROR(__xludf.DUMMYFUNCTION("""COMPUTED_VALUE"""),-0.640519844681238)</f>
        <v>-0.64051984468123802</v>
      </c>
      <c r="JZ78" s="3">
        <f ca="1">IFERROR(__xludf.DUMMYFUNCTION("""COMPUTED_VALUE"""),-0.581750173771288)</f>
        <v>-0.58175017377128801</v>
      </c>
      <c r="KA78" s="3">
        <f ca="1">IFERROR(__xludf.DUMMYFUNCTION("""COMPUTED_VALUE"""),-0.609975982459564)</f>
        <v>-0.60997598245956397</v>
      </c>
      <c r="KB78" s="3">
        <f ca="1">IFERROR(__xludf.DUMMYFUNCTION("""COMPUTED_VALUE"""),-0.662181280214084)</f>
        <v>-0.66218128021408396</v>
      </c>
      <c r="KC78" s="3">
        <f ca="1">IFERROR(__xludf.DUMMYFUNCTION("""COMPUTED_VALUE"""),-0.613018824743165)</f>
        <v>-0.61301882474316505</v>
      </c>
      <c r="KD78" s="3">
        <f ca="1">IFERROR(__xludf.DUMMYFUNCTION("""COMPUTED_VALUE"""),-0.594668062214563)</f>
        <v>-0.59466806221456303</v>
      </c>
      <c r="KE78" s="3">
        <f ca="1">IFERROR(__xludf.DUMMYFUNCTION("""COMPUTED_VALUE"""),-0.604707250587079)</f>
        <v>-0.60470725058707897</v>
      </c>
      <c r="KF78" s="3">
        <f ca="1">IFERROR(__xludf.DUMMYFUNCTION("""COMPUTED_VALUE"""),-0.617041614729478)</f>
        <v>-0.61704161472947805</v>
      </c>
      <c r="KG78" s="3">
        <f ca="1">IFERROR(__xludf.DUMMYFUNCTION("""COMPUTED_VALUE"""),-0.619614820177527)</f>
        <v>-0.619614820177527</v>
      </c>
      <c r="KH78" s="3">
        <f ca="1">IFERROR(__xludf.DUMMYFUNCTION("""COMPUTED_VALUE"""),-0.638714808017536)</f>
        <v>-0.638714808017536</v>
      </c>
      <c r="KI78" s="3">
        <f ca="1">IFERROR(__xludf.DUMMYFUNCTION("""COMPUTED_VALUE"""),-0.651377785327407)</f>
        <v>-0.65137778532740698</v>
      </c>
      <c r="KJ78" s="3">
        <f ca="1">IFERROR(__xludf.DUMMYFUNCTION("""COMPUTED_VALUE"""),-0.632341770495475)</f>
        <v>-0.63234177049547502</v>
      </c>
      <c r="KK78" s="3">
        <f ca="1">IFERROR(__xludf.DUMMYFUNCTION("""COMPUTED_VALUE"""),-0.635606414551182)</f>
        <v>-0.63560641455118205</v>
      </c>
      <c r="KL78" s="3">
        <f ca="1">IFERROR(__xludf.DUMMYFUNCTION("""COMPUTED_VALUE"""),-0.665590742904444)</f>
        <v>-0.66559074290444398</v>
      </c>
      <c r="KM78" s="3">
        <f ca="1">IFERROR(__xludf.DUMMYFUNCTION("""COMPUTED_VALUE"""),-0.674927873644367)</f>
        <v>-0.67492787364436702</v>
      </c>
      <c r="KN78" s="3">
        <f ca="1">IFERROR(__xludf.DUMMYFUNCTION("""COMPUTED_VALUE"""),-0.678765872315383)</f>
        <v>-0.67876587231538299</v>
      </c>
      <c r="KO78" s="3">
        <f ca="1">IFERROR(__xludf.DUMMYFUNCTION("""COMPUTED_VALUE"""),-0.686944508088111)</f>
        <v>-0.68694450808811103</v>
      </c>
      <c r="KP78" s="3">
        <f ca="1">IFERROR(__xludf.DUMMYFUNCTION("""COMPUTED_VALUE"""),-0.6869068648679)</f>
        <v>-0.68690686486789998</v>
      </c>
      <c r="KQ78" s="3">
        <f ca="1">IFERROR(__xludf.DUMMYFUNCTION("""COMPUTED_VALUE"""),-0.651602485027278)</f>
        <v>-0.65160248502727802</v>
      </c>
      <c r="KR78" s="3">
        <f ca="1">IFERROR(__xludf.DUMMYFUNCTION("""COMPUTED_VALUE"""),-0.646827409242861)</f>
        <v>-0.64682740924286097</v>
      </c>
      <c r="KS78" s="3">
        <f ca="1">IFERROR(__xludf.DUMMYFUNCTION("""COMPUTED_VALUE"""),-0.650246465051299)</f>
        <v>-0.65024646505129902</v>
      </c>
      <c r="KT78" s="3">
        <f ca="1">IFERROR(__xludf.DUMMYFUNCTION("""COMPUTED_VALUE"""),-0.670882378120883)</f>
        <v>-0.67088237812088303</v>
      </c>
      <c r="KU78" s="3">
        <f ca="1">IFERROR(__xludf.DUMMYFUNCTION("""COMPUTED_VALUE"""),-0.675003533868738)</f>
        <v>-0.67500353386873801</v>
      </c>
      <c r="KV78" s="3">
        <f ca="1">IFERROR(__xludf.DUMMYFUNCTION("""COMPUTED_VALUE"""),-0.682949831655362)</f>
        <v>-0.68294983165536205</v>
      </c>
      <c r="KW78" s="3">
        <f ca="1">IFERROR(__xludf.DUMMYFUNCTION("""COMPUTED_VALUE"""),-0.662236809455468)</f>
        <v>-0.66223680945546803</v>
      </c>
      <c r="KX78" s="3">
        <f ca="1">IFERROR(__xludf.DUMMYFUNCTION("""COMPUTED_VALUE"""),-0.623096922665823)</f>
        <v>-0.62309692266582295</v>
      </c>
      <c r="KY78" s="3">
        <f ca="1">IFERROR(__xludf.DUMMYFUNCTION("""COMPUTED_VALUE"""),-0.629584648662813)</f>
        <v>-0.62958464866281305</v>
      </c>
      <c r="KZ78" s="3">
        <f ca="1">IFERROR(__xludf.DUMMYFUNCTION("""COMPUTED_VALUE"""),-0.64368487029054)</f>
        <v>-0.64368487029054</v>
      </c>
      <c r="LA78" s="3">
        <f ca="1">IFERROR(__xludf.DUMMYFUNCTION("""COMPUTED_VALUE"""),-0.706401042661864)</f>
        <v>-0.70640104266186399</v>
      </c>
      <c r="LB78" s="3">
        <f ca="1">IFERROR(__xludf.DUMMYFUNCTION("""COMPUTED_VALUE"""),-0.727852639762883)</f>
        <v>-0.72785263976288295</v>
      </c>
      <c r="LC78" s="3">
        <f ca="1">IFERROR(__xludf.DUMMYFUNCTION("""COMPUTED_VALUE"""),-0.699107015665764)</f>
        <v>-0.69910701566576405</v>
      </c>
      <c r="LD78" s="3">
        <f ca="1">IFERROR(__xludf.DUMMYFUNCTION("""COMPUTED_VALUE"""),-0.693744511322338)</f>
        <v>-0.69374451132233805</v>
      </c>
      <c r="LE78" s="3">
        <f ca="1">IFERROR(__xludf.DUMMYFUNCTION("""COMPUTED_VALUE"""),-0.669586323123687)</f>
        <v>-0.66958632312368704</v>
      </c>
      <c r="LF78" s="3">
        <f ca="1">IFERROR(__xludf.DUMMYFUNCTION("""COMPUTED_VALUE"""),-0.667460508849204)</f>
        <v>-0.66746050884920405</v>
      </c>
      <c r="LG78" s="3">
        <f ca="1">IFERROR(__xludf.DUMMYFUNCTION("""COMPUTED_VALUE"""),-0.701539147438695)</f>
        <v>-0.70153914743869505</v>
      </c>
      <c r="LH78" s="3">
        <f ca="1">IFERROR(__xludf.DUMMYFUNCTION("""COMPUTED_VALUE"""),-0.718358610812511)</f>
        <v>-0.71835861081251096</v>
      </c>
      <c r="LI78" s="3">
        <f ca="1">IFERROR(__xludf.DUMMYFUNCTION("""COMPUTED_VALUE"""),-0.722468454856324)</f>
        <v>-0.72246845485632405</v>
      </c>
      <c r="LJ78" s="3">
        <f ca="1">IFERROR(__xludf.DUMMYFUNCTION("""COMPUTED_VALUE"""),-0.706314143173264)</f>
        <v>-0.70631414317326402</v>
      </c>
      <c r="LK78" s="3">
        <f ca="1">IFERROR(__xludf.DUMMYFUNCTION("""COMPUTED_VALUE"""),-0.695696900584954)</f>
        <v>-0.69569690058495404</v>
      </c>
      <c r="LL78" s="3">
        <f ca="1">IFERROR(__xludf.DUMMYFUNCTION("""COMPUTED_VALUE"""),-0.705989239694756)</f>
        <v>-0.70598923969475602</v>
      </c>
      <c r="LM78" s="3">
        <f ca="1">IFERROR(__xludf.DUMMYFUNCTION("""COMPUTED_VALUE"""),-0.722731784794267)</f>
        <v>-0.72273178479426703</v>
      </c>
      <c r="LN78" s="3">
        <f ca="1">IFERROR(__xludf.DUMMYFUNCTION("""COMPUTED_VALUE"""),-0.733167414087963)</f>
        <v>-0.73316741408796304</v>
      </c>
      <c r="LO78" s="3">
        <f ca="1">IFERROR(__xludf.DUMMYFUNCTION("""COMPUTED_VALUE"""),-0.776920460274466)</f>
        <v>-0.77692046027446604</v>
      </c>
      <c r="LP78" s="3">
        <f ca="1">IFERROR(__xludf.DUMMYFUNCTION("""COMPUTED_VALUE"""),-0.733131423695034)</f>
        <v>-0.73313142369503403</v>
      </c>
      <c r="LQ78" s="3">
        <f ca="1">IFERROR(__xludf.DUMMYFUNCTION("""COMPUTED_VALUE"""),-0.724434670418945)</f>
        <v>-0.72443467041894505</v>
      </c>
      <c r="LR78" s="3">
        <f ca="1">IFERROR(__xludf.DUMMYFUNCTION("""COMPUTED_VALUE"""),-0.728396505058681)</f>
        <v>-0.72839650505868103</v>
      </c>
      <c r="LS78" s="3">
        <f ca="1">IFERROR(__xludf.DUMMYFUNCTION("""COMPUTED_VALUE"""),-0.727127656845121)</f>
        <v>-0.72712765684512104</v>
      </c>
      <c r="LT78" s="3">
        <f ca="1">IFERROR(__xludf.DUMMYFUNCTION("""COMPUTED_VALUE"""),-0.732887907170066)</f>
        <v>-0.73288790717006602</v>
      </c>
      <c r="LU78" s="3">
        <f ca="1">IFERROR(__xludf.DUMMYFUNCTION("""COMPUTED_VALUE"""),-0.734764072105549)</f>
        <v>-0.73476407210554895</v>
      </c>
      <c r="LV78" s="3">
        <f ca="1">IFERROR(__xludf.DUMMYFUNCTION("""COMPUTED_VALUE"""),-0.766703652535512)</f>
        <v>-0.76670365253551198</v>
      </c>
      <c r="LW78" s="3">
        <f ca="1">IFERROR(__xludf.DUMMYFUNCTION("""COMPUTED_VALUE"""),-0.739263137235014)</f>
        <v>-0.73926313723501402</v>
      </c>
      <c r="LX78" s="3">
        <f ca="1">IFERROR(__xludf.DUMMYFUNCTION("""COMPUTED_VALUE"""),-0.739805672985314)</f>
        <v>-0.73980567298531397</v>
      </c>
      <c r="LY78" s="3">
        <f ca="1">IFERROR(__xludf.DUMMYFUNCTION("""COMPUTED_VALUE"""),-0.734973152184829)</f>
        <v>-0.73497315218482895</v>
      </c>
      <c r="LZ78" s="3">
        <f ca="1">IFERROR(__xludf.DUMMYFUNCTION("""COMPUTED_VALUE"""),-0.737717583054051)</f>
        <v>-0.737717583054051</v>
      </c>
      <c r="MA78" s="3">
        <f ca="1">IFERROR(__xludf.DUMMYFUNCTION("""COMPUTED_VALUE"""),-0.718533711063043)</f>
        <v>-0.71853371106304298</v>
      </c>
      <c r="MB78" s="3">
        <f ca="1">IFERROR(__xludf.DUMMYFUNCTION("""COMPUTED_VALUE"""),-0.74139750332839)</f>
        <v>-0.74139750332839005</v>
      </c>
      <c r="MC78" s="3">
        <f ca="1">IFERROR(__xludf.DUMMYFUNCTION("""COMPUTED_VALUE"""),-0.784566504780242)</f>
        <v>-0.78456650478024204</v>
      </c>
      <c r="MD78" s="3">
        <f ca="1">IFERROR(__xludf.DUMMYFUNCTION("""COMPUTED_VALUE"""),-0.760010404236094)</f>
        <v>-0.76001040423609401</v>
      </c>
      <c r="ME78" s="3">
        <f ca="1">IFERROR(__xludf.DUMMYFUNCTION("""COMPUTED_VALUE"""),-0.741733796962556)</f>
        <v>-0.74173379696255604</v>
      </c>
      <c r="MF78" s="3">
        <f ca="1">IFERROR(__xludf.DUMMYFUNCTION("""COMPUTED_VALUE"""),-0.743926150191017)</f>
        <v>-0.74392615019101704</v>
      </c>
      <c r="MG78" s="3">
        <f ca="1">IFERROR(__xludf.DUMMYFUNCTION("""COMPUTED_VALUE"""),-0.735659505714271)</f>
        <v>-0.73565950571427097</v>
      </c>
      <c r="MH78" s="3">
        <f ca="1">IFERROR(__xludf.DUMMYFUNCTION("""COMPUTED_VALUE"""),-0.693963716240397)</f>
        <v>-0.69396371624039699</v>
      </c>
      <c r="MI78" s="3">
        <f ca="1">IFERROR(__xludf.DUMMYFUNCTION("""COMPUTED_VALUE"""),-0.695373696542994)</f>
        <v>-0.69537369654299397</v>
      </c>
      <c r="MJ78" s="3">
        <f ca="1">IFERROR(__xludf.DUMMYFUNCTION("""COMPUTED_VALUE"""),-0.763149648695796)</f>
        <v>-0.76314964869579605</v>
      </c>
      <c r="MK78" s="3">
        <f ca="1">IFERROR(__xludf.DUMMYFUNCTION("""COMPUTED_VALUE"""),-0.755268226232291)</f>
        <v>-0.75526822623229095</v>
      </c>
      <c r="ML78" s="3">
        <f ca="1">IFERROR(__xludf.DUMMYFUNCTION("""COMPUTED_VALUE"""),-0.762349030603013)</f>
        <v>-0.76234903060301296</v>
      </c>
      <c r="MM78" s="3">
        <f ca="1">IFERROR(__xludf.DUMMYFUNCTION("""COMPUTED_VALUE"""),-0.744739218383321)</f>
        <v>-0.74473921838332102</v>
      </c>
      <c r="MN78" s="3">
        <f ca="1">IFERROR(__xludf.DUMMYFUNCTION("""COMPUTED_VALUE"""),-0.740905211137165)</f>
        <v>-0.74090521113716501</v>
      </c>
      <c r="MO78" s="3">
        <f ca="1">IFERROR(__xludf.DUMMYFUNCTION("""COMPUTED_VALUE"""),-0.727125062332411)</f>
        <v>-0.72712506233241103</v>
      </c>
      <c r="MP78" s="3">
        <f ca="1">IFERROR(__xludf.DUMMYFUNCTION("""COMPUTED_VALUE"""),-0.770782901289098)</f>
        <v>-0.77078290128909799</v>
      </c>
      <c r="MQ78" s="3">
        <f ca="1">IFERROR(__xludf.DUMMYFUNCTION("""COMPUTED_VALUE"""),-0.780498128031631)</f>
        <v>-0.78049812803163099</v>
      </c>
      <c r="MR78" s="3">
        <f ca="1">IFERROR(__xludf.DUMMYFUNCTION("""COMPUTED_VALUE"""),-0.775622431903839)</f>
        <v>-0.77562243190383895</v>
      </c>
      <c r="MS78" s="3">
        <f ca="1">IFERROR(__xludf.DUMMYFUNCTION("""COMPUTED_VALUE"""),-0.764898004645285)</f>
        <v>-0.76489800464528501</v>
      </c>
      <c r="MT78" s="3">
        <f ca="1">IFERROR(__xludf.DUMMYFUNCTION("""COMPUTED_VALUE"""),-0.743291141743651)</f>
        <v>-0.74329114174365096</v>
      </c>
      <c r="MU78" s="3">
        <f ca="1">IFERROR(__xludf.DUMMYFUNCTION("""COMPUTED_VALUE"""),-0.742742333890763)</f>
        <v>-0.74274233389076305</v>
      </c>
      <c r="MV78" s="3">
        <f ca="1">IFERROR(__xludf.DUMMYFUNCTION("""COMPUTED_VALUE"""),-0.723366682774744)</f>
        <v>-0.72336668277474403</v>
      </c>
      <c r="MW78" s="3">
        <f ca="1">IFERROR(__xludf.DUMMYFUNCTION("""COMPUTED_VALUE"""),-0.759635070743346)</f>
        <v>-0.75963507074334602</v>
      </c>
      <c r="MX78" s="3">
        <f ca="1">IFERROR(__xludf.DUMMYFUNCTION("""COMPUTED_VALUE"""),-0.797672429203547)</f>
        <v>-0.79767242920354697</v>
      </c>
      <c r="MY78" s="3">
        <f ca="1">IFERROR(__xludf.DUMMYFUNCTION("""COMPUTED_VALUE"""),-0.744487744814805)</f>
        <v>-0.74448774481480495</v>
      </c>
      <c r="MZ78" s="3">
        <f ca="1">IFERROR(__xludf.DUMMYFUNCTION("""COMPUTED_VALUE"""),-0.750593537022083)</f>
        <v>-0.75059353702208298</v>
      </c>
      <c r="NA78" s="3">
        <f ca="1">IFERROR(__xludf.DUMMYFUNCTION("""COMPUTED_VALUE"""),-0.738578395926886)</f>
        <v>-0.73857839592688601</v>
      </c>
      <c r="NB78" s="3">
        <f ca="1">IFERROR(__xludf.DUMMYFUNCTION("""COMPUTED_VALUE"""),-0.753747231787752)</f>
        <v>-0.75374723178775205</v>
      </c>
      <c r="NC78" s="3">
        <f ca="1">IFERROR(__xludf.DUMMYFUNCTION("""COMPUTED_VALUE"""),-0.763558791708317)</f>
        <v>-0.76355879170831698</v>
      </c>
      <c r="ND78" s="3">
        <f ca="1">IFERROR(__xludf.DUMMYFUNCTION("""COMPUTED_VALUE"""),-0.769387999930693)</f>
        <v>-0.76938799993069296</v>
      </c>
      <c r="NE78" s="3">
        <f ca="1">IFERROR(__xludf.DUMMYFUNCTION("""COMPUTED_VALUE"""),-0.784911109983966)</f>
        <v>-0.78491110998396596</v>
      </c>
      <c r="NF78" s="3">
        <f ca="1">IFERROR(__xludf.DUMMYFUNCTION("""COMPUTED_VALUE"""),-0.757494796382935)</f>
        <v>-0.75749479638293504</v>
      </c>
      <c r="NG78" s="3">
        <f ca="1">IFERROR(__xludf.DUMMYFUNCTION("""COMPUTED_VALUE"""),-0.754086626805134)</f>
        <v>-0.75408662680513405</v>
      </c>
      <c r="NH78" s="3">
        <f ca="1">IFERROR(__xludf.DUMMYFUNCTION("""COMPUTED_VALUE"""),-0.740223051496528)</f>
        <v>-0.74022305149652801</v>
      </c>
      <c r="NI78" s="3">
        <f ca="1">IFERROR(__xludf.DUMMYFUNCTION("""COMPUTED_VALUE"""),-0.735198058358622)</f>
        <v>-0.73519805835862195</v>
      </c>
      <c r="NJ78" s="3">
        <f ca="1">IFERROR(__xludf.DUMMYFUNCTION("""COMPUTED_VALUE"""),-0.7184529338485)</f>
        <v>-0.71845293384849995</v>
      </c>
      <c r="NK78" s="3">
        <f ca="1">IFERROR(__xludf.DUMMYFUNCTION("""COMPUTED_VALUE"""),-0.73417361142563)</f>
        <v>-0.73417361142562998</v>
      </c>
      <c r="NL78" s="3">
        <f ca="1">IFERROR(__xludf.DUMMYFUNCTION("""COMPUTED_VALUE"""),-0.769482606927236)</f>
        <v>-0.76948260692723602</v>
      </c>
      <c r="NM78" s="3">
        <f ca="1">IFERROR(__xludf.DUMMYFUNCTION("""COMPUTED_VALUE"""),-0.723391603038104)</f>
        <v>-0.72339160303810401</v>
      </c>
      <c r="NN78" s="3">
        <f ca="1">IFERROR(__xludf.DUMMYFUNCTION("""COMPUTED_VALUE"""),-0.695751176821762)</f>
        <v>-0.69575117682176202</v>
      </c>
      <c r="NO78" s="3">
        <f ca="1">IFERROR(__xludf.DUMMYFUNCTION("""COMPUTED_VALUE"""),-0.664374680637436)</f>
        <v>-0.66437468063743599</v>
      </c>
      <c r="NP78" s="3">
        <f ca="1">IFERROR(__xludf.DUMMYFUNCTION("""COMPUTED_VALUE"""),-0.66999109694207)</f>
        <v>-0.66999109694207004</v>
      </c>
      <c r="NQ78" s="3">
        <f ca="1">IFERROR(__xludf.DUMMYFUNCTION("""COMPUTED_VALUE"""),-0.6651067037531)</f>
        <v>-0.66510670375309999</v>
      </c>
      <c r="NR78" s="3">
        <f ca="1">IFERROR(__xludf.DUMMYFUNCTION("""COMPUTED_VALUE"""),-0.715718609722368)</f>
        <v>-0.715718609722368</v>
      </c>
      <c r="NS78" s="3">
        <f ca="1">IFERROR(__xludf.DUMMYFUNCTION("""COMPUTED_VALUE"""),-0.759126283463631)</f>
        <v>-0.75912628346363098</v>
      </c>
      <c r="NT78" s="3">
        <f ca="1">IFERROR(__xludf.DUMMYFUNCTION("""COMPUTED_VALUE"""),-0.718896504291331)</f>
        <v>-0.71889650429133101</v>
      </c>
      <c r="NU78" s="3">
        <f ca="1">IFERROR(__xludf.DUMMYFUNCTION("""COMPUTED_VALUE"""),-0.746262393164884)</f>
        <v>-0.74626239316488396</v>
      </c>
      <c r="NV78" s="3">
        <f ca="1">IFERROR(__xludf.DUMMYFUNCTION("""COMPUTED_VALUE"""),-0.757017537516978)</f>
        <v>-0.75701753751697798</v>
      </c>
      <c r="NW78" s="3">
        <f ca="1">IFERROR(__xludf.DUMMYFUNCTION("""COMPUTED_VALUE"""),-0.718411500196925)</f>
        <v>-0.71841150019692501</v>
      </c>
      <c r="NX78" s="3">
        <f ca="1">IFERROR(__xludf.DUMMYFUNCTION("""COMPUTED_VALUE"""),-0.742292889268001)</f>
        <v>-0.74229288926800097</v>
      </c>
      <c r="NY78" s="3">
        <f ca="1">IFERROR(__xludf.DUMMYFUNCTION("""COMPUTED_VALUE"""),-0.70935174646621)</f>
        <v>-0.70935174646621002</v>
      </c>
      <c r="NZ78" s="3">
        <f ca="1">IFERROR(__xludf.DUMMYFUNCTION("""COMPUTED_VALUE"""),-0.712895339185419)</f>
        <v>-0.71289533918541903</v>
      </c>
      <c r="OA78" s="3">
        <f ca="1">IFERROR(__xludf.DUMMYFUNCTION("""COMPUTED_VALUE"""),-0.677556775904827)</f>
        <v>-0.67755677590482699</v>
      </c>
      <c r="OB78" s="3">
        <f ca="1">IFERROR(__xludf.DUMMYFUNCTION("""COMPUTED_VALUE"""),-0.658020462527166)</f>
        <v>-0.65802046252716595</v>
      </c>
      <c r="OC78" s="3">
        <f ca="1">IFERROR(__xludf.DUMMYFUNCTION("""COMPUTED_VALUE"""),-0.61192388208776)</f>
        <v>-0.61192388208776005</v>
      </c>
      <c r="OD78" s="3">
        <f ca="1">IFERROR(__xludf.DUMMYFUNCTION("""COMPUTED_VALUE"""),-0.57947695131627)</f>
        <v>-0.57947695131626997</v>
      </c>
      <c r="OE78" s="3">
        <f ca="1">IFERROR(__xludf.DUMMYFUNCTION("""COMPUTED_VALUE"""),-0.495097287145636)</f>
        <v>-0.495097287145636</v>
      </c>
      <c r="OF78" s="3">
        <f ca="1">IFERROR(__xludf.DUMMYFUNCTION("""COMPUTED_VALUE"""),-0.366672681999607)</f>
        <v>-0.36667268199960701</v>
      </c>
      <c r="OG78" s="3">
        <f ca="1">IFERROR(__xludf.DUMMYFUNCTION("""COMPUTED_VALUE"""),-0.333167586140069)</f>
        <v>-0.33316758614006903</v>
      </c>
      <c r="OH78" s="3">
        <f ca="1">IFERROR(__xludf.DUMMYFUNCTION("""COMPUTED_VALUE"""),-0.312617163098019)</f>
        <v>-0.31261716309801901</v>
      </c>
      <c r="OI78" s="3">
        <f ca="1">IFERROR(__xludf.DUMMYFUNCTION("""COMPUTED_VALUE"""),-0.254061273271769)</f>
        <v>-0.25406127327176897</v>
      </c>
      <c r="OJ78" s="3">
        <f ca="1">IFERROR(__xludf.DUMMYFUNCTION("""COMPUTED_VALUE"""),-0.14625749196627)</f>
        <v>-0.14625749196627</v>
      </c>
      <c r="OK78" s="3">
        <f ca="1">IFERROR(__xludf.DUMMYFUNCTION("""COMPUTED_VALUE"""),-0.0968571389358577)</f>
        <v>-9.6857138935857706E-2</v>
      </c>
      <c r="OL78" s="3">
        <f ca="1">IFERROR(__xludf.DUMMYFUNCTION("""COMPUTED_VALUE"""),-0.0127681804682271)</f>
        <v>-1.27681804682271E-2</v>
      </c>
      <c r="OM78" s="3">
        <f ca="1">IFERROR(__xludf.DUMMYFUNCTION("""COMPUTED_VALUE"""),-0.0176549917698422)</f>
        <v>-1.7654991769842199E-2</v>
      </c>
      <c r="ON78" s="3">
        <f ca="1">IFERROR(__xludf.DUMMYFUNCTION("""COMPUTED_VALUE"""),-0.0193222180684945)</f>
        <v>-1.93222180684945E-2</v>
      </c>
      <c r="OO78" s="3">
        <f ca="1">IFERROR(__xludf.DUMMYFUNCTION("""COMPUTED_VALUE"""),-0.0413252132690379)</f>
        <v>-4.1325213269037903E-2</v>
      </c>
      <c r="OP78" s="3">
        <f ca="1">IFERROR(__xludf.DUMMYFUNCTION("""COMPUTED_VALUE"""),-0.0425316411802468)</f>
        <v>-4.2531641180246799E-2</v>
      </c>
      <c r="OQ78" s="3">
        <f ca="1">IFERROR(__xludf.DUMMYFUNCTION("""COMPUTED_VALUE"""),-0.0216996516205217)</f>
        <v>-2.16996516205217E-2</v>
      </c>
      <c r="OR78" s="3">
        <f ca="1">IFERROR(__xludf.DUMMYFUNCTION("""COMPUTED_VALUE"""),-0.0271947408492578)</f>
        <v>-2.7194740849257801E-2</v>
      </c>
      <c r="OS78" s="3">
        <f ca="1">IFERROR(__xludf.DUMMYFUNCTION("""COMPUTED_VALUE"""),-0.0124931678901885)</f>
        <v>-1.2493167890188501E-2</v>
      </c>
      <c r="OT78" s="3">
        <f ca="1">IFERROR(__xludf.DUMMYFUNCTION("""COMPUTED_VALUE"""),0.0134823652572819)</f>
        <v>1.34823652572819E-2</v>
      </c>
      <c r="OU78" s="3">
        <f ca="1">IFERROR(__xludf.DUMMYFUNCTION("""COMPUTED_VALUE"""),0.0116588846681675)</f>
        <v>1.16588846681675E-2</v>
      </c>
      <c r="OV78" s="3">
        <f ca="1">IFERROR(__xludf.DUMMYFUNCTION("""COMPUTED_VALUE"""),-0.0174974457939518)</f>
        <v>-1.74974457939518E-2</v>
      </c>
      <c r="OW78" s="3">
        <f ca="1">IFERROR(__xludf.DUMMYFUNCTION("""COMPUTED_VALUE"""),-0.0158396643225738)</f>
        <v>-1.5839664322573801E-2</v>
      </c>
      <c r="OX78" s="3">
        <f ca="1">IFERROR(__xludf.DUMMYFUNCTION("""COMPUTED_VALUE"""),0.000586573610261487)</f>
        <v>5.8657361026148702E-4</v>
      </c>
      <c r="OY78" s="3">
        <f ca="1">IFERROR(__xludf.DUMMYFUNCTION("""COMPUTED_VALUE"""),-0.0134255182927879)</f>
        <v>-1.3425518292787901E-2</v>
      </c>
      <c r="OZ78" s="3">
        <f ca="1">IFERROR(__xludf.DUMMYFUNCTION("""COMPUTED_VALUE"""),-0.00389586347227632)</f>
        <v>-3.8958634722763199E-3</v>
      </c>
      <c r="PA78" s="3">
        <f ca="1">IFERROR(__xludf.DUMMYFUNCTION("""COMPUTED_VALUE"""),0.000422952102380858)</f>
        <v>4.2295210238085801E-4</v>
      </c>
      <c r="PB78" s="3">
        <f ca="1">IFERROR(__xludf.DUMMYFUNCTION("""COMPUTED_VALUE"""),-0.0104156312351288)</f>
        <v>-1.04156312351288E-2</v>
      </c>
      <c r="PC78" s="3">
        <f ca="1">IFERROR(__xludf.DUMMYFUNCTION("""COMPUTED_VALUE"""),-0.00285408628197714)</f>
        <v>-2.85408628197714E-3</v>
      </c>
      <c r="PD78" s="3">
        <f ca="1">IFERROR(__xludf.DUMMYFUNCTION("""COMPUTED_VALUE"""),0.0301306093937152)</f>
        <v>3.0130609393715199E-2</v>
      </c>
      <c r="PE78" s="3">
        <f ca="1">IFERROR(__xludf.DUMMYFUNCTION("""COMPUTED_VALUE"""),0.0599429375844993)</f>
        <v>5.9942937584499298E-2</v>
      </c>
      <c r="PF78" s="3">
        <f ca="1">IFERROR(__xludf.DUMMYFUNCTION("""COMPUTED_VALUE"""),0.0116883852471878)</f>
        <v>1.1688385247187801E-2</v>
      </c>
      <c r="PG78" s="3">
        <f ca="1">IFERROR(__xludf.DUMMYFUNCTION("""COMPUTED_VALUE"""),0.071115052504556)</f>
        <v>7.1115052504556006E-2</v>
      </c>
      <c r="PH78" s="3">
        <f ca="1">IFERROR(__xludf.DUMMYFUNCTION("""COMPUTED_VALUE"""),0.0482393369632072)</f>
        <v>4.8239336963207202E-2</v>
      </c>
      <c r="PI78" s="3">
        <f ca="1">IFERROR(__xludf.DUMMYFUNCTION("""COMPUTED_VALUE"""),-0.0259800612745512)</f>
        <v>-2.59800612745512E-2</v>
      </c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</row>
    <row r="79" spans="1:477" ht="13">
      <c r="A79" s="1" t="str">
        <f ca="1">IFERROR(__xludf.DUMMYFUNCTION("""COMPUTED_VALUE"""),"Suffolk County Transit")</f>
        <v>Suffolk County Transit</v>
      </c>
      <c r="B79" s="1" t="str">
        <f ca="1">IFERROR(__xludf.DUMMYFUNCTION("""COMPUTED_VALUE"""),"NYC")</f>
        <v>NYC</v>
      </c>
      <c r="C79" s="1" t="str">
        <f ca="1">IFERROR(__xludf.DUMMYFUNCTION("""COMPUTED_VALUE"""),"United States")</f>
        <v>United States</v>
      </c>
      <c r="D79" s="1" t="str">
        <f ca="1">IFERROR(__xludf.DUMMYFUNCTION("""COMPUTED_VALUE"""),"New York")</f>
        <v>New York</v>
      </c>
      <c r="E79" s="3">
        <f ca="1">IFERROR(__xludf.DUMMYFUNCTION("""COMPUTED_VALUE"""),-0.330108772185489)</f>
        <v>-0.33010877218548901</v>
      </c>
      <c r="F79" s="3">
        <f ca="1">IFERROR(__xludf.DUMMYFUNCTION("""COMPUTED_VALUE"""),-0.358492750176828)</f>
        <v>-0.35849275017682802</v>
      </c>
      <c r="G79" s="3">
        <f ca="1">IFERROR(__xludf.DUMMYFUNCTION("""COMPUTED_VALUE"""),-0.402290980473171)</f>
        <v>-0.40229098047317102</v>
      </c>
      <c r="H79" s="3">
        <f ca="1">IFERROR(__xludf.DUMMYFUNCTION("""COMPUTED_VALUE"""),-0.475723163942369)</f>
        <v>-0.47572316394236902</v>
      </c>
      <c r="I79" s="3">
        <f ca="1">IFERROR(__xludf.DUMMYFUNCTION("""COMPUTED_VALUE"""),-0.446021895033618)</f>
        <v>-0.446021895033618</v>
      </c>
      <c r="J79" s="3">
        <f ca="1">IFERROR(__xludf.DUMMYFUNCTION("""COMPUTED_VALUE"""),-0.388487384707812)</f>
        <v>-0.38848738470781202</v>
      </c>
      <c r="K79" s="3">
        <f ca="1">IFERROR(__xludf.DUMMYFUNCTION("""COMPUTED_VALUE"""),-0.423565637726026)</f>
        <v>-0.42356563772602601</v>
      </c>
      <c r="L79" s="3">
        <f ca="1">IFERROR(__xludf.DUMMYFUNCTION("""COMPUTED_VALUE"""),-0.35844560876659)</f>
        <v>-0.35844560876658998</v>
      </c>
      <c r="M79" s="3">
        <f ca="1">IFERROR(__xludf.DUMMYFUNCTION("""COMPUTED_VALUE"""),-0.378584934123108)</f>
        <v>-0.37858493412310801</v>
      </c>
      <c r="N79" s="3">
        <f ca="1">IFERROR(__xludf.DUMMYFUNCTION("""COMPUTED_VALUE"""),-0.430327076185567)</f>
        <v>-0.43032707618556698</v>
      </c>
      <c r="O79" s="3">
        <f ca="1">IFERROR(__xludf.DUMMYFUNCTION("""COMPUTED_VALUE"""),-0.47277292825053)</f>
        <v>-0.47277292825053002</v>
      </c>
      <c r="P79" s="3">
        <f ca="1">IFERROR(__xludf.DUMMYFUNCTION("""COMPUTED_VALUE"""),-0.42405993298064)</f>
        <v>-0.42405993298063999</v>
      </c>
      <c r="Q79" s="3">
        <f ca="1">IFERROR(__xludf.DUMMYFUNCTION("""COMPUTED_VALUE"""),-0.40284911272671)</f>
        <v>-0.40284911272670998</v>
      </c>
      <c r="R79" s="3">
        <f ca="1">IFERROR(__xludf.DUMMYFUNCTION("""COMPUTED_VALUE"""),-0.416874340210559)</f>
        <v>-0.41687434021055902</v>
      </c>
      <c r="S79" s="3">
        <f ca="1">IFERROR(__xludf.DUMMYFUNCTION("""COMPUTED_VALUE"""),-0.293938174846853)</f>
        <v>-0.29393817484685297</v>
      </c>
      <c r="T79" s="3">
        <f ca="1">IFERROR(__xludf.DUMMYFUNCTION("""COMPUTED_VALUE"""),-0.404080042447951)</f>
        <v>-0.40408004244795098</v>
      </c>
      <c r="U79" s="3">
        <f ca="1">IFERROR(__xludf.DUMMYFUNCTION("""COMPUTED_VALUE"""),-0.453004743093561)</f>
        <v>-0.45300474309356098</v>
      </c>
      <c r="V79" s="3">
        <f ca="1">IFERROR(__xludf.DUMMYFUNCTION("""COMPUTED_VALUE"""),-0.445738084692688)</f>
        <v>-0.445738084692688</v>
      </c>
      <c r="W79" s="3">
        <f ca="1">IFERROR(__xludf.DUMMYFUNCTION("""COMPUTED_VALUE"""),-0.444379921380522)</f>
        <v>-0.44437992138052201</v>
      </c>
      <c r="X79" s="3">
        <f ca="1">IFERROR(__xludf.DUMMYFUNCTION("""COMPUTED_VALUE"""),-0.447074762744254)</f>
        <v>-0.44707476274425401</v>
      </c>
      <c r="Y79" s="3">
        <f ca="1">IFERROR(__xludf.DUMMYFUNCTION("""COMPUTED_VALUE"""),-0.299096181779274)</f>
        <v>-0.299096181779274</v>
      </c>
      <c r="Z79" s="3">
        <f ca="1">IFERROR(__xludf.DUMMYFUNCTION("""COMPUTED_VALUE"""),-0.333525399733141)</f>
        <v>-0.33352539973314099</v>
      </c>
      <c r="AA79" s="3">
        <f ca="1">IFERROR(__xludf.DUMMYFUNCTION("""COMPUTED_VALUE"""),-0.406176670399127)</f>
        <v>-0.40617667039912703</v>
      </c>
      <c r="AB79" s="3">
        <f ca="1">IFERROR(__xludf.DUMMYFUNCTION("""COMPUTED_VALUE"""),-0.49953733520557)</f>
        <v>-0.49953733520556998</v>
      </c>
      <c r="AC79" s="3">
        <f ca="1">IFERROR(__xludf.DUMMYFUNCTION("""COMPUTED_VALUE"""),-0.495361368681818)</f>
        <v>-0.49536136868181802</v>
      </c>
      <c r="AD79" s="3">
        <f ca="1">IFERROR(__xludf.DUMMYFUNCTION("""COMPUTED_VALUE"""),-0.448785261893436)</f>
        <v>-0.44878526189343598</v>
      </c>
      <c r="AE79" s="3">
        <f ca="1">IFERROR(__xludf.DUMMYFUNCTION("""COMPUTED_VALUE"""),-0.46563697054489)</f>
        <v>-0.46563697054489001</v>
      </c>
      <c r="AF79" s="3">
        <f ca="1">IFERROR(__xludf.DUMMYFUNCTION("""COMPUTED_VALUE"""),-0.32165019328466)</f>
        <v>-0.32165019328465999</v>
      </c>
      <c r="AG79" s="3">
        <f ca="1">IFERROR(__xludf.DUMMYFUNCTION("""COMPUTED_VALUE"""),-0.410961993475015)</f>
        <v>-0.410961993475015</v>
      </c>
      <c r="AH79" s="3">
        <f ca="1">IFERROR(__xludf.DUMMYFUNCTION("""COMPUTED_VALUE"""),-0.324645973482148)</f>
        <v>-0.32464597348214802</v>
      </c>
      <c r="AI79" s="3">
        <f ca="1">IFERROR(__xludf.DUMMYFUNCTION("""COMPUTED_VALUE"""),-0.402790611790986)</f>
        <v>-0.40279061179098602</v>
      </c>
      <c r="AJ79" s="3">
        <f ca="1">IFERROR(__xludf.DUMMYFUNCTION("""COMPUTED_VALUE"""),-0.403263931783179)</f>
        <v>-0.40326393178317899</v>
      </c>
      <c r="AK79" s="3">
        <f ca="1">IFERROR(__xludf.DUMMYFUNCTION("""COMPUTED_VALUE"""),-0.374159558509813)</f>
        <v>-0.37415955850981297</v>
      </c>
      <c r="AL79" s="3">
        <f ca="1">IFERROR(__xludf.DUMMYFUNCTION("""COMPUTED_VALUE"""),-0.459562376997012)</f>
        <v>-0.45956237699701202</v>
      </c>
      <c r="AM79" s="3">
        <f ca="1">IFERROR(__xludf.DUMMYFUNCTION("""COMPUTED_VALUE"""),-0.337484515028641)</f>
        <v>-0.33748451502864102</v>
      </c>
      <c r="AN79" s="3">
        <f ca="1">IFERROR(__xludf.DUMMYFUNCTION("""COMPUTED_VALUE"""),-0.408788841835778)</f>
        <v>-0.40878884183577802</v>
      </c>
      <c r="AO79" s="3">
        <f ca="1">IFERROR(__xludf.DUMMYFUNCTION("""COMPUTED_VALUE"""),-0.47485027610364)</f>
        <v>-0.47485027610364</v>
      </c>
      <c r="AP79" s="3">
        <f ca="1">IFERROR(__xludf.DUMMYFUNCTION("""COMPUTED_VALUE"""),-0.499154277317675)</f>
        <v>-0.49915427731767498</v>
      </c>
      <c r="AQ79" s="3">
        <f ca="1">IFERROR(__xludf.DUMMYFUNCTION("""COMPUTED_VALUE"""),-0.446510919354646)</f>
        <v>-0.44651091935464599</v>
      </c>
      <c r="AR79" s="3">
        <f ca="1">IFERROR(__xludf.DUMMYFUNCTION("""COMPUTED_VALUE"""),-0.55888335653123)</f>
        <v>-0.55888335653123</v>
      </c>
      <c r="AS79" s="3">
        <f ca="1">IFERROR(__xludf.DUMMYFUNCTION("""COMPUTED_VALUE"""),-0.398891645273774)</f>
        <v>-0.39889164527377402</v>
      </c>
      <c r="AT79" s="3">
        <f ca="1">IFERROR(__xludf.DUMMYFUNCTION("""COMPUTED_VALUE"""),-0.300590706023292)</f>
        <v>-0.30059070602329202</v>
      </c>
      <c r="AU79" s="3">
        <f ca="1">IFERROR(__xludf.DUMMYFUNCTION("""COMPUTED_VALUE"""),-0.453596990546233)</f>
        <v>-0.45359699054623298</v>
      </c>
      <c r="AV79" s="3">
        <f ca="1">IFERROR(__xludf.DUMMYFUNCTION("""COMPUTED_VALUE"""),-0.441098118195714)</f>
        <v>-0.44109811819571398</v>
      </c>
      <c r="AW79" s="3">
        <f ca="1">IFERROR(__xludf.DUMMYFUNCTION("""COMPUTED_VALUE"""),-0.489734051941427)</f>
        <v>-0.489734051941427</v>
      </c>
      <c r="AX79" s="3">
        <f ca="1">IFERROR(__xludf.DUMMYFUNCTION("""COMPUTED_VALUE"""),-0.437493153496856)</f>
        <v>-0.43749315349685602</v>
      </c>
      <c r="AY79" s="3">
        <f ca="1">IFERROR(__xludf.DUMMYFUNCTION("""COMPUTED_VALUE"""),-0.491302155435212)</f>
        <v>-0.491302155435212</v>
      </c>
      <c r="AZ79" s="3">
        <f ca="1">IFERROR(__xludf.DUMMYFUNCTION("""COMPUTED_VALUE"""),-0.501167496279244)</f>
        <v>-0.50116749627924395</v>
      </c>
      <c r="BA79" s="3">
        <f ca="1">IFERROR(__xludf.DUMMYFUNCTION("""COMPUTED_VALUE"""),-0.34150448393189)</f>
        <v>-0.34150448393188998</v>
      </c>
      <c r="BB79" s="3">
        <f ca="1">IFERROR(__xludf.DUMMYFUNCTION("""COMPUTED_VALUE"""),-0.38240596068848)</f>
        <v>-0.38240596068847998</v>
      </c>
      <c r="BC79" s="3">
        <f ca="1">IFERROR(__xludf.DUMMYFUNCTION("""COMPUTED_VALUE"""),-0.54416773251946)</f>
        <v>-0.54416773251946005</v>
      </c>
      <c r="BD79" s="3">
        <f ca="1">IFERROR(__xludf.DUMMYFUNCTION("""COMPUTED_VALUE"""),-0.5195409637604)</f>
        <v>-0.51954096376040004</v>
      </c>
      <c r="BE79" s="3">
        <f ca="1">IFERROR(__xludf.DUMMYFUNCTION("""COMPUTED_VALUE"""),-0.461273416270904)</f>
        <v>-0.46127341627090401</v>
      </c>
      <c r="BF79" s="3">
        <f ca="1">IFERROR(__xludf.DUMMYFUNCTION("""COMPUTED_VALUE"""),-0.437856721971554)</f>
        <v>-0.43785672197155401</v>
      </c>
      <c r="BG79" s="3">
        <f ca="1">IFERROR(__xludf.DUMMYFUNCTION("""COMPUTED_VALUE"""),-0.433963923554829)</f>
        <v>-0.43396392355482899</v>
      </c>
      <c r="BH79" s="3">
        <f ca="1">IFERROR(__xludf.DUMMYFUNCTION("""COMPUTED_VALUE"""),-0.395006844706298)</f>
        <v>-0.39500684470629799</v>
      </c>
      <c r="BI79" s="3">
        <f ca="1">IFERROR(__xludf.DUMMYFUNCTION("""COMPUTED_VALUE"""),-0.422597233794627)</f>
        <v>-0.42259723379462699</v>
      </c>
      <c r="BJ79" s="3">
        <f ca="1">IFERROR(__xludf.DUMMYFUNCTION("""COMPUTED_VALUE"""),-0.517181198173325)</f>
        <v>-0.51718119817332497</v>
      </c>
      <c r="BK79" s="3">
        <f ca="1">IFERROR(__xludf.DUMMYFUNCTION("""COMPUTED_VALUE"""),-0.517168391396868)</f>
        <v>-0.51716839139686799</v>
      </c>
      <c r="BL79" s="3">
        <f ca="1">IFERROR(__xludf.DUMMYFUNCTION("""COMPUTED_VALUE"""),-0.545439216459074)</f>
        <v>-0.54543921645907401</v>
      </c>
      <c r="BM79" s="3">
        <f ca="1">IFERROR(__xludf.DUMMYFUNCTION("""COMPUTED_VALUE"""),-0.662380893005256)</f>
        <v>-0.66238089300525604</v>
      </c>
      <c r="BN79" s="3">
        <f ca="1">IFERROR(__xludf.DUMMYFUNCTION("""COMPUTED_VALUE"""),-0.54287701102691)</f>
        <v>-0.54287701102690999</v>
      </c>
      <c r="BO79" s="3">
        <f ca="1">IFERROR(__xludf.DUMMYFUNCTION("""COMPUTED_VALUE"""),-0.491750698461242)</f>
        <v>-0.49175069846124198</v>
      </c>
      <c r="BP79" s="3">
        <f ca="1">IFERROR(__xludf.DUMMYFUNCTION("""COMPUTED_VALUE"""),-0.372452255356708)</f>
        <v>-0.37245225535670801</v>
      </c>
      <c r="BQ79" s="3">
        <f ca="1">IFERROR(__xludf.DUMMYFUNCTION("""COMPUTED_VALUE"""),-0.528112941802304)</f>
        <v>-0.52811294180230395</v>
      </c>
      <c r="BR79" s="3">
        <f ca="1">IFERROR(__xludf.DUMMYFUNCTION("""COMPUTED_VALUE"""),-0.540356594899481)</f>
        <v>-0.54035659489948096</v>
      </c>
      <c r="BS79" s="3">
        <f ca="1">IFERROR(__xludf.DUMMYFUNCTION("""COMPUTED_VALUE"""),-0.565094205804532)</f>
        <v>-0.56509420580453196</v>
      </c>
      <c r="BT79" s="3">
        <f ca="1">IFERROR(__xludf.DUMMYFUNCTION("""COMPUTED_VALUE"""),-0.604364559366787)</f>
        <v>-0.60436455936678701</v>
      </c>
      <c r="BU79" s="3">
        <f ca="1">IFERROR(__xludf.DUMMYFUNCTION("""COMPUTED_VALUE"""),-0.694199882485612)</f>
        <v>-0.69419988248561204</v>
      </c>
      <c r="BV79" s="3">
        <f ca="1">IFERROR(__xludf.DUMMYFUNCTION("""COMPUTED_VALUE"""),-0.398324511904924)</f>
        <v>-0.39832451190492402</v>
      </c>
      <c r="BW79" s="3">
        <f ca="1">IFERROR(__xludf.DUMMYFUNCTION("""COMPUTED_VALUE"""),-0.491192074067063)</f>
        <v>-0.491192074067063</v>
      </c>
      <c r="BX79" s="3">
        <f ca="1">IFERROR(__xludf.DUMMYFUNCTION("""COMPUTED_VALUE"""),-0.602027777528709)</f>
        <v>-0.60202777752870895</v>
      </c>
      <c r="BY79" s="3">
        <f ca="1">IFERROR(__xludf.DUMMYFUNCTION("""COMPUTED_VALUE"""),-0.629103749989027)</f>
        <v>-0.62910374998902696</v>
      </c>
      <c r="BZ79" s="3">
        <f ca="1">IFERROR(__xludf.DUMMYFUNCTION("""COMPUTED_VALUE"""),-0.599739679135028)</f>
        <v>-0.59973967913502801</v>
      </c>
      <c r="CA79" s="3">
        <f ca="1">IFERROR(__xludf.DUMMYFUNCTION("""COMPUTED_VALUE"""),-0.587681660131001)</f>
        <v>-0.58768166013100098</v>
      </c>
      <c r="CB79" s="3">
        <f ca="1">IFERROR(__xludf.DUMMYFUNCTION("""COMPUTED_VALUE"""),-0.474237982348298)</f>
        <v>-0.474237982348298</v>
      </c>
      <c r="CC79" s="3">
        <f ca="1">IFERROR(__xludf.DUMMYFUNCTION("""COMPUTED_VALUE"""),-0.452078450787836)</f>
        <v>-0.45207845078783598</v>
      </c>
      <c r="CD79" s="3">
        <f ca="1">IFERROR(__xludf.DUMMYFUNCTION("""COMPUTED_VALUE"""),-0.394791425751275)</f>
        <v>-0.39479142575127502</v>
      </c>
      <c r="CE79" s="3">
        <f ca="1">IFERROR(__xludf.DUMMYFUNCTION("""COMPUTED_VALUE"""),-0.558268512866541)</f>
        <v>-0.558268512866541</v>
      </c>
      <c r="CF79" s="3">
        <f ca="1">IFERROR(__xludf.DUMMYFUNCTION("""COMPUTED_VALUE"""),-0.587080341845728)</f>
        <v>-0.58708034184572799</v>
      </c>
      <c r="CG79" s="3">
        <f ca="1">IFERROR(__xludf.DUMMYFUNCTION("""COMPUTED_VALUE"""),-0.578570344335539)</f>
        <v>-0.578570344335539</v>
      </c>
      <c r="CH79" s="3">
        <f ca="1">IFERROR(__xludf.DUMMYFUNCTION("""COMPUTED_VALUE"""),-0.563813983434464)</f>
        <v>-0.56381398343446398</v>
      </c>
      <c r="CI79" s="3">
        <f ca="1">IFERROR(__xludf.DUMMYFUNCTION("""COMPUTED_VALUE"""),-0.467621711607137)</f>
        <v>-0.467621711607137</v>
      </c>
      <c r="CJ79" s="3">
        <f ca="1">IFERROR(__xludf.DUMMYFUNCTION("""COMPUTED_VALUE"""),-0.434564714274571)</f>
        <v>-0.434564714274571</v>
      </c>
      <c r="CK79" s="3">
        <f ca="1">IFERROR(__xludf.DUMMYFUNCTION("""COMPUTED_VALUE"""),-0.41217972492728)</f>
        <v>-0.41217972492728</v>
      </c>
      <c r="CL79" s="3">
        <f ca="1">IFERROR(__xludf.DUMMYFUNCTION("""COMPUTED_VALUE"""),-0.504099377571221)</f>
        <v>-0.50409937757122103</v>
      </c>
      <c r="CM79" s="3">
        <f ca="1">IFERROR(__xludf.DUMMYFUNCTION("""COMPUTED_VALUE"""),-0.530252320976277)</f>
        <v>-0.53025232097627695</v>
      </c>
      <c r="CN79" s="3">
        <f ca="1">IFERROR(__xludf.DUMMYFUNCTION("""COMPUTED_VALUE"""),-0.544164148642448)</f>
        <v>-0.544164148642448</v>
      </c>
      <c r="CO79" s="3">
        <f ca="1">IFERROR(__xludf.DUMMYFUNCTION("""COMPUTED_VALUE"""),-0.533924771363192)</f>
        <v>-0.53392477136319205</v>
      </c>
      <c r="CP79" s="3">
        <f ca="1">IFERROR(__xludf.DUMMYFUNCTION("""COMPUTED_VALUE"""),-0.512619239621336)</f>
        <v>-0.51261923962133604</v>
      </c>
      <c r="CQ79" s="3">
        <f ca="1">IFERROR(__xludf.DUMMYFUNCTION("""COMPUTED_VALUE"""),-0.414301133608533)</f>
        <v>-0.41430113360853299</v>
      </c>
      <c r="CR79" s="3">
        <f ca="1">IFERROR(__xludf.DUMMYFUNCTION("""COMPUTED_VALUE"""),-0.412647349161777)</f>
        <v>-0.41264734916177698</v>
      </c>
      <c r="CS79" s="3">
        <f ca="1">IFERROR(__xludf.DUMMYFUNCTION("""COMPUTED_VALUE"""),-0.503392396772468)</f>
        <v>-0.50339239677246805</v>
      </c>
      <c r="CT79" s="3">
        <f ca="1">IFERROR(__xludf.DUMMYFUNCTION("""COMPUTED_VALUE"""),-0.509541721675793)</f>
        <v>-0.50954172167579304</v>
      </c>
      <c r="CU79" s="3">
        <f ca="1">IFERROR(__xludf.DUMMYFUNCTION("""COMPUTED_VALUE"""),-0.400731901900353)</f>
        <v>-0.40073190190035302</v>
      </c>
      <c r="CV79" s="3">
        <f ca="1">IFERROR(__xludf.DUMMYFUNCTION("""COMPUTED_VALUE"""),-0.515388553429762)</f>
        <v>-0.51538855342976198</v>
      </c>
      <c r="CW79" s="3">
        <f ca="1">IFERROR(__xludf.DUMMYFUNCTION("""COMPUTED_VALUE"""),-0.436217893797751)</f>
        <v>-0.436217893797751</v>
      </c>
      <c r="CX79" s="3">
        <f ca="1">IFERROR(__xludf.DUMMYFUNCTION("""COMPUTED_VALUE"""),-0.553986167977104)</f>
        <v>-0.55398616797710398</v>
      </c>
      <c r="CY79" s="3">
        <f ca="1">IFERROR(__xludf.DUMMYFUNCTION("""COMPUTED_VALUE"""),-0.54440280636359)</f>
        <v>-0.54440280636358995</v>
      </c>
      <c r="CZ79" s="3">
        <f ca="1">IFERROR(__xludf.DUMMYFUNCTION("""COMPUTED_VALUE"""),-0.848553084652864)</f>
        <v>-0.84855308465286405</v>
      </c>
      <c r="DA79" s="3">
        <f ca="1">IFERROR(__xludf.DUMMYFUNCTION("""COMPUTED_VALUE"""),-0.407333902347387)</f>
        <v>-0.40733390234738698</v>
      </c>
      <c r="DB79" s="3">
        <f ca="1">IFERROR(__xludf.DUMMYFUNCTION("""COMPUTED_VALUE"""),-0.0465644989274465)</f>
        <v>-4.6564498927446497E-2</v>
      </c>
      <c r="DC79" s="3">
        <f ca="1">IFERROR(__xludf.DUMMYFUNCTION("""COMPUTED_VALUE"""),-0.460086549993757)</f>
        <v>-0.46008654999375698</v>
      </c>
      <c r="DD79" s="3">
        <f ca="1">IFERROR(__xludf.DUMMYFUNCTION("""COMPUTED_VALUE"""),-0.471839240187974)</f>
        <v>-0.47183924018797402</v>
      </c>
      <c r="DE79" s="3">
        <f ca="1">IFERROR(__xludf.DUMMYFUNCTION("""COMPUTED_VALUE"""),-0.516065396689837)</f>
        <v>-0.51606539668983697</v>
      </c>
      <c r="DF79" s="3">
        <f ca="1">IFERROR(__xludf.DUMMYFUNCTION("""COMPUTED_VALUE"""),-0.561244455008073)</f>
        <v>-0.56124445500807296</v>
      </c>
      <c r="DG79" s="3">
        <f ca="1">IFERROR(__xludf.DUMMYFUNCTION("""COMPUTED_VALUE"""),-0.896273075203333)</f>
        <v>-0.89627307520333299</v>
      </c>
      <c r="DH79" s="3">
        <f ca="1">IFERROR(__xludf.DUMMYFUNCTION("""COMPUTED_VALUE"""),-0.451078299106795)</f>
        <v>-0.45107829910679498</v>
      </c>
      <c r="DI79" s="3">
        <f ca="1">IFERROR(__xludf.DUMMYFUNCTION("""COMPUTED_VALUE"""),0.0918430376881356)</f>
        <v>9.1843037688135606E-2</v>
      </c>
      <c r="DJ79" s="3">
        <f ca="1">IFERROR(__xludf.DUMMYFUNCTION("""COMPUTED_VALUE"""),-0.450017562388706)</f>
        <v>-0.45001756238870599</v>
      </c>
      <c r="DK79" s="3">
        <f ca="1">IFERROR(__xludf.DUMMYFUNCTION("""COMPUTED_VALUE"""),-0.47510749165759)</f>
        <v>-0.47510749165758998</v>
      </c>
      <c r="DL79" s="3">
        <f ca="1">IFERROR(__xludf.DUMMYFUNCTION("""COMPUTED_VALUE"""),-0.449937394666574)</f>
        <v>-0.44993739466657401</v>
      </c>
      <c r="DM79" s="3">
        <f ca="1">IFERROR(__xludf.DUMMYFUNCTION("""COMPUTED_VALUE"""),-0.421962968036279)</f>
        <v>-0.42196296803627897</v>
      </c>
      <c r="DN79" s="3">
        <f ca="1">IFERROR(__xludf.DUMMYFUNCTION("""COMPUTED_VALUE"""),-0.485915483860126)</f>
        <v>-0.48591548386012601</v>
      </c>
      <c r="DO79" s="3">
        <f ca="1">IFERROR(__xludf.DUMMYFUNCTION("""COMPUTED_VALUE"""),-0.545601358039775)</f>
        <v>-0.54560135803977505</v>
      </c>
      <c r="DP79" s="3">
        <f ca="1">IFERROR(__xludf.DUMMYFUNCTION("""COMPUTED_VALUE"""),-0.28662100010247)</f>
        <v>-0.28662100010246999</v>
      </c>
      <c r="DQ79" s="3">
        <f ca="1">IFERROR(__xludf.DUMMYFUNCTION("""COMPUTED_VALUE"""),-0.504640786747077)</f>
        <v>-0.50464078674707702</v>
      </c>
      <c r="DR79" s="3">
        <f ca="1">IFERROR(__xludf.DUMMYFUNCTION("""COMPUTED_VALUE"""),-0.621426095520693)</f>
        <v>-0.62142609552069294</v>
      </c>
      <c r="DS79" s="3">
        <f ca="1">IFERROR(__xludf.DUMMYFUNCTION("""COMPUTED_VALUE"""),-0.471111639818894)</f>
        <v>-0.47111163981889398</v>
      </c>
      <c r="DT79" s="3">
        <f ca="1">IFERROR(__xludf.DUMMYFUNCTION("""COMPUTED_VALUE"""),-0.504998526638395)</f>
        <v>-0.50499852663839495</v>
      </c>
      <c r="DU79" s="3">
        <f ca="1">IFERROR(__xludf.DUMMYFUNCTION("""COMPUTED_VALUE"""),-0.514936608604052)</f>
        <v>-0.51493660860405199</v>
      </c>
      <c r="DV79" s="3">
        <f ca="1">IFERROR(__xludf.DUMMYFUNCTION("""COMPUTED_VALUE"""),-0.573292292964245)</f>
        <v>-0.573292292964245</v>
      </c>
      <c r="DW79" s="3">
        <f ca="1">IFERROR(__xludf.DUMMYFUNCTION("""COMPUTED_VALUE"""),-0.608828739443566)</f>
        <v>-0.60882873944356597</v>
      </c>
      <c r="DX79" s="3">
        <f ca="1">IFERROR(__xludf.DUMMYFUNCTION("""COMPUTED_VALUE"""),-0.588289400355644)</f>
        <v>-0.58828940035564403</v>
      </c>
      <c r="DY79" s="3">
        <f ca="1">IFERROR(__xludf.DUMMYFUNCTION("""COMPUTED_VALUE"""),-0.506378101540545)</f>
        <v>-0.50637810154054497</v>
      </c>
      <c r="DZ79" s="3">
        <f ca="1">IFERROR(__xludf.DUMMYFUNCTION("""COMPUTED_VALUE"""),-0.413491080809556)</f>
        <v>-0.41349108080955599</v>
      </c>
      <c r="EA79" s="3">
        <f ca="1">IFERROR(__xludf.DUMMYFUNCTION("""COMPUTED_VALUE"""),-0.609831325792929)</f>
        <v>-0.60983132579292898</v>
      </c>
      <c r="EB79" s="3">
        <f ca="1">IFERROR(__xludf.DUMMYFUNCTION("""COMPUTED_VALUE"""),-0.477172133375374)</f>
        <v>-0.47717213337537401</v>
      </c>
      <c r="EC79" s="3">
        <f ca="1">IFERROR(__xludf.DUMMYFUNCTION("""COMPUTED_VALUE"""),-0.42656783789964)</f>
        <v>-0.42656783789963998</v>
      </c>
      <c r="ED79" s="3">
        <f ca="1">IFERROR(__xludf.DUMMYFUNCTION("""COMPUTED_VALUE"""),-0.576543963593517)</f>
        <v>-0.57654396359351701</v>
      </c>
      <c r="EE79" s="3">
        <f ca="1">IFERROR(__xludf.DUMMYFUNCTION("""COMPUTED_VALUE"""),-0.543545642240948)</f>
        <v>-0.54354564224094803</v>
      </c>
      <c r="EF79" s="3">
        <f ca="1">IFERROR(__xludf.DUMMYFUNCTION("""COMPUTED_VALUE"""),-0.585417072320158)</f>
        <v>-0.58541707232015805</v>
      </c>
      <c r="EG79" s="3">
        <f ca="1">IFERROR(__xludf.DUMMYFUNCTION("""COMPUTED_VALUE"""),-0.370693154452981)</f>
        <v>-0.37069315445298101</v>
      </c>
      <c r="EH79" s="3">
        <f ca="1">IFERROR(__xludf.DUMMYFUNCTION("""COMPUTED_VALUE"""),-0.457093806103539)</f>
        <v>-0.457093806103539</v>
      </c>
      <c r="EI79" s="3">
        <f ca="1">IFERROR(__xludf.DUMMYFUNCTION("""COMPUTED_VALUE"""),-0.552858380634028)</f>
        <v>-0.55285838063402803</v>
      </c>
      <c r="EJ79" s="3">
        <f ca="1">IFERROR(__xludf.DUMMYFUNCTION("""COMPUTED_VALUE"""),-0.838676806469785)</f>
        <v>-0.83867680646978504</v>
      </c>
      <c r="EK79" s="3">
        <f ca="1">IFERROR(__xludf.DUMMYFUNCTION("""COMPUTED_VALUE"""),-0.52408067606711)</f>
        <v>-0.52408067606710995</v>
      </c>
      <c r="EL79" s="3">
        <f ca="1">IFERROR(__xludf.DUMMYFUNCTION("""COMPUTED_VALUE"""),-0.51020957743267)</f>
        <v>-0.51020957743267004</v>
      </c>
      <c r="EM79" s="3">
        <f ca="1">IFERROR(__xludf.DUMMYFUNCTION("""COMPUTED_VALUE"""),-0.521702812028537)</f>
        <v>-0.52170281202853697</v>
      </c>
      <c r="EN79" s="3">
        <f ca="1">IFERROR(__xludf.DUMMYFUNCTION("""COMPUTED_VALUE"""),-0.317462719899446)</f>
        <v>-0.31746271989944602</v>
      </c>
      <c r="EO79" s="3">
        <f ca="1">IFERROR(__xludf.DUMMYFUNCTION("""COMPUTED_VALUE"""),-0.406549127940847)</f>
        <v>-0.40654912794084702</v>
      </c>
      <c r="EP79" s="3">
        <f ca="1">IFERROR(__xludf.DUMMYFUNCTION("""COMPUTED_VALUE"""),-0.465890783628108)</f>
        <v>-0.46589078362810799</v>
      </c>
      <c r="EQ79" s="3">
        <f ca="1">IFERROR(__xludf.DUMMYFUNCTION("""COMPUTED_VALUE"""),-0.438706019913259)</f>
        <v>-0.43870601991325903</v>
      </c>
      <c r="ER79" s="3">
        <f ca="1">IFERROR(__xludf.DUMMYFUNCTION("""COMPUTED_VALUE"""),-0.541610408572518)</f>
        <v>-0.54161040857251797</v>
      </c>
      <c r="ES79" s="3">
        <f ca="1">IFERROR(__xludf.DUMMYFUNCTION("""COMPUTED_VALUE"""),-0.551414131074637)</f>
        <v>-0.55141413107463699</v>
      </c>
      <c r="ET79" s="3">
        <f ca="1">IFERROR(__xludf.DUMMYFUNCTION("""COMPUTED_VALUE"""),-0.491769838722556)</f>
        <v>-0.49176983872255597</v>
      </c>
      <c r="EU79" s="3">
        <f ca="1">IFERROR(__xludf.DUMMYFUNCTION("""COMPUTED_VALUE"""),-0.368751336299032)</f>
        <v>-0.36875133629903201</v>
      </c>
      <c r="EV79" s="3">
        <f ca="1">IFERROR(__xludf.DUMMYFUNCTION("""COMPUTED_VALUE"""),-0.379490324938439)</f>
        <v>-0.37949032493843898</v>
      </c>
      <c r="EW79" s="3">
        <f ca="1">IFERROR(__xludf.DUMMYFUNCTION("""COMPUTED_VALUE"""),-0.554623687245544)</f>
        <v>-0.55462368724554401</v>
      </c>
      <c r="EX79" s="3">
        <f ca="1">IFERROR(__xludf.DUMMYFUNCTION("""COMPUTED_VALUE"""),-0.587757942335738)</f>
        <v>-0.58775794233573797</v>
      </c>
      <c r="EY79" s="3">
        <f ca="1">IFERROR(__xludf.DUMMYFUNCTION("""COMPUTED_VALUE"""),-0.551010824770976)</f>
        <v>-0.55101082477097596</v>
      </c>
      <c r="EZ79" s="3">
        <f ca="1">IFERROR(__xludf.DUMMYFUNCTION("""COMPUTED_VALUE"""),-0.508258280768477)</f>
        <v>-0.50825828076847701</v>
      </c>
      <c r="FA79" s="3">
        <f ca="1">IFERROR(__xludf.DUMMYFUNCTION("""COMPUTED_VALUE"""),-0.555661763847684)</f>
        <v>-0.55566176384768395</v>
      </c>
      <c r="FB79" s="3">
        <f ca="1">IFERROR(__xludf.DUMMYFUNCTION("""COMPUTED_VALUE"""),-0.339046173216829)</f>
        <v>-0.33904617321682901</v>
      </c>
      <c r="FC79" s="3">
        <f ca="1">IFERROR(__xludf.DUMMYFUNCTION("""COMPUTED_VALUE"""),-0.468946732799359)</f>
        <v>-0.468946732799359</v>
      </c>
      <c r="FD79" s="3">
        <f ca="1">IFERROR(__xludf.DUMMYFUNCTION("""COMPUTED_VALUE"""),-0.543890243021257)</f>
        <v>-0.54389024302125699</v>
      </c>
      <c r="FE79" s="3">
        <f ca="1">IFERROR(__xludf.DUMMYFUNCTION("""COMPUTED_VALUE"""),-0.545390777907644)</f>
        <v>-0.54539077790764401</v>
      </c>
      <c r="FF79" s="3">
        <f ca="1">IFERROR(__xludf.DUMMYFUNCTION("""COMPUTED_VALUE"""),-0.565588415692945)</f>
        <v>-0.56558841569294505</v>
      </c>
      <c r="FG79" s="3">
        <f ca="1">IFERROR(__xludf.DUMMYFUNCTION("""COMPUTED_VALUE"""),-0.584737171098628)</f>
        <v>-0.58473717109862799</v>
      </c>
      <c r="FH79" s="3">
        <f ca="1">IFERROR(__xludf.DUMMYFUNCTION("""COMPUTED_VALUE"""),-0.572321490692308)</f>
        <v>-0.57232149069230798</v>
      </c>
      <c r="FI79" s="3">
        <f ca="1">IFERROR(__xludf.DUMMYFUNCTION("""COMPUTED_VALUE"""),-0.386910105586352)</f>
        <v>-0.38691010558635203</v>
      </c>
      <c r="FJ79" s="3">
        <f ca="1">IFERROR(__xludf.DUMMYFUNCTION("""COMPUTED_VALUE"""),-0.512169396043414)</f>
        <v>-0.51216939604341405</v>
      </c>
      <c r="FK79" s="3">
        <f ca="1">IFERROR(__xludf.DUMMYFUNCTION("""COMPUTED_VALUE"""),-0.617438794829633)</f>
        <v>-0.61743879482963304</v>
      </c>
      <c r="FL79" s="3">
        <f ca="1">IFERROR(__xludf.DUMMYFUNCTION("""COMPUTED_VALUE"""),-0.617218406851808)</f>
        <v>-0.61721840685180795</v>
      </c>
      <c r="FM79" s="3">
        <f ca="1">IFERROR(__xludf.DUMMYFUNCTION("""COMPUTED_VALUE"""),-0.590346753596216)</f>
        <v>-0.59034675359621602</v>
      </c>
      <c r="FN79" s="3">
        <f ca="1">IFERROR(__xludf.DUMMYFUNCTION("""COMPUTED_VALUE"""),-0.575939225791489)</f>
        <v>-0.57593922579148904</v>
      </c>
      <c r="FO79" s="3">
        <f ca="1">IFERROR(__xludf.DUMMYFUNCTION("""COMPUTED_VALUE"""),-0.581629429073321)</f>
        <v>-0.58162942907332105</v>
      </c>
      <c r="FP79" s="3">
        <f ca="1">IFERROR(__xludf.DUMMYFUNCTION("""COMPUTED_VALUE"""),-0.372523431166703)</f>
        <v>-0.372523431166703</v>
      </c>
      <c r="FQ79" s="3">
        <f ca="1">IFERROR(__xludf.DUMMYFUNCTION("""COMPUTED_VALUE"""),-0.502263012923509)</f>
        <v>-0.50226301292350894</v>
      </c>
      <c r="FR79" s="3">
        <f ca="1">IFERROR(__xludf.DUMMYFUNCTION("""COMPUTED_VALUE"""),-0.605753081491378)</f>
        <v>-0.60575308149137796</v>
      </c>
      <c r="FS79" s="3">
        <f ca="1">IFERROR(__xludf.DUMMYFUNCTION("""COMPUTED_VALUE"""),-0.572592553856505)</f>
        <v>-0.57259255385650498</v>
      </c>
      <c r="FT79" s="3">
        <f ca="1">IFERROR(__xludf.DUMMYFUNCTION("""COMPUTED_VALUE"""),-0.577949178974722)</f>
        <v>-0.57794917897472198</v>
      </c>
      <c r="FU79" s="3">
        <f ca="1">IFERROR(__xludf.DUMMYFUNCTION("""COMPUTED_VALUE"""),-0.609418920597537)</f>
        <v>-0.60941892059753699</v>
      </c>
      <c r="FV79" s="3">
        <f ca="1">IFERROR(__xludf.DUMMYFUNCTION("""COMPUTED_VALUE"""),-0.554005799360603)</f>
        <v>-0.55400579936060301</v>
      </c>
      <c r="FW79" s="3">
        <f ca="1">IFERROR(__xludf.DUMMYFUNCTION("""COMPUTED_VALUE"""),-0.494539458890595)</f>
        <v>-0.49453945889059497</v>
      </c>
      <c r="FX79" s="3">
        <f ca="1">IFERROR(__xludf.DUMMYFUNCTION("""COMPUTED_VALUE"""),-0.531818041211539)</f>
        <v>-0.53181804121153897</v>
      </c>
      <c r="FY79" s="3">
        <f ca="1">IFERROR(__xludf.DUMMYFUNCTION("""COMPUTED_VALUE"""),-0.623130750729597)</f>
        <v>-0.623130750729597</v>
      </c>
      <c r="FZ79" s="3">
        <f ca="1">IFERROR(__xludf.DUMMYFUNCTION("""COMPUTED_VALUE"""),-0.580958562113589)</f>
        <v>-0.58095856211358898</v>
      </c>
      <c r="GA79" s="3">
        <f ca="1">IFERROR(__xludf.DUMMYFUNCTION("""COMPUTED_VALUE"""),-0.55663098775282)</f>
        <v>-0.55663098775282005</v>
      </c>
      <c r="GB79" s="3">
        <f ca="1">IFERROR(__xludf.DUMMYFUNCTION("""COMPUTED_VALUE"""),-0.639183461775653)</f>
        <v>-0.63918346177565299</v>
      </c>
      <c r="GC79" s="3">
        <f ca="1">IFERROR(__xludf.DUMMYFUNCTION("""COMPUTED_VALUE"""),-0.667385435228615)</f>
        <v>-0.66738543522861504</v>
      </c>
      <c r="GD79" s="3">
        <f ca="1">IFERROR(__xludf.DUMMYFUNCTION("""COMPUTED_VALUE"""),-0.479159341487614)</f>
        <v>-0.47915934148761402</v>
      </c>
      <c r="GE79" s="3">
        <f ca="1">IFERROR(__xludf.DUMMYFUNCTION("""COMPUTED_VALUE"""),-0.557050478354751)</f>
        <v>-0.55705047835475097</v>
      </c>
      <c r="GF79" s="3">
        <f ca="1">IFERROR(__xludf.DUMMYFUNCTION("""COMPUTED_VALUE"""),-0.595346762993921)</f>
        <v>-0.59534676299392097</v>
      </c>
      <c r="GG79" s="3">
        <f ca="1">IFERROR(__xludf.DUMMYFUNCTION("""COMPUTED_VALUE"""),-0.583249644716185)</f>
        <v>-0.58324964471618501</v>
      </c>
      <c r="GH79" s="3">
        <f ca="1">IFERROR(__xludf.DUMMYFUNCTION("""COMPUTED_VALUE"""),-0.616219542130337)</f>
        <v>-0.61621954213033703</v>
      </c>
      <c r="GI79" s="3">
        <f ca="1">IFERROR(__xludf.DUMMYFUNCTION("""COMPUTED_VALUE"""),-0.659371542348078)</f>
        <v>-0.65937154234807804</v>
      </c>
      <c r="GJ79" s="3">
        <f ca="1">IFERROR(__xludf.DUMMYFUNCTION("""COMPUTED_VALUE"""),-0.586424224317631)</f>
        <v>-0.58642422431763097</v>
      </c>
      <c r="GK79" s="3">
        <f ca="1">IFERROR(__xludf.DUMMYFUNCTION("""COMPUTED_VALUE"""),-0.515675145251896)</f>
        <v>-0.51567514525189595</v>
      </c>
      <c r="GL79" s="3">
        <f ca="1">IFERROR(__xludf.DUMMYFUNCTION("""COMPUTED_VALUE"""),-0.577424231717351)</f>
        <v>-0.57742423171735102</v>
      </c>
      <c r="GM79" s="3">
        <f ca="1">IFERROR(__xludf.DUMMYFUNCTION("""COMPUTED_VALUE"""),-0.596922606975002)</f>
        <v>-0.59692260697500199</v>
      </c>
      <c r="GN79" s="3">
        <f ca="1">IFERROR(__xludf.DUMMYFUNCTION("""COMPUTED_VALUE"""),-0.57883711056015)</f>
        <v>-0.57883711056014997</v>
      </c>
      <c r="GO79" s="3">
        <f ca="1">IFERROR(__xludf.DUMMYFUNCTION("""COMPUTED_VALUE"""),-0.597985005931905)</f>
        <v>-0.59798500593190496</v>
      </c>
      <c r="GP79" s="3">
        <f ca="1">IFERROR(__xludf.DUMMYFUNCTION("""COMPUTED_VALUE"""),-0.598856750888988)</f>
        <v>-0.59885675088898804</v>
      </c>
      <c r="GQ79" s="3">
        <f ca="1">IFERROR(__xludf.DUMMYFUNCTION("""COMPUTED_VALUE"""),-0.586319765486023)</f>
        <v>-0.58631976548602305</v>
      </c>
      <c r="GR79" s="3">
        <f ca="1">IFERROR(__xludf.DUMMYFUNCTION("""COMPUTED_VALUE"""),-0.494855438625328)</f>
        <v>-0.49485543862532799</v>
      </c>
      <c r="GS79" s="3">
        <f ca="1">IFERROR(__xludf.DUMMYFUNCTION("""COMPUTED_VALUE"""),-0.502565865599591)</f>
        <v>-0.50256586559959104</v>
      </c>
      <c r="GT79" s="3">
        <f ca="1">IFERROR(__xludf.DUMMYFUNCTION("""COMPUTED_VALUE"""),-0.574278057490926)</f>
        <v>-0.57427805749092597</v>
      </c>
      <c r="GU79" s="3">
        <f ca="1">IFERROR(__xludf.DUMMYFUNCTION("""COMPUTED_VALUE"""),-0.525264836836586)</f>
        <v>-0.52526483683658598</v>
      </c>
      <c r="GV79" s="3">
        <f ca="1">IFERROR(__xludf.DUMMYFUNCTION("""COMPUTED_VALUE"""),-0.583347475287179)</f>
        <v>-0.58334747528717901</v>
      </c>
      <c r="GW79" s="3">
        <f ca="1">IFERROR(__xludf.DUMMYFUNCTION("""COMPUTED_VALUE"""),-0.622525329014776)</f>
        <v>-0.62252532901477597</v>
      </c>
      <c r="GX79" s="3">
        <f ca="1">IFERROR(__xludf.DUMMYFUNCTION("""COMPUTED_VALUE"""),-0.55616008087758)</f>
        <v>-0.55616008087757995</v>
      </c>
      <c r="GY79" s="3">
        <f ca="1">IFERROR(__xludf.DUMMYFUNCTION("""COMPUTED_VALUE"""),-0.438630294652991)</f>
        <v>-0.43863029465299103</v>
      </c>
      <c r="GZ79" s="3">
        <f ca="1">IFERROR(__xludf.DUMMYFUNCTION("""COMPUTED_VALUE"""),-0.445914008988354)</f>
        <v>-0.44591400898835398</v>
      </c>
      <c r="HA79" s="3">
        <f ca="1">IFERROR(__xludf.DUMMYFUNCTION("""COMPUTED_VALUE"""),-0.554403082524571)</f>
        <v>-0.55440308252457104</v>
      </c>
      <c r="HB79" s="3">
        <f ca="1">IFERROR(__xludf.DUMMYFUNCTION("""COMPUTED_VALUE"""),-0.520918727976673)</f>
        <v>-0.52091872797667305</v>
      </c>
      <c r="HC79" s="3">
        <f ca="1">IFERROR(__xludf.DUMMYFUNCTION("""COMPUTED_VALUE"""),-0.571151448792417)</f>
        <v>-0.57115144879241697</v>
      </c>
      <c r="HD79" s="3">
        <f ca="1">IFERROR(__xludf.DUMMYFUNCTION("""COMPUTED_VALUE"""),-0.586246918925675)</f>
        <v>-0.58624691892567504</v>
      </c>
      <c r="HE79" s="3">
        <f ca="1">IFERROR(__xludf.DUMMYFUNCTION("""COMPUTED_VALUE"""),-0.543714792325241)</f>
        <v>-0.543714792325241</v>
      </c>
      <c r="HF79" s="3">
        <f ca="1">IFERROR(__xludf.DUMMYFUNCTION("""COMPUTED_VALUE"""),-0.387488651951827)</f>
        <v>-0.38748865195182702</v>
      </c>
      <c r="HG79" s="3">
        <f ca="1">IFERROR(__xludf.DUMMYFUNCTION("""COMPUTED_VALUE"""),-0.410778344800603)</f>
        <v>-0.41077834480060299</v>
      </c>
      <c r="HH79" s="3">
        <f ca="1">IFERROR(__xludf.DUMMYFUNCTION("""COMPUTED_VALUE"""),-0.519389745823051)</f>
        <v>-0.51938974582305097</v>
      </c>
      <c r="HI79" s="3">
        <f ca="1">IFERROR(__xludf.DUMMYFUNCTION("""COMPUTED_VALUE"""),-0.587798277064432)</f>
        <v>-0.587798277064432</v>
      </c>
      <c r="HJ79" s="3">
        <f ca="1">IFERROR(__xludf.DUMMYFUNCTION("""COMPUTED_VALUE"""),-0.561082653988415)</f>
        <v>-0.56108265398841495</v>
      </c>
      <c r="HK79" s="3">
        <f ca="1">IFERROR(__xludf.DUMMYFUNCTION("""COMPUTED_VALUE"""),-0.564144282616537)</f>
        <v>-0.56414428261653704</v>
      </c>
      <c r="HL79" s="3">
        <f ca="1">IFERROR(__xludf.DUMMYFUNCTION("""COMPUTED_VALUE"""),-0.707467339713325)</f>
        <v>-0.70746733971332498</v>
      </c>
      <c r="HM79" s="3">
        <f ca="1">IFERROR(__xludf.DUMMYFUNCTION("""COMPUTED_VALUE"""),-0.382686438986766)</f>
        <v>-0.38268643898676602</v>
      </c>
      <c r="HN79" s="3">
        <f ca="1">IFERROR(__xludf.DUMMYFUNCTION("""COMPUTED_VALUE"""),-0.471103044945002)</f>
        <v>-0.47110304494500199</v>
      </c>
      <c r="HO79" s="3">
        <f ca="1">IFERROR(__xludf.DUMMYFUNCTION("""COMPUTED_VALUE"""),-0.502066548907482)</f>
        <v>-0.50206654890748204</v>
      </c>
      <c r="HP79" s="3">
        <f ca="1">IFERROR(__xludf.DUMMYFUNCTION("""COMPUTED_VALUE"""),-0.506000120499884)</f>
        <v>-0.50600012049988397</v>
      </c>
      <c r="HQ79" s="3">
        <f ca="1">IFERROR(__xludf.DUMMYFUNCTION("""COMPUTED_VALUE"""),-0.55862827063075)</f>
        <v>-0.55862827063075005</v>
      </c>
      <c r="HR79" s="3">
        <f ca="1">IFERROR(__xludf.DUMMYFUNCTION("""COMPUTED_VALUE"""),-0.498227033451698)</f>
        <v>-0.498227033451698</v>
      </c>
      <c r="HS79" s="3">
        <f ca="1">IFERROR(__xludf.DUMMYFUNCTION("""COMPUTED_VALUE"""),-0.393015816788806)</f>
        <v>-0.39301581678880598</v>
      </c>
      <c r="HT79" s="3">
        <f ca="1">IFERROR(__xludf.DUMMYFUNCTION("""COMPUTED_VALUE"""),-0.434403825747715)</f>
        <v>-0.43440382574771502</v>
      </c>
      <c r="HU79" s="3">
        <f ca="1">IFERROR(__xludf.DUMMYFUNCTION("""COMPUTED_VALUE"""),-0.493736771149063)</f>
        <v>-0.493736771149063</v>
      </c>
      <c r="HV79" s="3">
        <f ca="1">IFERROR(__xludf.DUMMYFUNCTION("""COMPUTED_VALUE"""),-0.506566374080085)</f>
        <v>-0.50656637408008498</v>
      </c>
      <c r="HW79" s="3">
        <f ca="1">IFERROR(__xludf.DUMMYFUNCTION("""COMPUTED_VALUE"""),-0.526114367054071)</f>
        <v>-0.526114367054071</v>
      </c>
      <c r="HX79" s="3">
        <f ca="1">IFERROR(__xludf.DUMMYFUNCTION("""COMPUTED_VALUE"""),-0.516378265479807)</f>
        <v>-0.51637826547980703</v>
      </c>
      <c r="HY79" s="3">
        <f ca="1">IFERROR(__xludf.DUMMYFUNCTION("""COMPUTED_VALUE"""),-0.435414628455807)</f>
        <v>-0.43541462845580697</v>
      </c>
      <c r="HZ79" s="3">
        <f ca="1">IFERROR(__xludf.DUMMYFUNCTION("""COMPUTED_VALUE"""),-0.376928950915901)</f>
        <v>-0.37692895091590101</v>
      </c>
      <c r="IA79" s="3">
        <f ca="1">IFERROR(__xludf.DUMMYFUNCTION("""COMPUTED_VALUE"""),-0.432689155437407)</f>
        <v>-0.43268915543740699</v>
      </c>
      <c r="IB79" s="3">
        <f ca="1">IFERROR(__xludf.DUMMYFUNCTION("""COMPUTED_VALUE"""),-0.370935663866248)</f>
        <v>-0.37093566386624799</v>
      </c>
      <c r="IC79" s="3">
        <f ca="1">IFERROR(__xludf.DUMMYFUNCTION("""COMPUTED_VALUE"""),-0.458573750465014)</f>
        <v>-0.45857375046501397</v>
      </c>
      <c r="ID79" s="3">
        <f ca="1">IFERROR(__xludf.DUMMYFUNCTION("""COMPUTED_VALUE"""),-0.445270803807098)</f>
        <v>-0.44527080380709799</v>
      </c>
      <c r="IE79" s="3">
        <f ca="1">IFERROR(__xludf.DUMMYFUNCTION("""COMPUTED_VALUE"""),-0.486866709649142)</f>
        <v>-0.48686670964914203</v>
      </c>
      <c r="IF79" s="3">
        <f ca="1">IFERROR(__xludf.DUMMYFUNCTION("""COMPUTED_VALUE"""),-0.37988720145693)</f>
        <v>-0.37988720145693</v>
      </c>
      <c r="IG79" s="3">
        <f ca="1">IFERROR(__xludf.DUMMYFUNCTION("""COMPUTED_VALUE"""),-0.454892009670043)</f>
        <v>-0.45489200967004301</v>
      </c>
      <c r="IH79" s="3">
        <f ca="1">IFERROR(__xludf.DUMMYFUNCTION("""COMPUTED_VALUE"""),-0.526508095194556)</f>
        <v>-0.52650809519455599</v>
      </c>
      <c r="II79" s="3">
        <f ca="1">IFERROR(__xludf.DUMMYFUNCTION("""COMPUTED_VALUE"""),-0.426158420144441)</f>
        <v>-0.426158420144441</v>
      </c>
      <c r="IJ79" s="3">
        <f ca="1">IFERROR(__xludf.DUMMYFUNCTION("""COMPUTED_VALUE"""),-0.432875985490804)</f>
        <v>-0.43287598549080403</v>
      </c>
      <c r="IK79" s="3">
        <f ca="1">IFERROR(__xludf.DUMMYFUNCTION("""COMPUTED_VALUE"""),-0.490953400453677)</f>
        <v>-0.49095340045367702</v>
      </c>
      <c r="IL79" s="3">
        <f ca="1">IFERROR(__xludf.DUMMYFUNCTION("""COMPUTED_VALUE"""),-0.432065427939522)</f>
        <v>-0.43206542793952202</v>
      </c>
      <c r="IM79" s="3">
        <f ca="1">IFERROR(__xludf.DUMMYFUNCTION("""COMPUTED_VALUE"""),-0.337975639447934)</f>
        <v>-0.33797563944793402</v>
      </c>
      <c r="IN79" s="3">
        <f ca="1">IFERROR(__xludf.DUMMYFUNCTION("""COMPUTED_VALUE"""),-0.371264426020854)</f>
        <v>-0.37126442602085402</v>
      </c>
      <c r="IO79" s="3">
        <f ca="1">IFERROR(__xludf.DUMMYFUNCTION("""COMPUTED_VALUE"""),-0.434716068553371)</f>
        <v>-0.43471606855337103</v>
      </c>
      <c r="IP79" s="3">
        <f ca="1">IFERROR(__xludf.DUMMYFUNCTION("""COMPUTED_VALUE"""),-0.409934056686122)</f>
        <v>-0.40993405668612198</v>
      </c>
      <c r="IQ79" s="3">
        <f ca="1">IFERROR(__xludf.DUMMYFUNCTION("""COMPUTED_VALUE"""),-0.431649491507961)</f>
        <v>-0.431649491507961</v>
      </c>
      <c r="IR79" s="3">
        <f ca="1">IFERROR(__xludf.DUMMYFUNCTION("""COMPUTED_VALUE"""),-0.375328401361447)</f>
        <v>-0.37532840136144702</v>
      </c>
      <c r="IS79" s="3">
        <f ca="1">IFERROR(__xludf.DUMMYFUNCTION("""COMPUTED_VALUE"""),-0.322022584244342)</f>
        <v>-0.32202258424434199</v>
      </c>
      <c r="IT79" s="3">
        <f ca="1">IFERROR(__xludf.DUMMYFUNCTION("""COMPUTED_VALUE"""),-0.408643122654462)</f>
        <v>-0.40864312265446201</v>
      </c>
      <c r="IU79" s="3">
        <f ca="1">IFERROR(__xludf.DUMMYFUNCTION("""COMPUTED_VALUE"""),-0.355462640077512)</f>
        <v>-0.35546264007751199</v>
      </c>
      <c r="IV79" s="3">
        <f ca="1">IFERROR(__xludf.DUMMYFUNCTION("""COMPUTED_VALUE"""),-0.40886893047414)</f>
        <v>-0.40886893047414002</v>
      </c>
      <c r="IW79" s="3">
        <f ca="1">IFERROR(__xludf.DUMMYFUNCTION("""COMPUTED_VALUE"""),-0.465217757718136)</f>
        <v>-0.465217757718136</v>
      </c>
      <c r="IX79" s="3">
        <f ca="1">IFERROR(__xludf.DUMMYFUNCTION("""COMPUTED_VALUE"""),-0.528061431497792)</f>
        <v>-0.52806143149779206</v>
      </c>
      <c r="IY79" s="3">
        <f ca="1">IFERROR(__xludf.DUMMYFUNCTION("""COMPUTED_VALUE"""),-0.482921634467613)</f>
        <v>-0.48292163446761299</v>
      </c>
      <c r="IZ79" s="3">
        <f ca="1">IFERROR(__xludf.DUMMYFUNCTION("""COMPUTED_VALUE"""),-0.468766038810258)</f>
        <v>-0.46876603881025802</v>
      </c>
      <c r="JA79" s="3">
        <f ca="1">IFERROR(__xludf.DUMMYFUNCTION("""COMPUTED_VALUE"""),-0.463483648632674)</f>
        <v>-0.46348364863267399</v>
      </c>
      <c r="JB79" s="3">
        <f ca="1">IFERROR(__xludf.DUMMYFUNCTION("""COMPUTED_VALUE"""),-0.415966995198715)</f>
        <v>-0.41596699519871499</v>
      </c>
      <c r="JC79" s="3">
        <f ca="1">IFERROR(__xludf.DUMMYFUNCTION("""COMPUTED_VALUE"""),-0.420812374210015)</f>
        <v>-0.42081237421001499</v>
      </c>
      <c r="JD79" s="3">
        <f ca="1">IFERROR(__xludf.DUMMYFUNCTION("""COMPUTED_VALUE"""),-0.406508273067869)</f>
        <v>-0.40650827306786902</v>
      </c>
      <c r="JE79" s="3">
        <f ca="1">IFERROR(__xludf.DUMMYFUNCTION("""COMPUTED_VALUE"""),-0.506015455870685)</f>
        <v>-0.50601545587068497</v>
      </c>
      <c r="JF79" s="3">
        <f ca="1">IFERROR(__xludf.DUMMYFUNCTION("""COMPUTED_VALUE"""),-0.505573217696375)</f>
        <v>-0.50557321769637498</v>
      </c>
      <c r="JG79" s="3">
        <f ca="1">IFERROR(__xludf.DUMMYFUNCTION("""COMPUTED_VALUE"""),-0.455730735867582)</f>
        <v>-0.455730735867582</v>
      </c>
      <c r="JH79" s="3">
        <f ca="1">IFERROR(__xludf.DUMMYFUNCTION("""COMPUTED_VALUE"""),-0.421714235172461)</f>
        <v>-0.42171423517246098</v>
      </c>
      <c r="JI79" s="3">
        <f ca="1">IFERROR(__xludf.DUMMYFUNCTION("""COMPUTED_VALUE"""),-0.492379074539446)</f>
        <v>-0.49237907453944602</v>
      </c>
      <c r="JJ79" s="3">
        <f ca="1">IFERROR(__xludf.DUMMYFUNCTION("""COMPUTED_VALUE"""),-0.43852080625356)</f>
        <v>-0.43852080625355999</v>
      </c>
      <c r="JK79" s="3">
        <f ca="1">IFERROR(__xludf.DUMMYFUNCTION("""COMPUTED_VALUE"""),-0.372358912795843)</f>
        <v>-0.37235891279584299</v>
      </c>
      <c r="JL79" s="3">
        <f ca="1">IFERROR(__xludf.DUMMYFUNCTION("""COMPUTED_VALUE"""),-0.51920360490985)</f>
        <v>-0.51920360490984996</v>
      </c>
      <c r="JM79" s="3">
        <f ca="1">IFERROR(__xludf.DUMMYFUNCTION("""COMPUTED_VALUE"""),-0.499149113605021)</f>
        <v>-0.49914911360502101</v>
      </c>
      <c r="JN79" s="3">
        <f ca="1">IFERROR(__xludf.DUMMYFUNCTION("""COMPUTED_VALUE"""),-0.501219520963999)</f>
        <v>-0.50121952096399902</v>
      </c>
      <c r="JO79" s="3">
        <f ca="1">IFERROR(__xludf.DUMMYFUNCTION("""COMPUTED_VALUE"""),-0.459461511481926)</f>
        <v>-0.45946151148192599</v>
      </c>
      <c r="JP79" s="3">
        <f ca="1">IFERROR(__xludf.DUMMYFUNCTION("""COMPUTED_VALUE"""),-0.479325086574799)</f>
        <v>-0.479325086574799</v>
      </c>
      <c r="JQ79" s="3">
        <f ca="1">IFERROR(__xludf.DUMMYFUNCTION("""COMPUTED_VALUE"""),-0.465526329684363)</f>
        <v>-0.46552632968436303</v>
      </c>
      <c r="JR79" s="3">
        <f ca="1">IFERROR(__xludf.DUMMYFUNCTION("""COMPUTED_VALUE"""),-0.451145631084217)</f>
        <v>-0.45114563108421701</v>
      </c>
      <c r="JS79" s="3">
        <f ca="1">IFERROR(__xludf.DUMMYFUNCTION("""COMPUTED_VALUE"""),-0.54386205050661)</f>
        <v>-0.54386205050660996</v>
      </c>
      <c r="JT79" s="3">
        <f ca="1">IFERROR(__xludf.DUMMYFUNCTION("""COMPUTED_VALUE"""),-0.308893630293246)</f>
        <v>-0.30889363029324601</v>
      </c>
      <c r="JU79" s="3">
        <f ca="1">IFERROR(__xludf.DUMMYFUNCTION("""COMPUTED_VALUE"""),-0.512353532732708)</f>
        <v>-0.51235353273270801</v>
      </c>
      <c r="JV79" s="3">
        <f ca="1">IFERROR(__xludf.DUMMYFUNCTION("""COMPUTED_VALUE"""),-0.557951908049619)</f>
        <v>-0.55795190804961903</v>
      </c>
      <c r="JW79" s="3">
        <f ca="1">IFERROR(__xludf.DUMMYFUNCTION("""COMPUTED_VALUE"""),-0.481212430231165)</f>
        <v>-0.481212430231165</v>
      </c>
      <c r="JX79" s="3">
        <f ca="1">IFERROR(__xludf.DUMMYFUNCTION("""COMPUTED_VALUE"""),-0.524294275626753)</f>
        <v>-0.52429427562675301</v>
      </c>
      <c r="JY79" s="3">
        <f ca="1">IFERROR(__xludf.DUMMYFUNCTION("""COMPUTED_VALUE"""),-0.691227133767437)</f>
        <v>-0.69122713376743705</v>
      </c>
      <c r="JZ79" s="3">
        <f ca="1">IFERROR(__xludf.DUMMYFUNCTION("""COMPUTED_VALUE"""),-0.460912732267352)</f>
        <v>-0.46091273226735202</v>
      </c>
      <c r="KA79" s="3">
        <f ca="1">IFERROR(__xludf.DUMMYFUNCTION("""COMPUTED_VALUE"""),-0.346538840666686)</f>
        <v>-0.346538840666686</v>
      </c>
      <c r="KB79" s="3">
        <f ca="1">IFERROR(__xludf.DUMMYFUNCTION("""COMPUTED_VALUE"""),-0.524285502525795)</f>
        <v>-0.52428550252579498</v>
      </c>
      <c r="KC79" s="3">
        <f ca="1">IFERROR(__xludf.DUMMYFUNCTION("""COMPUTED_VALUE"""),-0.48802897778536)</f>
        <v>-0.48802897778535997</v>
      </c>
      <c r="KD79" s="3">
        <f ca="1">IFERROR(__xludf.DUMMYFUNCTION("""COMPUTED_VALUE"""),-0.463980881400424)</f>
        <v>-0.46398088140042398</v>
      </c>
      <c r="KE79" s="3">
        <f ca="1">IFERROR(__xludf.DUMMYFUNCTION("""COMPUTED_VALUE"""),-0.394620417587001)</f>
        <v>-0.394620417587001</v>
      </c>
      <c r="KF79" s="3">
        <f ca="1">IFERROR(__xludf.DUMMYFUNCTION("""COMPUTED_VALUE"""),-0.396592032898833)</f>
        <v>-0.39659203289883299</v>
      </c>
      <c r="KG79" s="3">
        <f ca="1">IFERROR(__xludf.DUMMYFUNCTION("""COMPUTED_VALUE"""),-0.360556440336468)</f>
        <v>-0.360556440336468</v>
      </c>
      <c r="KH79" s="3">
        <f ca="1">IFERROR(__xludf.DUMMYFUNCTION("""COMPUTED_VALUE"""),-0.264529217970941)</f>
        <v>-0.26452921797094098</v>
      </c>
      <c r="KI79" s="3">
        <f ca="1">IFERROR(__xludf.DUMMYFUNCTION("""COMPUTED_VALUE"""),-0.441452954095337)</f>
        <v>-0.44145295409533702</v>
      </c>
      <c r="KJ79" s="3">
        <f ca="1">IFERROR(__xludf.DUMMYFUNCTION("""COMPUTED_VALUE"""),-0.396971488215434)</f>
        <v>-0.39697148821543399</v>
      </c>
      <c r="KK79" s="3">
        <f ca="1">IFERROR(__xludf.DUMMYFUNCTION("""COMPUTED_VALUE"""),-0.436816433934094)</f>
        <v>-0.43681643393409397</v>
      </c>
      <c r="KL79" s="3">
        <f ca="1">IFERROR(__xludf.DUMMYFUNCTION("""COMPUTED_VALUE"""),-0.422627816422269)</f>
        <v>-0.42262781642226899</v>
      </c>
      <c r="KM79" s="3">
        <f ca="1">IFERROR(__xludf.DUMMYFUNCTION("""COMPUTED_VALUE"""),-0.424302230900234)</f>
        <v>-0.424302230900234</v>
      </c>
      <c r="KN79" s="3">
        <f ca="1">IFERROR(__xludf.DUMMYFUNCTION("""COMPUTED_VALUE"""),-0.395423033072372)</f>
        <v>-0.39542303307237198</v>
      </c>
      <c r="KO79" s="3">
        <f ca="1">IFERROR(__xludf.DUMMYFUNCTION("""COMPUTED_VALUE"""),-0.371118422422271)</f>
        <v>-0.371118422422271</v>
      </c>
      <c r="KP79" s="3">
        <f ca="1">IFERROR(__xludf.DUMMYFUNCTION("""COMPUTED_VALUE"""),-0.469209220482628)</f>
        <v>-0.46920922048262798</v>
      </c>
      <c r="KQ79" s="3">
        <f ca="1">IFERROR(__xludf.DUMMYFUNCTION("""COMPUTED_VALUE"""),-0.412699910722604)</f>
        <v>-0.41269991072260398</v>
      </c>
      <c r="KR79" s="3">
        <f ca="1">IFERROR(__xludf.DUMMYFUNCTION("""COMPUTED_VALUE"""),-0.458656991495751)</f>
        <v>-0.45865699149575101</v>
      </c>
      <c r="KS79" s="3">
        <f ca="1">IFERROR(__xludf.DUMMYFUNCTION("""COMPUTED_VALUE"""),-0.401856224551837)</f>
        <v>-0.401856224551837</v>
      </c>
      <c r="KT79" s="3">
        <f ca="1">IFERROR(__xludf.DUMMYFUNCTION("""COMPUTED_VALUE"""),-0.406289083544431)</f>
        <v>-0.406289083544431</v>
      </c>
      <c r="KU79" s="3">
        <f ca="1">IFERROR(__xludf.DUMMYFUNCTION("""COMPUTED_VALUE"""),-0.3858999722012)</f>
        <v>-0.38589997220119998</v>
      </c>
      <c r="KV79" s="3">
        <f ca="1">IFERROR(__xludf.DUMMYFUNCTION("""COMPUTED_VALUE"""),-0.469175238086414)</f>
        <v>-0.46917523808641398</v>
      </c>
      <c r="KW79" s="3">
        <f ca="1">IFERROR(__xludf.DUMMYFUNCTION("""COMPUTED_VALUE"""),-0.426151165665263)</f>
        <v>-0.42615116566526301</v>
      </c>
      <c r="KX79" s="3">
        <f ca="1">IFERROR(__xludf.DUMMYFUNCTION("""COMPUTED_VALUE"""),-0.314125074868405)</f>
        <v>-0.31412507486840502</v>
      </c>
      <c r="KY79" s="3">
        <f ca="1">IFERROR(__xludf.DUMMYFUNCTION("""COMPUTED_VALUE"""),-0.451566815387349)</f>
        <v>-0.451566815387349</v>
      </c>
      <c r="KZ79" s="3">
        <f ca="1">IFERROR(__xludf.DUMMYFUNCTION("""COMPUTED_VALUE"""),-0.565528858053938)</f>
        <v>-0.56552885805393804</v>
      </c>
      <c r="LA79" s="3">
        <f ca="1">IFERROR(__xludf.DUMMYFUNCTION("""COMPUTED_VALUE"""),-0.647130613039598)</f>
        <v>-0.64713061303959796</v>
      </c>
      <c r="LB79" s="3">
        <f ca="1">IFERROR(__xludf.DUMMYFUNCTION("""COMPUTED_VALUE"""),-0.595943022204737)</f>
        <v>-0.59594302220473705</v>
      </c>
      <c r="LC79" s="3">
        <f ca="1">IFERROR(__xludf.DUMMYFUNCTION("""COMPUTED_VALUE"""),-0.600011136435569)</f>
        <v>-0.60001113643556903</v>
      </c>
      <c r="LD79" s="3">
        <f ca="1">IFERROR(__xludf.DUMMYFUNCTION("""COMPUTED_VALUE"""),-0.521342281938235)</f>
        <v>-0.52134228193823495</v>
      </c>
      <c r="LE79" s="3">
        <f ca="1">IFERROR(__xludf.DUMMYFUNCTION("""COMPUTED_VALUE"""),-0.528145588497325)</f>
        <v>-0.52814558849732496</v>
      </c>
      <c r="LF79" s="3">
        <f ca="1">IFERROR(__xludf.DUMMYFUNCTION("""COMPUTED_VALUE"""),-0.458224867333161)</f>
        <v>-0.45822486733316098</v>
      </c>
      <c r="LG79" s="3">
        <f ca="1">IFERROR(__xludf.DUMMYFUNCTION("""COMPUTED_VALUE"""),-0.623191822950364)</f>
        <v>-0.62319182295036402</v>
      </c>
      <c r="LH79" s="3">
        <f ca="1">IFERROR(__xludf.DUMMYFUNCTION("""COMPUTED_VALUE"""),-0.588957739033602)</f>
        <v>-0.58895773903360205</v>
      </c>
      <c r="LI79" s="3">
        <f ca="1">IFERROR(__xludf.DUMMYFUNCTION("""COMPUTED_VALUE"""),-0.638851239453787)</f>
        <v>-0.63885123945378697</v>
      </c>
      <c r="LJ79" s="3">
        <f ca="1">IFERROR(__xludf.DUMMYFUNCTION("""COMPUTED_VALUE"""),-0.625320582796971)</f>
        <v>-0.625320582796971</v>
      </c>
      <c r="LK79" s="3">
        <f ca="1">IFERROR(__xludf.DUMMYFUNCTION("""COMPUTED_VALUE"""),-0.605209635564961)</f>
        <v>-0.60520963556496099</v>
      </c>
      <c r="LL79" s="3">
        <f ca="1">IFERROR(__xludf.DUMMYFUNCTION("""COMPUTED_VALUE"""),-0.559611213887974)</f>
        <v>-0.55961121388797397</v>
      </c>
      <c r="LM79" s="3">
        <f ca="1">IFERROR(__xludf.DUMMYFUNCTION("""COMPUTED_VALUE"""),-0.80743968538509)</f>
        <v>-0.80743968538509003</v>
      </c>
      <c r="LN79" s="3">
        <f ca="1">IFERROR(__xludf.DUMMYFUNCTION("""COMPUTED_VALUE"""),-0.646899676637741)</f>
        <v>-0.64689967663774095</v>
      </c>
      <c r="LO79" s="3">
        <f ca="1">IFERROR(__xludf.DUMMYFUNCTION("""COMPUTED_VALUE"""),-0.683809457468853)</f>
        <v>-0.68380945746885302</v>
      </c>
      <c r="LP79" s="3">
        <f ca="1">IFERROR(__xludf.DUMMYFUNCTION("""COMPUTED_VALUE"""),-0.619377309290924)</f>
        <v>-0.61937730929092405</v>
      </c>
      <c r="LQ79" s="3">
        <f ca="1">IFERROR(__xludf.DUMMYFUNCTION("""COMPUTED_VALUE"""),-0.661081352623102)</f>
        <v>-0.66108135262310197</v>
      </c>
      <c r="LR79" s="3">
        <f ca="1">IFERROR(__xludf.DUMMYFUNCTION("""COMPUTED_VALUE"""),-0.611446327438307)</f>
        <v>-0.61144632743830696</v>
      </c>
      <c r="LS79" s="3">
        <f ca="1">IFERROR(__xludf.DUMMYFUNCTION("""COMPUTED_VALUE"""),-0.582127240082057)</f>
        <v>-0.58212724008205696</v>
      </c>
      <c r="LT79" s="3">
        <f ca="1">IFERROR(__xludf.DUMMYFUNCTION("""COMPUTED_VALUE"""),-0.522499144115374)</f>
        <v>-0.52249914411537401</v>
      </c>
      <c r="LU79" s="3">
        <f ca="1">IFERROR(__xludf.DUMMYFUNCTION("""COMPUTED_VALUE"""),-0.625775317370756)</f>
        <v>-0.62577531737075598</v>
      </c>
      <c r="LV79" s="3">
        <f ca="1">IFERROR(__xludf.DUMMYFUNCTION("""COMPUTED_VALUE"""),-0.673979401819013)</f>
        <v>-0.67397940181901295</v>
      </c>
      <c r="LW79" s="3">
        <f ca="1">IFERROR(__xludf.DUMMYFUNCTION("""COMPUTED_VALUE"""),-0.61783349466347)</f>
        <v>-0.61783349466347004</v>
      </c>
      <c r="LX79" s="3">
        <f ca="1">IFERROR(__xludf.DUMMYFUNCTION("""COMPUTED_VALUE"""),-0.628197331438619)</f>
        <v>-0.628197331438619</v>
      </c>
      <c r="LY79" s="3">
        <f ca="1">IFERROR(__xludf.DUMMYFUNCTION("""COMPUTED_VALUE"""),-0.643426729664062)</f>
        <v>-0.643426729664062</v>
      </c>
      <c r="LZ79" s="3">
        <f ca="1">IFERROR(__xludf.DUMMYFUNCTION("""COMPUTED_VALUE"""),-0.635974809516361)</f>
        <v>-0.63597480951636098</v>
      </c>
      <c r="MA79" s="3">
        <f ca="1">IFERROR(__xludf.DUMMYFUNCTION("""COMPUTED_VALUE"""),-0.671778812473683)</f>
        <v>-0.67177881247368298</v>
      </c>
      <c r="MB79" s="3">
        <f ca="1">IFERROR(__xludf.DUMMYFUNCTION("""COMPUTED_VALUE"""),-0.544974731150144)</f>
        <v>-0.54497473115014405</v>
      </c>
      <c r="MC79" s="3">
        <f ca="1">IFERROR(__xludf.DUMMYFUNCTION("""COMPUTED_VALUE"""),-0.653111680309151)</f>
        <v>-0.65311168030915101</v>
      </c>
      <c r="MD79" s="3">
        <f ca="1">IFERROR(__xludf.DUMMYFUNCTION("""COMPUTED_VALUE"""),-0.695187540145635)</f>
        <v>-0.695187540145635</v>
      </c>
      <c r="ME79" s="3">
        <f ca="1">IFERROR(__xludf.DUMMYFUNCTION("""COMPUTED_VALUE"""),-0.633340873665329)</f>
        <v>-0.63334087366532898</v>
      </c>
      <c r="MF79" s="3">
        <f ca="1">IFERROR(__xludf.DUMMYFUNCTION("""COMPUTED_VALUE"""),-0.630497797601436)</f>
        <v>-0.63049779760143598</v>
      </c>
      <c r="MG79" s="3">
        <f ca="1">IFERROR(__xludf.DUMMYFUNCTION("""COMPUTED_VALUE"""),-0.643891335340212)</f>
        <v>-0.64389133534021203</v>
      </c>
      <c r="MH79" s="3">
        <f ca="1">IFERROR(__xludf.DUMMYFUNCTION("""COMPUTED_VALUE"""),-0.629615792206157)</f>
        <v>-0.62961579220615704</v>
      </c>
      <c r="MI79" s="3">
        <f ca="1">IFERROR(__xludf.DUMMYFUNCTION("""COMPUTED_VALUE"""),-0.682530560911401)</f>
        <v>-0.68253056091140096</v>
      </c>
      <c r="MJ79" s="3">
        <f ca="1">IFERROR(__xludf.DUMMYFUNCTION("""COMPUTED_VALUE"""),-0.644318286909496)</f>
        <v>-0.644318286909496</v>
      </c>
      <c r="MK79" s="3">
        <f ca="1">IFERROR(__xludf.DUMMYFUNCTION("""COMPUTED_VALUE"""),-0.633155040534135)</f>
        <v>-0.63315504053413496</v>
      </c>
      <c r="ML79" s="3">
        <f ca="1">IFERROR(__xludf.DUMMYFUNCTION("""COMPUTED_VALUE"""),-0.707914092866021)</f>
        <v>-0.70791409286602103</v>
      </c>
      <c r="MM79" s="3">
        <f ca="1">IFERROR(__xludf.DUMMYFUNCTION("""COMPUTED_VALUE"""),-0.655712246551759)</f>
        <v>-0.65571224655175897</v>
      </c>
      <c r="MN79" s="3">
        <f ca="1">IFERROR(__xludf.DUMMYFUNCTION("""COMPUTED_VALUE"""),-0.695846685424326)</f>
        <v>-0.69584668542432604</v>
      </c>
      <c r="MO79" s="3">
        <f ca="1">IFERROR(__xludf.DUMMYFUNCTION("""COMPUTED_VALUE"""),-0.746123935454989)</f>
        <v>-0.74612393545498901</v>
      </c>
      <c r="MP79" s="3">
        <f ca="1">IFERROR(__xludf.DUMMYFUNCTION("""COMPUTED_VALUE"""),-0.749587667766419)</f>
        <v>-0.74958766776641905</v>
      </c>
      <c r="MQ79" s="3">
        <f ca="1">IFERROR(__xludf.DUMMYFUNCTION("""COMPUTED_VALUE"""),-0.633836798332326)</f>
        <v>-0.63383679833232598</v>
      </c>
      <c r="MR79" s="3">
        <f ca="1">IFERROR(__xludf.DUMMYFUNCTION("""COMPUTED_VALUE"""),-0.673293689071753)</f>
        <v>-0.67329368907175302</v>
      </c>
      <c r="MS79" s="3">
        <f ca="1">IFERROR(__xludf.DUMMYFUNCTION("""COMPUTED_VALUE"""),-0.720701329697726)</f>
        <v>-0.72070132969772605</v>
      </c>
      <c r="MT79" s="3">
        <f ca="1">IFERROR(__xludf.DUMMYFUNCTION("""COMPUTED_VALUE"""),-0.728931670493175)</f>
        <v>-0.72893167049317498</v>
      </c>
      <c r="MU79" s="3">
        <f ca="1">IFERROR(__xludf.DUMMYFUNCTION("""COMPUTED_VALUE"""),-0.749058331123631)</f>
        <v>-0.74905833112363096</v>
      </c>
      <c r="MV79" s="3">
        <f ca="1">IFERROR(__xludf.DUMMYFUNCTION("""COMPUTED_VALUE"""),-0.74672378381232)</f>
        <v>-0.74672378381231996</v>
      </c>
      <c r="MW79" s="3">
        <f ca="1">IFERROR(__xludf.DUMMYFUNCTION("""COMPUTED_VALUE"""),-0.768160631165663)</f>
        <v>-0.76816063116566302</v>
      </c>
      <c r="MX79" s="3">
        <f ca="1">IFERROR(__xludf.DUMMYFUNCTION("""COMPUTED_VALUE"""),-0.737537180064585)</f>
        <v>-0.73753718006458502</v>
      </c>
      <c r="MY79" s="3">
        <f ca="1">IFERROR(__xludf.DUMMYFUNCTION("""COMPUTED_VALUE"""),-0.692978475839826)</f>
        <v>-0.69297847583982597</v>
      </c>
      <c r="MZ79" s="3">
        <f ca="1">IFERROR(__xludf.DUMMYFUNCTION("""COMPUTED_VALUE"""),-0.65147657646631)</f>
        <v>-0.65147657646630996</v>
      </c>
      <c r="NA79" s="3">
        <f ca="1">IFERROR(__xludf.DUMMYFUNCTION("""COMPUTED_VALUE"""),-0.741198864005157)</f>
        <v>-0.741198864005157</v>
      </c>
      <c r="NB79" s="3">
        <f ca="1">IFERROR(__xludf.DUMMYFUNCTION("""COMPUTED_VALUE"""),-0.738533685457315)</f>
        <v>-0.73853368545731501</v>
      </c>
      <c r="NC79" s="3">
        <f ca="1">IFERROR(__xludf.DUMMYFUNCTION("""COMPUTED_VALUE"""),-0.815635547285056)</f>
        <v>-0.81563554728505605</v>
      </c>
      <c r="ND79" s="3">
        <f ca="1">IFERROR(__xludf.DUMMYFUNCTION("""COMPUTED_VALUE"""),-0.774193805684676)</f>
        <v>-0.774193805684676</v>
      </c>
      <c r="NE79" s="3">
        <f ca="1">IFERROR(__xludf.DUMMYFUNCTION("""COMPUTED_VALUE"""),-0.683511694658874)</f>
        <v>-0.68351169465887396</v>
      </c>
      <c r="NF79" s="3">
        <f ca="1">IFERROR(__xludf.DUMMYFUNCTION("""COMPUTED_VALUE"""),-0.648373319470708)</f>
        <v>-0.64837331947070798</v>
      </c>
      <c r="NG79" s="3">
        <f ca="1">IFERROR(__xludf.DUMMYFUNCTION("""COMPUTED_VALUE"""),-0.682490919457716)</f>
        <v>-0.68249091945771601</v>
      </c>
      <c r="NH79" s="3">
        <f ca="1">IFERROR(__xludf.DUMMYFUNCTION("""COMPUTED_VALUE"""),-0.68816055208817)</f>
        <v>-0.68816055208816995</v>
      </c>
      <c r="NI79" s="3">
        <f ca="1">IFERROR(__xludf.DUMMYFUNCTION("""COMPUTED_VALUE"""),-0.633212039197589)</f>
        <v>-0.63321203919758895</v>
      </c>
      <c r="NJ79" s="3">
        <f ca="1">IFERROR(__xludf.DUMMYFUNCTION("""COMPUTED_VALUE"""),-0.632729458638166)</f>
        <v>-0.63272945863816599</v>
      </c>
      <c r="NK79" s="3">
        <f ca="1">IFERROR(__xludf.DUMMYFUNCTION("""COMPUTED_VALUE"""),-0.682902757190379)</f>
        <v>-0.68290275719037896</v>
      </c>
      <c r="NL79" s="3">
        <f ca="1">IFERROR(__xludf.DUMMYFUNCTION("""COMPUTED_VALUE"""),-0.715610473113392)</f>
        <v>-0.71561047311339199</v>
      </c>
      <c r="NM79" s="3">
        <f ca="1">IFERROR(__xludf.DUMMYFUNCTION("""COMPUTED_VALUE"""),-0.728413139679786)</f>
        <v>-0.72841313967978605</v>
      </c>
      <c r="NN79" s="3">
        <f ca="1">IFERROR(__xludf.DUMMYFUNCTION("""COMPUTED_VALUE"""),-0.671863203551549)</f>
        <v>-0.67186320355154905</v>
      </c>
      <c r="NO79" s="3">
        <f ca="1">IFERROR(__xludf.DUMMYFUNCTION("""COMPUTED_VALUE"""),-0.66039914677539)</f>
        <v>-0.66039914677539002</v>
      </c>
      <c r="NP79" s="3">
        <f ca="1">IFERROR(__xludf.DUMMYFUNCTION("""COMPUTED_VALUE"""),-0.650553217763534)</f>
        <v>-0.65055321776353403</v>
      </c>
      <c r="NQ79" s="3">
        <f ca="1">IFERROR(__xludf.DUMMYFUNCTION("""COMPUTED_VALUE"""),-0.683624220578493)</f>
        <v>-0.68362422057849304</v>
      </c>
      <c r="NR79" s="3">
        <f ca="1">IFERROR(__xludf.DUMMYFUNCTION("""COMPUTED_VALUE"""),-0.687374839772327)</f>
        <v>-0.68737483977232705</v>
      </c>
      <c r="NS79" s="3">
        <f ca="1">IFERROR(__xludf.DUMMYFUNCTION("""COMPUTED_VALUE"""),-0.679961231239786)</f>
        <v>-0.67996123123978602</v>
      </c>
      <c r="NT79" s="3">
        <f ca="1">IFERROR(__xludf.DUMMYFUNCTION("""COMPUTED_VALUE"""),-0.586671973701872)</f>
        <v>-0.58667197370187196</v>
      </c>
      <c r="NU79" s="3">
        <f ca="1">IFERROR(__xludf.DUMMYFUNCTION("""COMPUTED_VALUE"""),-0.624186711981547)</f>
        <v>-0.62418671198154696</v>
      </c>
      <c r="NV79" s="3">
        <f ca="1">IFERROR(__xludf.DUMMYFUNCTION("""COMPUTED_VALUE"""),-0.653344739338761)</f>
        <v>-0.65334473933876103</v>
      </c>
      <c r="NW79" s="3">
        <f ca="1">IFERROR(__xludf.DUMMYFUNCTION("""COMPUTED_VALUE"""),-0.552523242634037)</f>
        <v>-0.55252324263403696</v>
      </c>
      <c r="NX79" s="3">
        <f ca="1">IFERROR(__xludf.DUMMYFUNCTION("""COMPUTED_VALUE"""),-0.656605377115045)</f>
        <v>-0.65660537711504496</v>
      </c>
      <c r="NY79" s="3">
        <f ca="1">IFERROR(__xludf.DUMMYFUNCTION("""COMPUTED_VALUE"""),-0.613245673398832)</f>
        <v>-0.61324567339883196</v>
      </c>
      <c r="NZ79" s="3">
        <f ca="1">IFERROR(__xludf.DUMMYFUNCTION("""COMPUTED_VALUE"""),-0.606870731249549)</f>
        <v>-0.60687073124954904</v>
      </c>
      <c r="OA79" s="3">
        <f ca="1">IFERROR(__xludf.DUMMYFUNCTION("""COMPUTED_VALUE"""),-0.505051416470134)</f>
        <v>-0.50505141647013396</v>
      </c>
      <c r="OB79" s="3">
        <f ca="1">IFERROR(__xludf.DUMMYFUNCTION("""COMPUTED_VALUE"""),-0.614847402847542)</f>
        <v>-0.61484740284754202</v>
      </c>
      <c r="OC79" s="3">
        <f ca="1">IFERROR(__xludf.DUMMYFUNCTION("""COMPUTED_VALUE"""),-0.458496980204641)</f>
        <v>-0.45849698020464102</v>
      </c>
      <c r="OD79" s="3">
        <f ca="1">IFERROR(__xludf.DUMMYFUNCTION("""COMPUTED_VALUE"""),-0.423934241968396)</f>
        <v>-0.42393424196839602</v>
      </c>
      <c r="OE79" s="3">
        <f ca="1">IFERROR(__xludf.DUMMYFUNCTION("""COMPUTED_VALUE"""),-0.328281660231791)</f>
        <v>-0.32828166023179101</v>
      </c>
      <c r="OF79" s="3">
        <f ca="1">IFERROR(__xludf.DUMMYFUNCTION("""COMPUTED_VALUE"""),-0.286282807760336)</f>
        <v>-0.28628280776033599</v>
      </c>
      <c r="OG79" s="3">
        <f ca="1">IFERROR(__xludf.DUMMYFUNCTION("""COMPUTED_VALUE"""),-0.342278480705829)</f>
        <v>-0.342278480705829</v>
      </c>
      <c r="OH79" s="3">
        <f ca="1">IFERROR(__xludf.DUMMYFUNCTION("""COMPUTED_VALUE"""),-0.16288275958009)</f>
        <v>-0.16288275958008999</v>
      </c>
      <c r="OI79" s="3">
        <f ca="1">IFERROR(__xludf.DUMMYFUNCTION("""COMPUTED_VALUE"""),-0.0890586734314557)</f>
        <v>-8.9058673431455695E-2</v>
      </c>
      <c r="OJ79" s="3">
        <f ca="1">IFERROR(__xludf.DUMMYFUNCTION("""COMPUTED_VALUE"""),-0.023715066764394)</f>
        <v>-2.3715066764393999E-2</v>
      </c>
      <c r="OK79" s="3">
        <f ca="1">IFERROR(__xludf.DUMMYFUNCTION("""COMPUTED_VALUE"""),0.0598452437363177)</f>
        <v>5.9845243736317701E-2</v>
      </c>
      <c r="OL79" s="3">
        <f ca="1">IFERROR(__xludf.DUMMYFUNCTION("""COMPUTED_VALUE"""),0.0955748625319929)</f>
        <v>9.5574862531992905E-2</v>
      </c>
      <c r="OM79" s="3">
        <f ca="1">IFERROR(__xludf.DUMMYFUNCTION("""COMPUTED_VALUE"""),0.0536357349501539)</f>
        <v>5.3635734950153897E-2</v>
      </c>
      <c r="ON79" s="3">
        <f ca="1">IFERROR(__xludf.DUMMYFUNCTION("""COMPUTED_VALUE"""),-0.103747396545395)</f>
        <v>-0.103747396545395</v>
      </c>
      <c r="OO79" s="3">
        <f ca="1">IFERROR(__xludf.DUMMYFUNCTION("""COMPUTED_VALUE"""),-0.0432898304622308)</f>
        <v>-4.3289830462230797E-2</v>
      </c>
      <c r="OP79" s="3">
        <f ca="1">IFERROR(__xludf.DUMMYFUNCTION("""COMPUTED_VALUE"""),0.103765013935477)</f>
        <v>0.103765013935477</v>
      </c>
      <c r="OQ79" s="3">
        <f ca="1">IFERROR(__xludf.DUMMYFUNCTION("""COMPUTED_VALUE"""),0.028149243309461)</f>
        <v>2.8149243309460999E-2</v>
      </c>
      <c r="OR79" s="3">
        <f ca="1">IFERROR(__xludf.DUMMYFUNCTION("""COMPUTED_VALUE"""),0.0591983967953322)</f>
        <v>5.9198396795332203E-2</v>
      </c>
      <c r="OS79" s="3">
        <f ca="1">IFERROR(__xludf.DUMMYFUNCTION("""COMPUTED_VALUE"""),0.143586939594702)</f>
        <v>0.14358693959470201</v>
      </c>
      <c r="OT79" s="3">
        <f ca="1">IFERROR(__xludf.DUMMYFUNCTION("""COMPUTED_VALUE"""),0.062191168924178)</f>
        <v>6.2191168924178003E-2</v>
      </c>
      <c r="OU79" s="3">
        <f ca="1">IFERROR(__xludf.DUMMYFUNCTION("""COMPUTED_VALUE"""),0.0379370974561081)</f>
        <v>3.7937097456108099E-2</v>
      </c>
      <c r="OV79" s="3">
        <f ca="1">IFERROR(__xludf.DUMMYFUNCTION("""COMPUTED_VALUE"""),0.0545085662685895)</f>
        <v>5.4508566268589499E-2</v>
      </c>
      <c r="OW79" s="3">
        <f ca="1">IFERROR(__xludf.DUMMYFUNCTION("""COMPUTED_VALUE"""),-0.0199444508576688)</f>
        <v>-1.99444508576688E-2</v>
      </c>
      <c r="OX79" s="3">
        <f ca="1">IFERROR(__xludf.DUMMYFUNCTION("""COMPUTED_VALUE"""),-0.00121093530231131)</f>
        <v>-1.2109353023113101E-3</v>
      </c>
      <c r="OY79" s="3">
        <f ca="1">IFERROR(__xludf.DUMMYFUNCTION("""COMPUTED_VALUE"""),-0.0662377765151285)</f>
        <v>-6.6237776515128494E-2</v>
      </c>
      <c r="OZ79" s="3">
        <f ca="1">IFERROR(__xludf.DUMMYFUNCTION("""COMPUTED_VALUE"""),0.180782629298362)</f>
        <v>0.180782629298362</v>
      </c>
      <c r="PA79" s="3">
        <f ca="1">IFERROR(__xludf.DUMMYFUNCTION("""COMPUTED_VALUE"""),0.0893607756038434)</f>
        <v>8.9360775603843395E-2</v>
      </c>
      <c r="PB79" s="3">
        <f ca="1">IFERROR(__xludf.DUMMYFUNCTION("""COMPUTED_VALUE"""),-0.0738545165841387)</f>
        <v>-7.3854516584138705E-2</v>
      </c>
      <c r="PC79" s="3">
        <f ca="1">IFERROR(__xludf.DUMMYFUNCTION("""COMPUTED_VALUE"""),-0.098198767486993)</f>
        <v>-9.8198767486992994E-2</v>
      </c>
      <c r="PD79" s="3">
        <f ca="1">IFERROR(__xludf.DUMMYFUNCTION("""COMPUTED_VALUE"""),-0.103449682084839)</f>
        <v>-0.103449682084839</v>
      </c>
      <c r="PE79" s="3">
        <f ca="1">IFERROR(__xludf.DUMMYFUNCTION("""COMPUTED_VALUE"""),0.0509090542848977)</f>
        <v>5.0909054284897698E-2</v>
      </c>
      <c r="PF79" s="3">
        <f ca="1">IFERROR(__xludf.DUMMYFUNCTION("""COMPUTED_VALUE"""),0.233962335977839)</f>
        <v>0.233962335977839</v>
      </c>
      <c r="PG79" s="3">
        <f ca="1">IFERROR(__xludf.DUMMYFUNCTION("""COMPUTED_VALUE"""),0.0815853867170868)</f>
        <v>8.1585386717086802E-2</v>
      </c>
      <c r="PH79" s="3">
        <f ca="1">IFERROR(__xludf.DUMMYFUNCTION("""COMPUTED_VALUE"""),0.0703087024828525)</f>
        <v>7.0308702482852495E-2</v>
      </c>
      <c r="PI79" s="3">
        <f ca="1">IFERROR(__xludf.DUMMYFUNCTION("""COMPUTED_VALUE"""),-0.115335361988959)</f>
        <v>-0.115335361988959</v>
      </c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</row>
    <row r="80" spans="1:477" ht="13">
      <c r="A80" s="1" t="str">
        <f ca="1">IFERROR(__xludf.DUMMYFUNCTION("""COMPUTED_VALUE"""),"NY Waterway")</f>
        <v>NY Waterway</v>
      </c>
      <c r="B80" s="1" t="str">
        <f ca="1">IFERROR(__xludf.DUMMYFUNCTION("""COMPUTED_VALUE"""),"NYC")</f>
        <v>NYC</v>
      </c>
      <c r="C80" s="1" t="str">
        <f ca="1">IFERROR(__xludf.DUMMYFUNCTION("""COMPUTED_VALUE"""),"United States")</f>
        <v>United States</v>
      </c>
      <c r="D80" s="1" t="str">
        <f ca="1">IFERROR(__xludf.DUMMYFUNCTION("""COMPUTED_VALUE"""),"New York")</f>
        <v>New York</v>
      </c>
      <c r="E80" s="3">
        <f ca="1">IFERROR(__xludf.DUMMYFUNCTION("""COMPUTED_VALUE"""),-0.795345469957557)</f>
        <v>-0.79534546995755695</v>
      </c>
      <c r="F80" s="3">
        <f ca="1">IFERROR(__xludf.DUMMYFUNCTION("""COMPUTED_VALUE"""),-0.760601957904636)</f>
        <v>-0.76060195790463603</v>
      </c>
      <c r="G80" s="3">
        <f ca="1">IFERROR(__xludf.DUMMYFUNCTION("""COMPUTED_VALUE"""),-0.775667070348199)</f>
        <v>-0.77566707034819904</v>
      </c>
      <c r="H80" s="3">
        <f ca="1">IFERROR(__xludf.DUMMYFUNCTION("""COMPUTED_VALUE"""),-0.784917877312739)</f>
        <v>-0.78491787731273899</v>
      </c>
      <c r="I80" s="3">
        <f ca="1">IFERROR(__xludf.DUMMYFUNCTION("""COMPUTED_VALUE"""),-0.771577196890265)</f>
        <v>-0.77157719689026505</v>
      </c>
      <c r="J80" s="3">
        <f ca="1">IFERROR(__xludf.DUMMYFUNCTION("""COMPUTED_VALUE"""),-0.810765948437882)</f>
        <v>-0.81076594843788197</v>
      </c>
      <c r="K80" s="3">
        <f ca="1">IFERROR(__xludf.DUMMYFUNCTION("""COMPUTED_VALUE"""),-0.875196437731472)</f>
        <v>-0.87519643773147204</v>
      </c>
      <c r="L80" s="3">
        <f ca="1">IFERROR(__xludf.DUMMYFUNCTION("""COMPUTED_VALUE"""),-0.837066169236849)</f>
        <v>-0.83706616923684896</v>
      </c>
      <c r="M80" s="3">
        <f ca="1">IFERROR(__xludf.DUMMYFUNCTION("""COMPUTED_VALUE"""),-0.766970271671793)</f>
        <v>-0.76697027167179299</v>
      </c>
      <c r="N80" s="3">
        <f ca="1">IFERROR(__xludf.DUMMYFUNCTION("""COMPUTED_VALUE"""),-0.777991420025488)</f>
        <v>-0.77799142002548805</v>
      </c>
      <c r="O80" s="3">
        <f ca="1">IFERROR(__xludf.DUMMYFUNCTION("""COMPUTED_VALUE"""),-0.796530069461788)</f>
        <v>-0.79653006946178795</v>
      </c>
      <c r="P80" s="3">
        <f ca="1">IFERROR(__xludf.DUMMYFUNCTION("""COMPUTED_VALUE"""),-0.786007006872954)</f>
        <v>-0.78600700687295399</v>
      </c>
      <c r="Q80" s="3">
        <f ca="1">IFERROR(__xludf.DUMMYFUNCTION("""COMPUTED_VALUE"""),-0.836317501861705)</f>
        <v>-0.83631750186170495</v>
      </c>
      <c r="R80" s="3">
        <f ca="1">IFERROR(__xludf.DUMMYFUNCTION("""COMPUTED_VALUE"""),-0.884691242650677)</f>
        <v>-0.884691242650677</v>
      </c>
      <c r="S80" s="3">
        <f ca="1">IFERROR(__xludf.DUMMYFUNCTION("""COMPUTED_VALUE"""),-0.778789761285074)</f>
        <v>-0.77878976128507404</v>
      </c>
      <c r="T80" s="3">
        <f ca="1">IFERROR(__xludf.DUMMYFUNCTION("""COMPUTED_VALUE"""),-0.728558124843825)</f>
        <v>-0.72855812484382498</v>
      </c>
      <c r="U80" s="3">
        <f ca="1">IFERROR(__xludf.DUMMYFUNCTION("""COMPUTED_VALUE"""),-0.735534791734571)</f>
        <v>-0.73553479173457104</v>
      </c>
      <c r="V80" s="3">
        <f ca="1">IFERROR(__xludf.DUMMYFUNCTION("""COMPUTED_VALUE"""),-0.764984303408547)</f>
        <v>-0.76498430340854695</v>
      </c>
      <c r="W80" s="3">
        <f ca="1">IFERROR(__xludf.DUMMYFUNCTION("""COMPUTED_VALUE"""),-0.732750861034265)</f>
        <v>-0.73275086103426501</v>
      </c>
      <c r="X80" s="3">
        <f ca="1">IFERROR(__xludf.DUMMYFUNCTION("""COMPUTED_VALUE"""),-0.763805158437508)</f>
        <v>-0.76380515843750796</v>
      </c>
      <c r="Y80" s="3">
        <f ca="1">IFERROR(__xludf.DUMMYFUNCTION("""COMPUTED_VALUE"""),-0.860298472038506)</f>
        <v>-0.86029847203850596</v>
      </c>
      <c r="Z80" s="3">
        <f ca="1">IFERROR(__xludf.DUMMYFUNCTION("""COMPUTED_VALUE"""),-0.779843156741355)</f>
        <v>-0.77984315674135496</v>
      </c>
      <c r="AA80" s="3">
        <f ca="1">IFERROR(__xludf.DUMMYFUNCTION("""COMPUTED_VALUE"""),-0.732442900602783)</f>
        <v>-0.73244290060278305</v>
      </c>
      <c r="AB80" s="3">
        <f ca="1">IFERROR(__xludf.DUMMYFUNCTION("""COMPUTED_VALUE"""),-0.763971467711679)</f>
        <v>-0.76397146771167901</v>
      </c>
      <c r="AC80" s="3">
        <f ca="1">IFERROR(__xludf.DUMMYFUNCTION("""COMPUTED_VALUE"""),-0.743728603001542)</f>
        <v>-0.74372860300154198</v>
      </c>
      <c r="AD80" s="3">
        <f ca="1">IFERROR(__xludf.DUMMYFUNCTION("""COMPUTED_VALUE"""),-0.76061406183215)</f>
        <v>-0.76061406183214997</v>
      </c>
      <c r="AE80" s="3">
        <f ca="1">IFERROR(__xludf.DUMMYFUNCTION("""COMPUTED_VALUE"""),-0.792737450588062)</f>
        <v>-0.792737450588062</v>
      </c>
      <c r="AF80" s="3">
        <f ca="1">IFERROR(__xludf.DUMMYFUNCTION("""COMPUTED_VALUE"""),-0.866232284025039)</f>
        <v>-0.86623228402503905</v>
      </c>
      <c r="AG80" s="3">
        <f ca="1">IFERROR(__xludf.DUMMYFUNCTION("""COMPUTED_VALUE"""),-0.786430602893996)</f>
        <v>-0.78643060289399602</v>
      </c>
      <c r="AH80" s="3">
        <f ca="1">IFERROR(__xludf.DUMMYFUNCTION("""COMPUTED_VALUE"""),-0.72414765017399)</f>
        <v>-0.72414765017398997</v>
      </c>
      <c r="AI80" s="3">
        <f ca="1">IFERROR(__xludf.DUMMYFUNCTION("""COMPUTED_VALUE"""),-0.734213832093823)</f>
        <v>-0.73421383209382296</v>
      </c>
      <c r="AJ80" s="3">
        <f ca="1">IFERROR(__xludf.DUMMYFUNCTION("""COMPUTED_VALUE"""),-0.746410651096969)</f>
        <v>-0.74641065109696902</v>
      </c>
      <c r="AK80" s="3">
        <f ca="1">IFERROR(__xludf.DUMMYFUNCTION("""COMPUTED_VALUE"""),-0.728190629613018)</f>
        <v>-0.72819062961301795</v>
      </c>
      <c r="AL80" s="3">
        <f ca="1">IFERROR(__xludf.DUMMYFUNCTION("""COMPUTED_VALUE"""),-0.800495151100914)</f>
        <v>-0.80049515110091396</v>
      </c>
      <c r="AM80" s="3">
        <f ca="1">IFERROR(__xludf.DUMMYFUNCTION("""COMPUTED_VALUE"""),-0.860390330419714)</f>
        <v>-0.86039033041971402</v>
      </c>
      <c r="AN80" s="3">
        <f ca="1">IFERROR(__xludf.DUMMYFUNCTION("""COMPUTED_VALUE"""),-0.815281728767241)</f>
        <v>-0.81528172876724103</v>
      </c>
      <c r="AO80" s="3">
        <f ca="1">IFERROR(__xludf.DUMMYFUNCTION("""COMPUTED_VALUE"""),-0.759259731015747)</f>
        <v>-0.75925973101574695</v>
      </c>
      <c r="AP80" s="3">
        <f ca="1">IFERROR(__xludf.DUMMYFUNCTION("""COMPUTED_VALUE"""),-0.746216440094722)</f>
        <v>-0.74621644009472199</v>
      </c>
      <c r="AQ80" s="3">
        <f ca="1">IFERROR(__xludf.DUMMYFUNCTION("""COMPUTED_VALUE"""),-0.735922281932604)</f>
        <v>-0.73592228193260401</v>
      </c>
      <c r="AR80" s="3">
        <f ca="1">IFERROR(__xludf.DUMMYFUNCTION("""COMPUTED_VALUE"""),-0.762265388601272)</f>
        <v>-0.76226538860127202</v>
      </c>
      <c r="AS80" s="3">
        <f ca="1">IFERROR(__xludf.DUMMYFUNCTION("""COMPUTED_VALUE"""),-0.802235413852072)</f>
        <v>-0.80223541385207198</v>
      </c>
      <c r="AT80" s="3">
        <f ca="1">IFERROR(__xludf.DUMMYFUNCTION("""COMPUTED_VALUE"""),-0.848715233979127)</f>
        <v>-0.84871523397912696</v>
      </c>
      <c r="AU80" s="3">
        <f ca="1">IFERROR(__xludf.DUMMYFUNCTION("""COMPUTED_VALUE"""),-0.812173610605617)</f>
        <v>-0.81217361060561699</v>
      </c>
      <c r="AV80" s="3">
        <f ca="1">IFERROR(__xludf.DUMMYFUNCTION("""COMPUTED_VALUE"""),-0.760435554815461)</f>
        <v>-0.76043555481546099</v>
      </c>
      <c r="AW80" s="3">
        <f ca="1">IFERROR(__xludf.DUMMYFUNCTION("""COMPUTED_VALUE"""),-0.739563213720328)</f>
        <v>-0.73956321372032796</v>
      </c>
      <c r="AX80" s="3">
        <f ca="1">IFERROR(__xludf.DUMMYFUNCTION("""COMPUTED_VALUE"""),-0.744168046703403)</f>
        <v>-0.74416804670340297</v>
      </c>
      <c r="AY80" s="3">
        <f ca="1">IFERROR(__xludf.DUMMYFUNCTION("""COMPUTED_VALUE"""),-0.737955916703002)</f>
        <v>-0.73795591670300198</v>
      </c>
      <c r="AZ80" s="3">
        <f ca="1">IFERROR(__xludf.DUMMYFUNCTION("""COMPUTED_VALUE"""),-0.805073702877472)</f>
        <v>-0.80507370287747204</v>
      </c>
      <c r="BA80" s="3">
        <f ca="1">IFERROR(__xludf.DUMMYFUNCTION("""COMPUTED_VALUE"""),-0.870833736238576)</f>
        <v>-0.87083373623857596</v>
      </c>
      <c r="BB80" s="3">
        <f ca="1">IFERROR(__xludf.DUMMYFUNCTION("""COMPUTED_VALUE"""),-0.793605880076819)</f>
        <v>-0.79360588007681898</v>
      </c>
      <c r="BC80" s="3">
        <f ca="1">IFERROR(__xludf.DUMMYFUNCTION("""COMPUTED_VALUE"""),-0.721663917291517)</f>
        <v>-0.72166391729151702</v>
      </c>
      <c r="BD80" s="3">
        <f ca="1">IFERROR(__xludf.DUMMYFUNCTION("""COMPUTED_VALUE"""),-0.726871139460168)</f>
        <v>-0.72687113946016801</v>
      </c>
      <c r="BE80" s="3">
        <f ca="1">IFERROR(__xludf.DUMMYFUNCTION("""COMPUTED_VALUE"""),-0.738080130377776)</f>
        <v>-0.73808013037777598</v>
      </c>
      <c r="BF80" s="3">
        <f ca="1">IFERROR(__xludf.DUMMYFUNCTION("""COMPUTED_VALUE"""),-0.784060423847927)</f>
        <v>-0.78406042384792696</v>
      </c>
      <c r="BG80" s="3">
        <f ca="1">IFERROR(__xludf.DUMMYFUNCTION("""COMPUTED_VALUE"""),-0.86574879384024)</f>
        <v>-0.86574879384023995</v>
      </c>
      <c r="BH80" s="3">
        <f ca="1">IFERROR(__xludf.DUMMYFUNCTION("""COMPUTED_VALUE"""),-0.848875722168235)</f>
        <v>-0.84887572216823504</v>
      </c>
      <c r="BI80" s="3">
        <f ca="1">IFERROR(__xludf.DUMMYFUNCTION("""COMPUTED_VALUE"""),-0.801850069666587)</f>
        <v>-0.80185006966658701</v>
      </c>
      <c r="BJ80" s="3">
        <f ca="1">IFERROR(__xludf.DUMMYFUNCTION("""COMPUTED_VALUE"""),-0.746824924298758)</f>
        <v>-0.74682492429875802</v>
      </c>
      <c r="BK80" s="3">
        <f ca="1">IFERROR(__xludf.DUMMYFUNCTION("""COMPUTED_VALUE"""),-0.751896040685695)</f>
        <v>-0.75189604068569504</v>
      </c>
      <c r="BL80" s="3">
        <f ca="1">IFERROR(__xludf.DUMMYFUNCTION("""COMPUTED_VALUE"""),-0.74424276544784)</f>
        <v>-0.74424276544783996</v>
      </c>
      <c r="BM80" s="3">
        <f ca="1">IFERROR(__xludf.DUMMYFUNCTION("""COMPUTED_VALUE"""),-0.74324921053438)</f>
        <v>-0.74324921053437998</v>
      </c>
      <c r="BN80" s="3">
        <f ca="1">IFERROR(__xludf.DUMMYFUNCTION("""COMPUTED_VALUE"""),-0.795684495978123)</f>
        <v>-0.79568449597812296</v>
      </c>
      <c r="BO80" s="3">
        <f ca="1">IFERROR(__xludf.DUMMYFUNCTION("""COMPUTED_VALUE"""),-0.864178416271143)</f>
        <v>-0.864178416271143</v>
      </c>
      <c r="BP80" s="3">
        <f ca="1">IFERROR(__xludf.DUMMYFUNCTION("""COMPUTED_VALUE"""),-0.773510119515497)</f>
        <v>-0.77351011951549697</v>
      </c>
      <c r="BQ80" s="3">
        <f ca="1">IFERROR(__xludf.DUMMYFUNCTION("""COMPUTED_VALUE"""),-0.730404562703227)</f>
        <v>-0.73040456270322696</v>
      </c>
      <c r="BR80" s="3">
        <f ca="1">IFERROR(__xludf.DUMMYFUNCTION("""COMPUTED_VALUE"""),-0.690546146371477)</f>
        <v>-0.69054614637147704</v>
      </c>
      <c r="BS80" s="3">
        <f ca="1">IFERROR(__xludf.DUMMYFUNCTION("""COMPUTED_VALUE"""),-0.684795125515788)</f>
        <v>-0.68479512551578803</v>
      </c>
      <c r="BT80" s="3">
        <f ca="1">IFERROR(__xludf.DUMMYFUNCTION("""COMPUTED_VALUE"""),-0.666299814103921)</f>
        <v>-0.66629981410392103</v>
      </c>
      <c r="BU80" s="3">
        <f ca="1">IFERROR(__xludf.DUMMYFUNCTION("""COMPUTED_VALUE"""),-0.752384923056036)</f>
        <v>-0.75238492305603599</v>
      </c>
      <c r="BV80" s="3">
        <f ca="1">IFERROR(__xludf.DUMMYFUNCTION("""COMPUTED_VALUE"""),-0.866589694843279)</f>
        <v>-0.86658969484327897</v>
      </c>
      <c r="BW80" s="3">
        <f ca="1">IFERROR(__xludf.DUMMYFUNCTION("""COMPUTED_VALUE"""),-0.832849142381026)</f>
        <v>-0.83284914238102603</v>
      </c>
      <c r="BX80" s="3">
        <f ca="1">IFERROR(__xludf.DUMMYFUNCTION("""COMPUTED_VALUE"""),-0.793187860199946)</f>
        <v>-0.79318786019994603</v>
      </c>
      <c r="BY80" s="3">
        <f ca="1">IFERROR(__xludf.DUMMYFUNCTION("""COMPUTED_VALUE"""),-0.790398125792546)</f>
        <v>-0.79039812579254598</v>
      </c>
      <c r="BZ80" s="3">
        <f ca="1">IFERROR(__xludf.DUMMYFUNCTION("""COMPUTED_VALUE"""),-0.77703606096962)</f>
        <v>-0.77703606096961997</v>
      </c>
      <c r="CA80" s="3">
        <f ca="1">IFERROR(__xludf.DUMMYFUNCTION("""COMPUTED_VALUE"""),-0.790948380155682)</f>
        <v>-0.79094838015568203</v>
      </c>
      <c r="CB80" s="3">
        <f ca="1">IFERROR(__xludf.DUMMYFUNCTION("""COMPUTED_VALUE"""),-0.805953147071255)</f>
        <v>-0.80595314707125498</v>
      </c>
      <c r="CC80" s="3">
        <f ca="1">IFERROR(__xludf.DUMMYFUNCTION("""COMPUTED_VALUE"""),-0.874404838991552)</f>
        <v>-0.87440483899155197</v>
      </c>
      <c r="CD80" s="3">
        <f ca="1">IFERROR(__xludf.DUMMYFUNCTION("""COMPUTED_VALUE"""),-0.794365785728301)</f>
        <v>-0.79436578572830097</v>
      </c>
      <c r="CE80" s="3">
        <f ca="1">IFERROR(__xludf.DUMMYFUNCTION("""COMPUTED_VALUE"""),-0.770472151173601)</f>
        <v>-0.77047215117360102</v>
      </c>
      <c r="CF80" s="3">
        <f ca="1">IFERROR(__xludf.DUMMYFUNCTION("""COMPUTED_VALUE"""),-0.789885852237656)</f>
        <v>-0.78988585223765595</v>
      </c>
      <c r="CG80" s="3">
        <f ca="1">IFERROR(__xludf.DUMMYFUNCTION("""COMPUTED_VALUE"""),-0.802349157558198)</f>
        <v>-0.80234915755819802</v>
      </c>
      <c r="CH80" s="3">
        <f ca="1">IFERROR(__xludf.DUMMYFUNCTION("""COMPUTED_VALUE"""),-0.855510069160491)</f>
        <v>-0.85551006916049099</v>
      </c>
      <c r="CI80" s="3">
        <f ca="1">IFERROR(__xludf.DUMMYFUNCTION("""COMPUTED_VALUE"""),-0.899949197278614)</f>
        <v>-0.899949197278614</v>
      </c>
      <c r="CJ80" s="3">
        <f ca="1">IFERROR(__xludf.DUMMYFUNCTION("""COMPUTED_VALUE"""),-0.874403933748662)</f>
        <v>-0.87440393374866199</v>
      </c>
      <c r="CK80" s="3">
        <f ca="1">IFERROR(__xludf.DUMMYFUNCTION("""COMPUTED_VALUE"""),-0.797179370319139)</f>
        <v>-0.79717937031913899</v>
      </c>
      <c r="CL80" s="3">
        <f ca="1">IFERROR(__xludf.DUMMYFUNCTION("""COMPUTED_VALUE"""),-0.772249595470974)</f>
        <v>-0.77224959547097405</v>
      </c>
      <c r="CM80" s="3">
        <f ca="1">IFERROR(__xludf.DUMMYFUNCTION("""COMPUTED_VALUE"""),-0.773794643758032)</f>
        <v>-0.77379464375803197</v>
      </c>
      <c r="CN80" s="3">
        <f ca="1">IFERROR(__xludf.DUMMYFUNCTION("""COMPUTED_VALUE"""),-0.783226604021308)</f>
        <v>-0.78322660402130795</v>
      </c>
      <c r="CO80" s="3">
        <f ca="1">IFERROR(__xludf.DUMMYFUNCTION("""COMPUTED_VALUE"""),-0.769316795952676)</f>
        <v>-0.76931679595267599</v>
      </c>
      <c r="CP80" s="3">
        <f ca="1">IFERROR(__xludf.DUMMYFUNCTION("""COMPUTED_VALUE"""),-0.825124415151591)</f>
        <v>-0.82512441515159096</v>
      </c>
      <c r="CQ80" s="3">
        <f ca="1">IFERROR(__xludf.DUMMYFUNCTION("""COMPUTED_VALUE"""),-0.880677080537542)</f>
        <v>-0.88067708053754201</v>
      </c>
      <c r="CR80" s="3">
        <f ca="1">IFERROR(__xludf.DUMMYFUNCTION("""COMPUTED_VALUE"""),-0.812455740946819)</f>
        <v>-0.81245574094681905</v>
      </c>
      <c r="CS80" s="3">
        <f ca="1">IFERROR(__xludf.DUMMYFUNCTION("""COMPUTED_VALUE"""),-0.763865010274042)</f>
        <v>-0.76386501027404197</v>
      </c>
      <c r="CT80" s="3">
        <f ca="1">IFERROR(__xludf.DUMMYFUNCTION("""COMPUTED_VALUE"""),-0.772760386599102)</f>
        <v>-0.77276038659910196</v>
      </c>
      <c r="CU80" s="3">
        <f ca="1">IFERROR(__xludf.DUMMYFUNCTION("""COMPUTED_VALUE"""),-0.763979476938513)</f>
        <v>-0.76397947693851298</v>
      </c>
      <c r="CV80" s="3">
        <f ca="1">IFERROR(__xludf.DUMMYFUNCTION("""COMPUTED_VALUE"""),-0.769112465706442)</f>
        <v>-0.76911246570644198</v>
      </c>
      <c r="CW80" s="3">
        <f ca="1">IFERROR(__xludf.DUMMYFUNCTION("""COMPUTED_VALUE"""),-0.778428008964851)</f>
        <v>-0.77842800896485098</v>
      </c>
      <c r="CX80" s="3">
        <f ca="1">IFERROR(__xludf.DUMMYFUNCTION("""COMPUTED_VALUE"""),-0.778544926165659)</f>
        <v>-0.77854492616565896</v>
      </c>
      <c r="CY80" s="3">
        <f ca="1">IFERROR(__xludf.DUMMYFUNCTION("""COMPUTED_VALUE"""),-0.852461777861706)</f>
        <v>-0.85246177786170596</v>
      </c>
      <c r="CZ80" s="3">
        <f ca="1">IFERROR(__xludf.DUMMYFUNCTION("""COMPUTED_VALUE"""),-0.928064052347612)</f>
        <v>-0.92806405234761202</v>
      </c>
      <c r="DA80" s="3">
        <f ca="1">IFERROR(__xludf.DUMMYFUNCTION("""COMPUTED_VALUE"""),-0.767866227321058)</f>
        <v>-0.76786622732105803</v>
      </c>
      <c r="DB80" s="3">
        <f ca="1">IFERROR(__xludf.DUMMYFUNCTION("""COMPUTED_VALUE"""),-0.721323543367451)</f>
        <v>-0.72132354336745097</v>
      </c>
      <c r="DC80" s="3">
        <f ca="1">IFERROR(__xludf.DUMMYFUNCTION("""COMPUTED_VALUE"""),-0.762519388363874)</f>
        <v>-0.76251938836387401</v>
      </c>
      <c r="DD80" s="3">
        <f ca="1">IFERROR(__xludf.DUMMYFUNCTION("""COMPUTED_VALUE"""),-0.724428865793828)</f>
        <v>-0.72442886579382804</v>
      </c>
      <c r="DE80" s="3">
        <f ca="1">IFERROR(__xludf.DUMMYFUNCTION("""COMPUTED_VALUE"""),-0.74748788751123)</f>
        <v>-0.74748788751122996</v>
      </c>
      <c r="DF80" s="3">
        <f ca="1">IFERROR(__xludf.DUMMYFUNCTION("""COMPUTED_VALUE"""),-0.839390371872807)</f>
        <v>-0.83939037187280696</v>
      </c>
      <c r="DG80" s="3">
        <f ca="1">IFERROR(__xludf.DUMMYFUNCTION("""COMPUTED_VALUE"""),-0.929595944989838)</f>
        <v>-0.929595944989838</v>
      </c>
      <c r="DH80" s="3">
        <f ca="1">IFERROR(__xludf.DUMMYFUNCTION("""COMPUTED_VALUE"""),-0.749535359271521)</f>
        <v>-0.74953535927152104</v>
      </c>
      <c r="DI80" s="3">
        <f ca="1">IFERROR(__xludf.DUMMYFUNCTION("""COMPUTED_VALUE"""),-0.678564228353206)</f>
        <v>-0.67856422835320596</v>
      </c>
      <c r="DJ80" s="3">
        <f ca="1">IFERROR(__xludf.DUMMYFUNCTION("""COMPUTED_VALUE"""),-0.727875695256733)</f>
        <v>-0.72787569525673301</v>
      </c>
      <c r="DK80" s="3">
        <f ca="1">IFERROR(__xludf.DUMMYFUNCTION("""COMPUTED_VALUE"""),-0.705248064886626)</f>
        <v>-0.70524806488662595</v>
      </c>
      <c r="DL80" s="3">
        <f ca="1">IFERROR(__xludf.DUMMYFUNCTION("""COMPUTED_VALUE"""),-0.649814304229002)</f>
        <v>-0.64981430422900199</v>
      </c>
      <c r="DM80" s="3">
        <f ca="1">IFERROR(__xludf.DUMMYFUNCTION("""COMPUTED_VALUE"""),-0.672318955893679)</f>
        <v>-0.67231895589367896</v>
      </c>
      <c r="DN80" s="3">
        <f ca="1">IFERROR(__xludf.DUMMYFUNCTION("""COMPUTED_VALUE"""),-0.752029807610973)</f>
        <v>-0.75202980761097304</v>
      </c>
      <c r="DO80" s="3">
        <f ca="1">IFERROR(__xludf.DUMMYFUNCTION("""COMPUTED_VALUE"""),-0.731914821038577)</f>
        <v>-0.73191482103857697</v>
      </c>
      <c r="DP80" s="3">
        <f ca="1">IFERROR(__xludf.DUMMYFUNCTION("""COMPUTED_VALUE"""),-0.700352792960721)</f>
        <v>-0.70035279296072095</v>
      </c>
      <c r="DQ80" s="3">
        <f ca="1">IFERROR(__xludf.DUMMYFUNCTION("""COMPUTED_VALUE"""),-0.780074230372957)</f>
        <v>-0.78007423037295698</v>
      </c>
      <c r="DR80" s="3">
        <f ca="1">IFERROR(__xludf.DUMMYFUNCTION("""COMPUTED_VALUE"""),-0.785399881758053)</f>
        <v>-0.78539988175805298</v>
      </c>
      <c r="DS80" s="3">
        <f ca="1">IFERROR(__xludf.DUMMYFUNCTION("""COMPUTED_VALUE"""),-0.732261636323755)</f>
        <v>-0.73226163632375496</v>
      </c>
      <c r="DT80" s="3">
        <f ca="1">IFERROR(__xludf.DUMMYFUNCTION("""COMPUTED_VALUE"""),-0.754811710972442)</f>
        <v>-0.75481171097244204</v>
      </c>
      <c r="DU80" s="3">
        <f ca="1">IFERROR(__xludf.DUMMYFUNCTION("""COMPUTED_VALUE"""),-0.788833660601772)</f>
        <v>-0.78883366060177196</v>
      </c>
      <c r="DV80" s="3">
        <f ca="1">IFERROR(__xludf.DUMMYFUNCTION("""COMPUTED_VALUE"""),-0.789757774834567)</f>
        <v>-0.78975777483456699</v>
      </c>
      <c r="DW80" s="3">
        <f ca="1">IFERROR(__xludf.DUMMYFUNCTION("""COMPUTED_VALUE"""),-0.802868911973073)</f>
        <v>-0.80286891197307297</v>
      </c>
      <c r="DX80" s="3">
        <f ca="1">IFERROR(__xludf.DUMMYFUNCTION("""COMPUTED_VALUE"""),-0.799545326885404)</f>
        <v>-0.79954532688540403</v>
      </c>
      <c r="DY80" s="3">
        <f ca="1">IFERROR(__xludf.DUMMYFUNCTION("""COMPUTED_VALUE"""),-0.760271617236423)</f>
        <v>-0.760271617236423</v>
      </c>
      <c r="DZ80" s="3">
        <f ca="1">IFERROR(__xludf.DUMMYFUNCTION("""COMPUTED_VALUE"""),-0.722640265464876)</f>
        <v>-0.72264026546487603</v>
      </c>
      <c r="EA80" s="3">
        <f ca="1">IFERROR(__xludf.DUMMYFUNCTION("""COMPUTED_VALUE"""),-0.746825662400722)</f>
        <v>-0.74682566240072201</v>
      </c>
      <c r="EB80" s="3">
        <f ca="1">IFERROR(__xludf.DUMMYFUNCTION("""COMPUTED_VALUE"""),-0.75106086441169)</f>
        <v>-0.75106086441168995</v>
      </c>
      <c r="EC80" s="3">
        <f ca="1">IFERROR(__xludf.DUMMYFUNCTION("""COMPUTED_VALUE"""),-0.758698721710873)</f>
        <v>-0.75869872171087305</v>
      </c>
      <c r="ED80" s="3">
        <f ca="1">IFERROR(__xludf.DUMMYFUNCTION("""COMPUTED_VALUE"""),-0.780221268456995)</f>
        <v>-0.78022126845699502</v>
      </c>
      <c r="EE80" s="3">
        <f ca="1">IFERROR(__xludf.DUMMYFUNCTION("""COMPUTED_VALUE"""),-0.781943839973943)</f>
        <v>-0.78194383997394301</v>
      </c>
      <c r="EF80" s="3">
        <f ca="1">IFERROR(__xludf.DUMMYFUNCTION("""COMPUTED_VALUE"""),-0.788739073527569)</f>
        <v>-0.788739073527569</v>
      </c>
      <c r="EG80" s="3">
        <f ca="1">IFERROR(__xludf.DUMMYFUNCTION("""COMPUTED_VALUE"""),-0.756805010908646)</f>
        <v>-0.75680501090864605</v>
      </c>
      <c r="EH80" s="3">
        <f ca="1">IFERROR(__xludf.DUMMYFUNCTION("""COMPUTED_VALUE"""),-0.767426601319007)</f>
        <v>-0.76742660131900697</v>
      </c>
      <c r="EI80" s="3">
        <f ca="1">IFERROR(__xludf.DUMMYFUNCTION("""COMPUTED_VALUE"""),-0.832387838335656)</f>
        <v>-0.83238783833565599</v>
      </c>
      <c r="EJ80" s="3">
        <f ca="1">IFERROR(__xludf.DUMMYFUNCTION("""COMPUTED_VALUE"""),-0.902994289349232)</f>
        <v>-0.90299428934923198</v>
      </c>
      <c r="EK80" s="3">
        <f ca="1">IFERROR(__xludf.DUMMYFUNCTION("""COMPUTED_VALUE"""),-0.776990101879811)</f>
        <v>-0.77699010187981099</v>
      </c>
      <c r="EL80" s="3">
        <f ca="1">IFERROR(__xludf.DUMMYFUNCTION("""COMPUTED_VALUE"""),-0.766410608639699)</f>
        <v>-0.76641060863969901</v>
      </c>
      <c r="EM80" s="3">
        <f ca="1">IFERROR(__xludf.DUMMYFUNCTION("""COMPUTED_VALUE"""),-0.754573100424421)</f>
        <v>-0.75457310042442105</v>
      </c>
      <c r="EN80" s="3">
        <f ca="1">IFERROR(__xludf.DUMMYFUNCTION("""COMPUTED_VALUE"""),-0.699858298766497)</f>
        <v>-0.69985829876649697</v>
      </c>
      <c r="EO80" s="3">
        <f ca="1">IFERROR(__xludf.DUMMYFUNCTION("""COMPUTED_VALUE"""),-0.733090198930188)</f>
        <v>-0.73309019893018801</v>
      </c>
      <c r="EP80" s="3">
        <f ca="1">IFERROR(__xludf.DUMMYFUNCTION("""COMPUTED_VALUE"""),-0.743008805248362)</f>
        <v>-0.74300880524836199</v>
      </c>
      <c r="EQ80" s="3">
        <f ca="1">IFERROR(__xludf.DUMMYFUNCTION("""COMPUTED_VALUE"""),-0.758471113316585)</f>
        <v>-0.75847111331658501</v>
      </c>
      <c r="ER80" s="3">
        <f ca="1">IFERROR(__xludf.DUMMYFUNCTION("""COMPUTED_VALUE"""),-0.787298028376935)</f>
        <v>-0.78729802837693497</v>
      </c>
      <c r="ES80" s="3">
        <f ca="1">IFERROR(__xludf.DUMMYFUNCTION("""COMPUTED_VALUE"""),-0.783331431481222)</f>
        <v>-0.78333143148122197</v>
      </c>
      <c r="ET80" s="3">
        <f ca="1">IFERROR(__xludf.DUMMYFUNCTION("""COMPUTED_VALUE"""),-0.806399983686857)</f>
        <v>-0.80639998368685695</v>
      </c>
      <c r="EU80" s="3">
        <f ca="1">IFERROR(__xludf.DUMMYFUNCTION("""COMPUTED_VALUE"""),-0.88404322375921)</f>
        <v>-0.88404322375920996</v>
      </c>
      <c r="EV80" s="3">
        <f ca="1">IFERROR(__xludf.DUMMYFUNCTION("""COMPUTED_VALUE"""),-0.830749407873834)</f>
        <v>-0.830749407873834</v>
      </c>
      <c r="EW80" s="3">
        <f ca="1">IFERROR(__xludf.DUMMYFUNCTION("""COMPUTED_VALUE"""),-0.800309906028889)</f>
        <v>-0.80030990602888896</v>
      </c>
      <c r="EX80" s="3">
        <f ca="1">IFERROR(__xludf.DUMMYFUNCTION("""COMPUTED_VALUE"""),-0.788943319198682)</f>
        <v>-0.78894331919868199</v>
      </c>
      <c r="EY80" s="3">
        <f ca="1">IFERROR(__xludf.DUMMYFUNCTION("""COMPUTED_VALUE"""),-0.792857125939541)</f>
        <v>-0.79285712593954105</v>
      </c>
      <c r="EZ80" s="3">
        <f ca="1">IFERROR(__xludf.DUMMYFUNCTION("""COMPUTED_VALUE"""),-0.760513081870996)</f>
        <v>-0.76051308187099598</v>
      </c>
      <c r="FA80" s="3">
        <f ca="1">IFERROR(__xludf.DUMMYFUNCTION("""COMPUTED_VALUE"""),-0.753491984431447)</f>
        <v>-0.75349198443144705</v>
      </c>
      <c r="FB80" s="3">
        <f ca="1">IFERROR(__xludf.DUMMYFUNCTION("""COMPUTED_VALUE"""),-0.857989686783682)</f>
        <v>-0.85798968678368204</v>
      </c>
      <c r="FC80" s="3">
        <f ca="1">IFERROR(__xludf.DUMMYFUNCTION("""COMPUTED_VALUE"""),-0.814546025104811)</f>
        <v>-0.814546025104811</v>
      </c>
      <c r="FD80" s="3">
        <f ca="1">IFERROR(__xludf.DUMMYFUNCTION("""COMPUTED_VALUE"""),-0.763023290850259)</f>
        <v>-0.763023290850259</v>
      </c>
      <c r="FE80" s="3">
        <f ca="1">IFERROR(__xludf.DUMMYFUNCTION("""COMPUTED_VALUE"""),-0.767266081595378)</f>
        <v>-0.76726608159537801</v>
      </c>
      <c r="FF80" s="3">
        <f ca="1">IFERROR(__xludf.DUMMYFUNCTION("""COMPUTED_VALUE"""),-0.783460335596869)</f>
        <v>-0.78346033559686901</v>
      </c>
      <c r="FG80" s="3">
        <f ca="1">IFERROR(__xludf.DUMMYFUNCTION("""COMPUTED_VALUE"""),-0.785245092838191)</f>
        <v>-0.78524509283819099</v>
      </c>
      <c r="FH80" s="3">
        <f ca="1">IFERROR(__xludf.DUMMYFUNCTION("""COMPUTED_VALUE"""),-0.803210443847823)</f>
        <v>-0.80321044384782303</v>
      </c>
      <c r="FI80" s="3">
        <f ca="1">IFERROR(__xludf.DUMMYFUNCTION("""COMPUTED_VALUE"""),-0.886715291875094)</f>
        <v>-0.88671529187509401</v>
      </c>
      <c r="FJ80" s="3">
        <f ca="1">IFERROR(__xludf.DUMMYFUNCTION("""COMPUTED_VALUE"""),-0.835960853094427)</f>
        <v>-0.83596085309442703</v>
      </c>
      <c r="FK80" s="3">
        <f ca="1">IFERROR(__xludf.DUMMYFUNCTION("""COMPUTED_VALUE"""),-0.813402194291025)</f>
        <v>-0.813402194291025</v>
      </c>
      <c r="FL80" s="3">
        <f ca="1">IFERROR(__xludf.DUMMYFUNCTION("""COMPUTED_VALUE"""),-0.804097349946874)</f>
        <v>-0.80409734994687398</v>
      </c>
      <c r="FM80" s="3">
        <f ca="1">IFERROR(__xludf.DUMMYFUNCTION("""COMPUTED_VALUE"""),-0.785844958639026)</f>
        <v>-0.78584495863902604</v>
      </c>
      <c r="FN80" s="3">
        <f ca="1">IFERROR(__xludf.DUMMYFUNCTION("""COMPUTED_VALUE"""),-0.785033450758268)</f>
        <v>-0.78503345075826803</v>
      </c>
      <c r="FO80" s="3">
        <f ca="1">IFERROR(__xludf.DUMMYFUNCTION("""COMPUTED_VALUE"""),-0.833292293787153)</f>
        <v>-0.83329229378715297</v>
      </c>
      <c r="FP80" s="3">
        <f ca="1">IFERROR(__xludf.DUMMYFUNCTION("""COMPUTED_VALUE"""),-0.872452470924865)</f>
        <v>-0.872452470924865</v>
      </c>
      <c r="FQ80" s="3">
        <f ca="1">IFERROR(__xludf.DUMMYFUNCTION("""COMPUTED_VALUE"""),-0.834813824519826)</f>
        <v>-0.834813824519826</v>
      </c>
      <c r="FR80" s="3">
        <f ca="1">IFERROR(__xludf.DUMMYFUNCTION("""COMPUTED_VALUE"""),-0.793186480240931)</f>
        <v>-0.79318648024093097</v>
      </c>
      <c r="FS80" s="3">
        <f ca="1">IFERROR(__xludf.DUMMYFUNCTION("""COMPUTED_VALUE"""),-0.773210903028487)</f>
        <v>-0.77321090302848705</v>
      </c>
      <c r="FT80" s="3">
        <f ca="1">IFERROR(__xludf.DUMMYFUNCTION("""COMPUTED_VALUE"""),-0.774353263104219)</f>
        <v>-0.77435326310421904</v>
      </c>
      <c r="FU80" s="3">
        <f ca="1">IFERROR(__xludf.DUMMYFUNCTION("""COMPUTED_VALUE"""),-0.776616776784489)</f>
        <v>-0.77661677678448904</v>
      </c>
      <c r="FV80" s="3">
        <f ca="1">IFERROR(__xludf.DUMMYFUNCTION("""COMPUTED_VALUE"""),-0.808917179332343)</f>
        <v>-0.80891717933234297</v>
      </c>
      <c r="FW80" s="3">
        <f ca="1">IFERROR(__xludf.DUMMYFUNCTION("""COMPUTED_VALUE"""),-0.871007537303248)</f>
        <v>-0.87100753730324798</v>
      </c>
      <c r="FX80" s="3">
        <f ca="1">IFERROR(__xludf.DUMMYFUNCTION("""COMPUTED_VALUE"""),-0.844788163134818)</f>
        <v>-0.84478816313481797</v>
      </c>
      <c r="FY80" s="3">
        <f ca="1">IFERROR(__xludf.DUMMYFUNCTION("""COMPUTED_VALUE"""),-0.825533323119425)</f>
        <v>-0.82553332311942496</v>
      </c>
      <c r="FZ80" s="3">
        <f ca="1">IFERROR(__xludf.DUMMYFUNCTION("""COMPUTED_VALUE"""),-0.784895334057293)</f>
        <v>-0.78489533405729295</v>
      </c>
      <c r="GA80" s="3">
        <f ca="1">IFERROR(__xludf.DUMMYFUNCTION("""COMPUTED_VALUE"""),-0.77512700384387)</f>
        <v>-0.77512700384387001</v>
      </c>
      <c r="GB80" s="3">
        <f ca="1">IFERROR(__xludf.DUMMYFUNCTION("""COMPUTED_VALUE"""),-0.80669137774041)</f>
        <v>-0.80669137774041</v>
      </c>
      <c r="GC80" s="3">
        <f ca="1">IFERROR(__xludf.DUMMYFUNCTION("""COMPUTED_VALUE"""),-0.831620856115854)</f>
        <v>-0.83162085611585401</v>
      </c>
      <c r="GD80" s="3">
        <f ca="1">IFERROR(__xludf.DUMMYFUNCTION("""COMPUTED_VALUE"""),-0.878201347119883)</f>
        <v>-0.87820134711988296</v>
      </c>
      <c r="GE80" s="3">
        <f ca="1">IFERROR(__xludf.DUMMYFUNCTION("""COMPUTED_VALUE"""),-0.829381949600871)</f>
        <v>-0.82938194960087097</v>
      </c>
      <c r="GF80" s="3">
        <f ca="1">IFERROR(__xludf.DUMMYFUNCTION("""COMPUTED_VALUE"""),-0.777824626583946)</f>
        <v>-0.77782462658394602</v>
      </c>
      <c r="GG80" s="3">
        <f ca="1">IFERROR(__xludf.DUMMYFUNCTION("""COMPUTED_VALUE"""),-0.763735353726786)</f>
        <v>-0.76373535372678603</v>
      </c>
      <c r="GH80" s="3">
        <f ca="1">IFERROR(__xludf.DUMMYFUNCTION("""COMPUTED_VALUE"""),-0.780263887149033)</f>
        <v>-0.78026388714903305</v>
      </c>
      <c r="GI80" s="3">
        <f ca="1">IFERROR(__xludf.DUMMYFUNCTION("""COMPUTED_VALUE"""),-0.777480549017714)</f>
        <v>-0.77748054901771402</v>
      </c>
      <c r="GJ80" s="3">
        <f ca="1">IFERROR(__xludf.DUMMYFUNCTION("""COMPUTED_VALUE"""),-0.821617018183421)</f>
        <v>-0.82161701818342103</v>
      </c>
      <c r="GK80" s="3">
        <f ca="1">IFERROR(__xludf.DUMMYFUNCTION("""COMPUTED_VALUE"""),-0.897983970776644)</f>
        <v>-0.89798397077664405</v>
      </c>
      <c r="GL80" s="3">
        <f ca="1">IFERROR(__xludf.DUMMYFUNCTION("""COMPUTED_VALUE"""),-0.846654858580466)</f>
        <v>-0.84665485858046596</v>
      </c>
      <c r="GM80" s="3">
        <f ca="1">IFERROR(__xludf.DUMMYFUNCTION("""COMPUTED_VALUE"""),-0.803023030963615)</f>
        <v>-0.80302303096361505</v>
      </c>
      <c r="GN80" s="3">
        <f ca="1">IFERROR(__xludf.DUMMYFUNCTION("""COMPUTED_VALUE"""),-0.812076360319094)</f>
        <v>-0.81207636031909403</v>
      </c>
      <c r="GO80" s="3">
        <f ca="1">IFERROR(__xludf.DUMMYFUNCTION("""COMPUTED_VALUE"""),-0.812182605039317)</f>
        <v>-0.81218260503931705</v>
      </c>
      <c r="GP80" s="3">
        <f ca="1">IFERROR(__xludf.DUMMYFUNCTION("""COMPUTED_VALUE"""),-0.801926032048275)</f>
        <v>-0.80192603204827495</v>
      </c>
      <c r="GQ80" s="3">
        <f ca="1">IFERROR(__xludf.DUMMYFUNCTION("""COMPUTED_VALUE"""),-0.864508338187342)</f>
        <v>-0.86450833818734196</v>
      </c>
      <c r="GR80" s="3">
        <f ca="1">IFERROR(__xludf.DUMMYFUNCTION("""COMPUTED_VALUE"""),-0.961992988895636)</f>
        <v>-0.961992988895636</v>
      </c>
      <c r="GS80" s="3">
        <f ca="1">IFERROR(__xludf.DUMMYFUNCTION("""COMPUTED_VALUE"""),-0.885282232352278)</f>
        <v>-0.88528223235227799</v>
      </c>
      <c r="GT80" s="3">
        <f ca="1">IFERROR(__xludf.DUMMYFUNCTION("""COMPUTED_VALUE"""),-0.80699361007272)</f>
        <v>-0.80699361007271997</v>
      </c>
      <c r="GU80" s="3">
        <f ca="1">IFERROR(__xludf.DUMMYFUNCTION("""COMPUTED_VALUE"""),-0.802229246039861)</f>
        <v>-0.80222924603986101</v>
      </c>
      <c r="GV80" s="3">
        <f ca="1">IFERROR(__xludf.DUMMYFUNCTION("""COMPUTED_VALUE"""),-0.774773887901539)</f>
        <v>-0.774773887901539</v>
      </c>
      <c r="GW80" s="3">
        <f ca="1">IFERROR(__xludf.DUMMYFUNCTION("""COMPUTED_VALUE"""),-0.802154975908678)</f>
        <v>-0.80215497590867801</v>
      </c>
      <c r="GX80" s="3">
        <f ca="1">IFERROR(__xludf.DUMMYFUNCTION("""COMPUTED_VALUE"""),-0.858538460189097)</f>
        <v>-0.85853846018909696</v>
      </c>
      <c r="GY80" s="3">
        <f ca="1">IFERROR(__xludf.DUMMYFUNCTION("""COMPUTED_VALUE"""),-0.948983130742794)</f>
        <v>-0.94898313074279395</v>
      </c>
      <c r="GZ80" s="3">
        <f ca="1">IFERROR(__xludf.DUMMYFUNCTION("""COMPUTED_VALUE"""),-0.862069834867367)</f>
        <v>-0.86206983486736699</v>
      </c>
      <c r="HA80" s="3">
        <f ca="1">IFERROR(__xludf.DUMMYFUNCTION("""COMPUTED_VALUE"""),-0.796073773477204)</f>
        <v>-0.79607377347720398</v>
      </c>
      <c r="HB80" s="3">
        <f ca="1">IFERROR(__xludf.DUMMYFUNCTION("""COMPUTED_VALUE"""),-0.796132133646785)</f>
        <v>-0.79613213364678503</v>
      </c>
      <c r="HC80" s="3">
        <f ca="1">IFERROR(__xludf.DUMMYFUNCTION("""COMPUTED_VALUE"""),-0.793047923430927)</f>
        <v>-0.793047923430927</v>
      </c>
      <c r="HD80" s="3">
        <f ca="1">IFERROR(__xludf.DUMMYFUNCTION("""COMPUTED_VALUE"""),-0.808761231809289)</f>
        <v>-0.80876123180928905</v>
      </c>
      <c r="HE80" s="3">
        <f ca="1">IFERROR(__xludf.DUMMYFUNCTION("""COMPUTED_VALUE"""),-0.859230629816138)</f>
        <v>-0.85923062981613796</v>
      </c>
      <c r="HF80" s="3">
        <f ca="1">IFERROR(__xludf.DUMMYFUNCTION("""COMPUTED_VALUE"""),-0.959235524779288)</f>
        <v>-0.95923552477928797</v>
      </c>
      <c r="HG80" s="3">
        <f ca="1">IFERROR(__xludf.DUMMYFUNCTION("""COMPUTED_VALUE"""),-0.876194421758584)</f>
        <v>-0.87619442175858397</v>
      </c>
      <c r="HH80" s="3">
        <f ca="1">IFERROR(__xludf.DUMMYFUNCTION("""COMPUTED_VALUE"""),-0.775304016205898)</f>
        <v>-0.77530401620589795</v>
      </c>
      <c r="HI80" s="3">
        <f ca="1">IFERROR(__xludf.DUMMYFUNCTION("""COMPUTED_VALUE"""),-0.79381835190059)</f>
        <v>-0.79381835190059002</v>
      </c>
      <c r="HJ80" s="3">
        <f ca="1">IFERROR(__xludf.DUMMYFUNCTION("""COMPUTED_VALUE"""),-0.793786114910043)</f>
        <v>-0.79378611491004303</v>
      </c>
      <c r="HK80" s="3">
        <f ca="1">IFERROR(__xludf.DUMMYFUNCTION("""COMPUTED_VALUE"""),-0.839973902467546)</f>
        <v>-0.839973902467546</v>
      </c>
      <c r="HL80" s="3">
        <f ca="1">IFERROR(__xludf.DUMMYFUNCTION("""COMPUTED_VALUE"""),-0.948558947781647)</f>
        <v>-0.94855894778164696</v>
      </c>
      <c r="HM80" s="3">
        <f ca="1">IFERROR(__xludf.DUMMYFUNCTION("""COMPUTED_VALUE"""),-0.954518825012795)</f>
        <v>-0.95451882501279495</v>
      </c>
      <c r="HN80" s="3">
        <f ca="1">IFERROR(__xludf.DUMMYFUNCTION("""COMPUTED_VALUE"""),-0.852740537779689)</f>
        <v>-0.85274053777968895</v>
      </c>
      <c r="HO80" s="3">
        <f ca="1">IFERROR(__xludf.DUMMYFUNCTION("""COMPUTED_VALUE"""),-0.755626539773259)</f>
        <v>-0.755626539773259</v>
      </c>
      <c r="HP80" s="3">
        <f ca="1">IFERROR(__xludf.DUMMYFUNCTION("""COMPUTED_VALUE"""),-0.77265497082708)</f>
        <v>-0.77265497082708001</v>
      </c>
      <c r="HQ80" s="3">
        <f ca="1">IFERROR(__xludf.DUMMYFUNCTION("""COMPUTED_VALUE"""),-0.794120108763326)</f>
        <v>-0.79412010876332595</v>
      </c>
      <c r="HR80" s="3">
        <f ca="1">IFERROR(__xludf.DUMMYFUNCTION("""COMPUTED_VALUE"""),-0.773544468342838)</f>
        <v>-0.77354446834283797</v>
      </c>
      <c r="HS80" s="3">
        <f ca="1">IFERROR(__xludf.DUMMYFUNCTION("""COMPUTED_VALUE"""),-0.821803400955152)</f>
        <v>-0.82180340095515203</v>
      </c>
      <c r="HT80" s="3">
        <f ca="1">IFERROR(__xludf.DUMMYFUNCTION("""COMPUTED_VALUE"""),-0.95868136225585)</f>
        <v>-0.95868136225584999</v>
      </c>
      <c r="HU80" s="3">
        <f ca="1">IFERROR(__xludf.DUMMYFUNCTION("""COMPUTED_VALUE"""),-0.868158109204497)</f>
        <v>-0.86815810920449699</v>
      </c>
      <c r="HV80" s="3">
        <f ca="1">IFERROR(__xludf.DUMMYFUNCTION("""COMPUTED_VALUE"""),-0.752399109395315)</f>
        <v>-0.75239910939531496</v>
      </c>
      <c r="HW80" s="3">
        <f ca="1">IFERROR(__xludf.DUMMYFUNCTION("""COMPUTED_VALUE"""),-0.750038212781553)</f>
        <v>-0.75003821278155303</v>
      </c>
      <c r="HX80" s="3">
        <f ca="1">IFERROR(__xludf.DUMMYFUNCTION("""COMPUTED_VALUE"""),-0.742094725074237)</f>
        <v>-0.74209472507423702</v>
      </c>
      <c r="HY80" s="3">
        <f ca="1">IFERROR(__xludf.DUMMYFUNCTION("""COMPUTED_VALUE"""),-0.720692275125462)</f>
        <v>-0.72069227512546197</v>
      </c>
      <c r="HZ80" s="3">
        <f ca="1">IFERROR(__xludf.DUMMYFUNCTION("""COMPUTED_VALUE"""),-0.816247445923248)</f>
        <v>-0.81624744592324805</v>
      </c>
      <c r="IA80" s="3">
        <f ca="1">IFERROR(__xludf.DUMMYFUNCTION("""COMPUTED_VALUE"""),-0.954391065619962)</f>
        <v>-0.95439106561996201</v>
      </c>
      <c r="IB80" s="3">
        <f ca="1">IFERROR(__xludf.DUMMYFUNCTION("""COMPUTED_VALUE"""),-0.860437766513747)</f>
        <v>-0.86043776651374704</v>
      </c>
      <c r="IC80" s="3">
        <f ca="1">IFERROR(__xludf.DUMMYFUNCTION("""COMPUTED_VALUE"""),-0.726556628968229)</f>
        <v>-0.72655662896822903</v>
      </c>
      <c r="ID80" s="3">
        <f ca="1">IFERROR(__xludf.DUMMYFUNCTION("""COMPUTED_VALUE"""),-0.727949397853866)</f>
        <v>-0.72794939785386603</v>
      </c>
      <c r="IE80" s="3">
        <f ca="1">IFERROR(__xludf.DUMMYFUNCTION("""COMPUTED_VALUE"""),-0.752564425551669)</f>
        <v>-0.75256442555166903</v>
      </c>
      <c r="IF80" s="3">
        <f ca="1">IFERROR(__xludf.DUMMYFUNCTION("""COMPUTED_VALUE"""),-0.740649517469122)</f>
        <v>-0.740649517469122</v>
      </c>
      <c r="IG80" s="3">
        <f ca="1">IFERROR(__xludf.DUMMYFUNCTION("""COMPUTED_VALUE"""),-0.830494493207485)</f>
        <v>-0.83049449320748503</v>
      </c>
      <c r="IH80" s="3">
        <f ca="1">IFERROR(__xludf.DUMMYFUNCTION("""COMPUTED_VALUE"""),-0.964591440635542)</f>
        <v>-0.96459144063554203</v>
      </c>
      <c r="II80" s="3">
        <f ca="1">IFERROR(__xludf.DUMMYFUNCTION("""COMPUTED_VALUE"""),-0.870369573705307)</f>
        <v>-0.87036957370530699</v>
      </c>
      <c r="IJ80" s="3">
        <f ca="1">IFERROR(__xludf.DUMMYFUNCTION("""COMPUTED_VALUE"""),-0.738918746868845)</f>
        <v>-0.73891874686884496</v>
      </c>
      <c r="IK80" s="3">
        <f ca="1">IFERROR(__xludf.DUMMYFUNCTION("""COMPUTED_VALUE"""),-0.750016815730841)</f>
        <v>-0.750016815730841</v>
      </c>
      <c r="IL80" s="3">
        <f ca="1">IFERROR(__xludf.DUMMYFUNCTION("""COMPUTED_VALUE"""),-0.752048921549734)</f>
        <v>-0.75204892154973402</v>
      </c>
      <c r="IM80" s="3">
        <f ca="1">IFERROR(__xludf.DUMMYFUNCTION("""COMPUTED_VALUE"""),-0.719515431210067)</f>
        <v>-0.719515431210067</v>
      </c>
      <c r="IN80" s="3">
        <f ca="1">IFERROR(__xludf.DUMMYFUNCTION("""COMPUTED_VALUE"""),-0.815499991371211)</f>
        <v>-0.81549999137121099</v>
      </c>
      <c r="IO80" s="3">
        <f ca="1">IFERROR(__xludf.DUMMYFUNCTION("""COMPUTED_VALUE"""),-0.957370914356571)</f>
        <v>-0.95737091435657096</v>
      </c>
      <c r="IP80" s="3">
        <f ca="1">IFERROR(__xludf.DUMMYFUNCTION("""COMPUTED_VALUE"""),-0.876251559432798)</f>
        <v>-0.87625155943279798</v>
      </c>
      <c r="IQ80" s="3">
        <f ca="1">IFERROR(__xludf.DUMMYFUNCTION("""COMPUTED_VALUE"""),-0.748935795612823)</f>
        <v>-0.74893579561282297</v>
      </c>
      <c r="IR80" s="3">
        <f ca="1">IFERROR(__xludf.DUMMYFUNCTION("""COMPUTED_VALUE"""),-0.712014519720064)</f>
        <v>-0.71201451972006402</v>
      </c>
      <c r="IS80" s="3">
        <f ca="1">IFERROR(__xludf.DUMMYFUNCTION("""COMPUTED_VALUE"""),-0.67344893721072)</f>
        <v>-0.67344893721071997</v>
      </c>
      <c r="IT80" s="3">
        <f ca="1">IFERROR(__xludf.DUMMYFUNCTION("""COMPUTED_VALUE"""),-0.734600267471402)</f>
        <v>-0.73460026747140195</v>
      </c>
      <c r="IU80" s="3">
        <f ca="1">IFERROR(__xludf.DUMMYFUNCTION("""COMPUTED_VALUE"""),-0.836266996801082)</f>
        <v>-0.83626699680108196</v>
      </c>
      <c r="IV80" s="3">
        <f ca="1">IFERROR(__xludf.DUMMYFUNCTION("""COMPUTED_VALUE"""),-0.961616962825778)</f>
        <v>-0.96161696282577802</v>
      </c>
      <c r="IW80" s="3">
        <f ca="1">IFERROR(__xludf.DUMMYFUNCTION("""COMPUTED_VALUE"""),-0.871520931070179)</f>
        <v>-0.87152093107017903</v>
      </c>
      <c r="IX80" s="3">
        <f ca="1">IFERROR(__xludf.DUMMYFUNCTION("""COMPUTED_VALUE"""),-0.760887709143529)</f>
        <v>-0.76088770914352899</v>
      </c>
      <c r="IY80" s="3">
        <f ca="1">IFERROR(__xludf.DUMMYFUNCTION("""COMPUTED_VALUE"""),-0.755539886018466)</f>
        <v>-0.755539886018466</v>
      </c>
      <c r="IZ80" s="3">
        <f ca="1">IFERROR(__xludf.DUMMYFUNCTION("""COMPUTED_VALUE"""),-0.726340543981012)</f>
        <v>-0.726340543981012</v>
      </c>
      <c r="JA80" s="3">
        <f ca="1">IFERROR(__xludf.DUMMYFUNCTION("""COMPUTED_VALUE"""),-0.76040922164315)</f>
        <v>-0.76040922164314995</v>
      </c>
      <c r="JB80" s="3">
        <f ca="1">IFERROR(__xludf.DUMMYFUNCTION("""COMPUTED_VALUE"""),-0.835001206687186)</f>
        <v>-0.83500120668718603</v>
      </c>
      <c r="JC80" s="3">
        <f ca="1">IFERROR(__xludf.DUMMYFUNCTION("""COMPUTED_VALUE"""),-0.958175695818342)</f>
        <v>-0.95817569581834205</v>
      </c>
      <c r="JD80" s="3">
        <f ca="1">IFERROR(__xludf.DUMMYFUNCTION("""COMPUTED_VALUE"""),-0.866220392546183)</f>
        <v>-0.86622039254618299</v>
      </c>
      <c r="JE80" s="3">
        <f ca="1">IFERROR(__xludf.DUMMYFUNCTION("""COMPUTED_VALUE"""),-0.777942708295857)</f>
        <v>-0.77794270829585699</v>
      </c>
      <c r="JF80" s="3">
        <f ca="1">IFERROR(__xludf.DUMMYFUNCTION("""COMPUTED_VALUE"""),-0.753114822781118)</f>
        <v>-0.75311482278111797</v>
      </c>
      <c r="JG80" s="3">
        <f ca="1">IFERROR(__xludf.DUMMYFUNCTION("""COMPUTED_VALUE"""),-0.757884390331429)</f>
        <v>-0.75788439033142896</v>
      </c>
      <c r="JH80" s="3">
        <f ca="1">IFERROR(__xludf.DUMMYFUNCTION("""COMPUTED_VALUE"""),-0.76140970859863)</f>
        <v>-0.76140970859863</v>
      </c>
      <c r="JI80" s="3">
        <f ca="1">IFERROR(__xludf.DUMMYFUNCTION("""COMPUTED_VALUE"""),-0.829018082032775)</f>
        <v>-0.82901808203277505</v>
      </c>
      <c r="JJ80" s="3">
        <f ca="1">IFERROR(__xludf.DUMMYFUNCTION("""COMPUTED_VALUE"""),-0.956740421189018)</f>
        <v>-0.95674042118901803</v>
      </c>
      <c r="JK80" s="3">
        <f ca="1">IFERROR(__xludf.DUMMYFUNCTION("""COMPUTED_VALUE"""),-0.876786781392923)</f>
        <v>-0.87678678139292299</v>
      </c>
      <c r="JL80" s="3">
        <f ca="1">IFERROR(__xludf.DUMMYFUNCTION("""COMPUTED_VALUE"""),-0.780427267820111)</f>
        <v>-0.78042726782011096</v>
      </c>
      <c r="JM80" s="3">
        <f ca="1">IFERROR(__xludf.DUMMYFUNCTION("""COMPUTED_VALUE"""),-0.760062342714556)</f>
        <v>-0.76006234271455597</v>
      </c>
      <c r="JN80" s="3">
        <f ca="1">IFERROR(__xludf.DUMMYFUNCTION("""COMPUTED_VALUE"""),-0.76335911167683)</f>
        <v>-0.76335911167683002</v>
      </c>
      <c r="JO80" s="3">
        <f ca="1">IFERROR(__xludf.DUMMYFUNCTION("""COMPUTED_VALUE"""),-0.758678865707322)</f>
        <v>-0.75867886570732201</v>
      </c>
      <c r="JP80" s="3">
        <f ca="1">IFERROR(__xludf.DUMMYFUNCTION("""COMPUTED_VALUE"""),-0.816279659963104)</f>
        <v>-0.81627965996310403</v>
      </c>
      <c r="JQ80" s="3">
        <f ca="1">IFERROR(__xludf.DUMMYFUNCTION("""COMPUTED_VALUE"""),-0.955806701166177)</f>
        <v>-0.95580670116617705</v>
      </c>
      <c r="JR80" s="3">
        <f ca="1">IFERROR(__xludf.DUMMYFUNCTION("""COMPUTED_VALUE"""),-0.883250542765171)</f>
        <v>-0.88325054276517101</v>
      </c>
      <c r="JS80" s="3">
        <f ca="1">IFERROR(__xludf.DUMMYFUNCTION("""COMPUTED_VALUE"""),-0.777709871767418)</f>
        <v>-0.77770987176741802</v>
      </c>
      <c r="JT80" s="3">
        <f ca="1">IFERROR(__xludf.DUMMYFUNCTION("""COMPUTED_VALUE"""),-0.714160922677262)</f>
        <v>-0.71416092267726194</v>
      </c>
      <c r="JU80" s="3">
        <f ca="1">IFERROR(__xludf.DUMMYFUNCTION("""COMPUTED_VALUE"""),-0.788133135949385)</f>
        <v>-0.78813313594938506</v>
      </c>
      <c r="JV80" s="3">
        <f ca="1">IFERROR(__xludf.DUMMYFUNCTION("""COMPUTED_VALUE"""),-0.804103248260583)</f>
        <v>-0.80410324826058299</v>
      </c>
      <c r="JW80" s="3">
        <f ca="1">IFERROR(__xludf.DUMMYFUNCTION("""COMPUTED_VALUE"""),-0.852767121289653)</f>
        <v>-0.85276712128965304</v>
      </c>
      <c r="JX80" s="3">
        <f ca="1">IFERROR(__xludf.DUMMYFUNCTION("""COMPUTED_VALUE"""),-0.954992865843578)</f>
        <v>-0.95499286584357801</v>
      </c>
      <c r="JY80" s="3">
        <f ca="1">IFERROR(__xludf.DUMMYFUNCTION("""COMPUTED_VALUE"""),-0.875462721002876)</f>
        <v>-0.87546272100287603</v>
      </c>
      <c r="JZ80" s="3">
        <f ca="1">IFERROR(__xludf.DUMMYFUNCTION("""COMPUTED_VALUE"""),-0.764500006913134)</f>
        <v>-0.76450000691313402</v>
      </c>
      <c r="KA80" s="3">
        <f ca="1">IFERROR(__xludf.DUMMYFUNCTION("""COMPUTED_VALUE"""),-0.786067841351745)</f>
        <v>-0.78606784135174501</v>
      </c>
      <c r="KB80" s="3">
        <f ca="1">IFERROR(__xludf.DUMMYFUNCTION("""COMPUTED_VALUE"""),-0.834973398472553)</f>
        <v>-0.83497339847255303</v>
      </c>
      <c r="KC80" s="3">
        <f ca="1">IFERROR(__xludf.DUMMYFUNCTION("""COMPUTED_VALUE"""),-0.812991905600928)</f>
        <v>-0.81299190560092804</v>
      </c>
      <c r="KD80" s="3">
        <f ca="1">IFERROR(__xludf.DUMMYFUNCTION("""COMPUTED_VALUE"""),-0.840099525369171)</f>
        <v>-0.84009952536917099</v>
      </c>
      <c r="KE80" s="3">
        <f ca="1">IFERROR(__xludf.DUMMYFUNCTION("""COMPUTED_VALUE"""),-0.935268225977825)</f>
        <v>-0.935268225977825</v>
      </c>
      <c r="KF80" s="3">
        <f ca="1">IFERROR(__xludf.DUMMYFUNCTION("""COMPUTED_VALUE"""),-0.764888844535083)</f>
        <v>-0.76488884453508299</v>
      </c>
      <c r="KG80" s="3">
        <f ca="1">IFERROR(__xludf.DUMMYFUNCTION("""COMPUTED_VALUE"""),-0.586964508039654)</f>
        <v>-0.58696450803965405</v>
      </c>
      <c r="KH80" s="3">
        <f ca="1">IFERROR(__xludf.DUMMYFUNCTION("""COMPUTED_VALUE"""),-0.593922733042681)</f>
        <v>-0.59392273304268095</v>
      </c>
      <c r="KI80" s="3">
        <f ca="1">IFERROR(__xludf.DUMMYFUNCTION("""COMPUTED_VALUE"""),-0.612675748876314)</f>
        <v>-0.61267574887631404</v>
      </c>
      <c r="KJ80" s="3">
        <f ca="1">IFERROR(__xludf.DUMMYFUNCTION("""COMPUTED_VALUE"""),-0.594248892924307)</f>
        <v>-0.59424889292430705</v>
      </c>
      <c r="KK80" s="3">
        <f ca="1">IFERROR(__xludf.DUMMYFUNCTION("""COMPUTED_VALUE"""),-0.620527935758998)</f>
        <v>-0.62052793575899801</v>
      </c>
      <c r="KL80" s="3">
        <f ca="1">IFERROR(__xludf.DUMMYFUNCTION("""COMPUTED_VALUE"""),-0.7075451929564)</f>
        <v>-0.70754519295639995</v>
      </c>
      <c r="KM80" s="3">
        <f ca="1">IFERROR(__xludf.DUMMYFUNCTION("""COMPUTED_VALUE"""),-0.677319870075353)</f>
        <v>-0.67731987007535299</v>
      </c>
      <c r="KN80" s="3">
        <f ca="1">IFERROR(__xludf.DUMMYFUNCTION("""COMPUTED_VALUE"""),-0.664803624823027)</f>
        <v>-0.66480362482302702</v>
      </c>
      <c r="KO80" s="3">
        <f ca="1">IFERROR(__xludf.DUMMYFUNCTION("""COMPUTED_VALUE"""),-0.675150412212923)</f>
        <v>-0.67515041221292305</v>
      </c>
      <c r="KP80" s="3">
        <f ca="1">IFERROR(__xludf.DUMMYFUNCTION("""COMPUTED_VALUE"""),-0.65134544561769)</f>
        <v>-0.65134544561769003</v>
      </c>
      <c r="KQ80" s="3">
        <f ca="1">IFERROR(__xludf.DUMMYFUNCTION("""COMPUTED_VALUE"""),-0.651026936405683)</f>
        <v>-0.65102693640568299</v>
      </c>
      <c r="KR80" s="3">
        <f ca="1">IFERROR(__xludf.DUMMYFUNCTION("""COMPUTED_VALUE"""),-0.676720250843212)</f>
        <v>-0.67672025084321197</v>
      </c>
      <c r="KS80" s="3">
        <f ca="1">IFERROR(__xludf.DUMMYFUNCTION("""COMPUTED_VALUE"""),-0.693110605532523)</f>
        <v>-0.69311060553252302</v>
      </c>
      <c r="KT80" s="3">
        <f ca="1">IFERROR(__xludf.DUMMYFUNCTION("""COMPUTED_VALUE"""),-0.707859404090164)</f>
        <v>-0.70785940409016401</v>
      </c>
      <c r="KU80" s="3">
        <f ca="1">IFERROR(__xludf.DUMMYFUNCTION("""COMPUTED_VALUE"""),-0.638167216898001)</f>
        <v>-0.63816721689800104</v>
      </c>
      <c r="KV80" s="3">
        <f ca="1">IFERROR(__xludf.DUMMYFUNCTION("""COMPUTED_VALUE"""),-0.634216061161477)</f>
        <v>-0.634216061161477</v>
      </c>
      <c r="KW80" s="3">
        <f ca="1">IFERROR(__xludf.DUMMYFUNCTION("""COMPUTED_VALUE"""),-0.642358416197868)</f>
        <v>-0.64235841619786804</v>
      </c>
      <c r="KX80" s="3">
        <f ca="1">IFERROR(__xludf.DUMMYFUNCTION("""COMPUTED_VALUE"""),-0.575076849306504)</f>
        <v>-0.57507684930650405</v>
      </c>
      <c r="KY80" s="3">
        <f ca="1">IFERROR(__xludf.DUMMYFUNCTION("""COMPUTED_VALUE"""),-0.631850881409163)</f>
        <v>-0.63185088140916301</v>
      </c>
      <c r="KZ80" s="3">
        <f ca="1">IFERROR(__xludf.DUMMYFUNCTION("""COMPUTED_VALUE"""),-0.688141290396095)</f>
        <v>-0.68814129039609495</v>
      </c>
      <c r="LA80" s="3">
        <f ca="1">IFERROR(__xludf.DUMMYFUNCTION("""COMPUTED_VALUE"""),-0.711400731679248)</f>
        <v>-0.711400731679248</v>
      </c>
      <c r="LB80" s="3">
        <f ca="1">IFERROR(__xludf.DUMMYFUNCTION("""COMPUTED_VALUE"""),-0.708805381592378)</f>
        <v>-0.70880538159237805</v>
      </c>
      <c r="LC80" s="3">
        <f ca="1">IFERROR(__xludf.DUMMYFUNCTION("""COMPUTED_VALUE"""),-0.654138707012204)</f>
        <v>-0.654138707012204</v>
      </c>
      <c r="LD80" s="3">
        <f ca="1">IFERROR(__xludf.DUMMYFUNCTION("""COMPUTED_VALUE"""),-0.630462451830123)</f>
        <v>-0.63046245183012295</v>
      </c>
      <c r="LE80" s="3">
        <f ca="1">IFERROR(__xludf.DUMMYFUNCTION("""COMPUTED_VALUE"""),-0.608421316421433)</f>
        <v>-0.60842131642143304</v>
      </c>
      <c r="LF80" s="3">
        <f ca="1">IFERROR(__xludf.DUMMYFUNCTION("""COMPUTED_VALUE"""),-0.652773606386318)</f>
        <v>-0.65277360638631798</v>
      </c>
      <c r="LG80" s="3">
        <f ca="1">IFERROR(__xludf.DUMMYFUNCTION("""COMPUTED_VALUE"""),-0.747809793563224)</f>
        <v>-0.74780979356322397</v>
      </c>
      <c r="LH80" s="3">
        <f ca="1">IFERROR(__xludf.DUMMYFUNCTION("""COMPUTED_VALUE"""),-0.683645321594846)</f>
        <v>-0.68364532159484603</v>
      </c>
      <c r="LI80" s="3">
        <f ca="1">IFERROR(__xludf.DUMMYFUNCTION("""COMPUTED_VALUE"""),-0.687682709794393)</f>
        <v>-0.68768270979439305</v>
      </c>
      <c r="LJ80" s="3">
        <f ca="1">IFERROR(__xludf.DUMMYFUNCTION("""COMPUTED_VALUE"""),-0.665335002340027)</f>
        <v>-0.66533500234002696</v>
      </c>
      <c r="LK80" s="3">
        <f ca="1">IFERROR(__xludf.DUMMYFUNCTION("""COMPUTED_VALUE"""),-0.665908370426503)</f>
        <v>-0.66590837042650297</v>
      </c>
      <c r="LL80" s="3">
        <f ca="1">IFERROR(__xludf.DUMMYFUNCTION("""COMPUTED_VALUE"""),-0.663792288467753)</f>
        <v>-0.66379228846775296</v>
      </c>
      <c r="LM80" s="3">
        <f ca="1">IFERROR(__xludf.DUMMYFUNCTION("""COMPUTED_VALUE"""),-0.713272955933342)</f>
        <v>-0.71327295593334195</v>
      </c>
      <c r="LN80" s="3">
        <f ca="1">IFERROR(__xludf.DUMMYFUNCTION("""COMPUTED_VALUE"""),-0.781721759307004)</f>
        <v>-0.78172175930700405</v>
      </c>
      <c r="LO80" s="3">
        <f ca="1">IFERROR(__xludf.DUMMYFUNCTION("""COMPUTED_VALUE"""),-0.783084586453515)</f>
        <v>-0.78308458645351497</v>
      </c>
      <c r="LP80" s="3">
        <f ca="1">IFERROR(__xludf.DUMMYFUNCTION("""COMPUTED_VALUE"""),-0.701361993179679)</f>
        <v>-0.70136199317967896</v>
      </c>
      <c r="LQ80" s="3">
        <f ca="1">IFERROR(__xludf.DUMMYFUNCTION("""COMPUTED_VALUE"""),-0.677573505202809)</f>
        <v>-0.67757350520280901</v>
      </c>
      <c r="LR80" s="3">
        <f ca="1">IFERROR(__xludf.DUMMYFUNCTION("""COMPUTED_VALUE"""),-0.706983526432358)</f>
        <v>-0.70698352643235796</v>
      </c>
      <c r="LS80" s="3">
        <f ca="1">IFERROR(__xludf.DUMMYFUNCTION("""COMPUTED_VALUE"""),-0.72206874767106)</f>
        <v>-0.72206874767106</v>
      </c>
      <c r="LT80" s="3">
        <f ca="1">IFERROR(__xludf.DUMMYFUNCTION("""COMPUTED_VALUE"""),-0.742177980622662)</f>
        <v>-0.74217798062266205</v>
      </c>
      <c r="LU80" s="3">
        <f ca="1">IFERROR(__xludf.DUMMYFUNCTION("""COMPUTED_VALUE"""),-0.785173992793859)</f>
        <v>-0.78517399279385902</v>
      </c>
      <c r="LV80" s="3">
        <f ca="1">IFERROR(__xludf.DUMMYFUNCTION("""COMPUTED_VALUE"""),-0.780426528269203)</f>
        <v>-0.780426528269203</v>
      </c>
      <c r="LW80" s="3">
        <f ca="1">IFERROR(__xludf.DUMMYFUNCTION("""COMPUTED_VALUE"""),-0.735525995674709)</f>
        <v>-0.735525995674709</v>
      </c>
      <c r="LX80" s="3">
        <f ca="1">IFERROR(__xludf.DUMMYFUNCTION("""COMPUTED_VALUE"""),-0.743787249128196)</f>
        <v>-0.74378724912819605</v>
      </c>
      <c r="LY80" s="3">
        <f ca="1">IFERROR(__xludf.DUMMYFUNCTION("""COMPUTED_VALUE"""),-0.723778467640329)</f>
        <v>-0.72377846764032905</v>
      </c>
      <c r="LZ80" s="3">
        <f ca="1">IFERROR(__xludf.DUMMYFUNCTION("""COMPUTED_VALUE"""),-0.747687442924331)</f>
        <v>-0.74768744292433098</v>
      </c>
      <c r="MA80" s="3">
        <f ca="1">IFERROR(__xludf.DUMMYFUNCTION("""COMPUTED_VALUE"""),-0.746896001706999)</f>
        <v>-0.74689600170699899</v>
      </c>
      <c r="MB80" s="3">
        <f ca="1">IFERROR(__xludf.DUMMYFUNCTION("""COMPUTED_VALUE"""),-0.804414772750996)</f>
        <v>-0.80441477275099604</v>
      </c>
      <c r="MC80" s="3">
        <f ca="1">IFERROR(__xludf.DUMMYFUNCTION("""COMPUTED_VALUE"""),-0.812494102560082)</f>
        <v>-0.81249410256008203</v>
      </c>
      <c r="MD80" s="3">
        <f ca="1">IFERROR(__xludf.DUMMYFUNCTION("""COMPUTED_VALUE"""),-0.750723200537948)</f>
        <v>-0.75072320053794805</v>
      </c>
      <c r="ME80" s="3">
        <f ca="1">IFERROR(__xludf.DUMMYFUNCTION("""COMPUTED_VALUE"""),-0.72941548086909)</f>
        <v>-0.72941548086909003</v>
      </c>
      <c r="MF80" s="3">
        <f ca="1">IFERROR(__xludf.DUMMYFUNCTION("""COMPUTED_VALUE"""),-0.710062076385414)</f>
        <v>-0.71006207638541396</v>
      </c>
      <c r="MG80" s="3">
        <f ca="1">IFERROR(__xludf.DUMMYFUNCTION("""COMPUTED_VALUE"""),-0.709191304403012)</f>
        <v>-0.70919130440301203</v>
      </c>
      <c r="MH80" s="3">
        <f ca="1">IFERROR(__xludf.DUMMYFUNCTION("""COMPUTED_VALUE"""),-0.703550859046924)</f>
        <v>-0.70355085904692405</v>
      </c>
      <c r="MI80" s="3">
        <f ca="1">IFERROR(__xludf.DUMMYFUNCTION("""COMPUTED_VALUE"""),-0.720991138374022)</f>
        <v>-0.72099113837402196</v>
      </c>
      <c r="MJ80" s="3">
        <f ca="1">IFERROR(__xludf.DUMMYFUNCTION("""COMPUTED_VALUE"""),-0.789868862916174)</f>
        <v>-0.78986886291617397</v>
      </c>
      <c r="MK80" s="3">
        <f ca="1">IFERROR(__xludf.DUMMYFUNCTION("""COMPUTED_VALUE"""),-0.734022100355691)</f>
        <v>-0.73402210035569104</v>
      </c>
      <c r="ML80" s="3">
        <f ca="1">IFERROR(__xludf.DUMMYFUNCTION("""COMPUTED_VALUE"""),-0.749517259431558)</f>
        <v>-0.749517259431558</v>
      </c>
      <c r="MM80" s="3">
        <f ca="1">IFERROR(__xludf.DUMMYFUNCTION("""COMPUTED_VALUE"""),-0.711100668488743)</f>
        <v>-0.71110066848874298</v>
      </c>
      <c r="MN80" s="3">
        <f ca="1">IFERROR(__xludf.DUMMYFUNCTION("""COMPUTED_VALUE"""),-0.72811428742056)</f>
        <v>-0.72811428742055995</v>
      </c>
      <c r="MO80" s="3">
        <f ca="1">IFERROR(__xludf.DUMMYFUNCTION("""COMPUTED_VALUE"""),-0.747996731652354)</f>
        <v>-0.74799673165235403</v>
      </c>
      <c r="MP80" s="3">
        <f ca="1">IFERROR(__xludf.DUMMYFUNCTION("""COMPUTED_VALUE"""),-0.802695310511065)</f>
        <v>-0.80269531051106502</v>
      </c>
      <c r="MQ80" s="3">
        <f ca="1">IFERROR(__xludf.DUMMYFUNCTION("""COMPUTED_VALUE"""),-0.789588616795949)</f>
        <v>-0.78958861679594905</v>
      </c>
      <c r="MR80" s="3">
        <f ca="1">IFERROR(__xludf.DUMMYFUNCTION("""COMPUTED_VALUE"""),-0.762745412947894)</f>
        <v>-0.762745412947894</v>
      </c>
      <c r="MS80" s="3">
        <f ca="1">IFERROR(__xludf.DUMMYFUNCTION("""COMPUTED_VALUE"""),-0.753298641635097)</f>
        <v>-0.75329864163509697</v>
      </c>
      <c r="MT80" s="3">
        <f ca="1">IFERROR(__xludf.DUMMYFUNCTION("""COMPUTED_VALUE"""),-0.731419566011629)</f>
        <v>-0.73141956601162905</v>
      </c>
      <c r="MU80" s="3">
        <f ca="1">IFERROR(__xludf.DUMMYFUNCTION("""COMPUTED_VALUE"""),-0.723903747240001)</f>
        <v>-0.72390374724000095</v>
      </c>
      <c r="MV80" s="3">
        <f ca="1">IFERROR(__xludf.DUMMYFUNCTION("""COMPUTED_VALUE"""),-0.712446661716344)</f>
        <v>-0.71244666171634397</v>
      </c>
      <c r="MW80" s="3">
        <f ca="1">IFERROR(__xludf.DUMMYFUNCTION("""COMPUTED_VALUE"""),-0.793459067411891)</f>
        <v>-0.79345906741189098</v>
      </c>
      <c r="MX80" s="3">
        <f ca="1">IFERROR(__xludf.DUMMYFUNCTION("""COMPUTED_VALUE"""),-0.780669530706216)</f>
        <v>-0.78066953070621603</v>
      </c>
      <c r="MY80" s="3">
        <f ca="1">IFERROR(__xludf.DUMMYFUNCTION("""COMPUTED_VALUE"""),-0.712290003425486)</f>
        <v>-0.71229000342548598</v>
      </c>
      <c r="MZ80" s="3">
        <f ca="1">IFERROR(__xludf.DUMMYFUNCTION("""COMPUTED_VALUE"""),-0.745289242620566)</f>
        <v>-0.74528924262056595</v>
      </c>
      <c r="NA80" s="3">
        <f ca="1">IFERROR(__xludf.DUMMYFUNCTION("""COMPUTED_VALUE"""),-0.734924101272218)</f>
        <v>-0.73492410127221797</v>
      </c>
      <c r="NB80" s="3">
        <f ca="1">IFERROR(__xludf.DUMMYFUNCTION("""COMPUTED_VALUE"""),-0.717609396940176)</f>
        <v>-0.717609396940176</v>
      </c>
      <c r="NC80" s="3">
        <f ca="1">IFERROR(__xludf.DUMMYFUNCTION("""COMPUTED_VALUE"""),-0.728206324524761)</f>
        <v>-0.72820632452476097</v>
      </c>
      <c r="ND80" s="3">
        <f ca="1">IFERROR(__xludf.DUMMYFUNCTION("""COMPUTED_VALUE"""),-0.783318486818936)</f>
        <v>-0.78331848681893601</v>
      </c>
      <c r="NE80" s="3">
        <f ca="1">IFERROR(__xludf.DUMMYFUNCTION("""COMPUTED_VALUE"""),-0.756080009542682)</f>
        <v>-0.75608000954268195</v>
      </c>
      <c r="NF80" s="3">
        <f ca="1">IFERROR(__xludf.DUMMYFUNCTION("""COMPUTED_VALUE"""),-0.739471417230873)</f>
        <v>-0.73947141723087295</v>
      </c>
      <c r="NG80" s="3">
        <f ca="1">IFERROR(__xludf.DUMMYFUNCTION("""COMPUTED_VALUE"""),-0.733925670348521)</f>
        <v>-0.73392567034852096</v>
      </c>
      <c r="NH80" s="3">
        <f ca="1">IFERROR(__xludf.DUMMYFUNCTION("""COMPUTED_VALUE"""),-0.67804710430957)</f>
        <v>-0.67804710430957005</v>
      </c>
      <c r="NI80" s="3">
        <f ca="1">IFERROR(__xludf.DUMMYFUNCTION("""COMPUTED_VALUE"""),-0.709280068769429)</f>
        <v>-0.70928006876942895</v>
      </c>
      <c r="NJ80" s="3">
        <f ca="1">IFERROR(__xludf.DUMMYFUNCTION("""COMPUTED_VALUE"""),-0.719887404562082)</f>
        <v>-0.719887404562082</v>
      </c>
      <c r="NK80" s="3">
        <f ca="1">IFERROR(__xludf.DUMMYFUNCTION("""COMPUTED_VALUE"""),-0.7766547604272)</f>
        <v>-0.77665476042720005</v>
      </c>
      <c r="NL80" s="3">
        <f ca="1">IFERROR(__xludf.DUMMYFUNCTION("""COMPUTED_VALUE"""),-0.760205207586806)</f>
        <v>-0.76020520758680599</v>
      </c>
      <c r="NM80" s="3">
        <f ca="1">IFERROR(__xludf.DUMMYFUNCTION("""COMPUTED_VALUE"""),-0.679052577635557)</f>
        <v>-0.67905257763555704</v>
      </c>
      <c r="NN80" s="3">
        <f ca="1">IFERROR(__xludf.DUMMYFUNCTION("""COMPUTED_VALUE"""),-0.642021050322391)</f>
        <v>-0.64202105032239098</v>
      </c>
      <c r="NO80" s="3">
        <f ca="1">IFERROR(__xludf.DUMMYFUNCTION("""COMPUTED_VALUE"""),-0.61288802142342)</f>
        <v>-0.61288802142342003</v>
      </c>
      <c r="NP80" s="3">
        <f ca="1">IFERROR(__xludf.DUMMYFUNCTION("""COMPUTED_VALUE"""),-0.6128654614451)</f>
        <v>-0.61286546144510001</v>
      </c>
      <c r="NQ80" s="3">
        <f ca="1">IFERROR(__xludf.DUMMYFUNCTION("""COMPUTED_VALUE"""),-0.63709251841338)</f>
        <v>-0.63709251841337999</v>
      </c>
      <c r="NR80" s="3">
        <f ca="1">IFERROR(__xludf.DUMMYFUNCTION("""COMPUTED_VALUE"""),-0.747442580116047)</f>
        <v>-0.74744258011604703</v>
      </c>
      <c r="NS80" s="3">
        <f ca="1">IFERROR(__xludf.DUMMYFUNCTION("""COMPUTED_VALUE"""),-0.751354216478085)</f>
        <v>-0.75135421647808498</v>
      </c>
      <c r="NT80" s="3">
        <f ca="1">IFERROR(__xludf.DUMMYFUNCTION("""COMPUTED_VALUE"""),-0.692818770225873)</f>
        <v>-0.69281877022587302</v>
      </c>
      <c r="NU80" s="3">
        <f ca="1">IFERROR(__xludf.DUMMYFUNCTION("""COMPUTED_VALUE"""),-0.688109952217924)</f>
        <v>-0.68810995221792404</v>
      </c>
      <c r="NV80" s="3">
        <f ca="1">IFERROR(__xludf.DUMMYFUNCTION("""COMPUTED_VALUE"""),-0.644202158495955)</f>
        <v>-0.64420215849595497</v>
      </c>
      <c r="NW80" s="3">
        <f ca="1">IFERROR(__xludf.DUMMYFUNCTION("""COMPUTED_VALUE"""),-0.640299050527988)</f>
        <v>-0.64029905052798797</v>
      </c>
      <c r="NX80" s="3">
        <f ca="1">IFERROR(__xludf.DUMMYFUNCTION("""COMPUTED_VALUE"""),-0.673815438949072)</f>
        <v>-0.67381543894907203</v>
      </c>
      <c r="NY80" s="3">
        <f ca="1">IFERROR(__xludf.DUMMYFUNCTION("""COMPUTED_VALUE"""),-0.676766866991914)</f>
        <v>-0.67676686699191402</v>
      </c>
      <c r="NZ80" s="3">
        <f ca="1">IFERROR(__xludf.DUMMYFUNCTION("""COMPUTED_VALUE"""),-0.633284992730519)</f>
        <v>-0.63328499273051897</v>
      </c>
      <c r="OA80" s="3">
        <f ca="1">IFERROR(__xludf.DUMMYFUNCTION("""COMPUTED_VALUE"""),-0.567661354018482)</f>
        <v>-0.56766135401848195</v>
      </c>
      <c r="OB80" s="3">
        <f ca="1">IFERROR(__xludf.DUMMYFUNCTION("""COMPUTED_VALUE"""),-0.575154205967122)</f>
        <v>-0.57515420596712197</v>
      </c>
      <c r="OC80" s="3">
        <f ca="1">IFERROR(__xludf.DUMMYFUNCTION("""COMPUTED_VALUE"""),-0.503377383957192)</f>
        <v>-0.503377383957192</v>
      </c>
      <c r="OD80" s="3">
        <f ca="1">IFERROR(__xludf.DUMMYFUNCTION("""COMPUTED_VALUE"""),-0.544134400498311)</f>
        <v>-0.54413440049831097</v>
      </c>
      <c r="OE80" s="3">
        <f ca="1">IFERROR(__xludf.DUMMYFUNCTION("""COMPUTED_VALUE"""),-0.520828876844011)</f>
        <v>-0.52082887684401102</v>
      </c>
      <c r="OF80" s="3">
        <f ca="1">IFERROR(__xludf.DUMMYFUNCTION("""COMPUTED_VALUE"""),-0.474676315857902)</f>
        <v>-0.47467631585790199</v>
      </c>
      <c r="OG80" s="3">
        <f ca="1">IFERROR(__xludf.DUMMYFUNCTION("""COMPUTED_VALUE"""),-0.417146432070979)</f>
        <v>-0.41714643207097901</v>
      </c>
      <c r="OH80" s="3">
        <f ca="1">IFERROR(__xludf.DUMMYFUNCTION("""COMPUTED_VALUE"""),-0.354473678650476)</f>
        <v>-0.35447367865047602</v>
      </c>
      <c r="OI80" s="3">
        <f ca="1">IFERROR(__xludf.DUMMYFUNCTION("""COMPUTED_VALUE"""),-0.310312426858239)</f>
        <v>-0.31031242685823901</v>
      </c>
      <c r="OJ80" s="3">
        <f ca="1">IFERROR(__xludf.DUMMYFUNCTION("""COMPUTED_VALUE"""),-0.199580517512796)</f>
        <v>-0.19958051751279601</v>
      </c>
      <c r="OK80" s="3">
        <f ca="1">IFERROR(__xludf.DUMMYFUNCTION("""COMPUTED_VALUE"""),-0.122520352322877)</f>
        <v>-0.122520352322877</v>
      </c>
      <c r="OL80" s="3">
        <f ca="1">IFERROR(__xludf.DUMMYFUNCTION("""COMPUTED_VALUE"""),-0.1295891509557)</f>
        <v>-0.12958915095570001</v>
      </c>
      <c r="OM80" s="3">
        <f ca="1">IFERROR(__xludf.DUMMYFUNCTION("""COMPUTED_VALUE"""),-0.121446821151163)</f>
        <v>-0.121446821151163</v>
      </c>
      <c r="ON80" s="3">
        <f ca="1">IFERROR(__xludf.DUMMYFUNCTION("""COMPUTED_VALUE"""),-0.0591428365828732)</f>
        <v>-5.9142836582873198E-2</v>
      </c>
      <c r="OO80" s="3">
        <f ca="1">IFERROR(__xludf.DUMMYFUNCTION("""COMPUTED_VALUE"""),-0.129291029393031)</f>
        <v>-0.129291029393031</v>
      </c>
      <c r="OP80" s="3">
        <f ca="1">IFERROR(__xludf.DUMMYFUNCTION("""COMPUTED_VALUE"""),-0.0711782168812322)</f>
        <v>-7.1178216881232201E-2</v>
      </c>
      <c r="OQ80" s="3">
        <f ca="1">IFERROR(__xludf.DUMMYFUNCTION("""COMPUTED_VALUE"""),-0.0514965686509237)</f>
        <v>-5.1496568650923703E-2</v>
      </c>
      <c r="OR80" s="3">
        <f ca="1">IFERROR(__xludf.DUMMYFUNCTION("""COMPUTED_VALUE"""),-0.0326550495265877)</f>
        <v>-3.2655049526587702E-2</v>
      </c>
      <c r="OS80" s="3">
        <f ca="1">IFERROR(__xludf.DUMMYFUNCTION("""COMPUTED_VALUE"""),-0.0933285184200866)</f>
        <v>-9.3328518420086604E-2</v>
      </c>
      <c r="OT80" s="3">
        <f ca="1">IFERROR(__xludf.DUMMYFUNCTION("""COMPUTED_VALUE"""),-0.0798587953144503)</f>
        <v>-7.9858795314450295E-2</v>
      </c>
      <c r="OU80" s="3">
        <f ca="1">IFERROR(__xludf.DUMMYFUNCTION("""COMPUTED_VALUE"""),-0.0863580632971473)</f>
        <v>-8.6358063297147306E-2</v>
      </c>
      <c r="OV80" s="3">
        <f ca="1">IFERROR(__xludf.DUMMYFUNCTION("""COMPUTED_VALUE"""),-0.0643426386188771)</f>
        <v>-6.4342638618877096E-2</v>
      </c>
      <c r="OW80" s="3">
        <f ca="1">IFERROR(__xludf.DUMMYFUNCTION("""COMPUTED_VALUE"""),-0.0282000413620909)</f>
        <v>-2.8200041362090901E-2</v>
      </c>
      <c r="OX80" s="3">
        <f ca="1">IFERROR(__xludf.DUMMYFUNCTION("""COMPUTED_VALUE"""),-0.0220128167858291)</f>
        <v>-2.2012816785829101E-2</v>
      </c>
      <c r="OY80" s="3">
        <f ca="1">IFERROR(__xludf.DUMMYFUNCTION("""COMPUTED_VALUE"""),0.0483642292225059)</f>
        <v>4.8364229222505897E-2</v>
      </c>
      <c r="OZ80" s="3">
        <f ca="1">IFERROR(__xludf.DUMMYFUNCTION("""COMPUTED_VALUE"""),0.0605189732226008)</f>
        <v>6.0518973222600803E-2</v>
      </c>
      <c r="PA80" s="3">
        <f ca="1">IFERROR(__xludf.DUMMYFUNCTION("""COMPUTED_VALUE"""),-0.00211503876902097)</f>
        <v>-2.1150387690209698E-3</v>
      </c>
      <c r="PB80" s="3">
        <f ca="1">IFERROR(__xludf.DUMMYFUNCTION("""COMPUTED_VALUE"""),-0.0111965228699149)</f>
        <v>-1.1196522869914899E-2</v>
      </c>
      <c r="PC80" s="3">
        <f ca="1">IFERROR(__xludf.DUMMYFUNCTION("""COMPUTED_VALUE"""),-0.0707590599398607)</f>
        <v>-7.0759059939860702E-2</v>
      </c>
      <c r="PD80" s="3">
        <f ca="1">IFERROR(__xludf.DUMMYFUNCTION("""COMPUTED_VALUE"""),-0.0357737031718093)</f>
        <v>-3.57737031718093E-2</v>
      </c>
      <c r="PE80" s="3">
        <f ca="1">IFERROR(__xludf.DUMMYFUNCTION("""COMPUTED_VALUE"""),0.0110306819894048)</f>
        <v>1.10306819894048E-2</v>
      </c>
      <c r="PF80" s="3">
        <f ca="1">IFERROR(__xludf.DUMMYFUNCTION("""COMPUTED_VALUE"""),0.102147978567359)</f>
        <v>0.10214797856735899</v>
      </c>
      <c r="PG80" s="3">
        <f ca="1">IFERROR(__xludf.DUMMYFUNCTION("""COMPUTED_VALUE"""),0.0923075914509616)</f>
        <v>9.2307591450961596E-2</v>
      </c>
      <c r="PH80" s="3">
        <f ca="1">IFERROR(__xludf.DUMMYFUNCTION("""COMPUTED_VALUE"""),-0.0658844086335309)</f>
        <v>-6.58844086335309E-2</v>
      </c>
      <c r="PI80" s="3">
        <f ca="1">IFERROR(__xludf.DUMMYFUNCTION("""COMPUTED_VALUE"""),-0.124686028825112)</f>
        <v>-0.124686028825112</v>
      </c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</row>
    <row r="81" spans="1:477" ht="13">
      <c r="A81" s="1" t="str">
        <f ca="1">IFERROR(__xludf.DUMMYFUNCTION("""COMPUTED_VALUE"""),"NICE Bus")</f>
        <v>NICE Bus</v>
      </c>
      <c r="B81" s="1" t="str">
        <f ca="1">IFERROR(__xludf.DUMMYFUNCTION("""COMPUTED_VALUE"""),"NYC")</f>
        <v>NYC</v>
      </c>
      <c r="C81" s="1" t="str">
        <f ca="1">IFERROR(__xludf.DUMMYFUNCTION("""COMPUTED_VALUE"""),"United States")</f>
        <v>United States</v>
      </c>
      <c r="D81" s="1" t="str">
        <f ca="1">IFERROR(__xludf.DUMMYFUNCTION("""COMPUTED_VALUE"""),"New York")</f>
        <v>New York</v>
      </c>
      <c r="E81" s="3">
        <f ca="1">IFERROR(__xludf.DUMMYFUNCTION("""COMPUTED_VALUE"""),-0.412013182843989)</f>
        <v>-0.41201318284398902</v>
      </c>
      <c r="F81" s="3">
        <f ca="1">IFERROR(__xludf.DUMMYFUNCTION("""COMPUTED_VALUE"""),-0.460547732026603)</f>
        <v>-0.46054773202660299</v>
      </c>
      <c r="G81" s="3">
        <f ca="1">IFERROR(__xludf.DUMMYFUNCTION("""COMPUTED_VALUE"""),-0.493021500745606)</f>
        <v>-0.49302150074560602</v>
      </c>
      <c r="H81" s="3">
        <f ca="1">IFERROR(__xludf.DUMMYFUNCTION("""COMPUTED_VALUE"""),-0.512552450397432)</f>
        <v>-0.51255245039743202</v>
      </c>
      <c r="I81" s="3">
        <f ca="1">IFERROR(__xludf.DUMMYFUNCTION("""COMPUTED_VALUE"""),-0.511990033660194)</f>
        <v>-0.51199003366019402</v>
      </c>
      <c r="J81" s="3">
        <f ca="1">IFERROR(__xludf.DUMMYFUNCTION("""COMPUTED_VALUE"""),-0.504892078847497)</f>
        <v>-0.50489207884749698</v>
      </c>
      <c r="K81" s="3">
        <f ca="1">IFERROR(__xludf.DUMMYFUNCTION("""COMPUTED_VALUE"""),-0.477795206958782)</f>
        <v>-0.47779520695878203</v>
      </c>
      <c r="L81" s="3">
        <f ca="1">IFERROR(__xludf.DUMMYFUNCTION("""COMPUTED_VALUE"""),-0.464798939038123)</f>
        <v>-0.46479893903812303</v>
      </c>
      <c r="M81" s="3">
        <f ca="1">IFERROR(__xludf.DUMMYFUNCTION("""COMPUTED_VALUE"""),-0.528481995129261)</f>
        <v>-0.52848199512926097</v>
      </c>
      <c r="N81" s="3">
        <f ca="1">IFERROR(__xludf.DUMMYFUNCTION("""COMPUTED_VALUE"""),-0.544529004600976)</f>
        <v>-0.54452900460097597</v>
      </c>
      <c r="O81" s="3">
        <f ca="1">IFERROR(__xludf.DUMMYFUNCTION("""COMPUTED_VALUE"""),-0.546890689655352)</f>
        <v>-0.54689068965535204</v>
      </c>
      <c r="P81" s="3">
        <f ca="1">IFERROR(__xludf.DUMMYFUNCTION("""COMPUTED_VALUE"""),-0.515753353314057)</f>
        <v>-0.51575335331405703</v>
      </c>
      <c r="Q81" s="3">
        <f ca="1">IFERROR(__xludf.DUMMYFUNCTION("""COMPUTED_VALUE"""),-0.523354526974131)</f>
        <v>-0.52335452697413098</v>
      </c>
      <c r="R81" s="3">
        <f ca="1">IFERROR(__xludf.DUMMYFUNCTION("""COMPUTED_VALUE"""),-0.475870413317002)</f>
        <v>-0.47587041331700197</v>
      </c>
      <c r="S81" s="3">
        <f ca="1">IFERROR(__xludf.DUMMYFUNCTION("""COMPUTED_VALUE"""),-0.414897416573517)</f>
        <v>-0.41489741657351698</v>
      </c>
      <c r="T81" s="3">
        <f ca="1">IFERROR(__xludf.DUMMYFUNCTION("""COMPUTED_VALUE"""),-0.482369916788624)</f>
        <v>-0.48236991678862401</v>
      </c>
      <c r="U81" s="3">
        <f ca="1">IFERROR(__xludf.DUMMYFUNCTION("""COMPUTED_VALUE"""),-0.512973766567403)</f>
        <v>-0.51297376656740301</v>
      </c>
      <c r="V81" s="3">
        <f ca="1">IFERROR(__xludf.DUMMYFUNCTION("""COMPUTED_VALUE"""),-0.544738732192078)</f>
        <v>-0.54473873219207802</v>
      </c>
      <c r="W81" s="3">
        <f ca="1">IFERROR(__xludf.DUMMYFUNCTION("""COMPUTED_VALUE"""),-0.516031791577675)</f>
        <v>-0.51603179157767498</v>
      </c>
      <c r="X81" s="3">
        <f ca="1">IFERROR(__xludf.DUMMYFUNCTION("""COMPUTED_VALUE"""),-0.492225997544705)</f>
        <v>-0.49222599754470497</v>
      </c>
      <c r="Y81" s="3">
        <f ca="1">IFERROR(__xludf.DUMMYFUNCTION("""COMPUTED_VALUE"""),-0.391982328294552)</f>
        <v>-0.39198232829455198</v>
      </c>
      <c r="Z81" s="3">
        <f ca="1">IFERROR(__xludf.DUMMYFUNCTION("""COMPUTED_VALUE"""),-0.415701020253563)</f>
        <v>-0.41570102025356298</v>
      </c>
      <c r="AA81" s="3">
        <f ca="1">IFERROR(__xludf.DUMMYFUNCTION("""COMPUTED_VALUE"""),-0.502400577516088)</f>
        <v>-0.50240057751608802</v>
      </c>
      <c r="AB81" s="3">
        <f ca="1">IFERROR(__xludf.DUMMYFUNCTION("""COMPUTED_VALUE"""),-0.552411449644088)</f>
        <v>-0.55241144964408795</v>
      </c>
      <c r="AC81" s="3">
        <f ca="1">IFERROR(__xludf.DUMMYFUNCTION("""COMPUTED_VALUE"""),-0.533866283501531)</f>
        <v>-0.53386628350153098</v>
      </c>
      <c r="AD81" s="3">
        <f ca="1">IFERROR(__xludf.DUMMYFUNCTION("""COMPUTED_VALUE"""),-0.541141738189338)</f>
        <v>-0.54114173818933797</v>
      </c>
      <c r="AE81" s="3">
        <f ca="1">IFERROR(__xludf.DUMMYFUNCTION("""COMPUTED_VALUE"""),-0.529347990914287)</f>
        <v>-0.52934799091428697</v>
      </c>
      <c r="AF81" s="3">
        <f ca="1">IFERROR(__xludf.DUMMYFUNCTION("""COMPUTED_VALUE"""),-0.393253225529892)</f>
        <v>-0.393253225529892</v>
      </c>
      <c r="AG81" s="3">
        <f ca="1">IFERROR(__xludf.DUMMYFUNCTION("""COMPUTED_VALUE"""),-0.426650413157889)</f>
        <v>-0.42665041315788899</v>
      </c>
      <c r="AH81" s="3">
        <f ca="1">IFERROR(__xludf.DUMMYFUNCTION("""COMPUTED_VALUE"""),-0.476533704626348)</f>
        <v>-0.47653370462634798</v>
      </c>
      <c r="AI81" s="3">
        <f ca="1">IFERROR(__xludf.DUMMYFUNCTION("""COMPUTED_VALUE"""),-0.501697644295921)</f>
        <v>-0.50169764429592101</v>
      </c>
      <c r="AJ81" s="3">
        <f ca="1">IFERROR(__xludf.DUMMYFUNCTION("""COMPUTED_VALUE"""),-0.516374861570628)</f>
        <v>-0.51637486157062795</v>
      </c>
      <c r="AK81" s="3">
        <f ca="1">IFERROR(__xludf.DUMMYFUNCTION("""COMPUTED_VALUE"""),-0.508471632402588)</f>
        <v>-0.50847163240258797</v>
      </c>
      <c r="AL81" s="3">
        <f ca="1">IFERROR(__xludf.DUMMYFUNCTION("""COMPUTED_VALUE"""),-0.487003606811728)</f>
        <v>-0.487003606811728</v>
      </c>
      <c r="AM81" s="3">
        <f ca="1">IFERROR(__xludf.DUMMYFUNCTION("""COMPUTED_VALUE"""),-0.397418075398973)</f>
        <v>-0.397418075398973</v>
      </c>
      <c r="AN81" s="3">
        <f ca="1">IFERROR(__xludf.DUMMYFUNCTION("""COMPUTED_VALUE"""),-0.441175138761985)</f>
        <v>-0.441175138761985</v>
      </c>
      <c r="AO81" s="3">
        <f ca="1">IFERROR(__xludf.DUMMYFUNCTION("""COMPUTED_VALUE"""),-0.519913232995486)</f>
        <v>-0.51991323299548597</v>
      </c>
      <c r="AP81" s="3">
        <f ca="1">IFERROR(__xludf.DUMMYFUNCTION("""COMPUTED_VALUE"""),-0.543329934768638)</f>
        <v>-0.543329934768638</v>
      </c>
      <c r="AQ81" s="3">
        <f ca="1">IFERROR(__xludf.DUMMYFUNCTION("""COMPUTED_VALUE"""),-0.521012555083368)</f>
        <v>-0.52101255508336797</v>
      </c>
      <c r="AR81" s="3">
        <f ca="1">IFERROR(__xludf.DUMMYFUNCTION("""COMPUTED_VALUE"""),-0.55801851096329)</f>
        <v>-0.55801851096329003</v>
      </c>
      <c r="AS81" s="3">
        <f ca="1">IFERROR(__xludf.DUMMYFUNCTION("""COMPUTED_VALUE"""),-0.484560033339623)</f>
        <v>-0.484560033339623</v>
      </c>
      <c r="AT81" s="3">
        <f ca="1">IFERROR(__xludf.DUMMYFUNCTION("""COMPUTED_VALUE"""),-0.402301238818)</f>
        <v>-0.40230123881800001</v>
      </c>
      <c r="AU81" s="3">
        <f ca="1">IFERROR(__xludf.DUMMYFUNCTION("""COMPUTED_VALUE"""),-0.46253671998096)</f>
        <v>-0.46253671998096002</v>
      </c>
      <c r="AV81" s="3">
        <f ca="1">IFERROR(__xludf.DUMMYFUNCTION("""COMPUTED_VALUE"""),-0.486856479558924)</f>
        <v>-0.48685647955892403</v>
      </c>
      <c r="AW81" s="3">
        <f ca="1">IFERROR(__xludf.DUMMYFUNCTION("""COMPUTED_VALUE"""),-0.501683078910842)</f>
        <v>-0.50168307891084196</v>
      </c>
      <c r="AX81" s="3">
        <f ca="1">IFERROR(__xludf.DUMMYFUNCTION("""COMPUTED_VALUE"""),-0.479485340639765)</f>
        <v>-0.479485340639765</v>
      </c>
      <c r="AY81" s="3">
        <f ca="1">IFERROR(__xludf.DUMMYFUNCTION("""COMPUTED_VALUE"""),-0.524583234104655)</f>
        <v>-0.52458323410465502</v>
      </c>
      <c r="AZ81" s="3">
        <f ca="1">IFERROR(__xludf.DUMMYFUNCTION("""COMPUTED_VALUE"""),-0.488990059524798)</f>
        <v>-0.48899005952479802</v>
      </c>
      <c r="BA81" s="3">
        <f ca="1">IFERROR(__xludf.DUMMYFUNCTION("""COMPUTED_VALUE"""),-0.409544471233953)</f>
        <v>-0.40954447123395299</v>
      </c>
      <c r="BB81" s="3">
        <f ca="1">IFERROR(__xludf.DUMMYFUNCTION("""COMPUTED_VALUE"""),-0.429870332691977)</f>
        <v>-0.429870332691977</v>
      </c>
      <c r="BC81" s="3">
        <f ca="1">IFERROR(__xludf.DUMMYFUNCTION("""COMPUTED_VALUE"""),-0.502524880339696)</f>
        <v>-0.502524880339696</v>
      </c>
      <c r="BD81" s="3">
        <f ca="1">IFERROR(__xludf.DUMMYFUNCTION("""COMPUTED_VALUE"""),-0.538404230748224)</f>
        <v>-0.53840423074822397</v>
      </c>
      <c r="BE81" s="3">
        <f ca="1">IFERROR(__xludf.DUMMYFUNCTION("""COMPUTED_VALUE"""),-0.500286931827183)</f>
        <v>-0.50028693182718298</v>
      </c>
      <c r="BF81" s="3">
        <f ca="1">IFERROR(__xludf.DUMMYFUNCTION("""COMPUTED_VALUE"""),-0.490922959540371)</f>
        <v>-0.49092295954037102</v>
      </c>
      <c r="BG81" s="3">
        <f ca="1">IFERROR(__xludf.DUMMYFUNCTION("""COMPUTED_VALUE"""),-0.471201854743999)</f>
        <v>-0.471201854743999</v>
      </c>
      <c r="BH81" s="3">
        <f ca="1">IFERROR(__xludf.DUMMYFUNCTION("""COMPUTED_VALUE"""),-0.393548598239044)</f>
        <v>-0.39354859823904398</v>
      </c>
      <c r="BI81" s="3">
        <f ca="1">IFERROR(__xludf.DUMMYFUNCTION("""COMPUTED_VALUE"""),-0.455670795779774)</f>
        <v>-0.45567079577977398</v>
      </c>
      <c r="BJ81" s="3">
        <f ca="1">IFERROR(__xludf.DUMMYFUNCTION("""COMPUTED_VALUE"""),-0.523914626508701)</f>
        <v>-0.52391462650870102</v>
      </c>
      <c r="BK81" s="3">
        <f ca="1">IFERROR(__xludf.DUMMYFUNCTION("""COMPUTED_VALUE"""),-0.530994522070962)</f>
        <v>-0.53099452207096198</v>
      </c>
      <c r="BL81" s="3">
        <f ca="1">IFERROR(__xludf.DUMMYFUNCTION("""COMPUTED_VALUE"""),-0.541910297943657)</f>
        <v>-0.54191029794365697</v>
      </c>
      <c r="BM81" s="3">
        <f ca="1">IFERROR(__xludf.DUMMYFUNCTION("""COMPUTED_VALUE"""),-0.552435592006829)</f>
        <v>-0.55243559200682901</v>
      </c>
      <c r="BN81" s="3">
        <f ca="1">IFERROR(__xludf.DUMMYFUNCTION("""COMPUTED_VALUE"""),-0.51893897743104)</f>
        <v>-0.51893897743104</v>
      </c>
      <c r="BO81" s="3">
        <f ca="1">IFERROR(__xludf.DUMMYFUNCTION("""COMPUTED_VALUE"""),-0.454876953274816)</f>
        <v>-0.45487695327481598</v>
      </c>
      <c r="BP81" s="3">
        <f ca="1">IFERROR(__xludf.DUMMYFUNCTION("""COMPUTED_VALUE"""),-0.414479478452128)</f>
        <v>-0.41447947845212801</v>
      </c>
      <c r="BQ81" s="3">
        <f ca="1">IFERROR(__xludf.DUMMYFUNCTION("""COMPUTED_VALUE"""),-0.525896586724733)</f>
        <v>-0.52589658672473305</v>
      </c>
      <c r="BR81" s="3">
        <f ca="1">IFERROR(__xludf.DUMMYFUNCTION("""COMPUTED_VALUE"""),-0.523845243551809)</f>
        <v>-0.52384524355180895</v>
      </c>
      <c r="BS81" s="3">
        <f ca="1">IFERROR(__xludf.DUMMYFUNCTION("""COMPUTED_VALUE"""),-0.538571418317924)</f>
        <v>-0.53857141831792399</v>
      </c>
      <c r="BT81" s="3">
        <f ca="1">IFERROR(__xludf.DUMMYFUNCTION("""COMPUTED_VALUE"""),-0.563580175337533)</f>
        <v>-0.56358017533753302</v>
      </c>
      <c r="BU81" s="3">
        <f ca="1">IFERROR(__xludf.DUMMYFUNCTION("""COMPUTED_VALUE"""),-0.623856419552614)</f>
        <v>-0.62385641955261395</v>
      </c>
      <c r="BV81" s="3">
        <f ca="1">IFERROR(__xludf.DUMMYFUNCTION("""COMPUTED_VALUE"""),-0.456867252818993)</f>
        <v>-0.45686725281899299</v>
      </c>
      <c r="BW81" s="3">
        <f ca="1">IFERROR(__xludf.DUMMYFUNCTION("""COMPUTED_VALUE"""),-0.492443715217804)</f>
        <v>-0.492443715217804</v>
      </c>
      <c r="BX81" s="3">
        <f ca="1">IFERROR(__xludf.DUMMYFUNCTION("""COMPUTED_VALUE"""),-0.605422342857053)</f>
        <v>-0.60542234285705299</v>
      </c>
      <c r="BY81" s="3">
        <f ca="1">IFERROR(__xludf.DUMMYFUNCTION("""COMPUTED_VALUE"""),-0.58841993698241)</f>
        <v>-0.58841993698241002</v>
      </c>
      <c r="BZ81" s="3">
        <f ca="1">IFERROR(__xludf.DUMMYFUNCTION("""COMPUTED_VALUE"""),-0.582761062691085)</f>
        <v>-0.58276106269108496</v>
      </c>
      <c r="CA81" s="3">
        <f ca="1">IFERROR(__xludf.DUMMYFUNCTION("""COMPUTED_VALUE"""),-0.600572714785378)</f>
        <v>-0.60057271478537799</v>
      </c>
      <c r="CB81" s="3">
        <f ca="1">IFERROR(__xludf.DUMMYFUNCTION("""COMPUTED_VALUE"""),-0.516937267489839)</f>
        <v>-0.51693726748983904</v>
      </c>
      <c r="CC81" s="3">
        <f ca="1">IFERROR(__xludf.DUMMYFUNCTION("""COMPUTED_VALUE"""),-0.460170764404593)</f>
        <v>-0.46017076440459298</v>
      </c>
      <c r="CD81" s="3">
        <f ca="1">IFERROR(__xludf.DUMMYFUNCTION("""COMPUTED_VALUE"""),-0.455318344035129)</f>
        <v>-0.455318344035129</v>
      </c>
      <c r="CE81" s="3">
        <f ca="1">IFERROR(__xludf.DUMMYFUNCTION("""COMPUTED_VALUE"""),-0.543554652141663)</f>
        <v>-0.54355465214166299</v>
      </c>
      <c r="CF81" s="3">
        <f ca="1">IFERROR(__xludf.DUMMYFUNCTION("""COMPUTED_VALUE"""),-0.579957315350337)</f>
        <v>-0.57995731535033701</v>
      </c>
      <c r="CG81" s="3">
        <f ca="1">IFERROR(__xludf.DUMMYFUNCTION("""COMPUTED_VALUE"""),-0.582636573139161)</f>
        <v>-0.58263657313916095</v>
      </c>
      <c r="CH81" s="3">
        <f ca="1">IFERROR(__xludf.DUMMYFUNCTION("""COMPUTED_VALUE"""),-0.560320714170785)</f>
        <v>-0.56032071417078499</v>
      </c>
      <c r="CI81" s="3">
        <f ca="1">IFERROR(__xludf.DUMMYFUNCTION("""COMPUTED_VALUE"""),-0.522404676914612)</f>
        <v>-0.52240467691461201</v>
      </c>
      <c r="CJ81" s="3">
        <f ca="1">IFERROR(__xludf.DUMMYFUNCTION("""COMPUTED_VALUE"""),-0.456224462058854)</f>
        <v>-0.45622446205885397</v>
      </c>
      <c r="CK81" s="3">
        <f ca="1">IFERROR(__xludf.DUMMYFUNCTION("""COMPUTED_VALUE"""),-0.454424165176092)</f>
        <v>-0.45442416517609202</v>
      </c>
      <c r="CL81" s="3">
        <f ca="1">IFERROR(__xludf.DUMMYFUNCTION("""COMPUTED_VALUE"""),-0.54778400129498)</f>
        <v>-0.54778400129497995</v>
      </c>
      <c r="CM81" s="3">
        <f ca="1">IFERROR(__xludf.DUMMYFUNCTION("""COMPUTED_VALUE"""),-0.55247015154798)</f>
        <v>-0.55247015154797996</v>
      </c>
      <c r="CN81" s="3">
        <f ca="1">IFERROR(__xludf.DUMMYFUNCTION("""COMPUTED_VALUE"""),-0.553474660332048)</f>
        <v>-0.55347466033204795</v>
      </c>
      <c r="CO81" s="3">
        <f ca="1">IFERROR(__xludf.DUMMYFUNCTION("""COMPUTED_VALUE"""),-0.535380530476995)</f>
        <v>-0.53538053047699496</v>
      </c>
      <c r="CP81" s="3">
        <f ca="1">IFERROR(__xludf.DUMMYFUNCTION("""COMPUTED_VALUE"""),-0.498130860630937)</f>
        <v>-0.49813086063093698</v>
      </c>
      <c r="CQ81" s="3">
        <f ca="1">IFERROR(__xludf.DUMMYFUNCTION("""COMPUTED_VALUE"""),-0.453186800952467)</f>
        <v>-0.45318680095246699</v>
      </c>
      <c r="CR81" s="3">
        <f ca="1">IFERROR(__xludf.DUMMYFUNCTION("""COMPUTED_VALUE"""),-0.467880943371173)</f>
        <v>-0.46788094337117297</v>
      </c>
      <c r="CS81" s="3">
        <f ca="1">IFERROR(__xludf.DUMMYFUNCTION("""COMPUTED_VALUE"""),-0.544279953928238)</f>
        <v>-0.54427995392823803</v>
      </c>
      <c r="CT81" s="3">
        <f ca="1">IFERROR(__xludf.DUMMYFUNCTION("""COMPUTED_VALUE"""),-0.546433559904665)</f>
        <v>-0.54643355990466502</v>
      </c>
      <c r="CU81" s="3">
        <f ca="1">IFERROR(__xludf.DUMMYFUNCTION("""COMPUTED_VALUE"""),-0.497298890491335)</f>
        <v>-0.49729889049133502</v>
      </c>
      <c r="CV81" s="3">
        <f ca="1">IFERROR(__xludf.DUMMYFUNCTION("""COMPUTED_VALUE"""),-0.536618031875959)</f>
        <v>-0.53661803187595902</v>
      </c>
      <c r="CW81" s="3">
        <f ca="1">IFERROR(__xludf.DUMMYFUNCTION("""COMPUTED_VALUE"""),-0.523781306986517)</f>
        <v>-0.52378130698651704</v>
      </c>
      <c r="CX81" s="3">
        <f ca="1">IFERROR(__xludf.DUMMYFUNCTION("""COMPUTED_VALUE"""),-0.509908048168837)</f>
        <v>-0.50990804816883695</v>
      </c>
      <c r="CY81" s="3">
        <f ca="1">IFERROR(__xludf.DUMMYFUNCTION("""COMPUTED_VALUE"""),-0.524940932649063)</f>
        <v>-0.52494093264906305</v>
      </c>
      <c r="CZ81" s="3">
        <f ca="1">IFERROR(__xludf.DUMMYFUNCTION("""COMPUTED_VALUE"""),-0.678005845455472)</f>
        <v>-0.67800584545547204</v>
      </c>
      <c r="DA81" s="3">
        <f ca="1">IFERROR(__xludf.DUMMYFUNCTION("""COMPUTED_VALUE"""),-0.51426808418362)</f>
        <v>-0.51426808418362002</v>
      </c>
      <c r="DB81" s="3">
        <f ca="1">IFERROR(__xludf.DUMMYFUNCTION("""COMPUTED_VALUE"""),-0.331238474797016)</f>
        <v>-0.33123847479701601</v>
      </c>
      <c r="DC81" s="3">
        <f ca="1">IFERROR(__xludf.DUMMYFUNCTION("""COMPUTED_VALUE"""),-0.492002001549737)</f>
        <v>-0.492002001549737</v>
      </c>
      <c r="DD81" s="3">
        <f ca="1">IFERROR(__xludf.DUMMYFUNCTION("""COMPUTED_VALUE"""),-0.491882411642948)</f>
        <v>-0.49188241164294799</v>
      </c>
      <c r="DE81" s="3">
        <f ca="1">IFERROR(__xludf.DUMMYFUNCTION("""COMPUTED_VALUE"""),-0.47731016030939)</f>
        <v>-0.47731016030939</v>
      </c>
      <c r="DF81" s="3">
        <f ca="1">IFERROR(__xludf.DUMMYFUNCTION("""COMPUTED_VALUE"""),-0.520448113835952)</f>
        <v>-0.52044811383595202</v>
      </c>
      <c r="DG81" s="3">
        <f ca="1">IFERROR(__xludf.DUMMYFUNCTION("""COMPUTED_VALUE"""),-0.747438937269534)</f>
        <v>-0.74743893726953403</v>
      </c>
      <c r="DH81" s="3">
        <f ca="1">IFERROR(__xludf.DUMMYFUNCTION("""COMPUTED_VALUE"""),-0.487184094016136)</f>
        <v>-0.48718409401613599</v>
      </c>
      <c r="DI81" s="3">
        <f ca="1">IFERROR(__xludf.DUMMYFUNCTION("""COMPUTED_VALUE"""),-0.242357522710922)</f>
        <v>-0.24235752271092201</v>
      </c>
      <c r="DJ81" s="3">
        <f ca="1">IFERROR(__xludf.DUMMYFUNCTION("""COMPUTED_VALUE"""),-0.430908532812166)</f>
        <v>-0.43090853281216601</v>
      </c>
      <c r="DK81" s="3">
        <f ca="1">IFERROR(__xludf.DUMMYFUNCTION("""COMPUTED_VALUE"""),-0.458313878271016)</f>
        <v>-0.458313878271016</v>
      </c>
      <c r="DL81" s="3">
        <f ca="1">IFERROR(__xludf.DUMMYFUNCTION("""COMPUTED_VALUE"""),-0.432863599514284)</f>
        <v>-0.43286359951428399</v>
      </c>
      <c r="DM81" s="3">
        <f ca="1">IFERROR(__xludf.DUMMYFUNCTION("""COMPUTED_VALUE"""),-0.422366474102938)</f>
        <v>-0.42236647410293798</v>
      </c>
      <c r="DN81" s="3">
        <f ca="1">IFERROR(__xludf.DUMMYFUNCTION("""COMPUTED_VALUE"""),-0.495102242705341)</f>
        <v>-0.49510224270534098</v>
      </c>
      <c r="DO81" s="3">
        <f ca="1">IFERROR(__xludf.DUMMYFUNCTION("""COMPUTED_VALUE"""),-0.556388410625395)</f>
        <v>-0.55638841062539501</v>
      </c>
      <c r="DP81" s="3">
        <f ca="1">IFERROR(__xludf.DUMMYFUNCTION("""COMPUTED_VALUE"""),-0.433232926766449)</f>
        <v>-0.43323292676644898</v>
      </c>
      <c r="DQ81" s="3">
        <f ca="1">IFERROR(__xludf.DUMMYFUNCTION("""COMPUTED_VALUE"""),-0.516647210453038)</f>
        <v>-0.51664721045303796</v>
      </c>
      <c r="DR81" s="3">
        <f ca="1">IFERROR(__xludf.DUMMYFUNCTION("""COMPUTED_VALUE"""),-0.574043582266905)</f>
        <v>-0.57404358226690499</v>
      </c>
      <c r="DS81" s="3">
        <f ca="1">IFERROR(__xludf.DUMMYFUNCTION("""COMPUTED_VALUE"""),-0.446384937569268)</f>
        <v>-0.446384937569268</v>
      </c>
      <c r="DT81" s="3">
        <f ca="1">IFERROR(__xludf.DUMMYFUNCTION("""COMPUTED_VALUE"""),-0.480287976377444)</f>
        <v>-0.48028797637744403</v>
      </c>
      <c r="DU81" s="3">
        <f ca="1">IFERROR(__xludf.DUMMYFUNCTION("""COMPUTED_VALUE"""),-0.564810432289079)</f>
        <v>-0.56481043228907901</v>
      </c>
      <c r="DV81" s="3">
        <f ca="1">IFERROR(__xludf.DUMMYFUNCTION("""COMPUTED_VALUE"""),-0.574051341710591)</f>
        <v>-0.57405134171059102</v>
      </c>
      <c r="DW81" s="3">
        <f ca="1">IFERROR(__xludf.DUMMYFUNCTION("""COMPUTED_VALUE"""),-0.598990551335699)</f>
        <v>-0.59899055133569901</v>
      </c>
      <c r="DX81" s="3">
        <f ca="1">IFERROR(__xludf.DUMMYFUNCTION("""COMPUTED_VALUE"""),-0.579400329191042)</f>
        <v>-0.57940032919104201</v>
      </c>
      <c r="DY81" s="3">
        <f ca="1">IFERROR(__xludf.DUMMYFUNCTION("""COMPUTED_VALUE"""),-0.546009872280843)</f>
        <v>-0.54600987228084297</v>
      </c>
      <c r="DZ81" s="3">
        <f ca="1">IFERROR(__xludf.DUMMYFUNCTION("""COMPUTED_VALUE"""),-0.423097165516889)</f>
        <v>-0.42309716551688897</v>
      </c>
      <c r="EA81" s="3">
        <f ca="1">IFERROR(__xludf.DUMMYFUNCTION("""COMPUTED_VALUE"""),-0.527386295338284)</f>
        <v>-0.52738629533828396</v>
      </c>
      <c r="EB81" s="3">
        <f ca="1">IFERROR(__xludf.DUMMYFUNCTION("""COMPUTED_VALUE"""),-0.534989916957112)</f>
        <v>-0.53498991695711196</v>
      </c>
      <c r="EC81" s="3">
        <f ca="1">IFERROR(__xludf.DUMMYFUNCTION("""COMPUTED_VALUE"""),-0.50061918663033)</f>
        <v>-0.50061918663033</v>
      </c>
      <c r="ED81" s="3">
        <f ca="1">IFERROR(__xludf.DUMMYFUNCTION("""COMPUTED_VALUE"""),-0.589612303853088)</f>
        <v>-0.58961230385308805</v>
      </c>
      <c r="EE81" s="3">
        <f ca="1">IFERROR(__xludf.DUMMYFUNCTION("""COMPUTED_VALUE"""),-0.580061361809639)</f>
        <v>-0.58006136180963896</v>
      </c>
      <c r="EF81" s="3">
        <f ca="1">IFERROR(__xludf.DUMMYFUNCTION("""COMPUTED_VALUE"""),-0.600861683157113)</f>
        <v>-0.60086168315711297</v>
      </c>
      <c r="EG81" s="3">
        <f ca="1">IFERROR(__xludf.DUMMYFUNCTION("""COMPUTED_VALUE"""),-0.406899214853875)</f>
        <v>-0.40689921485387498</v>
      </c>
      <c r="EH81" s="3">
        <f ca="1">IFERROR(__xludf.DUMMYFUNCTION("""COMPUTED_VALUE"""),-0.472442986204677)</f>
        <v>-0.47244298620467701</v>
      </c>
      <c r="EI81" s="3">
        <f ca="1">IFERROR(__xludf.DUMMYFUNCTION("""COMPUTED_VALUE"""),-0.564423657313606)</f>
        <v>-0.564423657313606</v>
      </c>
      <c r="EJ81" s="3">
        <f ca="1">IFERROR(__xludf.DUMMYFUNCTION("""COMPUTED_VALUE"""),-0.675360021282329)</f>
        <v>-0.67536002128232897</v>
      </c>
      <c r="EK81" s="3">
        <f ca="1">IFERROR(__xludf.DUMMYFUNCTION("""COMPUTED_VALUE"""),-0.570952610940878)</f>
        <v>-0.57095261094087801</v>
      </c>
      <c r="EL81" s="3">
        <f ca="1">IFERROR(__xludf.DUMMYFUNCTION("""COMPUTED_VALUE"""),-0.570656105964766)</f>
        <v>-0.57065610596476601</v>
      </c>
      <c r="EM81" s="3">
        <f ca="1">IFERROR(__xludf.DUMMYFUNCTION("""COMPUTED_VALUE"""),-0.54495470546371)</f>
        <v>-0.54495470546371005</v>
      </c>
      <c r="EN81" s="3">
        <f ca="1">IFERROR(__xludf.DUMMYFUNCTION("""COMPUTED_VALUE"""),-0.399183782795485)</f>
        <v>-0.399183782795485</v>
      </c>
      <c r="EO81" s="3">
        <f ca="1">IFERROR(__xludf.DUMMYFUNCTION("""COMPUTED_VALUE"""),-0.431095887030153)</f>
        <v>-0.431095887030153</v>
      </c>
      <c r="EP81" s="3">
        <f ca="1">IFERROR(__xludf.DUMMYFUNCTION("""COMPUTED_VALUE"""),-0.47691015404888)</f>
        <v>-0.47691015404887999</v>
      </c>
      <c r="EQ81" s="3">
        <f ca="1">IFERROR(__xludf.DUMMYFUNCTION("""COMPUTED_VALUE"""),-0.496961990226393)</f>
        <v>-0.49696199022639298</v>
      </c>
      <c r="ER81" s="3">
        <f ca="1">IFERROR(__xludf.DUMMYFUNCTION("""COMPUTED_VALUE"""),-0.575240807448067)</f>
        <v>-0.57524080744806705</v>
      </c>
      <c r="ES81" s="3">
        <f ca="1">IFERROR(__xludf.DUMMYFUNCTION("""COMPUTED_VALUE"""),-0.569558359116925)</f>
        <v>-0.56955835911692498</v>
      </c>
      <c r="ET81" s="3">
        <f ca="1">IFERROR(__xludf.DUMMYFUNCTION("""COMPUTED_VALUE"""),-0.519725103204975)</f>
        <v>-0.519725103204975</v>
      </c>
      <c r="EU81" s="3">
        <f ca="1">IFERROR(__xludf.DUMMYFUNCTION("""COMPUTED_VALUE"""),-0.43366861372401)</f>
        <v>-0.43366861372401</v>
      </c>
      <c r="EV81" s="3">
        <f ca="1">IFERROR(__xludf.DUMMYFUNCTION("""COMPUTED_VALUE"""),-0.4578887175447)</f>
        <v>-0.45788871754470001</v>
      </c>
      <c r="EW81" s="3">
        <f ca="1">IFERROR(__xludf.DUMMYFUNCTION("""COMPUTED_VALUE"""),-0.56608584852842)</f>
        <v>-0.56608584852842003</v>
      </c>
      <c r="EX81" s="3">
        <f ca="1">IFERROR(__xludf.DUMMYFUNCTION("""COMPUTED_VALUE"""),-0.589701072882896)</f>
        <v>-0.58970107288289597</v>
      </c>
      <c r="EY81" s="3">
        <f ca="1">IFERROR(__xludf.DUMMYFUNCTION("""COMPUTED_VALUE"""),-0.594339752319259)</f>
        <v>-0.59433975231925895</v>
      </c>
      <c r="EZ81" s="3">
        <f ca="1">IFERROR(__xludf.DUMMYFUNCTION("""COMPUTED_VALUE"""),-0.509723454404167)</f>
        <v>-0.509723454404167</v>
      </c>
      <c r="FA81" s="3">
        <f ca="1">IFERROR(__xludf.DUMMYFUNCTION("""COMPUTED_VALUE"""),-0.492524909268978)</f>
        <v>-0.49252490926897802</v>
      </c>
      <c r="FB81" s="3">
        <f ca="1">IFERROR(__xludf.DUMMYFUNCTION("""COMPUTED_VALUE"""),-0.400129277962205)</f>
        <v>-0.40012927796220499</v>
      </c>
      <c r="FC81" s="3">
        <f ca="1">IFERROR(__xludf.DUMMYFUNCTION("""COMPUTED_VALUE"""),-0.45654461510146)</f>
        <v>-0.45654461510145999</v>
      </c>
      <c r="FD81" s="3">
        <f ca="1">IFERROR(__xludf.DUMMYFUNCTION("""COMPUTED_VALUE"""),-0.532798862570507)</f>
        <v>-0.53279886257050701</v>
      </c>
      <c r="FE81" s="3">
        <f ca="1">IFERROR(__xludf.DUMMYFUNCTION("""COMPUTED_VALUE"""),-0.552192680105229)</f>
        <v>-0.55219268010522904</v>
      </c>
      <c r="FF81" s="3">
        <f ca="1">IFERROR(__xludf.DUMMYFUNCTION("""COMPUTED_VALUE"""),-0.567684829400734)</f>
        <v>-0.56768482940073395</v>
      </c>
      <c r="FG81" s="3">
        <f ca="1">IFERROR(__xludf.DUMMYFUNCTION("""COMPUTED_VALUE"""),-0.558670047745165)</f>
        <v>-0.55867004774516504</v>
      </c>
      <c r="FH81" s="3">
        <f ca="1">IFERROR(__xludf.DUMMYFUNCTION("""COMPUTED_VALUE"""),-0.508021874270149)</f>
        <v>-0.508021874270149</v>
      </c>
      <c r="FI81" s="3">
        <f ca="1">IFERROR(__xludf.DUMMYFUNCTION("""COMPUTED_VALUE"""),-0.419146322703364)</f>
        <v>-0.41914632270336399</v>
      </c>
      <c r="FJ81" s="3">
        <f ca="1">IFERROR(__xludf.DUMMYFUNCTION("""COMPUTED_VALUE"""),-0.443040502025981)</f>
        <v>-0.443040502025981</v>
      </c>
      <c r="FK81" s="3">
        <f ca="1">IFERROR(__xludf.DUMMYFUNCTION("""COMPUTED_VALUE"""),-0.587710897882572)</f>
        <v>-0.58771089788257203</v>
      </c>
      <c r="FL81" s="3">
        <f ca="1">IFERROR(__xludf.DUMMYFUNCTION("""COMPUTED_VALUE"""),-0.614144980008398)</f>
        <v>-0.61414498000839801</v>
      </c>
      <c r="FM81" s="3">
        <f ca="1">IFERROR(__xludf.DUMMYFUNCTION("""COMPUTED_VALUE"""),-0.572257974320384)</f>
        <v>-0.57225797432038406</v>
      </c>
      <c r="FN81" s="3">
        <f ca="1">IFERROR(__xludf.DUMMYFUNCTION("""COMPUTED_VALUE"""),-0.536015930889145)</f>
        <v>-0.53601593088914501</v>
      </c>
      <c r="FO81" s="3">
        <f ca="1">IFERROR(__xludf.DUMMYFUNCTION("""COMPUTED_VALUE"""),-0.552762509287861)</f>
        <v>-0.55276250928786097</v>
      </c>
      <c r="FP81" s="3">
        <f ca="1">IFERROR(__xludf.DUMMYFUNCTION("""COMPUTED_VALUE"""),-0.390301806009077)</f>
        <v>-0.39030180600907699</v>
      </c>
      <c r="FQ81" s="3">
        <f ca="1">IFERROR(__xludf.DUMMYFUNCTION("""COMPUTED_VALUE"""),-0.475891647644114)</f>
        <v>-0.47589164764411401</v>
      </c>
      <c r="FR81" s="3">
        <f ca="1">IFERROR(__xludf.DUMMYFUNCTION("""COMPUTED_VALUE"""),-0.554044104733144)</f>
        <v>-0.55404410473314403</v>
      </c>
      <c r="FS81" s="3">
        <f ca="1">IFERROR(__xludf.DUMMYFUNCTION("""COMPUTED_VALUE"""),-0.556749623514113)</f>
        <v>-0.55674962351411295</v>
      </c>
      <c r="FT81" s="3">
        <f ca="1">IFERROR(__xludf.DUMMYFUNCTION("""COMPUTED_VALUE"""),-0.562374278054233)</f>
        <v>-0.56237427805423301</v>
      </c>
      <c r="FU81" s="3">
        <f ca="1">IFERROR(__xludf.DUMMYFUNCTION("""COMPUTED_VALUE"""),-0.545377770551562)</f>
        <v>-0.545377770551562</v>
      </c>
      <c r="FV81" s="3">
        <f ca="1">IFERROR(__xludf.DUMMYFUNCTION("""COMPUTED_VALUE"""),-0.495042663022344)</f>
        <v>-0.49504266302234401</v>
      </c>
      <c r="FW81" s="3">
        <f ca="1">IFERROR(__xludf.DUMMYFUNCTION("""COMPUTED_VALUE"""),-0.402364343328406)</f>
        <v>-0.40236434332840598</v>
      </c>
      <c r="FX81" s="3">
        <f ca="1">IFERROR(__xludf.DUMMYFUNCTION("""COMPUTED_VALUE"""),-0.478228183474381)</f>
        <v>-0.47822818347438101</v>
      </c>
      <c r="FY81" s="3">
        <f ca="1">IFERROR(__xludf.DUMMYFUNCTION("""COMPUTED_VALUE"""),-0.596102206000822)</f>
        <v>-0.59610220600082198</v>
      </c>
      <c r="FZ81" s="3">
        <f ca="1">IFERROR(__xludf.DUMMYFUNCTION("""COMPUTED_VALUE"""),-0.544678698413032)</f>
        <v>-0.54467869841303196</v>
      </c>
      <c r="GA81" s="3">
        <f ca="1">IFERROR(__xludf.DUMMYFUNCTION("""COMPUTED_VALUE"""),-0.505200973471123)</f>
        <v>-0.50520097347112303</v>
      </c>
      <c r="GB81" s="3">
        <f ca="1">IFERROR(__xludf.DUMMYFUNCTION("""COMPUTED_VALUE"""),-0.559949854454176)</f>
        <v>-0.559949854454176</v>
      </c>
      <c r="GC81" s="3">
        <f ca="1">IFERROR(__xludf.DUMMYFUNCTION("""COMPUTED_VALUE"""),-0.576113279220284)</f>
        <v>-0.57611327922028399</v>
      </c>
      <c r="GD81" s="3">
        <f ca="1">IFERROR(__xludf.DUMMYFUNCTION("""COMPUTED_VALUE"""),-0.417062258317894)</f>
        <v>-0.41706225831789401</v>
      </c>
      <c r="GE81" s="3">
        <f ca="1">IFERROR(__xludf.DUMMYFUNCTION("""COMPUTED_VALUE"""),-0.45899666753781)</f>
        <v>-0.45899666753780999</v>
      </c>
      <c r="GF81" s="3">
        <f ca="1">IFERROR(__xludf.DUMMYFUNCTION("""COMPUTED_VALUE"""),-0.531695338723861)</f>
        <v>-0.53169533872386099</v>
      </c>
      <c r="GG81" s="3">
        <f ca="1">IFERROR(__xludf.DUMMYFUNCTION("""COMPUTED_VALUE"""),-0.539498325473841)</f>
        <v>-0.53949832547384102</v>
      </c>
      <c r="GH81" s="3">
        <f ca="1">IFERROR(__xludf.DUMMYFUNCTION("""COMPUTED_VALUE"""),-0.510148931581407)</f>
        <v>-0.51014893158140695</v>
      </c>
      <c r="GI81" s="3">
        <f ca="1">IFERROR(__xludf.DUMMYFUNCTION("""COMPUTED_VALUE"""),-0.509586856001409)</f>
        <v>-0.50958685600140896</v>
      </c>
      <c r="GJ81" s="3">
        <f ca="1">IFERROR(__xludf.DUMMYFUNCTION("""COMPUTED_VALUE"""),-0.46016143983298)</f>
        <v>-0.46016143983298002</v>
      </c>
      <c r="GK81" s="3">
        <f ca="1">IFERROR(__xludf.DUMMYFUNCTION("""COMPUTED_VALUE"""),-0.413506380565171)</f>
        <v>-0.41350638056517097</v>
      </c>
      <c r="GL81" s="3">
        <f ca="1">IFERROR(__xludf.DUMMYFUNCTION("""COMPUTED_VALUE"""),-0.441509810682964)</f>
        <v>-0.44150981068296402</v>
      </c>
      <c r="GM81" s="3">
        <f ca="1">IFERROR(__xludf.DUMMYFUNCTION("""COMPUTED_VALUE"""),-0.525987377982996)</f>
        <v>-0.525987377982996</v>
      </c>
      <c r="GN81" s="3">
        <f ca="1">IFERROR(__xludf.DUMMYFUNCTION("""COMPUTED_VALUE"""),-0.532147930915906)</f>
        <v>-0.53214793091590595</v>
      </c>
      <c r="GO81" s="3">
        <f ca="1">IFERROR(__xludf.DUMMYFUNCTION("""COMPUTED_VALUE"""),-0.514895870333638)</f>
        <v>-0.51489587033363804</v>
      </c>
      <c r="GP81" s="3">
        <f ca="1">IFERROR(__xludf.DUMMYFUNCTION("""COMPUTED_VALUE"""),-0.536530941383939)</f>
        <v>-0.53653094138393898</v>
      </c>
      <c r="GQ81" s="3">
        <f ca="1">IFERROR(__xludf.DUMMYFUNCTION("""COMPUTED_VALUE"""),-0.517384095995166)</f>
        <v>-0.51738409599516599</v>
      </c>
      <c r="GR81" s="3">
        <f ca="1">IFERROR(__xludf.DUMMYFUNCTION("""COMPUTED_VALUE"""),-0.413953057421398)</f>
        <v>-0.41395305742139799</v>
      </c>
      <c r="GS81" s="3">
        <f ca="1">IFERROR(__xludf.DUMMYFUNCTION("""COMPUTED_VALUE"""),-0.459059746163931)</f>
        <v>-0.45905974616393103</v>
      </c>
      <c r="GT81" s="3">
        <f ca="1">IFERROR(__xludf.DUMMYFUNCTION("""COMPUTED_VALUE"""),-0.533633148990793)</f>
        <v>-0.53363314899079295</v>
      </c>
      <c r="GU81" s="3">
        <f ca="1">IFERROR(__xludf.DUMMYFUNCTION("""COMPUTED_VALUE"""),-0.558677101055333)</f>
        <v>-0.55867710105533297</v>
      </c>
      <c r="GV81" s="3">
        <f ca="1">IFERROR(__xludf.DUMMYFUNCTION("""COMPUTED_VALUE"""),-0.559717157431259)</f>
        <v>-0.55971715743125905</v>
      </c>
      <c r="GW81" s="3">
        <f ca="1">IFERROR(__xludf.DUMMYFUNCTION("""COMPUTED_VALUE"""),-0.531991102420945)</f>
        <v>-0.53199110242094505</v>
      </c>
      <c r="GX81" s="3">
        <f ca="1">IFERROR(__xludf.DUMMYFUNCTION("""COMPUTED_VALUE"""),-0.505555163123363)</f>
        <v>-0.50555516312336302</v>
      </c>
      <c r="GY81" s="3">
        <f ca="1">IFERROR(__xludf.DUMMYFUNCTION("""COMPUTED_VALUE"""),-0.408159012430176)</f>
        <v>-0.40815901243017599</v>
      </c>
      <c r="GZ81" s="3">
        <f ca="1">IFERROR(__xludf.DUMMYFUNCTION("""COMPUTED_VALUE"""),-0.430455198350206)</f>
        <v>-0.43045519835020601</v>
      </c>
      <c r="HA81" s="3">
        <f ca="1">IFERROR(__xludf.DUMMYFUNCTION("""COMPUTED_VALUE"""),-0.533745507390577)</f>
        <v>-0.53374550739057702</v>
      </c>
      <c r="HB81" s="3">
        <f ca="1">IFERROR(__xludf.DUMMYFUNCTION("""COMPUTED_VALUE"""),-0.568434436767365)</f>
        <v>-0.56843443676736505</v>
      </c>
      <c r="HC81" s="3">
        <f ca="1">IFERROR(__xludf.DUMMYFUNCTION("""COMPUTED_VALUE"""),-0.574805577511849)</f>
        <v>-0.57480557751184902</v>
      </c>
      <c r="HD81" s="3">
        <f ca="1">IFERROR(__xludf.DUMMYFUNCTION("""COMPUTED_VALUE"""),-0.571744271516896)</f>
        <v>-0.571744271516896</v>
      </c>
      <c r="HE81" s="3">
        <f ca="1">IFERROR(__xludf.DUMMYFUNCTION("""COMPUTED_VALUE"""),-0.551225195460452)</f>
        <v>-0.55122519546045201</v>
      </c>
      <c r="HF81" s="3">
        <f ca="1">IFERROR(__xludf.DUMMYFUNCTION("""COMPUTED_VALUE"""),-0.43331358988627)</f>
        <v>-0.43331358988627</v>
      </c>
      <c r="HG81" s="3">
        <f ca="1">IFERROR(__xludf.DUMMYFUNCTION("""COMPUTED_VALUE"""),-0.424850413409346)</f>
        <v>-0.42485041340934598</v>
      </c>
      <c r="HH81" s="3">
        <f ca="1">IFERROR(__xludf.DUMMYFUNCTION("""COMPUTED_VALUE"""),-0.520427131242303)</f>
        <v>-0.520427131242303</v>
      </c>
      <c r="HI81" s="3">
        <f ca="1">IFERROR(__xludf.DUMMYFUNCTION("""COMPUTED_VALUE"""),-0.573570622023808)</f>
        <v>-0.57357062202380804</v>
      </c>
      <c r="HJ81" s="3">
        <f ca="1">IFERROR(__xludf.DUMMYFUNCTION("""COMPUTED_VALUE"""),-0.535072856167787)</f>
        <v>-0.53507285616778699</v>
      </c>
      <c r="HK81" s="3">
        <f ca="1">IFERROR(__xludf.DUMMYFUNCTION("""COMPUTED_VALUE"""),-0.49196166963508)</f>
        <v>-0.49196166963507998</v>
      </c>
      <c r="HL81" s="3">
        <f ca="1">IFERROR(__xludf.DUMMYFUNCTION("""COMPUTED_VALUE"""),-0.361132225741594)</f>
        <v>-0.36113222574159398</v>
      </c>
      <c r="HM81" s="3">
        <f ca="1">IFERROR(__xludf.DUMMYFUNCTION("""COMPUTED_VALUE"""),-0.383440765714637)</f>
        <v>-0.38344076571463698</v>
      </c>
      <c r="HN81" s="3">
        <f ca="1">IFERROR(__xludf.DUMMYFUNCTION("""COMPUTED_VALUE"""),-0.414753421524023)</f>
        <v>-0.414753421524023</v>
      </c>
      <c r="HO81" s="3">
        <f ca="1">IFERROR(__xludf.DUMMYFUNCTION("""COMPUTED_VALUE"""),-0.486088376738118)</f>
        <v>-0.486088376738118</v>
      </c>
      <c r="HP81" s="3">
        <f ca="1">IFERROR(__xludf.DUMMYFUNCTION("""COMPUTED_VALUE"""),-0.531692050501969)</f>
        <v>-0.53169205050196899</v>
      </c>
      <c r="HQ81" s="3">
        <f ca="1">IFERROR(__xludf.DUMMYFUNCTION("""COMPUTED_VALUE"""),-0.551437240374153)</f>
        <v>-0.55143724037415298</v>
      </c>
      <c r="HR81" s="3">
        <f ca="1">IFERROR(__xludf.DUMMYFUNCTION("""COMPUTED_VALUE"""),-0.537444635487281)</f>
        <v>-0.53744463548728105</v>
      </c>
      <c r="HS81" s="3">
        <f ca="1">IFERROR(__xludf.DUMMYFUNCTION("""COMPUTED_VALUE"""),-0.445118293882705)</f>
        <v>-0.44511829388270502</v>
      </c>
      <c r="HT81" s="3">
        <f ca="1">IFERROR(__xludf.DUMMYFUNCTION("""COMPUTED_VALUE"""),-0.334824091803512)</f>
        <v>-0.33482409180351203</v>
      </c>
      <c r="HU81" s="3">
        <f ca="1">IFERROR(__xludf.DUMMYFUNCTION("""COMPUTED_VALUE"""),-0.445012378681584)</f>
        <v>-0.445012378681584</v>
      </c>
      <c r="HV81" s="3">
        <f ca="1">IFERROR(__xludf.DUMMYFUNCTION("""COMPUTED_VALUE"""),-0.408836220451065)</f>
        <v>-0.40883622045106499</v>
      </c>
      <c r="HW81" s="3">
        <f ca="1">IFERROR(__xludf.DUMMYFUNCTION("""COMPUTED_VALUE"""),-0.469412017306573)</f>
        <v>-0.469412017306573</v>
      </c>
      <c r="HX81" s="3">
        <f ca="1">IFERROR(__xludf.DUMMYFUNCTION("""COMPUTED_VALUE"""),-0.452099923071008)</f>
        <v>-0.45209992307100799</v>
      </c>
      <c r="HY81" s="3">
        <f ca="1">IFERROR(__xludf.DUMMYFUNCTION("""COMPUTED_VALUE"""),-0.439419385869691)</f>
        <v>-0.43941938586969098</v>
      </c>
      <c r="HZ81" s="3">
        <f ca="1">IFERROR(__xludf.DUMMYFUNCTION("""COMPUTED_VALUE"""),-0.336261250026696)</f>
        <v>-0.33626125002669599</v>
      </c>
      <c r="IA81" s="3">
        <f ca="1">IFERROR(__xludf.DUMMYFUNCTION("""COMPUTED_VALUE"""),-0.343165292913531)</f>
        <v>-0.34316529291353098</v>
      </c>
      <c r="IB81" s="3">
        <f ca="1">IFERROR(__xludf.DUMMYFUNCTION("""COMPUTED_VALUE"""),-0.340503683210823)</f>
        <v>-0.34050368321082303</v>
      </c>
      <c r="IC81" s="3">
        <f ca="1">IFERROR(__xludf.DUMMYFUNCTION("""COMPUTED_VALUE"""),-0.366396918557128)</f>
        <v>-0.36639691855712803</v>
      </c>
      <c r="ID81" s="3">
        <f ca="1">IFERROR(__xludf.DUMMYFUNCTION("""COMPUTED_VALUE"""),-0.397388938697736)</f>
        <v>-0.397388938697736</v>
      </c>
      <c r="IE81" s="3">
        <f ca="1">IFERROR(__xludf.DUMMYFUNCTION("""COMPUTED_VALUE"""),-0.434444144839487)</f>
        <v>-0.43444414483948701</v>
      </c>
      <c r="IF81" s="3">
        <f ca="1">IFERROR(__xludf.DUMMYFUNCTION("""COMPUTED_VALUE"""),-0.390409212315756)</f>
        <v>-0.39040921231575598</v>
      </c>
      <c r="IG81" s="3">
        <f ca="1">IFERROR(__xludf.DUMMYFUNCTION("""COMPUTED_VALUE"""),-0.393370904966328)</f>
        <v>-0.39337090496632798</v>
      </c>
      <c r="IH81" s="3">
        <f ca="1">IFERROR(__xludf.DUMMYFUNCTION("""COMPUTED_VALUE"""),-0.43775101258854)</f>
        <v>-0.43775101258853999</v>
      </c>
      <c r="II81" s="3">
        <f ca="1">IFERROR(__xludf.DUMMYFUNCTION("""COMPUTED_VALUE"""),-0.372708638932529)</f>
        <v>-0.37270863893252898</v>
      </c>
      <c r="IJ81" s="3">
        <f ca="1">IFERROR(__xludf.DUMMYFUNCTION("""COMPUTED_VALUE"""),-0.372365339655852)</f>
        <v>-0.372365339655852</v>
      </c>
      <c r="IK81" s="3">
        <f ca="1">IFERROR(__xludf.DUMMYFUNCTION("""COMPUTED_VALUE"""),-0.464434564073051)</f>
        <v>-0.464434564073051</v>
      </c>
      <c r="IL81" s="3">
        <f ca="1">IFERROR(__xludf.DUMMYFUNCTION("""COMPUTED_VALUE"""),-0.42708394601354)</f>
        <v>-0.42708394601353999</v>
      </c>
      <c r="IM81" s="3">
        <f ca="1">IFERROR(__xludf.DUMMYFUNCTION("""COMPUTED_VALUE"""),-0.409939221572335)</f>
        <v>-0.40993922157233498</v>
      </c>
      <c r="IN81" s="3">
        <f ca="1">IFERROR(__xludf.DUMMYFUNCTION("""COMPUTED_VALUE"""),-0.387959634500121)</f>
        <v>-0.387959634500121</v>
      </c>
      <c r="IO81" s="3">
        <f ca="1">IFERROR(__xludf.DUMMYFUNCTION("""COMPUTED_VALUE"""),-0.341069135038358)</f>
        <v>-0.34106913503835801</v>
      </c>
      <c r="IP81" s="3">
        <f ca="1">IFERROR(__xludf.DUMMYFUNCTION("""COMPUTED_VALUE"""),-0.388041232053219)</f>
        <v>-0.388041232053219</v>
      </c>
      <c r="IQ81" s="3">
        <f ca="1">IFERROR(__xludf.DUMMYFUNCTION("""COMPUTED_VALUE"""),-0.43406062054893)</f>
        <v>-0.43406062054893002</v>
      </c>
      <c r="IR81" s="3">
        <f ca="1">IFERROR(__xludf.DUMMYFUNCTION("""COMPUTED_VALUE"""),-0.428207891593258)</f>
        <v>-0.42820789159325801</v>
      </c>
      <c r="IS81" s="3">
        <f ca="1">IFERROR(__xludf.DUMMYFUNCTION("""COMPUTED_VALUE"""),-0.364882252279308)</f>
        <v>-0.36488225227930798</v>
      </c>
      <c r="IT81" s="3">
        <f ca="1">IFERROR(__xludf.DUMMYFUNCTION("""COMPUTED_VALUE"""),-0.474429209377642)</f>
        <v>-0.47442920937764199</v>
      </c>
      <c r="IU81" s="3">
        <f ca="1">IFERROR(__xludf.DUMMYFUNCTION("""COMPUTED_VALUE"""),-0.419769660235891)</f>
        <v>-0.41976966023589102</v>
      </c>
      <c r="IV81" s="3">
        <f ca="1">IFERROR(__xludf.DUMMYFUNCTION("""COMPUTED_VALUE"""),-0.397910163488111)</f>
        <v>-0.39791016348811098</v>
      </c>
      <c r="IW81" s="3">
        <f ca="1">IFERROR(__xludf.DUMMYFUNCTION("""COMPUTED_VALUE"""),-0.386626079072729)</f>
        <v>-0.386626079072729</v>
      </c>
      <c r="IX81" s="3">
        <f ca="1">IFERROR(__xludf.DUMMYFUNCTION("""COMPUTED_VALUE"""),-0.471133897632352)</f>
        <v>-0.47113389763235197</v>
      </c>
      <c r="IY81" s="3">
        <f ca="1">IFERROR(__xludf.DUMMYFUNCTION("""COMPUTED_VALUE"""),-0.469683244546797)</f>
        <v>-0.469683244546797</v>
      </c>
      <c r="IZ81" s="3">
        <f ca="1">IFERROR(__xludf.DUMMYFUNCTION("""COMPUTED_VALUE"""),-0.452415252534759)</f>
        <v>-0.452415252534759</v>
      </c>
      <c r="JA81" s="3">
        <f ca="1">IFERROR(__xludf.DUMMYFUNCTION("""COMPUTED_VALUE"""),-0.475794755763951)</f>
        <v>-0.47579475576395103</v>
      </c>
      <c r="JB81" s="3">
        <f ca="1">IFERROR(__xludf.DUMMYFUNCTION("""COMPUTED_VALUE"""),-0.4552144209252)</f>
        <v>-0.45521442092519998</v>
      </c>
      <c r="JC81" s="3">
        <f ca="1">IFERROR(__xludf.DUMMYFUNCTION("""COMPUTED_VALUE"""),-0.386780915279864)</f>
        <v>-0.38678091527986402</v>
      </c>
      <c r="JD81" s="3">
        <f ca="1">IFERROR(__xludf.DUMMYFUNCTION("""COMPUTED_VALUE"""),-0.402554303094884)</f>
        <v>-0.40255430309488399</v>
      </c>
      <c r="JE81" s="3">
        <f ca="1">IFERROR(__xludf.DUMMYFUNCTION("""COMPUTED_VALUE"""),-0.509448101112127)</f>
        <v>-0.50944810111212702</v>
      </c>
      <c r="JF81" s="3">
        <f ca="1">IFERROR(__xludf.DUMMYFUNCTION("""COMPUTED_VALUE"""),-0.498212212172592)</f>
        <v>-0.49821221217259198</v>
      </c>
      <c r="JG81" s="3">
        <f ca="1">IFERROR(__xludf.DUMMYFUNCTION("""COMPUTED_VALUE"""),-0.490321950231799)</f>
        <v>-0.49032195023179898</v>
      </c>
      <c r="JH81" s="3">
        <f ca="1">IFERROR(__xludf.DUMMYFUNCTION("""COMPUTED_VALUE"""),-0.476220058723419)</f>
        <v>-0.47622005872341899</v>
      </c>
      <c r="JI81" s="3">
        <f ca="1">IFERROR(__xludf.DUMMYFUNCTION("""COMPUTED_VALUE"""),-0.477463905387252)</f>
        <v>-0.47746390538725197</v>
      </c>
      <c r="JJ81" s="3">
        <f ca="1">IFERROR(__xludf.DUMMYFUNCTION("""COMPUTED_VALUE"""),-0.398840831695901)</f>
        <v>-0.39884083169590101</v>
      </c>
      <c r="JK81" s="3">
        <f ca="1">IFERROR(__xludf.DUMMYFUNCTION("""COMPUTED_VALUE"""),-0.419705734000807)</f>
        <v>-0.41970573400080702</v>
      </c>
      <c r="JL81" s="3">
        <f ca="1">IFERROR(__xludf.DUMMYFUNCTION("""COMPUTED_VALUE"""),-0.496986418911475)</f>
        <v>-0.49698641891147499</v>
      </c>
      <c r="JM81" s="3">
        <f ca="1">IFERROR(__xludf.DUMMYFUNCTION("""COMPUTED_VALUE"""),-0.494549526824566)</f>
        <v>-0.49454952682456599</v>
      </c>
      <c r="JN81" s="3">
        <f ca="1">IFERROR(__xludf.DUMMYFUNCTION("""COMPUTED_VALUE"""),-0.50542341973897)</f>
        <v>-0.50542341973896998</v>
      </c>
      <c r="JO81" s="3">
        <f ca="1">IFERROR(__xludf.DUMMYFUNCTION("""COMPUTED_VALUE"""),-0.485489754977329)</f>
        <v>-0.48548975497732899</v>
      </c>
      <c r="JP81" s="3">
        <f ca="1">IFERROR(__xludf.DUMMYFUNCTION("""COMPUTED_VALUE"""),-0.476258152582674)</f>
        <v>-0.47625815258267401</v>
      </c>
      <c r="JQ81" s="3">
        <f ca="1">IFERROR(__xludf.DUMMYFUNCTION("""COMPUTED_VALUE"""),-0.386880165032118)</f>
        <v>-0.38688016503211797</v>
      </c>
      <c r="JR81" s="3">
        <f ca="1">IFERROR(__xludf.DUMMYFUNCTION("""COMPUTED_VALUE"""),-0.467096731603287)</f>
        <v>-0.46709673160328702</v>
      </c>
      <c r="JS81" s="3">
        <f ca="1">IFERROR(__xludf.DUMMYFUNCTION("""COMPUTED_VALUE"""),-0.550105234275408)</f>
        <v>-0.55010523427540803</v>
      </c>
      <c r="JT81" s="3">
        <f ca="1">IFERROR(__xludf.DUMMYFUNCTION("""COMPUTED_VALUE"""),-0.445887616473681)</f>
        <v>-0.44588761647368103</v>
      </c>
      <c r="JU81" s="3">
        <f ca="1">IFERROR(__xludf.DUMMYFUNCTION("""COMPUTED_VALUE"""),-0.537243682445866)</f>
        <v>-0.53724368244586596</v>
      </c>
      <c r="JV81" s="3">
        <f ca="1">IFERROR(__xludf.DUMMYFUNCTION("""COMPUTED_VALUE"""),-0.54566562359726)</f>
        <v>-0.54566562359726001</v>
      </c>
      <c r="JW81" s="3">
        <f ca="1">IFERROR(__xludf.DUMMYFUNCTION("""COMPUTED_VALUE"""),-0.511144953900033)</f>
        <v>-0.51114495390003301</v>
      </c>
      <c r="JX81" s="3">
        <f ca="1">IFERROR(__xludf.DUMMYFUNCTION("""COMPUTED_VALUE"""),-0.433481443258953)</f>
        <v>-0.43348144325895299</v>
      </c>
      <c r="JY81" s="3">
        <f ca="1">IFERROR(__xludf.DUMMYFUNCTION("""COMPUTED_VALUE"""),-0.498098795055456)</f>
        <v>-0.49809879505545601</v>
      </c>
      <c r="JZ81" s="3">
        <f ca="1">IFERROR(__xludf.DUMMYFUNCTION("""COMPUTED_VALUE"""),-0.412262250807191)</f>
        <v>-0.41226225080719098</v>
      </c>
      <c r="KA81" s="3">
        <f ca="1">IFERROR(__xludf.DUMMYFUNCTION("""COMPUTED_VALUE"""),-0.435018910587451)</f>
        <v>-0.43501891058745101</v>
      </c>
      <c r="KB81" s="3">
        <f ca="1">IFERROR(__xludf.DUMMYFUNCTION("""COMPUTED_VALUE"""),-0.560389425141194)</f>
        <v>-0.56038942514119405</v>
      </c>
      <c r="KC81" s="3">
        <f ca="1">IFERROR(__xludf.DUMMYFUNCTION("""COMPUTED_VALUE"""),-0.52353281270485)</f>
        <v>-0.52353281270484997</v>
      </c>
      <c r="KD81" s="3">
        <f ca="1">IFERROR(__xludf.DUMMYFUNCTION("""COMPUTED_VALUE"""),-0.502076864747199)</f>
        <v>-0.50207686474719904</v>
      </c>
      <c r="KE81" s="3">
        <f ca="1">IFERROR(__xludf.DUMMYFUNCTION("""COMPUTED_VALUE"""),-0.429059509126653)</f>
        <v>-0.42905950912665303</v>
      </c>
      <c r="KF81" s="3">
        <f ca="1">IFERROR(__xludf.DUMMYFUNCTION("""COMPUTED_VALUE"""),-0.450639510852535)</f>
        <v>-0.45063951085253501</v>
      </c>
      <c r="KG81" s="3">
        <f ca="1">IFERROR(__xludf.DUMMYFUNCTION("""COMPUTED_VALUE"""),-0.426782181541686)</f>
        <v>-0.42678218154168601</v>
      </c>
      <c r="KH81" s="3">
        <f ca="1">IFERROR(__xludf.DUMMYFUNCTION("""COMPUTED_VALUE"""),-0.417340875289622)</f>
        <v>-0.41734087528962199</v>
      </c>
      <c r="KI81" s="3">
        <f ca="1">IFERROR(__xludf.DUMMYFUNCTION("""COMPUTED_VALUE"""),-0.507300874864633)</f>
        <v>-0.50730087486463304</v>
      </c>
      <c r="KJ81" s="3">
        <f ca="1">IFERROR(__xludf.DUMMYFUNCTION("""COMPUTED_VALUE"""),-0.468391783599694)</f>
        <v>-0.46839178359969402</v>
      </c>
      <c r="KK81" s="3">
        <f ca="1">IFERROR(__xludf.DUMMYFUNCTION("""COMPUTED_VALUE"""),-0.488826992984831)</f>
        <v>-0.48882699298483101</v>
      </c>
      <c r="KL81" s="3">
        <f ca="1">IFERROR(__xludf.DUMMYFUNCTION("""COMPUTED_VALUE"""),-0.449570228996904)</f>
        <v>-0.44957022899690402</v>
      </c>
      <c r="KM81" s="3">
        <f ca="1">IFERROR(__xludf.DUMMYFUNCTION("""COMPUTED_VALUE"""),-0.491254854760937)</f>
        <v>-0.491254854760937</v>
      </c>
      <c r="KN81" s="3">
        <f ca="1">IFERROR(__xludf.DUMMYFUNCTION("""COMPUTED_VALUE"""),-0.516256609793158)</f>
        <v>-0.51625660979315802</v>
      </c>
      <c r="KO81" s="3">
        <f ca="1">IFERROR(__xludf.DUMMYFUNCTION("""COMPUTED_VALUE"""),-0.528665226612809)</f>
        <v>-0.52866522661280901</v>
      </c>
      <c r="KP81" s="3">
        <f ca="1">IFERROR(__xludf.DUMMYFUNCTION("""COMPUTED_VALUE"""),-0.562944761212463)</f>
        <v>-0.56294476121246295</v>
      </c>
      <c r="KQ81" s="3">
        <f ca="1">IFERROR(__xludf.DUMMYFUNCTION("""COMPUTED_VALUE"""),-0.521013920127759)</f>
        <v>-0.52101392012775904</v>
      </c>
      <c r="KR81" s="3">
        <f ca="1">IFERROR(__xludf.DUMMYFUNCTION("""COMPUTED_VALUE"""),-0.503061042279995)</f>
        <v>-0.50306104227999504</v>
      </c>
      <c r="KS81" s="3">
        <f ca="1">IFERROR(__xludf.DUMMYFUNCTION("""COMPUTED_VALUE"""),-0.471144266270613)</f>
        <v>-0.47114426627061301</v>
      </c>
      <c r="KT81" s="3">
        <f ca="1">IFERROR(__xludf.DUMMYFUNCTION("""COMPUTED_VALUE"""),-0.517606038939507)</f>
        <v>-0.51760603893950696</v>
      </c>
      <c r="KU81" s="3">
        <f ca="1">IFERROR(__xludf.DUMMYFUNCTION("""COMPUTED_VALUE"""),-0.533676783220588)</f>
        <v>-0.53367678322058798</v>
      </c>
      <c r="KV81" s="3">
        <f ca="1">IFERROR(__xludf.DUMMYFUNCTION("""COMPUTED_VALUE"""),-0.576065473234837)</f>
        <v>-0.57606547323483703</v>
      </c>
      <c r="KW81" s="3">
        <f ca="1">IFERROR(__xludf.DUMMYFUNCTION("""COMPUTED_VALUE"""),-0.537375205373715)</f>
        <v>-0.53737520537371497</v>
      </c>
      <c r="KX81" s="3">
        <f ca="1">IFERROR(__xludf.DUMMYFUNCTION("""COMPUTED_VALUE"""),-0.51998611085613)</f>
        <v>-0.51998611085613</v>
      </c>
      <c r="KY81" s="3">
        <f ca="1">IFERROR(__xludf.DUMMYFUNCTION("""COMPUTED_VALUE"""),-0.520592269508285)</f>
        <v>-0.52059226950828497</v>
      </c>
      <c r="KZ81" s="3">
        <f ca="1">IFERROR(__xludf.DUMMYFUNCTION("""COMPUTED_VALUE"""),-0.517596850250291)</f>
        <v>-0.51759685025029101</v>
      </c>
      <c r="LA81" s="3">
        <f ca="1">IFERROR(__xludf.DUMMYFUNCTION("""COMPUTED_VALUE"""),-0.586688765672626)</f>
        <v>-0.58668876567262596</v>
      </c>
      <c r="LB81" s="3">
        <f ca="1">IFERROR(__xludf.DUMMYFUNCTION("""COMPUTED_VALUE"""),-0.627278731946507)</f>
        <v>-0.62727873194650696</v>
      </c>
      <c r="LC81" s="3">
        <f ca="1">IFERROR(__xludf.DUMMYFUNCTION("""COMPUTED_VALUE"""),-0.566642966983387)</f>
        <v>-0.56664296698338701</v>
      </c>
      <c r="LD81" s="3">
        <f ca="1">IFERROR(__xludf.DUMMYFUNCTION("""COMPUTED_VALUE"""),-0.599194992113094)</f>
        <v>-0.59919499211309402</v>
      </c>
      <c r="LE81" s="3">
        <f ca="1">IFERROR(__xludf.DUMMYFUNCTION("""COMPUTED_VALUE"""),-0.584430353948507)</f>
        <v>-0.58443035394850695</v>
      </c>
      <c r="LF81" s="3">
        <f ca="1">IFERROR(__xludf.DUMMYFUNCTION("""COMPUTED_VALUE"""),-0.522994426645198)</f>
        <v>-0.52299442664519802</v>
      </c>
      <c r="LG81" s="3">
        <f ca="1">IFERROR(__xludf.DUMMYFUNCTION("""COMPUTED_VALUE"""),-0.513865175195459)</f>
        <v>-0.51386517519545905</v>
      </c>
      <c r="LH81" s="3">
        <f ca="1">IFERROR(__xludf.DUMMYFUNCTION("""COMPUTED_VALUE"""),-0.612336433203353)</f>
        <v>-0.61233643320335296</v>
      </c>
      <c r="LI81" s="3">
        <f ca="1">IFERROR(__xludf.DUMMYFUNCTION("""COMPUTED_VALUE"""),-0.623231290626493)</f>
        <v>-0.62323129062649296</v>
      </c>
      <c r="LJ81" s="3">
        <f ca="1">IFERROR(__xludf.DUMMYFUNCTION("""COMPUTED_VALUE"""),-0.629901391458756)</f>
        <v>-0.62990139145875601</v>
      </c>
      <c r="LK81" s="3">
        <f ca="1">IFERROR(__xludf.DUMMYFUNCTION("""COMPUTED_VALUE"""),-0.6163836193011)</f>
        <v>-0.61638361930109997</v>
      </c>
      <c r="LL81" s="3">
        <f ca="1">IFERROR(__xludf.DUMMYFUNCTION("""COMPUTED_VALUE"""),-0.600854011464526)</f>
        <v>-0.60085401146452599</v>
      </c>
      <c r="LM81" s="3">
        <f ca="1">IFERROR(__xludf.DUMMYFUNCTION("""COMPUTED_VALUE"""),-0.630420799366859)</f>
        <v>-0.63042079936685902</v>
      </c>
      <c r="LN81" s="3">
        <f ca="1">IFERROR(__xludf.DUMMYFUNCTION("""COMPUTED_VALUE"""),-0.556583073387107)</f>
        <v>-0.556583073387107</v>
      </c>
      <c r="LO81" s="3">
        <f ca="1">IFERROR(__xludf.DUMMYFUNCTION("""COMPUTED_VALUE"""),-0.684729792388686)</f>
        <v>-0.68472979238868603</v>
      </c>
      <c r="LP81" s="3">
        <f ca="1">IFERROR(__xludf.DUMMYFUNCTION("""COMPUTED_VALUE"""),-0.64087108002251)</f>
        <v>-0.64087108002251003</v>
      </c>
      <c r="LQ81" s="3">
        <f ca="1">IFERROR(__xludf.DUMMYFUNCTION("""COMPUTED_VALUE"""),-0.650588295591785)</f>
        <v>-0.65058829559178499</v>
      </c>
      <c r="LR81" s="3">
        <f ca="1">IFERROR(__xludf.DUMMYFUNCTION("""COMPUTED_VALUE"""),-0.669149052960263)</f>
        <v>-0.66914905296026295</v>
      </c>
      <c r="LS81" s="3">
        <f ca="1">IFERROR(__xludf.DUMMYFUNCTION("""COMPUTED_VALUE"""),-0.654686794069714)</f>
        <v>-0.65468679406971397</v>
      </c>
      <c r="LT81" s="3">
        <f ca="1">IFERROR(__xludf.DUMMYFUNCTION("""COMPUTED_VALUE"""),-0.60929167967173)</f>
        <v>-0.60929167967173004</v>
      </c>
      <c r="LU81" s="3">
        <f ca="1">IFERROR(__xludf.DUMMYFUNCTION("""COMPUTED_VALUE"""),-0.56234000409424)</f>
        <v>-0.56234000409424001</v>
      </c>
      <c r="LV81" s="3">
        <f ca="1">IFERROR(__xludf.DUMMYFUNCTION("""COMPUTED_VALUE"""),-0.660340403616287)</f>
        <v>-0.66034040361628699</v>
      </c>
      <c r="LW81" s="3">
        <f ca="1">IFERROR(__xludf.DUMMYFUNCTION("""COMPUTED_VALUE"""),-0.661757557619346)</f>
        <v>-0.66175755761934596</v>
      </c>
      <c r="LX81" s="3">
        <f ca="1">IFERROR(__xludf.DUMMYFUNCTION("""COMPUTED_VALUE"""),-0.678041806712044)</f>
        <v>-0.67804180671204395</v>
      </c>
      <c r="LY81" s="3">
        <f ca="1">IFERROR(__xludf.DUMMYFUNCTION("""COMPUTED_VALUE"""),-0.680181538596381)</f>
        <v>-0.68018153859638097</v>
      </c>
      <c r="LZ81" s="3">
        <f ca="1">IFERROR(__xludf.DUMMYFUNCTION("""COMPUTED_VALUE"""),-0.688092686263014)</f>
        <v>-0.68809268626301401</v>
      </c>
      <c r="MA81" s="3">
        <f ca="1">IFERROR(__xludf.DUMMYFUNCTION("""COMPUTED_VALUE"""),-0.685098948943778)</f>
        <v>-0.68509894894377799</v>
      </c>
      <c r="MB81" s="3">
        <f ca="1">IFERROR(__xludf.DUMMYFUNCTION("""COMPUTED_VALUE"""),-0.63282607220635)</f>
        <v>-0.63282607220635001</v>
      </c>
      <c r="MC81" s="3">
        <f ca="1">IFERROR(__xludf.DUMMYFUNCTION("""COMPUTED_VALUE"""),-0.697866773424049)</f>
        <v>-0.69786677342404901</v>
      </c>
      <c r="MD81" s="3">
        <f ca="1">IFERROR(__xludf.DUMMYFUNCTION("""COMPUTED_VALUE"""),-0.689595826197963)</f>
        <v>-0.689595826197963</v>
      </c>
      <c r="ME81" s="3">
        <f ca="1">IFERROR(__xludf.DUMMYFUNCTION("""COMPUTED_VALUE"""),-0.690547454115711)</f>
        <v>-0.69054745411571095</v>
      </c>
      <c r="MF81" s="3">
        <f ca="1">IFERROR(__xludf.DUMMYFUNCTION("""COMPUTED_VALUE"""),-0.697499150930087)</f>
        <v>-0.69749915093008696</v>
      </c>
      <c r="MG81" s="3">
        <f ca="1">IFERROR(__xludf.DUMMYFUNCTION("""COMPUTED_VALUE"""),-0.688009626927708)</f>
        <v>-0.68800962692770795</v>
      </c>
      <c r="MH81" s="3">
        <f ca="1">IFERROR(__xludf.DUMMYFUNCTION("""COMPUTED_VALUE"""),-0.672570067781368)</f>
        <v>-0.67257006778136796</v>
      </c>
      <c r="MI81" s="3">
        <f ca="1">IFERROR(__xludf.DUMMYFUNCTION("""COMPUTED_VALUE"""),-0.604969873655356)</f>
        <v>-0.60496987365535604</v>
      </c>
      <c r="MJ81" s="3">
        <f ca="1">IFERROR(__xludf.DUMMYFUNCTION("""COMPUTED_VALUE"""),-0.676585962561859)</f>
        <v>-0.67658596256185899</v>
      </c>
      <c r="MK81" s="3">
        <f ca="1">IFERROR(__xludf.DUMMYFUNCTION("""COMPUTED_VALUE"""),-0.673909298190691)</f>
        <v>-0.67390929819069101</v>
      </c>
      <c r="ML81" s="3">
        <f ca="1">IFERROR(__xludf.DUMMYFUNCTION("""COMPUTED_VALUE"""),-0.707667663232851)</f>
        <v>-0.70766766323285102</v>
      </c>
      <c r="MM81" s="3">
        <f ca="1">IFERROR(__xludf.DUMMYFUNCTION("""COMPUTED_VALUE"""),-0.698135209949855)</f>
        <v>-0.69813520994985501</v>
      </c>
      <c r="MN81" s="3">
        <f ca="1">IFERROR(__xludf.DUMMYFUNCTION("""COMPUTED_VALUE"""),-0.680886512045256)</f>
        <v>-0.68088651204525596</v>
      </c>
      <c r="MO81" s="3">
        <f ca="1">IFERROR(__xludf.DUMMYFUNCTION("""COMPUTED_VALUE"""),-0.64564586010513)</f>
        <v>-0.64564586010513003</v>
      </c>
      <c r="MP81" s="3">
        <f ca="1">IFERROR(__xludf.DUMMYFUNCTION("""COMPUTED_VALUE"""),-0.624692784613471)</f>
        <v>-0.624692784613471</v>
      </c>
      <c r="MQ81" s="3">
        <f ca="1">IFERROR(__xludf.DUMMYFUNCTION("""COMPUTED_VALUE"""),-0.683257430250711)</f>
        <v>-0.68325743025071095</v>
      </c>
      <c r="MR81" s="3">
        <f ca="1">IFERROR(__xludf.DUMMYFUNCTION("""COMPUTED_VALUE"""),-0.698368453283913)</f>
        <v>-0.69836845328391295</v>
      </c>
      <c r="MS81" s="3">
        <f ca="1">IFERROR(__xludf.DUMMYFUNCTION("""COMPUTED_VALUE"""),-0.70521243449905)</f>
        <v>-0.70521243449905002</v>
      </c>
      <c r="MT81" s="3">
        <f ca="1">IFERROR(__xludf.DUMMYFUNCTION("""COMPUTED_VALUE"""),-0.700143087592844)</f>
        <v>-0.70014308759284405</v>
      </c>
      <c r="MU81" s="3">
        <f ca="1">IFERROR(__xludf.DUMMYFUNCTION("""COMPUTED_VALUE"""),-0.704202333306733)</f>
        <v>-0.70420233330673299</v>
      </c>
      <c r="MV81" s="3">
        <f ca="1">IFERROR(__xludf.DUMMYFUNCTION("""COMPUTED_VALUE"""),-0.638747225243101)</f>
        <v>-0.63874722524310101</v>
      </c>
      <c r="MW81" s="3">
        <f ca="1">IFERROR(__xludf.DUMMYFUNCTION("""COMPUTED_VALUE"""),-0.62431081273302)</f>
        <v>-0.62431081273302003</v>
      </c>
      <c r="MX81" s="3">
        <f ca="1">IFERROR(__xludf.DUMMYFUNCTION("""COMPUTED_VALUE"""),-0.709311792689105)</f>
        <v>-0.70931179268910505</v>
      </c>
      <c r="MY81" s="3">
        <f ca="1">IFERROR(__xludf.DUMMYFUNCTION("""COMPUTED_VALUE"""),-0.677575691921096)</f>
        <v>-0.67757569192109601</v>
      </c>
      <c r="MZ81" s="3">
        <f ca="1">IFERROR(__xludf.DUMMYFUNCTION("""COMPUTED_VALUE"""),-0.684559796520203)</f>
        <v>-0.68455979652020305</v>
      </c>
      <c r="NA81" s="3">
        <f ca="1">IFERROR(__xludf.DUMMYFUNCTION("""COMPUTED_VALUE"""),-0.704982349167887)</f>
        <v>-0.70498234916788705</v>
      </c>
      <c r="NB81" s="3">
        <f ca="1">IFERROR(__xludf.DUMMYFUNCTION("""COMPUTED_VALUE"""),-0.697427619142677)</f>
        <v>-0.69742761914267704</v>
      </c>
      <c r="NC81" s="3">
        <f ca="1">IFERROR(__xludf.DUMMYFUNCTION("""COMPUTED_VALUE"""),-0.696348709670854)</f>
        <v>-0.69634870967085405</v>
      </c>
      <c r="ND81" s="3">
        <f ca="1">IFERROR(__xludf.DUMMYFUNCTION("""COMPUTED_VALUE"""),-0.662615027255316)</f>
        <v>-0.66261502725531596</v>
      </c>
      <c r="NE81" s="3">
        <f ca="1">IFERROR(__xludf.DUMMYFUNCTION("""COMPUTED_VALUE"""),-0.699581044670855)</f>
        <v>-0.69958104467085502</v>
      </c>
      <c r="NF81" s="3">
        <f ca="1">IFERROR(__xludf.DUMMYFUNCTION("""COMPUTED_VALUE"""),-0.705654460790584)</f>
        <v>-0.70565446079058403</v>
      </c>
      <c r="NG81" s="3">
        <f ca="1">IFERROR(__xludf.DUMMYFUNCTION("""COMPUTED_VALUE"""),-0.714675984998301)</f>
        <v>-0.71467598499830098</v>
      </c>
      <c r="NH81" s="3">
        <f ca="1">IFERROR(__xludf.DUMMYFUNCTION("""COMPUTED_VALUE"""),-0.714383297633747)</f>
        <v>-0.71438329763374697</v>
      </c>
      <c r="NI81" s="3">
        <f ca="1">IFERROR(__xludf.DUMMYFUNCTION("""COMPUTED_VALUE"""),-0.714781882290457)</f>
        <v>-0.71478188229045703</v>
      </c>
      <c r="NJ81" s="3">
        <f ca="1">IFERROR(__xludf.DUMMYFUNCTION("""COMPUTED_VALUE"""),-0.683315437482995)</f>
        <v>-0.68331543748299495</v>
      </c>
      <c r="NK81" s="3">
        <f ca="1">IFERROR(__xludf.DUMMYFUNCTION("""COMPUTED_VALUE"""),-0.655980118993727)</f>
        <v>-0.65598011899372699</v>
      </c>
      <c r="NL81" s="3">
        <f ca="1">IFERROR(__xludf.DUMMYFUNCTION("""COMPUTED_VALUE"""),-0.699101349269065)</f>
        <v>-0.69910134926906498</v>
      </c>
      <c r="NM81" s="3">
        <f ca="1">IFERROR(__xludf.DUMMYFUNCTION("""COMPUTED_VALUE"""),-0.718825584480033)</f>
        <v>-0.71882558448003298</v>
      </c>
      <c r="NN81" s="3">
        <f ca="1">IFERROR(__xludf.DUMMYFUNCTION("""COMPUTED_VALUE"""),-0.72129020813978)</f>
        <v>-0.72129020813977995</v>
      </c>
      <c r="NO81" s="3">
        <f ca="1">IFERROR(__xludf.DUMMYFUNCTION("""COMPUTED_VALUE"""),-0.700036299244406)</f>
        <v>-0.70003629924440602</v>
      </c>
      <c r="NP81" s="3">
        <f ca="1">IFERROR(__xludf.DUMMYFUNCTION("""COMPUTED_VALUE"""),-0.720070750760541)</f>
        <v>-0.72007075076054095</v>
      </c>
      <c r="NQ81" s="3">
        <f ca="1">IFERROR(__xludf.DUMMYFUNCTION("""COMPUTED_VALUE"""),-0.698867582833137)</f>
        <v>-0.69886758283313699</v>
      </c>
      <c r="NR81" s="3">
        <f ca="1">IFERROR(__xludf.DUMMYFUNCTION("""COMPUTED_VALUE"""),-0.652860257553164)</f>
        <v>-0.65286025755316401</v>
      </c>
      <c r="NS81" s="3">
        <f ca="1">IFERROR(__xludf.DUMMYFUNCTION("""COMPUTED_VALUE"""),-0.698813920188958)</f>
        <v>-0.69881392018895805</v>
      </c>
      <c r="NT81" s="3">
        <f ca="1">IFERROR(__xludf.DUMMYFUNCTION("""COMPUTED_VALUE"""),-0.687577701769234)</f>
        <v>-0.68757770176923405</v>
      </c>
      <c r="NU81" s="3">
        <f ca="1">IFERROR(__xludf.DUMMYFUNCTION("""COMPUTED_VALUE"""),-0.708916928976483)</f>
        <v>-0.70891692897648295</v>
      </c>
      <c r="NV81" s="3">
        <f ca="1">IFERROR(__xludf.DUMMYFUNCTION("""COMPUTED_VALUE"""),-0.704653727053163)</f>
        <v>-0.70465372705316298</v>
      </c>
      <c r="NW81" s="3">
        <f ca="1">IFERROR(__xludf.DUMMYFUNCTION("""COMPUTED_VALUE"""),-0.65812886814821)</f>
        <v>-0.65812886814821003</v>
      </c>
      <c r="NX81" s="3">
        <f ca="1">IFERROR(__xludf.DUMMYFUNCTION("""COMPUTED_VALUE"""),-0.702860361963888)</f>
        <v>-0.70286036196388801</v>
      </c>
      <c r="NY81" s="3">
        <f ca="1">IFERROR(__xludf.DUMMYFUNCTION("""COMPUTED_VALUE"""),-0.57306387793867)</f>
        <v>-0.57306387793866997</v>
      </c>
      <c r="NZ81" s="3">
        <f ca="1">IFERROR(__xludf.DUMMYFUNCTION("""COMPUTED_VALUE"""),-0.587444669305089)</f>
        <v>-0.58744466930508898</v>
      </c>
      <c r="OA81" s="3">
        <f ca="1">IFERROR(__xludf.DUMMYFUNCTION("""COMPUTED_VALUE"""),-0.594831780531469)</f>
        <v>-0.59483178053146901</v>
      </c>
      <c r="OB81" s="3">
        <f ca="1">IFERROR(__xludf.DUMMYFUNCTION("""COMPUTED_VALUE"""),-0.584033753032352)</f>
        <v>-0.58403375303235205</v>
      </c>
      <c r="OC81" s="3">
        <f ca="1">IFERROR(__xludf.DUMMYFUNCTION("""COMPUTED_VALUE"""),-0.560451643959256)</f>
        <v>-0.56045164395925595</v>
      </c>
      <c r="OD81" s="3">
        <f ca="1">IFERROR(__xludf.DUMMYFUNCTION("""COMPUTED_VALUE"""),-0.53442098521093)</f>
        <v>-0.53442098521092996</v>
      </c>
      <c r="OE81" s="3">
        <f ca="1">IFERROR(__xludf.DUMMYFUNCTION("""COMPUTED_VALUE"""),-0.438095893182413)</f>
        <v>-0.43809589318241299</v>
      </c>
      <c r="OF81" s="3">
        <f ca="1">IFERROR(__xludf.DUMMYFUNCTION("""COMPUTED_VALUE"""),-0.259250665250173)</f>
        <v>-0.25925066525017298</v>
      </c>
      <c r="OG81" s="3">
        <f ca="1">IFERROR(__xludf.DUMMYFUNCTION("""COMPUTED_VALUE"""),-0.26770036836997)</f>
        <v>-0.26770036836997002</v>
      </c>
      <c r="OH81" s="3">
        <f ca="1">IFERROR(__xludf.DUMMYFUNCTION("""COMPUTED_VALUE"""),-0.222939341323667)</f>
        <v>-0.222939341323667</v>
      </c>
      <c r="OI81" s="3">
        <f ca="1">IFERROR(__xludf.DUMMYFUNCTION("""COMPUTED_VALUE"""),-0.187415143837122)</f>
        <v>-0.18741514383712199</v>
      </c>
      <c r="OJ81" s="3">
        <f ca="1">IFERROR(__xludf.DUMMYFUNCTION("""COMPUTED_VALUE"""),-0.146060680595188)</f>
        <v>-0.14606068059518801</v>
      </c>
      <c r="OK81" s="3">
        <f ca="1">IFERROR(__xludf.DUMMYFUNCTION("""COMPUTED_VALUE"""),-0.0933590332435221)</f>
        <v>-9.3359033243522099E-2</v>
      </c>
      <c r="OL81" s="3">
        <f ca="1">IFERROR(__xludf.DUMMYFUNCTION("""COMPUTED_VALUE"""),0.0175954021322279)</f>
        <v>1.7595402132227898E-2</v>
      </c>
      <c r="OM81" s="3">
        <f ca="1">IFERROR(__xludf.DUMMYFUNCTION("""COMPUTED_VALUE"""),-0.0670040581538627)</f>
        <v>-6.7004058153862706E-2</v>
      </c>
      <c r="ON81" s="3">
        <f ca="1">IFERROR(__xludf.DUMMYFUNCTION("""COMPUTED_VALUE"""),-0.0210024587384067)</f>
        <v>-2.1002458738406699E-2</v>
      </c>
      <c r="OO81" s="3">
        <f ca="1">IFERROR(__xludf.DUMMYFUNCTION("""COMPUTED_VALUE"""),-0.0307538653905445)</f>
        <v>-3.0753865390544501E-2</v>
      </c>
      <c r="OP81" s="3">
        <f ca="1">IFERROR(__xludf.DUMMYFUNCTION("""COMPUTED_VALUE"""),-0.0186169592896674)</f>
        <v>-1.86169592896674E-2</v>
      </c>
      <c r="OQ81" s="3">
        <f ca="1">IFERROR(__xludf.DUMMYFUNCTION("""COMPUTED_VALUE"""),-0.00578011055433247)</f>
        <v>-5.7801105543324703E-3</v>
      </c>
      <c r="OR81" s="3">
        <f ca="1">IFERROR(__xludf.DUMMYFUNCTION("""COMPUTED_VALUE"""),-0.0172572841139685)</f>
        <v>-1.7257284113968499E-2</v>
      </c>
      <c r="OS81" s="3">
        <f ca="1">IFERROR(__xludf.DUMMYFUNCTION("""COMPUTED_VALUE"""),0.0406662600193845)</f>
        <v>4.0666260019384497E-2</v>
      </c>
      <c r="OT81" s="3">
        <f ca="1">IFERROR(__xludf.DUMMYFUNCTION("""COMPUTED_VALUE"""),-0.0107597836306716)</f>
        <v>-1.07597836306716E-2</v>
      </c>
      <c r="OU81" s="3">
        <f ca="1">IFERROR(__xludf.DUMMYFUNCTION("""COMPUTED_VALUE"""),-0.0100826208471298)</f>
        <v>-1.0082620847129801E-2</v>
      </c>
      <c r="OV81" s="3">
        <f ca="1">IFERROR(__xludf.DUMMYFUNCTION("""COMPUTED_VALUE"""),0.0542085473402853)</f>
        <v>5.4208547340285303E-2</v>
      </c>
      <c r="OW81" s="3">
        <f ca="1">IFERROR(__xludf.DUMMYFUNCTION("""COMPUTED_VALUE"""),0.051739385963242)</f>
        <v>5.1739385963241999E-2</v>
      </c>
      <c r="OX81" s="3">
        <f ca="1">IFERROR(__xludf.DUMMYFUNCTION("""COMPUTED_VALUE"""),0.056669953979682)</f>
        <v>5.6669953979681997E-2</v>
      </c>
      <c r="OY81" s="3">
        <f ca="1">IFERROR(__xludf.DUMMYFUNCTION("""COMPUTED_VALUE"""),0.0141523582365941)</f>
        <v>1.4152358236594101E-2</v>
      </c>
      <c r="OZ81" s="3">
        <f ca="1">IFERROR(__xludf.DUMMYFUNCTION("""COMPUTED_VALUE"""),0.0876835409207392)</f>
        <v>8.7683540920739197E-2</v>
      </c>
      <c r="PA81" s="3">
        <f ca="1">IFERROR(__xludf.DUMMYFUNCTION("""COMPUTED_VALUE"""),-0.0182124311793157)</f>
        <v>-1.8212431179315699E-2</v>
      </c>
      <c r="PB81" s="3">
        <f ca="1">IFERROR(__xludf.DUMMYFUNCTION("""COMPUTED_VALUE"""),-0.0296844404908119)</f>
        <v>-2.9684440490811901E-2</v>
      </c>
      <c r="PC81" s="3">
        <f ca="1">IFERROR(__xludf.DUMMYFUNCTION("""COMPUTED_VALUE"""),-0.0769967572404412)</f>
        <v>-7.6996757240441194E-2</v>
      </c>
      <c r="PD81" s="3">
        <f ca="1">IFERROR(__xludf.DUMMYFUNCTION("""COMPUTED_VALUE"""),-0.08794783237843)</f>
        <v>-8.7947832378429999E-2</v>
      </c>
      <c r="PE81" s="3">
        <f ca="1">IFERROR(__xludf.DUMMYFUNCTION("""COMPUTED_VALUE"""),-0.0260827585453397)</f>
        <v>-2.6082758545339702E-2</v>
      </c>
      <c r="PF81" s="3">
        <f ca="1">IFERROR(__xludf.DUMMYFUNCTION("""COMPUTED_VALUE"""),-0.0141385424328348)</f>
        <v>-1.41385424328348E-2</v>
      </c>
      <c r="PG81" s="3">
        <f ca="1">IFERROR(__xludf.DUMMYFUNCTION("""COMPUTED_VALUE"""),-0.0513169835830485)</f>
        <v>-5.1316983583048502E-2</v>
      </c>
      <c r="PH81" s="3">
        <f ca="1">IFERROR(__xludf.DUMMYFUNCTION("""COMPUTED_VALUE"""),-0.00355225029779437)</f>
        <v>-3.5522502977943702E-3</v>
      </c>
      <c r="PI81" s="3">
        <f ca="1">IFERROR(__xludf.DUMMYFUNCTION("""COMPUTED_VALUE"""),-0.0566620954842199)</f>
        <v>-5.6662095484219903E-2</v>
      </c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</row>
    <row r="82" spans="1:477" ht="13">
      <c r="A82" s="1" t="str">
        <f ca="1">IFERROR(__xludf.DUMMYFUNCTION("""COMPUTED_VALUE"""),"MTA - NYC Subway")</f>
        <v>MTA - NYC Subway</v>
      </c>
      <c r="B82" s="1" t="str">
        <f ca="1">IFERROR(__xludf.DUMMYFUNCTION("""COMPUTED_VALUE"""),"NYC")</f>
        <v>NYC</v>
      </c>
      <c r="C82" s="1" t="str">
        <f ca="1">IFERROR(__xludf.DUMMYFUNCTION("""COMPUTED_VALUE"""),"United States")</f>
        <v>United States</v>
      </c>
      <c r="D82" s="1" t="str">
        <f ca="1">IFERROR(__xludf.DUMMYFUNCTION("""COMPUTED_VALUE"""),"New York")</f>
        <v>New York</v>
      </c>
      <c r="E82" s="3">
        <f ca="1">IFERROR(__xludf.DUMMYFUNCTION("""COMPUTED_VALUE"""),-0.34273918393963)</f>
        <v>-0.34273918393962999</v>
      </c>
      <c r="F82" s="3">
        <f ca="1">IFERROR(__xludf.DUMMYFUNCTION("""COMPUTED_VALUE"""),-0.362596022925889)</f>
        <v>-0.36259602292588899</v>
      </c>
      <c r="G82" s="3">
        <f ca="1">IFERROR(__xludf.DUMMYFUNCTION("""COMPUTED_VALUE"""),-0.410844982723269)</f>
        <v>-0.41084498272326903</v>
      </c>
      <c r="H82" s="3">
        <f ca="1">IFERROR(__xludf.DUMMYFUNCTION("""COMPUTED_VALUE"""),-0.416440860794858)</f>
        <v>-0.41644086079485798</v>
      </c>
      <c r="I82" s="3">
        <f ca="1">IFERROR(__xludf.DUMMYFUNCTION("""COMPUTED_VALUE"""),-0.429512503655816)</f>
        <v>-0.429512503655816</v>
      </c>
      <c r="J82" s="3">
        <f ca="1">IFERROR(__xludf.DUMMYFUNCTION("""COMPUTED_VALUE"""),-0.412285112121373)</f>
        <v>-0.41228511212137298</v>
      </c>
      <c r="K82" s="3">
        <f ca="1">IFERROR(__xludf.DUMMYFUNCTION("""COMPUTED_VALUE"""),-0.369306801491009)</f>
        <v>-0.36930680149100897</v>
      </c>
      <c r="L82" s="3">
        <f ca="1">IFERROR(__xludf.DUMMYFUNCTION("""COMPUTED_VALUE"""),-0.403528713664897)</f>
        <v>-0.40352871366489701</v>
      </c>
      <c r="M82" s="3">
        <f ca="1">IFERROR(__xludf.DUMMYFUNCTION("""COMPUTED_VALUE"""),-0.476477908129274)</f>
        <v>-0.47647790812927399</v>
      </c>
      <c r="N82" s="3">
        <f ca="1">IFERROR(__xludf.DUMMYFUNCTION("""COMPUTED_VALUE"""),-0.469931990689275)</f>
        <v>-0.46993199068927499</v>
      </c>
      <c r="O82" s="3">
        <f ca="1">IFERROR(__xludf.DUMMYFUNCTION("""COMPUTED_VALUE"""),-0.487664706393001)</f>
        <v>-0.48766470639300102</v>
      </c>
      <c r="P82" s="3">
        <f ca="1">IFERROR(__xludf.DUMMYFUNCTION("""COMPUTED_VALUE"""),-0.455203910079231)</f>
        <v>-0.455203910079231</v>
      </c>
      <c r="Q82" s="3">
        <f ca="1">IFERROR(__xludf.DUMMYFUNCTION("""COMPUTED_VALUE"""),-0.457033812399978)</f>
        <v>-0.45703381239997798</v>
      </c>
      <c r="R82" s="3">
        <f ca="1">IFERROR(__xludf.DUMMYFUNCTION("""COMPUTED_VALUE"""),-0.42938230042785)</f>
        <v>-0.42938230042785003</v>
      </c>
      <c r="S82" s="3">
        <f ca="1">IFERROR(__xludf.DUMMYFUNCTION("""COMPUTED_VALUE"""),-0.369107709021035)</f>
        <v>-0.36910770902103501</v>
      </c>
      <c r="T82" s="3">
        <f ca="1">IFERROR(__xludf.DUMMYFUNCTION("""COMPUTED_VALUE"""),-0.44235630008527)</f>
        <v>-0.44235630008526999</v>
      </c>
      <c r="U82" s="3">
        <f ca="1">IFERROR(__xludf.DUMMYFUNCTION("""COMPUTED_VALUE"""),-0.492606760939263)</f>
        <v>-0.49260676093926298</v>
      </c>
      <c r="V82" s="3">
        <f ca="1">IFERROR(__xludf.DUMMYFUNCTION("""COMPUTED_VALUE"""),-0.525949800874011)</f>
        <v>-0.525949800874011</v>
      </c>
      <c r="W82" s="3">
        <f ca="1">IFERROR(__xludf.DUMMYFUNCTION("""COMPUTED_VALUE"""),-0.498821539680296)</f>
        <v>-0.49882153968029602</v>
      </c>
      <c r="X82" s="3">
        <f ca="1">IFERROR(__xludf.DUMMYFUNCTION("""COMPUTED_VALUE"""),-0.479027804501075)</f>
        <v>-0.47902780450107502</v>
      </c>
      <c r="Y82" s="3">
        <f ca="1">IFERROR(__xludf.DUMMYFUNCTION("""COMPUTED_VALUE"""),-0.387871950401218)</f>
        <v>-0.38787195040121802</v>
      </c>
      <c r="Z82" s="3">
        <f ca="1">IFERROR(__xludf.DUMMYFUNCTION("""COMPUTED_VALUE"""),-0.440631524603748)</f>
        <v>-0.44063152460374799</v>
      </c>
      <c r="AA82" s="3">
        <f ca="1">IFERROR(__xludf.DUMMYFUNCTION("""COMPUTED_VALUE"""),-0.493799039486325)</f>
        <v>-0.49379903948632498</v>
      </c>
      <c r="AB82" s="3">
        <f ca="1">IFERROR(__xludf.DUMMYFUNCTION("""COMPUTED_VALUE"""),-0.542961533380342)</f>
        <v>-0.54296153338034203</v>
      </c>
      <c r="AC82" s="3">
        <f ca="1">IFERROR(__xludf.DUMMYFUNCTION("""COMPUTED_VALUE"""),-0.527786190127004)</f>
        <v>-0.52778619012700401</v>
      </c>
      <c r="AD82" s="3">
        <f ca="1">IFERROR(__xludf.DUMMYFUNCTION("""COMPUTED_VALUE"""),-0.537645236307434)</f>
        <v>-0.53764523630743399</v>
      </c>
      <c r="AE82" s="3">
        <f ca="1">IFERROR(__xludf.DUMMYFUNCTION("""COMPUTED_VALUE"""),-0.510940742079953)</f>
        <v>-0.51094074207995299</v>
      </c>
      <c r="AF82" s="3">
        <f ca="1">IFERROR(__xludf.DUMMYFUNCTION("""COMPUTED_VALUE"""),-0.413708398418382)</f>
        <v>-0.41370839841838197</v>
      </c>
      <c r="AG82" s="3">
        <f ca="1">IFERROR(__xludf.DUMMYFUNCTION("""COMPUTED_VALUE"""),-0.461468865474605)</f>
        <v>-0.46146886547460497</v>
      </c>
      <c r="AH82" s="3">
        <f ca="1">IFERROR(__xludf.DUMMYFUNCTION("""COMPUTED_VALUE"""),-0.495236996549237)</f>
        <v>-0.49523699654923697</v>
      </c>
      <c r="AI82" s="3">
        <f ca="1">IFERROR(__xludf.DUMMYFUNCTION("""COMPUTED_VALUE"""),-0.507838854000565)</f>
        <v>-0.50783885400056505</v>
      </c>
      <c r="AJ82" s="3">
        <f ca="1">IFERROR(__xludf.DUMMYFUNCTION("""COMPUTED_VALUE"""),-0.517312933166712)</f>
        <v>-0.51731293316671201</v>
      </c>
      <c r="AK82" s="3">
        <f ca="1">IFERROR(__xludf.DUMMYFUNCTION("""COMPUTED_VALUE"""),-0.503638393099504)</f>
        <v>-0.50363839309950398</v>
      </c>
      <c r="AL82" s="3">
        <f ca="1">IFERROR(__xludf.DUMMYFUNCTION("""COMPUTED_VALUE"""),-0.477891110419775)</f>
        <v>-0.477891110419775</v>
      </c>
      <c r="AM82" s="3">
        <f ca="1">IFERROR(__xludf.DUMMYFUNCTION("""COMPUTED_VALUE"""),-0.428066456591817)</f>
        <v>-0.42806645659181702</v>
      </c>
      <c r="AN82" s="3">
        <f ca="1">IFERROR(__xludf.DUMMYFUNCTION("""COMPUTED_VALUE"""),-0.471539328134588)</f>
        <v>-0.47153932813458799</v>
      </c>
      <c r="AO82" s="3">
        <f ca="1">IFERROR(__xludf.DUMMYFUNCTION("""COMPUTED_VALUE"""),-0.509846120044223)</f>
        <v>-0.50984612004422303</v>
      </c>
      <c r="AP82" s="3">
        <f ca="1">IFERROR(__xludf.DUMMYFUNCTION("""COMPUTED_VALUE"""),-0.529893394582464)</f>
        <v>-0.52989339458246398</v>
      </c>
      <c r="AQ82" s="3">
        <f ca="1">IFERROR(__xludf.DUMMYFUNCTION("""COMPUTED_VALUE"""),-0.514894069922179)</f>
        <v>-0.51489406992217901</v>
      </c>
      <c r="AR82" s="3">
        <f ca="1">IFERROR(__xludf.DUMMYFUNCTION("""COMPUTED_VALUE"""),-0.539322618061397)</f>
        <v>-0.53932261806139703</v>
      </c>
      <c r="AS82" s="3">
        <f ca="1">IFERROR(__xludf.DUMMYFUNCTION("""COMPUTED_VALUE"""),-0.476037111322368)</f>
        <v>-0.47603711132236798</v>
      </c>
      <c r="AT82" s="3">
        <f ca="1">IFERROR(__xludf.DUMMYFUNCTION("""COMPUTED_VALUE"""),-0.415912004224297)</f>
        <v>-0.41591200422429703</v>
      </c>
      <c r="AU82" s="3">
        <f ca="1">IFERROR(__xludf.DUMMYFUNCTION("""COMPUTED_VALUE"""),-0.472980490260134)</f>
        <v>-0.472980490260134</v>
      </c>
      <c r="AV82" s="3">
        <f ca="1">IFERROR(__xludf.DUMMYFUNCTION("""COMPUTED_VALUE"""),-0.484042336373022)</f>
        <v>-0.48404233637302202</v>
      </c>
      <c r="AW82" s="3">
        <f ca="1">IFERROR(__xludf.DUMMYFUNCTION("""COMPUTED_VALUE"""),-0.488415885621548)</f>
        <v>-0.48841588562154797</v>
      </c>
      <c r="AX82" s="3">
        <f ca="1">IFERROR(__xludf.DUMMYFUNCTION("""COMPUTED_VALUE"""),-0.450280885396145)</f>
        <v>-0.45028088539614503</v>
      </c>
      <c r="AY82" s="3">
        <f ca="1">IFERROR(__xludf.DUMMYFUNCTION("""COMPUTED_VALUE"""),-0.513365971290345)</f>
        <v>-0.513365971290345</v>
      </c>
      <c r="AZ82" s="3">
        <f ca="1">IFERROR(__xludf.DUMMYFUNCTION("""COMPUTED_VALUE"""),-0.462799873091)</f>
        <v>-0.46279987309100001</v>
      </c>
      <c r="BA82" s="3">
        <f ca="1">IFERROR(__xludf.DUMMYFUNCTION("""COMPUTED_VALUE"""),-0.394367724760986)</f>
        <v>-0.39436772476098603</v>
      </c>
      <c r="BB82" s="3">
        <f ca="1">IFERROR(__xludf.DUMMYFUNCTION("""COMPUTED_VALUE"""),-0.432975072526797)</f>
        <v>-0.43297507252679701</v>
      </c>
      <c r="BC82" s="3">
        <f ca="1">IFERROR(__xludf.DUMMYFUNCTION("""COMPUTED_VALUE"""),-0.468027128708728)</f>
        <v>-0.46802712870872798</v>
      </c>
      <c r="BD82" s="3">
        <f ca="1">IFERROR(__xludf.DUMMYFUNCTION("""COMPUTED_VALUE"""),-0.500835042170256)</f>
        <v>-0.50083504217025598</v>
      </c>
      <c r="BE82" s="3">
        <f ca="1">IFERROR(__xludf.DUMMYFUNCTION("""COMPUTED_VALUE"""),-0.497198820340086)</f>
        <v>-0.497198820340086</v>
      </c>
      <c r="BF82" s="3">
        <f ca="1">IFERROR(__xludf.DUMMYFUNCTION("""COMPUTED_VALUE"""),-0.498897069437944)</f>
        <v>-0.49889706943794399</v>
      </c>
      <c r="BG82" s="3">
        <f ca="1">IFERROR(__xludf.DUMMYFUNCTION("""COMPUTED_VALUE"""),-0.45902189854662)</f>
        <v>-0.45902189854662001</v>
      </c>
      <c r="BH82" s="3">
        <f ca="1">IFERROR(__xludf.DUMMYFUNCTION("""COMPUTED_VALUE"""),-0.390684321499699)</f>
        <v>-0.39068432149969901</v>
      </c>
      <c r="BI82" s="3">
        <f ca="1">IFERROR(__xludf.DUMMYFUNCTION("""COMPUTED_VALUE"""),-0.46555086946518)</f>
        <v>-0.46555086946517998</v>
      </c>
      <c r="BJ82" s="3">
        <f ca="1">IFERROR(__xludf.DUMMYFUNCTION("""COMPUTED_VALUE"""),-0.527628891396803)</f>
        <v>-0.52762889139680302</v>
      </c>
      <c r="BK82" s="3">
        <f ca="1">IFERROR(__xludf.DUMMYFUNCTION("""COMPUTED_VALUE"""),-0.530632540273442)</f>
        <v>-0.53063254027344198</v>
      </c>
      <c r="BL82" s="3">
        <f ca="1">IFERROR(__xludf.DUMMYFUNCTION("""COMPUTED_VALUE"""),-0.523752595972702)</f>
        <v>-0.52375259597270196</v>
      </c>
      <c r="BM82" s="3">
        <f ca="1">IFERROR(__xludf.DUMMYFUNCTION("""COMPUTED_VALUE"""),-0.532583894476107)</f>
        <v>-0.53258389447610699</v>
      </c>
      <c r="BN82" s="3">
        <f ca="1">IFERROR(__xludf.DUMMYFUNCTION("""COMPUTED_VALUE"""),-0.494877685653339)</f>
        <v>-0.49487768565333901</v>
      </c>
      <c r="BO82" s="3">
        <f ca="1">IFERROR(__xludf.DUMMYFUNCTION("""COMPUTED_VALUE"""),-0.446839111167679)</f>
        <v>-0.44683911116767899</v>
      </c>
      <c r="BP82" s="3">
        <f ca="1">IFERROR(__xludf.DUMMYFUNCTION("""COMPUTED_VALUE"""),-0.410307502850726)</f>
        <v>-0.41030750285072598</v>
      </c>
      <c r="BQ82" s="3">
        <f ca="1">IFERROR(__xludf.DUMMYFUNCTION("""COMPUTED_VALUE"""),-0.526268105815388)</f>
        <v>-0.52626810581538797</v>
      </c>
      <c r="BR82" s="3">
        <f ca="1">IFERROR(__xludf.DUMMYFUNCTION("""COMPUTED_VALUE"""),-0.511695328541031)</f>
        <v>-0.51169532854103095</v>
      </c>
      <c r="BS82" s="3">
        <f ca="1">IFERROR(__xludf.DUMMYFUNCTION("""COMPUTED_VALUE"""),-0.508257341693307)</f>
        <v>-0.50825734169330705</v>
      </c>
      <c r="BT82" s="3">
        <f ca="1">IFERROR(__xludf.DUMMYFUNCTION("""COMPUTED_VALUE"""),-0.542423628087515)</f>
        <v>-0.54242362808751499</v>
      </c>
      <c r="BU82" s="3">
        <f ca="1">IFERROR(__xludf.DUMMYFUNCTION("""COMPUTED_VALUE"""),-0.510405569056009)</f>
        <v>-0.51040556905600898</v>
      </c>
      <c r="BV82" s="3">
        <f ca="1">IFERROR(__xludf.DUMMYFUNCTION("""COMPUTED_VALUE"""),-0.480097991613575)</f>
        <v>-0.48009799161357503</v>
      </c>
      <c r="BW82" s="3">
        <f ca="1">IFERROR(__xludf.DUMMYFUNCTION("""COMPUTED_VALUE"""),-0.52066464693741)</f>
        <v>-0.52066464693740999</v>
      </c>
      <c r="BX82" s="3">
        <f ca="1">IFERROR(__xludf.DUMMYFUNCTION("""COMPUTED_VALUE"""),-0.605753658673941)</f>
        <v>-0.60575365867394104</v>
      </c>
      <c r="BY82" s="3">
        <f ca="1">IFERROR(__xludf.DUMMYFUNCTION("""COMPUTED_VALUE"""),-0.587241876318359)</f>
        <v>-0.587241876318359</v>
      </c>
      <c r="BZ82" s="3">
        <f ca="1">IFERROR(__xludf.DUMMYFUNCTION("""COMPUTED_VALUE"""),-0.585376318359379)</f>
        <v>-0.58537631835937898</v>
      </c>
      <c r="CA82" s="3">
        <f ca="1">IFERROR(__xludf.DUMMYFUNCTION("""COMPUTED_VALUE"""),-0.599426961317669)</f>
        <v>-0.59942696131766904</v>
      </c>
      <c r="CB82" s="3">
        <f ca="1">IFERROR(__xludf.DUMMYFUNCTION("""COMPUTED_VALUE"""),-0.526916678675082)</f>
        <v>-0.52691667867508196</v>
      </c>
      <c r="CC82" s="3">
        <f ca="1">IFERROR(__xludf.DUMMYFUNCTION("""COMPUTED_VALUE"""),-0.500761739403788)</f>
        <v>-0.50076173940378799</v>
      </c>
      <c r="CD82" s="3">
        <f ca="1">IFERROR(__xludf.DUMMYFUNCTION("""COMPUTED_VALUE"""),-0.482130308280942)</f>
        <v>-0.482130308280942</v>
      </c>
      <c r="CE82" s="3">
        <f ca="1">IFERROR(__xludf.DUMMYFUNCTION("""COMPUTED_VALUE"""),-0.573772586710172)</f>
        <v>-0.57377258671017195</v>
      </c>
      <c r="CF82" s="3">
        <f ca="1">IFERROR(__xludf.DUMMYFUNCTION("""COMPUTED_VALUE"""),-0.593613122717855)</f>
        <v>-0.59361312271785505</v>
      </c>
      <c r="CG82" s="3">
        <f ca="1">IFERROR(__xludf.DUMMYFUNCTION("""COMPUTED_VALUE"""),-0.594241310966272)</f>
        <v>-0.59424131096627197</v>
      </c>
      <c r="CH82" s="3">
        <f ca="1">IFERROR(__xludf.DUMMYFUNCTION("""COMPUTED_VALUE"""),-0.581297692841631)</f>
        <v>-0.58129769284163102</v>
      </c>
      <c r="CI82" s="3">
        <f ca="1">IFERROR(__xludf.DUMMYFUNCTION("""COMPUTED_VALUE"""),-0.564122398269932)</f>
        <v>-0.56412239826993205</v>
      </c>
      <c r="CJ82" s="3">
        <f ca="1">IFERROR(__xludf.DUMMYFUNCTION("""COMPUTED_VALUE"""),-0.488809165713842)</f>
        <v>-0.48880916571384198</v>
      </c>
      <c r="CK82" s="3">
        <f ca="1">IFERROR(__xludf.DUMMYFUNCTION("""COMPUTED_VALUE"""),-0.496805394156079)</f>
        <v>-0.49680539415607899</v>
      </c>
      <c r="CL82" s="3">
        <f ca="1">IFERROR(__xludf.DUMMYFUNCTION("""COMPUTED_VALUE"""),-0.580063532139078)</f>
        <v>-0.58006353213907802</v>
      </c>
      <c r="CM82" s="3">
        <f ca="1">IFERROR(__xludf.DUMMYFUNCTION("""COMPUTED_VALUE"""),-0.578642900655786)</f>
        <v>-0.57864290065578605</v>
      </c>
      <c r="CN82" s="3">
        <f ca="1">IFERROR(__xludf.DUMMYFUNCTION("""COMPUTED_VALUE"""),-0.583643167225143)</f>
        <v>-0.58364316722514298</v>
      </c>
      <c r="CO82" s="3">
        <f ca="1">IFERROR(__xludf.DUMMYFUNCTION("""COMPUTED_VALUE"""),-0.554277619992137)</f>
        <v>-0.55427761999213698</v>
      </c>
      <c r="CP82" s="3">
        <f ca="1">IFERROR(__xludf.DUMMYFUNCTION("""COMPUTED_VALUE"""),-0.556068738367809)</f>
        <v>-0.55606873836780901</v>
      </c>
      <c r="CQ82" s="3">
        <f ca="1">IFERROR(__xludf.DUMMYFUNCTION("""COMPUTED_VALUE"""),-0.508761569158432)</f>
        <v>-0.50876156915843196</v>
      </c>
      <c r="CR82" s="3">
        <f ca="1">IFERROR(__xludf.DUMMYFUNCTION("""COMPUTED_VALUE"""),-0.506557124905658)</f>
        <v>-0.50655712490565796</v>
      </c>
      <c r="CS82" s="3">
        <f ca="1">IFERROR(__xludf.DUMMYFUNCTION("""COMPUTED_VALUE"""),-0.566620901114087)</f>
        <v>-0.56662090111408703</v>
      </c>
      <c r="CT82" s="3">
        <f ca="1">IFERROR(__xludf.DUMMYFUNCTION("""COMPUTED_VALUE"""),-0.563658662527489)</f>
        <v>-0.56365866252748897</v>
      </c>
      <c r="CU82" s="3">
        <f ca="1">IFERROR(__xludf.DUMMYFUNCTION("""COMPUTED_VALUE"""),-0.521722752226431)</f>
        <v>-0.52172275222643105</v>
      </c>
      <c r="CV82" s="3">
        <f ca="1">IFERROR(__xludf.DUMMYFUNCTION("""COMPUTED_VALUE"""),-0.549377053460761)</f>
        <v>-0.54937705346076104</v>
      </c>
      <c r="CW82" s="3">
        <f ca="1">IFERROR(__xludf.DUMMYFUNCTION("""COMPUTED_VALUE"""),-0.549989033577277)</f>
        <v>-0.54998903357727702</v>
      </c>
      <c r="CX82" s="3">
        <f ca="1">IFERROR(__xludf.DUMMYFUNCTION("""COMPUTED_VALUE"""),-0.542661954290483)</f>
        <v>-0.54266195429048303</v>
      </c>
      <c r="CY82" s="3">
        <f ca="1">IFERROR(__xludf.DUMMYFUNCTION("""COMPUTED_VALUE"""),-0.561899392870906)</f>
        <v>-0.56189939287090596</v>
      </c>
      <c r="CZ82" s="3">
        <f ca="1">IFERROR(__xludf.DUMMYFUNCTION("""COMPUTED_VALUE"""),-0.679189804463076)</f>
        <v>-0.67918980446307597</v>
      </c>
      <c r="DA82" s="3">
        <f ca="1">IFERROR(__xludf.DUMMYFUNCTION("""COMPUTED_VALUE"""),-0.524681987332526)</f>
        <v>-0.52468198733252602</v>
      </c>
      <c r="DB82" s="3">
        <f ca="1">IFERROR(__xludf.DUMMYFUNCTION("""COMPUTED_VALUE"""),-0.347139157699222)</f>
        <v>-0.34713915769922199</v>
      </c>
      <c r="DC82" s="3">
        <f ca="1">IFERROR(__xludf.DUMMYFUNCTION("""COMPUTED_VALUE"""),-0.480037548189421)</f>
        <v>-0.48003754818942102</v>
      </c>
      <c r="DD82" s="3">
        <f ca="1">IFERROR(__xludf.DUMMYFUNCTION("""COMPUTED_VALUE"""),-0.486731936448378)</f>
        <v>-0.48673193644837798</v>
      </c>
      <c r="DE82" s="3">
        <f ca="1">IFERROR(__xludf.DUMMYFUNCTION("""COMPUTED_VALUE"""),-0.495601019485499)</f>
        <v>-0.49560101948549901</v>
      </c>
      <c r="DF82" s="3">
        <f ca="1">IFERROR(__xludf.DUMMYFUNCTION("""COMPUTED_VALUE"""),-0.552653247673318)</f>
        <v>-0.55265324767331803</v>
      </c>
      <c r="DG82" s="3">
        <f ca="1">IFERROR(__xludf.DUMMYFUNCTION("""COMPUTED_VALUE"""),-0.711239251406326)</f>
        <v>-0.71123925140632605</v>
      </c>
      <c r="DH82" s="3">
        <f ca="1">IFERROR(__xludf.DUMMYFUNCTION("""COMPUTED_VALUE"""),-0.509702686733438)</f>
        <v>-0.50970268673343799</v>
      </c>
      <c r="DI82" s="3">
        <f ca="1">IFERROR(__xludf.DUMMYFUNCTION("""COMPUTED_VALUE"""),-0.300821782045602)</f>
        <v>-0.300821782045602</v>
      </c>
      <c r="DJ82" s="3">
        <f ca="1">IFERROR(__xludf.DUMMYFUNCTION("""COMPUTED_VALUE"""),-0.431652303636389)</f>
        <v>-0.43165230363638901</v>
      </c>
      <c r="DK82" s="3">
        <f ca="1">IFERROR(__xludf.DUMMYFUNCTION("""COMPUTED_VALUE"""),-0.464028136914554)</f>
        <v>-0.46402813691455402</v>
      </c>
      <c r="DL82" s="3">
        <f ca="1">IFERROR(__xludf.DUMMYFUNCTION("""COMPUTED_VALUE"""),-0.458770336604396)</f>
        <v>-0.45877033660439598</v>
      </c>
      <c r="DM82" s="3">
        <f ca="1">IFERROR(__xludf.DUMMYFUNCTION("""COMPUTED_VALUE"""),-0.450960057610467)</f>
        <v>-0.45096005761046698</v>
      </c>
      <c r="DN82" s="3">
        <f ca="1">IFERROR(__xludf.DUMMYFUNCTION("""COMPUTED_VALUE"""),-0.505999833387232)</f>
        <v>-0.50599983338723198</v>
      </c>
      <c r="DO82" s="3">
        <f ca="1">IFERROR(__xludf.DUMMYFUNCTION("""COMPUTED_VALUE"""),-0.52628694243117)</f>
        <v>-0.52628694243117002</v>
      </c>
      <c r="DP82" s="3">
        <f ca="1">IFERROR(__xludf.DUMMYFUNCTION("""COMPUTED_VALUE"""),-0.425178226310918)</f>
        <v>-0.42517822631091801</v>
      </c>
      <c r="DQ82" s="3">
        <f ca="1">IFERROR(__xludf.DUMMYFUNCTION("""COMPUTED_VALUE"""),-0.526954758407068)</f>
        <v>-0.52695475840706796</v>
      </c>
      <c r="DR82" s="3">
        <f ca="1">IFERROR(__xludf.DUMMYFUNCTION("""COMPUTED_VALUE"""),-0.578053524835376)</f>
        <v>-0.57805352483537598</v>
      </c>
      <c r="DS82" s="3">
        <f ca="1">IFERROR(__xludf.DUMMYFUNCTION("""COMPUTED_VALUE"""),-0.474227313558963)</f>
        <v>-0.47422731355896303</v>
      </c>
      <c r="DT82" s="3">
        <f ca="1">IFERROR(__xludf.DUMMYFUNCTION("""COMPUTED_VALUE"""),-0.514346436656605)</f>
        <v>-0.51434643665660496</v>
      </c>
      <c r="DU82" s="3">
        <f ca="1">IFERROR(__xludf.DUMMYFUNCTION("""COMPUTED_VALUE"""),-0.586716013116467)</f>
        <v>-0.58671601311646704</v>
      </c>
      <c r="DV82" s="3">
        <f ca="1">IFERROR(__xludf.DUMMYFUNCTION("""COMPUTED_VALUE"""),-0.596595055484722)</f>
        <v>-0.59659505548472203</v>
      </c>
      <c r="DW82" s="3">
        <f ca="1">IFERROR(__xludf.DUMMYFUNCTION("""COMPUTED_VALUE"""),-0.608254045962726)</f>
        <v>-0.60825404596272603</v>
      </c>
      <c r="DX82" s="3">
        <f ca="1">IFERROR(__xludf.DUMMYFUNCTION("""COMPUTED_VALUE"""),-0.593601988969122)</f>
        <v>-0.59360198896912197</v>
      </c>
      <c r="DY82" s="3">
        <f ca="1">IFERROR(__xludf.DUMMYFUNCTION("""COMPUTED_VALUE"""),-0.574441841589619)</f>
        <v>-0.57444184158961897</v>
      </c>
      <c r="DZ82" s="3">
        <f ca="1">IFERROR(__xludf.DUMMYFUNCTION("""COMPUTED_VALUE"""),-0.450592447986299)</f>
        <v>-0.45059244798629899</v>
      </c>
      <c r="EA82" s="3">
        <f ca="1">IFERROR(__xludf.DUMMYFUNCTION("""COMPUTED_VALUE"""),-0.544879423530011)</f>
        <v>-0.54487942353001095</v>
      </c>
      <c r="EB82" s="3">
        <f ca="1">IFERROR(__xludf.DUMMYFUNCTION("""COMPUTED_VALUE"""),-0.564020555358024)</f>
        <v>-0.56402055535802398</v>
      </c>
      <c r="EC82" s="3">
        <f ca="1">IFERROR(__xludf.DUMMYFUNCTION("""COMPUTED_VALUE"""),-0.554212475237396)</f>
        <v>-0.55421247523739603</v>
      </c>
      <c r="ED82" s="3">
        <f ca="1">IFERROR(__xludf.DUMMYFUNCTION("""COMPUTED_VALUE"""),-0.611825508875317)</f>
        <v>-0.61182550887531695</v>
      </c>
      <c r="EE82" s="3">
        <f ca="1">IFERROR(__xludf.DUMMYFUNCTION("""COMPUTED_VALUE"""),-0.591262717568372)</f>
        <v>-0.59126271756837201</v>
      </c>
      <c r="EF82" s="3">
        <f ca="1">IFERROR(__xludf.DUMMYFUNCTION("""COMPUTED_VALUE"""),-0.614890936683582)</f>
        <v>-0.61489093668358197</v>
      </c>
      <c r="EG82" s="3">
        <f ca="1">IFERROR(__xludf.DUMMYFUNCTION("""COMPUTED_VALUE"""),-0.446322661477993)</f>
        <v>-0.44632266147799299</v>
      </c>
      <c r="EH82" s="3">
        <f ca="1">IFERROR(__xludf.DUMMYFUNCTION("""COMPUTED_VALUE"""),-0.528338531620127)</f>
        <v>-0.52833853162012701</v>
      </c>
      <c r="EI82" s="3">
        <f ca="1">IFERROR(__xludf.DUMMYFUNCTION("""COMPUTED_VALUE"""),-0.609805059096179)</f>
        <v>-0.60980505909617899</v>
      </c>
      <c r="EJ82" s="3">
        <f ca="1">IFERROR(__xludf.DUMMYFUNCTION("""COMPUTED_VALUE"""),-0.667947803656026)</f>
        <v>-0.66794780365602602</v>
      </c>
      <c r="EK82" s="3">
        <f ca="1">IFERROR(__xludf.DUMMYFUNCTION("""COMPUTED_VALUE"""),-0.58880988258578)</f>
        <v>-0.58880988258578004</v>
      </c>
      <c r="EL82" s="3">
        <f ca="1">IFERROR(__xludf.DUMMYFUNCTION("""COMPUTED_VALUE"""),-0.577717134489915)</f>
        <v>-0.57771713448991502</v>
      </c>
      <c r="EM82" s="3">
        <f ca="1">IFERROR(__xludf.DUMMYFUNCTION("""COMPUTED_VALUE"""),-0.554514434906131)</f>
        <v>-0.55451443490613095</v>
      </c>
      <c r="EN82" s="3">
        <f ca="1">IFERROR(__xludf.DUMMYFUNCTION("""COMPUTED_VALUE"""),-0.453135444762349)</f>
        <v>-0.45313544476234902</v>
      </c>
      <c r="EO82" s="3">
        <f ca="1">IFERROR(__xludf.DUMMYFUNCTION("""COMPUTED_VALUE"""),-0.479274037215796)</f>
        <v>-0.47927403721579598</v>
      </c>
      <c r="EP82" s="3">
        <f ca="1">IFERROR(__xludf.DUMMYFUNCTION("""COMPUTED_VALUE"""),-0.508341074542317)</f>
        <v>-0.50834107454231703</v>
      </c>
      <c r="EQ82" s="3">
        <f ca="1">IFERROR(__xludf.DUMMYFUNCTION("""COMPUTED_VALUE"""),-0.533595907650065)</f>
        <v>-0.53359590765006504</v>
      </c>
      <c r="ER82" s="3">
        <f ca="1">IFERROR(__xludf.DUMMYFUNCTION("""COMPUTED_VALUE"""),-0.583843734116112)</f>
        <v>-0.58384373411611201</v>
      </c>
      <c r="ES82" s="3">
        <f ca="1">IFERROR(__xludf.DUMMYFUNCTION("""COMPUTED_VALUE"""),-0.571075701541164)</f>
        <v>-0.57107570154116405</v>
      </c>
      <c r="ET82" s="3">
        <f ca="1">IFERROR(__xludf.DUMMYFUNCTION("""COMPUTED_VALUE"""),-0.54106567054227)</f>
        <v>-0.54106567054226995</v>
      </c>
      <c r="EU82" s="3">
        <f ca="1">IFERROR(__xludf.DUMMYFUNCTION("""COMPUTED_VALUE"""),-0.477821818828815)</f>
        <v>-0.47782181882881503</v>
      </c>
      <c r="EV82" s="3">
        <f ca="1">IFERROR(__xludf.DUMMYFUNCTION("""COMPUTED_VALUE"""),-0.495196245616222)</f>
        <v>-0.495196245616222</v>
      </c>
      <c r="EW82" s="3">
        <f ca="1">IFERROR(__xludf.DUMMYFUNCTION("""COMPUTED_VALUE"""),-0.585054751846114)</f>
        <v>-0.585054751846114</v>
      </c>
      <c r="EX82" s="3">
        <f ca="1">IFERROR(__xludf.DUMMYFUNCTION("""COMPUTED_VALUE"""),-0.601070488908233)</f>
        <v>-0.601070488908233</v>
      </c>
      <c r="EY82" s="3">
        <f ca="1">IFERROR(__xludf.DUMMYFUNCTION("""COMPUTED_VALUE"""),-0.625945161476992)</f>
        <v>-0.62594516147699197</v>
      </c>
      <c r="EZ82" s="3">
        <f ca="1">IFERROR(__xludf.DUMMYFUNCTION("""COMPUTED_VALUE"""),-0.538350435909677)</f>
        <v>-0.53835043590967702</v>
      </c>
      <c r="FA82" s="3">
        <f ca="1">IFERROR(__xludf.DUMMYFUNCTION("""COMPUTED_VALUE"""),-0.521679932384856)</f>
        <v>-0.52167993238485599</v>
      </c>
      <c r="FB82" s="3">
        <f ca="1">IFERROR(__xludf.DUMMYFUNCTION("""COMPUTED_VALUE"""),-0.446355146289142)</f>
        <v>-0.44635514628914202</v>
      </c>
      <c r="FC82" s="3">
        <f ca="1">IFERROR(__xludf.DUMMYFUNCTION("""COMPUTED_VALUE"""),-0.490277429581363)</f>
        <v>-0.490277429581363</v>
      </c>
      <c r="FD82" s="3">
        <f ca="1">IFERROR(__xludf.DUMMYFUNCTION("""COMPUTED_VALUE"""),-0.552043570827081)</f>
        <v>-0.552043570827081</v>
      </c>
      <c r="FE82" s="3">
        <f ca="1">IFERROR(__xludf.DUMMYFUNCTION("""COMPUTED_VALUE"""),-0.549226385848887)</f>
        <v>-0.54922638584888706</v>
      </c>
      <c r="FF82" s="3">
        <f ca="1">IFERROR(__xludf.DUMMYFUNCTION("""COMPUTED_VALUE"""),-0.589233438648616)</f>
        <v>-0.58923343864861599</v>
      </c>
      <c r="FG82" s="3">
        <f ca="1">IFERROR(__xludf.DUMMYFUNCTION("""COMPUTED_VALUE"""),-0.578259959962379)</f>
        <v>-0.578259959962379</v>
      </c>
      <c r="FH82" s="3">
        <f ca="1">IFERROR(__xludf.DUMMYFUNCTION("""COMPUTED_VALUE"""),-0.524777748658146)</f>
        <v>-0.52477774865814597</v>
      </c>
      <c r="FI82" s="3">
        <f ca="1">IFERROR(__xludf.DUMMYFUNCTION("""COMPUTED_VALUE"""),-0.447732021200954)</f>
        <v>-0.44773202120095401</v>
      </c>
      <c r="FJ82" s="3">
        <f ca="1">IFERROR(__xludf.DUMMYFUNCTION("""COMPUTED_VALUE"""),-0.483212562320985)</f>
        <v>-0.48321256232098497</v>
      </c>
      <c r="FK82" s="3">
        <f ca="1">IFERROR(__xludf.DUMMYFUNCTION("""COMPUTED_VALUE"""),-0.593975572651034)</f>
        <v>-0.59397557265103396</v>
      </c>
      <c r="FL82" s="3">
        <f ca="1">IFERROR(__xludf.DUMMYFUNCTION("""COMPUTED_VALUE"""),-0.612090801359899)</f>
        <v>-0.61209080135989902</v>
      </c>
      <c r="FM82" s="3">
        <f ca="1">IFERROR(__xludf.DUMMYFUNCTION("""COMPUTED_VALUE"""),-0.579940086462558)</f>
        <v>-0.57994008646255801</v>
      </c>
      <c r="FN82" s="3">
        <f ca="1">IFERROR(__xludf.DUMMYFUNCTION("""COMPUTED_VALUE"""),-0.541707807615554)</f>
        <v>-0.54170780761555404</v>
      </c>
      <c r="FO82" s="3">
        <f ca="1">IFERROR(__xludf.DUMMYFUNCTION("""COMPUTED_VALUE"""),-0.570613953578243)</f>
        <v>-0.57061395357824296</v>
      </c>
      <c r="FP82" s="3">
        <f ca="1">IFERROR(__xludf.DUMMYFUNCTION("""COMPUTED_VALUE"""),-0.435456048230056)</f>
        <v>-0.43545604823005601</v>
      </c>
      <c r="FQ82" s="3">
        <f ca="1">IFERROR(__xludf.DUMMYFUNCTION("""COMPUTED_VALUE"""),-0.492912642884867)</f>
        <v>-0.49291264288486702</v>
      </c>
      <c r="FR82" s="3">
        <f ca="1">IFERROR(__xludf.DUMMYFUNCTION("""COMPUTED_VALUE"""),-0.566299571191743)</f>
        <v>-0.56629957119174301</v>
      </c>
      <c r="FS82" s="3">
        <f ca="1">IFERROR(__xludf.DUMMYFUNCTION("""COMPUTED_VALUE"""),-0.563900028180987)</f>
        <v>-0.56390002818098695</v>
      </c>
      <c r="FT82" s="3">
        <f ca="1">IFERROR(__xludf.DUMMYFUNCTION("""COMPUTED_VALUE"""),-0.572448018207779)</f>
        <v>-0.57244801820777902</v>
      </c>
      <c r="FU82" s="3">
        <f ca="1">IFERROR(__xludf.DUMMYFUNCTION("""COMPUTED_VALUE"""),-0.557595618699943)</f>
        <v>-0.55759561869994301</v>
      </c>
      <c r="FV82" s="3">
        <f ca="1">IFERROR(__xludf.DUMMYFUNCTION("""COMPUTED_VALUE"""),-0.503143372949919)</f>
        <v>-0.50314337294991895</v>
      </c>
      <c r="FW82" s="3">
        <f ca="1">IFERROR(__xludf.DUMMYFUNCTION("""COMPUTED_VALUE"""),-0.415837361279635)</f>
        <v>-0.415837361279635</v>
      </c>
      <c r="FX82" s="3">
        <f ca="1">IFERROR(__xludf.DUMMYFUNCTION("""COMPUTED_VALUE"""),-0.490530548823635)</f>
        <v>-0.490530548823635</v>
      </c>
      <c r="FY82" s="3">
        <f ca="1">IFERROR(__xludf.DUMMYFUNCTION("""COMPUTED_VALUE"""),-0.603173340104093)</f>
        <v>-0.60317334010409296</v>
      </c>
      <c r="FZ82" s="3">
        <f ca="1">IFERROR(__xludf.DUMMYFUNCTION("""COMPUTED_VALUE"""),-0.553763213754164)</f>
        <v>-0.55376321375416404</v>
      </c>
      <c r="GA82" s="3">
        <f ca="1">IFERROR(__xludf.DUMMYFUNCTION("""COMPUTED_VALUE"""),-0.530471755383157)</f>
        <v>-0.53047175538315705</v>
      </c>
      <c r="GB82" s="3">
        <f ca="1">IFERROR(__xludf.DUMMYFUNCTION("""COMPUTED_VALUE"""),-0.582867102857278)</f>
        <v>-0.58286710285727805</v>
      </c>
      <c r="GC82" s="3">
        <f ca="1">IFERROR(__xludf.DUMMYFUNCTION("""COMPUTED_VALUE"""),-0.592984262842831)</f>
        <v>-0.59298426284283101</v>
      </c>
      <c r="GD82" s="3">
        <f ca="1">IFERROR(__xludf.DUMMYFUNCTION("""COMPUTED_VALUE"""),-0.456299430554877)</f>
        <v>-0.45629943055487698</v>
      </c>
      <c r="GE82" s="3">
        <f ca="1">IFERROR(__xludf.DUMMYFUNCTION("""COMPUTED_VALUE"""),-0.469827734389879)</f>
        <v>-0.46982773438987901</v>
      </c>
      <c r="GF82" s="3">
        <f ca="1">IFERROR(__xludf.DUMMYFUNCTION("""COMPUTED_VALUE"""),-0.562217240882361)</f>
        <v>-0.56221724088236102</v>
      </c>
      <c r="GG82" s="3">
        <f ca="1">IFERROR(__xludf.DUMMYFUNCTION("""COMPUTED_VALUE"""),-0.548339461387159)</f>
        <v>-0.54833946138715906</v>
      </c>
      <c r="GH82" s="3">
        <f ca="1">IFERROR(__xludf.DUMMYFUNCTION("""COMPUTED_VALUE"""),-0.538948172796458)</f>
        <v>-0.53894817279645801</v>
      </c>
      <c r="GI82" s="3">
        <f ca="1">IFERROR(__xludf.DUMMYFUNCTION("""COMPUTED_VALUE"""),-0.52620288406496)</f>
        <v>-0.52620288406495996</v>
      </c>
      <c r="GJ82" s="3">
        <f ca="1">IFERROR(__xludf.DUMMYFUNCTION("""COMPUTED_VALUE"""),-0.477191974981656)</f>
        <v>-0.477191974981656</v>
      </c>
      <c r="GK82" s="3">
        <f ca="1">IFERROR(__xludf.DUMMYFUNCTION("""COMPUTED_VALUE"""),-0.486404359053816)</f>
        <v>-0.48640435905381602</v>
      </c>
      <c r="GL82" s="3">
        <f ca="1">IFERROR(__xludf.DUMMYFUNCTION("""COMPUTED_VALUE"""),-0.492972424639171)</f>
        <v>-0.49297242463917101</v>
      </c>
      <c r="GM82" s="3">
        <f ca="1">IFERROR(__xludf.DUMMYFUNCTION("""COMPUTED_VALUE"""),-0.558921724966853)</f>
        <v>-0.558921724966853</v>
      </c>
      <c r="GN82" s="3">
        <f ca="1">IFERROR(__xludf.DUMMYFUNCTION("""COMPUTED_VALUE"""),-0.547772330576787)</f>
        <v>-0.54777233057678698</v>
      </c>
      <c r="GO82" s="3">
        <f ca="1">IFERROR(__xludf.DUMMYFUNCTION("""COMPUTED_VALUE"""),-0.533799656203001)</f>
        <v>-0.53379965620300096</v>
      </c>
      <c r="GP82" s="3">
        <f ca="1">IFERROR(__xludf.DUMMYFUNCTION("""COMPUTED_VALUE"""),-0.557729724002537)</f>
        <v>-0.55772972400253695</v>
      </c>
      <c r="GQ82" s="3">
        <f ca="1">IFERROR(__xludf.DUMMYFUNCTION("""COMPUTED_VALUE"""),-0.549541161681496)</f>
        <v>-0.54954116168149603</v>
      </c>
      <c r="GR82" s="3">
        <f ca="1">IFERROR(__xludf.DUMMYFUNCTION("""COMPUTED_VALUE"""),-0.468422618182638)</f>
        <v>-0.46842261818263797</v>
      </c>
      <c r="GS82" s="3">
        <f ca="1">IFERROR(__xludf.DUMMYFUNCTION("""COMPUTED_VALUE"""),-0.505719558023448)</f>
        <v>-0.50571955802344803</v>
      </c>
      <c r="GT82" s="3">
        <f ca="1">IFERROR(__xludf.DUMMYFUNCTION("""COMPUTED_VALUE"""),-0.570680715023608)</f>
        <v>-0.57068071502360795</v>
      </c>
      <c r="GU82" s="3">
        <f ca="1">IFERROR(__xludf.DUMMYFUNCTION("""COMPUTED_VALUE"""),-0.578930936326505)</f>
        <v>-0.57893093632650505</v>
      </c>
      <c r="GV82" s="3">
        <f ca="1">IFERROR(__xludf.DUMMYFUNCTION("""COMPUTED_VALUE"""),-0.581359055529065)</f>
        <v>-0.58135905552906497</v>
      </c>
      <c r="GW82" s="3">
        <f ca="1">IFERROR(__xludf.DUMMYFUNCTION("""COMPUTED_VALUE"""),-0.554626171540862)</f>
        <v>-0.55462617154086202</v>
      </c>
      <c r="GX82" s="3">
        <f ca="1">IFERROR(__xludf.DUMMYFUNCTION("""COMPUTED_VALUE"""),-0.521896481223193)</f>
        <v>-0.52189648122319299</v>
      </c>
      <c r="GY82" s="3">
        <f ca="1">IFERROR(__xludf.DUMMYFUNCTION("""COMPUTED_VALUE"""),-0.420996349029479)</f>
        <v>-0.42099634902947902</v>
      </c>
      <c r="GZ82" s="3">
        <f ca="1">IFERROR(__xludf.DUMMYFUNCTION("""COMPUTED_VALUE"""),-0.487513124234793)</f>
        <v>-0.48751312423479298</v>
      </c>
      <c r="HA82" s="3">
        <f ca="1">IFERROR(__xludf.DUMMYFUNCTION("""COMPUTED_VALUE"""),-0.569194647285209)</f>
        <v>-0.56919464728520897</v>
      </c>
      <c r="HB82" s="3">
        <f ca="1">IFERROR(__xludf.DUMMYFUNCTION("""COMPUTED_VALUE"""),-0.58902752211386)</f>
        <v>-0.58902752211386</v>
      </c>
      <c r="HC82" s="3">
        <f ca="1">IFERROR(__xludf.DUMMYFUNCTION("""COMPUTED_VALUE"""),-0.592096405009865)</f>
        <v>-0.59209640500986505</v>
      </c>
      <c r="HD82" s="3">
        <f ca="1">IFERROR(__xludf.DUMMYFUNCTION("""COMPUTED_VALUE"""),-0.580986663252805)</f>
        <v>-0.58098666325280501</v>
      </c>
      <c r="HE82" s="3">
        <f ca="1">IFERROR(__xludf.DUMMYFUNCTION("""COMPUTED_VALUE"""),-0.564452431900458)</f>
        <v>-0.56445243190045802</v>
      </c>
      <c r="HF82" s="3">
        <f ca="1">IFERROR(__xludf.DUMMYFUNCTION("""COMPUTED_VALUE"""),-0.471552945832375)</f>
        <v>-0.471552945832375</v>
      </c>
      <c r="HG82" s="3">
        <f ca="1">IFERROR(__xludf.DUMMYFUNCTION("""COMPUTED_VALUE"""),-0.472006137356897)</f>
        <v>-0.472006137356897</v>
      </c>
      <c r="HH82" s="3">
        <f ca="1">IFERROR(__xludf.DUMMYFUNCTION("""COMPUTED_VALUE"""),-0.558850017438282)</f>
        <v>-0.558850017438282</v>
      </c>
      <c r="HI82" s="3">
        <f ca="1">IFERROR(__xludf.DUMMYFUNCTION("""COMPUTED_VALUE"""),-0.601526296391089)</f>
        <v>-0.60152629639108901</v>
      </c>
      <c r="HJ82" s="3">
        <f ca="1">IFERROR(__xludf.DUMMYFUNCTION("""COMPUTED_VALUE"""),-0.559746201294226)</f>
        <v>-0.55974620129422603</v>
      </c>
      <c r="HK82" s="3">
        <f ca="1">IFERROR(__xludf.DUMMYFUNCTION("""COMPUTED_VALUE"""),-0.545360660041247)</f>
        <v>-0.54536066004124695</v>
      </c>
      <c r="HL82" s="3">
        <f ca="1">IFERROR(__xludf.DUMMYFUNCTION("""COMPUTED_VALUE"""),-0.463274611440968)</f>
        <v>-0.46327461144096799</v>
      </c>
      <c r="HM82" s="3">
        <f ca="1">IFERROR(__xludf.DUMMYFUNCTION("""COMPUTED_VALUE"""),-0.444644542078148)</f>
        <v>-0.44464454207814802</v>
      </c>
      <c r="HN82" s="3">
        <f ca="1">IFERROR(__xludf.DUMMYFUNCTION("""COMPUTED_VALUE"""),-0.466249363256498)</f>
        <v>-0.46624936325649802</v>
      </c>
      <c r="HO82" s="3">
        <f ca="1">IFERROR(__xludf.DUMMYFUNCTION("""COMPUTED_VALUE"""),-0.523780621154381)</f>
        <v>-0.52378062115438095</v>
      </c>
      <c r="HP82" s="3">
        <f ca="1">IFERROR(__xludf.DUMMYFUNCTION("""COMPUTED_VALUE"""),-0.566709502030557)</f>
        <v>-0.56670950203055703</v>
      </c>
      <c r="HQ82" s="3">
        <f ca="1">IFERROR(__xludf.DUMMYFUNCTION("""COMPUTED_VALUE"""),-0.568436842916784)</f>
        <v>-0.56843684291678398</v>
      </c>
      <c r="HR82" s="3">
        <f ca="1">IFERROR(__xludf.DUMMYFUNCTION("""COMPUTED_VALUE"""),-0.553481037816162)</f>
        <v>-0.55348103781616198</v>
      </c>
      <c r="HS82" s="3">
        <f ca="1">IFERROR(__xludf.DUMMYFUNCTION("""COMPUTED_VALUE"""),-0.469352916672854)</f>
        <v>-0.469352916672854</v>
      </c>
      <c r="HT82" s="3">
        <f ca="1">IFERROR(__xludf.DUMMYFUNCTION("""COMPUTED_VALUE"""),-0.334859334473829)</f>
        <v>-0.33485933447382898</v>
      </c>
      <c r="HU82" s="3">
        <f ca="1">IFERROR(__xludf.DUMMYFUNCTION("""COMPUTED_VALUE"""),-0.456376508308711)</f>
        <v>-0.45637650830871102</v>
      </c>
      <c r="HV82" s="3">
        <f ca="1">IFERROR(__xludf.DUMMYFUNCTION("""COMPUTED_VALUE"""),-0.415008505354244)</f>
        <v>-0.415008505354244</v>
      </c>
      <c r="HW82" s="3">
        <f ca="1">IFERROR(__xludf.DUMMYFUNCTION("""COMPUTED_VALUE"""),-0.459092937679508)</f>
        <v>-0.45909293767950798</v>
      </c>
      <c r="HX82" s="3">
        <f ca="1">IFERROR(__xludf.DUMMYFUNCTION("""COMPUTED_VALUE"""),-0.427083112244277)</f>
        <v>-0.42708311224427697</v>
      </c>
      <c r="HY82" s="3">
        <f ca="1">IFERROR(__xludf.DUMMYFUNCTION("""COMPUTED_VALUE"""),-0.403735699701801)</f>
        <v>-0.40373569970180101</v>
      </c>
      <c r="HZ82" s="3">
        <f ca="1">IFERROR(__xludf.DUMMYFUNCTION("""COMPUTED_VALUE"""),-0.329204023643822)</f>
        <v>-0.32920402364382201</v>
      </c>
      <c r="IA82" s="3">
        <f ca="1">IFERROR(__xludf.DUMMYFUNCTION("""COMPUTED_VALUE"""),-0.362135919203461)</f>
        <v>-0.362135919203461</v>
      </c>
      <c r="IB82" s="3">
        <f ca="1">IFERROR(__xludf.DUMMYFUNCTION("""COMPUTED_VALUE"""),-0.379397929172798)</f>
        <v>-0.37939792917279802</v>
      </c>
      <c r="IC82" s="3">
        <f ca="1">IFERROR(__xludf.DUMMYFUNCTION("""COMPUTED_VALUE"""),-0.364346504026187)</f>
        <v>-0.36434650402618701</v>
      </c>
      <c r="ID82" s="3">
        <f ca="1">IFERROR(__xludf.DUMMYFUNCTION("""COMPUTED_VALUE"""),-0.403324961879193)</f>
        <v>-0.40332496187919298</v>
      </c>
      <c r="IE82" s="3">
        <f ca="1">IFERROR(__xludf.DUMMYFUNCTION("""COMPUTED_VALUE"""),-0.429194570873766)</f>
        <v>-0.429194570873766</v>
      </c>
      <c r="IF82" s="3">
        <f ca="1">IFERROR(__xludf.DUMMYFUNCTION("""COMPUTED_VALUE"""),-0.384540913266243)</f>
        <v>-0.38454091326624301</v>
      </c>
      <c r="IG82" s="3">
        <f ca="1">IFERROR(__xludf.DUMMYFUNCTION("""COMPUTED_VALUE"""),-0.401344434501164)</f>
        <v>-0.40134443450116403</v>
      </c>
      <c r="IH82" s="3">
        <f ca="1">IFERROR(__xludf.DUMMYFUNCTION("""COMPUTED_VALUE"""),-0.464418144983548)</f>
        <v>-0.464418144983548</v>
      </c>
      <c r="II82" s="3">
        <f ca="1">IFERROR(__xludf.DUMMYFUNCTION("""COMPUTED_VALUE"""),-0.384654216478775)</f>
        <v>-0.38465421647877501</v>
      </c>
      <c r="IJ82" s="3">
        <f ca="1">IFERROR(__xludf.DUMMYFUNCTION("""COMPUTED_VALUE"""),-0.378183914242584)</f>
        <v>-0.37818391424258402</v>
      </c>
      <c r="IK82" s="3">
        <f ca="1">IFERROR(__xludf.DUMMYFUNCTION("""COMPUTED_VALUE"""),-0.470988794615838)</f>
        <v>-0.47098879461583798</v>
      </c>
      <c r="IL82" s="3">
        <f ca="1">IFERROR(__xludf.DUMMYFUNCTION("""COMPUTED_VALUE"""),-0.418856967866879)</f>
        <v>-0.41885696786687898</v>
      </c>
      <c r="IM82" s="3">
        <f ca="1">IFERROR(__xludf.DUMMYFUNCTION("""COMPUTED_VALUE"""),-0.39661103335388)</f>
        <v>-0.39661103335387998</v>
      </c>
      <c r="IN82" s="3">
        <f ca="1">IFERROR(__xludf.DUMMYFUNCTION("""COMPUTED_VALUE"""),-0.379027551597001)</f>
        <v>-0.37902755159700102</v>
      </c>
      <c r="IO82" s="3">
        <f ca="1">IFERROR(__xludf.DUMMYFUNCTION("""COMPUTED_VALUE"""),-0.361553050129737)</f>
        <v>-0.36155305012973699</v>
      </c>
      <c r="IP82" s="3">
        <f ca="1">IFERROR(__xludf.DUMMYFUNCTION("""COMPUTED_VALUE"""),-0.428165759833466)</f>
        <v>-0.428165759833466</v>
      </c>
      <c r="IQ82" s="3">
        <f ca="1">IFERROR(__xludf.DUMMYFUNCTION("""COMPUTED_VALUE"""),-0.424352293072509)</f>
        <v>-0.42435229307250899</v>
      </c>
      <c r="IR82" s="3">
        <f ca="1">IFERROR(__xludf.DUMMYFUNCTION("""COMPUTED_VALUE"""),-0.439500612252918)</f>
        <v>-0.43950061225291798</v>
      </c>
      <c r="IS82" s="3">
        <f ca="1">IFERROR(__xludf.DUMMYFUNCTION("""COMPUTED_VALUE"""),-0.373845239717058)</f>
        <v>-0.37384523971705802</v>
      </c>
      <c r="IT82" s="3">
        <f ca="1">IFERROR(__xludf.DUMMYFUNCTION("""COMPUTED_VALUE"""),-0.474332179055902)</f>
        <v>-0.47433217905590203</v>
      </c>
      <c r="IU82" s="3">
        <f ca="1">IFERROR(__xludf.DUMMYFUNCTION("""COMPUTED_VALUE"""),-0.421586533288488)</f>
        <v>-0.421586533288488</v>
      </c>
      <c r="IV82" s="3">
        <f ca="1">IFERROR(__xludf.DUMMYFUNCTION("""COMPUTED_VALUE"""),-0.433043795139197)</f>
        <v>-0.433043795139197</v>
      </c>
      <c r="IW82" s="3">
        <f ca="1">IFERROR(__xludf.DUMMYFUNCTION("""COMPUTED_VALUE"""),-0.412709932691999)</f>
        <v>-0.41270993269199902</v>
      </c>
      <c r="IX82" s="3">
        <f ca="1">IFERROR(__xludf.DUMMYFUNCTION("""COMPUTED_VALUE"""),-0.468666641437143)</f>
        <v>-0.46866664143714298</v>
      </c>
      <c r="IY82" s="3">
        <f ca="1">IFERROR(__xludf.DUMMYFUNCTION("""COMPUTED_VALUE"""),-0.482336706709112)</f>
        <v>-0.482336706709112</v>
      </c>
      <c r="IZ82" s="3">
        <f ca="1">IFERROR(__xludf.DUMMYFUNCTION("""COMPUTED_VALUE"""),-0.460412136385599)</f>
        <v>-0.46041213638559902</v>
      </c>
      <c r="JA82" s="3">
        <f ca="1">IFERROR(__xludf.DUMMYFUNCTION("""COMPUTED_VALUE"""),-0.484291858577534)</f>
        <v>-0.48429185857753398</v>
      </c>
      <c r="JB82" s="3">
        <f ca="1">IFERROR(__xludf.DUMMYFUNCTION("""COMPUTED_VALUE"""),-0.471190008164803)</f>
        <v>-0.471190008164803</v>
      </c>
      <c r="JC82" s="3">
        <f ca="1">IFERROR(__xludf.DUMMYFUNCTION("""COMPUTED_VALUE"""),-0.417197005185941)</f>
        <v>-0.41719700518594099</v>
      </c>
      <c r="JD82" s="3">
        <f ca="1">IFERROR(__xludf.DUMMYFUNCTION("""COMPUTED_VALUE"""),-0.429213639009544)</f>
        <v>-0.42921363900954401</v>
      </c>
      <c r="JE82" s="3">
        <f ca="1">IFERROR(__xludf.DUMMYFUNCTION("""COMPUTED_VALUE"""),-0.534827583713177)</f>
        <v>-0.53482758371317696</v>
      </c>
      <c r="JF82" s="3">
        <f ca="1">IFERROR(__xludf.DUMMYFUNCTION("""COMPUTED_VALUE"""),-0.515654520075691)</f>
        <v>-0.51565452007569101</v>
      </c>
      <c r="JG82" s="3">
        <f ca="1">IFERROR(__xludf.DUMMYFUNCTION("""COMPUTED_VALUE"""),-0.516349715544988)</f>
        <v>-0.51634971554498799</v>
      </c>
      <c r="JH82" s="3">
        <f ca="1">IFERROR(__xludf.DUMMYFUNCTION("""COMPUTED_VALUE"""),-0.501470891577419)</f>
        <v>-0.50147089157741898</v>
      </c>
      <c r="JI82" s="3">
        <f ca="1">IFERROR(__xludf.DUMMYFUNCTION("""COMPUTED_VALUE"""),-0.49636670121251)</f>
        <v>-0.49636670121250998</v>
      </c>
      <c r="JJ82" s="3">
        <f ca="1">IFERROR(__xludf.DUMMYFUNCTION("""COMPUTED_VALUE"""),-0.425141583233627)</f>
        <v>-0.425141583233627</v>
      </c>
      <c r="JK82" s="3">
        <f ca="1">IFERROR(__xludf.DUMMYFUNCTION("""COMPUTED_VALUE"""),-0.483789029817399)</f>
        <v>-0.48378902981739902</v>
      </c>
      <c r="JL82" s="3">
        <f ca="1">IFERROR(__xludf.DUMMYFUNCTION("""COMPUTED_VALUE"""),-0.538900876591242)</f>
        <v>-0.53890087659124197</v>
      </c>
      <c r="JM82" s="3">
        <f ca="1">IFERROR(__xludf.DUMMYFUNCTION("""COMPUTED_VALUE"""),-0.510059066050937)</f>
        <v>-0.51005906605093698</v>
      </c>
      <c r="JN82" s="3">
        <f ca="1">IFERROR(__xludf.DUMMYFUNCTION("""COMPUTED_VALUE"""),-0.527562796040882)</f>
        <v>-0.52756279604088196</v>
      </c>
      <c r="JO82" s="3">
        <f ca="1">IFERROR(__xludf.DUMMYFUNCTION("""COMPUTED_VALUE"""),-0.510546017832984)</f>
        <v>-0.51054601783298403</v>
      </c>
      <c r="JP82" s="3">
        <f ca="1">IFERROR(__xludf.DUMMYFUNCTION("""COMPUTED_VALUE"""),-0.499050301791133)</f>
        <v>-0.49905030179113302</v>
      </c>
      <c r="JQ82" s="3">
        <f ca="1">IFERROR(__xludf.DUMMYFUNCTION("""COMPUTED_VALUE"""),-0.442447576243508)</f>
        <v>-0.442447576243508</v>
      </c>
      <c r="JR82" s="3">
        <f ca="1">IFERROR(__xludf.DUMMYFUNCTION("""COMPUTED_VALUE"""),-0.558422037593575)</f>
        <v>-0.558422037593575</v>
      </c>
      <c r="JS82" s="3">
        <f ca="1">IFERROR(__xludf.DUMMYFUNCTION("""COMPUTED_VALUE"""),-0.575213761369887)</f>
        <v>-0.575213761369887</v>
      </c>
      <c r="JT82" s="3">
        <f ca="1">IFERROR(__xludf.DUMMYFUNCTION("""COMPUTED_VALUE"""),-0.45113710430484)</f>
        <v>-0.45113710430484</v>
      </c>
      <c r="JU82" s="3">
        <f ca="1">IFERROR(__xludf.DUMMYFUNCTION("""COMPUTED_VALUE"""),-0.550676598773463)</f>
        <v>-0.55067659877346298</v>
      </c>
      <c r="JV82" s="3">
        <f ca="1">IFERROR(__xludf.DUMMYFUNCTION("""COMPUTED_VALUE"""),-0.557283280870742)</f>
        <v>-0.55728328087074197</v>
      </c>
      <c r="JW82" s="3">
        <f ca="1">IFERROR(__xludf.DUMMYFUNCTION("""COMPUTED_VALUE"""),-0.52872814018842)</f>
        <v>-0.52872814018841996</v>
      </c>
      <c r="JX82" s="3">
        <f ca="1">IFERROR(__xludf.DUMMYFUNCTION("""COMPUTED_VALUE"""),-0.480821431279616)</f>
        <v>-0.48082143127961602</v>
      </c>
      <c r="JY82" s="3">
        <f ca="1">IFERROR(__xludf.DUMMYFUNCTION("""COMPUTED_VALUE"""),-0.57203606094627)</f>
        <v>-0.57203606094627002</v>
      </c>
      <c r="JZ82" s="3">
        <f ca="1">IFERROR(__xludf.DUMMYFUNCTION("""COMPUTED_VALUE"""),-0.482947429370357)</f>
        <v>-0.48294742937035701</v>
      </c>
      <c r="KA82" s="3">
        <f ca="1">IFERROR(__xludf.DUMMYFUNCTION("""COMPUTED_VALUE"""),-0.479584750395566)</f>
        <v>-0.47958475039556597</v>
      </c>
      <c r="KB82" s="3">
        <f ca="1">IFERROR(__xludf.DUMMYFUNCTION("""COMPUTED_VALUE"""),-0.587564539820717)</f>
        <v>-0.58756453982071699</v>
      </c>
      <c r="KC82" s="3">
        <f ca="1">IFERROR(__xludf.DUMMYFUNCTION("""COMPUTED_VALUE"""),-0.553874915582996)</f>
        <v>-0.55387491558299595</v>
      </c>
      <c r="KD82" s="3">
        <f ca="1">IFERROR(__xludf.DUMMYFUNCTION("""COMPUTED_VALUE"""),-0.511587674442632)</f>
        <v>-0.51158767444263198</v>
      </c>
      <c r="KE82" s="3">
        <f ca="1">IFERROR(__xludf.DUMMYFUNCTION("""COMPUTED_VALUE"""),-0.515336360527575)</f>
        <v>-0.51533636052757503</v>
      </c>
      <c r="KF82" s="3">
        <f ca="1">IFERROR(__xludf.DUMMYFUNCTION("""COMPUTED_VALUE"""),-0.551573842292856)</f>
        <v>-0.551573842292856</v>
      </c>
      <c r="KG82" s="3">
        <f ca="1">IFERROR(__xludf.DUMMYFUNCTION("""COMPUTED_VALUE"""),-0.506236077147343)</f>
        <v>-0.50623607714734298</v>
      </c>
      <c r="KH82" s="3">
        <f ca="1">IFERROR(__xludf.DUMMYFUNCTION("""COMPUTED_VALUE"""),-0.524577602710476)</f>
        <v>-0.52457760271047604</v>
      </c>
      <c r="KI82" s="3">
        <f ca="1">IFERROR(__xludf.DUMMYFUNCTION("""COMPUTED_VALUE"""),-0.567335878275371)</f>
        <v>-0.56733587827537102</v>
      </c>
      <c r="KJ82" s="3">
        <f ca="1">IFERROR(__xludf.DUMMYFUNCTION("""COMPUTED_VALUE"""),-0.53722211187128)</f>
        <v>-0.53722211187127999</v>
      </c>
      <c r="KK82" s="3">
        <f ca="1">IFERROR(__xludf.DUMMYFUNCTION("""COMPUTED_VALUE"""),-0.547506669415865)</f>
        <v>-0.54750666941586501</v>
      </c>
      <c r="KL82" s="3">
        <f ca="1">IFERROR(__xludf.DUMMYFUNCTION("""COMPUTED_VALUE"""),-0.559839319141706)</f>
        <v>-0.55983931914170604</v>
      </c>
      <c r="KM82" s="3">
        <f ca="1">IFERROR(__xludf.DUMMYFUNCTION("""COMPUTED_VALUE"""),-0.599320064202412)</f>
        <v>-0.59932006420241202</v>
      </c>
      <c r="KN82" s="3">
        <f ca="1">IFERROR(__xludf.DUMMYFUNCTION("""COMPUTED_VALUE"""),-0.601618181497757)</f>
        <v>-0.60161818149775703</v>
      </c>
      <c r="KO82" s="3">
        <f ca="1">IFERROR(__xludf.DUMMYFUNCTION("""COMPUTED_VALUE"""),-0.622040191382537)</f>
        <v>-0.62204019138253697</v>
      </c>
      <c r="KP82" s="3">
        <f ca="1">IFERROR(__xludf.DUMMYFUNCTION("""COMPUTED_VALUE"""),-0.628666115309641)</f>
        <v>-0.628666115309641</v>
      </c>
      <c r="KQ82" s="3">
        <f ca="1">IFERROR(__xludf.DUMMYFUNCTION("""COMPUTED_VALUE"""),-0.595132111369857)</f>
        <v>-0.595132111369857</v>
      </c>
      <c r="KR82" s="3">
        <f ca="1">IFERROR(__xludf.DUMMYFUNCTION("""COMPUTED_VALUE"""),-0.592896718487787)</f>
        <v>-0.59289671848778702</v>
      </c>
      <c r="KS82" s="3">
        <f ca="1">IFERROR(__xludf.DUMMYFUNCTION("""COMPUTED_VALUE"""),-0.572643975023874)</f>
        <v>-0.57264397502387399</v>
      </c>
      <c r="KT82" s="3">
        <f ca="1">IFERROR(__xludf.DUMMYFUNCTION("""COMPUTED_VALUE"""),-0.616394612562323)</f>
        <v>-0.61639461256232297</v>
      </c>
      <c r="KU82" s="3">
        <f ca="1">IFERROR(__xludf.DUMMYFUNCTION("""COMPUTED_VALUE"""),-0.616489354759801)</f>
        <v>-0.61648935475980104</v>
      </c>
      <c r="KV82" s="3">
        <f ca="1">IFERROR(__xludf.DUMMYFUNCTION("""COMPUTED_VALUE"""),-0.651169871223057)</f>
        <v>-0.65116987122305703</v>
      </c>
      <c r="KW82" s="3">
        <f ca="1">IFERROR(__xludf.DUMMYFUNCTION("""COMPUTED_VALUE"""),-0.62225680098516)</f>
        <v>-0.62225680098516001</v>
      </c>
      <c r="KX82" s="3">
        <f ca="1">IFERROR(__xludf.DUMMYFUNCTION("""COMPUTED_VALUE"""),-0.599343276707256)</f>
        <v>-0.59934327670725596</v>
      </c>
      <c r="KY82" s="3">
        <f ca="1">IFERROR(__xludf.DUMMYFUNCTION("""COMPUTED_VALUE"""),-0.601712195787905)</f>
        <v>-0.60171219578790502</v>
      </c>
      <c r="KZ82" s="3">
        <f ca="1">IFERROR(__xludf.DUMMYFUNCTION("""COMPUTED_VALUE"""),-0.600623185608398)</f>
        <v>-0.600623185608398</v>
      </c>
      <c r="LA82" s="3">
        <f ca="1">IFERROR(__xludf.DUMMYFUNCTION("""COMPUTED_VALUE"""),-0.654580784281351)</f>
        <v>-0.65458078428135102</v>
      </c>
      <c r="LB82" s="3">
        <f ca="1">IFERROR(__xludf.DUMMYFUNCTION("""COMPUTED_VALUE"""),-0.681471378387022)</f>
        <v>-0.68147137838702199</v>
      </c>
      <c r="LC82" s="3">
        <f ca="1">IFERROR(__xludf.DUMMYFUNCTION("""COMPUTED_VALUE"""),-0.639068925801295)</f>
        <v>-0.63906892580129504</v>
      </c>
      <c r="LD82" s="3">
        <f ca="1">IFERROR(__xludf.DUMMYFUNCTION("""COMPUTED_VALUE"""),-0.670560526169141)</f>
        <v>-0.67056052616914097</v>
      </c>
      <c r="LE82" s="3">
        <f ca="1">IFERROR(__xludf.DUMMYFUNCTION("""COMPUTED_VALUE"""),-0.639469369852498)</f>
        <v>-0.63946936985249803</v>
      </c>
      <c r="LF82" s="3">
        <f ca="1">IFERROR(__xludf.DUMMYFUNCTION("""COMPUTED_VALUE"""),-0.598252779028768)</f>
        <v>-0.59825277902876794</v>
      </c>
      <c r="LG82" s="3">
        <f ca="1">IFERROR(__xludf.DUMMYFUNCTION("""COMPUTED_VALUE"""),-0.643517230772349)</f>
        <v>-0.64351723077234901</v>
      </c>
      <c r="LH82" s="3">
        <f ca="1">IFERROR(__xludf.DUMMYFUNCTION("""COMPUTED_VALUE"""),-0.653744900975904)</f>
        <v>-0.65374490097590399</v>
      </c>
      <c r="LI82" s="3">
        <f ca="1">IFERROR(__xludf.DUMMYFUNCTION("""COMPUTED_VALUE"""),-0.687348974077434)</f>
        <v>-0.68734897407743401</v>
      </c>
      <c r="LJ82" s="3">
        <f ca="1">IFERROR(__xludf.DUMMYFUNCTION("""COMPUTED_VALUE"""),-0.669418362645505)</f>
        <v>-0.66941836264550503</v>
      </c>
      <c r="LK82" s="3">
        <f ca="1">IFERROR(__xludf.DUMMYFUNCTION("""COMPUTED_VALUE"""),-0.663029716131273)</f>
        <v>-0.66302971613127304</v>
      </c>
      <c r="LL82" s="3">
        <f ca="1">IFERROR(__xludf.DUMMYFUNCTION("""COMPUTED_VALUE"""),-0.645232814419954)</f>
        <v>-0.64523281441995395</v>
      </c>
      <c r="LM82" s="3">
        <f ca="1">IFERROR(__xludf.DUMMYFUNCTION("""COMPUTED_VALUE"""),-0.680625528176585)</f>
        <v>-0.68062552817658495</v>
      </c>
      <c r="LN82" s="3">
        <f ca="1">IFERROR(__xludf.DUMMYFUNCTION("""COMPUTED_VALUE"""),-0.675677853508417)</f>
        <v>-0.67567785350841703</v>
      </c>
      <c r="LO82" s="3">
        <f ca="1">IFERROR(__xludf.DUMMYFUNCTION("""COMPUTED_VALUE"""),-0.731501055912688)</f>
        <v>-0.73150105591268799</v>
      </c>
      <c r="LP82" s="3">
        <f ca="1">IFERROR(__xludf.DUMMYFUNCTION("""COMPUTED_VALUE"""),-0.701238305695035)</f>
        <v>-0.70123830569503498</v>
      </c>
      <c r="LQ82" s="3">
        <f ca="1">IFERROR(__xludf.DUMMYFUNCTION("""COMPUTED_VALUE"""),-0.689790461373815)</f>
        <v>-0.68979046137381494</v>
      </c>
      <c r="LR82" s="3">
        <f ca="1">IFERROR(__xludf.DUMMYFUNCTION("""COMPUTED_VALUE"""),-0.698836478350782)</f>
        <v>-0.698836478350782</v>
      </c>
      <c r="LS82" s="3">
        <f ca="1">IFERROR(__xludf.DUMMYFUNCTION("""COMPUTED_VALUE"""),-0.690774443340096)</f>
        <v>-0.69077444334009597</v>
      </c>
      <c r="LT82" s="3">
        <f ca="1">IFERROR(__xludf.DUMMYFUNCTION("""COMPUTED_VALUE"""),-0.669213002933847)</f>
        <v>-0.669213002933847</v>
      </c>
      <c r="LU82" s="3">
        <f ca="1">IFERROR(__xludf.DUMMYFUNCTION("""COMPUTED_VALUE"""),-0.67165721331803)</f>
        <v>-0.67165721331802997</v>
      </c>
      <c r="LV82" s="3">
        <f ca="1">IFERROR(__xludf.DUMMYFUNCTION("""COMPUTED_VALUE"""),-0.706517662004554)</f>
        <v>-0.70651766200455401</v>
      </c>
      <c r="LW82" s="3">
        <f ca="1">IFERROR(__xludf.DUMMYFUNCTION("""COMPUTED_VALUE"""),-0.706882938016217)</f>
        <v>-0.70688293801621704</v>
      </c>
      <c r="LX82" s="3">
        <f ca="1">IFERROR(__xludf.DUMMYFUNCTION("""COMPUTED_VALUE"""),-0.716857234003412)</f>
        <v>-0.71685723400341195</v>
      </c>
      <c r="LY82" s="3">
        <f ca="1">IFERROR(__xludf.DUMMYFUNCTION("""COMPUTED_VALUE"""),-0.719712180611379)</f>
        <v>-0.71971218061137898</v>
      </c>
      <c r="LZ82" s="3">
        <f ca="1">IFERROR(__xludf.DUMMYFUNCTION("""COMPUTED_VALUE"""),-0.721016737205726)</f>
        <v>-0.72101673720572601</v>
      </c>
      <c r="MA82" s="3">
        <f ca="1">IFERROR(__xludf.DUMMYFUNCTION("""COMPUTED_VALUE"""),-0.710194401074526)</f>
        <v>-0.71019440107452603</v>
      </c>
      <c r="MB82" s="3">
        <f ca="1">IFERROR(__xludf.DUMMYFUNCTION("""COMPUTED_VALUE"""),-0.677950155287228)</f>
        <v>-0.67795015528722802</v>
      </c>
      <c r="MC82" s="3">
        <f ca="1">IFERROR(__xludf.DUMMYFUNCTION("""COMPUTED_VALUE"""),-0.747604579628266)</f>
        <v>-0.74760457962826599</v>
      </c>
      <c r="MD82" s="3">
        <f ca="1">IFERROR(__xludf.DUMMYFUNCTION("""COMPUTED_VALUE"""),-0.740990443918738)</f>
        <v>-0.74099044391873803</v>
      </c>
      <c r="ME82" s="3">
        <f ca="1">IFERROR(__xludf.DUMMYFUNCTION("""COMPUTED_VALUE"""),-0.727754113600231)</f>
        <v>-0.72775411360023101</v>
      </c>
      <c r="MF82" s="3">
        <f ca="1">IFERROR(__xludf.DUMMYFUNCTION("""COMPUTED_VALUE"""),-0.72805204149464)</f>
        <v>-0.72805204149463998</v>
      </c>
      <c r="MG82" s="3">
        <f ca="1">IFERROR(__xludf.DUMMYFUNCTION("""COMPUTED_VALUE"""),-0.718981070292876)</f>
        <v>-0.71898107029287595</v>
      </c>
      <c r="MH82" s="3">
        <f ca="1">IFERROR(__xludf.DUMMYFUNCTION("""COMPUTED_VALUE"""),-0.695135462184681)</f>
        <v>-0.69513546218468103</v>
      </c>
      <c r="MI82" s="3">
        <f ca="1">IFERROR(__xludf.DUMMYFUNCTION("""COMPUTED_VALUE"""),-0.669368577124353)</f>
        <v>-0.66936857712435305</v>
      </c>
      <c r="MJ82" s="3">
        <f ca="1">IFERROR(__xludf.DUMMYFUNCTION("""COMPUTED_VALUE"""),-0.724382138424249)</f>
        <v>-0.72438213842424903</v>
      </c>
      <c r="MK82" s="3">
        <f ca="1">IFERROR(__xludf.DUMMYFUNCTION("""COMPUTED_VALUE"""),-0.71440620517917)</f>
        <v>-0.71440620517916997</v>
      </c>
      <c r="ML82" s="3">
        <f ca="1">IFERROR(__xludf.DUMMYFUNCTION("""COMPUTED_VALUE"""),-0.742164919475851)</f>
        <v>-0.74216491947585095</v>
      </c>
      <c r="MM82" s="3">
        <f ca="1">IFERROR(__xludf.DUMMYFUNCTION("""COMPUTED_VALUE"""),-0.726954068414449)</f>
        <v>-0.72695406841444898</v>
      </c>
      <c r="MN82" s="3">
        <f ca="1">IFERROR(__xludf.DUMMYFUNCTION("""COMPUTED_VALUE"""),-0.724930774738348)</f>
        <v>-0.72493077473834799</v>
      </c>
      <c r="MO82" s="3">
        <f ca="1">IFERROR(__xludf.DUMMYFUNCTION("""COMPUTED_VALUE"""),-0.708994531178684)</f>
        <v>-0.70899453117868405</v>
      </c>
      <c r="MP82" s="3">
        <f ca="1">IFERROR(__xludf.DUMMYFUNCTION("""COMPUTED_VALUE"""),-0.715827905804631)</f>
        <v>-0.71582790580463096</v>
      </c>
      <c r="MQ82" s="3">
        <f ca="1">IFERROR(__xludf.DUMMYFUNCTION("""COMPUTED_VALUE"""),-0.732398484844944)</f>
        <v>-0.73239848484494396</v>
      </c>
      <c r="MR82" s="3">
        <f ca="1">IFERROR(__xludf.DUMMYFUNCTION("""COMPUTED_VALUE"""),-0.739610553365736)</f>
        <v>-0.739610553365736</v>
      </c>
      <c r="MS82" s="3">
        <f ca="1">IFERROR(__xludf.DUMMYFUNCTION("""COMPUTED_VALUE"""),-0.74867942637079)</f>
        <v>-0.74867942637078999</v>
      </c>
      <c r="MT82" s="3">
        <f ca="1">IFERROR(__xludf.DUMMYFUNCTION("""COMPUTED_VALUE"""),-0.745019480358259)</f>
        <v>-0.74501948035825905</v>
      </c>
      <c r="MU82" s="3">
        <f ca="1">IFERROR(__xludf.DUMMYFUNCTION("""COMPUTED_VALUE"""),-0.756464654024488)</f>
        <v>-0.75646465402448804</v>
      </c>
      <c r="MV82" s="3">
        <f ca="1">IFERROR(__xludf.DUMMYFUNCTION("""COMPUTED_VALUE"""),-0.714872917863482)</f>
        <v>-0.71487291786348195</v>
      </c>
      <c r="MW82" s="3">
        <f ca="1">IFERROR(__xludf.DUMMYFUNCTION("""COMPUTED_VALUE"""),-0.713774603443795)</f>
        <v>-0.71377460344379495</v>
      </c>
      <c r="MX82" s="3">
        <f ca="1">IFERROR(__xludf.DUMMYFUNCTION("""COMPUTED_VALUE"""),-0.760913837337111)</f>
        <v>-0.76091383733711104</v>
      </c>
      <c r="MY82" s="3">
        <f ca="1">IFERROR(__xludf.DUMMYFUNCTION("""COMPUTED_VALUE"""),-0.729532818116206)</f>
        <v>-0.72953281811620596</v>
      </c>
      <c r="MZ82" s="3">
        <f ca="1">IFERROR(__xludf.DUMMYFUNCTION("""COMPUTED_VALUE"""),-0.741617781744075)</f>
        <v>-0.741617781744075</v>
      </c>
      <c r="NA82" s="3">
        <f ca="1">IFERROR(__xludf.DUMMYFUNCTION("""COMPUTED_VALUE"""),-0.749831840640907)</f>
        <v>-0.74983184064090702</v>
      </c>
      <c r="NB82" s="3">
        <f ca="1">IFERROR(__xludf.DUMMYFUNCTION("""COMPUTED_VALUE"""),-0.7466738778347)</f>
        <v>-0.74667387783469996</v>
      </c>
      <c r="NC82" s="3">
        <f ca="1">IFERROR(__xludf.DUMMYFUNCTION("""COMPUTED_VALUE"""),-0.758688410924006)</f>
        <v>-0.75868841092400596</v>
      </c>
      <c r="ND82" s="3">
        <f ca="1">IFERROR(__xludf.DUMMYFUNCTION("""COMPUTED_VALUE"""),-0.71708574476914)</f>
        <v>-0.71708574476914</v>
      </c>
      <c r="NE82" s="3">
        <f ca="1">IFERROR(__xludf.DUMMYFUNCTION("""COMPUTED_VALUE"""),-0.754532498361891)</f>
        <v>-0.75453249836189096</v>
      </c>
      <c r="NF82" s="3">
        <f ca="1">IFERROR(__xludf.DUMMYFUNCTION("""COMPUTED_VALUE"""),-0.76264821746885)</f>
        <v>-0.76264821746885003</v>
      </c>
      <c r="NG82" s="3">
        <f ca="1">IFERROR(__xludf.DUMMYFUNCTION("""COMPUTED_VALUE"""),-0.766431772476592)</f>
        <v>-0.766431772476592</v>
      </c>
      <c r="NH82" s="3">
        <f ca="1">IFERROR(__xludf.DUMMYFUNCTION("""COMPUTED_VALUE"""),-0.77155199058192)</f>
        <v>-0.77155199058192003</v>
      </c>
      <c r="NI82" s="3">
        <f ca="1">IFERROR(__xludf.DUMMYFUNCTION("""COMPUTED_VALUE"""),-0.766631423367493)</f>
        <v>-0.76663142336749301</v>
      </c>
      <c r="NJ82" s="3">
        <f ca="1">IFERROR(__xludf.DUMMYFUNCTION("""COMPUTED_VALUE"""),-0.745491198719935)</f>
        <v>-0.74549119871993497</v>
      </c>
      <c r="NK82" s="3">
        <f ca="1">IFERROR(__xludf.DUMMYFUNCTION("""COMPUTED_VALUE"""),-0.705969531041954)</f>
        <v>-0.70596953104195403</v>
      </c>
      <c r="NL82" s="3">
        <f ca="1">IFERROR(__xludf.DUMMYFUNCTION("""COMPUTED_VALUE"""),-0.760845295894996)</f>
        <v>-0.76084529589499605</v>
      </c>
      <c r="NM82" s="3">
        <f ca="1">IFERROR(__xludf.DUMMYFUNCTION("""COMPUTED_VALUE"""),-0.755596905844228)</f>
        <v>-0.75559690584422801</v>
      </c>
      <c r="NN82" s="3">
        <f ca="1">IFERROR(__xludf.DUMMYFUNCTION("""COMPUTED_VALUE"""),-0.750979289704389)</f>
        <v>-0.75097928970438899</v>
      </c>
      <c r="NO82" s="3">
        <f ca="1">IFERROR(__xludf.DUMMYFUNCTION("""COMPUTED_VALUE"""),-0.722879509817713)</f>
        <v>-0.72287950981771298</v>
      </c>
      <c r="NP82" s="3">
        <f ca="1">IFERROR(__xludf.DUMMYFUNCTION("""COMPUTED_VALUE"""),-0.73780361773966)</f>
        <v>-0.73780361773965997</v>
      </c>
      <c r="NQ82" s="3">
        <f ca="1">IFERROR(__xludf.DUMMYFUNCTION("""COMPUTED_VALUE"""),-0.709953532257338)</f>
        <v>-0.70995353225733804</v>
      </c>
      <c r="NR82" s="3">
        <f ca="1">IFERROR(__xludf.DUMMYFUNCTION("""COMPUTED_VALUE"""),-0.684789270735318)</f>
        <v>-0.68478927073531803</v>
      </c>
      <c r="NS82" s="3">
        <f ca="1">IFERROR(__xludf.DUMMYFUNCTION("""COMPUTED_VALUE"""),-0.741504996646265)</f>
        <v>-0.74150499664626501</v>
      </c>
      <c r="NT82" s="3">
        <f ca="1">IFERROR(__xludf.DUMMYFUNCTION("""COMPUTED_VALUE"""),-0.719015003589573)</f>
        <v>-0.71901500358957304</v>
      </c>
      <c r="NU82" s="3">
        <f ca="1">IFERROR(__xludf.DUMMYFUNCTION("""COMPUTED_VALUE"""),-0.742474149323519)</f>
        <v>-0.74247414932351896</v>
      </c>
      <c r="NV82" s="3">
        <f ca="1">IFERROR(__xludf.DUMMYFUNCTION("""COMPUTED_VALUE"""),-0.751612328941851)</f>
        <v>-0.75161232894185104</v>
      </c>
      <c r="NW82" s="3">
        <f ca="1">IFERROR(__xludf.DUMMYFUNCTION("""COMPUTED_VALUE"""),-0.717560015270736)</f>
        <v>-0.71756001527073598</v>
      </c>
      <c r="NX82" s="3">
        <f ca="1">IFERROR(__xludf.DUMMYFUNCTION("""COMPUTED_VALUE"""),-0.754162475154278)</f>
        <v>-0.75416247515427803</v>
      </c>
      <c r="NY82" s="3">
        <f ca="1">IFERROR(__xludf.DUMMYFUNCTION("""COMPUTED_VALUE"""),-0.665218728719251)</f>
        <v>-0.66521872871925103</v>
      </c>
      <c r="NZ82" s="3">
        <f ca="1">IFERROR(__xludf.DUMMYFUNCTION("""COMPUTED_VALUE"""),-0.67915754973832)</f>
        <v>-0.67915754973831999</v>
      </c>
      <c r="OA82" s="3">
        <f ca="1">IFERROR(__xludf.DUMMYFUNCTION("""COMPUTED_VALUE"""),-0.676582382434827)</f>
        <v>-0.67658238243482705</v>
      </c>
      <c r="OB82" s="3">
        <f ca="1">IFERROR(__xludf.DUMMYFUNCTION("""COMPUTED_VALUE"""),-0.653415947428153)</f>
        <v>-0.65341594742815301</v>
      </c>
      <c r="OC82" s="3">
        <f ca="1">IFERROR(__xludf.DUMMYFUNCTION("""COMPUTED_VALUE"""),-0.625621646360396)</f>
        <v>-0.62562164636039597</v>
      </c>
      <c r="OD82" s="3">
        <f ca="1">IFERROR(__xludf.DUMMYFUNCTION("""COMPUTED_VALUE"""),-0.587902405208944)</f>
        <v>-0.58790240520894399</v>
      </c>
      <c r="OE82" s="3">
        <f ca="1">IFERROR(__xludf.DUMMYFUNCTION("""COMPUTED_VALUE"""),-0.490989204563719)</f>
        <v>-0.49098920456371897</v>
      </c>
      <c r="OF82" s="3">
        <f ca="1">IFERROR(__xludf.DUMMYFUNCTION("""COMPUTED_VALUE"""),-0.311714026026864)</f>
        <v>-0.31171402602686399</v>
      </c>
      <c r="OG82" s="3">
        <f ca="1">IFERROR(__xludf.DUMMYFUNCTION("""COMPUTED_VALUE"""),-0.320417374371503)</f>
        <v>-0.32041737437150303</v>
      </c>
      <c r="OH82" s="3">
        <f ca="1">IFERROR(__xludf.DUMMYFUNCTION("""COMPUTED_VALUE"""),-0.266809249901266)</f>
        <v>-0.26680924990126598</v>
      </c>
      <c r="OI82" s="3">
        <f ca="1">IFERROR(__xludf.DUMMYFUNCTION("""COMPUTED_VALUE"""),-0.193941916711188)</f>
        <v>-0.19394191671118799</v>
      </c>
      <c r="OJ82" s="3">
        <f ca="1">IFERROR(__xludf.DUMMYFUNCTION("""COMPUTED_VALUE"""),-0.111030372812639)</f>
        <v>-0.111030372812639</v>
      </c>
      <c r="OK82" s="3">
        <f ca="1">IFERROR(__xludf.DUMMYFUNCTION("""COMPUTED_VALUE"""),-0.0831358518497428)</f>
        <v>-8.3135851849742801E-2</v>
      </c>
      <c r="OL82" s="3">
        <f ca="1">IFERROR(__xludf.DUMMYFUNCTION("""COMPUTED_VALUE"""),0.0573825142704254)</f>
        <v>5.73825142704254E-2</v>
      </c>
      <c r="OM82" s="3">
        <f ca="1">IFERROR(__xludf.DUMMYFUNCTION("""COMPUTED_VALUE"""),-0.0397745062571803)</f>
        <v>-3.9774506257180299E-2</v>
      </c>
      <c r="ON82" s="3">
        <f ca="1">IFERROR(__xludf.DUMMYFUNCTION("""COMPUTED_VALUE"""),-0.0146377584043732)</f>
        <v>-1.4637758404373201E-2</v>
      </c>
      <c r="OO82" s="3">
        <f ca="1">IFERROR(__xludf.DUMMYFUNCTION("""COMPUTED_VALUE"""),-0.0105012283546254)</f>
        <v>-1.05012283546254E-2</v>
      </c>
      <c r="OP82" s="3">
        <f ca="1">IFERROR(__xludf.DUMMYFUNCTION("""COMPUTED_VALUE"""),-0.0166814638927564)</f>
        <v>-1.6681463892756401E-2</v>
      </c>
      <c r="OQ82" s="3">
        <f ca="1">IFERROR(__xludf.DUMMYFUNCTION("""COMPUTED_VALUE"""),0.00211675773062847)</f>
        <v>2.11675773062847E-3</v>
      </c>
      <c r="OR82" s="3">
        <f ca="1">IFERROR(__xludf.DUMMYFUNCTION("""COMPUTED_VALUE"""),-0.00191404375784487)</f>
        <v>-1.91404375784487E-3</v>
      </c>
      <c r="OS82" s="3">
        <f ca="1">IFERROR(__xludf.DUMMYFUNCTION("""COMPUTED_VALUE"""),0.0641845181019453)</f>
        <v>6.4184518101945295E-2</v>
      </c>
      <c r="OT82" s="3">
        <f ca="1">IFERROR(__xludf.DUMMYFUNCTION("""COMPUTED_VALUE"""),-0.000455606137754305)</f>
        <v>-4.5560613775430498E-4</v>
      </c>
      <c r="OU82" s="3">
        <f ca="1">IFERROR(__xludf.DUMMYFUNCTION("""COMPUTED_VALUE"""),0.0000381414120704803)</f>
        <v>3.8141412070480297E-5</v>
      </c>
      <c r="OV82" s="3">
        <f ca="1">IFERROR(__xludf.DUMMYFUNCTION("""COMPUTED_VALUE"""),0.0511611667091589)</f>
        <v>5.1161166709158899E-2</v>
      </c>
      <c r="OW82" s="3">
        <f ca="1">IFERROR(__xludf.DUMMYFUNCTION("""COMPUTED_VALUE"""),0.0458827417639797)</f>
        <v>4.5882741763979697E-2</v>
      </c>
      <c r="OX82" s="3">
        <f ca="1">IFERROR(__xludf.DUMMYFUNCTION("""COMPUTED_VALUE"""),0.0572900178926183)</f>
        <v>5.7290017892618297E-2</v>
      </c>
      <c r="OY82" s="3">
        <f ca="1">IFERROR(__xludf.DUMMYFUNCTION("""COMPUTED_VALUE"""),0.0335354464558712)</f>
        <v>3.3535446455871198E-2</v>
      </c>
      <c r="OZ82" s="3">
        <f ca="1">IFERROR(__xludf.DUMMYFUNCTION("""COMPUTED_VALUE"""),0.147561194470758)</f>
        <v>0.14756119447075799</v>
      </c>
      <c r="PA82" s="3">
        <f ca="1">IFERROR(__xludf.DUMMYFUNCTION("""COMPUTED_VALUE"""),-0.00308310877212947)</f>
        <v>-3.0831087721294699E-3</v>
      </c>
      <c r="PB82" s="3">
        <f ca="1">IFERROR(__xludf.DUMMYFUNCTION("""COMPUTED_VALUE"""),-0.0249001768581851)</f>
        <v>-2.4900176858185099E-2</v>
      </c>
      <c r="PC82" s="3">
        <f ca="1">IFERROR(__xludf.DUMMYFUNCTION("""COMPUTED_VALUE"""),-0.0893860667768193)</f>
        <v>-8.9386066776819303E-2</v>
      </c>
      <c r="PD82" s="3">
        <f ca="1">IFERROR(__xludf.DUMMYFUNCTION("""COMPUTED_VALUE"""),-0.0570945680509888)</f>
        <v>-5.7094568050988802E-2</v>
      </c>
      <c r="PE82" s="3">
        <f ca="1">IFERROR(__xludf.DUMMYFUNCTION("""COMPUTED_VALUE"""),-0.0346316564376807)</f>
        <v>-3.4631656437680701E-2</v>
      </c>
      <c r="PF82" s="3">
        <f ca="1">IFERROR(__xludf.DUMMYFUNCTION("""COMPUTED_VALUE"""),-0.0756712078854243)</f>
        <v>-7.5671207885424294E-2</v>
      </c>
      <c r="PG82" s="3">
        <f ca="1">IFERROR(__xludf.DUMMYFUNCTION("""COMPUTED_VALUE"""),-0.101219442774571)</f>
        <v>-0.101219442774571</v>
      </c>
      <c r="PH82" s="3">
        <f ca="1">IFERROR(__xludf.DUMMYFUNCTION("""COMPUTED_VALUE"""),-0.0189005466629962)</f>
        <v>-1.89005466629962E-2</v>
      </c>
      <c r="PI82" s="3">
        <f ca="1">IFERROR(__xludf.DUMMYFUNCTION("""COMPUTED_VALUE"""),-0.0661826666458179)</f>
        <v>-6.61826666458179E-2</v>
      </c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</row>
    <row r="83" spans="1:477" ht="13">
      <c r="A83" s="1" t="str">
        <f ca="1">IFERROR(__xludf.DUMMYFUNCTION("""COMPUTED_VALUE"""),"Bee-Line")</f>
        <v>Bee-Line</v>
      </c>
      <c r="B83" s="1" t="str">
        <f ca="1">IFERROR(__xludf.DUMMYFUNCTION("""COMPUTED_VALUE"""),"NYC")</f>
        <v>NYC</v>
      </c>
      <c r="C83" s="1" t="str">
        <f ca="1">IFERROR(__xludf.DUMMYFUNCTION("""COMPUTED_VALUE"""),"United States")</f>
        <v>United States</v>
      </c>
      <c r="D83" s="1" t="str">
        <f ca="1">IFERROR(__xludf.DUMMYFUNCTION("""COMPUTED_VALUE"""),"New York")</f>
        <v>New York</v>
      </c>
      <c r="E83" s="3">
        <f ca="1">IFERROR(__xludf.DUMMYFUNCTION("""COMPUTED_VALUE"""),-0.461464923245506)</f>
        <v>-0.46146492324550598</v>
      </c>
      <c r="F83" s="3">
        <f ca="1">IFERROR(__xludf.DUMMYFUNCTION("""COMPUTED_VALUE"""),-0.491960578601337)</f>
        <v>-0.49196057860133702</v>
      </c>
      <c r="G83" s="3">
        <f ca="1">IFERROR(__xludf.DUMMYFUNCTION("""COMPUTED_VALUE"""),-0.537535165867363)</f>
        <v>-0.53753516586736305</v>
      </c>
      <c r="H83" s="3">
        <f ca="1">IFERROR(__xludf.DUMMYFUNCTION("""COMPUTED_VALUE"""),-0.554164285122338)</f>
        <v>-0.55416428512233795</v>
      </c>
      <c r="I83" s="3">
        <f ca="1">IFERROR(__xludf.DUMMYFUNCTION("""COMPUTED_VALUE"""),-0.56381410699927)</f>
        <v>-0.56381410699927004</v>
      </c>
      <c r="J83" s="3">
        <f ca="1">IFERROR(__xludf.DUMMYFUNCTION("""COMPUTED_VALUE"""),-0.52396294377548)</f>
        <v>-0.52396294377548003</v>
      </c>
      <c r="K83" s="3">
        <f ca="1">IFERROR(__xludf.DUMMYFUNCTION("""COMPUTED_VALUE"""),-0.448152051867908)</f>
        <v>-0.44815205186790802</v>
      </c>
      <c r="L83" s="3">
        <f ca="1">IFERROR(__xludf.DUMMYFUNCTION("""COMPUTED_VALUE"""),-0.48456772260494)</f>
        <v>-0.48456772260494002</v>
      </c>
      <c r="M83" s="3">
        <f ca="1">IFERROR(__xludf.DUMMYFUNCTION("""COMPUTED_VALUE"""),-0.584271944984234)</f>
        <v>-0.58427194498423396</v>
      </c>
      <c r="N83" s="3">
        <f ca="1">IFERROR(__xludf.DUMMYFUNCTION("""COMPUTED_VALUE"""),-0.587288302312234)</f>
        <v>-0.58728830231223395</v>
      </c>
      <c r="O83" s="3">
        <f ca="1">IFERROR(__xludf.DUMMYFUNCTION("""COMPUTED_VALUE"""),-0.592062505100798)</f>
        <v>-0.59206250510079805</v>
      </c>
      <c r="P83" s="3">
        <f ca="1">IFERROR(__xludf.DUMMYFUNCTION("""COMPUTED_VALUE"""),-0.55353558237203)</f>
        <v>-0.55353558237203004</v>
      </c>
      <c r="Q83" s="3">
        <f ca="1">IFERROR(__xludf.DUMMYFUNCTION("""COMPUTED_VALUE"""),-0.544998097687141)</f>
        <v>-0.54499809768714103</v>
      </c>
      <c r="R83" s="3">
        <f ca="1">IFERROR(__xludf.DUMMYFUNCTION("""COMPUTED_VALUE"""),-0.493116466222845)</f>
        <v>-0.493116466222845</v>
      </c>
      <c r="S83" s="3">
        <f ca="1">IFERROR(__xludf.DUMMYFUNCTION("""COMPUTED_VALUE"""),-0.414703105248405)</f>
        <v>-0.41470310524840498</v>
      </c>
      <c r="T83" s="3">
        <f ca="1">IFERROR(__xludf.DUMMYFUNCTION("""COMPUTED_VALUE"""),-0.489255073118619)</f>
        <v>-0.48925507311861899</v>
      </c>
      <c r="U83" s="3">
        <f ca="1">IFERROR(__xludf.DUMMYFUNCTION("""COMPUTED_VALUE"""),-0.514426109626937)</f>
        <v>-0.51442610962693702</v>
      </c>
      <c r="V83" s="3">
        <f ca="1">IFERROR(__xludf.DUMMYFUNCTION("""COMPUTED_VALUE"""),-0.545062021509684)</f>
        <v>-0.54506202150968397</v>
      </c>
      <c r="W83" s="3">
        <f ca="1">IFERROR(__xludf.DUMMYFUNCTION("""COMPUTED_VALUE"""),-0.521204148957229)</f>
        <v>-0.521204148957229</v>
      </c>
      <c r="X83" s="3">
        <f ca="1">IFERROR(__xludf.DUMMYFUNCTION("""COMPUTED_VALUE"""),-0.475277323370335)</f>
        <v>-0.47527732337033501</v>
      </c>
      <c r="Y83" s="3">
        <f ca="1">IFERROR(__xludf.DUMMYFUNCTION("""COMPUTED_VALUE"""),-0.348845432687098)</f>
        <v>-0.348845432687098</v>
      </c>
      <c r="Z83" s="3">
        <f ca="1">IFERROR(__xludf.DUMMYFUNCTION("""COMPUTED_VALUE"""),-0.425378187130334)</f>
        <v>-0.42537818713033398</v>
      </c>
      <c r="AA83" s="3">
        <f ca="1">IFERROR(__xludf.DUMMYFUNCTION("""COMPUTED_VALUE"""),-0.515726704153537)</f>
        <v>-0.51572670415353705</v>
      </c>
      <c r="AB83" s="3">
        <f ca="1">IFERROR(__xludf.DUMMYFUNCTION("""COMPUTED_VALUE"""),-0.560180712827905)</f>
        <v>-0.56018071282790505</v>
      </c>
      <c r="AC83" s="3">
        <f ca="1">IFERROR(__xludf.DUMMYFUNCTION("""COMPUTED_VALUE"""),-0.542535715716612)</f>
        <v>-0.54253571571661197</v>
      </c>
      <c r="AD83" s="3">
        <f ca="1">IFERROR(__xludf.DUMMYFUNCTION("""COMPUTED_VALUE"""),-0.558319196693878)</f>
        <v>-0.55831919669387797</v>
      </c>
      <c r="AE83" s="3">
        <f ca="1">IFERROR(__xludf.DUMMYFUNCTION("""COMPUTED_VALUE"""),-0.520538686831429)</f>
        <v>-0.52053868683142901</v>
      </c>
      <c r="AF83" s="3">
        <f ca="1">IFERROR(__xludf.DUMMYFUNCTION("""COMPUTED_VALUE"""),-0.399437045536417)</f>
        <v>-0.39943704553641701</v>
      </c>
      <c r="AG83" s="3">
        <f ca="1">IFERROR(__xludf.DUMMYFUNCTION("""COMPUTED_VALUE"""),-0.448526981551571)</f>
        <v>-0.448526981551571</v>
      </c>
      <c r="AH83" s="3">
        <f ca="1">IFERROR(__xludf.DUMMYFUNCTION("""COMPUTED_VALUE"""),-0.501194954149929)</f>
        <v>-0.50119495414992898</v>
      </c>
      <c r="AI83" s="3">
        <f ca="1">IFERROR(__xludf.DUMMYFUNCTION("""COMPUTED_VALUE"""),-0.526944617990462)</f>
        <v>-0.52694461799046199</v>
      </c>
      <c r="AJ83" s="3">
        <f ca="1">IFERROR(__xludf.DUMMYFUNCTION("""COMPUTED_VALUE"""),-0.530258997552907)</f>
        <v>-0.53025899755290695</v>
      </c>
      <c r="AK83" s="3">
        <f ca="1">IFERROR(__xludf.DUMMYFUNCTION("""COMPUTED_VALUE"""),-0.530908532235935)</f>
        <v>-0.53090853223593504</v>
      </c>
      <c r="AL83" s="3">
        <f ca="1">IFERROR(__xludf.DUMMYFUNCTION("""COMPUTED_VALUE"""),-0.493315547601052)</f>
        <v>-0.49331554760105201</v>
      </c>
      <c r="AM83" s="3">
        <f ca="1">IFERROR(__xludf.DUMMYFUNCTION("""COMPUTED_VALUE"""),-0.428638206409755)</f>
        <v>-0.42863820640975497</v>
      </c>
      <c r="AN83" s="3">
        <f ca="1">IFERROR(__xludf.DUMMYFUNCTION("""COMPUTED_VALUE"""),-0.47370143482454)</f>
        <v>-0.47370143482454002</v>
      </c>
      <c r="AO83" s="3">
        <f ca="1">IFERROR(__xludf.DUMMYFUNCTION("""COMPUTED_VALUE"""),-0.539196022479321)</f>
        <v>-0.53919602247932097</v>
      </c>
      <c r="AP83" s="3">
        <f ca="1">IFERROR(__xludf.DUMMYFUNCTION("""COMPUTED_VALUE"""),-0.553403134271162)</f>
        <v>-0.55340313427116195</v>
      </c>
      <c r="AQ83" s="3">
        <f ca="1">IFERROR(__xludf.DUMMYFUNCTION("""COMPUTED_VALUE"""),-0.540430753829002)</f>
        <v>-0.54043075382900196</v>
      </c>
      <c r="AR83" s="3">
        <f ca="1">IFERROR(__xludf.DUMMYFUNCTION("""COMPUTED_VALUE"""),-0.567993943845977)</f>
        <v>-0.56799394384597701</v>
      </c>
      <c r="AS83" s="3">
        <f ca="1">IFERROR(__xludf.DUMMYFUNCTION("""COMPUTED_VALUE"""),-0.495823372232767)</f>
        <v>-0.49582337223276701</v>
      </c>
      <c r="AT83" s="3">
        <f ca="1">IFERROR(__xludf.DUMMYFUNCTION("""COMPUTED_VALUE"""),-0.431004797310771)</f>
        <v>-0.43100479731077102</v>
      </c>
      <c r="AU83" s="3">
        <f ca="1">IFERROR(__xludf.DUMMYFUNCTION("""COMPUTED_VALUE"""),-0.49412351463377)</f>
        <v>-0.49412351463377002</v>
      </c>
      <c r="AV83" s="3">
        <f ca="1">IFERROR(__xludf.DUMMYFUNCTION("""COMPUTED_VALUE"""),-0.51656270496711)</f>
        <v>-0.51656270496710999</v>
      </c>
      <c r="AW83" s="3">
        <f ca="1">IFERROR(__xludf.DUMMYFUNCTION("""COMPUTED_VALUE"""),-0.531507683591999)</f>
        <v>-0.53150768359199896</v>
      </c>
      <c r="AX83" s="3">
        <f ca="1">IFERROR(__xludf.DUMMYFUNCTION("""COMPUTED_VALUE"""),-0.504573891890892)</f>
        <v>-0.50457389189089197</v>
      </c>
      <c r="AY83" s="3">
        <f ca="1">IFERROR(__xludf.DUMMYFUNCTION("""COMPUTED_VALUE"""),-0.513992802347966)</f>
        <v>-0.51399280234796596</v>
      </c>
      <c r="AZ83" s="3">
        <f ca="1">IFERROR(__xludf.DUMMYFUNCTION("""COMPUTED_VALUE"""),-0.463954859214227)</f>
        <v>-0.46395485921422702</v>
      </c>
      <c r="BA83" s="3">
        <f ca="1">IFERROR(__xludf.DUMMYFUNCTION("""COMPUTED_VALUE"""),-0.385063073502388)</f>
        <v>-0.385063073502388</v>
      </c>
      <c r="BB83" s="3">
        <f ca="1">IFERROR(__xludf.DUMMYFUNCTION("""COMPUTED_VALUE"""),-0.440523738396941)</f>
        <v>-0.44052373839694098</v>
      </c>
      <c r="BC83" s="3">
        <f ca="1">IFERROR(__xludf.DUMMYFUNCTION("""COMPUTED_VALUE"""),-0.483958781221172)</f>
        <v>-0.48395878122117197</v>
      </c>
      <c r="BD83" s="3">
        <f ca="1">IFERROR(__xludf.DUMMYFUNCTION("""COMPUTED_VALUE"""),-0.530041717516866)</f>
        <v>-0.53004171751686602</v>
      </c>
      <c r="BE83" s="3">
        <f ca="1">IFERROR(__xludf.DUMMYFUNCTION("""COMPUTED_VALUE"""),-0.513491804620018)</f>
        <v>-0.51349180462001798</v>
      </c>
      <c r="BF83" s="3">
        <f ca="1">IFERROR(__xludf.DUMMYFUNCTION("""COMPUTED_VALUE"""),-0.493271292106034)</f>
        <v>-0.49327129210603399</v>
      </c>
      <c r="BG83" s="3">
        <f ca="1">IFERROR(__xludf.DUMMYFUNCTION("""COMPUTED_VALUE"""),-0.390436054184715)</f>
        <v>-0.390436054184715</v>
      </c>
      <c r="BH83" s="3">
        <f ca="1">IFERROR(__xludf.DUMMYFUNCTION("""COMPUTED_VALUE"""),-0.337698517008223)</f>
        <v>-0.33769851700822301</v>
      </c>
      <c r="BI83" s="3">
        <f ca="1">IFERROR(__xludf.DUMMYFUNCTION("""COMPUTED_VALUE"""),-0.454927587857861)</f>
        <v>-0.45492758785786103</v>
      </c>
      <c r="BJ83" s="3">
        <f ca="1">IFERROR(__xludf.DUMMYFUNCTION("""COMPUTED_VALUE"""),-0.542206103443355)</f>
        <v>-0.54220610344335496</v>
      </c>
      <c r="BK83" s="3">
        <f ca="1">IFERROR(__xludf.DUMMYFUNCTION("""COMPUTED_VALUE"""),-0.559764645195197)</f>
        <v>-0.55976464519519697</v>
      </c>
      <c r="BL83" s="3">
        <f ca="1">IFERROR(__xludf.DUMMYFUNCTION("""COMPUTED_VALUE"""),-0.557440912219943)</f>
        <v>-0.55744091221994296</v>
      </c>
      <c r="BM83" s="3">
        <f ca="1">IFERROR(__xludf.DUMMYFUNCTION("""COMPUTED_VALUE"""),-0.565169461663695)</f>
        <v>-0.56516946166369497</v>
      </c>
      <c r="BN83" s="3">
        <f ca="1">IFERROR(__xludf.DUMMYFUNCTION("""COMPUTED_VALUE"""),-0.533789771041465)</f>
        <v>-0.53378977104146497</v>
      </c>
      <c r="BO83" s="3">
        <f ca="1">IFERROR(__xludf.DUMMYFUNCTION("""COMPUTED_VALUE"""),-0.447786277461699)</f>
        <v>-0.44778627746169902</v>
      </c>
      <c r="BP83" s="3">
        <f ca="1">IFERROR(__xludf.DUMMYFUNCTION("""COMPUTED_VALUE"""),-0.432433847930051)</f>
        <v>-0.43243384793005102</v>
      </c>
      <c r="BQ83" s="3">
        <f ca="1">IFERROR(__xludf.DUMMYFUNCTION("""COMPUTED_VALUE"""),-0.548751087665724)</f>
        <v>-0.548751087665724</v>
      </c>
      <c r="BR83" s="3">
        <f ca="1">IFERROR(__xludf.DUMMYFUNCTION("""COMPUTED_VALUE"""),-0.53624946505545)</f>
        <v>-0.53624946505545001</v>
      </c>
      <c r="BS83" s="3">
        <f ca="1">IFERROR(__xludf.DUMMYFUNCTION("""COMPUTED_VALUE"""),-0.535325244044756)</f>
        <v>-0.53532524404475601</v>
      </c>
      <c r="BT83" s="3">
        <f ca="1">IFERROR(__xludf.DUMMYFUNCTION("""COMPUTED_VALUE"""),-0.508845371646377)</f>
        <v>-0.508845371646377</v>
      </c>
      <c r="BU83" s="3">
        <f ca="1">IFERROR(__xludf.DUMMYFUNCTION("""COMPUTED_VALUE"""),-0.526726251054006)</f>
        <v>-0.52672625105400595</v>
      </c>
      <c r="BV83" s="3">
        <f ca="1">IFERROR(__xludf.DUMMYFUNCTION("""COMPUTED_VALUE"""),-0.471471944420709)</f>
        <v>-0.471471944420709</v>
      </c>
      <c r="BW83" s="3">
        <f ca="1">IFERROR(__xludf.DUMMYFUNCTION("""COMPUTED_VALUE"""),-0.51311186522446)</f>
        <v>-0.51311186522445995</v>
      </c>
      <c r="BX83" s="3">
        <f ca="1">IFERROR(__xludf.DUMMYFUNCTION("""COMPUTED_VALUE"""),-0.634876371078519)</f>
        <v>-0.63487637107851902</v>
      </c>
      <c r="BY83" s="3">
        <f ca="1">IFERROR(__xludf.DUMMYFUNCTION("""COMPUTED_VALUE"""),-0.616124816633397)</f>
        <v>-0.61612481663339702</v>
      </c>
      <c r="BZ83" s="3">
        <f ca="1">IFERROR(__xludf.DUMMYFUNCTION("""COMPUTED_VALUE"""),-0.619724119475171)</f>
        <v>-0.61972411947517103</v>
      </c>
      <c r="CA83" s="3">
        <f ca="1">IFERROR(__xludf.DUMMYFUNCTION("""COMPUTED_VALUE"""),-0.618720376151598)</f>
        <v>-0.61872037615159803</v>
      </c>
      <c r="CB83" s="3">
        <f ca="1">IFERROR(__xludf.DUMMYFUNCTION("""COMPUTED_VALUE"""),-0.534854874297662)</f>
        <v>-0.53485487429766199</v>
      </c>
      <c r="CC83" s="3">
        <f ca="1">IFERROR(__xludf.DUMMYFUNCTION("""COMPUTED_VALUE"""),-0.491912706003311)</f>
        <v>-0.491912706003311</v>
      </c>
      <c r="CD83" s="3">
        <f ca="1">IFERROR(__xludf.DUMMYFUNCTION("""COMPUTED_VALUE"""),-0.495339267726771)</f>
        <v>-0.495339267726771</v>
      </c>
      <c r="CE83" s="3">
        <f ca="1">IFERROR(__xludf.DUMMYFUNCTION("""COMPUTED_VALUE"""),-0.583740311443244)</f>
        <v>-0.58374031144324401</v>
      </c>
      <c r="CF83" s="3">
        <f ca="1">IFERROR(__xludf.DUMMYFUNCTION("""COMPUTED_VALUE"""),-0.618046166916724)</f>
        <v>-0.61804616691672398</v>
      </c>
      <c r="CG83" s="3">
        <f ca="1">IFERROR(__xludf.DUMMYFUNCTION("""COMPUTED_VALUE"""),-0.616287661886361)</f>
        <v>-0.61628766188636097</v>
      </c>
      <c r="CH83" s="3">
        <f ca="1">IFERROR(__xludf.DUMMYFUNCTION("""COMPUTED_VALUE"""),-0.593486216298266)</f>
        <v>-0.59348621629826603</v>
      </c>
      <c r="CI83" s="3">
        <f ca="1">IFERROR(__xludf.DUMMYFUNCTION("""COMPUTED_VALUE"""),-0.516820369089435)</f>
        <v>-0.51682036908943496</v>
      </c>
      <c r="CJ83" s="3">
        <f ca="1">IFERROR(__xludf.DUMMYFUNCTION("""COMPUTED_VALUE"""),-0.471700226269444)</f>
        <v>-0.47170022626944402</v>
      </c>
      <c r="CK83" s="3">
        <f ca="1">IFERROR(__xludf.DUMMYFUNCTION("""COMPUTED_VALUE"""),-0.488819215203301)</f>
        <v>-0.48881921520330102</v>
      </c>
      <c r="CL83" s="3">
        <f ca="1">IFERROR(__xludf.DUMMYFUNCTION("""COMPUTED_VALUE"""),-0.591893150443199)</f>
        <v>-0.59189315044319901</v>
      </c>
      <c r="CM83" s="3">
        <f ca="1">IFERROR(__xludf.DUMMYFUNCTION("""COMPUTED_VALUE"""),-0.591360372170288)</f>
        <v>-0.59136037217028803</v>
      </c>
      <c r="CN83" s="3">
        <f ca="1">IFERROR(__xludf.DUMMYFUNCTION("""COMPUTED_VALUE"""),-0.598440126667015)</f>
        <v>-0.59844012666701496</v>
      </c>
      <c r="CO83" s="3">
        <f ca="1">IFERROR(__xludf.DUMMYFUNCTION("""COMPUTED_VALUE"""),-0.572999144183299)</f>
        <v>-0.572999144183299</v>
      </c>
      <c r="CP83" s="3">
        <f ca="1">IFERROR(__xludf.DUMMYFUNCTION("""COMPUTED_VALUE"""),-0.549457398738671)</f>
        <v>-0.54945739873867105</v>
      </c>
      <c r="CQ83" s="3">
        <f ca="1">IFERROR(__xludf.DUMMYFUNCTION("""COMPUTED_VALUE"""),-0.463002907808211)</f>
        <v>-0.46300290780821102</v>
      </c>
      <c r="CR83" s="3">
        <f ca="1">IFERROR(__xludf.DUMMYFUNCTION("""COMPUTED_VALUE"""),-0.484571123441057)</f>
        <v>-0.48457112344105702</v>
      </c>
      <c r="CS83" s="3">
        <f ca="1">IFERROR(__xludf.DUMMYFUNCTION("""COMPUTED_VALUE"""),-0.571290846833523)</f>
        <v>-0.57129084683352305</v>
      </c>
      <c r="CT83" s="3">
        <f ca="1">IFERROR(__xludf.DUMMYFUNCTION("""COMPUTED_VALUE"""),-0.555221491425791)</f>
        <v>-0.55522149142579102</v>
      </c>
      <c r="CU83" s="3">
        <f ca="1">IFERROR(__xludf.DUMMYFUNCTION("""COMPUTED_VALUE"""),-0.51052516808373)</f>
        <v>-0.51052516808373005</v>
      </c>
      <c r="CV83" s="3">
        <f ca="1">IFERROR(__xludf.DUMMYFUNCTION("""COMPUTED_VALUE"""),-0.56379152858263)</f>
        <v>-0.56379152858263004</v>
      </c>
      <c r="CW83" s="3">
        <f ca="1">IFERROR(__xludf.DUMMYFUNCTION("""COMPUTED_VALUE"""),-0.546585832990428)</f>
        <v>-0.54658583299042796</v>
      </c>
      <c r="CX83" s="3">
        <f ca="1">IFERROR(__xludf.DUMMYFUNCTION("""COMPUTED_VALUE"""),-0.509778805061908)</f>
        <v>-0.50977880506190798</v>
      </c>
      <c r="CY83" s="3">
        <f ca="1">IFERROR(__xludf.DUMMYFUNCTION("""COMPUTED_VALUE"""),-0.554812701635194)</f>
        <v>-0.55481270163519403</v>
      </c>
      <c r="CZ83" s="3">
        <f ca="1">IFERROR(__xludf.DUMMYFUNCTION("""COMPUTED_VALUE"""),-0.693560869176935)</f>
        <v>-0.69356086917693505</v>
      </c>
      <c r="DA83" s="3">
        <f ca="1">IFERROR(__xludf.DUMMYFUNCTION("""COMPUTED_VALUE"""),-0.470282048322931)</f>
        <v>-0.47028204832293102</v>
      </c>
      <c r="DB83" s="3">
        <f ca="1">IFERROR(__xludf.DUMMYFUNCTION("""COMPUTED_VALUE"""),-0.217400296120808)</f>
        <v>-0.217400296120808</v>
      </c>
      <c r="DC83" s="3">
        <f ca="1">IFERROR(__xludf.DUMMYFUNCTION("""COMPUTED_VALUE"""),-0.479962166453967)</f>
        <v>-0.479962166453967</v>
      </c>
      <c r="DD83" s="3">
        <f ca="1">IFERROR(__xludf.DUMMYFUNCTION("""COMPUTED_VALUE"""),-0.483522099677891)</f>
        <v>-0.483522099677891</v>
      </c>
      <c r="DE83" s="3">
        <f ca="1">IFERROR(__xludf.DUMMYFUNCTION("""COMPUTED_VALUE"""),-0.440779187207059)</f>
        <v>-0.440779187207059</v>
      </c>
      <c r="DF83" s="3">
        <f ca="1">IFERROR(__xludf.DUMMYFUNCTION("""COMPUTED_VALUE"""),-0.588652428507529)</f>
        <v>-0.58865242850752897</v>
      </c>
      <c r="DG83" s="3">
        <f ca="1">IFERROR(__xludf.DUMMYFUNCTION("""COMPUTED_VALUE"""),-0.846417917491744)</f>
        <v>-0.846417917491744</v>
      </c>
      <c r="DH83" s="3">
        <f ca="1">IFERROR(__xludf.DUMMYFUNCTION("""COMPUTED_VALUE"""),-0.426691380789145)</f>
        <v>-0.42669138078914498</v>
      </c>
      <c r="DI83" s="3">
        <f ca="1">IFERROR(__xludf.DUMMYFUNCTION("""COMPUTED_VALUE"""),-0.144005800691192)</f>
        <v>-0.14400580069119201</v>
      </c>
      <c r="DJ83" s="3">
        <f ca="1">IFERROR(__xludf.DUMMYFUNCTION("""COMPUTED_VALUE"""),-0.436667259520438)</f>
        <v>-0.436667259520438</v>
      </c>
      <c r="DK83" s="3">
        <f ca="1">IFERROR(__xludf.DUMMYFUNCTION("""COMPUTED_VALUE"""),-0.449157544871431)</f>
        <v>-0.449157544871431</v>
      </c>
      <c r="DL83" s="3">
        <f ca="1">IFERROR(__xludf.DUMMYFUNCTION("""COMPUTED_VALUE"""),-0.414027827745864)</f>
        <v>-0.414027827745864</v>
      </c>
      <c r="DM83" s="3">
        <f ca="1">IFERROR(__xludf.DUMMYFUNCTION("""COMPUTED_VALUE"""),-0.393205593835635)</f>
        <v>-0.39320559383563503</v>
      </c>
      <c r="DN83" s="3">
        <f ca="1">IFERROR(__xludf.DUMMYFUNCTION("""COMPUTED_VALUE"""),-0.495464993939881)</f>
        <v>-0.49546499393988103</v>
      </c>
      <c r="DO83" s="3">
        <f ca="1">IFERROR(__xludf.DUMMYFUNCTION("""COMPUTED_VALUE"""),-0.464948159892727)</f>
        <v>-0.46494815989272698</v>
      </c>
      <c r="DP83" s="3">
        <f ca="1">IFERROR(__xludf.DUMMYFUNCTION("""COMPUTED_VALUE"""),-0.354912610951816)</f>
        <v>-0.35491261095181598</v>
      </c>
      <c r="DQ83" s="3">
        <f ca="1">IFERROR(__xludf.DUMMYFUNCTION("""COMPUTED_VALUE"""),-0.538397252099816)</f>
        <v>-0.53839725209981604</v>
      </c>
      <c r="DR83" s="3">
        <f ca="1">IFERROR(__xludf.DUMMYFUNCTION("""COMPUTED_VALUE"""),-0.583597924727183)</f>
        <v>-0.58359792472718297</v>
      </c>
      <c r="DS83" s="3">
        <f ca="1">IFERROR(__xludf.DUMMYFUNCTION("""COMPUTED_VALUE"""),-0.43158633675197)</f>
        <v>-0.43158633675197</v>
      </c>
      <c r="DT83" s="3">
        <f ca="1">IFERROR(__xludf.DUMMYFUNCTION("""COMPUTED_VALUE"""),-0.48114579785152)</f>
        <v>-0.48114579785152001</v>
      </c>
      <c r="DU83" s="3">
        <f ca="1">IFERROR(__xludf.DUMMYFUNCTION("""COMPUTED_VALUE"""),-0.584907902734783)</f>
        <v>-0.58490790273478299</v>
      </c>
      <c r="DV83" s="3">
        <f ca="1">IFERROR(__xludf.DUMMYFUNCTION("""COMPUTED_VALUE"""),-0.600104951132336)</f>
        <v>-0.60010495113233597</v>
      </c>
      <c r="DW83" s="3">
        <f ca="1">IFERROR(__xludf.DUMMYFUNCTION("""COMPUTED_VALUE"""),-0.621877647450739)</f>
        <v>-0.62187764745073904</v>
      </c>
      <c r="DX83" s="3">
        <f ca="1">IFERROR(__xludf.DUMMYFUNCTION("""COMPUTED_VALUE"""),-0.603015740513834)</f>
        <v>-0.603015740513834</v>
      </c>
      <c r="DY83" s="3">
        <f ca="1">IFERROR(__xludf.DUMMYFUNCTION("""COMPUTED_VALUE"""),-0.557723479562469)</f>
        <v>-0.55772347956246904</v>
      </c>
      <c r="DZ83" s="3">
        <f ca="1">IFERROR(__xludf.DUMMYFUNCTION("""COMPUTED_VALUE"""),-0.415402809616074)</f>
        <v>-0.41540280961607401</v>
      </c>
      <c r="EA83" s="3">
        <f ca="1">IFERROR(__xludf.DUMMYFUNCTION("""COMPUTED_VALUE"""),-0.529484769298358)</f>
        <v>-0.52948476929835797</v>
      </c>
      <c r="EB83" s="3">
        <f ca="1">IFERROR(__xludf.DUMMYFUNCTION("""COMPUTED_VALUE"""),-0.539406521963084)</f>
        <v>-0.53940652196308403</v>
      </c>
      <c r="EC83" s="3">
        <f ca="1">IFERROR(__xludf.DUMMYFUNCTION("""COMPUTED_VALUE"""),-0.51992335955991)</f>
        <v>-0.51992335955990998</v>
      </c>
      <c r="ED83" s="3">
        <f ca="1">IFERROR(__xludf.DUMMYFUNCTION("""COMPUTED_VALUE"""),-0.630087975872246)</f>
        <v>-0.63008797587224596</v>
      </c>
      <c r="EE83" s="3">
        <f ca="1">IFERROR(__xludf.DUMMYFUNCTION("""COMPUTED_VALUE"""),-0.618194047673513)</f>
        <v>-0.61819404767351305</v>
      </c>
      <c r="EF83" s="3">
        <f ca="1">IFERROR(__xludf.DUMMYFUNCTION("""COMPUTED_VALUE"""),-0.616646541246851)</f>
        <v>-0.61664654124685103</v>
      </c>
      <c r="EG83" s="3">
        <f ca="1">IFERROR(__xludf.DUMMYFUNCTION("""COMPUTED_VALUE"""),-0.403253999647185)</f>
        <v>-0.403253999647185</v>
      </c>
      <c r="EH83" s="3">
        <f ca="1">IFERROR(__xludf.DUMMYFUNCTION("""COMPUTED_VALUE"""),-0.522937161240996)</f>
        <v>-0.52293716124099598</v>
      </c>
      <c r="EI83" s="3">
        <f ca="1">IFERROR(__xludf.DUMMYFUNCTION("""COMPUTED_VALUE"""),-0.658080987482751)</f>
        <v>-0.65808098748275101</v>
      </c>
      <c r="EJ83" s="3">
        <f ca="1">IFERROR(__xludf.DUMMYFUNCTION("""COMPUTED_VALUE"""),-0.807756157412167)</f>
        <v>-0.807756157412167</v>
      </c>
      <c r="EK83" s="3">
        <f ca="1">IFERROR(__xludf.DUMMYFUNCTION("""COMPUTED_VALUE"""),-0.590847023584621)</f>
        <v>-0.59084702358462104</v>
      </c>
      <c r="EL83" s="3">
        <f ca="1">IFERROR(__xludf.DUMMYFUNCTION("""COMPUTED_VALUE"""),-0.592936481217951)</f>
        <v>-0.59293648121795095</v>
      </c>
      <c r="EM83" s="3">
        <f ca="1">IFERROR(__xludf.DUMMYFUNCTION("""COMPUTED_VALUE"""),-0.546034627069349)</f>
        <v>-0.54603462706934902</v>
      </c>
      <c r="EN83" s="3">
        <f ca="1">IFERROR(__xludf.DUMMYFUNCTION("""COMPUTED_VALUE"""),-0.361870144484263)</f>
        <v>-0.36187014448426302</v>
      </c>
      <c r="EO83" s="3">
        <f ca="1">IFERROR(__xludf.DUMMYFUNCTION("""COMPUTED_VALUE"""),-0.430711065024985)</f>
        <v>-0.43071106502498502</v>
      </c>
      <c r="EP83" s="3">
        <f ca="1">IFERROR(__xludf.DUMMYFUNCTION("""COMPUTED_VALUE"""),-0.490590155033939)</f>
        <v>-0.49059015503393899</v>
      </c>
      <c r="EQ83" s="3">
        <f ca="1">IFERROR(__xludf.DUMMYFUNCTION("""COMPUTED_VALUE"""),-0.487706914849017)</f>
        <v>-0.48770691484901701</v>
      </c>
      <c r="ER83" s="3">
        <f ca="1">IFERROR(__xludf.DUMMYFUNCTION("""COMPUTED_VALUE"""),-0.590056419206441)</f>
        <v>-0.59005641920644103</v>
      </c>
      <c r="ES83" s="3">
        <f ca="1">IFERROR(__xludf.DUMMYFUNCTION("""COMPUTED_VALUE"""),-0.57314116585288)</f>
        <v>-0.57314116585288</v>
      </c>
      <c r="ET83" s="3">
        <f ca="1">IFERROR(__xludf.DUMMYFUNCTION("""COMPUTED_VALUE"""),-0.536684807176401)</f>
        <v>-0.53668480717640099</v>
      </c>
      <c r="EU83" s="3">
        <f ca="1">IFERROR(__xludf.DUMMYFUNCTION("""COMPUTED_VALUE"""),-0.39409888390189)</f>
        <v>-0.39409888390189002</v>
      </c>
      <c r="EV83" s="3">
        <f ca="1">IFERROR(__xludf.DUMMYFUNCTION("""COMPUTED_VALUE"""),-0.439572021540039)</f>
        <v>-0.43957202154003899</v>
      </c>
      <c r="EW83" s="3">
        <f ca="1">IFERROR(__xludf.DUMMYFUNCTION("""COMPUTED_VALUE"""),-0.597695961594505)</f>
        <v>-0.597695961594505</v>
      </c>
      <c r="EX83" s="3">
        <f ca="1">IFERROR(__xludf.DUMMYFUNCTION("""COMPUTED_VALUE"""),-0.614394155529124)</f>
        <v>-0.61439415552912402</v>
      </c>
      <c r="EY83" s="3">
        <f ca="1">IFERROR(__xludf.DUMMYFUNCTION("""COMPUTED_VALUE"""),-0.609320920227125)</f>
        <v>-0.60932092022712503</v>
      </c>
      <c r="EZ83" s="3">
        <f ca="1">IFERROR(__xludf.DUMMYFUNCTION("""COMPUTED_VALUE"""),-0.525538959637134)</f>
        <v>-0.52553895963713404</v>
      </c>
      <c r="FA83" s="3">
        <f ca="1">IFERROR(__xludf.DUMMYFUNCTION("""COMPUTED_VALUE"""),-0.481898033444316)</f>
        <v>-0.48189803344431598</v>
      </c>
      <c r="FB83" s="3">
        <f ca="1">IFERROR(__xludf.DUMMYFUNCTION("""COMPUTED_VALUE"""),-0.365234841699364)</f>
        <v>-0.36523484169936399</v>
      </c>
      <c r="FC83" s="3">
        <f ca="1">IFERROR(__xludf.DUMMYFUNCTION("""COMPUTED_VALUE"""),-0.438304083102336)</f>
        <v>-0.43830408310233598</v>
      </c>
      <c r="FD83" s="3">
        <f ca="1">IFERROR(__xludf.DUMMYFUNCTION("""COMPUTED_VALUE"""),-0.563040949421541)</f>
        <v>-0.56304094942154104</v>
      </c>
      <c r="FE83" s="3">
        <f ca="1">IFERROR(__xludf.DUMMYFUNCTION("""COMPUTED_VALUE"""),-0.5647961899671)</f>
        <v>-0.56479618996710002</v>
      </c>
      <c r="FF83" s="3">
        <f ca="1">IFERROR(__xludf.DUMMYFUNCTION("""COMPUTED_VALUE"""),-0.591575278662691)</f>
        <v>-0.591575278662691</v>
      </c>
      <c r="FG83" s="3">
        <f ca="1">IFERROR(__xludf.DUMMYFUNCTION("""COMPUTED_VALUE"""),-0.589857783608121)</f>
        <v>-0.58985778360812102</v>
      </c>
      <c r="FH83" s="3">
        <f ca="1">IFERROR(__xludf.DUMMYFUNCTION("""COMPUTED_VALUE"""),-0.538402030540913)</f>
        <v>-0.53840203054091296</v>
      </c>
      <c r="FI83" s="3">
        <f ca="1">IFERROR(__xludf.DUMMYFUNCTION("""COMPUTED_VALUE"""),-0.404759602239978)</f>
        <v>-0.40475960223997798</v>
      </c>
      <c r="FJ83" s="3">
        <f ca="1">IFERROR(__xludf.DUMMYFUNCTION("""COMPUTED_VALUE"""),-0.468499547442103)</f>
        <v>-0.46849954744210298</v>
      </c>
      <c r="FK83" s="3">
        <f ca="1">IFERROR(__xludf.DUMMYFUNCTION("""COMPUTED_VALUE"""),-0.650666361674824)</f>
        <v>-0.65066636167482395</v>
      </c>
      <c r="FL83" s="3">
        <f ca="1">IFERROR(__xludf.DUMMYFUNCTION("""COMPUTED_VALUE"""),-0.633118849714612)</f>
        <v>-0.63311884971461196</v>
      </c>
      <c r="FM83" s="3">
        <f ca="1">IFERROR(__xludf.DUMMYFUNCTION("""COMPUTED_VALUE"""),-0.60136814688928)</f>
        <v>-0.60136814688927998</v>
      </c>
      <c r="FN83" s="3">
        <f ca="1">IFERROR(__xludf.DUMMYFUNCTION("""COMPUTED_VALUE"""),-0.56749990509884)</f>
        <v>-0.56749990509883996</v>
      </c>
      <c r="FO83" s="3">
        <f ca="1">IFERROR(__xludf.DUMMYFUNCTION("""COMPUTED_VALUE"""),-0.575543388880203)</f>
        <v>-0.57554338888020296</v>
      </c>
      <c r="FP83" s="3">
        <f ca="1">IFERROR(__xludf.DUMMYFUNCTION("""COMPUTED_VALUE"""),-0.411150965408047)</f>
        <v>-0.41115096540804702</v>
      </c>
      <c r="FQ83" s="3">
        <f ca="1">IFERROR(__xludf.DUMMYFUNCTION("""COMPUTED_VALUE"""),-0.496661790896217)</f>
        <v>-0.49666179089621698</v>
      </c>
      <c r="FR83" s="3">
        <f ca="1">IFERROR(__xludf.DUMMYFUNCTION("""COMPUTED_VALUE"""),-0.59497251681015)</f>
        <v>-0.59497251681014995</v>
      </c>
      <c r="FS83" s="3">
        <f ca="1">IFERROR(__xludf.DUMMYFUNCTION("""COMPUTED_VALUE"""),-0.576830602439153)</f>
        <v>-0.57683060243915296</v>
      </c>
      <c r="FT83" s="3">
        <f ca="1">IFERROR(__xludf.DUMMYFUNCTION("""COMPUTED_VALUE"""),-0.583449377178934)</f>
        <v>-0.58344937717893397</v>
      </c>
      <c r="FU83" s="3">
        <f ca="1">IFERROR(__xludf.DUMMYFUNCTION("""COMPUTED_VALUE"""),-0.565270104157162)</f>
        <v>-0.56527010415716195</v>
      </c>
      <c r="FV83" s="3">
        <f ca="1">IFERROR(__xludf.DUMMYFUNCTION("""COMPUTED_VALUE"""),-0.507273960584311)</f>
        <v>-0.50727396058431096</v>
      </c>
      <c r="FW83" s="3">
        <f ca="1">IFERROR(__xludf.DUMMYFUNCTION("""COMPUTED_VALUE"""),-0.389221023173761)</f>
        <v>-0.389221023173761</v>
      </c>
      <c r="FX83" s="3">
        <f ca="1">IFERROR(__xludf.DUMMYFUNCTION("""COMPUTED_VALUE"""),-0.484548057993368)</f>
        <v>-0.48454805799336798</v>
      </c>
      <c r="FY83" s="3">
        <f ca="1">IFERROR(__xludf.DUMMYFUNCTION("""COMPUTED_VALUE"""),-0.644887066169377)</f>
        <v>-0.64488706616937697</v>
      </c>
      <c r="FZ83" s="3">
        <f ca="1">IFERROR(__xludf.DUMMYFUNCTION("""COMPUTED_VALUE"""),-0.566744860399278)</f>
        <v>-0.56674486039927796</v>
      </c>
      <c r="GA83" s="3">
        <f ca="1">IFERROR(__xludf.DUMMYFUNCTION("""COMPUTED_VALUE"""),-0.534556934457612)</f>
        <v>-0.53455693445761199</v>
      </c>
      <c r="GB83" s="3">
        <f ca="1">IFERROR(__xludf.DUMMYFUNCTION("""COMPUTED_VALUE"""),-0.603121406007122)</f>
        <v>-0.60312140600712205</v>
      </c>
      <c r="GC83" s="3">
        <f ca="1">IFERROR(__xludf.DUMMYFUNCTION("""COMPUTED_VALUE"""),-0.591319371340209)</f>
        <v>-0.59131937134020895</v>
      </c>
      <c r="GD83" s="3">
        <f ca="1">IFERROR(__xludf.DUMMYFUNCTION("""COMPUTED_VALUE"""),-0.410612244472437)</f>
        <v>-0.41061224447243699</v>
      </c>
      <c r="GE83" s="3">
        <f ca="1">IFERROR(__xludf.DUMMYFUNCTION("""COMPUTED_VALUE"""),-0.464661992526349)</f>
        <v>-0.46466199252634899</v>
      </c>
      <c r="GF83" s="3">
        <f ca="1">IFERROR(__xludf.DUMMYFUNCTION("""COMPUTED_VALUE"""),-0.558981929838473)</f>
        <v>-0.55898192983847295</v>
      </c>
      <c r="GG83" s="3">
        <f ca="1">IFERROR(__xludf.DUMMYFUNCTION("""COMPUTED_VALUE"""),-0.552361356677298)</f>
        <v>-0.55236135667729802</v>
      </c>
      <c r="GH83" s="3">
        <f ca="1">IFERROR(__xludf.DUMMYFUNCTION("""COMPUTED_VALUE"""),-0.545592180589919)</f>
        <v>-0.54559218058991898</v>
      </c>
      <c r="GI83" s="3">
        <f ca="1">IFERROR(__xludf.DUMMYFUNCTION("""COMPUTED_VALUE"""),-0.529722485444115)</f>
        <v>-0.52972248544411504</v>
      </c>
      <c r="GJ83" s="3">
        <f ca="1">IFERROR(__xludf.DUMMYFUNCTION("""COMPUTED_VALUE"""),-0.471431155875205)</f>
        <v>-0.47143115587520501</v>
      </c>
      <c r="GK83" s="3">
        <f ca="1">IFERROR(__xludf.DUMMYFUNCTION("""COMPUTED_VALUE"""),-0.446892298369016)</f>
        <v>-0.44689229836901601</v>
      </c>
      <c r="GL83" s="3">
        <f ca="1">IFERROR(__xludf.DUMMYFUNCTION("""COMPUTED_VALUE"""),-0.484261451775878)</f>
        <v>-0.48426145177587798</v>
      </c>
      <c r="GM83" s="3">
        <f ca="1">IFERROR(__xludf.DUMMYFUNCTION("""COMPUTED_VALUE"""),-0.576055042313505)</f>
        <v>-0.57605504231350502</v>
      </c>
      <c r="GN83" s="3">
        <f ca="1">IFERROR(__xludf.DUMMYFUNCTION("""COMPUTED_VALUE"""),-0.548573394729146)</f>
        <v>-0.54857339472914601</v>
      </c>
      <c r="GO83" s="3">
        <f ca="1">IFERROR(__xludf.DUMMYFUNCTION("""COMPUTED_VALUE"""),-0.512823403438831)</f>
        <v>-0.51282340343883104</v>
      </c>
      <c r="GP83" s="3">
        <f ca="1">IFERROR(__xludf.DUMMYFUNCTION("""COMPUTED_VALUE"""),-0.583671857431812)</f>
        <v>-0.58367185743181205</v>
      </c>
      <c r="GQ83" s="3">
        <f ca="1">IFERROR(__xludf.DUMMYFUNCTION("""COMPUTED_VALUE"""),-0.554917045582103)</f>
        <v>-0.55491704558210297</v>
      </c>
      <c r="GR83" s="3">
        <f ca="1">IFERROR(__xludf.DUMMYFUNCTION("""COMPUTED_VALUE"""),-0.427192207482629)</f>
        <v>-0.42719220748262898</v>
      </c>
      <c r="GS83" s="3">
        <f ca="1">IFERROR(__xludf.DUMMYFUNCTION("""COMPUTED_VALUE"""),-0.491789828718253)</f>
        <v>-0.491789828718253</v>
      </c>
      <c r="GT83" s="3">
        <f ca="1">IFERROR(__xludf.DUMMYFUNCTION("""COMPUTED_VALUE"""),-0.581539427118781)</f>
        <v>-0.58153942711878104</v>
      </c>
      <c r="GU83" s="3">
        <f ca="1">IFERROR(__xludf.DUMMYFUNCTION("""COMPUTED_VALUE"""),-0.591984884207058)</f>
        <v>-0.59198488420705797</v>
      </c>
      <c r="GV83" s="3">
        <f ca="1">IFERROR(__xludf.DUMMYFUNCTION("""COMPUTED_VALUE"""),-0.594632536272709)</f>
        <v>-0.59463253627270896</v>
      </c>
      <c r="GW83" s="3">
        <f ca="1">IFERROR(__xludf.DUMMYFUNCTION("""COMPUTED_VALUE"""),-0.575851991039531)</f>
        <v>-0.575851991039531</v>
      </c>
      <c r="GX83" s="3">
        <f ca="1">IFERROR(__xludf.DUMMYFUNCTION("""COMPUTED_VALUE"""),-0.531500405213192)</f>
        <v>-0.53150040521319197</v>
      </c>
      <c r="GY83" s="3">
        <f ca="1">IFERROR(__xludf.DUMMYFUNCTION("""COMPUTED_VALUE"""),-0.435124535801138)</f>
        <v>-0.43512453580113802</v>
      </c>
      <c r="GZ83" s="3">
        <f ca="1">IFERROR(__xludf.DUMMYFUNCTION("""COMPUTED_VALUE"""),-0.476020741282148)</f>
        <v>-0.476020741282148</v>
      </c>
      <c r="HA83" s="3">
        <f ca="1">IFERROR(__xludf.DUMMYFUNCTION("""COMPUTED_VALUE"""),-0.586125245279897)</f>
        <v>-0.58612524527989696</v>
      </c>
      <c r="HB83" s="3">
        <f ca="1">IFERROR(__xludf.DUMMYFUNCTION("""COMPUTED_VALUE"""),-0.612138297377161)</f>
        <v>-0.61213829737716097</v>
      </c>
      <c r="HC83" s="3">
        <f ca="1">IFERROR(__xludf.DUMMYFUNCTION("""COMPUTED_VALUE"""),-0.61416179244367)</f>
        <v>-0.61416179244366997</v>
      </c>
      <c r="HD83" s="3">
        <f ca="1">IFERROR(__xludf.DUMMYFUNCTION("""COMPUTED_VALUE"""),-0.602837405450791)</f>
        <v>-0.60283740545079101</v>
      </c>
      <c r="HE83" s="3">
        <f ca="1">IFERROR(__xludf.DUMMYFUNCTION("""COMPUTED_VALUE"""),-0.584595778015839)</f>
        <v>-0.58459577801583895</v>
      </c>
      <c r="HF83" s="3">
        <f ca="1">IFERROR(__xludf.DUMMYFUNCTION("""COMPUTED_VALUE"""),-0.418455293223298)</f>
        <v>-0.418455293223298</v>
      </c>
      <c r="HG83" s="3">
        <f ca="1">IFERROR(__xludf.DUMMYFUNCTION("""COMPUTED_VALUE"""),-0.449159902209672)</f>
        <v>-0.449159902209672</v>
      </c>
      <c r="HH83" s="3">
        <f ca="1">IFERROR(__xludf.DUMMYFUNCTION("""COMPUTED_VALUE"""),-0.563178669563279)</f>
        <v>-0.563178669563279</v>
      </c>
      <c r="HI83" s="3">
        <f ca="1">IFERROR(__xludf.DUMMYFUNCTION("""COMPUTED_VALUE"""),-0.596287766394801)</f>
        <v>-0.59628776639480097</v>
      </c>
      <c r="HJ83" s="3">
        <f ca="1">IFERROR(__xludf.DUMMYFUNCTION("""COMPUTED_VALUE"""),-0.552130942036184)</f>
        <v>-0.55213094203618396</v>
      </c>
      <c r="HK83" s="3">
        <f ca="1">IFERROR(__xludf.DUMMYFUNCTION("""COMPUTED_VALUE"""),-0.48271049587466)</f>
        <v>-0.48271049587465997</v>
      </c>
      <c r="HL83" s="3">
        <f ca="1">IFERROR(__xludf.DUMMYFUNCTION("""COMPUTED_VALUE"""),-0.205629615202738)</f>
        <v>-0.20562961520273801</v>
      </c>
      <c r="HM83" s="3">
        <f ca="1">IFERROR(__xludf.DUMMYFUNCTION("""COMPUTED_VALUE"""),-0.321171385682869)</f>
        <v>-0.32117138568286902</v>
      </c>
      <c r="HN83" s="3">
        <f ca="1">IFERROR(__xludf.DUMMYFUNCTION("""COMPUTED_VALUE"""),-0.407924789131786)</f>
        <v>-0.40792478913178598</v>
      </c>
      <c r="HO83" s="3">
        <f ca="1">IFERROR(__xludf.DUMMYFUNCTION("""COMPUTED_VALUE"""),-0.489761812218449)</f>
        <v>-0.489761812218449</v>
      </c>
      <c r="HP83" s="3">
        <f ca="1">IFERROR(__xludf.DUMMYFUNCTION("""COMPUTED_VALUE"""),-0.548678758251493)</f>
        <v>-0.54867875825149304</v>
      </c>
      <c r="HQ83" s="3">
        <f ca="1">IFERROR(__xludf.DUMMYFUNCTION("""COMPUTED_VALUE"""),-0.562921277359137)</f>
        <v>-0.562921277359137</v>
      </c>
      <c r="HR83" s="3">
        <f ca="1">IFERROR(__xludf.DUMMYFUNCTION("""COMPUTED_VALUE"""),-0.543017523382602)</f>
        <v>-0.54301752338260201</v>
      </c>
      <c r="HS83" s="3">
        <f ca="1">IFERROR(__xludf.DUMMYFUNCTION("""COMPUTED_VALUE"""),-0.434659927699025)</f>
        <v>-0.43465992769902501</v>
      </c>
      <c r="HT83" s="3">
        <f ca="1">IFERROR(__xludf.DUMMYFUNCTION("""COMPUTED_VALUE"""),-0.239526013154455)</f>
        <v>-0.23952601315445499</v>
      </c>
      <c r="HU83" s="3">
        <f ca="1">IFERROR(__xludf.DUMMYFUNCTION("""COMPUTED_VALUE"""),-0.402736162044059)</f>
        <v>-0.40273616204405899</v>
      </c>
      <c r="HV83" s="3">
        <f ca="1">IFERROR(__xludf.DUMMYFUNCTION("""COMPUTED_VALUE"""),-0.402207085927649)</f>
        <v>-0.40220708592764898</v>
      </c>
      <c r="HW83" s="3">
        <f ca="1">IFERROR(__xludf.DUMMYFUNCTION("""COMPUTED_VALUE"""),-0.459923683201783)</f>
        <v>-0.45992368320178301</v>
      </c>
      <c r="HX83" s="3">
        <f ca="1">IFERROR(__xludf.DUMMYFUNCTION("""COMPUTED_VALUE"""),-0.419170028916671)</f>
        <v>-0.41917002891667099</v>
      </c>
      <c r="HY83" s="3">
        <f ca="1">IFERROR(__xludf.DUMMYFUNCTION("""COMPUTED_VALUE"""),-0.404602577224475)</f>
        <v>-0.40460257722447501</v>
      </c>
      <c r="HZ83" s="3">
        <f ca="1">IFERROR(__xludf.DUMMYFUNCTION("""COMPUTED_VALUE"""),-0.303899273607224)</f>
        <v>-0.30389927360722402</v>
      </c>
      <c r="IA83" s="3">
        <f ca="1">IFERROR(__xludf.DUMMYFUNCTION("""COMPUTED_VALUE"""),-0.303162455051632)</f>
        <v>-0.30316245505163197</v>
      </c>
      <c r="IB83" s="3">
        <f ca="1">IFERROR(__xludf.DUMMYFUNCTION("""COMPUTED_VALUE"""),-0.325835810220814)</f>
        <v>-0.32583581022081398</v>
      </c>
      <c r="IC83" s="3">
        <f ca="1">IFERROR(__xludf.DUMMYFUNCTION("""COMPUTED_VALUE"""),-0.342319396939441)</f>
        <v>-0.34231939693944102</v>
      </c>
      <c r="ID83" s="3">
        <f ca="1">IFERROR(__xludf.DUMMYFUNCTION("""COMPUTED_VALUE"""),-0.394720317405072)</f>
        <v>-0.39472031740507202</v>
      </c>
      <c r="IE83" s="3">
        <f ca="1">IFERROR(__xludf.DUMMYFUNCTION("""COMPUTED_VALUE"""),-0.412367388925803)</f>
        <v>-0.41236738892580299</v>
      </c>
      <c r="IF83" s="3">
        <f ca="1">IFERROR(__xludf.DUMMYFUNCTION("""COMPUTED_VALUE"""),-0.356176857535436)</f>
        <v>-0.35617685753543599</v>
      </c>
      <c r="IG83" s="3">
        <f ca="1">IFERROR(__xludf.DUMMYFUNCTION("""COMPUTED_VALUE"""),-0.351904212921096)</f>
        <v>-0.35190421292109603</v>
      </c>
      <c r="IH83" s="3">
        <f ca="1">IFERROR(__xludf.DUMMYFUNCTION("""COMPUTED_VALUE"""),-0.416490235017546)</f>
        <v>-0.41649023501754601</v>
      </c>
      <c r="II83" s="3">
        <f ca="1">IFERROR(__xludf.DUMMYFUNCTION("""COMPUTED_VALUE"""),-0.302088679358523)</f>
        <v>-0.30208867935852302</v>
      </c>
      <c r="IJ83" s="3">
        <f ca="1">IFERROR(__xludf.DUMMYFUNCTION("""COMPUTED_VALUE"""),-0.340664405668522)</f>
        <v>-0.34066440566852202</v>
      </c>
      <c r="IK83" s="3">
        <f ca="1">IFERROR(__xludf.DUMMYFUNCTION("""COMPUTED_VALUE"""),-0.456756292007536)</f>
        <v>-0.45675629200753598</v>
      </c>
      <c r="IL83" s="3">
        <f ca="1">IFERROR(__xludf.DUMMYFUNCTION("""COMPUTED_VALUE"""),-0.394306609408903)</f>
        <v>-0.394306609408903</v>
      </c>
      <c r="IM83" s="3">
        <f ca="1">IFERROR(__xludf.DUMMYFUNCTION("""COMPUTED_VALUE"""),-0.36479931004077)</f>
        <v>-0.36479931004076999</v>
      </c>
      <c r="IN83" s="3">
        <f ca="1">IFERROR(__xludf.DUMMYFUNCTION("""COMPUTED_VALUE"""),-0.334037183815917)</f>
        <v>-0.33403718381591702</v>
      </c>
      <c r="IO83" s="3">
        <f ca="1">IFERROR(__xludf.DUMMYFUNCTION("""COMPUTED_VALUE"""),-0.298811372270852)</f>
        <v>-0.29881137227085203</v>
      </c>
      <c r="IP83" s="3">
        <f ca="1">IFERROR(__xludf.DUMMYFUNCTION("""COMPUTED_VALUE"""),-0.359036589268427)</f>
        <v>-0.35903658926842702</v>
      </c>
      <c r="IQ83" s="3">
        <f ca="1">IFERROR(__xludf.DUMMYFUNCTION("""COMPUTED_VALUE"""),-0.388566996867867)</f>
        <v>-0.388566996867867</v>
      </c>
      <c r="IR83" s="3">
        <f ca="1">IFERROR(__xludf.DUMMYFUNCTION("""COMPUTED_VALUE"""),-0.399003854999389)</f>
        <v>-0.39900385499938901</v>
      </c>
      <c r="IS83" s="3">
        <f ca="1">IFERROR(__xludf.DUMMYFUNCTION("""COMPUTED_VALUE"""),-0.306657673455887)</f>
        <v>-0.30665767345588701</v>
      </c>
      <c r="IT83" s="3">
        <f ca="1">IFERROR(__xludf.DUMMYFUNCTION("""COMPUTED_VALUE"""),-0.477129625527164)</f>
        <v>-0.47712962552716398</v>
      </c>
      <c r="IU83" s="3">
        <f ca="1">IFERROR(__xludf.DUMMYFUNCTION("""COMPUTED_VALUE"""),-0.377876861510751)</f>
        <v>-0.37787686151075101</v>
      </c>
      <c r="IV83" s="3">
        <f ca="1">IFERROR(__xludf.DUMMYFUNCTION("""COMPUTED_VALUE"""),-0.358548592834928)</f>
        <v>-0.35854859283492801</v>
      </c>
      <c r="IW83" s="3">
        <f ca="1">IFERROR(__xludf.DUMMYFUNCTION("""COMPUTED_VALUE"""),-0.344662512246722)</f>
        <v>-0.34466251224672201</v>
      </c>
      <c r="IX83" s="3">
        <f ca="1">IFERROR(__xludf.DUMMYFUNCTION("""COMPUTED_VALUE"""),-0.443075683469336)</f>
        <v>-0.44307568346933601</v>
      </c>
      <c r="IY83" s="3">
        <f ca="1">IFERROR(__xludf.DUMMYFUNCTION("""COMPUTED_VALUE"""),-0.470523864645036)</f>
        <v>-0.47052386464503598</v>
      </c>
      <c r="IZ83" s="3">
        <f ca="1">IFERROR(__xludf.DUMMYFUNCTION("""COMPUTED_VALUE"""),-0.435766691463703)</f>
        <v>-0.435766691463703</v>
      </c>
      <c r="JA83" s="3">
        <f ca="1">IFERROR(__xludf.DUMMYFUNCTION("""COMPUTED_VALUE"""),-0.464085573321003)</f>
        <v>-0.46408557332100298</v>
      </c>
      <c r="JB83" s="3">
        <f ca="1">IFERROR(__xludf.DUMMYFUNCTION("""COMPUTED_VALUE"""),-0.432232123404877)</f>
        <v>-0.43223212340487699</v>
      </c>
      <c r="JC83" s="3">
        <f ca="1">IFERROR(__xludf.DUMMYFUNCTION("""COMPUTED_VALUE"""),-0.333886902598937)</f>
        <v>-0.333886902598937</v>
      </c>
      <c r="JD83" s="3">
        <f ca="1">IFERROR(__xludf.DUMMYFUNCTION("""COMPUTED_VALUE"""),-0.361081325954183)</f>
        <v>-0.36108132595418302</v>
      </c>
      <c r="JE83" s="3">
        <f ca="1">IFERROR(__xludf.DUMMYFUNCTION("""COMPUTED_VALUE"""),-0.501933448499047)</f>
        <v>-0.50193344849904697</v>
      </c>
      <c r="JF83" s="3">
        <f ca="1">IFERROR(__xludf.DUMMYFUNCTION("""COMPUTED_VALUE"""),-0.494527514952934)</f>
        <v>-0.49452751495293401</v>
      </c>
      <c r="JG83" s="3">
        <f ca="1">IFERROR(__xludf.DUMMYFUNCTION("""COMPUTED_VALUE"""),-0.502605545991069)</f>
        <v>-0.50260554599106899</v>
      </c>
      <c r="JH83" s="3">
        <f ca="1">IFERROR(__xludf.DUMMYFUNCTION("""COMPUTED_VALUE"""),-0.484939205901312)</f>
        <v>-0.48493920590131201</v>
      </c>
      <c r="JI83" s="3">
        <f ca="1">IFERROR(__xludf.DUMMYFUNCTION("""COMPUTED_VALUE"""),-0.454200794582261)</f>
        <v>-0.45420079458226098</v>
      </c>
      <c r="JJ83" s="3">
        <f ca="1">IFERROR(__xludf.DUMMYFUNCTION("""COMPUTED_VALUE"""),-0.361534649084282)</f>
        <v>-0.36153464908428201</v>
      </c>
      <c r="JK83" s="3">
        <f ca="1">IFERROR(__xludf.DUMMYFUNCTION("""COMPUTED_VALUE"""),-0.406513518203995)</f>
        <v>-0.40651351820399501</v>
      </c>
      <c r="JL83" s="3">
        <f ca="1">IFERROR(__xludf.DUMMYFUNCTION("""COMPUTED_VALUE"""),-0.520206336520547)</f>
        <v>-0.52020633652054704</v>
      </c>
      <c r="JM83" s="3">
        <f ca="1">IFERROR(__xludf.DUMMYFUNCTION("""COMPUTED_VALUE"""),-0.498752127144217)</f>
        <v>-0.49875212714421702</v>
      </c>
      <c r="JN83" s="3">
        <f ca="1">IFERROR(__xludf.DUMMYFUNCTION("""COMPUTED_VALUE"""),-0.513149197804293)</f>
        <v>-0.51314919780429302</v>
      </c>
      <c r="JO83" s="3">
        <f ca="1">IFERROR(__xludf.DUMMYFUNCTION("""COMPUTED_VALUE"""),-0.505585001405693)</f>
        <v>-0.50558500140569296</v>
      </c>
      <c r="JP83" s="3">
        <f ca="1">IFERROR(__xludf.DUMMYFUNCTION("""COMPUTED_VALUE"""),-0.454334530732525)</f>
        <v>-0.454334530732525</v>
      </c>
      <c r="JQ83" s="3">
        <f ca="1">IFERROR(__xludf.DUMMYFUNCTION("""COMPUTED_VALUE"""),-0.337602578491857)</f>
        <v>-0.33760257849185699</v>
      </c>
      <c r="JR83" s="3">
        <f ca="1">IFERROR(__xludf.DUMMYFUNCTION("""COMPUTED_VALUE"""),-0.471918966228207)</f>
        <v>-0.471918966228207</v>
      </c>
      <c r="JS83" s="3">
        <f ca="1">IFERROR(__xludf.DUMMYFUNCTION("""COMPUTED_VALUE"""),-0.573249728986516)</f>
        <v>-0.57324972898651605</v>
      </c>
      <c r="JT83" s="3">
        <f ca="1">IFERROR(__xludf.DUMMYFUNCTION("""COMPUTED_VALUE"""),-0.423701918832791)</f>
        <v>-0.42370191883279101</v>
      </c>
      <c r="JU83" s="3">
        <f ca="1">IFERROR(__xludf.DUMMYFUNCTION("""COMPUTED_VALUE"""),-0.536202342281353)</f>
        <v>-0.53620234228135299</v>
      </c>
      <c r="JV83" s="3">
        <f ca="1">IFERROR(__xludf.DUMMYFUNCTION("""COMPUTED_VALUE"""),-0.534359964908247)</f>
        <v>-0.534359964908247</v>
      </c>
      <c r="JW83" s="3">
        <f ca="1">IFERROR(__xludf.DUMMYFUNCTION("""COMPUTED_VALUE"""),-0.493141504548172)</f>
        <v>-0.49314150454817202</v>
      </c>
      <c r="JX83" s="3">
        <f ca="1">IFERROR(__xludf.DUMMYFUNCTION("""COMPUTED_VALUE"""),-0.385251071648473)</f>
        <v>-0.385251071648473</v>
      </c>
      <c r="JY83" s="3">
        <f ca="1">IFERROR(__xludf.DUMMYFUNCTION("""COMPUTED_VALUE"""),-0.496599349427613)</f>
        <v>-0.49659934942761302</v>
      </c>
      <c r="JZ83" s="3">
        <f ca="1">IFERROR(__xludf.DUMMYFUNCTION("""COMPUTED_VALUE"""),-0.468382406209294)</f>
        <v>-0.468382406209294</v>
      </c>
      <c r="KA83" s="3">
        <f ca="1">IFERROR(__xludf.DUMMYFUNCTION("""COMPUTED_VALUE"""),-0.451290186741365)</f>
        <v>-0.45129018674136501</v>
      </c>
      <c r="KB83" s="3">
        <f ca="1">IFERROR(__xludf.DUMMYFUNCTION("""COMPUTED_VALUE"""),-0.557937123981535)</f>
        <v>-0.55793712398153505</v>
      </c>
      <c r="KC83" s="3">
        <f ca="1">IFERROR(__xludf.DUMMYFUNCTION("""COMPUTED_VALUE"""),-0.552259150305862)</f>
        <v>-0.55225915030586203</v>
      </c>
      <c r="KD83" s="3">
        <f ca="1">IFERROR(__xludf.DUMMYFUNCTION("""COMPUTED_VALUE"""),-0.518753901825593)</f>
        <v>-0.518753901825593</v>
      </c>
      <c r="KE83" s="3">
        <f ca="1">IFERROR(__xludf.DUMMYFUNCTION("""COMPUTED_VALUE"""),-0.458925563455665)</f>
        <v>-0.45892556345566499</v>
      </c>
      <c r="KF83" s="3">
        <f ca="1">IFERROR(__xludf.DUMMYFUNCTION("""COMPUTED_VALUE"""),-0.549270527169197)</f>
        <v>-0.549270527169197</v>
      </c>
      <c r="KG83" s="3">
        <f ca="1">IFERROR(__xludf.DUMMYFUNCTION("""COMPUTED_VALUE"""),-0.570001477623477)</f>
        <v>-0.57000147762347697</v>
      </c>
      <c r="KH83" s="3">
        <f ca="1">IFERROR(__xludf.DUMMYFUNCTION("""COMPUTED_VALUE"""),-0.603012329861524)</f>
        <v>-0.60301232986152398</v>
      </c>
      <c r="KI83" s="3">
        <f ca="1">IFERROR(__xludf.DUMMYFUNCTION("""COMPUTED_VALUE"""),-0.640195236316982)</f>
        <v>-0.64019523631698205</v>
      </c>
      <c r="KJ83" s="3">
        <f ca="1">IFERROR(__xludf.DUMMYFUNCTION("""COMPUTED_VALUE"""),-0.588306751672585)</f>
        <v>-0.58830675167258495</v>
      </c>
      <c r="KK83" s="3">
        <f ca="1">IFERROR(__xludf.DUMMYFUNCTION("""COMPUTED_VALUE"""),-0.518724646094414)</f>
        <v>-0.51872464609441404</v>
      </c>
      <c r="KL83" s="3">
        <f ca="1">IFERROR(__xludf.DUMMYFUNCTION("""COMPUTED_VALUE"""),-0.496891181152881)</f>
        <v>-0.496891181152881</v>
      </c>
      <c r="KM83" s="3">
        <f ca="1">IFERROR(__xludf.DUMMYFUNCTION("""COMPUTED_VALUE"""),-0.593891015163322)</f>
        <v>-0.59389101516332199</v>
      </c>
      <c r="KN83" s="3">
        <f ca="1">IFERROR(__xludf.DUMMYFUNCTION("""COMPUTED_VALUE"""),-0.666720973370205)</f>
        <v>-0.66672097337020497</v>
      </c>
      <c r="KO83" s="3">
        <f ca="1">IFERROR(__xludf.DUMMYFUNCTION("""COMPUTED_VALUE"""),-0.676687310649112)</f>
        <v>-0.67668731064911203</v>
      </c>
      <c r="KP83" s="3">
        <f ca="1">IFERROR(__xludf.DUMMYFUNCTION("""COMPUTED_VALUE"""),-0.671862300144972)</f>
        <v>-0.67186230014497195</v>
      </c>
      <c r="KQ83" s="3">
        <f ca="1">IFERROR(__xludf.DUMMYFUNCTION("""COMPUTED_VALUE"""),-0.627190764401696)</f>
        <v>-0.62719076440169597</v>
      </c>
      <c r="KR83" s="3">
        <f ca="1">IFERROR(__xludf.DUMMYFUNCTION("""COMPUTED_VALUE"""),-0.560427772766637)</f>
        <v>-0.56042777276663702</v>
      </c>
      <c r="KS83" s="3">
        <f ca="1">IFERROR(__xludf.DUMMYFUNCTION("""COMPUTED_VALUE"""),-0.528867005328449)</f>
        <v>-0.52886700532844899</v>
      </c>
      <c r="KT83" s="3">
        <f ca="1">IFERROR(__xludf.DUMMYFUNCTION("""COMPUTED_VALUE"""),-0.613256145854588)</f>
        <v>-0.61325614585458799</v>
      </c>
      <c r="KU83" s="3">
        <f ca="1">IFERROR(__xludf.DUMMYFUNCTION("""COMPUTED_VALUE"""),-0.658409017459361)</f>
        <v>-0.65840901745936098</v>
      </c>
      <c r="KV83" s="3">
        <f ca="1">IFERROR(__xludf.DUMMYFUNCTION("""COMPUTED_VALUE"""),-0.705771831969644)</f>
        <v>-0.70577183196964399</v>
      </c>
      <c r="KW83" s="3">
        <f ca="1">IFERROR(__xludf.DUMMYFUNCTION("""COMPUTED_VALUE"""),-0.676642154369639)</f>
        <v>-0.67664215436963904</v>
      </c>
      <c r="KX83" s="3">
        <f ca="1">IFERROR(__xludf.DUMMYFUNCTION("""COMPUTED_VALUE"""),-0.650131754103296)</f>
        <v>-0.65013175410329604</v>
      </c>
      <c r="KY83" s="3">
        <f ca="1">IFERROR(__xludf.DUMMYFUNCTION("""COMPUTED_VALUE"""),-0.590864250747874)</f>
        <v>-0.59086425074787396</v>
      </c>
      <c r="KZ83" s="3">
        <f ca="1">IFERROR(__xludf.DUMMYFUNCTION("""COMPUTED_VALUE"""),-0.555874355940638)</f>
        <v>-0.55587435594063805</v>
      </c>
      <c r="LA83" s="3">
        <f ca="1">IFERROR(__xludf.DUMMYFUNCTION("""COMPUTED_VALUE"""),-0.657072572914971)</f>
        <v>-0.65707257291497101</v>
      </c>
      <c r="LB83" s="3">
        <f ca="1">IFERROR(__xludf.DUMMYFUNCTION("""COMPUTED_VALUE"""),-0.732723417027992)</f>
        <v>-0.73272341702799204</v>
      </c>
      <c r="LC83" s="3">
        <f ca="1">IFERROR(__xludf.DUMMYFUNCTION("""COMPUTED_VALUE"""),-0.687699328237677)</f>
        <v>-0.68769932823767699</v>
      </c>
      <c r="LD83" s="3">
        <f ca="1">IFERROR(__xludf.DUMMYFUNCTION("""COMPUTED_VALUE"""),-0.718316042860071)</f>
        <v>-0.718316042860071</v>
      </c>
      <c r="LE83" s="3">
        <f ca="1">IFERROR(__xludf.DUMMYFUNCTION("""COMPUTED_VALUE"""),-0.698003714715699)</f>
        <v>-0.698003714715699</v>
      </c>
      <c r="LF83" s="3">
        <f ca="1">IFERROR(__xludf.DUMMYFUNCTION("""COMPUTED_VALUE"""),-0.634538599393681)</f>
        <v>-0.63453859939368096</v>
      </c>
      <c r="LG83" s="3">
        <f ca="1">IFERROR(__xludf.DUMMYFUNCTION("""COMPUTED_VALUE"""),-0.625252085812646)</f>
        <v>-0.62525208581264602</v>
      </c>
      <c r="LH83" s="3">
        <f ca="1">IFERROR(__xludf.DUMMYFUNCTION("""COMPUTED_VALUE"""),-0.65360587848432)</f>
        <v>-0.65360587848431995</v>
      </c>
      <c r="LI83" s="3">
        <f ca="1">IFERROR(__xludf.DUMMYFUNCTION("""COMPUTED_VALUE"""),-0.733083597571077)</f>
        <v>-0.73308359757107699</v>
      </c>
      <c r="LJ83" s="3">
        <f ca="1">IFERROR(__xludf.DUMMYFUNCTION("""COMPUTED_VALUE"""),-0.731697649998193)</f>
        <v>-0.73169764999819298</v>
      </c>
      <c r="LK83" s="3">
        <f ca="1">IFERROR(__xludf.DUMMYFUNCTION("""COMPUTED_VALUE"""),-0.711736776358174)</f>
        <v>-0.71173677635817401</v>
      </c>
      <c r="LL83" s="3">
        <f ca="1">IFERROR(__xludf.DUMMYFUNCTION("""COMPUTED_VALUE"""),-0.699577262878356)</f>
        <v>-0.69957726287835598</v>
      </c>
      <c r="LM83" s="3">
        <f ca="1">IFERROR(__xludf.DUMMYFUNCTION("""COMPUTED_VALUE"""),-0.696003010520324)</f>
        <v>-0.69600301052032398</v>
      </c>
      <c r="LN83" s="3">
        <f ca="1">IFERROR(__xludf.DUMMYFUNCTION("""COMPUTED_VALUE"""),-0.661518906015096)</f>
        <v>-0.661518906015096</v>
      </c>
      <c r="LO83" s="3">
        <f ca="1">IFERROR(__xludf.DUMMYFUNCTION("""COMPUTED_VALUE"""),-0.74796083058303)</f>
        <v>-0.74796083058302998</v>
      </c>
      <c r="LP83" s="3">
        <f ca="1">IFERROR(__xludf.DUMMYFUNCTION("""COMPUTED_VALUE"""),-0.756942082609079)</f>
        <v>-0.75694208260907903</v>
      </c>
      <c r="LQ83" s="3">
        <f ca="1">IFERROR(__xludf.DUMMYFUNCTION("""COMPUTED_VALUE"""),-0.746156474178318)</f>
        <v>-0.74615647417831799</v>
      </c>
      <c r="LR83" s="3">
        <f ca="1">IFERROR(__xludf.DUMMYFUNCTION("""COMPUTED_VALUE"""),-0.756880083626104)</f>
        <v>-0.75688008362610404</v>
      </c>
      <c r="LS83" s="3">
        <f ca="1">IFERROR(__xludf.DUMMYFUNCTION("""COMPUTED_VALUE"""),-0.749019314947184)</f>
        <v>-0.74901931494718399</v>
      </c>
      <c r="LT83" s="3">
        <f ca="1">IFERROR(__xludf.DUMMYFUNCTION("""COMPUTED_VALUE"""),-0.712607414945971)</f>
        <v>-0.71260741494597102</v>
      </c>
      <c r="LU83" s="3">
        <f ca="1">IFERROR(__xludf.DUMMYFUNCTION("""COMPUTED_VALUE"""),-0.649870531622688)</f>
        <v>-0.64987053162268804</v>
      </c>
      <c r="LV83" s="3">
        <f ca="1">IFERROR(__xludf.DUMMYFUNCTION("""COMPUTED_VALUE"""),-0.715654631001852)</f>
        <v>-0.715654631001852</v>
      </c>
      <c r="LW83" s="3">
        <f ca="1">IFERROR(__xludf.DUMMYFUNCTION("""COMPUTED_VALUE"""),-0.764217162515995)</f>
        <v>-0.76421716251599503</v>
      </c>
      <c r="LX83" s="3">
        <f ca="1">IFERROR(__xludf.DUMMYFUNCTION("""COMPUTED_VALUE"""),-0.770504336824543)</f>
        <v>-0.770504336824543</v>
      </c>
      <c r="LY83" s="3">
        <f ca="1">IFERROR(__xludf.DUMMYFUNCTION("""COMPUTED_VALUE"""),-0.774929581939663)</f>
        <v>-0.77492958193966299</v>
      </c>
      <c r="LZ83" s="3">
        <f ca="1">IFERROR(__xludf.DUMMYFUNCTION("""COMPUTED_VALUE"""),-0.761097994389746)</f>
        <v>-0.76109799438974601</v>
      </c>
      <c r="MA83" s="3">
        <f ca="1">IFERROR(__xludf.DUMMYFUNCTION("""COMPUTED_VALUE"""),-0.726085670295459)</f>
        <v>-0.72608567029545901</v>
      </c>
      <c r="MB83" s="3">
        <f ca="1">IFERROR(__xludf.DUMMYFUNCTION("""COMPUTED_VALUE"""),-0.636769732933505)</f>
        <v>-0.63676973293350503</v>
      </c>
      <c r="MC83" s="3">
        <f ca="1">IFERROR(__xludf.DUMMYFUNCTION("""COMPUTED_VALUE"""),-0.72050343993408)</f>
        <v>-0.72050343993407995</v>
      </c>
      <c r="MD83" s="3">
        <f ca="1">IFERROR(__xludf.DUMMYFUNCTION("""COMPUTED_VALUE"""),-0.733356103605591)</f>
        <v>-0.733356103605591</v>
      </c>
      <c r="ME83" s="3">
        <f ca="1">IFERROR(__xludf.DUMMYFUNCTION("""COMPUTED_VALUE"""),-0.719072555890811)</f>
        <v>-0.71907255589081098</v>
      </c>
      <c r="MF83" s="3">
        <f ca="1">IFERROR(__xludf.DUMMYFUNCTION("""COMPUTED_VALUE"""),-0.715226095243708)</f>
        <v>-0.71522609524370795</v>
      </c>
      <c r="MG83" s="3">
        <f ca="1">IFERROR(__xludf.DUMMYFUNCTION("""COMPUTED_VALUE"""),-0.696132898675372)</f>
        <v>-0.69613289867537198</v>
      </c>
      <c r="MH83" s="3">
        <f ca="1">IFERROR(__xludf.DUMMYFUNCTION("""COMPUTED_VALUE"""),-0.674614494320808)</f>
        <v>-0.674614494320808</v>
      </c>
      <c r="MI83" s="3">
        <f ca="1">IFERROR(__xludf.DUMMYFUNCTION("""COMPUTED_VALUE"""),-0.588050603024932)</f>
        <v>-0.58805060302493195</v>
      </c>
      <c r="MJ83" s="3">
        <f ca="1">IFERROR(__xludf.DUMMYFUNCTION("""COMPUTED_VALUE"""),-0.693780236921807)</f>
        <v>-0.69378023692180701</v>
      </c>
      <c r="MK83" s="3">
        <f ca="1">IFERROR(__xludf.DUMMYFUNCTION("""COMPUTED_VALUE"""),-0.720686307226351)</f>
        <v>-0.72068630722635096</v>
      </c>
      <c r="ML83" s="3">
        <f ca="1">IFERROR(__xludf.DUMMYFUNCTION("""COMPUTED_VALUE"""),-0.747870692227049)</f>
        <v>-0.74787069222704905</v>
      </c>
      <c r="MM83" s="3">
        <f ca="1">IFERROR(__xludf.DUMMYFUNCTION("""COMPUTED_VALUE"""),-0.735790432752488)</f>
        <v>-0.73579043275248801</v>
      </c>
      <c r="MN83" s="3">
        <f ca="1">IFERROR(__xludf.DUMMYFUNCTION("""COMPUTED_VALUE"""),-0.717363873419911)</f>
        <v>-0.71736387341991104</v>
      </c>
      <c r="MO83" s="3">
        <f ca="1">IFERROR(__xludf.DUMMYFUNCTION("""COMPUTED_VALUE"""),-0.695154065077782)</f>
        <v>-0.69515406507778199</v>
      </c>
      <c r="MP83" s="3">
        <f ca="1">IFERROR(__xludf.DUMMYFUNCTION("""COMPUTED_VALUE"""),-0.687156669867701)</f>
        <v>-0.68715666986770096</v>
      </c>
      <c r="MQ83" s="3">
        <f ca="1">IFERROR(__xludf.DUMMYFUNCTION("""COMPUTED_VALUE"""),-0.69407835914075)</f>
        <v>-0.69407835914075</v>
      </c>
      <c r="MR83" s="3">
        <f ca="1">IFERROR(__xludf.DUMMYFUNCTION("""COMPUTED_VALUE"""),-0.729315171302086)</f>
        <v>-0.72931517130208601</v>
      </c>
      <c r="MS83" s="3">
        <f ca="1">IFERROR(__xludf.DUMMYFUNCTION("""COMPUTED_VALUE"""),-0.73217525316241)</f>
        <v>-0.73217525316240994</v>
      </c>
      <c r="MT83" s="3">
        <f ca="1">IFERROR(__xludf.DUMMYFUNCTION("""COMPUTED_VALUE"""),-0.726528681127001)</f>
        <v>-0.72652868112700097</v>
      </c>
      <c r="MU83" s="3">
        <f ca="1">IFERROR(__xludf.DUMMYFUNCTION("""COMPUTED_VALUE"""),-0.729062162312381)</f>
        <v>-0.72906216231238097</v>
      </c>
      <c r="MV83" s="3">
        <f ca="1">IFERROR(__xludf.DUMMYFUNCTION("""COMPUTED_VALUE"""),-0.673262983953932)</f>
        <v>-0.67326298395393203</v>
      </c>
      <c r="MW83" s="3">
        <f ca="1">IFERROR(__xludf.DUMMYFUNCTION("""COMPUTED_VALUE"""),-0.645305257469913)</f>
        <v>-0.64530525746991296</v>
      </c>
      <c r="MX83" s="3">
        <f ca="1">IFERROR(__xludf.DUMMYFUNCTION("""COMPUTED_VALUE"""),-0.703262322084947)</f>
        <v>-0.70326232208494699</v>
      </c>
      <c r="MY83" s="3">
        <f ca="1">IFERROR(__xludf.DUMMYFUNCTION("""COMPUTED_VALUE"""),-0.69287204495554)</f>
        <v>-0.69287204495554</v>
      </c>
      <c r="MZ83" s="3">
        <f ca="1">IFERROR(__xludf.DUMMYFUNCTION("""COMPUTED_VALUE"""),-0.713277565390673)</f>
        <v>-0.713277565390673</v>
      </c>
      <c r="NA83" s="3">
        <f ca="1">IFERROR(__xludf.DUMMYFUNCTION("""COMPUTED_VALUE"""),-0.719445031408983)</f>
        <v>-0.71944503140898297</v>
      </c>
      <c r="NB83" s="3">
        <f ca="1">IFERROR(__xludf.DUMMYFUNCTION("""COMPUTED_VALUE"""),-0.706977006498899)</f>
        <v>-0.70697700649889905</v>
      </c>
      <c r="NC83" s="3">
        <f ca="1">IFERROR(__xludf.DUMMYFUNCTION("""COMPUTED_VALUE"""),-0.726837350758289)</f>
        <v>-0.72683735075828904</v>
      </c>
      <c r="ND83" s="3">
        <f ca="1">IFERROR(__xludf.DUMMYFUNCTION("""COMPUTED_VALUE"""),-0.639252075459317)</f>
        <v>-0.63925207545931695</v>
      </c>
      <c r="NE83" s="3">
        <f ca="1">IFERROR(__xludf.DUMMYFUNCTION("""COMPUTED_VALUE"""),-0.652853882950291)</f>
        <v>-0.65285388295029101</v>
      </c>
      <c r="NF83" s="3">
        <f ca="1">IFERROR(__xludf.DUMMYFUNCTION("""COMPUTED_VALUE"""),-0.678494939637118)</f>
        <v>-0.67849493963711804</v>
      </c>
      <c r="NG83" s="3">
        <f ca="1">IFERROR(__xludf.DUMMYFUNCTION("""COMPUTED_VALUE"""),-0.708086437763836)</f>
        <v>-0.70808643776383595</v>
      </c>
      <c r="NH83" s="3">
        <f ca="1">IFERROR(__xludf.DUMMYFUNCTION("""COMPUTED_VALUE"""),-0.71209212983446)</f>
        <v>-0.71209212983446002</v>
      </c>
      <c r="NI83" s="3">
        <f ca="1">IFERROR(__xludf.DUMMYFUNCTION("""COMPUTED_VALUE"""),-0.703180945653522)</f>
        <v>-0.70318094565352196</v>
      </c>
      <c r="NJ83" s="3">
        <f ca="1">IFERROR(__xludf.DUMMYFUNCTION("""COMPUTED_VALUE"""),-0.653564587961486)</f>
        <v>-0.65356458796148598</v>
      </c>
      <c r="NK83" s="3">
        <f ca="1">IFERROR(__xludf.DUMMYFUNCTION("""COMPUTED_VALUE"""),-0.60947118174044)</f>
        <v>-0.60947118174044002</v>
      </c>
      <c r="NL83" s="3">
        <f ca="1">IFERROR(__xludf.DUMMYFUNCTION("""COMPUTED_VALUE"""),-0.670777794310689)</f>
        <v>-0.67077779431068896</v>
      </c>
      <c r="NM83" s="3">
        <f ca="1">IFERROR(__xludf.DUMMYFUNCTION("""COMPUTED_VALUE"""),-0.691218322066299)</f>
        <v>-0.69121832206629896</v>
      </c>
      <c r="NN83" s="3">
        <f ca="1">IFERROR(__xludf.DUMMYFUNCTION("""COMPUTED_VALUE"""),-0.68697415312502)</f>
        <v>-0.68697415312501997</v>
      </c>
      <c r="NO83" s="3">
        <f ca="1">IFERROR(__xludf.DUMMYFUNCTION("""COMPUTED_VALUE"""),-0.652728118833511)</f>
        <v>-0.65272811883351101</v>
      </c>
      <c r="NP83" s="3">
        <f ca="1">IFERROR(__xludf.DUMMYFUNCTION("""COMPUTED_VALUE"""),-0.673747351424028)</f>
        <v>-0.67374735142402797</v>
      </c>
      <c r="NQ83" s="3">
        <f ca="1">IFERROR(__xludf.DUMMYFUNCTION("""COMPUTED_VALUE"""),-0.648067709397201)</f>
        <v>-0.64806770939720104</v>
      </c>
      <c r="NR83" s="3">
        <f ca="1">IFERROR(__xludf.DUMMYFUNCTION("""COMPUTED_VALUE"""),-0.617466421410639)</f>
        <v>-0.61746642141063901</v>
      </c>
      <c r="NS83" s="3">
        <f ca="1">IFERROR(__xludf.DUMMYFUNCTION("""COMPUTED_VALUE"""),-0.684465252985547)</f>
        <v>-0.68446525298554695</v>
      </c>
      <c r="NT83" s="3">
        <f ca="1">IFERROR(__xludf.DUMMYFUNCTION("""COMPUTED_VALUE"""),-0.691537040600849)</f>
        <v>-0.69153704060084897</v>
      </c>
      <c r="NU83" s="3">
        <f ca="1">IFERROR(__xludf.DUMMYFUNCTION("""COMPUTED_VALUE"""),-0.691234612333729)</f>
        <v>-0.69123461233372896</v>
      </c>
      <c r="NV83" s="3">
        <f ca="1">IFERROR(__xludf.DUMMYFUNCTION("""COMPUTED_VALUE"""),-0.658696201633163)</f>
        <v>-0.658696201633163</v>
      </c>
      <c r="NW83" s="3">
        <f ca="1">IFERROR(__xludf.DUMMYFUNCTION("""COMPUTED_VALUE"""),-0.623686210504765)</f>
        <v>-0.62368621050476503</v>
      </c>
      <c r="NX83" s="3">
        <f ca="1">IFERROR(__xludf.DUMMYFUNCTION("""COMPUTED_VALUE"""),-0.672632154327989)</f>
        <v>-0.67263215432798895</v>
      </c>
      <c r="NY83" s="3">
        <f ca="1">IFERROR(__xludf.DUMMYFUNCTION("""COMPUTED_VALUE"""),-0.478684239762579)</f>
        <v>-0.47868423976257901</v>
      </c>
      <c r="NZ83" s="3">
        <f ca="1">IFERROR(__xludf.DUMMYFUNCTION("""COMPUTED_VALUE"""),-0.535493473848625)</f>
        <v>-0.535493473848625</v>
      </c>
      <c r="OA83" s="3">
        <f ca="1">IFERROR(__xludf.DUMMYFUNCTION("""COMPUTED_VALUE"""),-0.58023357408574)</f>
        <v>-0.58023357408573994</v>
      </c>
      <c r="OB83" s="3">
        <f ca="1">IFERROR(__xludf.DUMMYFUNCTION("""COMPUTED_VALUE"""),-0.549672922857467)</f>
        <v>-0.54967292285746705</v>
      </c>
      <c r="OC83" s="3">
        <f ca="1">IFERROR(__xludf.DUMMYFUNCTION("""COMPUTED_VALUE"""),-0.510171658687312)</f>
        <v>-0.51017165868731196</v>
      </c>
      <c r="OD83" s="3">
        <f ca="1">IFERROR(__xludf.DUMMYFUNCTION("""COMPUTED_VALUE"""),-0.541613845553169)</f>
        <v>-0.54161384555316905</v>
      </c>
      <c r="OE83" s="3">
        <f ca="1">IFERROR(__xludf.DUMMYFUNCTION("""COMPUTED_VALUE"""),-0.465371065342487)</f>
        <v>-0.46537106534248701</v>
      </c>
      <c r="OF83" s="3">
        <f ca="1">IFERROR(__xludf.DUMMYFUNCTION("""COMPUTED_VALUE"""),-0.287542904394402)</f>
        <v>-0.287542904394402</v>
      </c>
      <c r="OG83" s="3">
        <f ca="1">IFERROR(__xludf.DUMMYFUNCTION("""COMPUTED_VALUE"""),-0.331827165186418)</f>
        <v>-0.33182716518641803</v>
      </c>
      <c r="OH83" s="3">
        <f ca="1">IFERROR(__xludf.DUMMYFUNCTION("""COMPUTED_VALUE"""),-0.26759482419446)</f>
        <v>-0.26759482419446001</v>
      </c>
      <c r="OI83" s="3">
        <f ca="1">IFERROR(__xludf.DUMMYFUNCTION("""COMPUTED_VALUE"""),-0.202937926358283)</f>
        <v>-0.20293792635828301</v>
      </c>
      <c r="OJ83" s="3">
        <f ca="1">IFERROR(__xludf.DUMMYFUNCTION("""COMPUTED_VALUE"""),-0.118182662410805)</f>
        <v>-0.118182662410805</v>
      </c>
      <c r="OK83" s="3">
        <f ca="1">IFERROR(__xludf.DUMMYFUNCTION("""COMPUTED_VALUE"""),-0.0786795878668591)</f>
        <v>-7.8679587866859094E-2</v>
      </c>
      <c r="OL83" s="3">
        <f ca="1">IFERROR(__xludf.DUMMYFUNCTION("""COMPUTED_VALUE"""),0.101156970474874)</f>
        <v>0.101156970474874</v>
      </c>
      <c r="OM83" s="3">
        <f ca="1">IFERROR(__xludf.DUMMYFUNCTION("""COMPUTED_VALUE"""),-0.0575230948206614)</f>
        <v>-5.7523094820661397E-2</v>
      </c>
      <c r="ON83" s="3">
        <f ca="1">IFERROR(__xludf.DUMMYFUNCTION("""COMPUTED_VALUE"""),-0.0336681149427862)</f>
        <v>-3.3668114942786202E-2</v>
      </c>
      <c r="OO83" s="3">
        <f ca="1">IFERROR(__xludf.DUMMYFUNCTION("""COMPUTED_VALUE"""),-0.0193869981538622)</f>
        <v>-1.93869981538622E-2</v>
      </c>
      <c r="OP83" s="3">
        <f ca="1">IFERROR(__xludf.DUMMYFUNCTION("""COMPUTED_VALUE"""),-0.0110692521785966)</f>
        <v>-1.1069252178596599E-2</v>
      </c>
      <c r="OQ83" s="3">
        <f ca="1">IFERROR(__xludf.DUMMYFUNCTION("""COMPUTED_VALUE"""),0.0222739747212097)</f>
        <v>2.2273974721209702E-2</v>
      </c>
      <c r="OR83" s="3">
        <f ca="1">IFERROR(__xludf.DUMMYFUNCTION("""COMPUTED_VALUE"""),0.00296536046219175)</f>
        <v>2.9653604621917499E-3</v>
      </c>
      <c r="OS83" s="3">
        <f ca="1">IFERROR(__xludf.DUMMYFUNCTION("""COMPUTED_VALUE"""),0.121099417862154)</f>
        <v>0.121099417862154</v>
      </c>
      <c r="OT83" s="3">
        <f ca="1">IFERROR(__xludf.DUMMYFUNCTION("""COMPUTED_VALUE"""),-0.00377330041425005)</f>
        <v>-3.7733004142500499E-3</v>
      </c>
      <c r="OU83" s="3">
        <f ca="1">IFERROR(__xludf.DUMMYFUNCTION("""COMPUTED_VALUE"""),0.000887833218725209)</f>
        <v>8.8783321872520904E-4</v>
      </c>
      <c r="OV83" s="3">
        <f ca="1">IFERROR(__xludf.DUMMYFUNCTION("""COMPUTED_VALUE"""),0.0464099327249512)</f>
        <v>4.6409932724951197E-2</v>
      </c>
      <c r="OW83" s="3">
        <f ca="1">IFERROR(__xludf.DUMMYFUNCTION("""COMPUTED_VALUE"""),0.0431611670705338)</f>
        <v>4.3161167070533801E-2</v>
      </c>
      <c r="OX83" s="3">
        <f ca="1">IFERROR(__xludf.DUMMYFUNCTION("""COMPUTED_VALUE"""),0.0851144356785313)</f>
        <v>8.5114435678531303E-2</v>
      </c>
      <c r="OY83" s="3">
        <f ca="1">IFERROR(__xludf.DUMMYFUNCTION("""COMPUTED_VALUE"""),0.0691816598501522)</f>
        <v>6.9181659850152205E-2</v>
      </c>
      <c r="OZ83" s="3">
        <f ca="1">IFERROR(__xludf.DUMMYFUNCTION("""COMPUTED_VALUE"""),0.219034688430449)</f>
        <v>0.21903468843044899</v>
      </c>
      <c r="PA83" s="3">
        <f ca="1">IFERROR(__xludf.DUMMYFUNCTION("""COMPUTED_VALUE"""),-0.0043627588203603)</f>
        <v>-4.3627588203603001E-3</v>
      </c>
      <c r="PB83" s="3">
        <f ca="1">IFERROR(__xludf.DUMMYFUNCTION("""COMPUTED_VALUE"""),-0.0349756456336961)</f>
        <v>-3.4975645633696102E-2</v>
      </c>
      <c r="PC83" s="3">
        <f ca="1">IFERROR(__xludf.DUMMYFUNCTION("""COMPUTED_VALUE"""),-0.107627936909786)</f>
        <v>-0.107627936909786</v>
      </c>
      <c r="PD83" s="3">
        <f ca="1">IFERROR(__xludf.DUMMYFUNCTION("""COMPUTED_VALUE"""),-0.0562250208874276)</f>
        <v>-5.6225020887427597E-2</v>
      </c>
      <c r="PE83" s="3">
        <f ca="1">IFERROR(__xludf.DUMMYFUNCTION("""COMPUTED_VALUE"""),-0.0306759945416877)</f>
        <v>-3.06759945416877E-2</v>
      </c>
      <c r="PF83" s="3">
        <f ca="1">IFERROR(__xludf.DUMMYFUNCTION("""COMPUTED_VALUE"""),-0.108643029009931)</f>
        <v>-0.108643029009931</v>
      </c>
      <c r="PG83" s="3">
        <f ca="1">IFERROR(__xludf.DUMMYFUNCTION("""COMPUTED_VALUE"""),-0.17151058990108)</f>
        <v>-0.17151058990108001</v>
      </c>
      <c r="PH83" s="3">
        <f ca="1">IFERROR(__xludf.DUMMYFUNCTION("""COMPUTED_VALUE"""),-0.0345673431344332)</f>
        <v>-3.4567343134433201E-2</v>
      </c>
      <c r="PI83" s="3">
        <f ca="1">IFERROR(__xludf.DUMMYFUNCTION("""COMPUTED_VALUE"""),-0.0833100696977228)</f>
        <v>-8.3310069697722797E-2</v>
      </c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</row>
    <row r="84" spans="1:477" ht="13">
      <c r="A84" s="1" t="str">
        <f ca="1">IFERROR(__xludf.DUMMYFUNCTION("""COMPUTED_VALUE"""),"MTA - Staten Island Buses")</f>
        <v>MTA - Staten Island Buses</v>
      </c>
      <c r="B84" s="1" t="str">
        <f ca="1">IFERROR(__xludf.DUMMYFUNCTION("""COMPUTED_VALUE"""),"NYC")</f>
        <v>NYC</v>
      </c>
      <c r="C84" s="1" t="str">
        <f ca="1">IFERROR(__xludf.DUMMYFUNCTION("""COMPUTED_VALUE"""),"United States")</f>
        <v>United States</v>
      </c>
      <c r="D84" s="1" t="str">
        <f ca="1">IFERROR(__xludf.DUMMYFUNCTION("""COMPUTED_VALUE"""),"New York")</f>
        <v>New York</v>
      </c>
      <c r="E84" s="3">
        <f ca="1">IFERROR(__xludf.DUMMYFUNCTION("""COMPUTED_VALUE"""),-0.606648856694633)</f>
        <v>-0.60664885669463298</v>
      </c>
      <c r="F84" s="3">
        <f ca="1">IFERROR(__xludf.DUMMYFUNCTION("""COMPUTED_VALUE"""),-0.611055676354941)</f>
        <v>-0.61105567635494096</v>
      </c>
      <c r="G84" s="3">
        <f ca="1">IFERROR(__xludf.DUMMYFUNCTION("""COMPUTED_VALUE"""),-0.635473332739471)</f>
        <v>-0.63547333273947104</v>
      </c>
      <c r="H84" s="3">
        <f ca="1">IFERROR(__xludf.DUMMYFUNCTION("""COMPUTED_VALUE"""),-0.64657528375644)</f>
        <v>-0.64657528375644002</v>
      </c>
      <c r="I84" s="3">
        <f ca="1">IFERROR(__xludf.DUMMYFUNCTION("""COMPUTED_VALUE"""),-0.646195421558974)</f>
        <v>-0.64619542155897403</v>
      </c>
      <c r="J84" s="3">
        <f ca="1">IFERROR(__xludf.DUMMYFUNCTION("""COMPUTED_VALUE"""),-0.631956511665106)</f>
        <v>-0.63195651166510602</v>
      </c>
      <c r="K84" s="3">
        <f ca="1">IFERROR(__xludf.DUMMYFUNCTION("""COMPUTED_VALUE"""),-0.630592008880234)</f>
        <v>-0.63059200888023403</v>
      </c>
      <c r="L84" s="3">
        <f ca="1">IFERROR(__xludf.DUMMYFUNCTION("""COMPUTED_VALUE"""),-0.641802043326341)</f>
        <v>-0.64180204332634105</v>
      </c>
      <c r="M84" s="3">
        <f ca="1">IFERROR(__xludf.DUMMYFUNCTION("""COMPUTED_VALUE"""),-0.664432374590663)</f>
        <v>-0.66443237459066296</v>
      </c>
      <c r="N84" s="3">
        <f ca="1">IFERROR(__xludf.DUMMYFUNCTION("""COMPUTED_VALUE"""),-0.659466755573323)</f>
        <v>-0.65946675557332302</v>
      </c>
      <c r="O84" s="3">
        <f ca="1">IFERROR(__xludf.DUMMYFUNCTION("""COMPUTED_VALUE"""),-0.665943032563993)</f>
        <v>-0.66594303256399301</v>
      </c>
      <c r="P84" s="3">
        <f ca="1">IFERROR(__xludf.DUMMYFUNCTION("""COMPUTED_VALUE"""),-0.627794908156045)</f>
        <v>-0.627794908156045</v>
      </c>
      <c r="Q84" s="3">
        <f ca="1">IFERROR(__xludf.DUMMYFUNCTION("""COMPUTED_VALUE"""),-0.624883875727845)</f>
        <v>-0.62488387572784498</v>
      </c>
      <c r="R84" s="3">
        <f ca="1">IFERROR(__xludf.DUMMYFUNCTION("""COMPUTED_VALUE"""),-0.594378944435693)</f>
        <v>-0.59437894443569295</v>
      </c>
      <c r="S84" s="3">
        <f ca="1">IFERROR(__xludf.DUMMYFUNCTION("""COMPUTED_VALUE"""),-0.518902904743956)</f>
        <v>-0.51890290474395595</v>
      </c>
      <c r="T84" s="3">
        <f ca="1">IFERROR(__xludf.DUMMYFUNCTION("""COMPUTED_VALUE"""),-0.547703789217916)</f>
        <v>-0.54770378921791596</v>
      </c>
      <c r="U84" s="3">
        <f ca="1">IFERROR(__xludf.DUMMYFUNCTION("""COMPUTED_VALUE"""),-0.59669441624039)</f>
        <v>-0.59669441624038999</v>
      </c>
      <c r="V84" s="3">
        <f ca="1">IFERROR(__xludf.DUMMYFUNCTION("""COMPUTED_VALUE"""),-0.62420779140725)</f>
        <v>-0.62420779140725002</v>
      </c>
      <c r="W84" s="3">
        <f ca="1">IFERROR(__xludf.DUMMYFUNCTION("""COMPUTED_VALUE"""),-0.585640816127706)</f>
        <v>-0.58564081612770602</v>
      </c>
      <c r="X84" s="3">
        <f ca="1">IFERROR(__xludf.DUMMYFUNCTION("""COMPUTED_VALUE"""),-0.549961620672878)</f>
        <v>-0.54996162067287802</v>
      </c>
      <c r="Y84" s="3">
        <f ca="1">IFERROR(__xludf.DUMMYFUNCTION("""COMPUTED_VALUE"""),-0.47994867216604)</f>
        <v>-0.47994867216603998</v>
      </c>
      <c r="Z84" s="3">
        <f ca="1">IFERROR(__xludf.DUMMYFUNCTION("""COMPUTED_VALUE"""),-0.52450549506553)</f>
        <v>-0.52450549506553001</v>
      </c>
      <c r="AA84" s="3">
        <f ca="1">IFERROR(__xludf.DUMMYFUNCTION("""COMPUTED_VALUE"""),-0.598123839327275)</f>
        <v>-0.59812383932727498</v>
      </c>
      <c r="AB84" s="3">
        <f ca="1">IFERROR(__xludf.DUMMYFUNCTION("""COMPUTED_VALUE"""),-0.634730084396457)</f>
        <v>-0.63473008439645695</v>
      </c>
      <c r="AC84" s="3">
        <f ca="1">IFERROR(__xludf.DUMMYFUNCTION("""COMPUTED_VALUE"""),-0.626638439295802)</f>
        <v>-0.62663843929580199</v>
      </c>
      <c r="AD84" s="3">
        <f ca="1">IFERROR(__xludf.DUMMYFUNCTION("""COMPUTED_VALUE"""),-0.62678588421674)</f>
        <v>-0.62678588421673997</v>
      </c>
      <c r="AE84" s="3">
        <f ca="1">IFERROR(__xludf.DUMMYFUNCTION("""COMPUTED_VALUE"""),-0.604478846874893)</f>
        <v>-0.60447884687489295</v>
      </c>
      <c r="AF84" s="3">
        <f ca="1">IFERROR(__xludf.DUMMYFUNCTION("""COMPUTED_VALUE"""),-0.52218145354844)</f>
        <v>-0.52218145354844003</v>
      </c>
      <c r="AG84" s="3">
        <f ca="1">IFERROR(__xludf.DUMMYFUNCTION("""COMPUTED_VALUE"""),-0.557655783642826)</f>
        <v>-0.55765578364282598</v>
      </c>
      <c r="AH84" s="3">
        <f ca="1">IFERROR(__xludf.DUMMYFUNCTION("""COMPUTED_VALUE"""),-0.586148993082837)</f>
        <v>-0.58614899308283697</v>
      </c>
      <c r="AI84" s="3">
        <f ca="1">IFERROR(__xludf.DUMMYFUNCTION("""COMPUTED_VALUE"""),-0.592676024964943)</f>
        <v>-0.59267602496494298</v>
      </c>
      <c r="AJ84" s="3">
        <f ca="1">IFERROR(__xludf.DUMMYFUNCTION("""COMPUTED_VALUE"""),-0.60980508036515)</f>
        <v>-0.60980508036515002</v>
      </c>
      <c r="AK84" s="3">
        <f ca="1">IFERROR(__xludf.DUMMYFUNCTION("""COMPUTED_VALUE"""),-0.589131992436353)</f>
        <v>-0.58913199243635295</v>
      </c>
      <c r="AL84" s="3">
        <f ca="1">IFERROR(__xludf.DUMMYFUNCTION("""COMPUTED_VALUE"""),-0.572411469501576)</f>
        <v>-0.57241146950157595</v>
      </c>
      <c r="AM84" s="3">
        <f ca="1">IFERROR(__xludf.DUMMYFUNCTION("""COMPUTED_VALUE"""),-0.517680589541191)</f>
        <v>-0.51768058954119101</v>
      </c>
      <c r="AN84" s="3">
        <f ca="1">IFERROR(__xludf.DUMMYFUNCTION("""COMPUTED_VALUE"""),-0.565990800713023)</f>
        <v>-0.56599080071302299</v>
      </c>
      <c r="AO84" s="3">
        <f ca="1">IFERROR(__xludf.DUMMYFUNCTION("""COMPUTED_VALUE"""),-0.603158401279439)</f>
        <v>-0.60315840127943898</v>
      </c>
      <c r="AP84" s="3">
        <f ca="1">IFERROR(__xludf.DUMMYFUNCTION("""COMPUTED_VALUE"""),-0.617021613633373)</f>
        <v>-0.61702161363337305</v>
      </c>
      <c r="AQ84" s="3">
        <f ca="1">IFERROR(__xludf.DUMMYFUNCTION("""COMPUTED_VALUE"""),-0.604285787784846)</f>
        <v>-0.60428578778484598</v>
      </c>
      <c r="AR84" s="3">
        <f ca="1">IFERROR(__xludf.DUMMYFUNCTION("""COMPUTED_VALUE"""),-0.625865570901615)</f>
        <v>-0.62586557090161499</v>
      </c>
      <c r="AS84" s="3">
        <f ca="1">IFERROR(__xludf.DUMMYFUNCTION("""COMPUTED_VALUE"""),-0.567599274893456)</f>
        <v>-0.56759927489345596</v>
      </c>
      <c r="AT84" s="3">
        <f ca="1">IFERROR(__xludf.DUMMYFUNCTION("""COMPUTED_VALUE"""),-0.51814656814659)</f>
        <v>-0.51814656814658999</v>
      </c>
      <c r="AU84" s="3">
        <f ca="1">IFERROR(__xludf.DUMMYFUNCTION("""COMPUTED_VALUE"""),-0.577344340538124)</f>
        <v>-0.577344340538124</v>
      </c>
      <c r="AV84" s="3">
        <f ca="1">IFERROR(__xludf.DUMMYFUNCTION("""COMPUTED_VALUE"""),-0.588966915910534)</f>
        <v>-0.58896691591053396</v>
      </c>
      <c r="AW84" s="3">
        <f ca="1">IFERROR(__xludf.DUMMYFUNCTION("""COMPUTED_VALUE"""),-0.59092627798585)</f>
        <v>-0.59092627798584996</v>
      </c>
      <c r="AX84" s="3">
        <f ca="1">IFERROR(__xludf.DUMMYFUNCTION("""COMPUTED_VALUE"""),-0.57254666940379)</f>
        <v>-0.57254666940378995</v>
      </c>
      <c r="AY84" s="3">
        <f ca="1">IFERROR(__xludf.DUMMYFUNCTION("""COMPUTED_VALUE"""),-0.60689020598664)</f>
        <v>-0.60689020598664001</v>
      </c>
      <c r="AZ84" s="3">
        <f ca="1">IFERROR(__xludf.DUMMYFUNCTION("""COMPUTED_VALUE"""),-0.565825802780644)</f>
        <v>-0.56582580278064398</v>
      </c>
      <c r="BA84" s="3">
        <f ca="1">IFERROR(__xludf.DUMMYFUNCTION("""COMPUTED_VALUE"""),-0.50206484777604)</f>
        <v>-0.50206484777603999</v>
      </c>
      <c r="BB84" s="3">
        <f ca="1">IFERROR(__xludf.DUMMYFUNCTION("""COMPUTED_VALUE"""),-0.534361654194006)</f>
        <v>-0.53436165419400605</v>
      </c>
      <c r="BC84" s="3">
        <f ca="1">IFERROR(__xludf.DUMMYFUNCTION("""COMPUTED_VALUE"""),-0.577648791573916)</f>
        <v>-0.57764879157391602</v>
      </c>
      <c r="BD84" s="3">
        <f ca="1">IFERROR(__xludf.DUMMYFUNCTION("""COMPUTED_VALUE"""),-0.613363398175101)</f>
        <v>-0.61336339817510099</v>
      </c>
      <c r="BE84" s="3">
        <f ca="1">IFERROR(__xludf.DUMMYFUNCTION("""COMPUTED_VALUE"""),-0.5838824560348)</f>
        <v>-0.58388245603480005</v>
      </c>
      <c r="BF84" s="3">
        <f ca="1">IFERROR(__xludf.DUMMYFUNCTION("""COMPUTED_VALUE"""),-0.572111763297773)</f>
        <v>-0.57211176329777302</v>
      </c>
      <c r="BG84" s="3">
        <f ca="1">IFERROR(__xludf.DUMMYFUNCTION("""COMPUTED_VALUE"""),-0.555321229804719)</f>
        <v>-0.55532122980471899</v>
      </c>
      <c r="BH84" s="3">
        <f ca="1">IFERROR(__xludf.DUMMYFUNCTION("""COMPUTED_VALUE"""),-0.514649799434929)</f>
        <v>-0.51464979943492895</v>
      </c>
      <c r="BI84" s="3">
        <f ca="1">IFERROR(__xludf.DUMMYFUNCTION("""COMPUTED_VALUE"""),-0.573916735421624)</f>
        <v>-0.57391673542162402</v>
      </c>
      <c r="BJ84" s="3">
        <f ca="1">IFERROR(__xludf.DUMMYFUNCTION("""COMPUTED_VALUE"""),-0.634558834980908)</f>
        <v>-0.63455883498090804</v>
      </c>
      <c r="BK84" s="3">
        <f ca="1">IFERROR(__xludf.DUMMYFUNCTION("""COMPUTED_VALUE"""),-0.633910243943477)</f>
        <v>-0.63391024394347695</v>
      </c>
      <c r="BL84" s="3">
        <f ca="1">IFERROR(__xludf.DUMMYFUNCTION("""COMPUTED_VALUE"""),-0.634461242609161)</f>
        <v>-0.63446124260916104</v>
      </c>
      <c r="BM84" s="3">
        <f ca="1">IFERROR(__xludf.DUMMYFUNCTION("""COMPUTED_VALUE"""),-0.633508704055584)</f>
        <v>-0.63350870405558402</v>
      </c>
      <c r="BN84" s="3">
        <f ca="1">IFERROR(__xludf.DUMMYFUNCTION("""COMPUTED_VALUE"""),-0.597393991102828)</f>
        <v>-0.59739399110282798</v>
      </c>
      <c r="BO84" s="3">
        <f ca="1">IFERROR(__xludf.DUMMYFUNCTION("""COMPUTED_VALUE"""),-0.518391432744238)</f>
        <v>-0.51839143274423805</v>
      </c>
      <c r="BP84" s="3">
        <f ca="1">IFERROR(__xludf.DUMMYFUNCTION("""COMPUTED_VALUE"""),-0.510753502015386)</f>
        <v>-0.51075350201538605</v>
      </c>
      <c r="BQ84" s="3">
        <f ca="1">IFERROR(__xludf.DUMMYFUNCTION("""COMPUTED_VALUE"""),-0.629329835344473)</f>
        <v>-0.62932983534447295</v>
      </c>
      <c r="BR84" s="3">
        <f ca="1">IFERROR(__xludf.DUMMYFUNCTION("""COMPUTED_VALUE"""),-0.612386556616823)</f>
        <v>-0.61238655661682295</v>
      </c>
      <c r="BS84" s="3">
        <f ca="1">IFERROR(__xludf.DUMMYFUNCTION("""COMPUTED_VALUE"""),-0.606783050816786)</f>
        <v>-0.60678305081678596</v>
      </c>
      <c r="BT84" s="3">
        <f ca="1">IFERROR(__xludf.DUMMYFUNCTION("""COMPUTED_VALUE"""),-0.623465861999968)</f>
        <v>-0.62346586199996801</v>
      </c>
      <c r="BU84" s="3">
        <f ca="1">IFERROR(__xludf.DUMMYFUNCTION("""COMPUTED_VALUE"""),-0.60894178839458)</f>
        <v>-0.60894178839458002</v>
      </c>
      <c r="BV84" s="3">
        <f ca="1">IFERROR(__xludf.DUMMYFUNCTION("""COMPUTED_VALUE"""),-0.538111919124831)</f>
        <v>-0.53811191912483103</v>
      </c>
      <c r="BW84" s="3">
        <f ca="1">IFERROR(__xludf.DUMMYFUNCTION("""COMPUTED_VALUE"""),-0.594613322287011)</f>
        <v>-0.59461332228701103</v>
      </c>
      <c r="BX84" s="3">
        <f ca="1">IFERROR(__xludf.DUMMYFUNCTION("""COMPUTED_VALUE"""),-0.687801572440479)</f>
        <v>-0.68780157244047901</v>
      </c>
      <c r="BY84" s="3">
        <f ca="1">IFERROR(__xludf.DUMMYFUNCTION("""COMPUTED_VALUE"""),-0.679645597893485)</f>
        <v>-0.679645597893485</v>
      </c>
      <c r="BZ84" s="3">
        <f ca="1">IFERROR(__xludf.DUMMYFUNCTION("""COMPUTED_VALUE"""),-0.665424223434565)</f>
        <v>-0.66542422343456498</v>
      </c>
      <c r="CA84" s="3">
        <f ca="1">IFERROR(__xludf.DUMMYFUNCTION("""COMPUTED_VALUE"""),-0.666925859466968)</f>
        <v>-0.66692585946696803</v>
      </c>
      <c r="CB84" s="3">
        <f ca="1">IFERROR(__xludf.DUMMYFUNCTION("""COMPUTED_VALUE"""),-0.603484692848671)</f>
        <v>-0.60348469284867101</v>
      </c>
      <c r="CC84" s="3">
        <f ca="1">IFERROR(__xludf.DUMMYFUNCTION("""COMPUTED_VALUE"""),-0.58139920429749)</f>
        <v>-0.58139920429749004</v>
      </c>
      <c r="CD84" s="3">
        <f ca="1">IFERROR(__xludf.DUMMYFUNCTION("""COMPUTED_VALUE"""),-0.555722076929085)</f>
        <v>-0.55572207692908504</v>
      </c>
      <c r="CE84" s="3">
        <f ca="1">IFERROR(__xludf.DUMMYFUNCTION("""COMPUTED_VALUE"""),-0.65615758023838)</f>
        <v>-0.65615758023838</v>
      </c>
      <c r="CF84" s="3">
        <f ca="1">IFERROR(__xludf.DUMMYFUNCTION("""COMPUTED_VALUE"""),-0.673501165869006)</f>
        <v>-0.67350116586900599</v>
      </c>
      <c r="CG84" s="3">
        <f ca="1">IFERROR(__xludf.DUMMYFUNCTION("""COMPUTED_VALUE"""),-0.670235090623554)</f>
        <v>-0.67023509062355402</v>
      </c>
      <c r="CH84" s="3">
        <f ca="1">IFERROR(__xludf.DUMMYFUNCTION("""COMPUTED_VALUE"""),-0.660378907451992)</f>
        <v>-0.66037890745199201</v>
      </c>
      <c r="CI84" s="3">
        <f ca="1">IFERROR(__xludf.DUMMYFUNCTION("""COMPUTED_VALUE"""),-0.61148380253987)</f>
        <v>-0.61148380253987</v>
      </c>
      <c r="CJ84" s="3">
        <f ca="1">IFERROR(__xludf.DUMMYFUNCTION("""COMPUTED_VALUE"""),-0.560822613794264)</f>
        <v>-0.56082261379426401</v>
      </c>
      <c r="CK84" s="3">
        <f ca="1">IFERROR(__xludf.DUMMYFUNCTION("""COMPUTED_VALUE"""),-0.57312153638217)</f>
        <v>-0.57312153638217</v>
      </c>
      <c r="CL84" s="3">
        <f ca="1">IFERROR(__xludf.DUMMYFUNCTION("""COMPUTED_VALUE"""),-0.654866007176029)</f>
        <v>-0.65486600717602905</v>
      </c>
      <c r="CM84" s="3">
        <f ca="1">IFERROR(__xludf.DUMMYFUNCTION("""COMPUTED_VALUE"""),-0.650025939259879)</f>
        <v>-0.65002593925987895</v>
      </c>
      <c r="CN84" s="3">
        <f ca="1">IFERROR(__xludf.DUMMYFUNCTION("""COMPUTED_VALUE"""),-0.649888606813854)</f>
        <v>-0.64988860681385396</v>
      </c>
      <c r="CO84" s="3">
        <f ca="1">IFERROR(__xludf.DUMMYFUNCTION("""COMPUTED_VALUE"""),-0.631132572992536)</f>
        <v>-0.631132572992536</v>
      </c>
      <c r="CP84" s="3">
        <f ca="1">IFERROR(__xludf.DUMMYFUNCTION("""COMPUTED_VALUE"""),-0.618428786459336)</f>
        <v>-0.61842878645933597</v>
      </c>
      <c r="CQ84" s="3">
        <f ca="1">IFERROR(__xludf.DUMMYFUNCTION("""COMPUTED_VALUE"""),-0.583756665318107)</f>
        <v>-0.58375666531810699</v>
      </c>
      <c r="CR84" s="3">
        <f ca="1">IFERROR(__xludf.DUMMYFUNCTION("""COMPUTED_VALUE"""),-0.56397149069462)</f>
        <v>-0.56397149069462005</v>
      </c>
      <c r="CS84" s="3">
        <f ca="1">IFERROR(__xludf.DUMMYFUNCTION("""COMPUTED_VALUE"""),-0.641689150089349)</f>
        <v>-0.64168915008934901</v>
      </c>
      <c r="CT84" s="3">
        <f ca="1">IFERROR(__xludf.DUMMYFUNCTION("""COMPUTED_VALUE"""),-0.63978908924301)</f>
        <v>-0.63978908924301003</v>
      </c>
      <c r="CU84" s="3">
        <f ca="1">IFERROR(__xludf.DUMMYFUNCTION("""COMPUTED_VALUE"""),-0.595038897441052)</f>
        <v>-0.59503889744105198</v>
      </c>
      <c r="CV84" s="3">
        <f ca="1">IFERROR(__xludf.DUMMYFUNCTION("""COMPUTED_VALUE"""),-0.619343304606411)</f>
        <v>-0.61934330460641096</v>
      </c>
      <c r="CW84" s="3">
        <f ca="1">IFERROR(__xludf.DUMMYFUNCTION("""COMPUTED_VALUE"""),-0.615586216848322)</f>
        <v>-0.61558621684832204</v>
      </c>
      <c r="CX84" s="3">
        <f ca="1">IFERROR(__xludf.DUMMYFUNCTION("""COMPUTED_VALUE"""),-0.615230798104379)</f>
        <v>-0.61523079810437897</v>
      </c>
      <c r="CY84" s="3">
        <f ca="1">IFERROR(__xludf.DUMMYFUNCTION("""COMPUTED_VALUE"""),-0.615894117369422)</f>
        <v>-0.61589411736942201</v>
      </c>
      <c r="CZ84" s="3">
        <f ca="1">IFERROR(__xludf.DUMMYFUNCTION("""COMPUTED_VALUE"""),-0.718824846463621)</f>
        <v>-0.71882484646362099</v>
      </c>
      <c r="DA84" s="3">
        <f ca="1">IFERROR(__xludf.DUMMYFUNCTION("""COMPUTED_VALUE"""),-0.5710254883079)</f>
        <v>-0.57102548830790001</v>
      </c>
      <c r="DB84" s="3">
        <f ca="1">IFERROR(__xludf.DUMMYFUNCTION("""COMPUTED_VALUE"""),-0.410265199024443)</f>
        <v>-0.41026519902444297</v>
      </c>
      <c r="DC84" s="3">
        <f ca="1">IFERROR(__xludf.DUMMYFUNCTION("""COMPUTED_VALUE"""),-0.546207125853607)</f>
        <v>-0.54620712585360698</v>
      </c>
      <c r="DD84" s="3">
        <f ca="1">IFERROR(__xludf.DUMMYFUNCTION("""COMPUTED_VALUE"""),-0.554410002660789)</f>
        <v>-0.55441000266078899</v>
      </c>
      <c r="DE84" s="3">
        <f ca="1">IFERROR(__xludf.DUMMYFUNCTION("""COMPUTED_VALUE"""),-0.568487598524366)</f>
        <v>-0.56848759852436603</v>
      </c>
      <c r="DF84" s="3">
        <f ca="1">IFERROR(__xludf.DUMMYFUNCTION("""COMPUTED_VALUE"""),-0.627611837680319)</f>
        <v>-0.62761183768031903</v>
      </c>
      <c r="DG84" s="3">
        <f ca="1">IFERROR(__xludf.DUMMYFUNCTION("""COMPUTED_VALUE"""),-0.785384860318928)</f>
        <v>-0.78538486031892796</v>
      </c>
      <c r="DH84" s="3">
        <f ca="1">IFERROR(__xludf.DUMMYFUNCTION("""COMPUTED_VALUE"""),-0.5886331290001)</f>
        <v>-0.58863312900010001</v>
      </c>
      <c r="DI84" s="3">
        <f ca="1">IFERROR(__xludf.DUMMYFUNCTION("""COMPUTED_VALUE"""),-0.427085895800114)</f>
        <v>-0.42708589580011402</v>
      </c>
      <c r="DJ84" s="3">
        <f ca="1">IFERROR(__xludf.DUMMYFUNCTION("""COMPUTED_VALUE"""),-0.544094117973918)</f>
        <v>-0.54409411797391805</v>
      </c>
      <c r="DK84" s="3">
        <f ca="1">IFERROR(__xludf.DUMMYFUNCTION("""COMPUTED_VALUE"""),-0.570467875453121)</f>
        <v>-0.57046787545312105</v>
      </c>
      <c r="DL84" s="3">
        <f ca="1">IFERROR(__xludf.DUMMYFUNCTION("""COMPUTED_VALUE"""),-0.550872634486857)</f>
        <v>-0.55087263448685697</v>
      </c>
      <c r="DM84" s="3">
        <f ca="1">IFERROR(__xludf.DUMMYFUNCTION("""COMPUTED_VALUE"""),-0.56185991867051)</f>
        <v>-0.56185991867050999</v>
      </c>
      <c r="DN84" s="3">
        <f ca="1">IFERROR(__xludf.DUMMYFUNCTION("""COMPUTED_VALUE"""),-0.627223739602737)</f>
        <v>-0.62722373960273703</v>
      </c>
      <c r="DO84" s="3">
        <f ca="1">IFERROR(__xludf.DUMMYFUNCTION("""COMPUTED_VALUE"""),-0.626698684606775)</f>
        <v>-0.62669868460677502</v>
      </c>
      <c r="DP84" s="3">
        <f ca="1">IFERROR(__xludf.DUMMYFUNCTION("""COMPUTED_VALUE"""),-0.522033692810308)</f>
        <v>-0.52203369281030798</v>
      </c>
      <c r="DQ84" s="3">
        <f ca="1">IFERROR(__xludf.DUMMYFUNCTION("""COMPUTED_VALUE"""),-0.607739812079389)</f>
        <v>-0.60773981207938899</v>
      </c>
      <c r="DR84" s="3">
        <f ca="1">IFERROR(__xludf.DUMMYFUNCTION("""COMPUTED_VALUE"""),-0.648898892202908)</f>
        <v>-0.64889889220290797</v>
      </c>
      <c r="DS84" s="3">
        <f ca="1">IFERROR(__xludf.DUMMYFUNCTION("""COMPUTED_VALUE"""),-0.549804942281555)</f>
        <v>-0.54980494228155496</v>
      </c>
      <c r="DT84" s="3">
        <f ca="1">IFERROR(__xludf.DUMMYFUNCTION("""COMPUTED_VALUE"""),-0.591106404578979)</f>
        <v>-0.59110640457897901</v>
      </c>
      <c r="DU84" s="3">
        <f ca="1">IFERROR(__xludf.DUMMYFUNCTION("""COMPUTED_VALUE"""),-0.661783468212183)</f>
        <v>-0.66178346821218303</v>
      </c>
      <c r="DV84" s="3">
        <f ca="1">IFERROR(__xludf.DUMMYFUNCTION("""COMPUTED_VALUE"""),-0.669787013607167)</f>
        <v>-0.66978701360716697</v>
      </c>
      <c r="DW84" s="3">
        <f ca="1">IFERROR(__xludf.DUMMYFUNCTION("""COMPUTED_VALUE"""),-0.681290379424301)</f>
        <v>-0.68129037942430104</v>
      </c>
      <c r="DX84" s="3">
        <f ca="1">IFERROR(__xludf.DUMMYFUNCTION("""COMPUTED_VALUE"""),-0.664497341486441)</f>
        <v>-0.66449734148644102</v>
      </c>
      <c r="DY84" s="3">
        <f ca="1">IFERROR(__xludf.DUMMYFUNCTION("""COMPUTED_VALUE"""),-0.63199511766928)</f>
        <v>-0.63199511766927996</v>
      </c>
      <c r="DZ84" s="3">
        <f ca="1">IFERROR(__xludf.DUMMYFUNCTION("""COMPUTED_VALUE"""),-0.510507871452508)</f>
        <v>-0.51050787145250798</v>
      </c>
      <c r="EA84" s="3">
        <f ca="1">IFERROR(__xludf.DUMMYFUNCTION("""COMPUTED_VALUE"""),-0.607447536401799)</f>
        <v>-0.60744753640179905</v>
      </c>
      <c r="EB84" s="3">
        <f ca="1">IFERROR(__xludf.DUMMYFUNCTION("""COMPUTED_VALUE"""),-0.64684369530261)</f>
        <v>-0.64684369530260999</v>
      </c>
      <c r="EC84" s="3">
        <f ca="1">IFERROR(__xludf.DUMMYFUNCTION("""COMPUTED_VALUE"""),-0.622783386167544)</f>
        <v>-0.62278338616754403</v>
      </c>
      <c r="ED84" s="3">
        <f ca="1">IFERROR(__xludf.DUMMYFUNCTION("""COMPUTED_VALUE"""),-0.672166837589172)</f>
        <v>-0.67216683758917195</v>
      </c>
      <c r="EE84" s="3">
        <f ca="1">IFERROR(__xludf.DUMMYFUNCTION("""COMPUTED_VALUE"""),-0.644028164271361)</f>
        <v>-0.644028164271361</v>
      </c>
      <c r="EF84" s="3">
        <f ca="1">IFERROR(__xludf.DUMMYFUNCTION("""COMPUTED_VALUE"""),-0.657311678927905)</f>
        <v>-0.65731167892790499</v>
      </c>
      <c r="EG84" s="3">
        <f ca="1">IFERROR(__xludf.DUMMYFUNCTION("""COMPUTED_VALUE"""),-0.52710540952087)</f>
        <v>-0.52710540952087004</v>
      </c>
      <c r="EH84" s="3">
        <f ca="1">IFERROR(__xludf.DUMMYFUNCTION("""COMPUTED_VALUE"""),-0.599630477277173)</f>
        <v>-0.599630477277173</v>
      </c>
      <c r="EI84" s="3">
        <f ca="1">IFERROR(__xludf.DUMMYFUNCTION("""COMPUTED_VALUE"""),-0.661979983653923)</f>
        <v>-0.66197998365392297</v>
      </c>
      <c r="EJ84" s="3">
        <f ca="1">IFERROR(__xludf.DUMMYFUNCTION("""COMPUTED_VALUE"""),-0.727591514154159)</f>
        <v>-0.72759151415415901</v>
      </c>
      <c r="EK84" s="3">
        <f ca="1">IFERROR(__xludf.DUMMYFUNCTION("""COMPUTED_VALUE"""),-0.653074704327984)</f>
        <v>-0.65307470432798398</v>
      </c>
      <c r="EL84" s="3">
        <f ca="1">IFERROR(__xludf.DUMMYFUNCTION("""COMPUTED_VALUE"""),-0.643932252037482)</f>
        <v>-0.64393225203748194</v>
      </c>
      <c r="EM84" s="3">
        <f ca="1">IFERROR(__xludf.DUMMYFUNCTION("""COMPUTED_VALUE"""),-0.615540653703823)</f>
        <v>-0.61554065370382305</v>
      </c>
      <c r="EN84" s="3">
        <f ca="1">IFERROR(__xludf.DUMMYFUNCTION("""COMPUTED_VALUE"""),-0.488705325425804)</f>
        <v>-0.48870532542580403</v>
      </c>
      <c r="EO84" s="3">
        <f ca="1">IFERROR(__xludf.DUMMYFUNCTION("""COMPUTED_VALUE"""),-0.542350329914527)</f>
        <v>-0.54235032991452703</v>
      </c>
      <c r="EP84" s="3">
        <f ca="1">IFERROR(__xludf.DUMMYFUNCTION("""COMPUTED_VALUE"""),-0.593805014655559)</f>
        <v>-0.59380501465555902</v>
      </c>
      <c r="EQ84" s="3">
        <f ca="1">IFERROR(__xludf.DUMMYFUNCTION("""COMPUTED_VALUE"""),-0.608988748440522)</f>
        <v>-0.60898874844052198</v>
      </c>
      <c r="ER84" s="3">
        <f ca="1">IFERROR(__xludf.DUMMYFUNCTION("""COMPUTED_VALUE"""),-0.65557414818737)</f>
        <v>-0.65557414818737003</v>
      </c>
      <c r="ES84" s="3">
        <f ca="1">IFERROR(__xludf.DUMMYFUNCTION("""COMPUTED_VALUE"""),-0.644301362143184)</f>
        <v>-0.64430136214318401</v>
      </c>
      <c r="ET84" s="3">
        <f ca="1">IFERROR(__xludf.DUMMYFUNCTION("""COMPUTED_VALUE"""),-0.603657727684603)</f>
        <v>-0.60365772768460302</v>
      </c>
      <c r="EU84" s="3">
        <f ca="1">IFERROR(__xludf.DUMMYFUNCTION("""COMPUTED_VALUE"""),-0.530521633300558)</f>
        <v>-0.53052163330055802</v>
      </c>
      <c r="EV84" s="3">
        <f ca="1">IFERROR(__xludf.DUMMYFUNCTION("""COMPUTED_VALUE"""),-0.552885964327307)</f>
        <v>-0.55288596432730697</v>
      </c>
      <c r="EW84" s="3">
        <f ca="1">IFERROR(__xludf.DUMMYFUNCTION("""COMPUTED_VALUE"""),-0.655474891977509)</f>
        <v>-0.65547489197750897</v>
      </c>
      <c r="EX84" s="3">
        <f ca="1">IFERROR(__xludf.DUMMYFUNCTION("""COMPUTED_VALUE"""),-0.666202280585043)</f>
        <v>-0.66620228058504305</v>
      </c>
      <c r="EY84" s="3">
        <f ca="1">IFERROR(__xludf.DUMMYFUNCTION("""COMPUTED_VALUE"""),-0.669500940232869)</f>
        <v>-0.66950094023286899</v>
      </c>
      <c r="EZ84" s="3">
        <f ca="1">IFERROR(__xludf.DUMMYFUNCTION("""COMPUTED_VALUE"""),-0.590685754353878)</f>
        <v>-0.59068575435387805</v>
      </c>
      <c r="FA84" s="3">
        <f ca="1">IFERROR(__xludf.DUMMYFUNCTION("""COMPUTED_VALUE"""),-0.552172112878582)</f>
        <v>-0.55217211287858203</v>
      </c>
      <c r="FB84" s="3">
        <f ca="1">IFERROR(__xludf.DUMMYFUNCTION("""COMPUTED_VALUE"""),-0.478726254044021)</f>
        <v>-0.47872625404402103</v>
      </c>
      <c r="FC84" s="3">
        <f ca="1">IFERROR(__xludf.DUMMYFUNCTION("""COMPUTED_VALUE"""),-0.54792857650984)</f>
        <v>-0.54792857650983995</v>
      </c>
      <c r="FD84" s="3">
        <f ca="1">IFERROR(__xludf.DUMMYFUNCTION("""COMPUTED_VALUE"""),-0.611548231676028)</f>
        <v>-0.61154823167602801</v>
      </c>
      <c r="FE84" s="3">
        <f ca="1">IFERROR(__xludf.DUMMYFUNCTION("""COMPUTED_VALUE"""),-0.62073363539711)</f>
        <v>-0.62073363539711002</v>
      </c>
      <c r="FF84" s="3">
        <f ca="1">IFERROR(__xludf.DUMMYFUNCTION("""COMPUTED_VALUE"""),-0.654196434428493)</f>
        <v>-0.65419643442849296</v>
      </c>
      <c r="FG84" s="3">
        <f ca="1">IFERROR(__xludf.DUMMYFUNCTION("""COMPUTED_VALUE"""),-0.636006512207306)</f>
        <v>-0.63600651220730597</v>
      </c>
      <c r="FH84" s="3">
        <f ca="1">IFERROR(__xludf.DUMMYFUNCTION("""COMPUTED_VALUE"""),-0.591867765822044)</f>
        <v>-0.59186776582204403</v>
      </c>
      <c r="FI84" s="3">
        <f ca="1">IFERROR(__xludf.DUMMYFUNCTION("""COMPUTED_VALUE"""),-0.500787190834271)</f>
        <v>-0.50078719083427103</v>
      </c>
      <c r="FJ84" s="3">
        <f ca="1">IFERROR(__xludf.DUMMYFUNCTION("""COMPUTED_VALUE"""),-0.544750100200529)</f>
        <v>-0.54475010020052905</v>
      </c>
      <c r="FK84" s="3">
        <f ca="1">IFERROR(__xludf.DUMMYFUNCTION("""COMPUTED_VALUE"""),-0.681892821190015)</f>
        <v>-0.68189282119001504</v>
      </c>
      <c r="FL84" s="3">
        <f ca="1">IFERROR(__xludf.DUMMYFUNCTION("""COMPUTED_VALUE"""),-0.684477997884649)</f>
        <v>-0.68447799788464903</v>
      </c>
      <c r="FM84" s="3">
        <f ca="1">IFERROR(__xludf.DUMMYFUNCTION("""COMPUTED_VALUE"""),-0.644733425518759)</f>
        <v>-0.64473342551875901</v>
      </c>
      <c r="FN84" s="3">
        <f ca="1">IFERROR(__xludf.DUMMYFUNCTION("""COMPUTED_VALUE"""),-0.609493398138539)</f>
        <v>-0.60949339813853898</v>
      </c>
      <c r="FO84" s="3">
        <f ca="1">IFERROR(__xludf.DUMMYFUNCTION("""COMPUTED_VALUE"""),-0.620934771722005)</f>
        <v>-0.62093477172200495</v>
      </c>
      <c r="FP84" s="3">
        <f ca="1">IFERROR(__xludf.DUMMYFUNCTION("""COMPUTED_VALUE"""),-0.496213991153329)</f>
        <v>-0.49621399115332898</v>
      </c>
      <c r="FQ84" s="3">
        <f ca="1">IFERROR(__xludf.DUMMYFUNCTION("""COMPUTED_VALUE"""),-0.550130819884107)</f>
        <v>-0.55013081988410695</v>
      </c>
      <c r="FR84" s="3">
        <f ca="1">IFERROR(__xludf.DUMMYFUNCTION("""COMPUTED_VALUE"""),-0.64011720923878)</f>
        <v>-0.64011720923878002</v>
      </c>
      <c r="FS84" s="3">
        <f ca="1">IFERROR(__xludf.DUMMYFUNCTION("""COMPUTED_VALUE"""),-0.630818934214349)</f>
        <v>-0.63081893421434898</v>
      </c>
      <c r="FT84" s="3">
        <f ca="1">IFERROR(__xludf.DUMMYFUNCTION("""COMPUTED_VALUE"""),-0.639492099934042)</f>
        <v>-0.63949209993404199</v>
      </c>
      <c r="FU84" s="3">
        <f ca="1">IFERROR(__xludf.DUMMYFUNCTION("""COMPUTED_VALUE"""),-0.615331843996987)</f>
        <v>-0.61533184399698704</v>
      </c>
      <c r="FV84" s="3">
        <f ca="1">IFERROR(__xludf.DUMMYFUNCTION("""COMPUTED_VALUE"""),-0.568282277219894)</f>
        <v>-0.56828227721989399</v>
      </c>
      <c r="FW84" s="3">
        <f ca="1">IFERROR(__xludf.DUMMYFUNCTION("""COMPUTED_VALUE"""),-0.480984527745699)</f>
        <v>-0.480984527745699</v>
      </c>
      <c r="FX84" s="3">
        <f ca="1">IFERROR(__xludf.DUMMYFUNCTION("""COMPUTED_VALUE"""),-0.564097027955014)</f>
        <v>-0.56409702795501404</v>
      </c>
      <c r="FY84" s="3">
        <f ca="1">IFERROR(__xludf.DUMMYFUNCTION("""COMPUTED_VALUE"""),-0.684171994681537)</f>
        <v>-0.684171994681537</v>
      </c>
      <c r="FZ84" s="3">
        <f ca="1">IFERROR(__xludf.DUMMYFUNCTION("""COMPUTED_VALUE"""),-0.624646302259632)</f>
        <v>-0.62464630225963202</v>
      </c>
      <c r="GA84" s="3">
        <f ca="1">IFERROR(__xludf.DUMMYFUNCTION("""COMPUTED_VALUE"""),-0.604982808932273)</f>
        <v>-0.60498280893227296</v>
      </c>
      <c r="GB84" s="3">
        <f ca="1">IFERROR(__xludf.DUMMYFUNCTION("""COMPUTED_VALUE"""),-0.637555054083862)</f>
        <v>-0.63755505408386204</v>
      </c>
      <c r="GC84" s="3">
        <f ca="1">IFERROR(__xludf.DUMMYFUNCTION("""COMPUTED_VALUE"""),-0.628663308427886)</f>
        <v>-0.62866330842788598</v>
      </c>
      <c r="GD84" s="3">
        <f ca="1">IFERROR(__xludf.DUMMYFUNCTION("""COMPUTED_VALUE"""),-0.478711933625146)</f>
        <v>-0.47871193362514602</v>
      </c>
      <c r="GE84" s="3">
        <f ca="1">IFERROR(__xludf.DUMMYFUNCTION("""COMPUTED_VALUE"""),-0.48677176840327)</f>
        <v>-0.48677176840327002</v>
      </c>
      <c r="GF84" s="3">
        <f ca="1">IFERROR(__xludf.DUMMYFUNCTION("""COMPUTED_VALUE"""),-0.617188890549772)</f>
        <v>-0.617188890549772</v>
      </c>
      <c r="GG84" s="3">
        <f ca="1">IFERROR(__xludf.DUMMYFUNCTION("""COMPUTED_VALUE"""),-0.607053870870021)</f>
        <v>-0.60705387087002105</v>
      </c>
      <c r="GH84" s="3">
        <f ca="1">IFERROR(__xludf.DUMMYFUNCTION("""COMPUTED_VALUE"""),-0.608923815003781)</f>
        <v>-0.60892381500378101</v>
      </c>
      <c r="GI84" s="3">
        <f ca="1">IFERROR(__xludf.DUMMYFUNCTION("""COMPUTED_VALUE"""),-0.580546219354304)</f>
        <v>-0.58054621935430395</v>
      </c>
      <c r="GJ84" s="3">
        <f ca="1">IFERROR(__xludf.DUMMYFUNCTION("""COMPUTED_VALUE"""),-0.533724892701263)</f>
        <v>-0.533724892701263</v>
      </c>
      <c r="GK84" s="3">
        <f ca="1">IFERROR(__xludf.DUMMYFUNCTION("""COMPUTED_VALUE"""),-0.525956262677567)</f>
        <v>-0.52595626267756701</v>
      </c>
      <c r="GL84" s="3">
        <f ca="1">IFERROR(__xludf.DUMMYFUNCTION("""COMPUTED_VALUE"""),-0.557360550819309)</f>
        <v>-0.55736055081930902</v>
      </c>
      <c r="GM84" s="3">
        <f ca="1">IFERROR(__xludf.DUMMYFUNCTION("""COMPUTED_VALUE"""),-0.618366703475033)</f>
        <v>-0.61836670347503297</v>
      </c>
      <c r="GN84" s="3">
        <f ca="1">IFERROR(__xludf.DUMMYFUNCTION("""COMPUTED_VALUE"""),-0.617405065883484)</f>
        <v>-0.61740506588348398</v>
      </c>
      <c r="GO84" s="3">
        <f ca="1">IFERROR(__xludf.DUMMYFUNCTION("""COMPUTED_VALUE"""),-0.62732395586555)</f>
        <v>-0.62732395586555001</v>
      </c>
      <c r="GP84" s="3">
        <f ca="1">IFERROR(__xludf.DUMMYFUNCTION("""COMPUTED_VALUE"""),-0.624849177022545)</f>
        <v>-0.62484917702254505</v>
      </c>
      <c r="GQ84" s="3">
        <f ca="1">IFERROR(__xludf.DUMMYFUNCTION("""COMPUTED_VALUE"""),-0.586719927264739)</f>
        <v>-0.58671992726473898</v>
      </c>
      <c r="GR84" s="3">
        <f ca="1">IFERROR(__xludf.DUMMYFUNCTION("""COMPUTED_VALUE"""),-0.506211591519409)</f>
        <v>-0.50621159151940898</v>
      </c>
      <c r="GS84" s="3">
        <f ca="1">IFERROR(__xludf.DUMMYFUNCTION("""COMPUTED_VALUE"""),-0.556887756968514)</f>
        <v>-0.556887756968514</v>
      </c>
      <c r="GT84" s="3">
        <f ca="1">IFERROR(__xludf.DUMMYFUNCTION("""COMPUTED_VALUE"""),-0.641820892307819)</f>
        <v>-0.64182089230781902</v>
      </c>
      <c r="GU84" s="3">
        <f ca="1">IFERROR(__xludf.DUMMYFUNCTION("""COMPUTED_VALUE"""),-0.640077856318235)</f>
        <v>-0.64007785631823499</v>
      </c>
      <c r="GV84" s="3">
        <f ca="1">IFERROR(__xludf.DUMMYFUNCTION("""COMPUTED_VALUE"""),-0.643231792111611)</f>
        <v>-0.64323179211161097</v>
      </c>
      <c r="GW84" s="3">
        <f ca="1">IFERROR(__xludf.DUMMYFUNCTION("""COMPUTED_VALUE"""),-0.616464464499205)</f>
        <v>-0.616464464499205</v>
      </c>
      <c r="GX84" s="3">
        <f ca="1">IFERROR(__xludf.DUMMYFUNCTION("""COMPUTED_VALUE"""),-0.570990517588673)</f>
        <v>-0.57099051758867303</v>
      </c>
      <c r="GY84" s="3">
        <f ca="1">IFERROR(__xludf.DUMMYFUNCTION("""COMPUTED_VALUE"""),-0.45564647209667)</f>
        <v>-0.45564647209666997</v>
      </c>
      <c r="GZ84" s="3">
        <f ca="1">IFERROR(__xludf.DUMMYFUNCTION("""COMPUTED_VALUE"""),-0.542230138252522)</f>
        <v>-0.54223013825252198</v>
      </c>
      <c r="HA84" s="3">
        <f ca="1">IFERROR(__xludf.DUMMYFUNCTION("""COMPUTED_VALUE"""),-0.628553727193305)</f>
        <v>-0.62855372719330505</v>
      </c>
      <c r="HB84" s="3">
        <f ca="1">IFERROR(__xludf.DUMMYFUNCTION("""COMPUTED_VALUE"""),-0.647382765633358)</f>
        <v>-0.64738276563335795</v>
      </c>
      <c r="HC84" s="3">
        <f ca="1">IFERROR(__xludf.DUMMYFUNCTION("""COMPUTED_VALUE"""),-0.64701127941331)</f>
        <v>-0.64701127941331005</v>
      </c>
      <c r="HD84" s="3">
        <f ca="1">IFERROR(__xludf.DUMMYFUNCTION("""COMPUTED_VALUE"""),-0.633375826800576)</f>
        <v>-0.63337582680057603</v>
      </c>
      <c r="HE84" s="3">
        <f ca="1">IFERROR(__xludf.DUMMYFUNCTION("""COMPUTED_VALUE"""),-0.605963758473159)</f>
        <v>-0.60596375847315898</v>
      </c>
      <c r="HF84" s="3">
        <f ca="1">IFERROR(__xludf.DUMMYFUNCTION("""COMPUTED_VALUE"""),-0.51497678890624)</f>
        <v>-0.51497678890623999</v>
      </c>
      <c r="HG84" s="3">
        <f ca="1">IFERROR(__xludf.DUMMYFUNCTION("""COMPUTED_VALUE"""),-0.538494413606117)</f>
        <v>-0.53849441360611705</v>
      </c>
      <c r="HH84" s="3">
        <f ca="1">IFERROR(__xludf.DUMMYFUNCTION("""COMPUTED_VALUE"""),-0.632498089984713)</f>
        <v>-0.63249808998471302</v>
      </c>
      <c r="HI84" s="3">
        <f ca="1">IFERROR(__xludf.DUMMYFUNCTION("""COMPUTED_VALUE"""),-0.663428592138372)</f>
        <v>-0.66342859213837202</v>
      </c>
      <c r="HJ84" s="3">
        <f ca="1">IFERROR(__xludf.DUMMYFUNCTION("""COMPUTED_VALUE"""),-0.635279748852909)</f>
        <v>-0.63527974885290905</v>
      </c>
      <c r="HK84" s="3">
        <f ca="1">IFERROR(__xludf.DUMMYFUNCTION("""COMPUTED_VALUE"""),-0.637071774106833)</f>
        <v>-0.63707177410683302</v>
      </c>
      <c r="HL84" s="3">
        <f ca="1">IFERROR(__xludf.DUMMYFUNCTION("""COMPUTED_VALUE"""),-0.62828265638437)</f>
        <v>-0.62828265638436998</v>
      </c>
      <c r="HM84" s="3">
        <f ca="1">IFERROR(__xludf.DUMMYFUNCTION("""COMPUTED_VALUE"""),-0.483852946810277)</f>
        <v>-0.48385294681027702</v>
      </c>
      <c r="HN84" s="3">
        <f ca="1">IFERROR(__xludf.DUMMYFUNCTION("""COMPUTED_VALUE"""),-0.517906028973019)</f>
        <v>-0.51790602897301896</v>
      </c>
      <c r="HO84" s="3">
        <f ca="1">IFERROR(__xludf.DUMMYFUNCTION("""COMPUTED_VALUE"""),-0.599335066846945)</f>
        <v>-0.59933506684694504</v>
      </c>
      <c r="HP84" s="3">
        <f ca="1">IFERROR(__xludf.DUMMYFUNCTION("""COMPUTED_VALUE"""),-0.629845829057289)</f>
        <v>-0.62984582905728903</v>
      </c>
      <c r="HQ84" s="3">
        <f ca="1">IFERROR(__xludf.DUMMYFUNCTION("""COMPUTED_VALUE"""),-0.637154857192649)</f>
        <v>-0.63715485719264897</v>
      </c>
      <c r="HR84" s="3">
        <f ca="1">IFERROR(__xludf.DUMMYFUNCTION("""COMPUTED_VALUE"""),-0.599633781851113)</f>
        <v>-0.59963378185111305</v>
      </c>
      <c r="HS84" s="3">
        <f ca="1">IFERROR(__xludf.DUMMYFUNCTION("""COMPUTED_VALUE"""),-0.523571838256387)</f>
        <v>-0.52357183825638698</v>
      </c>
      <c r="HT84" s="3">
        <f ca="1">IFERROR(__xludf.DUMMYFUNCTION("""COMPUTED_VALUE"""),-0.43301695819793)</f>
        <v>-0.43301695819793001</v>
      </c>
      <c r="HU84" s="3">
        <f ca="1">IFERROR(__xludf.DUMMYFUNCTION("""COMPUTED_VALUE"""),-0.533272544437959)</f>
        <v>-0.53327254443795902</v>
      </c>
      <c r="HV84" s="3">
        <f ca="1">IFERROR(__xludf.DUMMYFUNCTION("""COMPUTED_VALUE"""),-0.540212843005923)</f>
        <v>-0.54021284300592298</v>
      </c>
      <c r="HW84" s="3">
        <f ca="1">IFERROR(__xludf.DUMMYFUNCTION("""COMPUTED_VALUE"""),-0.563639277391066)</f>
        <v>-0.56363927739106601</v>
      </c>
      <c r="HX84" s="3">
        <f ca="1">IFERROR(__xludf.DUMMYFUNCTION("""COMPUTED_VALUE"""),-0.54913952609724)</f>
        <v>-0.54913952609724004</v>
      </c>
      <c r="HY84" s="3">
        <f ca="1">IFERROR(__xludf.DUMMYFUNCTION("""COMPUTED_VALUE"""),-0.511984138933244)</f>
        <v>-0.51198413893324402</v>
      </c>
      <c r="HZ84" s="3">
        <f ca="1">IFERROR(__xludf.DUMMYFUNCTION("""COMPUTED_VALUE"""),-0.434886924150617)</f>
        <v>-0.43488692415061703</v>
      </c>
      <c r="IA84" s="3">
        <f ca="1">IFERROR(__xludf.DUMMYFUNCTION("""COMPUTED_VALUE"""),-0.470908573981914)</f>
        <v>-0.47090857398191399</v>
      </c>
      <c r="IB84" s="3">
        <f ca="1">IFERROR(__xludf.DUMMYFUNCTION("""COMPUTED_VALUE"""),-0.494489480612613)</f>
        <v>-0.494489480612613</v>
      </c>
      <c r="IC84" s="3">
        <f ca="1">IFERROR(__xludf.DUMMYFUNCTION("""COMPUTED_VALUE"""),-0.509308859849981)</f>
        <v>-0.50930885984998098</v>
      </c>
      <c r="ID84" s="3">
        <f ca="1">IFERROR(__xludf.DUMMYFUNCTION("""COMPUTED_VALUE"""),-0.539939211046265)</f>
        <v>-0.53993921104626497</v>
      </c>
      <c r="IE84" s="3">
        <f ca="1">IFERROR(__xludf.DUMMYFUNCTION("""COMPUTED_VALUE"""),-0.56917524791336)</f>
        <v>-0.56917524791336005</v>
      </c>
      <c r="IF84" s="3">
        <f ca="1">IFERROR(__xludf.DUMMYFUNCTION("""COMPUTED_VALUE"""),-0.522141695284912)</f>
        <v>-0.52214169528491206</v>
      </c>
      <c r="IG84" s="3">
        <f ca="1">IFERROR(__xludf.DUMMYFUNCTION("""COMPUTED_VALUE"""),-0.523855140954502)</f>
        <v>-0.52385514095450203</v>
      </c>
      <c r="IH84" s="3">
        <f ca="1">IFERROR(__xludf.DUMMYFUNCTION("""COMPUTED_VALUE"""),-0.570385767976473)</f>
        <v>-0.570385767976473</v>
      </c>
      <c r="II84" s="3">
        <f ca="1">IFERROR(__xludf.DUMMYFUNCTION("""COMPUTED_VALUE"""),-0.512600249562049)</f>
        <v>-0.51260024956204897</v>
      </c>
      <c r="IJ84" s="3">
        <f ca="1">IFERROR(__xludf.DUMMYFUNCTION("""COMPUTED_VALUE"""),-0.531074560957741)</f>
        <v>-0.53107456095774097</v>
      </c>
      <c r="IK84" s="3">
        <f ca="1">IFERROR(__xludf.DUMMYFUNCTION("""COMPUTED_VALUE"""),-0.601712173231064)</f>
        <v>-0.60171217323106396</v>
      </c>
      <c r="IL84" s="3">
        <f ca="1">IFERROR(__xludf.DUMMYFUNCTION("""COMPUTED_VALUE"""),-0.571276736572124)</f>
        <v>-0.57127673657212397</v>
      </c>
      <c r="IM84" s="3">
        <f ca="1">IFERROR(__xludf.DUMMYFUNCTION("""COMPUTED_VALUE"""),-0.536906266887803)</f>
        <v>-0.53690626688780296</v>
      </c>
      <c r="IN84" s="3">
        <f ca="1">IFERROR(__xludf.DUMMYFUNCTION("""COMPUTED_VALUE"""),-0.513123037746689)</f>
        <v>-0.51312303774668899</v>
      </c>
      <c r="IO84" s="3">
        <f ca="1">IFERROR(__xludf.DUMMYFUNCTION("""COMPUTED_VALUE"""),-0.527518433209396)</f>
        <v>-0.52751843320939595</v>
      </c>
      <c r="IP84" s="3">
        <f ca="1">IFERROR(__xludf.DUMMYFUNCTION("""COMPUTED_VALUE"""),-0.580512454322907)</f>
        <v>-0.58051245432290699</v>
      </c>
      <c r="IQ84" s="3">
        <f ca="1">IFERROR(__xludf.DUMMYFUNCTION("""COMPUTED_VALUE"""),-0.580480108097217)</f>
        <v>-0.58048010809721695</v>
      </c>
      <c r="IR84" s="3">
        <f ca="1">IFERROR(__xludf.DUMMYFUNCTION("""COMPUTED_VALUE"""),-0.572215042262258)</f>
        <v>-0.57221504226225794</v>
      </c>
      <c r="IS84" s="3">
        <f ca="1">IFERROR(__xludf.DUMMYFUNCTION("""COMPUTED_VALUE"""),-0.515624994089856)</f>
        <v>-0.51562499408985596</v>
      </c>
      <c r="IT84" s="3">
        <f ca="1">IFERROR(__xludf.DUMMYFUNCTION("""COMPUTED_VALUE"""),-0.578479438615813)</f>
        <v>-0.57847943861581297</v>
      </c>
      <c r="IU84" s="3">
        <f ca="1">IFERROR(__xludf.DUMMYFUNCTION("""COMPUTED_VALUE"""),-0.562171492613592)</f>
        <v>-0.56217149261359201</v>
      </c>
      <c r="IV84" s="3">
        <f ca="1">IFERROR(__xludf.DUMMYFUNCTION("""COMPUTED_VALUE"""),-0.578843970692752)</f>
        <v>-0.57884397069275195</v>
      </c>
      <c r="IW84" s="3">
        <f ca="1">IFERROR(__xludf.DUMMYFUNCTION("""COMPUTED_VALUE"""),-0.565013490610541)</f>
        <v>-0.56501349061054096</v>
      </c>
      <c r="IX84" s="3">
        <f ca="1">IFERROR(__xludf.DUMMYFUNCTION("""COMPUTED_VALUE"""),-0.609624373982332)</f>
        <v>-0.60962437398233205</v>
      </c>
      <c r="IY84" s="3">
        <f ca="1">IFERROR(__xludf.DUMMYFUNCTION("""COMPUTED_VALUE"""),-0.620505429158476)</f>
        <v>-0.62050542915847595</v>
      </c>
      <c r="IZ84" s="3">
        <f ca="1">IFERROR(__xludf.DUMMYFUNCTION("""COMPUTED_VALUE"""),-0.603562817035559)</f>
        <v>-0.60356281703555903</v>
      </c>
      <c r="JA84" s="3">
        <f ca="1">IFERROR(__xludf.DUMMYFUNCTION("""COMPUTED_VALUE"""),-0.614578588137496)</f>
        <v>-0.614578588137496</v>
      </c>
      <c r="JB84" s="3">
        <f ca="1">IFERROR(__xludf.DUMMYFUNCTION("""COMPUTED_VALUE"""),-0.587390432467842)</f>
        <v>-0.58739043246784195</v>
      </c>
      <c r="JC84" s="3">
        <f ca="1">IFERROR(__xludf.DUMMYFUNCTION("""COMPUTED_VALUE"""),-0.526710777609432)</f>
        <v>-0.52671077760943197</v>
      </c>
      <c r="JD84" s="3">
        <f ca="1">IFERROR(__xludf.DUMMYFUNCTION("""COMPUTED_VALUE"""),-0.562563031408568)</f>
        <v>-0.562563031408568</v>
      </c>
      <c r="JE84" s="3">
        <f ca="1">IFERROR(__xludf.DUMMYFUNCTION("""COMPUTED_VALUE"""),-0.657965914511653)</f>
        <v>-0.65796591451165298</v>
      </c>
      <c r="JF84" s="3">
        <f ca="1">IFERROR(__xludf.DUMMYFUNCTION("""COMPUTED_VALUE"""),-0.643707316260873)</f>
        <v>-0.64370731626087296</v>
      </c>
      <c r="JG84" s="3">
        <f ca="1">IFERROR(__xludf.DUMMYFUNCTION("""COMPUTED_VALUE"""),-0.640106595411141)</f>
        <v>-0.64010659541114101</v>
      </c>
      <c r="JH84" s="3">
        <f ca="1">IFERROR(__xludf.DUMMYFUNCTION("""COMPUTED_VALUE"""),-0.627860994834068)</f>
        <v>-0.62786099483406799</v>
      </c>
      <c r="JI84" s="3">
        <f ca="1">IFERROR(__xludf.DUMMYFUNCTION("""COMPUTED_VALUE"""),-0.605773516114826)</f>
        <v>-0.60577351611482599</v>
      </c>
      <c r="JJ84" s="3">
        <f ca="1">IFERROR(__xludf.DUMMYFUNCTION("""COMPUTED_VALUE"""),-0.552819307435224)</f>
        <v>-0.55281930743522401</v>
      </c>
      <c r="JK84" s="3">
        <f ca="1">IFERROR(__xludf.DUMMYFUNCTION("""COMPUTED_VALUE"""),-0.611829682792963)</f>
        <v>-0.61182968279296301</v>
      </c>
      <c r="JL84" s="3">
        <f ca="1">IFERROR(__xludf.DUMMYFUNCTION("""COMPUTED_VALUE"""),-0.64920089169456)</f>
        <v>-0.64920089169455997</v>
      </c>
      <c r="JM84" s="3">
        <f ca="1">IFERROR(__xludf.DUMMYFUNCTION("""COMPUTED_VALUE"""),-0.645463741112908)</f>
        <v>-0.64546374111290805</v>
      </c>
      <c r="JN84" s="3">
        <f ca="1">IFERROR(__xludf.DUMMYFUNCTION("""COMPUTED_VALUE"""),-0.646382421914944)</f>
        <v>-0.64638242191494399</v>
      </c>
      <c r="JO84" s="3">
        <f ca="1">IFERROR(__xludf.DUMMYFUNCTION("""COMPUTED_VALUE"""),-0.630945834634787)</f>
        <v>-0.63094583463478704</v>
      </c>
      <c r="JP84" s="3">
        <f ca="1">IFERROR(__xludf.DUMMYFUNCTION("""COMPUTED_VALUE"""),-0.607243730122775)</f>
        <v>-0.60724373012277499</v>
      </c>
      <c r="JQ84" s="3">
        <f ca="1">IFERROR(__xludf.DUMMYFUNCTION("""COMPUTED_VALUE"""),-0.595807938797958)</f>
        <v>-0.59580793879795801</v>
      </c>
      <c r="JR84" s="3">
        <f ca="1">IFERROR(__xludf.DUMMYFUNCTION("""COMPUTED_VALUE"""),-0.672756177576158)</f>
        <v>-0.67275617757615802</v>
      </c>
      <c r="JS84" s="3">
        <f ca="1">IFERROR(__xludf.DUMMYFUNCTION("""COMPUTED_VALUE"""),-0.666025994416536)</f>
        <v>-0.66602599441653598</v>
      </c>
      <c r="JT84" s="3">
        <f ca="1">IFERROR(__xludf.DUMMYFUNCTION("""COMPUTED_VALUE"""),-0.572545429611855)</f>
        <v>-0.57254542961185495</v>
      </c>
      <c r="JU84" s="3">
        <f ca="1">IFERROR(__xludf.DUMMYFUNCTION("""COMPUTED_VALUE"""),-0.652546378981996)</f>
        <v>-0.65254637898199597</v>
      </c>
      <c r="JV84" s="3">
        <f ca="1">IFERROR(__xludf.DUMMYFUNCTION("""COMPUTED_VALUE"""),-0.649090746575811)</f>
        <v>-0.64909074657581101</v>
      </c>
      <c r="JW84" s="3">
        <f ca="1">IFERROR(__xludf.DUMMYFUNCTION("""COMPUTED_VALUE"""),-0.623734324470385)</f>
        <v>-0.62373432447038502</v>
      </c>
      <c r="JX84" s="3">
        <f ca="1">IFERROR(__xludf.DUMMYFUNCTION("""COMPUTED_VALUE"""),-0.616575537651553)</f>
        <v>-0.61657553765155304</v>
      </c>
      <c r="JY84" s="3">
        <f ca="1">IFERROR(__xludf.DUMMYFUNCTION("""COMPUTED_VALUE"""),-0.684516686983858)</f>
        <v>-0.68451668698385804</v>
      </c>
      <c r="JZ84" s="3">
        <f ca="1">IFERROR(__xludf.DUMMYFUNCTION("""COMPUTED_VALUE"""),-0.604379628343934)</f>
        <v>-0.60437962834393399</v>
      </c>
      <c r="KA84" s="3">
        <f ca="1">IFERROR(__xludf.DUMMYFUNCTION("""COMPUTED_VALUE"""),-0.596944959296509)</f>
        <v>-0.59694495929650904</v>
      </c>
      <c r="KB84" s="3">
        <f ca="1">IFERROR(__xludf.DUMMYFUNCTION("""COMPUTED_VALUE"""),-0.689449365640321)</f>
        <v>-0.689449365640321</v>
      </c>
      <c r="KC84" s="3">
        <f ca="1">IFERROR(__xludf.DUMMYFUNCTION("""COMPUTED_VALUE"""),-0.64854125511407)</f>
        <v>-0.64854125511407001</v>
      </c>
      <c r="KD84" s="3">
        <f ca="1">IFERROR(__xludf.DUMMYFUNCTION("""COMPUTED_VALUE"""),-0.607241533040094)</f>
        <v>-0.60724153304009398</v>
      </c>
      <c r="KE84" s="3">
        <f ca="1">IFERROR(__xludf.DUMMYFUNCTION("""COMPUTED_VALUE"""),-0.639773456679526)</f>
        <v>-0.63977345667952601</v>
      </c>
      <c r="KF84" s="3">
        <f ca="1">IFERROR(__xludf.DUMMYFUNCTION("""COMPUTED_VALUE"""),-0.63755138586957)</f>
        <v>-0.63755138586957005</v>
      </c>
      <c r="KG84" s="3">
        <f ca="1">IFERROR(__xludf.DUMMYFUNCTION("""COMPUTED_VALUE"""),-0.609960268006313)</f>
        <v>-0.60996026800631298</v>
      </c>
      <c r="KH84" s="3">
        <f ca="1">IFERROR(__xludf.DUMMYFUNCTION("""COMPUTED_VALUE"""),-0.622628802299676)</f>
        <v>-0.62262880229967599</v>
      </c>
      <c r="KI84" s="3">
        <f ca="1">IFERROR(__xludf.DUMMYFUNCTION("""COMPUTED_VALUE"""),-0.662762334755257)</f>
        <v>-0.66276233475525703</v>
      </c>
      <c r="KJ84" s="3">
        <f ca="1">IFERROR(__xludf.DUMMYFUNCTION("""COMPUTED_VALUE"""),-0.641138217572523)</f>
        <v>-0.64113821757252298</v>
      </c>
      <c r="KK84" s="3">
        <f ca="1">IFERROR(__xludf.DUMMYFUNCTION("""COMPUTED_VALUE"""),-0.641912550073578)</f>
        <v>-0.64191255007357795</v>
      </c>
      <c r="KL84" s="3">
        <f ca="1">IFERROR(__xludf.DUMMYFUNCTION("""COMPUTED_VALUE"""),-0.67736178792285)</f>
        <v>-0.67736178792284996</v>
      </c>
      <c r="KM84" s="3">
        <f ca="1">IFERROR(__xludf.DUMMYFUNCTION("""COMPUTED_VALUE"""),-0.689039559852732)</f>
        <v>-0.68903955985273202</v>
      </c>
      <c r="KN84" s="3">
        <f ca="1">IFERROR(__xludf.DUMMYFUNCTION("""COMPUTED_VALUE"""),-0.693985870922236)</f>
        <v>-0.69398587092223596</v>
      </c>
      <c r="KO84" s="3">
        <f ca="1">IFERROR(__xludf.DUMMYFUNCTION("""COMPUTED_VALUE"""),-0.713328134663106)</f>
        <v>-0.71332813466310596</v>
      </c>
      <c r="KP84" s="3">
        <f ca="1">IFERROR(__xludf.DUMMYFUNCTION("""COMPUTED_VALUE"""),-0.717757081387456)</f>
        <v>-0.71775708138745598</v>
      </c>
      <c r="KQ84" s="3">
        <f ca="1">IFERROR(__xludf.DUMMYFUNCTION("""COMPUTED_VALUE"""),-0.682213051600064)</f>
        <v>-0.68221305160006396</v>
      </c>
      <c r="KR84" s="3">
        <f ca="1">IFERROR(__xludf.DUMMYFUNCTION("""COMPUTED_VALUE"""),-0.674430554672759)</f>
        <v>-0.67443055467275903</v>
      </c>
      <c r="KS84" s="3">
        <f ca="1">IFERROR(__xludf.DUMMYFUNCTION("""COMPUTED_VALUE"""),-0.682834337044151)</f>
        <v>-0.68283433704415097</v>
      </c>
      <c r="KT84" s="3">
        <f ca="1">IFERROR(__xludf.DUMMYFUNCTION("""COMPUTED_VALUE"""),-0.70451245036737)</f>
        <v>-0.70451245036736998</v>
      </c>
      <c r="KU84" s="3">
        <f ca="1">IFERROR(__xludf.DUMMYFUNCTION("""COMPUTED_VALUE"""),-0.698124003549967)</f>
        <v>-0.69812400354996695</v>
      </c>
      <c r="KV84" s="3">
        <f ca="1">IFERROR(__xludf.DUMMYFUNCTION("""COMPUTED_VALUE"""),-0.723365196955337)</f>
        <v>-0.72336519695533696</v>
      </c>
      <c r="KW84" s="3">
        <f ca="1">IFERROR(__xludf.DUMMYFUNCTION("""COMPUTED_VALUE"""),-0.697174483941772)</f>
        <v>-0.69717448394177195</v>
      </c>
      <c r="KX84" s="3">
        <f ca="1">IFERROR(__xludf.DUMMYFUNCTION("""COMPUTED_VALUE"""),-0.669687249147383)</f>
        <v>-0.66968724914738298</v>
      </c>
      <c r="KY84" s="3">
        <f ca="1">IFERROR(__xludf.DUMMYFUNCTION("""COMPUTED_VALUE"""),-0.660202832874677)</f>
        <v>-0.66020283287467696</v>
      </c>
      <c r="KZ84" s="3">
        <f ca="1">IFERROR(__xludf.DUMMYFUNCTION("""COMPUTED_VALUE"""),-0.69206739985277)</f>
        <v>-0.69206739985276999</v>
      </c>
      <c r="LA84" s="3">
        <f ca="1">IFERROR(__xludf.DUMMYFUNCTION("""COMPUTED_VALUE"""),-0.727171068153233)</f>
        <v>-0.72717106815323296</v>
      </c>
      <c r="LB84" s="3">
        <f ca="1">IFERROR(__xludf.DUMMYFUNCTION("""COMPUTED_VALUE"""),-0.768197106487685)</f>
        <v>-0.76819710648768502</v>
      </c>
      <c r="LC84" s="3">
        <f ca="1">IFERROR(__xludf.DUMMYFUNCTION("""COMPUTED_VALUE"""),-0.738471016653891)</f>
        <v>-0.73847101665389103</v>
      </c>
      <c r="LD84" s="3">
        <f ca="1">IFERROR(__xludf.DUMMYFUNCTION("""COMPUTED_VALUE"""),-0.754093016859179)</f>
        <v>-0.75409301685917896</v>
      </c>
      <c r="LE84" s="3">
        <f ca="1">IFERROR(__xludf.DUMMYFUNCTION("""COMPUTED_VALUE"""),-0.717882109073063)</f>
        <v>-0.71788210907306305</v>
      </c>
      <c r="LF84" s="3">
        <f ca="1">IFERROR(__xludf.DUMMYFUNCTION("""COMPUTED_VALUE"""),-0.676731826919867)</f>
        <v>-0.676731826919867</v>
      </c>
      <c r="LG84" s="3">
        <f ca="1">IFERROR(__xludf.DUMMYFUNCTION("""COMPUTED_VALUE"""),-0.727498007440604)</f>
        <v>-0.727498007440604</v>
      </c>
      <c r="LH84" s="3">
        <f ca="1">IFERROR(__xludf.DUMMYFUNCTION("""COMPUTED_VALUE"""),-0.742444276781756)</f>
        <v>-0.74244427678175595</v>
      </c>
      <c r="LI84" s="3">
        <f ca="1">IFERROR(__xludf.DUMMYFUNCTION("""COMPUTED_VALUE"""),-0.775840556991067)</f>
        <v>-0.77584055699106702</v>
      </c>
      <c r="LJ84" s="3">
        <f ca="1">IFERROR(__xludf.DUMMYFUNCTION("""COMPUTED_VALUE"""),-0.761526012559276)</f>
        <v>-0.76152601255927599</v>
      </c>
      <c r="LK84" s="3">
        <f ca="1">IFERROR(__xludf.DUMMYFUNCTION("""COMPUTED_VALUE"""),-0.753632494627001)</f>
        <v>-0.75363249462700099</v>
      </c>
      <c r="LL84" s="3">
        <f ca="1">IFERROR(__xludf.DUMMYFUNCTION("""COMPUTED_VALUE"""),-0.738586296129983)</f>
        <v>-0.73858629612998306</v>
      </c>
      <c r="LM84" s="3">
        <f ca="1">IFERROR(__xludf.DUMMYFUNCTION("""COMPUTED_VALUE"""),-0.761464384902462)</f>
        <v>-0.76146438490246204</v>
      </c>
      <c r="LN84" s="3">
        <f ca="1">IFERROR(__xludf.DUMMYFUNCTION("""COMPUTED_VALUE"""),-0.752908037105803)</f>
        <v>-0.75290803710580301</v>
      </c>
      <c r="LO84" s="3">
        <f ca="1">IFERROR(__xludf.DUMMYFUNCTION("""COMPUTED_VALUE"""),-0.790454548429167)</f>
        <v>-0.79045454842916696</v>
      </c>
      <c r="LP84" s="3">
        <f ca="1">IFERROR(__xludf.DUMMYFUNCTION("""COMPUTED_VALUE"""),-0.783160681664642)</f>
        <v>-0.78316068166464203</v>
      </c>
      <c r="LQ84" s="3">
        <f ca="1">IFERROR(__xludf.DUMMYFUNCTION("""COMPUTED_VALUE"""),-0.771704584343258)</f>
        <v>-0.77170458434325795</v>
      </c>
      <c r="LR84" s="3">
        <f ca="1">IFERROR(__xludf.DUMMYFUNCTION("""COMPUTED_VALUE"""),-0.772438247942858)</f>
        <v>-0.77243824794285798</v>
      </c>
      <c r="LS84" s="3">
        <f ca="1">IFERROR(__xludf.DUMMYFUNCTION("""COMPUTED_VALUE"""),-0.77640578654278)</f>
        <v>-0.77640578654278003</v>
      </c>
      <c r="LT84" s="3">
        <f ca="1">IFERROR(__xludf.DUMMYFUNCTION("""COMPUTED_VALUE"""),-0.75333805720777)</f>
        <v>-0.75333805720777003</v>
      </c>
      <c r="LU84" s="3">
        <f ca="1">IFERROR(__xludf.DUMMYFUNCTION("""COMPUTED_VALUE"""),-0.749401163800905)</f>
        <v>-0.74940116380090505</v>
      </c>
      <c r="LV84" s="3">
        <f ca="1">IFERROR(__xludf.DUMMYFUNCTION("""COMPUTED_VALUE"""),-0.773325998335852)</f>
        <v>-0.77332599833585203</v>
      </c>
      <c r="LW84" s="3">
        <f ca="1">IFERROR(__xludf.DUMMYFUNCTION("""COMPUTED_VALUE"""),-0.780040871307822)</f>
        <v>-0.78004087130782196</v>
      </c>
      <c r="LX84" s="3">
        <f ca="1">IFERROR(__xludf.DUMMYFUNCTION("""COMPUTED_VALUE"""),-0.79133867098442)</f>
        <v>-0.79133867098442001</v>
      </c>
      <c r="LY84" s="3">
        <f ca="1">IFERROR(__xludf.DUMMYFUNCTION("""COMPUTED_VALUE"""),-0.794415447349575)</f>
        <v>-0.79441544734957503</v>
      </c>
      <c r="LZ84" s="3">
        <f ca="1">IFERROR(__xludf.DUMMYFUNCTION("""COMPUTED_VALUE"""),-0.793990712860237)</f>
        <v>-0.79399071286023704</v>
      </c>
      <c r="MA84" s="3">
        <f ca="1">IFERROR(__xludf.DUMMYFUNCTION("""COMPUTED_VALUE"""),-0.772294171490283)</f>
        <v>-0.77229417149028301</v>
      </c>
      <c r="MB84" s="3">
        <f ca="1">IFERROR(__xludf.DUMMYFUNCTION("""COMPUTED_VALUE"""),-0.759271785420418)</f>
        <v>-0.75927178542041796</v>
      </c>
      <c r="MC84" s="3">
        <f ca="1">IFERROR(__xludf.DUMMYFUNCTION("""COMPUTED_VALUE"""),-0.81100110243553)</f>
        <v>-0.81100110243553003</v>
      </c>
      <c r="MD84" s="3">
        <f ca="1">IFERROR(__xludf.DUMMYFUNCTION("""COMPUTED_VALUE"""),-0.808733020963304)</f>
        <v>-0.80873302096330402</v>
      </c>
      <c r="ME84" s="3">
        <f ca="1">IFERROR(__xludf.DUMMYFUNCTION("""COMPUTED_VALUE"""),-0.795325460237206)</f>
        <v>-0.79532546023720596</v>
      </c>
      <c r="MF84" s="3">
        <f ca="1">IFERROR(__xludf.DUMMYFUNCTION("""COMPUTED_VALUE"""),-0.795927111670053)</f>
        <v>-0.79592711167005303</v>
      </c>
      <c r="MG84" s="3">
        <f ca="1">IFERROR(__xludf.DUMMYFUNCTION("""COMPUTED_VALUE"""),-0.788456965277691)</f>
        <v>-0.78845696527769105</v>
      </c>
      <c r="MH84" s="3">
        <f ca="1">IFERROR(__xludf.DUMMYFUNCTION("""COMPUTED_VALUE"""),-0.754368873820149)</f>
        <v>-0.75436887382014906</v>
      </c>
      <c r="MI84" s="3">
        <f ca="1">IFERROR(__xludf.DUMMYFUNCTION("""COMPUTED_VALUE"""),-0.722264020541848)</f>
        <v>-0.72226402054184802</v>
      </c>
      <c r="MJ84" s="3">
        <f ca="1">IFERROR(__xludf.DUMMYFUNCTION("""COMPUTED_VALUE"""),-0.790790362403444)</f>
        <v>-0.79079036240344402</v>
      </c>
      <c r="MK84" s="3">
        <f ca="1">IFERROR(__xludf.DUMMYFUNCTION("""COMPUTED_VALUE"""),-0.803674899951202)</f>
        <v>-0.803674899951202</v>
      </c>
      <c r="ML84" s="3">
        <f ca="1">IFERROR(__xludf.DUMMYFUNCTION("""COMPUTED_VALUE"""),-0.816464504265609)</f>
        <v>-0.81646450426560901</v>
      </c>
      <c r="MM84" s="3">
        <f ca="1">IFERROR(__xludf.DUMMYFUNCTION("""COMPUTED_VALUE"""),-0.804058020047714)</f>
        <v>-0.80405802004771398</v>
      </c>
      <c r="MN84" s="3">
        <f ca="1">IFERROR(__xludf.DUMMYFUNCTION("""COMPUTED_VALUE"""),-0.794754795522789)</f>
        <v>-0.79475479552278905</v>
      </c>
      <c r="MO84" s="3">
        <f ca="1">IFERROR(__xludf.DUMMYFUNCTION("""COMPUTED_VALUE"""),-0.780718487690971)</f>
        <v>-0.78071848769097096</v>
      </c>
      <c r="MP84" s="3">
        <f ca="1">IFERROR(__xludf.DUMMYFUNCTION("""COMPUTED_VALUE"""),-0.790382660805664)</f>
        <v>-0.79038266080566399</v>
      </c>
      <c r="MQ84" s="3">
        <f ca="1">IFERROR(__xludf.DUMMYFUNCTION("""COMPUTED_VALUE"""),-0.795607578750513)</f>
        <v>-0.79560757875051302</v>
      </c>
      <c r="MR84" s="3">
        <f ca="1">IFERROR(__xludf.DUMMYFUNCTION("""COMPUTED_VALUE"""),-0.806672249760163)</f>
        <v>-0.80667224976016305</v>
      </c>
      <c r="MS84" s="3">
        <f ca="1">IFERROR(__xludf.DUMMYFUNCTION("""COMPUTED_VALUE"""),-0.809120435695185)</f>
        <v>-0.80912043569518499</v>
      </c>
      <c r="MT84" s="3">
        <f ca="1">IFERROR(__xludf.DUMMYFUNCTION("""COMPUTED_VALUE"""),-0.802483373796244)</f>
        <v>-0.80248337379624401</v>
      </c>
      <c r="MU84" s="3">
        <f ca="1">IFERROR(__xludf.DUMMYFUNCTION("""COMPUTED_VALUE"""),-0.802091876893119)</f>
        <v>-0.802091876893119</v>
      </c>
      <c r="MV84" s="3">
        <f ca="1">IFERROR(__xludf.DUMMYFUNCTION("""COMPUTED_VALUE"""),-0.769498250667869)</f>
        <v>-0.76949825066786903</v>
      </c>
      <c r="MW84" s="3">
        <f ca="1">IFERROR(__xludf.DUMMYFUNCTION("""COMPUTED_VALUE"""),-0.781869256720338)</f>
        <v>-0.78186925672033802</v>
      </c>
      <c r="MX84" s="3">
        <f ca="1">IFERROR(__xludf.DUMMYFUNCTION("""COMPUTED_VALUE"""),-0.81492990411855)</f>
        <v>-0.81492990411855004</v>
      </c>
      <c r="MY84" s="3">
        <f ca="1">IFERROR(__xludf.DUMMYFUNCTION("""COMPUTED_VALUE"""),-0.785555765217002)</f>
        <v>-0.78555576521700199</v>
      </c>
      <c r="MZ84" s="3">
        <f ca="1">IFERROR(__xludf.DUMMYFUNCTION("""COMPUTED_VALUE"""),-0.791838567113868)</f>
        <v>-0.79183856711386802</v>
      </c>
      <c r="NA84" s="3">
        <f ca="1">IFERROR(__xludf.DUMMYFUNCTION("""COMPUTED_VALUE"""),-0.792327773619578)</f>
        <v>-0.79232777361957796</v>
      </c>
      <c r="NB84" s="3">
        <f ca="1">IFERROR(__xludf.DUMMYFUNCTION("""COMPUTED_VALUE"""),-0.777079929992248)</f>
        <v>-0.77707992999224795</v>
      </c>
      <c r="NC84" s="3">
        <f ca="1">IFERROR(__xludf.DUMMYFUNCTION("""COMPUTED_VALUE"""),-0.774830882042697)</f>
        <v>-0.77483088204269701</v>
      </c>
      <c r="ND84" s="3">
        <f ca="1">IFERROR(__xludf.DUMMYFUNCTION("""COMPUTED_VALUE"""),-0.760308324952924)</f>
        <v>-0.760308324952924</v>
      </c>
      <c r="NE84" s="3">
        <f ca="1">IFERROR(__xludf.DUMMYFUNCTION("""COMPUTED_VALUE"""),-0.758204258442884)</f>
        <v>-0.75820425844288397</v>
      </c>
      <c r="NF84" s="3">
        <f ca="1">IFERROR(__xludf.DUMMYFUNCTION("""COMPUTED_VALUE"""),-0.764060233849382)</f>
        <v>-0.76406023384938204</v>
      </c>
      <c r="NG84" s="3">
        <f ca="1">IFERROR(__xludf.DUMMYFUNCTION("""COMPUTED_VALUE"""),-0.761263826712659)</f>
        <v>-0.76126382671265902</v>
      </c>
      <c r="NH84" s="3">
        <f ca="1">IFERROR(__xludf.DUMMYFUNCTION("""COMPUTED_VALUE"""),-0.765318550357308)</f>
        <v>-0.765318550357308</v>
      </c>
      <c r="NI84" s="3">
        <f ca="1">IFERROR(__xludf.DUMMYFUNCTION("""COMPUTED_VALUE"""),-0.760271281808506)</f>
        <v>-0.76027128180850601</v>
      </c>
      <c r="NJ84" s="3">
        <f ca="1">IFERROR(__xludf.DUMMYFUNCTION("""COMPUTED_VALUE"""),-0.746879338609605)</f>
        <v>-0.74687933860960498</v>
      </c>
      <c r="NK84" s="3">
        <f ca="1">IFERROR(__xludf.DUMMYFUNCTION("""COMPUTED_VALUE"""),-0.723958913291711)</f>
        <v>-0.72395891329171103</v>
      </c>
      <c r="NL84" s="3">
        <f ca="1">IFERROR(__xludf.DUMMYFUNCTION("""COMPUTED_VALUE"""),-0.765494996204247)</f>
        <v>-0.76549499620424699</v>
      </c>
      <c r="NM84" s="3">
        <f ca="1">IFERROR(__xludf.DUMMYFUNCTION("""COMPUTED_VALUE"""),-0.739831293283228)</f>
        <v>-0.73983129328322805</v>
      </c>
      <c r="NN84" s="3">
        <f ca="1">IFERROR(__xludf.DUMMYFUNCTION("""COMPUTED_VALUE"""),-0.738305054330552)</f>
        <v>-0.73830505433055205</v>
      </c>
      <c r="NO84" s="3">
        <f ca="1">IFERROR(__xludf.DUMMYFUNCTION("""COMPUTED_VALUE"""),-0.723493628963895)</f>
        <v>-0.72349362896389502</v>
      </c>
      <c r="NP84" s="3">
        <f ca="1">IFERROR(__xludf.DUMMYFUNCTION("""COMPUTED_VALUE"""),-0.737286260865957)</f>
        <v>-0.73728626086595705</v>
      </c>
      <c r="NQ84" s="3">
        <f ca="1">IFERROR(__xludf.DUMMYFUNCTION("""COMPUTED_VALUE"""),-0.729887023163088)</f>
        <v>-0.72988702316308796</v>
      </c>
      <c r="NR84" s="3">
        <f ca="1">IFERROR(__xludf.DUMMYFUNCTION("""COMPUTED_VALUE"""),-0.733405670108403)</f>
        <v>-0.73340567010840296</v>
      </c>
      <c r="NS84" s="3">
        <f ca="1">IFERROR(__xludf.DUMMYFUNCTION("""COMPUTED_VALUE"""),-0.771746683004711)</f>
        <v>-0.77174668300471105</v>
      </c>
      <c r="NT84" s="3">
        <f ca="1">IFERROR(__xludf.DUMMYFUNCTION("""COMPUTED_VALUE"""),-0.739472108408681)</f>
        <v>-0.73947210840868105</v>
      </c>
      <c r="NU84" s="3">
        <f ca="1">IFERROR(__xludf.DUMMYFUNCTION("""COMPUTED_VALUE"""),-0.755779379100372)</f>
        <v>-0.75577937910037196</v>
      </c>
      <c r="NV84" s="3">
        <f ca="1">IFERROR(__xludf.DUMMYFUNCTION("""COMPUTED_VALUE"""),-0.76932528158538)</f>
        <v>-0.76932528158538005</v>
      </c>
      <c r="NW84" s="3">
        <f ca="1">IFERROR(__xludf.DUMMYFUNCTION("""COMPUTED_VALUE"""),-0.740607497339816)</f>
        <v>-0.74060749733981601</v>
      </c>
      <c r="NX84" s="3">
        <f ca="1">IFERROR(__xludf.DUMMYFUNCTION("""COMPUTED_VALUE"""),-0.781564307293499)</f>
        <v>-0.78156430729349902</v>
      </c>
      <c r="NY84" s="3">
        <f ca="1">IFERROR(__xludf.DUMMYFUNCTION("""COMPUTED_VALUE"""),-0.718335875564531)</f>
        <v>-0.71833587556453105</v>
      </c>
      <c r="NZ84" s="3">
        <f ca="1">IFERROR(__xludf.DUMMYFUNCTION("""COMPUTED_VALUE"""),-0.717591679525544)</f>
        <v>-0.71759167952554404</v>
      </c>
      <c r="OA84" s="3">
        <f ca="1">IFERROR(__xludf.DUMMYFUNCTION("""COMPUTED_VALUE"""),-0.697319787668003)</f>
        <v>-0.69731978766800295</v>
      </c>
      <c r="OB84" s="3">
        <f ca="1">IFERROR(__xludf.DUMMYFUNCTION("""COMPUTED_VALUE"""),-0.675709891415382)</f>
        <v>-0.67570989141538196</v>
      </c>
      <c r="OC84" s="3">
        <f ca="1">IFERROR(__xludf.DUMMYFUNCTION("""COMPUTED_VALUE"""),-0.655309245016195)</f>
        <v>-0.65530924501619503</v>
      </c>
      <c r="OD84" s="3">
        <f ca="1">IFERROR(__xludf.DUMMYFUNCTION("""COMPUTED_VALUE"""),-0.617124486870759)</f>
        <v>-0.61712448687075905</v>
      </c>
      <c r="OE84" s="3">
        <f ca="1">IFERROR(__xludf.DUMMYFUNCTION("""COMPUTED_VALUE"""),-0.53763761659805)</f>
        <v>-0.53763761659804998</v>
      </c>
      <c r="OF84" s="3">
        <f ca="1">IFERROR(__xludf.DUMMYFUNCTION("""COMPUTED_VALUE"""),-0.390782965799599)</f>
        <v>-0.39078296579959898</v>
      </c>
      <c r="OG84" s="3">
        <f ca="1">IFERROR(__xludf.DUMMYFUNCTION("""COMPUTED_VALUE"""),-0.383015938978186)</f>
        <v>-0.38301593897818598</v>
      </c>
      <c r="OH84" s="3">
        <f ca="1">IFERROR(__xludf.DUMMYFUNCTION("""COMPUTED_VALUE"""),-0.330161840666893)</f>
        <v>-0.33016184066689303</v>
      </c>
      <c r="OI84" s="3">
        <f ca="1">IFERROR(__xludf.DUMMYFUNCTION("""COMPUTED_VALUE"""),-0.230798633082315)</f>
        <v>-0.23079863308231499</v>
      </c>
      <c r="OJ84" s="3">
        <f ca="1">IFERROR(__xludf.DUMMYFUNCTION("""COMPUTED_VALUE"""),-0.132454285101216)</f>
        <v>-0.13245428510121601</v>
      </c>
      <c r="OK84" s="3">
        <f ca="1">IFERROR(__xludf.DUMMYFUNCTION("""COMPUTED_VALUE"""),-0.0859598411035671)</f>
        <v>-8.5959841103567095E-2</v>
      </c>
      <c r="OL84" s="3">
        <f ca="1">IFERROR(__xludf.DUMMYFUNCTION("""COMPUTED_VALUE"""),0.0484209136937634)</f>
        <v>4.8420913693763397E-2</v>
      </c>
      <c r="OM84" s="3">
        <f ca="1">IFERROR(__xludf.DUMMYFUNCTION("""COMPUTED_VALUE"""),-0.0833803135111449)</f>
        <v>-8.3380313511144902E-2</v>
      </c>
      <c r="ON84" s="3">
        <f ca="1">IFERROR(__xludf.DUMMYFUNCTION("""COMPUTED_VALUE"""),-0.0568007405384103)</f>
        <v>-5.6800740538410298E-2</v>
      </c>
      <c r="OO84" s="3">
        <f ca="1">IFERROR(__xludf.DUMMYFUNCTION("""COMPUTED_VALUE"""),-0.0476215657658347)</f>
        <v>-4.7621565765834699E-2</v>
      </c>
      <c r="OP84" s="3">
        <f ca="1">IFERROR(__xludf.DUMMYFUNCTION("""COMPUTED_VALUE"""),-0.0336085034908349)</f>
        <v>-3.3608503490834898E-2</v>
      </c>
      <c r="OQ84" s="3">
        <f ca="1">IFERROR(__xludf.DUMMYFUNCTION("""COMPUTED_VALUE"""),0.0146537096166121)</f>
        <v>1.4653709616612101E-2</v>
      </c>
      <c r="OR84" s="3">
        <f ca="1">IFERROR(__xludf.DUMMYFUNCTION("""COMPUTED_VALUE"""),-0.00934422834115067)</f>
        <v>-9.3442283411506698E-3</v>
      </c>
      <c r="OS84" s="3">
        <f ca="1">IFERROR(__xludf.DUMMYFUNCTION("""COMPUTED_VALUE"""),0.0416159582397159)</f>
        <v>4.1615958239715901E-2</v>
      </c>
      <c r="OT84" s="3">
        <f ca="1">IFERROR(__xludf.DUMMYFUNCTION("""COMPUTED_VALUE"""),-0.0221707034091396)</f>
        <v>-2.2170703409139601E-2</v>
      </c>
      <c r="OU84" s="3">
        <f ca="1">IFERROR(__xludf.DUMMYFUNCTION("""COMPUTED_VALUE"""),-0.0183499784935928)</f>
        <v>-1.8349978493592801E-2</v>
      </c>
      <c r="OV84" s="3">
        <f ca="1">IFERROR(__xludf.DUMMYFUNCTION("""COMPUTED_VALUE"""),0.027534066461111)</f>
        <v>2.7534066461110999E-2</v>
      </c>
      <c r="OW84" s="3">
        <f ca="1">IFERROR(__xludf.DUMMYFUNCTION("""COMPUTED_VALUE"""),0.0246774621518293)</f>
        <v>2.46774621518293E-2</v>
      </c>
      <c r="OX84" s="3">
        <f ca="1">IFERROR(__xludf.DUMMYFUNCTION("""COMPUTED_VALUE"""),0.0430356884845417)</f>
        <v>4.3035688484541701E-2</v>
      </c>
      <c r="OY84" s="3">
        <f ca="1">IFERROR(__xludf.DUMMYFUNCTION("""COMPUTED_VALUE"""),0.0283954231667189)</f>
        <v>2.8395423166718899E-2</v>
      </c>
      <c r="OZ84" s="3">
        <f ca="1">IFERROR(__xludf.DUMMYFUNCTION("""COMPUTED_VALUE"""),0.132783070924855)</f>
        <v>0.132783070924855</v>
      </c>
      <c r="PA84" s="3">
        <f ca="1">IFERROR(__xludf.DUMMYFUNCTION("""COMPUTED_VALUE"""),-0.0186836088398858)</f>
        <v>-1.8683608839885801E-2</v>
      </c>
      <c r="PB84" s="3">
        <f ca="1">IFERROR(__xludf.DUMMYFUNCTION("""COMPUTED_VALUE"""),-0.0233137613970677)</f>
        <v>-2.33137613970677E-2</v>
      </c>
      <c r="PC84" s="3">
        <f ca="1">IFERROR(__xludf.DUMMYFUNCTION("""COMPUTED_VALUE"""),-0.0613451077559323)</f>
        <v>-6.1345107755932299E-2</v>
      </c>
      <c r="PD84" s="3">
        <f ca="1">IFERROR(__xludf.DUMMYFUNCTION("""COMPUTED_VALUE"""),-0.0216482775081664)</f>
        <v>-2.1648277508166398E-2</v>
      </c>
      <c r="PE84" s="3">
        <f ca="1">IFERROR(__xludf.DUMMYFUNCTION("""COMPUTED_VALUE"""),0.00752034558460157)</f>
        <v>7.5203455846015697E-3</v>
      </c>
      <c r="PF84" s="3">
        <f ca="1">IFERROR(__xludf.DUMMYFUNCTION("""COMPUTED_VALUE"""),-0.0284177333631927)</f>
        <v>-2.8417733363192699E-2</v>
      </c>
      <c r="PG84" s="3">
        <f ca="1">IFERROR(__xludf.DUMMYFUNCTION("""COMPUTED_VALUE"""),-0.0468779018656885)</f>
        <v>-4.68779018656885E-2</v>
      </c>
      <c r="PH84" s="3">
        <f ca="1">IFERROR(__xludf.DUMMYFUNCTION("""COMPUTED_VALUE"""),-0.0556379008997637)</f>
        <v>-5.5637900899763698E-2</v>
      </c>
      <c r="PI84" s="3">
        <f ca="1">IFERROR(__xludf.DUMMYFUNCTION("""COMPUTED_VALUE"""),-0.0792623904419375)</f>
        <v>-7.9262390441937502E-2</v>
      </c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</row>
    <row r="85" spans="1:477" ht="13">
      <c r="A85" s="1" t="str">
        <f ca="1">IFERROR(__xludf.DUMMYFUNCTION("""COMPUTED_VALUE"""),"MTA - Brooklyn Buses")</f>
        <v>MTA - Brooklyn Buses</v>
      </c>
      <c r="B85" s="1" t="str">
        <f ca="1">IFERROR(__xludf.DUMMYFUNCTION("""COMPUTED_VALUE"""),"NYC")</f>
        <v>NYC</v>
      </c>
      <c r="C85" s="1" t="str">
        <f ca="1">IFERROR(__xludf.DUMMYFUNCTION("""COMPUTED_VALUE"""),"United States")</f>
        <v>United States</v>
      </c>
      <c r="D85" s="1" t="str">
        <f ca="1">IFERROR(__xludf.DUMMYFUNCTION("""COMPUTED_VALUE"""),"New York")</f>
        <v>New York</v>
      </c>
      <c r="E85" s="3">
        <f ca="1">IFERROR(__xludf.DUMMYFUNCTION("""COMPUTED_VALUE"""),-0.478615010305934)</f>
        <v>-0.47861501030593401</v>
      </c>
      <c r="F85" s="3">
        <f ca="1">IFERROR(__xludf.DUMMYFUNCTION("""COMPUTED_VALUE"""),-0.486356987506238)</f>
        <v>-0.48635698750623801</v>
      </c>
      <c r="G85" s="3">
        <f ca="1">IFERROR(__xludf.DUMMYFUNCTION("""COMPUTED_VALUE"""),-0.524401349771412)</f>
        <v>-0.52440134977141195</v>
      </c>
      <c r="H85" s="3">
        <f ca="1">IFERROR(__xludf.DUMMYFUNCTION("""COMPUTED_VALUE"""),-0.529329006793297)</f>
        <v>-0.52932900679329697</v>
      </c>
      <c r="I85" s="3">
        <f ca="1">IFERROR(__xludf.DUMMYFUNCTION("""COMPUTED_VALUE"""),-0.5390886415248)</f>
        <v>-0.53908864152479996</v>
      </c>
      <c r="J85" s="3">
        <f ca="1">IFERROR(__xludf.DUMMYFUNCTION("""COMPUTED_VALUE"""),-0.54276699895306)</f>
        <v>-0.54276699895306002</v>
      </c>
      <c r="K85" s="3">
        <f ca="1">IFERROR(__xludf.DUMMYFUNCTION("""COMPUTED_VALUE"""),-0.499798325381852)</f>
        <v>-0.49979832538185198</v>
      </c>
      <c r="L85" s="3">
        <f ca="1">IFERROR(__xludf.DUMMYFUNCTION("""COMPUTED_VALUE"""),-0.519542002617198)</f>
        <v>-0.51954200261719796</v>
      </c>
      <c r="M85" s="3">
        <f ca="1">IFERROR(__xludf.DUMMYFUNCTION("""COMPUTED_VALUE"""),-0.573781504382214)</f>
        <v>-0.57378150438221398</v>
      </c>
      <c r="N85" s="3">
        <f ca="1">IFERROR(__xludf.DUMMYFUNCTION("""COMPUTED_VALUE"""),-0.567776939994056)</f>
        <v>-0.56777693999405598</v>
      </c>
      <c r="O85" s="3">
        <f ca="1">IFERROR(__xludf.DUMMYFUNCTION("""COMPUTED_VALUE"""),-0.580869752875042)</f>
        <v>-0.58086975287504194</v>
      </c>
      <c r="P85" s="3">
        <f ca="1">IFERROR(__xludf.DUMMYFUNCTION("""COMPUTED_VALUE"""),-0.554458191580737)</f>
        <v>-0.55445819158073695</v>
      </c>
      <c r="Q85" s="3">
        <f ca="1">IFERROR(__xludf.DUMMYFUNCTION("""COMPUTED_VALUE"""),-0.561342350166048)</f>
        <v>-0.56134235016604805</v>
      </c>
      <c r="R85" s="3">
        <f ca="1">IFERROR(__xludf.DUMMYFUNCTION("""COMPUTED_VALUE"""),-0.500615895044969)</f>
        <v>-0.50061589504496895</v>
      </c>
      <c r="S85" s="3">
        <f ca="1">IFERROR(__xludf.DUMMYFUNCTION("""COMPUTED_VALUE"""),-0.440082534967336)</f>
        <v>-0.44008253496733601</v>
      </c>
      <c r="T85" s="3">
        <f ca="1">IFERROR(__xludf.DUMMYFUNCTION("""COMPUTED_VALUE"""),-0.476529519516349)</f>
        <v>-0.47652951951634898</v>
      </c>
      <c r="U85" s="3">
        <f ca="1">IFERROR(__xludf.DUMMYFUNCTION("""COMPUTED_VALUE"""),-0.519533748882147)</f>
        <v>-0.51953374888214698</v>
      </c>
      <c r="V85" s="3">
        <f ca="1">IFERROR(__xludf.DUMMYFUNCTION("""COMPUTED_VALUE"""),-0.545778154815999)</f>
        <v>-0.54577815481599901</v>
      </c>
      <c r="W85" s="3">
        <f ca="1">IFERROR(__xludf.DUMMYFUNCTION("""COMPUTED_VALUE"""),-0.524027728034842)</f>
        <v>-0.52402772803484199</v>
      </c>
      <c r="X85" s="3">
        <f ca="1">IFERROR(__xludf.DUMMYFUNCTION("""COMPUTED_VALUE"""),-0.509626935169583)</f>
        <v>-0.50962693516958302</v>
      </c>
      <c r="Y85" s="3">
        <f ca="1">IFERROR(__xludf.DUMMYFUNCTION("""COMPUTED_VALUE"""),-0.414114524297348)</f>
        <v>-0.41411452429734802</v>
      </c>
      <c r="Z85" s="3">
        <f ca="1">IFERROR(__xludf.DUMMYFUNCTION("""COMPUTED_VALUE"""),-0.463787332295175)</f>
        <v>-0.46378733229517499</v>
      </c>
      <c r="AA85" s="3">
        <f ca="1">IFERROR(__xludf.DUMMYFUNCTION("""COMPUTED_VALUE"""),-0.510108851601896)</f>
        <v>-0.51010885160189601</v>
      </c>
      <c r="AB85" s="3">
        <f ca="1">IFERROR(__xludf.DUMMYFUNCTION("""COMPUTED_VALUE"""),-0.558868952065028)</f>
        <v>-0.55886895206502796</v>
      </c>
      <c r="AC85" s="3">
        <f ca="1">IFERROR(__xludf.DUMMYFUNCTION("""COMPUTED_VALUE"""),-0.544950731663878)</f>
        <v>-0.54495073166387797</v>
      </c>
      <c r="AD85" s="3">
        <f ca="1">IFERROR(__xludf.DUMMYFUNCTION("""COMPUTED_VALUE"""),-0.554617305646668)</f>
        <v>-0.554617305646668</v>
      </c>
      <c r="AE85" s="3">
        <f ca="1">IFERROR(__xludf.DUMMYFUNCTION("""COMPUTED_VALUE"""),-0.535170477113526)</f>
        <v>-0.53517047711352606</v>
      </c>
      <c r="AF85" s="3">
        <f ca="1">IFERROR(__xludf.DUMMYFUNCTION("""COMPUTED_VALUE"""),-0.432171509192752)</f>
        <v>-0.43217150919275199</v>
      </c>
      <c r="AG85" s="3">
        <f ca="1">IFERROR(__xludf.DUMMYFUNCTION("""COMPUTED_VALUE"""),-0.486346249375369)</f>
        <v>-0.48634624937536902</v>
      </c>
      <c r="AH85" s="3">
        <f ca="1">IFERROR(__xludf.DUMMYFUNCTION("""COMPUTED_VALUE"""),-0.515961657266133)</f>
        <v>-0.51596165726613297</v>
      </c>
      <c r="AI85" s="3">
        <f ca="1">IFERROR(__xludf.DUMMYFUNCTION("""COMPUTED_VALUE"""),-0.526011189334025)</f>
        <v>-0.52601118933402502</v>
      </c>
      <c r="AJ85" s="3">
        <f ca="1">IFERROR(__xludf.DUMMYFUNCTION("""COMPUTED_VALUE"""),-0.537252834658187)</f>
        <v>-0.53725283465818696</v>
      </c>
      <c r="AK85" s="3">
        <f ca="1">IFERROR(__xludf.DUMMYFUNCTION("""COMPUTED_VALUE"""),-0.518926385123183)</f>
        <v>-0.51892638512318301</v>
      </c>
      <c r="AL85" s="3">
        <f ca="1">IFERROR(__xludf.DUMMYFUNCTION("""COMPUTED_VALUE"""),-0.497225367127529)</f>
        <v>-0.49722536712752902</v>
      </c>
      <c r="AM85" s="3">
        <f ca="1">IFERROR(__xludf.DUMMYFUNCTION("""COMPUTED_VALUE"""),-0.438146465447612)</f>
        <v>-0.43814646544761199</v>
      </c>
      <c r="AN85" s="3">
        <f ca="1">IFERROR(__xludf.DUMMYFUNCTION("""COMPUTED_VALUE"""),-0.487603711397412)</f>
        <v>-0.48760371139741199</v>
      </c>
      <c r="AO85" s="3">
        <f ca="1">IFERROR(__xludf.DUMMYFUNCTION("""COMPUTED_VALUE"""),-0.525647451119714)</f>
        <v>-0.525647451119714</v>
      </c>
      <c r="AP85" s="3">
        <f ca="1">IFERROR(__xludf.DUMMYFUNCTION("""COMPUTED_VALUE"""),-0.549284845036742)</f>
        <v>-0.54928484503674202</v>
      </c>
      <c r="AQ85" s="3">
        <f ca="1">IFERROR(__xludf.DUMMYFUNCTION("""COMPUTED_VALUE"""),-0.528517230574112)</f>
        <v>-0.52851723057411204</v>
      </c>
      <c r="AR85" s="3">
        <f ca="1">IFERROR(__xludf.DUMMYFUNCTION("""COMPUTED_VALUE"""),-0.554153865983874)</f>
        <v>-0.55415386598387395</v>
      </c>
      <c r="AS85" s="3">
        <f ca="1">IFERROR(__xludf.DUMMYFUNCTION("""COMPUTED_VALUE"""),-0.495502653680412)</f>
        <v>-0.49550265368041202</v>
      </c>
      <c r="AT85" s="3">
        <f ca="1">IFERROR(__xludf.DUMMYFUNCTION("""COMPUTED_VALUE"""),-0.441033071301878)</f>
        <v>-0.44103307130187802</v>
      </c>
      <c r="AU85" s="3">
        <f ca="1">IFERROR(__xludf.DUMMYFUNCTION("""COMPUTED_VALUE"""),-0.494630729206497)</f>
        <v>-0.49463072920649698</v>
      </c>
      <c r="AV85" s="3">
        <f ca="1">IFERROR(__xludf.DUMMYFUNCTION("""COMPUTED_VALUE"""),-0.497805083364727)</f>
        <v>-0.49780508336472701</v>
      </c>
      <c r="AW85" s="3">
        <f ca="1">IFERROR(__xludf.DUMMYFUNCTION("""COMPUTED_VALUE"""),-0.497422768209494)</f>
        <v>-0.49742276820949399</v>
      </c>
      <c r="AX85" s="3">
        <f ca="1">IFERROR(__xludf.DUMMYFUNCTION("""COMPUTED_VALUE"""),-0.459987766732965)</f>
        <v>-0.45998776673296499</v>
      </c>
      <c r="AY85" s="3">
        <f ca="1">IFERROR(__xludf.DUMMYFUNCTION("""COMPUTED_VALUE"""),-0.52582971512241)</f>
        <v>-0.52582971512240995</v>
      </c>
      <c r="AZ85" s="3">
        <f ca="1">IFERROR(__xludf.DUMMYFUNCTION("""COMPUTED_VALUE"""),-0.4796686414926)</f>
        <v>-0.47966864149260002</v>
      </c>
      <c r="BA85" s="3">
        <f ca="1">IFERROR(__xludf.DUMMYFUNCTION("""COMPUTED_VALUE"""),-0.417162600739943)</f>
        <v>-0.41716260073994299</v>
      </c>
      <c r="BB85" s="3">
        <f ca="1">IFERROR(__xludf.DUMMYFUNCTION("""COMPUTED_VALUE"""),-0.451754624824272)</f>
        <v>-0.45175462482427198</v>
      </c>
      <c r="BC85" s="3">
        <f ca="1">IFERROR(__xludf.DUMMYFUNCTION("""COMPUTED_VALUE"""),-0.473919250406404)</f>
        <v>-0.47391925040640398</v>
      </c>
      <c r="BD85" s="3">
        <f ca="1">IFERROR(__xludf.DUMMYFUNCTION("""COMPUTED_VALUE"""),-0.509170044549892)</f>
        <v>-0.50917004454989201</v>
      </c>
      <c r="BE85" s="3">
        <f ca="1">IFERROR(__xludf.DUMMYFUNCTION("""COMPUTED_VALUE"""),-0.508978140450433)</f>
        <v>-0.50897814045043299</v>
      </c>
      <c r="BF85" s="3">
        <f ca="1">IFERROR(__xludf.DUMMYFUNCTION("""COMPUTED_VALUE"""),-0.506046856150072)</f>
        <v>-0.50604685615007206</v>
      </c>
      <c r="BG85" s="3">
        <f ca="1">IFERROR(__xludf.DUMMYFUNCTION("""COMPUTED_VALUE"""),-0.487612930141039)</f>
        <v>-0.48761293014103901</v>
      </c>
      <c r="BH85" s="3">
        <f ca="1">IFERROR(__xludf.DUMMYFUNCTION("""COMPUTED_VALUE"""),-0.428213230675741)</f>
        <v>-0.42821323067574102</v>
      </c>
      <c r="BI85" s="3">
        <f ca="1">IFERROR(__xludf.DUMMYFUNCTION("""COMPUTED_VALUE"""),-0.484744408191572)</f>
        <v>-0.484744408191572</v>
      </c>
      <c r="BJ85" s="3">
        <f ca="1">IFERROR(__xludf.DUMMYFUNCTION("""COMPUTED_VALUE"""),-0.536360413125458)</f>
        <v>-0.53636041312545801</v>
      </c>
      <c r="BK85" s="3">
        <f ca="1">IFERROR(__xludf.DUMMYFUNCTION("""COMPUTED_VALUE"""),-0.535829915510327)</f>
        <v>-0.53582991551032699</v>
      </c>
      <c r="BL85" s="3">
        <f ca="1">IFERROR(__xludf.DUMMYFUNCTION("""COMPUTED_VALUE"""),-0.526725893255921)</f>
        <v>-0.52672589325592101</v>
      </c>
      <c r="BM85" s="3">
        <f ca="1">IFERROR(__xludf.DUMMYFUNCTION("""COMPUTED_VALUE"""),-0.53806123576661)</f>
        <v>-0.53806123576661002</v>
      </c>
      <c r="BN85" s="3">
        <f ca="1">IFERROR(__xludf.DUMMYFUNCTION("""COMPUTED_VALUE"""),-0.502426612967722)</f>
        <v>-0.50242661296772195</v>
      </c>
      <c r="BO85" s="3">
        <f ca="1">IFERROR(__xludf.DUMMYFUNCTION("""COMPUTED_VALUE"""),-0.468680417573542)</f>
        <v>-0.46868041757354201</v>
      </c>
      <c r="BP85" s="3">
        <f ca="1">IFERROR(__xludf.DUMMYFUNCTION("""COMPUTED_VALUE"""),-0.424221630603262)</f>
        <v>-0.42422163060326201</v>
      </c>
      <c r="BQ85" s="3">
        <f ca="1">IFERROR(__xludf.DUMMYFUNCTION("""COMPUTED_VALUE"""),-0.530439091579543)</f>
        <v>-0.53043909157954305</v>
      </c>
      <c r="BR85" s="3">
        <f ca="1">IFERROR(__xludf.DUMMYFUNCTION("""COMPUTED_VALUE"""),-0.512450763563724)</f>
        <v>-0.51245076356372399</v>
      </c>
      <c r="BS85" s="3">
        <f ca="1">IFERROR(__xludf.DUMMYFUNCTION("""COMPUTED_VALUE"""),-0.494508572111812)</f>
        <v>-0.49450857211181198</v>
      </c>
      <c r="BT85" s="3">
        <f ca="1">IFERROR(__xludf.DUMMYFUNCTION("""COMPUTED_VALUE"""),-0.553558632093234)</f>
        <v>-0.55355863209323397</v>
      </c>
      <c r="BU85" s="3">
        <f ca="1">IFERROR(__xludf.DUMMYFUNCTION("""COMPUTED_VALUE"""),-0.519696702413196)</f>
        <v>-0.51969670241319599</v>
      </c>
      <c r="BV85" s="3">
        <f ca="1">IFERROR(__xludf.DUMMYFUNCTION("""COMPUTED_VALUE"""),-0.493618806345628)</f>
        <v>-0.49361880634562799</v>
      </c>
      <c r="BW85" s="3">
        <f ca="1">IFERROR(__xludf.DUMMYFUNCTION("""COMPUTED_VALUE"""),-0.535529753653782)</f>
        <v>-0.53552975365378197</v>
      </c>
      <c r="BX85" s="3">
        <f ca="1">IFERROR(__xludf.DUMMYFUNCTION("""COMPUTED_VALUE"""),-0.613247481238253)</f>
        <v>-0.61324748123825301</v>
      </c>
      <c r="BY85" s="3">
        <f ca="1">IFERROR(__xludf.DUMMYFUNCTION("""COMPUTED_VALUE"""),-0.59483247529102)</f>
        <v>-0.59483247529102001</v>
      </c>
      <c r="BZ85" s="3">
        <f ca="1">IFERROR(__xludf.DUMMYFUNCTION("""COMPUTED_VALUE"""),-0.589004033562698)</f>
        <v>-0.58900403356269804</v>
      </c>
      <c r="CA85" s="3">
        <f ca="1">IFERROR(__xludf.DUMMYFUNCTION("""COMPUTED_VALUE"""),-0.604990542441098)</f>
        <v>-0.60499054244109796</v>
      </c>
      <c r="CB85" s="3">
        <f ca="1">IFERROR(__xludf.DUMMYFUNCTION("""COMPUTED_VALUE"""),-0.538342010491425)</f>
        <v>-0.53834201049142505</v>
      </c>
      <c r="CC85" s="3">
        <f ca="1">IFERROR(__xludf.DUMMYFUNCTION("""COMPUTED_VALUE"""),-0.51404066078252)</f>
        <v>-0.51404066078251998</v>
      </c>
      <c r="CD85" s="3">
        <f ca="1">IFERROR(__xludf.DUMMYFUNCTION("""COMPUTED_VALUE"""),-0.504640397244416)</f>
        <v>-0.50464039724441601</v>
      </c>
      <c r="CE85" s="3">
        <f ca="1">IFERROR(__xludf.DUMMYFUNCTION("""COMPUTED_VALUE"""),-0.580523543205825)</f>
        <v>-0.580523543205825</v>
      </c>
      <c r="CF85" s="3">
        <f ca="1">IFERROR(__xludf.DUMMYFUNCTION("""COMPUTED_VALUE"""),-0.5953561743901)</f>
        <v>-0.59535617439010002</v>
      </c>
      <c r="CG85" s="3">
        <f ca="1">IFERROR(__xludf.DUMMYFUNCTION("""COMPUTED_VALUE"""),-0.598691687801635)</f>
        <v>-0.59869168780163495</v>
      </c>
      <c r="CH85" s="3">
        <f ca="1">IFERROR(__xludf.DUMMYFUNCTION("""COMPUTED_VALUE"""),-0.588397082558728)</f>
        <v>-0.58839708255872802</v>
      </c>
      <c r="CI85" s="3">
        <f ca="1">IFERROR(__xludf.DUMMYFUNCTION("""COMPUTED_VALUE"""),-0.568467224607425)</f>
        <v>-0.56846722460742505</v>
      </c>
      <c r="CJ85" s="3">
        <f ca="1">IFERROR(__xludf.DUMMYFUNCTION("""COMPUTED_VALUE"""),-0.506434705951156)</f>
        <v>-0.50643470595115603</v>
      </c>
      <c r="CK85" s="3">
        <f ca="1">IFERROR(__xludf.DUMMYFUNCTION("""COMPUTED_VALUE"""),-0.512752143194575)</f>
        <v>-0.51275214319457496</v>
      </c>
      <c r="CL85" s="3">
        <f ca="1">IFERROR(__xludf.DUMMYFUNCTION("""COMPUTED_VALUE"""),-0.58379750446091)</f>
        <v>-0.58379750446091006</v>
      </c>
      <c r="CM85" s="3">
        <f ca="1">IFERROR(__xludf.DUMMYFUNCTION("""COMPUTED_VALUE"""),-0.583170422330749)</f>
        <v>-0.58317042233074901</v>
      </c>
      <c r="CN85" s="3">
        <f ca="1">IFERROR(__xludf.DUMMYFUNCTION("""COMPUTED_VALUE"""),-0.585089877201779)</f>
        <v>-0.58508987720177896</v>
      </c>
      <c r="CO85" s="3">
        <f ca="1">IFERROR(__xludf.DUMMYFUNCTION("""COMPUTED_VALUE"""),-0.56221614277098)</f>
        <v>-0.56221614277097998</v>
      </c>
      <c r="CP85" s="3">
        <f ca="1">IFERROR(__xludf.DUMMYFUNCTION("""COMPUTED_VALUE"""),-0.555972748925779)</f>
        <v>-0.55597274892577897</v>
      </c>
      <c r="CQ85" s="3">
        <f ca="1">IFERROR(__xludf.DUMMYFUNCTION("""COMPUTED_VALUE"""),-0.525156260982705)</f>
        <v>-0.52515626098270496</v>
      </c>
      <c r="CR85" s="3">
        <f ca="1">IFERROR(__xludf.DUMMYFUNCTION("""COMPUTED_VALUE"""),-0.522516269719563)</f>
        <v>-0.522516269719563</v>
      </c>
      <c r="CS85" s="3">
        <f ca="1">IFERROR(__xludf.DUMMYFUNCTION("""COMPUTED_VALUE"""),-0.574311194980276)</f>
        <v>-0.57431119498027605</v>
      </c>
      <c r="CT85" s="3">
        <f ca="1">IFERROR(__xludf.DUMMYFUNCTION("""COMPUTED_VALUE"""),-0.576514327012186)</f>
        <v>-0.57651432701218597</v>
      </c>
      <c r="CU85" s="3">
        <f ca="1">IFERROR(__xludf.DUMMYFUNCTION("""COMPUTED_VALUE"""),-0.528860062451804)</f>
        <v>-0.52886006245180395</v>
      </c>
      <c r="CV85" s="3">
        <f ca="1">IFERROR(__xludf.DUMMYFUNCTION("""COMPUTED_VALUE"""),-0.557607048233851)</f>
        <v>-0.55760704823385099</v>
      </c>
      <c r="CW85" s="3">
        <f ca="1">IFERROR(__xludf.DUMMYFUNCTION("""COMPUTED_VALUE"""),-0.557548039051063)</f>
        <v>-0.55754803905106298</v>
      </c>
      <c r="CX85" s="3">
        <f ca="1">IFERROR(__xludf.DUMMYFUNCTION("""COMPUTED_VALUE"""),-0.564248281028423)</f>
        <v>-0.56424828102842295</v>
      </c>
      <c r="CY85" s="3">
        <f ca="1">IFERROR(__xludf.DUMMYFUNCTION("""COMPUTED_VALUE"""),-0.574029971293964)</f>
        <v>-0.57402997129396405</v>
      </c>
      <c r="CZ85" s="3">
        <f ca="1">IFERROR(__xludf.DUMMYFUNCTION("""COMPUTED_VALUE"""),-0.686975871889644)</f>
        <v>-0.68697587188964404</v>
      </c>
      <c r="DA85" s="3">
        <f ca="1">IFERROR(__xludf.DUMMYFUNCTION("""COMPUTED_VALUE"""),-0.54400361747226)</f>
        <v>-0.54400361747226</v>
      </c>
      <c r="DB85" s="3">
        <f ca="1">IFERROR(__xludf.DUMMYFUNCTION("""COMPUTED_VALUE"""),-0.365564567170718)</f>
        <v>-0.365564567170718</v>
      </c>
      <c r="DC85" s="3">
        <f ca="1">IFERROR(__xludf.DUMMYFUNCTION("""COMPUTED_VALUE"""),-0.489345743486872)</f>
        <v>-0.48934574348687199</v>
      </c>
      <c r="DD85" s="3">
        <f ca="1">IFERROR(__xludf.DUMMYFUNCTION("""COMPUTED_VALUE"""),-0.495740416421838)</f>
        <v>-0.49574041642183803</v>
      </c>
      <c r="DE85" s="3">
        <f ca="1">IFERROR(__xludf.DUMMYFUNCTION("""COMPUTED_VALUE"""),-0.513554958095348)</f>
        <v>-0.51355495809534801</v>
      </c>
      <c r="DF85" s="3">
        <f ca="1">IFERROR(__xludf.DUMMYFUNCTION("""COMPUTED_VALUE"""),-0.567347828315284)</f>
        <v>-0.56734782831528396</v>
      </c>
      <c r="DG85" s="3">
        <f ca="1">IFERROR(__xludf.DUMMYFUNCTION("""COMPUTED_VALUE"""),-0.723443284543842)</f>
        <v>-0.72344328454384199</v>
      </c>
      <c r="DH85" s="3">
        <f ca="1">IFERROR(__xludf.DUMMYFUNCTION("""COMPUTED_VALUE"""),-0.525534075118203)</f>
        <v>-0.52553407511820305</v>
      </c>
      <c r="DI85" s="3">
        <f ca="1">IFERROR(__xludf.DUMMYFUNCTION("""COMPUTED_VALUE"""),-0.311171956198803)</f>
        <v>-0.311171956198803</v>
      </c>
      <c r="DJ85" s="3">
        <f ca="1">IFERROR(__xludf.DUMMYFUNCTION("""COMPUTED_VALUE"""),-0.444704011736838)</f>
        <v>-0.44470401173683799</v>
      </c>
      <c r="DK85" s="3">
        <f ca="1">IFERROR(__xludf.DUMMYFUNCTION("""COMPUTED_VALUE"""),-0.472061516328247)</f>
        <v>-0.472061516328247</v>
      </c>
      <c r="DL85" s="3">
        <f ca="1">IFERROR(__xludf.DUMMYFUNCTION("""COMPUTED_VALUE"""),-0.469492570885198)</f>
        <v>-0.46949257088519802</v>
      </c>
      <c r="DM85" s="3">
        <f ca="1">IFERROR(__xludf.DUMMYFUNCTION("""COMPUTED_VALUE"""),-0.460858478963221)</f>
        <v>-0.46085847896322102</v>
      </c>
      <c r="DN85" s="3">
        <f ca="1">IFERROR(__xludf.DUMMYFUNCTION("""COMPUTED_VALUE"""),-0.51020701188879)</f>
        <v>-0.51020701188879003</v>
      </c>
      <c r="DO85" s="3">
        <f ca="1">IFERROR(__xludf.DUMMYFUNCTION("""COMPUTED_VALUE"""),-0.540567053226532)</f>
        <v>-0.54056705322653198</v>
      </c>
      <c r="DP85" s="3">
        <f ca="1">IFERROR(__xludf.DUMMYFUNCTION("""COMPUTED_VALUE"""),-0.442417336246452)</f>
        <v>-0.44241733624645202</v>
      </c>
      <c r="DQ85" s="3">
        <f ca="1">IFERROR(__xludf.DUMMYFUNCTION("""COMPUTED_VALUE"""),-0.529281998967577)</f>
        <v>-0.52928199896757699</v>
      </c>
      <c r="DR85" s="3">
        <f ca="1">IFERROR(__xludf.DUMMYFUNCTION("""COMPUTED_VALUE"""),-0.584454738196557)</f>
        <v>-0.58445473819655702</v>
      </c>
      <c r="DS85" s="3">
        <f ca="1">IFERROR(__xludf.DUMMYFUNCTION("""COMPUTED_VALUE"""),-0.495512708488047)</f>
        <v>-0.49551270848804702</v>
      </c>
      <c r="DT85" s="3">
        <f ca="1">IFERROR(__xludf.DUMMYFUNCTION("""COMPUTED_VALUE"""),-0.533245559850216)</f>
        <v>-0.53324555985021604</v>
      </c>
      <c r="DU85" s="3">
        <f ca="1">IFERROR(__xludf.DUMMYFUNCTION("""COMPUTED_VALUE"""),-0.590760327927518)</f>
        <v>-0.59076032792751798</v>
      </c>
      <c r="DV85" s="3">
        <f ca="1">IFERROR(__xludf.DUMMYFUNCTION("""COMPUTED_VALUE"""),-0.598332853411947)</f>
        <v>-0.59833285341194697</v>
      </c>
      <c r="DW85" s="3">
        <f ca="1">IFERROR(__xludf.DUMMYFUNCTION("""COMPUTED_VALUE"""),-0.612038191440827)</f>
        <v>-0.61203819144082705</v>
      </c>
      <c r="DX85" s="3">
        <f ca="1">IFERROR(__xludf.DUMMYFUNCTION("""COMPUTED_VALUE"""),-0.599102562709709)</f>
        <v>-0.59910256270970896</v>
      </c>
      <c r="DY85" s="3">
        <f ca="1">IFERROR(__xludf.DUMMYFUNCTION("""COMPUTED_VALUE"""),-0.584447598269656)</f>
        <v>-0.58444759826965598</v>
      </c>
      <c r="DZ85" s="3">
        <f ca="1">IFERROR(__xludf.DUMMYFUNCTION("""COMPUTED_VALUE"""),-0.464573673033436)</f>
        <v>-0.464573673033436</v>
      </c>
      <c r="EA85" s="3">
        <f ca="1">IFERROR(__xludf.DUMMYFUNCTION("""COMPUTED_VALUE"""),-0.554773020200049)</f>
        <v>-0.55477302020004904</v>
      </c>
      <c r="EB85" s="3">
        <f ca="1">IFERROR(__xludf.DUMMYFUNCTION("""COMPUTED_VALUE"""),-0.572039026932021)</f>
        <v>-0.57203902693202102</v>
      </c>
      <c r="EC85" s="3">
        <f ca="1">IFERROR(__xludf.DUMMYFUNCTION("""COMPUTED_VALUE"""),-0.552037251092962)</f>
        <v>-0.55203725109296198</v>
      </c>
      <c r="ED85" s="3">
        <f ca="1">IFERROR(__xludf.DUMMYFUNCTION("""COMPUTED_VALUE"""),-0.609810905951892)</f>
        <v>-0.60981090595189202</v>
      </c>
      <c r="EE85" s="3">
        <f ca="1">IFERROR(__xludf.DUMMYFUNCTION("""COMPUTED_VALUE"""),-0.592756434529505)</f>
        <v>-0.59275643452950499</v>
      </c>
      <c r="EF85" s="3">
        <f ca="1">IFERROR(__xludf.DUMMYFUNCTION("""COMPUTED_VALUE"""),-0.625838110271002)</f>
        <v>-0.625838110271002</v>
      </c>
      <c r="EG85" s="3">
        <f ca="1">IFERROR(__xludf.DUMMYFUNCTION("""COMPUTED_VALUE"""),-0.465266589393158)</f>
        <v>-0.46526658939315801</v>
      </c>
      <c r="EH85" s="3">
        <f ca="1">IFERROR(__xludf.DUMMYFUNCTION("""COMPUTED_VALUE"""),-0.534304559633449)</f>
        <v>-0.53430455963344903</v>
      </c>
      <c r="EI85" s="3">
        <f ca="1">IFERROR(__xludf.DUMMYFUNCTION("""COMPUTED_VALUE"""),-0.608900844764735)</f>
        <v>-0.60890084476473505</v>
      </c>
      <c r="EJ85" s="3">
        <f ca="1">IFERROR(__xludf.DUMMYFUNCTION("""COMPUTED_VALUE"""),-0.675897312301283)</f>
        <v>-0.67589731230128303</v>
      </c>
      <c r="EK85" s="3">
        <f ca="1">IFERROR(__xludf.DUMMYFUNCTION("""COMPUTED_VALUE"""),-0.591892876771092)</f>
        <v>-0.59189287677109204</v>
      </c>
      <c r="EL85" s="3">
        <f ca="1">IFERROR(__xludf.DUMMYFUNCTION("""COMPUTED_VALUE"""),-0.582627265621555)</f>
        <v>-0.58262726562155498</v>
      </c>
      <c r="EM85" s="3">
        <f ca="1">IFERROR(__xludf.DUMMYFUNCTION("""COMPUTED_VALUE"""),-0.56187830423061)</f>
        <v>-0.56187830423061003</v>
      </c>
      <c r="EN85" s="3">
        <f ca="1">IFERROR(__xludf.DUMMYFUNCTION("""COMPUTED_VALUE"""),-0.466890571318162)</f>
        <v>-0.46689057131816197</v>
      </c>
      <c r="EO85" s="3">
        <f ca="1">IFERROR(__xludf.DUMMYFUNCTION("""COMPUTED_VALUE"""),-0.494026225506942)</f>
        <v>-0.49402622550694197</v>
      </c>
      <c r="EP85" s="3">
        <f ca="1">IFERROR(__xludf.DUMMYFUNCTION("""COMPUTED_VALUE"""),-0.514083994605285)</f>
        <v>-0.51408399460528498</v>
      </c>
      <c r="EQ85" s="3">
        <f ca="1">IFERROR(__xludf.DUMMYFUNCTION("""COMPUTED_VALUE"""),-0.539492937110038)</f>
        <v>-0.53949293711003798</v>
      </c>
      <c r="ER85" s="3">
        <f ca="1">IFERROR(__xludf.DUMMYFUNCTION("""COMPUTED_VALUE"""),-0.587122991579399)</f>
        <v>-0.58712299157939896</v>
      </c>
      <c r="ES85" s="3">
        <f ca="1">IFERROR(__xludf.DUMMYFUNCTION("""COMPUTED_VALUE"""),-0.582435335763105)</f>
        <v>-0.58243533576310502</v>
      </c>
      <c r="ET85" s="3">
        <f ca="1">IFERROR(__xludf.DUMMYFUNCTION("""COMPUTED_VALUE"""),-0.553146968444291)</f>
        <v>-0.55314696844429101</v>
      </c>
      <c r="EU85" s="3">
        <f ca="1">IFERROR(__xludf.DUMMYFUNCTION("""COMPUTED_VALUE"""),-0.494677748075842)</f>
        <v>-0.49467774807584203</v>
      </c>
      <c r="EV85" s="3">
        <f ca="1">IFERROR(__xludf.DUMMYFUNCTION("""COMPUTED_VALUE"""),-0.499334315591326)</f>
        <v>-0.49933431559132602</v>
      </c>
      <c r="EW85" s="3">
        <f ca="1">IFERROR(__xludf.DUMMYFUNCTION("""COMPUTED_VALUE"""),-0.58544429663528)</f>
        <v>-0.58544429663527997</v>
      </c>
      <c r="EX85" s="3">
        <f ca="1">IFERROR(__xludf.DUMMYFUNCTION("""COMPUTED_VALUE"""),-0.599413058072497)</f>
        <v>-0.59941305807249701</v>
      </c>
      <c r="EY85" s="3">
        <f ca="1">IFERROR(__xludf.DUMMYFUNCTION("""COMPUTED_VALUE"""),-0.629211411873184)</f>
        <v>-0.62921141187318397</v>
      </c>
      <c r="EZ85" s="3">
        <f ca="1">IFERROR(__xludf.DUMMYFUNCTION("""COMPUTED_VALUE"""),-0.5385572432851)</f>
        <v>-0.53855724328510002</v>
      </c>
      <c r="FA85" s="3">
        <f ca="1">IFERROR(__xludf.DUMMYFUNCTION("""COMPUTED_VALUE"""),-0.516894137747372)</f>
        <v>-0.51689413774737203</v>
      </c>
      <c r="FB85" s="3">
        <f ca="1">IFERROR(__xludf.DUMMYFUNCTION("""COMPUTED_VALUE"""),-0.466925524054738)</f>
        <v>-0.46692552405473797</v>
      </c>
      <c r="FC85" s="3">
        <f ca="1">IFERROR(__xludf.DUMMYFUNCTION("""COMPUTED_VALUE"""),-0.509587004049959)</f>
        <v>-0.50958700404995905</v>
      </c>
      <c r="FD85" s="3">
        <f ca="1">IFERROR(__xludf.DUMMYFUNCTION("""COMPUTED_VALUE"""),-0.552892226941199)</f>
        <v>-0.55289222694119899</v>
      </c>
      <c r="FE85" s="3">
        <f ca="1">IFERROR(__xludf.DUMMYFUNCTION("""COMPUTED_VALUE"""),-0.552662571484738)</f>
        <v>-0.55266257148473796</v>
      </c>
      <c r="FF85" s="3">
        <f ca="1">IFERROR(__xludf.DUMMYFUNCTION("""COMPUTED_VALUE"""),-0.59622745482086)</f>
        <v>-0.59622745482086004</v>
      </c>
      <c r="FG85" s="3">
        <f ca="1">IFERROR(__xludf.DUMMYFUNCTION("""COMPUTED_VALUE"""),-0.585538027903497)</f>
        <v>-0.58553802790349696</v>
      </c>
      <c r="FH85" s="3">
        <f ca="1">IFERROR(__xludf.DUMMYFUNCTION("""COMPUTED_VALUE"""),-0.536439486615266)</f>
        <v>-0.53643948661526597</v>
      </c>
      <c r="FI85" s="3">
        <f ca="1">IFERROR(__xludf.DUMMYFUNCTION("""COMPUTED_VALUE"""),-0.471086234572993)</f>
        <v>-0.47108623457299298</v>
      </c>
      <c r="FJ85" s="3">
        <f ca="1">IFERROR(__xludf.DUMMYFUNCTION("""COMPUTED_VALUE"""),-0.502753174215693)</f>
        <v>-0.50275317421569299</v>
      </c>
      <c r="FK85" s="3">
        <f ca="1">IFERROR(__xludf.DUMMYFUNCTION("""COMPUTED_VALUE"""),-0.59559275996328)</f>
        <v>-0.59559275996327998</v>
      </c>
      <c r="FL85" s="3">
        <f ca="1">IFERROR(__xludf.DUMMYFUNCTION("""COMPUTED_VALUE"""),-0.620646864276042)</f>
        <v>-0.62064686427604199</v>
      </c>
      <c r="FM85" s="3">
        <f ca="1">IFERROR(__xludf.DUMMYFUNCTION("""COMPUTED_VALUE"""),-0.588157776364977)</f>
        <v>-0.58815777636497701</v>
      </c>
      <c r="FN85" s="3">
        <f ca="1">IFERROR(__xludf.DUMMYFUNCTION("""COMPUTED_VALUE"""),-0.549677548241748)</f>
        <v>-0.54967754824174797</v>
      </c>
      <c r="FO85" s="3">
        <f ca="1">IFERROR(__xludf.DUMMYFUNCTION("""COMPUTED_VALUE"""),-0.585297830241801)</f>
        <v>-0.58529783024180104</v>
      </c>
      <c r="FP85" s="3">
        <f ca="1">IFERROR(__xludf.DUMMYFUNCTION("""COMPUTED_VALUE"""),-0.456158789861209)</f>
        <v>-0.456158789861209</v>
      </c>
      <c r="FQ85" s="3">
        <f ca="1">IFERROR(__xludf.DUMMYFUNCTION("""COMPUTED_VALUE"""),-0.506016480953994)</f>
        <v>-0.50601648095399399</v>
      </c>
      <c r="FR85" s="3">
        <f ca="1">IFERROR(__xludf.DUMMYFUNCTION("""COMPUTED_VALUE"""),-0.573484720060299)</f>
        <v>-0.57348472006029905</v>
      </c>
      <c r="FS85" s="3">
        <f ca="1">IFERROR(__xludf.DUMMYFUNCTION("""COMPUTED_VALUE"""),-0.571721835031443)</f>
        <v>-0.57172183503144303</v>
      </c>
      <c r="FT85" s="3">
        <f ca="1">IFERROR(__xludf.DUMMYFUNCTION("""COMPUTED_VALUE"""),-0.580976164985924)</f>
        <v>-0.58097616498592397</v>
      </c>
      <c r="FU85" s="3">
        <f ca="1">IFERROR(__xludf.DUMMYFUNCTION("""COMPUTED_VALUE"""),-0.566770312234157)</f>
        <v>-0.56677031223415697</v>
      </c>
      <c r="FV85" s="3">
        <f ca="1">IFERROR(__xludf.DUMMYFUNCTION("""COMPUTED_VALUE"""),-0.520343068461267)</f>
        <v>-0.52034306846126699</v>
      </c>
      <c r="FW85" s="3">
        <f ca="1">IFERROR(__xludf.DUMMYFUNCTION("""COMPUTED_VALUE"""),-0.441840891941094)</f>
        <v>-0.44184089194109399</v>
      </c>
      <c r="FX85" s="3">
        <f ca="1">IFERROR(__xludf.DUMMYFUNCTION("""COMPUTED_VALUE"""),-0.503429121421657)</f>
        <v>-0.50342912142165697</v>
      </c>
      <c r="FY85" s="3">
        <f ca="1">IFERROR(__xludf.DUMMYFUNCTION("""COMPUTED_VALUE"""),-0.606309538024915)</f>
        <v>-0.60630953802491505</v>
      </c>
      <c r="FZ85" s="3">
        <f ca="1">IFERROR(__xludf.DUMMYFUNCTION("""COMPUTED_VALUE"""),-0.564810167650763)</f>
        <v>-0.56481016765076297</v>
      </c>
      <c r="GA85" s="3">
        <f ca="1">IFERROR(__xludf.DUMMYFUNCTION("""COMPUTED_VALUE"""),-0.534085010142105)</f>
        <v>-0.53408501014210497</v>
      </c>
      <c r="GB85" s="3">
        <f ca="1">IFERROR(__xludf.DUMMYFUNCTION("""COMPUTED_VALUE"""),-0.580234449904634)</f>
        <v>-0.58023444990463402</v>
      </c>
      <c r="GC85" s="3">
        <f ca="1">IFERROR(__xludf.DUMMYFUNCTION("""COMPUTED_VALUE"""),-0.598933131860674)</f>
        <v>-0.59893313186067398</v>
      </c>
      <c r="GD85" s="3">
        <f ca="1">IFERROR(__xludf.DUMMYFUNCTION("""COMPUTED_VALUE"""),-0.470393551168292)</f>
        <v>-0.47039355116829201</v>
      </c>
      <c r="GE85" s="3">
        <f ca="1">IFERROR(__xludf.DUMMYFUNCTION("""COMPUTED_VALUE"""),-0.479474790562304)</f>
        <v>-0.47947479056230402</v>
      </c>
      <c r="GF85" s="3">
        <f ca="1">IFERROR(__xludf.DUMMYFUNCTION("""COMPUTED_VALUE"""),-0.57191668039991)</f>
        <v>-0.57191668039990995</v>
      </c>
      <c r="GG85" s="3">
        <f ca="1">IFERROR(__xludf.DUMMYFUNCTION("""COMPUTED_VALUE"""),-0.561367317215428)</f>
        <v>-0.56136731721542799</v>
      </c>
      <c r="GH85" s="3">
        <f ca="1">IFERROR(__xludf.DUMMYFUNCTION("""COMPUTED_VALUE"""),-0.549776951816424)</f>
        <v>-0.54977695181642405</v>
      </c>
      <c r="GI85" s="3">
        <f ca="1">IFERROR(__xludf.DUMMYFUNCTION("""COMPUTED_VALUE"""),-0.53518143069391)</f>
        <v>-0.53518143069391</v>
      </c>
      <c r="GJ85" s="3">
        <f ca="1">IFERROR(__xludf.DUMMYFUNCTION("""COMPUTED_VALUE"""),-0.489867760296645)</f>
        <v>-0.48986776029664503</v>
      </c>
      <c r="GK85" s="3">
        <f ca="1">IFERROR(__xludf.DUMMYFUNCTION("""COMPUTED_VALUE"""),-0.500953283612764)</f>
        <v>-0.50095328361276403</v>
      </c>
      <c r="GL85" s="3">
        <f ca="1">IFERROR(__xludf.DUMMYFUNCTION("""COMPUTED_VALUE"""),-0.499630688402232)</f>
        <v>-0.49963068840223201</v>
      </c>
      <c r="GM85" s="3">
        <f ca="1">IFERROR(__xludf.DUMMYFUNCTION("""COMPUTED_VALUE"""),-0.559380329718693)</f>
        <v>-0.559380329718693</v>
      </c>
      <c r="GN85" s="3">
        <f ca="1">IFERROR(__xludf.DUMMYFUNCTION("""COMPUTED_VALUE"""),-0.553649446262818)</f>
        <v>-0.55364944626281798</v>
      </c>
      <c r="GO85" s="3">
        <f ca="1">IFERROR(__xludf.DUMMYFUNCTION("""COMPUTED_VALUE"""),-0.547507757200469)</f>
        <v>-0.54750775720046896</v>
      </c>
      <c r="GP85" s="3">
        <f ca="1">IFERROR(__xludf.DUMMYFUNCTION("""COMPUTED_VALUE"""),-0.558620916883336)</f>
        <v>-0.55862091688333604</v>
      </c>
      <c r="GQ85" s="3">
        <f ca="1">IFERROR(__xludf.DUMMYFUNCTION("""COMPUTED_VALUE"""),-0.565455758814799)</f>
        <v>-0.56545575881479904</v>
      </c>
      <c r="GR85" s="3">
        <f ca="1">IFERROR(__xludf.DUMMYFUNCTION("""COMPUTED_VALUE"""),-0.475327784665537)</f>
        <v>-0.47532778466553699</v>
      </c>
      <c r="GS85" s="3">
        <f ca="1">IFERROR(__xludf.DUMMYFUNCTION("""COMPUTED_VALUE"""),-0.51202392955712)</f>
        <v>-0.51202392955711995</v>
      </c>
      <c r="GT85" s="3">
        <f ca="1">IFERROR(__xludf.DUMMYFUNCTION("""COMPUTED_VALUE"""),-0.57349893604638)</f>
        <v>-0.57349893604638003</v>
      </c>
      <c r="GU85" s="3">
        <f ca="1">IFERROR(__xludf.DUMMYFUNCTION("""COMPUTED_VALUE"""),-0.582891827364159)</f>
        <v>-0.58289182736415901</v>
      </c>
      <c r="GV85" s="3">
        <f ca="1">IFERROR(__xludf.DUMMYFUNCTION("""COMPUTED_VALUE"""),-0.583729771251497)</f>
        <v>-0.58372977125149705</v>
      </c>
      <c r="GW85" s="3">
        <f ca="1">IFERROR(__xludf.DUMMYFUNCTION("""COMPUTED_VALUE"""),-0.555563346039683)</f>
        <v>-0.55556334603968305</v>
      </c>
      <c r="GX85" s="3">
        <f ca="1">IFERROR(__xludf.DUMMYFUNCTION("""COMPUTED_VALUE"""),-0.529524880228928)</f>
        <v>-0.52952488022892796</v>
      </c>
      <c r="GY85" s="3">
        <f ca="1">IFERROR(__xludf.DUMMYFUNCTION("""COMPUTED_VALUE"""),-0.436767871861968)</f>
        <v>-0.43676787186196803</v>
      </c>
      <c r="GZ85" s="3">
        <f ca="1">IFERROR(__xludf.DUMMYFUNCTION("""COMPUTED_VALUE"""),-0.49683909366571)</f>
        <v>-0.49683909366571</v>
      </c>
      <c r="HA85" s="3">
        <f ca="1">IFERROR(__xludf.DUMMYFUNCTION("""COMPUTED_VALUE"""),-0.571940588637789)</f>
        <v>-0.57194058863778896</v>
      </c>
      <c r="HB85" s="3">
        <f ca="1">IFERROR(__xludf.DUMMYFUNCTION("""COMPUTED_VALUE"""),-0.590302431956451)</f>
        <v>-0.59030243195645105</v>
      </c>
      <c r="HC85" s="3">
        <f ca="1">IFERROR(__xludf.DUMMYFUNCTION("""COMPUTED_VALUE"""),-0.59631064730943)</f>
        <v>-0.59631064730942995</v>
      </c>
      <c r="HD85" s="3">
        <f ca="1">IFERROR(__xludf.DUMMYFUNCTION("""COMPUTED_VALUE"""),-0.582782091955961)</f>
        <v>-0.58278209195596098</v>
      </c>
      <c r="HE85" s="3">
        <f ca="1">IFERROR(__xludf.DUMMYFUNCTION("""COMPUTED_VALUE"""),-0.574201650110095)</f>
        <v>-0.57420165011009505</v>
      </c>
      <c r="HF85" s="3">
        <f ca="1">IFERROR(__xludf.DUMMYFUNCTION("""COMPUTED_VALUE"""),-0.48154127140878)</f>
        <v>-0.48154127140878</v>
      </c>
      <c r="HG85" s="3">
        <f ca="1">IFERROR(__xludf.DUMMYFUNCTION("""COMPUTED_VALUE"""),-0.4872773546035)</f>
        <v>-0.48727735460350002</v>
      </c>
      <c r="HH85" s="3">
        <f ca="1">IFERROR(__xludf.DUMMYFUNCTION("""COMPUTED_VALUE"""),-0.561838147500898)</f>
        <v>-0.561838147500898</v>
      </c>
      <c r="HI85" s="3">
        <f ca="1">IFERROR(__xludf.DUMMYFUNCTION("""COMPUTED_VALUE"""),-0.605604113395063)</f>
        <v>-0.60560411339506304</v>
      </c>
      <c r="HJ85" s="3">
        <f ca="1">IFERROR(__xludf.DUMMYFUNCTION("""COMPUTED_VALUE"""),-0.567680662359647)</f>
        <v>-0.56768066235964698</v>
      </c>
      <c r="HK85" s="3">
        <f ca="1">IFERROR(__xludf.DUMMYFUNCTION("""COMPUTED_VALUE"""),-0.542149097332628)</f>
        <v>-0.54214909733262795</v>
      </c>
      <c r="HL85" s="3">
        <f ca="1">IFERROR(__xludf.DUMMYFUNCTION("""COMPUTED_VALUE"""),-0.496201750702634)</f>
        <v>-0.496201750702634</v>
      </c>
      <c r="HM85" s="3">
        <f ca="1">IFERROR(__xludf.DUMMYFUNCTION("""COMPUTED_VALUE"""),-0.463436541389311)</f>
        <v>-0.46343654138931101</v>
      </c>
      <c r="HN85" s="3">
        <f ca="1">IFERROR(__xludf.DUMMYFUNCTION("""COMPUTED_VALUE"""),-0.483291375957006)</f>
        <v>-0.483291375957006</v>
      </c>
      <c r="HO85" s="3">
        <f ca="1">IFERROR(__xludf.DUMMYFUNCTION("""COMPUTED_VALUE"""),-0.527585681296315)</f>
        <v>-0.527585681296315</v>
      </c>
      <c r="HP85" s="3">
        <f ca="1">IFERROR(__xludf.DUMMYFUNCTION("""COMPUTED_VALUE"""),-0.568870254723941)</f>
        <v>-0.56887025472394104</v>
      </c>
      <c r="HQ85" s="3">
        <f ca="1">IFERROR(__xludf.DUMMYFUNCTION("""COMPUTED_VALUE"""),-0.570410262140036)</f>
        <v>-0.57041026214003598</v>
      </c>
      <c r="HR85" s="3">
        <f ca="1">IFERROR(__xludf.DUMMYFUNCTION("""COMPUTED_VALUE"""),-0.557078968562514)</f>
        <v>-0.55707896856251404</v>
      </c>
      <c r="HS85" s="3">
        <f ca="1">IFERROR(__xludf.DUMMYFUNCTION("""COMPUTED_VALUE"""),-0.475339923794347)</f>
        <v>-0.47533992379434697</v>
      </c>
      <c r="HT85" s="3">
        <f ca="1">IFERROR(__xludf.DUMMYFUNCTION("""COMPUTED_VALUE"""),-0.341297927868961)</f>
        <v>-0.34129792786896102</v>
      </c>
      <c r="HU85" s="3">
        <f ca="1">IFERROR(__xludf.DUMMYFUNCTION("""COMPUTED_VALUE"""),-0.458125213013272)</f>
        <v>-0.45812521301327203</v>
      </c>
      <c r="HV85" s="3">
        <f ca="1">IFERROR(__xludf.DUMMYFUNCTION("""COMPUTED_VALUE"""),-0.400173778356417)</f>
        <v>-0.40017377835641699</v>
      </c>
      <c r="HW85" s="3">
        <f ca="1">IFERROR(__xludf.DUMMYFUNCTION("""COMPUTED_VALUE"""),-0.444050753659673)</f>
        <v>-0.444050753659673</v>
      </c>
      <c r="HX85" s="3">
        <f ca="1">IFERROR(__xludf.DUMMYFUNCTION("""COMPUTED_VALUE"""),-0.411167506414531)</f>
        <v>-0.41116750641453098</v>
      </c>
      <c r="HY85" s="3">
        <f ca="1">IFERROR(__xludf.DUMMYFUNCTION("""COMPUTED_VALUE"""),-0.393995479350924)</f>
        <v>-0.39399547935092399</v>
      </c>
      <c r="HZ85" s="3">
        <f ca="1">IFERROR(__xludf.DUMMYFUNCTION("""COMPUTED_VALUE"""),-0.317251601618234)</f>
        <v>-0.31725160161823401</v>
      </c>
      <c r="IA85" s="3">
        <f ca="1">IFERROR(__xludf.DUMMYFUNCTION("""COMPUTED_VALUE"""),-0.366214530136853)</f>
        <v>-0.36621453013685301</v>
      </c>
      <c r="IB85" s="3">
        <f ca="1">IFERROR(__xludf.DUMMYFUNCTION("""COMPUTED_VALUE"""),-0.379049138580234)</f>
        <v>-0.37904913858023398</v>
      </c>
      <c r="IC85" s="3">
        <f ca="1">IFERROR(__xludf.DUMMYFUNCTION("""COMPUTED_VALUE"""),-0.359205035997436)</f>
        <v>-0.35920503599743597</v>
      </c>
      <c r="ID85" s="3">
        <f ca="1">IFERROR(__xludf.DUMMYFUNCTION("""COMPUTED_VALUE"""),-0.391783189596985)</f>
        <v>-0.39178318959698499</v>
      </c>
      <c r="IE85" s="3">
        <f ca="1">IFERROR(__xludf.DUMMYFUNCTION("""COMPUTED_VALUE"""),-0.42608105755096)</f>
        <v>-0.42608105755095999</v>
      </c>
      <c r="IF85" s="3">
        <f ca="1">IFERROR(__xludf.DUMMYFUNCTION("""COMPUTED_VALUE"""),-0.373720677722359)</f>
        <v>-0.37372067772235901</v>
      </c>
      <c r="IG85" s="3">
        <f ca="1">IFERROR(__xludf.DUMMYFUNCTION("""COMPUTED_VALUE"""),-0.389500055967583)</f>
        <v>-0.38950005596758303</v>
      </c>
      <c r="IH85" s="3">
        <f ca="1">IFERROR(__xludf.DUMMYFUNCTION("""COMPUTED_VALUE"""),-0.46723088189095)</f>
        <v>-0.46723088189095002</v>
      </c>
      <c r="II85" s="3">
        <f ca="1">IFERROR(__xludf.DUMMYFUNCTION("""COMPUTED_VALUE"""),-0.389822897337744)</f>
        <v>-0.389822897337744</v>
      </c>
      <c r="IJ85" s="3">
        <f ca="1">IFERROR(__xludf.DUMMYFUNCTION("""COMPUTED_VALUE"""),-0.374720785191744)</f>
        <v>-0.37472078519174401</v>
      </c>
      <c r="IK85" s="3">
        <f ca="1">IFERROR(__xludf.DUMMYFUNCTION("""COMPUTED_VALUE"""),-0.464462700753993)</f>
        <v>-0.46446270075399299</v>
      </c>
      <c r="IL85" s="3">
        <f ca="1">IFERROR(__xludf.DUMMYFUNCTION("""COMPUTED_VALUE"""),-0.414371908709629)</f>
        <v>-0.41437190870962898</v>
      </c>
      <c r="IM85" s="3">
        <f ca="1">IFERROR(__xludf.DUMMYFUNCTION("""COMPUTED_VALUE"""),-0.387219380990382)</f>
        <v>-0.387219380990382</v>
      </c>
      <c r="IN85" s="3">
        <f ca="1">IFERROR(__xludf.DUMMYFUNCTION("""COMPUTED_VALUE"""),-0.370813361133658)</f>
        <v>-0.37081336113365798</v>
      </c>
      <c r="IO85" s="3">
        <f ca="1">IFERROR(__xludf.DUMMYFUNCTION("""COMPUTED_VALUE"""),-0.356983554153588)</f>
        <v>-0.35698355415358801</v>
      </c>
      <c r="IP85" s="3">
        <f ca="1">IFERROR(__xludf.DUMMYFUNCTION("""COMPUTED_VALUE"""),-0.432904159552941)</f>
        <v>-0.43290415955294098</v>
      </c>
      <c r="IQ85" s="3">
        <f ca="1">IFERROR(__xludf.DUMMYFUNCTION("""COMPUTED_VALUE"""),-0.425173532323316)</f>
        <v>-0.42517353232331601</v>
      </c>
      <c r="IR85" s="3">
        <f ca="1">IFERROR(__xludf.DUMMYFUNCTION("""COMPUTED_VALUE"""),-0.427998578829174)</f>
        <v>-0.42799857882917403</v>
      </c>
      <c r="IS85" s="3">
        <f ca="1">IFERROR(__xludf.DUMMYFUNCTION("""COMPUTED_VALUE"""),-0.362143857587665)</f>
        <v>-0.36214385758766499</v>
      </c>
      <c r="IT85" s="3">
        <f ca="1">IFERROR(__xludf.DUMMYFUNCTION("""COMPUTED_VALUE"""),-0.461239625133705)</f>
        <v>-0.46123962513370498</v>
      </c>
      <c r="IU85" s="3">
        <f ca="1">IFERROR(__xludf.DUMMYFUNCTION("""COMPUTED_VALUE"""),-0.416415029753566)</f>
        <v>-0.41641502975356598</v>
      </c>
      <c r="IV85" s="3">
        <f ca="1">IFERROR(__xludf.DUMMYFUNCTION("""COMPUTED_VALUE"""),-0.432256068772826)</f>
        <v>-0.43225606877282602</v>
      </c>
      <c r="IW85" s="3">
        <f ca="1">IFERROR(__xludf.DUMMYFUNCTION("""COMPUTED_VALUE"""),-0.417956376921694)</f>
        <v>-0.41795637692169402</v>
      </c>
      <c r="IX85" s="3">
        <f ca="1">IFERROR(__xludf.DUMMYFUNCTION("""COMPUTED_VALUE"""),-0.465987467783796)</f>
        <v>-0.46598746778379602</v>
      </c>
      <c r="IY85" s="3">
        <f ca="1">IFERROR(__xludf.DUMMYFUNCTION("""COMPUTED_VALUE"""),-0.473911064185725)</f>
        <v>-0.47391106418572498</v>
      </c>
      <c r="IZ85" s="3">
        <f ca="1">IFERROR(__xludf.DUMMYFUNCTION("""COMPUTED_VALUE"""),-0.452131765329688)</f>
        <v>-0.45213176532968802</v>
      </c>
      <c r="JA85" s="3">
        <f ca="1">IFERROR(__xludf.DUMMYFUNCTION("""COMPUTED_VALUE"""),-0.472308406267308)</f>
        <v>-0.47230840626730802</v>
      </c>
      <c r="JB85" s="3">
        <f ca="1">IFERROR(__xludf.DUMMYFUNCTION("""COMPUTED_VALUE"""),-0.458707317214253)</f>
        <v>-0.45870731721425301</v>
      </c>
      <c r="JC85" s="3">
        <f ca="1">IFERROR(__xludf.DUMMYFUNCTION("""COMPUTED_VALUE"""),-0.405083316847887)</f>
        <v>-0.40508331684788701</v>
      </c>
      <c r="JD85" s="3">
        <f ca="1">IFERROR(__xludf.DUMMYFUNCTION("""COMPUTED_VALUE"""),-0.419685185670158)</f>
        <v>-0.419685185670158</v>
      </c>
      <c r="JE85" s="3">
        <f ca="1">IFERROR(__xludf.DUMMYFUNCTION("""COMPUTED_VALUE"""),-0.530278311805784)</f>
        <v>-0.530278311805784</v>
      </c>
      <c r="JF85" s="3">
        <f ca="1">IFERROR(__xludf.DUMMYFUNCTION("""COMPUTED_VALUE"""),-0.505317476974396)</f>
        <v>-0.505317476974396</v>
      </c>
      <c r="JG85" s="3">
        <f ca="1">IFERROR(__xludf.DUMMYFUNCTION("""COMPUTED_VALUE"""),-0.50531669603358)</f>
        <v>-0.50531669603357998</v>
      </c>
      <c r="JH85" s="3">
        <f ca="1">IFERROR(__xludf.DUMMYFUNCTION("""COMPUTED_VALUE"""),-0.488297323059425)</f>
        <v>-0.48829732305942503</v>
      </c>
      <c r="JI85" s="3">
        <f ca="1">IFERROR(__xludf.DUMMYFUNCTION("""COMPUTED_VALUE"""),-0.487438978092781)</f>
        <v>-0.48743897809278097</v>
      </c>
      <c r="JJ85" s="3">
        <f ca="1">IFERROR(__xludf.DUMMYFUNCTION("""COMPUTED_VALUE"""),-0.422564051449696)</f>
        <v>-0.422564051449696</v>
      </c>
      <c r="JK85" s="3">
        <f ca="1">IFERROR(__xludf.DUMMYFUNCTION("""COMPUTED_VALUE"""),-0.481228585256967)</f>
        <v>-0.48122858525696699</v>
      </c>
      <c r="JL85" s="3">
        <f ca="1">IFERROR(__xludf.DUMMYFUNCTION("""COMPUTED_VALUE"""),-0.522963025134138)</f>
        <v>-0.52296302513413795</v>
      </c>
      <c r="JM85" s="3">
        <f ca="1">IFERROR(__xludf.DUMMYFUNCTION("""COMPUTED_VALUE"""),-0.503370636848699)</f>
        <v>-0.50337063684869898</v>
      </c>
      <c r="JN85" s="3">
        <f ca="1">IFERROR(__xludf.DUMMYFUNCTION("""COMPUTED_VALUE"""),-0.522145258643619)</f>
        <v>-0.52214525864361905</v>
      </c>
      <c r="JO85" s="3">
        <f ca="1">IFERROR(__xludf.DUMMYFUNCTION("""COMPUTED_VALUE"""),-0.501297175266894)</f>
        <v>-0.50129717526689399</v>
      </c>
      <c r="JP85" s="3">
        <f ca="1">IFERROR(__xludf.DUMMYFUNCTION("""COMPUTED_VALUE"""),-0.489718748821809)</f>
        <v>-0.48971874882180899</v>
      </c>
      <c r="JQ85" s="3">
        <f ca="1">IFERROR(__xludf.DUMMYFUNCTION("""COMPUTED_VALUE"""),-0.437012784793098)</f>
        <v>-0.43701278479309802</v>
      </c>
      <c r="JR85" s="3">
        <f ca="1">IFERROR(__xludf.DUMMYFUNCTION("""COMPUTED_VALUE"""),-0.553484157038357)</f>
        <v>-0.55348415703835696</v>
      </c>
      <c r="JS85" s="3">
        <f ca="1">IFERROR(__xludf.DUMMYFUNCTION("""COMPUTED_VALUE"""),-0.566414676322541)</f>
        <v>-0.56641467632254106</v>
      </c>
      <c r="JT85" s="3">
        <f ca="1">IFERROR(__xludf.DUMMYFUNCTION("""COMPUTED_VALUE"""),-0.450737112121665)</f>
        <v>-0.45073711212166501</v>
      </c>
      <c r="JU85" s="3">
        <f ca="1">IFERROR(__xludf.DUMMYFUNCTION("""COMPUTED_VALUE"""),-0.542335777173595)</f>
        <v>-0.54233577717359505</v>
      </c>
      <c r="JV85" s="3">
        <f ca="1">IFERROR(__xludf.DUMMYFUNCTION("""COMPUTED_VALUE"""),-0.552427362548179)</f>
        <v>-0.55242736254817904</v>
      </c>
      <c r="JW85" s="3">
        <f ca="1">IFERROR(__xludf.DUMMYFUNCTION("""COMPUTED_VALUE"""),-0.527865608044774)</f>
        <v>-0.527865608044774</v>
      </c>
      <c r="JX85" s="3">
        <f ca="1">IFERROR(__xludf.DUMMYFUNCTION("""COMPUTED_VALUE"""),-0.486454364750702)</f>
        <v>-0.48645436475070197</v>
      </c>
      <c r="JY85" s="3">
        <f ca="1">IFERROR(__xludf.DUMMYFUNCTION("""COMPUTED_VALUE"""),-0.5767423251745)</f>
        <v>-0.57674232517449997</v>
      </c>
      <c r="JZ85" s="3">
        <f ca="1">IFERROR(__xludf.DUMMYFUNCTION("""COMPUTED_VALUE"""),-0.482058342840677)</f>
        <v>-0.482058342840677</v>
      </c>
      <c r="KA85" s="3">
        <f ca="1">IFERROR(__xludf.DUMMYFUNCTION("""COMPUTED_VALUE"""),-0.476344261383792)</f>
        <v>-0.47634426138379199</v>
      </c>
      <c r="KB85" s="3">
        <f ca="1">IFERROR(__xludf.DUMMYFUNCTION("""COMPUTED_VALUE"""),-0.590350830168549)</f>
        <v>-0.59035083016854895</v>
      </c>
      <c r="KC85" s="3">
        <f ca="1">IFERROR(__xludf.DUMMYFUNCTION("""COMPUTED_VALUE"""),-0.553389252707304)</f>
        <v>-0.55338925270730399</v>
      </c>
      <c r="KD85" s="3">
        <f ca="1">IFERROR(__xludf.DUMMYFUNCTION("""COMPUTED_VALUE"""),-0.515287495005258)</f>
        <v>-0.51528749500525795</v>
      </c>
      <c r="KE85" s="3">
        <f ca="1">IFERROR(__xludf.DUMMYFUNCTION("""COMPUTED_VALUE"""),-0.520810740352221)</f>
        <v>-0.52081074035222097</v>
      </c>
      <c r="KF85" s="3">
        <f ca="1">IFERROR(__xludf.DUMMYFUNCTION("""COMPUTED_VALUE"""),-0.55665159400795)</f>
        <v>-0.55665159400794995</v>
      </c>
      <c r="KG85" s="3">
        <f ca="1">IFERROR(__xludf.DUMMYFUNCTION("""COMPUTED_VALUE"""),-0.50761134172344)</f>
        <v>-0.50761134172344002</v>
      </c>
      <c r="KH85" s="3">
        <f ca="1">IFERROR(__xludf.DUMMYFUNCTION("""COMPUTED_VALUE"""),-0.52197067176289)</f>
        <v>-0.52197067176289003</v>
      </c>
      <c r="KI85" s="3">
        <f ca="1">IFERROR(__xludf.DUMMYFUNCTION("""COMPUTED_VALUE"""),-0.558769492209094)</f>
        <v>-0.558769492209094</v>
      </c>
      <c r="KJ85" s="3">
        <f ca="1">IFERROR(__xludf.DUMMYFUNCTION("""COMPUTED_VALUE"""),-0.534199894142854)</f>
        <v>-0.53419989414285396</v>
      </c>
      <c r="KK85" s="3">
        <f ca="1">IFERROR(__xludf.DUMMYFUNCTION("""COMPUTED_VALUE"""),-0.55116630219681)</f>
        <v>-0.55116630219680995</v>
      </c>
      <c r="KL85" s="3">
        <f ca="1">IFERROR(__xludf.DUMMYFUNCTION("""COMPUTED_VALUE"""),-0.562615872626168)</f>
        <v>-0.56261587262616797</v>
      </c>
      <c r="KM85" s="3">
        <f ca="1">IFERROR(__xludf.DUMMYFUNCTION("""COMPUTED_VALUE"""),-0.601245387254204)</f>
        <v>-0.60124538725420396</v>
      </c>
      <c r="KN85" s="3">
        <f ca="1">IFERROR(__xludf.DUMMYFUNCTION("""COMPUTED_VALUE"""),-0.598974560153136)</f>
        <v>-0.59897456015313599</v>
      </c>
      <c r="KO85" s="3">
        <f ca="1">IFERROR(__xludf.DUMMYFUNCTION("""COMPUTED_VALUE"""),-0.621908721364637)</f>
        <v>-0.62190872136463704</v>
      </c>
      <c r="KP85" s="3">
        <f ca="1">IFERROR(__xludf.DUMMYFUNCTION("""COMPUTED_VALUE"""),-0.629967389654799)</f>
        <v>-0.62996738965479904</v>
      </c>
      <c r="KQ85" s="3">
        <f ca="1">IFERROR(__xludf.DUMMYFUNCTION("""COMPUTED_VALUE"""),-0.608991758757555)</f>
        <v>-0.60899175875755496</v>
      </c>
      <c r="KR85" s="3">
        <f ca="1">IFERROR(__xludf.DUMMYFUNCTION("""COMPUTED_VALUE"""),-0.629444868346121)</f>
        <v>-0.62944486834612101</v>
      </c>
      <c r="KS85" s="3">
        <f ca="1">IFERROR(__xludf.DUMMYFUNCTION("""COMPUTED_VALUE"""),-0.607946891196659)</f>
        <v>-0.60794689119665901</v>
      </c>
      <c r="KT85" s="3">
        <f ca="1">IFERROR(__xludf.DUMMYFUNCTION("""COMPUTED_VALUE"""),-0.646989014702278)</f>
        <v>-0.64698901470227799</v>
      </c>
      <c r="KU85" s="3">
        <f ca="1">IFERROR(__xludf.DUMMYFUNCTION("""COMPUTED_VALUE"""),-0.642479853416482)</f>
        <v>-0.64247985341648195</v>
      </c>
      <c r="KV85" s="3">
        <f ca="1">IFERROR(__xludf.DUMMYFUNCTION("""COMPUTED_VALUE"""),-0.675828979522597)</f>
        <v>-0.67582897952259702</v>
      </c>
      <c r="KW85" s="3">
        <f ca="1">IFERROR(__xludf.DUMMYFUNCTION("""COMPUTED_VALUE"""),-0.644683012294022)</f>
        <v>-0.64468301229402203</v>
      </c>
      <c r="KX85" s="3">
        <f ca="1">IFERROR(__xludf.DUMMYFUNCTION("""COMPUTED_VALUE"""),-0.614180275791685)</f>
        <v>-0.61418027579168499</v>
      </c>
      <c r="KY85" s="3">
        <f ca="1">IFERROR(__xludf.DUMMYFUNCTION("""COMPUTED_VALUE"""),-0.604005284436544)</f>
        <v>-0.604005284436544</v>
      </c>
      <c r="KZ85" s="3">
        <f ca="1">IFERROR(__xludf.DUMMYFUNCTION("""COMPUTED_VALUE"""),-0.596134884975404)</f>
        <v>-0.59613488497540401</v>
      </c>
      <c r="LA85" s="3">
        <f ca="1">IFERROR(__xludf.DUMMYFUNCTION("""COMPUTED_VALUE"""),-0.647953202969034)</f>
        <v>-0.64795320296903403</v>
      </c>
      <c r="LB85" s="3">
        <f ca="1">IFERROR(__xludf.DUMMYFUNCTION("""COMPUTED_VALUE"""),-0.675849559284561)</f>
        <v>-0.67584955928456103</v>
      </c>
      <c r="LC85" s="3">
        <f ca="1">IFERROR(__xludf.DUMMYFUNCTION("""COMPUTED_VALUE"""),-0.635327472827471)</f>
        <v>-0.63532747282747104</v>
      </c>
      <c r="LD85" s="3">
        <f ca="1">IFERROR(__xludf.DUMMYFUNCTION("""COMPUTED_VALUE"""),-0.666456290679916)</f>
        <v>-0.66645629067991596</v>
      </c>
      <c r="LE85" s="3">
        <f ca="1">IFERROR(__xludf.DUMMYFUNCTION("""COMPUTED_VALUE"""),-0.639589133930568)</f>
        <v>-0.63958913393056804</v>
      </c>
      <c r="LF85" s="3">
        <f ca="1">IFERROR(__xludf.DUMMYFUNCTION("""COMPUTED_VALUE"""),-0.603072484158881)</f>
        <v>-0.60307248415888104</v>
      </c>
      <c r="LG85" s="3">
        <f ca="1">IFERROR(__xludf.DUMMYFUNCTION("""COMPUTED_VALUE"""),-0.649300390592412)</f>
        <v>-0.64930039059241196</v>
      </c>
      <c r="LH85" s="3">
        <f ca="1">IFERROR(__xludf.DUMMYFUNCTION("""COMPUTED_VALUE"""),-0.655068917365009)</f>
        <v>-0.65506891736500905</v>
      </c>
      <c r="LI85" s="3">
        <f ca="1">IFERROR(__xludf.DUMMYFUNCTION("""COMPUTED_VALUE"""),-0.684814105864164)</f>
        <v>-0.68481410586416402</v>
      </c>
      <c r="LJ85" s="3">
        <f ca="1">IFERROR(__xludf.DUMMYFUNCTION("""COMPUTED_VALUE"""),-0.666108893685992)</f>
        <v>-0.66610889368599202</v>
      </c>
      <c r="LK85" s="3">
        <f ca="1">IFERROR(__xludf.DUMMYFUNCTION("""COMPUTED_VALUE"""),-0.657444901755694)</f>
        <v>-0.65744490175569403</v>
      </c>
      <c r="LL85" s="3">
        <f ca="1">IFERROR(__xludf.DUMMYFUNCTION("""COMPUTED_VALUE"""),-0.641167281212482)</f>
        <v>-0.64116728121248201</v>
      </c>
      <c r="LM85" s="3">
        <f ca="1">IFERROR(__xludf.DUMMYFUNCTION("""COMPUTED_VALUE"""),-0.692375964684745)</f>
        <v>-0.69237596468474505</v>
      </c>
      <c r="LN85" s="3">
        <f ca="1">IFERROR(__xludf.DUMMYFUNCTION("""COMPUTED_VALUE"""),-0.682947762746721)</f>
        <v>-0.68294776274672098</v>
      </c>
      <c r="LO85" s="3">
        <f ca="1">IFERROR(__xludf.DUMMYFUNCTION("""COMPUTED_VALUE"""),-0.731162833330369)</f>
        <v>-0.73116283333036902</v>
      </c>
      <c r="LP85" s="3">
        <f ca="1">IFERROR(__xludf.DUMMYFUNCTION("""COMPUTED_VALUE"""),-0.692948478699816)</f>
        <v>-0.69294847869981602</v>
      </c>
      <c r="LQ85" s="3">
        <f ca="1">IFERROR(__xludf.DUMMYFUNCTION("""COMPUTED_VALUE"""),-0.683082279029207)</f>
        <v>-0.68308227902920704</v>
      </c>
      <c r="LR85" s="3">
        <f ca="1">IFERROR(__xludf.DUMMYFUNCTION("""COMPUTED_VALUE"""),-0.690271978766078)</f>
        <v>-0.69027197876607804</v>
      </c>
      <c r="LS85" s="3">
        <f ca="1">IFERROR(__xludf.DUMMYFUNCTION("""COMPUTED_VALUE"""),-0.686451216294033)</f>
        <v>-0.68645121629403305</v>
      </c>
      <c r="LT85" s="3">
        <f ca="1">IFERROR(__xludf.DUMMYFUNCTION("""COMPUTED_VALUE"""),-0.670310943369775)</f>
        <v>-0.67031094336977504</v>
      </c>
      <c r="LU85" s="3">
        <f ca="1">IFERROR(__xludf.DUMMYFUNCTION("""COMPUTED_VALUE"""),-0.679034664740776)</f>
        <v>-0.67903466474077601</v>
      </c>
      <c r="LV85" s="3">
        <f ca="1">IFERROR(__xludf.DUMMYFUNCTION("""COMPUTED_VALUE"""),-0.706397113576706)</f>
        <v>-0.70639711357670598</v>
      </c>
      <c r="LW85" s="3">
        <f ca="1">IFERROR(__xludf.DUMMYFUNCTION("""COMPUTED_VALUE"""),-0.695540588541399)</f>
        <v>-0.695540588541399</v>
      </c>
      <c r="LX85" s="3">
        <f ca="1">IFERROR(__xludf.DUMMYFUNCTION("""COMPUTED_VALUE"""),-0.708072233658696)</f>
        <v>-0.70807223365869598</v>
      </c>
      <c r="LY85" s="3">
        <f ca="1">IFERROR(__xludf.DUMMYFUNCTION("""COMPUTED_VALUE"""),-0.715460425668184)</f>
        <v>-0.71546042566818402</v>
      </c>
      <c r="LZ85" s="3">
        <f ca="1">IFERROR(__xludf.DUMMYFUNCTION("""COMPUTED_VALUE"""),-0.713811869812964)</f>
        <v>-0.71381186981296396</v>
      </c>
      <c r="MA85" s="3">
        <f ca="1">IFERROR(__xludf.DUMMYFUNCTION("""COMPUTED_VALUE"""),-0.711153415605472)</f>
        <v>-0.71115341560547196</v>
      </c>
      <c r="MB85" s="3">
        <f ca="1">IFERROR(__xludf.DUMMYFUNCTION("""COMPUTED_VALUE"""),-0.677795080876187)</f>
        <v>-0.67779508087618701</v>
      </c>
      <c r="MC85" s="3">
        <f ca="1">IFERROR(__xludf.DUMMYFUNCTION("""COMPUTED_VALUE"""),-0.744679493108322)</f>
        <v>-0.74467949310832204</v>
      </c>
      <c r="MD85" s="3">
        <f ca="1">IFERROR(__xludf.DUMMYFUNCTION("""COMPUTED_VALUE"""),-0.73039710907471)</f>
        <v>-0.73039710907471</v>
      </c>
      <c r="ME85" s="3">
        <f ca="1">IFERROR(__xludf.DUMMYFUNCTION("""COMPUTED_VALUE"""),-0.720946202928443)</f>
        <v>-0.72094620292844303</v>
      </c>
      <c r="MF85" s="3">
        <f ca="1">IFERROR(__xludf.DUMMYFUNCTION("""COMPUTED_VALUE"""),-0.724769272104838)</f>
        <v>-0.72476927210483799</v>
      </c>
      <c r="MG85" s="3">
        <f ca="1">IFERROR(__xludf.DUMMYFUNCTION("""COMPUTED_VALUE"""),-0.713641129885139)</f>
        <v>-0.71364112988513895</v>
      </c>
      <c r="MH85" s="3">
        <f ca="1">IFERROR(__xludf.DUMMYFUNCTION("""COMPUTED_VALUE"""),-0.701791439952718)</f>
        <v>-0.70179143995271798</v>
      </c>
      <c r="MI85" s="3">
        <f ca="1">IFERROR(__xludf.DUMMYFUNCTION("""COMPUTED_VALUE"""),-0.666835970204656)</f>
        <v>-0.66683597020465601</v>
      </c>
      <c r="MJ85" s="3">
        <f ca="1">IFERROR(__xludf.DUMMYFUNCTION("""COMPUTED_VALUE"""),-0.721299129199299)</f>
        <v>-0.72129912919929895</v>
      </c>
      <c r="MK85" s="3">
        <f ca="1">IFERROR(__xludf.DUMMYFUNCTION("""COMPUTED_VALUE"""),-0.703887145526538)</f>
        <v>-0.70388714552653797</v>
      </c>
      <c r="ML85" s="3">
        <f ca="1">IFERROR(__xludf.DUMMYFUNCTION("""COMPUTED_VALUE"""),-0.730935756001516)</f>
        <v>-0.73093575600151595</v>
      </c>
      <c r="MM85" s="3">
        <f ca="1">IFERROR(__xludf.DUMMYFUNCTION("""COMPUTED_VALUE"""),-0.715913517316675)</f>
        <v>-0.71591351731667496</v>
      </c>
      <c r="MN85" s="3">
        <f ca="1">IFERROR(__xludf.DUMMYFUNCTION("""COMPUTED_VALUE"""),-0.71627797052845)</f>
        <v>-0.71627797052844999</v>
      </c>
      <c r="MO85" s="3">
        <f ca="1">IFERROR(__xludf.DUMMYFUNCTION("""COMPUTED_VALUE"""),-0.702466524643786)</f>
        <v>-0.70246652464378601</v>
      </c>
      <c r="MP85" s="3">
        <f ca="1">IFERROR(__xludf.DUMMYFUNCTION("""COMPUTED_VALUE"""),-0.717920503851436)</f>
        <v>-0.71792050385143602</v>
      </c>
      <c r="MQ85" s="3">
        <f ca="1">IFERROR(__xludf.DUMMYFUNCTION("""COMPUTED_VALUE"""),-0.731251182763828)</f>
        <v>-0.73125118276382794</v>
      </c>
      <c r="MR85" s="3">
        <f ca="1">IFERROR(__xludf.DUMMYFUNCTION("""COMPUTED_VALUE"""),-0.727831774516439)</f>
        <v>-0.72783177451643899</v>
      </c>
      <c r="MS85" s="3">
        <f ca="1">IFERROR(__xludf.DUMMYFUNCTION("""COMPUTED_VALUE"""),-0.735761568451682)</f>
        <v>-0.73576156845168195</v>
      </c>
      <c r="MT85" s="3">
        <f ca="1">IFERROR(__xludf.DUMMYFUNCTION("""COMPUTED_VALUE"""),-0.73035138064879)</f>
        <v>-0.73035138064879002</v>
      </c>
      <c r="MU85" s="3">
        <f ca="1">IFERROR(__xludf.DUMMYFUNCTION("""COMPUTED_VALUE"""),-0.746300742280344)</f>
        <v>-0.74630074228034404</v>
      </c>
      <c r="MV85" s="3">
        <f ca="1">IFERROR(__xludf.DUMMYFUNCTION("""COMPUTED_VALUE"""),-0.711844786469341)</f>
        <v>-0.71184478646934102</v>
      </c>
      <c r="MW85" s="3">
        <f ca="1">IFERROR(__xludf.DUMMYFUNCTION("""COMPUTED_VALUE"""),-0.71026061828158)</f>
        <v>-0.71026061828158005</v>
      </c>
      <c r="MX85" s="3">
        <f ca="1">IFERROR(__xludf.DUMMYFUNCTION("""COMPUTED_VALUE"""),-0.757511759031557)</f>
        <v>-0.75751175903155699</v>
      </c>
      <c r="MY85" s="3">
        <f ca="1">IFERROR(__xludf.DUMMYFUNCTION("""COMPUTED_VALUE"""),-0.711873084818236)</f>
        <v>-0.71187308481823597</v>
      </c>
      <c r="MZ85" s="3">
        <f ca="1">IFERROR(__xludf.DUMMYFUNCTION("""COMPUTED_VALUE"""),-0.720665980267735)</f>
        <v>-0.72066598026773498</v>
      </c>
      <c r="NA85" s="3">
        <f ca="1">IFERROR(__xludf.DUMMYFUNCTION("""COMPUTED_VALUE"""),-0.735924522792237)</f>
        <v>-0.73592452279223697</v>
      </c>
      <c r="NB85" s="3">
        <f ca="1">IFERROR(__xludf.DUMMYFUNCTION("""COMPUTED_VALUE"""),-0.725902816458524)</f>
        <v>-0.72590281645852395</v>
      </c>
      <c r="NC85" s="3">
        <f ca="1">IFERROR(__xludf.DUMMYFUNCTION("""COMPUTED_VALUE"""),-0.746649381879995)</f>
        <v>-0.74664938187999497</v>
      </c>
      <c r="ND85" s="3">
        <f ca="1">IFERROR(__xludf.DUMMYFUNCTION("""COMPUTED_VALUE"""),-0.703984396873824)</f>
        <v>-0.70398439687382397</v>
      </c>
      <c r="NE85" s="3">
        <f ca="1">IFERROR(__xludf.DUMMYFUNCTION("""COMPUTED_VALUE"""),-0.734333336067805)</f>
        <v>-0.73433333606780504</v>
      </c>
      <c r="NF85" s="3">
        <f ca="1">IFERROR(__xludf.DUMMYFUNCTION("""COMPUTED_VALUE"""),-0.735193067356554)</f>
        <v>-0.73519306735655399</v>
      </c>
      <c r="NG85" s="3">
        <f ca="1">IFERROR(__xludf.DUMMYFUNCTION("""COMPUTED_VALUE"""),-0.739317677176361)</f>
        <v>-0.73931767717636099</v>
      </c>
      <c r="NH85" s="3">
        <f ca="1">IFERROR(__xludf.DUMMYFUNCTION("""COMPUTED_VALUE"""),-0.745574758609384)</f>
        <v>-0.74557475860938405</v>
      </c>
      <c r="NI85" s="3">
        <f ca="1">IFERROR(__xludf.DUMMYFUNCTION("""COMPUTED_VALUE"""),-0.741220452555593)</f>
        <v>-0.74122045255559299</v>
      </c>
      <c r="NJ85" s="3">
        <f ca="1">IFERROR(__xludf.DUMMYFUNCTION("""COMPUTED_VALUE"""),-0.725530770415682)</f>
        <v>-0.72553077041568204</v>
      </c>
      <c r="NK85" s="3">
        <f ca="1">IFERROR(__xludf.DUMMYFUNCTION("""COMPUTED_VALUE"""),-0.686600830343725)</f>
        <v>-0.68660083034372499</v>
      </c>
      <c r="NL85" s="3">
        <f ca="1">IFERROR(__xludf.DUMMYFUNCTION("""COMPUTED_VALUE"""),-0.739779829359794)</f>
        <v>-0.73977982935979403</v>
      </c>
      <c r="NM85" s="3">
        <f ca="1">IFERROR(__xludf.DUMMYFUNCTION("""COMPUTED_VALUE"""),-0.725291724784453)</f>
        <v>-0.72529172478445303</v>
      </c>
      <c r="NN85" s="3">
        <f ca="1">IFERROR(__xludf.DUMMYFUNCTION("""COMPUTED_VALUE"""),-0.729887968115832)</f>
        <v>-0.72988796811583201</v>
      </c>
      <c r="NO85" s="3">
        <f ca="1">IFERROR(__xludf.DUMMYFUNCTION("""COMPUTED_VALUE"""),-0.700736271408441)</f>
        <v>-0.70073627140844097</v>
      </c>
      <c r="NP85" s="3">
        <f ca="1">IFERROR(__xludf.DUMMYFUNCTION("""COMPUTED_VALUE"""),-0.717176388489695)</f>
        <v>-0.717176388489695</v>
      </c>
      <c r="NQ85" s="3">
        <f ca="1">IFERROR(__xludf.DUMMYFUNCTION("""COMPUTED_VALUE"""),-0.69198445169278)</f>
        <v>-0.69198445169278</v>
      </c>
      <c r="NR85" s="3">
        <f ca="1">IFERROR(__xludf.DUMMYFUNCTION("""COMPUTED_VALUE"""),-0.6645722042937)</f>
        <v>-0.66457220429370001</v>
      </c>
      <c r="NS85" s="3">
        <f ca="1">IFERROR(__xludf.DUMMYFUNCTION("""COMPUTED_VALUE"""),-0.720997660256638)</f>
        <v>-0.72099766025663803</v>
      </c>
      <c r="NT85" s="3">
        <f ca="1">IFERROR(__xludf.DUMMYFUNCTION("""COMPUTED_VALUE"""),-0.695468805004588)</f>
        <v>-0.69546880500458796</v>
      </c>
      <c r="NU85" s="3">
        <f ca="1">IFERROR(__xludf.DUMMYFUNCTION("""COMPUTED_VALUE"""),-0.71919890040212)</f>
        <v>-0.71919890040211998</v>
      </c>
      <c r="NV85" s="3">
        <f ca="1">IFERROR(__xludf.DUMMYFUNCTION("""COMPUTED_VALUE"""),-0.735050823699526)</f>
        <v>-0.73505082369952601</v>
      </c>
      <c r="NW85" s="3">
        <f ca="1">IFERROR(__xludf.DUMMYFUNCTION("""COMPUTED_VALUE"""),-0.694525722188342)</f>
        <v>-0.69452572218834197</v>
      </c>
      <c r="NX85" s="3">
        <f ca="1">IFERROR(__xludf.DUMMYFUNCTION("""COMPUTED_VALUE"""),-0.739001838371726)</f>
        <v>-0.73900183837172595</v>
      </c>
      <c r="NY85" s="3">
        <f ca="1">IFERROR(__xludf.DUMMYFUNCTION("""COMPUTED_VALUE"""),-0.651389287553677)</f>
        <v>-0.65138928755367698</v>
      </c>
      <c r="NZ85" s="3">
        <f ca="1">IFERROR(__xludf.DUMMYFUNCTION("""COMPUTED_VALUE"""),-0.65715697268457)</f>
        <v>-0.65715697268456996</v>
      </c>
      <c r="OA85" s="3">
        <f ca="1">IFERROR(__xludf.DUMMYFUNCTION("""COMPUTED_VALUE"""),-0.649113476887358)</f>
        <v>-0.64911347688735799</v>
      </c>
      <c r="OB85" s="3">
        <f ca="1">IFERROR(__xludf.DUMMYFUNCTION("""COMPUTED_VALUE"""),-0.623513811429395)</f>
        <v>-0.62351381142939499</v>
      </c>
      <c r="OC85" s="3">
        <f ca="1">IFERROR(__xludf.DUMMYFUNCTION("""COMPUTED_VALUE"""),-0.600050232380859)</f>
        <v>-0.60005023238085897</v>
      </c>
      <c r="OD85" s="3">
        <f ca="1">IFERROR(__xludf.DUMMYFUNCTION("""COMPUTED_VALUE"""),-0.57571575507242)</f>
        <v>-0.57571575507242001</v>
      </c>
      <c r="OE85" s="3">
        <f ca="1">IFERROR(__xludf.DUMMYFUNCTION("""COMPUTED_VALUE"""),-0.498875595496341)</f>
        <v>-0.49887559549634097</v>
      </c>
      <c r="OF85" s="3">
        <f ca="1">IFERROR(__xludf.DUMMYFUNCTION("""COMPUTED_VALUE"""),-0.31371906787762)</f>
        <v>-0.31371906787761999</v>
      </c>
      <c r="OG85" s="3">
        <f ca="1">IFERROR(__xludf.DUMMYFUNCTION("""COMPUTED_VALUE"""),-0.318412228115483)</f>
        <v>-0.31841222811548298</v>
      </c>
      <c r="OH85" s="3">
        <f ca="1">IFERROR(__xludf.DUMMYFUNCTION("""COMPUTED_VALUE"""),-0.25628993552646)</f>
        <v>-0.25628993552646001</v>
      </c>
      <c r="OI85" s="3">
        <f ca="1">IFERROR(__xludf.DUMMYFUNCTION("""COMPUTED_VALUE"""),-0.18910674069569)</f>
        <v>-0.18910674069569</v>
      </c>
      <c r="OJ85" s="3">
        <f ca="1">IFERROR(__xludf.DUMMYFUNCTION("""COMPUTED_VALUE"""),-0.112899655377243)</f>
        <v>-0.112899655377243</v>
      </c>
      <c r="OK85" s="3">
        <f ca="1">IFERROR(__xludf.DUMMYFUNCTION("""COMPUTED_VALUE"""),-0.0974461544765425)</f>
        <v>-9.7446154476542493E-2</v>
      </c>
      <c r="OL85" s="3">
        <f ca="1">IFERROR(__xludf.DUMMYFUNCTION("""COMPUTED_VALUE"""),0.047185703454577)</f>
        <v>4.7185703454576997E-2</v>
      </c>
      <c r="OM85" s="3">
        <f ca="1">IFERROR(__xludf.DUMMYFUNCTION("""COMPUTED_VALUE"""),-0.0262397140132619)</f>
        <v>-2.6239714013261899E-2</v>
      </c>
      <c r="ON85" s="3">
        <f ca="1">IFERROR(__xludf.DUMMYFUNCTION("""COMPUTED_VALUE"""),0.000489950357691615)</f>
        <v>4.89950357691615E-4</v>
      </c>
      <c r="OO85" s="3">
        <f ca="1">IFERROR(__xludf.DUMMYFUNCTION("""COMPUTED_VALUE"""),-0.01825258471123)</f>
        <v>-1.8252584711230001E-2</v>
      </c>
      <c r="OP85" s="3">
        <f ca="1">IFERROR(__xludf.DUMMYFUNCTION("""COMPUTED_VALUE"""),-0.0227332119152912)</f>
        <v>-2.27332119152912E-2</v>
      </c>
      <c r="OQ85" s="3">
        <f ca="1">IFERROR(__xludf.DUMMYFUNCTION("""COMPUTED_VALUE"""),-0.00212067642340219)</f>
        <v>-2.1206764234021902E-3</v>
      </c>
      <c r="OR85" s="3">
        <f ca="1">IFERROR(__xludf.DUMMYFUNCTION("""COMPUTED_VALUE"""),-0.012540678371351)</f>
        <v>-1.2540678371351E-2</v>
      </c>
      <c r="OS85" s="3">
        <f ca="1">IFERROR(__xludf.DUMMYFUNCTION("""COMPUTED_VALUE"""),0.0598304354394561)</f>
        <v>5.9830435439456098E-2</v>
      </c>
      <c r="OT85" s="3">
        <f ca="1">IFERROR(__xludf.DUMMYFUNCTION("""COMPUTED_VALUE"""),0.00869284760309563)</f>
        <v>8.6928476030956308E-3</v>
      </c>
      <c r="OU85" s="3">
        <f ca="1">IFERROR(__xludf.DUMMYFUNCTION("""COMPUTED_VALUE"""),0.00335979830529886)</f>
        <v>3.3597983052988602E-3</v>
      </c>
      <c r="OV85" s="3">
        <f ca="1">IFERROR(__xludf.DUMMYFUNCTION("""COMPUTED_VALUE"""),0.0464366215705114)</f>
        <v>4.6436621570511399E-2</v>
      </c>
      <c r="OW85" s="3">
        <f ca="1">IFERROR(__xludf.DUMMYFUNCTION("""COMPUTED_VALUE"""),0.0413872464878259)</f>
        <v>4.13872464878259E-2</v>
      </c>
      <c r="OX85" s="3">
        <f ca="1">IFERROR(__xludf.DUMMYFUNCTION("""COMPUTED_VALUE"""),0.0494470368274511)</f>
        <v>4.94470368274511E-2</v>
      </c>
      <c r="OY85" s="3">
        <f ca="1">IFERROR(__xludf.DUMMYFUNCTION("""COMPUTED_VALUE"""),0.0168806397286445)</f>
        <v>1.6880639728644498E-2</v>
      </c>
      <c r="OZ85" s="3">
        <f ca="1">IFERROR(__xludf.DUMMYFUNCTION("""COMPUTED_VALUE"""),0.138575125913344)</f>
        <v>0.138575125913344</v>
      </c>
      <c r="PA85" s="3">
        <f ca="1">IFERROR(__xludf.DUMMYFUNCTION("""COMPUTED_VALUE"""),0.00297533592084331)</f>
        <v>2.97533592084331E-3</v>
      </c>
      <c r="PB85" s="3">
        <f ca="1">IFERROR(__xludf.DUMMYFUNCTION("""COMPUTED_VALUE"""),-0.0200844902107248)</f>
        <v>-2.0084490210724799E-2</v>
      </c>
      <c r="PC85" s="3">
        <f ca="1">IFERROR(__xludf.DUMMYFUNCTION("""COMPUTED_VALUE"""),-0.093310775912711)</f>
        <v>-9.3310775912711003E-2</v>
      </c>
      <c r="PD85" s="3">
        <f ca="1">IFERROR(__xludf.DUMMYFUNCTION("""COMPUTED_VALUE"""),-0.0675907777701918)</f>
        <v>-6.7590777770191804E-2</v>
      </c>
      <c r="PE85" s="3">
        <f ca="1">IFERROR(__xludf.DUMMYFUNCTION("""COMPUTED_VALUE"""),-0.0318196818458409)</f>
        <v>-3.18196818458409E-2</v>
      </c>
      <c r="PF85" s="3">
        <f ca="1">IFERROR(__xludf.DUMMYFUNCTION("""COMPUTED_VALUE"""),-0.0735112691016232)</f>
        <v>-7.35112691016232E-2</v>
      </c>
      <c r="PG85" s="3">
        <f ca="1">IFERROR(__xludf.DUMMYFUNCTION("""COMPUTED_VALUE"""),-0.0928816161458281)</f>
        <v>-9.28816161458281E-2</v>
      </c>
      <c r="PH85" s="3">
        <f ca="1">IFERROR(__xludf.DUMMYFUNCTION("""COMPUTED_VALUE"""),-0.0130158209225776)</f>
        <v>-1.30158209225776E-2</v>
      </c>
      <c r="PI85" s="3">
        <f ca="1">IFERROR(__xludf.DUMMYFUNCTION("""COMPUTED_VALUE"""),-0.062001347469989)</f>
        <v>-6.2001347469988997E-2</v>
      </c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</row>
    <row r="86" spans="1:477" ht="13">
      <c r="A86" s="1" t="str">
        <f ca="1">IFERROR(__xludf.DUMMYFUNCTION("""COMPUTED_VALUE"""),"MTA - Bronx Buses")</f>
        <v>MTA - Bronx Buses</v>
      </c>
      <c r="B86" s="1" t="str">
        <f ca="1">IFERROR(__xludf.DUMMYFUNCTION("""COMPUTED_VALUE"""),"NYC")</f>
        <v>NYC</v>
      </c>
      <c r="C86" s="1" t="str">
        <f ca="1">IFERROR(__xludf.DUMMYFUNCTION("""COMPUTED_VALUE"""),"United States")</f>
        <v>United States</v>
      </c>
      <c r="D86" s="1" t="str">
        <f ca="1">IFERROR(__xludf.DUMMYFUNCTION("""COMPUTED_VALUE"""),"New York")</f>
        <v>New York</v>
      </c>
      <c r="E86" s="3">
        <f ca="1">IFERROR(__xludf.DUMMYFUNCTION("""COMPUTED_VALUE"""),-0.423718065957736)</f>
        <v>-0.42371806595773598</v>
      </c>
      <c r="F86" s="3">
        <f ca="1">IFERROR(__xludf.DUMMYFUNCTION("""COMPUTED_VALUE"""),-0.435523221331057)</f>
        <v>-0.43552322133105698</v>
      </c>
      <c r="G86" s="3">
        <f ca="1">IFERROR(__xludf.DUMMYFUNCTION("""COMPUTED_VALUE"""),-0.482819949458071)</f>
        <v>-0.482819949458071</v>
      </c>
      <c r="H86" s="3">
        <f ca="1">IFERROR(__xludf.DUMMYFUNCTION("""COMPUTED_VALUE"""),-0.498091246551236)</f>
        <v>-0.49809124655123599</v>
      </c>
      <c r="I86" s="3">
        <f ca="1">IFERROR(__xludf.DUMMYFUNCTION("""COMPUTED_VALUE"""),-0.509752894414567)</f>
        <v>-0.50975289441456695</v>
      </c>
      <c r="J86" s="3">
        <f ca="1">IFERROR(__xludf.DUMMYFUNCTION("""COMPUTED_VALUE"""),-0.497217564853147)</f>
        <v>-0.497217564853147</v>
      </c>
      <c r="K86" s="3">
        <f ca="1">IFERROR(__xludf.DUMMYFUNCTION("""COMPUTED_VALUE"""),-0.409766568106438)</f>
        <v>-0.40976656810643802</v>
      </c>
      <c r="L86" s="3">
        <f ca="1">IFERROR(__xludf.DUMMYFUNCTION("""COMPUTED_VALUE"""),-0.449624124353161)</f>
        <v>-0.44962412435316101</v>
      </c>
      <c r="M86" s="3">
        <f ca="1">IFERROR(__xludf.DUMMYFUNCTION("""COMPUTED_VALUE"""),-0.521886020641552)</f>
        <v>-0.52188602064155198</v>
      </c>
      <c r="N86" s="3">
        <f ca="1">IFERROR(__xludf.DUMMYFUNCTION("""COMPUTED_VALUE"""),-0.521316235911955)</f>
        <v>-0.52131623591195497</v>
      </c>
      <c r="O86" s="3">
        <f ca="1">IFERROR(__xludf.DUMMYFUNCTION("""COMPUTED_VALUE"""),-0.54094322076688)</f>
        <v>-0.54094322076687995</v>
      </c>
      <c r="P86" s="3">
        <f ca="1">IFERROR(__xludf.DUMMYFUNCTION("""COMPUTED_VALUE"""),-0.501679442190103)</f>
        <v>-0.50167944219010296</v>
      </c>
      <c r="Q86" s="3">
        <f ca="1">IFERROR(__xludf.DUMMYFUNCTION("""COMPUTED_VALUE"""),-0.51089610912287)</f>
        <v>-0.51089610912286998</v>
      </c>
      <c r="R86" s="3">
        <f ca="1">IFERROR(__xludf.DUMMYFUNCTION("""COMPUTED_VALUE"""),-0.454625177429834)</f>
        <v>-0.45462517742983399</v>
      </c>
      <c r="S86" s="3">
        <f ca="1">IFERROR(__xludf.DUMMYFUNCTION("""COMPUTED_VALUE"""),-0.373353480532284)</f>
        <v>-0.37335348053228401</v>
      </c>
      <c r="T86" s="3">
        <f ca="1">IFERROR(__xludf.DUMMYFUNCTION("""COMPUTED_VALUE"""),-0.425800662077509)</f>
        <v>-0.425800662077509</v>
      </c>
      <c r="U86" s="3">
        <f ca="1">IFERROR(__xludf.DUMMYFUNCTION("""COMPUTED_VALUE"""),-0.465432197120135)</f>
        <v>-0.465432197120135</v>
      </c>
      <c r="V86" s="3">
        <f ca="1">IFERROR(__xludf.DUMMYFUNCTION("""COMPUTED_VALUE"""),-0.51164870485276)</f>
        <v>-0.51164870485276004</v>
      </c>
      <c r="W86" s="3">
        <f ca="1">IFERROR(__xludf.DUMMYFUNCTION("""COMPUTED_VALUE"""),-0.471043768313281)</f>
        <v>-0.47104376831328099</v>
      </c>
      <c r="X86" s="3">
        <f ca="1">IFERROR(__xludf.DUMMYFUNCTION("""COMPUTED_VALUE"""),-0.459612404865296)</f>
        <v>-0.45961240486529598</v>
      </c>
      <c r="Y86" s="3">
        <f ca="1">IFERROR(__xludf.DUMMYFUNCTION("""COMPUTED_VALUE"""),-0.329627737046202)</f>
        <v>-0.32962773704620202</v>
      </c>
      <c r="Z86" s="3">
        <f ca="1">IFERROR(__xludf.DUMMYFUNCTION("""COMPUTED_VALUE"""),-0.390698323945262)</f>
        <v>-0.39069832394526199</v>
      </c>
      <c r="AA86" s="3">
        <f ca="1">IFERROR(__xludf.DUMMYFUNCTION("""COMPUTED_VALUE"""),-0.467356291113712)</f>
        <v>-0.46735629111371202</v>
      </c>
      <c r="AB86" s="3">
        <f ca="1">IFERROR(__xludf.DUMMYFUNCTION("""COMPUTED_VALUE"""),-0.530497090158632)</f>
        <v>-0.530497090158632</v>
      </c>
      <c r="AC86" s="3">
        <f ca="1">IFERROR(__xludf.DUMMYFUNCTION("""COMPUTED_VALUE"""),-0.507638195589628)</f>
        <v>-0.50763819558962797</v>
      </c>
      <c r="AD86" s="3">
        <f ca="1">IFERROR(__xludf.DUMMYFUNCTION("""COMPUTED_VALUE"""),-0.518109973404866)</f>
        <v>-0.51810997340486598</v>
      </c>
      <c r="AE86" s="3">
        <f ca="1">IFERROR(__xludf.DUMMYFUNCTION("""COMPUTED_VALUE"""),-0.50107964769167)</f>
        <v>-0.50107964769167002</v>
      </c>
      <c r="AF86" s="3">
        <f ca="1">IFERROR(__xludf.DUMMYFUNCTION("""COMPUTED_VALUE"""),-0.37314533629221)</f>
        <v>-0.37314533629220997</v>
      </c>
      <c r="AG86" s="3">
        <f ca="1">IFERROR(__xludf.DUMMYFUNCTION("""COMPUTED_VALUE"""),-0.415939072475031)</f>
        <v>-0.41593907247503098</v>
      </c>
      <c r="AH86" s="3">
        <f ca="1">IFERROR(__xludf.DUMMYFUNCTION("""COMPUTED_VALUE"""),-0.466328936105221)</f>
        <v>-0.46632893610522103</v>
      </c>
      <c r="AI86" s="3">
        <f ca="1">IFERROR(__xludf.DUMMYFUNCTION("""COMPUTED_VALUE"""),-0.47946457359734)</f>
        <v>-0.47946457359734002</v>
      </c>
      <c r="AJ86" s="3">
        <f ca="1">IFERROR(__xludf.DUMMYFUNCTION("""COMPUTED_VALUE"""),-0.497387827854027)</f>
        <v>-0.49738782785402702</v>
      </c>
      <c r="AK86" s="3">
        <f ca="1">IFERROR(__xludf.DUMMYFUNCTION("""COMPUTED_VALUE"""),-0.50037383905621)</f>
        <v>-0.50037383905621002</v>
      </c>
      <c r="AL86" s="3">
        <f ca="1">IFERROR(__xludf.DUMMYFUNCTION("""COMPUTED_VALUE"""),-0.457668754195815)</f>
        <v>-0.45766875419581499</v>
      </c>
      <c r="AM86" s="3">
        <f ca="1">IFERROR(__xludf.DUMMYFUNCTION("""COMPUTED_VALUE"""),-0.384241529133953)</f>
        <v>-0.38424152913395299</v>
      </c>
      <c r="AN86" s="3">
        <f ca="1">IFERROR(__xludf.DUMMYFUNCTION("""COMPUTED_VALUE"""),-0.429390449647166)</f>
        <v>-0.42939044964716599</v>
      </c>
      <c r="AO86" s="3">
        <f ca="1">IFERROR(__xludf.DUMMYFUNCTION("""COMPUTED_VALUE"""),-0.490858586275037)</f>
        <v>-0.49085858627503698</v>
      </c>
      <c r="AP86" s="3">
        <f ca="1">IFERROR(__xludf.DUMMYFUNCTION("""COMPUTED_VALUE"""),-0.501572404393542)</f>
        <v>-0.501572404393542</v>
      </c>
      <c r="AQ86" s="3">
        <f ca="1">IFERROR(__xludf.DUMMYFUNCTION("""COMPUTED_VALUE"""),-0.494266942721007)</f>
        <v>-0.49426694272100702</v>
      </c>
      <c r="AR86" s="3">
        <f ca="1">IFERROR(__xludf.DUMMYFUNCTION("""COMPUTED_VALUE"""),-0.536227613750469)</f>
        <v>-0.53622761375046901</v>
      </c>
      <c r="AS86" s="3">
        <f ca="1">IFERROR(__xludf.DUMMYFUNCTION("""COMPUTED_VALUE"""),-0.460453254566235)</f>
        <v>-0.46045325456623498</v>
      </c>
      <c r="AT86" s="3">
        <f ca="1">IFERROR(__xludf.DUMMYFUNCTION("""COMPUTED_VALUE"""),-0.376513893102502)</f>
        <v>-0.376513893102502</v>
      </c>
      <c r="AU86" s="3">
        <f ca="1">IFERROR(__xludf.DUMMYFUNCTION("""COMPUTED_VALUE"""),-0.452611266594974)</f>
        <v>-0.45261126659497403</v>
      </c>
      <c r="AV86" s="3">
        <f ca="1">IFERROR(__xludf.DUMMYFUNCTION("""COMPUTED_VALUE"""),-0.466896293740618)</f>
        <v>-0.46689629374061797</v>
      </c>
      <c r="AW86" s="3">
        <f ca="1">IFERROR(__xludf.DUMMYFUNCTION("""COMPUTED_VALUE"""),-0.471983391893139)</f>
        <v>-0.47198339189313898</v>
      </c>
      <c r="AX86" s="3">
        <f ca="1">IFERROR(__xludf.DUMMYFUNCTION("""COMPUTED_VALUE"""),-0.450426991127468)</f>
        <v>-0.45042699112746798</v>
      </c>
      <c r="AY86" s="3">
        <f ca="1">IFERROR(__xludf.DUMMYFUNCTION("""COMPUTED_VALUE"""),-0.502604048691413)</f>
        <v>-0.50260404869141295</v>
      </c>
      <c r="AZ86" s="3">
        <f ca="1">IFERROR(__xludf.DUMMYFUNCTION("""COMPUTED_VALUE"""),-0.434606454269597)</f>
        <v>-0.43460645426959699</v>
      </c>
      <c r="BA86" s="3">
        <f ca="1">IFERROR(__xludf.DUMMYFUNCTION("""COMPUTED_VALUE"""),-0.349798374188907)</f>
        <v>-0.34979837418890702</v>
      </c>
      <c r="BB86" s="3">
        <f ca="1">IFERROR(__xludf.DUMMYFUNCTION("""COMPUTED_VALUE"""),-0.391173752472219)</f>
        <v>-0.39117375247221903</v>
      </c>
      <c r="BC86" s="3">
        <f ca="1">IFERROR(__xludf.DUMMYFUNCTION("""COMPUTED_VALUE"""),-0.436629585130468)</f>
        <v>-0.43662958513046801</v>
      </c>
      <c r="BD86" s="3">
        <f ca="1">IFERROR(__xludf.DUMMYFUNCTION("""COMPUTED_VALUE"""),-0.49032424777432)</f>
        <v>-0.49032424777431999</v>
      </c>
      <c r="BE86" s="3">
        <f ca="1">IFERROR(__xludf.DUMMYFUNCTION("""COMPUTED_VALUE"""),-0.47946532355056)</f>
        <v>-0.47946532355055999</v>
      </c>
      <c r="BF86" s="3">
        <f ca="1">IFERROR(__xludf.DUMMYFUNCTION("""COMPUTED_VALUE"""),-0.477765227599085)</f>
        <v>-0.47776522759908502</v>
      </c>
      <c r="BG86" s="3">
        <f ca="1">IFERROR(__xludf.DUMMYFUNCTION("""COMPUTED_VALUE"""),-0.429093724296394)</f>
        <v>-0.42909372429639397</v>
      </c>
      <c r="BH86" s="3">
        <f ca="1">IFERROR(__xludf.DUMMYFUNCTION("""COMPUTED_VALUE"""),-0.322365866353885)</f>
        <v>-0.32236586635388498</v>
      </c>
      <c r="BI86" s="3">
        <f ca="1">IFERROR(__xludf.DUMMYFUNCTION("""COMPUTED_VALUE"""),-0.4177407370693)</f>
        <v>-0.41774073706929998</v>
      </c>
      <c r="BJ86" s="3">
        <f ca="1">IFERROR(__xludf.DUMMYFUNCTION("""COMPUTED_VALUE"""),-0.495028480989953)</f>
        <v>-0.495028480989953</v>
      </c>
      <c r="BK86" s="3">
        <f ca="1">IFERROR(__xludf.DUMMYFUNCTION("""COMPUTED_VALUE"""),-0.501952805914371)</f>
        <v>-0.50195280591437097</v>
      </c>
      <c r="BL86" s="3">
        <f ca="1">IFERROR(__xludf.DUMMYFUNCTION("""COMPUTED_VALUE"""),-0.509858892426778)</f>
        <v>-0.50985889242677795</v>
      </c>
      <c r="BM86" s="3">
        <f ca="1">IFERROR(__xludf.DUMMYFUNCTION("""COMPUTED_VALUE"""),-0.527760008291441)</f>
        <v>-0.52776000829144099</v>
      </c>
      <c r="BN86" s="3">
        <f ca="1">IFERROR(__xludf.DUMMYFUNCTION("""COMPUTED_VALUE"""),-0.501455507665411)</f>
        <v>-0.50145550766541103</v>
      </c>
      <c r="BO86" s="3">
        <f ca="1">IFERROR(__xludf.DUMMYFUNCTION("""COMPUTED_VALUE"""),-0.422259022963502)</f>
        <v>-0.42225902296350198</v>
      </c>
      <c r="BP86" s="3">
        <f ca="1">IFERROR(__xludf.DUMMYFUNCTION("""COMPUTED_VALUE"""),-0.381029873297545)</f>
        <v>-0.38102987329754501</v>
      </c>
      <c r="BQ86" s="3">
        <f ca="1">IFERROR(__xludf.DUMMYFUNCTION("""COMPUTED_VALUE"""),-0.504527370667558)</f>
        <v>-0.50452737066755804</v>
      </c>
      <c r="BR86" s="3">
        <f ca="1">IFERROR(__xludf.DUMMYFUNCTION("""COMPUTED_VALUE"""),-0.485622660951898)</f>
        <v>-0.48562266095189799</v>
      </c>
      <c r="BS86" s="3">
        <f ca="1">IFERROR(__xludf.DUMMYFUNCTION("""COMPUTED_VALUE"""),-0.491668365761405)</f>
        <v>-0.49166836576140499</v>
      </c>
      <c r="BT86" s="3">
        <f ca="1">IFERROR(__xludf.DUMMYFUNCTION("""COMPUTED_VALUE"""),-0.491763960263951)</f>
        <v>-0.49176396026395103</v>
      </c>
      <c r="BU86" s="3">
        <f ca="1">IFERROR(__xludf.DUMMYFUNCTION("""COMPUTED_VALUE"""),-0.508734064694838)</f>
        <v>-0.50873406469483795</v>
      </c>
      <c r="BV86" s="3">
        <f ca="1">IFERROR(__xludf.DUMMYFUNCTION("""COMPUTED_VALUE"""),-0.449010939011351)</f>
        <v>-0.44901093901135097</v>
      </c>
      <c r="BW86" s="3">
        <f ca="1">IFERROR(__xludf.DUMMYFUNCTION("""COMPUTED_VALUE"""),-0.481679279192226)</f>
        <v>-0.48167927919222597</v>
      </c>
      <c r="BX86" s="3">
        <f ca="1">IFERROR(__xludf.DUMMYFUNCTION("""COMPUTED_VALUE"""),-0.589841636143707)</f>
        <v>-0.58984163614370699</v>
      </c>
      <c r="BY86" s="3">
        <f ca="1">IFERROR(__xludf.DUMMYFUNCTION("""COMPUTED_VALUE"""),-0.556722942081016)</f>
        <v>-0.55672294208101603</v>
      </c>
      <c r="BZ86" s="3">
        <f ca="1">IFERROR(__xludf.DUMMYFUNCTION("""COMPUTED_VALUE"""),-0.561002813985714)</f>
        <v>-0.56100281398571406</v>
      </c>
      <c r="CA86" s="3">
        <f ca="1">IFERROR(__xludf.DUMMYFUNCTION("""COMPUTED_VALUE"""),-0.59436198085512)</f>
        <v>-0.59436198085512004</v>
      </c>
      <c r="CB86" s="3">
        <f ca="1">IFERROR(__xludf.DUMMYFUNCTION("""COMPUTED_VALUE"""),-0.505514257814632)</f>
        <v>-0.505514257814632</v>
      </c>
      <c r="CC86" s="3">
        <f ca="1">IFERROR(__xludf.DUMMYFUNCTION("""COMPUTED_VALUE"""),-0.47447184154876)</f>
        <v>-0.47447184154875999</v>
      </c>
      <c r="CD86" s="3">
        <f ca="1">IFERROR(__xludf.DUMMYFUNCTION("""COMPUTED_VALUE"""),-0.436907500646065)</f>
        <v>-0.43690750064606498</v>
      </c>
      <c r="CE86" s="3">
        <f ca="1">IFERROR(__xludf.DUMMYFUNCTION("""COMPUTED_VALUE"""),-0.549984489744495)</f>
        <v>-0.54998448974449499</v>
      </c>
      <c r="CF86" s="3">
        <f ca="1">IFERROR(__xludf.DUMMYFUNCTION("""COMPUTED_VALUE"""),-0.568659286818556)</f>
        <v>-0.56865928681855604</v>
      </c>
      <c r="CG86" s="3">
        <f ca="1">IFERROR(__xludf.DUMMYFUNCTION("""COMPUTED_VALUE"""),-0.570471246479228)</f>
        <v>-0.57047124647922798</v>
      </c>
      <c r="CH86" s="3">
        <f ca="1">IFERROR(__xludf.DUMMYFUNCTION("""COMPUTED_VALUE"""),-0.561257519370332)</f>
        <v>-0.56125751937033197</v>
      </c>
      <c r="CI86" s="3">
        <f ca="1">IFERROR(__xludf.DUMMYFUNCTION("""COMPUTED_VALUE"""),-0.534819679770684)</f>
        <v>-0.53481967977068401</v>
      </c>
      <c r="CJ86" s="3">
        <f ca="1">IFERROR(__xludf.DUMMYFUNCTION("""COMPUTED_VALUE"""),-0.449372301660598)</f>
        <v>-0.44937230166059799</v>
      </c>
      <c r="CK86" s="3">
        <f ca="1">IFERROR(__xludf.DUMMYFUNCTION("""COMPUTED_VALUE"""),-0.445310966285207)</f>
        <v>-0.445310966285207</v>
      </c>
      <c r="CL86" s="3">
        <f ca="1">IFERROR(__xludf.DUMMYFUNCTION("""COMPUTED_VALUE"""),-0.551619152818964)</f>
        <v>-0.55161915281896401</v>
      </c>
      <c r="CM86" s="3">
        <f ca="1">IFERROR(__xludf.DUMMYFUNCTION("""COMPUTED_VALUE"""),-0.557180538110383)</f>
        <v>-0.55718053811038304</v>
      </c>
      <c r="CN86" s="3">
        <f ca="1">IFERROR(__xludf.DUMMYFUNCTION("""COMPUTED_VALUE"""),-0.564360104403445)</f>
        <v>-0.56436010440344497</v>
      </c>
      <c r="CO86" s="3">
        <f ca="1">IFERROR(__xludf.DUMMYFUNCTION("""COMPUTED_VALUE"""),-0.540266446366282)</f>
        <v>-0.54026644636628196</v>
      </c>
      <c r="CP86" s="3">
        <f ca="1">IFERROR(__xludf.DUMMYFUNCTION("""COMPUTED_VALUE"""),-0.531523850349479)</f>
        <v>-0.53152385034947902</v>
      </c>
      <c r="CQ86" s="3">
        <f ca="1">IFERROR(__xludf.DUMMYFUNCTION("""COMPUTED_VALUE"""),-0.45504107270094)</f>
        <v>-0.45504107270094002</v>
      </c>
      <c r="CR86" s="3">
        <f ca="1">IFERROR(__xludf.DUMMYFUNCTION("""COMPUTED_VALUE"""),-0.452258811991507)</f>
        <v>-0.45225881199150703</v>
      </c>
      <c r="CS86" s="3">
        <f ca="1">IFERROR(__xludf.DUMMYFUNCTION("""COMPUTED_VALUE"""),-0.539884226495566)</f>
        <v>-0.539884226495566</v>
      </c>
      <c r="CT86" s="3">
        <f ca="1">IFERROR(__xludf.DUMMYFUNCTION("""COMPUTED_VALUE"""),-0.537530317364953)</f>
        <v>-0.53753031736495305</v>
      </c>
      <c r="CU86" s="3">
        <f ca="1">IFERROR(__xludf.DUMMYFUNCTION("""COMPUTED_VALUE"""),-0.497883143608544)</f>
        <v>-0.49788314360854402</v>
      </c>
      <c r="CV86" s="3">
        <f ca="1">IFERROR(__xludf.DUMMYFUNCTION("""COMPUTED_VALUE"""),-0.527961972492569)</f>
        <v>-0.52796197249256904</v>
      </c>
      <c r="CW86" s="3">
        <f ca="1">IFERROR(__xludf.DUMMYFUNCTION("""COMPUTED_VALUE"""),-0.521979949128597)</f>
        <v>-0.52197994912859702</v>
      </c>
      <c r="CX86" s="3">
        <f ca="1">IFERROR(__xludf.DUMMYFUNCTION("""COMPUTED_VALUE"""),-0.488515595109483)</f>
        <v>-0.488515595109483</v>
      </c>
      <c r="CY86" s="3">
        <f ca="1">IFERROR(__xludf.DUMMYFUNCTION("""COMPUTED_VALUE"""),-0.482607117286331)</f>
        <v>-0.48260711728633099</v>
      </c>
      <c r="CZ86" s="3">
        <f ca="1">IFERROR(__xludf.DUMMYFUNCTION("""COMPUTED_VALUE"""),-0.621182700206464)</f>
        <v>-0.62118270020646404</v>
      </c>
      <c r="DA86" s="3">
        <f ca="1">IFERROR(__xludf.DUMMYFUNCTION("""COMPUTED_VALUE"""),-0.492326812376338)</f>
        <v>-0.49232681237633802</v>
      </c>
      <c r="DB86" s="3">
        <f ca="1">IFERROR(__xludf.DUMMYFUNCTION("""COMPUTED_VALUE"""),-0.28935342433467)</f>
        <v>-0.28935342433466998</v>
      </c>
      <c r="DC86" s="3">
        <f ca="1">IFERROR(__xludf.DUMMYFUNCTION("""COMPUTED_VALUE"""),-0.434659198113555)</f>
        <v>-0.43465919811355502</v>
      </c>
      <c r="DD86" s="3">
        <f ca="1">IFERROR(__xludf.DUMMYFUNCTION("""COMPUTED_VALUE"""),-0.444212796755137)</f>
        <v>-0.44421279675513697</v>
      </c>
      <c r="DE86" s="3">
        <f ca="1">IFERROR(__xludf.DUMMYFUNCTION("""COMPUTED_VALUE"""),-0.424128795631106)</f>
        <v>-0.424128795631106</v>
      </c>
      <c r="DF86" s="3">
        <f ca="1">IFERROR(__xludf.DUMMYFUNCTION("""COMPUTED_VALUE"""),-0.455609267291306)</f>
        <v>-0.45560926729130602</v>
      </c>
      <c r="DG86" s="3">
        <f ca="1">IFERROR(__xludf.DUMMYFUNCTION("""COMPUTED_VALUE"""),-0.66470962243354)</f>
        <v>-0.66470962243354004</v>
      </c>
      <c r="DH86" s="3">
        <f ca="1">IFERROR(__xludf.DUMMYFUNCTION("""COMPUTED_VALUE"""),-0.468445775717818)</f>
        <v>-0.46844577571781798</v>
      </c>
      <c r="DI86" s="3">
        <f ca="1">IFERROR(__xludf.DUMMYFUNCTION("""COMPUTED_VALUE"""),-0.261315918853997)</f>
        <v>-0.26131591885399702</v>
      </c>
      <c r="DJ86" s="3">
        <f ca="1">IFERROR(__xludf.DUMMYFUNCTION("""COMPUTED_VALUE"""),-0.391070259876122)</f>
        <v>-0.39107025987612198</v>
      </c>
      <c r="DK86" s="3">
        <f ca="1">IFERROR(__xludf.DUMMYFUNCTION("""COMPUTED_VALUE"""),-0.424463819669188)</f>
        <v>-0.424463819669188</v>
      </c>
      <c r="DL86" s="3">
        <f ca="1">IFERROR(__xludf.DUMMYFUNCTION("""COMPUTED_VALUE"""),-0.407028877286415)</f>
        <v>-0.40702887728641501</v>
      </c>
      <c r="DM86" s="3">
        <f ca="1">IFERROR(__xludf.DUMMYFUNCTION("""COMPUTED_VALUE"""),-0.391839657690826)</f>
        <v>-0.39183965769082602</v>
      </c>
      <c r="DN86" s="3">
        <f ca="1">IFERROR(__xludf.DUMMYFUNCTION("""COMPUTED_VALUE"""),-0.473681294190738)</f>
        <v>-0.47368129419073801</v>
      </c>
      <c r="DO86" s="3">
        <f ca="1">IFERROR(__xludf.DUMMYFUNCTION("""COMPUTED_VALUE"""),-0.475360349788013)</f>
        <v>-0.475360349788013</v>
      </c>
      <c r="DP86" s="3">
        <f ca="1">IFERROR(__xludf.DUMMYFUNCTION("""COMPUTED_VALUE"""),-0.369505459500449)</f>
        <v>-0.369505459500449</v>
      </c>
      <c r="DQ86" s="3">
        <f ca="1">IFERROR(__xludf.DUMMYFUNCTION("""COMPUTED_VALUE"""),-0.491634170854186)</f>
        <v>-0.49163417085418598</v>
      </c>
      <c r="DR86" s="3">
        <f ca="1">IFERROR(__xludf.DUMMYFUNCTION("""COMPUTED_VALUE"""),-0.556060617163078)</f>
        <v>-0.55606061716307797</v>
      </c>
      <c r="DS86" s="3">
        <f ca="1">IFERROR(__xludf.DUMMYFUNCTION("""COMPUTED_VALUE"""),-0.408900289343898)</f>
        <v>-0.40890028934389799</v>
      </c>
      <c r="DT86" s="3">
        <f ca="1">IFERROR(__xludf.DUMMYFUNCTION("""COMPUTED_VALUE"""),-0.448068528947199)</f>
        <v>-0.44806852894719901</v>
      </c>
      <c r="DU86" s="3">
        <f ca="1">IFERROR(__xludf.DUMMYFUNCTION("""COMPUTED_VALUE"""),-0.556559787557451)</f>
        <v>-0.55655978755745095</v>
      </c>
      <c r="DV86" s="3">
        <f ca="1">IFERROR(__xludf.DUMMYFUNCTION("""COMPUTED_VALUE"""),-0.570620012912414)</f>
        <v>-0.57062001291241404</v>
      </c>
      <c r="DW86" s="3">
        <f ca="1">IFERROR(__xludf.DUMMYFUNCTION("""COMPUTED_VALUE"""),-0.586177826911511)</f>
        <v>-0.58617782691151099</v>
      </c>
      <c r="DX86" s="3">
        <f ca="1">IFERROR(__xludf.DUMMYFUNCTION("""COMPUTED_VALUE"""),-0.569502490605989)</f>
        <v>-0.56950249060598901</v>
      </c>
      <c r="DY86" s="3">
        <f ca="1">IFERROR(__xludf.DUMMYFUNCTION("""COMPUTED_VALUE"""),-0.553319397836112)</f>
        <v>-0.55331939783611195</v>
      </c>
      <c r="DZ86" s="3">
        <f ca="1">IFERROR(__xludf.DUMMYFUNCTION("""COMPUTED_VALUE"""),-0.398238592590423)</f>
        <v>-0.39823859259042299</v>
      </c>
      <c r="EA86" s="3">
        <f ca="1">IFERROR(__xludf.DUMMYFUNCTION("""COMPUTED_VALUE"""),-0.511401617908483)</f>
        <v>-0.51140161790848304</v>
      </c>
      <c r="EB86" s="3">
        <f ca="1">IFERROR(__xludf.DUMMYFUNCTION("""COMPUTED_VALUE"""),-0.54022535355656)</f>
        <v>-0.54022535355655998</v>
      </c>
      <c r="EC86" s="3">
        <f ca="1">IFERROR(__xludf.DUMMYFUNCTION("""COMPUTED_VALUE"""),-0.541574279919162)</f>
        <v>-0.54157427991916196</v>
      </c>
      <c r="ED86" s="3">
        <f ca="1">IFERROR(__xludf.DUMMYFUNCTION("""COMPUTED_VALUE"""),-0.594951724000617)</f>
        <v>-0.59495172400061702</v>
      </c>
      <c r="EE86" s="3">
        <f ca="1">IFERROR(__xludf.DUMMYFUNCTION("""COMPUTED_VALUE"""),-0.5829641043108)</f>
        <v>-0.58296410431080004</v>
      </c>
      <c r="EF86" s="3">
        <f ca="1">IFERROR(__xludf.DUMMYFUNCTION("""COMPUTED_VALUE"""),-0.612553889319609)</f>
        <v>-0.61255388931960897</v>
      </c>
      <c r="EG86" s="3">
        <f ca="1">IFERROR(__xludf.DUMMYFUNCTION("""COMPUTED_VALUE"""),-0.393016963677698)</f>
        <v>-0.39301696367769801</v>
      </c>
      <c r="EH86" s="3">
        <f ca="1">IFERROR(__xludf.DUMMYFUNCTION("""COMPUTED_VALUE"""),-0.494065314945632)</f>
        <v>-0.49406531494563199</v>
      </c>
      <c r="EI86" s="3">
        <f ca="1">IFERROR(__xludf.DUMMYFUNCTION("""COMPUTED_VALUE"""),-0.565724762960391)</f>
        <v>-0.56572476296039098</v>
      </c>
      <c r="EJ86" s="3">
        <f ca="1">IFERROR(__xludf.DUMMYFUNCTION("""COMPUTED_VALUE"""),-0.618684782498524)</f>
        <v>-0.61868478249852399</v>
      </c>
      <c r="EK86" s="3">
        <f ca="1">IFERROR(__xludf.DUMMYFUNCTION("""COMPUTED_VALUE"""),-0.560504120735525)</f>
        <v>-0.56050412073552502</v>
      </c>
      <c r="EL86" s="3">
        <f ca="1">IFERROR(__xludf.DUMMYFUNCTION("""COMPUTED_VALUE"""),-0.554304337473362)</f>
        <v>-0.55430433747336205</v>
      </c>
      <c r="EM86" s="3">
        <f ca="1">IFERROR(__xludf.DUMMYFUNCTION("""COMPUTED_VALUE"""),-0.540215651009069)</f>
        <v>-0.54021565100906899</v>
      </c>
      <c r="EN86" s="3">
        <f ca="1">IFERROR(__xludf.DUMMYFUNCTION("""COMPUTED_VALUE"""),-0.36930545433077)</f>
        <v>-0.36930545433077</v>
      </c>
      <c r="EO86" s="3">
        <f ca="1">IFERROR(__xludf.DUMMYFUNCTION("""COMPUTED_VALUE"""),-0.410773563966991)</f>
        <v>-0.410773563966991</v>
      </c>
      <c r="EP86" s="3">
        <f ca="1">IFERROR(__xludf.DUMMYFUNCTION("""COMPUTED_VALUE"""),-0.481297075398607)</f>
        <v>-0.481297075398607</v>
      </c>
      <c r="EQ86" s="3">
        <f ca="1">IFERROR(__xludf.DUMMYFUNCTION("""COMPUTED_VALUE"""),-0.508981584471388)</f>
        <v>-0.50898158447138797</v>
      </c>
      <c r="ER86" s="3">
        <f ca="1">IFERROR(__xludf.DUMMYFUNCTION("""COMPUTED_VALUE"""),-0.553333038129687)</f>
        <v>-0.55333303812968704</v>
      </c>
      <c r="ES86" s="3">
        <f ca="1">IFERROR(__xludf.DUMMYFUNCTION("""COMPUTED_VALUE"""),-0.543653446936663)</f>
        <v>-0.54365344693666295</v>
      </c>
      <c r="ET86" s="3">
        <f ca="1">IFERROR(__xludf.DUMMYFUNCTION("""COMPUTED_VALUE"""),-0.507964616494327)</f>
        <v>-0.507964616494327</v>
      </c>
      <c r="EU86" s="3">
        <f ca="1">IFERROR(__xludf.DUMMYFUNCTION("""COMPUTED_VALUE"""),-0.407551161574997)</f>
        <v>-0.40755116157499699</v>
      </c>
      <c r="EV86" s="3">
        <f ca="1">IFERROR(__xludf.DUMMYFUNCTION("""COMPUTED_VALUE"""),-0.431030190712688)</f>
        <v>-0.431030190712688</v>
      </c>
      <c r="EW86" s="3">
        <f ca="1">IFERROR(__xludf.DUMMYFUNCTION("""COMPUTED_VALUE"""),-0.559549359491852)</f>
        <v>-0.55954935949185203</v>
      </c>
      <c r="EX86" s="3">
        <f ca="1">IFERROR(__xludf.DUMMYFUNCTION("""COMPUTED_VALUE"""),-0.574094014597783)</f>
        <v>-0.57409401459778298</v>
      </c>
      <c r="EY86" s="3">
        <f ca="1">IFERROR(__xludf.DUMMYFUNCTION("""COMPUTED_VALUE"""),-0.604225999525115)</f>
        <v>-0.60422599952511502</v>
      </c>
      <c r="EZ86" s="3">
        <f ca="1">IFERROR(__xludf.DUMMYFUNCTION("""COMPUTED_VALUE"""),-0.50353046757683)</f>
        <v>-0.50353046757682995</v>
      </c>
      <c r="FA86" s="3">
        <f ca="1">IFERROR(__xludf.DUMMYFUNCTION("""COMPUTED_VALUE"""),-0.478455091554756)</f>
        <v>-0.47845509155475602</v>
      </c>
      <c r="FB86" s="3">
        <f ca="1">IFERROR(__xludf.DUMMYFUNCTION("""COMPUTED_VALUE"""),-0.369478458310617)</f>
        <v>-0.36947845831061699</v>
      </c>
      <c r="FC86" s="3">
        <f ca="1">IFERROR(__xludf.DUMMYFUNCTION("""COMPUTED_VALUE"""),-0.428968544733008)</f>
        <v>-0.42896854473300799</v>
      </c>
      <c r="FD86" s="3">
        <f ca="1">IFERROR(__xludf.DUMMYFUNCTION("""COMPUTED_VALUE"""),-0.535515406044039)</f>
        <v>-0.53551540604403902</v>
      </c>
      <c r="FE86" s="3">
        <f ca="1">IFERROR(__xludf.DUMMYFUNCTION("""COMPUTED_VALUE"""),-0.52736743790694)</f>
        <v>-0.52736743790693996</v>
      </c>
      <c r="FF86" s="3">
        <f ca="1">IFERROR(__xludf.DUMMYFUNCTION("""COMPUTED_VALUE"""),-0.555962113204307)</f>
        <v>-0.555962113204307</v>
      </c>
      <c r="FG86" s="3">
        <f ca="1">IFERROR(__xludf.DUMMYFUNCTION("""COMPUTED_VALUE"""),-0.555019380599019)</f>
        <v>-0.55501938059901901</v>
      </c>
      <c r="FH86" s="3">
        <f ca="1">IFERROR(__xludf.DUMMYFUNCTION("""COMPUTED_VALUE"""),-0.506239983920642)</f>
        <v>-0.50623998392064196</v>
      </c>
      <c r="FI86" s="3">
        <f ca="1">IFERROR(__xludf.DUMMYFUNCTION("""COMPUTED_VALUE"""),-0.400908103460107)</f>
        <v>-0.40090810346010702</v>
      </c>
      <c r="FJ86" s="3">
        <f ca="1">IFERROR(__xludf.DUMMYFUNCTION("""COMPUTED_VALUE"""),-0.422765624758389)</f>
        <v>-0.42276562475838902</v>
      </c>
      <c r="FK86" s="3">
        <f ca="1">IFERROR(__xludf.DUMMYFUNCTION("""COMPUTED_VALUE"""),-0.568285692530456)</f>
        <v>-0.56828569253045602</v>
      </c>
      <c r="FL86" s="3">
        <f ca="1">IFERROR(__xludf.DUMMYFUNCTION("""COMPUTED_VALUE"""),-0.586803577063411)</f>
        <v>-0.58680357706341102</v>
      </c>
      <c r="FM86" s="3">
        <f ca="1">IFERROR(__xludf.DUMMYFUNCTION("""COMPUTED_VALUE"""),-0.562126747447521)</f>
        <v>-0.562126747447521</v>
      </c>
      <c r="FN86" s="3">
        <f ca="1">IFERROR(__xludf.DUMMYFUNCTION("""COMPUTED_VALUE"""),-0.516893547458473)</f>
        <v>-0.51689354745847305</v>
      </c>
      <c r="FO86" s="3">
        <f ca="1">IFERROR(__xludf.DUMMYFUNCTION("""COMPUTED_VALUE"""),-0.559443455746953)</f>
        <v>-0.55944345574695298</v>
      </c>
      <c r="FP86" s="3">
        <f ca="1">IFERROR(__xludf.DUMMYFUNCTION("""COMPUTED_VALUE"""),-0.39574269384105)</f>
        <v>-0.39574269384104999</v>
      </c>
      <c r="FQ86" s="3">
        <f ca="1">IFERROR(__xludf.DUMMYFUNCTION("""COMPUTED_VALUE"""),-0.453843196127431)</f>
        <v>-0.45384319612743101</v>
      </c>
      <c r="FR86" s="3">
        <f ca="1">IFERROR(__xludf.DUMMYFUNCTION("""COMPUTED_VALUE"""),-0.536224275987178)</f>
        <v>-0.53622427598717803</v>
      </c>
      <c r="FS86" s="3">
        <f ca="1">IFERROR(__xludf.DUMMYFUNCTION("""COMPUTED_VALUE"""),-0.534165864039024)</f>
        <v>-0.534165864039024</v>
      </c>
      <c r="FT86" s="3">
        <f ca="1">IFERROR(__xludf.DUMMYFUNCTION("""COMPUTED_VALUE"""),-0.541289117115748)</f>
        <v>-0.54128911711574801</v>
      </c>
      <c r="FU86" s="3">
        <f ca="1">IFERROR(__xludf.DUMMYFUNCTION("""COMPUTED_VALUE"""),-0.540450433861646)</f>
        <v>-0.54045043386164604</v>
      </c>
      <c r="FV86" s="3">
        <f ca="1">IFERROR(__xludf.DUMMYFUNCTION("""COMPUTED_VALUE"""),-0.487733077085847)</f>
        <v>-0.48773307708584701</v>
      </c>
      <c r="FW86" s="3">
        <f ca="1">IFERROR(__xludf.DUMMYFUNCTION("""COMPUTED_VALUE"""),-0.375186205591183)</f>
        <v>-0.37518620559118299</v>
      </c>
      <c r="FX86" s="3">
        <f ca="1">IFERROR(__xludf.DUMMYFUNCTION("""COMPUTED_VALUE"""),-0.448114592314745)</f>
        <v>-0.44811459231474499</v>
      </c>
      <c r="FY86" s="3">
        <f ca="1">IFERROR(__xludf.DUMMYFUNCTION("""COMPUTED_VALUE"""),-0.585222426857161)</f>
        <v>-0.58522242685716097</v>
      </c>
      <c r="FZ86" s="3">
        <f ca="1">IFERROR(__xludf.DUMMYFUNCTION("""COMPUTED_VALUE"""),-0.526107857876485)</f>
        <v>-0.52610785787648495</v>
      </c>
      <c r="GA86" s="3">
        <f ca="1">IFERROR(__xludf.DUMMYFUNCTION("""COMPUTED_VALUE"""),-0.497129933234283)</f>
        <v>-0.49712993323428301</v>
      </c>
      <c r="GB86" s="3">
        <f ca="1">IFERROR(__xludf.DUMMYFUNCTION("""COMPUTED_VALUE"""),-0.571296881309041)</f>
        <v>-0.57129688130904099</v>
      </c>
      <c r="GC86" s="3">
        <f ca="1">IFERROR(__xludf.DUMMYFUNCTION("""COMPUTED_VALUE"""),-0.58903018380788)</f>
        <v>-0.58903018380787997</v>
      </c>
      <c r="GD86" s="3">
        <f ca="1">IFERROR(__xludf.DUMMYFUNCTION("""COMPUTED_VALUE"""),-0.408086027432095)</f>
        <v>-0.40808602743209499</v>
      </c>
      <c r="GE86" s="3">
        <f ca="1">IFERROR(__xludf.DUMMYFUNCTION("""COMPUTED_VALUE"""),-0.430114536584487)</f>
        <v>-0.43011453658448701</v>
      </c>
      <c r="GF86" s="3">
        <f ca="1">IFERROR(__xludf.DUMMYFUNCTION("""COMPUTED_VALUE"""),-0.532991144053596)</f>
        <v>-0.53299114405359604</v>
      </c>
      <c r="GG86" s="3">
        <f ca="1">IFERROR(__xludf.DUMMYFUNCTION("""COMPUTED_VALUE"""),-0.532745916843116)</f>
        <v>-0.53274591684311601</v>
      </c>
      <c r="GH86" s="3">
        <f ca="1">IFERROR(__xludf.DUMMYFUNCTION("""COMPUTED_VALUE"""),-0.516766550780191)</f>
        <v>-0.51676655078019096</v>
      </c>
      <c r="GI86" s="3">
        <f ca="1">IFERROR(__xludf.DUMMYFUNCTION("""COMPUTED_VALUE"""),-0.518540329154467)</f>
        <v>-0.51854032915446702</v>
      </c>
      <c r="GJ86" s="3">
        <f ca="1">IFERROR(__xludf.DUMMYFUNCTION("""COMPUTED_VALUE"""),-0.455831144322925)</f>
        <v>-0.45583114432292499</v>
      </c>
      <c r="GK86" s="3">
        <f ca="1">IFERROR(__xludf.DUMMYFUNCTION("""COMPUTED_VALUE"""),-0.442452710520104)</f>
        <v>-0.44245271052010399</v>
      </c>
      <c r="GL86" s="3">
        <f ca="1">IFERROR(__xludf.DUMMYFUNCTION("""COMPUTED_VALUE"""),-0.454904739529102)</f>
        <v>-0.45490473952910199</v>
      </c>
      <c r="GM86" s="3">
        <f ca="1">IFERROR(__xludf.DUMMYFUNCTION("""COMPUTED_VALUE"""),-0.547678871309182)</f>
        <v>-0.54767887130918202</v>
      </c>
      <c r="GN86" s="3">
        <f ca="1">IFERROR(__xludf.DUMMYFUNCTION("""COMPUTED_VALUE"""),-0.545765942155501)</f>
        <v>-0.545765942155501</v>
      </c>
      <c r="GO86" s="3">
        <f ca="1">IFERROR(__xludf.DUMMYFUNCTION("""COMPUTED_VALUE"""),-0.536061834172968)</f>
        <v>-0.53606183417296804</v>
      </c>
      <c r="GP86" s="3">
        <f ca="1">IFERROR(__xludf.DUMMYFUNCTION("""COMPUTED_VALUE"""),-0.550606744890419)</f>
        <v>-0.55060674489041905</v>
      </c>
      <c r="GQ86" s="3">
        <f ca="1">IFERROR(__xludf.DUMMYFUNCTION("""COMPUTED_VALUE"""),-0.548633233173581)</f>
        <v>-0.54863323317358104</v>
      </c>
      <c r="GR86" s="3">
        <f ca="1">IFERROR(__xludf.DUMMYFUNCTION("""COMPUTED_VALUE"""),-0.449681080315048)</f>
        <v>-0.449681080315048</v>
      </c>
      <c r="GS86" s="3">
        <f ca="1">IFERROR(__xludf.DUMMYFUNCTION("""COMPUTED_VALUE"""),-0.482711474349544)</f>
        <v>-0.48271147434954398</v>
      </c>
      <c r="GT86" s="3">
        <f ca="1">IFERROR(__xludf.DUMMYFUNCTION("""COMPUTED_VALUE"""),-0.554578626246555)</f>
        <v>-0.55457862624655496</v>
      </c>
      <c r="GU86" s="3">
        <f ca="1">IFERROR(__xludf.DUMMYFUNCTION("""COMPUTED_VALUE"""),-0.566915318392983)</f>
        <v>-0.56691531839298304</v>
      </c>
      <c r="GV86" s="3">
        <f ca="1">IFERROR(__xludf.DUMMYFUNCTION("""COMPUTED_VALUE"""),-0.57718715679394)</f>
        <v>-0.57718715679393995</v>
      </c>
      <c r="GW86" s="3">
        <f ca="1">IFERROR(__xludf.DUMMYFUNCTION("""COMPUTED_VALUE"""),-0.547185445673192)</f>
        <v>-0.54718544567319205</v>
      </c>
      <c r="GX86" s="3">
        <f ca="1">IFERROR(__xludf.DUMMYFUNCTION("""COMPUTED_VALUE"""),-0.528145039177754)</f>
        <v>-0.52814503917775402</v>
      </c>
      <c r="GY86" s="3">
        <f ca="1">IFERROR(__xludf.DUMMYFUNCTION("""COMPUTED_VALUE"""),-0.419239808192979)</f>
        <v>-0.41923980819297901</v>
      </c>
      <c r="GZ86" s="3">
        <f ca="1">IFERROR(__xludf.DUMMYFUNCTION("""COMPUTED_VALUE"""),-0.45535876420339)</f>
        <v>-0.45535876420339</v>
      </c>
      <c r="HA86" s="3">
        <f ca="1">IFERROR(__xludf.DUMMYFUNCTION("""COMPUTED_VALUE"""),-0.555243594405644)</f>
        <v>-0.55524359440564397</v>
      </c>
      <c r="HB86" s="3">
        <f ca="1">IFERROR(__xludf.DUMMYFUNCTION("""COMPUTED_VALUE"""),-0.576854888771832)</f>
        <v>-0.576854888771832</v>
      </c>
      <c r="HC86" s="3">
        <f ca="1">IFERROR(__xludf.DUMMYFUNCTION("""COMPUTED_VALUE"""),-0.575337735712329)</f>
        <v>-0.57533773571232905</v>
      </c>
      <c r="HD86" s="3">
        <f ca="1">IFERROR(__xludf.DUMMYFUNCTION("""COMPUTED_VALUE"""),-0.569097820272049)</f>
        <v>-0.56909782027204903</v>
      </c>
      <c r="HE86" s="3">
        <f ca="1">IFERROR(__xludf.DUMMYFUNCTION("""COMPUTED_VALUE"""),-0.568538009229287)</f>
        <v>-0.56853800922928699</v>
      </c>
      <c r="HF86" s="3">
        <f ca="1">IFERROR(__xludf.DUMMYFUNCTION("""COMPUTED_VALUE"""),-0.455895921874563)</f>
        <v>-0.45589592187456301</v>
      </c>
      <c r="HG86" s="3">
        <f ca="1">IFERROR(__xludf.DUMMYFUNCTION("""COMPUTED_VALUE"""),-0.443338485110973)</f>
        <v>-0.44333848511097301</v>
      </c>
      <c r="HH86" s="3">
        <f ca="1">IFERROR(__xludf.DUMMYFUNCTION("""COMPUTED_VALUE"""),-0.543688831169038)</f>
        <v>-0.54368883116903799</v>
      </c>
      <c r="HI86" s="3">
        <f ca="1">IFERROR(__xludf.DUMMYFUNCTION("""COMPUTED_VALUE"""),-0.595248286380892)</f>
        <v>-0.595248286380892</v>
      </c>
      <c r="HJ86" s="3">
        <f ca="1">IFERROR(__xludf.DUMMYFUNCTION("""COMPUTED_VALUE"""),-0.556921670069807)</f>
        <v>-0.55692167006980697</v>
      </c>
      <c r="HK86" s="3">
        <f ca="1">IFERROR(__xludf.DUMMYFUNCTION("""COMPUTED_VALUE"""),-0.561050576789883)</f>
        <v>-0.56105057678988302</v>
      </c>
      <c r="HL86" s="3">
        <f ca="1">IFERROR(__xludf.DUMMYFUNCTION("""COMPUTED_VALUE"""),-0.580509749775891)</f>
        <v>-0.58050974977589098</v>
      </c>
      <c r="HM86" s="3">
        <f ca="1">IFERROR(__xludf.DUMMYFUNCTION("""COMPUTED_VALUE"""),-0.403659684969787)</f>
        <v>-0.40365968496978699</v>
      </c>
      <c r="HN86" s="3">
        <f ca="1">IFERROR(__xludf.DUMMYFUNCTION("""COMPUTED_VALUE"""),-0.413275089137946)</f>
        <v>-0.41327508913794597</v>
      </c>
      <c r="HO86" s="3">
        <f ca="1">IFERROR(__xludf.DUMMYFUNCTION("""COMPUTED_VALUE"""),-0.478945935547213)</f>
        <v>-0.47894593554721299</v>
      </c>
      <c r="HP86" s="3">
        <f ca="1">IFERROR(__xludf.DUMMYFUNCTION("""COMPUTED_VALUE"""),-0.531487111100963)</f>
        <v>-0.53148711110096303</v>
      </c>
      <c r="HQ86" s="3">
        <f ca="1">IFERROR(__xludf.DUMMYFUNCTION("""COMPUTED_VALUE"""),-0.533407525753007)</f>
        <v>-0.53340752575300698</v>
      </c>
      <c r="HR86" s="3">
        <f ca="1">IFERROR(__xludf.DUMMYFUNCTION("""COMPUTED_VALUE"""),-0.526799494321733)</f>
        <v>-0.52679949432173301</v>
      </c>
      <c r="HS86" s="3">
        <f ca="1">IFERROR(__xludf.DUMMYFUNCTION("""COMPUTED_VALUE"""),-0.421452006533326)</f>
        <v>-0.42145200653332598</v>
      </c>
      <c r="HT86" s="3">
        <f ca="1">IFERROR(__xludf.DUMMYFUNCTION("""COMPUTED_VALUE"""),-0.266183467346877)</f>
        <v>-0.26618346734687698</v>
      </c>
      <c r="HU86" s="3">
        <f ca="1">IFERROR(__xludf.DUMMYFUNCTION("""COMPUTED_VALUE"""),-0.415042323560189)</f>
        <v>-0.415042323560189</v>
      </c>
      <c r="HV86" s="3">
        <f ca="1">IFERROR(__xludf.DUMMYFUNCTION("""COMPUTED_VALUE"""),-0.368738239049422)</f>
        <v>-0.36873823904942199</v>
      </c>
      <c r="HW86" s="3">
        <f ca="1">IFERROR(__xludf.DUMMYFUNCTION("""COMPUTED_VALUE"""),-0.429744654434495)</f>
        <v>-0.429744654434495</v>
      </c>
      <c r="HX86" s="3">
        <f ca="1">IFERROR(__xludf.DUMMYFUNCTION("""COMPUTED_VALUE"""),-0.395013641879985)</f>
        <v>-0.395013641879985</v>
      </c>
      <c r="HY86" s="3">
        <f ca="1">IFERROR(__xludf.DUMMYFUNCTION("""COMPUTED_VALUE"""),-0.378988641767585)</f>
        <v>-0.37898864176758501</v>
      </c>
      <c r="HZ86" s="3">
        <f ca="1">IFERROR(__xludf.DUMMYFUNCTION("""COMPUTED_VALUE"""),-0.285275851856574)</f>
        <v>-0.285275851856574</v>
      </c>
      <c r="IA86" s="3">
        <f ca="1">IFERROR(__xludf.DUMMYFUNCTION("""COMPUTED_VALUE"""),-0.324839141724033)</f>
        <v>-0.324839141724033</v>
      </c>
      <c r="IB86" s="3">
        <f ca="1">IFERROR(__xludf.DUMMYFUNCTION("""COMPUTED_VALUE"""),-0.334349261468231)</f>
        <v>-0.33434926146823102</v>
      </c>
      <c r="IC86" s="3">
        <f ca="1">IFERROR(__xludf.DUMMYFUNCTION("""COMPUTED_VALUE"""),-0.300112734028733)</f>
        <v>-0.30011273402873301</v>
      </c>
      <c r="ID86" s="3">
        <f ca="1">IFERROR(__xludf.DUMMYFUNCTION("""COMPUTED_VALUE"""),-0.367306248978995)</f>
        <v>-0.367306248978995</v>
      </c>
      <c r="IE86" s="3">
        <f ca="1">IFERROR(__xludf.DUMMYFUNCTION("""COMPUTED_VALUE"""),-0.381664903128227)</f>
        <v>-0.38166490312822698</v>
      </c>
      <c r="IF86" s="3">
        <f ca="1">IFERROR(__xludf.DUMMYFUNCTION("""COMPUTED_VALUE"""),-0.340178009100833)</f>
        <v>-0.34017800910083301</v>
      </c>
      <c r="IG86" s="3">
        <f ca="1">IFERROR(__xludf.DUMMYFUNCTION("""COMPUTED_VALUE"""),-0.359522960326465)</f>
        <v>-0.35952296032646502</v>
      </c>
      <c r="IH86" s="3">
        <f ca="1">IFERROR(__xludf.DUMMYFUNCTION("""COMPUTED_VALUE"""),-0.423639592095877)</f>
        <v>-0.42363959209587698</v>
      </c>
      <c r="II86" s="3">
        <f ca="1">IFERROR(__xludf.DUMMYFUNCTION("""COMPUTED_VALUE"""),-0.314925571141752)</f>
        <v>-0.31492557114175201</v>
      </c>
      <c r="IJ86" s="3">
        <f ca="1">IFERROR(__xludf.DUMMYFUNCTION("""COMPUTED_VALUE"""),-0.30983918869143)</f>
        <v>-0.30983918869143001</v>
      </c>
      <c r="IK86" s="3">
        <f ca="1">IFERROR(__xludf.DUMMYFUNCTION("""COMPUTED_VALUE"""),-0.441271067936807)</f>
        <v>-0.44127106793680698</v>
      </c>
      <c r="IL86" s="3">
        <f ca="1">IFERROR(__xludf.DUMMYFUNCTION("""COMPUTED_VALUE"""),-0.378397120004169)</f>
        <v>-0.37839712000416897</v>
      </c>
      <c r="IM86" s="3">
        <f ca="1">IFERROR(__xludf.DUMMYFUNCTION("""COMPUTED_VALUE"""),-0.352686739647177)</f>
        <v>-0.35268673964717701</v>
      </c>
      <c r="IN86" s="3">
        <f ca="1">IFERROR(__xludf.DUMMYFUNCTION("""COMPUTED_VALUE"""),-0.346720884708036)</f>
        <v>-0.34672088470803603</v>
      </c>
      <c r="IO86" s="3">
        <f ca="1">IFERROR(__xludf.DUMMYFUNCTION("""COMPUTED_VALUE"""),-0.326503920482477)</f>
        <v>-0.32650392048247701</v>
      </c>
      <c r="IP86" s="3">
        <f ca="1">IFERROR(__xludf.DUMMYFUNCTION("""COMPUTED_VALUE"""),-0.374565709037018)</f>
        <v>-0.37456570903701802</v>
      </c>
      <c r="IQ86" s="3">
        <f ca="1">IFERROR(__xludf.DUMMYFUNCTION("""COMPUTED_VALUE"""),-0.380490681056258)</f>
        <v>-0.380490681056258</v>
      </c>
      <c r="IR86" s="3">
        <f ca="1">IFERROR(__xludf.DUMMYFUNCTION("""COMPUTED_VALUE"""),-0.417789539933363)</f>
        <v>-0.41778953993336299</v>
      </c>
      <c r="IS86" s="3">
        <f ca="1">IFERROR(__xludf.DUMMYFUNCTION("""COMPUTED_VALUE"""),-0.330270251592163)</f>
        <v>-0.330270251592163</v>
      </c>
      <c r="IT86" s="3">
        <f ca="1">IFERROR(__xludf.DUMMYFUNCTION("""COMPUTED_VALUE"""),-0.509521149390329)</f>
        <v>-0.509521149390329</v>
      </c>
      <c r="IU86" s="3">
        <f ca="1">IFERROR(__xludf.DUMMYFUNCTION("""COMPUTED_VALUE"""),-0.400102679434541)</f>
        <v>-0.40010267943454098</v>
      </c>
      <c r="IV86" s="3">
        <f ca="1">IFERROR(__xludf.DUMMYFUNCTION("""COMPUTED_VALUE"""),-0.409645879217843)</f>
        <v>-0.40964587921784301</v>
      </c>
      <c r="IW86" s="3">
        <f ca="1">IFERROR(__xludf.DUMMYFUNCTION("""COMPUTED_VALUE"""),-0.365646195443929)</f>
        <v>-0.36564619544392901</v>
      </c>
      <c r="IX86" s="3">
        <f ca="1">IFERROR(__xludf.DUMMYFUNCTION("""COMPUTED_VALUE"""),-0.433193304473549)</f>
        <v>-0.43319330447354898</v>
      </c>
      <c r="IY86" s="3">
        <f ca="1">IFERROR(__xludf.DUMMYFUNCTION("""COMPUTED_VALUE"""),-0.466373810819564)</f>
        <v>-0.46637381081956403</v>
      </c>
      <c r="IZ86" s="3">
        <f ca="1">IFERROR(__xludf.DUMMYFUNCTION("""COMPUTED_VALUE"""),-0.436359126774819)</f>
        <v>-0.43635912677481897</v>
      </c>
      <c r="JA86" s="3">
        <f ca="1">IFERROR(__xludf.DUMMYFUNCTION("""COMPUTED_VALUE"""),-0.463892637947522)</f>
        <v>-0.463892637947522</v>
      </c>
      <c r="JB86" s="3">
        <f ca="1">IFERROR(__xludf.DUMMYFUNCTION("""COMPUTED_VALUE"""),-0.456786657212332)</f>
        <v>-0.45678665721233203</v>
      </c>
      <c r="JC86" s="3">
        <f ca="1">IFERROR(__xludf.DUMMYFUNCTION("""COMPUTED_VALUE"""),-0.400001147427713)</f>
        <v>-0.40000114742771298</v>
      </c>
      <c r="JD86" s="3">
        <f ca="1">IFERROR(__xludf.DUMMYFUNCTION("""COMPUTED_VALUE"""),-0.397081835194085)</f>
        <v>-0.39708183519408502</v>
      </c>
      <c r="JE86" s="3">
        <f ca="1">IFERROR(__xludf.DUMMYFUNCTION("""COMPUTED_VALUE"""),-0.507617838340955)</f>
        <v>-0.50761783834095497</v>
      </c>
      <c r="JF86" s="3">
        <f ca="1">IFERROR(__xludf.DUMMYFUNCTION("""COMPUTED_VALUE"""),-0.49062930911245)</f>
        <v>-0.49062930911245001</v>
      </c>
      <c r="JG86" s="3">
        <f ca="1">IFERROR(__xludf.DUMMYFUNCTION("""COMPUTED_VALUE"""),-0.498119669957485)</f>
        <v>-0.49811966995748502</v>
      </c>
      <c r="JH86" s="3">
        <f ca="1">IFERROR(__xludf.DUMMYFUNCTION("""COMPUTED_VALUE"""),-0.481429121936535)</f>
        <v>-0.48142912193653498</v>
      </c>
      <c r="JI86" s="3">
        <f ca="1">IFERROR(__xludf.DUMMYFUNCTION("""COMPUTED_VALUE"""),-0.477397295663685)</f>
        <v>-0.477397295663685</v>
      </c>
      <c r="JJ86" s="3">
        <f ca="1">IFERROR(__xludf.DUMMYFUNCTION("""COMPUTED_VALUE"""),-0.396864781467344)</f>
        <v>-0.396864781467344</v>
      </c>
      <c r="JK86" s="3">
        <f ca="1">IFERROR(__xludf.DUMMYFUNCTION("""COMPUTED_VALUE"""),-0.444567289044161)</f>
        <v>-0.44456728904416098</v>
      </c>
      <c r="JL86" s="3">
        <f ca="1">IFERROR(__xludf.DUMMYFUNCTION("""COMPUTED_VALUE"""),-0.525191564939802)</f>
        <v>-0.52519156493980201</v>
      </c>
      <c r="JM86" s="3">
        <f ca="1">IFERROR(__xludf.DUMMYFUNCTION("""COMPUTED_VALUE"""),-0.475741617897743)</f>
        <v>-0.475741617897743</v>
      </c>
      <c r="JN86" s="3">
        <f ca="1">IFERROR(__xludf.DUMMYFUNCTION("""COMPUTED_VALUE"""),-0.500475451171765)</f>
        <v>-0.50047545117176495</v>
      </c>
      <c r="JO86" s="3">
        <f ca="1">IFERROR(__xludf.DUMMYFUNCTION("""COMPUTED_VALUE"""),-0.49039194084267)</f>
        <v>-0.49039194084267002</v>
      </c>
      <c r="JP86" s="3">
        <f ca="1">IFERROR(__xludf.DUMMYFUNCTION("""COMPUTED_VALUE"""),-0.481800985229393)</f>
        <v>-0.48180098522939302</v>
      </c>
      <c r="JQ86" s="3">
        <f ca="1">IFERROR(__xludf.DUMMYFUNCTION("""COMPUTED_VALUE"""),-0.400659129833726)</f>
        <v>-0.40065912983372598</v>
      </c>
      <c r="JR86" s="3">
        <f ca="1">IFERROR(__xludf.DUMMYFUNCTION("""COMPUTED_VALUE"""),-0.510475564034025)</f>
        <v>-0.51047556403402505</v>
      </c>
      <c r="JS86" s="3">
        <f ca="1">IFERROR(__xludf.DUMMYFUNCTION("""COMPUTED_VALUE"""),-0.582096680497866)</f>
        <v>-0.582096680497866</v>
      </c>
      <c r="JT86" s="3">
        <f ca="1">IFERROR(__xludf.DUMMYFUNCTION("""COMPUTED_VALUE"""),-0.403540361588127)</f>
        <v>-0.40354036158812701</v>
      </c>
      <c r="JU86" s="3">
        <f ca="1">IFERROR(__xludf.DUMMYFUNCTION("""COMPUTED_VALUE"""),-0.527260481659804)</f>
        <v>-0.52726048165980399</v>
      </c>
      <c r="JV86" s="3">
        <f ca="1">IFERROR(__xludf.DUMMYFUNCTION("""COMPUTED_VALUE"""),-0.531250075772817)</f>
        <v>-0.53125007577281702</v>
      </c>
      <c r="JW86" s="3">
        <f ca="1">IFERROR(__xludf.DUMMYFUNCTION("""COMPUTED_VALUE"""),-0.500116905944637)</f>
        <v>-0.50011690594463698</v>
      </c>
      <c r="JX86" s="3">
        <f ca="1">IFERROR(__xludf.DUMMYFUNCTION("""COMPUTED_VALUE"""),-0.426640136913735)</f>
        <v>-0.42664013691373498</v>
      </c>
      <c r="JY86" s="3">
        <f ca="1">IFERROR(__xludf.DUMMYFUNCTION("""COMPUTED_VALUE"""),-0.513976441687162)</f>
        <v>-0.51397644168716194</v>
      </c>
      <c r="JZ86" s="3">
        <f ca="1">IFERROR(__xludf.DUMMYFUNCTION("""COMPUTED_VALUE"""),-0.443677914512902)</f>
        <v>-0.44367791451290201</v>
      </c>
      <c r="KA86" s="3">
        <f ca="1">IFERROR(__xludf.DUMMYFUNCTION("""COMPUTED_VALUE"""),-0.440612420932765)</f>
        <v>-0.44061242093276498</v>
      </c>
      <c r="KB86" s="3">
        <f ca="1">IFERROR(__xludf.DUMMYFUNCTION("""COMPUTED_VALUE"""),-0.555516962537509)</f>
        <v>-0.55551696253750904</v>
      </c>
      <c r="KC86" s="3">
        <f ca="1">IFERROR(__xludf.DUMMYFUNCTION("""COMPUTED_VALUE"""),-0.522892442005445)</f>
        <v>-0.52289244200544505</v>
      </c>
      <c r="KD86" s="3">
        <f ca="1">IFERROR(__xludf.DUMMYFUNCTION("""COMPUTED_VALUE"""),-0.489163049736523)</f>
        <v>-0.48916304973652303</v>
      </c>
      <c r="KE86" s="3">
        <f ca="1">IFERROR(__xludf.DUMMYFUNCTION("""COMPUTED_VALUE"""),-0.473217209867521)</f>
        <v>-0.47321720986752103</v>
      </c>
      <c r="KF86" s="3">
        <f ca="1">IFERROR(__xludf.DUMMYFUNCTION("""COMPUTED_VALUE"""),-0.511507125916663)</f>
        <v>-0.51150712591666303</v>
      </c>
      <c r="KG86" s="3">
        <f ca="1">IFERROR(__xludf.DUMMYFUNCTION("""COMPUTED_VALUE"""),-0.459238857505059)</f>
        <v>-0.45923885750505899</v>
      </c>
      <c r="KH86" s="3">
        <f ca="1">IFERROR(__xludf.DUMMYFUNCTION("""COMPUTED_VALUE"""),-0.477492572637611)</f>
        <v>-0.47749257263761102</v>
      </c>
      <c r="KI86" s="3">
        <f ca="1">IFERROR(__xludf.DUMMYFUNCTION("""COMPUTED_VALUE"""),-0.543594339149002)</f>
        <v>-0.54359433914900201</v>
      </c>
      <c r="KJ86" s="3">
        <f ca="1">IFERROR(__xludf.DUMMYFUNCTION("""COMPUTED_VALUE"""),-0.491721173666925)</f>
        <v>-0.49172117366692503</v>
      </c>
      <c r="KK86" s="3">
        <f ca="1">IFERROR(__xludf.DUMMYFUNCTION("""COMPUTED_VALUE"""),-0.502994757289984)</f>
        <v>-0.502994757289984</v>
      </c>
      <c r="KL86" s="3">
        <f ca="1">IFERROR(__xludf.DUMMYFUNCTION("""COMPUTED_VALUE"""),-0.492317005766746)</f>
        <v>-0.49231700576674597</v>
      </c>
      <c r="KM86" s="3">
        <f ca="1">IFERROR(__xludf.DUMMYFUNCTION("""COMPUTED_VALUE"""),-0.552444364554806)</f>
        <v>-0.55244436455480606</v>
      </c>
      <c r="KN86" s="3">
        <f ca="1">IFERROR(__xludf.DUMMYFUNCTION("""COMPUTED_VALUE"""),-0.562167860773581)</f>
        <v>-0.56216786077358105</v>
      </c>
      <c r="KO86" s="3">
        <f ca="1">IFERROR(__xludf.DUMMYFUNCTION("""COMPUTED_VALUE"""),-0.588156228357109)</f>
        <v>-0.58815622835710901</v>
      </c>
      <c r="KP86" s="3">
        <f ca="1">IFERROR(__xludf.DUMMYFUNCTION("""COMPUTED_VALUE"""),-0.595748093650387)</f>
        <v>-0.59574809365038695</v>
      </c>
      <c r="KQ86" s="3">
        <f ca="1">IFERROR(__xludf.DUMMYFUNCTION("""COMPUTED_VALUE"""),-0.553128623071872)</f>
        <v>-0.55312862307187205</v>
      </c>
      <c r="KR86" s="3">
        <f ca="1">IFERROR(__xludf.DUMMYFUNCTION("""COMPUTED_VALUE"""),-0.560302478085933)</f>
        <v>-0.56030247808593303</v>
      </c>
      <c r="KS86" s="3">
        <f ca="1">IFERROR(__xludf.DUMMYFUNCTION("""COMPUTED_VALUE"""),-0.527256314886718)</f>
        <v>-0.52725631488671798</v>
      </c>
      <c r="KT86" s="3">
        <f ca="1">IFERROR(__xludf.DUMMYFUNCTION("""COMPUTED_VALUE"""),-0.573238578110228)</f>
        <v>-0.57323857811022805</v>
      </c>
      <c r="KU86" s="3">
        <f ca="1">IFERROR(__xludf.DUMMYFUNCTION("""COMPUTED_VALUE"""),-0.575861760588677)</f>
        <v>-0.575861760588677</v>
      </c>
      <c r="KV86" s="3">
        <f ca="1">IFERROR(__xludf.DUMMYFUNCTION("""COMPUTED_VALUE"""),-0.616448279603157)</f>
        <v>-0.61644827960315696</v>
      </c>
      <c r="KW86" s="3">
        <f ca="1">IFERROR(__xludf.DUMMYFUNCTION("""COMPUTED_VALUE"""),-0.594311808380153)</f>
        <v>-0.59431180838015296</v>
      </c>
      <c r="KX86" s="3">
        <f ca="1">IFERROR(__xludf.DUMMYFUNCTION("""COMPUTED_VALUE"""),-0.561046308098072)</f>
        <v>-0.56104630809807199</v>
      </c>
      <c r="KY86" s="3">
        <f ca="1">IFERROR(__xludf.DUMMYFUNCTION("""COMPUTED_VALUE"""),-0.574102256173162)</f>
        <v>-0.57410225617316202</v>
      </c>
      <c r="KZ86" s="3">
        <f ca="1">IFERROR(__xludf.DUMMYFUNCTION("""COMPUTED_VALUE"""),-0.553972059350859)</f>
        <v>-0.55397205935085903</v>
      </c>
      <c r="LA86" s="3">
        <f ca="1">IFERROR(__xludf.DUMMYFUNCTION("""COMPUTED_VALUE"""),-0.623833024851019)</f>
        <v>-0.62383302485101899</v>
      </c>
      <c r="LB86" s="3">
        <f ca="1">IFERROR(__xludf.DUMMYFUNCTION("""COMPUTED_VALUE"""),-0.656804522023406)</f>
        <v>-0.656804522023406</v>
      </c>
      <c r="LC86" s="3">
        <f ca="1">IFERROR(__xludf.DUMMYFUNCTION("""COMPUTED_VALUE"""),-0.595337151370667)</f>
        <v>-0.59533715137066701</v>
      </c>
      <c r="LD86" s="3">
        <f ca="1">IFERROR(__xludf.DUMMYFUNCTION("""COMPUTED_VALUE"""),-0.643962726248369)</f>
        <v>-0.64396272624836903</v>
      </c>
      <c r="LE86" s="3">
        <f ca="1">IFERROR(__xludf.DUMMYFUNCTION("""COMPUTED_VALUE"""),-0.61364978593777)</f>
        <v>-0.61364978593776998</v>
      </c>
      <c r="LF86" s="3">
        <f ca="1">IFERROR(__xludf.DUMMYFUNCTION("""COMPUTED_VALUE"""),-0.564041502390476)</f>
        <v>-0.56404150239047601</v>
      </c>
      <c r="LG86" s="3">
        <f ca="1">IFERROR(__xludf.DUMMYFUNCTION("""COMPUTED_VALUE"""),-0.592054833846415)</f>
        <v>-0.592054833846415</v>
      </c>
      <c r="LH86" s="3">
        <f ca="1">IFERROR(__xludf.DUMMYFUNCTION("""COMPUTED_VALUE"""),-0.601573049491456)</f>
        <v>-0.60157304949145596</v>
      </c>
      <c r="LI86" s="3">
        <f ca="1">IFERROR(__xludf.DUMMYFUNCTION("""COMPUTED_VALUE"""),-0.657500721203265)</f>
        <v>-0.65750072120326497</v>
      </c>
      <c r="LJ86" s="3">
        <f ca="1">IFERROR(__xludf.DUMMYFUNCTION("""COMPUTED_VALUE"""),-0.640713826361638)</f>
        <v>-0.64071382636163798</v>
      </c>
      <c r="LK86" s="3">
        <f ca="1">IFERROR(__xludf.DUMMYFUNCTION("""COMPUTED_VALUE"""),-0.637169367136494)</f>
        <v>-0.63716936713649397</v>
      </c>
      <c r="LL86" s="3">
        <f ca="1">IFERROR(__xludf.DUMMYFUNCTION("""COMPUTED_VALUE"""),-0.609239412721794)</f>
        <v>-0.60923941272179405</v>
      </c>
      <c r="LM86" s="3">
        <f ca="1">IFERROR(__xludf.DUMMYFUNCTION("""COMPUTED_VALUE"""),-0.637975232670538)</f>
        <v>-0.63797523267053802</v>
      </c>
      <c r="LN86" s="3">
        <f ca="1">IFERROR(__xludf.DUMMYFUNCTION("""COMPUTED_VALUE"""),-0.631534744815462)</f>
        <v>-0.63153474481546201</v>
      </c>
      <c r="LO86" s="3">
        <f ca="1">IFERROR(__xludf.DUMMYFUNCTION("""COMPUTED_VALUE"""),-0.701252460295774)</f>
        <v>-0.70125246029577404</v>
      </c>
      <c r="LP86" s="3">
        <f ca="1">IFERROR(__xludf.DUMMYFUNCTION("""COMPUTED_VALUE"""),-0.679309051047596)</f>
        <v>-0.67930905104759598</v>
      </c>
      <c r="LQ86" s="3">
        <f ca="1">IFERROR(__xludf.DUMMYFUNCTION("""COMPUTED_VALUE"""),-0.658631030852739)</f>
        <v>-0.658631030852739</v>
      </c>
      <c r="LR86" s="3">
        <f ca="1">IFERROR(__xludf.DUMMYFUNCTION("""COMPUTED_VALUE"""),-0.67277009416148)</f>
        <v>-0.67277009416148004</v>
      </c>
      <c r="LS86" s="3">
        <f ca="1">IFERROR(__xludf.DUMMYFUNCTION("""COMPUTED_VALUE"""),-0.664090881203963)</f>
        <v>-0.66409088120396298</v>
      </c>
      <c r="LT86" s="3">
        <f ca="1">IFERROR(__xludf.DUMMYFUNCTION("""COMPUTED_VALUE"""),-0.638585499743367)</f>
        <v>-0.63858549974336698</v>
      </c>
      <c r="LU86" s="3">
        <f ca="1">IFERROR(__xludf.DUMMYFUNCTION("""COMPUTED_VALUE"""),-0.622934526842611)</f>
        <v>-0.62293452684261097</v>
      </c>
      <c r="LV86" s="3">
        <f ca="1">IFERROR(__xludf.DUMMYFUNCTION("""COMPUTED_VALUE"""),-0.664054025743313)</f>
        <v>-0.66405402574331296</v>
      </c>
      <c r="LW86" s="3">
        <f ca="1">IFERROR(__xludf.DUMMYFUNCTION("""COMPUTED_VALUE"""),-0.679571566956383)</f>
        <v>-0.67957156695638299</v>
      </c>
      <c r="LX86" s="3">
        <f ca="1">IFERROR(__xludf.DUMMYFUNCTION("""COMPUTED_VALUE"""),-0.688753389217926)</f>
        <v>-0.68875338921792595</v>
      </c>
      <c r="LY86" s="3">
        <f ca="1">IFERROR(__xludf.DUMMYFUNCTION("""COMPUTED_VALUE"""),-0.687997077701122)</f>
        <v>-0.68799707770112195</v>
      </c>
      <c r="LZ86" s="3">
        <f ca="1">IFERROR(__xludf.DUMMYFUNCTION("""COMPUTED_VALUE"""),-0.691369986470226)</f>
        <v>-0.69136998647022596</v>
      </c>
      <c r="MA86" s="3">
        <f ca="1">IFERROR(__xludf.DUMMYFUNCTION("""COMPUTED_VALUE"""),-0.684836945143457)</f>
        <v>-0.68483694514345705</v>
      </c>
      <c r="MB86" s="3">
        <f ca="1">IFERROR(__xludf.DUMMYFUNCTION("""COMPUTED_VALUE"""),-0.615159088566938)</f>
        <v>-0.61515908856693802</v>
      </c>
      <c r="MC86" s="3">
        <f ca="1">IFERROR(__xludf.DUMMYFUNCTION("""COMPUTED_VALUE"""),-0.701485204529169)</f>
        <v>-0.70148520452916896</v>
      </c>
      <c r="MD86" s="3">
        <f ca="1">IFERROR(__xludf.DUMMYFUNCTION("""COMPUTED_VALUE"""),-0.713446496229171)</f>
        <v>-0.713446496229171</v>
      </c>
      <c r="ME86" s="3">
        <f ca="1">IFERROR(__xludf.DUMMYFUNCTION("""COMPUTED_VALUE"""),-0.69649296665675)</f>
        <v>-0.69649296665674998</v>
      </c>
      <c r="MF86" s="3">
        <f ca="1">IFERROR(__xludf.DUMMYFUNCTION("""COMPUTED_VALUE"""),-0.693430373658089)</f>
        <v>-0.69343037365808902</v>
      </c>
      <c r="MG86" s="3">
        <f ca="1">IFERROR(__xludf.DUMMYFUNCTION("""COMPUTED_VALUE"""),-0.687430981166697)</f>
        <v>-0.68743098116669699</v>
      </c>
      <c r="MH86" s="3">
        <f ca="1">IFERROR(__xludf.DUMMYFUNCTION("""COMPUTED_VALUE"""),-0.660415548522447)</f>
        <v>-0.66041554852244699</v>
      </c>
      <c r="MI86" s="3">
        <f ca="1">IFERROR(__xludf.DUMMYFUNCTION("""COMPUTED_VALUE"""),-0.586678061559344)</f>
        <v>-0.58667806155934399</v>
      </c>
      <c r="MJ86" s="3">
        <f ca="1">IFERROR(__xludf.DUMMYFUNCTION("""COMPUTED_VALUE"""),-0.673102165948412)</f>
        <v>-0.67310216594841199</v>
      </c>
      <c r="MK86" s="3">
        <f ca="1">IFERROR(__xludf.DUMMYFUNCTION("""COMPUTED_VALUE"""),-0.680395478971137)</f>
        <v>-0.68039547897113695</v>
      </c>
      <c r="ML86" s="3">
        <f ca="1">IFERROR(__xludf.DUMMYFUNCTION("""COMPUTED_VALUE"""),-0.712966572725742)</f>
        <v>-0.71296657272574204</v>
      </c>
      <c r="MM86" s="3">
        <f ca="1">IFERROR(__xludf.DUMMYFUNCTION("""COMPUTED_VALUE"""),-0.702504381309841)</f>
        <v>-0.70250438130984105</v>
      </c>
      <c r="MN86" s="3">
        <f ca="1">IFERROR(__xludf.DUMMYFUNCTION("""COMPUTED_VALUE"""),-0.693047575310034)</f>
        <v>-0.69304757531003403</v>
      </c>
      <c r="MO86" s="3">
        <f ca="1">IFERROR(__xludf.DUMMYFUNCTION("""COMPUTED_VALUE"""),-0.67309775124944)</f>
        <v>-0.67309775124944005</v>
      </c>
      <c r="MP86" s="3">
        <f ca="1">IFERROR(__xludf.DUMMYFUNCTION("""COMPUTED_VALUE"""),-0.66292544356766)</f>
        <v>-0.66292544356766003</v>
      </c>
      <c r="MQ86" s="3">
        <f ca="1">IFERROR(__xludf.DUMMYFUNCTION("""COMPUTED_VALUE"""),-0.664424365115659)</f>
        <v>-0.66442436511565905</v>
      </c>
      <c r="MR86" s="3">
        <f ca="1">IFERROR(__xludf.DUMMYFUNCTION("""COMPUTED_VALUE"""),-0.693304409828113)</f>
        <v>-0.69330440982811303</v>
      </c>
      <c r="MS86" s="3">
        <f ca="1">IFERROR(__xludf.DUMMYFUNCTION("""COMPUTED_VALUE"""),-0.710491705023591)</f>
        <v>-0.71049170502359105</v>
      </c>
      <c r="MT86" s="3">
        <f ca="1">IFERROR(__xludf.DUMMYFUNCTION("""COMPUTED_VALUE"""),-0.702807334628884)</f>
        <v>-0.70280733462888401</v>
      </c>
      <c r="MU86" s="3">
        <f ca="1">IFERROR(__xludf.DUMMYFUNCTION("""COMPUTED_VALUE"""),-0.71699671243988)</f>
        <v>-0.71699671243987995</v>
      </c>
      <c r="MV86" s="3">
        <f ca="1">IFERROR(__xludf.DUMMYFUNCTION("""COMPUTED_VALUE"""),-0.661454913763815)</f>
        <v>-0.66145491376381504</v>
      </c>
      <c r="MW86" s="3">
        <f ca="1">IFERROR(__xludf.DUMMYFUNCTION("""COMPUTED_VALUE"""),-0.645511406014556)</f>
        <v>-0.64551140601455603</v>
      </c>
      <c r="MX86" s="3">
        <f ca="1">IFERROR(__xludf.DUMMYFUNCTION("""COMPUTED_VALUE"""),-0.695711876296079)</f>
        <v>-0.695711876296079</v>
      </c>
      <c r="MY86" s="3">
        <f ca="1">IFERROR(__xludf.DUMMYFUNCTION("""COMPUTED_VALUE"""),-0.669148389065766)</f>
        <v>-0.66914838906576601</v>
      </c>
      <c r="MZ86" s="3">
        <f ca="1">IFERROR(__xludf.DUMMYFUNCTION("""COMPUTED_VALUE"""),-0.686268168216861)</f>
        <v>-0.68626816821686099</v>
      </c>
      <c r="NA86" s="3">
        <f ca="1">IFERROR(__xludf.DUMMYFUNCTION("""COMPUTED_VALUE"""),-0.701589661687017)</f>
        <v>-0.70158966168701697</v>
      </c>
      <c r="NB86" s="3">
        <f ca="1">IFERROR(__xludf.DUMMYFUNCTION("""COMPUTED_VALUE"""),-0.695703785875089)</f>
        <v>-0.69570378587508896</v>
      </c>
      <c r="NC86" s="3">
        <f ca="1">IFERROR(__xludf.DUMMYFUNCTION("""COMPUTED_VALUE"""),-0.711966780278918)</f>
        <v>-0.71196678027891802</v>
      </c>
      <c r="ND86" s="3">
        <f ca="1">IFERROR(__xludf.DUMMYFUNCTION("""COMPUTED_VALUE"""),-0.627653452474261)</f>
        <v>-0.62765345247426096</v>
      </c>
      <c r="NE86" s="3">
        <f ca="1">IFERROR(__xludf.DUMMYFUNCTION("""COMPUTED_VALUE"""),-0.659366302576167)</f>
        <v>-0.65936630257616702</v>
      </c>
      <c r="NF86" s="3">
        <f ca="1">IFERROR(__xludf.DUMMYFUNCTION("""COMPUTED_VALUE"""),-0.680366582258386)</f>
        <v>-0.68036658225838598</v>
      </c>
      <c r="NG86" s="3">
        <f ca="1">IFERROR(__xludf.DUMMYFUNCTION("""COMPUTED_VALUE"""),-0.695364760551801)</f>
        <v>-0.69536476055180096</v>
      </c>
      <c r="NH86" s="3">
        <f ca="1">IFERROR(__xludf.DUMMYFUNCTION("""COMPUTED_VALUE"""),-0.717475054380151)</f>
        <v>-0.71747505438015102</v>
      </c>
      <c r="NI86" s="3">
        <f ca="1">IFERROR(__xludf.DUMMYFUNCTION("""COMPUTED_VALUE"""),-0.71032674339328)</f>
        <v>-0.71032674339327995</v>
      </c>
      <c r="NJ86" s="3">
        <f ca="1">IFERROR(__xludf.DUMMYFUNCTION("""COMPUTED_VALUE"""),-0.682623026972679)</f>
        <v>-0.68262302697267896</v>
      </c>
      <c r="NK86" s="3">
        <f ca="1">IFERROR(__xludf.DUMMYFUNCTION("""COMPUTED_VALUE"""),-0.621608811769849)</f>
        <v>-0.62160881176984895</v>
      </c>
      <c r="NL86" s="3">
        <f ca="1">IFERROR(__xludf.DUMMYFUNCTION("""COMPUTED_VALUE"""),-0.675802631688139)</f>
        <v>-0.67580263168813903</v>
      </c>
      <c r="NM86" s="3">
        <f ca="1">IFERROR(__xludf.DUMMYFUNCTION("""COMPUTED_VALUE"""),-0.695753067855585)</f>
        <v>-0.69575306785558499</v>
      </c>
      <c r="NN86" s="3">
        <f ca="1">IFERROR(__xludf.DUMMYFUNCTION("""COMPUTED_VALUE"""),-0.693357605385795)</f>
        <v>-0.69335760538579505</v>
      </c>
      <c r="NO86" s="3">
        <f ca="1">IFERROR(__xludf.DUMMYFUNCTION("""COMPUTED_VALUE"""),-0.659049734452918)</f>
        <v>-0.65904973445291803</v>
      </c>
      <c r="NP86" s="3">
        <f ca="1">IFERROR(__xludf.DUMMYFUNCTION("""COMPUTED_VALUE"""),-0.677726638903911)</f>
        <v>-0.67772663890391105</v>
      </c>
      <c r="NQ86" s="3">
        <f ca="1">IFERROR(__xludf.DUMMYFUNCTION("""COMPUTED_VALUE"""),-0.654432979891945)</f>
        <v>-0.65443297989194504</v>
      </c>
      <c r="NR86" s="3">
        <f ca="1">IFERROR(__xludf.DUMMYFUNCTION("""COMPUTED_VALUE"""),-0.60817593023763)</f>
        <v>-0.60817593023762995</v>
      </c>
      <c r="NS86" s="3">
        <f ca="1">IFERROR(__xludf.DUMMYFUNCTION("""COMPUTED_VALUE"""),-0.67093954027451)</f>
        <v>-0.67093954027450997</v>
      </c>
      <c r="NT86" s="3">
        <f ca="1">IFERROR(__xludf.DUMMYFUNCTION("""COMPUTED_VALUE"""),-0.654271595285517)</f>
        <v>-0.65427159528551704</v>
      </c>
      <c r="NU86" s="3">
        <f ca="1">IFERROR(__xludf.DUMMYFUNCTION("""COMPUTED_VALUE"""),-0.681922602032364)</f>
        <v>-0.68192260203236399</v>
      </c>
      <c r="NV86" s="3">
        <f ca="1">IFERROR(__xludf.DUMMYFUNCTION("""COMPUTED_VALUE"""),-0.699770372006294)</f>
        <v>-0.69977037200629399</v>
      </c>
      <c r="NW86" s="3">
        <f ca="1">IFERROR(__xludf.DUMMYFUNCTION("""COMPUTED_VALUE"""),-0.645683575631544)</f>
        <v>-0.64568357563154399</v>
      </c>
      <c r="NX86" s="3">
        <f ca="1">IFERROR(__xludf.DUMMYFUNCTION("""COMPUTED_VALUE"""),-0.704864636605632)</f>
        <v>-0.70486463660563203</v>
      </c>
      <c r="NY86" s="3">
        <f ca="1">IFERROR(__xludf.DUMMYFUNCTION("""COMPUTED_VALUE"""),-0.572276971935592)</f>
        <v>-0.57227697193559202</v>
      </c>
      <c r="NZ86" s="3">
        <f ca="1">IFERROR(__xludf.DUMMYFUNCTION("""COMPUTED_VALUE"""),-0.585726272883721)</f>
        <v>-0.58572627288372103</v>
      </c>
      <c r="OA86" s="3">
        <f ca="1">IFERROR(__xludf.DUMMYFUNCTION("""COMPUTED_VALUE"""),-0.606627346511675)</f>
        <v>-0.60662734651167505</v>
      </c>
      <c r="OB86" s="3">
        <f ca="1">IFERROR(__xludf.DUMMYFUNCTION("""COMPUTED_VALUE"""),-0.576975884289935)</f>
        <v>-0.57697588428993496</v>
      </c>
      <c r="OC86" s="3">
        <f ca="1">IFERROR(__xludf.DUMMYFUNCTION("""COMPUTED_VALUE"""),-0.542492484041752)</f>
        <v>-0.54249248404175199</v>
      </c>
      <c r="OD86" s="3">
        <f ca="1">IFERROR(__xludf.DUMMYFUNCTION("""COMPUTED_VALUE"""),-0.527071628545694)</f>
        <v>-0.527071628545694</v>
      </c>
      <c r="OE86" s="3">
        <f ca="1">IFERROR(__xludf.DUMMYFUNCTION("""COMPUTED_VALUE"""),-0.446706400698707)</f>
        <v>-0.44670640069870698</v>
      </c>
      <c r="OF86" s="3">
        <f ca="1">IFERROR(__xludf.DUMMYFUNCTION("""COMPUTED_VALUE"""),-0.232328307572444)</f>
        <v>-0.23232830757244399</v>
      </c>
      <c r="OG86" s="3">
        <f ca="1">IFERROR(__xludf.DUMMYFUNCTION("""COMPUTED_VALUE"""),-0.267117246222049)</f>
        <v>-0.26711724622204902</v>
      </c>
      <c r="OH86" s="3">
        <f ca="1">IFERROR(__xludf.DUMMYFUNCTION("""COMPUTED_VALUE"""),-0.224318352843607)</f>
        <v>-0.22431835284360699</v>
      </c>
      <c r="OI86" s="3">
        <f ca="1">IFERROR(__xludf.DUMMYFUNCTION("""COMPUTED_VALUE"""),-0.156279708080565)</f>
        <v>-0.15627970808056499</v>
      </c>
      <c r="OJ86" s="3">
        <f ca="1">IFERROR(__xludf.DUMMYFUNCTION("""COMPUTED_VALUE"""),-0.0817295911105575)</f>
        <v>-8.1729591110557498E-2</v>
      </c>
      <c r="OK86" s="3">
        <f ca="1">IFERROR(__xludf.DUMMYFUNCTION("""COMPUTED_VALUE"""),-0.0765861351108573)</f>
        <v>-7.6586135110857295E-2</v>
      </c>
      <c r="OL86" s="3">
        <f ca="1">IFERROR(__xludf.DUMMYFUNCTION("""COMPUTED_VALUE"""),0.119089101532968)</f>
        <v>0.11908910153296801</v>
      </c>
      <c r="OM86" s="3">
        <f ca="1">IFERROR(__xludf.DUMMYFUNCTION("""COMPUTED_VALUE"""),-0.0217920665166571)</f>
        <v>-2.1792066516657101E-2</v>
      </c>
      <c r="ON86" s="3">
        <f ca="1">IFERROR(__xludf.DUMMYFUNCTION("""COMPUTED_VALUE"""),-0.0115749251347105)</f>
        <v>-1.1574925134710499E-2</v>
      </c>
      <c r="OO86" s="3">
        <f ca="1">IFERROR(__xludf.DUMMYFUNCTION("""COMPUTED_VALUE"""),0.000138532739736074)</f>
        <v>1.3853273973607401E-4</v>
      </c>
      <c r="OP86" s="3">
        <f ca="1">IFERROR(__xludf.DUMMYFUNCTION("""COMPUTED_VALUE"""),0.000414717032391154)</f>
        <v>4.1471703239115399E-4</v>
      </c>
      <c r="OQ86" s="3">
        <f ca="1">IFERROR(__xludf.DUMMYFUNCTION("""COMPUTED_VALUE"""),0.00815795318934409)</f>
        <v>8.1579531893440898E-3</v>
      </c>
      <c r="OR86" s="3">
        <f ca="1">IFERROR(__xludf.DUMMYFUNCTION("""COMPUTED_VALUE"""),-0.0158728118453131)</f>
        <v>-1.5872811845313101E-2</v>
      </c>
      <c r="OS86" s="3">
        <f ca="1">IFERROR(__xludf.DUMMYFUNCTION("""COMPUTED_VALUE"""),0.125443233767678)</f>
        <v>0.12544323376767799</v>
      </c>
      <c r="OT86" s="3">
        <f ca="1">IFERROR(__xludf.DUMMYFUNCTION("""COMPUTED_VALUE"""),0.020309798300014)</f>
        <v>2.0309798300014E-2</v>
      </c>
      <c r="OU86" s="3">
        <f ca="1">IFERROR(__xludf.DUMMYFUNCTION("""COMPUTED_VALUE"""),0.00253007695009155)</f>
        <v>2.5300769500915502E-3</v>
      </c>
      <c r="OV86" s="3">
        <f ca="1">IFERROR(__xludf.DUMMYFUNCTION("""COMPUTED_VALUE"""),0.0631854026447187)</f>
        <v>6.3185402644718697E-2</v>
      </c>
      <c r="OW86" s="3">
        <f ca="1">IFERROR(__xludf.DUMMYFUNCTION("""COMPUTED_VALUE"""),0.0461028635016056)</f>
        <v>4.6102863501605598E-2</v>
      </c>
      <c r="OX86" s="3">
        <f ca="1">IFERROR(__xludf.DUMMYFUNCTION("""COMPUTED_VALUE"""),0.0788106230800835)</f>
        <v>7.8810623080083506E-2</v>
      </c>
      <c r="OY86" s="3">
        <f ca="1">IFERROR(__xludf.DUMMYFUNCTION("""COMPUTED_VALUE"""),0.0149704796993535)</f>
        <v>1.4970479699353501E-2</v>
      </c>
      <c r="OZ86" s="3">
        <f ca="1">IFERROR(__xludf.DUMMYFUNCTION("""COMPUTED_VALUE"""),0.213732378347309)</f>
        <v>0.21373237834730899</v>
      </c>
      <c r="PA86" s="3">
        <f ca="1">IFERROR(__xludf.DUMMYFUNCTION("""COMPUTED_VALUE"""),0.0188305919826572)</f>
        <v>1.8830591982657199E-2</v>
      </c>
      <c r="PB86" s="3">
        <f ca="1">IFERROR(__xludf.DUMMYFUNCTION("""COMPUTED_VALUE"""),-0.00407203265238365)</f>
        <v>-4.0720326523836503E-3</v>
      </c>
      <c r="PC86" s="3">
        <f ca="1">IFERROR(__xludf.DUMMYFUNCTION("""COMPUTED_VALUE"""),-0.126184022013909)</f>
        <v>-0.12618402201390899</v>
      </c>
      <c r="PD86" s="3">
        <f ca="1">IFERROR(__xludf.DUMMYFUNCTION("""COMPUTED_VALUE"""),-0.0813804142109255)</f>
        <v>-8.1380414210925497E-2</v>
      </c>
      <c r="PE86" s="3">
        <f ca="1">IFERROR(__xludf.DUMMYFUNCTION("""COMPUTED_VALUE"""),-0.0651019162995599)</f>
        <v>-6.51019162995599E-2</v>
      </c>
      <c r="PF86" s="3">
        <f ca="1">IFERROR(__xludf.DUMMYFUNCTION("""COMPUTED_VALUE"""),-0.0771429430749394)</f>
        <v>-7.7142943074939394E-2</v>
      </c>
      <c r="PG86" s="3">
        <f ca="1">IFERROR(__xludf.DUMMYFUNCTION("""COMPUTED_VALUE"""),-0.138905413399904)</f>
        <v>-0.138905413399904</v>
      </c>
      <c r="PH86" s="3">
        <f ca="1">IFERROR(__xludf.DUMMYFUNCTION("""COMPUTED_VALUE"""),-0.0125697078577945)</f>
        <v>-1.25697078577945E-2</v>
      </c>
      <c r="PI86" s="3">
        <f ca="1">IFERROR(__xludf.DUMMYFUNCTION("""COMPUTED_VALUE"""),-0.0852427520931904)</f>
        <v>-8.5242752093190405E-2</v>
      </c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</row>
    <row r="87" spans="1:477" ht="13">
      <c r="A87" s="1" t="str">
        <f ca="1">IFERROR(__xludf.DUMMYFUNCTION("""COMPUTED_VALUE"""),"Long Island Rail Road")</f>
        <v>Long Island Rail Road</v>
      </c>
      <c r="B87" s="1" t="str">
        <f ca="1">IFERROR(__xludf.DUMMYFUNCTION("""COMPUTED_VALUE"""),"NYC")</f>
        <v>NYC</v>
      </c>
      <c r="C87" s="1" t="str">
        <f ca="1">IFERROR(__xludf.DUMMYFUNCTION("""COMPUTED_VALUE"""),"United States")</f>
        <v>United States</v>
      </c>
      <c r="D87" s="1" t="str">
        <f ca="1">IFERROR(__xludf.DUMMYFUNCTION("""COMPUTED_VALUE"""),"New York")</f>
        <v>New York</v>
      </c>
      <c r="E87" s="3">
        <f ca="1">IFERROR(__xludf.DUMMYFUNCTION("""COMPUTED_VALUE"""),-0.302922939354764)</f>
        <v>-0.302922939354764</v>
      </c>
      <c r="F87" s="3">
        <f ca="1">IFERROR(__xludf.DUMMYFUNCTION("""COMPUTED_VALUE"""),-0.312823900746486)</f>
        <v>-0.31282390074648603</v>
      </c>
      <c r="G87" s="3">
        <f ca="1">IFERROR(__xludf.DUMMYFUNCTION("""COMPUTED_VALUE"""),-0.353223322035802)</f>
        <v>-0.35322332203580198</v>
      </c>
      <c r="H87" s="3">
        <f ca="1">IFERROR(__xludf.DUMMYFUNCTION("""COMPUTED_VALUE"""),-0.363231981727752)</f>
        <v>-0.36323198172775201</v>
      </c>
      <c r="I87" s="3">
        <f ca="1">IFERROR(__xludf.DUMMYFUNCTION("""COMPUTED_VALUE"""),-0.374829153231771)</f>
        <v>-0.37482915323177102</v>
      </c>
      <c r="J87" s="3">
        <f ca="1">IFERROR(__xludf.DUMMYFUNCTION("""COMPUTED_VALUE"""),-0.3676704649406)</f>
        <v>-0.36767046494060002</v>
      </c>
      <c r="K87" s="3">
        <f ca="1">IFERROR(__xludf.DUMMYFUNCTION("""COMPUTED_VALUE"""),-0.383599586498493)</f>
        <v>-0.38359958649849302</v>
      </c>
      <c r="L87" s="3">
        <f ca="1">IFERROR(__xludf.DUMMYFUNCTION("""COMPUTED_VALUE"""),-0.377813464411689)</f>
        <v>-0.377813464411689</v>
      </c>
      <c r="M87" s="3">
        <f ca="1">IFERROR(__xludf.DUMMYFUNCTION("""COMPUTED_VALUE"""),-0.423736488884221)</f>
        <v>-0.423736488884221</v>
      </c>
      <c r="N87" s="3">
        <f ca="1">IFERROR(__xludf.DUMMYFUNCTION("""COMPUTED_VALUE"""),-0.434841997153494)</f>
        <v>-0.43484199715349398</v>
      </c>
      <c r="O87" s="3">
        <f ca="1">IFERROR(__xludf.DUMMYFUNCTION("""COMPUTED_VALUE"""),-0.433288820244039)</f>
        <v>-0.43328882024403897</v>
      </c>
      <c r="P87" s="3">
        <f ca="1">IFERROR(__xludf.DUMMYFUNCTION("""COMPUTED_VALUE"""),-0.410374013791521)</f>
        <v>-0.410374013791521</v>
      </c>
      <c r="Q87" s="3">
        <f ca="1">IFERROR(__xludf.DUMMYFUNCTION("""COMPUTED_VALUE"""),-0.422760078491221)</f>
        <v>-0.42276007849122099</v>
      </c>
      <c r="R87" s="3">
        <f ca="1">IFERROR(__xludf.DUMMYFUNCTION("""COMPUTED_VALUE"""),-0.411053930269182)</f>
        <v>-0.41105393026918202</v>
      </c>
      <c r="S87" s="3">
        <f ca="1">IFERROR(__xludf.DUMMYFUNCTION("""COMPUTED_VALUE"""),-0.381928975412049)</f>
        <v>-0.38192897541204901</v>
      </c>
      <c r="T87" s="3">
        <f ca="1">IFERROR(__xludf.DUMMYFUNCTION("""COMPUTED_VALUE"""),-0.490726795228234)</f>
        <v>-0.49072679522823398</v>
      </c>
      <c r="U87" s="3">
        <f ca="1">IFERROR(__xludf.DUMMYFUNCTION("""COMPUTED_VALUE"""),-0.527887462292868)</f>
        <v>-0.52788746229286798</v>
      </c>
      <c r="V87" s="3">
        <f ca="1">IFERROR(__xludf.DUMMYFUNCTION("""COMPUTED_VALUE"""),-0.556614544535974)</f>
        <v>-0.55661454453597403</v>
      </c>
      <c r="W87" s="3">
        <f ca="1">IFERROR(__xludf.DUMMYFUNCTION("""COMPUTED_VALUE"""),-0.5334777109146)</f>
        <v>-0.53347771091459995</v>
      </c>
      <c r="X87" s="3">
        <f ca="1">IFERROR(__xludf.DUMMYFUNCTION("""COMPUTED_VALUE"""),-0.50342056659293)</f>
        <v>-0.50342056659293</v>
      </c>
      <c r="Y87" s="3">
        <f ca="1">IFERROR(__xludf.DUMMYFUNCTION("""COMPUTED_VALUE"""),-0.434290592276699)</f>
        <v>-0.43429059227669897</v>
      </c>
      <c r="Z87" s="3">
        <f ca="1">IFERROR(__xludf.DUMMYFUNCTION("""COMPUTED_VALUE"""),-0.457771625518114)</f>
        <v>-0.45777162551811401</v>
      </c>
      <c r="AA87" s="3">
        <f ca="1">IFERROR(__xludf.DUMMYFUNCTION("""COMPUTED_VALUE"""),-0.531869297198488)</f>
        <v>-0.53186929719848797</v>
      </c>
      <c r="AB87" s="3">
        <f ca="1">IFERROR(__xludf.DUMMYFUNCTION("""COMPUTED_VALUE"""),-0.572719465429386)</f>
        <v>-0.57271946542938601</v>
      </c>
      <c r="AC87" s="3">
        <f ca="1">IFERROR(__xludf.DUMMYFUNCTION("""COMPUTED_VALUE"""),-0.559202427775459)</f>
        <v>-0.55920242777545903</v>
      </c>
      <c r="AD87" s="3">
        <f ca="1">IFERROR(__xludf.DUMMYFUNCTION("""COMPUTED_VALUE"""),-0.56923088024154)</f>
        <v>-0.56923088024154</v>
      </c>
      <c r="AE87" s="3">
        <f ca="1">IFERROR(__xludf.DUMMYFUNCTION("""COMPUTED_VALUE"""),-0.541815736085677)</f>
        <v>-0.54181573608567701</v>
      </c>
      <c r="AF87" s="3">
        <f ca="1">IFERROR(__xludf.DUMMYFUNCTION("""COMPUTED_VALUE"""),-0.449892232149393)</f>
        <v>-0.449892232149393</v>
      </c>
      <c r="AG87" s="3">
        <f ca="1">IFERROR(__xludf.DUMMYFUNCTION("""COMPUTED_VALUE"""),-0.486430833699407)</f>
        <v>-0.48643083369940698</v>
      </c>
      <c r="AH87" s="3">
        <f ca="1">IFERROR(__xludf.DUMMYFUNCTION("""COMPUTED_VALUE"""),-0.509118458055755)</f>
        <v>-0.50911845805575495</v>
      </c>
      <c r="AI87" s="3">
        <f ca="1">IFERROR(__xludf.DUMMYFUNCTION("""COMPUTED_VALUE"""),-0.527307115701947)</f>
        <v>-0.52730711570194699</v>
      </c>
      <c r="AJ87" s="3">
        <f ca="1">IFERROR(__xludf.DUMMYFUNCTION("""COMPUTED_VALUE"""),-0.536047667463062)</f>
        <v>-0.53604766746306198</v>
      </c>
      <c r="AK87" s="3">
        <f ca="1">IFERROR(__xludf.DUMMYFUNCTION("""COMPUTED_VALUE"""),-0.520861174260506)</f>
        <v>-0.52086117426050604</v>
      </c>
      <c r="AL87" s="3">
        <f ca="1">IFERROR(__xludf.DUMMYFUNCTION("""COMPUTED_VALUE"""),-0.501226168714704)</f>
        <v>-0.50122616871470405</v>
      </c>
      <c r="AM87" s="3">
        <f ca="1">IFERROR(__xludf.DUMMYFUNCTION("""COMPUTED_VALUE"""),-0.439302357596537)</f>
        <v>-0.43930235759653702</v>
      </c>
      <c r="AN87" s="3">
        <f ca="1">IFERROR(__xludf.DUMMYFUNCTION("""COMPUTED_VALUE"""),-0.48022726195137)</f>
        <v>-0.48022726195137</v>
      </c>
      <c r="AO87" s="3">
        <f ca="1">IFERROR(__xludf.DUMMYFUNCTION("""COMPUTED_VALUE"""),-0.532486540985784)</f>
        <v>-0.53248654098578396</v>
      </c>
      <c r="AP87" s="3">
        <f ca="1">IFERROR(__xludf.DUMMYFUNCTION("""COMPUTED_VALUE"""),-0.559652253949529)</f>
        <v>-0.559652253949529</v>
      </c>
      <c r="AQ87" s="3">
        <f ca="1">IFERROR(__xludf.DUMMYFUNCTION("""COMPUTED_VALUE"""),-0.543408778675943)</f>
        <v>-0.54340877867594295</v>
      </c>
      <c r="AR87" s="3">
        <f ca="1">IFERROR(__xludf.DUMMYFUNCTION("""COMPUTED_VALUE"""),-0.567818552016313)</f>
        <v>-0.56781855201631304</v>
      </c>
      <c r="AS87" s="3">
        <f ca="1">IFERROR(__xludf.DUMMYFUNCTION("""COMPUTED_VALUE"""),-0.50184522262659)</f>
        <v>-0.50184522262659004</v>
      </c>
      <c r="AT87" s="3">
        <f ca="1">IFERROR(__xludf.DUMMYFUNCTION("""COMPUTED_VALUE"""),-0.436939719743918)</f>
        <v>-0.43693971974391799</v>
      </c>
      <c r="AU87" s="3">
        <f ca="1">IFERROR(__xludf.DUMMYFUNCTION("""COMPUTED_VALUE"""),-0.486177009090802)</f>
        <v>-0.48617700909080203</v>
      </c>
      <c r="AV87" s="3">
        <f ca="1">IFERROR(__xludf.DUMMYFUNCTION("""COMPUTED_VALUE"""),-0.505646925671639)</f>
        <v>-0.50564692567163905</v>
      </c>
      <c r="AW87" s="3">
        <f ca="1">IFERROR(__xludf.DUMMYFUNCTION("""COMPUTED_VALUE"""),-0.510033521207294)</f>
        <v>-0.51003352120729395</v>
      </c>
      <c r="AX87" s="3">
        <f ca="1">IFERROR(__xludf.DUMMYFUNCTION("""COMPUTED_VALUE"""),-0.493314706409334)</f>
        <v>-0.493314706409334</v>
      </c>
      <c r="AY87" s="3">
        <f ca="1">IFERROR(__xludf.DUMMYFUNCTION("""COMPUTED_VALUE"""),-0.537886074971696)</f>
        <v>-0.53788607497169605</v>
      </c>
      <c r="AZ87" s="3">
        <f ca="1">IFERROR(__xludf.DUMMYFUNCTION("""COMPUTED_VALUE"""),-0.514499353599305)</f>
        <v>-0.51449935359930499</v>
      </c>
      <c r="BA87" s="3">
        <f ca="1">IFERROR(__xludf.DUMMYFUNCTION("""COMPUTED_VALUE"""),-0.434772038272099)</f>
        <v>-0.43477203827209898</v>
      </c>
      <c r="BB87" s="3">
        <f ca="1">IFERROR(__xludf.DUMMYFUNCTION("""COMPUTED_VALUE"""),-0.457841453141)</f>
        <v>-0.457841453141</v>
      </c>
      <c r="BC87" s="3">
        <f ca="1">IFERROR(__xludf.DUMMYFUNCTION("""COMPUTED_VALUE"""),-0.513159730815777)</f>
        <v>-0.51315973081577704</v>
      </c>
      <c r="BD87" s="3">
        <f ca="1">IFERROR(__xludf.DUMMYFUNCTION("""COMPUTED_VALUE"""),-0.539040453513673)</f>
        <v>-0.53904045351367302</v>
      </c>
      <c r="BE87" s="3">
        <f ca="1">IFERROR(__xludf.DUMMYFUNCTION("""COMPUTED_VALUE"""),-0.528713658042917)</f>
        <v>-0.52871365804291703</v>
      </c>
      <c r="BF87" s="3">
        <f ca="1">IFERROR(__xludf.DUMMYFUNCTION("""COMPUTED_VALUE"""),-0.510177348120187)</f>
        <v>-0.510177348120187</v>
      </c>
      <c r="BG87" s="3">
        <f ca="1">IFERROR(__xludf.DUMMYFUNCTION("""COMPUTED_VALUE"""),-0.49218422320714)</f>
        <v>-0.49218422320714</v>
      </c>
      <c r="BH87" s="3">
        <f ca="1">IFERROR(__xludf.DUMMYFUNCTION("""COMPUTED_VALUE"""),-0.511692787731025)</f>
        <v>-0.511692787731025</v>
      </c>
      <c r="BI87" s="3">
        <f ca="1">IFERROR(__xludf.DUMMYFUNCTION("""COMPUTED_VALUE"""),-0.530498764821466)</f>
        <v>-0.53049876482146596</v>
      </c>
      <c r="BJ87" s="3">
        <f ca="1">IFERROR(__xludf.DUMMYFUNCTION("""COMPUTED_VALUE"""),-0.553588042799225)</f>
        <v>-0.55358804279922502</v>
      </c>
      <c r="BK87" s="3">
        <f ca="1">IFERROR(__xludf.DUMMYFUNCTION("""COMPUTED_VALUE"""),-0.548851979411894)</f>
        <v>-0.54885197941189401</v>
      </c>
      <c r="BL87" s="3">
        <f ca="1">IFERROR(__xludf.DUMMYFUNCTION("""COMPUTED_VALUE"""),-0.554108901009368)</f>
        <v>-0.55410890100936805</v>
      </c>
      <c r="BM87" s="3">
        <f ca="1">IFERROR(__xludf.DUMMYFUNCTION("""COMPUTED_VALUE"""),-0.565583815213319)</f>
        <v>-0.56558381521331902</v>
      </c>
      <c r="BN87" s="3">
        <f ca="1">IFERROR(__xludf.DUMMYFUNCTION("""COMPUTED_VALUE"""),-0.550020633765952)</f>
        <v>-0.55002063376595201</v>
      </c>
      <c r="BO87" s="3">
        <f ca="1">IFERROR(__xludf.DUMMYFUNCTION("""COMPUTED_VALUE"""),-0.499475995870388)</f>
        <v>-0.49947599587038799</v>
      </c>
      <c r="BP87" s="3">
        <f ca="1">IFERROR(__xludf.DUMMYFUNCTION("""COMPUTED_VALUE"""),-0.463641380990548)</f>
        <v>-0.46364138099054802</v>
      </c>
      <c r="BQ87" s="3">
        <f ca="1">IFERROR(__xludf.DUMMYFUNCTION("""COMPUTED_VALUE"""),-0.549032217954897)</f>
        <v>-0.54903221795489698</v>
      </c>
      <c r="BR87" s="3">
        <f ca="1">IFERROR(__xludf.DUMMYFUNCTION("""COMPUTED_VALUE"""),-0.532213806329825)</f>
        <v>-0.53221380632982496</v>
      </c>
      <c r="BS87" s="3">
        <f ca="1">IFERROR(__xludf.DUMMYFUNCTION("""COMPUTED_VALUE"""),-0.555877551033699)</f>
        <v>-0.55587755103369896</v>
      </c>
      <c r="BT87" s="3">
        <f ca="1">IFERROR(__xludf.DUMMYFUNCTION("""COMPUTED_VALUE"""),-0.557233655580769)</f>
        <v>-0.55723365558076898</v>
      </c>
      <c r="BU87" s="3">
        <f ca="1">IFERROR(__xludf.DUMMYFUNCTION("""COMPUTED_VALUE"""),-0.5752156994589)</f>
        <v>-0.57521569945890005</v>
      </c>
      <c r="BV87" s="3">
        <f ca="1">IFERROR(__xludf.DUMMYFUNCTION("""COMPUTED_VALUE"""),-0.525886424056751)</f>
        <v>-0.52588642405675101</v>
      </c>
      <c r="BW87" s="3">
        <f ca="1">IFERROR(__xludf.DUMMYFUNCTION("""COMPUTED_VALUE"""),-0.553845507307593)</f>
        <v>-0.55384550730759297</v>
      </c>
      <c r="BX87" s="3">
        <f ca="1">IFERROR(__xludf.DUMMYFUNCTION("""COMPUTED_VALUE"""),-0.638215742286187)</f>
        <v>-0.63821574228618705</v>
      </c>
      <c r="BY87" s="3">
        <f ca="1">IFERROR(__xludf.DUMMYFUNCTION("""COMPUTED_VALUE"""),-0.618247971397263)</f>
        <v>-0.61824797139726295</v>
      </c>
      <c r="BZ87" s="3">
        <f ca="1">IFERROR(__xludf.DUMMYFUNCTION("""COMPUTED_VALUE"""),-0.601160013987867)</f>
        <v>-0.601160013987867</v>
      </c>
      <c r="CA87" s="3">
        <f ca="1">IFERROR(__xludf.DUMMYFUNCTION("""COMPUTED_VALUE"""),-0.581922490582489)</f>
        <v>-0.58192249058248902</v>
      </c>
      <c r="CB87" s="3">
        <f ca="1">IFERROR(__xludf.DUMMYFUNCTION("""COMPUTED_VALUE"""),-0.527445906159545)</f>
        <v>-0.52744590615954501</v>
      </c>
      <c r="CC87" s="3">
        <f ca="1">IFERROR(__xludf.DUMMYFUNCTION("""COMPUTED_VALUE"""),-0.48006056262468)</f>
        <v>-0.48006056262468</v>
      </c>
      <c r="CD87" s="3">
        <f ca="1">IFERROR(__xludf.DUMMYFUNCTION("""COMPUTED_VALUE"""),-0.527481103164065)</f>
        <v>-0.52748110316406505</v>
      </c>
      <c r="CE87" s="3">
        <f ca="1">IFERROR(__xludf.DUMMYFUNCTION("""COMPUTED_VALUE"""),-0.595737355023538)</f>
        <v>-0.59573735502353797</v>
      </c>
      <c r="CF87" s="3">
        <f ca="1">IFERROR(__xludf.DUMMYFUNCTION("""COMPUTED_VALUE"""),-0.614788193977597)</f>
        <v>-0.61478819397759699</v>
      </c>
      <c r="CG87" s="3">
        <f ca="1">IFERROR(__xludf.DUMMYFUNCTION("""COMPUTED_VALUE"""),-0.60311128277808)</f>
        <v>-0.60311128277808002</v>
      </c>
      <c r="CH87" s="3">
        <f ca="1">IFERROR(__xludf.DUMMYFUNCTION("""COMPUTED_VALUE"""),-0.562388587231609)</f>
        <v>-0.56238858723160901</v>
      </c>
      <c r="CI87" s="3">
        <f ca="1">IFERROR(__xludf.DUMMYFUNCTION("""COMPUTED_VALUE"""),-0.539478518517979)</f>
        <v>-0.53947851851797901</v>
      </c>
      <c r="CJ87" s="3">
        <f ca="1">IFERROR(__xludf.DUMMYFUNCTION("""COMPUTED_VALUE"""),-0.476749657554317)</f>
        <v>-0.47674965755431697</v>
      </c>
      <c r="CK87" s="3">
        <f ca="1">IFERROR(__xludf.DUMMYFUNCTION("""COMPUTED_VALUE"""),-0.527206405312143)</f>
        <v>-0.52720640531214302</v>
      </c>
      <c r="CL87" s="3">
        <f ca="1">IFERROR(__xludf.DUMMYFUNCTION("""COMPUTED_VALUE"""),-0.585641273631518)</f>
        <v>-0.58564127363151797</v>
      </c>
      <c r="CM87" s="3">
        <f ca="1">IFERROR(__xludf.DUMMYFUNCTION("""COMPUTED_VALUE"""),-0.578013814865322)</f>
        <v>-0.578013814865322</v>
      </c>
      <c r="CN87" s="3">
        <f ca="1">IFERROR(__xludf.DUMMYFUNCTION("""COMPUTED_VALUE"""),-0.563509900023478)</f>
        <v>-0.56350990002347801</v>
      </c>
      <c r="CO87" s="3">
        <f ca="1">IFERROR(__xludf.DUMMYFUNCTION("""COMPUTED_VALUE"""),-0.523669888495253)</f>
        <v>-0.52366988849525298</v>
      </c>
      <c r="CP87" s="3">
        <f ca="1">IFERROR(__xludf.DUMMYFUNCTION("""COMPUTED_VALUE"""),-0.535359453229434)</f>
        <v>-0.53535945322943401</v>
      </c>
      <c r="CQ87" s="3">
        <f ca="1">IFERROR(__xludf.DUMMYFUNCTION("""COMPUTED_VALUE"""),-0.496632188302785)</f>
        <v>-0.49663218830278499</v>
      </c>
      <c r="CR87" s="3">
        <f ca="1">IFERROR(__xludf.DUMMYFUNCTION("""COMPUTED_VALUE"""),-0.544671724541079)</f>
        <v>-0.54467172454107904</v>
      </c>
      <c r="CS87" s="3">
        <f ca="1">IFERROR(__xludf.DUMMYFUNCTION("""COMPUTED_VALUE"""),-0.583332756490237)</f>
        <v>-0.58333275649023697</v>
      </c>
      <c r="CT87" s="3">
        <f ca="1">IFERROR(__xludf.DUMMYFUNCTION("""COMPUTED_VALUE"""),-0.581795559063901)</f>
        <v>-0.58179555906390101</v>
      </c>
      <c r="CU87" s="3">
        <f ca="1">IFERROR(__xludf.DUMMYFUNCTION("""COMPUTED_VALUE"""),-0.554118412922449)</f>
        <v>-0.55411841292244901</v>
      </c>
      <c r="CV87" s="3">
        <f ca="1">IFERROR(__xludf.DUMMYFUNCTION("""COMPUTED_VALUE"""),-0.581843803943323)</f>
        <v>-0.58184380394332302</v>
      </c>
      <c r="CW87" s="3">
        <f ca="1">IFERROR(__xludf.DUMMYFUNCTION("""COMPUTED_VALUE"""),-0.588064218529021)</f>
        <v>-0.58806421852902102</v>
      </c>
      <c r="CX87" s="3">
        <f ca="1">IFERROR(__xludf.DUMMYFUNCTION("""COMPUTED_VALUE"""),-0.594510118825736)</f>
        <v>-0.59451011882573601</v>
      </c>
      <c r="CY87" s="3">
        <f ca="1">IFERROR(__xludf.DUMMYFUNCTION("""COMPUTED_VALUE"""),-0.611133516691051)</f>
        <v>-0.61113351669105098</v>
      </c>
      <c r="CZ87" s="3">
        <f ca="1">IFERROR(__xludf.DUMMYFUNCTION("""COMPUTED_VALUE"""),-0.690098572816062)</f>
        <v>-0.69009857281606202</v>
      </c>
      <c r="DA87" s="3">
        <f ca="1">IFERROR(__xludf.DUMMYFUNCTION("""COMPUTED_VALUE"""),-0.534833457574518)</f>
        <v>-0.53483345757451795</v>
      </c>
      <c r="DB87" s="3">
        <f ca="1">IFERROR(__xludf.DUMMYFUNCTION("""COMPUTED_VALUE"""),-0.415641344761418)</f>
        <v>-0.41564134476141801</v>
      </c>
      <c r="DC87" s="3">
        <f ca="1">IFERROR(__xludf.DUMMYFUNCTION("""COMPUTED_VALUE"""),-0.530339660568358)</f>
        <v>-0.53033966056835802</v>
      </c>
      <c r="DD87" s="3">
        <f ca="1">IFERROR(__xludf.DUMMYFUNCTION("""COMPUTED_VALUE"""),-0.538315085471012)</f>
        <v>-0.53831508547101203</v>
      </c>
      <c r="DE87" s="3">
        <f ca="1">IFERROR(__xludf.DUMMYFUNCTION("""COMPUTED_VALUE"""),-0.541836275252096)</f>
        <v>-0.54183627525209599</v>
      </c>
      <c r="DF87" s="3">
        <f ca="1">IFERROR(__xludf.DUMMYFUNCTION("""COMPUTED_VALUE"""),-0.598638151772615)</f>
        <v>-0.59863815177261503</v>
      </c>
      <c r="DG87" s="3">
        <f ca="1">IFERROR(__xludf.DUMMYFUNCTION("""COMPUTED_VALUE"""),-0.739186036499039)</f>
        <v>-0.73918603649903902</v>
      </c>
      <c r="DH87" s="3">
        <f ca="1">IFERROR(__xludf.DUMMYFUNCTION("""COMPUTED_VALUE"""),-0.516272156393072)</f>
        <v>-0.516272156393072</v>
      </c>
      <c r="DI87" s="3">
        <f ca="1">IFERROR(__xludf.DUMMYFUNCTION("""COMPUTED_VALUE"""),-0.345494106149721)</f>
        <v>-0.34549410614972098</v>
      </c>
      <c r="DJ87" s="3">
        <f ca="1">IFERROR(__xludf.DUMMYFUNCTION("""COMPUTED_VALUE"""),-0.489996958205731)</f>
        <v>-0.48999695820573103</v>
      </c>
      <c r="DK87" s="3">
        <f ca="1">IFERROR(__xludf.DUMMYFUNCTION("""COMPUTED_VALUE"""),-0.515592948677493)</f>
        <v>-0.51559294867749295</v>
      </c>
      <c r="DL87" s="3">
        <f ca="1">IFERROR(__xludf.DUMMYFUNCTION("""COMPUTED_VALUE"""),-0.503860211480717)</f>
        <v>-0.50386021148071702</v>
      </c>
      <c r="DM87" s="3">
        <f ca="1">IFERROR(__xludf.DUMMYFUNCTION("""COMPUTED_VALUE"""),-0.499448588958666)</f>
        <v>-0.49944858895866601</v>
      </c>
      <c r="DN87" s="3">
        <f ca="1">IFERROR(__xludf.DUMMYFUNCTION("""COMPUTED_VALUE"""),-0.555607581954678)</f>
        <v>-0.55560758195467796</v>
      </c>
      <c r="DO87" s="3">
        <f ca="1">IFERROR(__xludf.DUMMYFUNCTION("""COMPUTED_VALUE"""),-0.574171665010916)</f>
        <v>-0.57417166501091599</v>
      </c>
      <c r="DP87" s="3">
        <f ca="1">IFERROR(__xludf.DUMMYFUNCTION("""COMPUTED_VALUE"""),-0.48120188489643)</f>
        <v>-0.48120188489643001</v>
      </c>
      <c r="DQ87" s="3">
        <f ca="1">IFERROR(__xludf.DUMMYFUNCTION("""COMPUTED_VALUE"""),-0.570076126459079)</f>
        <v>-0.57007612645907901</v>
      </c>
      <c r="DR87" s="3">
        <f ca="1">IFERROR(__xludf.DUMMYFUNCTION("""COMPUTED_VALUE"""),-0.614025526571631)</f>
        <v>-0.61402552657163101</v>
      </c>
      <c r="DS87" s="3">
        <f ca="1">IFERROR(__xludf.DUMMYFUNCTION("""COMPUTED_VALUE"""),-0.542849069006403)</f>
        <v>-0.54284906900640295</v>
      </c>
      <c r="DT87" s="3">
        <f ca="1">IFERROR(__xludf.DUMMYFUNCTION("""COMPUTED_VALUE"""),-0.566256978577227)</f>
        <v>-0.56625697857722701</v>
      </c>
      <c r="DU87" s="3">
        <f ca="1">IFERROR(__xludf.DUMMYFUNCTION("""COMPUTED_VALUE"""),-0.616875631191979)</f>
        <v>-0.61687563119197897</v>
      </c>
      <c r="DV87" s="3">
        <f ca="1">IFERROR(__xludf.DUMMYFUNCTION("""COMPUTED_VALUE"""),-0.619980898028744)</f>
        <v>-0.61998089802874401</v>
      </c>
      <c r="DW87" s="3">
        <f ca="1">IFERROR(__xludf.DUMMYFUNCTION("""COMPUTED_VALUE"""),-0.634647771977226)</f>
        <v>-0.63464777197722599</v>
      </c>
      <c r="DX87" s="3">
        <f ca="1">IFERROR(__xludf.DUMMYFUNCTION("""COMPUTED_VALUE"""),-0.624152132682916)</f>
        <v>-0.62415213268291603</v>
      </c>
      <c r="DY87" s="3">
        <f ca="1">IFERROR(__xludf.DUMMYFUNCTION("""COMPUTED_VALUE"""),-0.59657684534671)</f>
        <v>-0.59657684534670996</v>
      </c>
      <c r="DZ87" s="3">
        <f ca="1">IFERROR(__xludf.DUMMYFUNCTION("""COMPUTED_VALUE"""),-0.517484378660944)</f>
        <v>-0.51748437866094399</v>
      </c>
      <c r="EA87" s="3">
        <f ca="1">IFERROR(__xludf.DUMMYFUNCTION("""COMPUTED_VALUE"""),-0.607295483986375)</f>
        <v>-0.60729548398637501</v>
      </c>
      <c r="EB87" s="3">
        <f ca="1">IFERROR(__xludf.DUMMYFUNCTION("""COMPUTED_VALUE"""),-0.597494936252319)</f>
        <v>-0.59749493625231898</v>
      </c>
      <c r="EC87" s="3">
        <f ca="1">IFERROR(__xludf.DUMMYFUNCTION("""COMPUTED_VALUE"""),-0.585855547216888)</f>
        <v>-0.58585554721688804</v>
      </c>
      <c r="ED87" s="3">
        <f ca="1">IFERROR(__xludf.DUMMYFUNCTION("""COMPUTED_VALUE"""),-0.638771147644036)</f>
        <v>-0.63877114764403597</v>
      </c>
      <c r="EE87" s="3">
        <f ca="1">IFERROR(__xludf.DUMMYFUNCTION("""COMPUTED_VALUE"""),-0.631028621751152)</f>
        <v>-0.63102862175115204</v>
      </c>
      <c r="EF87" s="3">
        <f ca="1">IFERROR(__xludf.DUMMYFUNCTION("""COMPUTED_VALUE"""),-0.646524446273002)</f>
        <v>-0.64652444627300198</v>
      </c>
      <c r="EG87" s="3">
        <f ca="1">IFERROR(__xludf.DUMMYFUNCTION("""COMPUTED_VALUE"""),-0.522158646289766)</f>
        <v>-0.52215864628976605</v>
      </c>
      <c r="EH87" s="3">
        <f ca="1">IFERROR(__xludf.DUMMYFUNCTION("""COMPUTED_VALUE"""),-0.572587042788545)</f>
        <v>-0.572587042788545</v>
      </c>
      <c r="EI87" s="3">
        <f ca="1">IFERROR(__xludf.DUMMYFUNCTION("""COMPUTED_VALUE"""),-0.637655981945346)</f>
        <v>-0.63765598194534601</v>
      </c>
      <c r="EJ87" s="3">
        <f ca="1">IFERROR(__xludf.DUMMYFUNCTION("""COMPUTED_VALUE"""),-0.702849098462069)</f>
        <v>-0.702849098462069</v>
      </c>
      <c r="EK87" s="3">
        <f ca="1">IFERROR(__xludf.DUMMYFUNCTION("""COMPUTED_VALUE"""),-0.622739863564942)</f>
        <v>-0.62273986356494204</v>
      </c>
      <c r="EL87" s="3">
        <f ca="1">IFERROR(__xludf.DUMMYFUNCTION("""COMPUTED_VALUE"""),-0.619629992625497)</f>
        <v>-0.61962999262549701</v>
      </c>
      <c r="EM87" s="3">
        <f ca="1">IFERROR(__xludf.DUMMYFUNCTION("""COMPUTED_VALUE"""),-0.588824047126225)</f>
        <v>-0.58882404712622505</v>
      </c>
      <c r="EN87" s="3">
        <f ca="1">IFERROR(__xludf.DUMMYFUNCTION("""COMPUTED_VALUE"""),-0.5236893123955)</f>
        <v>-0.52368931239549998</v>
      </c>
      <c r="EO87" s="3">
        <f ca="1">IFERROR(__xludf.DUMMYFUNCTION("""COMPUTED_VALUE"""),-0.539111424276594)</f>
        <v>-0.53911142427659398</v>
      </c>
      <c r="EP87" s="3">
        <f ca="1">IFERROR(__xludf.DUMMYFUNCTION("""COMPUTED_VALUE"""),-0.554151824396586)</f>
        <v>-0.55415182439658595</v>
      </c>
      <c r="EQ87" s="3">
        <f ca="1">IFERROR(__xludf.DUMMYFUNCTION("""COMPUTED_VALUE"""),-0.576676717950011)</f>
        <v>-0.57667671795001096</v>
      </c>
      <c r="ER87" s="3">
        <f ca="1">IFERROR(__xludf.DUMMYFUNCTION("""COMPUTED_VALUE"""),-0.626333258866381)</f>
        <v>-0.62633325886638103</v>
      </c>
      <c r="ES87" s="3">
        <f ca="1">IFERROR(__xludf.DUMMYFUNCTION("""COMPUTED_VALUE"""),-0.62041722931933)</f>
        <v>-0.62041722931932997</v>
      </c>
      <c r="ET87" s="3">
        <f ca="1">IFERROR(__xludf.DUMMYFUNCTION("""COMPUTED_VALUE"""),-0.586082119070479)</f>
        <v>-0.58608211907047902</v>
      </c>
      <c r="EU87" s="3">
        <f ca="1">IFERROR(__xludf.DUMMYFUNCTION("""COMPUTED_VALUE"""),-0.549748485710159)</f>
        <v>-0.549748485710159</v>
      </c>
      <c r="EV87" s="3">
        <f ca="1">IFERROR(__xludf.DUMMYFUNCTION("""COMPUTED_VALUE"""),-0.562038317338958)</f>
        <v>-0.56203831733895804</v>
      </c>
      <c r="EW87" s="3">
        <f ca="1">IFERROR(__xludf.DUMMYFUNCTION("""COMPUTED_VALUE"""),-0.6250641912311)</f>
        <v>-0.62506419123110002</v>
      </c>
      <c r="EX87" s="3">
        <f ca="1">IFERROR(__xludf.DUMMYFUNCTION("""COMPUTED_VALUE"""),-0.642952971520834)</f>
        <v>-0.64295297152083397</v>
      </c>
      <c r="EY87" s="3">
        <f ca="1">IFERROR(__xludf.DUMMYFUNCTION("""COMPUTED_VALUE"""),-0.64255306650334)</f>
        <v>-0.64255306650333999</v>
      </c>
      <c r="EZ87" s="3">
        <f ca="1">IFERROR(__xludf.DUMMYFUNCTION("""COMPUTED_VALUE"""),-0.549238374835308)</f>
        <v>-0.54923837483530802</v>
      </c>
      <c r="FA87" s="3">
        <f ca="1">IFERROR(__xludf.DUMMYFUNCTION("""COMPUTED_VALUE"""),-0.528960610088228)</f>
        <v>-0.52896061008822803</v>
      </c>
      <c r="FB87" s="3">
        <f ca="1">IFERROR(__xludf.DUMMYFUNCTION("""COMPUTED_VALUE"""),-0.519287021320403)</f>
        <v>-0.51928702132040305</v>
      </c>
      <c r="FC87" s="3">
        <f ca="1">IFERROR(__xludf.DUMMYFUNCTION("""COMPUTED_VALUE"""),-0.558676403030575)</f>
        <v>-0.55867640303057498</v>
      </c>
      <c r="FD87" s="3">
        <f ca="1">IFERROR(__xludf.DUMMYFUNCTION("""COMPUTED_VALUE"""),-0.598403755978223)</f>
        <v>-0.59840375597822304</v>
      </c>
      <c r="FE87" s="3">
        <f ca="1">IFERROR(__xludf.DUMMYFUNCTION("""COMPUTED_VALUE"""),-0.606409178701856)</f>
        <v>-0.60640917870185596</v>
      </c>
      <c r="FF87" s="3">
        <f ca="1">IFERROR(__xludf.DUMMYFUNCTION("""COMPUTED_VALUE"""),-0.623601151144612)</f>
        <v>-0.62360115114461201</v>
      </c>
      <c r="FG87" s="3">
        <f ca="1">IFERROR(__xludf.DUMMYFUNCTION("""COMPUTED_VALUE"""),-0.604078649607802)</f>
        <v>-0.604078649607802</v>
      </c>
      <c r="FH87" s="3">
        <f ca="1">IFERROR(__xludf.DUMMYFUNCTION("""COMPUTED_VALUE"""),-0.575888141101346)</f>
        <v>-0.57588814110134601</v>
      </c>
      <c r="FI87" s="3">
        <f ca="1">IFERROR(__xludf.DUMMYFUNCTION("""COMPUTED_VALUE"""),-0.540717453445816)</f>
        <v>-0.54071745344581601</v>
      </c>
      <c r="FJ87" s="3">
        <f ca="1">IFERROR(__xludf.DUMMYFUNCTION("""COMPUTED_VALUE"""),-0.576267704634715)</f>
        <v>-0.57626770463471499</v>
      </c>
      <c r="FK87" s="3">
        <f ca="1">IFERROR(__xludf.DUMMYFUNCTION("""COMPUTED_VALUE"""),-0.68621022841545)</f>
        <v>-0.68621022841544999</v>
      </c>
      <c r="FL87" s="3">
        <f ca="1">IFERROR(__xludf.DUMMYFUNCTION("""COMPUTED_VALUE"""),-0.670258866000543)</f>
        <v>-0.67025886600054296</v>
      </c>
      <c r="FM87" s="3">
        <f ca="1">IFERROR(__xludf.DUMMYFUNCTION("""COMPUTED_VALUE"""),-0.612659910214802)</f>
        <v>-0.61265991021480204</v>
      </c>
      <c r="FN87" s="3">
        <f ca="1">IFERROR(__xludf.DUMMYFUNCTION("""COMPUTED_VALUE"""),-0.59309456390459)</f>
        <v>-0.59309456390459003</v>
      </c>
      <c r="FO87" s="3">
        <f ca="1">IFERROR(__xludf.DUMMYFUNCTION("""COMPUTED_VALUE"""),-0.601864268573499)</f>
        <v>-0.60186426857349895</v>
      </c>
      <c r="FP87" s="3">
        <f ca="1">IFERROR(__xludf.DUMMYFUNCTION("""COMPUTED_VALUE"""),-0.502078667732501)</f>
        <v>-0.50207866773250098</v>
      </c>
      <c r="FQ87" s="3">
        <f ca="1">IFERROR(__xludf.DUMMYFUNCTION("""COMPUTED_VALUE"""),-0.57112326997226)</f>
        <v>-0.57112326997226004</v>
      </c>
      <c r="FR87" s="3">
        <f ca="1">IFERROR(__xludf.DUMMYFUNCTION("""COMPUTED_VALUE"""),-0.659578091721792)</f>
        <v>-0.65957809172179205</v>
      </c>
      <c r="FS87" s="3">
        <f ca="1">IFERROR(__xludf.DUMMYFUNCTION("""COMPUTED_VALUE"""),-0.623562547633581)</f>
        <v>-0.62356254763358099</v>
      </c>
      <c r="FT87" s="3">
        <f ca="1">IFERROR(__xludf.DUMMYFUNCTION("""COMPUTED_VALUE"""),-0.616594958122052)</f>
        <v>-0.61659495812205201</v>
      </c>
      <c r="FU87" s="3">
        <f ca="1">IFERROR(__xludf.DUMMYFUNCTION("""COMPUTED_VALUE"""),-0.599059727775455)</f>
        <v>-0.59905972777545502</v>
      </c>
      <c r="FV87" s="3">
        <f ca="1">IFERROR(__xludf.DUMMYFUNCTION("""COMPUTED_VALUE"""),-0.552506800315934)</f>
        <v>-0.55250680031593402</v>
      </c>
      <c r="FW87" s="3">
        <f ca="1">IFERROR(__xludf.DUMMYFUNCTION("""COMPUTED_VALUE"""),-0.494368511360561)</f>
        <v>-0.49436851136056098</v>
      </c>
      <c r="FX87" s="3">
        <f ca="1">IFERROR(__xludf.DUMMYFUNCTION("""COMPUTED_VALUE"""),-0.574946415426562)</f>
        <v>-0.574946415426562</v>
      </c>
      <c r="FY87" s="3">
        <f ca="1">IFERROR(__xludf.DUMMYFUNCTION("""COMPUTED_VALUE"""),-0.68743318359306)</f>
        <v>-0.68743318359306005</v>
      </c>
      <c r="FZ87" s="3">
        <f ca="1">IFERROR(__xludf.DUMMYFUNCTION("""COMPUTED_VALUE"""),-0.604439743773983)</f>
        <v>-0.60443974377398302</v>
      </c>
      <c r="GA87" s="3">
        <f ca="1">IFERROR(__xludf.DUMMYFUNCTION("""COMPUTED_VALUE"""),-0.570650543417342)</f>
        <v>-0.570650543417342</v>
      </c>
      <c r="GB87" s="3">
        <f ca="1">IFERROR(__xludf.DUMMYFUNCTION("""COMPUTED_VALUE"""),-0.616722617325571)</f>
        <v>-0.61672261732557099</v>
      </c>
      <c r="GC87" s="3">
        <f ca="1">IFERROR(__xludf.DUMMYFUNCTION("""COMPUTED_VALUE"""),-0.610773646313775)</f>
        <v>-0.61077364631377495</v>
      </c>
      <c r="GD87" s="3">
        <f ca="1">IFERROR(__xludf.DUMMYFUNCTION("""COMPUTED_VALUE"""),-0.50333134657082)</f>
        <v>-0.50333134657082002</v>
      </c>
      <c r="GE87" s="3">
        <f ca="1">IFERROR(__xludf.DUMMYFUNCTION("""COMPUTED_VALUE"""),-0.523277926624183)</f>
        <v>-0.52327792662418304</v>
      </c>
      <c r="GF87" s="3">
        <f ca="1">IFERROR(__xludf.DUMMYFUNCTION("""COMPUTED_VALUE"""),-0.59918397989787)</f>
        <v>-0.59918397989786998</v>
      </c>
      <c r="GG87" s="3">
        <f ca="1">IFERROR(__xludf.DUMMYFUNCTION("""COMPUTED_VALUE"""),-0.5864759131443)</f>
        <v>-0.58647591314430003</v>
      </c>
      <c r="GH87" s="3">
        <f ca="1">IFERROR(__xludf.DUMMYFUNCTION("""COMPUTED_VALUE"""),-0.573386625352949)</f>
        <v>-0.57338662535294904</v>
      </c>
      <c r="GI87" s="3">
        <f ca="1">IFERROR(__xludf.DUMMYFUNCTION("""COMPUTED_VALUE"""),-0.569590161347149)</f>
        <v>-0.56959016134714902</v>
      </c>
      <c r="GJ87" s="3">
        <f ca="1">IFERROR(__xludf.DUMMYFUNCTION("""COMPUTED_VALUE"""),-0.541466442836614)</f>
        <v>-0.54146644283661405</v>
      </c>
      <c r="GK87" s="3">
        <f ca="1">IFERROR(__xludf.DUMMYFUNCTION("""COMPUTED_VALUE"""),-0.534438691215232)</f>
        <v>-0.53443869121523202</v>
      </c>
      <c r="GL87" s="3">
        <f ca="1">IFERROR(__xludf.DUMMYFUNCTION("""COMPUTED_VALUE"""),-0.539845007948225)</f>
        <v>-0.53984500794822499</v>
      </c>
      <c r="GM87" s="3">
        <f ca="1">IFERROR(__xludf.DUMMYFUNCTION("""COMPUTED_VALUE"""),-0.592789209935553)</f>
        <v>-0.59278920993555295</v>
      </c>
      <c r="GN87" s="3">
        <f ca="1">IFERROR(__xludf.DUMMYFUNCTION("""COMPUTED_VALUE"""),-0.582251402239983)</f>
        <v>-0.58225140223998295</v>
      </c>
      <c r="GO87" s="3">
        <f ca="1">IFERROR(__xludf.DUMMYFUNCTION("""COMPUTED_VALUE"""),-0.579848299024029)</f>
        <v>-0.57984829902402901</v>
      </c>
      <c r="GP87" s="3">
        <f ca="1">IFERROR(__xludf.DUMMYFUNCTION("""COMPUTED_VALUE"""),-0.5952751993563)</f>
        <v>-0.59527519935630002</v>
      </c>
      <c r="GQ87" s="3">
        <f ca="1">IFERROR(__xludf.DUMMYFUNCTION("""COMPUTED_VALUE"""),-0.5752431579159)</f>
        <v>-0.57524315791589997</v>
      </c>
      <c r="GR87" s="3">
        <f ca="1">IFERROR(__xludf.DUMMYFUNCTION("""COMPUTED_VALUE"""),-0.517792402292718)</f>
        <v>-0.51779240229271795</v>
      </c>
      <c r="GS87" s="3">
        <f ca="1">IFERROR(__xludf.DUMMYFUNCTION("""COMPUTED_VALUE"""),-0.554075328492848)</f>
        <v>-0.55407532849284802</v>
      </c>
      <c r="GT87" s="3">
        <f ca="1">IFERROR(__xludf.DUMMYFUNCTION("""COMPUTED_VALUE"""),-0.601158227808589)</f>
        <v>-0.60115822780858896</v>
      </c>
      <c r="GU87" s="3">
        <f ca="1">IFERROR(__xludf.DUMMYFUNCTION("""COMPUTED_VALUE"""),-0.617104274077965)</f>
        <v>-0.61710427407796498</v>
      </c>
      <c r="GV87" s="3">
        <f ca="1">IFERROR(__xludf.DUMMYFUNCTION("""COMPUTED_VALUE"""),-0.610938212278055)</f>
        <v>-0.610938212278055</v>
      </c>
      <c r="GW87" s="3">
        <f ca="1">IFERROR(__xludf.DUMMYFUNCTION("""COMPUTED_VALUE"""),-0.585247324442152)</f>
        <v>-0.58524732444215199</v>
      </c>
      <c r="GX87" s="3">
        <f ca="1">IFERROR(__xludf.DUMMYFUNCTION("""COMPUTED_VALUE"""),-0.55533386080958)</f>
        <v>-0.55533386080958003</v>
      </c>
      <c r="GY87" s="3">
        <f ca="1">IFERROR(__xludf.DUMMYFUNCTION("""COMPUTED_VALUE"""),-0.485005932441925)</f>
        <v>-0.48500593244192503</v>
      </c>
      <c r="GZ87" s="3">
        <f ca="1">IFERROR(__xludf.DUMMYFUNCTION("""COMPUTED_VALUE"""),-0.537051418800188)</f>
        <v>-0.53705141880018803</v>
      </c>
      <c r="HA87" s="3">
        <f ca="1">IFERROR(__xludf.DUMMYFUNCTION("""COMPUTED_VALUE"""),-0.602089685154655)</f>
        <v>-0.602089685154655</v>
      </c>
      <c r="HB87" s="3">
        <f ca="1">IFERROR(__xludf.DUMMYFUNCTION("""COMPUTED_VALUE"""),-0.626340809599859)</f>
        <v>-0.62634080959985905</v>
      </c>
      <c r="HC87" s="3">
        <f ca="1">IFERROR(__xludf.DUMMYFUNCTION("""COMPUTED_VALUE"""),-0.629343694665533)</f>
        <v>-0.62934369466553297</v>
      </c>
      <c r="HD87" s="3">
        <f ca="1">IFERROR(__xludf.DUMMYFUNCTION("""COMPUTED_VALUE"""),-0.620355700317612)</f>
        <v>-0.620355700317612</v>
      </c>
      <c r="HE87" s="3">
        <f ca="1">IFERROR(__xludf.DUMMYFUNCTION("""COMPUTED_VALUE"""),-0.600344432662432)</f>
        <v>-0.60034443266243198</v>
      </c>
      <c r="HF87" s="3">
        <f ca="1">IFERROR(__xludf.DUMMYFUNCTION("""COMPUTED_VALUE"""),-0.526946961013829)</f>
        <v>-0.52694696101382899</v>
      </c>
      <c r="HG87" s="3">
        <f ca="1">IFERROR(__xludf.DUMMYFUNCTION("""COMPUTED_VALUE"""),-0.525668582301917)</f>
        <v>-0.52566858230191704</v>
      </c>
      <c r="HH87" s="3">
        <f ca="1">IFERROR(__xludf.DUMMYFUNCTION("""COMPUTED_VALUE"""),-0.591931872199744)</f>
        <v>-0.59193187219974397</v>
      </c>
      <c r="HI87" s="3">
        <f ca="1">IFERROR(__xludf.DUMMYFUNCTION("""COMPUTED_VALUE"""),-0.627999965477585)</f>
        <v>-0.62799996547758496</v>
      </c>
      <c r="HJ87" s="3">
        <f ca="1">IFERROR(__xludf.DUMMYFUNCTION("""COMPUTED_VALUE"""),-0.584203176387269)</f>
        <v>-0.58420317638726904</v>
      </c>
      <c r="HK87" s="3">
        <f ca="1">IFERROR(__xludf.DUMMYFUNCTION("""COMPUTED_VALUE"""),-0.524854929087339)</f>
        <v>-0.52485492908733899</v>
      </c>
      <c r="HL87" s="3">
        <f ca="1">IFERROR(__xludf.DUMMYFUNCTION("""COMPUTED_VALUE"""),-0.385051677962877)</f>
        <v>-0.38505167796287698</v>
      </c>
      <c r="HM87" s="3">
        <f ca="1">IFERROR(__xludf.DUMMYFUNCTION("""COMPUTED_VALUE"""),-0.48315451576888)</f>
        <v>-0.48315451576888002</v>
      </c>
      <c r="HN87" s="3">
        <f ca="1">IFERROR(__xludf.DUMMYFUNCTION("""COMPUTED_VALUE"""),-0.526555751121129)</f>
        <v>-0.52655575112112896</v>
      </c>
      <c r="HO87" s="3">
        <f ca="1">IFERROR(__xludf.DUMMYFUNCTION("""COMPUTED_VALUE"""),-0.573271851785668)</f>
        <v>-0.57327185178566797</v>
      </c>
      <c r="HP87" s="3">
        <f ca="1">IFERROR(__xludf.DUMMYFUNCTION("""COMPUTED_VALUE"""),-0.606453068311277)</f>
        <v>-0.60645306831127699</v>
      </c>
      <c r="HQ87" s="3">
        <f ca="1">IFERROR(__xludf.DUMMYFUNCTION("""COMPUTED_VALUE"""),-0.618840951832631)</f>
        <v>-0.61884095183263099</v>
      </c>
      <c r="HR87" s="3">
        <f ca="1">IFERROR(__xludf.DUMMYFUNCTION("""COMPUTED_VALUE"""),-0.604278390634285)</f>
        <v>-0.60427839063428501</v>
      </c>
      <c r="HS87" s="3">
        <f ca="1">IFERROR(__xludf.DUMMYFUNCTION("""COMPUTED_VALUE"""),-0.542284326983096)</f>
        <v>-0.54228432698309603</v>
      </c>
      <c r="HT87" s="3">
        <f ca="1">IFERROR(__xludf.DUMMYFUNCTION("""COMPUTED_VALUE"""),-0.466457248552084)</f>
        <v>-0.46645724855208398</v>
      </c>
      <c r="HU87" s="3">
        <f ca="1">IFERROR(__xludf.DUMMYFUNCTION("""COMPUTED_VALUE"""),-0.54827217566344)</f>
        <v>-0.54827217566344</v>
      </c>
      <c r="HV87" s="3">
        <f ca="1">IFERROR(__xludf.DUMMYFUNCTION("""COMPUTED_VALUE"""),-0.509452651422843)</f>
        <v>-0.50945265142284302</v>
      </c>
      <c r="HW87" s="3">
        <f ca="1">IFERROR(__xludf.DUMMYFUNCTION("""COMPUTED_VALUE"""),-0.547879649484407)</f>
        <v>-0.54787964948440704</v>
      </c>
      <c r="HX87" s="3">
        <f ca="1">IFERROR(__xludf.DUMMYFUNCTION("""COMPUTED_VALUE"""),-0.526237803021122)</f>
        <v>-0.526237803021122</v>
      </c>
      <c r="HY87" s="3">
        <f ca="1">IFERROR(__xludf.DUMMYFUNCTION("""COMPUTED_VALUE"""),-0.505886933486374)</f>
        <v>-0.50588693348637404</v>
      </c>
      <c r="HZ87" s="3">
        <f ca="1">IFERROR(__xludf.DUMMYFUNCTION("""COMPUTED_VALUE"""),-0.4571016034762)</f>
        <v>-0.45710160347619999</v>
      </c>
      <c r="IA87" s="3">
        <f ca="1">IFERROR(__xludf.DUMMYFUNCTION("""COMPUTED_VALUE"""),-0.467764169785888)</f>
        <v>-0.46776416978588797</v>
      </c>
      <c r="IB87" s="3">
        <f ca="1">IFERROR(__xludf.DUMMYFUNCTION("""COMPUTED_VALUE"""),-0.461893668252706)</f>
        <v>-0.461893668252706</v>
      </c>
      <c r="IC87" s="3">
        <f ca="1">IFERROR(__xludf.DUMMYFUNCTION("""COMPUTED_VALUE"""),-0.466571555384846)</f>
        <v>-0.46657155538484602</v>
      </c>
      <c r="ID87" s="3">
        <f ca="1">IFERROR(__xludf.DUMMYFUNCTION("""COMPUTED_VALUE"""),-0.49211622404754)</f>
        <v>-0.49211622404754002</v>
      </c>
      <c r="IE87" s="3">
        <f ca="1">IFERROR(__xludf.DUMMYFUNCTION("""COMPUTED_VALUE"""),-0.515567681298661)</f>
        <v>-0.51556768129866104</v>
      </c>
      <c r="IF87" s="3">
        <f ca="1">IFERROR(__xludf.DUMMYFUNCTION("""COMPUTED_VALUE"""),-0.477286106343137)</f>
        <v>-0.47728610634313701</v>
      </c>
      <c r="IG87" s="3">
        <f ca="1">IFERROR(__xludf.DUMMYFUNCTION("""COMPUTED_VALUE"""),-0.496843227575894)</f>
        <v>-0.496843227575894</v>
      </c>
      <c r="IH87" s="3">
        <f ca="1">IFERROR(__xludf.DUMMYFUNCTION("""COMPUTED_VALUE"""),-0.546594410727815)</f>
        <v>-0.54659441072781501</v>
      </c>
      <c r="II87" s="3">
        <f ca="1">IFERROR(__xludf.DUMMYFUNCTION("""COMPUTED_VALUE"""),-0.473331175172347)</f>
        <v>-0.47333117517234702</v>
      </c>
      <c r="IJ87" s="3">
        <f ca="1">IFERROR(__xludf.DUMMYFUNCTION("""COMPUTED_VALUE"""),-0.475865582185635)</f>
        <v>-0.47586558218563502</v>
      </c>
      <c r="IK87" s="3">
        <f ca="1">IFERROR(__xludf.DUMMYFUNCTION("""COMPUTED_VALUE"""),-0.542624360419826)</f>
        <v>-0.54262436041982598</v>
      </c>
      <c r="IL87" s="3">
        <f ca="1">IFERROR(__xludf.DUMMYFUNCTION("""COMPUTED_VALUE"""),-0.511867808126026)</f>
        <v>-0.51186780812602595</v>
      </c>
      <c r="IM87" s="3">
        <f ca="1">IFERROR(__xludf.DUMMYFUNCTION("""COMPUTED_VALUE"""),-0.489518650922578)</f>
        <v>-0.48951865092257801</v>
      </c>
      <c r="IN87" s="3">
        <f ca="1">IFERROR(__xludf.DUMMYFUNCTION("""COMPUTED_VALUE"""),-0.471997313696317)</f>
        <v>-0.47199731369631698</v>
      </c>
      <c r="IO87" s="3">
        <f ca="1">IFERROR(__xludf.DUMMYFUNCTION("""COMPUTED_VALUE"""),-0.468026839438212)</f>
        <v>-0.46802683943821199</v>
      </c>
      <c r="IP87" s="3">
        <f ca="1">IFERROR(__xludf.DUMMYFUNCTION("""COMPUTED_VALUE"""),-0.502949259518977)</f>
        <v>-0.50294925951897695</v>
      </c>
      <c r="IQ87" s="3">
        <f ca="1">IFERROR(__xludf.DUMMYFUNCTION("""COMPUTED_VALUE"""),-0.506366472804929)</f>
        <v>-0.50636647280492897</v>
      </c>
      <c r="IR87" s="3">
        <f ca="1">IFERROR(__xludf.DUMMYFUNCTION("""COMPUTED_VALUE"""),-0.494306157463613)</f>
        <v>-0.49430615746361301</v>
      </c>
      <c r="IS87" s="3">
        <f ca="1">IFERROR(__xludf.DUMMYFUNCTION("""COMPUTED_VALUE"""),-0.440869426735787)</f>
        <v>-0.440869426735787</v>
      </c>
      <c r="IT87" s="3">
        <f ca="1">IFERROR(__xludf.DUMMYFUNCTION("""COMPUTED_VALUE"""),-0.523718374238991)</f>
        <v>-0.52371837423899104</v>
      </c>
      <c r="IU87" s="3">
        <f ca="1">IFERROR(__xludf.DUMMYFUNCTION("""COMPUTED_VALUE"""),-0.506002237056292)</f>
        <v>-0.50600223705629199</v>
      </c>
      <c r="IV87" s="3">
        <f ca="1">IFERROR(__xludf.DUMMYFUNCTION("""COMPUTED_VALUE"""),-0.522962992660411)</f>
        <v>-0.52296299266041102</v>
      </c>
      <c r="IW87" s="3">
        <f ca="1">IFERROR(__xludf.DUMMYFUNCTION("""COMPUTED_VALUE"""),-0.500656454411628)</f>
        <v>-0.50065645441162798</v>
      </c>
      <c r="IX87" s="3">
        <f ca="1">IFERROR(__xludf.DUMMYFUNCTION("""COMPUTED_VALUE"""),-0.558929224928588)</f>
        <v>-0.55892922492858799</v>
      </c>
      <c r="IY87" s="3">
        <f ca="1">IFERROR(__xludf.DUMMYFUNCTION("""COMPUTED_VALUE"""),-0.546571440175369)</f>
        <v>-0.54657144017536896</v>
      </c>
      <c r="IZ87" s="3">
        <f ca="1">IFERROR(__xludf.DUMMYFUNCTION("""COMPUTED_VALUE"""),-0.534808530127665)</f>
        <v>-0.53480853012766505</v>
      </c>
      <c r="JA87" s="3">
        <f ca="1">IFERROR(__xludf.DUMMYFUNCTION("""COMPUTED_VALUE"""),-0.555378682845356)</f>
        <v>-0.55537868284535596</v>
      </c>
      <c r="JB87" s="3">
        <f ca="1">IFERROR(__xludf.DUMMYFUNCTION("""COMPUTED_VALUE"""),-0.526959461517563)</f>
        <v>-0.52695946151756301</v>
      </c>
      <c r="JC87" s="3">
        <f ca="1">IFERROR(__xludf.DUMMYFUNCTION("""COMPUTED_VALUE"""),-0.489449989149069)</f>
        <v>-0.48944998914906901</v>
      </c>
      <c r="JD87" s="3">
        <f ca="1">IFERROR(__xludf.DUMMYFUNCTION("""COMPUTED_VALUE"""),-0.508498850107765)</f>
        <v>-0.50849885010776497</v>
      </c>
      <c r="JE87" s="3">
        <f ca="1">IFERROR(__xludf.DUMMYFUNCTION("""COMPUTED_VALUE"""),-0.59314890289644)</f>
        <v>-0.59314890289643996</v>
      </c>
      <c r="JF87" s="3">
        <f ca="1">IFERROR(__xludf.DUMMYFUNCTION("""COMPUTED_VALUE"""),-0.572416996724834)</f>
        <v>-0.57241699672483404</v>
      </c>
      <c r="JG87" s="3">
        <f ca="1">IFERROR(__xludf.DUMMYFUNCTION("""COMPUTED_VALUE"""),-0.570279274291759)</f>
        <v>-0.57027927429175895</v>
      </c>
      <c r="JH87" s="3">
        <f ca="1">IFERROR(__xludf.DUMMYFUNCTION("""COMPUTED_VALUE"""),-0.55751669232007)</f>
        <v>-0.55751669232006995</v>
      </c>
      <c r="JI87" s="3">
        <f ca="1">IFERROR(__xludf.DUMMYFUNCTION("""COMPUTED_VALUE"""),-0.54278909912972)</f>
        <v>-0.54278909912971995</v>
      </c>
      <c r="JJ87" s="3">
        <f ca="1">IFERROR(__xludf.DUMMYFUNCTION("""COMPUTED_VALUE"""),-0.498549805504628)</f>
        <v>-0.49854980550462802</v>
      </c>
      <c r="JK87" s="3">
        <f ca="1">IFERROR(__xludf.DUMMYFUNCTION("""COMPUTED_VALUE"""),-0.536851888446155)</f>
        <v>-0.53685188844615495</v>
      </c>
      <c r="JL87" s="3">
        <f ca="1">IFERROR(__xludf.DUMMYFUNCTION("""COMPUTED_VALUE"""),-0.581341512608013)</f>
        <v>-0.58134151260801303</v>
      </c>
      <c r="JM87" s="3">
        <f ca="1">IFERROR(__xludf.DUMMYFUNCTION("""COMPUTED_VALUE"""),-0.563336684500397)</f>
        <v>-0.56333668450039698</v>
      </c>
      <c r="JN87" s="3">
        <f ca="1">IFERROR(__xludf.DUMMYFUNCTION("""COMPUTED_VALUE"""),-0.578385073940684)</f>
        <v>-0.57838507394068395</v>
      </c>
      <c r="JO87" s="3">
        <f ca="1">IFERROR(__xludf.DUMMYFUNCTION("""COMPUTED_VALUE"""),-0.557623866815666)</f>
        <v>-0.557623866815666</v>
      </c>
      <c r="JP87" s="3">
        <f ca="1">IFERROR(__xludf.DUMMYFUNCTION("""COMPUTED_VALUE"""),-0.541153311936438)</f>
        <v>-0.54115331193643801</v>
      </c>
      <c r="JQ87" s="3">
        <f ca="1">IFERROR(__xludf.DUMMYFUNCTION("""COMPUTED_VALUE"""),-0.512725238151117)</f>
        <v>-0.51272523815111704</v>
      </c>
      <c r="JR87" s="3">
        <f ca="1">IFERROR(__xludf.DUMMYFUNCTION("""COMPUTED_VALUE"""),-0.597478845844134)</f>
        <v>-0.59747884584413402</v>
      </c>
      <c r="JS87" s="3">
        <f ca="1">IFERROR(__xludf.DUMMYFUNCTION("""COMPUTED_VALUE"""),-0.613419114207485)</f>
        <v>-0.61341911420748496</v>
      </c>
      <c r="JT87" s="3">
        <f ca="1">IFERROR(__xludf.DUMMYFUNCTION("""COMPUTED_VALUE"""),-0.529876608691047)</f>
        <v>-0.52987660869104702</v>
      </c>
      <c r="JU87" s="3">
        <f ca="1">IFERROR(__xludf.DUMMYFUNCTION("""COMPUTED_VALUE"""),-0.603374340807378)</f>
        <v>-0.60337434080737795</v>
      </c>
      <c r="JV87" s="3">
        <f ca="1">IFERROR(__xludf.DUMMYFUNCTION("""COMPUTED_VALUE"""),-0.612153218702661)</f>
        <v>-0.61215321870266104</v>
      </c>
      <c r="JW87" s="3">
        <f ca="1">IFERROR(__xludf.DUMMYFUNCTION("""COMPUTED_VALUE"""),-0.574342893094896)</f>
        <v>-0.57434289309489595</v>
      </c>
      <c r="JX87" s="3">
        <f ca="1">IFERROR(__xludf.DUMMYFUNCTION("""COMPUTED_VALUE"""),-0.531094063512058)</f>
        <v>-0.53109406351205801</v>
      </c>
      <c r="JY87" s="3">
        <f ca="1">IFERROR(__xludf.DUMMYFUNCTION("""COMPUTED_VALUE"""),-0.584255872040978)</f>
        <v>-0.58425587204097795</v>
      </c>
      <c r="JZ87" s="3">
        <f ca="1">IFERROR(__xludf.DUMMYFUNCTION("""COMPUTED_VALUE"""),-0.474927137550499)</f>
        <v>-0.47492713755049898</v>
      </c>
      <c r="KA87" s="3">
        <f ca="1">IFERROR(__xludf.DUMMYFUNCTION("""COMPUTED_VALUE"""),-0.528988874549323)</f>
        <v>-0.52898887454932297</v>
      </c>
      <c r="KB87" s="3">
        <f ca="1">IFERROR(__xludf.DUMMYFUNCTION("""COMPUTED_VALUE"""),-0.619770458423448)</f>
        <v>-0.61977045842344802</v>
      </c>
      <c r="KC87" s="3">
        <f ca="1">IFERROR(__xludf.DUMMYFUNCTION("""COMPUTED_VALUE"""),-0.587771047256441)</f>
        <v>-0.58777104725644103</v>
      </c>
      <c r="KD87" s="3">
        <f ca="1">IFERROR(__xludf.DUMMYFUNCTION("""COMPUTED_VALUE"""),-0.561365292804969)</f>
        <v>-0.56136529280496905</v>
      </c>
      <c r="KE87" s="3">
        <f ca="1">IFERROR(__xludf.DUMMYFUNCTION("""COMPUTED_VALUE"""),-0.549012113635781)</f>
        <v>-0.54901211363578095</v>
      </c>
      <c r="KF87" s="3">
        <f ca="1">IFERROR(__xludf.DUMMYFUNCTION("""COMPUTED_VALUE"""),-0.566635200474146)</f>
        <v>-0.56663520047414595</v>
      </c>
      <c r="KG87" s="3">
        <f ca="1">IFERROR(__xludf.DUMMYFUNCTION("""COMPUTED_VALUE"""),-0.525456825664947)</f>
        <v>-0.525456825664947</v>
      </c>
      <c r="KH87" s="3">
        <f ca="1">IFERROR(__xludf.DUMMYFUNCTION("""COMPUTED_VALUE"""),-0.531983309416602)</f>
        <v>-0.53198330941660199</v>
      </c>
      <c r="KI87" s="3">
        <f ca="1">IFERROR(__xludf.DUMMYFUNCTION("""COMPUTED_VALUE"""),-0.57625961680485)</f>
        <v>-0.57625961680485005</v>
      </c>
      <c r="KJ87" s="3">
        <f ca="1">IFERROR(__xludf.DUMMYFUNCTION("""COMPUTED_VALUE"""),-0.55173050988042)</f>
        <v>-0.55173050988042005</v>
      </c>
      <c r="KK87" s="3">
        <f ca="1">IFERROR(__xludf.DUMMYFUNCTION("""COMPUTED_VALUE"""),-0.557599141771632)</f>
        <v>-0.55759914177163195</v>
      </c>
      <c r="KL87" s="3">
        <f ca="1">IFERROR(__xludf.DUMMYFUNCTION("""COMPUTED_VALUE"""),-0.578506690183664)</f>
        <v>-0.57850669018366396</v>
      </c>
      <c r="KM87" s="3">
        <f ca="1">IFERROR(__xludf.DUMMYFUNCTION("""COMPUTED_VALUE"""),-0.599391478634139)</f>
        <v>-0.599391478634139</v>
      </c>
      <c r="KN87" s="3">
        <f ca="1">IFERROR(__xludf.DUMMYFUNCTION("""COMPUTED_VALUE"""),-0.595986081850782)</f>
        <v>-0.59598608185078195</v>
      </c>
      <c r="KO87" s="3">
        <f ca="1">IFERROR(__xludf.DUMMYFUNCTION("""COMPUTED_VALUE"""),-0.608374723129419)</f>
        <v>-0.60837472312941898</v>
      </c>
      <c r="KP87" s="3">
        <f ca="1">IFERROR(__xludf.DUMMYFUNCTION("""COMPUTED_VALUE"""),-0.624980243648374)</f>
        <v>-0.62498024364837401</v>
      </c>
      <c r="KQ87" s="3">
        <f ca="1">IFERROR(__xludf.DUMMYFUNCTION("""COMPUTED_VALUE"""),-0.583201905269157)</f>
        <v>-0.58320190526915705</v>
      </c>
      <c r="KR87" s="3">
        <f ca="1">IFERROR(__xludf.DUMMYFUNCTION("""COMPUTED_VALUE"""),-0.55843653261196)</f>
        <v>-0.55843653261196002</v>
      </c>
      <c r="KS87" s="3">
        <f ca="1">IFERROR(__xludf.DUMMYFUNCTION("""COMPUTED_VALUE"""),-0.564511173348852)</f>
        <v>-0.56451117334885204</v>
      </c>
      <c r="KT87" s="3">
        <f ca="1">IFERROR(__xludf.DUMMYFUNCTION("""COMPUTED_VALUE"""),-0.61311260834997)</f>
        <v>-0.61311260834996995</v>
      </c>
      <c r="KU87" s="3">
        <f ca="1">IFERROR(__xludf.DUMMYFUNCTION("""COMPUTED_VALUE"""),-0.611453913919435)</f>
        <v>-0.61145391391943504</v>
      </c>
      <c r="KV87" s="3">
        <f ca="1">IFERROR(__xludf.DUMMYFUNCTION("""COMPUTED_VALUE"""),-0.629480351276661)</f>
        <v>-0.62948035127666102</v>
      </c>
      <c r="KW87" s="3">
        <f ca="1">IFERROR(__xludf.DUMMYFUNCTION("""COMPUTED_VALUE"""),-0.579520178768035)</f>
        <v>-0.57952017876803497</v>
      </c>
      <c r="KX87" s="3">
        <f ca="1">IFERROR(__xludf.DUMMYFUNCTION("""COMPUTED_VALUE"""),-0.554618130812502)</f>
        <v>-0.554618130812502</v>
      </c>
      <c r="KY87" s="3">
        <f ca="1">IFERROR(__xludf.DUMMYFUNCTION("""COMPUTED_VALUE"""),-0.57616307354227)</f>
        <v>-0.57616307354227003</v>
      </c>
      <c r="KZ87" s="3">
        <f ca="1">IFERROR(__xludf.DUMMYFUNCTION("""COMPUTED_VALUE"""),-0.597383671695849)</f>
        <v>-0.59738367169584905</v>
      </c>
      <c r="LA87" s="3">
        <f ca="1">IFERROR(__xludf.DUMMYFUNCTION("""COMPUTED_VALUE"""),-0.665089063075846)</f>
        <v>-0.66508906307584603</v>
      </c>
      <c r="LB87" s="3">
        <f ca="1">IFERROR(__xludf.DUMMYFUNCTION("""COMPUTED_VALUE"""),-0.670961716947107)</f>
        <v>-0.67096171694710705</v>
      </c>
      <c r="LC87" s="3">
        <f ca="1">IFERROR(__xludf.DUMMYFUNCTION("""COMPUTED_VALUE"""),-0.620264019271894)</f>
        <v>-0.62026401927189401</v>
      </c>
      <c r="LD87" s="3">
        <f ca="1">IFERROR(__xludf.DUMMYFUNCTION("""COMPUTED_VALUE"""),-0.636955401814564)</f>
        <v>-0.636955401814564</v>
      </c>
      <c r="LE87" s="3">
        <f ca="1">IFERROR(__xludf.DUMMYFUNCTION("""COMPUTED_VALUE"""),-0.62274886149608)</f>
        <v>-0.62274886149608</v>
      </c>
      <c r="LF87" s="3">
        <f ca="1">IFERROR(__xludf.DUMMYFUNCTION("""COMPUTED_VALUE"""),-0.622513025014456)</f>
        <v>-0.62251302501445605</v>
      </c>
      <c r="LG87" s="3">
        <f ca="1">IFERROR(__xludf.DUMMYFUNCTION("""COMPUTED_VALUE"""),-0.651763266326995)</f>
        <v>-0.65176326632699499</v>
      </c>
      <c r="LH87" s="3">
        <f ca="1">IFERROR(__xludf.DUMMYFUNCTION("""COMPUTED_VALUE"""),-0.668495698418812)</f>
        <v>-0.66849569841881196</v>
      </c>
      <c r="LI87" s="3">
        <f ca="1">IFERROR(__xludf.DUMMYFUNCTION("""COMPUTED_VALUE"""),-0.674969593668395)</f>
        <v>-0.67496959366839504</v>
      </c>
      <c r="LJ87" s="3">
        <f ca="1">IFERROR(__xludf.DUMMYFUNCTION("""COMPUTED_VALUE"""),-0.660700091322114)</f>
        <v>-0.66070009132211405</v>
      </c>
      <c r="LK87" s="3">
        <f ca="1">IFERROR(__xludf.DUMMYFUNCTION("""COMPUTED_VALUE"""),-0.648658363838206)</f>
        <v>-0.64865836383820596</v>
      </c>
      <c r="LL87" s="3">
        <f ca="1">IFERROR(__xludf.DUMMYFUNCTION("""COMPUTED_VALUE"""),-0.633637844876684)</f>
        <v>-0.63363784487668395</v>
      </c>
      <c r="LM87" s="3">
        <f ca="1">IFERROR(__xludf.DUMMYFUNCTION("""COMPUTED_VALUE"""),-0.675866078735147)</f>
        <v>-0.67586607873514704</v>
      </c>
      <c r="LN87" s="3">
        <f ca="1">IFERROR(__xludf.DUMMYFUNCTION("""COMPUTED_VALUE"""),-0.688863514558157)</f>
        <v>-0.68886351455815698</v>
      </c>
      <c r="LO87" s="3">
        <f ca="1">IFERROR(__xludf.DUMMYFUNCTION("""COMPUTED_VALUE"""),-0.736670649842862)</f>
        <v>-0.73667064984286201</v>
      </c>
      <c r="LP87" s="3">
        <f ca="1">IFERROR(__xludf.DUMMYFUNCTION("""COMPUTED_VALUE"""),-0.680029983796914)</f>
        <v>-0.68002998379691404</v>
      </c>
      <c r="LQ87" s="3">
        <f ca="1">IFERROR(__xludf.DUMMYFUNCTION("""COMPUTED_VALUE"""),-0.682312576079806)</f>
        <v>-0.682312576079806</v>
      </c>
      <c r="LR87" s="3">
        <f ca="1">IFERROR(__xludf.DUMMYFUNCTION("""COMPUTED_VALUE"""),-0.68663479056914)</f>
        <v>-0.68663479056914001</v>
      </c>
      <c r="LS87" s="3">
        <f ca="1">IFERROR(__xludf.DUMMYFUNCTION("""COMPUTED_VALUE"""),-0.676187408387244)</f>
        <v>-0.676187408387244</v>
      </c>
      <c r="LT87" s="3">
        <f ca="1">IFERROR(__xludf.DUMMYFUNCTION("""COMPUTED_VALUE"""),-0.673688787757089)</f>
        <v>-0.67368878775708896</v>
      </c>
      <c r="LU87" s="3">
        <f ca="1">IFERROR(__xludf.DUMMYFUNCTION("""COMPUTED_VALUE"""),-0.678559147561887)</f>
        <v>-0.67855914756188696</v>
      </c>
      <c r="LV87" s="3">
        <f ca="1">IFERROR(__xludf.DUMMYFUNCTION("""COMPUTED_VALUE"""),-0.704237622075023)</f>
        <v>-0.70423762207502305</v>
      </c>
      <c r="LW87" s="3">
        <f ca="1">IFERROR(__xludf.DUMMYFUNCTION("""COMPUTED_VALUE"""),-0.685538888019998)</f>
        <v>-0.68553888801999796</v>
      </c>
      <c r="LX87" s="3">
        <f ca="1">IFERROR(__xludf.DUMMYFUNCTION("""COMPUTED_VALUE"""),-0.692051748347601)</f>
        <v>-0.69205174834760097</v>
      </c>
      <c r="LY87" s="3">
        <f ca="1">IFERROR(__xludf.DUMMYFUNCTION("""COMPUTED_VALUE"""),-0.692248036299852)</f>
        <v>-0.69224803629985199</v>
      </c>
      <c r="LZ87" s="3">
        <f ca="1">IFERROR(__xludf.DUMMYFUNCTION("""COMPUTED_VALUE"""),-0.700088536500708)</f>
        <v>-0.70008853650070801</v>
      </c>
      <c r="MA87" s="3">
        <f ca="1">IFERROR(__xludf.DUMMYFUNCTION("""COMPUTED_VALUE"""),-0.699245939639283)</f>
        <v>-0.69924593963928305</v>
      </c>
      <c r="MB87" s="3">
        <f ca="1">IFERROR(__xludf.DUMMYFUNCTION("""COMPUTED_VALUE"""),-0.689678288063776)</f>
        <v>-0.68967828806377596</v>
      </c>
      <c r="MC87" s="3">
        <f ca="1">IFERROR(__xludf.DUMMYFUNCTION("""COMPUTED_VALUE"""),-0.74196159512752)</f>
        <v>-0.74196159512752002</v>
      </c>
      <c r="MD87" s="3">
        <f ca="1">IFERROR(__xludf.DUMMYFUNCTION("""COMPUTED_VALUE"""),-0.704354918587204)</f>
        <v>-0.704354918587204</v>
      </c>
      <c r="ME87" s="3">
        <f ca="1">IFERROR(__xludf.DUMMYFUNCTION("""COMPUTED_VALUE"""),-0.704073825739648)</f>
        <v>-0.70407382573964805</v>
      </c>
      <c r="MF87" s="3">
        <f ca="1">IFERROR(__xludf.DUMMYFUNCTION("""COMPUTED_VALUE"""),-0.700078431806711)</f>
        <v>-0.70007843180671103</v>
      </c>
      <c r="MG87" s="3">
        <f ca="1">IFERROR(__xludf.DUMMYFUNCTION("""COMPUTED_VALUE"""),-0.690770760803357)</f>
        <v>-0.69077076080335698</v>
      </c>
      <c r="MH87" s="3">
        <f ca="1">IFERROR(__xludf.DUMMYFUNCTION("""COMPUTED_VALUE"""),-0.671801539142943)</f>
        <v>-0.67180153914294305</v>
      </c>
      <c r="MI87" s="3">
        <f ca="1">IFERROR(__xludf.DUMMYFUNCTION("""COMPUTED_VALUE"""),-0.647396229673079)</f>
        <v>-0.64739622967307897</v>
      </c>
      <c r="MJ87" s="3">
        <f ca="1">IFERROR(__xludf.DUMMYFUNCTION("""COMPUTED_VALUE"""),-0.717450723730967)</f>
        <v>-0.71745072373096697</v>
      </c>
      <c r="MK87" s="3">
        <f ca="1">IFERROR(__xludf.DUMMYFUNCTION("""COMPUTED_VALUE"""),-0.693928210114634)</f>
        <v>-0.69392821011463401</v>
      </c>
      <c r="ML87" s="3">
        <f ca="1">IFERROR(__xludf.DUMMYFUNCTION("""COMPUTED_VALUE"""),-0.722668802740711)</f>
        <v>-0.72266880274071099</v>
      </c>
      <c r="MM87" s="3">
        <f ca="1">IFERROR(__xludf.DUMMYFUNCTION("""COMPUTED_VALUE"""),-0.705669522197043)</f>
        <v>-0.70566952219704304</v>
      </c>
      <c r="MN87" s="3">
        <f ca="1">IFERROR(__xludf.DUMMYFUNCTION("""COMPUTED_VALUE"""),-0.707096851001258)</f>
        <v>-0.70709685100125796</v>
      </c>
      <c r="MO87" s="3">
        <f ca="1">IFERROR(__xludf.DUMMYFUNCTION("""COMPUTED_VALUE"""),-0.718147198529475)</f>
        <v>-0.71814719852947495</v>
      </c>
      <c r="MP87" s="3">
        <f ca="1">IFERROR(__xludf.DUMMYFUNCTION("""COMPUTED_VALUE"""),-0.71758585143663)</f>
        <v>-0.71758585143663001</v>
      </c>
      <c r="MQ87" s="3">
        <f ca="1">IFERROR(__xludf.DUMMYFUNCTION("""COMPUTED_VALUE"""),-0.727121391888973)</f>
        <v>-0.72712139188897296</v>
      </c>
      <c r="MR87" s="3">
        <f ca="1">IFERROR(__xludf.DUMMYFUNCTION("""COMPUTED_VALUE"""),-0.721005297226751)</f>
        <v>-0.721005297226751</v>
      </c>
      <c r="MS87" s="3">
        <f ca="1">IFERROR(__xludf.DUMMYFUNCTION("""COMPUTED_VALUE"""),-0.71947608593234)</f>
        <v>-0.71947608593234003</v>
      </c>
      <c r="MT87" s="3">
        <f ca="1">IFERROR(__xludf.DUMMYFUNCTION("""COMPUTED_VALUE"""),-0.717864847400699)</f>
        <v>-0.717864847400699</v>
      </c>
      <c r="MU87" s="3">
        <f ca="1">IFERROR(__xludf.DUMMYFUNCTION("""COMPUTED_VALUE"""),-0.724738422451609)</f>
        <v>-0.72473842245160902</v>
      </c>
      <c r="MV87" s="3">
        <f ca="1">IFERROR(__xludf.DUMMYFUNCTION("""COMPUTED_VALUE"""),-0.706424041095395)</f>
        <v>-0.70642404109539503</v>
      </c>
      <c r="MW87" s="3">
        <f ca="1">IFERROR(__xludf.DUMMYFUNCTION("""COMPUTED_VALUE"""),-0.715216639366434)</f>
        <v>-0.71521663936643398</v>
      </c>
      <c r="MX87" s="3">
        <f ca="1">IFERROR(__xludf.DUMMYFUNCTION("""COMPUTED_VALUE"""),-0.742884087601357)</f>
        <v>-0.74288408760135705</v>
      </c>
      <c r="MY87" s="3">
        <f ca="1">IFERROR(__xludf.DUMMYFUNCTION("""COMPUTED_VALUE"""),-0.69334434806334)</f>
        <v>-0.69334434806334</v>
      </c>
      <c r="MZ87" s="3">
        <f ca="1">IFERROR(__xludf.DUMMYFUNCTION("""COMPUTED_VALUE"""),-0.69673042770789)</f>
        <v>-0.69673042770788995</v>
      </c>
      <c r="NA87" s="3">
        <f ca="1">IFERROR(__xludf.DUMMYFUNCTION("""COMPUTED_VALUE"""),-0.708132765090069)</f>
        <v>-0.70813276509006895</v>
      </c>
      <c r="NB87" s="3">
        <f ca="1">IFERROR(__xludf.DUMMYFUNCTION("""COMPUTED_VALUE"""),-0.707750675303388)</f>
        <v>-0.70775067530338798</v>
      </c>
      <c r="NC87" s="3">
        <f ca="1">IFERROR(__xludf.DUMMYFUNCTION("""COMPUTED_VALUE"""),-0.73384078106735)</f>
        <v>-0.73384078106734996</v>
      </c>
      <c r="ND87" s="3">
        <f ca="1">IFERROR(__xludf.DUMMYFUNCTION("""COMPUTED_VALUE"""),-0.704127974524415)</f>
        <v>-0.704127974524415</v>
      </c>
      <c r="NE87" s="3">
        <f ca="1">IFERROR(__xludf.DUMMYFUNCTION("""COMPUTED_VALUE"""),-0.714632155482704)</f>
        <v>-0.71463215548270398</v>
      </c>
      <c r="NF87" s="3">
        <f ca="1">IFERROR(__xludf.DUMMYFUNCTION("""COMPUTED_VALUE"""),-0.69826339289062)</f>
        <v>-0.69826339289062</v>
      </c>
      <c r="NG87" s="3">
        <f ca="1">IFERROR(__xludf.DUMMYFUNCTION("""COMPUTED_VALUE"""),-0.702541082452258)</f>
        <v>-0.70254108245225799</v>
      </c>
      <c r="NH87" s="3">
        <f ca="1">IFERROR(__xludf.DUMMYFUNCTION("""COMPUTED_VALUE"""),-0.696493464412602)</f>
        <v>-0.69649346441260196</v>
      </c>
      <c r="NI87" s="3">
        <f ca="1">IFERROR(__xludf.DUMMYFUNCTION("""COMPUTED_VALUE"""),-0.690398139171071)</f>
        <v>-0.69039813917107096</v>
      </c>
      <c r="NJ87" s="3">
        <f ca="1">IFERROR(__xludf.DUMMYFUNCTION("""COMPUTED_VALUE"""),-0.671928664659587)</f>
        <v>-0.671928664659587</v>
      </c>
      <c r="NK87" s="3">
        <f ca="1">IFERROR(__xludf.DUMMYFUNCTION("""COMPUTED_VALUE"""),-0.675800831548689)</f>
        <v>-0.67580083154868897</v>
      </c>
      <c r="NL87" s="3">
        <f ca="1">IFERROR(__xludf.DUMMYFUNCTION("""COMPUTED_VALUE"""),-0.719899729491354)</f>
        <v>-0.71989972949135395</v>
      </c>
      <c r="NM87" s="3">
        <f ca="1">IFERROR(__xludf.DUMMYFUNCTION("""COMPUTED_VALUE"""),-0.697341393527255)</f>
        <v>-0.69734139352725499</v>
      </c>
      <c r="NN87" s="3">
        <f ca="1">IFERROR(__xludf.DUMMYFUNCTION("""COMPUTED_VALUE"""),-0.704123182852265)</f>
        <v>-0.70412318285226505</v>
      </c>
      <c r="NO87" s="3">
        <f ca="1">IFERROR(__xludf.DUMMYFUNCTION("""COMPUTED_VALUE"""),-0.679055368472579)</f>
        <v>-0.67905536847257897</v>
      </c>
      <c r="NP87" s="3">
        <f ca="1">IFERROR(__xludf.DUMMYFUNCTION("""COMPUTED_VALUE"""),-0.691405036416975)</f>
        <v>-0.69140503641697504</v>
      </c>
      <c r="NQ87" s="3">
        <f ca="1">IFERROR(__xludf.DUMMYFUNCTION("""COMPUTED_VALUE"""),-0.672325056609411)</f>
        <v>-0.672325056609411</v>
      </c>
      <c r="NR87" s="3">
        <f ca="1">IFERROR(__xludf.DUMMYFUNCTION("""COMPUTED_VALUE"""),-0.662720995066318)</f>
        <v>-0.66272099506631799</v>
      </c>
      <c r="NS87" s="3">
        <f ca="1">IFERROR(__xludf.DUMMYFUNCTION("""COMPUTED_VALUE"""),-0.708459336804072)</f>
        <v>-0.70845933680407203</v>
      </c>
      <c r="NT87" s="3">
        <f ca="1">IFERROR(__xludf.DUMMYFUNCTION("""COMPUTED_VALUE"""),-0.684911021383652)</f>
        <v>-0.68491102138365201</v>
      </c>
      <c r="NU87" s="3">
        <f ca="1">IFERROR(__xludf.DUMMYFUNCTION("""COMPUTED_VALUE"""),-0.709803732755845)</f>
        <v>-0.70980373275584496</v>
      </c>
      <c r="NV87" s="3">
        <f ca="1">IFERROR(__xludf.DUMMYFUNCTION("""COMPUTED_VALUE"""),-0.706186751902637)</f>
        <v>-0.70618675190263702</v>
      </c>
      <c r="NW87" s="3">
        <f ca="1">IFERROR(__xludf.DUMMYFUNCTION("""COMPUTED_VALUE"""),-0.628935380106419)</f>
        <v>-0.62893538010641903</v>
      </c>
      <c r="NX87" s="3">
        <f ca="1">IFERROR(__xludf.DUMMYFUNCTION("""COMPUTED_VALUE"""),-0.649629173902007)</f>
        <v>-0.64962917390200703</v>
      </c>
      <c r="NY87" s="3">
        <f ca="1">IFERROR(__xludf.DUMMYFUNCTION("""COMPUTED_VALUE"""),-0.548014589920344)</f>
        <v>-0.54801458992034402</v>
      </c>
      <c r="NZ87" s="3">
        <f ca="1">IFERROR(__xludf.DUMMYFUNCTION("""COMPUTED_VALUE"""),-0.561762642462007)</f>
        <v>-0.56176264246200702</v>
      </c>
      <c r="OA87" s="3">
        <f ca="1">IFERROR(__xludf.DUMMYFUNCTION("""COMPUTED_VALUE"""),-0.551889423652673)</f>
        <v>-0.55188942365267302</v>
      </c>
      <c r="OB87" s="3">
        <f ca="1">IFERROR(__xludf.DUMMYFUNCTION("""COMPUTED_VALUE"""),-0.519709852596597)</f>
        <v>-0.51970985259659697</v>
      </c>
      <c r="OC87" s="3">
        <f ca="1">IFERROR(__xludf.DUMMYFUNCTION("""COMPUTED_VALUE"""),-0.506334899021043)</f>
        <v>-0.50633489902104301</v>
      </c>
      <c r="OD87" s="3">
        <f ca="1">IFERROR(__xludf.DUMMYFUNCTION("""COMPUTED_VALUE"""),-0.545340455471044)</f>
        <v>-0.54534045547104404</v>
      </c>
      <c r="OE87" s="3">
        <f ca="1">IFERROR(__xludf.DUMMYFUNCTION("""COMPUTED_VALUE"""),-0.465137529121467)</f>
        <v>-0.465137529121467</v>
      </c>
      <c r="OF87" s="3">
        <f ca="1">IFERROR(__xludf.DUMMYFUNCTION("""COMPUTED_VALUE"""),-0.292985386088565)</f>
        <v>-0.292985386088565</v>
      </c>
      <c r="OG87" s="3">
        <f ca="1">IFERROR(__xludf.DUMMYFUNCTION("""COMPUTED_VALUE"""),-0.30849985730867)</f>
        <v>-0.30849985730867002</v>
      </c>
      <c r="OH87" s="3">
        <f ca="1">IFERROR(__xludf.DUMMYFUNCTION("""COMPUTED_VALUE"""),-0.260969791877701)</f>
        <v>-0.26096979187770097</v>
      </c>
      <c r="OI87" s="3">
        <f ca="1">IFERROR(__xludf.DUMMYFUNCTION("""COMPUTED_VALUE"""),-0.225946810973143)</f>
        <v>-0.22594681097314301</v>
      </c>
      <c r="OJ87" s="3">
        <f ca="1">IFERROR(__xludf.DUMMYFUNCTION("""COMPUTED_VALUE"""),-0.164121632135746)</f>
        <v>-0.16412163213574599</v>
      </c>
      <c r="OK87" s="3">
        <f ca="1">IFERROR(__xludf.DUMMYFUNCTION("""COMPUTED_VALUE"""),-0.0986649560078807)</f>
        <v>-9.8664956007880694E-2</v>
      </c>
      <c r="OL87" s="3">
        <f ca="1">IFERROR(__xludf.DUMMYFUNCTION("""COMPUTED_VALUE"""),0.0164817779272783)</f>
        <v>1.6481777927278299E-2</v>
      </c>
      <c r="OM87" s="3">
        <f ca="1">IFERROR(__xludf.DUMMYFUNCTION("""COMPUTED_VALUE"""),0.0346755944632319)</f>
        <v>3.4675594463231901E-2</v>
      </c>
      <c r="ON87" s="3">
        <f ca="1">IFERROR(__xludf.DUMMYFUNCTION("""COMPUTED_VALUE"""),0.0507894627378888)</f>
        <v>5.0789462737888799E-2</v>
      </c>
      <c r="OO87" s="3">
        <f ca="1">IFERROR(__xludf.DUMMYFUNCTION("""COMPUTED_VALUE"""),-0.0307486338814136)</f>
        <v>-3.0748633881413599E-2</v>
      </c>
      <c r="OP87" s="3">
        <f ca="1">IFERROR(__xludf.DUMMYFUNCTION("""COMPUTED_VALUE"""),-0.0420141480756443)</f>
        <v>-4.2014148075644298E-2</v>
      </c>
      <c r="OQ87" s="3">
        <f ca="1">IFERROR(__xludf.DUMMYFUNCTION("""COMPUTED_VALUE"""),-0.02426628444247)</f>
        <v>-2.4266284442470001E-2</v>
      </c>
      <c r="OR87" s="3">
        <f ca="1">IFERROR(__xludf.DUMMYFUNCTION("""COMPUTED_VALUE"""),-0.0262823720529131)</f>
        <v>-2.6282372052913099E-2</v>
      </c>
      <c r="OS87" s="3">
        <f ca="1">IFERROR(__xludf.DUMMYFUNCTION("""COMPUTED_VALUE"""),0.00790521749383965)</f>
        <v>7.9052174938396506E-3</v>
      </c>
      <c r="OT87" s="3">
        <f ca="1">IFERROR(__xludf.DUMMYFUNCTION("""COMPUTED_VALUE"""),0.00988750379320646)</f>
        <v>9.8875037932064595E-3</v>
      </c>
      <c r="OU87" s="3">
        <f ca="1">IFERROR(__xludf.DUMMYFUNCTION("""COMPUTED_VALUE"""),-0.0067966266782391)</f>
        <v>-6.7966266782391004E-3</v>
      </c>
      <c r="OV87" s="3">
        <f ca="1">IFERROR(__xludf.DUMMYFUNCTION("""COMPUTED_VALUE"""),0.0267976623680656)</f>
        <v>2.6797662368065599E-2</v>
      </c>
      <c r="OW87" s="3">
        <f ca="1">IFERROR(__xludf.DUMMYFUNCTION("""COMPUTED_VALUE"""),0.0132161103289274)</f>
        <v>1.3216110328927401E-2</v>
      </c>
      <c r="OX87" s="3">
        <f ca="1">IFERROR(__xludf.DUMMYFUNCTION("""COMPUTED_VALUE"""),0.00853103066792826)</f>
        <v>8.5310306679282598E-3</v>
      </c>
      <c r="OY87" s="3">
        <f ca="1">IFERROR(__xludf.DUMMYFUNCTION("""COMPUTED_VALUE"""),-0.00711791504318015)</f>
        <v>-7.1179150431801503E-3</v>
      </c>
      <c r="OZ87" s="3">
        <f ca="1">IFERROR(__xludf.DUMMYFUNCTION("""COMPUTED_VALUE"""),0.0396337571542615)</f>
        <v>3.9633757154261498E-2</v>
      </c>
      <c r="PA87" s="3">
        <f ca="1">IFERROR(__xludf.DUMMYFUNCTION("""COMPUTED_VALUE"""),0.0173653122322108)</f>
        <v>1.73653122322108E-2</v>
      </c>
      <c r="PB87" s="3">
        <f ca="1">IFERROR(__xludf.DUMMYFUNCTION("""COMPUTED_VALUE"""),-0.0148458375300923)</f>
        <v>-1.4845837530092301E-2</v>
      </c>
      <c r="PC87" s="3">
        <f ca="1">IFERROR(__xludf.DUMMYFUNCTION("""COMPUTED_VALUE"""),-0.0802417938511951)</f>
        <v>-8.0241793851195106E-2</v>
      </c>
      <c r="PD87" s="3">
        <f ca="1">IFERROR(__xludf.DUMMYFUNCTION("""COMPUTED_VALUE"""),-0.0586942779545665)</f>
        <v>-5.8694277954566498E-2</v>
      </c>
      <c r="PE87" s="3">
        <f ca="1">IFERROR(__xludf.DUMMYFUNCTION("""COMPUTED_VALUE"""),-0.0154549543811192)</f>
        <v>-1.54549543811192E-2</v>
      </c>
      <c r="PF87" s="3">
        <f ca="1">IFERROR(__xludf.DUMMYFUNCTION("""COMPUTED_VALUE"""),-0.00531000820411309)</f>
        <v>-5.3100082041130899E-3</v>
      </c>
      <c r="PG87" s="3">
        <f ca="1">IFERROR(__xludf.DUMMYFUNCTION("""COMPUTED_VALUE"""),0.0377793748433028)</f>
        <v>3.77793748433028E-2</v>
      </c>
      <c r="PH87" s="3">
        <f ca="1">IFERROR(__xludf.DUMMYFUNCTION("""COMPUTED_VALUE"""),0.0134553989747161)</f>
        <v>1.34553989747161E-2</v>
      </c>
      <c r="PI87" s="3">
        <f ca="1">IFERROR(__xludf.DUMMYFUNCTION("""COMPUTED_VALUE"""),-0.0432745122722476)</f>
        <v>-4.3274512272247601E-2</v>
      </c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</row>
    <row r="88" spans="1:477" ht="13">
      <c r="A88" s="1" t="str">
        <f ca="1">IFERROR(__xludf.DUMMYFUNCTION("""COMPUTED_VALUE"""),"MTA - NYC Bus Company")</f>
        <v>MTA - NYC Bus Company</v>
      </c>
      <c r="B88" s="1" t="str">
        <f ca="1">IFERROR(__xludf.DUMMYFUNCTION("""COMPUTED_VALUE"""),"NYC")</f>
        <v>NYC</v>
      </c>
      <c r="C88" s="1" t="str">
        <f ca="1">IFERROR(__xludf.DUMMYFUNCTION("""COMPUTED_VALUE"""),"United States")</f>
        <v>United States</v>
      </c>
      <c r="D88" s="1" t="str">
        <f ca="1">IFERROR(__xludf.DUMMYFUNCTION("""COMPUTED_VALUE"""),"New York")</f>
        <v>New York</v>
      </c>
      <c r="E88" s="3">
        <f ca="1">IFERROR(__xludf.DUMMYFUNCTION("""COMPUTED_VALUE"""),-0.464202478397993)</f>
        <v>-0.464202478397993</v>
      </c>
      <c r="F88" s="3">
        <f ca="1">IFERROR(__xludf.DUMMYFUNCTION("""COMPUTED_VALUE"""),-0.491463858609685)</f>
        <v>-0.491463858609685</v>
      </c>
      <c r="G88" s="3">
        <f ca="1">IFERROR(__xludf.DUMMYFUNCTION("""COMPUTED_VALUE"""),-0.529834680484866)</f>
        <v>-0.52983468048486604</v>
      </c>
      <c r="H88" s="3">
        <f ca="1">IFERROR(__xludf.DUMMYFUNCTION("""COMPUTED_VALUE"""),-0.538676579641194)</f>
        <v>-0.53867657964119398</v>
      </c>
      <c r="I88" s="3">
        <f ca="1">IFERROR(__xludf.DUMMYFUNCTION("""COMPUTED_VALUE"""),-0.551012214956449)</f>
        <v>-0.55101221495644903</v>
      </c>
      <c r="J88" s="3">
        <f ca="1">IFERROR(__xludf.DUMMYFUNCTION("""COMPUTED_VALUE"""),-0.539358521348498)</f>
        <v>-0.53935852134849804</v>
      </c>
      <c r="K88" s="3">
        <f ca="1">IFERROR(__xludf.DUMMYFUNCTION("""COMPUTED_VALUE"""),-0.481394107268427)</f>
        <v>-0.48139410726842702</v>
      </c>
      <c r="L88" s="3">
        <f ca="1">IFERROR(__xludf.DUMMYFUNCTION("""COMPUTED_VALUE"""),-0.506101646118976)</f>
        <v>-0.50610164611897601</v>
      </c>
      <c r="M88" s="3">
        <f ca="1">IFERROR(__xludf.DUMMYFUNCTION("""COMPUTED_VALUE"""),-0.577328089926569)</f>
        <v>-0.57732808992656903</v>
      </c>
      <c r="N88" s="3">
        <f ca="1">IFERROR(__xludf.DUMMYFUNCTION("""COMPUTED_VALUE"""),-0.573709204165018)</f>
        <v>-0.57370920416501803</v>
      </c>
      <c r="O88" s="3">
        <f ca="1">IFERROR(__xludf.DUMMYFUNCTION("""COMPUTED_VALUE"""),-0.579242567427366)</f>
        <v>-0.57924256742736602</v>
      </c>
      <c r="P88" s="3">
        <f ca="1">IFERROR(__xludf.DUMMYFUNCTION("""COMPUTED_VALUE"""),-0.555603263883483)</f>
        <v>-0.55560326388348302</v>
      </c>
      <c r="Q88" s="3">
        <f ca="1">IFERROR(__xludf.DUMMYFUNCTION("""COMPUTED_VALUE"""),-0.552188639552191)</f>
        <v>-0.552188639552191</v>
      </c>
      <c r="R88" s="3">
        <f ca="1">IFERROR(__xludf.DUMMYFUNCTION("""COMPUTED_VALUE"""),-0.486998011407185)</f>
        <v>-0.48699801140718502</v>
      </c>
      <c r="S88" s="3">
        <f ca="1">IFERROR(__xludf.DUMMYFUNCTION("""COMPUTED_VALUE"""),-0.424762821701882)</f>
        <v>-0.42476282170188201</v>
      </c>
      <c r="T88" s="3">
        <f ca="1">IFERROR(__xludf.DUMMYFUNCTION("""COMPUTED_VALUE"""),-0.483766043491277)</f>
        <v>-0.483766043491277</v>
      </c>
      <c r="U88" s="3">
        <f ca="1">IFERROR(__xludf.DUMMYFUNCTION("""COMPUTED_VALUE"""),-0.515245262865477)</f>
        <v>-0.51524526286547701</v>
      </c>
      <c r="V88" s="3">
        <f ca="1">IFERROR(__xludf.DUMMYFUNCTION("""COMPUTED_VALUE"""),-0.541543933813528)</f>
        <v>-0.54154393381352794</v>
      </c>
      <c r="W88" s="3">
        <f ca="1">IFERROR(__xludf.DUMMYFUNCTION("""COMPUTED_VALUE"""),-0.516007135106678)</f>
        <v>-0.51600713510667795</v>
      </c>
      <c r="X88" s="3">
        <f ca="1">IFERROR(__xludf.DUMMYFUNCTION("""COMPUTED_VALUE"""),-0.493432906307891)</f>
        <v>-0.49343290630789099</v>
      </c>
      <c r="Y88" s="3">
        <f ca="1">IFERROR(__xludf.DUMMYFUNCTION("""COMPUTED_VALUE"""),-0.382239548844485)</f>
        <v>-0.38223954884448502</v>
      </c>
      <c r="Z88" s="3">
        <f ca="1">IFERROR(__xludf.DUMMYFUNCTION("""COMPUTED_VALUE"""),-0.437082418579115)</f>
        <v>-0.43708241857911501</v>
      </c>
      <c r="AA88" s="3">
        <f ca="1">IFERROR(__xludf.DUMMYFUNCTION("""COMPUTED_VALUE"""),-0.511694682596692)</f>
        <v>-0.51169468259669204</v>
      </c>
      <c r="AB88" s="3">
        <f ca="1">IFERROR(__xludf.DUMMYFUNCTION("""COMPUTED_VALUE"""),-0.5551986226643)</f>
        <v>-0.55519862266429998</v>
      </c>
      <c r="AC88" s="3">
        <f ca="1">IFERROR(__xludf.DUMMYFUNCTION("""COMPUTED_VALUE"""),-0.540633183871917)</f>
        <v>-0.54063318387191694</v>
      </c>
      <c r="AD88" s="3">
        <f ca="1">IFERROR(__xludf.DUMMYFUNCTION("""COMPUTED_VALUE"""),-0.549485876108217)</f>
        <v>-0.54948587610821698</v>
      </c>
      <c r="AE88" s="3">
        <f ca="1">IFERROR(__xludf.DUMMYFUNCTION("""COMPUTED_VALUE"""),-0.525487257764124)</f>
        <v>-0.52548725776412397</v>
      </c>
      <c r="AF88" s="3">
        <f ca="1">IFERROR(__xludf.DUMMYFUNCTION("""COMPUTED_VALUE"""),-0.407269676831283)</f>
        <v>-0.40726967683128301</v>
      </c>
      <c r="AG88" s="3">
        <f ca="1">IFERROR(__xludf.DUMMYFUNCTION("""COMPUTED_VALUE"""),-0.456647302913643)</f>
        <v>-0.45664730291364303</v>
      </c>
      <c r="AH88" s="3">
        <f ca="1">IFERROR(__xludf.DUMMYFUNCTION("""COMPUTED_VALUE"""),-0.506911109254387)</f>
        <v>-0.50691110925438698</v>
      </c>
      <c r="AI88" s="3">
        <f ca="1">IFERROR(__xludf.DUMMYFUNCTION("""COMPUTED_VALUE"""),-0.517184050042709)</f>
        <v>-0.51718405004270895</v>
      </c>
      <c r="AJ88" s="3">
        <f ca="1">IFERROR(__xludf.DUMMYFUNCTION("""COMPUTED_VALUE"""),-0.530739620723358)</f>
        <v>-0.53073962072335801</v>
      </c>
      <c r="AK88" s="3">
        <f ca="1">IFERROR(__xludf.DUMMYFUNCTION("""COMPUTED_VALUE"""),-0.520115900674571)</f>
        <v>-0.52011590067457103</v>
      </c>
      <c r="AL88" s="3">
        <f ca="1">IFERROR(__xludf.DUMMYFUNCTION("""COMPUTED_VALUE"""),-0.489318313753483)</f>
        <v>-0.489318313753483</v>
      </c>
      <c r="AM88" s="3">
        <f ca="1">IFERROR(__xludf.DUMMYFUNCTION("""COMPUTED_VALUE"""),-0.411867787871296)</f>
        <v>-0.41186778787129602</v>
      </c>
      <c r="AN88" s="3">
        <f ca="1">IFERROR(__xludf.DUMMYFUNCTION("""COMPUTED_VALUE"""),-0.461471505466314)</f>
        <v>-0.46147150546631399</v>
      </c>
      <c r="AO88" s="3">
        <f ca="1">IFERROR(__xludf.DUMMYFUNCTION("""COMPUTED_VALUE"""),-0.526796021088431)</f>
        <v>-0.52679602108843104</v>
      </c>
      <c r="AP88" s="3">
        <f ca="1">IFERROR(__xludf.DUMMYFUNCTION("""COMPUTED_VALUE"""),-0.543210443992572)</f>
        <v>-0.54321044399257201</v>
      </c>
      <c r="AQ88" s="3">
        <f ca="1">IFERROR(__xludf.DUMMYFUNCTION("""COMPUTED_VALUE"""),-0.528885523819087)</f>
        <v>-0.52888552381908704</v>
      </c>
      <c r="AR88" s="3">
        <f ca="1">IFERROR(__xludf.DUMMYFUNCTION("""COMPUTED_VALUE"""),-0.555889857428034)</f>
        <v>-0.55588985742803398</v>
      </c>
      <c r="AS88" s="3">
        <f ca="1">IFERROR(__xludf.DUMMYFUNCTION("""COMPUTED_VALUE"""),-0.490394504727973)</f>
        <v>-0.49039450472797302</v>
      </c>
      <c r="AT88" s="3">
        <f ca="1">IFERROR(__xludf.DUMMYFUNCTION("""COMPUTED_VALUE"""),-0.408251142205381)</f>
        <v>-0.408251142205381</v>
      </c>
      <c r="AU88" s="3">
        <f ca="1">IFERROR(__xludf.DUMMYFUNCTION("""COMPUTED_VALUE"""),-0.474119901942749)</f>
        <v>-0.474119901942749</v>
      </c>
      <c r="AV88" s="3">
        <f ca="1">IFERROR(__xludf.DUMMYFUNCTION("""COMPUTED_VALUE"""),-0.494865840612264)</f>
        <v>-0.49486584061226402</v>
      </c>
      <c r="AW88" s="3">
        <f ca="1">IFERROR(__xludf.DUMMYFUNCTION("""COMPUTED_VALUE"""),-0.49999854976257)</f>
        <v>-0.49999854976257002</v>
      </c>
      <c r="AX88" s="3">
        <f ca="1">IFERROR(__xludf.DUMMYFUNCTION("""COMPUTED_VALUE"""),-0.472284980321511)</f>
        <v>-0.47228498032151101</v>
      </c>
      <c r="AY88" s="3">
        <f ca="1">IFERROR(__xludf.DUMMYFUNCTION("""COMPUTED_VALUE"""),-0.523814946479626)</f>
        <v>-0.52381494647962601</v>
      </c>
      <c r="AZ88" s="3">
        <f ca="1">IFERROR(__xludf.DUMMYFUNCTION("""COMPUTED_VALUE"""),-0.471947699149427)</f>
        <v>-0.47194769914942702</v>
      </c>
      <c r="BA88" s="3">
        <f ca="1">IFERROR(__xludf.DUMMYFUNCTION("""COMPUTED_VALUE"""),-0.390648557598623)</f>
        <v>-0.39064855759862299</v>
      </c>
      <c r="BB88" s="3">
        <f ca="1">IFERROR(__xludf.DUMMYFUNCTION("""COMPUTED_VALUE"""),-0.422715840556839)</f>
        <v>-0.42271584055683897</v>
      </c>
      <c r="BC88" s="3">
        <f ca="1">IFERROR(__xludf.DUMMYFUNCTION("""COMPUTED_VALUE"""),-0.47414744693511)</f>
        <v>-0.47414744693511002</v>
      </c>
      <c r="BD88" s="3">
        <f ca="1">IFERROR(__xludf.DUMMYFUNCTION("""COMPUTED_VALUE"""),-0.505135609137928)</f>
        <v>-0.50513560913792799</v>
      </c>
      <c r="BE88" s="3">
        <f ca="1">IFERROR(__xludf.DUMMYFUNCTION("""COMPUTED_VALUE"""),-0.50528759211407)</f>
        <v>-0.50528759211407004</v>
      </c>
      <c r="BF88" s="3">
        <f ca="1">IFERROR(__xludf.DUMMYFUNCTION("""COMPUTED_VALUE"""),-0.503646468898081)</f>
        <v>-0.50364646889808096</v>
      </c>
      <c r="BG88" s="3">
        <f ca="1">IFERROR(__xludf.DUMMYFUNCTION("""COMPUTED_VALUE"""),-0.458915105820472)</f>
        <v>-0.45891510582047201</v>
      </c>
      <c r="BH88" s="3">
        <f ca="1">IFERROR(__xludf.DUMMYFUNCTION("""COMPUTED_VALUE"""),-0.385889390173725)</f>
        <v>-0.38588939017372498</v>
      </c>
      <c r="BI88" s="3">
        <f ca="1">IFERROR(__xludf.DUMMYFUNCTION("""COMPUTED_VALUE"""),-0.457425676142564)</f>
        <v>-0.45742567614256402</v>
      </c>
      <c r="BJ88" s="3">
        <f ca="1">IFERROR(__xludf.DUMMYFUNCTION("""COMPUTED_VALUE"""),-0.53318579239878)</f>
        <v>-0.53318579239877995</v>
      </c>
      <c r="BK88" s="3">
        <f ca="1">IFERROR(__xludf.DUMMYFUNCTION("""COMPUTED_VALUE"""),-0.538830907544029)</f>
        <v>-0.53883090754402896</v>
      </c>
      <c r="BL88" s="3">
        <f ca="1">IFERROR(__xludf.DUMMYFUNCTION("""COMPUTED_VALUE"""),-0.535689539006363)</f>
        <v>-0.53568953900636296</v>
      </c>
      <c r="BM88" s="3">
        <f ca="1">IFERROR(__xludf.DUMMYFUNCTION("""COMPUTED_VALUE"""),-0.54340501836718)</f>
        <v>-0.54340501836718003</v>
      </c>
      <c r="BN88" s="3">
        <f ca="1">IFERROR(__xludf.DUMMYFUNCTION("""COMPUTED_VALUE"""),-0.505913190759469)</f>
        <v>-0.50591319075946894</v>
      </c>
      <c r="BO88" s="3">
        <f ca="1">IFERROR(__xludf.DUMMYFUNCTION("""COMPUTED_VALUE"""),-0.444683651402493)</f>
        <v>-0.444683651402493</v>
      </c>
      <c r="BP88" s="3">
        <f ca="1">IFERROR(__xludf.DUMMYFUNCTION("""COMPUTED_VALUE"""),-0.409823244703909)</f>
        <v>-0.40982324470390902</v>
      </c>
      <c r="BQ88" s="3">
        <f ca="1">IFERROR(__xludf.DUMMYFUNCTION("""COMPUTED_VALUE"""),-0.534883157304771)</f>
        <v>-0.53488315730477098</v>
      </c>
      <c r="BR88" s="3">
        <f ca="1">IFERROR(__xludf.DUMMYFUNCTION("""COMPUTED_VALUE"""),-0.51849390758464)</f>
        <v>-0.51849390758463998</v>
      </c>
      <c r="BS88" s="3">
        <f ca="1">IFERROR(__xludf.DUMMYFUNCTION("""COMPUTED_VALUE"""),-0.513058067802034)</f>
        <v>-0.513058067802034</v>
      </c>
      <c r="BT88" s="3">
        <f ca="1">IFERROR(__xludf.DUMMYFUNCTION("""COMPUTED_VALUE"""),-0.535971745650653)</f>
        <v>-0.53597174565065298</v>
      </c>
      <c r="BU88" s="3">
        <f ca="1">IFERROR(__xludf.DUMMYFUNCTION("""COMPUTED_VALUE"""),-0.521739898668246)</f>
        <v>-0.52173989866824599</v>
      </c>
      <c r="BV88" s="3">
        <f ca="1">IFERROR(__xludf.DUMMYFUNCTION("""COMPUTED_VALUE"""),-0.466096114498669)</f>
        <v>-0.466096114498669</v>
      </c>
      <c r="BW88" s="3">
        <f ca="1">IFERROR(__xludf.DUMMYFUNCTION("""COMPUTED_VALUE"""),-0.508728317947655)</f>
        <v>-0.50872831794765505</v>
      </c>
      <c r="BX88" s="3">
        <f ca="1">IFERROR(__xludf.DUMMYFUNCTION("""COMPUTED_VALUE"""),-0.614052905388794)</f>
        <v>-0.61405290538879398</v>
      </c>
      <c r="BY88" s="3">
        <f ca="1">IFERROR(__xludf.DUMMYFUNCTION("""COMPUTED_VALUE"""),-0.59400865551003)</f>
        <v>-0.59400865551003001</v>
      </c>
      <c r="BZ88" s="3">
        <f ca="1">IFERROR(__xludf.DUMMYFUNCTION("""COMPUTED_VALUE"""),-0.590752803685122)</f>
        <v>-0.59075280368512195</v>
      </c>
      <c r="CA88" s="3">
        <f ca="1">IFERROR(__xludf.DUMMYFUNCTION("""COMPUTED_VALUE"""),-0.60261841022433)</f>
        <v>-0.60261841022433005</v>
      </c>
      <c r="CB88" s="3">
        <f ca="1">IFERROR(__xludf.DUMMYFUNCTION("""COMPUTED_VALUE"""),-0.528665047755706)</f>
        <v>-0.528665047755706</v>
      </c>
      <c r="CC88" s="3">
        <f ca="1">IFERROR(__xludf.DUMMYFUNCTION("""COMPUTED_VALUE"""),-0.486141272565428)</f>
        <v>-0.486141272565428</v>
      </c>
      <c r="CD88" s="3">
        <f ca="1">IFERROR(__xludf.DUMMYFUNCTION("""COMPUTED_VALUE"""),-0.472613901780305)</f>
        <v>-0.47261390178030499</v>
      </c>
      <c r="CE88" s="3">
        <f ca="1">IFERROR(__xludf.DUMMYFUNCTION("""COMPUTED_VALUE"""),-0.573577785908377)</f>
        <v>-0.57357778590837705</v>
      </c>
      <c r="CF88" s="3">
        <f ca="1">IFERROR(__xludf.DUMMYFUNCTION("""COMPUTED_VALUE"""),-0.594207639955294)</f>
        <v>-0.59420763995529402</v>
      </c>
      <c r="CG88" s="3">
        <f ca="1">IFERROR(__xludf.DUMMYFUNCTION("""COMPUTED_VALUE"""),-0.597379851823412)</f>
        <v>-0.59737985182341202</v>
      </c>
      <c r="CH88" s="3">
        <f ca="1">IFERROR(__xludf.DUMMYFUNCTION("""COMPUTED_VALUE"""),-0.585690821937399)</f>
        <v>-0.58569082193739896</v>
      </c>
      <c r="CI88" s="3">
        <f ca="1">IFERROR(__xludf.DUMMYFUNCTION("""COMPUTED_VALUE"""),-0.55222066992094)</f>
        <v>-0.55222066992093999</v>
      </c>
      <c r="CJ88" s="3">
        <f ca="1">IFERROR(__xludf.DUMMYFUNCTION("""COMPUTED_VALUE"""),-0.477852154018202)</f>
        <v>-0.47785215401820202</v>
      </c>
      <c r="CK88" s="3">
        <f ca="1">IFERROR(__xludf.DUMMYFUNCTION("""COMPUTED_VALUE"""),-0.483460326335359)</f>
        <v>-0.48346032633535901</v>
      </c>
      <c r="CL88" s="3">
        <f ca="1">IFERROR(__xludf.DUMMYFUNCTION("""COMPUTED_VALUE"""),-0.578136042553251)</f>
        <v>-0.57813604255325102</v>
      </c>
      <c r="CM88" s="3">
        <f ca="1">IFERROR(__xludf.DUMMYFUNCTION("""COMPUTED_VALUE"""),-0.580691809030822)</f>
        <v>-0.58069180903082196</v>
      </c>
      <c r="CN88" s="3">
        <f ca="1">IFERROR(__xludf.DUMMYFUNCTION("""COMPUTED_VALUE"""),-0.580984816416036)</f>
        <v>-0.58098481641603605</v>
      </c>
      <c r="CO88" s="3">
        <f ca="1">IFERROR(__xludf.DUMMYFUNCTION("""COMPUTED_VALUE"""),-0.556522046362802)</f>
        <v>-0.556522046362802</v>
      </c>
      <c r="CP88" s="3">
        <f ca="1">IFERROR(__xludf.DUMMYFUNCTION("""COMPUTED_VALUE"""),-0.550148905743945)</f>
        <v>-0.55014890574394504</v>
      </c>
      <c r="CQ88" s="3">
        <f ca="1">IFERROR(__xludf.DUMMYFUNCTION("""COMPUTED_VALUE"""),-0.491383739796344)</f>
        <v>-0.49138373979634398</v>
      </c>
      <c r="CR88" s="3">
        <f ca="1">IFERROR(__xludf.DUMMYFUNCTION("""COMPUTED_VALUE"""),-0.493715572315073)</f>
        <v>-0.49371557231507301</v>
      </c>
      <c r="CS88" s="3">
        <f ca="1">IFERROR(__xludf.DUMMYFUNCTION("""COMPUTED_VALUE"""),-0.568244183549233)</f>
        <v>-0.56824418354923301</v>
      </c>
      <c r="CT88" s="3">
        <f ca="1">IFERROR(__xludf.DUMMYFUNCTION("""COMPUTED_VALUE"""),-0.565874061056873)</f>
        <v>-0.56587406105687299</v>
      </c>
      <c r="CU88" s="3">
        <f ca="1">IFERROR(__xludf.DUMMYFUNCTION("""COMPUTED_VALUE"""),-0.521202687556771)</f>
        <v>-0.52120268755677102</v>
      </c>
      <c r="CV88" s="3">
        <f ca="1">IFERROR(__xludf.DUMMYFUNCTION("""COMPUTED_VALUE"""),-0.554522242680914)</f>
        <v>-0.55452224268091399</v>
      </c>
      <c r="CW88" s="3">
        <f ca="1">IFERROR(__xludf.DUMMYFUNCTION("""COMPUTED_VALUE"""),-0.551444020844616)</f>
        <v>-0.55144402084461597</v>
      </c>
      <c r="CX88" s="3">
        <f ca="1">IFERROR(__xludf.DUMMYFUNCTION("""COMPUTED_VALUE"""),-0.535384339051576)</f>
        <v>-0.53538433905157601</v>
      </c>
      <c r="CY88" s="3">
        <f ca="1">IFERROR(__xludf.DUMMYFUNCTION("""COMPUTED_VALUE"""),-0.549452244486629)</f>
        <v>-0.54945224448662899</v>
      </c>
      <c r="CZ88" s="3">
        <f ca="1">IFERROR(__xludf.DUMMYFUNCTION("""COMPUTED_VALUE"""),-0.673289417941557)</f>
        <v>-0.67328941794155694</v>
      </c>
      <c r="DA88" s="3">
        <f ca="1">IFERROR(__xludf.DUMMYFUNCTION("""COMPUTED_VALUE"""),-0.526116932557408)</f>
        <v>-0.52611693255740799</v>
      </c>
      <c r="DB88" s="3">
        <f ca="1">IFERROR(__xludf.DUMMYFUNCTION("""COMPUTED_VALUE"""),-0.336314493037346)</f>
        <v>-0.33631449303734601</v>
      </c>
      <c r="DC88" s="3">
        <f ca="1">IFERROR(__xludf.DUMMYFUNCTION("""COMPUTED_VALUE"""),-0.478993197761943)</f>
        <v>-0.47899319776194299</v>
      </c>
      <c r="DD88" s="3">
        <f ca="1">IFERROR(__xludf.DUMMYFUNCTION("""COMPUTED_VALUE"""),-0.48561547550816)</f>
        <v>-0.48561547550815998</v>
      </c>
      <c r="DE88" s="3">
        <f ca="1">IFERROR(__xludf.DUMMYFUNCTION("""COMPUTED_VALUE"""),-0.477262982016746)</f>
        <v>-0.477262982016746</v>
      </c>
      <c r="DF88" s="3">
        <f ca="1">IFERROR(__xludf.DUMMYFUNCTION("""COMPUTED_VALUE"""),-0.538010641028536)</f>
        <v>-0.53801064102853602</v>
      </c>
      <c r="DG88" s="3">
        <f ca="1">IFERROR(__xludf.DUMMYFUNCTION("""COMPUTED_VALUE"""),-0.726047393108814)</f>
        <v>-0.72604739310881405</v>
      </c>
      <c r="DH88" s="3">
        <f ca="1">IFERROR(__xludf.DUMMYFUNCTION("""COMPUTED_VALUE"""),-0.505149435717396)</f>
        <v>-0.50514943571739601</v>
      </c>
      <c r="DI88" s="3">
        <f ca="1">IFERROR(__xludf.DUMMYFUNCTION("""COMPUTED_VALUE"""),-0.280932954709212)</f>
        <v>-0.28093295470921198</v>
      </c>
      <c r="DJ88" s="3">
        <f ca="1">IFERROR(__xludf.DUMMYFUNCTION("""COMPUTED_VALUE"""),-0.433355621846138)</f>
        <v>-0.43335562184613802</v>
      </c>
      <c r="DK88" s="3">
        <f ca="1">IFERROR(__xludf.DUMMYFUNCTION("""COMPUTED_VALUE"""),-0.4612047709637)</f>
        <v>-0.46120477096369999</v>
      </c>
      <c r="DL88" s="3">
        <f ca="1">IFERROR(__xludf.DUMMYFUNCTION("""COMPUTED_VALUE"""),-0.438650593116836)</f>
        <v>-0.43865059311683602</v>
      </c>
      <c r="DM88" s="3">
        <f ca="1">IFERROR(__xludf.DUMMYFUNCTION("""COMPUTED_VALUE"""),-0.428525780071721)</f>
        <v>-0.42852578007172099</v>
      </c>
      <c r="DN88" s="3">
        <f ca="1">IFERROR(__xludf.DUMMYFUNCTION("""COMPUTED_VALUE"""),-0.505735664305234)</f>
        <v>-0.50573566430523398</v>
      </c>
      <c r="DO88" s="3">
        <f ca="1">IFERROR(__xludf.DUMMYFUNCTION("""COMPUTED_VALUE"""),-0.522326866877219)</f>
        <v>-0.52232686687721896</v>
      </c>
      <c r="DP88" s="3">
        <f ca="1">IFERROR(__xludf.DUMMYFUNCTION("""COMPUTED_VALUE"""),-0.413368079932026)</f>
        <v>-0.41336807993202601</v>
      </c>
      <c r="DQ88" s="3">
        <f ca="1">IFERROR(__xludf.DUMMYFUNCTION("""COMPUTED_VALUE"""),-0.532507545217301)</f>
        <v>-0.53250754521730104</v>
      </c>
      <c r="DR88" s="3">
        <f ca="1">IFERROR(__xludf.DUMMYFUNCTION("""COMPUTED_VALUE"""),-0.577997311076052)</f>
        <v>-0.57799731107605201</v>
      </c>
      <c r="DS88" s="3">
        <f ca="1">IFERROR(__xludf.DUMMYFUNCTION("""COMPUTED_VALUE"""),-0.459161630043916)</f>
        <v>-0.45916163004391602</v>
      </c>
      <c r="DT88" s="3">
        <f ca="1">IFERROR(__xludf.DUMMYFUNCTION("""COMPUTED_VALUE"""),-0.500433246551614)</f>
        <v>-0.50043324655161403</v>
      </c>
      <c r="DU88" s="3">
        <f ca="1">IFERROR(__xludf.DUMMYFUNCTION("""COMPUTED_VALUE"""),-0.589291370901901)</f>
        <v>-0.58929137090190098</v>
      </c>
      <c r="DV88" s="3">
        <f ca="1">IFERROR(__xludf.DUMMYFUNCTION("""COMPUTED_VALUE"""),-0.600931088368975)</f>
        <v>-0.60093108836897502</v>
      </c>
      <c r="DW88" s="3">
        <f ca="1">IFERROR(__xludf.DUMMYFUNCTION("""COMPUTED_VALUE"""),-0.613159664687051)</f>
        <v>-0.61315966468705096</v>
      </c>
      <c r="DX88" s="3">
        <f ca="1">IFERROR(__xludf.DUMMYFUNCTION("""COMPUTED_VALUE"""),-0.598604344040233)</f>
        <v>-0.59860434404023299</v>
      </c>
      <c r="DY88" s="3">
        <f ca="1">IFERROR(__xludf.DUMMYFUNCTION("""COMPUTED_VALUE"""),-0.57580216384254)</f>
        <v>-0.57580216384254002</v>
      </c>
      <c r="DZ88" s="3">
        <f ca="1">IFERROR(__xludf.DUMMYFUNCTION("""COMPUTED_VALUE"""),-0.441676887018922)</f>
        <v>-0.44167688701892199</v>
      </c>
      <c r="EA88" s="3">
        <f ca="1">IFERROR(__xludf.DUMMYFUNCTION("""COMPUTED_VALUE"""),-0.538211960894507)</f>
        <v>-0.53821196089450696</v>
      </c>
      <c r="EB88" s="3">
        <f ca="1">IFERROR(__xludf.DUMMYFUNCTION("""COMPUTED_VALUE"""),-0.561520241466792)</f>
        <v>-0.56152024146679202</v>
      </c>
      <c r="EC88" s="3">
        <f ca="1">IFERROR(__xludf.DUMMYFUNCTION("""COMPUTED_VALUE"""),-0.5507558634391)</f>
        <v>-0.55075586343909999</v>
      </c>
      <c r="ED88" s="3">
        <f ca="1">IFERROR(__xludf.DUMMYFUNCTION("""COMPUTED_VALUE"""),-0.615379533887027)</f>
        <v>-0.61537953388702704</v>
      </c>
      <c r="EE88" s="3">
        <f ca="1">IFERROR(__xludf.DUMMYFUNCTION("""COMPUTED_VALUE"""),-0.601326445235719)</f>
        <v>-0.60132644523571899</v>
      </c>
      <c r="EF88" s="3">
        <f ca="1">IFERROR(__xludf.DUMMYFUNCTION("""COMPUTED_VALUE"""),-0.621679945305925)</f>
        <v>-0.62167994530592496</v>
      </c>
      <c r="EG88" s="3">
        <f ca="1">IFERROR(__xludf.DUMMYFUNCTION("""COMPUTED_VALUE"""),-0.439900102170343)</f>
        <v>-0.43990010217034298</v>
      </c>
      <c r="EH88" s="3">
        <f ca="1">IFERROR(__xludf.DUMMYFUNCTION("""COMPUTED_VALUE"""),-0.522626722304066)</f>
        <v>-0.52262672230406604</v>
      </c>
      <c r="EI88" s="3">
        <f ca="1">IFERROR(__xludf.DUMMYFUNCTION("""COMPUTED_VALUE"""),-0.60663923676063)</f>
        <v>-0.60663923676063003</v>
      </c>
      <c r="EJ88" s="3">
        <f ca="1">IFERROR(__xludf.DUMMYFUNCTION("""COMPUTED_VALUE"""),-0.681052986789129)</f>
        <v>-0.68105298678912896</v>
      </c>
      <c r="EK88" s="3">
        <f ca="1">IFERROR(__xludf.DUMMYFUNCTION("""COMPUTED_VALUE"""),-0.595055708702226)</f>
        <v>-0.59505570870222602</v>
      </c>
      <c r="EL88" s="3">
        <f ca="1">IFERROR(__xludf.DUMMYFUNCTION("""COMPUTED_VALUE"""),-0.584924376374377)</f>
        <v>-0.584924376374377</v>
      </c>
      <c r="EM88" s="3">
        <f ca="1">IFERROR(__xludf.DUMMYFUNCTION("""COMPUTED_VALUE"""),-0.561195024350899)</f>
        <v>-0.56119502435089896</v>
      </c>
      <c r="EN88" s="3">
        <f ca="1">IFERROR(__xludf.DUMMYFUNCTION("""COMPUTED_VALUE"""),-0.436148648408452)</f>
        <v>-0.43614864840845202</v>
      </c>
      <c r="EO88" s="3">
        <f ca="1">IFERROR(__xludf.DUMMYFUNCTION("""COMPUTED_VALUE"""),-0.466116347416084)</f>
        <v>-0.46611634741608399</v>
      </c>
      <c r="EP88" s="3">
        <f ca="1">IFERROR(__xludf.DUMMYFUNCTION("""COMPUTED_VALUE"""),-0.510086605677305)</f>
        <v>-0.51008660567730502</v>
      </c>
      <c r="EQ88" s="3">
        <f ca="1">IFERROR(__xludf.DUMMYFUNCTION("""COMPUTED_VALUE"""),-0.529807910444261)</f>
        <v>-0.52980791044426101</v>
      </c>
      <c r="ER88" s="3">
        <f ca="1">IFERROR(__xludf.DUMMYFUNCTION("""COMPUTED_VALUE"""),-0.587163469949861)</f>
        <v>-0.58716346994986102</v>
      </c>
      <c r="ES88" s="3">
        <f ca="1">IFERROR(__xludf.DUMMYFUNCTION("""COMPUTED_VALUE"""),-0.576207165642301)</f>
        <v>-0.57620716564230101</v>
      </c>
      <c r="ET88" s="3">
        <f ca="1">IFERROR(__xludf.DUMMYFUNCTION("""COMPUTED_VALUE"""),-0.543593109238929)</f>
        <v>-0.54359310923892901</v>
      </c>
      <c r="EU88" s="3">
        <f ca="1">IFERROR(__xludf.DUMMYFUNCTION("""COMPUTED_VALUE"""),-0.462601443671544)</f>
        <v>-0.46260144367154399</v>
      </c>
      <c r="EV88" s="3">
        <f ca="1">IFERROR(__xludf.DUMMYFUNCTION("""COMPUTED_VALUE"""),-0.480736771494279)</f>
        <v>-0.48073677149427901</v>
      </c>
      <c r="EW88" s="3">
        <f ca="1">IFERROR(__xludf.DUMMYFUNCTION("""COMPUTED_VALUE"""),-0.586337613104651)</f>
        <v>-0.58633761310465105</v>
      </c>
      <c r="EX88" s="3">
        <f ca="1">IFERROR(__xludf.DUMMYFUNCTION("""COMPUTED_VALUE"""),-0.604299525011018)</f>
        <v>-0.60429952501101802</v>
      </c>
      <c r="EY88" s="3">
        <f ca="1">IFERROR(__xludf.DUMMYFUNCTION("""COMPUTED_VALUE"""),-0.621570374424306)</f>
        <v>-0.62157037442430596</v>
      </c>
      <c r="EZ88" s="3">
        <f ca="1">IFERROR(__xludf.DUMMYFUNCTION("""COMPUTED_VALUE"""),-0.531347381188226)</f>
        <v>-0.531347381188226</v>
      </c>
      <c r="FA88" s="3">
        <f ca="1">IFERROR(__xludf.DUMMYFUNCTION("""COMPUTED_VALUE"""),-0.503429422787863)</f>
        <v>-0.50342942278786296</v>
      </c>
      <c r="FB88" s="3">
        <f ca="1">IFERROR(__xludf.DUMMYFUNCTION("""COMPUTED_VALUE"""),-0.426751387560266)</f>
        <v>-0.42675138756026598</v>
      </c>
      <c r="FC88" s="3">
        <f ca="1">IFERROR(__xludf.DUMMYFUNCTION("""COMPUTED_VALUE"""),-0.485673585298078)</f>
        <v>-0.48567358529807803</v>
      </c>
      <c r="FD88" s="3">
        <f ca="1">IFERROR(__xludf.DUMMYFUNCTION("""COMPUTED_VALUE"""),-0.556212933584568)</f>
        <v>-0.55621293358456803</v>
      </c>
      <c r="FE88" s="3">
        <f ca="1">IFERROR(__xludf.DUMMYFUNCTION("""COMPUTED_VALUE"""),-0.562092225559607)</f>
        <v>-0.56209222555960703</v>
      </c>
      <c r="FF88" s="3">
        <f ca="1">IFERROR(__xludf.DUMMYFUNCTION("""COMPUTED_VALUE"""),-0.590138640546909)</f>
        <v>-0.59013864054690901</v>
      </c>
      <c r="FG88" s="3">
        <f ca="1">IFERROR(__xludf.DUMMYFUNCTION("""COMPUTED_VALUE"""),-0.582163676835709)</f>
        <v>-0.58216367683570902</v>
      </c>
      <c r="FH88" s="3">
        <f ca="1">IFERROR(__xludf.DUMMYFUNCTION("""COMPUTED_VALUE"""),-0.526019679828451)</f>
        <v>-0.52601967982845099</v>
      </c>
      <c r="FI88" s="3">
        <f ca="1">IFERROR(__xludf.DUMMYFUNCTION("""COMPUTED_VALUE"""),-0.445377727714062)</f>
        <v>-0.44537772771406198</v>
      </c>
      <c r="FJ88" s="3">
        <f ca="1">IFERROR(__xludf.DUMMYFUNCTION("""COMPUTED_VALUE"""),-0.479890799309874)</f>
        <v>-0.47989079930987399</v>
      </c>
      <c r="FK88" s="3">
        <f ca="1">IFERROR(__xludf.DUMMYFUNCTION("""COMPUTED_VALUE"""),-0.600062871767836)</f>
        <v>-0.60006287176783601</v>
      </c>
      <c r="FL88" s="3">
        <f ca="1">IFERROR(__xludf.DUMMYFUNCTION("""COMPUTED_VALUE"""),-0.618715461815477)</f>
        <v>-0.61871546181547699</v>
      </c>
      <c r="FM88" s="3">
        <f ca="1">IFERROR(__xludf.DUMMYFUNCTION("""COMPUTED_VALUE"""),-0.583059380489318)</f>
        <v>-0.58305938048931805</v>
      </c>
      <c r="FN88" s="3">
        <f ca="1">IFERROR(__xludf.DUMMYFUNCTION("""COMPUTED_VALUE"""),-0.547106963245252)</f>
        <v>-0.54710696324525199</v>
      </c>
      <c r="FO88" s="3">
        <f ca="1">IFERROR(__xludf.DUMMYFUNCTION("""COMPUTED_VALUE"""),-0.574762573709414)</f>
        <v>-0.57476257370941397</v>
      </c>
      <c r="FP88" s="3">
        <f ca="1">IFERROR(__xludf.DUMMYFUNCTION("""COMPUTED_VALUE"""),-0.426164247734931)</f>
        <v>-0.426164247734931</v>
      </c>
      <c r="FQ88" s="3">
        <f ca="1">IFERROR(__xludf.DUMMYFUNCTION("""COMPUTED_VALUE"""),-0.492087352526526)</f>
        <v>-0.49208735252652602</v>
      </c>
      <c r="FR88" s="3">
        <f ca="1">IFERROR(__xludf.DUMMYFUNCTION("""COMPUTED_VALUE"""),-0.574457261475873)</f>
        <v>-0.57445726147587295</v>
      </c>
      <c r="FS88" s="3">
        <f ca="1">IFERROR(__xludf.DUMMYFUNCTION("""COMPUTED_VALUE"""),-0.574345096583441)</f>
        <v>-0.57434509658344102</v>
      </c>
      <c r="FT88" s="3">
        <f ca="1">IFERROR(__xludf.DUMMYFUNCTION("""COMPUTED_VALUE"""),-0.576184057756977)</f>
        <v>-0.57618405775697701</v>
      </c>
      <c r="FU88" s="3">
        <f ca="1">IFERROR(__xludf.DUMMYFUNCTION("""COMPUTED_VALUE"""),-0.560003607612602)</f>
        <v>-0.56000360761260204</v>
      </c>
      <c r="FV88" s="3">
        <f ca="1">IFERROR(__xludf.DUMMYFUNCTION("""COMPUTED_VALUE"""),-0.507462154730583)</f>
        <v>-0.50746215473058298</v>
      </c>
      <c r="FW88" s="3">
        <f ca="1">IFERROR(__xludf.DUMMYFUNCTION("""COMPUTED_VALUE"""),-0.409784688292254)</f>
        <v>-0.40978468829225401</v>
      </c>
      <c r="FX88" s="3">
        <f ca="1">IFERROR(__xludf.DUMMYFUNCTION("""COMPUTED_VALUE"""),-0.486144370553812)</f>
        <v>-0.48614437055381199</v>
      </c>
      <c r="FY88" s="3">
        <f ca="1">IFERROR(__xludf.DUMMYFUNCTION("""COMPUTED_VALUE"""),-0.610676164429947)</f>
        <v>-0.61067616442994699</v>
      </c>
      <c r="FZ88" s="3">
        <f ca="1">IFERROR(__xludf.DUMMYFUNCTION("""COMPUTED_VALUE"""),-0.559670721085713)</f>
        <v>-0.55967072108571303</v>
      </c>
      <c r="GA88" s="3">
        <f ca="1">IFERROR(__xludf.DUMMYFUNCTION("""COMPUTED_VALUE"""),-0.529800504919805)</f>
        <v>-0.52980050491980502</v>
      </c>
      <c r="GB88" s="3">
        <f ca="1">IFERROR(__xludf.DUMMYFUNCTION("""COMPUTED_VALUE"""),-0.581719656113086)</f>
        <v>-0.58171965611308596</v>
      </c>
      <c r="GC88" s="3">
        <f ca="1">IFERROR(__xludf.DUMMYFUNCTION("""COMPUTED_VALUE"""),-0.589487058538302)</f>
        <v>-0.58948705853830197</v>
      </c>
      <c r="GD88" s="3">
        <f ca="1">IFERROR(__xludf.DUMMYFUNCTION("""COMPUTED_VALUE"""),-0.435250933031408)</f>
        <v>-0.43525093303140799</v>
      </c>
      <c r="GE88" s="3">
        <f ca="1">IFERROR(__xludf.DUMMYFUNCTION("""COMPUTED_VALUE"""),-0.460203662765055)</f>
        <v>-0.46020366276505498</v>
      </c>
      <c r="GF88" s="3">
        <f ca="1">IFERROR(__xludf.DUMMYFUNCTION("""COMPUTED_VALUE"""),-0.559949027058817)</f>
        <v>-0.55994902705881699</v>
      </c>
      <c r="GG88" s="3">
        <f ca="1">IFERROR(__xludf.DUMMYFUNCTION("""COMPUTED_VALUE"""),-0.556457480594357)</f>
        <v>-0.55645748059435696</v>
      </c>
      <c r="GH88" s="3">
        <f ca="1">IFERROR(__xludf.DUMMYFUNCTION("""COMPUTED_VALUE"""),-0.537198373000456)</f>
        <v>-0.53719837300045603</v>
      </c>
      <c r="GI88" s="3">
        <f ca="1">IFERROR(__xludf.DUMMYFUNCTION("""COMPUTED_VALUE"""),-0.525810022211002)</f>
        <v>-0.52581002221100204</v>
      </c>
      <c r="GJ88" s="3">
        <f ca="1">IFERROR(__xludf.DUMMYFUNCTION("""COMPUTED_VALUE"""),-0.472953696371763)</f>
        <v>-0.47295369637176299</v>
      </c>
      <c r="GK88" s="3">
        <f ca="1">IFERROR(__xludf.DUMMYFUNCTION("""COMPUTED_VALUE"""),-0.465256609226055)</f>
        <v>-0.465256609226055</v>
      </c>
      <c r="GL88" s="3">
        <f ca="1">IFERROR(__xludf.DUMMYFUNCTION("""COMPUTED_VALUE"""),-0.475935847294263)</f>
        <v>-0.47593584729426303</v>
      </c>
      <c r="GM88" s="3">
        <f ca="1">IFERROR(__xludf.DUMMYFUNCTION("""COMPUTED_VALUE"""),-0.561609241244941)</f>
        <v>-0.56160924124494105</v>
      </c>
      <c r="GN88" s="3">
        <f ca="1">IFERROR(__xludf.DUMMYFUNCTION("""COMPUTED_VALUE"""),-0.549473415631263)</f>
        <v>-0.54947341563126295</v>
      </c>
      <c r="GO88" s="3">
        <f ca="1">IFERROR(__xludf.DUMMYFUNCTION("""COMPUTED_VALUE"""),-0.531570510483042)</f>
        <v>-0.53157051048304205</v>
      </c>
      <c r="GP88" s="3">
        <f ca="1">IFERROR(__xludf.DUMMYFUNCTION("""COMPUTED_VALUE"""),-0.560978959749164)</f>
        <v>-0.56097895974916401</v>
      </c>
      <c r="GQ88" s="3">
        <f ca="1">IFERROR(__xludf.DUMMYFUNCTION("""COMPUTED_VALUE"""),-0.548620237566145)</f>
        <v>-0.54862023756614497</v>
      </c>
      <c r="GR88" s="3">
        <f ca="1">IFERROR(__xludf.DUMMYFUNCTION("""COMPUTED_VALUE"""),-0.448543041143641)</f>
        <v>-0.44854304114364102</v>
      </c>
      <c r="GS88" s="3">
        <f ca="1">IFERROR(__xludf.DUMMYFUNCTION("""COMPUTED_VALUE"""),-0.488946346346766)</f>
        <v>-0.48894634634676598</v>
      </c>
      <c r="GT88" s="3">
        <f ca="1">IFERROR(__xludf.DUMMYFUNCTION("""COMPUTED_VALUE"""),-0.571470779436541)</f>
        <v>-0.57147077943654101</v>
      </c>
      <c r="GU88" s="3">
        <f ca="1">IFERROR(__xludf.DUMMYFUNCTION("""COMPUTED_VALUE"""),-0.58607897174798)</f>
        <v>-0.58607897174797996</v>
      </c>
      <c r="GV88" s="3">
        <f ca="1">IFERROR(__xludf.DUMMYFUNCTION("""COMPUTED_VALUE"""),-0.583942239469933)</f>
        <v>-0.58394223946993296</v>
      </c>
      <c r="GW88" s="3">
        <f ca="1">IFERROR(__xludf.DUMMYFUNCTION("""COMPUTED_VALUE"""),-0.55428981799613)</f>
        <v>-0.55428981799612997</v>
      </c>
      <c r="GX88" s="3">
        <f ca="1">IFERROR(__xludf.DUMMYFUNCTION("""COMPUTED_VALUE"""),-0.522237063897899)</f>
        <v>-0.52223706389789903</v>
      </c>
      <c r="GY88" s="3">
        <f ca="1">IFERROR(__xludf.DUMMYFUNCTION("""COMPUTED_VALUE"""),-0.414444320795454)</f>
        <v>-0.41444432079545401</v>
      </c>
      <c r="GZ88" s="3">
        <f ca="1">IFERROR(__xludf.DUMMYFUNCTION("""COMPUTED_VALUE"""),-0.471082316779486)</f>
        <v>-0.47108231677948598</v>
      </c>
      <c r="HA88" s="3">
        <f ca="1">IFERROR(__xludf.DUMMYFUNCTION("""COMPUTED_VALUE"""),-0.572341841086205)</f>
        <v>-0.57234184108620501</v>
      </c>
      <c r="HB88" s="3">
        <f ca="1">IFERROR(__xludf.DUMMYFUNCTION("""COMPUTED_VALUE"""),-0.596077989012566)</f>
        <v>-0.59607798901256603</v>
      </c>
      <c r="HC88" s="3">
        <f ca="1">IFERROR(__xludf.DUMMYFUNCTION("""COMPUTED_VALUE"""),-0.595120087182981)</f>
        <v>-0.59512008718298104</v>
      </c>
      <c r="HD88" s="3">
        <f ca="1">IFERROR(__xludf.DUMMYFUNCTION("""COMPUTED_VALUE"""),-0.585692283032161)</f>
        <v>-0.58569228303216103</v>
      </c>
      <c r="HE88" s="3">
        <f ca="1">IFERROR(__xludf.DUMMYFUNCTION("""COMPUTED_VALUE"""),-0.569636295574587)</f>
        <v>-0.56963629557458695</v>
      </c>
      <c r="HF88" s="3">
        <f ca="1">IFERROR(__xludf.DUMMYFUNCTION("""COMPUTED_VALUE"""),-0.453676111345924)</f>
        <v>-0.453676111345924</v>
      </c>
      <c r="HG88" s="3">
        <f ca="1">IFERROR(__xludf.DUMMYFUNCTION("""COMPUTED_VALUE"""),-0.453439286654643)</f>
        <v>-0.453439286654643</v>
      </c>
      <c r="HH88" s="3">
        <f ca="1">IFERROR(__xludf.DUMMYFUNCTION("""COMPUTED_VALUE"""),-0.560591572564015)</f>
        <v>-0.56059157256401504</v>
      </c>
      <c r="HI88" s="3">
        <f ca="1">IFERROR(__xludf.DUMMYFUNCTION("""COMPUTED_VALUE"""),-0.601527091070586)</f>
        <v>-0.601527091070586</v>
      </c>
      <c r="HJ88" s="3">
        <f ca="1">IFERROR(__xludf.DUMMYFUNCTION("""COMPUTED_VALUE"""),-0.557033264295803)</f>
        <v>-0.55703326429580302</v>
      </c>
      <c r="HK88" s="3">
        <f ca="1">IFERROR(__xludf.DUMMYFUNCTION("""COMPUTED_VALUE"""),-0.529407659932214)</f>
        <v>-0.52940765993221395</v>
      </c>
      <c r="HL88" s="3">
        <f ca="1">IFERROR(__xludf.DUMMYFUNCTION("""COMPUTED_VALUE"""),-0.422206188247737)</f>
        <v>-0.42220618824773698</v>
      </c>
      <c r="HM88" s="3">
        <f ca="1">IFERROR(__xludf.DUMMYFUNCTION("""COMPUTED_VALUE"""),-0.417288058928344)</f>
        <v>-0.41728805892834397</v>
      </c>
      <c r="HN88" s="3">
        <f ca="1">IFERROR(__xludf.DUMMYFUNCTION("""COMPUTED_VALUE"""),-0.445421468598751)</f>
        <v>-0.44542146859875098</v>
      </c>
      <c r="HO88" s="3">
        <f ca="1">IFERROR(__xludf.DUMMYFUNCTION("""COMPUTED_VALUE"""),-0.519539055957186)</f>
        <v>-0.51953905595718597</v>
      </c>
      <c r="HP88" s="3">
        <f ca="1">IFERROR(__xludf.DUMMYFUNCTION("""COMPUTED_VALUE"""),-0.563735430876393)</f>
        <v>-0.563735430876393</v>
      </c>
      <c r="HQ88" s="3">
        <f ca="1">IFERROR(__xludf.DUMMYFUNCTION("""COMPUTED_VALUE"""),-0.564421668792524)</f>
        <v>-0.56442166879252398</v>
      </c>
      <c r="HR88" s="3">
        <f ca="1">IFERROR(__xludf.DUMMYFUNCTION("""COMPUTED_VALUE"""),-0.545933232169723)</f>
        <v>-0.545933232169723</v>
      </c>
      <c r="HS88" s="3">
        <f ca="1">IFERROR(__xludf.DUMMYFUNCTION("""COMPUTED_VALUE"""),-0.449289601597182)</f>
        <v>-0.44928960159718201</v>
      </c>
      <c r="HT88" s="3">
        <f ca="1">IFERROR(__xludf.DUMMYFUNCTION("""COMPUTED_VALUE"""),-0.301852629738987)</f>
        <v>-0.30185262973898702</v>
      </c>
      <c r="HU88" s="3">
        <f ca="1">IFERROR(__xludf.DUMMYFUNCTION("""COMPUTED_VALUE"""),-0.428246065164733)</f>
        <v>-0.42824606516473301</v>
      </c>
      <c r="HV88" s="3">
        <f ca="1">IFERROR(__xludf.DUMMYFUNCTION("""COMPUTED_VALUE"""),-0.397258112951767)</f>
        <v>-0.397258112951767</v>
      </c>
      <c r="HW88" s="3">
        <f ca="1">IFERROR(__xludf.DUMMYFUNCTION("""COMPUTED_VALUE"""),-0.444457679575186)</f>
        <v>-0.444457679575186</v>
      </c>
      <c r="HX88" s="3">
        <f ca="1">IFERROR(__xludf.DUMMYFUNCTION("""COMPUTED_VALUE"""),-0.412836744464611)</f>
        <v>-0.41283674446461099</v>
      </c>
      <c r="HY88" s="3">
        <f ca="1">IFERROR(__xludf.DUMMYFUNCTION("""COMPUTED_VALUE"""),-0.383687202263471)</f>
        <v>-0.38368720226347097</v>
      </c>
      <c r="HZ88" s="3">
        <f ca="1">IFERROR(__xludf.DUMMYFUNCTION("""COMPUTED_VALUE"""),-0.296099768273256)</f>
        <v>-0.29609976827325601</v>
      </c>
      <c r="IA88" s="3">
        <f ca="1">IFERROR(__xludf.DUMMYFUNCTION("""COMPUTED_VALUE"""),-0.335406280453735)</f>
        <v>-0.335406280453735</v>
      </c>
      <c r="IB88" s="3">
        <f ca="1">IFERROR(__xludf.DUMMYFUNCTION("""COMPUTED_VALUE"""),-0.347370858341057)</f>
        <v>-0.34737085834105702</v>
      </c>
      <c r="IC88" s="3">
        <f ca="1">IFERROR(__xludf.DUMMYFUNCTION("""COMPUTED_VALUE"""),-0.346158832627335)</f>
        <v>-0.34615883262733499</v>
      </c>
      <c r="ID88" s="3">
        <f ca="1">IFERROR(__xludf.DUMMYFUNCTION("""COMPUTED_VALUE"""),-0.388927518545496)</f>
        <v>-0.38892751854549601</v>
      </c>
      <c r="IE88" s="3">
        <f ca="1">IFERROR(__xludf.DUMMYFUNCTION("""COMPUTED_VALUE"""),-0.415933752612914)</f>
        <v>-0.41593375261291399</v>
      </c>
      <c r="IF88" s="3">
        <f ca="1">IFERROR(__xludf.DUMMYFUNCTION("""COMPUTED_VALUE"""),-0.36820510749007)</f>
        <v>-0.36820510749007002</v>
      </c>
      <c r="IG88" s="3">
        <f ca="1">IFERROR(__xludf.DUMMYFUNCTION("""COMPUTED_VALUE"""),-0.380334616544634)</f>
        <v>-0.38033461654463402</v>
      </c>
      <c r="IH88" s="3">
        <f ca="1">IFERROR(__xludf.DUMMYFUNCTION("""COMPUTED_VALUE"""),-0.445333594097491)</f>
        <v>-0.44533359409749101</v>
      </c>
      <c r="II88" s="3">
        <f ca="1">IFERROR(__xludf.DUMMYFUNCTION("""COMPUTED_VALUE"""),-0.361294330503859)</f>
        <v>-0.36129433050385901</v>
      </c>
      <c r="IJ88" s="3">
        <f ca="1">IFERROR(__xludf.DUMMYFUNCTION("""COMPUTED_VALUE"""),-0.363238281045073)</f>
        <v>-0.363238281045073</v>
      </c>
      <c r="IK88" s="3">
        <f ca="1">IFERROR(__xludf.DUMMYFUNCTION("""COMPUTED_VALUE"""),-0.457144439046816)</f>
        <v>-0.45714443904681601</v>
      </c>
      <c r="IL88" s="3">
        <f ca="1">IFERROR(__xludf.DUMMYFUNCTION("""COMPUTED_VALUE"""),-0.407871227081169)</f>
        <v>-0.40787122708116902</v>
      </c>
      <c r="IM88" s="3">
        <f ca="1">IFERROR(__xludf.DUMMYFUNCTION("""COMPUTED_VALUE"""),-0.389739211360463)</f>
        <v>-0.38973921136046302</v>
      </c>
      <c r="IN88" s="3">
        <f ca="1">IFERROR(__xludf.DUMMYFUNCTION("""COMPUTED_VALUE"""),-0.363790759225119)</f>
        <v>-0.363790759225119</v>
      </c>
      <c r="IO88" s="3">
        <f ca="1">IFERROR(__xludf.DUMMYFUNCTION("""COMPUTED_VALUE"""),-0.348865495411048)</f>
        <v>-0.348865495411048</v>
      </c>
      <c r="IP88" s="3">
        <f ca="1">IFERROR(__xludf.DUMMYFUNCTION("""COMPUTED_VALUE"""),-0.410263310846706)</f>
        <v>-0.41026331084670598</v>
      </c>
      <c r="IQ88" s="3">
        <f ca="1">IFERROR(__xludf.DUMMYFUNCTION("""COMPUTED_VALUE"""),-0.41895111497582)</f>
        <v>-0.41895111497581999</v>
      </c>
      <c r="IR88" s="3">
        <f ca="1">IFERROR(__xludf.DUMMYFUNCTION("""COMPUTED_VALUE"""),-0.426719786377614)</f>
        <v>-0.42671978637761399</v>
      </c>
      <c r="IS88" s="3">
        <f ca="1">IFERROR(__xludf.DUMMYFUNCTION("""COMPUTED_VALUE"""),-0.357734726148774)</f>
        <v>-0.357734726148774</v>
      </c>
      <c r="IT88" s="3">
        <f ca="1">IFERROR(__xludf.DUMMYFUNCTION("""COMPUTED_VALUE"""),-0.480199113922403)</f>
        <v>-0.480199113922403</v>
      </c>
      <c r="IU88" s="3">
        <f ca="1">IFERROR(__xludf.DUMMYFUNCTION("""COMPUTED_VALUE"""),-0.41104029197984)</f>
        <v>-0.41104029197983999</v>
      </c>
      <c r="IV88" s="3">
        <f ca="1">IFERROR(__xludf.DUMMYFUNCTION("""COMPUTED_VALUE"""),-0.421512622825078)</f>
        <v>-0.42151262282507801</v>
      </c>
      <c r="IW88" s="3">
        <f ca="1">IFERROR(__xludf.DUMMYFUNCTION("""COMPUTED_VALUE"""),-0.392077933957035)</f>
        <v>-0.392077933957035</v>
      </c>
      <c r="IX88" s="3">
        <f ca="1">IFERROR(__xludf.DUMMYFUNCTION("""COMPUTED_VALUE"""),-0.467880446187879)</f>
        <v>-0.467880446187879</v>
      </c>
      <c r="IY88" s="3">
        <f ca="1">IFERROR(__xludf.DUMMYFUNCTION("""COMPUTED_VALUE"""),-0.475304775218938)</f>
        <v>-0.47530477521893799</v>
      </c>
      <c r="IZ88" s="3">
        <f ca="1">IFERROR(__xludf.DUMMYFUNCTION("""COMPUTED_VALUE"""),-0.455894325039375)</f>
        <v>-0.45589432503937499</v>
      </c>
      <c r="JA88" s="3">
        <f ca="1">IFERROR(__xludf.DUMMYFUNCTION("""COMPUTED_VALUE"""),-0.482930880892822)</f>
        <v>-0.48293088089282199</v>
      </c>
      <c r="JB88" s="3">
        <f ca="1">IFERROR(__xludf.DUMMYFUNCTION("""COMPUTED_VALUE"""),-0.456703643009399)</f>
        <v>-0.45670364300939897</v>
      </c>
      <c r="JC88" s="3">
        <f ca="1">IFERROR(__xludf.DUMMYFUNCTION("""COMPUTED_VALUE"""),-0.391606755002377)</f>
        <v>-0.39160675500237702</v>
      </c>
      <c r="JD88" s="3">
        <f ca="1">IFERROR(__xludf.DUMMYFUNCTION("""COMPUTED_VALUE"""),-0.403787926216052)</f>
        <v>-0.40378792621605197</v>
      </c>
      <c r="JE88" s="3">
        <f ca="1">IFERROR(__xludf.DUMMYFUNCTION("""COMPUTED_VALUE"""),-0.523768481683964)</f>
        <v>-0.52376848168396395</v>
      </c>
      <c r="JF88" s="3">
        <f ca="1">IFERROR(__xludf.DUMMYFUNCTION("""COMPUTED_VALUE"""),-0.498823148030293)</f>
        <v>-0.49882314803029298</v>
      </c>
      <c r="JG88" s="3">
        <f ca="1">IFERROR(__xludf.DUMMYFUNCTION("""COMPUTED_VALUE"""),-0.48656273279086)</f>
        <v>-0.48656273279085999</v>
      </c>
      <c r="JH88" s="3">
        <f ca="1">IFERROR(__xludf.DUMMYFUNCTION("""COMPUTED_VALUE"""),-0.478153864199574)</f>
        <v>-0.47815386419957401</v>
      </c>
      <c r="JI88" s="3">
        <f ca="1">IFERROR(__xludf.DUMMYFUNCTION("""COMPUTED_VALUE"""),-0.468345831170204)</f>
        <v>-0.46834583117020401</v>
      </c>
      <c r="JJ88" s="3">
        <f ca="1">IFERROR(__xludf.DUMMYFUNCTION("""COMPUTED_VALUE"""),-0.39185838068342)</f>
        <v>-0.39185838068341999</v>
      </c>
      <c r="JK88" s="3">
        <f ca="1">IFERROR(__xludf.DUMMYFUNCTION("""COMPUTED_VALUE"""),-0.443227021382703)</f>
        <v>-0.44322702138270298</v>
      </c>
      <c r="JL88" s="3">
        <f ca="1">IFERROR(__xludf.DUMMYFUNCTION("""COMPUTED_VALUE"""),-0.509046295584338)</f>
        <v>-0.509046295584338</v>
      </c>
      <c r="JM88" s="3">
        <f ca="1">IFERROR(__xludf.DUMMYFUNCTION("""COMPUTED_VALUE"""),-0.486077098580608)</f>
        <v>-0.48607709858060799</v>
      </c>
      <c r="JN88" s="3">
        <f ca="1">IFERROR(__xludf.DUMMYFUNCTION("""COMPUTED_VALUE"""),-0.504676418789769)</f>
        <v>-0.50467641878976899</v>
      </c>
      <c r="JO88" s="3">
        <f ca="1">IFERROR(__xludf.DUMMYFUNCTION("""COMPUTED_VALUE"""),-0.487855627202267)</f>
        <v>-0.48785562720226699</v>
      </c>
      <c r="JP88" s="3">
        <f ca="1">IFERROR(__xludf.DUMMYFUNCTION("""COMPUTED_VALUE"""),-0.470637045635636)</f>
        <v>-0.47063704563563602</v>
      </c>
      <c r="JQ88" s="3">
        <f ca="1">IFERROR(__xludf.DUMMYFUNCTION("""COMPUTED_VALUE"""),-0.400673424211008)</f>
        <v>-0.40067342421100799</v>
      </c>
      <c r="JR88" s="3">
        <f ca="1">IFERROR(__xludf.DUMMYFUNCTION("""COMPUTED_VALUE"""),-0.516312694458806)</f>
        <v>-0.51631269445880601</v>
      </c>
      <c r="JS88" s="3">
        <f ca="1">IFERROR(__xludf.DUMMYFUNCTION("""COMPUTED_VALUE"""),-0.549982569943119)</f>
        <v>-0.549982569943119</v>
      </c>
      <c r="JT88" s="3">
        <f ca="1">IFERROR(__xludf.DUMMYFUNCTION("""COMPUTED_VALUE"""),-0.419311356263794)</f>
        <v>-0.41931135626379401</v>
      </c>
      <c r="JU88" s="3">
        <f ca="1">IFERROR(__xludf.DUMMYFUNCTION("""COMPUTED_VALUE"""),-0.530512499491112)</f>
        <v>-0.53051249949111201</v>
      </c>
      <c r="JV88" s="3">
        <f ca="1">IFERROR(__xludf.DUMMYFUNCTION("""COMPUTED_VALUE"""),-0.536664002337752)</f>
        <v>-0.53666400233775202</v>
      </c>
      <c r="JW88" s="3">
        <f ca="1">IFERROR(__xludf.DUMMYFUNCTION("""COMPUTED_VALUE"""),-0.501260945288889)</f>
        <v>-0.50126094528888898</v>
      </c>
      <c r="JX88" s="3">
        <f ca="1">IFERROR(__xludf.DUMMYFUNCTION("""COMPUTED_VALUE"""),-0.443065994143823)</f>
        <v>-0.44306599414382303</v>
      </c>
      <c r="JY88" s="3">
        <f ca="1">IFERROR(__xludf.DUMMYFUNCTION("""COMPUTED_VALUE"""),-0.532556272749859)</f>
        <v>-0.53255627274985895</v>
      </c>
      <c r="JZ88" s="3">
        <f ca="1">IFERROR(__xludf.DUMMYFUNCTION("""COMPUTED_VALUE"""),-0.440558637917255)</f>
        <v>-0.44055863791725502</v>
      </c>
      <c r="KA88" s="3">
        <f ca="1">IFERROR(__xludf.DUMMYFUNCTION("""COMPUTED_VALUE"""),-0.45111199710805)</f>
        <v>-0.45111199710805</v>
      </c>
      <c r="KB88" s="3">
        <f ca="1">IFERROR(__xludf.DUMMYFUNCTION("""COMPUTED_VALUE"""),-0.566974213123335)</f>
        <v>-0.56697421312333496</v>
      </c>
      <c r="KC88" s="3">
        <f ca="1">IFERROR(__xludf.DUMMYFUNCTION("""COMPUTED_VALUE"""),-0.533769714113959)</f>
        <v>-0.53376971411395902</v>
      </c>
      <c r="KD88" s="3">
        <f ca="1">IFERROR(__xludf.DUMMYFUNCTION("""COMPUTED_VALUE"""),-0.492110727195731)</f>
        <v>-0.49211072719573101</v>
      </c>
      <c r="KE88" s="3">
        <f ca="1">IFERROR(__xludf.DUMMYFUNCTION("""COMPUTED_VALUE"""),-0.484752843096001)</f>
        <v>-0.48475284309600097</v>
      </c>
      <c r="KF88" s="3">
        <f ca="1">IFERROR(__xludf.DUMMYFUNCTION("""COMPUTED_VALUE"""),-0.517542029317955)</f>
        <v>-0.51754202931795501</v>
      </c>
      <c r="KG88" s="3">
        <f ca="1">IFERROR(__xludf.DUMMYFUNCTION("""COMPUTED_VALUE"""),-0.474776433653741)</f>
        <v>-0.474776433653741</v>
      </c>
      <c r="KH88" s="3">
        <f ca="1">IFERROR(__xludf.DUMMYFUNCTION("""COMPUTED_VALUE"""),-0.493832668016215)</f>
        <v>-0.493832668016215</v>
      </c>
      <c r="KI88" s="3">
        <f ca="1">IFERROR(__xludf.DUMMYFUNCTION("""COMPUTED_VALUE"""),-0.54446613268567)</f>
        <v>-0.54446613268567001</v>
      </c>
      <c r="KJ88" s="3">
        <f ca="1">IFERROR(__xludf.DUMMYFUNCTION("""COMPUTED_VALUE"""),-0.51253757097548)</f>
        <v>-0.51253757097548003</v>
      </c>
      <c r="KK88" s="3">
        <f ca="1">IFERROR(__xludf.DUMMYFUNCTION("""COMPUTED_VALUE"""),-0.52170828843288)</f>
        <v>-0.52170828843287997</v>
      </c>
      <c r="KL88" s="3">
        <f ca="1">IFERROR(__xludf.DUMMYFUNCTION("""COMPUTED_VALUE"""),-0.522748464489639)</f>
        <v>-0.52274846448963896</v>
      </c>
      <c r="KM88" s="3">
        <f ca="1">IFERROR(__xludf.DUMMYFUNCTION("""COMPUTED_VALUE"""),-0.566907281591569)</f>
        <v>-0.566907281591569</v>
      </c>
      <c r="KN88" s="3">
        <f ca="1">IFERROR(__xludf.DUMMYFUNCTION("""COMPUTED_VALUE"""),-0.580854835662994)</f>
        <v>-0.58085483566299401</v>
      </c>
      <c r="KO88" s="3">
        <f ca="1">IFERROR(__xludf.DUMMYFUNCTION("""COMPUTED_VALUE"""),-0.597824744759689)</f>
        <v>-0.59782474475968905</v>
      </c>
      <c r="KP88" s="3">
        <f ca="1">IFERROR(__xludf.DUMMYFUNCTION("""COMPUTED_VALUE"""),-0.607926160756419)</f>
        <v>-0.60792616075641903</v>
      </c>
      <c r="KQ88" s="3">
        <f ca="1">IFERROR(__xludf.DUMMYFUNCTION("""COMPUTED_VALUE"""),-0.576757341723199)</f>
        <v>-0.57675734172319904</v>
      </c>
      <c r="KR88" s="3">
        <f ca="1">IFERROR(__xludf.DUMMYFUNCTION("""COMPUTED_VALUE"""),-0.573178018640387)</f>
        <v>-0.57317801864038698</v>
      </c>
      <c r="KS88" s="3">
        <f ca="1">IFERROR(__xludf.DUMMYFUNCTION("""COMPUTED_VALUE"""),-0.542122731124308)</f>
        <v>-0.54212273112430798</v>
      </c>
      <c r="KT88" s="3">
        <f ca="1">IFERROR(__xludf.DUMMYFUNCTION("""COMPUTED_VALUE"""),-0.585119535478331)</f>
        <v>-0.58511953547833095</v>
      </c>
      <c r="KU88" s="3">
        <f ca="1">IFERROR(__xludf.DUMMYFUNCTION("""COMPUTED_VALUE"""),-0.59794703836757)</f>
        <v>-0.59794703836757002</v>
      </c>
      <c r="KV88" s="3">
        <f ca="1">IFERROR(__xludf.DUMMYFUNCTION("""COMPUTED_VALUE"""),-0.630299234454469)</f>
        <v>-0.630299234454469</v>
      </c>
      <c r="KW88" s="3">
        <f ca="1">IFERROR(__xludf.DUMMYFUNCTION("""COMPUTED_VALUE"""),-0.601683247764968)</f>
        <v>-0.60168324776496795</v>
      </c>
      <c r="KX88" s="3">
        <f ca="1">IFERROR(__xludf.DUMMYFUNCTION("""COMPUTED_VALUE"""),-0.577451846642929)</f>
        <v>-0.57745184664292903</v>
      </c>
      <c r="KY88" s="3">
        <f ca="1">IFERROR(__xludf.DUMMYFUNCTION("""COMPUTED_VALUE"""),-0.582493462716219)</f>
        <v>-0.58249346271621905</v>
      </c>
      <c r="KZ88" s="3">
        <f ca="1">IFERROR(__xludf.DUMMYFUNCTION("""COMPUTED_VALUE"""),-0.576827753112156)</f>
        <v>-0.57682775311215595</v>
      </c>
      <c r="LA88" s="3">
        <f ca="1">IFERROR(__xludf.DUMMYFUNCTION("""COMPUTED_VALUE"""),-0.627574745235428)</f>
        <v>-0.627574745235428</v>
      </c>
      <c r="LB88" s="3">
        <f ca="1">IFERROR(__xludf.DUMMYFUNCTION("""COMPUTED_VALUE"""),-0.660347156720995)</f>
        <v>-0.66034715672099498</v>
      </c>
      <c r="LC88" s="3">
        <f ca="1">IFERROR(__xludf.DUMMYFUNCTION("""COMPUTED_VALUE"""),-0.611665198717839)</f>
        <v>-0.61166519871783898</v>
      </c>
      <c r="LD88" s="3">
        <f ca="1">IFERROR(__xludf.DUMMYFUNCTION("""COMPUTED_VALUE"""),-0.646844827331963)</f>
        <v>-0.64684482733196302</v>
      </c>
      <c r="LE88" s="3">
        <f ca="1">IFERROR(__xludf.DUMMYFUNCTION("""COMPUTED_VALUE"""),-0.610868699718315)</f>
        <v>-0.61086869971831503</v>
      </c>
      <c r="LF88" s="3">
        <f ca="1">IFERROR(__xludf.DUMMYFUNCTION("""COMPUTED_VALUE"""),-0.575549139198008)</f>
        <v>-0.57554913919800799</v>
      </c>
      <c r="LG88" s="3">
        <f ca="1">IFERROR(__xludf.DUMMYFUNCTION("""COMPUTED_VALUE"""),-0.617773451874234)</f>
        <v>-0.61777345187423405</v>
      </c>
      <c r="LH88" s="3">
        <f ca="1">IFERROR(__xludf.DUMMYFUNCTION("""COMPUTED_VALUE"""),-0.628799776031668)</f>
        <v>-0.62879977603166803</v>
      </c>
      <c r="LI88" s="3">
        <f ca="1">IFERROR(__xludf.DUMMYFUNCTION("""COMPUTED_VALUE"""),-0.665933912988358)</f>
        <v>-0.66593391298835802</v>
      </c>
      <c r="LJ88" s="3">
        <f ca="1">IFERROR(__xludf.DUMMYFUNCTION("""COMPUTED_VALUE"""),-0.65157003429931)</f>
        <v>-0.65157003429931004</v>
      </c>
      <c r="LK88" s="3">
        <f ca="1">IFERROR(__xludf.DUMMYFUNCTION("""COMPUTED_VALUE"""),-0.646410385852305)</f>
        <v>-0.64641038585230504</v>
      </c>
      <c r="LL88" s="3">
        <f ca="1">IFERROR(__xludf.DUMMYFUNCTION("""COMPUTED_VALUE"""),-0.629149372045741)</f>
        <v>-0.62914937204574095</v>
      </c>
      <c r="LM88" s="3">
        <f ca="1">IFERROR(__xludf.DUMMYFUNCTION("""COMPUTED_VALUE"""),-0.677250902919264)</f>
        <v>-0.67725090291926404</v>
      </c>
      <c r="LN88" s="3">
        <f ca="1">IFERROR(__xludf.DUMMYFUNCTION("""COMPUTED_VALUE"""),-0.658530136305852)</f>
        <v>-0.658530136305852</v>
      </c>
      <c r="LO88" s="3">
        <f ca="1">IFERROR(__xludf.DUMMYFUNCTION("""COMPUTED_VALUE"""),-0.714567153162393)</f>
        <v>-0.71456715316239305</v>
      </c>
      <c r="LP88" s="3">
        <f ca="1">IFERROR(__xludf.DUMMYFUNCTION("""COMPUTED_VALUE"""),-0.680205817125238)</f>
        <v>-0.68020581712523798</v>
      </c>
      <c r="LQ88" s="3">
        <f ca="1">IFERROR(__xludf.DUMMYFUNCTION("""COMPUTED_VALUE"""),-0.670361971227385)</f>
        <v>-0.67036197122738495</v>
      </c>
      <c r="LR88" s="3">
        <f ca="1">IFERROR(__xludf.DUMMYFUNCTION("""COMPUTED_VALUE"""),-0.682233344918778)</f>
        <v>-0.68223334491877796</v>
      </c>
      <c r="LS88" s="3">
        <f ca="1">IFERROR(__xludf.DUMMYFUNCTION("""COMPUTED_VALUE"""),-0.671815279670348)</f>
        <v>-0.67181527967034804</v>
      </c>
      <c r="LT88" s="3">
        <f ca="1">IFERROR(__xludf.DUMMYFUNCTION("""COMPUTED_VALUE"""),-0.647791664331759)</f>
        <v>-0.64779166433175905</v>
      </c>
      <c r="LU88" s="3">
        <f ca="1">IFERROR(__xludf.DUMMYFUNCTION("""COMPUTED_VALUE"""),-0.652955250781131)</f>
        <v>-0.65295525078113104</v>
      </c>
      <c r="LV88" s="3">
        <f ca="1">IFERROR(__xludf.DUMMYFUNCTION("""COMPUTED_VALUE"""),-0.686070430487842)</f>
        <v>-0.686070430487842</v>
      </c>
      <c r="LW88" s="3">
        <f ca="1">IFERROR(__xludf.DUMMYFUNCTION("""COMPUTED_VALUE"""),-0.68785413622818)</f>
        <v>-0.68785413622818004</v>
      </c>
      <c r="LX88" s="3">
        <f ca="1">IFERROR(__xludf.DUMMYFUNCTION("""COMPUTED_VALUE"""),-0.698655843365885)</f>
        <v>-0.69865584336588504</v>
      </c>
      <c r="LY88" s="3">
        <f ca="1">IFERROR(__xludf.DUMMYFUNCTION("""COMPUTED_VALUE"""),-0.701559883956094)</f>
        <v>-0.70155988395609403</v>
      </c>
      <c r="LZ88" s="3">
        <f ca="1">IFERROR(__xludf.DUMMYFUNCTION("""COMPUTED_VALUE"""),-0.704082803696295)</f>
        <v>-0.70408280369629495</v>
      </c>
      <c r="MA88" s="3">
        <f ca="1">IFERROR(__xludf.DUMMYFUNCTION("""COMPUTED_VALUE"""),-0.694286289577046)</f>
        <v>-0.69428628957704597</v>
      </c>
      <c r="MB88" s="3">
        <f ca="1">IFERROR(__xludf.DUMMYFUNCTION("""COMPUTED_VALUE"""),-0.654896436151988)</f>
        <v>-0.654896436151988</v>
      </c>
      <c r="MC88" s="3">
        <f ca="1">IFERROR(__xludf.DUMMYFUNCTION("""COMPUTED_VALUE"""),-0.726711436429801)</f>
        <v>-0.72671143642980096</v>
      </c>
      <c r="MD88" s="3">
        <f ca="1">IFERROR(__xludf.DUMMYFUNCTION("""COMPUTED_VALUE"""),-0.719291491379382)</f>
        <v>-0.71929149137938198</v>
      </c>
      <c r="ME88" s="3">
        <f ca="1">IFERROR(__xludf.DUMMYFUNCTION("""COMPUTED_VALUE"""),-0.709780973429349)</f>
        <v>-0.70978097342934898</v>
      </c>
      <c r="MF88" s="3">
        <f ca="1">IFERROR(__xludf.DUMMYFUNCTION("""COMPUTED_VALUE"""),-0.710854431611868)</f>
        <v>-0.71085443161186801</v>
      </c>
      <c r="MG88" s="3">
        <f ca="1">IFERROR(__xludf.DUMMYFUNCTION("""COMPUTED_VALUE"""),-0.702271134579509)</f>
        <v>-0.70227113457950896</v>
      </c>
      <c r="MH88" s="3">
        <f ca="1">IFERROR(__xludf.DUMMYFUNCTION("""COMPUTED_VALUE"""),-0.682434432648688)</f>
        <v>-0.68243443264868797</v>
      </c>
      <c r="MI88" s="3">
        <f ca="1">IFERROR(__xludf.DUMMYFUNCTION("""COMPUTED_VALUE"""),-0.6380372254718)</f>
        <v>-0.63803722547179997</v>
      </c>
      <c r="MJ88" s="3">
        <f ca="1">IFERROR(__xludf.DUMMYFUNCTION("""COMPUTED_VALUE"""),-0.710620144422816)</f>
        <v>-0.71062014442281596</v>
      </c>
      <c r="MK88" s="3">
        <f ca="1">IFERROR(__xludf.DUMMYFUNCTION("""COMPUTED_VALUE"""),-0.70132662791156)</f>
        <v>-0.70132662791155997</v>
      </c>
      <c r="ML88" s="3">
        <f ca="1">IFERROR(__xludf.DUMMYFUNCTION("""COMPUTED_VALUE"""),-0.728193271584397)</f>
        <v>-0.72819327158439695</v>
      </c>
      <c r="MM88" s="3">
        <f ca="1">IFERROR(__xludf.DUMMYFUNCTION("""COMPUTED_VALUE"""),-0.713579152754286)</f>
        <v>-0.71357915275428596</v>
      </c>
      <c r="MN88" s="3">
        <f ca="1">IFERROR(__xludf.DUMMYFUNCTION("""COMPUTED_VALUE"""),-0.711880373294945)</f>
        <v>-0.71188037329494502</v>
      </c>
      <c r="MO88" s="3">
        <f ca="1">IFERROR(__xludf.DUMMYFUNCTION("""COMPUTED_VALUE"""),-0.697764552990751)</f>
        <v>-0.69776455299075102</v>
      </c>
      <c r="MP88" s="3">
        <f ca="1">IFERROR(__xludf.DUMMYFUNCTION("""COMPUTED_VALUE"""),-0.706072399902875)</f>
        <v>-0.70607239990287496</v>
      </c>
      <c r="MQ88" s="3">
        <f ca="1">IFERROR(__xludf.DUMMYFUNCTION("""COMPUTED_VALUE"""),-0.709078236457727)</f>
        <v>-0.70907823645772705</v>
      </c>
      <c r="MR88" s="3">
        <f ca="1">IFERROR(__xludf.DUMMYFUNCTION("""COMPUTED_VALUE"""),-0.71662866251576)</f>
        <v>-0.71662866251575996</v>
      </c>
      <c r="MS88" s="3">
        <f ca="1">IFERROR(__xludf.DUMMYFUNCTION("""COMPUTED_VALUE"""),-0.72632878789609)</f>
        <v>-0.72632878789609001</v>
      </c>
      <c r="MT88" s="3">
        <f ca="1">IFERROR(__xludf.DUMMYFUNCTION("""COMPUTED_VALUE"""),-0.722636249010268)</f>
        <v>-0.72263624901026802</v>
      </c>
      <c r="MU88" s="3">
        <f ca="1">IFERROR(__xludf.DUMMYFUNCTION("""COMPUTED_VALUE"""),-0.734086491884764)</f>
        <v>-0.73408649188476405</v>
      </c>
      <c r="MV88" s="3">
        <f ca="1">IFERROR(__xludf.DUMMYFUNCTION("""COMPUTED_VALUE"""),-0.698609655123942)</f>
        <v>-0.69860965512394202</v>
      </c>
      <c r="MW88" s="3">
        <f ca="1">IFERROR(__xludf.DUMMYFUNCTION("""COMPUTED_VALUE"""),-0.691860126611265)</f>
        <v>-0.69186012661126495</v>
      </c>
      <c r="MX88" s="3">
        <f ca="1">IFERROR(__xludf.DUMMYFUNCTION("""COMPUTED_VALUE"""),-0.734356670287473)</f>
        <v>-0.73435667028747298</v>
      </c>
      <c r="MY88" s="3">
        <f ca="1">IFERROR(__xludf.DUMMYFUNCTION("""COMPUTED_VALUE"""),-0.696063259523222)</f>
        <v>-0.69606325952322201</v>
      </c>
      <c r="MZ88" s="3">
        <f ca="1">IFERROR(__xludf.DUMMYFUNCTION("""COMPUTED_VALUE"""),-0.70958054903391)</f>
        <v>-0.70958054903390999</v>
      </c>
      <c r="NA88" s="3">
        <f ca="1">IFERROR(__xludf.DUMMYFUNCTION("""COMPUTED_VALUE"""),-0.723216040648697)</f>
        <v>-0.72321604064869704</v>
      </c>
      <c r="NB88" s="3">
        <f ca="1">IFERROR(__xludf.DUMMYFUNCTION("""COMPUTED_VALUE"""),-0.716655453247898)</f>
        <v>-0.71665545324789803</v>
      </c>
      <c r="NC88" s="3">
        <f ca="1">IFERROR(__xludf.DUMMYFUNCTION("""COMPUTED_VALUE"""),-0.732400590413404)</f>
        <v>-0.732400590413404</v>
      </c>
      <c r="ND88" s="3">
        <f ca="1">IFERROR(__xludf.DUMMYFUNCTION("""COMPUTED_VALUE"""),-0.685871008574108)</f>
        <v>-0.68587100857410799</v>
      </c>
      <c r="NE88" s="3">
        <f ca="1">IFERROR(__xludf.DUMMYFUNCTION("""COMPUTED_VALUE"""),-0.708260876133861)</f>
        <v>-0.70826087613386102</v>
      </c>
      <c r="NF88" s="3">
        <f ca="1">IFERROR(__xludf.DUMMYFUNCTION("""COMPUTED_VALUE"""),-0.715216567184957)</f>
        <v>-0.71521656718495696</v>
      </c>
      <c r="NG88" s="3">
        <f ca="1">IFERROR(__xludf.DUMMYFUNCTION("""COMPUTED_VALUE"""),-0.722699679398228)</f>
        <v>-0.72269967939822799</v>
      </c>
      <c r="NH88" s="3">
        <f ca="1">IFERROR(__xludf.DUMMYFUNCTION("""COMPUTED_VALUE"""),-0.733601805830547)</f>
        <v>-0.73360180583054702</v>
      </c>
      <c r="NI88" s="3">
        <f ca="1">IFERROR(__xludf.DUMMYFUNCTION("""COMPUTED_VALUE"""),-0.725904249610202)</f>
        <v>-0.72590424961020195</v>
      </c>
      <c r="NJ88" s="3">
        <f ca="1">IFERROR(__xludf.DUMMYFUNCTION("""COMPUTED_VALUE"""),-0.702417598337178)</f>
        <v>-0.70241759833717798</v>
      </c>
      <c r="NK88" s="3">
        <f ca="1">IFERROR(__xludf.DUMMYFUNCTION("""COMPUTED_VALUE"""),-0.663456895487378)</f>
        <v>-0.66345689548737796</v>
      </c>
      <c r="NL88" s="3">
        <f ca="1">IFERROR(__xludf.DUMMYFUNCTION("""COMPUTED_VALUE"""),-0.71874278018526)</f>
        <v>-0.71874278018526006</v>
      </c>
      <c r="NM88" s="3">
        <f ca="1">IFERROR(__xludf.DUMMYFUNCTION("""COMPUTED_VALUE"""),-0.714588031678193)</f>
        <v>-0.71458803167819296</v>
      </c>
      <c r="NN88" s="3">
        <f ca="1">IFERROR(__xludf.DUMMYFUNCTION("""COMPUTED_VALUE"""),-0.713308518912038)</f>
        <v>-0.71330851891203795</v>
      </c>
      <c r="NO88" s="3">
        <f ca="1">IFERROR(__xludf.DUMMYFUNCTION("""COMPUTED_VALUE"""),-0.682263858535052)</f>
        <v>-0.682263858535052</v>
      </c>
      <c r="NP88" s="3">
        <f ca="1">IFERROR(__xludf.DUMMYFUNCTION("""COMPUTED_VALUE"""),-0.701919831605836)</f>
        <v>-0.70191983160583604</v>
      </c>
      <c r="NQ88" s="3">
        <f ca="1">IFERROR(__xludf.DUMMYFUNCTION("""COMPUTED_VALUE"""),-0.680052100778619)</f>
        <v>-0.680052100778619</v>
      </c>
      <c r="NR88" s="3">
        <f ca="1">IFERROR(__xludf.DUMMYFUNCTION("""COMPUTED_VALUE"""),-0.651638184731976)</f>
        <v>-0.65163818473197599</v>
      </c>
      <c r="NS88" s="3">
        <f ca="1">IFERROR(__xludf.DUMMYFUNCTION("""COMPUTED_VALUE"""),-0.704065774860655)</f>
        <v>-0.70406577486065502</v>
      </c>
      <c r="NT88" s="3">
        <f ca="1">IFERROR(__xludf.DUMMYFUNCTION("""COMPUTED_VALUE"""),-0.688473472302956)</f>
        <v>-0.68847347230295597</v>
      </c>
      <c r="NU88" s="3">
        <f ca="1">IFERROR(__xludf.DUMMYFUNCTION("""COMPUTED_VALUE"""),-0.709456498867691)</f>
        <v>-0.70945649886769102</v>
      </c>
      <c r="NV88" s="3">
        <f ca="1">IFERROR(__xludf.DUMMYFUNCTION("""COMPUTED_VALUE"""),-0.720698337035597)</f>
        <v>-0.72069833703559705</v>
      </c>
      <c r="NW88" s="3">
        <f ca="1">IFERROR(__xludf.DUMMYFUNCTION("""COMPUTED_VALUE"""),-0.680109274050059)</f>
        <v>-0.68010927405005905</v>
      </c>
      <c r="NX88" s="3">
        <f ca="1">IFERROR(__xludf.DUMMYFUNCTION("""COMPUTED_VALUE"""),-0.721282969048519)</f>
        <v>-0.72128296904851896</v>
      </c>
      <c r="NY88" s="3">
        <f ca="1">IFERROR(__xludf.DUMMYFUNCTION("""COMPUTED_VALUE"""),-0.615239907869316)</f>
        <v>-0.61523990786931604</v>
      </c>
      <c r="NZ88" s="3">
        <f ca="1">IFERROR(__xludf.DUMMYFUNCTION("""COMPUTED_VALUE"""),-0.630106968727798)</f>
        <v>-0.63010696872779803</v>
      </c>
      <c r="OA88" s="3">
        <f ca="1">IFERROR(__xludf.DUMMYFUNCTION("""COMPUTED_VALUE"""),-0.631998272008642)</f>
        <v>-0.631998272008642</v>
      </c>
      <c r="OB88" s="3">
        <f ca="1">IFERROR(__xludf.DUMMYFUNCTION("""COMPUTED_VALUE"""),-0.603502554574775)</f>
        <v>-0.60350255457477497</v>
      </c>
      <c r="OC88" s="3">
        <f ca="1">IFERROR(__xludf.DUMMYFUNCTION("""COMPUTED_VALUE"""),-0.579660478665805)</f>
        <v>-0.57966047866580495</v>
      </c>
      <c r="OD88" s="3">
        <f ca="1">IFERROR(__xludf.DUMMYFUNCTION("""COMPUTED_VALUE"""),-0.569880944293003)</f>
        <v>-0.56988094429300296</v>
      </c>
      <c r="OE88" s="3">
        <f ca="1">IFERROR(__xludf.DUMMYFUNCTION("""COMPUTED_VALUE"""),-0.49016364824582)</f>
        <v>-0.49016364824581998</v>
      </c>
      <c r="OF88" s="3">
        <f ca="1">IFERROR(__xludf.DUMMYFUNCTION("""COMPUTED_VALUE"""),-0.299971947797091)</f>
        <v>-0.29997194779709102</v>
      </c>
      <c r="OG88" s="3">
        <f ca="1">IFERROR(__xludf.DUMMYFUNCTION("""COMPUTED_VALUE"""),-0.317096257622876)</f>
        <v>-0.31709625762287602</v>
      </c>
      <c r="OH88" s="3">
        <f ca="1">IFERROR(__xludf.DUMMYFUNCTION("""COMPUTED_VALUE"""),-0.257634477113737)</f>
        <v>-0.25763447711373699</v>
      </c>
      <c r="OI88" s="3">
        <f ca="1">IFERROR(__xludf.DUMMYFUNCTION("""COMPUTED_VALUE"""),-0.190075591151878)</f>
        <v>-0.190075591151878</v>
      </c>
      <c r="OJ88" s="3">
        <f ca="1">IFERROR(__xludf.DUMMYFUNCTION("""COMPUTED_VALUE"""),-0.112130047872595)</f>
        <v>-0.11213004787259501</v>
      </c>
      <c r="OK88" s="3">
        <f ca="1">IFERROR(__xludf.DUMMYFUNCTION("""COMPUTED_VALUE"""),-0.0833689212856061)</f>
        <v>-8.3368921285606107E-2</v>
      </c>
      <c r="OL88" s="3">
        <f ca="1">IFERROR(__xludf.DUMMYFUNCTION("""COMPUTED_VALUE"""),0.0572690479895505)</f>
        <v>5.7269047989550501E-2</v>
      </c>
      <c r="OM88" s="3">
        <f ca="1">IFERROR(__xludf.DUMMYFUNCTION("""COMPUTED_VALUE"""),-0.0486462617189231)</f>
        <v>-4.8646261718923098E-2</v>
      </c>
      <c r="ON88" s="3">
        <f ca="1">IFERROR(__xludf.DUMMYFUNCTION("""COMPUTED_VALUE"""),-0.019419083827822)</f>
        <v>-1.9419083827821999E-2</v>
      </c>
      <c r="OO88" s="3">
        <f ca="1">IFERROR(__xludf.DUMMYFUNCTION("""COMPUTED_VALUE"""),-0.0173271856881431)</f>
        <v>-1.73271856881431E-2</v>
      </c>
      <c r="OP88" s="3">
        <f ca="1">IFERROR(__xludf.DUMMYFUNCTION("""COMPUTED_VALUE"""),-0.0196792838280486)</f>
        <v>-1.9679283828048601E-2</v>
      </c>
      <c r="OQ88" s="3">
        <f ca="1">IFERROR(__xludf.DUMMYFUNCTION("""COMPUTED_VALUE"""),-0.00335152676968097)</f>
        <v>-3.3515267696809701E-3</v>
      </c>
      <c r="OR88" s="3">
        <f ca="1">IFERROR(__xludf.DUMMYFUNCTION("""COMPUTED_VALUE"""),-0.00908712328839544)</f>
        <v>-9.0871232883954402E-3</v>
      </c>
      <c r="OS88" s="3">
        <f ca="1">IFERROR(__xludf.DUMMYFUNCTION("""COMPUTED_VALUE"""),0.0678006012362746)</f>
        <v>6.7800601236274599E-2</v>
      </c>
      <c r="OT88" s="3">
        <f ca="1">IFERROR(__xludf.DUMMYFUNCTION("""COMPUTED_VALUE"""),0.0107259347150527)</f>
        <v>1.0725934715052701E-2</v>
      </c>
      <c r="OU88" s="3">
        <f ca="1">IFERROR(__xludf.DUMMYFUNCTION("""COMPUTED_VALUE"""),0.0051260795096153)</f>
        <v>5.1260795096153E-3</v>
      </c>
      <c r="OV88" s="3">
        <f ca="1">IFERROR(__xludf.DUMMYFUNCTION("""COMPUTED_VALUE"""),0.0447014901126321)</f>
        <v>4.4701490112632102E-2</v>
      </c>
      <c r="OW88" s="3">
        <f ca="1">IFERROR(__xludf.DUMMYFUNCTION("""COMPUTED_VALUE"""),0.0499197411910847)</f>
        <v>4.99197411910847E-2</v>
      </c>
      <c r="OX88" s="3">
        <f ca="1">IFERROR(__xludf.DUMMYFUNCTION("""COMPUTED_VALUE"""),0.0591361414380295)</f>
        <v>5.9136141438029498E-2</v>
      </c>
      <c r="OY88" s="3">
        <f ca="1">IFERROR(__xludf.DUMMYFUNCTION("""COMPUTED_VALUE"""),0.030913365012493)</f>
        <v>3.0913365012493001E-2</v>
      </c>
      <c r="OZ88" s="3">
        <f ca="1">IFERROR(__xludf.DUMMYFUNCTION("""COMPUTED_VALUE"""),0.139733261961947)</f>
        <v>0.13973326196194699</v>
      </c>
      <c r="PA88" s="3">
        <f ca="1">IFERROR(__xludf.DUMMYFUNCTION("""COMPUTED_VALUE"""),0.00259677798472357)</f>
        <v>2.5967779847235698E-3</v>
      </c>
      <c r="PB88" s="3">
        <f ca="1">IFERROR(__xludf.DUMMYFUNCTION("""COMPUTED_VALUE"""),-0.0203005485433049)</f>
        <v>-2.0300548543304899E-2</v>
      </c>
      <c r="PC88" s="3">
        <f ca="1">IFERROR(__xludf.DUMMYFUNCTION("""COMPUTED_VALUE"""),-0.106302268617339)</f>
        <v>-0.106302268617339</v>
      </c>
      <c r="PD88" s="3">
        <f ca="1">IFERROR(__xludf.DUMMYFUNCTION("""COMPUTED_VALUE"""),-0.0672822380946436)</f>
        <v>-6.7282238094643607E-2</v>
      </c>
      <c r="PE88" s="3">
        <f ca="1">IFERROR(__xludf.DUMMYFUNCTION("""COMPUTED_VALUE"""),-0.0386491089924784)</f>
        <v>-3.86491089924784E-2</v>
      </c>
      <c r="PF88" s="3">
        <f ca="1">IFERROR(__xludf.DUMMYFUNCTION("""COMPUTED_VALUE"""),-0.0766884435876322)</f>
        <v>-7.6688443587632202E-2</v>
      </c>
      <c r="PG88" s="3">
        <f ca="1">IFERROR(__xludf.DUMMYFUNCTION("""COMPUTED_VALUE"""),-0.0928951851221879)</f>
        <v>-9.2895185122187904E-2</v>
      </c>
      <c r="PH88" s="3">
        <f ca="1">IFERROR(__xludf.DUMMYFUNCTION("""COMPUTED_VALUE"""),-0.0107536646824937)</f>
        <v>-1.07536646824937E-2</v>
      </c>
      <c r="PI88" s="3">
        <f ca="1">IFERROR(__xludf.DUMMYFUNCTION("""COMPUTED_VALUE"""),-0.0600912552839069)</f>
        <v>-6.0091255283906901E-2</v>
      </c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</row>
    <row r="89" spans="1:477" ht="13">
      <c r="A89" s="1" t="str">
        <f ca="1">IFERROR(__xludf.DUMMYFUNCTION("""COMPUTED_VALUE"""),"Metro-North Railroad")</f>
        <v>Metro-North Railroad</v>
      </c>
      <c r="B89" s="1" t="str">
        <f ca="1">IFERROR(__xludf.DUMMYFUNCTION("""COMPUTED_VALUE"""),"NYC")</f>
        <v>NYC</v>
      </c>
      <c r="C89" s="1" t="str">
        <f ca="1">IFERROR(__xludf.DUMMYFUNCTION("""COMPUTED_VALUE"""),"United States")</f>
        <v>United States</v>
      </c>
      <c r="D89" s="1" t="str">
        <f ca="1">IFERROR(__xludf.DUMMYFUNCTION("""COMPUTED_VALUE"""),"Connecticut, New York")</f>
        <v>Connecticut, New York</v>
      </c>
      <c r="E89" s="3">
        <f ca="1">IFERROR(__xludf.DUMMYFUNCTION("""COMPUTED_VALUE"""),-0.225247708110401)</f>
        <v>-0.22524770811040101</v>
      </c>
      <c r="F89" s="3">
        <f ca="1">IFERROR(__xludf.DUMMYFUNCTION("""COMPUTED_VALUE"""),-0.201486422019702)</f>
        <v>-0.20148642201970199</v>
      </c>
      <c r="G89" s="3">
        <f ca="1">IFERROR(__xludf.DUMMYFUNCTION("""COMPUTED_VALUE"""),-0.259054964167367)</f>
        <v>-0.25905496416736701</v>
      </c>
      <c r="H89" s="3">
        <f ca="1">IFERROR(__xludf.DUMMYFUNCTION("""COMPUTED_VALUE"""),-0.282612317690042)</f>
        <v>-0.28261231769004203</v>
      </c>
      <c r="I89" s="3">
        <f ca="1">IFERROR(__xludf.DUMMYFUNCTION("""COMPUTED_VALUE"""),-0.288253357890883)</f>
        <v>-0.28825335789088302</v>
      </c>
      <c r="J89" s="3">
        <f ca="1">IFERROR(__xludf.DUMMYFUNCTION("""COMPUTED_VALUE"""),-0.243362846412491)</f>
        <v>-0.24336284641249101</v>
      </c>
      <c r="K89" s="3">
        <f ca="1">IFERROR(__xludf.DUMMYFUNCTION("""COMPUTED_VALUE"""),-0.240835679128707)</f>
        <v>-0.24083567912870699</v>
      </c>
      <c r="L89" s="3">
        <f ca="1">IFERROR(__xludf.DUMMYFUNCTION("""COMPUTED_VALUE"""),-0.275598685809011)</f>
        <v>-0.27559868580901098</v>
      </c>
      <c r="M89" s="3">
        <f ca="1">IFERROR(__xludf.DUMMYFUNCTION("""COMPUTED_VALUE"""),-0.338217182314126)</f>
        <v>-0.33821718231412601</v>
      </c>
      <c r="N89" s="3">
        <f ca="1">IFERROR(__xludf.DUMMYFUNCTION("""COMPUTED_VALUE"""),-0.34158167882472)</f>
        <v>-0.34158167882472001</v>
      </c>
      <c r="O89" s="3">
        <f ca="1">IFERROR(__xludf.DUMMYFUNCTION("""COMPUTED_VALUE"""),-0.359064391457934)</f>
        <v>-0.35906439145793401</v>
      </c>
      <c r="P89" s="3">
        <f ca="1">IFERROR(__xludf.DUMMYFUNCTION("""COMPUTED_VALUE"""),-0.312044128019526)</f>
        <v>-0.31204412801952602</v>
      </c>
      <c r="Q89" s="3">
        <f ca="1">IFERROR(__xludf.DUMMYFUNCTION("""COMPUTED_VALUE"""),-0.324270138279312)</f>
        <v>-0.324270138279312</v>
      </c>
      <c r="R89" s="3">
        <f ca="1">IFERROR(__xludf.DUMMYFUNCTION("""COMPUTED_VALUE"""),-0.350306053640895)</f>
        <v>-0.35030605364089501</v>
      </c>
      <c r="S89" s="3">
        <f ca="1">IFERROR(__xludf.DUMMYFUNCTION("""COMPUTED_VALUE"""),-0.307182684248936)</f>
        <v>-0.30718268424893602</v>
      </c>
      <c r="T89" s="3">
        <f ca="1">IFERROR(__xludf.DUMMYFUNCTION("""COMPUTED_VALUE"""),-0.433670593386516)</f>
        <v>-0.43367059338651598</v>
      </c>
      <c r="U89" s="3">
        <f ca="1">IFERROR(__xludf.DUMMYFUNCTION("""COMPUTED_VALUE"""),-0.499296828556505)</f>
        <v>-0.49929682855650498</v>
      </c>
      <c r="V89" s="3">
        <f ca="1">IFERROR(__xludf.DUMMYFUNCTION("""COMPUTED_VALUE"""),-0.517977509186471)</f>
        <v>-0.51797750918647101</v>
      </c>
      <c r="W89" s="3">
        <f ca="1">IFERROR(__xludf.DUMMYFUNCTION("""COMPUTED_VALUE"""),-0.491298812770952)</f>
        <v>-0.491298812770952</v>
      </c>
      <c r="X89" s="3">
        <f ca="1">IFERROR(__xludf.DUMMYFUNCTION("""COMPUTED_VALUE"""),-0.455528935448423)</f>
        <v>-0.45552893544842299</v>
      </c>
      <c r="Y89" s="3">
        <f ca="1">IFERROR(__xludf.DUMMYFUNCTION("""COMPUTED_VALUE"""),-0.334571609401904)</f>
        <v>-0.334571609401904</v>
      </c>
      <c r="Z89" s="3">
        <f ca="1">IFERROR(__xludf.DUMMYFUNCTION("""COMPUTED_VALUE"""),-0.392799299747544)</f>
        <v>-0.39279929974754402</v>
      </c>
      <c r="AA89" s="3">
        <f ca="1">IFERROR(__xludf.DUMMYFUNCTION("""COMPUTED_VALUE"""),-0.503571432892614)</f>
        <v>-0.50357143289261397</v>
      </c>
      <c r="AB89" s="3">
        <f ca="1">IFERROR(__xludf.DUMMYFUNCTION("""COMPUTED_VALUE"""),-0.553552137392277)</f>
        <v>-0.55355213739227704</v>
      </c>
      <c r="AC89" s="3">
        <f ca="1">IFERROR(__xludf.DUMMYFUNCTION("""COMPUTED_VALUE"""),-0.536232343998866)</f>
        <v>-0.53623234399886599</v>
      </c>
      <c r="AD89" s="3">
        <f ca="1">IFERROR(__xludf.DUMMYFUNCTION("""COMPUTED_VALUE"""),-0.539818345342864)</f>
        <v>-0.53981834534286399</v>
      </c>
      <c r="AE89" s="3">
        <f ca="1">IFERROR(__xludf.DUMMYFUNCTION("""COMPUTED_VALUE"""),-0.509557841029311)</f>
        <v>-0.50955784102931101</v>
      </c>
      <c r="AF89" s="3">
        <f ca="1">IFERROR(__xludf.DUMMYFUNCTION("""COMPUTED_VALUE"""),-0.429708926569534)</f>
        <v>-0.42970892656953402</v>
      </c>
      <c r="AG89" s="3">
        <f ca="1">IFERROR(__xludf.DUMMYFUNCTION("""COMPUTED_VALUE"""),-0.438830744550684)</f>
        <v>-0.43883074455068399</v>
      </c>
      <c r="AH89" s="3">
        <f ca="1">IFERROR(__xludf.DUMMYFUNCTION("""COMPUTED_VALUE"""),-0.483328804551724)</f>
        <v>-0.483328804551724</v>
      </c>
      <c r="AI89" s="3">
        <f ca="1">IFERROR(__xludf.DUMMYFUNCTION("""COMPUTED_VALUE"""),-0.510054984259376)</f>
        <v>-0.51005498425937601</v>
      </c>
      <c r="AJ89" s="3">
        <f ca="1">IFERROR(__xludf.DUMMYFUNCTION("""COMPUTED_VALUE"""),-0.523189531301785)</f>
        <v>-0.52318953130178503</v>
      </c>
      <c r="AK89" s="3">
        <f ca="1">IFERROR(__xludf.DUMMYFUNCTION("""COMPUTED_VALUE"""),-0.506249410887667)</f>
        <v>-0.50624941088766695</v>
      </c>
      <c r="AL89" s="3">
        <f ca="1">IFERROR(__xludf.DUMMYFUNCTION("""COMPUTED_VALUE"""),-0.475068267278655)</f>
        <v>-0.47506826727865498</v>
      </c>
      <c r="AM89" s="3">
        <f ca="1">IFERROR(__xludf.DUMMYFUNCTION("""COMPUTED_VALUE"""),-0.425598241368258)</f>
        <v>-0.42559824136825802</v>
      </c>
      <c r="AN89" s="3">
        <f ca="1">IFERROR(__xludf.DUMMYFUNCTION("""COMPUTED_VALUE"""),-0.467472983625481)</f>
        <v>-0.46747298362548101</v>
      </c>
      <c r="AO89" s="3">
        <f ca="1">IFERROR(__xludf.DUMMYFUNCTION("""COMPUTED_VALUE"""),-0.531133603649165)</f>
        <v>-0.53113360364916495</v>
      </c>
      <c r="AP89" s="3">
        <f ca="1">IFERROR(__xludf.DUMMYFUNCTION("""COMPUTED_VALUE"""),-0.540620675419236)</f>
        <v>-0.54062067541923597</v>
      </c>
      <c r="AQ89" s="3">
        <f ca="1">IFERROR(__xludf.DUMMYFUNCTION("""COMPUTED_VALUE"""),-0.536087656978555)</f>
        <v>-0.53608765697855498</v>
      </c>
      <c r="AR89" s="3">
        <f ca="1">IFERROR(__xludf.DUMMYFUNCTION("""COMPUTED_VALUE"""),-0.559441525574271)</f>
        <v>-0.55944152557427096</v>
      </c>
      <c r="AS89" s="3">
        <f ca="1">IFERROR(__xludf.DUMMYFUNCTION("""COMPUTED_VALUE"""),-0.488896743626625)</f>
        <v>-0.488896743626625</v>
      </c>
      <c r="AT89" s="3">
        <f ca="1">IFERROR(__xludf.DUMMYFUNCTION("""COMPUTED_VALUE"""),-0.417362201878398)</f>
        <v>-0.41736220187839801</v>
      </c>
      <c r="AU89" s="3">
        <f ca="1">IFERROR(__xludf.DUMMYFUNCTION("""COMPUTED_VALUE"""),-0.490316815472454)</f>
        <v>-0.49031681547245398</v>
      </c>
      <c r="AV89" s="3">
        <f ca="1">IFERROR(__xludf.DUMMYFUNCTION("""COMPUTED_VALUE"""),-0.514127880435272)</f>
        <v>-0.51412788043527202</v>
      </c>
      <c r="AW89" s="3">
        <f ca="1">IFERROR(__xludf.DUMMYFUNCTION("""COMPUTED_VALUE"""),-0.516997530209899)</f>
        <v>-0.51699753020989903</v>
      </c>
      <c r="AX89" s="3">
        <f ca="1">IFERROR(__xludf.DUMMYFUNCTION("""COMPUTED_VALUE"""),-0.500724899926169)</f>
        <v>-0.50072489992616898</v>
      </c>
      <c r="AY89" s="3">
        <f ca="1">IFERROR(__xludf.DUMMYFUNCTION("""COMPUTED_VALUE"""),-0.516364602418021)</f>
        <v>-0.51636460241802096</v>
      </c>
      <c r="AZ89" s="3">
        <f ca="1">IFERROR(__xludf.DUMMYFUNCTION("""COMPUTED_VALUE"""),-0.478396139604114)</f>
        <v>-0.47839613960411398</v>
      </c>
      <c r="BA89" s="3">
        <f ca="1">IFERROR(__xludf.DUMMYFUNCTION("""COMPUTED_VALUE"""),-0.36967111839868)</f>
        <v>-0.36967111839868</v>
      </c>
      <c r="BB89" s="3">
        <f ca="1">IFERROR(__xludf.DUMMYFUNCTION("""COMPUTED_VALUE"""),-0.430334363498176)</f>
        <v>-0.430334363498176</v>
      </c>
      <c r="BC89" s="3">
        <f ca="1">IFERROR(__xludf.DUMMYFUNCTION("""COMPUTED_VALUE"""),-0.477825344666857)</f>
        <v>-0.477825344666857</v>
      </c>
      <c r="BD89" s="3">
        <f ca="1">IFERROR(__xludf.DUMMYFUNCTION("""COMPUTED_VALUE"""),-0.512246112983782)</f>
        <v>-0.51224611298378198</v>
      </c>
      <c r="BE89" s="3">
        <f ca="1">IFERROR(__xludf.DUMMYFUNCTION("""COMPUTED_VALUE"""),-0.497654260086088)</f>
        <v>-0.49765426008608799</v>
      </c>
      <c r="BF89" s="3">
        <f ca="1">IFERROR(__xludf.DUMMYFUNCTION("""COMPUTED_VALUE"""),-0.49386014073721)</f>
        <v>-0.49386014073721002</v>
      </c>
      <c r="BG89" s="3">
        <f ca="1">IFERROR(__xludf.DUMMYFUNCTION("""COMPUTED_VALUE"""),-0.403205560014899)</f>
        <v>-0.40320556001489899</v>
      </c>
      <c r="BH89" s="3">
        <f ca="1">IFERROR(__xludf.DUMMYFUNCTION("""COMPUTED_VALUE"""),-0.369873581144431)</f>
        <v>-0.36987358114443097</v>
      </c>
      <c r="BI89" s="3">
        <f ca="1">IFERROR(__xludf.DUMMYFUNCTION("""COMPUTED_VALUE"""),-0.463967621178349)</f>
        <v>-0.463967621178349</v>
      </c>
      <c r="BJ89" s="3">
        <f ca="1">IFERROR(__xludf.DUMMYFUNCTION("""COMPUTED_VALUE"""),-0.541422085753861)</f>
        <v>-0.54142208575386097</v>
      </c>
      <c r="BK89" s="3">
        <f ca="1">IFERROR(__xludf.DUMMYFUNCTION("""COMPUTED_VALUE"""),-0.562121468612084)</f>
        <v>-0.56212146861208401</v>
      </c>
      <c r="BL89" s="3">
        <f ca="1">IFERROR(__xludf.DUMMYFUNCTION("""COMPUTED_VALUE"""),-0.569113062532049)</f>
        <v>-0.56911306253204896</v>
      </c>
      <c r="BM89" s="3">
        <f ca="1">IFERROR(__xludf.DUMMYFUNCTION("""COMPUTED_VALUE"""),-0.583142064100853)</f>
        <v>-0.58314206410085301</v>
      </c>
      <c r="BN89" s="3">
        <f ca="1">IFERROR(__xludf.DUMMYFUNCTION("""COMPUTED_VALUE"""),-0.552898987965047)</f>
        <v>-0.552898987965047</v>
      </c>
      <c r="BO89" s="3">
        <f ca="1">IFERROR(__xludf.DUMMYFUNCTION("""COMPUTED_VALUE"""),-0.476737169867029)</f>
        <v>-0.47673716986702902</v>
      </c>
      <c r="BP89" s="3">
        <f ca="1">IFERROR(__xludf.DUMMYFUNCTION("""COMPUTED_VALUE"""),-0.442678596040306)</f>
        <v>-0.44267859604030602</v>
      </c>
      <c r="BQ89" s="3">
        <f ca="1">IFERROR(__xludf.DUMMYFUNCTION("""COMPUTED_VALUE"""),-0.537707329912761)</f>
        <v>-0.53770732991276105</v>
      </c>
      <c r="BR89" s="3">
        <f ca="1">IFERROR(__xludf.DUMMYFUNCTION("""COMPUTED_VALUE"""),-0.53053585425657)</f>
        <v>-0.53053585425657002</v>
      </c>
      <c r="BS89" s="3">
        <f ca="1">IFERROR(__xludf.DUMMYFUNCTION("""COMPUTED_VALUE"""),-0.55464784184439)</f>
        <v>-0.55464784184438998</v>
      </c>
      <c r="BT89" s="3">
        <f ca="1">IFERROR(__xludf.DUMMYFUNCTION("""COMPUTED_VALUE"""),-0.503650348155832)</f>
        <v>-0.50365034815583198</v>
      </c>
      <c r="BU89" s="3">
        <f ca="1">IFERROR(__xludf.DUMMYFUNCTION("""COMPUTED_VALUE"""),-0.50688901243079)</f>
        <v>-0.50688901243078999</v>
      </c>
      <c r="BV89" s="3">
        <f ca="1">IFERROR(__xludf.DUMMYFUNCTION("""COMPUTED_VALUE"""),-0.504250445487187)</f>
        <v>-0.504250445487187</v>
      </c>
      <c r="BW89" s="3">
        <f ca="1">IFERROR(__xludf.DUMMYFUNCTION("""COMPUTED_VALUE"""),-0.542021726692813)</f>
        <v>-0.54202172669281301</v>
      </c>
      <c r="BX89" s="3">
        <f ca="1">IFERROR(__xludf.DUMMYFUNCTION("""COMPUTED_VALUE"""),-0.632532155887269)</f>
        <v>-0.63253215588726897</v>
      </c>
      <c r="BY89" s="3">
        <f ca="1">IFERROR(__xludf.DUMMYFUNCTION("""COMPUTED_VALUE"""),-0.618981284146649)</f>
        <v>-0.61898128414664899</v>
      </c>
      <c r="BZ89" s="3">
        <f ca="1">IFERROR(__xludf.DUMMYFUNCTION("""COMPUTED_VALUE"""),-0.625925183654347)</f>
        <v>-0.62592518365434702</v>
      </c>
      <c r="CA89" s="3">
        <f ca="1">IFERROR(__xludf.DUMMYFUNCTION("""COMPUTED_VALUE"""),-0.633963032969623)</f>
        <v>-0.63396303296962297</v>
      </c>
      <c r="CB89" s="3">
        <f ca="1">IFERROR(__xludf.DUMMYFUNCTION("""COMPUTED_VALUE"""),-0.566510507062894)</f>
        <v>-0.56651050706289396</v>
      </c>
      <c r="CC89" s="3">
        <f ca="1">IFERROR(__xludf.DUMMYFUNCTION("""COMPUTED_VALUE"""),-0.537758394238463)</f>
        <v>-0.53775839423846294</v>
      </c>
      <c r="CD89" s="3">
        <f ca="1">IFERROR(__xludf.DUMMYFUNCTION("""COMPUTED_VALUE"""),-0.518352506097766)</f>
        <v>-0.51835250609776595</v>
      </c>
      <c r="CE89" s="3">
        <f ca="1">IFERROR(__xludf.DUMMYFUNCTION("""COMPUTED_VALUE"""),-0.595094707975554)</f>
        <v>-0.59509470797555397</v>
      </c>
      <c r="CF89" s="3">
        <f ca="1">IFERROR(__xludf.DUMMYFUNCTION("""COMPUTED_VALUE"""),-0.615364017995188)</f>
        <v>-0.61536401799518803</v>
      </c>
      <c r="CG89" s="3">
        <f ca="1">IFERROR(__xludf.DUMMYFUNCTION("""COMPUTED_VALUE"""),-0.62666289746786)</f>
        <v>-0.62666289746785997</v>
      </c>
      <c r="CH89" s="3">
        <f ca="1">IFERROR(__xludf.DUMMYFUNCTION("""COMPUTED_VALUE"""),-0.610287513654801)</f>
        <v>-0.61028751365480105</v>
      </c>
      <c r="CI89" s="3">
        <f ca="1">IFERROR(__xludf.DUMMYFUNCTION("""COMPUTED_VALUE"""),-0.563298020976151)</f>
        <v>-0.563298020976151</v>
      </c>
      <c r="CJ89" s="3">
        <f ca="1">IFERROR(__xludf.DUMMYFUNCTION("""COMPUTED_VALUE"""),-0.519719349685717)</f>
        <v>-0.51971934968571698</v>
      </c>
      <c r="CK89" s="3">
        <f ca="1">IFERROR(__xludf.DUMMYFUNCTION("""COMPUTED_VALUE"""),-0.52008589273868)</f>
        <v>-0.52008589273868</v>
      </c>
      <c r="CL89" s="3">
        <f ca="1">IFERROR(__xludf.DUMMYFUNCTION("""COMPUTED_VALUE"""),-0.59709975837049)</f>
        <v>-0.59709975837049001</v>
      </c>
      <c r="CM89" s="3">
        <f ca="1">IFERROR(__xludf.DUMMYFUNCTION("""COMPUTED_VALUE"""),-0.60134702515395)</f>
        <v>-0.60134702515395</v>
      </c>
      <c r="CN89" s="3">
        <f ca="1">IFERROR(__xludf.DUMMYFUNCTION("""COMPUTED_VALUE"""),-0.6081615232115)</f>
        <v>-0.60816152321149997</v>
      </c>
      <c r="CO89" s="3">
        <f ca="1">IFERROR(__xludf.DUMMYFUNCTION("""COMPUTED_VALUE"""),-0.584143750504073)</f>
        <v>-0.58414375050407297</v>
      </c>
      <c r="CP89" s="3">
        <f ca="1">IFERROR(__xludf.DUMMYFUNCTION("""COMPUTED_VALUE"""),-0.568459741016728)</f>
        <v>-0.56845974101672803</v>
      </c>
      <c r="CQ89" s="3">
        <f ca="1">IFERROR(__xludf.DUMMYFUNCTION("""COMPUTED_VALUE"""),-0.502013206638839)</f>
        <v>-0.50201320663883897</v>
      </c>
      <c r="CR89" s="3">
        <f ca="1">IFERROR(__xludf.DUMMYFUNCTION("""COMPUTED_VALUE"""),-0.506143648043267)</f>
        <v>-0.50614364804326695</v>
      </c>
      <c r="CS89" s="3">
        <f ca="1">IFERROR(__xludf.DUMMYFUNCTION("""COMPUTED_VALUE"""),-0.565317072766014)</f>
        <v>-0.56531707276601395</v>
      </c>
      <c r="CT89" s="3">
        <f ca="1">IFERROR(__xludf.DUMMYFUNCTION("""COMPUTED_VALUE"""),-0.563579187108724)</f>
        <v>-0.56357918710872401</v>
      </c>
      <c r="CU89" s="3">
        <f ca="1">IFERROR(__xludf.DUMMYFUNCTION("""COMPUTED_VALUE"""),-0.543124757755977)</f>
        <v>-0.54312475775597702</v>
      </c>
      <c r="CV89" s="3">
        <f ca="1">IFERROR(__xludf.DUMMYFUNCTION("""COMPUTED_VALUE"""),-0.572145754733696)</f>
        <v>-0.572145754733696</v>
      </c>
      <c r="CW89" s="3">
        <f ca="1">IFERROR(__xludf.DUMMYFUNCTION("""COMPUTED_VALUE"""),-0.561585208359989)</f>
        <v>-0.56158520835998904</v>
      </c>
      <c r="CX89" s="3">
        <f ca="1">IFERROR(__xludf.DUMMYFUNCTION("""COMPUTED_VALUE"""),-0.537899975583403)</f>
        <v>-0.53789997558340297</v>
      </c>
      <c r="CY89" s="3">
        <f ca="1">IFERROR(__xludf.DUMMYFUNCTION("""COMPUTED_VALUE"""),-0.547312424982347)</f>
        <v>-0.547312424982347</v>
      </c>
      <c r="CZ89" s="3">
        <f ca="1">IFERROR(__xludf.DUMMYFUNCTION("""COMPUTED_VALUE"""),-0.622740719233542)</f>
        <v>-0.62274071923354202</v>
      </c>
      <c r="DA89" s="3">
        <f ca="1">IFERROR(__xludf.DUMMYFUNCTION("""COMPUTED_VALUE"""),-0.516579679963886)</f>
        <v>-0.51657967996388598</v>
      </c>
      <c r="DB89" s="3">
        <f ca="1">IFERROR(__xludf.DUMMYFUNCTION("""COMPUTED_VALUE"""),-0.382504735236451)</f>
        <v>-0.38250473523645101</v>
      </c>
      <c r="DC89" s="3">
        <f ca="1">IFERROR(__xludf.DUMMYFUNCTION("""COMPUTED_VALUE"""),-0.493720058978206)</f>
        <v>-0.49372005897820598</v>
      </c>
      <c r="DD89" s="3">
        <f ca="1">IFERROR(__xludf.DUMMYFUNCTION("""COMPUTED_VALUE"""),-0.483165886972659)</f>
        <v>-0.483165886972659</v>
      </c>
      <c r="DE89" s="3">
        <f ca="1">IFERROR(__xludf.DUMMYFUNCTION("""COMPUTED_VALUE"""),-0.460074550553633)</f>
        <v>-0.460074550553633</v>
      </c>
      <c r="DF89" s="3">
        <f ca="1">IFERROR(__xludf.DUMMYFUNCTION("""COMPUTED_VALUE"""),-0.491440097439669)</f>
        <v>-0.49144009743966899</v>
      </c>
      <c r="DG89" s="3">
        <f ca="1">IFERROR(__xludf.DUMMYFUNCTION("""COMPUTED_VALUE"""),-0.662509033364467)</f>
        <v>-0.66250903336446698</v>
      </c>
      <c r="DH89" s="3">
        <f ca="1">IFERROR(__xludf.DUMMYFUNCTION("""COMPUTED_VALUE"""),-0.483129053265449)</f>
        <v>-0.48312905326544903</v>
      </c>
      <c r="DI89" s="3">
        <f ca="1">IFERROR(__xludf.DUMMYFUNCTION("""COMPUTED_VALUE"""),-0.324613351672685)</f>
        <v>-0.32461335167268501</v>
      </c>
      <c r="DJ89" s="3">
        <f ca="1">IFERROR(__xludf.DUMMYFUNCTION("""COMPUTED_VALUE"""),-0.44463279441049)</f>
        <v>-0.44463279441048997</v>
      </c>
      <c r="DK89" s="3">
        <f ca="1">IFERROR(__xludf.DUMMYFUNCTION("""COMPUTED_VALUE"""),-0.462996331658178)</f>
        <v>-0.462996331658178</v>
      </c>
      <c r="DL89" s="3">
        <f ca="1">IFERROR(__xludf.DUMMYFUNCTION("""COMPUTED_VALUE"""),-0.467174130682334)</f>
        <v>-0.46717413068233399</v>
      </c>
      <c r="DM89" s="3">
        <f ca="1">IFERROR(__xludf.DUMMYFUNCTION("""COMPUTED_VALUE"""),-0.448663669409845)</f>
        <v>-0.44866366940984498</v>
      </c>
      <c r="DN89" s="3">
        <f ca="1">IFERROR(__xludf.DUMMYFUNCTION("""COMPUTED_VALUE"""),-0.505101096491764)</f>
        <v>-0.50510109649176405</v>
      </c>
      <c r="DO89" s="3">
        <f ca="1">IFERROR(__xludf.DUMMYFUNCTION("""COMPUTED_VALUE"""),-0.503299790264427)</f>
        <v>-0.50329979026442695</v>
      </c>
      <c r="DP89" s="3">
        <f ca="1">IFERROR(__xludf.DUMMYFUNCTION("""COMPUTED_VALUE"""),-0.404375670590807)</f>
        <v>-0.40437567059080698</v>
      </c>
      <c r="DQ89" s="3">
        <f ca="1">IFERROR(__xludf.DUMMYFUNCTION("""COMPUTED_VALUE"""),-0.544017673173882)</f>
        <v>-0.54401767317388205</v>
      </c>
      <c r="DR89" s="3">
        <f ca="1">IFERROR(__xludf.DUMMYFUNCTION("""COMPUTED_VALUE"""),-0.56945108190468)</f>
        <v>-0.56945108190467997</v>
      </c>
      <c r="DS89" s="3">
        <f ca="1">IFERROR(__xludf.DUMMYFUNCTION("""COMPUTED_VALUE"""),-0.476318187895834)</f>
        <v>-0.47631818789583402</v>
      </c>
      <c r="DT89" s="3">
        <f ca="1">IFERROR(__xludf.DUMMYFUNCTION("""COMPUTED_VALUE"""),-0.506632504454867)</f>
        <v>-0.50663250445486696</v>
      </c>
      <c r="DU89" s="3">
        <f ca="1">IFERROR(__xludf.DUMMYFUNCTION("""COMPUTED_VALUE"""),-0.582068777465481)</f>
        <v>-0.58206877746548102</v>
      </c>
      <c r="DV89" s="3">
        <f ca="1">IFERROR(__xludf.DUMMYFUNCTION("""COMPUTED_VALUE"""),-0.603725216255154)</f>
        <v>-0.60372521625515396</v>
      </c>
      <c r="DW89" s="3">
        <f ca="1">IFERROR(__xludf.DUMMYFUNCTION("""COMPUTED_VALUE"""),-0.623585658770111)</f>
        <v>-0.62358565877011096</v>
      </c>
      <c r="DX89" s="3">
        <f ca="1">IFERROR(__xludf.DUMMYFUNCTION("""COMPUTED_VALUE"""),-0.605275860038376)</f>
        <v>-0.60527586003837597</v>
      </c>
      <c r="DY89" s="3">
        <f ca="1">IFERROR(__xludf.DUMMYFUNCTION("""COMPUTED_VALUE"""),-0.567917712431253)</f>
        <v>-0.567917712431253</v>
      </c>
      <c r="DZ89" s="3">
        <f ca="1">IFERROR(__xludf.DUMMYFUNCTION("""COMPUTED_VALUE"""),-0.493599547274457)</f>
        <v>-0.49359954727445698</v>
      </c>
      <c r="EA89" s="3">
        <f ca="1">IFERROR(__xludf.DUMMYFUNCTION("""COMPUTED_VALUE"""),-0.573304262084272)</f>
        <v>-0.57330426208427199</v>
      </c>
      <c r="EB89" s="3">
        <f ca="1">IFERROR(__xludf.DUMMYFUNCTION("""COMPUTED_VALUE"""),-0.588502608469068)</f>
        <v>-0.58850260846906799</v>
      </c>
      <c r="EC89" s="3">
        <f ca="1">IFERROR(__xludf.DUMMYFUNCTION("""COMPUTED_VALUE"""),-0.598745559696872)</f>
        <v>-0.59874555969687204</v>
      </c>
      <c r="ED89" s="3">
        <f ca="1">IFERROR(__xludf.DUMMYFUNCTION("""COMPUTED_VALUE"""),-0.643512937283413)</f>
        <v>-0.64351293728341297</v>
      </c>
      <c r="EE89" s="3">
        <f ca="1">IFERROR(__xludf.DUMMYFUNCTION("""COMPUTED_VALUE"""),-0.640351374266117)</f>
        <v>-0.64035137426611699</v>
      </c>
      <c r="EF89" s="3">
        <f ca="1">IFERROR(__xludf.DUMMYFUNCTION("""COMPUTED_VALUE"""),-0.617344368740997)</f>
        <v>-0.61734436874099696</v>
      </c>
      <c r="EG89" s="3">
        <f ca="1">IFERROR(__xludf.DUMMYFUNCTION("""COMPUTED_VALUE"""),-0.483656327113349)</f>
        <v>-0.48365632711334899</v>
      </c>
      <c r="EH89" s="3">
        <f ca="1">IFERROR(__xludf.DUMMYFUNCTION("""COMPUTED_VALUE"""),-0.571257038024748)</f>
        <v>-0.57125703802474803</v>
      </c>
      <c r="EI89" s="3">
        <f ca="1">IFERROR(__xludf.DUMMYFUNCTION("""COMPUTED_VALUE"""),-0.59898919335209)</f>
        <v>-0.59898919335209</v>
      </c>
      <c r="EJ89" s="3">
        <f ca="1">IFERROR(__xludf.DUMMYFUNCTION("""COMPUTED_VALUE"""),-0.653013680938952)</f>
        <v>-0.65301368093895196</v>
      </c>
      <c r="EK89" s="3">
        <f ca="1">IFERROR(__xludf.DUMMYFUNCTION("""COMPUTED_VALUE"""),-0.607268888681147)</f>
        <v>-0.60726888868114703</v>
      </c>
      <c r="EL89" s="3">
        <f ca="1">IFERROR(__xludf.DUMMYFUNCTION("""COMPUTED_VALUE"""),-0.607983649990491)</f>
        <v>-0.60798364999049104</v>
      </c>
      <c r="EM89" s="3">
        <f ca="1">IFERROR(__xludf.DUMMYFUNCTION("""COMPUTED_VALUE"""),-0.557117153570637)</f>
        <v>-0.55711715357063696</v>
      </c>
      <c r="EN89" s="3">
        <f ca="1">IFERROR(__xludf.DUMMYFUNCTION("""COMPUTED_VALUE"""),-0.465079341394653)</f>
        <v>-0.46507934139465301</v>
      </c>
      <c r="EO89" s="3">
        <f ca="1">IFERROR(__xludf.DUMMYFUNCTION("""COMPUTED_VALUE"""),-0.502392477251733)</f>
        <v>-0.50239247725173297</v>
      </c>
      <c r="EP89" s="3">
        <f ca="1">IFERROR(__xludf.DUMMYFUNCTION("""COMPUTED_VALUE"""),-0.562843525548935)</f>
        <v>-0.56284352554893502</v>
      </c>
      <c r="EQ89" s="3">
        <f ca="1">IFERROR(__xludf.DUMMYFUNCTION("""COMPUTED_VALUE"""),-0.582811097524284)</f>
        <v>-0.58281109752428395</v>
      </c>
      <c r="ER89" s="3">
        <f ca="1">IFERROR(__xludf.DUMMYFUNCTION("""COMPUTED_VALUE"""),-0.611356432967004)</f>
        <v>-0.61135643296700404</v>
      </c>
      <c r="ES89" s="3">
        <f ca="1">IFERROR(__xludf.DUMMYFUNCTION("""COMPUTED_VALUE"""),-0.596541495270473)</f>
        <v>-0.59654149527047295</v>
      </c>
      <c r="ET89" s="3">
        <f ca="1">IFERROR(__xludf.DUMMYFUNCTION("""COMPUTED_VALUE"""),-0.557374289322295)</f>
        <v>-0.55737428932229505</v>
      </c>
      <c r="EU89" s="3">
        <f ca="1">IFERROR(__xludf.DUMMYFUNCTION("""COMPUTED_VALUE"""),-0.4753386480923)</f>
        <v>-0.47533864809229998</v>
      </c>
      <c r="EV89" s="3">
        <f ca="1">IFERROR(__xludf.DUMMYFUNCTION("""COMPUTED_VALUE"""),-0.497933065947908)</f>
        <v>-0.49793306594790798</v>
      </c>
      <c r="EW89" s="3">
        <f ca="1">IFERROR(__xludf.DUMMYFUNCTION("""COMPUTED_VALUE"""),-0.61469641338873)</f>
        <v>-0.61469641338873005</v>
      </c>
      <c r="EX89" s="3">
        <f ca="1">IFERROR(__xludf.DUMMYFUNCTION("""COMPUTED_VALUE"""),-0.639111209953004)</f>
        <v>-0.63911120995300397</v>
      </c>
      <c r="EY89" s="3">
        <f ca="1">IFERROR(__xludf.DUMMYFUNCTION("""COMPUTED_VALUE"""),-0.624239511660905)</f>
        <v>-0.62423951166090497</v>
      </c>
      <c r="EZ89" s="3">
        <f ca="1">IFERROR(__xludf.DUMMYFUNCTION("""COMPUTED_VALUE"""),-0.539980626394692)</f>
        <v>-0.53998062639469202</v>
      </c>
      <c r="FA89" s="3">
        <f ca="1">IFERROR(__xludf.DUMMYFUNCTION("""COMPUTED_VALUE"""),-0.494495644951126)</f>
        <v>-0.49449564495112602</v>
      </c>
      <c r="FB89" s="3">
        <f ca="1">IFERROR(__xludf.DUMMYFUNCTION("""COMPUTED_VALUE"""),-0.43126590457162)</f>
        <v>-0.43126590457162001</v>
      </c>
      <c r="FC89" s="3">
        <f ca="1">IFERROR(__xludf.DUMMYFUNCTION("""COMPUTED_VALUE"""),-0.483080038687316)</f>
        <v>-0.48308003868731603</v>
      </c>
      <c r="FD89" s="3">
        <f ca="1">IFERROR(__xludf.DUMMYFUNCTION("""COMPUTED_VALUE"""),-0.576392688434015)</f>
        <v>-0.57639268843401503</v>
      </c>
      <c r="FE89" s="3">
        <f ca="1">IFERROR(__xludf.DUMMYFUNCTION("""COMPUTED_VALUE"""),-0.591471330958636)</f>
        <v>-0.59147133095863602</v>
      </c>
      <c r="FF89" s="3">
        <f ca="1">IFERROR(__xludf.DUMMYFUNCTION("""COMPUTED_VALUE"""),-0.610480998526978)</f>
        <v>-0.61048099852697801</v>
      </c>
      <c r="FG89" s="3">
        <f ca="1">IFERROR(__xludf.DUMMYFUNCTION("""COMPUTED_VALUE"""),-0.595355484621177)</f>
        <v>-0.59535548462117704</v>
      </c>
      <c r="FH89" s="3">
        <f ca="1">IFERROR(__xludf.DUMMYFUNCTION("""COMPUTED_VALUE"""),-0.540346752801881)</f>
        <v>-0.54034675280188105</v>
      </c>
      <c r="FI89" s="3">
        <f ca="1">IFERROR(__xludf.DUMMYFUNCTION("""COMPUTED_VALUE"""),-0.453542089635559)</f>
        <v>-0.45354208963555898</v>
      </c>
      <c r="FJ89" s="3">
        <f ca="1">IFERROR(__xludf.DUMMYFUNCTION("""COMPUTED_VALUE"""),-0.493173918171028)</f>
        <v>-0.49317391817102801</v>
      </c>
      <c r="FK89" s="3">
        <f ca="1">IFERROR(__xludf.DUMMYFUNCTION("""COMPUTED_VALUE"""),-0.627475669450616)</f>
        <v>-0.62747566945061595</v>
      </c>
      <c r="FL89" s="3">
        <f ca="1">IFERROR(__xludf.DUMMYFUNCTION("""COMPUTED_VALUE"""),-0.630141889634244)</f>
        <v>-0.630141889634244</v>
      </c>
      <c r="FM89" s="3">
        <f ca="1">IFERROR(__xludf.DUMMYFUNCTION("""COMPUTED_VALUE"""),-0.606264877334162)</f>
        <v>-0.60626487733416201</v>
      </c>
      <c r="FN89" s="3">
        <f ca="1">IFERROR(__xludf.DUMMYFUNCTION("""COMPUTED_VALUE"""),-0.574246306923214)</f>
        <v>-0.57424630692321399</v>
      </c>
      <c r="FO89" s="3">
        <f ca="1">IFERROR(__xludf.DUMMYFUNCTION("""COMPUTED_VALUE"""),-0.5724970462271)</f>
        <v>-0.57249704622709996</v>
      </c>
      <c r="FP89" s="3">
        <f ca="1">IFERROR(__xludf.DUMMYFUNCTION("""COMPUTED_VALUE"""),-0.480299996017203)</f>
        <v>-0.48029999601720302</v>
      </c>
      <c r="FQ89" s="3">
        <f ca="1">IFERROR(__xludf.DUMMYFUNCTION("""COMPUTED_VALUE"""),-0.522899669763486)</f>
        <v>-0.52289966976348601</v>
      </c>
      <c r="FR89" s="3">
        <f ca="1">IFERROR(__xludf.DUMMYFUNCTION("""COMPUTED_VALUE"""),-0.585422680823017)</f>
        <v>-0.58542268082301696</v>
      </c>
      <c r="FS89" s="3">
        <f ca="1">IFERROR(__xludf.DUMMYFUNCTION("""COMPUTED_VALUE"""),-0.57358590468704)</f>
        <v>-0.57358590468703996</v>
      </c>
      <c r="FT89" s="3">
        <f ca="1">IFERROR(__xludf.DUMMYFUNCTION("""COMPUTED_VALUE"""),-0.593887720336596)</f>
        <v>-0.59388772033659598</v>
      </c>
      <c r="FU89" s="3">
        <f ca="1">IFERROR(__xludf.DUMMYFUNCTION("""COMPUTED_VALUE"""),-0.572115806795685)</f>
        <v>-0.57211580679568497</v>
      </c>
      <c r="FV89" s="3">
        <f ca="1">IFERROR(__xludf.DUMMYFUNCTION("""COMPUTED_VALUE"""),-0.53505019972105)</f>
        <v>-0.53505019972104995</v>
      </c>
      <c r="FW89" s="3">
        <f ca="1">IFERROR(__xludf.DUMMYFUNCTION("""COMPUTED_VALUE"""),-0.47073595080575)</f>
        <v>-0.47073595080574998</v>
      </c>
      <c r="FX89" s="3">
        <f ca="1">IFERROR(__xludf.DUMMYFUNCTION("""COMPUTED_VALUE"""),-0.537620786019975)</f>
        <v>-0.53762078601997498</v>
      </c>
      <c r="FY89" s="3">
        <f ca="1">IFERROR(__xludf.DUMMYFUNCTION("""COMPUTED_VALUE"""),-0.62205994161275)</f>
        <v>-0.62205994161275002</v>
      </c>
      <c r="FZ89" s="3">
        <f ca="1">IFERROR(__xludf.DUMMYFUNCTION("""COMPUTED_VALUE"""),-0.55271255842645)</f>
        <v>-0.55271255842644995</v>
      </c>
      <c r="GA89" s="3">
        <f ca="1">IFERROR(__xludf.DUMMYFUNCTION("""COMPUTED_VALUE"""),-0.548546040839186)</f>
        <v>-0.54854604083918601</v>
      </c>
      <c r="GB89" s="3">
        <f ca="1">IFERROR(__xludf.DUMMYFUNCTION("""COMPUTED_VALUE"""),-0.604214422144028)</f>
        <v>-0.60421442214402798</v>
      </c>
      <c r="GC89" s="3">
        <f ca="1">IFERROR(__xludf.DUMMYFUNCTION("""COMPUTED_VALUE"""),-0.57806383901253)</f>
        <v>-0.57806383901253</v>
      </c>
      <c r="GD89" s="3">
        <f ca="1">IFERROR(__xludf.DUMMYFUNCTION("""COMPUTED_VALUE"""),-0.429998907048451)</f>
        <v>-0.42999890704845101</v>
      </c>
      <c r="GE89" s="3">
        <f ca="1">IFERROR(__xludf.DUMMYFUNCTION("""COMPUTED_VALUE"""),-0.476089912432735)</f>
        <v>-0.47608991243273502</v>
      </c>
      <c r="GF89" s="3">
        <f ca="1">IFERROR(__xludf.DUMMYFUNCTION("""COMPUTED_VALUE"""),-0.57439427977585)</f>
        <v>-0.57439427977585</v>
      </c>
      <c r="GG89" s="3">
        <f ca="1">IFERROR(__xludf.DUMMYFUNCTION("""COMPUTED_VALUE"""),-0.563145530290839)</f>
        <v>-0.56314553029083902</v>
      </c>
      <c r="GH89" s="3">
        <f ca="1">IFERROR(__xludf.DUMMYFUNCTION("""COMPUTED_VALUE"""),-0.548914519285789)</f>
        <v>-0.54891451928578905</v>
      </c>
      <c r="GI89" s="3">
        <f ca="1">IFERROR(__xludf.DUMMYFUNCTION("""COMPUTED_VALUE"""),-0.542663655565899)</f>
        <v>-0.54266365556589902</v>
      </c>
      <c r="GJ89" s="3">
        <f ca="1">IFERROR(__xludf.DUMMYFUNCTION("""COMPUTED_VALUE"""),-0.490949256513113)</f>
        <v>-0.490949256513113</v>
      </c>
      <c r="GK89" s="3">
        <f ca="1">IFERROR(__xludf.DUMMYFUNCTION("""COMPUTED_VALUE"""),-0.47919008393233)</f>
        <v>-0.47919008393232998</v>
      </c>
      <c r="GL89" s="3">
        <f ca="1">IFERROR(__xludf.DUMMYFUNCTION("""COMPUTED_VALUE"""),-0.490114741425648)</f>
        <v>-0.49011474142564798</v>
      </c>
      <c r="GM89" s="3">
        <f ca="1">IFERROR(__xludf.DUMMYFUNCTION("""COMPUTED_VALUE"""),-0.553263916431946)</f>
        <v>-0.55326391643194595</v>
      </c>
      <c r="GN89" s="3">
        <f ca="1">IFERROR(__xludf.DUMMYFUNCTION("""COMPUTED_VALUE"""),-0.475013922984597)</f>
        <v>-0.47501392298459699</v>
      </c>
      <c r="GO89" s="3">
        <f ca="1">IFERROR(__xludf.DUMMYFUNCTION("""COMPUTED_VALUE"""),-0.422139604207641)</f>
        <v>-0.42213960420764102</v>
      </c>
      <c r="GP89" s="3">
        <f ca="1">IFERROR(__xludf.DUMMYFUNCTION("""COMPUTED_VALUE"""),-0.557828356099518)</f>
        <v>-0.55782835609951797</v>
      </c>
      <c r="GQ89" s="3">
        <f ca="1">IFERROR(__xludf.DUMMYFUNCTION("""COMPUTED_VALUE"""),-0.529887857467244)</f>
        <v>-0.52988785746724398</v>
      </c>
      <c r="GR89" s="3">
        <f ca="1">IFERROR(__xludf.DUMMYFUNCTION("""COMPUTED_VALUE"""),-0.45791799562639)</f>
        <v>-0.45791799562639002</v>
      </c>
      <c r="GS89" s="3">
        <f ca="1">IFERROR(__xludf.DUMMYFUNCTION("""COMPUTED_VALUE"""),-0.512979986307597)</f>
        <v>-0.512979986307597</v>
      </c>
      <c r="GT89" s="3">
        <f ca="1">IFERROR(__xludf.DUMMYFUNCTION("""COMPUTED_VALUE"""),-0.555406784184821)</f>
        <v>-0.55540678418482103</v>
      </c>
      <c r="GU89" s="3">
        <f ca="1">IFERROR(__xludf.DUMMYFUNCTION("""COMPUTED_VALUE"""),-0.566299287336316)</f>
        <v>-0.56629928733631596</v>
      </c>
      <c r="GV89" s="3">
        <f ca="1">IFERROR(__xludf.DUMMYFUNCTION("""COMPUTED_VALUE"""),-0.56563999498358)</f>
        <v>-0.56563999498357997</v>
      </c>
      <c r="GW89" s="3">
        <f ca="1">IFERROR(__xludf.DUMMYFUNCTION("""COMPUTED_VALUE"""),-0.535422066704485)</f>
        <v>-0.535422066704485</v>
      </c>
      <c r="GX89" s="3">
        <f ca="1">IFERROR(__xludf.DUMMYFUNCTION("""COMPUTED_VALUE"""),-0.51452776322406)</f>
        <v>-0.51452776322406002</v>
      </c>
      <c r="GY89" s="3">
        <f ca="1">IFERROR(__xludf.DUMMYFUNCTION("""COMPUTED_VALUE"""),-0.457674971697341)</f>
        <v>-0.457674971697341</v>
      </c>
      <c r="GZ89" s="3">
        <f ca="1">IFERROR(__xludf.DUMMYFUNCTION("""COMPUTED_VALUE"""),-0.486834775313168)</f>
        <v>-0.48683477531316799</v>
      </c>
      <c r="HA89" s="3">
        <f ca="1">IFERROR(__xludf.DUMMYFUNCTION("""COMPUTED_VALUE"""),-0.546512443984122)</f>
        <v>-0.54651244398412202</v>
      </c>
      <c r="HB89" s="3">
        <f ca="1">IFERROR(__xludf.DUMMYFUNCTION("""COMPUTED_VALUE"""),-0.561325229116497)</f>
        <v>-0.56132522911649696</v>
      </c>
      <c r="HC89" s="3">
        <f ca="1">IFERROR(__xludf.DUMMYFUNCTION("""COMPUTED_VALUE"""),-0.560811408336281)</f>
        <v>-0.56081140833628096</v>
      </c>
      <c r="HD89" s="3">
        <f ca="1">IFERROR(__xludf.DUMMYFUNCTION("""COMPUTED_VALUE"""),-0.551857978144055)</f>
        <v>-0.55185797814405502</v>
      </c>
      <c r="HE89" s="3">
        <f ca="1">IFERROR(__xludf.DUMMYFUNCTION("""COMPUTED_VALUE"""),-0.546756675616693)</f>
        <v>-0.54675667561669306</v>
      </c>
      <c r="HF89" s="3">
        <f ca="1">IFERROR(__xludf.DUMMYFUNCTION("""COMPUTED_VALUE"""),-0.469588178073864)</f>
        <v>-0.46958817807386399</v>
      </c>
      <c r="HG89" s="3">
        <f ca="1">IFERROR(__xludf.DUMMYFUNCTION("""COMPUTED_VALUE"""),-0.453858982568644)</f>
        <v>-0.45385898256864399</v>
      </c>
      <c r="HH89" s="3">
        <f ca="1">IFERROR(__xludf.DUMMYFUNCTION("""COMPUTED_VALUE"""),-0.520721137024905)</f>
        <v>-0.52072113702490497</v>
      </c>
      <c r="HI89" s="3">
        <f ca="1">IFERROR(__xludf.DUMMYFUNCTION("""COMPUTED_VALUE"""),-0.5480837426713)</f>
        <v>-0.5480837426713</v>
      </c>
      <c r="HJ89" s="3">
        <f ca="1">IFERROR(__xludf.DUMMYFUNCTION("""COMPUTED_VALUE"""),-0.468912236426986)</f>
        <v>-0.46891223642698598</v>
      </c>
      <c r="HK89" s="3">
        <f ca="1">IFERROR(__xludf.DUMMYFUNCTION("""COMPUTED_VALUE"""),-0.294175812494692)</f>
        <v>-0.29417581249469199</v>
      </c>
      <c r="HL89" s="3">
        <f ca="1">IFERROR(__xludf.DUMMYFUNCTION("""COMPUTED_VALUE"""),0.123636667117188)</f>
        <v>0.123636667117188</v>
      </c>
      <c r="HM89" s="3">
        <f ca="1">IFERROR(__xludf.DUMMYFUNCTION("""COMPUTED_VALUE"""),-0.380740514286932)</f>
        <v>-0.38074051428693201</v>
      </c>
      <c r="HN89" s="3">
        <f ca="1">IFERROR(__xludf.DUMMYFUNCTION("""COMPUTED_VALUE"""),-0.431065796237833)</f>
        <v>-0.43106579623783298</v>
      </c>
      <c r="HO89" s="3">
        <f ca="1">IFERROR(__xludf.DUMMYFUNCTION("""COMPUTED_VALUE"""),-0.461705457934135)</f>
        <v>-0.46170545793413498</v>
      </c>
      <c r="HP89" s="3">
        <f ca="1">IFERROR(__xludf.DUMMYFUNCTION("""COMPUTED_VALUE"""),-0.510768681173325)</f>
        <v>-0.51076868117332497</v>
      </c>
      <c r="HQ89" s="3">
        <f ca="1">IFERROR(__xludf.DUMMYFUNCTION("""COMPUTED_VALUE"""),-0.523010197993923)</f>
        <v>-0.52301019799392301</v>
      </c>
      <c r="HR89" s="3">
        <f ca="1">IFERROR(__xludf.DUMMYFUNCTION("""COMPUTED_VALUE"""),-0.507145343095337)</f>
        <v>-0.50714534309533699</v>
      </c>
      <c r="HS89" s="3">
        <f ca="1">IFERROR(__xludf.DUMMYFUNCTION("""COMPUTED_VALUE"""),-0.421664808953427)</f>
        <v>-0.42166480895342701</v>
      </c>
      <c r="HT89" s="3">
        <f ca="1">IFERROR(__xludf.DUMMYFUNCTION("""COMPUTED_VALUE"""),-0.322688470313231)</f>
        <v>-0.322688470313231</v>
      </c>
      <c r="HU89" s="3">
        <f ca="1">IFERROR(__xludf.DUMMYFUNCTION("""COMPUTED_VALUE"""),-0.423902116702027)</f>
        <v>-0.42390211670202699</v>
      </c>
      <c r="HV89" s="3">
        <f ca="1">IFERROR(__xludf.DUMMYFUNCTION("""COMPUTED_VALUE"""),-0.379123709130691)</f>
        <v>-0.37912370913069099</v>
      </c>
      <c r="HW89" s="3">
        <f ca="1">IFERROR(__xludf.DUMMYFUNCTION("""COMPUTED_VALUE"""),-0.429533436056105)</f>
        <v>-0.429533436056105</v>
      </c>
      <c r="HX89" s="3">
        <f ca="1">IFERROR(__xludf.DUMMYFUNCTION("""COMPUTED_VALUE"""),-0.40396839319935)</f>
        <v>-0.40396839319935002</v>
      </c>
      <c r="HY89" s="3">
        <f ca="1">IFERROR(__xludf.DUMMYFUNCTION("""COMPUTED_VALUE"""),-0.37089549230642)</f>
        <v>-0.37089549230641999</v>
      </c>
      <c r="HZ89" s="3">
        <f ca="1">IFERROR(__xludf.DUMMYFUNCTION("""COMPUTED_VALUE"""),-0.324436203100198)</f>
        <v>-0.324436203100198</v>
      </c>
      <c r="IA89" s="3">
        <f ca="1">IFERROR(__xludf.DUMMYFUNCTION("""COMPUTED_VALUE"""),-0.362316675538743)</f>
        <v>-0.36231667553874303</v>
      </c>
      <c r="IB89" s="3">
        <f ca="1">IFERROR(__xludf.DUMMYFUNCTION("""COMPUTED_VALUE"""),-0.337000302805743)</f>
        <v>-0.337000302805743</v>
      </c>
      <c r="IC89" s="3">
        <f ca="1">IFERROR(__xludf.DUMMYFUNCTION("""COMPUTED_VALUE"""),-0.303449016890445)</f>
        <v>-0.30344901689044501</v>
      </c>
      <c r="ID89" s="3">
        <f ca="1">IFERROR(__xludf.DUMMYFUNCTION("""COMPUTED_VALUE"""),-0.369517269564204)</f>
        <v>-0.369517269564204</v>
      </c>
      <c r="IE89" s="3">
        <f ca="1">IFERROR(__xludf.DUMMYFUNCTION("""COMPUTED_VALUE"""),-0.379460347114855)</f>
        <v>-0.37946034711485499</v>
      </c>
      <c r="IF89" s="3">
        <f ca="1">IFERROR(__xludf.DUMMYFUNCTION("""COMPUTED_VALUE"""),-0.349059263084136)</f>
        <v>-0.34905926308413598</v>
      </c>
      <c r="IG89" s="3">
        <f ca="1">IFERROR(__xludf.DUMMYFUNCTION("""COMPUTED_VALUE"""),-0.390435641094436)</f>
        <v>-0.39043564109443601</v>
      </c>
      <c r="IH89" s="3">
        <f ca="1">IFERROR(__xludf.DUMMYFUNCTION("""COMPUTED_VALUE"""),-0.471433820338636)</f>
        <v>-0.47143382033863601</v>
      </c>
      <c r="II89" s="3">
        <f ca="1">IFERROR(__xludf.DUMMYFUNCTION("""COMPUTED_VALUE"""),-0.334529469621866)</f>
        <v>-0.33452946962186603</v>
      </c>
      <c r="IJ89" s="3">
        <f ca="1">IFERROR(__xludf.DUMMYFUNCTION("""COMPUTED_VALUE"""),-0.326250764391485)</f>
        <v>-0.32625076439148498</v>
      </c>
      <c r="IK89" s="3">
        <f ca="1">IFERROR(__xludf.DUMMYFUNCTION("""COMPUTED_VALUE"""),-0.424236607473494)</f>
        <v>-0.42423660747349401</v>
      </c>
      <c r="IL89" s="3">
        <f ca="1">IFERROR(__xludf.DUMMYFUNCTION("""COMPUTED_VALUE"""),-0.365189682171616)</f>
        <v>-0.36518968217161601</v>
      </c>
      <c r="IM89" s="3">
        <f ca="1">IFERROR(__xludf.DUMMYFUNCTION("""COMPUTED_VALUE"""),-0.34809824454228)</f>
        <v>-0.34809824454228</v>
      </c>
      <c r="IN89" s="3">
        <f ca="1">IFERROR(__xludf.DUMMYFUNCTION("""COMPUTED_VALUE"""),-0.356866967097891)</f>
        <v>-0.35686696709789101</v>
      </c>
      <c r="IO89" s="3">
        <f ca="1">IFERROR(__xludf.DUMMYFUNCTION("""COMPUTED_VALUE"""),-0.386624055135708)</f>
        <v>-0.38662405513570802</v>
      </c>
      <c r="IP89" s="3">
        <f ca="1">IFERROR(__xludf.DUMMYFUNCTION("""COMPUTED_VALUE"""),-0.406810729734998)</f>
        <v>-0.40681072973499799</v>
      </c>
      <c r="IQ89" s="3">
        <f ca="1">IFERROR(__xludf.DUMMYFUNCTION("""COMPUTED_VALUE"""),-0.382833751777514)</f>
        <v>-0.382833751777514</v>
      </c>
      <c r="IR89" s="3">
        <f ca="1">IFERROR(__xludf.DUMMYFUNCTION("""COMPUTED_VALUE"""),-0.370605174509167)</f>
        <v>-0.37060517450916702</v>
      </c>
      <c r="IS89" s="3">
        <f ca="1">IFERROR(__xludf.DUMMYFUNCTION("""COMPUTED_VALUE"""),-0.309539311453239)</f>
        <v>-0.30953931145323899</v>
      </c>
      <c r="IT89" s="3">
        <f ca="1">IFERROR(__xludf.DUMMYFUNCTION("""COMPUTED_VALUE"""),-0.474180005005283)</f>
        <v>-0.47418000500528301</v>
      </c>
      <c r="IU89" s="3">
        <f ca="1">IFERROR(__xludf.DUMMYFUNCTION("""COMPUTED_VALUE"""),-0.385309784750586)</f>
        <v>-0.38530978475058603</v>
      </c>
      <c r="IV89" s="3">
        <f ca="1">IFERROR(__xludf.DUMMYFUNCTION("""COMPUTED_VALUE"""),-0.408444774869172)</f>
        <v>-0.40844477486917202</v>
      </c>
      <c r="IW89" s="3">
        <f ca="1">IFERROR(__xludf.DUMMYFUNCTION("""COMPUTED_VALUE"""),-0.365052619867174)</f>
        <v>-0.36505261986717402</v>
      </c>
      <c r="IX89" s="3">
        <f ca="1">IFERROR(__xludf.DUMMYFUNCTION("""COMPUTED_VALUE"""),-0.435268595434996)</f>
        <v>-0.43526859543499602</v>
      </c>
      <c r="IY89" s="3">
        <f ca="1">IFERROR(__xludf.DUMMYFUNCTION("""COMPUTED_VALUE"""),-0.453972214412495)</f>
        <v>-0.45397221441249502</v>
      </c>
      <c r="IZ89" s="3">
        <f ca="1">IFERROR(__xludf.DUMMYFUNCTION("""COMPUTED_VALUE"""),-0.428054516573999)</f>
        <v>-0.42805451657399901</v>
      </c>
      <c r="JA89" s="3">
        <f ca="1">IFERROR(__xludf.DUMMYFUNCTION("""COMPUTED_VALUE"""),-0.45306889682403)</f>
        <v>-0.45306889682403001</v>
      </c>
      <c r="JB89" s="3">
        <f ca="1">IFERROR(__xludf.DUMMYFUNCTION("""COMPUTED_VALUE"""),-0.42728624937282)</f>
        <v>-0.42728624937282</v>
      </c>
      <c r="JC89" s="3">
        <f ca="1">IFERROR(__xludf.DUMMYFUNCTION("""COMPUTED_VALUE"""),-0.389772657426178)</f>
        <v>-0.389772657426178</v>
      </c>
      <c r="JD89" s="3">
        <f ca="1">IFERROR(__xludf.DUMMYFUNCTION("""COMPUTED_VALUE"""),-0.407801970685276)</f>
        <v>-0.40780197068527602</v>
      </c>
      <c r="JE89" s="3">
        <f ca="1">IFERROR(__xludf.DUMMYFUNCTION("""COMPUTED_VALUE"""),-0.490806272170434)</f>
        <v>-0.49080627217043399</v>
      </c>
      <c r="JF89" s="3">
        <f ca="1">IFERROR(__xludf.DUMMYFUNCTION("""COMPUTED_VALUE"""),-0.471041667261907)</f>
        <v>-0.47104166726190699</v>
      </c>
      <c r="JG89" s="3">
        <f ca="1">IFERROR(__xludf.DUMMYFUNCTION("""COMPUTED_VALUE"""),-0.476712948074767)</f>
        <v>-0.476712948074767</v>
      </c>
      <c r="JH89" s="3">
        <f ca="1">IFERROR(__xludf.DUMMYFUNCTION("""COMPUTED_VALUE"""),-0.458429675345054)</f>
        <v>-0.45842967534505402</v>
      </c>
      <c r="JI89" s="3">
        <f ca="1">IFERROR(__xludf.DUMMYFUNCTION("""COMPUTED_VALUE"""),-0.456695448213957)</f>
        <v>-0.45669544821395702</v>
      </c>
      <c r="JJ89" s="3">
        <f ca="1">IFERROR(__xludf.DUMMYFUNCTION("""COMPUTED_VALUE"""),-0.397197131771617)</f>
        <v>-0.39719713177161697</v>
      </c>
      <c r="JK89" s="3">
        <f ca="1">IFERROR(__xludf.DUMMYFUNCTION("""COMPUTED_VALUE"""),-0.457556547135186)</f>
        <v>-0.45755654713518601</v>
      </c>
      <c r="JL89" s="3">
        <f ca="1">IFERROR(__xludf.DUMMYFUNCTION("""COMPUTED_VALUE"""),-0.508235755596293)</f>
        <v>-0.50823575559629297</v>
      </c>
      <c r="JM89" s="3">
        <f ca="1">IFERROR(__xludf.DUMMYFUNCTION("""COMPUTED_VALUE"""),-0.472542335404368)</f>
        <v>-0.47254233540436802</v>
      </c>
      <c r="JN89" s="3">
        <f ca="1">IFERROR(__xludf.DUMMYFUNCTION("""COMPUTED_VALUE"""),-0.478988666177386)</f>
        <v>-0.478988666177386</v>
      </c>
      <c r="JO89" s="3">
        <f ca="1">IFERROR(__xludf.DUMMYFUNCTION("""COMPUTED_VALUE"""),-0.466941930605479)</f>
        <v>-0.46694193060547901</v>
      </c>
      <c r="JP89" s="3">
        <f ca="1">IFERROR(__xludf.DUMMYFUNCTION("""COMPUTED_VALUE"""),-0.463919556991035)</f>
        <v>-0.46391955699103499</v>
      </c>
      <c r="JQ89" s="3">
        <f ca="1">IFERROR(__xludf.DUMMYFUNCTION("""COMPUTED_VALUE"""),-0.449730502410765)</f>
        <v>-0.44973050241076501</v>
      </c>
      <c r="JR89" s="3">
        <f ca="1">IFERROR(__xludf.DUMMYFUNCTION("""COMPUTED_VALUE"""),-0.545794586871393)</f>
        <v>-0.54579458687139304</v>
      </c>
      <c r="JS89" s="3">
        <f ca="1">IFERROR(__xludf.DUMMYFUNCTION("""COMPUTED_VALUE"""),-0.55036649960071)</f>
        <v>-0.55036649960071005</v>
      </c>
      <c r="JT89" s="3">
        <f ca="1">IFERROR(__xludf.DUMMYFUNCTION("""COMPUTED_VALUE"""),-0.401814383616924)</f>
        <v>-0.40181438361692401</v>
      </c>
      <c r="JU89" s="3">
        <f ca="1">IFERROR(__xludf.DUMMYFUNCTION("""COMPUTED_VALUE"""),-0.513135800152416)</f>
        <v>-0.513135800152416</v>
      </c>
      <c r="JV89" s="3">
        <f ca="1">IFERROR(__xludf.DUMMYFUNCTION("""COMPUTED_VALUE"""),-0.519758578399131)</f>
        <v>-0.51975857839913098</v>
      </c>
      <c r="JW89" s="3">
        <f ca="1">IFERROR(__xludf.DUMMYFUNCTION("""COMPUTED_VALUE"""),-0.501821861328628)</f>
        <v>-0.50182186132862805</v>
      </c>
      <c r="JX89" s="3">
        <f ca="1">IFERROR(__xludf.DUMMYFUNCTION("""COMPUTED_VALUE"""),-0.450098033832425)</f>
        <v>-0.45009803383242503</v>
      </c>
      <c r="JY89" s="3">
        <f ca="1">IFERROR(__xludf.DUMMYFUNCTION("""COMPUTED_VALUE"""),-0.469027951199415)</f>
        <v>-0.46902795119941498</v>
      </c>
      <c r="JZ89" s="3">
        <f ca="1">IFERROR(__xludf.DUMMYFUNCTION("""COMPUTED_VALUE"""),-0.374508392916079)</f>
        <v>-0.37450839291607901</v>
      </c>
      <c r="KA89" s="3">
        <f ca="1">IFERROR(__xludf.DUMMYFUNCTION("""COMPUTED_VALUE"""),-0.46061184012468)</f>
        <v>-0.46061184012467998</v>
      </c>
      <c r="KB89" s="3">
        <f ca="1">IFERROR(__xludf.DUMMYFUNCTION("""COMPUTED_VALUE"""),-0.553070756738099)</f>
        <v>-0.55307075673809902</v>
      </c>
      <c r="KC89" s="3">
        <f ca="1">IFERROR(__xludf.DUMMYFUNCTION("""COMPUTED_VALUE"""),-0.512025565756)</f>
        <v>-0.512025565756</v>
      </c>
      <c r="KD89" s="3">
        <f ca="1">IFERROR(__xludf.DUMMYFUNCTION("""COMPUTED_VALUE"""),-0.482752496435534)</f>
        <v>-0.48275249643553397</v>
      </c>
      <c r="KE89" s="3">
        <f ca="1">IFERROR(__xludf.DUMMYFUNCTION("""COMPUTED_VALUE"""),-0.502068021223104)</f>
        <v>-0.50206802122310401</v>
      </c>
      <c r="KF89" s="3">
        <f ca="1">IFERROR(__xludf.DUMMYFUNCTION("""COMPUTED_VALUE"""),-0.523334402438564)</f>
        <v>-0.52333440243856399</v>
      </c>
      <c r="KG89" s="3">
        <f ca="1">IFERROR(__xludf.DUMMYFUNCTION("""COMPUTED_VALUE"""),-0.478853680133298)</f>
        <v>-0.47885368013329799</v>
      </c>
      <c r="KH89" s="3">
        <f ca="1">IFERROR(__xludf.DUMMYFUNCTION("""COMPUTED_VALUE"""),-0.510081838865068)</f>
        <v>-0.51008183886506797</v>
      </c>
      <c r="KI89" s="3">
        <f ca="1">IFERROR(__xludf.DUMMYFUNCTION("""COMPUTED_VALUE"""),-0.556985639781662)</f>
        <v>-0.55698563978166205</v>
      </c>
      <c r="KJ89" s="3">
        <f ca="1">IFERROR(__xludf.DUMMYFUNCTION("""COMPUTED_VALUE"""),-0.504294629441842)</f>
        <v>-0.504294629441842</v>
      </c>
      <c r="KK89" s="3">
        <f ca="1">IFERROR(__xludf.DUMMYFUNCTION("""COMPUTED_VALUE"""),-0.520899560018435)</f>
        <v>-0.52089956001843496</v>
      </c>
      <c r="KL89" s="3">
        <f ca="1">IFERROR(__xludf.DUMMYFUNCTION("""COMPUTED_VALUE"""),-0.536520175346028)</f>
        <v>-0.53652017534602803</v>
      </c>
      <c r="KM89" s="3">
        <f ca="1">IFERROR(__xludf.DUMMYFUNCTION("""COMPUTED_VALUE"""),-0.581473571032949)</f>
        <v>-0.58147357103294905</v>
      </c>
      <c r="KN89" s="3">
        <f ca="1">IFERROR(__xludf.DUMMYFUNCTION("""COMPUTED_VALUE"""),-0.587185632670535)</f>
        <v>-0.58718563267053503</v>
      </c>
      <c r="KO89" s="3">
        <f ca="1">IFERROR(__xludf.DUMMYFUNCTION("""COMPUTED_VALUE"""),-0.599610617746879)</f>
        <v>-0.59961061774687896</v>
      </c>
      <c r="KP89" s="3">
        <f ca="1">IFERROR(__xludf.DUMMYFUNCTION("""COMPUTED_VALUE"""),-0.606597154175016)</f>
        <v>-0.60659715417501603</v>
      </c>
      <c r="KQ89" s="3">
        <f ca="1">IFERROR(__xludf.DUMMYFUNCTION("""COMPUTED_VALUE"""),-0.558878075091378)</f>
        <v>-0.55887807509137799</v>
      </c>
      <c r="KR89" s="3">
        <f ca="1">IFERROR(__xludf.DUMMYFUNCTION("""COMPUTED_VALUE"""),-0.554496073344289)</f>
        <v>-0.55449607334428896</v>
      </c>
      <c r="KS89" s="3">
        <f ca="1">IFERROR(__xludf.DUMMYFUNCTION("""COMPUTED_VALUE"""),-0.541446958926065)</f>
        <v>-0.54144695892606498</v>
      </c>
      <c r="KT89" s="3">
        <f ca="1">IFERROR(__xludf.DUMMYFUNCTION("""COMPUTED_VALUE"""),-0.586289792991451)</f>
        <v>-0.58628979299145101</v>
      </c>
      <c r="KU89" s="3">
        <f ca="1">IFERROR(__xludf.DUMMYFUNCTION("""COMPUTED_VALUE"""),-0.578437953288968)</f>
        <v>-0.57843795328896797</v>
      </c>
      <c r="KV89" s="3">
        <f ca="1">IFERROR(__xludf.DUMMYFUNCTION("""COMPUTED_VALUE"""),-0.623274782233403)</f>
        <v>-0.62327478223340305</v>
      </c>
      <c r="KW89" s="3">
        <f ca="1">IFERROR(__xludf.DUMMYFUNCTION("""COMPUTED_VALUE"""),-0.591453686425279)</f>
        <v>-0.59145368642527896</v>
      </c>
      <c r="KX89" s="3">
        <f ca="1">IFERROR(__xludf.DUMMYFUNCTION("""COMPUTED_VALUE"""),-0.558872999764533)</f>
        <v>-0.55887299976453297</v>
      </c>
      <c r="KY89" s="3">
        <f ca="1">IFERROR(__xludf.DUMMYFUNCTION("""COMPUTED_VALUE"""),-0.568201358634826)</f>
        <v>-0.56820135863482601</v>
      </c>
      <c r="KZ89" s="3">
        <f ca="1">IFERROR(__xludf.DUMMYFUNCTION("""COMPUTED_VALUE"""),-0.584169279001649)</f>
        <v>-0.58416927900164906</v>
      </c>
      <c r="LA89" s="3">
        <f ca="1">IFERROR(__xludf.DUMMYFUNCTION("""COMPUTED_VALUE"""),-0.654185281060185)</f>
        <v>-0.65418528106018503</v>
      </c>
      <c r="LB89" s="3">
        <f ca="1">IFERROR(__xludf.DUMMYFUNCTION("""COMPUTED_VALUE"""),-0.649526398191308)</f>
        <v>-0.64952639819130797</v>
      </c>
      <c r="LC89" s="3">
        <f ca="1">IFERROR(__xludf.DUMMYFUNCTION("""COMPUTED_VALUE"""),-0.598081785555167)</f>
        <v>-0.598081785555167</v>
      </c>
      <c r="LD89" s="3">
        <f ca="1">IFERROR(__xludf.DUMMYFUNCTION("""COMPUTED_VALUE"""),-0.626104468511695)</f>
        <v>-0.62610446851169499</v>
      </c>
      <c r="LE89" s="3">
        <f ca="1">IFERROR(__xludf.DUMMYFUNCTION("""COMPUTED_VALUE"""),-0.606810747874897)</f>
        <v>-0.60681074787489697</v>
      </c>
      <c r="LF89" s="3">
        <f ca="1">IFERROR(__xludf.DUMMYFUNCTION("""COMPUTED_VALUE"""),-0.570926917660275)</f>
        <v>-0.57092691766027504</v>
      </c>
      <c r="LG89" s="3">
        <f ca="1">IFERROR(__xludf.DUMMYFUNCTION("""COMPUTED_VALUE"""),-0.621377501638165)</f>
        <v>-0.62137750163816496</v>
      </c>
      <c r="LH89" s="3">
        <f ca="1">IFERROR(__xludf.DUMMYFUNCTION("""COMPUTED_VALUE"""),-0.634826163901178)</f>
        <v>-0.63482616390117796</v>
      </c>
      <c r="LI89" s="3">
        <f ca="1">IFERROR(__xludf.DUMMYFUNCTION("""COMPUTED_VALUE"""),-0.656014265171196)</f>
        <v>-0.65601426517119599</v>
      </c>
      <c r="LJ89" s="3">
        <f ca="1">IFERROR(__xludf.DUMMYFUNCTION("""COMPUTED_VALUE"""),-0.636629551040296)</f>
        <v>-0.63662955104029595</v>
      </c>
      <c r="LK89" s="3">
        <f ca="1">IFERROR(__xludf.DUMMYFUNCTION("""COMPUTED_VALUE"""),-0.619858797204491)</f>
        <v>-0.619858797204491</v>
      </c>
      <c r="LL89" s="3">
        <f ca="1">IFERROR(__xludf.DUMMYFUNCTION("""COMPUTED_VALUE"""),-0.593676003147514)</f>
        <v>-0.59367600314751401</v>
      </c>
      <c r="LM89" s="3">
        <f ca="1">IFERROR(__xludf.DUMMYFUNCTION("""COMPUTED_VALUE"""),-0.64259542738567)</f>
        <v>-0.64259542738566999</v>
      </c>
      <c r="LN89" s="3">
        <f ca="1">IFERROR(__xludf.DUMMYFUNCTION("""COMPUTED_VALUE"""),-0.682493682976568)</f>
        <v>-0.68249368297656798</v>
      </c>
      <c r="LO89" s="3">
        <f ca="1">IFERROR(__xludf.DUMMYFUNCTION("""COMPUTED_VALUE"""),-0.724236039585301)</f>
        <v>-0.72423603958530103</v>
      </c>
      <c r="LP89" s="3">
        <f ca="1">IFERROR(__xludf.DUMMYFUNCTION("""COMPUTED_VALUE"""),-0.678135556335505)</f>
        <v>-0.67813555633550504</v>
      </c>
      <c r="LQ89" s="3">
        <f ca="1">IFERROR(__xludf.DUMMYFUNCTION("""COMPUTED_VALUE"""),-0.646064166104791)</f>
        <v>-0.646064166104791</v>
      </c>
      <c r="LR89" s="3">
        <f ca="1">IFERROR(__xludf.DUMMYFUNCTION("""COMPUTED_VALUE"""),-0.663541657682836)</f>
        <v>-0.66354165768283602</v>
      </c>
      <c r="LS89" s="3">
        <f ca="1">IFERROR(__xludf.DUMMYFUNCTION("""COMPUTED_VALUE"""),-0.661257328354696)</f>
        <v>-0.66125732835469597</v>
      </c>
      <c r="LT89" s="3">
        <f ca="1">IFERROR(__xludf.DUMMYFUNCTION("""COMPUTED_VALUE"""),-0.65257379519164)</f>
        <v>-0.65257379519164005</v>
      </c>
      <c r="LU89" s="3">
        <f ca="1">IFERROR(__xludf.DUMMYFUNCTION("""COMPUTED_VALUE"""),-0.64380498066456)</f>
        <v>-0.64380498066456004</v>
      </c>
      <c r="LV89" s="3">
        <f ca="1">IFERROR(__xludf.DUMMYFUNCTION("""COMPUTED_VALUE"""),-0.686516905397329)</f>
        <v>-0.68651690539732901</v>
      </c>
      <c r="LW89" s="3">
        <f ca="1">IFERROR(__xludf.DUMMYFUNCTION("""COMPUTED_VALUE"""),-0.672379253938513)</f>
        <v>-0.67237925393851306</v>
      </c>
      <c r="LX89" s="3">
        <f ca="1">IFERROR(__xludf.DUMMYFUNCTION("""COMPUTED_VALUE"""),-0.673635064632641)</f>
        <v>-0.673635064632641</v>
      </c>
      <c r="LY89" s="3">
        <f ca="1">IFERROR(__xludf.DUMMYFUNCTION("""COMPUTED_VALUE"""),-0.677219770807015)</f>
        <v>-0.67721977080701501</v>
      </c>
      <c r="LZ89" s="3">
        <f ca="1">IFERROR(__xludf.DUMMYFUNCTION("""COMPUTED_VALUE"""),-0.68219040909996)</f>
        <v>-0.68219040909995998</v>
      </c>
      <c r="MA89" s="3">
        <f ca="1">IFERROR(__xludf.DUMMYFUNCTION("""COMPUTED_VALUE"""),-0.671599090668306)</f>
        <v>-0.67159909066830603</v>
      </c>
      <c r="MB89" s="3">
        <f ca="1">IFERROR(__xludf.DUMMYFUNCTION("""COMPUTED_VALUE"""),-0.640568165168975)</f>
        <v>-0.64056816516897497</v>
      </c>
      <c r="MC89" s="3">
        <f ca="1">IFERROR(__xludf.DUMMYFUNCTION("""COMPUTED_VALUE"""),-0.716788206525373)</f>
        <v>-0.71678820652537301</v>
      </c>
      <c r="MD89" s="3">
        <f ca="1">IFERROR(__xludf.DUMMYFUNCTION("""COMPUTED_VALUE"""),-0.709258349627956)</f>
        <v>-0.70925834962795598</v>
      </c>
      <c r="ME89" s="3">
        <f ca="1">IFERROR(__xludf.DUMMYFUNCTION("""COMPUTED_VALUE"""),-0.685044495516697)</f>
        <v>-0.68504449551669699</v>
      </c>
      <c r="MF89" s="3">
        <f ca="1">IFERROR(__xludf.DUMMYFUNCTION("""COMPUTED_VALUE"""),-0.667989401300917)</f>
        <v>-0.667989401300917</v>
      </c>
      <c r="MG89" s="3">
        <f ca="1">IFERROR(__xludf.DUMMYFUNCTION("""COMPUTED_VALUE"""),-0.660072335844762)</f>
        <v>-0.66007233584476199</v>
      </c>
      <c r="MH89" s="3">
        <f ca="1">IFERROR(__xludf.DUMMYFUNCTION("""COMPUTED_VALUE"""),-0.62211806845436)</f>
        <v>-0.62211806845436002</v>
      </c>
      <c r="MI89" s="3">
        <f ca="1">IFERROR(__xludf.DUMMYFUNCTION("""COMPUTED_VALUE"""),-0.588765669256298)</f>
        <v>-0.58876566925629803</v>
      </c>
      <c r="MJ89" s="3">
        <f ca="1">IFERROR(__xludf.DUMMYFUNCTION("""COMPUTED_VALUE"""),-0.706313036557491)</f>
        <v>-0.706313036557491</v>
      </c>
      <c r="MK89" s="3">
        <f ca="1">IFERROR(__xludf.DUMMYFUNCTION("""COMPUTED_VALUE"""),-0.708547349577528)</f>
        <v>-0.70854734957752796</v>
      </c>
      <c r="ML89" s="3">
        <f ca="1">IFERROR(__xludf.DUMMYFUNCTION("""COMPUTED_VALUE"""),-0.728628774315914)</f>
        <v>-0.728628774315914</v>
      </c>
      <c r="MM89" s="3">
        <f ca="1">IFERROR(__xludf.DUMMYFUNCTION("""COMPUTED_VALUE"""),-0.709585020298732)</f>
        <v>-0.70958502029873205</v>
      </c>
      <c r="MN89" s="3">
        <f ca="1">IFERROR(__xludf.DUMMYFUNCTION("""COMPUTED_VALUE"""),-0.707540847811082)</f>
        <v>-0.70754084781108195</v>
      </c>
      <c r="MO89" s="3">
        <f ca="1">IFERROR(__xludf.DUMMYFUNCTION("""COMPUTED_VALUE"""),-0.689952247811735)</f>
        <v>-0.68995224781173503</v>
      </c>
      <c r="MP89" s="3">
        <f ca="1">IFERROR(__xludf.DUMMYFUNCTION("""COMPUTED_VALUE"""),-0.694916572336658)</f>
        <v>-0.69491657233665804</v>
      </c>
      <c r="MQ89" s="3">
        <f ca="1">IFERROR(__xludf.DUMMYFUNCTION("""COMPUTED_VALUE"""),-0.693741706792227)</f>
        <v>-0.69374170679222702</v>
      </c>
      <c r="MR89" s="3">
        <f ca="1">IFERROR(__xludf.DUMMYFUNCTION("""COMPUTED_VALUE"""),-0.711821934692336)</f>
        <v>-0.71182193469233601</v>
      </c>
      <c r="MS89" s="3">
        <f ca="1">IFERROR(__xludf.DUMMYFUNCTION("""COMPUTED_VALUE"""),-0.714277722677026)</f>
        <v>-0.71427772267702605</v>
      </c>
      <c r="MT89" s="3">
        <f ca="1">IFERROR(__xludf.DUMMYFUNCTION("""COMPUTED_VALUE"""),-0.708727587854763)</f>
        <v>-0.70872758785476297</v>
      </c>
      <c r="MU89" s="3">
        <f ca="1">IFERROR(__xludf.DUMMYFUNCTION("""COMPUTED_VALUE"""),-0.702206983740773)</f>
        <v>-0.70220698374077295</v>
      </c>
      <c r="MV89" s="3">
        <f ca="1">IFERROR(__xludf.DUMMYFUNCTION("""COMPUTED_VALUE"""),-0.657328272847277)</f>
        <v>-0.65732827284727702</v>
      </c>
      <c r="MW89" s="3">
        <f ca="1">IFERROR(__xludf.DUMMYFUNCTION("""COMPUTED_VALUE"""),-0.670659391053371)</f>
        <v>-0.67065939105337102</v>
      </c>
      <c r="MX89" s="3">
        <f ca="1">IFERROR(__xludf.DUMMYFUNCTION("""COMPUTED_VALUE"""),-0.697272239282874)</f>
        <v>-0.69727223928287396</v>
      </c>
      <c r="MY89" s="3">
        <f ca="1">IFERROR(__xludf.DUMMYFUNCTION("""COMPUTED_VALUE"""),-0.673205005633291)</f>
        <v>-0.673205005633291</v>
      </c>
      <c r="MZ89" s="3">
        <f ca="1">IFERROR(__xludf.DUMMYFUNCTION("""COMPUTED_VALUE"""),-0.689799250654492)</f>
        <v>-0.68979925065449199</v>
      </c>
      <c r="NA89" s="3">
        <f ca="1">IFERROR(__xludf.DUMMYFUNCTION("""COMPUTED_VALUE"""),-0.678987462710449)</f>
        <v>-0.67898746271044896</v>
      </c>
      <c r="NB89" s="3">
        <f ca="1">IFERROR(__xludf.DUMMYFUNCTION("""COMPUTED_VALUE"""),-0.680342476971739)</f>
        <v>-0.680342476971739</v>
      </c>
      <c r="NC89" s="3">
        <f ca="1">IFERROR(__xludf.DUMMYFUNCTION("""COMPUTED_VALUE"""),-0.684886783892079)</f>
        <v>-0.68488678389207902</v>
      </c>
      <c r="ND89" s="3">
        <f ca="1">IFERROR(__xludf.DUMMYFUNCTION("""COMPUTED_VALUE"""),-0.617406394028413)</f>
        <v>-0.61740639402841302</v>
      </c>
      <c r="NE89" s="3">
        <f ca="1">IFERROR(__xludf.DUMMYFUNCTION("""COMPUTED_VALUE"""),-0.636690593274611)</f>
        <v>-0.63669059327461097</v>
      </c>
      <c r="NF89" s="3">
        <f ca="1">IFERROR(__xludf.DUMMYFUNCTION("""COMPUTED_VALUE"""),-0.655531858095089)</f>
        <v>-0.65553185809508896</v>
      </c>
      <c r="NG89" s="3">
        <f ca="1">IFERROR(__xludf.DUMMYFUNCTION("""COMPUTED_VALUE"""),-0.66712390917302)</f>
        <v>-0.66712390917302</v>
      </c>
      <c r="NH89" s="3">
        <f ca="1">IFERROR(__xludf.DUMMYFUNCTION("""COMPUTED_VALUE"""),-0.674892992506232)</f>
        <v>-0.67489299250623203</v>
      </c>
      <c r="NI89" s="3">
        <f ca="1">IFERROR(__xludf.DUMMYFUNCTION("""COMPUTED_VALUE"""),-0.668456237311033)</f>
        <v>-0.66845623731103299</v>
      </c>
      <c r="NJ89" s="3">
        <f ca="1">IFERROR(__xludf.DUMMYFUNCTION("""COMPUTED_VALUE"""),-0.611070162263743)</f>
        <v>-0.611070162263743</v>
      </c>
      <c r="NK89" s="3">
        <f ca="1">IFERROR(__xludf.DUMMYFUNCTION("""COMPUTED_VALUE"""),-0.585575353309264)</f>
        <v>-0.58557535330926402</v>
      </c>
      <c r="NL89" s="3">
        <f ca="1">IFERROR(__xludf.DUMMYFUNCTION("""COMPUTED_VALUE"""),-0.653035746436808)</f>
        <v>-0.65303574643680795</v>
      </c>
      <c r="NM89" s="3">
        <f ca="1">IFERROR(__xludf.DUMMYFUNCTION("""COMPUTED_VALUE"""),-0.664686193786354)</f>
        <v>-0.66468619378635396</v>
      </c>
      <c r="NN89" s="3">
        <f ca="1">IFERROR(__xludf.DUMMYFUNCTION("""COMPUTED_VALUE"""),-0.651126319567291)</f>
        <v>-0.65112631956729095</v>
      </c>
      <c r="NO89" s="3">
        <f ca="1">IFERROR(__xludf.DUMMYFUNCTION("""COMPUTED_VALUE"""),-0.623790697610579)</f>
        <v>-0.62379069761057904</v>
      </c>
      <c r="NP89" s="3">
        <f ca="1">IFERROR(__xludf.DUMMYFUNCTION("""COMPUTED_VALUE"""),-0.640427846346571)</f>
        <v>-0.64042784634657102</v>
      </c>
      <c r="NQ89" s="3">
        <f ca="1">IFERROR(__xludf.DUMMYFUNCTION("""COMPUTED_VALUE"""),-0.615575586623511)</f>
        <v>-0.61557558662351097</v>
      </c>
      <c r="NR89" s="3">
        <f ca="1">IFERROR(__xludf.DUMMYFUNCTION("""COMPUTED_VALUE"""),-0.586416287132746)</f>
        <v>-0.58641628713274596</v>
      </c>
      <c r="NS89" s="3">
        <f ca="1">IFERROR(__xludf.DUMMYFUNCTION("""COMPUTED_VALUE"""),-0.661848169031148)</f>
        <v>-0.66184816903114796</v>
      </c>
      <c r="NT89" s="3">
        <f ca="1">IFERROR(__xludf.DUMMYFUNCTION("""COMPUTED_VALUE"""),-0.636434537156842)</f>
        <v>-0.63643453715684195</v>
      </c>
      <c r="NU89" s="3">
        <f ca="1">IFERROR(__xludf.DUMMYFUNCTION("""COMPUTED_VALUE"""),-0.684728662481929)</f>
        <v>-0.68472866248192898</v>
      </c>
      <c r="NV89" s="3">
        <f ca="1">IFERROR(__xludf.DUMMYFUNCTION("""COMPUTED_VALUE"""),-0.688743558597959)</f>
        <v>-0.68874355859795899</v>
      </c>
      <c r="NW89" s="3">
        <f ca="1">IFERROR(__xludf.DUMMYFUNCTION("""COMPUTED_VALUE"""),-0.661937123938437)</f>
        <v>-0.66193712393843696</v>
      </c>
      <c r="NX89" s="3">
        <f ca="1">IFERROR(__xludf.DUMMYFUNCTION("""COMPUTED_VALUE"""),-0.689736300895317)</f>
        <v>-0.68973630089531701</v>
      </c>
      <c r="NY89" s="3">
        <f ca="1">IFERROR(__xludf.DUMMYFUNCTION("""COMPUTED_VALUE"""),-0.583278973076399)</f>
        <v>-0.58327897307639898</v>
      </c>
      <c r="NZ89" s="3">
        <f ca="1">IFERROR(__xludf.DUMMYFUNCTION("""COMPUTED_VALUE"""),-0.596548821687176)</f>
        <v>-0.59654882168717605</v>
      </c>
      <c r="OA89" s="3">
        <f ca="1">IFERROR(__xludf.DUMMYFUNCTION("""COMPUTED_VALUE"""),-0.607848410065498)</f>
        <v>-0.60784841006549795</v>
      </c>
      <c r="OB89" s="3">
        <f ca="1">IFERROR(__xludf.DUMMYFUNCTION("""COMPUTED_VALUE"""),-0.565789556764282)</f>
        <v>-0.565789556764282</v>
      </c>
      <c r="OC89" s="3">
        <f ca="1">IFERROR(__xludf.DUMMYFUNCTION("""COMPUTED_VALUE"""),-0.525528027607111)</f>
        <v>-0.52552802760711104</v>
      </c>
      <c r="OD89" s="3">
        <f ca="1">IFERROR(__xludf.DUMMYFUNCTION("""COMPUTED_VALUE"""),-0.513460031396921)</f>
        <v>-0.51346003139692098</v>
      </c>
      <c r="OE89" s="3">
        <f ca="1">IFERROR(__xludf.DUMMYFUNCTION("""COMPUTED_VALUE"""),-0.424639990157085)</f>
        <v>-0.42463999015708498</v>
      </c>
      <c r="OF89" s="3">
        <f ca="1">IFERROR(__xludf.DUMMYFUNCTION("""COMPUTED_VALUE"""),-0.255174660448735)</f>
        <v>-0.25517466044873499</v>
      </c>
      <c r="OG89" s="3">
        <f ca="1">IFERROR(__xludf.DUMMYFUNCTION("""COMPUTED_VALUE"""),-0.28487914548609)</f>
        <v>-0.28487914548609</v>
      </c>
      <c r="OH89" s="3">
        <f ca="1">IFERROR(__xludf.DUMMYFUNCTION("""COMPUTED_VALUE"""),-0.257421114423589)</f>
        <v>-0.257421114423589</v>
      </c>
      <c r="OI89" s="3">
        <f ca="1">IFERROR(__xludf.DUMMYFUNCTION("""COMPUTED_VALUE"""),-0.173076616482572)</f>
        <v>-0.173076616482572</v>
      </c>
      <c r="OJ89" s="3">
        <f ca="1">IFERROR(__xludf.DUMMYFUNCTION("""COMPUTED_VALUE"""),-0.0953919369882188)</f>
        <v>-9.5391936988218795E-2</v>
      </c>
      <c r="OK89" s="3">
        <f ca="1">IFERROR(__xludf.DUMMYFUNCTION("""COMPUTED_VALUE"""),-0.0408761948304704)</f>
        <v>-4.0876194830470398E-2</v>
      </c>
      <c r="OL89" s="3">
        <f ca="1">IFERROR(__xludf.DUMMYFUNCTION("""COMPUTED_VALUE"""),0.0812427189632907)</f>
        <v>8.1242718963290703E-2</v>
      </c>
      <c r="OM89" s="3">
        <f ca="1">IFERROR(__xludf.DUMMYFUNCTION("""COMPUTED_VALUE"""),-0.0089526697997041)</f>
        <v>-8.9526697997040997E-3</v>
      </c>
      <c r="ON89" s="3">
        <f ca="1">IFERROR(__xludf.DUMMYFUNCTION("""COMPUTED_VALUE"""),-0.00780672188708275)</f>
        <v>-7.8067218870827501E-3</v>
      </c>
      <c r="OO89" s="3">
        <f ca="1">IFERROR(__xludf.DUMMYFUNCTION("""COMPUTED_VALUE"""),-0.00985353007434064)</f>
        <v>-9.8535300743406405E-3</v>
      </c>
      <c r="OP89" s="3">
        <f ca="1">IFERROR(__xludf.DUMMYFUNCTION("""COMPUTED_VALUE"""),-0.00654276939987785)</f>
        <v>-6.5427693998778499E-3</v>
      </c>
      <c r="OQ89" s="3">
        <f ca="1">IFERROR(__xludf.DUMMYFUNCTION("""COMPUTED_VALUE"""),0.0136230117450772)</f>
        <v>1.36230117450772E-2</v>
      </c>
      <c r="OR89" s="3">
        <f ca="1">IFERROR(__xludf.DUMMYFUNCTION("""COMPUTED_VALUE"""),0.0134144342505109)</f>
        <v>1.34144342505109E-2</v>
      </c>
      <c r="OS89" s="3">
        <f ca="1">IFERROR(__xludf.DUMMYFUNCTION("""COMPUTED_VALUE"""),0.100815616215196)</f>
        <v>0.100815616215196</v>
      </c>
      <c r="OT89" s="3">
        <f ca="1">IFERROR(__xludf.DUMMYFUNCTION("""COMPUTED_VALUE"""),0.0311627832784193)</f>
        <v>3.1162783278419301E-2</v>
      </c>
      <c r="OU89" s="3">
        <f ca="1">IFERROR(__xludf.DUMMYFUNCTION("""COMPUTED_VALUE"""),0.0319349666174193)</f>
        <v>3.1934966617419298E-2</v>
      </c>
      <c r="OV89" s="3">
        <f ca="1">IFERROR(__xludf.DUMMYFUNCTION("""COMPUTED_VALUE"""),0.0300451138419093)</f>
        <v>3.0045113841909301E-2</v>
      </c>
      <c r="OW89" s="3">
        <f ca="1">IFERROR(__xludf.DUMMYFUNCTION("""COMPUTED_VALUE"""),0.0132203681778646)</f>
        <v>1.3220368177864599E-2</v>
      </c>
      <c r="OX89" s="3">
        <f ca="1">IFERROR(__xludf.DUMMYFUNCTION("""COMPUTED_VALUE"""),0.0436652620466495)</f>
        <v>4.36652620466495E-2</v>
      </c>
      <c r="OY89" s="3">
        <f ca="1">IFERROR(__xludf.DUMMYFUNCTION("""COMPUTED_VALUE"""),0.0109007932884339)</f>
        <v>1.0900793288433901E-2</v>
      </c>
      <c r="OZ89" s="3">
        <f ca="1">IFERROR(__xludf.DUMMYFUNCTION("""COMPUTED_VALUE"""),0.109647597696734)</f>
        <v>0.109647597696734</v>
      </c>
      <c r="PA89" s="3">
        <f ca="1">IFERROR(__xludf.DUMMYFUNCTION("""COMPUTED_VALUE"""),0.0358221376134713)</f>
        <v>3.5822137613471298E-2</v>
      </c>
      <c r="PB89" s="3">
        <f ca="1">IFERROR(__xludf.DUMMYFUNCTION("""COMPUTED_VALUE"""),0.00709238974121517)</f>
        <v>7.0923897412151701E-3</v>
      </c>
      <c r="PC89" s="3">
        <f ca="1">IFERROR(__xludf.DUMMYFUNCTION("""COMPUTED_VALUE"""),-0.10069798363524)</f>
        <v>-0.10069798363524</v>
      </c>
      <c r="PD89" s="3">
        <f ca="1">IFERROR(__xludf.DUMMYFUNCTION("""COMPUTED_VALUE"""),-0.0500722207070986)</f>
        <v>-5.0072220707098603E-2</v>
      </c>
      <c r="PE89" s="3">
        <f ca="1">IFERROR(__xludf.DUMMYFUNCTION("""COMPUTED_VALUE"""),-0.0219424955568517)</f>
        <v>-2.19424955568517E-2</v>
      </c>
      <c r="PF89" s="3">
        <f ca="1">IFERROR(__xludf.DUMMYFUNCTION("""COMPUTED_VALUE"""),-0.020426850617172)</f>
        <v>-2.0426850617172001E-2</v>
      </c>
      <c r="PG89" s="3">
        <f ca="1">IFERROR(__xludf.DUMMYFUNCTION("""COMPUTED_VALUE"""),-0.00206799823805781)</f>
        <v>-2.0679982380578102E-3</v>
      </c>
      <c r="PH89" s="3">
        <f ca="1">IFERROR(__xludf.DUMMYFUNCTION("""COMPUTED_VALUE"""),0.0122271893418026)</f>
        <v>1.22271893418026E-2</v>
      </c>
      <c r="PI89" s="3">
        <f ca="1">IFERROR(__xludf.DUMMYFUNCTION("""COMPUTED_VALUE"""),-0.0822253216743464)</f>
        <v>-8.2225321674346402E-2</v>
      </c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</row>
    <row r="90" spans="1:477" ht="13">
      <c r="A90" s="1" t="str">
        <f ca="1">IFERROR(__xludf.DUMMYFUNCTION("""COMPUTED_VALUE"""),"MTA - Manhattan Buses")</f>
        <v>MTA - Manhattan Buses</v>
      </c>
      <c r="B90" s="1" t="str">
        <f ca="1">IFERROR(__xludf.DUMMYFUNCTION("""COMPUTED_VALUE"""),"NYC")</f>
        <v>NYC</v>
      </c>
      <c r="C90" s="1" t="str">
        <f ca="1">IFERROR(__xludf.DUMMYFUNCTION("""COMPUTED_VALUE"""),"United States")</f>
        <v>United States</v>
      </c>
      <c r="D90" s="1" t="str">
        <f ca="1">IFERROR(__xludf.DUMMYFUNCTION("""COMPUTED_VALUE"""),"New York")</f>
        <v>New York</v>
      </c>
      <c r="E90" s="3">
        <f ca="1">IFERROR(__xludf.DUMMYFUNCTION("""COMPUTED_VALUE"""),-0.589741586245233)</f>
        <v>-0.58974158624523298</v>
      </c>
      <c r="F90" s="3">
        <f ca="1">IFERROR(__xludf.DUMMYFUNCTION("""COMPUTED_VALUE"""),-0.605220613473378)</f>
        <v>-0.60522061347337797</v>
      </c>
      <c r="G90" s="3">
        <f ca="1">IFERROR(__xludf.DUMMYFUNCTION("""COMPUTED_VALUE"""),-0.624586099618908)</f>
        <v>-0.62458609961890799</v>
      </c>
      <c r="H90" s="3">
        <f ca="1">IFERROR(__xludf.DUMMYFUNCTION("""COMPUTED_VALUE"""),-0.628273370738397)</f>
        <v>-0.62827337073839695</v>
      </c>
      <c r="I90" s="3">
        <f ca="1">IFERROR(__xludf.DUMMYFUNCTION("""COMPUTED_VALUE"""),-0.637691572711429)</f>
        <v>-0.63769157271142896</v>
      </c>
      <c r="J90" s="3">
        <f ca="1">IFERROR(__xludf.DUMMYFUNCTION("""COMPUTED_VALUE"""),-0.629119178340691)</f>
        <v>-0.62911917834069098</v>
      </c>
      <c r="K90" s="3">
        <f ca="1">IFERROR(__xludf.DUMMYFUNCTION("""COMPUTED_VALUE"""),-0.594894219064974)</f>
        <v>-0.59489421906497397</v>
      </c>
      <c r="L90" s="3">
        <f ca="1">IFERROR(__xludf.DUMMYFUNCTION("""COMPUTED_VALUE"""),-0.632173541002145)</f>
        <v>-0.63217354100214496</v>
      </c>
      <c r="M90" s="3">
        <f ca="1">IFERROR(__xludf.DUMMYFUNCTION("""COMPUTED_VALUE"""),-0.655828091226426)</f>
        <v>-0.65582809122642605</v>
      </c>
      <c r="N90" s="3">
        <f ca="1">IFERROR(__xludf.DUMMYFUNCTION("""COMPUTED_VALUE"""),-0.64292982533425)</f>
        <v>-0.64292982533425003</v>
      </c>
      <c r="O90" s="3">
        <f ca="1">IFERROR(__xludf.DUMMYFUNCTION("""COMPUTED_VALUE"""),-0.648639205527273)</f>
        <v>-0.64863920552727306</v>
      </c>
      <c r="P90" s="3">
        <f ca="1">IFERROR(__xludf.DUMMYFUNCTION("""COMPUTED_VALUE"""),-0.629744641360994)</f>
        <v>-0.62974464136099395</v>
      </c>
      <c r="Q90" s="3">
        <f ca="1">IFERROR(__xludf.DUMMYFUNCTION("""COMPUTED_VALUE"""),-0.619295817016101)</f>
        <v>-0.61929581701610104</v>
      </c>
      <c r="R90" s="3">
        <f ca="1">IFERROR(__xludf.DUMMYFUNCTION("""COMPUTED_VALUE"""),-0.576662392866923)</f>
        <v>-0.576662392866923</v>
      </c>
      <c r="S90" s="3">
        <f ca="1">IFERROR(__xludf.DUMMYFUNCTION("""COMPUTED_VALUE"""),-0.50789444027439)</f>
        <v>-0.50789444027439001</v>
      </c>
      <c r="T90" s="3">
        <f ca="1">IFERROR(__xludf.DUMMYFUNCTION("""COMPUTED_VALUE"""),-0.527310176580109)</f>
        <v>-0.52731017658010904</v>
      </c>
      <c r="U90" s="3">
        <f ca="1">IFERROR(__xludf.DUMMYFUNCTION("""COMPUTED_VALUE"""),-0.562779894694266)</f>
        <v>-0.56277989469426604</v>
      </c>
      <c r="V90" s="3">
        <f ca="1">IFERROR(__xludf.DUMMYFUNCTION("""COMPUTED_VALUE"""),-0.581247036077355)</f>
        <v>-0.58124703607735495</v>
      </c>
      <c r="W90" s="3">
        <f ca="1">IFERROR(__xludf.DUMMYFUNCTION("""COMPUTED_VALUE"""),-0.556327371657182)</f>
        <v>-0.55632737165718205</v>
      </c>
      <c r="X90" s="3">
        <f ca="1">IFERROR(__xludf.DUMMYFUNCTION("""COMPUTED_VALUE"""),-0.526015108423163)</f>
        <v>-0.52601510842316301</v>
      </c>
      <c r="Y90" s="3">
        <f ca="1">IFERROR(__xludf.DUMMYFUNCTION("""COMPUTED_VALUE"""),-0.470729833718223)</f>
        <v>-0.47072983371822302</v>
      </c>
      <c r="Z90" s="3">
        <f ca="1">IFERROR(__xludf.DUMMYFUNCTION("""COMPUTED_VALUE"""),-0.520217582830677)</f>
        <v>-0.52021758283067698</v>
      </c>
      <c r="AA90" s="3">
        <f ca="1">IFERROR(__xludf.DUMMYFUNCTION("""COMPUTED_VALUE"""),-0.560532439945328)</f>
        <v>-0.56053243994532798</v>
      </c>
      <c r="AB90" s="3">
        <f ca="1">IFERROR(__xludf.DUMMYFUNCTION("""COMPUTED_VALUE"""),-0.593418753800308)</f>
        <v>-0.59341875380030795</v>
      </c>
      <c r="AC90" s="3">
        <f ca="1">IFERROR(__xludf.DUMMYFUNCTION("""COMPUTED_VALUE"""),-0.581635861317617)</f>
        <v>-0.58163586131761702</v>
      </c>
      <c r="AD90" s="3">
        <f ca="1">IFERROR(__xludf.DUMMYFUNCTION("""COMPUTED_VALUE"""),-0.588243709886047)</f>
        <v>-0.58824370988604702</v>
      </c>
      <c r="AE90" s="3">
        <f ca="1">IFERROR(__xludf.DUMMYFUNCTION("""COMPUTED_VALUE"""),-0.567577946511608)</f>
        <v>-0.56757794651160798</v>
      </c>
      <c r="AF90" s="3">
        <f ca="1">IFERROR(__xludf.DUMMYFUNCTION("""COMPUTED_VALUE"""),-0.512238337306541)</f>
        <v>-0.512238337306541</v>
      </c>
      <c r="AG90" s="3">
        <f ca="1">IFERROR(__xludf.DUMMYFUNCTION("""COMPUTED_VALUE"""),-0.541064632471787)</f>
        <v>-0.54106463247178704</v>
      </c>
      <c r="AH90" s="3">
        <f ca="1">IFERROR(__xludf.DUMMYFUNCTION("""COMPUTED_VALUE"""),-0.553776546254681)</f>
        <v>-0.55377654625468098</v>
      </c>
      <c r="AI90" s="3">
        <f ca="1">IFERROR(__xludf.DUMMYFUNCTION("""COMPUTED_VALUE"""),-0.560222865078693)</f>
        <v>-0.56022286507869301</v>
      </c>
      <c r="AJ90" s="3">
        <f ca="1">IFERROR(__xludf.DUMMYFUNCTION("""COMPUTED_VALUE"""),-0.56675368151269)</f>
        <v>-0.56675368151269001</v>
      </c>
      <c r="AK90" s="3">
        <f ca="1">IFERROR(__xludf.DUMMYFUNCTION("""COMPUTED_VALUE"""),-0.556948355697662)</f>
        <v>-0.55694835569766199</v>
      </c>
      <c r="AL90" s="3">
        <f ca="1">IFERROR(__xludf.DUMMYFUNCTION("""COMPUTED_VALUE"""),-0.54121524613473)</f>
        <v>-0.54121524613473004</v>
      </c>
      <c r="AM90" s="3">
        <f ca="1">IFERROR(__xludf.DUMMYFUNCTION("""COMPUTED_VALUE"""),-0.510206825006935)</f>
        <v>-0.51020682500693504</v>
      </c>
      <c r="AN90" s="3">
        <f ca="1">IFERROR(__xludf.DUMMYFUNCTION("""COMPUTED_VALUE"""),-0.549321781106024)</f>
        <v>-0.54932178110602403</v>
      </c>
      <c r="AO90" s="3">
        <f ca="1">IFERROR(__xludf.DUMMYFUNCTION("""COMPUTED_VALUE"""),-0.568122446284863)</f>
        <v>-0.56812244628486297</v>
      </c>
      <c r="AP90" s="3">
        <f ca="1">IFERROR(__xludf.DUMMYFUNCTION("""COMPUTED_VALUE"""),-0.579655606214956)</f>
        <v>-0.57965560621495604</v>
      </c>
      <c r="AQ90" s="3">
        <f ca="1">IFERROR(__xludf.DUMMYFUNCTION("""COMPUTED_VALUE"""),-0.572229184123448)</f>
        <v>-0.57222918412344803</v>
      </c>
      <c r="AR90" s="3">
        <f ca="1">IFERROR(__xludf.DUMMYFUNCTION("""COMPUTED_VALUE"""),-0.593016804012609)</f>
        <v>-0.59301680401260903</v>
      </c>
      <c r="AS90" s="3">
        <f ca="1">IFERROR(__xludf.DUMMYFUNCTION("""COMPUTED_VALUE"""),-0.544472119057171)</f>
        <v>-0.54447211905717097</v>
      </c>
      <c r="AT90" s="3">
        <f ca="1">IFERROR(__xludf.DUMMYFUNCTION("""COMPUTED_VALUE"""),-0.495040078228923)</f>
        <v>-0.49504007822892299</v>
      </c>
      <c r="AU90" s="3">
        <f ca="1">IFERROR(__xludf.DUMMYFUNCTION("""COMPUTED_VALUE"""),-0.545693743022855)</f>
        <v>-0.545693743022855</v>
      </c>
      <c r="AV90" s="3">
        <f ca="1">IFERROR(__xludf.DUMMYFUNCTION("""COMPUTED_VALUE"""),-0.550266354845135)</f>
        <v>-0.55026635484513498</v>
      </c>
      <c r="AW90" s="3">
        <f ca="1">IFERROR(__xludf.DUMMYFUNCTION("""COMPUTED_VALUE"""),-0.546283092852935)</f>
        <v>-0.54628309285293497</v>
      </c>
      <c r="AX90" s="3">
        <f ca="1">IFERROR(__xludf.DUMMYFUNCTION("""COMPUTED_VALUE"""),-0.515246072458182)</f>
        <v>-0.51524607245818199</v>
      </c>
      <c r="AY90" s="3">
        <f ca="1">IFERROR(__xludf.DUMMYFUNCTION("""COMPUTED_VALUE"""),-0.563492952744512)</f>
        <v>-0.56349295274451205</v>
      </c>
      <c r="AZ90" s="3">
        <f ca="1">IFERROR(__xludf.DUMMYFUNCTION("""COMPUTED_VALUE"""),-0.527630018898814)</f>
        <v>-0.527630018898814</v>
      </c>
      <c r="BA90" s="3">
        <f ca="1">IFERROR(__xludf.DUMMYFUNCTION("""COMPUTED_VALUE"""),-0.468134880355723)</f>
        <v>-0.46813488035572298</v>
      </c>
      <c r="BB90" s="3">
        <f ca="1">IFERROR(__xludf.DUMMYFUNCTION("""COMPUTED_VALUE"""),-0.508781924493181)</f>
        <v>-0.50878192449318105</v>
      </c>
      <c r="BC90" s="3">
        <f ca="1">IFERROR(__xludf.DUMMYFUNCTION("""COMPUTED_VALUE"""),-0.538849351855094)</f>
        <v>-0.53884935185509397</v>
      </c>
      <c r="BD90" s="3">
        <f ca="1">IFERROR(__xludf.DUMMYFUNCTION("""COMPUTED_VALUE"""),-0.549662452480648)</f>
        <v>-0.54966245248064804</v>
      </c>
      <c r="BE90" s="3">
        <f ca="1">IFERROR(__xludf.DUMMYFUNCTION("""COMPUTED_VALUE"""),-0.557377374168762)</f>
        <v>-0.55737737416876199</v>
      </c>
      <c r="BF90" s="3">
        <f ca="1">IFERROR(__xludf.DUMMYFUNCTION("""COMPUTED_VALUE"""),-0.55347689621037)</f>
        <v>-0.55347689621037</v>
      </c>
      <c r="BG90" s="3">
        <f ca="1">IFERROR(__xludf.DUMMYFUNCTION("""COMPUTED_VALUE"""),-0.502670472782549)</f>
        <v>-0.50267047278254895</v>
      </c>
      <c r="BH90" s="3">
        <f ca="1">IFERROR(__xludf.DUMMYFUNCTION("""COMPUTED_VALUE"""),-0.475080997753074)</f>
        <v>-0.475080997753074</v>
      </c>
      <c r="BI90" s="3">
        <f ca="1">IFERROR(__xludf.DUMMYFUNCTION("""COMPUTED_VALUE"""),-0.543784738161428)</f>
        <v>-0.54378473816142803</v>
      </c>
      <c r="BJ90" s="3">
        <f ca="1">IFERROR(__xludf.DUMMYFUNCTION("""COMPUTED_VALUE"""),-0.588523682364784)</f>
        <v>-0.58852368236478403</v>
      </c>
      <c r="BK90" s="3">
        <f ca="1">IFERROR(__xludf.DUMMYFUNCTION("""COMPUTED_VALUE"""),-0.595412527182764)</f>
        <v>-0.59541252718276405</v>
      </c>
      <c r="BL90" s="3">
        <f ca="1">IFERROR(__xludf.DUMMYFUNCTION("""COMPUTED_VALUE"""),-0.585947732475608)</f>
        <v>-0.58594773247560805</v>
      </c>
      <c r="BM90" s="3">
        <f ca="1">IFERROR(__xludf.DUMMYFUNCTION("""COMPUTED_VALUE"""),-0.586949680204167)</f>
        <v>-0.58694968020416705</v>
      </c>
      <c r="BN90" s="3">
        <f ca="1">IFERROR(__xludf.DUMMYFUNCTION("""COMPUTED_VALUE"""),-0.563729064578257)</f>
        <v>-0.563729064578257</v>
      </c>
      <c r="BO90" s="3">
        <f ca="1">IFERROR(__xludf.DUMMYFUNCTION("""COMPUTED_VALUE"""),-0.525211591313011)</f>
        <v>-0.52521159131301098</v>
      </c>
      <c r="BP90" s="3">
        <f ca="1">IFERROR(__xludf.DUMMYFUNCTION("""COMPUTED_VALUE"""),-0.504100709046801)</f>
        <v>-0.50410070904680104</v>
      </c>
      <c r="BQ90" s="3">
        <f ca="1">IFERROR(__xludf.DUMMYFUNCTION("""COMPUTED_VALUE"""),-0.578029337689643)</f>
        <v>-0.57802933768964304</v>
      </c>
      <c r="BR90" s="3">
        <f ca="1">IFERROR(__xludf.DUMMYFUNCTION("""COMPUTED_VALUE"""),-0.57476512602244)</f>
        <v>-0.57476512602244001</v>
      </c>
      <c r="BS90" s="3">
        <f ca="1">IFERROR(__xludf.DUMMYFUNCTION("""COMPUTED_VALUE"""),-0.578173927872146)</f>
        <v>-0.57817392787214605</v>
      </c>
      <c r="BT90" s="3">
        <f ca="1">IFERROR(__xludf.DUMMYFUNCTION("""COMPUTED_VALUE"""),-0.590868607087607)</f>
        <v>-0.59086860708760702</v>
      </c>
      <c r="BU90" s="3">
        <f ca="1">IFERROR(__xludf.DUMMYFUNCTION("""COMPUTED_VALUE"""),-0.542253603527722)</f>
        <v>-0.54225360352772201</v>
      </c>
      <c r="BV90" s="3">
        <f ca="1">IFERROR(__xludf.DUMMYFUNCTION("""COMPUTED_VALUE"""),-0.565852952065434)</f>
        <v>-0.56585295206543396</v>
      </c>
      <c r="BW90" s="3">
        <f ca="1">IFERROR(__xludf.DUMMYFUNCTION("""COMPUTED_VALUE"""),-0.599944566132968)</f>
        <v>-0.59994456613296798</v>
      </c>
      <c r="BX90" s="3">
        <f ca="1">IFERROR(__xludf.DUMMYFUNCTION("""COMPUTED_VALUE"""),-0.648574496077541)</f>
        <v>-0.64857449607754103</v>
      </c>
      <c r="BY90" s="3">
        <f ca="1">IFERROR(__xludf.DUMMYFUNCTION("""COMPUTED_VALUE"""),-0.639213074872125)</f>
        <v>-0.63921307487212498</v>
      </c>
      <c r="BZ90" s="3">
        <f ca="1">IFERROR(__xludf.DUMMYFUNCTION("""COMPUTED_VALUE"""),-0.631946160155634)</f>
        <v>-0.63194616015563398</v>
      </c>
      <c r="CA90" s="3">
        <f ca="1">IFERROR(__xludf.DUMMYFUNCTION("""COMPUTED_VALUE"""),-0.638223852301483)</f>
        <v>-0.63822385230148304</v>
      </c>
      <c r="CB90" s="3">
        <f ca="1">IFERROR(__xludf.DUMMYFUNCTION("""COMPUTED_VALUE"""),-0.578754227089158)</f>
        <v>-0.57875422708915802</v>
      </c>
      <c r="CC90" s="3">
        <f ca="1">IFERROR(__xludf.DUMMYFUNCTION("""COMPUTED_VALUE"""),-0.578600135979705)</f>
        <v>-0.57860013597970505</v>
      </c>
      <c r="CD90" s="3">
        <f ca="1">IFERROR(__xludf.DUMMYFUNCTION("""COMPUTED_VALUE"""),-0.562844724908357)</f>
        <v>-0.56284472490835702</v>
      </c>
      <c r="CE90" s="3">
        <f ca="1">IFERROR(__xludf.DUMMYFUNCTION("""COMPUTED_VALUE"""),-0.623257850108743)</f>
        <v>-0.62325785010874302</v>
      </c>
      <c r="CF90" s="3">
        <f ca="1">IFERROR(__xludf.DUMMYFUNCTION("""COMPUTED_VALUE"""),-0.640580987856209)</f>
        <v>-0.64058098785620898</v>
      </c>
      <c r="CG90" s="3">
        <f ca="1">IFERROR(__xludf.DUMMYFUNCTION("""COMPUTED_VALUE"""),-0.640695140343275)</f>
        <v>-0.64069514034327502</v>
      </c>
      <c r="CH90" s="3">
        <f ca="1">IFERROR(__xludf.DUMMYFUNCTION("""COMPUTED_VALUE"""),-0.634957308495103)</f>
        <v>-0.63495730849510301</v>
      </c>
      <c r="CI90" s="3">
        <f ca="1">IFERROR(__xludf.DUMMYFUNCTION("""COMPUTED_VALUE"""),-0.627571986639246)</f>
        <v>-0.62757198663924596</v>
      </c>
      <c r="CJ90" s="3">
        <f ca="1">IFERROR(__xludf.DUMMYFUNCTION("""COMPUTED_VALUE"""),-0.568503674958113)</f>
        <v>-0.56850367495811305</v>
      </c>
      <c r="CK90" s="3">
        <f ca="1">IFERROR(__xludf.DUMMYFUNCTION("""COMPUTED_VALUE"""),-0.576313042682584)</f>
        <v>-0.57631304268258399</v>
      </c>
      <c r="CL90" s="3">
        <f ca="1">IFERROR(__xludf.DUMMYFUNCTION("""COMPUTED_VALUE"""),-0.620957663112088)</f>
        <v>-0.620957663112088</v>
      </c>
      <c r="CM90" s="3">
        <f ca="1">IFERROR(__xludf.DUMMYFUNCTION("""COMPUTED_VALUE"""),-0.619926854015879)</f>
        <v>-0.61992685401587899</v>
      </c>
      <c r="CN90" s="3">
        <f ca="1">IFERROR(__xludf.DUMMYFUNCTION("""COMPUTED_VALUE"""),-0.623420960542993)</f>
        <v>-0.62342096054299301</v>
      </c>
      <c r="CO90" s="3">
        <f ca="1">IFERROR(__xludf.DUMMYFUNCTION("""COMPUTED_VALUE"""),-0.596764932709768)</f>
        <v>-0.59676493270976805</v>
      </c>
      <c r="CP90" s="3">
        <f ca="1">IFERROR(__xludf.DUMMYFUNCTION("""COMPUTED_VALUE"""),-0.612000316843323)</f>
        <v>-0.61200031684332301</v>
      </c>
      <c r="CQ90" s="3">
        <f ca="1">IFERROR(__xludf.DUMMYFUNCTION("""COMPUTED_VALUE"""),-0.577752664209313)</f>
        <v>-0.57775266420931304</v>
      </c>
      <c r="CR90" s="3">
        <f ca="1">IFERROR(__xludf.DUMMYFUNCTION("""COMPUTED_VALUE"""),-0.574904108707923)</f>
        <v>-0.57490410870792297</v>
      </c>
      <c r="CS90" s="3">
        <f ca="1">IFERROR(__xludf.DUMMYFUNCTION("""COMPUTED_VALUE"""),-0.611085063732885)</f>
        <v>-0.61108506373288496</v>
      </c>
      <c r="CT90" s="3">
        <f ca="1">IFERROR(__xludf.DUMMYFUNCTION("""COMPUTED_VALUE"""),-0.604253682335697)</f>
        <v>-0.60425368233569698</v>
      </c>
      <c r="CU90" s="3">
        <f ca="1">IFERROR(__xludf.DUMMYFUNCTION("""COMPUTED_VALUE"""),-0.574621352556158)</f>
        <v>-0.57462135255615798</v>
      </c>
      <c r="CV90" s="3">
        <f ca="1">IFERROR(__xludf.DUMMYFUNCTION("""COMPUTED_VALUE"""),-0.605146111394364)</f>
        <v>-0.60514611139436403</v>
      </c>
      <c r="CW90" s="3">
        <f ca="1">IFERROR(__xludf.DUMMYFUNCTION("""COMPUTED_VALUE"""),-0.617874558233079)</f>
        <v>-0.61787455823307902</v>
      </c>
      <c r="CX90" s="3">
        <f ca="1">IFERROR(__xludf.DUMMYFUNCTION("""COMPUTED_VALUE"""),-0.624546027769762)</f>
        <v>-0.62454602776976198</v>
      </c>
      <c r="CY90" s="3">
        <f ca="1">IFERROR(__xludf.DUMMYFUNCTION("""COMPUTED_VALUE"""),-0.633060994344099)</f>
        <v>-0.63306099434409902</v>
      </c>
      <c r="CZ90" s="3">
        <f ca="1">IFERROR(__xludf.DUMMYFUNCTION("""COMPUTED_VALUE"""),-0.696637607905694)</f>
        <v>-0.69663760790569396</v>
      </c>
      <c r="DA90" s="3">
        <f ca="1">IFERROR(__xludf.DUMMYFUNCTION("""COMPUTED_VALUE"""),-0.542630518248182)</f>
        <v>-0.54263051824818198</v>
      </c>
      <c r="DB90" s="3">
        <f ca="1">IFERROR(__xludf.DUMMYFUNCTION("""COMPUTED_VALUE"""),-0.40879465860934)</f>
        <v>-0.40879465860934</v>
      </c>
      <c r="DC90" s="3">
        <f ca="1">IFERROR(__xludf.DUMMYFUNCTION("""COMPUTED_VALUE"""),-0.535544487381734)</f>
        <v>-0.53554448738173399</v>
      </c>
      <c r="DD90" s="3">
        <f ca="1">IFERROR(__xludf.DUMMYFUNCTION("""COMPUTED_VALUE"""),-0.534908357755955)</f>
        <v>-0.53490835775595502</v>
      </c>
      <c r="DE90" s="3">
        <f ca="1">IFERROR(__xludf.DUMMYFUNCTION("""COMPUTED_VALUE"""),-0.57004825316095)</f>
        <v>-0.57004825316094998</v>
      </c>
      <c r="DF90" s="3">
        <f ca="1">IFERROR(__xludf.DUMMYFUNCTION("""COMPUTED_VALUE"""),-0.629887306939873)</f>
        <v>-0.62988730693987305</v>
      </c>
      <c r="DG90" s="3">
        <f ca="1">IFERROR(__xludf.DUMMYFUNCTION("""COMPUTED_VALUE"""),-0.725864640586215)</f>
        <v>-0.72586464058621503</v>
      </c>
      <c r="DH90" s="3">
        <f ca="1">IFERROR(__xludf.DUMMYFUNCTION("""COMPUTED_VALUE"""),-0.555867749878321)</f>
        <v>-0.55586774987832099</v>
      </c>
      <c r="DI90" s="3">
        <f ca="1">IFERROR(__xludf.DUMMYFUNCTION("""COMPUTED_VALUE"""),-0.411780141147099)</f>
        <v>-0.41178014114709899</v>
      </c>
      <c r="DJ90" s="3">
        <f ca="1">IFERROR(__xludf.DUMMYFUNCTION("""COMPUTED_VALUE"""),-0.524697711478039)</f>
        <v>-0.52469771147803901</v>
      </c>
      <c r="DK90" s="3">
        <f ca="1">IFERROR(__xludf.DUMMYFUNCTION("""COMPUTED_VALUE"""),-0.540321654035931)</f>
        <v>-0.54032165403593102</v>
      </c>
      <c r="DL90" s="3">
        <f ca="1">IFERROR(__xludf.DUMMYFUNCTION("""COMPUTED_VALUE"""),-0.54705919668345)</f>
        <v>-0.54705919668345004</v>
      </c>
      <c r="DM90" s="3">
        <f ca="1">IFERROR(__xludf.DUMMYFUNCTION("""COMPUTED_VALUE"""),-0.550888282047019)</f>
        <v>-0.55088828204701901</v>
      </c>
      <c r="DN90" s="3">
        <f ca="1">IFERROR(__xludf.DUMMYFUNCTION("""COMPUTED_VALUE"""),-0.597368244918618)</f>
        <v>-0.59736824491861795</v>
      </c>
      <c r="DO90" s="3">
        <f ca="1">IFERROR(__xludf.DUMMYFUNCTION("""COMPUTED_VALUE"""),-0.591739095929814)</f>
        <v>-0.591739095929814</v>
      </c>
      <c r="DP90" s="3">
        <f ca="1">IFERROR(__xludf.DUMMYFUNCTION("""COMPUTED_VALUE"""),-0.497008739697152)</f>
        <v>-0.49700873969715198</v>
      </c>
      <c r="DQ90" s="3">
        <f ca="1">IFERROR(__xludf.DUMMYFUNCTION("""COMPUTED_VALUE"""),-0.594187329779871)</f>
        <v>-0.59418732977987099</v>
      </c>
      <c r="DR90" s="3">
        <f ca="1">IFERROR(__xludf.DUMMYFUNCTION("""COMPUTED_VALUE"""),-0.621817106902581)</f>
        <v>-0.62181710690258096</v>
      </c>
      <c r="DS90" s="3">
        <f ca="1">IFERROR(__xludf.DUMMYFUNCTION("""COMPUTED_VALUE"""),-0.547996236450991)</f>
        <v>-0.54799623645099105</v>
      </c>
      <c r="DT90" s="3">
        <f ca="1">IFERROR(__xludf.DUMMYFUNCTION("""COMPUTED_VALUE"""),-0.582575883940216)</f>
        <v>-0.58257588394021598</v>
      </c>
      <c r="DU90" s="3">
        <f ca="1">IFERROR(__xludf.DUMMYFUNCTION("""COMPUTED_VALUE"""),-0.638293953732032)</f>
        <v>-0.63829395373203202</v>
      </c>
      <c r="DV90" s="3">
        <f ca="1">IFERROR(__xludf.DUMMYFUNCTION("""COMPUTED_VALUE"""),-0.650531153832803)</f>
        <v>-0.65053115383280302</v>
      </c>
      <c r="DW90" s="3">
        <f ca="1">IFERROR(__xludf.DUMMYFUNCTION("""COMPUTED_VALUE"""),-0.657200410948843)</f>
        <v>-0.65720041094884296</v>
      </c>
      <c r="DX90" s="3">
        <f ca="1">IFERROR(__xludf.DUMMYFUNCTION("""COMPUTED_VALUE"""),-0.645792943161369)</f>
        <v>-0.64579294316136904</v>
      </c>
      <c r="DY90" s="3">
        <f ca="1">IFERROR(__xludf.DUMMYFUNCTION("""COMPUTED_VALUE"""),-0.619825612413186)</f>
        <v>-0.61982561241318601</v>
      </c>
      <c r="DZ90" s="3">
        <f ca="1">IFERROR(__xludf.DUMMYFUNCTION("""COMPUTED_VALUE"""),-0.520615881736072)</f>
        <v>-0.52061588173607198</v>
      </c>
      <c r="EA90" s="3">
        <f ca="1">IFERROR(__xludf.DUMMYFUNCTION("""COMPUTED_VALUE"""),-0.607788787879602)</f>
        <v>-0.607788787879602</v>
      </c>
      <c r="EB90" s="3">
        <f ca="1">IFERROR(__xludf.DUMMYFUNCTION("""COMPUTED_VALUE"""),-0.615674831607402)</f>
        <v>-0.615674831607402</v>
      </c>
      <c r="EC90" s="3">
        <f ca="1">IFERROR(__xludf.DUMMYFUNCTION("""COMPUTED_VALUE"""),-0.615457519614328)</f>
        <v>-0.61545751961432804</v>
      </c>
      <c r="ED90" s="3">
        <f ca="1">IFERROR(__xludf.DUMMYFUNCTION("""COMPUTED_VALUE"""),-0.658310586023133)</f>
        <v>-0.65831058602313297</v>
      </c>
      <c r="EE90" s="3">
        <f ca="1">IFERROR(__xludf.DUMMYFUNCTION("""COMPUTED_VALUE"""),-0.63674784160377)</f>
        <v>-0.63674784160376996</v>
      </c>
      <c r="EF90" s="3">
        <f ca="1">IFERROR(__xludf.DUMMYFUNCTION("""COMPUTED_VALUE"""),-0.648682113328155)</f>
        <v>-0.64868211332815495</v>
      </c>
      <c r="EG90" s="3">
        <f ca="1">IFERROR(__xludf.DUMMYFUNCTION("""COMPUTED_VALUE"""),-0.540995757753571)</f>
        <v>-0.540995757753571</v>
      </c>
      <c r="EH90" s="3">
        <f ca="1">IFERROR(__xludf.DUMMYFUNCTION("""COMPUTED_VALUE"""),-0.611771346506746)</f>
        <v>-0.61177134650674603</v>
      </c>
      <c r="EI90" s="3">
        <f ca="1">IFERROR(__xludf.DUMMYFUNCTION("""COMPUTED_VALUE"""),-0.666076504467027)</f>
        <v>-0.66607650446702704</v>
      </c>
      <c r="EJ90" s="3">
        <f ca="1">IFERROR(__xludf.DUMMYFUNCTION("""COMPUTED_VALUE"""),-0.702987694106977)</f>
        <v>-0.70298769410697703</v>
      </c>
      <c r="EK90" s="3">
        <f ca="1">IFERROR(__xludf.DUMMYFUNCTION("""COMPUTED_VALUE"""),-0.635223584865747)</f>
        <v>-0.63522358486574704</v>
      </c>
      <c r="EL90" s="3">
        <f ca="1">IFERROR(__xludf.DUMMYFUNCTION("""COMPUTED_VALUE"""),-0.620905541780074)</f>
        <v>-0.62090554178007396</v>
      </c>
      <c r="EM90" s="3">
        <f ca="1">IFERROR(__xludf.DUMMYFUNCTION("""COMPUTED_VALUE"""),-0.599583367346953)</f>
        <v>-0.59958336734695294</v>
      </c>
      <c r="EN90" s="3">
        <f ca="1">IFERROR(__xludf.DUMMYFUNCTION("""COMPUTED_VALUE"""),-0.516775881208102)</f>
        <v>-0.51677588120810203</v>
      </c>
      <c r="EO90" s="3">
        <f ca="1">IFERROR(__xludf.DUMMYFUNCTION("""COMPUTED_VALUE"""),-0.544008437260034)</f>
        <v>-0.54400843726003401</v>
      </c>
      <c r="EP90" s="3">
        <f ca="1">IFERROR(__xludf.DUMMYFUNCTION("""COMPUTED_VALUE"""),-0.56614712567325)</f>
        <v>-0.56614712567324998</v>
      </c>
      <c r="EQ90" s="3">
        <f ca="1">IFERROR(__xludf.DUMMYFUNCTION("""COMPUTED_VALUE"""),-0.59717544308244)</f>
        <v>-0.59717544308243997</v>
      </c>
      <c r="ER90" s="3">
        <f ca="1">IFERROR(__xludf.DUMMYFUNCTION("""COMPUTED_VALUE"""),-0.635775053493189)</f>
        <v>-0.63577505349318897</v>
      </c>
      <c r="ES90" s="3">
        <f ca="1">IFERROR(__xludf.DUMMYFUNCTION("""COMPUTED_VALUE"""),-0.619450209388254)</f>
        <v>-0.61945020938825401</v>
      </c>
      <c r="ET90" s="3">
        <f ca="1">IFERROR(__xludf.DUMMYFUNCTION("""COMPUTED_VALUE"""),-0.597358600038865)</f>
        <v>-0.59735860003886498</v>
      </c>
      <c r="EU90" s="3">
        <f ca="1">IFERROR(__xludf.DUMMYFUNCTION("""COMPUTED_VALUE"""),-0.546218497926242)</f>
        <v>-0.546218497926242</v>
      </c>
      <c r="EV90" s="3">
        <f ca="1">IFERROR(__xludf.DUMMYFUNCTION("""COMPUTED_VALUE"""),-0.562366956391992)</f>
        <v>-0.56236695639199197</v>
      </c>
      <c r="EW90" s="3">
        <f ca="1">IFERROR(__xludf.DUMMYFUNCTION("""COMPUTED_VALUE"""),-0.637484556035709)</f>
        <v>-0.63748455603570897</v>
      </c>
      <c r="EX90" s="3">
        <f ca="1">IFERROR(__xludf.DUMMYFUNCTION("""COMPUTED_VALUE"""),-0.650049181462989)</f>
        <v>-0.65004918146298896</v>
      </c>
      <c r="EY90" s="3">
        <f ca="1">IFERROR(__xludf.DUMMYFUNCTION("""COMPUTED_VALUE"""),-0.661707357115045)</f>
        <v>-0.66170735711504503</v>
      </c>
      <c r="EZ90" s="3">
        <f ca="1">IFERROR(__xludf.DUMMYFUNCTION("""COMPUTED_VALUE"""),-0.590711263966088)</f>
        <v>-0.59071126396608797</v>
      </c>
      <c r="FA90" s="3">
        <f ca="1">IFERROR(__xludf.DUMMYFUNCTION("""COMPUTED_VALUE"""),-0.557626902420955)</f>
        <v>-0.55762690242095503</v>
      </c>
      <c r="FB90" s="3">
        <f ca="1">IFERROR(__xludf.DUMMYFUNCTION("""COMPUTED_VALUE"""),-0.499446584212814)</f>
        <v>-0.49944658421281402</v>
      </c>
      <c r="FC90" s="3">
        <f ca="1">IFERROR(__xludf.DUMMYFUNCTION("""COMPUTED_VALUE"""),-0.565312098115289)</f>
        <v>-0.56531209811528904</v>
      </c>
      <c r="FD90" s="3">
        <f ca="1">IFERROR(__xludf.DUMMYFUNCTION("""COMPUTED_VALUE"""),-0.611991506786226)</f>
        <v>-0.61199150678622605</v>
      </c>
      <c r="FE90" s="3">
        <f ca="1">IFERROR(__xludf.DUMMYFUNCTION("""COMPUTED_VALUE"""),-0.611898249896248)</f>
        <v>-0.61189824989624797</v>
      </c>
      <c r="FF90" s="3">
        <f ca="1">IFERROR(__xludf.DUMMYFUNCTION("""COMPUTED_VALUE"""),-0.646060983673806)</f>
        <v>-0.64606098367380604</v>
      </c>
      <c r="FG90" s="3">
        <f ca="1">IFERROR(__xludf.DUMMYFUNCTION("""COMPUTED_VALUE"""),-0.635809668306382)</f>
        <v>-0.63580966830638197</v>
      </c>
      <c r="FH90" s="3">
        <f ca="1">IFERROR(__xludf.DUMMYFUNCTION("""COMPUTED_VALUE"""),-0.590949045740174)</f>
        <v>-0.59094904574017404</v>
      </c>
      <c r="FI90" s="3">
        <f ca="1">IFERROR(__xludf.DUMMYFUNCTION("""COMPUTED_VALUE"""),-0.521788326485786)</f>
        <v>-0.52178832648578599</v>
      </c>
      <c r="FJ90" s="3">
        <f ca="1">IFERROR(__xludf.DUMMYFUNCTION("""COMPUTED_VALUE"""),-0.561740538778306)</f>
        <v>-0.56174053877830599</v>
      </c>
      <c r="FK90" s="3">
        <f ca="1">IFERROR(__xludf.DUMMYFUNCTION("""COMPUTED_VALUE"""),-0.639554581919398)</f>
        <v>-0.63955458191939796</v>
      </c>
      <c r="FL90" s="3">
        <f ca="1">IFERROR(__xludf.DUMMYFUNCTION("""COMPUTED_VALUE"""),-0.650881058295575)</f>
        <v>-0.65088105829557497</v>
      </c>
      <c r="FM90" s="3">
        <f ca="1">IFERROR(__xludf.DUMMYFUNCTION("""COMPUTED_VALUE"""),-0.631694915563925)</f>
        <v>-0.63169491556392499</v>
      </c>
      <c r="FN90" s="3">
        <f ca="1">IFERROR(__xludf.DUMMYFUNCTION("""COMPUTED_VALUE"""),-0.607962833755671)</f>
        <v>-0.60796283375567095</v>
      </c>
      <c r="FO90" s="3">
        <f ca="1">IFERROR(__xludf.DUMMYFUNCTION("""COMPUTED_VALUE"""),-0.619643013432298)</f>
        <v>-0.619643013432298</v>
      </c>
      <c r="FP90" s="3">
        <f ca="1">IFERROR(__xludf.DUMMYFUNCTION("""COMPUTED_VALUE"""),-0.535303616537662)</f>
        <v>-0.53530361653766201</v>
      </c>
      <c r="FQ90" s="3">
        <f ca="1">IFERROR(__xludf.DUMMYFUNCTION("""COMPUTED_VALUE"""),-0.576206415907367)</f>
        <v>-0.57620641590736699</v>
      </c>
      <c r="FR90" s="3">
        <f ca="1">IFERROR(__xludf.DUMMYFUNCTION("""COMPUTED_VALUE"""),-0.612674597097629)</f>
        <v>-0.61267459709762895</v>
      </c>
      <c r="FS90" s="3">
        <f ca="1">IFERROR(__xludf.DUMMYFUNCTION("""COMPUTED_VALUE"""),-0.610535916112857)</f>
        <v>-0.61053591611285696</v>
      </c>
      <c r="FT90" s="3">
        <f ca="1">IFERROR(__xludf.DUMMYFUNCTION("""COMPUTED_VALUE"""),-0.626809624024982)</f>
        <v>-0.62680962402498197</v>
      </c>
      <c r="FU90" s="3">
        <f ca="1">IFERROR(__xludf.DUMMYFUNCTION("""COMPUTED_VALUE"""),-0.607491321573048)</f>
        <v>-0.60749132157304797</v>
      </c>
      <c r="FV90" s="3">
        <f ca="1">IFERROR(__xludf.DUMMYFUNCTION("""COMPUTED_VALUE"""),-0.570751265360049)</f>
        <v>-0.57075126536004905</v>
      </c>
      <c r="FW90" s="3">
        <f ca="1">IFERROR(__xludf.DUMMYFUNCTION("""COMPUTED_VALUE"""),-0.517659022796776)</f>
        <v>-0.517659022796776</v>
      </c>
      <c r="FX90" s="3">
        <f ca="1">IFERROR(__xludf.DUMMYFUNCTION("""COMPUTED_VALUE"""),-0.584731881288308)</f>
        <v>-0.584731881288308</v>
      </c>
      <c r="FY90" s="3">
        <f ca="1">IFERROR(__xludf.DUMMYFUNCTION("""COMPUTED_VALUE"""),-0.640516974127367)</f>
        <v>-0.64051697412736697</v>
      </c>
      <c r="FZ90" s="3">
        <f ca="1">IFERROR(__xludf.DUMMYFUNCTION("""COMPUTED_VALUE"""),-0.607720967570958)</f>
        <v>-0.60772096757095795</v>
      </c>
      <c r="GA90" s="3">
        <f ca="1">IFERROR(__xludf.DUMMYFUNCTION("""COMPUTED_VALUE"""),-0.600523623041378)</f>
        <v>-0.60052362304137796</v>
      </c>
      <c r="GB90" s="3">
        <f ca="1">IFERROR(__xludf.DUMMYFUNCTION("""COMPUTED_VALUE"""),-0.63767126053142)</f>
        <v>-0.63767126053141998</v>
      </c>
      <c r="GC90" s="3">
        <f ca="1">IFERROR(__xludf.DUMMYFUNCTION("""COMPUTED_VALUE"""),-0.632947195601736)</f>
        <v>-0.63294719560173596</v>
      </c>
      <c r="GD90" s="3">
        <f ca="1">IFERROR(__xludf.DUMMYFUNCTION("""COMPUTED_VALUE"""),-0.531528087415365)</f>
        <v>-0.53152808741536495</v>
      </c>
      <c r="GE90" s="3">
        <f ca="1">IFERROR(__xludf.DUMMYFUNCTION("""COMPUTED_VALUE"""),-0.53791110389252)</f>
        <v>-0.53791110389251995</v>
      </c>
      <c r="GF90" s="3">
        <f ca="1">IFERROR(__xludf.DUMMYFUNCTION("""COMPUTED_VALUE"""),-0.617189405504527)</f>
        <v>-0.61718940550452706</v>
      </c>
      <c r="GG90" s="3">
        <f ca="1">IFERROR(__xludf.DUMMYFUNCTION("""COMPUTED_VALUE"""),-0.599153589965979)</f>
        <v>-0.59915358996597901</v>
      </c>
      <c r="GH90" s="3">
        <f ca="1">IFERROR(__xludf.DUMMYFUNCTION("""COMPUTED_VALUE"""),-0.607425169661395)</f>
        <v>-0.60742516966139504</v>
      </c>
      <c r="GI90" s="3">
        <f ca="1">IFERROR(__xludf.DUMMYFUNCTION("""COMPUTED_VALUE"""),-0.593011393556864)</f>
        <v>-0.59301139355686405</v>
      </c>
      <c r="GJ90" s="3">
        <f ca="1">IFERROR(__xludf.DUMMYFUNCTION("""COMPUTED_VALUE"""),-0.559911920641594)</f>
        <v>-0.55991192064159401</v>
      </c>
      <c r="GK90" s="3">
        <f ca="1">IFERROR(__xludf.DUMMYFUNCTION("""COMPUTED_VALUE"""),-0.567042327272137)</f>
        <v>-0.56704232727213699</v>
      </c>
      <c r="GL90" s="3">
        <f ca="1">IFERROR(__xludf.DUMMYFUNCTION("""COMPUTED_VALUE"""),-0.575284531544695)</f>
        <v>-0.57528453154469505</v>
      </c>
      <c r="GM90" s="3">
        <f ca="1">IFERROR(__xludf.DUMMYFUNCTION("""COMPUTED_VALUE"""),-0.621108834446332)</f>
        <v>-0.62110883444633203</v>
      </c>
      <c r="GN90" s="3">
        <f ca="1">IFERROR(__xludf.DUMMYFUNCTION("""COMPUTED_VALUE"""),-0.611904766270708)</f>
        <v>-0.611904766270708</v>
      </c>
      <c r="GO90" s="3">
        <f ca="1">IFERROR(__xludf.DUMMYFUNCTION("""COMPUTED_VALUE"""),-0.60322408449934)</f>
        <v>-0.60322408449933995</v>
      </c>
      <c r="GP90" s="3">
        <f ca="1">IFERROR(__xludf.DUMMYFUNCTION("""COMPUTED_VALUE"""),-0.619577530203713)</f>
        <v>-0.61957753020371298</v>
      </c>
      <c r="GQ90" s="3">
        <f ca="1">IFERROR(__xludf.DUMMYFUNCTION("""COMPUTED_VALUE"""),-0.608444925175964)</f>
        <v>-0.60844492517596405</v>
      </c>
      <c r="GR90" s="3">
        <f ca="1">IFERROR(__xludf.DUMMYFUNCTION("""COMPUTED_VALUE"""),-0.555860123868632)</f>
        <v>-0.55586012386863204</v>
      </c>
      <c r="GS90" s="3">
        <f ca="1">IFERROR(__xludf.DUMMYFUNCTION("""COMPUTED_VALUE"""),-0.586171443569742)</f>
        <v>-0.58617144356974205</v>
      </c>
      <c r="GT90" s="3">
        <f ca="1">IFERROR(__xludf.DUMMYFUNCTION("""COMPUTED_VALUE"""),-0.630465565817029)</f>
        <v>-0.63046556581702895</v>
      </c>
      <c r="GU90" s="3">
        <f ca="1">IFERROR(__xludf.DUMMYFUNCTION("""COMPUTED_VALUE"""),-0.637524921014628)</f>
        <v>-0.63752492101462799</v>
      </c>
      <c r="GV90" s="3">
        <f ca="1">IFERROR(__xludf.DUMMYFUNCTION("""COMPUTED_VALUE"""),-0.638806895846372)</f>
        <v>-0.63880689584637196</v>
      </c>
      <c r="GW90" s="3">
        <f ca="1">IFERROR(__xludf.DUMMYFUNCTION("""COMPUTED_VALUE"""),-0.613104415409849)</f>
        <v>-0.61310441540984895</v>
      </c>
      <c r="GX90" s="3">
        <f ca="1">IFERROR(__xludf.DUMMYFUNCTION("""COMPUTED_VALUE"""),-0.584050546236646)</f>
        <v>-0.58405054623664598</v>
      </c>
      <c r="GY90" s="3">
        <f ca="1">IFERROR(__xludf.DUMMYFUNCTION("""COMPUTED_VALUE"""),-0.500412799220739)</f>
        <v>-0.500412799220739</v>
      </c>
      <c r="GZ90" s="3">
        <f ca="1">IFERROR(__xludf.DUMMYFUNCTION("""COMPUTED_VALUE"""),-0.578604338199834)</f>
        <v>-0.57860433819983403</v>
      </c>
      <c r="HA90" s="3">
        <f ca="1">IFERROR(__xludf.DUMMYFUNCTION("""COMPUTED_VALUE"""),-0.631158567098929)</f>
        <v>-0.63115856709892904</v>
      </c>
      <c r="HB90" s="3">
        <f ca="1">IFERROR(__xludf.DUMMYFUNCTION("""COMPUTED_VALUE"""),-0.648661529525757)</f>
        <v>-0.64866152952575695</v>
      </c>
      <c r="HC90" s="3">
        <f ca="1">IFERROR(__xludf.DUMMYFUNCTION("""COMPUTED_VALUE"""),-0.646068119323822)</f>
        <v>-0.64606811932382202</v>
      </c>
      <c r="HD90" s="3">
        <f ca="1">IFERROR(__xludf.DUMMYFUNCTION("""COMPUTED_VALUE"""),-0.636878428786126)</f>
        <v>-0.63687842878612599</v>
      </c>
      <c r="HE90" s="3">
        <f ca="1">IFERROR(__xludf.DUMMYFUNCTION("""COMPUTED_VALUE"""),-0.623514492475798)</f>
        <v>-0.62351449247579804</v>
      </c>
      <c r="HF90" s="3">
        <f ca="1">IFERROR(__xludf.DUMMYFUNCTION("""COMPUTED_VALUE"""),-0.567641048924191)</f>
        <v>-0.56764104892419098</v>
      </c>
      <c r="HG90" s="3">
        <f ca="1">IFERROR(__xludf.DUMMYFUNCTION("""COMPUTED_VALUE"""),-0.560947293397097)</f>
        <v>-0.56094729339709704</v>
      </c>
      <c r="HH90" s="3">
        <f ca="1">IFERROR(__xludf.DUMMYFUNCTION("""COMPUTED_VALUE"""),-0.62774052846419)</f>
        <v>-0.62774052846419004</v>
      </c>
      <c r="HI90" s="3">
        <f ca="1">IFERROR(__xludf.DUMMYFUNCTION("""COMPUTED_VALUE"""),-0.653003350490319)</f>
        <v>-0.65300335049031899</v>
      </c>
      <c r="HJ90" s="3">
        <f ca="1">IFERROR(__xludf.DUMMYFUNCTION("""COMPUTED_VALUE"""),-0.626996100243977)</f>
        <v>-0.62699610024397701</v>
      </c>
      <c r="HK90" s="3">
        <f ca="1">IFERROR(__xludf.DUMMYFUNCTION("""COMPUTED_VALUE"""),-0.605608621479092)</f>
        <v>-0.605608621479092</v>
      </c>
      <c r="HL90" s="3">
        <f ca="1">IFERROR(__xludf.DUMMYFUNCTION("""COMPUTED_VALUE"""),-0.508752952284734)</f>
        <v>-0.50875295228473405</v>
      </c>
      <c r="HM90" s="3">
        <f ca="1">IFERROR(__xludf.DUMMYFUNCTION("""COMPUTED_VALUE"""),-0.591095635771991)</f>
        <v>-0.59109563577199098</v>
      </c>
      <c r="HN90" s="3">
        <f ca="1">IFERROR(__xludf.DUMMYFUNCTION("""COMPUTED_VALUE"""),-0.555209044545945)</f>
        <v>-0.555209044545945</v>
      </c>
      <c r="HO90" s="3">
        <f ca="1">IFERROR(__xludf.DUMMYFUNCTION("""COMPUTED_VALUE"""),-0.602479519726957)</f>
        <v>-0.60247951972695701</v>
      </c>
      <c r="HP90" s="3">
        <f ca="1">IFERROR(__xludf.DUMMYFUNCTION("""COMPUTED_VALUE"""),-0.629255372008798)</f>
        <v>-0.629255372008798</v>
      </c>
      <c r="HQ90" s="3">
        <f ca="1">IFERROR(__xludf.DUMMYFUNCTION("""COMPUTED_VALUE"""),-0.631695228738826)</f>
        <v>-0.631695228738826</v>
      </c>
      <c r="HR90" s="3">
        <f ca="1">IFERROR(__xludf.DUMMYFUNCTION("""COMPUTED_VALUE"""),-0.610946303574661)</f>
        <v>-0.61094630357466095</v>
      </c>
      <c r="HS90" s="3">
        <f ca="1">IFERROR(__xludf.DUMMYFUNCTION("""COMPUTED_VALUE"""),-0.543587495053985)</f>
        <v>-0.54358749505398496</v>
      </c>
      <c r="HT90" s="3">
        <f ca="1">IFERROR(__xludf.DUMMYFUNCTION("""COMPUTED_VALUE"""),-0.46910098128477)</f>
        <v>-0.46910098128477001</v>
      </c>
      <c r="HU90" s="3">
        <f ca="1">IFERROR(__xludf.DUMMYFUNCTION("""COMPUTED_VALUE"""),-0.563941361853552)</f>
        <v>-0.56394136185355204</v>
      </c>
      <c r="HV90" s="3">
        <f ca="1">IFERROR(__xludf.DUMMYFUNCTION("""COMPUTED_VALUE"""),-0.537293187408047)</f>
        <v>-0.53729318740804699</v>
      </c>
      <c r="HW90" s="3">
        <f ca="1">IFERROR(__xludf.DUMMYFUNCTION("""COMPUTED_VALUE"""),-0.566901808165218)</f>
        <v>-0.56690180816521796</v>
      </c>
      <c r="HX90" s="3">
        <f ca="1">IFERROR(__xludf.DUMMYFUNCTION("""COMPUTED_VALUE"""),-0.543128365337026)</f>
        <v>-0.54312836533702602</v>
      </c>
      <c r="HY90" s="3">
        <f ca="1">IFERROR(__xludf.DUMMYFUNCTION("""COMPUTED_VALUE"""),-0.505992517887778)</f>
        <v>-0.50599251788777799</v>
      </c>
      <c r="HZ90" s="3">
        <f ca="1">IFERROR(__xludf.DUMMYFUNCTION("""COMPUTED_VALUE"""),-0.452590134975176)</f>
        <v>-0.45259013497517597</v>
      </c>
      <c r="IA90" s="3">
        <f ca="1">IFERROR(__xludf.DUMMYFUNCTION("""COMPUTED_VALUE"""),-0.489359832843116)</f>
        <v>-0.48935983284311602</v>
      </c>
      <c r="IB90" s="3">
        <f ca="1">IFERROR(__xludf.DUMMYFUNCTION("""COMPUTED_VALUE"""),-0.512065666705056)</f>
        <v>-0.51206566670505604</v>
      </c>
      <c r="IC90" s="3">
        <f ca="1">IFERROR(__xludf.DUMMYFUNCTION("""COMPUTED_VALUE"""),-0.500188960537455)</f>
        <v>-0.50018896053745499</v>
      </c>
      <c r="ID90" s="3">
        <f ca="1">IFERROR(__xludf.DUMMYFUNCTION("""COMPUTED_VALUE"""),-0.526021901203587)</f>
        <v>-0.52602190120358705</v>
      </c>
      <c r="IE90" s="3">
        <f ca="1">IFERROR(__xludf.DUMMYFUNCTION("""COMPUTED_VALUE"""),-0.538824096231505)</f>
        <v>-0.53882409623150496</v>
      </c>
      <c r="IF90" s="3">
        <f ca="1">IFERROR(__xludf.DUMMYFUNCTION("""COMPUTED_VALUE"""),-0.509683223501214)</f>
        <v>-0.50968322350121398</v>
      </c>
      <c r="IG90" s="3">
        <f ca="1">IFERROR(__xludf.DUMMYFUNCTION("""COMPUTED_VALUE"""),-0.520784988099686)</f>
        <v>-0.52078498809968599</v>
      </c>
      <c r="IH90" s="3">
        <f ca="1">IFERROR(__xludf.DUMMYFUNCTION("""COMPUTED_VALUE"""),-0.568642949554346)</f>
        <v>-0.56864294955434602</v>
      </c>
      <c r="II90" s="3">
        <f ca="1">IFERROR(__xludf.DUMMYFUNCTION("""COMPUTED_VALUE"""),-0.497798728962084)</f>
        <v>-0.49779872896208399</v>
      </c>
      <c r="IJ90" s="3">
        <f ca="1">IFERROR(__xludf.DUMMYFUNCTION("""COMPUTED_VALUE"""),-0.507118592444461)</f>
        <v>-0.507118592444461</v>
      </c>
      <c r="IK90" s="3">
        <f ca="1">IFERROR(__xludf.DUMMYFUNCTION("""COMPUTED_VALUE"""),-0.572932185828789)</f>
        <v>-0.57293218582878902</v>
      </c>
      <c r="IL90" s="3">
        <f ca="1">IFERROR(__xludf.DUMMYFUNCTION("""COMPUTED_VALUE"""),-0.525456548593997)</f>
        <v>-0.52545654859399704</v>
      </c>
      <c r="IM90" s="3">
        <f ca="1">IFERROR(__xludf.DUMMYFUNCTION("""COMPUTED_VALUE"""),-0.506517200361293)</f>
        <v>-0.506517200361293</v>
      </c>
      <c r="IN90" s="3">
        <f ca="1">IFERROR(__xludf.DUMMYFUNCTION("""COMPUTED_VALUE"""),-0.487981137051827)</f>
        <v>-0.487981137051827</v>
      </c>
      <c r="IO90" s="3">
        <f ca="1">IFERROR(__xludf.DUMMYFUNCTION("""COMPUTED_VALUE"""),-0.493007175804306)</f>
        <v>-0.49300717580430597</v>
      </c>
      <c r="IP90" s="3">
        <f ca="1">IFERROR(__xludf.DUMMYFUNCTION("""COMPUTED_VALUE"""),-0.555695179183138)</f>
        <v>-0.55569517918313804</v>
      </c>
      <c r="IQ90" s="3">
        <f ca="1">IFERROR(__xludf.DUMMYFUNCTION("""COMPUTED_VALUE"""),-0.53825952870496)</f>
        <v>-0.53825952870495997</v>
      </c>
      <c r="IR90" s="3">
        <f ca="1">IFERROR(__xludf.DUMMYFUNCTION("""COMPUTED_VALUE"""),-0.544613546403969)</f>
        <v>-0.54461354640396897</v>
      </c>
      <c r="IS90" s="3">
        <f ca="1">IFERROR(__xludf.DUMMYFUNCTION("""COMPUTED_VALUE"""),-0.493921474943353)</f>
        <v>-0.49392147494335298</v>
      </c>
      <c r="IT90" s="3">
        <f ca="1">IFERROR(__xludf.DUMMYFUNCTION("""COMPUTED_VALUE"""),-0.561771695118732)</f>
        <v>-0.56177169511873204</v>
      </c>
      <c r="IU90" s="3">
        <f ca="1">IFERROR(__xludf.DUMMYFUNCTION("""COMPUTED_VALUE"""),-0.545321045257085)</f>
        <v>-0.54532104525708502</v>
      </c>
      <c r="IV90" s="3">
        <f ca="1">IFERROR(__xludf.DUMMYFUNCTION("""COMPUTED_VALUE"""),-0.573151112501951)</f>
        <v>-0.57315111250195105</v>
      </c>
      <c r="IW90" s="3">
        <f ca="1">IFERROR(__xludf.DUMMYFUNCTION("""COMPUTED_VALUE"""),-0.548860909481152)</f>
        <v>-0.54886090948115196</v>
      </c>
      <c r="IX90" s="3">
        <f ca="1">IFERROR(__xludf.DUMMYFUNCTION("""COMPUTED_VALUE"""),-0.586279613721758)</f>
        <v>-0.58627961372175796</v>
      </c>
      <c r="IY90" s="3">
        <f ca="1">IFERROR(__xludf.DUMMYFUNCTION("""COMPUTED_VALUE"""),-0.593513003889257)</f>
        <v>-0.59351300388925698</v>
      </c>
      <c r="IZ90" s="3">
        <f ca="1">IFERROR(__xludf.DUMMYFUNCTION("""COMPUTED_VALUE"""),-0.578673939136903)</f>
        <v>-0.57867393913690301</v>
      </c>
      <c r="JA90" s="3">
        <f ca="1">IFERROR(__xludf.DUMMYFUNCTION("""COMPUTED_VALUE"""),-0.596898664555862)</f>
        <v>-0.59689866455586205</v>
      </c>
      <c r="JB90" s="3">
        <f ca="1">IFERROR(__xludf.DUMMYFUNCTION("""COMPUTED_VALUE"""),-0.57857533061711)</f>
        <v>-0.57857533061710997</v>
      </c>
      <c r="JC90" s="3">
        <f ca="1">IFERROR(__xludf.DUMMYFUNCTION("""COMPUTED_VALUE"""),-0.537453441222465)</f>
        <v>-0.53745344122246497</v>
      </c>
      <c r="JD90" s="3">
        <f ca="1">IFERROR(__xludf.DUMMYFUNCTION("""COMPUTED_VALUE"""),-0.559199120956479)</f>
        <v>-0.55919912095647895</v>
      </c>
      <c r="JE90" s="3">
        <f ca="1">IFERROR(__xludf.DUMMYFUNCTION("""COMPUTED_VALUE"""),-0.639982309856921)</f>
        <v>-0.63998230985692095</v>
      </c>
      <c r="JF90" s="3">
        <f ca="1">IFERROR(__xludf.DUMMYFUNCTION("""COMPUTED_VALUE"""),-0.620384731159781)</f>
        <v>-0.62038473115978099</v>
      </c>
      <c r="JG90" s="3">
        <f ca="1">IFERROR(__xludf.DUMMYFUNCTION("""COMPUTED_VALUE"""),-0.617981037425167)</f>
        <v>-0.61798103742516697</v>
      </c>
      <c r="JH90" s="3">
        <f ca="1">IFERROR(__xludf.DUMMYFUNCTION("""COMPUTED_VALUE"""),-0.606458968239925)</f>
        <v>-0.60645896823992496</v>
      </c>
      <c r="JI90" s="3">
        <f ca="1">IFERROR(__xludf.DUMMYFUNCTION("""COMPUTED_VALUE"""),-0.598971541320611)</f>
        <v>-0.59897154132061103</v>
      </c>
      <c r="JJ90" s="3">
        <f ca="1">IFERROR(__xludf.DUMMYFUNCTION("""COMPUTED_VALUE"""),-0.553030497642946)</f>
        <v>-0.55303049764294598</v>
      </c>
      <c r="JK90" s="3">
        <f ca="1">IFERROR(__xludf.DUMMYFUNCTION("""COMPUTED_VALUE"""),-0.614205576967823)</f>
        <v>-0.61420557696782296</v>
      </c>
      <c r="JL90" s="3">
        <f ca="1">IFERROR(__xludf.DUMMYFUNCTION("""COMPUTED_VALUE"""),-0.64527469601369)</f>
        <v>-0.64527469601369003</v>
      </c>
      <c r="JM90" s="3">
        <f ca="1">IFERROR(__xludf.DUMMYFUNCTION("""COMPUTED_VALUE"""),-0.613905782141689)</f>
        <v>-0.613905782141689</v>
      </c>
      <c r="JN90" s="3">
        <f ca="1">IFERROR(__xludf.DUMMYFUNCTION("""COMPUTED_VALUE"""),-0.625183791023098)</f>
        <v>-0.62518379102309796</v>
      </c>
      <c r="JO90" s="3">
        <f ca="1">IFERROR(__xludf.DUMMYFUNCTION("""COMPUTED_VALUE"""),-0.618090716332028)</f>
        <v>-0.61809071633202795</v>
      </c>
      <c r="JP90" s="3">
        <f ca="1">IFERROR(__xludf.DUMMYFUNCTION("""COMPUTED_VALUE"""),-0.598958623176751)</f>
        <v>-0.59895862317675097</v>
      </c>
      <c r="JQ90" s="3">
        <f ca="1">IFERROR(__xludf.DUMMYFUNCTION("""COMPUTED_VALUE"""),-0.587833611564181)</f>
        <v>-0.58783361156418101</v>
      </c>
      <c r="JR90" s="3">
        <f ca="1">IFERROR(__xludf.DUMMYFUNCTION("""COMPUTED_VALUE"""),-0.681300697058207)</f>
        <v>-0.68130069705820695</v>
      </c>
      <c r="JS90" s="3">
        <f ca="1">IFERROR(__xludf.DUMMYFUNCTION("""COMPUTED_VALUE"""),-0.658169886725547)</f>
        <v>-0.65816988672554699</v>
      </c>
      <c r="JT90" s="3">
        <f ca="1">IFERROR(__xludf.DUMMYFUNCTION("""COMPUTED_VALUE"""),-0.558672649494453)</f>
        <v>-0.55867264949445306</v>
      </c>
      <c r="JU90" s="3">
        <f ca="1">IFERROR(__xludf.DUMMYFUNCTION("""COMPUTED_VALUE"""),-0.638315969872373)</f>
        <v>-0.63831596987237305</v>
      </c>
      <c r="JV90" s="3">
        <f ca="1">IFERROR(__xludf.DUMMYFUNCTION("""COMPUTED_VALUE"""),-0.642410519599898)</f>
        <v>-0.64241051959989803</v>
      </c>
      <c r="JW90" s="3">
        <f ca="1">IFERROR(__xludf.DUMMYFUNCTION("""COMPUTED_VALUE"""),-0.623603763244961)</f>
        <v>-0.62360376324496103</v>
      </c>
      <c r="JX90" s="3">
        <f ca="1">IFERROR(__xludf.DUMMYFUNCTION("""COMPUTED_VALUE"""),-0.625377660451378)</f>
        <v>-0.62537766045137799</v>
      </c>
      <c r="JY90" s="3">
        <f ca="1">IFERROR(__xludf.DUMMYFUNCTION("""COMPUTED_VALUE"""),-0.689926189672343)</f>
        <v>-0.68992618967234298</v>
      </c>
      <c r="JZ90" s="3">
        <f ca="1">IFERROR(__xludf.DUMMYFUNCTION("""COMPUTED_VALUE"""),-0.604174984705037)</f>
        <v>-0.60417498470503705</v>
      </c>
      <c r="KA90" s="3">
        <f ca="1">IFERROR(__xludf.DUMMYFUNCTION("""COMPUTED_VALUE"""),-0.593134096445165)</f>
        <v>-0.59313409644516502</v>
      </c>
      <c r="KB90" s="3">
        <f ca="1">IFERROR(__xludf.DUMMYFUNCTION("""COMPUTED_VALUE"""),-0.670934680610924)</f>
        <v>-0.67093468061092398</v>
      </c>
      <c r="KC90" s="3">
        <f ca="1">IFERROR(__xludf.DUMMYFUNCTION("""COMPUTED_VALUE"""),-0.64097384275793)</f>
        <v>-0.64097384275793001</v>
      </c>
      <c r="KD90" s="3">
        <f ca="1">IFERROR(__xludf.DUMMYFUNCTION("""COMPUTED_VALUE"""),-0.613587523150431)</f>
        <v>-0.61358752315043097</v>
      </c>
      <c r="KE90" s="3">
        <f ca="1">IFERROR(__xludf.DUMMYFUNCTION("""COMPUTED_VALUE"""),-0.636987027230806)</f>
        <v>-0.63698702723080602</v>
      </c>
      <c r="KF90" s="3">
        <f ca="1">IFERROR(__xludf.DUMMYFUNCTION("""COMPUTED_VALUE"""),-0.651810733482134)</f>
        <v>-0.65181073348213403</v>
      </c>
      <c r="KG90" s="3">
        <f ca="1">IFERROR(__xludf.DUMMYFUNCTION("""COMPUTED_VALUE"""),-0.601170005633167)</f>
        <v>-0.60117000563316703</v>
      </c>
      <c r="KH90" s="3">
        <f ca="1">IFERROR(__xludf.DUMMYFUNCTION("""COMPUTED_VALUE"""),-0.620185006644445)</f>
        <v>-0.62018500664444498</v>
      </c>
      <c r="KI90" s="3">
        <f ca="1">IFERROR(__xludf.DUMMYFUNCTION("""COMPUTED_VALUE"""),-0.644983570280439)</f>
        <v>-0.64498357028043896</v>
      </c>
      <c r="KJ90" s="3">
        <f ca="1">IFERROR(__xludf.DUMMYFUNCTION("""COMPUTED_VALUE"""),-0.622392424225046)</f>
        <v>-0.62239242422504604</v>
      </c>
      <c r="KK90" s="3">
        <f ca="1">IFERROR(__xludf.DUMMYFUNCTION("""COMPUTED_VALUE"""),-0.636276143483622)</f>
        <v>-0.63627614348362205</v>
      </c>
      <c r="KL90" s="3">
        <f ca="1">IFERROR(__xludf.DUMMYFUNCTION("""COMPUTED_VALUE"""),-0.677964249737513)</f>
        <v>-0.67796424973751301</v>
      </c>
      <c r="KM90" s="3">
        <f ca="1">IFERROR(__xludf.DUMMYFUNCTION("""COMPUTED_VALUE"""),-0.702935571996928)</f>
        <v>-0.70293557199692802</v>
      </c>
      <c r="KN90" s="3">
        <f ca="1">IFERROR(__xludf.DUMMYFUNCTION("""COMPUTED_VALUE"""),-0.681147654541911)</f>
        <v>-0.68114765454191095</v>
      </c>
      <c r="KO90" s="3">
        <f ca="1">IFERROR(__xludf.DUMMYFUNCTION("""COMPUTED_VALUE"""),-0.697808628640218)</f>
        <v>-0.69780862864021798</v>
      </c>
      <c r="KP90" s="3">
        <f ca="1">IFERROR(__xludf.DUMMYFUNCTION("""COMPUTED_VALUE"""),-0.697639098221727)</f>
        <v>-0.69763909822172698</v>
      </c>
      <c r="KQ90" s="3">
        <f ca="1">IFERROR(__xludf.DUMMYFUNCTION("""COMPUTED_VALUE"""),-0.673919195485236)</f>
        <v>-0.67391919548523604</v>
      </c>
      <c r="KR90" s="3">
        <f ca="1">IFERROR(__xludf.DUMMYFUNCTION("""COMPUTED_VALUE"""),-0.669276156704834)</f>
        <v>-0.66927615670483398</v>
      </c>
      <c r="KS90" s="3">
        <f ca="1">IFERROR(__xludf.DUMMYFUNCTION("""COMPUTED_VALUE"""),-0.68316258087944)</f>
        <v>-0.68316258087944004</v>
      </c>
      <c r="KT90" s="3">
        <f ca="1">IFERROR(__xludf.DUMMYFUNCTION("""COMPUTED_VALUE"""),-0.713853561476995)</f>
        <v>-0.71385356147699497</v>
      </c>
      <c r="KU90" s="3">
        <f ca="1">IFERROR(__xludf.DUMMYFUNCTION("""COMPUTED_VALUE"""),-0.687530922362817)</f>
        <v>-0.68753092236281699</v>
      </c>
      <c r="KV90" s="3">
        <f ca="1">IFERROR(__xludf.DUMMYFUNCTION("""COMPUTED_VALUE"""),-0.709190384701523)</f>
        <v>-0.70919038470152296</v>
      </c>
      <c r="KW90" s="3">
        <f ca="1">IFERROR(__xludf.DUMMYFUNCTION("""COMPUTED_VALUE"""),-0.686255766398041)</f>
        <v>-0.68625576639804098</v>
      </c>
      <c r="KX90" s="3">
        <f ca="1">IFERROR(__xludf.DUMMYFUNCTION("""COMPUTED_VALUE"""),-0.670270272121119)</f>
        <v>-0.670270272121119</v>
      </c>
      <c r="KY90" s="3">
        <f ca="1">IFERROR(__xludf.DUMMYFUNCTION("""COMPUTED_VALUE"""),-0.663159165824511)</f>
        <v>-0.66315916582451095</v>
      </c>
      <c r="KZ90" s="3">
        <f ca="1">IFERROR(__xludf.DUMMYFUNCTION("""COMPUTED_VALUE"""),-0.704858926830029)</f>
        <v>-0.70485892683002904</v>
      </c>
      <c r="LA90" s="3">
        <f ca="1">IFERROR(__xludf.DUMMYFUNCTION("""COMPUTED_VALUE"""),-0.745054427297193)</f>
        <v>-0.74505442729719296</v>
      </c>
      <c r="LB90" s="3">
        <f ca="1">IFERROR(__xludf.DUMMYFUNCTION("""COMPUTED_VALUE"""),-0.74738324678274)</f>
        <v>-0.74738324678274004</v>
      </c>
      <c r="LC90" s="3">
        <f ca="1">IFERROR(__xludf.DUMMYFUNCTION("""COMPUTED_VALUE"""),-0.722581624693199)</f>
        <v>-0.72258162469319898</v>
      </c>
      <c r="LD90" s="3">
        <f ca="1">IFERROR(__xludf.DUMMYFUNCTION("""COMPUTED_VALUE"""),-0.729863237684142)</f>
        <v>-0.72986323768414196</v>
      </c>
      <c r="LE90" s="3">
        <f ca="1">IFERROR(__xludf.DUMMYFUNCTION("""COMPUTED_VALUE"""),-0.699408053330964)</f>
        <v>-0.69940805333096401</v>
      </c>
      <c r="LF90" s="3">
        <f ca="1">IFERROR(__xludf.DUMMYFUNCTION("""COMPUTED_VALUE"""),-0.680700287272332)</f>
        <v>-0.68070028727233201</v>
      </c>
      <c r="LG90" s="3">
        <f ca="1">IFERROR(__xludf.DUMMYFUNCTION("""COMPUTED_VALUE"""),-0.722548576237289)</f>
        <v>-0.72254857623728896</v>
      </c>
      <c r="LH90" s="3">
        <f ca="1">IFERROR(__xludf.DUMMYFUNCTION("""COMPUTED_VALUE"""),-0.737928166172141)</f>
        <v>-0.73792816617214096</v>
      </c>
      <c r="LI90" s="3">
        <f ca="1">IFERROR(__xludf.DUMMYFUNCTION("""COMPUTED_VALUE"""),-0.750492887343034)</f>
        <v>-0.75049288734303399</v>
      </c>
      <c r="LJ90" s="3">
        <f ca="1">IFERROR(__xludf.DUMMYFUNCTION("""COMPUTED_VALUE"""),-0.739404168307865)</f>
        <v>-0.73940416830786504</v>
      </c>
      <c r="LK90" s="3">
        <f ca="1">IFERROR(__xludf.DUMMYFUNCTION("""COMPUTED_VALUE"""),-0.73175784892813)</f>
        <v>-0.73175784892813001</v>
      </c>
      <c r="LL90" s="3">
        <f ca="1">IFERROR(__xludf.DUMMYFUNCTION("""COMPUTED_VALUE"""),-0.723903234494877)</f>
        <v>-0.72390323449487703</v>
      </c>
      <c r="LM90" s="3">
        <f ca="1">IFERROR(__xludf.DUMMYFUNCTION("""COMPUTED_VALUE"""),-0.748109049977206)</f>
        <v>-0.74810904997720595</v>
      </c>
      <c r="LN90" s="3">
        <f ca="1">IFERROR(__xludf.DUMMYFUNCTION("""COMPUTED_VALUE"""),-0.759943456197406)</f>
        <v>-0.759943456197406</v>
      </c>
      <c r="LO90" s="3">
        <f ca="1">IFERROR(__xludf.DUMMYFUNCTION("""COMPUTED_VALUE"""),-0.796716447470641)</f>
        <v>-0.79671644747064096</v>
      </c>
      <c r="LP90" s="3">
        <f ca="1">IFERROR(__xludf.DUMMYFUNCTION("""COMPUTED_VALUE"""),-0.760242365275197)</f>
        <v>-0.76024236527519695</v>
      </c>
      <c r="LQ90" s="3">
        <f ca="1">IFERROR(__xludf.DUMMYFUNCTION("""COMPUTED_VALUE"""),-0.755006312378266)</f>
        <v>-0.75500631237826599</v>
      </c>
      <c r="LR90" s="3">
        <f ca="1">IFERROR(__xludf.DUMMYFUNCTION("""COMPUTED_VALUE"""),-0.757563796578414)</f>
        <v>-0.75756379657841399</v>
      </c>
      <c r="LS90" s="3">
        <f ca="1">IFERROR(__xludf.DUMMYFUNCTION("""COMPUTED_VALUE"""),-0.742718338190719)</f>
        <v>-0.74271833819071897</v>
      </c>
      <c r="LT90" s="3">
        <f ca="1">IFERROR(__xludf.DUMMYFUNCTION("""COMPUTED_VALUE"""),-0.733122402332674)</f>
        <v>-0.73312240233267401</v>
      </c>
      <c r="LU90" s="3">
        <f ca="1">IFERROR(__xludf.DUMMYFUNCTION("""COMPUTED_VALUE"""),-0.752217355805788)</f>
        <v>-0.75221735580578797</v>
      </c>
      <c r="LV90" s="3">
        <f ca="1">IFERROR(__xludf.DUMMYFUNCTION("""COMPUTED_VALUE"""),-0.77851737231232)</f>
        <v>-0.77851737231231999</v>
      </c>
      <c r="LW90" s="3">
        <f ca="1">IFERROR(__xludf.DUMMYFUNCTION("""COMPUTED_VALUE"""),-0.76170280476171)</f>
        <v>-0.76170280476171004</v>
      </c>
      <c r="LX90" s="3">
        <f ca="1">IFERROR(__xludf.DUMMYFUNCTION("""COMPUTED_VALUE"""),-0.770947770016032)</f>
        <v>-0.77094777001603199</v>
      </c>
      <c r="LY90" s="3">
        <f ca="1">IFERROR(__xludf.DUMMYFUNCTION("""COMPUTED_VALUE"""),-0.769500319780739)</f>
        <v>-0.76950031978073896</v>
      </c>
      <c r="LZ90" s="3">
        <f ca="1">IFERROR(__xludf.DUMMYFUNCTION("""COMPUTED_VALUE"""),-0.766618901519507)</f>
        <v>-0.76661890151950696</v>
      </c>
      <c r="MA90" s="3">
        <f ca="1">IFERROR(__xludf.DUMMYFUNCTION("""COMPUTED_VALUE"""),-0.760313133130603)</f>
        <v>-0.760313133130603</v>
      </c>
      <c r="MB90" s="3">
        <f ca="1">IFERROR(__xludf.DUMMYFUNCTION("""COMPUTED_VALUE"""),-0.75877023605801)</f>
        <v>-0.75877023605800997</v>
      </c>
      <c r="MC90" s="3">
        <f ca="1">IFERROR(__xludf.DUMMYFUNCTION("""COMPUTED_VALUE"""),-0.806743741585011)</f>
        <v>-0.80674374158501105</v>
      </c>
      <c r="MD90" s="3">
        <f ca="1">IFERROR(__xludf.DUMMYFUNCTION("""COMPUTED_VALUE"""),-0.789083222847172)</f>
        <v>-0.78908322284717203</v>
      </c>
      <c r="ME90" s="3">
        <f ca="1">IFERROR(__xludf.DUMMYFUNCTION("""COMPUTED_VALUE"""),-0.774822205694567)</f>
        <v>-0.77482220569456695</v>
      </c>
      <c r="MF90" s="3">
        <f ca="1">IFERROR(__xludf.DUMMYFUNCTION("""COMPUTED_VALUE"""),-0.769011676675848)</f>
        <v>-0.76901167667584802</v>
      </c>
      <c r="MG90" s="3">
        <f ca="1">IFERROR(__xludf.DUMMYFUNCTION("""COMPUTED_VALUE"""),-0.758647278515402)</f>
        <v>-0.75864727851540203</v>
      </c>
      <c r="MH90" s="3">
        <f ca="1">IFERROR(__xludf.DUMMYFUNCTION("""COMPUTED_VALUE"""),-0.739071910509836)</f>
        <v>-0.73907191050983601</v>
      </c>
      <c r="MI90" s="3">
        <f ca="1">IFERROR(__xludf.DUMMYFUNCTION("""COMPUTED_VALUE"""),-0.737132105904216)</f>
        <v>-0.73713210590421596</v>
      </c>
      <c r="MJ90" s="3">
        <f ca="1">IFERROR(__xludf.DUMMYFUNCTION("""COMPUTED_VALUE"""),-0.788934133966478)</f>
        <v>-0.78893413396647805</v>
      </c>
      <c r="MK90" s="3">
        <f ca="1">IFERROR(__xludf.DUMMYFUNCTION("""COMPUTED_VALUE"""),-0.775805491247274)</f>
        <v>-0.77580549124727405</v>
      </c>
      <c r="ML90" s="3">
        <f ca="1">IFERROR(__xludf.DUMMYFUNCTION("""COMPUTED_VALUE"""),-0.7922904944696)</f>
        <v>-0.79229049446959998</v>
      </c>
      <c r="MM90" s="3">
        <f ca="1">IFERROR(__xludf.DUMMYFUNCTION("""COMPUTED_VALUE"""),-0.77414338579251)</f>
        <v>-0.77414338579250996</v>
      </c>
      <c r="MN90" s="3">
        <f ca="1">IFERROR(__xludf.DUMMYFUNCTION("""COMPUTED_VALUE"""),-0.775400479940701)</f>
        <v>-0.77540047994070105</v>
      </c>
      <c r="MO90" s="3">
        <f ca="1">IFERROR(__xludf.DUMMYFUNCTION("""COMPUTED_VALUE"""),-0.761915412134369)</f>
        <v>-0.76191541213436897</v>
      </c>
      <c r="MP90" s="3">
        <f ca="1">IFERROR(__xludf.DUMMYFUNCTION("""COMPUTED_VALUE"""),-0.783400941195439)</f>
        <v>-0.78340094119543902</v>
      </c>
      <c r="MQ90" s="3">
        <f ca="1">IFERROR(__xludf.DUMMYFUNCTION("""COMPUTED_VALUE"""),-0.791385904843626)</f>
        <v>-0.79138590484362603</v>
      </c>
      <c r="MR90" s="3">
        <f ca="1">IFERROR(__xludf.DUMMYFUNCTION("""COMPUTED_VALUE"""),-0.786812532551767)</f>
        <v>-0.78681253255176697</v>
      </c>
      <c r="MS90" s="3">
        <f ca="1">IFERROR(__xludf.DUMMYFUNCTION("""COMPUTED_VALUE"""),-0.782867478411208)</f>
        <v>-0.78286747841120796</v>
      </c>
      <c r="MT90" s="3">
        <f ca="1">IFERROR(__xludf.DUMMYFUNCTION("""COMPUTED_VALUE"""),-0.778973575330186)</f>
        <v>-0.77897357533018596</v>
      </c>
      <c r="MU90" s="3">
        <f ca="1">IFERROR(__xludf.DUMMYFUNCTION("""COMPUTED_VALUE"""),-0.780719478269806)</f>
        <v>-0.78071947826980603</v>
      </c>
      <c r="MV90" s="3">
        <f ca="1">IFERROR(__xludf.DUMMYFUNCTION("""COMPUTED_VALUE"""),-0.754797383308679)</f>
        <v>-0.75479738330867896</v>
      </c>
      <c r="MW90" s="3">
        <f ca="1">IFERROR(__xludf.DUMMYFUNCTION("""COMPUTED_VALUE"""),-0.776252315971095)</f>
        <v>-0.77625231597109501</v>
      </c>
      <c r="MX90" s="3">
        <f ca="1">IFERROR(__xludf.DUMMYFUNCTION("""COMPUTED_VALUE"""),-0.811470583499503)</f>
        <v>-0.81147058349950296</v>
      </c>
      <c r="MY90" s="3">
        <f ca="1">IFERROR(__xludf.DUMMYFUNCTION("""COMPUTED_VALUE"""),-0.772159291210119)</f>
        <v>-0.77215929121011895</v>
      </c>
      <c r="MZ90" s="3">
        <f ca="1">IFERROR(__xludf.DUMMYFUNCTION("""COMPUTED_VALUE"""),-0.775327599112832)</f>
        <v>-0.775327599112832</v>
      </c>
      <c r="NA90" s="3">
        <f ca="1">IFERROR(__xludf.DUMMYFUNCTION("""COMPUTED_VALUE"""),-0.773846692740311)</f>
        <v>-0.77384669274031104</v>
      </c>
      <c r="NB90" s="3">
        <f ca="1">IFERROR(__xludf.DUMMYFUNCTION("""COMPUTED_VALUE"""),-0.772614021671126)</f>
        <v>-0.77261402167112603</v>
      </c>
      <c r="NC90" s="3">
        <f ca="1">IFERROR(__xludf.DUMMYFUNCTION("""COMPUTED_VALUE"""),-0.774891878208393)</f>
        <v>-0.774891878208393</v>
      </c>
      <c r="ND90" s="3">
        <f ca="1">IFERROR(__xludf.DUMMYFUNCTION("""COMPUTED_VALUE"""),-0.754126745283665)</f>
        <v>-0.75412674528366497</v>
      </c>
      <c r="NE90" s="3">
        <f ca="1">IFERROR(__xludf.DUMMYFUNCTION("""COMPUTED_VALUE"""),-0.780439372589403)</f>
        <v>-0.78043937258940299</v>
      </c>
      <c r="NF90" s="3">
        <f ca="1">IFERROR(__xludf.DUMMYFUNCTION("""COMPUTED_VALUE"""),-0.770470704729462)</f>
        <v>-0.770470704729462</v>
      </c>
      <c r="NG90" s="3">
        <f ca="1">IFERROR(__xludf.DUMMYFUNCTION("""COMPUTED_VALUE"""),-0.766504938001098)</f>
        <v>-0.76650493800109798</v>
      </c>
      <c r="NH90" s="3">
        <f ca="1">IFERROR(__xludf.DUMMYFUNCTION("""COMPUTED_VALUE"""),-0.775002245117656)</f>
        <v>-0.77500224511765603</v>
      </c>
      <c r="NI90" s="3">
        <f ca="1">IFERROR(__xludf.DUMMYFUNCTION("""COMPUTED_VALUE"""),-0.76705743528859)</f>
        <v>-0.76705743528859005</v>
      </c>
      <c r="NJ90" s="3">
        <f ca="1">IFERROR(__xludf.DUMMYFUNCTION("""COMPUTED_VALUE"""),-0.746855917153622)</f>
        <v>-0.74685591715362198</v>
      </c>
      <c r="NK90" s="3">
        <f ca="1">IFERROR(__xludf.DUMMYFUNCTION("""COMPUTED_VALUE"""),-0.746027223953531)</f>
        <v>-0.74602722395353105</v>
      </c>
      <c r="NL90" s="3">
        <f ca="1">IFERROR(__xludf.DUMMYFUNCTION("""COMPUTED_VALUE"""),-0.786577858817671)</f>
        <v>-0.78657785881767095</v>
      </c>
      <c r="NM90" s="3">
        <f ca="1">IFERROR(__xludf.DUMMYFUNCTION("""COMPUTED_VALUE"""),-0.759242487923355)</f>
        <v>-0.75924248792335503</v>
      </c>
      <c r="NN90" s="3">
        <f ca="1">IFERROR(__xludf.DUMMYFUNCTION("""COMPUTED_VALUE"""),-0.751377842693511)</f>
        <v>-0.75137784269351104</v>
      </c>
      <c r="NO90" s="3">
        <f ca="1">IFERROR(__xludf.DUMMYFUNCTION("""COMPUTED_VALUE"""),-0.728994806302491)</f>
        <v>-0.72899480630249103</v>
      </c>
      <c r="NP90" s="3">
        <f ca="1">IFERROR(__xludf.DUMMYFUNCTION("""COMPUTED_VALUE"""),-0.742451830417095)</f>
        <v>-0.74245183041709495</v>
      </c>
      <c r="NQ90" s="3">
        <f ca="1">IFERROR(__xludf.DUMMYFUNCTION("""COMPUTED_VALUE"""),-0.720746823238868)</f>
        <v>-0.72074682323886796</v>
      </c>
      <c r="NR90" s="3">
        <f ca="1">IFERROR(__xludf.DUMMYFUNCTION("""COMPUTED_VALUE"""),-0.733929693296398)</f>
        <v>-0.73392969329639801</v>
      </c>
      <c r="NS90" s="3">
        <f ca="1">IFERROR(__xludf.DUMMYFUNCTION("""COMPUTED_VALUE"""),-0.776626161007877)</f>
        <v>-0.77662616100787696</v>
      </c>
      <c r="NT90" s="3">
        <f ca="1">IFERROR(__xludf.DUMMYFUNCTION("""COMPUTED_VALUE"""),-0.729657125209284)</f>
        <v>-0.72965712520928405</v>
      </c>
      <c r="NU90" s="3">
        <f ca="1">IFERROR(__xludf.DUMMYFUNCTION("""COMPUTED_VALUE"""),-0.762830657162788)</f>
        <v>-0.76283065716278797</v>
      </c>
      <c r="NV90" s="3">
        <f ca="1">IFERROR(__xludf.DUMMYFUNCTION("""COMPUTED_VALUE"""),-0.766162334804758)</f>
        <v>-0.76616233480475804</v>
      </c>
      <c r="NW90" s="3">
        <f ca="1">IFERROR(__xludf.DUMMYFUNCTION("""COMPUTED_VALUE"""),-0.740767394859646)</f>
        <v>-0.74076739485964604</v>
      </c>
      <c r="NX90" s="3">
        <f ca="1">IFERROR(__xludf.DUMMYFUNCTION("""COMPUTED_VALUE"""),-0.776649389145887)</f>
        <v>-0.77664938914588699</v>
      </c>
      <c r="NY90" s="3">
        <f ca="1">IFERROR(__xludf.DUMMYFUNCTION("""COMPUTED_VALUE"""),-0.735511390663024)</f>
        <v>-0.73551139066302396</v>
      </c>
      <c r="NZ90" s="3">
        <f ca="1">IFERROR(__xludf.DUMMYFUNCTION("""COMPUTED_VALUE"""),-0.739951331539824)</f>
        <v>-0.73995133153982395</v>
      </c>
      <c r="OA90" s="3">
        <f ca="1">IFERROR(__xludf.DUMMYFUNCTION("""COMPUTED_VALUE"""),-0.708605115789637)</f>
        <v>-0.70860511578963703</v>
      </c>
      <c r="OB90" s="3">
        <f ca="1">IFERROR(__xludf.DUMMYFUNCTION("""COMPUTED_VALUE"""),-0.687192863592433)</f>
        <v>-0.68719286359243303</v>
      </c>
      <c r="OC90" s="3">
        <f ca="1">IFERROR(__xludf.DUMMYFUNCTION("""COMPUTED_VALUE"""),-0.652537887289834)</f>
        <v>-0.65253788728983397</v>
      </c>
      <c r="OD90" s="3">
        <f ca="1">IFERROR(__xludf.DUMMYFUNCTION("""COMPUTED_VALUE"""),-0.611734214291292)</f>
        <v>-0.61173421429129204</v>
      </c>
      <c r="OE90" s="3">
        <f ca="1">IFERROR(__xludf.DUMMYFUNCTION("""COMPUTED_VALUE"""),-0.53419967023648)</f>
        <v>-0.53419967023647996</v>
      </c>
      <c r="OF90" s="3">
        <f ca="1">IFERROR(__xludf.DUMMYFUNCTION("""COMPUTED_VALUE"""),-0.407907617859673)</f>
        <v>-0.407907617859673</v>
      </c>
      <c r="OG90" s="3">
        <f ca="1">IFERROR(__xludf.DUMMYFUNCTION("""COMPUTED_VALUE"""),-0.396380797258024)</f>
        <v>-0.396380797258024</v>
      </c>
      <c r="OH90" s="3">
        <f ca="1">IFERROR(__xludf.DUMMYFUNCTION("""COMPUTED_VALUE"""),-0.332285767135429)</f>
        <v>-0.33228576713542901</v>
      </c>
      <c r="OI90" s="3">
        <f ca="1">IFERROR(__xludf.DUMMYFUNCTION("""COMPUTED_VALUE"""),-0.250828259541985)</f>
        <v>-0.25082825954198501</v>
      </c>
      <c r="OJ90" s="3">
        <f ca="1">IFERROR(__xludf.DUMMYFUNCTION("""COMPUTED_VALUE"""),-0.147590608348557)</f>
        <v>-0.147590608348557</v>
      </c>
      <c r="OK90" s="3">
        <f ca="1">IFERROR(__xludf.DUMMYFUNCTION("""COMPUTED_VALUE"""),-0.0960845246127428)</f>
        <v>-9.6084524612742805E-2</v>
      </c>
      <c r="OL90" s="3">
        <f ca="1">IFERROR(__xludf.DUMMYFUNCTION("""COMPUTED_VALUE"""),0.0138101577569658)</f>
        <v>1.3810157756965801E-2</v>
      </c>
      <c r="OM90" s="3">
        <f ca="1">IFERROR(__xludf.DUMMYFUNCTION("""COMPUTED_VALUE"""),-0.0608509914536926)</f>
        <v>-6.0850991453692597E-2</v>
      </c>
      <c r="ON90" s="3">
        <f ca="1">IFERROR(__xludf.DUMMYFUNCTION("""COMPUTED_VALUE"""),-0.0315314533100858)</f>
        <v>-3.1531453310085798E-2</v>
      </c>
      <c r="OO90" s="3">
        <f ca="1">IFERROR(__xludf.DUMMYFUNCTION("""COMPUTED_VALUE"""),-0.0250946741637156)</f>
        <v>-2.5094674163715601E-2</v>
      </c>
      <c r="OP90" s="3">
        <f ca="1">IFERROR(__xludf.DUMMYFUNCTION("""COMPUTED_VALUE"""),-0.0371488007820834)</f>
        <v>-3.7148800782083401E-2</v>
      </c>
      <c r="OQ90" s="3">
        <f ca="1">IFERROR(__xludf.DUMMYFUNCTION("""COMPUTED_VALUE"""),-0.0162181873328892)</f>
        <v>-1.6218187332889201E-2</v>
      </c>
      <c r="OR90" s="3">
        <f ca="1">IFERROR(__xludf.DUMMYFUNCTION("""COMPUTED_VALUE"""),-0.0143052788752019)</f>
        <v>-1.43052788752019E-2</v>
      </c>
      <c r="OS90" s="3">
        <f ca="1">IFERROR(__xludf.DUMMYFUNCTION("""COMPUTED_VALUE"""),0.017047609763324)</f>
        <v>1.7047609763324E-2</v>
      </c>
      <c r="OT90" s="3">
        <f ca="1">IFERROR(__xludf.DUMMYFUNCTION("""COMPUTED_VALUE"""),-0.00624753879565376)</f>
        <v>-6.2475387956537603E-3</v>
      </c>
      <c r="OU90" s="3">
        <f ca="1">IFERROR(__xludf.DUMMYFUNCTION("""COMPUTED_VALUE"""),-0.00838395546791803)</f>
        <v>-8.3839554679180292E-3</v>
      </c>
      <c r="OV90" s="3">
        <f ca="1">IFERROR(__xludf.DUMMYFUNCTION("""COMPUTED_VALUE"""),0.0177045192671028)</f>
        <v>1.77045192671028E-2</v>
      </c>
      <c r="OW90" s="3">
        <f ca="1">IFERROR(__xludf.DUMMYFUNCTION("""COMPUTED_VALUE"""),0.0199953848251703)</f>
        <v>1.9995384825170302E-2</v>
      </c>
      <c r="OX90" s="3">
        <f ca="1">IFERROR(__xludf.DUMMYFUNCTION("""COMPUTED_VALUE"""),0.0265424420598776)</f>
        <v>2.6542442059877599E-2</v>
      </c>
      <c r="OY90" s="3">
        <f ca="1">IFERROR(__xludf.DUMMYFUNCTION("""COMPUTED_VALUE"""),0.0387655143390106)</f>
        <v>3.8765514339010598E-2</v>
      </c>
      <c r="OZ90" s="3">
        <f ca="1">IFERROR(__xludf.DUMMYFUNCTION("""COMPUTED_VALUE"""),0.10672244967819)</f>
        <v>0.10672244967819</v>
      </c>
      <c r="PA90" s="3">
        <f ca="1">IFERROR(__xludf.DUMMYFUNCTION("""COMPUTED_VALUE"""),0.0160895741350435)</f>
        <v>1.60895741350435E-2</v>
      </c>
      <c r="PB90" s="3">
        <f ca="1">IFERROR(__xludf.DUMMYFUNCTION("""COMPUTED_VALUE"""),-0.0169558475223513)</f>
        <v>-1.6955847522351301E-2</v>
      </c>
      <c r="PC90" s="3">
        <f ca="1">IFERROR(__xludf.DUMMYFUNCTION("""COMPUTED_VALUE"""),-0.0539935866056138)</f>
        <v>-5.3993586605613798E-2</v>
      </c>
      <c r="PD90" s="3">
        <f ca="1">IFERROR(__xludf.DUMMYFUNCTION("""COMPUTED_VALUE"""),-0.0102458573046883)</f>
        <v>-1.0245857304688299E-2</v>
      </c>
      <c r="PE90" s="3">
        <f ca="1">IFERROR(__xludf.DUMMYFUNCTION("""COMPUTED_VALUE"""),0.00328969267216439)</f>
        <v>3.28969267216439E-3</v>
      </c>
      <c r="PF90" s="3">
        <f ca="1">IFERROR(__xludf.DUMMYFUNCTION("""COMPUTED_VALUE"""),-0.0593286664431148)</f>
        <v>-5.9328666443114797E-2</v>
      </c>
      <c r="PG90" s="3">
        <f ca="1">IFERROR(__xludf.DUMMYFUNCTION("""COMPUTED_VALUE"""),-0.0573724896209523)</f>
        <v>-5.7372489620952302E-2</v>
      </c>
      <c r="PH90" s="3">
        <f ca="1">IFERROR(__xludf.DUMMYFUNCTION("""COMPUTED_VALUE"""),-0.00444392728256826)</f>
        <v>-4.4439272825682599E-3</v>
      </c>
      <c r="PI90" s="3">
        <f ca="1">IFERROR(__xludf.DUMMYFUNCTION("""COMPUTED_VALUE"""),-0.0545233830208318)</f>
        <v>-5.4523383020831803E-2</v>
      </c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</row>
    <row r="91" spans="1:477" ht="13">
      <c r="A91" s="1" t="str">
        <f ca="1">IFERROR(__xludf.DUMMYFUNCTION("""COMPUTED_VALUE"""),"MTA - Queens Buses")</f>
        <v>MTA - Queens Buses</v>
      </c>
      <c r="B91" s="1" t="str">
        <f ca="1">IFERROR(__xludf.DUMMYFUNCTION("""COMPUTED_VALUE"""),"NYC")</f>
        <v>NYC</v>
      </c>
      <c r="C91" s="1" t="str">
        <f ca="1">IFERROR(__xludf.DUMMYFUNCTION("""COMPUTED_VALUE"""),"United States")</f>
        <v>United States</v>
      </c>
      <c r="D91" s="1" t="str">
        <f ca="1">IFERROR(__xludf.DUMMYFUNCTION("""COMPUTED_VALUE"""),"New York")</f>
        <v>New York</v>
      </c>
      <c r="E91" s="3">
        <f ca="1">IFERROR(__xludf.DUMMYFUNCTION("""COMPUTED_VALUE"""),-0.49185985460236)</f>
        <v>-0.49185985460235998</v>
      </c>
      <c r="F91" s="3">
        <f ca="1">IFERROR(__xludf.DUMMYFUNCTION("""COMPUTED_VALUE"""),-0.522254457220249)</f>
        <v>-0.52225445722024899</v>
      </c>
      <c r="G91" s="3">
        <f ca="1">IFERROR(__xludf.DUMMYFUNCTION("""COMPUTED_VALUE"""),-0.560954513608383)</f>
        <v>-0.560954513608383</v>
      </c>
      <c r="H91" s="3">
        <f ca="1">IFERROR(__xludf.DUMMYFUNCTION("""COMPUTED_VALUE"""),-0.568925730068569)</f>
        <v>-0.56892573006856895</v>
      </c>
      <c r="I91" s="3">
        <f ca="1">IFERROR(__xludf.DUMMYFUNCTION("""COMPUTED_VALUE"""),-0.577187354948074)</f>
        <v>-0.57718735494807405</v>
      </c>
      <c r="J91" s="3">
        <f ca="1">IFERROR(__xludf.DUMMYFUNCTION("""COMPUTED_VALUE"""),-0.561979825062766)</f>
        <v>-0.561979825062766</v>
      </c>
      <c r="K91" s="3">
        <f ca="1">IFERROR(__xludf.DUMMYFUNCTION("""COMPUTED_VALUE"""),-0.520327897680626)</f>
        <v>-0.52032789768062604</v>
      </c>
      <c r="L91" s="3">
        <f ca="1">IFERROR(__xludf.DUMMYFUNCTION("""COMPUTED_VALUE"""),-0.537017904322238)</f>
        <v>-0.53701790432223795</v>
      </c>
      <c r="M91" s="3">
        <f ca="1">IFERROR(__xludf.DUMMYFUNCTION("""COMPUTED_VALUE"""),-0.59913621679639)</f>
        <v>-0.59913621679638995</v>
      </c>
      <c r="N91" s="3">
        <f ca="1">IFERROR(__xludf.DUMMYFUNCTION("""COMPUTED_VALUE"""),-0.600302353162972)</f>
        <v>-0.60030235316297198</v>
      </c>
      <c r="O91" s="3">
        <f ca="1">IFERROR(__xludf.DUMMYFUNCTION("""COMPUTED_VALUE"""),-0.601287680604251)</f>
        <v>-0.60128768060425097</v>
      </c>
      <c r="P91" s="3">
        <f ca="1">IFERROR(__xludf.DUMMYFUNCTION("""COMPUTED_VALUE"""),-0.580981226625788)</f>
        <v>-0.58098122662578799</v>
      </c>
      <c r="Q91" s="3">
        <f ca="1">IFERROR(__xludf.DUMMYFUNCTION("""COMPUTED_VALUE"""),-0.572173509609587)</f>
        <v>-0.57217350960958702</v>
      </c>
      <c r="R91" s="3">
        <f ca="1">IFERROR(__xludf.DUMMYFUNCTION("""COMPUTED_VALUE"""),-0.52087970275801)</f>
        <v>-0.52087970275800999</v>
      </c>
      <c r="S91" s="3">
        <f ca="1">IFERROR(__xludf.DUMMYFUNCTION("""COMPUTED_VALUE"""),-0.465024799079468)</f>
        <v>-0.46502479907946798</v>
      </c>
      <c r="T91" s="3">
        <f ca="1">IFERROR(__xludf.DUMMYFUNCTION("""COMPUTED_VALUE"""),-0.521060501307716)</f>
        <v>-0.52106050130771597</v>
      </c>
      <c r="U91" s="3">
        <f ca="1">IFERROR(__xludf.DUMMYFUNCTION("""COMPUTED_VALUE"""),-0.547087432720643)</f>
        <v>-0.54708743272064297</v>
      </c>
      <c r="V91" s="3">
        <f ca="1">IFERROR(__xludf.DUMMYFUNCTION("""COMPUTED_VALUE"""),-0.563726498831057)</f>
        <v>-0.56372649883105697</v>
      </c>
      <c r="W91" s="3">
        <f ca="1">IFERROR(__xludf.DUMMYFUNCTION("""COMPUTED_VALUE"""),-0.537766416370956)</f>
        <v>-0.53776641637095601</v>
      </c>
      <c r="X91" s="3">
        <f ca="1">IFERROR(__xludf.DUMMYFUNCTION("""COMPUTED_VALUE"""),-0.511070801011345)</f>
        <v>-0.51107080101134506</v>
      </c>
      <c r="Y91" s="3">
        <f ca="1">IFERROR(__xludf.DUMMYFUNCTION("""COMPUTED_VALUE"""),-0.412209325812354)</f>
        <v>-0.41220932581235398</v>
      </c>
      <c r="Z91" s="3">
        <f ca="1">IFERROR(__xludf.DUMMYFUNCTION("""COMPUTED_VALUE"""),-0.463421923449154)</f>
        <v>-0.46342192344915401</v>
      </c>
      <c r="AA91" s="3">
        <f ca="1">IFERROR(__xludf.DUMMYFUNCTION("""COMPUTED_VALUE"""),-0.544267984084495)</f>
        <v>-0.54426798408449495</v>
      </c>
      <c r="AB91" s="3">
        <f ca="1">IFERROR(__xludf.DUMMYFUNCTION("""COMPUTED_VALUE"""),-0.577871453936213)</f>
        <v>-0.57787145393621298</v>
      </c>
      <c r="AC91" s="3">
        <f ca="1">IFERROR(__xludf.DUMMYFUNCTION("""COMPUTED_VALUE"""),-0.565141616338931)</f>
        <v>-0.56514161633893101</v>
      </c>
      <c r="AD91" s="3">
        <f ca="1">IFERROR(__xludf.DUMMYFUNCTION("""COMPUTED_VALUE"""),-0.571888804901236)</f>
        <v>-0.57188880490123595</v>
      </c>
      <c r="AE91" s="3">
        <f ca="1">IFERROR(__xludf.DUMMYFUNCTION("""COMPUTED_VALUE"""),-0.54847883929457)</f>
        <v>-0.54847883929456998</v>
      </c>
      <c r="AF91" s="3">
        <f ca="1">IFERROR(__xludf.DUMMYFUNCTION("""COMPUTED_VALUE"""),-0.430462030198337)</f>
        <v>-0.43046203019833701</v>
      </c>
      <c r="AG91" s="3">
        <f ca="1">IFERROR(__xludf.DUMMYFUNCTION("""COMPUTED_VALUE"""),-0.480853987611236)</f>
        <v>-0.48085398761123599</v>
      </c>
      <c r="AH91" s="3">
        <f ca="1">IFERROR(__xludf.DUMMYFUNCTION("""COMPUTED_VALUE"""),-0.535000600684167)</f>
        <v>-0.53500060068416699</v>
      </c>
      <c r="AI91" s="3">
        <f ca="1">IFERROR(__xludf.DUMMYFUNCTION("""COMPUTED_VALUE"""),-0.545437875493851)</f>
        <v>-0.54543787549385103</v>
      </c>
      <c r="AJ91" s="3">
        <f ca="1">IFERROR(__xludf.DUMMYFUNCTION("""COMPUTED_VALUE"""),-0.554435725385723)</f>
        <v>-0.55443572538572305</v>
      </c>
      <c r="AK91" s="3">
        <f ca="1">IFERROR(__xludf.DUMMYFUNCTION("""COMPUTED_VALUE"""),-0.54978833806225)</f>
        <v>-0.54978833806225003</v>
      </c>
      <c r="AL91" s="3">
        <f ca="1">IFERROR(__xludf.DUMMYFUNCTION("""COMPUTED_VALUE"""),-0.516709362141247)</f>
        <v>-0.51670936214124696</v>
      </c>
      <c r="AM91" s="3">
        <f ca="1">IFERROR(__xludf.DUMMYFUNCTION("""COMPUTED_VALUE"""),-0.440747102277887)</f>
        <v>-0.44074710227788699</v>
      </c>
      <c r="AN91" s="3">
        <f ca="1">IFERROR(__xludf.DUMMYFUNCTION("""COMPUTED_VALUE"""),-0.490858688675177)</f>
        <v>-0.49085868867517701</v>
      </c>
      <c r="AO91" s="3">
        <f ca="1">IFERROR(__xludf.DUMMYFUNCTION("""COMPUTED_VALUE"""),-0.556725696599424)</f>
        <v>-0.55672569659942395</v>
      </c>
      <c r="AP91" s="3">
        <f ca="1">IFERROR(__xludf.DUMMYFUNCTION("""COMPUTED_VALUE"""),-0.56904010057527)</f>
        <v>-0.56904010057526999</v>
      </c>
      <c r="AQ91" s="3">
        <f ca="1">IFERROR(__xludf.DUMMYFUNCTION("""COMPUTED_VALUE"""),-0.557544346334278)</f>
        <v>-0.55754434633427796</v>
      </c>
      <c r="AR91" s="3">
        <f ca="1">IFERROR(__xludf.DUMMYFUNCTION("""COMPUTED_VALUE"""),-0.58212501726742)</f>
        <v>-0.58212501726742005</v>
      </c>
      <c r="AS91" s="3">
        <f ca="1">IFERROR(__xludf.DUMMYFUNCTION("""COMPUTED_VALUE"""),-0.517408836548923)</f>
        <v>-0.517408836548923</v>
      </c>
      <c r="AT91" s="3">
        <f ca="1">IFERROR(__xludf.DUMMYFUNCTION("""COMPUTED_VALUE"""),-0.422166824259261)</f>
        <v>-0.422166824259261</v>
      </c>
      <c r="AU91" s="3">
        <f ca="1">IFERROR(__xludf.DUMMYFUNCTION("""COMPUTED_VALUE"""),-0.486738725562944)</f>
        <v>-0.48673872556294401</v>
      </c>
      <c r="AV91" s="3">
        <f ca="1">IFERROR(__xludf.DUMMYFUNCTION("""COMPUTED_VALUE"""),-0.529115504667064)</f>
        <v>-0.52911550466706403</v>
      </c>
      <c r="AW91" s="3">
        <f ca="1">IFERROR(__xludf.DUMMYFUNCTION("""COMPUTED_VALUE"""),-0.530323575444557)</f>
        <v>-0.53032357544455699</v>
      </c>
      <c r="AX91" s="3">
        <f ca="1">IFERROR(__xludf.DUMMYFUNCTION("""COMPUTED_VALUE"""),-0.506827202385889)</f>
        <v>-0.50682720238588896</v>
      </c>
      <c r="AY91" s="3">
        <f ca="1">IFERROR(__xludf.DUMMYFUNCTION("""COMPUTED_VALUE"""),-0.550335819709178)</f>
        <v>-0.550335819709178</v>
      </c>
      <c r="AZ91" s="3">
        <f ca="1">IFERROR(__xludf.DUMMYFUNCTION("""COMPUTED_VALUE"""),-0.503052617846316)</f>
        <v>-0.50305261784631605</v>
      </c>
      <c r="BA91" s="3">
        <f ca="1">IFERROR(__xludf.DUMMYFUNCTION("""COMPUTED_VALUE"""),-0.413658644650913)</f>
        <v>-0.41365864465091301</v>
      </c>
      <c r="BB91" s="3">
        <f ca="1">IFERROR(__xludf.DUMMYFUNCTION("""COMPUTED_VALUE"""),-0.438217415521606)</f>
        <v>-0.43821741552160598</v>
      </c>
      <c r="BC91" s="3">
        <f ca="1">IFERROR(__xludf.DUMMYFUNCTION("""COMPUTED_VALUE"""),-0.505120418180148)</f>
        <v>-0.50512041818014797</v>
      </c>
      <c r="BD91" s="3">
        <f ca="1">IFERROR(__xludf.DUMMYFUNCTION("""COMPUTED_VALUE"""),-0.525094429938694)</f>
        <v>-0.52509442993869404</v>
      </c>
      <c r="BE91" s="3">
        <f ca="1">IFERROR(__xludf.DUMMYFUNCTION("""COMPUTED_VALUE"""),-0.531847484764972)</f>
        <v>-0.53184748476497201</v>
      </c>
      <c r="BF91" s="3">
        <f ca="1">IFERROR(__xludf.DUMMYFUNCTION("""COMPUTED_VALUE"""),-0.527107025073992)</f>
        <v>-0.52710702507399199</v>
      </c>
      <c r="BG91" s="3">
        <f ca="1">IFERROR(__xludf.DUMMYFUNCTION("""COMPUTED_VALUE"""),-0.489457879774833)</f>
        <v>-0.48945787977483302</v>
      </c>
      <c r="BH91" s="3">
        <f ca="1">IFERROR(__xludf.DUMMYFUNCTION("""COMPUTED_VALUE"""),-0.426051540116728)</f>
        <v>-0.42605154011672802</v>
      </c>
      <c r="BI91" s="3">
        <f ca="1">IFERROR(__xludf.DUMMYFUNCTION("""COMPUTED_VALUE"""),-0.494039101273697)</f>
        <v>-0.49403910127369699</v>
      </c>
      <c r="BJ91" s="3">
        <f ca="1">IFERROR(__xludf.DUMMYFUNCTION("""COMPUTED_VALUE"""),-0.559282105047159)</f>
        <v>-0.55928210504715903</v>
      </c>
      <c r="BK91" s="3">
        <f ca="1">IFERROR(__xludf.DUMMYFUNCTION("""COMPUTED_VALUE"""),-0.565100971720873)</f>
        <v>-0.56510097172087304</v>
      </c>
      <c r="BL91" s="3">
        <f ca="1">IFERROR(__xludf.DUMMYFUNCTION("""COMPUTED_VALUE"""),-0.563304817143236)</f>
        <v>-0.56330481714323599</v>
      </c>
      <c r="BM91" s="3">
        <f ca="1">IFERROR(__xludf.DUMMYFUNCTION("""COMPUTED_VALUE"""),-0.566351976842263)</f>
        <v>-0.56635197684226302</v>
      </c>
      <c r="BN91" s="3">
        <f ca="1">IFERROR(__xludf.DUMMYFUNCTION("""COMPUTED_VALUE"""),-0.5302054991698)</f>
        <v>-0.53020549916979998</v>
      </c>
      <c r="BO91" s="3">
        <f ca="1">IFERROR(__xludf.DUMMYFUNCTION("""COMPUTED_VALUE"""),-0.469244844934287)</f>
        <v>-0.46924484493428698</v>
      </c>
      <c r="BP91" s="3">
        <f ca="1">IFERROR(__xludf.DUMMYFUNCTION("""COMPUTED_VALUE"""),-0.443738309863246)</f>
        <v>-0.44373830986324603</v>
      </c>
      <c r="BQ91" s="3">
        <f ca="1">IFERROR(__xludf.DUMMYFUNCTION("""COMPUTED_VALUE"""),-0.560219714111957)</f>
        <v>-0.56021971411195703</v>
      </c>
      <c r="BR91" s="3">
        <f ca="1">IFERROR(__xludf.DUMMYFUNCTION("""COMPUTED_VALUE"""),-0.552303494167705)</f>
        <v>-0.55230349416770497</v>
      </c>
      <c r="BS91" s="3">
        <f ca="1">IFERROR(__xludf.DUMMYFUNCTION("""COMPUTED_VALUE"""),-0.549537276076059)</f>
        <v>-0.54953727607605896</v>
      </c>
      <c r="BT91" s="3">
        <f ca="1">IFERROR(__xludf.DUMMYFUNCTION("""COMPUTED_VALUE"""),-0.567977381927212)</f>
        <v>-0.56797738192721203</v>
      </c>
      <c r="BU91" s="3">
        <f ca="1">IFERROR(__xludf.DUMMYFUNCTION("""COMPUTED_VALUE"""),-0.557375578646064)</f>
        <v>-0.55737557864606402</v>
      </c>
      <c r="BV91" s="3">
        <f ca="1">IFERROR(__xludf.DUMMYFUNCTION("""COMPUTED_VALUE"""),-0.496267897609961)</f>
        <v>-0.49626789760996098</v>
      </c>
      <c r="BW91" s="3">
        <f ca="1">IFERROR(__xludf.DUMMYFUNCTION("""COMPUTED_VALUE"""),-0.535289850727308)</f>
        <v>-0.53528985072730795</v>
      </c>
      <c r="BX91" s="3">
        <f ca="1">IFERROR(__xludf.DUMMYFUNCTION("""COMPUTED_VALUE"""),-0.638042769138316)</f>
        <v>-0.63804276913831603</v>
      </c>
      <c r="BY91" s="3">
        <f ca="1">IFERROR(__xludf.DUMMYFUNCTION("""COMPUTED_VALUE"""),-0.614252283681804)</f>
        <v>-0.61425228368180396</v>
      </c>
      <c r="BZ91" s="3">
        <f ca="1">IFERROR(__xludf.DUMMYFUNCTION("""COMPUTED_VALUE"""),-0.613003100633165)</f>
        <v>-0.61300310063316499</v>
      </c>
      <c r="CA91" s="3">
        <f ca="1">IFERROR(__xludf.DUMMYFUNCTION("""COMPUTED_VALUE"""),-0.618399489067855)</f>
        <v>-0.61839948906785502</v>
      </c>
      <c r="CB91" s="3">
        <f ca="1">IFERROR(__xludf.DUMMYFUNCTION("""COMPUTED_VALUE"""),-0.552185314906839)</f>
        <v>-0.55218531490683898</v>
      </c>
      <c r="CC91" s="3">
        <f ca="1">IFERROR(__xludf.DUMMYFUNCTION("""COMPUTED_VALUE"""),-0.496189802124813)</f>
        <v>-0.49618980212481301</v>
      </c>
      <c r="CD91" s="3">
        <f ca="1">IFERROR(__xludf.DUMMYFUNCTION("""COMPUTED_VALUE"""),-0.488456560447374)</f>
        <v>-0.48845656044737401</v>
      </c>
      <c r="CE91" s="3">
        <f ca="1">IFERROR(__xludf.DUMMYFUNCTION("""COMPUTED_VALUE"""),-0.590258792951442)</f>
        <v>-0.59025879295144201</v>
      </c>
      <c r="CF91" s="3">
        <f ca="1">IFERROR(__xludf.DUMMYFUNCTION("""COMPUTED_VALUE"""),-0.61422790762376)</f>
        <v>-0.61422790762376001</v>
      </c>
      <c r="CG91" s="3">
        <f ca="1">IFERROR(__xludf.DUMMYFUNCTION("""COMPUTED_VALUE"""),-0.617711331647944)</f>
        <v>-0.61771133164794401</v>
      </c>
      <c r="CH91" s="3">
        <f ca="1">IFERROR(__xludf.DUMMYFUNCTION("""COMPUTED_VALUE"""),-0.604098116295218)</f>
        <v>-0.60409811629521803</v>
      </c>
      <c r="CI91" s="3">
        <f ca="1">IFERROR(__xludf.DUMMYFUNCTION("""COMPUTED_VALUE"""),-0.567660220674613)</f>
        <v>-0.56766022067461297</v>
      </c>
      <c r="CJ91" s="3">
        <f ca="1">IFERROR(__xludf.DUMMYFUNCTION("""COMPUTED_VALUE"""),-0.496094882760353)</f>
        <v>-0.49609488276035302</v>
      </c>
      <c r="CK91" s="3">
        <f ca="1">IFERROR(__xludf.DUMMYFUNCTION("""COMPUTED_VALUE"""),-0.505817431175419)</f>
        <v>-0.505817431175419</v>
      </c>
      <c r="CL91" s="3">
        <f ca="1">IFERROR(__xludf.DUMMYFUNCTION("""COMPUTED_VALUE"""),-0.594623310507548)</f>
        <v>-0.59462331050754802</v>
      </c>
      <c r="CM91" s="3">
        <f ca="1">IFERROR(__xludf.DUMMYFUNCTION("""COMPUTED_VALUE"""),-0.59310915776763)</f>
        <v>-0.59310915776762996</v>
      </c>
      <c r="CN91" s="3">
        <f ca="1">IFERROR(__xludf.DUMMYFUNCTION("""COMPUTED_VALUE"""),-0.597559361389975)</f>
        <v>-0.59755936138997501</v>
      </c>
      <c r="CO91" s="3">
        <f ca="1">IFERROR(__xludf.DUMMYFUNCTION("""COMPUTED_VALUE"""),-0.570483460409546)</f>
        <v>-0.57048346040954601</v>
      </c>
      <c r="CP91" s="3">
        <f ca="1">IFERROR(__xludf.DUMMYFUNCTION("""COMPUTED_VALUE"""),-0.572561953780256)</f>
        <v>-0.57256195378025598</v>
      </c>
      <c r="CQ91" s="3">
        <f ca="1">IFERROR(__xludf.DUMMYFUNCTION("""COMPUTED_VALUE"""),-0.50737189730913)</f>
        <v>-0.50737189730913002</v>
      </c>
      <c r="CR91" s="3">
        <f ca="1">IFERROR(__xludf.DUMMYFUNCTION("""COMPUTED_VALUE"""),-0.520901441127301)</f>
        <v>-0.52090144112730097</v>
      </c>
      <c r="CS91" s="3">
        <f ca="1">IFERROR(__xludf.DUMMYFUNCTION("""COMPUTED_VALUE"""),-0.589262015464454)</f>
        <v>-0.589262015464454</v>
      </c>
      <c r="CT91" s="3">
        <f ca="1">IFERROR(__xludf.DUMMYFUNCTION("""COMPUTED_VALUE"""),-0.587724863060216)</f>
        <v>-0.58772486306021599</v>
      </c>
      <c r="CU91" s="3">
        <f ca="1">IFERROR(__xludf.DUMMYFUNCTION("""COMPUTED_VALUE"""),-0.544326019676827)</f>
        <v>-0.54432601967682703</v>
      </c>
      <c r="CV91" s="3">
        <f ca="1">IFERROR(__xludf.DUMMYFUNCTION("""COMPUTED_VALUE"""),-0.578638718328461)</f>
        <v>-0.57863871832846103</v>
      </c>
      <c r="CW91" s="3">
        <f ca="1">IFERROR(__xludf.DUMMYFUNCTION("""COMPUTED_VALUE"""),-0.58099222651224)</f>
        <v>-0.58099222651224003</v>
      </c>
      <c r="CX91" s="3">
        <f ca="1">IFERROR(__xludf.DUMMYFUNCTION("""COMPUTED_VALUE"""),-0.569830942951791)</f>
        <v>-0.56983094295179104</v>
      </c>
      <c r="CY91" s="3">
        <f ca="1">IFERROR(__xludf.DUMMYFUNCTION("""COMPUTED_VALUE"""),-0.595171467447837)</f>
        <v>-0.595171467447837</v>
      </c>
      <c r="CZ91" s="3">
        <f ca="1">IFERROR(__xludf.DUMMYFUNCTION("""COMPUTED_VALUE"""),-0.682196767696861)</f>
        <v>-0.682196767696861</v>
      </c>
      <c r="DA91" s="3">
        <f ca="1">IFERROR(__xludf.DUMMYFUNCTION("""COMPUTED_VALUE"""),-0.5408808605531)</f>
        <v>-0.54088086055310003</v>
      </c>
      <c r="DB91" s="3">
        <f ca="1">IFERROR(__xludf.DUMMYFUNCTION("""COMPUTED_VALUE"""),-0.379172509829246)</f>
        <v>-0.379172509829246</v>
      </c>
      <c r="DC91" s="3">
        <f ca="1">IFERROR(__xludf.DUMMYFUNCTION("""COMPUTED_VALUE"""),-0.507240610511011)</f>
        <v>-0.50724061051101099</v>
      </c>
      <c r="DD91" s="3">
        <f ca="1">IFERROR(__xludf.DUMMYFUNCTION("""COMPUTED_VALUE"""),-0.512505911464861)</f>
        <v>-0.51250591146486102</v>
      </c>
      <c r="DE91" s="3">
        <f ca="1">IFERROR(__xludf.DUMMYFUNCTION("""COMPUTED_VALUE"""),-0.512924227213758)</f>
        <v>-0.51292422721375797</v>
      </c>
      <c r="DF91" s="3">
        <f ca="1">IFERROR(__xludf.DUMMYFUNCTION("""COMPUTED_VALUE"""),-0.571893381105026)</f>
        <v>-0.57189338110502597</v>
      </c>
      <c r="DG91" s="3">
        <f ca="1">IFERROR(__xludf.DUMMYFUNCTION("""COMPUTED_VALUE"""),-0.739748829291976)</f>
        <v>-0.73974882929197605</v>
      </c>
      <c r="DH91" s="3">
        <f ca="1">IFERROR(__xludf.DUMMYFUNCTION("""COMPUTED_VALUE"""),-0.528028542450308)</f>
        <v>-0.52802854245030795</v>
      </c>
      <c r="DI91" s="3">
        <f ca="1">IFERROR(__xludf.DUMMYFUNCTION("""COMPUTED_VALUE"""),-0.328850758122108)</f>
        <v>-0.32885075812210801</v>
      </c>
      <c r="DJ91" s="3">
        <f ca="1">IFERROR(__xludf.DUMMYFUNCTION("""COMPUTED_VALUE"""),-0.469030460673747)</f>
        <v>-0.46903046067374699</v>
      </c>
      <c r="DK91" s="3">
        <f ca="1">IFERROR(__xludf.DUMMYFUNCTION("""COMPUTED_VALUE"""),-0.495820206012923)</f>
        <v>-0.49582020601292298</v>
      </c>
      <c r="DL91" s="3">
        <f ca="1">IFERROR(__xludf.DUMMYFUNCTION("""COMPUTED_VALUE"""),-0.460732293779225)</f>
        <v>-0.46073229377922498</v>
      </c>
      <c r="DM91" s="3">
        <f ca="1">IFERROR(__xludf.DUMMYFUNCTION("""COMPUTED_VALUE"""),-0.455827484549347)</f>
        <v>-0.45582748454934702</v>
      </c>
      <c r="DN91" s="3">
        <f ca="1">IFERROR(__xludf.DUMMYFUNCTION("""COMPUTED_VALUE"""),-0.540310352194477)</f>
        <v>-0.54031035219447698</v>
      </c>
      <c r="DO91" s="3">
        <f ca="1">IFERROR(__xludf.DUMMYFUNCTION("""COMPUTED_VALUE"""),-0.554604277138548)</f>
        <v>-0.55460427713854799</v>
      </c>
      <c r="DP91" s="3">
        <f ca="1">IFERROR(__xludf.DUMMYFUNCTION("""COMPUTED_VALUE"""),-0.454298313646643)</f>
        <v>-0.45429831364664303</v>
      </c>
      <c r="DQ91" s="3">
        <f ca="1">IFERROR(__xludf.DUMMYFUNCTION("""COMPUTED_VALUE"""),-0.567886093135951)</f>
        <v>-0.56788609313595095</v>
      </c>
      <c r="DR91" s="3">
        <f ca="1">IFERROR(__xludf.DUMMYFUNCTION("""COMPUTED_VALUE"""),-0.604284961647311)</f>
        <v>-0.60428496164731105</v>
      </c>
      <c r="DS91" s="3">
        <f ca="1">IFERROR(__xludf.DUMMYFUNCTION("""COMPUTED_VALUE"""),-0.494562682326136)</f>
        <v>-0.49456268232613598</v>
      </c>
      <c r="DT91" s="3">
        <f ca="1">IFERROR(__xludf.DUMMYFUNCTION("""COMPUTED_VALUE"""),-0.527368661350495)</f>
        <v>-0.52736866135049498</v>
      </c>
      <c r="DU91" s="3">
        <f ca="1">IFERROR(__xludf.DUMMYFUNCTION("""COMPUTED_VALUE"""),-0.620132733040718)</f>
        <v>-0.62013273304071803</v>
      </c>
      <c r="DV91" s="3">
        <f ca="1">IFERROR(__xludf.DUMMYFUNCTION("""COMPUTED_VALUE"""),-0.629037804402095)</f>
        <v>-0.629037804402095</v>
      </c>
      <c r="DW91" s="3">
        <f ca="1">IFERROR(__xludf.DUMMYFUNCTION("""COMPUTED_VALUE"""),-0.641218480329908)</f>
        <v>-0.64121848032990802</v>
      </c>
      <c r="DX91" s="3">
        <f ca="1">IFERROR(__xludf.DUMMYFUNCTION("""COMPUTED_VALUE"""),-0.630969891640869)</f>
        <v>-0.63096989164086903</v>
      </c>
      <c r="DY91" s="3">
        <f ca="1">IFERROR(__xludf.DUMMYFUNCTION("""COMPUTED_VALUE"""),-0.605660367751403)</f>
        <v>-0.60566036775140297</v>
      </c>
      <c r="DZ91" s="3">
        <f ca="1">IFERROR(__xludf.DUMMYFUNCTION("""COMPUTED_VALUE"""),-0.480384611026196)</f>
        <v>-0.48038461102619601</v>
      </c>
      <c r="EA91" s="3">
        <f ca="1">IFERROR(__xludf.DUMMYFUNCTION("""COMPUTED_VALUE"""),-0.566898064195736)</f>
        <v>-0.56689806419573596</v>
      </c>
      <c r="EB91" s="3">
        <f ca="1">IFERROR(__xludf.DUMMYFUNCTION("""COMPUTED_VALUE"""),-0.586886944694159)</f>
        <v>-0.58688694469415903</v>
      </c>
      <c r="EC91" s="3">
        <f ca="1">IFERROR(__xludf.DUMMYFUNCTION("""COMPUTED_VALUE"""),-0.58406662264091)</f>
        <v>-0.58406662264091003</v>
      </c>
      <c r="ED91" s="3">
        <f ca="1">IFERROR(__xludf.DUMMYFUNCTION("""COMPUTED_VALUE"""),-0.636532690152721)</f>
        <v>-0.63653269015272096</v>
      </c>
      <c r="EE91" s="3">
        <f ca="1">IFERROR(__xludf.DUMMYFUNCTION("""COMPUTED_VALUE"""),-0.625396504145113)</f>
        <v>-0.62539650414511305</v>
      </c>
      <c r="EF91" s="3">
        <f ca="1">IFERROR(__xludf.DUMMYFUNCTION("""COMPUTED_VALUE"""),-0.642825483258088)</f>
        <v>-0.64282548325808797</v>
      </c>
      <c r="EG91" s="3">
        <f ca="1">IFERROR(__xludf.DUMMYFUNCTION("""COMPUTED_VALUE"""),-0.480274136770404)</f>
        <v>-0.48027413677040398</v>
      </c>
      <c r="EH91" s="3">
        <f ca="1">IFERROR(__xludf.DUMMYFUNCTION("""COMPUTED_VALUE"""),-0.553260137863694)</f>
        <v>-0.55326013786369399</v>
      </c>
      <c r="EI91" s="3">
        <f ca="1">IFERROR(__xludf.DUMMYFUNCTION("""COMPUTED_VALUE"""),-0.627370316957258)</f>
        <v>-0.62737031695725798</v>
      </c>
      <c r="EJ91" s="3">
        <f ca="1">IFERROR(__xludf.DUMMYFUNCTION("""COMPUTED_VALUE"""),-0.695320466874338)</f>
        <v>-0.69532046687433802</v>
      </c>
      <c r="EK91" s="3">
        <f ca="1">IFERROR(__xludf.DUMMYFUNCTION("""COMPUTED_VALUE"""),-0.620705573895086)</f>
        <v>-0.62070557389508596</v>
      </c>
      <c r="EL91" s="3">
        <f ca="1">IFERROR(__xludf.DUMMYFUNCTION("""COMPUTED_VALUE"""),-0.614933190267569)</f>
        <v>-0.61493319026756899</v>
      </c>
      <c r="EM91" s="3">
        <f ca="1">IFERROR(__xludf.DUMMYFUNCTION("""COMPUTED_VALUE"""),-0.592931174003857)</f>
        <v>-0.59293117400385698</v>
      </c>
      <c r="EN91" s="3">
        <f ca="1">IFERROR(__xludf.DUMMYFUNCTION("""COMPUTED_VALUE"""),-0.477465056731906)</f>
        <v>-0.47746505673190598</v>
      </c>
      <c r="EO91" s="3">
        <f ca="1">IFERROR(__xludf.DUMMYFUNCTION("""COMPUTED_VALUE"""),-0.508032504442761)</f>
        <v>-0.50803250444276105</v>
      </c>
      <c r="EP91" s="3">
        <f ca="1">IFERROR(__xludf.DUMMYFUNCTION("""COMPUTED_VALUE"""),-0.539581155801927)</f>
        <v>-0.539581155801927</v>
      </c>
      <c r="EQ91" s="3">
        <f ca="1">IFERROR(__xludf.DUMMYFUNCTION("""COMPUTED_VALUE"""),-0.562886889115787)</f>
        <v>-0.56288688911578699</v>
      </c>
      <c r="ER91" s="3">
        <f ca="1">IFERROR(__xludf.DUMMYFUNCTION("""COMPUTED_VALUE"""),-0.614567989638178)</f>
        <v>-0.61456798963817805</v>
      </c>
      <c r="ES91" s="3">
        <f ca="1">IFERROR(__xludf.DUMMYFUNCTION("""COMPUTED_VALUE"""),-0.606443489377387)</f>
        <v>-0.60644348937738701</v>
      </c>
      <c r="ET91" s="3">
        <f ca="1">IFERROR(__xludf.DUMMYFUNCTION("""COMPUTED_VALUE"""),-0.572494382092725)</f>
        <v>-0.57249438209272496</v>
      </c>
      <c r="EU91" s="3">
        <f ca="1">IFERROR(__xludf.DUMMYFUNCTION("""COMPUTED_VALUE"""),-0.504897831431319)</f>
        <v>-0.50489783143131906</v>
      </c>
      <c r="EV91" s="3">
        <f ca="1">IFERROR(__xludf.DUMMYFUNCTION("""COMPUTED_VALUE"""),-0.524845307035712)</f>
        <v>-0.52484530703571197</v>
      </c>
      <c r="EW91" s="3">
        <f ca="1">IFERROR(__xludf.DUMMYFUNCTION("""COMPUTED_VALUE"""),-0.612674952219131)</f>
        <v>-0.61267495221913104</v>
      </c>
      <c r="EX91" s="3">
        <f ca="1">IFERROR(__xludf.DUMMYFUNCTION("""COMPUTED_VALUE"""),-0.627635511759556)</f>
        <v>-0.62763551175955601</v>
      </c>
      <c r="EY91" s="3">
        <f ca="1">IFERROR(__xludf.DUMMYFUNCTION("""COMPUTED_VALUE"""),-0.639556677078049)</f>
        <v>-0.63955667707804897</v>
      </c>
      <c r="EZ91" s="3">
        <f ca="1">IFERROR(__xludf.DUMMYFUNCTION("""COMPUTED_VALUE"""),-0.558440929335747)</f>
        <v>-0.55844092933574696</v>
      </c>
      <c r="FA91" s="3">
        <f ca="1">IFERROR(__xludf.DUMMYFUNCTION("""COMPUTED_VALUE"""),-0.528634360567948)</f>
        <v>-0.52863436056794799</v>
      </c>
      <c r="FB91" s="3">
        <f ca="1">IFERROR(__xludf.DUMMYFUNCTION("""COMPUTED_VALUE"""),-0.45515036844361)</f>
        <v>-0.45515036844361001</v>
      </c>
      <c r="FC91" s="3">
        <f ca="1">IFERROR(__xludf.DUMMYFUNCTION("""COMPUTED_VALUE"""),-0.522748950362566)</f>
        <v>-0.52274895036256597</v>
      </c>
      <c r="FD91" s="3">
        <f ca="1">IFERROR(__xludf.DUMMYFUNCTION("""COMPUTED_VALUE"""),-0.579317117782134)</f>
        <v>-0.57931711778213402</v>
      </c>
      <c r="FE91" s="3">
        <f ca="1">IFERROR(__xludf.DUMMYFUNCTION("""COMPUTED_VALUE"""),-0.592382708386846)</f>
        <v>-0.59238270838684604</v>
      </c>
      <c r="FF91" s="3">
        <f ca="1">IFERROR(__xludf.DUMMYFUNCTION("""COMPUTED_VALUE"""),-0.610915524656156)</f>
        <v>-0.61091552465615595</v>
      </c>
      <c r="FG91" s="3">
        <f ca="1">IFERROR(__xludf.DUMMYFUNCTION("""COMPUTED_VALUE"""),-0.597891702932162)</f>
        <v>-0.59789170293216198</v>
      </c>
      <c r="FH91" s="3">
        <f ca="1">IFERROR(__xludf.DUMMYFUNCTION("""COMPUTED_VALUE"""),-0.546758663103705)</f>
        <v>-0.54675866310370502</v>
      </c>
      <c r="FI91" s="3">
        <f ca="1">IFERROR(__xludf.DUMMYFUNCTION("""COMPUTED_VALUE"""),-0.469594699612745)</f>
        <v>-0.46959469961274503</v>
      </c>
      <c r="FJ91" s="3">
        <f ca="1">IFERROR(__xludf.DUMMYFUNCTION("""COMPUTED_VALUE"""),-0.511074643949787)</f>
        <v>-0.51107464394978697</v>
      </c>
      <c r="FK91" s="3">
        <f ca="1">IFERROR(__xludf.DUMMYFUNCTION("""COMPUTED_VALUE"""),-0.620287964348144)</f>
        <v>-0.62028796434814404</v>
      </c>
      <c r="FL91" s="3">
        <f ca="1">IFERROR(__xludf.DUMMYFUNCTION("""COMPUTED_VALUE"""),-0.63924433353401)</f>
        <v>-0.63924433353401</v>
      </c>
      <c r="FM91" s="3">
        <f ca="1">IFERROR(__xludf.DUMMYFUNCTION("""COMPUTED_VALUE"""),-0.610904209365355)</f>
        <v>-0.61090420936535506</v>
      </c>
      <c r="FN91" s="3">
        <f ca="1">IFERROR(__xludf.DUMMYFUNCTION("""COMPUTED_VALUE"""),-0.579883731336601)</f>
        <v>-0.57988373133660098</v>
      </c>
      <c r="FO91" s="3">
        <f ca="1">IFERROR(__xludf.DUMMYFUNCTION("""COMPUTED_VALUE"""),-0.593544337407975)</f>
        <v>-0.59354433740797496</v>
      </c>
      <c r="FP91" s="3">
        <f ca="1">IFERROR(__xludf.DUMMYFUNCTION("""COMPUTED_VALUE"""),-0.461820187617311)</f>
        <v>-0.46182018761731097</v>
      </c>
      <c r="FQ91" s="3">
        <f ca="1">IFERROR(__xludf.DUMMYFUNCTION("""COMPUTED_VALUE"""),-0.528223349875302)</f>
        <v>-0.52822334987530195</v>
      </c>
      <c r="FR91" s="3">
        <f ca="1">IFERROR(__xludf.DUMMYFUNCTION("""COMPUTED_VALUE"""),-0.595182201806857)</f>
        <v>-0.59518220180685699</v>
      </c>
      <c r="FS91" s="3">
        <f ca="1">IFERROR(__xludf.DUMMYFUNCTION("""COMPUTED_VALUE"""),-0.596231168310577)</f>
        <v>-0.59623116831057699</v>
      </c>
      <c r="FT91" s="3">
        <f ca="1">IFERROR(__xludf.DUMMYFUNCTION("""COMPUTED_VALUE"""),-0.602115972594801)</f>
        <v>-0.60211597259480099</v>
      </c>
      <c r="FU91" s="3">
        <f ca="1">IFERROR(__xludf.DUMMYFUNCTION("""COMPUTED_VALUE"""),-0.582256454061939)</f>
        <v>-0.58225645406193904</v>
      </c>
      <c r="FV91" s="3">
        <f ca="1">IFERROR(__xludf.DUMMYFUNCTION("""COMPUTED_VALUE"""),-0.532751892460091)</f>
        <v>-0.53275189246009103</v>
      </c>
      <c r="FW91" s="3">
        <f ca="1">IFERROR(__xludf.DUMMYFUNCTION("""COMPUTED_VALUE"""),-0.453744447052406)</f>
        <v>-0.45374444705240602</v>
      </c>
      <c r="FX91" s="3">
        <f ca="1">IFERROR(__xludf.DUMMYFUNCTION("""COMPUTED_VALUE"""),-0.523472669087049)</f>
        <v>-0.52347266908704904</v>
      </c>
      <c r="FY91" s="3">
        <f ca="1">IFERROR(__xludf.DUMMYFUNCTION("""COMPUTED_VALUE"""),-0.629200429113535)</f>
        <v>-0.62920042911353502</v>
      </c>
      <c r="FZ91" s="3">
        <f ca="1">IFERROR(__xludf.DUMMYFUNCTION("""COMPUTED_VALUE"""),-0.582352928080506)</f>
        <v>-0.58235292808050598</v>
      </c>
      <c r="GA91" s="3">
        <f ca="1">IFERROR(__xludf.DUMMYFUNCTION("""COMPUTED_VALUE"""),-0.561653554552873)</f>
        <v>-0.56165355455287302</v>
      </c>
      <c r="GB91" s="3">
        <f ca="1">IFERROR(__xludf.DUMMYFUNCTION("""COMPUTED_VALUE"""),-0.607445370289795)</f>
        <v>-0.60744537028979495</v>
      </c>
      <c r="GC91" s="3">
        <f ca="1">IFERROR(__xludf.DUMMYFUNCTION("""COMPUTED_VALUE"""),-0.605413357727335)</f>
        <v>-0.60541335772733496</v>
      </c>
      <c r="GD91" s="3">
        <f ca="1">IFERROR(__xludf.DUMMYFUNCTION("""COMPUTED_VALUE"""),-0.46954386412913)</f>
        <v>-0.46954386412913002</v>
      </c>
      <c r="GE91" s="3">
        <f ca="1">IFERROR(__xludf.DUMMYFUNCTION("""COMPUTED_VALUE"""),-0.500943147713084)</f>
        <v>-0.50094314771308401</v>
      </c>
      <c r="GF91" s="3">
        <f ca="1">IFERROR(__xludf.DUMMYFUNCTION("""COMPUTED_VALUE"""),-0.578280445954205)</f>
        <v>-0.57828044595420502</v>
      </c>
      <c r="GG91" s="3">
        <f ca="1">IFERROR(__xludf.DUMMYFUNCTION("""COMPUTED_VALUE"""),-0.579071484811254)</f>
        <v>-0.57907148481125403</v>
      </c>
      <c r="GH91" s="3">
        <f ca="1">IFERROR(__xludf.DUMMYFUNCTION("""COMPUTED_VALUE"""),-0.560282090639614)</f>
        <v>-0.56028209063961398</v>
      </c>
      <c r="GI91" s="3">
        <f ca="1">IFERROR(__xludf.DUMMYFUNCTION("""COMPUTED_VALUE"""),-0.552805243750725)</f>
        <v>-0.55280524375072504</v>
      </c>
      <c r="GJ91" s="3">
        <f ca="1">IFERROR(__xludf.DUMMYFUNCTION("""COMPUTED_VALUE"""),-0.508350837808176)</f>
        <v>-0.50835083780817603</v>
      </c>
      <c r="GK91" s="3">
        <f ca="1">IFERROR(__xludf.DUMMYFUNCTION("""COMPUTED_VALUE"""),-0.49904401551225)</f>
        <v>-0.49904401551225003</v>
      </c>
      <c r="GL91" s="3">
        <f ca="1">IFERROR(__xludf.DUMMYFUNCTION("""COMPUTED_VALUE"""),-0.510440217780832)</f>
        <v>-0.51044021778083204</v>
      </c>
      <c r="GM91" s="3">
        <f ca="1">IFERROR(__xludf.DUMMYFUNCTION("""COMPUTED_VALUE"""),-0.586045665679484)</f>
        <v>-0.58604566567948402</v>
      </c>
      <c r="GN91" s="3">
        <f ca="1">IFERROR(__xludf.DUMMYFUNCTION("""COMPUTED_VALUE"""),-0.585415308961224)</f>
        <v>-0.58541530896122396</v>
      </c>
      <c r="GO91" s="3">
        <f ca="1">IFERROR(__xludf.DUMMYFUNCTION("""COMPUTED_VALUE"""),-0.571080381518486)</f>
        <v>-0.57108038151848595</v>
      </c>
      <c r="GP91" s="3">
        <f ca="1">IFERROR(__xludf.DUMMYFUNCTION("""COMPUTED_VALUE"""),-0.587652161171176)</f>
        <v>-0.58765216117117602</v>
      </c>
      <c r="GQ91" s="3">
        <f ca="1">IFERROR(__xludf.DUMMYFUNCTION("""COMPUTED_VALUE"""),-0.568659020015994)</f>
        <v>-0.568659020015994</v>
      </c>
      <c r="GR91" s="3">
        <f ca="1">IFERROR(__xludf.DUMMYFUNCTION("""COMPUTED_VALUE"""),-0.482645749844971)</f>
        <v>-0.48264574984497099</v>
      </c>
      <c r="GS91" s="3">
        <f ca="1">IFERROR(__xludf.DUMMYFUNCTION("""COMPUTED_VALUE"""),-0.519923050070797)</f>
        <v>-0.51992305007079698</v>
      </c>
      <c r="GT91" s="3">
        <f ca="1">IFERROR(__xludf.DUMMYFUNCTION("""COMPUTED_VALUE"""),-0.594919318540402)</f>
        <v>-0.59491931854040203</v>
      </c>
      <c r="GU91" s="3">
        <f ca="1">IFERROR(__xludf.DUMMYFUNCTION("""COMPUTED_VALUE"""),-0.609095918241593)</f>
        <v>-0.60909591824159304</v>
      </c>
      <c r="GV91" s="3">
        <f ca="1">IFERROR(__xludf.DUMMYFUNCTION("""COMPUTED_VALUE"""),-0.608937761177155)</f>
        <v>-0.60893776117715503</v>
      </c>
      <c r="GW91" s="3">
        <f ca="1">IFERROR(__xludf.DUMMYFUNCTION("""COMPUTED_VALUE"""),-0.581981435556918)</f>
        <v>-0.58198143555691795</v>
      </c>
      <c r="GX91" s="3">
        <f ca="1">IFERROR(__xludf.DUMMYFUNCTION("""COMPUTED_VALUE"""),-0.551527218542185)</f>
        <v>-0.551527218542185</v>
      </c>
      <c r="GY91" s="3">
        <f ca="1">IFERROR(__xludf.DUMMYFUNCTION("""COMPUTED_VALUE"""),-0.45021743293965)</f>
        <v>-0.45021743293965</v>
      </c>
      <c r="GZ91" s="3">
        <f ca="1">IFERROR(__xludf.DUMMYFUNCTION("""COMPUTED_VALUE"""),-0.498218230940968)</f>
        <v>-0.49821823094096801</v>
      </c>
      <c r="HA91" s="3">
        <f ca="1">IFERROR(__xludf.DUMMYFUNCTION("""COMPUTED_VALUE"""),-0.60242718163103)</f>
        <v>-0.60242718163103004</v>
      </c>
      <c r="HB91" s="3">
        <f ca="1">IFERROR(__xludf.DUMMYFUNCTION("""COMPUTED_VALUE"""),-0.625773948396119)</f>
        <v>-0.625773948396119</v>
      </c>
      <c r="HC91" s="3">
        <f ca="1">IFERROR(__xludf.DUMMYFUNCTION("""COMPUTED_VALUE"""),-0.629071916345304)</f>
        <v>-0.62907191634530402</v>
      </c>
      <c r="HD91" s="3">
        <f ca="1">IFERROR(__xludf.DUMMYFUNCTION("""COMPUTED_VALUE"""),-0.618411279653343)</f>
        <v>-0.61841127965334297</v>
      </c>
      <c r="HE91" s="3">
        <f ca="1">IFERROR(__xludf.DUMMYFUNCTION("""COMPUTED_VALUE"""),-0.604579464788046)</f>
        <v>-0.60457946478804603</v>
      </c>
      <c r="HF91" s="3">
        <f ca="1">IFERROR(__xludf.DUMMYFUNCTION("""COMPUTED_VALUE"""),-0.488013627114733)</f>
        <v>-0.48801362711473301</v>
      </c>
      <c r="HG91" s="3">
        <f ca="1">IFERROR(__xludf.DUMMYFUNCTION("""COMPUTED_VALUE"""),-0.490720763659434)</f>
        <v>-0.49072076365943401</v>
      </c>
      <c r="HH91" s="3">
        <f ca="1">IFERROR(__xludf.DUMMYFUNCTION("""COMPUTED_VALUE"""),-0.600781828528636)</f>
        <v>-0.60078182852863604</v>
      </c>
      <c r="HI91" s="3">
        <f ca="1">IFERROR(__xludf.DUMMYFUNCTION("""COMPUTED_VALUE"""),-0.635271081659146)</f>
        <v>-0.63527108165914603</v>
      </c>
      <c r="HJ91" s="3">
        <f ca="1">IFERROR(__xludf.DUMMYFUNCTION("""COMPUTED_VALUE"""),-0.61485528059452)</f>
        <v>-0.61485528059451999</v>
      </c>
      <c r="HK91" s="3">
        <f ca="1">IFERROR(__xludf.DUMMYFUNCTION("""COMPUTED_VALUE"""),-0.677932853521987)</f>
        <v>-0.67793285352198696</v>
      </c>
      <c r="HL91" s="3">
        <f ca="1">IFERROR(__xludf.DUMMYFUNCTION("""COMPUTED_VALUE"""),-0.68953865635296)</f>
        <v>-0.68953865635295997</v>
      </c>
      <c r="HM91" s="3">
        <f ca="1">IFERROR(__xludf.DUMMYFUNCTION("""COMPUTED_VALUE"""),-0.459175250427629)</f>
        <v>-0.45917525042762902</v>
      </c>
      <c r="HN91" s="3">
        <f ca="1">IFERROR(__xludf.DUMMYFUNCTION("""COMPUTED_VALUE"""),-0.487182713930448)</f>
        <v>-0.48718271393044799</v>
      </c>
      <c r="HO91" s="3">
        <f ca="1">IFERROR(__xludf.DUMMYFUNCTION("""COMPUTED_VALUE"""),-0.559267988060497)</f>
        <v>-0.55926798806049705</v>
      </c>
      <c r="HP91" s="3">
        <f ca="1">IFERROR(__xludf.DUMMYFUNCTION("""COMPUTED_VALUE"""),-0.59808643628476)</f>
        <v>-0.59808643628475999</v>
      </c>
      <c r="HQ91" s="3">
        <f ca="1">IFERROR(__xludf.DUMMYFUNCTION("""COMPUTED_VALUE"""),-0.599830895152964)</f>
        <v>-0.59983089515296395</v>
      </c>
      <c r="HR91" s="3">
        <f ca="1">IFERROR(__xludf.DUMMYFUNCTION("""COMPUTED_VALUE"""),-0.58006121477181)</f>
        <v>-0.58006121477181005</v>
      </c>
      <c r="HS91" s="3">
        <f ca="1">IFERROR(__xludf.DUMMYFUNCTION("""COMPUTED_VALUE"""),-0.496298339377772)</f>
        <v>-0.49629833937777201</v>
      </c>
      <c r="HT91" s="3">
        <f ca="1">IFERROR(__xludf.DUMMYFUNCTION("""COMPUTED_VALUE"""),-0.367972500510772)</f>
        <v>-0.36797250051077202</v>
      </c>
      <c r="HU91" s="3">
        <f ca="1">IFERROR(__xludf.DUMMYFUNCTION("""COMPUTED_VALUE"""),-0.471502236490292)</f>
        <v>-0.47150223649029199</v>
      </c>
      <c r="HV91" s="3">
        <f ca="1">IFERROR(__xludf.DUMMYFUNCTION("""COMPUTED_VALUE"""),-0.440139077161531)</f>
        <v>-0.440139077161531</v>
      </c>
      <c r="HW91" s="3">
        <f ca="1">IFERROR(__xludf.DUMMYFUNCTION("""COMPUTED_VALUE"""),-0.487464994305831)</f>
        <v>-0.48746499430583101</v>
      </c>
      <c r="HX91" s="3">
        <f ca="1">IFERROR(__xludf.DUMMYFUNCTION("""COMPUTED_VALUE"""),-0.465789970612013)</f>
        <v>-0.46578997061201299</v>
      </c>
      <c r="HY91" s="3">
        <f ca="1">IFERROR(__xludf.DUMMYFUNCTION("""COMPUTED_VALUE"""),-0.433978879575055)</f>
        <v>-0.43397887957505499</v>
      </c>
      <c r="HZ91" s="3">
        <f ca="1">IFERROR(__xludf.DUMMYFUNCTION("""COMPUTED_VALUE"""),-0.358329658091107)</f>
        <v>-0.35832965809110701</v>
      </c>
      <c r="IA91" s="3">
        <f ca="1">IFERROR(__xludf.DUMMYFUNCTION("""COMPUTED_VALUE"""),-0.384735603372713)</f>
        <v>-0.38473560337271301</v>
      </c>
      <c r="IB91" s="3">
        <f ca="1">IFERROR(__xludf.DUMMYFUNCTION("""COMPUTED_VALUE"""),-0.393695312496892)</f>
        <v>-0.39369531249689199</v>
      </c>
      <c r="IC91" s="3">
        <f ca="1">IFERROR(__xludf.DUMMYFUNCTION("""COMPUTED_VALUE"""),-0.397740190139017)</f>
        <v>-0.39774019013901701</v>
      </c>
      <c r="ID91" s="3">
        <f ca="1">IFERROR(__xludf.DUMMYFUNCTION("""COMPUTED_VALUE"""),-0.43195646776145)</f>
        <v>-0.43195646776145002</v>
      </c>
      <c r="IE91" s="3">
        <f ca="1">IFERROR(__xludf.DUMMYFUNCTION("""COMPUTED_VALUE"""),-0.458834430886563)</f>
        <v>-0.45883443088656301</v>
      </c>
      <c r="IF91" s="3">
        <f ca="1">IFERROR(__xludf.DUMMYFUNCTION("""COMPUTED_VALUE"""),-0.418449927149139)</f>
        <v>-0.41844992714913898</v>
      </c>
      <c r="IG91" s="3">
        <f ca="1">IFERROR(__xludf.DUMMYFUNCTION("""COMPUTED_VALUE"""),-0.423745436669569)</f>
        <v>-0.42374543666956899</v>
      </c>
      <c r="IH91" s="3">
        <f ca="1">IFERROR(__xludf.DUMMYFUNCTION("""COMPUTED_VALUE"""),-0.485285894412693)</f>
        <v>-0.48528589441269299</v>
      </c>
      <c r="II91" s="3">
        <f ca="1">IFERROR(__xludf.DUMMYFUNCTION("""COMPUTED_VALUE"""),-0.406448034229654)</f>
        <v>-0.40644803422965398</v>
      </c>
      <c r="IJ91" s="3">
        <f ca="1">IFERROR(__xludf.DUMMYFUNCTION("""COMPUTED_VALUE"""),-0.400126525800589)</f>
        <v>-0.40012652580058899</v>
      </c>
      <c r="IK91" s="3">
        <f ca="1">IFERROR(__xludf.DUMMYFUNCTION("""COMPUTED_VALUE"""),-0.488107517491581)</f>
        <v>-0.48810751749158099</v>
      </c>
      <c r="IL91" s="3">
        <f ca="1">IFERROR(__xludf.DUMMYFUNCTION("""COMPUTED_VALUE"""),-0.446634329605467)</f>
        <v>-0.44663432960546701</v>
      </c>
      <c r="IM91" s="3">
        <f ca="1">IFERROR(__xludf.DUMMYFUNCTION("""COMPUTED_VALUE"""),-0.42913286274311)</f>
        <v>-0.42913286274311002</v>
      </c>
      <c r="IN91" s="3">
        <f ca="1">IFERROR(__xludf.DUMMYFUNCTION("""COMPUTED_VALUE"""),-0.405138268079883)</f>
        <v>-0.40513826807988301</v>
      </c>
      <c r="IO91" s="3">
        <f ca="1">IFERROR(__xludf.DUMMYFUNCTION("""COMPUTED_VALUE"""),-0.409473572461645)</f>
        <v>-0.40947357246164501</v>
      </c>
      <c r="IP91" s="3">
        <f ca="1">IFERROR(__xludf.DUMMYFUNCTION("""COMPUTED_VALUE"""),-0.451832081234326)</f>
        <v>-0.451832081234326</v>
      </c>
      <c r="IQ91" s="3">
        <f ca="1">IFERROR(__xludf.DUMMYFUNCTION("""COMPUTED_VALUE"""),-0.452194948689692)</f>
        <v>-0.45219494868969201</v>
      </c>
      <c r="IR91" s="3">
        <f ca="1">IFERROR(__xludf.DUMMYFUNCTION("""COMPUTED_VALUE"""),-0.453161873761496)</f>
        <v>-0.45316187376149603</v>
      </c>
      <c r="IS91" s="3">
        <f ca="1">IFERROR(__xludf.DUMMYFUNCTION("""COMPUTED_VALUE"""),-0.385472720456415)</f>
        <v>-0.38547272045641501</v>
      </c>
      <c r="IT91" s="3">
        <f ca="1">IFERROR(__xludf.DUMMYFUNCTION("""COMPUTED_VALUE"""),-0.492149987697384)</f>
        <v>-0.49214998769738399</v>
      </c>
      <c r="IU91" s="3">
        <f ca="1">IFERROR(__xludf.DUMMYFUNCTION("""COMPUTED_VALUE"""),-0.440557832377629)</f>
        <v>-0.44055783237762902</v>
      </c>
      <c r="IV91" s="3">
        <f ca="1">IFERROR(__xludf.DUMMYFUNCTION("""COMPUTED_VALUE"""),-0.448736748555501)</f>
        <v>-0.448736748555501</v>
      </c>
      <c r="IW91" s="3">
        <f ca="1">IFERROR(__xludf.DUMMYFUNCTION("""COMPUTED_VALUE"""),-0.430689957047795)</f>
        <v>-0.430689957047795</v>
      </c>
      <c r="IX91" s="3">
        <f ca="1">IFERROR(__xludf.DUMMYFUNCTION("""COMPUTED_VALUE"""),-0.496354920432322)</f>
        <v>-0.49635492043232199</v>
      </c>
      <c r="IY91" s="3">
        <f ca="1">IFERROR(__xludf.DUMMYFUNCTION("""COMPUTED_VALUE"""),-0.492113185338698)</f>
        <v>-0.49211318533869802</v>
      </c>
      <c r="IZ91" s="3">
        <f ca="1">IFERROR(__xludf.DUMMYFUNCTION("""COMPUTED_VALUE"""),-0.484907561566396)</f>
        <v>-0.48490756156639597</v>
      </c>
      <c r="JA91" s="3">
        <f ca="1">IFERROR(__xludf.DUMMYFUNCTION("""COMPUTED_VALUE"""),-0.505742412246539)</f>
        <v>-0.50574241224653904</v>
      </c>
      <c r="JB91" s="3">
        <f ca="1">IFERROR(__xludf.DUMMYFUNCTION("""COMPUTED_VALUE"""),-0.480874578999486)</f>
        <v>-0.48087457899948599</v>
      </c>
      <c r="JC91" s="3">
        <f ca="1">IFERROR(__xludf.DUMMYFUNCTION("""COMPUTED_VALUE"""),-0.416571696497655)</f>
        <v>-0.41657169649765502</v>
      </c>
      <c r="JD91" s="3">
        <f ca="1">IFERROR(__xludf.DUMMYFUNCTION("""COMPUTED_VALUE"""),-0.43768440409314)</f>
        <v>-0.43768440409314002</v>
      </c>
      <c r="JE91" s="3">
        <f ca="1">IFERROR(__xludf.DUMMYFUNCTION("""COMPUTED_VALUE"""),-0.542482490555615)</f>
        <v>-0.54248249055561504</v>
      </c>
      <c r="JF91" s="3">
        <f ca="1">IFERROR(__xludf.DUMMYFUNCTION("""COMPUTED_VALUE"""),-0.533639138168142)</f>
        <v>-0.53363913816814201</v>
      </c>
      <c r="JG91" s="3">
        <f ca="1">IFERROR(__xludf.DUMMYFUNCTION("""COMPUTED_VALUE"""),-0.530434948524714)</f>
        <v>-0.53043494852471396</v>
      </c>
      <c r="JH91" s="3">
        <f ca="1">IFERROR(__xludf.DUMMYFUNCTION("""COMPUTED_VALUE"""),-0.522475958647152)</f>
        <v>-0.52247595864715202</v>
      </c>
      <c r="JI91" s="3">
        <f ca="1">IFERROR(__xludf.DUMMYFUNCTION("""COMPUTED_VALUE"""),-0.511941229044758)</f>
        <v>-0.51194122904475803</v>
      </c>
      <c r="JJ91" s="3">
        <f ca="1">IFERROR(__xludf.DUMMYFUNCTION("""COMPUTED_VALUE"""),-0.434098581884146)</f>
        <v>-0.43409858188414602</v>
      </c>
      <c r="JK91" s="3">
        <f ca="1">IFERROR(__xludf.DUMMYFUNCTION("""COMPUTED_VALUE"""),-0.481535872729408)</f>
        <v>-0.48153587272940801</v>
      </c>
      <c r="JL91" s="3">
        <f ca="1">IFERROR(__xludf.DUMMYFUNCTION("""COMPUTED_VALUE"""),-0.544606561960233)</f>
        <v>-0.54460656196023305</v>
      </c>
      <c r="JM91" s="3">
        <f ca="1">IFERROR(__xludf.DUMMYFUNCTION("""COMPUTED_VALUE"""),-0.537921933067214)</f>
        <v>-0.53792193306721403</v>
      </c>
      <c r="JN91" s="3">
        <f ca="1">IFERROR(__xludf.DUMMYFUNCTION("""COMPUTED_VALUE"""),-0.5467682486167)</f>
        <v>-0.54676824861670004</v>
      </c>
      <c r="JO91" s="3">
        <f ca="1">IFERROR(__xludf.DUMMYFUNCTION("""COMPUTED_VALUE"""),-0.533633726408896)</f>
        <v>-0.53363372640889595</v>
      </c>
      <c r="JP91" s="3">
        <f ca="1">IFERROR(__xludf.DUMMYFUNCTION("""COMPUTED_VALUE"""),-0.509781042397555)</f>
        <v>-0.50978104239755495</v>
      </c>
      <c r="JQ91" s="3">
        <f ca="1">IFERROR(__xludf.DUMMYFUNCTION("""COMPUTED_VALUE"""),-0.448573056329155)</f>
        <v>-0.44857305632915501</v>
      </c>
      <c r="JR91" s="3">
        <f ca="1">IFERROR(__xludf.DUMMYFUNCTION("""COMPUTED_VALUE"""),-0.540674141306937)</f>
        <v>-0.54067414130693703</v>
      </c>
      <c r="JS91" s="3">
        <f ca="1">IFERROR(__xludf.DUMMYFUNCTION("""COMPUTED_VALUE"""),-0.576213215177638)</f>
        <v>-0.57621321517763802</v>
      </c>
      <c r="JT91" s="3">
        <f ca="1">IFERROR(__xludf.DUMMYFUNCTION("""COMPUTED_VALUE"""),-0.473755078022073)</f>
        <v>-0.47375507802207301</v>
      </c>
      <c r="JU91" s="3">
        <f ca="1">IFERROR(__xludf.DUMMYFUNCTION("""COMPUTED_VALUE"""),-0.569418438750364)</f>
        <v>-0.56941843875036402</v>
      </c>
      <c r="JV91" s="3">
        <f ca="1">IFERROR(__xludf.DUMMYFUNCTION("""COMPUTED_VALUE"""),-0.573039824214429)</f>
        <v>-0.57303982421442901</v>
      </c>
      <c r="JW91" s="3">
        <f ca="1">IFERROR(__xludf.DUMMYFUNCTION("""COMPUTED_VALUE"""),-0.535574959822882)</f>
        <v>-0.53557495982288195</v>
      </c>
      <c r="JX91" s="3">
        <f ca="1">IFERROR(__xludf.DUMMYFUNCTION("""COMPUTED_VALUE"""),-0.491524998560211)</f>
        <v>-0.49152499856021098</v>
      </c>
      <c r="JY91" s="3">
        <f ca="1">IFERROR(__xludf.DUMMYFUNCTION("""COMPUTED_VALUE"""),-0.571331660098909)</f>
        <v>-0.57133166009890901</v>
      </c>
      <c r="JZ91" s="3">
        <f ca="1">IFERROR(__xludf.DUMMYFUNCTION("""COMPUTED_VALUE"""),-0.474855390885381)</f>
        <v>-0.47485539088538098</v>
      </c>
      <c r="KA91" s="3">
        <f ca="1">IFERROR(__xludf.DUMMYFUNCTION("""COMPUTED_VALUE"""),-0.49889706081812)</f>
        <v>-0.49889706081812002</v>
      </c>
      <c r="KB91" s="3">
        <f ca="1">IFERROR(__xludf.DUMMYFUNCTION("""COMPUTED_VALUE"""),-0.607094782146348)</f>
        <v>-0.60709478214634804</v>
      </c>
      <c r="KC91" s="3">
        <f ca="1">IFERROR(__xludf.DUMMYFUNCTION("""COMPUTED_VALUE"""),-0.573139351150462)</f>
        <v>-0.573139351150462</v>
      </c>
      <c r="KD91" s="3">
        <f ca="1">IFERROR(__xludf.DUMMYFUNCTION("""COMPUTED_VALUE"""),-0.536605484688117)</f>
        <v>-0.53660548468811697</v>
      </c>
      <c r="KE91" s="3">
        <f ca="1">IFERROR(__xludf.DUMMYFUNCTION("""COMPUTED_VALUE"""),-0.52624496504705)</f>
        <v>-0.52624496504704998</v>
      </c>
      <c r="KF91" s="3">
        <f ca="1">IFERROR(__xludf.DUMMYFUNCTION("""COMPUTED_VALUE"""),-0.549592053413949)</f>
        <v>-0.54959205341394901</v>
      </c>
      <c r="KG91" s="3">
        <f ca="1">IFERROR(__xludf.DUMMYFUNCTION("""COMPUTED_VALUE"""),-0.51162749842835)</f>
        <v>-0.51162749842834998</v>
      </c>
      <c r="KH91" s="3">
        <f ca="1">IFERROR(__xludf.DUMMYFUNCTION("""COMPUTED_VALUE"""),-0.527400978996147)</f>
        <v>-0.52740097899614702</v>
      </c>
      <c r="KI91" s="3">
        <f ca="1">IFERROR(__xludf.DUMMYFUNCTION("""COMPUTED_VALUE"""),-0.578556270331795)</f>
        <v>-0.57855627033179502</v>
      </c>
      <c r="KJ91" s="3">
        <f ca="1">IFERROR(__xludf.DUMMYFUNCTION("""COMPUTED_VALUE"""),-0.551430921679048)</f>
        <v>-0.55143092167904795</v>
      </c>
      <c r="KK91" s="3">
        <f ca="1">IFERROR(__xludf.DUMMYFUNCTION("""COMPUTED_VALUE"""),-0.557932221459789)</f>
        <v>-0.55793222145978905</v>
      </c>
      <c r="KL91" s="3">
        <f ca="1">IFERROR(__xludf.DUMMYFUNCTION("""COMPUTED_VALUE"""),-0.559802043834245)</f>
        <v>-0.55980204383424503</v>
      </c>
      <c r="KM91" s="3">
        <f ca="1">IFERROR(__xludf.DUMMYFUNCTION("""COMPUTED_VALUE"""),-0.597019104537725)</f>
        <v>-0.597019104537725</v>
      </c>
      <c r="KN91" s="3">
        <f ca="1">IFERROR(__xludf.DUMMYFUNCTION("""COMPUTED_VALUE"""),-0.61455849362996)</f>
        <v>-0.61455849362995996</v>
      </c>
      <c r="KO91" s="3">
        <f ca="1">IFERROR(__xludf.DUMMYFUNCTION("""COMPUTED_VALUE"""),-0.624862710562268)</f>
        <v>-0.62486271056226805</v>
      </c>
      <c r="KP91" s="3">
        <f ca="1">IFERROR(__xludf.DUMMYFUNCTION("""COMPUTED_VALUE"""),-0.6475444033458)</f>
        <v>-0.64754440334579999</v>
      </c>
      <c r="KQ91" s="3">
        <f ca="1">IFERROR(__xludf.DUMMYFUNCTION("""COMPUTED_VALUE"""),-0.612517768900954)</f>
        <v>-0.612517768900954</v>
      </c>
      <c r="KR91" s="3">
        <f ca="1">IFERROR(__xludf.DUMMYFUNCTION("""COMPUTED_VALUE"""),-0.597506361240788)</f>
        <v>-0.59750636124078804</v>
      </c>
      <c r="KS91" s="3">
        <f ca="1">IFERROR(__xludf.DUMMYFUNCTION("""COMPUTED_VALUE"""),-0.570322621315873)</f>
        <v>-0.57032262131587297</v>
      </c>
      <c r="KT91" s="3">
        <f ca="1">IFERROR(__xludf.DUMMYFUNCTION("""COMPUTED_VALUE"""),-0.605187444821728)</f>
        <v>-0.60518744482172804</v>
      </c>
      <c r="KU91" s="3">
        <f ca="1">IFERROR(__xludf.DUMMYFUNCTION("""COMPUTED_VALUE"""),-0.626569026080419)</f>
        <v>-0.62656902608041898</v>
      </c>
      <c r="KV91" s="3">
        <f ca="1">IFERROR(__xludf.DUMMYFUNCTION("""COMPUTED_VALUE"""),-0.653258319934739)</f>
        <v>-0.65325831993473904</v>
      </c>
      <c r="KW91" s="3">
        <f ca="1">IFERROR(__xludf.DUMMYFUNCTION("""COMPUTED_VALUE"""),-0.631303272049175)</f>
        <v>-0.63130327204917502</v>
      </c>
      <c r="KX91" s="3">
        <f ca="1">IFERROR(__xludf.DUMMYFUNCTION("""COMPUTED_VALUE"""),-0.604677473587635)</f>
        <v>-0.60467747358763502</v>
      </c>
      <c r="KY91" s="3">
        <f ca="1">IFERROR(__xludf.DUMMYFUNCTION("""COMPUTED_VALUE"""),-0.613820153911749)</f>
        <v>-0.61382015391174904</v>
      </c>
      <c r="KZ91" s="3">
        <f ca="1">IFERROR(__xludf.DUMMYFUNCTION("""COMPUTED_VALUE"""),-0.62340485536343)</f>
        <v>-0.62340485536343004</v>
      </c>
      <c r="LA91" s="3">
        <f ca="1">IFERROR(__xludf.DUMMYFUNCTION("""COMPUTED_VALUE"""),-0.661483147599165)</f>
        <v>-0.66148314759916504</v>
      </c>
      <c r="LB91" s="3">
        <f ca="1">IFERROR(__xludf.DUMMYFUNCTION("""COMPUTED_VALUE"""),-0.683660816213735)</f>
        <v>-0.68366081621373498</v>
      </c>
      <c r="LC91" s="3">
        <f ca="1">IFERROR(__xludf.DUMMYFUNCTION("""COMPUTED_VALUE"""),-0.643108401693207)</f>
        <v>-0.64310840169320704</v>
      </c>
      <c r="LD91" s="3">
        <f ca="1">IFERROR(__xludf.DUMMYFUNCTION("""COMPUTED_VALUE"""),-0.669685935006328)</f>
        <v>-0.669685935006328</v>
      </c>
      <c r="LE91" s="3">
        <f ca="1">IFERROR(__xludf.DUMMYFUNCTION("""COMPUTED_VALUE"""),-0.640669454723339)</f>
        <v>-0.64066945472333903</v>
      </c>
      <c r="LF91" s="3">
        <f ca="1">IFERROR(__xludf.DUMMYFUNCTION("""COMPUTED_VALUE"""),-0.621537182151155)</f>
        <v>-0.62153718215115505</v>
      </c>
      <c r="LG91" s="3">
        <f ca="1">IFERROR(__xludf.DUMMYFUNCTION("""COMPUTED_VALUE"""),-0.643653716860594)</f>
        <v>-0.64365371686059403</v>
      </c>
      <c r="LH91" s="3">
        <f ca="1">IFERROR(__xludf.DUMMYFUNCTION("""COMPUTED_VALUE"""),-0.667645942711873)</f>
        <v>-0.66764594271187305</v>
      </c>
      <c r="LI91" s="3">
        <f ca="1">IFERROR(__xludf.DUMMYFUNCTION("""COMPUTED_VALUE"""),-0.690208099780219)</f>
        <v>-0.69020809978021902</v>
      </c>
      <c r="LJ91" s="3">
        <f ca="1">IFERROR(__xludf.DUMMYFUNCTION("""COMPUTED_VALUE"""),-0.684155857083393)</f>
        <v>-0.68415585708339299</v>
      </c>
      <c r="LK91" s="3">
        <f ca="1">IFERROR(__xludf.DUMMYFUNCTION("""COMPUTED_VALUE"""),-0.676336813397099)</f>
        <v>-0.67633681339709895</v>
      </c>
      <c r="LL91" s="3">
        <f ca="1">IFERROR(__xludf.DUMMYFUNCTION("""COMPUTED_VALUE"""),-0.666623734924108)</f>
        <v>-0.66662373492410798</v>
      </c>
      <c r="LM91" s="3">
        <f ca="1">IFERROR(__xludf.DUMMYFUNCTION("""COMPUTED_VALUE"""),-0.700277271517025)</f>
        <v>-0.70027727151702501</v>
      </c>
      <c r="LN91" s="3">
        <f ca="1">IFERROR(__xludf.DUMMYFUNCTION("""COMPUTED_VALUE"""),-0.695169978290032)</f>
        <v>-0.69516997829003202</v>
      </c>
      <c r="LO91" s="3">
        <f ca="1">IFERROR(__xludf.DUMMYFUNCTION("""COMPUTED_VALUE"""),-0.741026077481352)</f>
        <v>-0.74102607748135196</v>
      </c>
      <c r="LP91" s="3">
        <f ca="1">IFERROR(__xludf.DUMMYFUNCTION("""COMPUTED_VALUE"""),-0.705179762570321)</f>
        <v>-0.705179762570321</v>
      </c>
      <c r="LQ91" s="3">
        <f ca="1">IFERROR(__xludf.DUMMYFUNCTION("""COMPUTED_VALUE"""),-0.702393740976301)</f>
        <v>-0.70239374097630103</v>
      </c>
      <c r="LR91" s="3">
        <f ca="1">IFERROR(__xludf.DUMMYFUNCTION("""COMPUTED_VALUE"""),-0.712975710747778)</f>
        <v>-0.71297571074777799</v>
      </c>
      <c r="LS91" s="3">
        <f ca="1">IFERROR(__xludf.DUMMYFUNCTION("""COMPUTED_VALUE"""),-0.703579379586122)</f>
        <v>-0.70357937958612204</v>
      </c>
      <c r="LT91" s="3">
        <f ca="1">IFERROR(__xludf.DUMMYFUNCTION("""COMPUTED_VALUE"""),-0.683465571464103)</f>
        <v>-0.68346557146410303</v>
      </c>
      <c r="LU91" s="3">
        <f ca="1">IFERROR(__xludf.DUMMYFUNCTION("""COMPUTED_VALUE"""),-0.689953235195112)</f>
        <v>-0.68995323519511198</v>
      </c>
      <c r="LV91" s="3">
        <f ca="1">IFERROR(__xludf.DUMMYFUNCTION("""COMPUTED_VALUE"""),-0.718790419461178)</f>
        <v>-0.71879041946117805</v>
      </c>
      <c r="LW91" s="3">
        <f ca="1">IFERROR(__xludf.DUMMYFUNCTION("""COMPUTED_VALUE"""),-0.71600583924881)</f>
        <v>-0.71600583924881001</v>
      </c>
      <c r="LX91" s="3">
        <f ca="1">IFERROR(__xludf.DUMMYFUNCTION("""COMPUTED_VALUE"""),-0.724642415135867)</f>
        <v>-0.72464241513586702</v>
      </c>
      <c r="LY91" s="3">
        <f ca="1">IFERROR(__xludf.DUMMYFUNCTION("""COMPUTED_VALUE"""),-0.727162192491049)</f>
        <v>-0.72716219249104896</v>
      </c>
      <c r="LZ91" s="3">
        <f ca="1">IFERROR(__xludf.DUMMYFUNCTION("""COMPUTED_VALUE"""),-0.731605430747871)</f>
        <v>-0.73160543074787099</v>
      </c>
      <c r="MA91" s="3">
        <f ca="1">IFERROR(__xludf.DUMMYFUNCTION("""COMPUTED_VALUE"""),-0.723853775600381)</f>
        <v>-0.723853775600381</v>
      </c>
      <c r="MB91" s="3">
        <f ca="1">IFERROR(__xludf.DUMMYFUNCTION("""COMPUTED_VALUE"""),-0.698187056081363)</f>
        <v>-0.698187056081363</v>
      </c>
      <c r="MC91" s="3">
        <f ca="1">IFERROR(__xludf.DUMMYFUNCTION("""COMPUTED_VALUE"""),-0.755651395430805)</f>
        <v>-0.75565139543080495</v>
      </c>
      <c r="MD91" s="3">
        <f ca="1">IFERROR(__xludf.DUMMYFUNCTION("""COMPUTED_VALUE"""),-0.742425446591864)</f>
        <v>-0.74242544659186405</v>
      </c>
      <c r="ME91" s="3">
        <f ca="1">IFERROR(__xludf.DUMMYFUNCTION("""COMPUTED_VALUE"""),-0.733805393357226)</f>
        <v>-0.73380539335722605</v>
      </c>
      <c r="MF91" s="3">
        <f ca="1">IFERROR(__xludf.DUMMYFUNCTION("""COMPUTED_VALUE"""),-0.738498476913305)</f>
        <v>-0.73849847691330495</v>
      </c>
      <c r="MG91" s="3">
        <f ca="1">IFERROR(__xludf.DUMMYFUNCTION("""COMPUTED_VALUE"""),-0.730728400886206)</f>
        <v>-0.73072840088620605</v>
      </c>
      <c r="MH91" s="3">
        <f ca="1">IFERROR(__xludf.DUMMYFUNCTION("""COMPUTED_VALUE"""),-0.717780680858745)</f>
        <v>-0.71778068085874502</v>
      </c>
      <c r="MI91" s="3">
        <f ca="1">IFERROR(__xludf.DUMMYFUNCTION("""COMPUTED_VALUE"""),-0.682416336398963)</f>
        <v>-0.68241633639896304</v>
      </c>
      <c r="MJ91" s="3">
        <f ca="1">IFERROR(__xludf.DUMMYFUNCTION("""COMPUTED_VALUE"""),-0.738150061220801)</f>
        <v>-0.73815006122080096</v>
      </c>
      <c r="MK91" s="3">
        <f ca="1">IFERROR(__xludf.DUMMYFUNCTION("""COMPUTED_VALUE"""),-0.733533863141186)</f>
        <v>-0.73353386314118596</v>
      </c>
      <c r="ML91" s="3">
        <f ca="1">IFERROR(__xludf.DUMMYFUNCTION("""COMPUTED_VALUE"""),-0.755334204624649)</f>
        <v>-0.75533420462464895</v>
      </c>
      <c r="MM91" s="3">
        <f ca="1">IFERROR(__xludf.DUMMYFUNCTION("""COMPUTED_VALUE"""),-0.741196693122314)</f>
        <v>-0.74119669312231395</v>
      </c>
      <c r="MN91" s="3">
        <f ca="1">IFERROR(__xludf.DUMMYFUNCTION("""COMPUTED_VALUE"""),-0.738978573229218)</f>
        <v>-0.73897857322921801</v>
      </c>
      <c r="MO91" s="3">
        <f ca="1">IFERROR(__xludf.DUMMYFUNCTION("""COMPUTED_VALUE"""),-0.733167785315611)</f>
        <v>-0.733167785315611</v>
      </c>
      <c r="MP91" s="3">
        <f ca="1">IFERROR(__xludf.DUMMYFUNCTION("""COMPUTED_VALUE"""),-0.740465154008184)</f>
        <v>-0.74046515400818402</v>
      </c>
      <c r="MQ91" s="3">
        <f ca="1">IFERROR(__xludf.DUMMYFUNCTION("""COMPUTED_VALUE"""),-0.746184474778457)</f>
        <v>-0.74618447477845695</v>
      </c>
      <c r="MR91" s="3">
        <f ca="1">IFERROR(__xludf.DUMMYFUNCTION("""COMPUTED_VALUE"""),-0.75062959071829)</f>
        <v>-0.75062959071829005</v>
      </c>
      <c r="MS91" s="3">
        <f ca="1">IFERROR(__xludf.DUMMYFUNCTION("""COMPUTED_VALUE"""),-0.752799675986476)</f>
        <v>-0.75279967598647601</v>
      </c>
      <c r="MT91" s="3">
        <f ca="1">IFERROR(__xludf.DUMMYFUNCTION("""COMPUTED_VALUE"""),-0.752195043057934)</f>
        <v>-0.75219504305793405</v>
      </c>
      <c r="MU91" s="3">
        <f ca="1">IFERROR(__xludf.DUMMYFUNCTION("""COMPUTED_VALUE"""),-0.75855722675722)</f>
        <v>-0.75855722675722004</v>
      </c>
      <c r="MV91" s="3">
        <f ca="1">IFERROR(__xludf.DUMMYFUNCTION("""COMPUTED_VALUE"""),-0.736954675206589)</f>
        <v>-0.73695467520658897</v>
      </c>
      <c r="MW91" s="3">
        <f ca="1">IFERROR(__xludf.DUMMYFUNCTION("""COMPUTED_VALUE"""),-0.737524110308999)</f>
        <v>-0.737524110308999</v>
      </c>
      <c r="MX91" s="3">
        <f ca="1">IFERROR(__xludf.DUMMYFUNCTION("""COMPUTED_VALUE"""),-0.768202218339829)</f>
        <v>-0.76820221833982905</v>
      </c>
      <c r="MY91" s="3">
        <f ca="1">IFERROR(__xludf.DUMMYFUNCTION("""COMPUTED_VALUE"""),-0.73112614947229)</f>
        <v>-0.73112614947229004</v>
      </c>
      <c r="MZ91" s="3">
        <f ca="1">IFERROR(__xludf.DUMMYFUNCTION("""COMPUTED_VALUE"""),-0.742390629031749)</f>
        <v>-0.74239062903174902</v>
      </c>
      <c r="NA91" s="3">
        <f ca="1">IFERROR(__xludf.DUMMYFUNCTION("""COMPUTED_VALUE"""),-0.755712100127944)</f>
        <v>-0.75571210012794399</v>
      </c>
      <c r="NB91" s="3">
        <f ca="1">IFERROR(__xludf.DUMMYFUNCTION("""COMPUTED_VALUE"""),-0.746039266687457)</f>
        <v>-0.74603926668745701</v>
      </c>
      <c r="NC91" s="3">
        <f ca="1">IFERROR(__xludf.DUMMYFUNCTION("""COMPUTED_VALUE"""),-0.756471157768658)</f>
        <v>-0.75647115776865803</v>
      </c>
      <c r="ND91" s="3">
        <f ca="1">IFERROR(__xludf.DUMMYFUNCTION("""COMPUTED_VALUE"""),-0.723859800120347)</f>
        <v>-0.72385980012034701</v>
      </c>
      <c r="NE91" s="3">
        <f ca="1">IFERROR(__xludf.DUMMYFUNCTION("""COMPUTED_VALUE"""),-0.742376934546042)</f>
        <v>-0.74237693454604203</v>
      </c>
      <c r="NF91" s="3">
        <f ca="1">IFERROR(__xludf.DUMMYFUNCTION("""COMPUTED_VALUE"""),-0.741648565685801)</f>
        <v>-0.74164856568580095</v>
      </c>
      <c r="NG91" s="3">
        <f ca="1">IFERROR(__xludf.DUMMYFUNCTION("""COMPUTED_VALUE"""),-0.747523765546616)</f>
        <v>-0.74752376554661604</v>
      </c>
      <c r="NH91" s="3">
        <f ca="1">IFERROR(__xludf.DUMMYFUNCTION("""COMPUTED_VALUE"""),-0.757456057660106)</f>
        <v>-0.75745605766010604</v>
      </c>
      <c r="NI91" s="3">
        <f ca="1">IFERROR(__xludf.DUMMYFUNCTION("""COMPUTED_VALUE"""),-0.756877721500876)</f>
        <v>-0.75687772150087596</v>
      </c>
      <c r="NJ91" s="3">
        <f ca="1">IFERROR(__xludf.DUMMYFUNCTION("""COMPUTED_VALUE"""),-0.732666036293684)</f>
        <v>-0.73266603629368399</v>
      </c>
      <c r="NK91" s="3">
        <f ca="1">IFERROR(__xludf.DUMMYFUNCTION("""COMPUTED_VALUE"""),-0.715295147258288)</f>
        <v>-0.71529514725828802</v>
      </c>
      <c r="NL91" s="3">
        <f ca="1">IFERROR(__xludf.DUMMYFUNCTION("""COMPUTED_VALUE"""),-0.756390213746352)</f>
        <v>-0.75639021374635196</v>
      </c>
      <c r="NM91" s="3">
        <f ca="1">IFERROR(__xludf.DUMMYFUNCTION("""COMPUTED_VALUE"""),-0.743580056629658)</f>
        <v>-0.74358005662965798</v>
      </c>
      <c r="NN91" s="3">
        <f ca="1">IFERROR(__xludf.DUMMYFUNCTION("""COMPUTED_VALUE"""),-0.744482611031742)</f>
        <v>-0.74448261103174196</v>
      </c>
      <c r="NO91" s="3">
        <f ca="1">IFERROR(__xludf.DUMMYFUNCTION("""COMPUTED_VALUE"""),-0.715628435043242)</f>
        <v>-0.71562843504324203</v>
      </c>
      <c r="NP91" s="3">
        <f ca="1">IFERROR(__xludf.DUMMYFUNCTION("""COMPUTED_VALUE"""),-0.737544986518668)</f>
        <v>-0.73754498651866796</v>
      </c>
      <c r="NQ91" s="3">
        <f ca="1">IFERROR(__xludf.DUMMYFUNCTION("""COMPUTED_VALUE"""),-0.719225578085426)</f>
        <v>-0.71922557808542598</v>
      </c>
      <c r="NR91" s="3">
        <f ca="1">IFERROR(__xludf.DUMMYFUNCTION("""COMPUTED_VALUE"""),-0.696050025520936)</f>
        <v>-0.69605002552093598</v>
      </c>
      <c r="NS91" s="3">
        <f ca="1">IFERROR(__xludf.DUMMYFUNCTION("""COMPUTED_VALUE"""),-0.739773783234964)</f>
        <v>-0.73977378323496401</v>
      </c>
      <c r="NT91" s="3">
        <f ca="1">IFERROR(__xludf.DUMMYFUNCTION("""COMPUTED_VALUE"""),-0.721048170989648)</f>
        <v>-0.72104817098964802</v>
      </c>
      <c r="NU91" s="3">
        <f ca="1">IFERROR(__xludf.DUMMYFUNCTION("""COMPUTED_VALUE"""),-0.738901024639961)</f>
        <v>-0.73890102463996099</v>
      </c>
      <c r="NV91" s="3">
        <f ca="1">IFERROR(__xludf.DUMMYFUNCTION("""COMPUTED_VALUE"""),-0.743248524966824)</f>
        <v>-0.74324852496682403</v>
      </c>
      <c r="NW91" s="3">
        <f ca="1">IFERROR(__xludf.DUMMYFUNCTION("""COMPUTED_VALUE"""),-0.698795680375375)</f>
        <v>-0.69879568037537498</v>
      </c>
      <c r="NX91" s="3">
        <f ca="1">IFERROR(__xludf.DUMMYFUNCTION("""COMPUTED_VALUE"""),-0.725511311052445)</f>
        <v>-0.72551131105244504</v>
      </c>
      <c r="NY91" s="3">
        <f ca="1">IFERROR(__xludf.DUMMYFUNCTION("""COMPUTED_VALUE"""),-0.618827063996021)</f>
        <v>-0.61882706399602105</v>
      </c>
      <c r="NZ91" s="3">
        <f ca="1">IFERROR(__xludf.DUMMYFUNCTION("""COMPUTED_VALUE"""),-0.643084562538639)</f>
        <v>-0.64308456253863899</v>
      </c>
      <c r="OA91" s="3">
        <f ca="1">IFERROR(__xludf.DUMMYFUNCTION("""COMPUTED_VALUE"""),-0.649249543175517)</f>
        <v>-0.64924954317551697</v>
      </c>
      <c r="OB91" s="3">
        <f ca="1">IFERROR(__xludf.DUMMYFUNCTION("""COMPUTED_VALUE"""),-0.618516366219393)</f>
        <v>-0.61851636621939299</v>
      </c>
      <c r="OC91" s="3">
        <f ca="1">IFERROR(__xludf.DUMMYFUNCTION("""COMPUTED_VALUE"""),-0.593083361421286)</f>
        <v>-0.59308336142128604</v>
      </c>
      <c r="OD91" s="3">
        <f ca="1">IFERROR(__xludf.DUMMYFUNCTION("""COMPUTED_VALUE"""),-0.577875881799617)</f>
        <v>-0.57787588179961702</v>
      </c>
      <c r="OE91" s="3">
        <f ca="1">IFERROR(__xludf.DUMMYFUNCTION("""COMPUTED_VALUE"""),-0.488396446878839)</f>
        <v>-0.48839644687883899</v>
      </c>
      <c r="OF91" s="3">
        <f ca="1">IFERROR(__xludf.DUMMYFUNCTION("""COMPUTED_VALUE"""),-0.302986863009717)</f>
        <v>-0.302986863009717</v>
      </c>
      <c r="OG91" s="3">
        <f ca="1">IFERROR(__xludf.DUMMYFUNCTION("""COMPUTED_VALUE"""),-0.319981154983287)</f>
        <v>-0.319981154983287</v>
      </c>
      <c r="OH91" s="3">
        <f ca="1">IFERROR(__xludf.DUMMYFUNCTION("""COMPUTED_VALUE"""),-0.26294516787183)</f>
        <v>-0.26294516787182998</v>
      </c>
      <c r="OI91" s="3">
        <f ca="1">IFERROR(__xludf.DUMMYFUNCTION("""COMPUTED_VALUE"""),-0.199594299269221)</f>
        <v>-0.19959429926922101</v>
      </c>
      <c r="OJ91" s="3">
        <f ca="1">IFERROR(__xludf.DUMMYFUNCTION("""COMPUTED_VALUE"""),-0.115521420036572)</f>
        <v>-0.115521420036572</v>
      </c>
      <c r="OK91" s="3">
        <f ca="1">IFERROR(__xludf.DUMMYFUNCTION("""COMPUTED_VALUE"""),-0.0863663975476481)</f>
        <v>-8.6366397547648105E-2</v>
      </c>
      <c r="OL91" s="3">
        <f ca="1">IFERROR(__xludf.DUMMYFUNCTION("""COMPUTED_VALUE"""),0.0673264409644365)</f>
        <v>6.7326440964436504E-2</v>
      </c>
      <c r="OM91" s="3">
        <f ca="1">IFERROR(__xludf.DUMMYFUNCTION("""COMPUTED_VALUE"""),-0.0358922975359288)</f>
        <v>-3.5892297535928798E-2</v>
      </c>
      <c r="ON91" s="3">
        <f ca="1">IFERROR(__xludf.DUMMYFUNCTION("""COMPUTED_VALUE"""),-0.00633808727290063)</f>
        <v>-6.3380872729006301E-3</v>
      </c>
      <c r="OO91" s="3">
        <f ca="1">IFERROR(__xludf.DUMMYFUNCTION("""COMPUTED_VALUE"""),-0.0122203398842909)</f>
        <v>-1.2220339884290899E-2</v>
      </c>
      <c r="OP91" s="3">
        <f ca="1">IFERROR(__xludf.DUMMYFUNCTION("""COMPUTED_VALUE"""),-0.0208706955441299)</f>
        <v>-2.0870695544129899E-2</v>
      </c>
      <c r="OQ91" s="3">
        <f ca="1">IFERROR(__xludf.DUMMYFUNCTION("""COMPUTED_VALUE"""),-0.00618061164978811)</f>
        <v>-6.1806116497881104E-3</v>
      </c>
      <c r="OR91" s="3">
        <f ca="1">IFERROR(__xludf.DUMMYFUNCTION("""COMPUTED_VALUE"""),-0.013577469792811)</f>
        <v>-1.3577469792810999E-2</v>
      </c>
      <c r="OS91" s="3">
        <f ca="1">IFERROR(__xludf.DUMMYFUNCTION("""COMPUTED_VALUE"""),0.0592330607474917)</f>
        <v>5.9233060747491698E-2</v>
      </c>
      <c r="OT91" s="3">
        <f ca="1">IFERROR(__xludf.DUMMYFUNCTION("""COMPUTED_VALUE"""),0.00921807228019044)</f>
        <v>9.2180722801904393E-3</v>
      </c>
      <c r="OU91" s="3">
        <f ca="1">IFERROR(__xludf.DUMMYFUNCTION("""COMPUTED_VALUE"""),-0.00186167827690686)</f>
        <v>-1.8616782769068599E-3</v>
      </c>
      <c r="OV91" s="3">
        <f ca="1">IFERROR(__xludf.DUMMYFUNCTION("""COMPUTED_VALUE"""),0.0385833462573237)</f>
        <v>3.8583346257323702E-2</v>
      </c>
      <c r="OW91" s="3">
        <f ca="1">IFERROR(__xludf.DUMMYFUNCTION("""COMPUTED_VALUE"""),0.0447313779219009)</f>
        <v>4.4731377921900899E-2</v>
      </c>
      <c r="OX91" s="3">
        <f ca="1">IFERROR(__xludf.DUMMYFUNCTION("""COMPUTED_VALUE"""),0.056756937136962)</f>
        <v>5.6756937136961998E-2</v>
      </c>
      <c r="OY91" s="3">
        <f ca="1">IFERROR(__xludf.DUMMYFUNCTION("""COMPUTED_VALUE"""),0.0317619736972405)</f>
        <v>3.17619736972405E-2</v>
      </c>
      <c r="OZ91" s="3">
        <f ca="1">IFERROR(__xludf.DUMMYFUNCTION("""COMPUTED_VALUE"""),0.123077141172973)</f>
        <v>0.123077141172973</v>
      </c>
      <c r="PA91" s="3">
        <f ca="1">IFERROR(__xludf.DUMMYFUNCTION("""COMPUTED_VALUE"""),-0.0153923758279335)</f>
        <v>-1.5392375827933499E-2</v>
      </c>
      <c r="PB91" s="3">
        <f ca="1">IFERROR(__xludf.DUMMYFUNCTION("""COMPUTED_VALUE"""),-0.0256902905482251)</f>
        <v>-2.5690290548225098E-2</v>
      </c>
      <c r="PC91" s="3">
        <f ca="1">IFERROR(__xludf.DUMMYFUNCTION("""COMPUTED_VALUE"""),-0.100173307076883)</f>
        <v>-0.100173307076883</v>
      </c>
      <c r="PD91" s="3">
        <f ca="1">IFERROR(__xludf.DUMMYFUNCTION("""COMPUTED_VALUE"""),-0.0648331257902079)</f>
        <v>-6.4833125790207904E-2</v>
      </c>
      <c r="PE91" s="3">
        <f ca="1">IFERROR(__xludf.DUMMYFUNCTION("""COMPUTED_VALUE"""),-0.0304019864875527)</f>
        <v>-3.0401986487552699E-2</v>
      </c>
      <c r="PF91" s="3">
        <f ca="1">IFERROR(__xludf.DUMMYFUNCTION("""COMPUTED_VALUE"""),-0.0676843802025863)</f>
        <v>-6.7684380202586297E-2</v>
      </c>
      <c r="PG91" s="3">
        <f ca="1">IFERROR(__xludf.DUMMYFUNCTION("""COMPUTED_VALUE"""),-0.068130854128362)</f>
        <v>-6.8130854128362006E-2</v>
      </c>
      <c r="PH91" s="3">
        <f ca="1">IFERROR(__xludf.DUMMYFUNCTION("""COMPUTED_VALUE"""),-0.00151392788969628)</f>
        <v>-1.51392788969628E-3</v>
      </c>
      <c r="PI91" s="3">
        <f ca="1">IFERROR(__xludf.DUMMYFUNCTION("""COMPUTED_VALUE"""),-0.0492263244103883)</f>
        <v>-4.9226324410388302E-2</v>
      </c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</row>
    <row r="92" spans="1:477" ht="13">
      <c r="A92" s="1" t="str">
        <f ca="1">IFERROR(__xludf.DUMMYFUNCTION("""COMPUTED_VALUE"""),"BC Transit")</f>
        <v>BC Transit</v>
      </c>
      <c r="B92" s="1" t="str">
        <f ca="1">IFERROR(__xludf.DUMMYFUNCTION("""COMPUTED_VALUE"""),"Nanaimo")</f>
        <v>Nanaimo</v>
      </c>
      <c r="C92" s="1" t="str">
        <f ca="1">IFERROR(__xludf.DUMMYFUNCTION("""COMPUTED_VALUE"""),"Canada")</f>
        <v>Canada</v>
      </c>
      <c r="D92" s="1" t="str">
        <f ca="1">IFERROR(__xludf.DUMMYFUNCTION("""COMPUTED_VALUE"""),"British Columbia")</f>
        <v>British Columbia</v>
      </c>
      <c r="E92" s="3">
        <f ca="1">IFERROR(__xludf.DUMMYFUNCTION("""COMPUTED_VALUE"""),-0.45307853298429)</f>
        <v>-0.45307853298429002</v>
      </c>
      <c r="F92" s="3">
        <f ca="1">IFERROR(__xludf.DUMMYFUNCTION("""COMPUTED_VALUE"""),-0.232297864603492)</f>
        <v>-0.232297864603492</v>
      </c>
      <c r="G92" s="3">
        <f ca="1">IFERROR(__xludf.DUMMYFUNCTION("""COMPUTED_VALUE"""),-0.418043513541256)</f>
        <v>-0.41804351354125602</v>
      </c>
      <c r="H92" s="3">
        <f ca="1">IFERROR(__xludf.DUMMYFUNCTION("""COMPUTED_VALUE"""),-0.444716661233285)</f>
        <v>-0.44471666123328502</v>
      </c>
      <c r="I92" s="3">
        <f ca="1">IFERROR(__xludf.DUMMYFUNCTION("""COMPUTED_VALUE"""),-0.4310220135383)</f>
        <v>-0.4310220135383</v>
      </c>
      <c r="J92" s="3">
        <f ca="1">IFERROR(__xludf.DUMMYFUNCTION("""COMPUTED_VALUE"""),-0.560316188791958)</f>
        <v>-0.56031618879195799</v>
      </c>
      <c r="K92" s="3">
        <f ca="1">IFERROR(__xludf.DUMMYFUNCTION("""COMPUTED_VALUE"""),-0.530127485072733)</f>
        <v>-0.530127485072733</v>
      </c>
      <c r="L92" s="3">
        <f ca="1">IFERROR(__xludf.DUMMYFUNCTION("""COMPUTED_VALUE"""),-0.521779821001319)</f>
        <v>-0.52177982100131903</v>
      </c>
      <c r="M92" s="3">
        <f ca="1">IFERROR(__xludf.DUMMYFUNCTION("""COMPUTED_VALUE"""),-0.549056693400878)</f>
        <v>-0.54905669340087804</v>
      </c>
      <c r="N92" s="3">
        <f ca="1">IFERROR(__xludf.DUMMYFUNCTION("""COMPUTED_VALUE"""),-0.408448584154489)</f>
        <v>-0.40844858415448898</v>
      </c>
      <c r="O92" s="3">
        <f ca="1">IFERROR(__xludf.DUMMYFUNCTION("""COMPUTED_VALUE"""),-0.433036394558969)</f>
        <v>-0.43303639455896897</v>
      </c>
      <c r="P92" s="3">
        <f ca="1">IFERROR(__xludf.DUMMYFUNCTION("""COMPUTED_VALUE"""),-0.437883570127594)</f>
        <v>-0.43788357012759399</v>
      </c>
      <c r="Q92" s="3">
        <f ca="1">IFERROR(__xludf.DUMMYFUNCTION("""COMPUTED_VALUE"""),-0.425175522402134)</f>
        <v>-0.42517552240213402</v>
      </c>
      <c r="R92" s="3">
        <f ca="1">IFERROR(__xludf.DUMMYFUNCTION("""COMPUTED_VALUE"""),-0.535009623863019)</f>
        <v>-0.53500962386301898</v>
      </c>
      <c r="S92" s="3">
        <f ca="1">IFERROR(__xludf.DUMMYFUNCTION("""COMPUTED_VALUE"""),-0.523126629610521)</f>
        <v>-0.52312662961052103</v>
      </c>
      <c r="T92" s="3">
        <f ca="1">IFERROR(__xludf.DUMMYFUNCTION("""COMPUTED_VALUE"""),-0.483711239692014)</f>
        <v>-0.48371123969201402</v>
      </c>
      <c r="U92" s="3">
        <f ca="1">IFERROR(__xludf.DUMMYFUNCTION("""COMPUTED_VALUE"""),-0.498420226269543)</f>
        <v>-0.49842022626954302</v>
      </c>
      <c r="V92" s="3">
        <f ca="1">IFERROR(__xludf.DUMMYFUNCTION("""COMPUTED_VALUE"""),-0.510877800190598)</f>
        <v>-0.51087780019059803</v>
      </c>
      <c r="W92" s="3">
        <f ca="1">IFERROR(__xludf.DUMMYFUNCTION("""COMPUTED_VALUE"""),-0.503453425034978)</f>
        <v>-0.50345342503497803</v>
      </c>
      <c r="X92" s="3">
        <f ca="1">IFERROR(__xludf.DUMMYFUNCTION("""COMPUTED_VALUE"""),-0.473770975375584)</f>
        <v>-0.47377097537558399</v>
      </c>
      <c r="Y92" s="3">
        <f ca="1">IFERROR(__xludf.DUMMYFUNCTION("""COMPUTED_VALUE"""),-0.485319484834326)</f>
        <v>-0.48531948483432602</v>
      </c>
      <c r="Z92" s="3">
        <f ca="1">IFERROR(__xludf.DUMMYFUNCTION("""COMPUTED_VALUE"""),-0.464411762318064)</f>
        <v>-0.46441176231806403</v>
      </c>
      <c r="AA92" s="3">
        <f ca="1">IFERROR(__xludf.DUMMYFUNCTION("""COMPUTED_VALUE"""),-0.523742305708205)</f>
        <v>-0.52374230570820501</v>
      </c>
      <c r="AB92" s="3">
        <f ca="1">IFERROR(__xludf.DUMMYFUNCTION("""COMPUTED_VALUE"""),-0.516098413396435)</f>
        <v>-0.51609841339643503</v>
      </c>
      <c r="AC92" s="3">
        <f ca="1">IFERROR(__xludf.DUMMYFUNCTION("""COMPUTED_VALUE"""),-0.522269781232641)</f>
        <v>-0.52226978123264101</v>
      </c>
      <c r="AD92" s="3">
        <f ca="1">IFERROR(__xludf.DUMMYFUNCTION("""COMPUTED_VALUE"""),-0.404037607101693)</f>
        <v>-0.40403760710169301</v>
      </c>
      <c r="AE92" s="3">
        <f ca="1">IFERROR(__xludf.DUMMYFUNCTION("""COMPUTED_VALUE"""),-0.486552952452954)</f>
        <v>-0.48655295245295399</v>
      </c>
      <c r="AF92" s="3">
        <f ca="1">IFERROR(__xludf.DUMMYFUNCTION("""COMPUTED_VALUE"""),-0.479009813859262)</f>
        <v>-0.479009813859262</v>
      </c>
      <c r="AG92" s="3">
        <f ca="1">IFERROR(__xludf.DUMMYFUNCTION("""COMPUTED_VALUE"""),-0.477933237544917)</f>
        <v>-0.47793323754491701</v>
      </c>
      <c r="AH92" s="3">
        <f ca="1">IFERROR(__xludf.DUMMYFUNCTION("""COMPUTED_VALUE"""),-0.46551909110633)</f>
        <v>-0.46551909110633</v>
      </c>
      <c r="AI92" s="3">
        <f ca="1">IFERROR(__xludf.DUMMYFUNCTION("""COMPUTED_VALUE"""),-0.452210046197308)</f>
        <v>-0.45221004619730798</v>
      </c>
      <c r="AJ92" s="3">
        <f ca="1">IFERROR(__xludf.DUMMYFUNCTION("""COMPUTED_VALUE"""),-0.453596133921646)</f>
        <v>-0.45359613392164599</v>
      </c>
      <c r="AK92" s="3">
        <f ca="1">IFERROR(__xludf.DUMMYFUNCTION("""COMPUTED_VALUE"""),-0.475168436237227)</f>
        <v>-0.47516843623722699</v>
      </c>
      <c r="AL92" s="3">
        <f ca="1">IFERROR(__xludf.DUMMYFUNCTION("""COMPUTED_VALUE"""),-0.442374001757771)</f>
        <v>-0.44237400175777097</v>
      </c>
      <c r="AM92" s="3">
        <f ca="1">IFERROR(__xludf.DUMMYFUNCTION("""COMPUTED_VALUE"""),-0.493447305945288)</f>
        <v>-0.49344730594528802</v>
      </c>
      <c r="AN92" s="3">
        <f ca="1">IFERROR(__xludf.DUMMYFUNCTION("""COMPUTED_VALUE"""),-0.506942497215365)</f>
        <v>-0.506942497215365</v>
      </c>
      <c r="AO92" s="3">
        <f ca="1">IFERROR(__xludf.DUMMYFUNCTION("""COMPUTED_VALUE"""),-0.466978783299569)</f>
        <v>-0.46697878329956899</v>
      </c>
      <c r="AP92" s="3">
        <f ca="1">IFERROR(__xludf.DUMMYFUNCTION("""COMPUTED_VALUE"""),-0.461985641393175)</f>
        <v>-0.46198564139317499</v>
      </c>
      <c r="AQ92" s="3">
        <f ca="1">IFERROR(__xludf.DUMMYFUNCTION("""COMPUTED_VALUE"""),-0.461196293657362)</f>
        <v>-0.46119629365736198</v>
      </c>
      <c r="AR92" s="3">
        <f ca="1">IFERROR(__xludf.DUMMYFUNCTION("""COMPUTED_VALUE"""),-0.460757666955321)</f>
        <v>-0.460757666955321</v>
      </c>
      <c r="AS92" s="3">
        <f ca="1">IFERROR(__xludf.DUMMYFUNCTION("""COMPUTED_VALUE"""),-0.423084894282135)</f>
        <v>-0.42308489428213503</v>
      </c>
      <c r="AT92" s="3">
        <f ca="1">IFERROR(__xludf.DUMMYFUNCTION("""COMPUTED_VALUE"""),-0.454028656480835)</f>
        <v>-0.45402865648083501</v>
      </c>
      <c r="AU92" s="3">
        <f ca="1">IFERROR(__xludf.DUMMYFUNCTION("""COMPUTED_VALUE"""),-0.510033068323392)</f>
        <v>-0.51003306832339201</v>
      </c>
      <c r="AV92" s="3">
        <f ca="1">IFERROR(__xludf.DUMMYFUNCTION("""COMPUTED_VALUE"""),-0.481848447625749)</f>
        <v>-0.48184844762574902</v>
      </c>
      <c r="AW92" s="3">
        <f ca="1">IFERROR(__xludf.DUMMYFUNCTION("""COMPUTED_VALUE"""),-0.459730816549139)</f>
        <v>-0.459730816549139</v>
      </c>
      <c r="AX92" s="3">
        <f ca="1">IFERROR(__xludf.DUMMYFUNCTION("""COMPUTED_VALUE"""),-0.469577955464009)</f>
        <v>-0.46957795546400899</v>
      </c>
      <c r="AY92" s="3">
        <f ca="1">IFERROR(__xludf.DUMMYFUNCTION("""COMPUTED_VALUE"""),-0.517275295472953)</f>
        <v>-0.51727529547295303</v>
      </c>
      <c r="AZ92" s="3">
        <f ca="1">IFERROR(__xludf.DUMMYFUNCTION("""COMPUTED_VALUE"""),-0.41282478521695)</f>
        <v>-0.41282478521694999</v>
      </c>
      <c r="BA92" s="3">
        <f ca="1">IFERROR(__xludf.DUMMYFUNCTION("""COMPUTED_VALUE"""),-0.546902673319776)</f>
        <v>-0.54690267331977604</v>
      </c>
      <c r="BB92" s="3">
        <f ca="1">IFERROR(__xludf.DUMMYFUNCTION("""COMPUTED_VALUE"""),-0.525999413213583)</f>
        <v>-0.52599941321358301</v>
      </c>
      <c r="BC92" s="3">
        <f ca="1">IFERROR(__xludf.DUMMYFUNCTION("""COMPUTED_VALUE"""),-0.459237173954781)</f>
        <v>-0.45923717395478098</v>
      </c>
      <c r="BD92" s="3">
        <f ca="1">IFERROR(__xludf.DUMMYFUNCTION("""COMPUTED_VALUE"""),-0.534044620401165)</f>
        <v>-0.53404462040116496</v>
      </c>
      <c r="BE92" s="3">
        <f ca="1">IFERROR(__xludf.DUMMYFUNCTION("""COMPUTED_VALUE"""),-0.42374959405332)</f>
        <v>-0.42374959405332002</v>
      </c>
      <c r="BF92" s="3">
        <f ca="1">IFERROR(__xludf.DUMMYFUNCTION("""COMPUTED_VALUE"""),-0.379371972477775)</f>
        <v>-0.37937197247777499</v>
      </c>
      <c r="BG92" s="3">
        <f ca="1">IFERROR(__xludf.DUMMYFUNCTION("""COMPUTED_VALUE"""),-0.565521748166691)</f>
        <v>-0.56552174816669099</v>
      </c>
      <c r="BH92" s="3">
        <f ca="1">IFERROR(__xludf.DUMMYFUNCTION("""COMPUTED_VALUE"""),-0.53832778185433)</f>
        <v>-0.53832778185432995</v>
      </c>
      <c r="BI92" s="3">
        <f ca="1">IFERROR(__xludf.DUMMYFUNCTION("""COMPUTED_VALUE"""),-0.530800290784499)</f>
        <v>-0.53080029078449897</v>
      </c>
      <c r="BJ92" s="3">
        <f ca="1">IFERROR(__xludf.DUMMYFUNCTION("""COMPUTED_VALUE"""),-0.594530912138423)</f>
        <v>-0.59453091213842302</v>
      </c>
      <c r="BK92" s="3">
        <f ca="1">IFERROR(__xludf.DUMMYFUNCTION("""COMPUTED_VALUE"""),-0.533843025893403)</f>
        <v>-0.53384302589340304</v>
      </c>
      <c r="BL92" s="3">
        <f ca="1">IFERROR(__xludf.DUMMYFUNCTION("""COMPUTED_VALUE"""),-0.486007556245116)</f>
        <v>-0.48600755624511599</v>
      </c>
      <c r="BM92" s="3">
        <f ca="1">IFERROR(__xludf.DUMMYFUNCTION("""COMPUTED_VALUE"""),-0.466180284640325)</f>
        <v>-0.46618028464032502</v>
      </c>
      <c r="BN92" s="3">
        <f ca="1">IFERROR(__xludf.DUMMYFUNCTION("""COMPUTED_VALUE"""),-0.395414987030167)</f>
        <v>-0.39541498703016698</v>
      </c>
      <c r="BO92" s="3">
        <f ca="1">IFERROR(__xludf.DUMMYFUNCTION("""COMPUTED_VALUE"""),-0.552021202155389)</f>
        <v>-0.55202120215538897</v>
      </c>
      <c r="BP92" s="3">
        <f ca="1">IFERROR(__xludf.DUMMYFUNCTION("""COMPUTED_VALUE"""),-0.519089908706547)</f>
        <v>-0.51908990870654703</v>
      </c>
      <c r="BQ92" s="3">
        <f ca="1">IFERROR(__xludf.DUMMYFUNCTION("""COMPUTED_VALUE"""),-0.419269688242254)</f>
        <v>-0.41926968824225402</v>
      </c>
      <c r="BR92" s="3">
        <f ca="1">IFERROR(__xludf.DUMMYFUNCTION("""COMPUTED_VALUE"""),-0.487472498474384)</f>
        <v>-0.48747249847438401</v>
      </c>
      <c r="BS92" s="3">
        <f ca="1">IFERROR(__xludf.DUMMYFUNCTION("""COMPUTED_VALUE"""),-0.502720033191845)</f>
        <v>-0.50272003319184499</v>
      </c>
      <c r="BT92" s="3">
        <f ca="1">IFERROR(__xludf.DUMMYFUNCTION("""COMPUTED_VALUE"""),-0.484627418930977)</f>
        <v>-0.48462741893097699</v>
      </c>
      <c r="BU92" s="3">
        <f ca="1">IFERROR(__xludf.DUMMYFUNCTION("""COMPUTED_VALUE"""),-0.5288225769446)</f>
        <v>-0.5288225769446</v>
      </c>
      <c r="BV92" s="3">
        <f ca="1">IFERROR(__xludf.DUMMYFUNCTION("""COMPUTED_VALUE"""),-0.558626133767082)</f>
        <v>-0.55862613376708203</v>
      </c>
      <c r="BW92" s="3">
        <f ca="1">IFERROR(__xludf.DUMMYFUNCTION("""COMPUTED_VALUE"""),-0.553267579528889)</f>
        <v>-0.55326757952888905</v>
      </c>
      <c r="BX92" s="3">
        <f ca="1">IFERROR(__xludf.DUMMYFUNCTION("""COMPUTED_VALUE"""),-0.544435020259547)</f>
        <v>-0.54443502025954704</v>
      </c>
      <c r="BY92" s="3">
        <f ca="1">IFERROR(__xludf.DUMMYFUNCTION("""COMPUTED_VALUE"""),-0.497849830095428)</f>
        <v>-0.49784983009542799</v>
      </c>
      <c r="BZ92" s="3">
        <f ca="1">IFERROR(__xludf.DUMMYFUNCTION("""COMPUTED_VALUE"""),-0.543053550635747)</f>
        <v>-0.54305355063574701</v>
      </c>
      <c r="CA92" s="3">
        <f ca="1">IFERROR(__xludf.DUMMYFUNCTION("""COMPUTED_VALUE"""),-0.495663548212237)</f>
        <v>-0.49566354821223702</v>
      </c>
      <c r="CB92" s="3">
        <f ca="1">IFERROR(__xludf.DUMMYFUNCTION("""COMPUTED_VALUE"""),-0.526413615614135)</f>
        <v>-0.52641361561413502</v>
      </c>
      <c r="CC92" s="3">
        <f ca="1">IFERROR(__xludf.DUMMYFUNCTION("""COMPUTED_VALUE"""),-0.608804806336672)</f>
        <v>-0.608804806336672</v>
      </c>
      <c r="CD92" s="3">
        <f ca="1">IFERROR(__xludf.DUMMYFUNCTION("""COMPUTED_VALUE"""),-0.492307640451493)</f>
        <v>-0.492307640451493</v>
      </c>
      <c r="CE92" s="3">
        <f ca="1">IFERROR(__xludf.DUMMYFUNCTION("""COMPUTED_VALUE"""),-0.490113977932107)</f>
        <v>-0.49011397793210698</v>
      </c>
      <c r="CF92" s="3">
        <f ca="1">IFERROR(__xludf.DUMMYFUNCTION("""COMPUTED_VALUE"""),-0.50253853061793)</f>
        <v>-0.50253853061792997</v>
      </c>
      <c r="CG92" s="3">
        <f ca="1">IFERROR(__xludf.DUMMYFUNCTION("""COMPUTED_VALUE"""),-0.488363523412394)</f>
        <v>-0.48836352341239397</v>
      </c>
      <c r="CH92" s="3">
        <f ca="1">IFERROR(__xludf.DUMMYFUNCTION("""COMPUTED_VALUE"""),-0.522588650531081)</f>
        <v>-0.52258865053108094</v>
      </c>
      <c r="CI92" s="3">
        <f ca="1">IFERROR(__xludf.DUMMYFUNCTION("""COMPUTED_VALUE"""),-0.515903455589226)</f>
        <v>-0.51590345558922601</v>
      </c>
      <c r="CJ92" s="3">
        <f ca="1">IFERROR(__xludf.DUMMYFUNCTION("""COMPUTED_VALUE"""),-0.514347738355948)</f>
        <v>-0.51434773835594805</v>
      </c>
      <c r="CK92" s="3">
        <f ca="1">IFERROR(__xludf.DUMMYFUNCTION("""COMPUTED_VALUE"""),-0.49579947232297)</f>
        <v>-0.49579947232297</v>
      </c>
      <c r="CL92" s="3">
        <f ca="1">IFERROR(__xludf.DUMMYFUNCTION("""COMPUTED_VALUE"""),-0.510141039844772)</f>
        <v>-0.51014103984477199</v>
      </c>
      <c r="CM92" s="3">
        <f ca="1">IFERROR(__xludf.DUMMYFUNCTION("""COMPUTED_VALUE"""),-0.494642646621747)</f>
        <v>-0.49464264662174701</v>
      </c>
      <c r="CN92" s="3">
        <f ca="1">IFERROR(__xludf.DUMMYFUNCTION("""COMPUTED_VALUE"""),-0.505853790025532)</f>
        <v>-0.50585379002553199</v>
      </c>
      <c r="CO92" s="3">
        <f ca="1">IFERROR(__xludf.DUMMYFUNCTION("""COMPUTED_VALUE"""),-0.535707454333057)</f>
        <v>-0.535707454333057</v>
      </c>
      <c r="CP92" s="3">
        <f ca="1">IFERROR(__xludf.DUMMYFUNCTION("""COMPUTED_VALUE"""),-0.544679674001654)</f>
        <v>-0.54467967400165396</v>
      </c>
      <c r="CQ92" s="3">
        <f ca="1">IFERROR(__xludf.DUMMYFUNCTION("""COMPUTED_VALUE"""),-0.574891402611242)</f>
        <v>-0.57489140261124205</v>
      </c>
      <c r="CR92" s="3">
        <f ca="1">IFERROR(__xludf.DUMMYFUNCTION("""COMPUTED_VALUE"""),-0.544083373021156)</f>
        <v>-0.54408337302115595</v>
      </c>
      <c r="CS92" s="3">
        <f ca="1">IFERROR(__xludf.DUMMYFUNCTION("""COMPUTED_VALUE"""),-0.481861663296781)</f>
        <v>-0.48186166329678098</v>
      </c>
      <c r="CT92" s="3">
        <f ca="1">IFERROR(__xludf.DUMMYFUNCTION("""COMPUTED_VALUE"""),-0.405946428681987)</f>
        <v>-0.40594642868198699</v>
      </c>
      <c r="CU92" s="3">
        <f ca="1">IFERROR(__xludf.DUMMYFUNCTION("""COMPUTED_VALUE"""),-0.36731676115099)</f>
        <v>-0.36731676115098999</v>
      </c>
      <c r="CV92" s="3">
        <f ca="1">IFERROR(__xludf.DUMMYFUNCTION("""COMPUTED_VALUE"""),-0.520292711130903)</f>
        <v>-0.52029271113090303</v>
      </c>
      <c r="CW92" s="3">
        <f ca="1">IFERROR(__xludf.DUMMYFUNCTION("""COMPUTED_VALUE"""),-0.498134578653644)</f>
        <v>-0.49813457865364402</v>
      </c>
      <c r="CX92" s="3">
        <f ca="1">IFERROR(__xludf.DUMMYFUNCTION("""COMPUTED_VALUE"""),-0.587317098323245)</f>
        <v>-0.58731709832324497</v>
      </c>
      <c r="CY92" s="3">
        <f ca="1">IFERROR(__xludf.DUMMYFUNCTION("""COMPUTED_VALUE"""),-0.643745326305154)</f>
        <v>-0.64374532630515402</v>
      </c>
      <c r="CZ92" s="3">
        <f ca="1">IFERROR(__xludf.DUMMYFUNCTION("""COMPUTED_VALUE"""),-0.756482407432159)</f>
        <v>-0.756482407432159</v>
      </c>
      <c r="DA92" s="3">
        <f ca="1">IFERROR(__xludf.DUMMYFUNCTION("""COMPUTED_VALUE"""),-0.502732864187585)</f>
        <v>-0.502732864187585</v>
      </c>
      <c r="DB92" s="3">
        <f ca="1">IFERROR(__xludf.DUMMYFUNCTION("""COMPUTED_VALUE"""),-0.473915617544295)</f>
        <v>-0.47391561754429501</v>
      </c>
      <c r="DC92" s="3">
        <f ca="1">IFERROR(__xludf.DUMMYFUNCTION("""COMPUTED_VALUE"""),-0.521683537842818)</f>
        <v>-0.52168353784281796</v>
      </c>
      <c r="DD92" s="3">
        <f ca="1">IFERROR(__xludf.DUMMYFUNCTION("""COMPUTED_VALUE"""),-0.5927868860771)</f>
        <v>-0.59278688607709995</v>
      </c>
      <c r="DE92" s="3">
        <f ca="1">IFERROR(__xludf.DUMMYFUNCTION("""COMPUTED_VALUE"""),-0.561228364090819)</f>
        <v>-0.561228364090819</v>
      </c>
      <c r="DF92" s="3">
        <f ca="1">IFERROR(__xludf.DUMMYFUNCTION("""COMPUTED_VALUE"""),-0.515146737576083)</f>
        <v>-0.51514673757608298</v>
      </c>
      <c r="DG92" s="3">
        <f ca="1">IFERROR(__xludf.DUMMYFUNCTION("""COMPUTED_VALUE"""),-0.892895424960244)</f>
        <v>-0.89289542496024399</v>
      </c>
      <c r="DH92" s="3">
        <f ca="1">IFERROR(__xludf.DUMMYFUNCTION("""COMPUTED_VALUE"""),-0.569614403289169)</f>
        <v>-0.56961440328916901</v>
      </c>
      <c r="DI92" s="3">
        <f ca="1">IFERROR(__xludf.DUMMYFUNCTION("""COMPUTED_VALUE"""),-0.389896063662355)</f>
        <v>-0.38989606366235502</v>
      </c>
      <c r="DJ92" s="3">
        <f ca="1">IFERROR(__xludf.DUMMYFUNCTION("""COMPUTED_VALUE"""),-0.459649575794633)</f>
        <v>-0.459649575794633</v>
      </c>
      <c r="DK92" s="3">
        <f ca="1">IFERROR(__xludf.DUMMYFUNCTION("""COMPUTED_VALUE"""),-0.563050768574581)</f>
        <v>-0.56305076857458103</v>
      </c>
      <c r="DL92" s="3">
        <f ca="1">IFERROR(__xludf.DUMMYFUNCTION("""COMPUTED_VALUE"""),-0.509350437803287)</f>
        <v>-0.50935043780328704</v>
      </c>
      <c r="DM92" s="3">
        <f ca="1">IFERROR(__xludf.DUMMYFUNCTION("""COMPUTED_VALUE"""),-0.579868899094967)</f>
        <v>-0.57986889909496697</v>
      </c>
      <c r="DN92" s="3">
        <f ca="1">IFERROR(__xludf.DUMMYFUNCTION("""COMPUTED_VALUE"""),-0.542494735296036)</f>
        <v>-0.54249473529603598</v>
      </c>
      <c r="DO92" s="3">
        <f ca="1">IFERROR(__xludf.DUMMYFUNCTION("""COMPUTED_VALUE"""),-0.400753144646895)</f>
        <v>-0.40075314464689499</v>
      </c>
      <c r="DP92" s="3">
        <f ca="1">IFERROR(__xludf.DUMMYFUNCTION("""COMPUTED_VALUE"""),-0.344014573060926)</f>
        <v>-0.34401457306092598</v>
      </c>
      <c r="DQ92" s="3">
        <f ca="1">IFERROR(__xludf.DUMMYFUNCTION("""COMPUTED_VALUE"""),-0.355275230114705)</f>
        <v>-0.35527523011470502</v>
      </c>
      <c r="DR92" s="3">
        <f ca="1">IFERROR(__xludf.DUMMYFUNCTION("""COMPUTED_VALUE"""),-0.452833310867738)</f>
        <v>-0.45283331086773798</v>
      </c>
      <c r="DS92" s="3">
        <f ca="1">IFERROR(__xludf.DUMMYFUNCTION("""COMPUTED_VALUE"""),-0.599377472344897)</f>
        <v>-0.59937747234489702</v>
      </c>
      <c r="DT92" s="3">
        <f ca="1">IFERROR(__xludf.DUMMYFUNCTION("""COMPUTED_VALUE"""),-0.535760155800181)</f>
        <v>-0.53576015580018099</v>
      </c>
      <c r="DU92" s="3">
        <f ca="1">IFERROR(__xludf.DUMMYFUNCTION("""COMPUTED_VALUE"""),-0.533751765931251)</f>
        <v>-0.53375176593125095</v>
      </c>
      <c r="DV92" s="3">
        <f ca="1">IFERROR(__xludf.DUMMYFUNCTION("""COMPUTED_VALUE"""),-0.489546769623819)</f>
        <v>-0.48954676962381899</v>
      </c>
      <c r="DW92" s="3">
        <f ca="1">IFERROR(__xludf.DUMMYFUNCTION("""COMPUTED_VALUE"""),-0.565390270361483)</f>
        <v>-0.56539027036148304</v>
      </c>
      <c r="DX92" s="3">
        <f ca="1">IFERROR(__xludf.DUMMYFUNCTION("""COMPUTED_VALUE"""),-0.500043871591797)</f>
        <v>-0.50004387159179697</v>
      </c>
      <c r="DY92" s="3">
        <f ca="1">IFERROR(__xludf.DUMMYFUNCTION("""COMPUTED_VALUE"""),-0.522871438676338)</f>
        <v>-0.52287143867633801</v>
      </c>
      <c r="DZ92" s="3">
        <f ca="1">IFERROR(__xludf.DUMMYFUNCTION("""COMPUTED_VALUE"""),-0.578669881415891)</f>
        <v>-0.57866988141589104</v>
      </c>
      <c r="EA92" s="3">
        <f ca="1">IFERROR(__xludf.DUMMYFUNCTION("""COMPUTED_VALUE"""),-0.621194694711557)</f>
        <v>-0.62119469471155697</v>
      </c>
      <c r="EB92" s="3">
        <f ca="1">IFERROR(__xludf.DUMMYFUNCTION("""COMPUTED_VALUE"""),-0.531275184916912)</f>
        <v>-0.53127518491691195</v>
      </c>
      <c r="EC92" s="3">
        <f ca="1">IFERROR(__xludf.DUMMYFUNCTION("""COMPUTED_VALUE"""),-0.528582932288451)</f>
        <v>-0.52858293228845099</v>
      </c>
      <c r="ED92" s="3">
        <f ca="1">IFERROR(__xludf.DUMMYFUNCTION("""COMPUTED_VALUE"""),-0.546960176480718)</f>
        <v>-0.54696017648071804</v>
      </c>
      <c r="EE92" s="3">
        <f ca="1">IFERROR(__xludf.DUMMYFUNCTION("""COMPUTED_VALUE"""),-0.527386787434444)</f>
        <v>-0.527386787434444</v>
      </c>
      <c r="EF92" s="3">
        <f ca="1">IFERROR(__xludf.DUMMYFUNCTION("""COMPUTED_VALUE"""),-0.4810950058831)</f>
        <v>-0.4810950058831</v>
      </c>
      <c r="EG92" s="3">
        <f ca="1">IFERROR(__xludf.DUMMYFUNCTION("""COMPUTED_VALUE"""),-0.536356290810916)</f>
        <v>-0.53635629081091596</v>
      </c>
      <c r="EH92" s="3">
        <f ca="1">IFERROR(__xludf.DUMMYFUNCTION("""COMPUTED_VALUE"""),-0.567638266877012)</f>
        <v>-0.56763826687701202</v>
      </c>
      <c r="EI92" s="3">
        <f ca="1">IFERROR(__xludf.DUMMYFUNCTION("""COMPUTED_VALUE"""),-0.519143591330099)</f>
        <v>-0.51914359133009902</v>
      </c>
      <c r="EJ92" s="3">
        <f ca="1">IFERROR(__xludf.DUMMYFUNCTION("""COMPUTED_VALUE"""),-0.495403691062698)</f>
        <v>-0.49540369106269799</v>
      </c>
      <c r="EK92" s="3">
        <f ca="1">IFERROR(__xludf.DUMMYFUNCTION("""COMPUTED_VALUE"""),-0.508711332490817)</f>
        <v>-0.50871133249081701</v>
      </c>
      <c r="EL92" s="3">
        <f ca="1">IFERROR(__xludf.DUMMYFUNCTION("""COMPUTED_VALUE"""),-0.521035414561779)</f>
        <v>-0.52103541456177904</v>
      </c>
      <c r="EM92" s="3">
        <f ca="1">IFERROR(__xludf.DUMMYFUNCTION("""COMPUTED_VALUE"""),-0.514641425216291)</f>
        <v>-0.51464142521629097</v>
      </c>
      <c r="EN92" s="3">
        <f ca="1">IFERROR(__xludf.DUMMYFUNCTION("""COMPUTED_VALUE"""),-0.572524082260959)</f>
        <v>-0.57252408226095897</v>
      </c>
      <c r="EO92" s="3">
        <f ca="1">IFERROR(__xludf.DUMMYFUNCTION("""COMPUTED_VALUE"""),-0.600846972835373)</f>
        <v>-0.60084697283537303</v>
      </c>
      <c r="EP92" s="3">
        <f ca="1">IFERROR(__xludf.DUMMYFUNCTION("""COMPUTED_VALUE"""),-0.499038226864514)</f>
        <v>-0.49903822686451399</v>
      </c>
      <c r="EQ92" s="3">
        <f ca="1">IFERROR(__xludf.DUMMYFUNCTION("""COMPUTED_VALUE"""),-0.509366964219929)</f>
        <v>-0.509366964219929</v>
      </c>
      <c r="ER92" s="3">
        <f ca="1">IFERROR(__xludf.DUMMYFUNCTION("""COMPUTED_VALUE"""),-0.455875891516039)</f>
        <v>-0.45587589151603902</v>
      </c>
      <c r="ES92" s="3">
        <f ca="1">IFERROR(__xludf.DUMMYFUNCTION("""COMPUTED_VALUE"""),-0.473470445369322)</f>
        <v>-0.47347044536932198</v>
      </c>
      <c r="ET92" s="3">
        <f ca="1">IFERROR(__xludf.DUMMYFUNCTION("""COMPUTED_VALUE"""),-0.523253688996487)</f>
        <v>-0.52325368899648705</v>
      </c>
      <c r="EU92" s="3">
        <f ca="1">IFERROR(__xludf.DUMMYFUNCTION("""COMPUTED_VALUE"""),-0.557528251893127)</f>
        <v>-0.55752825189312705</v>
      </c>
      <c r="EV92" s="3">
        <f ca="1">IFERROR(__xludf.DUMMYFUNCTION("""COMPUTED_VALUE"""),-0.578300552024673)</f>
        <v>-0.57830055202467301</v>
      </c>
      <c r="EW92" s="3">
        <f ca="1">IFERROR(__xludf.DUMMYFUNCTION("""COMPUTED_VALUE"""),-0.525877082877161)</f>
        <v>-0.52587708287716095</v>
      </c>
      <c r="EX92" s="3">
        <f ca="1">IFERROR(__xludf.DUMMYFUNCTION("""COMPUTED_VALUE"""),-0.447279478414239)</f>
        <v>-0.44727947841423898</v>
      </c>
      <c r="EY92" s="3">
        <f ca="1">IFERROR(__xludf.DUMMYFUNCTION("""COMPUTED_VALUE"""),-0.547889829646934)</f>
        <v>-0.547889829646934</v>
      </c>
      <c r="EZ92" s="3">
        <f ca="1">IFERROR(__xludf.DUMMYFUNCTION("""COMPUTED_VALUE"""),-0.394033989939959)</f>
        <v>-0.39403398993995897</v>
      </c>
      <c r="FA92" s="3">
        <f ca="1">IFERROR(__xludf.DUMMYFUNCTION("""COMPUTED_VALUE"""),-0.377499013947465)</f>
        <v>-0.37749901394746499</v>
      </c>
      <c r="FB92" s="3">
        <f ca="1">IFERROR(__xludf.DUMMYFUNCTION("""COMPUTED_VALUE"""),-0.465449005848634)</f>
        <v>-0.46544900584863402</v>
      </c>
      <c r="FC92" s="3">
        <f ca="1">IFERROR(__xludf.DUMMYFUNCTION("""COMPUTED_VALUE"""),-0.441692388014542)</f>
        <v>-0.44169238801454203</v>
      </c>
      <c r="FD92" s="3">
        <f ca="1">IFERROR(__xludf.DUMMYFUNCTION("""COMPUTED_VALUE"""),-0.354223377068494)</f>
        <v>-0.35422337706849399</v>
      </c>
      <c r="FE92" s="3">
        <f ca="1">IFERROR(__xludf.DUMMYFUNCTION("""COMPUTED_VALUE"""),-0.424161443776241)</f>
        <v>-0.42416144377624099</v>
      </c>
      <c r="FF92" s="3">
        <f ca="1">IFERROR(__xludf.DUMMYFUNCTION("""COMPUTED_VALUE"""),-0.380718841842862)</f>
        <v>-0.38071884184286198</v>
      </c>
      <c r="FG92" s="3">
        <f ca="1">IFERROR(__xludf.DUMMYFUNCTION("""COMPUTED_VALUE"""),-0.503563136838981)</f>
        <v>-0.50356313683898102</v>
      </c>
      <c r="FH92" s="3">
        <f ca="1">IFERROR(__xludf.DUMMYFUNCTION("""COMPUTED_VALUE"""),-0.40249314177563)</f>
        <v>-0.40249314177563</v>
      </c>
      <c r="FI92" s="3">
        <f ca="1">IFERROR(__xludf.DUMMYFUNCTION("""COMPUTED_VALUE"""),-0.550106160182423)</f>
        <v>-0.55010616018242298</v>
      </c>
      <c r="FJ92" s="3">
        <f ca="1">IFERROR(__xludf.DUMMYFUNCTION("""COMPUTED_VALUE"""),-0.432380472547548)</f>
        <v>-0.43238047254754802</v>
      </c>
      <c r="FK92" s="3">
        <f ca="1">IFERROR(__xludf.DUMMYFUNCTION("""COMPUTED_VALUE"""),-0.36666973405102)</f>
        <v>-0.36666973405101999</v>
      </c>
      <c r="FL92" s="3">
        <f ca="1">IFERROR(__xludf.DUMMYFUNCTION("""COMPUTED_VALUE"""),-0.47564460199857)</f>
        <v>-0.47564460199857</v>
      </c>
      <c r="FM92" s="3">
        <f ca="1">IFERROR(__xludf.DUMMYFUNCTION("""COMPUTED_VALUE"""),-0.349734425077709)</f>
        <v>-0.34973442507770902</v>
      </c>
      <c r="FN92" s="3">
        <f ca="1">IFERROR(__xludf.DUMMYFUNCTION("""COMPUTED_VALUE"""),-0.409468101909613)</f>
        <v>-0.40946810190961302</v>
      </c>
      <c r="FO92" s="3">
        <f ca="1">IFERROR(__xludf.DUMMYFUNCTION("""COMPUTED_VALUE"""),-0.376001676408489)</f>
        <v>-0.37600167640848903</v>
      </c>
      <c r="FP92" s="3">
        <f ca="1">IFERROR(__xludf.DUMMYFUNCTION("""COMPUTED_VALUE"""),-0.393432242876269)</f>
        <v>-0.39343224287626899</v>
      </c>
      <c r="FQ92" s="3">
        <f ca="1">IFERROR(__xludf.DUMMYFUNCTION("""COMPUTED_VALUE"""),-0.438481636143995)</f>
        <v>-0.43848163614399499</v>
      </c>
      <c r="FR92" s="3">
        <f ca="1">IFERROR(__xludf.DUMMYFUNCTION("""COMPUTED_VALUE"""),-0.528077356960384)</f>
        <v>-0.52807735696038405</v>
      </c>
      <c r="FS92" s="3">
        <f ca="1">IFERROR(__xludf.DUMMYFUNCTION("""COMPUTED_VALUE"""),-0.394750784985905)</f>
        <v>-0.39475078498590499</v>
      </c>
      <c r="FT92" s="3">
        <f ca="1">IFERROR(__xludf.DUMMYFUNCTION("""COMPUTED_VALUE"""),-0.320373226240312)</f>
        <v>-0.320373226240312</v>
      </c>
      <c r="FU92" s="3">
        <f ca="1">IFERROR(__xludf.DUMMYFUNCTION("""COMPUTED_VALUE"""),-0.379134061603176)</f>
        <v>-0.37913406160317598</v>
      </c>
      <c r="FV92" s="3">
        <f ca="1">IFERROR(__xludf.DUMMYFUNCTION("""COMPUTED_VALUE"""),-0.291492318492825)</f>
        <v>-0.29149231849282498</v>
      </c>
      <c r="FW92" s="3">
        <f ca="1">IFERROR(__xludf.DUMMYFUNCTION("""COMPUTED_VALUE"""),-0.38679211394048)</f>
        <v>-0.38679211394048002</v>
      </c>
      <c r="FX92" s="3">
        <f ca="1">IFERROR(__xludf.DUMMYFUNCTION("""COMPUTED_VALUE"""),-0.392267056237374)</f>
        <v>-0.39226705623737401</v>
      </c>
      <c r="FY92" s="3">
        <f ca="1">IFERROR(__xludf.DUMMYFUNCTION("""COMPUTED_VALUE"""),-0.407043615645852)</f>
        <v>-0.40704361564585201</v>
      </c>
      <c r="FZ92" s="3">
        <f ca="1">IFERROR(__xludf.DUMMYFUNCTION("""COMPUTED_VALUE"""),-0.380934427639937)</f>
        <v>-0.38093442763993701</v>
      </c>
      <c r="GA92" s="3">
        <f ca="1">IFERROR(__xludf.DUMMYFUNCTION("""COMPUTED_VALUE"""),-0.370537407443109)</f>
        <v>-0.37053740744310898</v>
      </c>
      <c r="GB92" s="3">
        <f ca="1">IFERROR(__xludf.DUMMYFUNCTION("""COMPUTED_VALUE"""),-0.418328603558663)</f>
        <v>-0.41832860355866303</v>
      </c>
      <c r="GC92" s="3">
        <f ca="1">IFERROR(__xludf.DUMMYFUNCTION("""COMPUTED_VALUE"""),-0.528391082523811)</f>
        <v>-0.52839108252381095</v>
      </c>
      <c r="GD92" s="3">
        <f ca="1">IFERROR(__xludf.DUMMYFUNCTION("""COMPUTED_VALUE"""),-0.516344370132693)</f>
        <v>-0.51634437013269296</v>
      </c>
      <c r="GE92" s="3">
        <f ca="1">IFERROR(__xludf.DUMMYFUNCTION("""COMPUTED_VALUE"""),-0.456980443526071)</f>
        <v>-0.45698044352607098</v>
      </c>
      <c r="GF92" s="3">
        <f ca="1">IFERROR(__xludf.DUMMYFUNCTION("""COMPUTED_VALUE"""),-0.472820671484847)</f>
        <v>-0.47282067148484702</v>
      </c>
      <c r="GG92" s="3">
        <f ca="1">IFERROR(__xludf.DUMMYFUNCTION("""COMPUTED_VALUE"""),-0.34538423429343)</f>
        <v>-0.34538423429343001</v>
      </c>
      <c r="GH92" s="3">
        <f ca="1">IFERROR(__xludf.DUMMYFUNCTION("""COMPUTED_VALUE"""),-0.371067231067502)</f>
        <v>-0.371067231067502</v>
      </c>
      <c r="GI92" s="3">
        <f ca="1">IFERROR(__xludf.DUMMYFUNCTION("""COMPUTED_VALUE"""),-0.344448454787721)</f>
        <v>-0.34444845478772101</v>
      </c>
      <c r="GJ92" s="3">
        <f ca="1">IFERROR(__xludf.DUMMYFUNCTION("""COMPUTED_VALUE"""),-0.226472291777116)</f>
        <v>-0.226472291777116</v>
      </c>
      <c r="GK92" s="3">
        <f ca="1">IFERROR(__xludf.DUMMYFUNCTION("""COMPUTED_VALUE"""),-0.471424420199096)</f>
        <v>-0.47142442019909597</v>
      </c>
      <c r="GL92" s="3">
        <f ca="1">IFERROR(__xludf.DUMMYFUNCTION("""COMPUTED_VALUE"""),-0.395990762375641)</f>
        <v>-0.39599076237564101</v>
      </c>
      <c r="GM92" s="3">
        <f ca="1">IFERROR(__xludf.DUMMYFUNCTION("""COMPUTED_VALUE"""),-0.3387078784472)</f>
        <v>-0.33870787844720002</v>
      </c>
      <c r="GN92" s="3">
        <f ca="1">IFERROR(__xludf.DUMMYFUNCTION("""COMPUTED_VALUE"""),-0.34750639397486)</f>
        <v>-0.34750639397486</v>
      </c>
      <c r="GO92" s="3">
        <f ca="1">IFERROR(__xludf.DUMMYFUNCTION("""COMPUTED_VALUE"""),-0.377637986190271)</f>
        <v>-0.377637986190271</v>
      </c>
      <c r="GP92" s="3">
        <f ca="1">IFERROR(__xludf.DUMMYFUNCTION("""COMPUTED_VALUE"""),-0.335432586921954)</f>
        <v>-0.33543258692195399</v>
      </c>
      <c r="GQ92" s="3">
        <f ca="1">IFERROR(__xludf.DUMMYFUNCTION("""COMPUTED_VALUE"""),-0.36701128881148)</f>
        <v>-0.36701128881147999</v>
      </c>
      <c r="GR92" s="3">
        <f ca="1">IFERROR(__xludf.DUMMYFUNCTION("""COMPUTED_VALUE"""),-0.451146377861292)</f>
        <v>-0.45114637786129203</v>
      </c>
      <c r="GS92" s="3">
        <f ca="1">IFERROR(__xludf.DUMMYFUNCTION("""COMPUTED_VALUE"""),-0.435559630171598)</f>
        <v>-0.43555963017159799</v>
      </c>
      <c r="GT92" s="3">
        <f ca="1">IFERROR(__xludf.DUMMYFUNCTION("""COMPUTED_VALUE"""),-0.370867188790481)</f>
        <v>-0.37086718879048097</v>
      </c>
      <c r="GU92" s="3">
        <f ca="1">IFERROR(__xludf.DUMMYFUNCTION("""COMPUTED_VALUE"""),-0.3578736293615)</f>
        <v>-0.35787362936150002</v>
      </c>
      <c r="GV92" s="3">
        <f ca="1">IFERROR(__xludf.DUMMYFUNCTION("""COMPUTED_VALUE"""),-0.365384098868249)</f>
        <v>-0.36538409886824902</v>
      </c>
      <c r="GW92" s="3">
        <f ca="1">IFERROR(__xludf.DUMMYFUNCTION("""COMPUTED_VALUE"""),-0.341731758365064)</f>
        <v>-0.34173175836506398</v>
      </c>
      <c r="GX92" s="3">
        <f ca="1">IFERROR(__xludf.DUMMYFUNCTION("""COMPUTED_VALUE"""),-0.33267989247227)</f>
        <v>-0.33267989247226998</v>
      </c>
      <c r="GY92" s="3">
        <f ca="1">IFERROR(__xludf.DUMMYFUNCTION("""COMPUTED_VALUE"""),-0.406070219360767)</f>
        <v>-0.40607021936076698</v>
      </c>
      <c r="GZ92" s="3">
        <f ca="1">IFERROR(__xludf.DUMMYFUNCTION("""COMPUTED_VALUE"""),-0.383780362025148)</f>
        <v>-0.38378036202514798</v>
      </c>
      <c r="HA92" s="3">
        <f ca="1">IFERROR(__xludf.DUMMYFUNCTION("""COMPUTED_VALUE"""),-0.332126307676804)</f>
        <v>-0.33212630767680401</v>
      </c>
      <c r="HB92" s="3">
        <f ca="1">IFERROR(__xludf.DUMMYFUNCTION("""COMPUTED_VALUE"""),-0.319594340999962)</f>
        <v>-0.31959434099996198</v>
      </c>
      <c r="HC92" s="3">
        <f ca="1">IFERROR(__xludf.DUMMYFUNCTION("""COMPUTED_VALUE"""),-0.315292826157111)</f>
        <v>-0.31529282615711102</v>
      </c>
      <c r="HD92" s="3">
        <f ca="1">IFERROR(__xludf.DUMMYFUNCTION("""COMPUTED_VALUE"""),-0.292592553459607)</f>
        <v>-0.292592553459607</v>
      </c>
      <c r="HE92" s="3">
        <f ca="1">IFERROR(__xludf.DUMMYFUNCTION("""COMPUTED_VALUE"""),-0.301053401895495)</f>
        <v>-0.30105340189549501</v>
      </c>
      <c r="HF92" s="3">
        <f ca="1">IFERROR(__xludf.DUMMYFUNCTION("""COMPUTED_VALUE"""),-0.43617641800871)</f>
        <v>-0.43617641800870999</v>
      </c>
      <c r="HG92" s="3">
        <f ca="1">IFERROR(__xludf.DUMMYFUNCTION("""COMPUTED_VALUE"""),-0.440781001530785)</f>
        <v>-0.44078100153078498</v>
      </c>
      <c r="HH92" s="3">
        <f ca="1">IFERROR(__xludf.DUMMYFUNCTION("""COMPUTED_VALUE"""),-0.35765865211587)</f>
        <v>-0.35765865211587</v>
      </c>
      <c r="HI92" s="3">
        <f ca="1">IFERROR(__xludf.DUMMYFUNCTION("""COMPUTED_VALUE"""),-0.259172373714017)</f>
        <v>-0.25917237371401702</v>
      </c>
      <c r="HJ92" s="3">
        <f ca="1">IFERROR(__xludf.DUMMYFUNCTION("""COMPUTED_VALUE"""),-0.43365658150087)</f>
        <v>-0.43365658150087</v>
      </c>
      <c r="HK92" s="3">
        <f ca="1">IFERROR(__xludf.DUMMYFUNCTION("""COMPUTED_VALUE"""),-0.499960725678781)</f>
        <v>-0.49996072567878103</v>
      </c>
      <c r="HL92" s="3">
        <f ca="1">IFERROR(__xludf.DUMMYFUNCTION("""COMPUTED_VALUE"""),-0.441733019999887)</f>
        <v>-0.44173301999988701</v>
      </c>
      <c r="HM92" s="3">
        <f ca="1">IFERROR(__xludf.DUMMYFUNCTION("""COMPUTED_VALUE"""),-0.314613823108981)</f>
        <v>-0.31461382310898101</v>
      </c>
      <c r="HN92" s="3">
        <f ca="1">IFERROR(__xludf.DUMMYFUNCTION("""COMPUTED_VALUE"""),-0.362464437296814)</f>
        <v>-0.36246443729681399</v>
      </c>
      <c r="HO92" s="3">
        <f ca="1">IFERROR(__xludf.DUMMYFUNCTION("""COMPUTED_VALUE"""),-0.44374778817602)</f>
        <v>-0.44374778817602001</v>
      </c>
      <c r="HP92" s="3">
        <f ca="1">IFERROR(__xludf.DUMMYFUNCTION("""COMPUTED_VALUE"""),-0.419459684715905)</f>
        <v>-0.419459684715905</v>
      </c>
      <c r="HQ92" s="3">
        <f ca="1">IFERROR(__xludf.DUMMYFUNCTION("""COMPUTED_VALUE"""),-0.460747506950977)</f>
        <v>-0.46074750695097699</v>
      </c>
      <c r="HR92" s="3">
        <f ca="1">IFERROR(__xludf.DUMMYFUNCTION("""COMPUTED_VALUE"""),-0.519648021673554)</f>
        <v>-0.51964802167355395</v>
      </c>
      <c r="HS92" s="3">
        <f ca="1">IFERROR(__xludf.DUMMYFUNCTION("""COMPUTED_VALUE"""),-0.423750025692528)</f>
        <v>-0.42375002569252801</v>
      </c>
      <c r="HT92" s="3">
        <f ca="1">IFERROR(__xludf.DUMMYFUNCTION("""COMPUTED_VALUE"""),-0.444213016951355)</f>
        <v>-0.44421301695135501</v>
      </c>
      <c r="HU92" s="3">
        <f ca="1">IFERROR(__xludf.DUMMYFUNCTION("""COMPUTED_VALUE"""),-0.412944496791491)</f>
        <v>-0.41294449679149098</v>
      </c>
      <c r="HV92" s="3">
        <f ca="1">IFERROR(__xludf.DUMMYFUNCTION("""COMPUTED_VALUE"""),-0.402296780909137)</f>
        <v>-0.40229678090913701</v>
      </c>
      <c r="HW92" s="3">
        <f ca="1">IFERROR(__xludf.DUMMYFUNCTION("""COMPUTED_VALUE"""),-0.39501858085642)</f>
        <v>-0.39501858085642</v>
      </c>
      <c r="HX92" s="3">
        <f ca="1">IFERROR(__xludf.DUMMYFUNCTION("""COMPUTED_VALUE"""),-0.403881276372842)</f>
        <v>-0.40388127637284199</v>
      </c>
      <c r="HY92" s="3">
        <f ca="1">IFERROR(__xludf.DUMMYFUNCTION("""COMPUTED_VALUE"""),-0.435455759904085)</f>
        <v>-0.43545575990408503</v>
      </c>
      <c r="HZ92" s="3">
        <f ca="1">IFERROR(__xludf.DUMMYFUNCTION("""COMPUTED_VALUE"""),-0.251021443416616)</f>
        <v>-0.25102144341661597</v>
      </c>
      <c r="IA92" s="3">
        <f ca="1">IFERROR(__xludf.DUMMYFUNCTION("""COMPUTED_VALUE"""),-0.334482054547955)</f>
        <v>-0.33448205454795499</v>
      </c>
      <c r="IB92" s="3">
        <f ca="1">IFERROR(__xludf.DUMMYFUNCTION("""COMPUTED_VALUE"""),-0.331106628760778)</f>
        <v>-0.33110662876077801</v>
      </c>
      <c r="IC92" s="3">
        <f ca="1">IFERROR(__xludf.DUMMYFUNCTION("""COMPUTED_VALUE"""),-0.372885724065283)</f>
        <v>-0.37288572406528298</v>
      </c>
      <c r="ID92" s="3">
        <f ca="1">IFERROR(__xludf.DUMMYFUNCTION("""COMPUTED_VALUE"""),-0.376817315692672)</f>
        <v>-0.37681731569267202</v>
      </c>
      <c r="IE92" s="3">
        <f ca="1">IFERROR(__xludf.DUMMYFUNCTION("""COMPUTED_VALUE"""),-0.359361919860314)</f>
        <v>-0.35936191986031402</v>
      </c>
      <c r="IF92" s="3">
        <f ca="1">IFERROR(__xludf.DUMMYFUNCTION("""COMPUTED_VALUE"""),-0.295700822440789)</f>
        <v>-0.29570082244078899</v>
      </c>
      <c r="IG92" s="3">
        <f ca="1">IFERROR(__xludf.DUMMYFUNCTION("""COMPUTED_VALUE"""),-0.273103002541448)</f>
        <v>-0.27310300254144798</v>
      </c>
      <c r="IH92" s="3">
        <f ca="1">IFERROR(__xludf.DUMMYFUNCTION("""COMPUTED_VALUE"""),-0.241327477188186)</f>
        <v>-0.24132747718818601</v>
      </c>
      <c r="II92" s="3">
        <f ca="1">IFERROR(__xludf.DUMMYFUNCTION("""COMPUTED_VALUE"""),-0.265915089394573)</f>
        <v>-0.26591508939457298</v>
      </c>
      <c r="IJ92" s="3">
        <f ca="1">IFERROR(__xludf.DUMMYFUNCTION("""COMPUTED_VALUE"""),-0.312931847877487)</f>
        <v>-0.31293184787748701</v>
      </c>
      <c r="IK92" s="3">
        <f ca="1">IFERROR(__xludf.DUMMYFUNCTION("""COMPUTED_VALUE"""),-0.305513565949275)</f>
        <v>-0.30551356594927498</v>
      </c>
      <c r="IL92" s="3">
        <f ca="1">IFERROR(__xludf.DUMMYFUNCTION("""COMPUTED_VALUE"""),-0.324994637944102)</f>
        <v>-0.32499463794410199</v>
      </c>
      <c r="IM92" s="3">
        <f ca="1">IFERROR(__xludf.DUMMYFUNCTION("""COMPUTED_VALUE"""),-0.245402649842203)</f>
        <v>-0.245402649842203</v>
      </c>
      <c r="IN92" s="3">
        <f ca="1">IFERROR(__xludf.DUMMYFUNCTION("""COMPUTED_VALUE"""),-0.16525883934433)</f>
        <v>-0.16525883934433</v>
      </c>
      <c r="IO92" s="3">
        <f ca="1">IFERROR(__xludf.DUMMYFUNCTION("""COMPUTED_VALUE"""),-0.275162484565486)</f>
        <v>-0.27516248456548598</v>
      </c>
      <c r="IP92" s="3">
        <f ca="1">IFERROR(__xludf.DUMMYFUNCTION("""COMPUTED_VALUE"""),-0.307116404816228)</f>
        <v>-0.30711640481622798</v>
      </c>
      <c r="IQ92" s="3">
        <f ca="1">IFERROR(__xludf.DUMMYFUNCTION("""COMPUTED_VALUE"""),-0.304047237869056)</f>
        <v>-0.30404723786905602</v>
      </c>
      <c r="IR92" s="3">
        <f ca="1">IFERROR(__xludf.DUMMYFUNCTION("""COMPUTED_VALUE"""),-0.347168671562711)</f>
        <v>-0.34716867156271097</v>
      </c>
      <c r="IS92" s="3">
        <f ca="1">IFERROR(__xludf.DUMMYFUNCTION("""COMPUTED_VALUE"""),-0.3339035133081)</f>
        <v>-0.33390351330809998</v>
      </c>
      <c r="IT92" s="3">
        <f ca="1">IFERROR(__xludf.DUMMYFUNCTION("""COMPUTED_VALUE"""),-0.300665926596477)</f>
        <v>-0.30066592659647701</v>
      </c>
      <c r="IU92" s="3">
        <f ca="1">IFERROR(__xludf.DUMMYFUNCTION("""COMPUTED_VALUE"""),-0.193677359941297)</f>
        <v>-0.19367735994129701</v>
      </c>
      <c r="IV92" s="3">
        <f ca="1">IFERROR(__xludf.DUMMYFUNCTION("""COMPUTED_VALUE"""),-0.295725311639198)</f>
        <v>-0.29572531163919802</v>
      </c>
      <c r="IW92" s="3">
        <f ca="1">IFERROR(__xludf.DUMMYFUNCTION("""COMPUTED_VALUE"""),-0.352972189041403)</f>
        <v>-0.35297218904140298</v>
      </c>
      <c r="IX92" s="3">
        <f ca="1">IFERROR(__xludf.DUMMYFUNCTION("""COMPUTED_VALUE"""),-0.316946117786637)</f>
        <v>-0.316946117786637</v>
      </c>
      <c r="IY92" s="3">
        <f ca="1">IFERROR(__xludf.DUMMYFUNCTION("""COMPUTED_VALUE"""),-0.331898812277627)</f>
        <v>-0.33189881227762702</v>
      </c>
      <c r="IZ92" s="3">
        <f ca="1">IFERROR(__xludf.DUMMYFUNCTION("""COMPUTED_VALUE"""),-0.333665225883884)</f>
        <v>-0.33366522588388398</v>
      </c>
      <c r="JA92" s="3">
        <f ca="1">IFERROR(__xludf.DUMMYFUNCTION("""COMPUTED_VALUE"""),-0.369860728643488)</f>
        <v>-0.36986072864348801</v>
      </c>
      <c r="JB92" s="3">
        <f ca="1">IFERROR(__xludf.DUMMYFUNCTION("""COMPUTED_VALUE"""),-0.304200352907528)</f>
        <v>-0.304200352907528</v>
      </c>
      <c r="JC92" s="3">
        <f ca="1">IFERROR(__xludf.DUMMYFUNCTION("""COMPUTED_VALUE"""),-0.378804194768789)</f>
        <v>-0.37880419476878902</v>
      </c>
      <c r="JD92" s="3">
        <f ca="1">IFERROR(__xludf.DUMMYFUNCTION("""COMPUTED_VALUE"""),-0.392903682648161)</f>
        <v>-0.392903682648161</v>
      </c>
      <c r="JE92" s="3">
        <f ca="1">IFERROR(__xludf.DUMMYFUNCTION("""COMPUTED_VALUE"""),-0.335426278888752)</f>
        <v>-0.33542627888875198</v>
      </c>
      <c r="JF92" s="3">
        <f ca="1">IFERROR(__xludf.DUMMYFUNCTION("""COMPUTED_VALUE"""),-0.413670601212839)</f>
        <v>-0.413670601212839</v>
      </c>
      <c r="JG92" s="3">
        <f ca="1">IFERROR(__xludf.DUMMYFUNCTION("""COMPUTED_VALUE"""),-0.375270965472331)</f>
        <v>-0.37527096547233102</v>
      </c>
      <c r="JH92" s="3">
        <f ca="1">IFERROR(__xludf.DUMMYFUNCTION("""COMPUTED_VALUE"""),-0.328603608878934)</f>
        <v>-0.32860360887893397</v>
      </c>
      <c r="JI92" s="3">
        <f ca="1">IFERROR(__xludf.DUMMYFUNCTION("""COMPUTED_VALUE"""),-0.269925046442342)</f>
        <v>-0.269925046442342</v>
      </c>
      <c r="JJ92" s="3">
        <f ca="1">IFERROR(__xludf.DUMMYFUNCTION("""COMPUTED_VALUE"""),-0.332848976466306)</f>
        <v>-0.33284897646630601</v>
      </c>
      <c r="JK92" s="3">
        <f ca="1">IFERROR(__xludf.DUMMYFUNCTION("""COMPUTED_VALUE"""),-0.397731413380565)</f>
        <v>-0.397731413380565</v>
      </c>
      <c r="JL92" s="3">
        <f ca="1">IFERROR(__xludf.DUMMYFUNCTION("""COMPUTED_VALUE"""),-0.407083628202193)</f>
        <v>-0.40708362820219302</v>
      </c>
      <c r="JM92" s="3">
        <f ca="1">IFERROR(__xludf.DUMMYFUNCTION("""COMPUTED_VALUE"""),-0.330536359163936)</f>
        <v>-0.33053635916393598</v>
      </c>
      <c r="JN92" s="3">
        <f ca="1">IFERROR(__xludf.DUMMYFUNCTION("""COMPUTED_VALUE"""),-0.343323738068307)</f>
        <v>-0.34332373806830702</v>
      </c>
      <c r="JO92" s="3">
        <f ca="1">IFERROR(__xludf.DUMMYFUNCTION("""COMPUTED_VALUE"""),-0.295217835262465)</f>
        <v>-0.29521783526246498</v>
      </c>
      <c r="JP92" s="3">
        <f ca="1">IFERROR(__xludf.DUMMYFUNCTION("""COMPUTED_VALUE"""),-0.339233114806785)</f>
        <v>-0.33923311480678497</v>
      </c>
      <c r="JQ92" s="3">
        <f ca="1">IFERROR(__xludf.DUMMYFUNCTION("""COMPUTED_VALUE"""),-0.338751454811552)</f>
        <v>-0.338751454811552</v>
      </c>
      <c r="JR92" s="3">
        <f ca="1">IFERROR(__xludf.DUMMYFUNCTION("""COMPUTED_VALUE"""),-0.37150856866407)</f>
        <v>-0.37150856866407</v>
      </c>
      <c r="JS92" s="3">
        <f ca="1">IFERROR(__xludf.DUMMYFUNCTION("""COMPUTED_VALUE"""),-0.414787988889748)</f>
        <v>-0.41478798888974799</v>
      </c>
      <c r="JT92" s="3">
        <f ca="1">IFERROR(__xludf.DUMMYFUNCTION("""COMPUTED_VALUE"""),-0.442545370081013)</f>
        <v>-0.44254537008101302</v>
      </c>
      <c r="JU92" s="3">
        <f ca="1">IFERROR(__xludf.DUMMYFUNCTION("""COMPUTED_VALUE"""),-0.41311109371772)</f>
        <v>-0.41311109371771998</v>
      </c>
      <c r="JV92" s="3">
        <f ca="1">IFERROR(__xludf.DUMMYFUNCTION("""COMPUTED_VALUE"""),-0.334972965564807)</f>
        <v>-0.33497296556480699</v>
      </c>
      <c r="JW92" s="3">
        <f ca="1">IFERROR(__xludf.DUMMYFUNCTION("""COMPUTED_VALUE"""),-0.330480204183263)</f>
        <v>-0.33048020418326302</v>
      </c>
      <c r="JX92" s="3">
        <f ca="1">IFERROR(__xludf.DUMMYFUNCTION("""COMPUTED_VALUE"""),-0.325150394794767)</f>
        <v>-0.32515039479476698</v>
      </c>
      <c r="JY92" s="3">
        <f ca="1">IFERROR(__xludf.DUMMYFUNCTION("""COMPUTED_VALUE"""),-0.375376074452369)</f>
        <v>-0.37537607445236898</v>
      </c>
      <c r="JZ92" s="3">
        <f ca="1">IFERROR(__xludf.DUMMYFUNCTION("""COMPUTED_VALUE"""),-0.421105585523747)</f>
        <v>-0.42110558552374699</v>
      </c>
      <c r="KA92" s="3">
        <f ca="1">IFERROR(__xludf.DUMMYFUNCTION("""COMPUTED_VALUE"""),-0.470590193617857)</f>
        <v>-0.47059019361785698</v>
      </c>
      <c r="KB92" s="3">
        <f ca="1">IFERROR(__xludf.DUMMYFUNCTION("""COMPUTED_VALUE"""),-0.499402380268847)</f>
        <v>-0.49940238026884698</v>
      </c>
      <c r="KC92" s="3">
        <f ca="1">IFERROR(__xludf.DUMMYFUNCTION("""COMPUTED_VALUE"""),-0.370460081320285)</f>
        <v>-0.37046008132028502</v>
      </c>
      <c r="KD92" s="3">
        <f ca="1">IFERROR(__xludf.DUMMYFUNCTION("""COMPUTED_VALUE"""),-0.418767256488093)</f>
        <v>-0.41876725648809299</v>
      </c>
      <c r="KE92" s="3">
        <f ca="1">IFERROR(__xludf.DUMMYFUNCTION("""COMPUTED_VALUE"""),-0.347612272325575)</f>
        <v>-0.34761227232557501</v>
      </c>
      <c r="KF92" s="3">
        <f ca="1">IFERROR(__xludf.DUMMYFUNCTION("""COMPUTED_VALUE"""),-0.375910070437965)</f>
        <v>-0.37591007043796498</v>
      </c>
      <c r="KG92" s="3">
        <f ca="1">IFERROR(__xludf.DUMMYFUNCTION("""COMPUTED_VALUE"""),-0.399041589010665)</f>
        <v>-0.399041589010665</v>
      </c>
      <c r="KH92" s="3">
        <f ca="1">IFERROR(__xludf.DUMMYFUNCTION("""COMPUTED_VALUE"""),-0.384883148810963)</f>
        <v>-0.38488314881096303</v>
      </c>
      <c r="KI92" s="3">
        <f ca="1">IFERROR(__xludf.DUMMYFUNCTION("""COMPUTED_VALUE"""),-0.418645952670242)</f>
        <v>-0.41864595267024202</v>
      </c>
      <c r="KJ92" s="3">
        <f ca="1">IFERROR(__xludf.DUMMYFUNCTION("""COMPUTED_VALUE"""),-0.365108829355598)</f>
        <v>-0.36510882935559802</v>
      </c>
      <c r="KK92" s="3">
        <f ca="1">IFERROR(__xludf.DUMMYFUNCTION("""COMPUTED_VALUE"""),-0.378295903599795)</f>
        <v>-0.37829590359979498</v>
      </c>
      <c r="KL92" s="3">
        <f ca="1">IFERROR(__xludf.DUMMYFUNCTION("""COMPUTED_VALUE"""),-0.482676121628305)</f>
        <v>-0.48267612162830498</v>
      </c>
      <c r="KM92" s="3">
        <f ca="1">IFERROR(__xludf.DUMMYFUNCTION("""COMPUTED_VALUE"""),-0.485566924441834)</f>
        <v>-0.48556692444183402</v>
      </c>
      <c r="KN92" s="3">
        <f ca="1">IFERROR(__xludf.DUMMYFUNCTION("""COMPUTED_VALUE"""),-0.453185709175485)</f>
        <v>-0.45318570917548501</v>
      </c>
      <c r="KO92" s="3">
        <f ca="1">IFERROR(__xludf.DUMMYFUNCTION("""COMPUTED_VALUE"""),-0.426732110639702)</f>
        <v>-0.42673211063970201</v>
      </c>
      <c r="KP92" s="3">
        <f ca="1">IFERROR(__xludf.DUMMYFUNCTION("""COMPUTED_VALUE"""),-0.471993411914643)</f>
        <v>-0.471993411914643</v>
      </c>
      <c r="KQ92" s="3">
        <f ca="1">IFERROR(__xludf.DUMMYFUNCTION("""COMPUTED_VALUE"""),-0.441260273719658)</f>
        <v>-0.44126027371965798</v>
      </c>
      <c r="KR92" s="3">
        <f ca="1">IFERROR(__xludf.DUMMYFUNCTION("""COMPUTED_VALUE"""),-0.518760580651602)</f>
        <v>-0.51876058065160202</v>
      </c>
      <c r="KS92" s="3">
        <f ca="1">IFERROR(__xludf.DUMMYFUNCTION("""COMPUTED_VALUE"""),-0.520618102343272)</f>
        <v>-0.52061810234327199</v>
      </c>
      <c r="KT92" s="3">
        <f ca="1">IFERROR(__xludf.DUMMYFUNCTION("""COMPUTED_VALUE"""),-0.469397037083701)</f>
        <v>-0.46939703708370101</v>
      </c>
      <c r="KU92" s="3">
        <f ca="1">IFERROR(__xludf.DUMMYFUNCTION("""COMPUTED_VALUE"""),-0.543857519843896)</f>
        <v>-0.54385751984389596</v>
      </c>
      <c r="KV92" s="3">
        <f ca="1">IFERROR(__xludf.DUMMYFUNCTION("""COMPUTED_VALUE"""),-0.455524632687811)</f>
        <v>-0.45552463268781102</v>
      </c>
      <c r="KW92" s="3">
        <f ca="1">IFERROR(__xludf.DUMMYFUNCTION("""COMPUTED_VALUE"""),-0.419312665276994)</f>
        <v>-0.41931266527699401</v>
      </c>
      <c r="KX92" s="3">
        <f ca="1">IFERROR(__xludf.DUMMYFUNCTION("""COMPUTED_VALUE"""),-0.528974298579727)</f>
        <v>-0.528974298579727</v>
      </c>
      <c r="KY92" s="3">
        <f ca="1">IFERROR(__xludf.DUMMYFUNCTION("""COMPUTED_VALUE"""),-0.48295837902081)</f>
        <v>-0.48295837902081001</v>
      </c>
      <c r="KZ92" s="3">
        <f ca="1">IFERROR(__xludf.DUMMYFUNCTION("""COMPUTED_VALUE"""),-0.494361036476248)</f>
        <v>-0.49436103647624802</v>
      </c>
      <c r="LA92" s="3">
        <f ca="1">IFERROR(__xludf.DUMMYFUNCTION("""COMPUTED_VALUE"""),-0.524314930086437)</f>
        <v>-0.52431493008643704</v>
      </c>
      <c r="LB92" s="3">
        <f ca="1">IFERROR(__xludf.DUMMYFUNCTION("""COMPUTED_VALUE"""),-0.533378104552884)</f>
        <v>-0.53337810455288404</v>
      </c>
      <c r="LC92" s="3">
        <f ca="1">IFERROR(__xludf.DUMMYFUNCTION("""COMPUTED_VALUE"""),-0.444724341334428)</f>
        <v>-0.44472434133442801</v>
      </c>
      <c r="LD92" s="3">
        <f ca="1">IFERROR(__xludf.DUMMYFUNCTION("""COMPUTED_VALUE"""),-0.515846796595724)</f>
        <v>-0.51584679659572397</v>
      </c>
      <c r="LE92" s="3">
        <f ca="1">IFERROR(__xludf.DUMMYFUNCTION("""COMPUTED_VALUE"""),-0.535334111631018)</f>
        <v>-0.53533411163101796</v>
      </c>
      <c r="LF92" s="3">
        <f ca="1">IFERROR(__xludf.DUMMYFUNCTION("""COMPUTED_VALUE"""),-0.513537570233779)</f>
        <v>-0.51353757023377899</v>
      </c>
      <c r="LG92" s="3">
        <f ca="1">IFERROR(__xludf.DUMMYFUNCTION("""COMPUTED_VALUE"""),-0.425611732427911)</f>
        <v>-0.425611732427911</v>
      </c>
      <c r="LH92" s="3">
        <f ca="1">IFERROR(__xludf.DUMMYFUNCTION("""COMPUTED_VALUE"""),-0.463279914182832)</f>
        <v>-0.46327991418283199</v>
      </c>
      <c r="LI92" s="3">
        <f ca="1">IFERROR(__xludf.DUMMYFUNCTION("""COMPUTED_VALUE"""),-0.521608584343372)</f>
        <v>-0.52160858434337198</v>
      </c>
      <c r="LJ92" s="3">
        <f ca="1">IFERROR(__xludf.DUMMYFUNCTION("""COMPUTED_VALUE"""),-0.49365565234285)</f>
        <v>-0.49365565234285003</v>
      </c>
      <c r="LK92" s="3">
        <f ca="1">IFERROR(__xludf.DUMMYFUNCTION("""COMPUTED_VALUE"""),-0.512663897358379)</f>
        <v>-0.51266389735837903</v>
      </c>
      <c r="LL92" s="3">
        <f ca="1">IFERROR(__xludf.DUMMYFUNCTION("""COMPUTED_VALUE"""),-0.482466373445944)</f>
        <v>-0.48246637344594401</v>
      </c>
      <c r="LM92" s="3">
        <f ca="1">IFERROR(__xludf.DUMMYFUNCTION("""COMPUTED_VALUE"""),-0.534083739859143)</f>
        <v>-0.53408373985914304</v>
      </c>
      <c r="LN92" s="3">
        <f ca="1">IFERROR(__xludf.DUMMYFUNCTION("""COMPUTED_VALUE"""),-0.568440506868422)</f>
        <v>-0.56844050686842196</v>
      </c>
      <c r="LO92" s="3">
        <f ca="1">IFERROR(__xludf.DUMMYFUNCTION("""COMPUTED_VALUE"""),-0.585856729679604)</f>
        <v>-0.585856729679604</v>
      </c>
      <c r="LP92" s="3">
        <f ca="1">IFERROR(__xludf.DUMMYFUNCTION("""COMPUTED_VALUE"""),-0.58268927498894)</f>
        <v>-0.58268927498893996</v>
      </c>
      <c r="LQ92" s="3">
        <f ca="1">IFERROR(__xludf.DUMMYFUNCTION("""COMPUTED_VALUE"""),-0.547830042660918)</f>
        <v>-0.54783004266091795</v>
      </c>
      <c r="LR92" s="3">
        <f ca="1">IFERROR(__xludf.DUMMYFUNCTION("""COMPUTED_VALUE"""),-0.636228014456462)</f>
        <v>-0.63622801445646204</v>
      </c>
      <c r="LS92" s="3">
        <f ca="1">IFERROR(__xludf.DUMMYFUNCTION("""COMPUTED_VALUE"""),-0.602038961476396)</f>
        <v>-0.60203896147639602</v>
      </c>
      <c r="LT92" s="3">
        <f ca="1">IFERROR(__xludf.DUMMYFUNCTION("""COMPUTED_VALUE"""),-0.648903108948579)</f>
        <v>-0.64890310894857905</v>
      </c>
      <c r="LU92" s="3">
        <f ca="1">IFERROR(__xludf.DUMMYFUNCTION("""COMPUTED_VALUE"""),-0.652773066218608)</f>
        <v>-0.65277306621860798</v>
      </c>
      <c r="LV92" s="3">
        <f ca="1">IFERROR(__xludf.DUMMYFUNCTION("""COMPUTED_VALUE"""),-0.675143510158136)</f>
        <v>-0.67514351015813601</v>
      </c>
      <c r="LW92" s="3">
        <f ca="1">IFERROR(__xludf.DUMMYFUNCTION("""COMPUTED_VALUE"""),-0.673399722880844)</f>
        <v>-0.67339972288084404</v>
      </c>
      <c r="LX92" s="3">
        <f ca="1">IFERROR(__xludf.DUMMYFUNCTION("""COMPUTED_VALUE"""),-0.661522282243878)</f>
        <v>-0.66152228224387799</v>
      </c>
      <c r="LY92" s="3">
        <f ca="1">IFERROR(__xludf.DUMMYFUNCTION("""COMPUTED_VALUE"""),-0.660350005204729)</f>
        <v>-0.66035000520472897</v>
      </c>
      <c r="LZ92" s="3">
        <f ca="1">IFERROR(__xludf.DUMMYFUNCTION("""COMPUTED_VALUE"""),-0.633172542694079)</f>
        <v>-0.63317254269407897</v>
      </c>
      <c r="MA92" s="3">
        <f ca="1">IFERROR(__xludf.DUMMYFUNCTION("""COMPUTED_VALUE"""),-0.62858157444416)</f>
        <v>-0.62858157444415996</v>
      </c>
      <c r="MB92" s="3">
        <f ca="1">IFERROR(__xludf.DUMMYFUNCTION("""COMPUTED_VALUE"""),-0.58838041812614)</f>
        <v>-0.58838041812613995</v>
      </c>
      <c r="MC92" s="3">
        <f ca="1">IFERROR(__xludf.DUMMYFUNCTION("""COMPUTED_VALUE"""),-0.653308221030522)</f>
        <v>-0.653308221030522</v>
      </c>
      <c r="MD92" s="3">
        <f ca="1">IFERROR(__xludf.DUMMYFUNCTION("""COMPUTED_VALUE"""),-0.658793869481264)</f>
        <v>-0.65879386948126395</v>
      </c>
      <c r="ME92" s="3">
        <f ca="1">IFERROR(__xludf.DUMMYFUNCTION("""COMPUTED_VALUE"""),-0.717520511021362)</f>
        <v>-0.71752051102136205</v>
      </c>
      <c r="MF92" s="3">
        <f ca="1">IFERROR(__xludf.DUMMYFUNCTION("""COMPUTED_VALUE"""),-0.685620878843996)</f>
        <v>-0.68562087884399603</v>
      </c>
      <c r="MG92" s="3">
        <f ca="1">IFERROR(__xludf.DUMMYFUNCTION("""COMPUTED_VALUE"""),-0.688976777475434)</f>
        <v>-0.68897677747543395</v>
      </c>
      <c r="MH92" s="3">
        <f ca="1">IFERROR(__xludf.DUMMYFUNCTION("""COMPUTED_VALUE"""),-0.729408643823088)</f>
        <v>-0.72940864382308801</v>
      </c>
      <c r="MI92" s="3">
        <f ca="1">IFERROR(__xludf.DUMMYFUNCTION("""COMPUTED_VALUE"""),-0.701445280833154)</f>
        <v>-0.70144528083315405</v>
      </c>
      <c r="MJ92" s="3">
        <f ca="1">IFERROR(__xludf.DUMMYFUNCTION("""COMPUTED_VALUE"""),-0.698305749729377)</f>
        <v>-0.69830574972937698</v>
      </c>
      <c r="MK92" s="3">
        <f ca="1">IFERROR(__xludf.DUMMYFUNCTION("""COMPUTED_VALUE"""),-0.717030796242437)</f>
        <v>-0.71703079624243704</v>
      </c>
      <c r="ML92" s="3">
        <f ca="1">IFERROR(__xludf.DUMMYFUNCTION("""COMPUTED_VALUE"""),-0.697244775122397)</f>
        <v>-0.69724477512239702</v>
      </c>
      <c r="MM92" s="3">
        <f ca="1">IFERROR(__xludf.DUMMYFUNCTION("""COMPUTED_VALUE"""),-0.756516204330128)</f>
        <v>-0.75651620433012801</v>
      </c>
      <c r="MN92" s="3">
        <f ca="1">IFERROR(__xludf.DUMMYFUNCTION("""COMPUTED_VALUE"""),-0.736219438073953)</f>
        <v>-0.73621943807395296</v>
      </c>
      <c r="MO92" s="3">
        <f ca="1">IFERROR(__xludf.DUMMYFUNCTION("""COMPUTED_VALUE"""),-0.723355615279616)</f>
        <v>-0.723355615279616</v>
      </c>
      <c r="MP92" s="3">
        <f ca="1">IFERROR(__xludf.DUMMYFUNCTION("""COMPUTED_VALUE"""),-0.726945809549063)</f>
        <v>-0.72694580954906296</v>
      </c>
      <c r="MQ92" s="3">
        <f ca="1">IFERROR(__xludf.DUMMYFUNCTION("""COMPUTED_VALUE"""),-0.733580731177687)</f>
        <v>-0.73358073117768696</v>
      </c>
      <c r="MR92" s="3">
        <f ca="1">IFERROR(__xludf.DUMMYFUNCTION("""COMPUTED_VALUE"""),-0.694652234231862)</f>
        <v>-0.69465223423186195</v>
      </c>
      <c r="MS92" s="3">
        <f ca="1">IFERROR(__xludf.DUMMYFUNCTION("""COMPUTED_VALUE"""),-0.775247039632456)</f>
        <v>-0.775247039632456</v>
      </c>
      <c r="MT92" s="3">
        <f ca="1">IFERROR(__xludf.DUMMYFUNCTION("""COMPUTED_VALUE"""),-0.770765942105189)</f>
        <v>-0.77076594210518901</v>
      </c>
      <c r="MU92" s="3">
        <f ca="1">IFERROR(__xludf.DUMMYFUNCTION("""COMPUTED_VALUE"""),-0.749188430669596)</f>
        <v>-0.74918843066959595</v>
      </c>
      <c r="MV92" s="3">
        <f ca="1">IFERROR(__xludf.DUMMYFUNCTION("""COMPUTED_VALUE"""),-0.687937002065715)</f>
        <v>-0.68793700206571495</v>
      </c>
      <c r="MW92" s="3">
        <f ca="1">IFERROR(__xludf.DUMMYFUNCTION("""COMPUTED_VALUE"""),-0.717664213006545)</f>
        <v>-0.71766421300654504</v>
      </c>
      <c r="MX92" s="3">
        <f ca="1">IFERROR(__xludf.DUMMYFUNCTION("""COMPUTED_VALUE"""),-0.743414738167695)</f>
        <v>-0.74341473816769499</v>
      </c>
      <c r="MY92" s="3">
        <f ca="1">IFERROR(__xludf.DUMMYFUNCTION("""COMPUTED_VALUE"""),-0.685134405730607)</f>
        <v>-0.68513440573060702</v>
      </c>
      <c r="MZ92" s="3">
        <f ca="1">IFERROR(__xludf.DUMMYFUNCTION("""COMPUTED_VALUE"""),-0.775835763747425)</f>
        <v>-0.77583576374742502</v>
      </c>
      <c r="NA92" s="3">
        <f ca="1">IFERROR(__xludf.DUMMYFUNCTION("""COMPUTED_VALUE"""),-0.763697255555644)</f>
        <v>-0.76369725555564405</v>
      </c>
      <c r="NB92" s="3">
        <f ca="1">IFERROR(__xludf.DUMMYFUNCTION("""COMPUTED_VALUE"""),-0.740590076156803)</f>
        <v>-0.74059007615680295</v>
      </c>
      <c r="NC92" s="3">
        <f ca="1">IFERROR(__xludf.DUMMYFUNCTION("""COMPUTED_VALUE"""),-0.718380552333837)</f>
        <v>-0.71838055233383702</v>
      </c>
      <c r="ND92" s="3">
        <f ca="1">IFERROR(__xludf.DUMMYFUNCTION("""COMPUTED_VALUE"""),-0.779858561774244)</f>
        <v>-0.77985856177424395</v>
      </c>
      <c r="NE92" s="3">
        <f ca="1">IFERROR(__xludf.DUMMYFUNCTION("""COMPUTED_VALUE"""),-0.722125629529687)</f>
        <v>-0.72212562952968695</v>
      </c>
      <c r="NF92" s="3">
        <f ca="1">IFERROR(__xludf.DUMMYFUNCTION("""COMPUTED_VALUE"""),-0.670521861185714)</f>
        <v>-0.670521861185714</v>
      </c>
      <c r="NG92" s="3">
        <f ca="1">IFERROR(__xludf.DUMMYFUNCTION("""COMPUTED_VALUE"""),-0.780267698811906)</f>
        <v>-0.78026769881190605</v>
      </c>
      <c r="NH92" s="3">
        <f ca="1">IFERROR(__xludf.DUMMYFUNCTION("""COMPUTED_VALUE"""),-0.778391850245035)</f>
        <v>-0.77839185024503499</v>
      </c>
      <c r="NI92" s="3">
        <f ca="1">IFERROR(__xludf.DUMMYFUNCTION("""COMPUTED_VALUE"""),-0.780361379577681)</f>
        <v>-0.78036137957768104</v>
      </c>
      <c r="NJ92" s="3">
        <f ca="1">IFERROR(__xludf.DUMMYFUNCTION("""COMPUTED_VALUE"""),-0.781635242926626)</f>
        <v>-0.78163524292662601</v>
      </c>
      <c r="NK92" s="3">
        <f ca="1">IFERROR(__xludf.DUMMYFUNCTION("""COMPUTED_VALUE"""),-0.721410217734017)</f>
        <v>-0.72141021773401703</v>
      </c>
      <c r="NL92" s="3">
        <f ca="1">IFERROR(__xludf.DUMMYFUNCTION("""COMPUTED_VALUE"""),-0.756700935299733)</f>
        <v>-0.75670093529973304</v>
      </c>
      <c r="NM92" s="3">
        <f ca="1">IFERROR(__xludf.DUMMYFUNCTION("""COMPUTED_VALUE"""),-0.782518523964228)</f>
        <v>-0.78251852396422805</v>
      </c>
      <c r="NN92" s="3">
        <f ca="1">IFERROR(__xludf.DUMMYFUNCTION("""COMPUTED_VALUE"""),-0.756784875935482)</f>
        <v>-0.75678487593548205</v>
      </c>
      <c r="NO92" s="3">
        <f ca="1">IFERROR(__xludf.DUMMYFUNCTION("""COMPUTED_VALUE"""),-0.754489305966287)</f>
        <v>-0.75448930596628705</v>
      </c>
      <c r="NP92" s="3">
        <f ca="1">IFERROR(__xludf.DUMMYFUNCTION("""COMPUTED_VALUE"""),-0.731610243731454)</f>
        <v>-0.731610243731454</v>
      </c>
      <c r="NQ92" s="3">
        <f ca="1">IFERROR(__xludf.DUMMYFUNCTION("""COMPUTED_VALUE"""),-0.77255269739724)</f>
        <v>-0.77255269739723997</v>
      </c>
      <c r="NR92" s="3">
        <f ca="1">IFERROR(__xludf.DUMMYFUNCTION("""COMPUTED_VALUE"""),-0.748692536379793)</f>
        <v>-0.74869253637979305</v>
      </c>
      <c r="NS92" s="3">
        <f ca="1">IFERROR(__xludf.DUMMYFUNCTION("""COMPUTED_VALUE"""),-0.738182084663815)</f>
        <v>-0.73818208466381496</v>
      </c>
      <c r="NT92" s="3">
        <f ca="1">IFERROR(__xludf.DUMMYFUNCTION("""COMPUTED_VALUE"""),-0.76577433321082)</f>
        <v>-0.76577433321082</v>
      </c>
      <c r="NU92" s="3">
        <f ca="1">IFERROR(__xludf.DUMMYFUNCTION("""COMPUTED_VALUE"""),-0.747471605132965)</f>
        <v>-0.74747160513296496</v>
      </c>
      <c r="NV92" s="3">
        <f ca="1">IFERROR(__xludf.DUMMYFUNCTION("""COMPUTED_VALUE"""),-0.729248622395926)</f>
        <v>-0.72924862239592603</v>
      </c>
      <c r="NW92" s="3">
        <f ca="1">IFERROR(__xludf.DUMMYFUNCTION("""COMPUTED_VALUE"""),-0.740115755125516)</f>
        <v>-0.74011575512551597</v>
      </c>
      <c r="NX92" s="3">
        <f ca="1">IFERROR(__xludf.DUMMYFUNCTION("""COMPUTED_VALUE"""),-0.720223226511121)</f>
        <v>-0.72022322651112103</v>
      </c>
      <c r="NY92" s="3">
        <f ca="1">IFERROR(__xludf.DUMMYFUNCTION("""COMPUTED_VALUE"""),-0.682772890713712)</f>
        <v>-0.68277289071371206</v>
      </c>
      <c r="NZ92" s="3">
        <f ca="1">IFERROR(__xludf.DUMMYFUNCTION("""COMPUTED_VALUE"""),-0.607466455948581)</f>
        <v>-0.60746645594858095</v>
      </c>
      <c r="OA92" s="3">
        <f ca="1">IFERROR(__xludf.DUMMYFUNCTION("""COMPUTED_VALUE"""),-0.618861632375058)</f>
        <v>-0.61886163237505798</v>
      </c>
      <c r="OB92" s="3">
        <f ca="1">IFERROR(__xludf.DUMMYFUNCTION("""COMPUTED_VALUE"""),-0.582423733531523)</f>
        <v>-0.58242373353152299</v>
      </c>
      <c r="OC92" s="3">
        <f ca="1">IFERROR(__xludf.DUMMYFUNCTION("""COMPUTED_VALUE"""),-0.514891408483023)</f>
        <v>-0.51489140848302295</v>
      </c>
      <c r="OD92" s="3">
        <f ca="1">IFERROR(__xludf.DUMMYFUNCTION("""COMPUTED_VALUE"""),-0.301752459640248)</f>
        <v>-0.30175245964024799</v>
      </c>
      <c r="OE92" s="3">
        <f ca="1">IFERROR(__xludf.DUMMYFUNCTION("""COMPUTED_VALUE"""),-0.254136365312031)</f>
        <v>-0.25413636531203099</v>
      </c>
      <c r="OF92" s="3">
        <f ca="1">IFERROR(__xludf.DUMMYFUNCTION("""COMPUTED_VALUE"""),0.00024419462806513)</f>
        <v>2.4419462806513E-4</v>
      </c>
      <c r="OG92" s="3">
        <f ca="1">IFERROR(__xludf.DUMMYFUNCTION("""COMPUTED_VALUE"""),-0.0856564104659921)</f>
        <v>-8.5656410465992094E-2</v>
      </c>
      <c r="OH92" s="3">
        <f ca="1">IFERROR(__xludf.DUMMYFUNCTION("""COMPUTED_VALUE"""),-0.104717661076659)</f>
        <v>-0.104717661076659</v>
      </c>
      <c r="OI92" s="3">
        <f ca="1">IFERROR(__xludf.DUMMYFUNCTION("""COMPUTED_VALUE"""),-0.00548070521294208)</f>
        <v>-5.4807052129420804E-3</v>
      </c>
      <c r="OJ92" s="3">
        <f ca="1">IFERROR(__xludf.DUMMYFUNCTION("""COMPUTED_VALUE"""),0.0138263291872047)</f>
        <v>1.38263291872047E-2</v>
      </c>
      <c r="OK92" s="3">
        <f ca="1">IFERROR(__xludf.DUMMYFUNCTION("""COMPUTED_VALUE"""),-0.00512778966141613)</f>
        <v>-5.12778966141613E-3</v>
      </c>
      <c r="OL92" s="3">
        <f ca="1">IFERROR(__xludf.DUMMYFUNCTION("""COMPUTED_VALUE"""),0.0326162693285485)</f>
        <v>3.2616269328548497E-2</v>
      </c>
      <c r="OM92" s="3">
        <f ca="1">IFERROR(__xludf.DUMMYFUNCTION("""COMPUTED_VALUE"""),-0.00666803065022403)</f>
        <v>-6.6680306502240301E-3</v>
      </c>
      <c r="ON92" s="3">
        <f ca="1">IFERROR(__xludf.DUMMYFUNCTION("""COMPUTED_VALUE"""),-0.026207153472902)</f>
        <v>-2.6207153472901999E-2</v>
      </c>
      <c r="OO92" s="3">
        <f ca="1">IFERROR(__xludf.DUMMYFUNCTION("""COMPUTED_VALUE"""),0.0418575026279826)</f>
        <v>4.1857502627982601E-2</v>
      </c>
      <c r="OP92" s="3">
        <f ca="1">IFERROR(__xludf.DUMMYFUNCTION("""COMPUTED_VALUE"""),0.0942798129690167)</f>
        <v>9.4279812969016705E-2</v>
      </c>
      <c r="OQ92" s="3">
        <f ca="1">IFERROR(__xludf.DUMMYFUNCTION("""COMPUTED_VALUE"""),0.123031619974309)</f>
        <v>0.123031619974309</v>
      </c>
      <c r="OR92" s="3">
        <f ca="1">IFERROR(__xludf.DUMMYFUNCTION("""COMPUTED_VALUE"""),0.00739538702833941)</f>
        <v>7.3953870283394096E-3</v>
      </c>
      <c r="OS92" s="3">
        <f ca="1">IFERROR(__xludf.DUMMYFUNCTION("""COMPUTED_VALUE"""),-0.0122303659398772)</f>
        <v>-1.22303659398772E-2</v>
      </c>
      <c r="OT92" s="3">
        <f ca="1">IFERROR(__xludf.DUMMYFUNCTION("""COMPUTED_VALUE"""),-0.0454134987521485)</f>
        <v>-4.54134987521485E-2</v>
      </c>
      <c r="OU92" s="3">
        <f ca="1">IFERROR(__xludf.DUMMYFUNCTION("""COMPUTED_VALUE"""),-0.0524398503796106)</f>
        <v>-5.2439850379610603E-2</v>
      </c>
      <c r="OV92" s="3">
        <f ca="1">IFERROR(__xludf.DUMMYFUNCTION("""COMPUTED_VALUE"""),-0.0629300480571185)</f>
        <v>-6.2930048057118507E-2</v>
      </c>
      <c r="OW92" s="3">
        <f ca="1">IFERROR(__xludf.DUMMYFUNCTION("""COMPUTED_VALUE"""),0.00606814387313359)</f>
        <v>6.0681438731335904E-3</v>
      </c>
      <c r="OX92" s="3">
        <f ca="1">IFERROR(__xludf.DUMMYFUNCTION("""COMPUTED_VALUE"""),-0.0535897171185805)</f>
        <v>-5.3589717118580502E-2</v>
      </c>
      <c r="OY92" s="3">
        <f ca="1">IFERROR(__xludf.DUMMYFUNCTION("""COMPUTED_VALUE"""),-0.0636147391426285)</f>
        <v>-6.3614739142628496E-2</v>
      </c>
      <c r="OZ92" s="3">
        <f ca="1">IFERROR(__xludf.DUMMYFUNCTION("""COMPUTED_VALUE"""),0.0739621073909859)</f>
        <v>7.3962107390985896E-2</v>
      </c>
      <c r="PA92" s="3">
        <f ca="1">IFERROR(__xludf.DUMMYFUNCTION("""COMPUTED_VALUE"""),-0.00352041738800101)</f>
        <v>-3.5204173880010099E-3</v>
      </c>
      <c r="PB92" s="3">
        <f ca="1">IFERROR(__xludf.DUMMYFUNCTION("""COMPUTED_VALUE"""),-0.0406675407969948)</f>
        <v>-4.0667540796994799E-2</v>
      </c>
      <c r="PC92" s="3">
        <f ca="1">IFERROR(__xludf.DUMMYFUNCTION("""COMPUTED_VALUE"""),0.00969559057655855)</f>
        <v>9.6955905765585496E-3</v>
      </c>
      <c r="PD92" s="3">
        <f ca="1">IFERROR(__xludf.DUMMYFUNCTION("""COMPUTED_VALUE"""),0.0140235750218238)</f>
        <v>1.40235750218238E-2</v>
      </c>
      <c r="PE92" s="3">
        <f ca="1">IFERROR(__xludf.DUMMYFUNCTION("""COMPUTED_VALUE"""),0.107162184112599)</f>
        <v>0.10716218411259899</v>
      </c>
      <c r="PF92" s="3">
        <f ca="1">IFERROR(__xludf.DUMMYFUNCTION("""COMPUTED_VALUE"""),0.106292719557848)</f>
        <v>0.106292719557848</v>
      </c>
      <c r="PG92" s="3">
        <f ca="1">IFERROR(__xludf.DUMMYFUNCTION("""COMPUTED_VALUE"""),-0.0342181982257526)</f>
        <v>-3.4218198225752602E-2</v>
      </c>
      <c r="PH92" s="3">
        <f ca="1">IFERROR(__xludf.DUMMYFUNCTION("""COMPUTED_VALUE"""),0.0527862591462819)</f>
        <v>5.2786259146281898E-2</v>
      </c>
      <c r="PI92" s="3">
        <f ca="1">IFERROR(__xludf.DUMMYFUNCTION("""COMPUTED_VALUE"""),-0.0290383901191524)</f>
        <v>-2.90383901191524E-2</v>
      </c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</row>
    <row r="93" spans="1:477" ht="13">
      <c r="A93" s="1" t="str">
        <f ca="1">IFERROR(__xludf.DUMMYFUNCTION("""COMPUTED_VALUE"""),"Semitan")</f>
        <v>Semitan</v>
      </c>
      <c r="B93" s="1" t="str">
        <f ca="1">IFERROR(__xludf.DUMMYFUNCTION("""COMPUTED_VALUE"""),"Nantes")</f>
        <v>Nantes</v>
      </c>
      <c r="C93" s="1" t="str">
        <f ca="1">IFERROR(__xludf.DUMMYFUNCTION("""COMPUTED_VALUE"""),"France")</f>
        <v>France</v>
      </c>
      <c r="D93" s="1" t="str">
        <f ca="1">IFERROR(__xludf.DUMMYFUNCTION("""COMPUTED_VALUE"""),"Pays-de-la-Loire")</f>
        <v>Pays-de-la-Loire</v>
      </c>
      <c r="E93" s="3">
        <f ca="1">IFERROR(__xludf.DUMMYFUNCTION("""COMPUTED_VALUE"""),-0.321743736309218)</f>
        <v>-0.32174373630921799</v>
      </c>
      <c r="F93" s="3">
        <f ca="1">IFERROR(__xludf.DUMMYFUNCTION("""COMPUTED_VALUE"""),-0.364526993688914)</f>
        <v>-0.364526993688914</v>
      </c>
      <c r="G93" s="3">
        <f ca="1">IFERROR(__xludf.DUMMYFUNCTION("""COMPUTED_VALUE"""),-0.316502480089417)</f>
        <v>-0.316502480089417</v>
      </c>
      <c r="H93" s="3">
        <f ca="1">IFERROR(__xludf.DUMMYFUNCTION("""COMPUTED_VALUE"""),-0.287648285310271)</f>
        <v>-0.28764828531027098</v>
      </c>
      <c r="I93" s="3">
        <f ca="1">IFERROR(__xludf.DUMMYFUNCTION("""COMPUTED_VALUE"""),-0.258702721269249)</f>
        <v>-0.25870272126924898</v>
      </c>
      <c r="J93" s="3">
        <f ca="1">IFERROR(__xludf.DUMMYFUNCTION("""COMPUTED_VALUE"""),-0.38664823512755)</f>
        <v>-0.38664823512754998</v>
      </c>
      <c r="K93" s="3">
        <f ca="1">IFERROR(__xludf.DUMMYFUNCTION("""COMPUTED_VALUE"""),-0.221452791239621)</f>
        <v>-0.221452791239621</v>
      </c>
      <c r="L93" s="3">
        <f ca="1">IFERROR(__xludf.DUMMYFUNCTION("""COMPUTED_VALUE"""),-0.295610830967766)</f>
        <v>-0.29561083096776603</v>
      </c>
      <c r="M93" s="3">
        <f ca="1">IFERROR(__xludf.DUMMYFUNCTION("""COMPUTED_VALUE"""),-0.352135617002232)</f>
        <v>-0.352135617002232</v>
      </c>
      <c r="N93" s="3">
        <f ca="1">IFERROR(__xludf.DUMMYFUNCTION("""COMPUTED_VALUE"""),-0.292104215030828)</f>
        <v>-0.29210421503082801</v>
      </c>
      <c r="O93" s="3">
        <f ca="1">IFERROR(__xludf.DUMMYFUNCTION("""COMPUTED_VALUE"""),-0.304192130688068)</f>
        <v>-0.304192130688068</v>
      </c>
      <c r="P93" s="3">
        <f ca="1">IFERROR(__xludf.DUMMYFUNCTION("""COMPUTED_VALUE"""),-0.262704165265685)</f>
        <v>-0.26270416526568502</v>
      </c>
      <c r="Q93" s="3">
        <f ca="1">IFERROR(__xludf.DUMMYFUNCTION("""COMPUTED_VALUE"""),-0.303447395291042)</f>
        <v>-0.30344739529104198</v>
      </c>
      <c r="R93" s="3">
        <f ca="1">IFERROR(__xludf.DUMMYFUNCTION("""COMPUTED_VALUE"""),-0.203555680866303)</f>
        <v>-0.20355568086630299</v>
      </c>
      <c r="S93" s="3">
        <f ca="1">IFERROR(__xludf.DUMMYFUNCTION("""COMPUTED_VALUE"""),-0.320807251500038)</f>
        <v>-0.32080725150003803</v>
      </c>
      <c r="T93" s="3">
        <f ca="1">IFERROR(__xludf.DUMMYFUNCTION("""COMPUTED_VALUE"""),-0.361629059362781)</f>
        <v>-0.361629059362781</v>
      </c>
      <c r="U93" s="3">
        <f ca="1">IFERROR(__xludf.DUMMYFUNCTION("""COMPUTED_VALUE"""),-0.345023157611086)</f>
        <v>-0.34502315761108598</v>
      </c>
      <c r="V93" s="3">
        <f ca="1">IFERROR(__xludf.DUMMYFUNCTION("""COMPUTED_VALUE"""),-0.331045037543012)</f>
        <v>-0.33104503754301201</v>
      </c>
      <c r="W93" s="3">
        <f ca="1">IFERROR(__xludf.DUMMYFUNCTION("""COMPUTED_VALUE"""),-0.351332918454801)</f>
        <v>-0.35133291845480102</v>
      </c>
      <c r="X93" s="3">
        <f ca="1">IFERROR(__xludf.DUMMYFUNCTION("""COMPUTED_VALUE"""),-0.358037357264333)</f>
        <v>-0.358037357264333</v>
      </c>
      <c r="Y93" s="3">
        <f ca="1">IFERROR(__xludf.DUMMYFUNCTION("""COMPUTED_VALUE"""),-0.261655988664046)</f>
        <v>-0.26165598866404599</v>
      </c>
      <c r="Z93" s="3">
        <f ca="1">IFERROR(__xludf.DUMMYFUNCTION("""COMPUTED_VALUE"""),-0.368863220407015)</f>
        <v>-0.36886322040701502</v>
      </c>
      <c r="AA93" s="3">
        <f ca="1">IFERROR(__xludf.DUMMYFUNCTION("""COMPUTED_VALUE"""),-0.368140105543258)</f>
        <v>-0.36814010554325799</v>
      </c>
      <c r="AB93" s="3">
        <f ca="1">IFERROR(__xludf.DUMMYFUNCTION("""COMPUTED_VALUE"""),-0.363097737316451)</f>
        <v>-0.36309773731645101</v>
      </c>
      <c r="AC93" s="3">
        <f ca="1">IFERROR(__xludf.DUMMYFUNCTION("""COMPUTED_VALUE"""),-0.34644134818632)</f>
        <v>-0.34644134818632</v>
      </c>
      <c r="AD93" s="3">
        <f ca="1">IFERROR(__xludf.DUMMYFUNCTION("""COMPUTED_VALUE"""),-0.356916719471399)</f>
        <v>-0.35691671947139902</v>
      </c>
      <c r="AE93" s="3">
        <f ca="1">IFERROR(__xludf.DUMMYFUNCTION("""COMPUTED_VALUE"""),-0.318743321312686)</f>
        <v>-0.31874332131268601</v>
      </c>
      <c r="AF93" s="3">
        <f ca="1">IFERROR(__xludf.DUMMYFUNCTION("""COMPUTED_VALUE"""),-0.24680105216099)</f>
        <v>-0.24680105216098999</v>
      </c>
      <c r="AG93" s="3">
        <f ca="1">IFERROR(__xludf.DUMMYFUNCTION("""COMPUTED_VALUE"""),-0.406253902481911)</f>
        <v>-0.40625390248191101</v>
      </c>
      <c r="AH93" s="3">
        <f ca="1">IFERROR(__xludf.DUMMYFUNCTION("""COMPUTED_VALUE"""),-0.385783864461085)</f>
        <v>-0.38578386446108498</v>
      </c>
      <c r="AI93" s="3">
        <f ca="1">IFERROR(__xludf.DUMMYFUNCTION("""COMPUTED_VALUE"""),-0.407153806972886)</f>
        <v>-0.407153806972886</v>
      </c>
      <c r="AJ93" s="3">
        <f ca="1">IFERROR(__xludf.DUMMYFUNCTION("""COMPUTED_VALUE"""),-0.352303444994955)</f>
        <v>-0.35230344499495497</v>
      </c>
      <c r="AK93" s="3">
        <f ca="1">IFERROR(__xludf.DUMMYFUNCTION("""COMPUTED_VALUE"""),-0.406555082462581)</f>
        <v>-0.40655508246258099</v>
      </c>
      <c r="AL93" s="3">
        <f ca="1">IFERROR(__xludf.DUMMYFUNCTION("""COMPUTED_VALUE"""),-0.292259291390403)</f>
        <v>-0.29225929139040302</v>
      </c>
      <c r="AM93" s="3">
        <f ca="1">IFERROR(__xludf.DUMMYFUNCTION("""COMPUTED_VALUE"""),-0.192267383722551)</f>
        <v>-0.19226738372255101</v>
      </c>
      <c r="AN93" s="3">
        <f ca="1">IFERROR(__xludf.DUMMYFUNCTION("""COMPUTED_VALUE"""),-0.339062336286314)</f>
        <v>-0.33906233628631399</v>
      </c>
      <c r="AO93" s="3">
        <f ca="1">IFERROR(__xludf.DUMMYFUNCTION("""COMPUTED_VALUE"""),-0.483160350627392)</f>
        <v>-0.48316035062739199</v>
      </c>
      <c r="AP93" s="3">
        <f ca="1">IFERROR(__xludf.DUMMYFUNCTION("""COMPUTED_VALUE"""),-0.454007559072166)</f>
        <v>-0.454007559072166</v>
      </c>
      <c r="AQ93" s="3">
        <f ca="1">IFERROR(__xludf.DUMMYFUNCTION("""COMPUTED_VALUE"""),-0.486466404214598)</f>
        <v>-0.48646640421459802</v>
      </c>
      <c r="AR93" s="3">
        <f ca="1">IFERROR(__xludf.DUMMYFUNCTION("""COMPUTED_VALUE"""),-0.40836906060038)</f>
        <v>-0.40836906060037997</v>
      </c>
      <c r="AS93" s="3">
        <f ca="1">IFERROR(__xludf.DUMMYFUNCTION("""COMPUTED_VALUE"""),-0.35830706316395)</f>
        <v>-0.35830706316395</v>
      </c>
      <c r="AT93" s="3">
        <f ca="1">IFERROR(__xludf.DUMMYFUNCTION("""COMPUTED_VALUE"""),-0.142665355039154)</f>
        <v>-0.14266535503915401</v>
      </c>
      <c r="AU93" s="3">
        <f ca="1">IFERROR(__xludf.DUMMYFUNCTION("""COMPUTED_VALUE"""),-0.404891638672693)</f>
        <v>-0.40489163867269301</v>
      </c>
      <c r="AV93" s="3">
        <f ca="1">IFERROR(__xludf.DUMMYFUNCTION("""COMPUTED_VALUE"""),-0.425353355614326)</f>
        <v>-0.42535335561432602</v>
      </c>
      <c r="AW93" s="3">
        <f ca="1">IFERROR(__xludf.DUMMYFUNCTION("""COMPUTED_VALUE"""),-0.438385987130062)</f>
        <v>-0.43838598713006199</v>
      </c>
      <c r="AX93" s="3">
        <f ca="1">IFERROR(__xludf.DUMMYFUNCTION("""COMPUTED_VALUE"""),-0.374352905706321)</f>
        <v>-0.37435290570632102</v>
      </c>
      <c r="AY93" s="3">
        <f ca="1">IFERROR(__xludf.DUMMYFUNCTION("""COMPUTED_VALUE"""),-0.439035859417942)</f>
        <v>-0.43903585941794199</v>
      </c>
      <c r="AZ93" s="3">
        <f ca="1">IFERROR(__xludf.DUMMYFUNCTION("""COMPUTED_VALUE"""),-0.381211249138459)</f>
        <v>-0.381211249138459</v>
      </c>
      <c r="BA93" s="3">
        <f ca="1">IFERROR(__xludf.DUMMYFUNCTION("""COMPUTED_VALUE"""),-0.229377320269079)</f>
        <v>-0.229377320269079</v>
      </c>
      <c r="BB93" s="3">
        <f ca="1">IFERROR(__xludf.DUMMYFUNCTION("""COMPUTED_VALUE"""),-0.332499072125007)</f>
        <v>-0.33249907212500701</v>
      </c>
      <c r="BC93" s="3">
        <f ca="1">IFERROR(__xludf.DUMMYFUNCTION("""COMPUTED_VALUE"""),-0.305622378362006)</f>
        <v>-0.30562237836200601</v>
      </c>
      <c r="BD93" s="3">
        <f ca="1">IFERROR(__xludf.DUMMYFUNCTION("""COMPUTED_VALUE"""),-0.398469512407868)</f>
        <v>-0.39846951240786799</v>
      </c>
      <c r="BE93" s="3">
        <f ca="1">IFERROR(__xludf.DUMMYFUNCTION("""COMPUTED_VALUE"""),-0.309161047213352)</f>
        <v>-0.30916104721335202</v>
      </c>
      <c r="BF93" s="3">
        <f ca="1">IFERROR(__xludf.DUMMYFUNCTION("""COMPUTED_VALUE"""),-0.369962323436482)</f>
        <v>-0.369962323436482</v>
      </c>
      <c r="BG93" s="3">
        <f ca="1">IFERROR(__xludf.DUMMYFUNCTION("""COMPUTED_VALUE"""),-0.342252396752225)</f>
        <v>-0.34225239675222502</v>
      </c>
      <c r="BH93" s="3">
        <f ca="1">IFERROR(__xludf.DUMMYFUNCTION("""COMPUTED_VALUE"""),-0.183350974358997)</f>
        <v>-0.183350974358997</v>
      </c>
      <c r="BI93" s="3">
        <f ca="1">IFERROR(__xludf.DUMMYFUNCTION("""COMPUTED_VALUE"""),-0.266363946279572)</f>
        <v>-0.26636394627957199</v>
      </c>
      <c r="BJ93" s="3">
        <f ca="1">IFERROR(__xludf.DUMMYFUNCTION("""COMPUTED_VALUE"""),-0.378753328782471)</f>
        <v>-0.37875332878247098</v>
      </c>
      <c r="BK93" s="3">
        <f ca="1">IFERROR(__xludf.DUMMYFUNCTION("""COMPUTED_VALUE"""),-0.416836584465662)</f>
        <v>-0.41683658446566202</v>
      </c>
      <c r="BL93" s="3">
        <f ca="1">IFERROR(__xludf.DUMMYFUNCTION("""COMPUTED_VALUE"""),-0.366591125012574)</f>
        <v>-0.36659112501257402</v>
      </c>
      <c r="BM93" s="3">
        <f ca="1">IFERROR(__xludf.DUMMYFUNCTION("""COMPUTED_VALUE"""),-0.41708721245367)</f>
        <v>-0.41708721245366998</v>
      </c>
      <c r="BN93" s="3">
        <f ca="1">IFERROR(__xludf.DUMMYFUNCTION("""COMPUTED_VALUE"""),-0.39122579380446)</f>
        <v>-0.39122579380445999</v>
      </c>
      <c r="BO93" s="3">
        <f ca="1">IFERROR(__xludf.DUMMYFUNCTION("""COMPUTED_VALUE"""),-0.296218041618999)</f>
        <v>-0.29621804161899901</v>
      </c>
      <c r="BP93" s="3">
        <f ca="1">IFERROR(__xludf.DUMMYFUNCTION("""COMPUTED_VALUE"""),-0.410754662452793)</f>
        <v>-0.41075466245279302</v>
      </c>
      <c r="BQ93" s="3">
        <f ca="1">IFERROR(__xludf.DUMMYFUNCTION("""COMPUTED_VALUE"""),-0.454981615312097)</f>
        <v>-0.45498161531209702</v>
      </c>
      <c r="BR93" s="3">
        <f ca="1">IFERROR(__xludf.DUMMYFUNCTION("""COMPUTED_VALUE"""),-0.40668169419066)</f>
        <v>-0.40668169419066003</v>
      </c>
      <c r="BS93" s="3">
        <f ca="1">IFERROR(__xludf.DUMMYFUNCTION("""COMPUTED_VALUE"""),-0.393379448397418)</f>
        <v>-0.39337944839741801</v>
      </c>
      <c r="BT93" s="3">
        <f ca="1">IFERROR(__xludf.DUMMYFUNCTION("""COMPUTED_VALUE"""),-0.452724282781984)</f>
        <v>-0.45272428278198401</v>
      </c>
      <c r="BU93" s="3">
        <f ca="1">IFERROR(__xludf.DUMMYFUNCTION("""COMPUTED_VALUE"""),-0.414925952600964)</f>
        <v>-0.41492595260096399</v>
      </c>
      <c r="BV93" s="3">
        <f ca="1">IFERROR(__xludf.DUMMYFUNCTION("""COMPUTED_VALUE"""),-0.329414739437454)</f>
        <v>-0.32941473943745397</v>
      </c>
      <c r="BW93" s="3">
        <f ca="1">IFERROR(__xludf.DUMMYFUNCTION("""COMPUTED_VALUE"""),-0.449942011323465)</f>
        <v>-0.44994201132346501</v>
      </c>
      <c r="BX93" s="3">
        <f ca="1">IFERROR(__xludf.DUMMYFUNCTION("""COMPUTED_VALUE"""),-0.45327978398212)</f>
        <v>-0.45327978398211999</v>
      </c>
      <c r="BY93" s="3">
        <f ca="1">IFERROR(__xludf.DUMMYFUNCTION("""COMPUTED_VALUE"""),-0.483129135107731)</f>
        <v>-0.48312913510773098</v>
      </c>
      <c r="BZ93" s="3">
        <f ca="1">IFERROR(__xludf.DUMMYFUNCTION("""COMPUTED_VALUE"""),-0.402168079939269)</f>
        <v>-0.40216807993926901</v>
      </c>
      <c r="CA93" s="3">
        <f ca="1">IFERROR(__xludf.DUMMYFUNCTION("""COMPUTED_VALUE"""),-0.408049022724634)</f>
        <v>-0.408049022724634</v>
      </c>
      <c r="CB93" s="3">
        <f ca="1">IFERROR(__xludf.DUMMYFUNCTION("""COMPUTED_VALUE"""),-0.442792926497726)</f>
        <v>-0.442792926497726</v>
      </c>
      <c r="CC93" s="3">
        <f ca="1">IFERROR(__xludf.DUMMYFUNCTION("""COMPUTED_VALUE"""),-0.310118813047772)</f>
        <v>-0.310118813047772</v>
      </c>
      <c r="CD93" s="3">
        <f ca="1">IFERROR(__xludf.DUMMYFUNCTION("""COMPUTED_VALUE"""),-0.444926690692807)</f>
        <v>-0.44492669069280699</v>
      </c>
      <c r="CE93" s="3">
        <f ca="1">IFERROR(__xludf.DUMMYFUNCTION("""COMPUTED_VALUE"""),-0.472116555221451)</f>
        <v>-0.47211655522145102</v>
      </c>
      <c r="CF93" s="3">
        <f ca="1">IFERROR(__xludf.DUMMYFUNCTION("""COMPUTED_VALUE"""),-0.418061245648179)</f>
        <v>-0.41806124564817898</v>
      </c>
      <c r="CG93" s="3">
        <f ca="1">IFERROR(__xludf.DUMMYFUNCTION("""COMPUTED_VALUE"""),-0.446328866123288)</f>
        <v>-0.44632886612328798</v>
      </c>
      <c r="CH93" s="3">
        <f ca="1">IFERROR(__xludf.DUMMYFUNCTION("""COMPUTED_VALUE"""),-0.433343442078512)</f>
        <v>-0.433343442078512</v>
      </c>
      <c r="CI93" s="3">
        <f ca="1">IFERROR(__xludf.DUMMYFUNCTION("""COMPUTED_VALUE"""),-0.362940977806186)</f>
        <v>-0.362940977806186</v>
      </c>
      <c r="CJ93" s="3">
        <f ca="1">IFERROR(__xludf.DUMMYFUNCTION("""COMPUTED_VALUE"""),-0.295593944940857)</f>
        <v>-0.295593944940857</v>
      </c>
      <c r="CK93" s="3">
        <f ca="1">IFERROR(__xludf.DUMMYFUNCTION("""COMPUTED_VALUE"""),-0.450442351386081)</f>
        <v>-0.45044235138608102</v>
      </c>
      <c r="CL93" s="3">
        <f ca="1">IFERROR(__xludf.DUMMYFUNCTION("""COMPUTED_VALUE"""),-0.467837514717848)</f>
        <v>-0.46783751471784801</v>
      </c>
      <c r="CM93" s="3">
        <f ca="1">IFERROR(__xludf.DUMMYFUNCTION("""COMPUTED_VALUE"""),-0.439142812533702)</f>
        <v>-0.43914281253370202</v>
      </c>
      <c r="CN93" s="3">
        <f ca="1">IFERROR(__xludf.DUMMYFUNCTION("""COMPUTED_VALUE"""),-0.44874238738244)</f>
        <v>-0.44874238738243999</v>
      </c>
      <c r="CO93" s="3">
        <f ca="1">IFERROR(__xludf.DUMMYFUNCTION("""COMPUTED_VALUE"""),-0.419567260345311)</f>
        <v>-0.419567260345311</v>
      </c>
      <c r="CP93" s="3">
        <f ca="1">IFERROR(__xludf.DUMMYFUNCTION("""COMPUTED_VALUE"""),-0.372479402873047)</f>
        <v>-0.37247940287304698</v>
      </c>
      <c r="CQ93" s="3">
        <f ca="1">IFERROR(__xludf.DUMMYFUNCTION("""COMPUTED_VALUE"""),-0.234371942014965)</f>
        <v>-0.234371942014965</v>
      </c>
      <c r="CR93" s="3">
        <f ca="1">IFERROR(__xludf.DUMMYFUNCTION("""COMPUTED_VALUE"""),-0.394215289692516)</f>
        <v>-0.39421528969251601</v>
      </c>
      <c r="CS93" s="3">
        <f ca="1">IFERROR(__xludf.DUMMYFUNCTION("""COMPUTED_VALUE"""),-0.394540524593656)</f>
        <v>-0.39454052459365602</v>
      </c>
      <c r="CT93" s="3">
        <f ca="1">IFERROR(__xludf.DUMMYFUNCTION("""COMPUTED_VALUE"""),-0.364761497299706)</f>
        <v>-0.36476149729970597</v>
      </c>
      <c r="CU93" s="3">
        <f ca="1">IFERROR(__xludf.DUMMYFUNCTION("""COMPUTED_VALUE"""),-0.335581863596551)</f>
        <v>-0.33558186359655101</v>
      </c>
      <c r="CV93" s="3">
        <f ca="1">IFERROR(__xludf.DUMMYFUNCTION("""COMPUTED_VALUE"""),-0.324117063449245)</f>
        <v>-0.32411706344924501</v>
      </c>
      <c r="CW93" s="3">
        <f ca="1">IFERROR(__xludf.DUMMYFUNCTION("""COMPUTED_VALUE"""),-0.32795211557822)</f>
        <v>-0.32795211557822002</v>
      </c>
      <c r="CX93" s="3">
        <f ca="1">IFERROR(__xludf.DUMMYFUNCTION("""COMPUTED_VALUE"""),-0.259825321234837)</f>
        <v>-0.25982532123483698</v>
      </c>
      <c r="CY93" s="3">
        <f ca="1">IFERROR(__xludf.DUMMYFUNCTION("""COMPUTED_VALUE"""),-0.476488917716521)</f>
        <v>-0.47648891771652102</v>
      </c>
      <c r="CZ93" s="3">
        <f ca="1">IFERROR(__xludf.DUMMYFUNCTION("""COMPUTED_VALUE"""),-0.5108772472511)</f>
        <v>-0.51087724725109995</v>
      </c>
      <c r="DA93" s="3">
        <f ca="1">IFERROR(__xludf.DUMMYFUNCTION("""COMPUTED_VALUE"""),-0.327482106370711)</f>
        <v>-0.32748210637071101</v>
      </c>
      <c r="DB93" s="3">
        <f ca="1">IFERROR(__xludf.DUMMYFUNCTION("""COMPUTED_VALUE"""),-0.260636553331871)</f>
        <v>-0.26063655333187102</v>
      </c>
      <c r="DC93" s="3">
        <f ca="1">IFERROR(__xludf.DUMMYFUNCTION("""COMPUTED_VALUE"""),-0.428274568525946)</f>
        <v>-0.42827456852594598</v>
      </c>
      <c r="DD93" s="3">
        <f ca="1">IFERROR(__xludf.DUMMYFUNCTION("""COMPUTED_VALUE"""),-0.404310554605249)</f>
        <v>-0.40431055460524901</v>
      </c>
      <c r="DE93" s="3">
        <f ca="1">IFERROR(__xludf.DUMMYFUNCTION("""COMPUTED_VALUE"""),-0.409943388863735)</f>
        <v>-0.40994338886373499</v>
      </c>
      <c r="DF93" s="3">
        <f ca="1">IFERROR(__xludf.DUMMYFUNCTION("""COMPUTED_VALUE"""),-0.426609207375941)</f>
        <v>-0.42660920737594099</v>
      </c>
      <c r="DG93" s="3">
        <f ca="1">IFERROR(__xludf.DUMMYFUNCTION("""COMPUTED_VALUE"""),-0.512936834833527)</f>
        <v>-0.51293683483352703</v>
      </c>
      <c r="DH93" s="3">
        <f ca="1">IFERROR(__xludf.DUMMYFUNCTION("""COMPUTED_VALUE"""),-0.42302842192816)</f>
        <v>-0.42302842192815998</v>
      </c>
      <c r="DI93" s="3">
        <f ca="1">IFERROR(__xludf.DUMMYFUNCTION("""COMPUTED_VALUE"""),-0.275330647565555)</f>
        <v>-0.27533064756555498</v>
      </c>
      <c r="DJ93" s="3">
        <f ca="1">IFERROR(__xludf.DUMMYFUNCTION("""COMPUTED_VALUE"""),-0.370562530667503)</f>
        <v>-0.370562530667503</v>
      </c>
      <c r="DK93" s="3">
        <f ca="1">IFERROR(__xludf.DUMMYFUNCTION("""COMPUTED_VALUE"""),-0.344264858751131)</f>
        <v>-0.344264858751131</v>
      </c>
      <c r="DL93" s="3">
        <f ca="1">IFERROR(__xludf.DUMMYFUNCTION("""COMPUTED_VALUE"""),-0.286842981357611)</f>
        <v>-0.28684298135761099</v>
      </c>
      <c r="DM93" s="3">
        <f ca="1">IFERROR(__xludf.DUMMYFUNCTION("""COMPUTED_VALUE"""),-0.377793628645922)</f>
        <v>-0.37779362864592198</v>
      </c>
      <c r="DN93" s="3">
        <f ca="1">IFERROR(__xludf.DUMMYFUNCTION("""COMPUTED_VALUE"""),-0.426040642422218)</f>
        <v>-0.42604064242221801</v>
      </c>
      <c r="DO93" s="3">
        <f ca="1">IFERROR(__xludf.DUMMYFUNCTION("""COMPUTED_VALUE"""),-0.390297193006008)</f>
        <v>-0.39029719300600801</v>
      </c>
      <c r="DP93" s="3">
        <f ca="1">IFERROR(__xludf.DUMMYFUNCTION("""COMPUTED_VALUE"""),-0.328858703268782)</f>
        <v>-0.32885870326878203</v>
      </c>
      <c r="DQ93" s="3">
        <f ca="1">IFERROR(__xludf.DUMMYFUNCTION("""COMPUTED_VALUE"""),-0.339954431879517)</f>
        <v>-0.33995443187951702</v>
      </c>
      <c r="DR93" s="3">
        <f ca="1">IFERROR(__xludf.DUMMYFUNCTION("""COMPUTED_VALUE"""),-0.383623720353536)</f>
        <v>-0.38362372035353598</v>
      </c>
      <c r="DS93" s="3">
        <f ca="1">IFERROR(__xludf.DUMMYFUNCTION("""COMPUTED_VALUE"""),-0.379793117284029)</f>
        <v>-0.37979311728402898</v>
      </c>
      <c r="DT93" s="3">
        <f ca="1">IFERROR(__xludf.DUMMYFUNCTION("""COMPUTED_VALUE"""),-0.449765946972452)</f>
        <v>-0.44976594697245198</v>
      </c>
      <c r="DU93" s="3">
        <f ca="1">IFERROR(__xludf.DUMMYFUNCTION("""COMPUTED_VALUE"""),-0.507692610472844)</f>
        <v>-0.50769261047284397</v>
      </c>
      <c r="DV93" s="3">
        <f ca="1">IFERROR(__xludf.DUMMYFUNCTION("""COMPUTED_VALUE"""),-0.529684092341937)</f>
        <v>-0.52968409234193703</v>
      </c>
      <c r="DW93" s="3">
        <f ca="1">IFERROR(__xludf.DUMMYFUNCTION("""COMPUTED_VALUE"""),-0.467885062755346)</f>
        <v>-0.46788506275534603</v>
      </c>
      <c r="DX93" s="3">
        <f ca="1">IFERROR(__xludf.DUMMYFUNCTION("""COMPUTED_VALUE"""),-0.456632099316091)</f>
        <v>-0.456632099316091</v>
      </c>
      <c r="DY93" s="3">
        <f ca="1">IFERROR(__xludf.DUMMYFUNCTION("""COMPUTED_VALUE"""),-0.439911678977644)</f>
        <v>-0.43991167897764399</v>
      </c>
      <c r="DZ93" s="3">
        <f ca="1">IFERROR(__xludf.DUMMYFUNCTION("""COMPUTED_VALUE"""),-0.37584420771228)</f>
        <v>-0.37584420771228</v>
      </c>
      <c r="EA93" s="3">
        <f ca="1">IFERROR(__xludf.DUMMYFUNCTION("""COMPUTED_VALUE"""),-0.416039915678193)</f>
        <v>-0.41603991567819298</v>
      </c>
      <c r="EB93" s="3">
        <f ca="1">IFERROR(__xludf.DUMMYFUNCTION("""COMPUTED_VALUE"""),-0.496438322605279)</f>
        <v>-0.49643832260527898</v>
      </c>
      <c r="EC93" s="3">
        <f ca="1">IFERROR(__xludf.DUMMYFUNCTION("""COMPUTED_VALUE"""),-0.533153574018316)</f>
        <v>-0.53315357401831598</v>
      </c>
      <c r="ED93" s="3">
        <f ca="1">IFERROR(__xludf.DUMMYFUNCTION("""COMPUTED_VALUE"""),-0.515175026086479)</f>
        <v>-0.51517502608647903</v>
      </c>
      <c r="EE93" s="3">
        <f ca="1">IFERROR(__xludf.DUMMYFUNCTION("""COMPUTED_VALUE"""),-0.49894133924295)</f>
        <v>-0.49894133924294998</v>
      </c>
      <c r="EF93" s="3">
        <f ca="1">IFERROR(__xludf.DUMMYFUNCTION("""COMPUTED_VALUE"""),-0.46676944701402)</f>
        <v>-0.46676944701402001</v>
      </c>
      <c r="EG93" s="3">
        <f ca="1">IFERROR(__xludf.DUMMYFUNCTION("""COMPUTED_VALUE"""),-0.396518255203467)</f>
        <v>-0.39651825520346701</v>
      </c>
      <c r="EH93" s="3">
        <f ca="1">IFERROR(__xludf.DUMMYFUNCTION("""COMPUTED_VALUE"""),-0.499748355427865)</f>
        <v>-0.499748355427865</v>
      </c>
      <c r="EI93" s="3">
        <f ca="1">IFERROR(__xludf.DUMMYFUNCTION("""COMPUTED_VALUE"""),-0.527749838671626)</f>
        <v>-0.52774983867162595</v>
      </c>
      <c r="EJ93" s="3">
        <f ca="1">IFERROR(__xludf.DUMMYFUNCTION("""COMPUTED_VALUE"""),-0.548902117392471)</f>
        <v>-0.54890211739247097</v>
      </c>
      <c r="EK93" s="3">
        <f ca="1">IFERROR(__xludf.DUMMYFUNCTION("""COMPUTED_VALUE"""),-0.516988322676696)</f>
        <v>-0.51698832267669603</v>
      </c>
      <c r="EL93" s="3">
        <f ca="1">IFERROR(__xludf.DUMMYFUNCTION("""COMPUTED_VALUE"""),-0.525380744510668)</f>
        <v>-0.52538074451066796</v>
      </c>
      <c r="EM93" s="3">
        <f ca="1">IFERROR(__xludf.DUMMYFUNCTION("""COMPUTED_VALUE"""),-0.472704857537225)</f>
        <v>-0.47270485753722502</v>
      </c>
      <c r="EN93" s="3">
        <f ca="1">IFERROR(__xludf.DUMMYFUNCTION("""COMPUTED_VALUE"""),-0.445186556772312)</f>
        <v>-0.445186556772312</v>
      </c>
      <c r="EO93" s="3">
        <f ca="1">IFERROR(__xludf.DUMMYFUNCTION("""COMPUTED_VALUE"""),-0.565055113209211)</f>
        <v>-0.56505511320921098</v>
      </c>
      <c r="EP93" s="3">
        <f ca="1">IFERROR(__xludf.DUMMYFUNCTION("""COMPUTED_VALUE"""),-0.543872795055726)</f>
        <v>-0.54387279505572605</v>
      </c>
      <c r="EQ93" s="3">
        <f ca="1">IFERROR(__xludf.DUMMYFUNCTION("""COMPUTED_VALUE"""),-0.543705715977054)</f>
        <v>-0.54370571597705397</v>
      </c>
      <c r="ER93" s="3">
        <f ca="1">IFERROR(__xludf.DUMMYFUNCTION("""COMPUTED_VALUE"""),-0.489714655232577)</f>
        <v>-0.48971465523257701</v>
      </c>
      <c r="ES93" s="3">
        <f ca="1">IFERROR(__xludf.DUMMYFUNCTION("""COMPUTED_VALUE"""),-0.487725224369946)</f>
        <v>-0.48772522436994598</v>
      </c>
      <c r="ET93" s="3">
        <f ca="1">IFERROR(__xludf.DUMMYFUNCTION("""COMPUTED_VALUE"""),-0.409438541496949)</f>
        <v>-0.40943854149694903</v>
      </c>
      <c r="EU93" s="3">
        <f ca="1">IFERROR(__xludf.DUMMYFUNCTION("""COMPUTED_VALUE"""),-0.497391369691212)</f>
        <v>-0.497391369691212</v>
      </c>
      <c r="EV93" s="3">
        <f ca="1">IFERROR(__xludf.DUMMYFUNCTION("""COMPUTED_VALUE"""),-0.552357729283657)</f>
        <v>-0.55235772928365701</v>
      </c>
      <c r="EW93" s="3">
        <f ca="1">IFERROR(__xludf.DUMMYFUNCTION("""COMPUTED_VALUE"""),-0.530536679835551)</f>
        <v>-0.53053667983555097</v>
      </c>
      <c r="EX93" s="3">
        <f ca="1">IFERROR(__xludf.DUMMYFUNCTION("""COMPUTED_VALUE"""),-0.471806406930407)</f>
        <v>-0.47180640693040699</v>
      </c>
      <c r="EY93" s="3">
        <f ca="1">IFERROR(__xludf.DUMMYFUNCTION("""COMPUTED_VALUE"""),-0.547451935275117)</f>
        <v>-0.54745193527511704</v>
      </c>
      <c r="EZ93" s="3">
        <f ca="1">IFERROR(__xludf.DUMMYFUNCTION("""COMPUTED_VALUE"""),-0.493098037656343)</f>
        <v>-0.49309803765634302</v>
      </c>
      <c r="FA93" s="3">
        <f ca="1">IFERROR(__xludf.DUMMYFUNCTION("""COMPUTED_VALUE"""),-0.379746341175459)</f>
        <v>-0.37974634117545902</v>
      </c>
      <c r="FB93" s="3">
        <f ca="1">IFERROR(__xludf.DUMMYFUNCTION("""COMPUTED_VALUE"""),-0.534207996389763)</f>
        <v>-0.53420799638976302</v>
      </c>
      <c r="FC93" s="3">
        <f ca="1">IFERROR(__xludf.DUMMYFUNCTION("""COMPUTED_VALUE"""),-0.614801332882743)</f>
        <v>-0.61480133288274297</v>
      </c>
      <c r="FD93" s="3">
        <f ca="1">IFERROR(__xludf.DUMMYFUNCTION("""COMPUTED_VALUE"""),-0.455508178266264)</f>
        <v>-0.455508178266264</v>
      </c>
      <c r="FE93" s="3">
        <f ca="1">IFERROR(__xludf.DUMMYFUNCTION("""COMPUTED_VALUE"""),-0.4930683342434)</f>
        <v>-0.49306833424340002</v>
      </c>
      <c r="FF93" s="3">
        <f ca="1">IFERROR(__xludf.DUMMYFUNCTION("""COMPUTED_VALUE"""),-0.442807213588531)</f>
        <v>-0.44280721358853098</v>
      </c>
      <c r="FG93" s="3">
        <f ca="1">IFERROR(__xludf.DUMMYFUNCTION("""COMPUTED_VALUE"""),-0.461534141838838)</f>
        <v>-0.46153414183883801</v>
      </c>
      <c r="FH93" s="3">
        <f ca="1">IFERROR(__xludf.DUMMYFUNCTION("""COMPUTED_VALUE"""),-0.305029688916442)</f>
        <v>-0.305029688916442</v>
      </c>
      <c r="FI93" s="3">
        <f ca="1">IFERROR(__xludf.DUMMYFUNCTION("""COMPUTED_VALUE"""),-0.458836310486063)</f>
        <v>-0.45883631048606299</v>
      </c>
      <c r="FJ93" s="3">
        <f ca="1">IFERROR(__xludf.DUMMYFUNCTION("""COMPUTED_VALUE"""),-0.618608238763787)</f>
        <v>-0.61860823876378701</v>
      </c>
      <c r="FK93" s="3">
        <f ca="1">IFERROR(__xludf.DUMMYFUNCTION("""COMPUTED_VALUE"""),-0.629188972893638)</f>
        <v>-0.62918897289363795</v>
      </c>
      <c r="FL93" s="3">
        <f ca="1">IFERROR(__xludf.DUMMYFUNCTION("""COMPUTED_VALUE"""),-0.211377969257704)</f>
        <v>-0.211377969257704</v>
      </c>
      <c r="FM93" s="3">
        <f ca="1">IFERROR(__xludf.DUMMYFUNCTION("""COMPUTED_VALUE"""),-0.289429033152684)</f>
        <v>-0.28942903315268398</v>
      </c>
      <c r="FN93" s="3">
        <f ca="1">IFERROR(__xludf.DUMMYFUNCTION("""COMPUTED_VALUE"""),-0.332813460485766)</f>
        <v>-0.33281346048576599</v>
      </c>
      <c r="FO93" s="3">
        <f ca="1">IFERROR(__xludf.DUMMYFUNCTION("""COMPUTED_VALUE"""),-0.343600670007075)</f>
        <v>-0.343600670007075</v>
      </c>
      <c r="FP93" s="3">
        <f ca="1">IFERROR(__xludf.DUMMYFUNCTION("""COMPUTED_VALUE"""),-0.210929094014933)</f>
        <v>-0.21092909401493301</v>
      </c>
      <c r="FQ93" s="3">
        <f ca="1">IFERROR(__xludf.DUMMYFUNCTION("""COMPUTED_VALUE"""),-0.33313310188642)</f>
        <v>-0.33313310188641998</v>
      </c>
      <c r="FR93" s="3">
        <f ca="1">IFERROR(__xludf.DUMMYFUNCTION("""COMPUTED_VALUE"""),-0.277526322195645)</f>
        <v>-0.27752632219564499</v>
      </c>
      <c r="FS93" s="3">
        <f ca="1">IFERROR(__xludf.DUMMYFUNCTION("""COMPUTED_VALUE"""),-0.309715679397819)</f>
        <v>-0.30971567939781902</v>
      </c>
      <c r="FT93" s="3">
        <f ca="1">IFERROR(__xludf.DUMMYFUNCTION("""COMPUTED_VALUE"""),-0.239631954919441)</f>
        <v>-0.239631954919441</v>
      </c>
      <c r="FU93" s="3">
        <f ca="1">IFERROR(__xludf.DUMMYFUNCTION("""COMPUTED_VALUE"""),-0.211180672961949)</f>
        <v>-0.21118067296194901</v>
      </c>
      <c r="FV93" s="3">
        <f ca="1">IFERROR(__xludf.DUMMYFUNCTION("""COMPUTED_VALUE"""),-0.20178033522702)</f>
        <v>-0.20178033522701999</v>
      </c>
      <c r="FW93" s="3">
        <f ca="1">IFERROR(__xludf.DUMMYFUNCTION("""COMPUTED_VALUE"""),-0.147424099443053)</f>
        <v>-0.14742409944305301</v>
      </c>
      <c r="FX93" s="3">
        <f ca="1">IFERROR(__xludf.DUMMYFUNCTION("""COMPUTED_VALUE"""),-0.214760290198891)</f>
        <v>-0.21476029019889101</v>
      </c>
      <c r="FY93" s="3">
        <f ca="1">IFERROR(__xludf.DUMMYFUNCTION("""COMPUTED_VALUE"""),-0.248360886835364)</f>
        <v>-0.248360886835364</v>
      </c>
      <c r="FZ93" s="3">
        <f ca="1">IFERROR(__xludf.DUMMYFUNCTION("""COMPUTED_VALUE"""),-0.259874129402297)</f>
        <v>-0.25987412940229698</v>
      </c>
      <c r="GA93" s="3">
        <f ca="1">IFERROR(__xludf.DUMMYFUNCTION("""COMPUTED_VALUE"""),-0.285394803661234)</f>
        <v>-0.28539480366123399</v>
      </c>
      <c r="GB93" s="3">
        <f ca="1">IFERROR(__xludf.DUMMYFUNCTION("""COMPUTED_VALUE"""),-0.25520977497073)</f>
        <v>-0.25520977497073</v>
      </c>
      <c r="GC93" s="3">
        <f ca="1">IFERROR(__xludf.DUMMYFUNCTION("""COMPUTED_VALUE"""),-0.203763951234182)</f>
        <v>-0.20376395123418201</v>
      </c>
      <c r="GD93" s="3">
        <f ca="1">IFERROR(__xludf.DUMMYFUNCTION("""COMPUTED_VALUE"""),-0.232099865383102)</f>
        <v>-0.23209986538310201</v>
      </c>
      <c r="GE93" s="3">
        <f ca="1">IFERROR(__xludf.DUMMYFUNCTION("""COMPUTED_VALUE"""),-0.205295783935983)</f>
        <v>-0.205295783935983</v>
      </c>
      <c r="GF93" s="3">
        <f ca="1">IFERROR(__xludf.DUMMYFUNCTION("""COMPUTED_VALUE"""),-0.241261975720419)</f>
        <v>-0.24126197572041899</v>
      </c>
      <c r="GG93" s="3">
        <f ca="1">IFERROR(__xludf.DUMMYFUNCTION("""COMPUTED_VALUE"""),-0.263652772131003)</f>
        <v>-0.26365277213100302</v>
      </c>
      <c r="GH93" s="3">
        <f ca="1">IFERROR(__xludf.DUMMYFUNCTION("""COMPUTED_VALUE"""),-0.224303204488234)</f>
        <v>-0.22430320448823399</v>
      </c>
      <c r="GI93" s="3">
        <f ca="1">IFERROR(__xludf.DUMMYFUNCTION("""COMPUTED_VALUE"""),-0.197529544770203)</f>
        <v>-0.19752954477020301</v>
      </c>
      <c r="GJ93" s="3">
        <f ca="1">IFERROR(__xludf.DUMMYFUNCTION("""COMPUTED_VALUE"""),-0.0915941015659984)</f>
        <v>-9.1594101565998398E-2</v>
      </c>
      <c r="GK93" s="3">
        <f ca="1">IFERROR(__xludf.DUMMYFUNCTION("""COMPUTED_VALUE"""),-0.219259936899836)</f>
        <v>-0.219259936899836</v>
      </c>
      <c r="GL93" s="3">
        <f ca="1">IFERROR(__xludf.DUMMYFUNCTION("""COMPUTED_VALUE"""),-0.375716934169239)</f>
        <v>-0.37571693416923901</v>
      </c>
      <c r="GM93" s="3">
        <f ca="1">IFERROR(__xludf.DUMMYFUNCTION("""COMPUTED_VALUE"""),-0.251668920360684)</f>
        <v>-0.251668920360684</v>
      </c>
      <c r="GN93" s="3">
        <f ca="1">IFERROR(__xludf.DUMMYFUNCTION("""COMPUTED_VALUE"""),-0.226335569370553)</f>
        <v>-0.22633556937055299</v>
      </c>
      <c r="GO93" s="3">
        <f ca="1">IFERROR(__xludf.DUMMYFUNCTION("""COMPUTED_VALUE"""),-0.212234342929545)</f>
        <v>-0.21223434292954499</v>
      </c>
      <c r="GP93" s="3">
        <f ca="1">IFERROR(__xludf.DUMMYFUNCTION("""COMPUTED_VALUE"""),-0.300229587044534)</f>
        <v>-0.30022958704453401</v>
      </c>
      <c r="GQ93" s="3">
        <f ca="1">IFERROR(__xludf.DUMMYFUNCTION("""COMPUTED_VALUE"""),-0.210998310477435)</f>
        <v>-0.210998310477435</v>
      </c>
      <c r="GR93" s="3">
        <f ca="1">IFERROR(__xludf.DUMMYFUNCTION("""COMPUTED_VALUE"""),-0.198080105218578)</f>
        <v>-0.198080105218578</v>
      </c>
      <c r="GS93" s="3">
        <f ca="1">IFERROR(__xludf.DUMMYFUNCTION("""COMPUTED_VALUE"""),-0.321590923752126)</f>
        <v>-0.321590923752126</v>
      </c>
      <c r="GT93" s="3">
        <f ca="1">IFERROR(__xludf.DUMMYFUNCTION("""COMPUTED_VALUE"""),-0.187050865182318)</f>
        <v>-0.187050865182318</v>
      </c>
      <c r="GU93" s="3">
        <f ca="1">IFERROR(__xludf.DUMMYFUNCTION("""COMPUTED_VALUE"""),-0.24121093927241)</f>
        <v>-0.24121093927241</v>
      </c>
      <c r="GV93" s="3">
        <f ca="1">IFERROR(__xludf.DUMMYFUNCTION("""COMPUTED_VALUE"""),-0.200223680025469)</f>
        <v>-0.200223680025469</v>
      </c>
      <c r="GW93" s="3">
        <f ca="1">IFERROR(__xludf.DUMMYFUNCTION("""COMPUTED_VALUE"""),-0.220708883656725)</f>
        <v>-0.220708883656725</v>
      </c>
      <c r="GX93" s="3">
        <f ca="1">IFERROR(__xludf.DUMMYFUNCTION("""COMPUTED_VALUE"""),-0.0990044368718742)</f>
        <v>-9.9004436871874199E-2</v>
      </c>
      <c r="GY93" s="3">
        <f ca="1">IFERROR(__xludf.DUMMYFUNCTION("""COMPUTED_VALUE"""),-0.149996993994643)</f>
        <v>-0.149996993994643</v>
      </c>
      <c r="GZ93" s="3">
        <f ca="1">IFERROR(__xludf.DUMMYFUNCTION("""COMPUTED_VALUE"""),-0.228151835245108)</f>
        <v>-0.22815183524510799</v>
      </c>
      <c r="HA93" s="3">
        <f ca="1">IFERROR(__xludf.DUMMYFUNCTION("""COMPUTED_VALUE"""),-0.230329058233956)</f>
        <v>-0.230329058233956</v>
      </c>
      <c r="HB93" s="3">
        <f ca="1">IFERROR(__xludf.DUMMYFUNCTION("""COMPUTED_VALUE"""),-0.131249264988183)</f>
        <v>-0.13124926498818301</v>
      </c>
      <c r="HC93" s="3">
        <f ca="1">IFERROR(__xludf.DUMMYFUNCTION("""COMPUTED_VALUE"""),-0.119991871715139)</f>
        <v>-0.119991871715139</v>
      </c>
      <c r="HD93" s="3">
        <f ca="1">IFERROR(__xludf.DUMMYFUNCTION("""COMPUTED_VALUE"""),-0.189497788300824)</f>
        <v>-0.189497788300824</v>
      </c>
      <c r="HE93" s="3">
        <f ca="1">IFERROR(__xludf.DUMMYFUNCTION("""COMPUTED_VALUE"""),-0.109193261453947)</f>
        <v>-0.109193261453947</v>
      </c>
      <c r="HF93" s="3">
        <f ca="1">IFERROR(__xludf.DUMMYFUNCTION("""COMPUTED_VALUE"""),-0.133752238528025)</f>
        <v>-0.13375223852802501</v>
      </c>
      <c r="HG93" s="3">
        <f ca="1">IFERROR(__xludf.DUMMYFUNCTION("""COMPUTED_VALUE"""),-0.129158911092082)</f>
        <v>-0.129158911092082</v>
      </c>
      <c r="HH93" s="3">
        <f ca="1">IFERROR(__xludf.DUMMYFUNCTION("""COMPUTED_VALUE"""),-0.203859250505478)</f>
        <v>-0.20385925050547801</v>
      </c>
      <c r="HI93" s="3">
        <f ca="1">IFERROR(__xludf.DUMMYFUNCTION("""COMPUTED_VALUE"""),-0.12880706853847)</f>
        <v>-0.12880706853846999</v>
      </c>
      <c r="HJ93" s="3">
        <f ca="1">IFERROR(__xludf.DUMMYFUNCTION("""COMPUTED_VALUE"""),-0.108238738768115)</f>
        <v>-0.108238738768115</v>
      </c>
      <c r="HK93" s="3">
        <f ca="1">IFERROR(__xludf.DUMMYFUNCTION("""COMPUTED_VALUE"""),-0.028078717500968)</f>
        <v>-2.8078717500967999E-2</v>
      </c>
      <c r="HL93" s="3">
        <f ca="1">IFERROR(__xludf.DUMMYFUNCTION("""COMPUTED_VALUE"""),0.0124706811919075)</f>
        <v>1.2470681191907499E-2</v>
      </c>
      <c r="HM93" s="3">
        <f ca="1">IFERROR(__xludf.DUMMYFUNCTION("""COMPUTED_VALUE"""),-0.0578472202760619)</f>
        <v>-5.78472202760619E-2</v>
      </c>
      <c r="HN93" s="3">
        <f ca="1">IFERROR(__xludf.DUMMYFUNCTION("""COMPUTED_VALUE"""),-0.0458024761171735)</f>
        <v>-4.5802476117173502E-2</v>
      </c>
      <c r="HO93" s="3">
        <f ca="1">IFERROR(__xludf.DUMMYFUNCTION("""COMPUTED_VALUE"""),-0.0405540487330124)</f>
        <v>-4.0554048733012403E-2</v>
      </c>
      <c r="HP93" s="3">
        <f ca="1">IFERROR(__xludf.DUMMYFUNCTION("""COMPUTED_VALUE"""),0.0410445822611948)</f>
        <v>4.1044582261194798E-2</v>
      </c>
      <c r="HQ93" s="3">
        <f ca="1">IFERROR(__xludf.DUMMYFUNCTION("""COMPUTED_VALUE"""),-0.00993559361065465)</f>
        <v>-9.9355936106546496E-3</v>
      </c>
      <c r="HR93" s="3">
        <f ca="1">IFERROR(__xludf.DUMMYFUNCTION("""COMPUTED_VALUE"""),-0.0122466931574619)</f>
        <v>-1.2246693157461901E-2</v>
      </c>
      <c r="HS93" s="3">
        <f ca="1">IFERROR(__xludf.DUMMYFUNCTION("""COMPUTED_VALUE"""),-0.134255007902712)</f>
        <v>-0.134255007902712</v>
      </c>
      <c r="HT93" s="3">
        <f ca="1">IFERROR(__xludf.DUMMYFUNCTION("""COMPUTED_VALUE"""),-0.0362302402391673)</f>
        <v>-3.6230240239167301E-2</v>
      </c>
      <c r="HU93" s="3">
        <f ca="1">IFERROR(__xludf.DUMMYFUNCTION("""COMPUTED_VALUE"""),-0.111709519299885)</f>
        <v>-0.111709519299885</v>
      </c>
      <c r="HV93" s="3">
        <f ca="1">IFERROR(__xludf.DUMMYFUNCTION("""COMPUTED_VALUE"""),-0.140621121441269)</f>
        <v>-0.14062112144126901</v>
      </c>
      <c r="HW93" s="3">
        <f ca="1">IFERROR(__xludf.DUMMYFUNCTION("""COMPUTED_VALUE"""),-0.145350849037777)</f>
        <v>-0.14535084903777701</v>
      </c>
      <c r="HX93" s="3">
        <f ca="1">IFERROR(__xludf.DUMMYFUNCTION("""COMPUTED_VALUE"""),-0.18216026007579)</f>
        <v>-0.18216026007579</v>
      </c>
      <c r="HY93" s="3">
        <f ca="1">IFERROR(__xludf.DUMMYFUNCTION("""COMPUTED_VALUE"""),-0.153072720606055)</f>
        <v>-0.15307272060605501</v>
      </c>
      <c r="HZ93" s="3">
        <f ca="1">IFERROR(__xludf.DUMMYFUNCTION("""COMPUTED_VALUE"""),-0.114268745564796)</f>
        <v>-0.11426874556479601</v>
      </c>
      <c r="IA93" s="3">
        <f ca="1">IFERROR(__xludf.DUMMYFUNCTION("""COMPUTED_VALUE"""),-0.0365196613355929)</f>
        <v>-3.6519661335592903E-2</v>
      </c>
      <c r="IB93" s="3">
        <f ca="1">IFERROR(__xludf.DUMMYFUNCTION("""COMPUTED_VALUE"""),-0.059239014046898)</f>
        <v>-5.9239014046897999E-2</v>
      </c>
      <c r="IC93" s="3">
        <f ca="1">IFERROR(__xludf.DUMMYFUNCTION("""COMPUTED_VALUE"""),-0.0755708453209942)</f>
        <v>-7.5570845320994201E-2</v>
      </c>
      <c r="ID93" s="3">
        <f ca="1">IFERROR(__xludf.DUMMYFUNCTION("""COMPUTED_VALUE"""),-0.0179901779864825)</f>
        <v>-1.7990177986482499E-2</v>
      </c>
      <c r="IE93" s="3">
        <f ca="1">IFERROR(__xludf.DUMMYFUNCTION("""COMPUTED_VALUE"""),-0.138706181599175)</f>
        <v>-0.138706181599175</v>
      </c>
      <c r="IF93" s="3">
        <f ca="1">IFERROR(__xludf.DUMMYFUNCTION("""COMPUTED_VALUE"""),-0.0975712473185757)</f>
        <v>-9.7571247318575693E-2</v>
      </c>
      <c r="IG93" s="3">
        <f ca="1">IFERROR(__xludf.DUMMYFUNCTION("""COMPUTED_VALUE"""),-0.0792395755745865)</f>
        <v>-7.9239575574586496E-2</v>
      </c>
      <c r="IH93" s="3">
        <f ca="1">IFERROR(__xludf.DUMMYFUNCTION("""COMPUTED_VALUE"""),-0.0235763799032665)</f>
        <v>-2.3576379903266501E-2</v>
      </c>
      <c r="II93" s="3">
        <f ca="1">IFERROR(__xludf.DUMMYFUNCTION("""COMPUTED_VALUE"""),0.186636812329626)</f>
        <v>0.18663681232962601</v>
      </c>
      <c r="IJ93" s="3">
        <f ca="1">IFERROR(__xludf.DUMMYFUNCTION("""COMPUTED_VALUE"""),0.017799724044907)</f>
        <v>1.7799724044907001E-2</v>
      </c>
      <c r="IK93" s="3">
        <f ca="1">IFERROR(__xludf.DUMMYFUNCTION("""COMPUTED_VALUE"""),-0.0118154768483864)</f>
        <v>-1.1815476848386399E-2</v>
      </c>
      <c r="IL93" s="3">
        <f ca="1">IFERROR(__xludf.DUMMYFUNCTION("""COMPUTED_VALUE"""),-0.144514744764661)</f>
        <v>-0.144514744764661</v>
      </c>
      <c r="IM93" s="3">
        <f ca="1">IFERROR(__xludf.DUMMYFUNCTION("""COMPUTED_VALUE"""),0.0104701595361869)</f>
        <v>1.04701595361869E-2</v>
      </c>
      <c r="IN93" s="3">
        <f ca="1">IFERROR(__xludf.DUMMYFUNCTION("""COMPUTED_VALUE"""),0.0512184908743675)</f>
        <v>5.12184908743675E-2</v>
      </c>
      <c r="IO93" s="3">
        <f ca="1">IFERROR(__xludf.DUMMYFUNCTION("""COMPUTED_VALUE"""),0.0400167369475339)</f>
        <v>4.0016736947533903E-2</v>
      </c>
      <c r="IP93" s="3">
        <f ca="1">IFERROR(__xludf.DUMMYFUNCTION("""COMPUTED_VALUE"""),0.0301042238636726)</f>
        <v>3.0104223863672602E-2</v>
      </c>
      <c r="IQ93" s="3">
        <f ca="1">IFERROR(__xludf.DUMMYFUNCTION("""COMPUTED_VALUE"""),0.0332930909038438)</f>
        <v>3.3293090903843803E-2</v>
      </c>
      <c r="IR93" s="3">
        <f ca="1">IFERROR(__xludf.DUMMYFUNCTION("""COMPUTED_VALUE"""),0.0720784053937184)</f>
        <v>7.2078405393718403E-2</v>
      </c>
      <c r="IS93" s="3">
        <f ca="1">IFERROR(__xludf.DUMMYFUNCTION("""COMPUTED_VALUE"""),-0.0210763534987649)</f>
        <v>-2.10763534987649E-2</v>
      </c>
      <c r="IT93" s="3">
        <f ca="1">IFERROR(__xludf.DUMMYFUNCTION("""COMPUTED_VALUE"""),-0.00214900593614619)</f>
        <v>-2.1490059361461899E-3</v>
      </c>
      <c r="IU93" s="3">
        <f ca="1">IFERROR(__xludf.DUMMYFUNCTION("""COMPUTED_VALUE"""),-0.00587889038246847)</f>
        <v>-5.8788903824684704E-3</v>
      </c>
      <c r="IV93" s="3">
        <f ca="1">IFERROR(__xludf.DUMMYFUNCTION("""COMPUTED_VALUE"""),-0.0313184038801045)</f>
        <v>-3.1318403880104498E-2</v>
      </c>
      <c r="IW93" s="3">
        <f ca="1">IFERROR(__xludf.DUMMYFUNCTION("""COMPUTED_VALUE"""),-0.0224045017657869)</f>
        <v>-2.2404501765786899E-2</v>
      </c>
      <c r="IX93" s="3">
        <f ca="1">IFERROR(__xludf.DUMMYFUNCTION("""COMPUTED_VALUE"""),-0.0220094279957409)</f>
        <v>-2.2009427995740901E-2</v>
      </c>
      <c r="IY93" s="3">
        <f ca="1">IFERROR(__xludf.DUMMYFUNCTION("""COMPUTED_VALUE"""),0.000936673789439845)</f>
        <v>9.3667378943984505E-4</v>
      </c>
      <c r="IZ93" s="3">
        <f ca="1">IFERROR(__xludf.DUMMYFUNCTION("""COMPUTED_VALUE"""),-0.0655518202351609)</f>
        <v>-6.5551820235160901E-2</v>
      </c>
      <c r="JA93" s="3">
        <f ca="1">IFERROR(__xludf.DUMMYFUNCTION("""COMPUTED_VALUE"""),-0.0258616744624547)</f>
        <v>-2.5861674462454701E-2</v>
      </c>
      <c r="JB93" s="3">
        <f ca="1">IFERROR(__xludf.DUMMYFUNCTION("""COMPUTED_VALUE"""),-0.0732213774807163)</f>
        <v>-7.3221377480716304E-2</v>
      </c>
      <c r="JC93" s="3">
        <f ca="1">IFERROR(__xludf.DUMMYFUNCTION("""COMPUTED_VALUE"""),-0.0315765971300441)</f>
        <v>-3.1576597130044098E-2</v>
      </c>
      <c r="JD93" s="3">
        <f ca="1">IFERROR(__xludf.DUMMYFUNCTION("""COMPUTED_VALUE"""),-0.151882230790425)</f>
        <v>-0.15188223079042501</v>
      </c>
      <c r="JE93" s="3">
        <f ca="1">IFERROR(__xludf.DUMMYFUNCTION("""COMPUTED_VALUE"""),-0.154775166031381)</f>
        <v>-0.154775166031381</v>
      </c>
      <c r="JF93" s="3">
        <f ca="1">IFERROR(__xludf.DUMMYFUNCTION("""COMPUTED_VALUE"""),-0.0689101390284092)</f>
        <v>-6.8910139028409201E-2</v>
      </c>
      <c r="JG93" s="3">
        <f ca="1">IFERROR(__xludf.DUMMYFUNCTION("""COMPUTED_VALUE"""),-0.0938207160409413)</f>
        <v>-9.3820716040941304E-2</v>
      </c>
      <c r="JH93" s="3">
        <f ca="1">IFERROR(__xludf.DUMMYFUNCTION("""COMPUTED_VALUE"""),-0.0211585087519355)</f>
        <v>-2.1158508751935499E-2</v>
      </c>
      <c r="JI93" s="3">
        <f ca="1">IFERROR(__xludf.DUMMYFUNCTION("""COMPUTED_VALUE"""),-0.0595570799274306)</f>
        <v>-5.9557079927430603E-2</v>
      </c>
      <c r="JJ93" s="3">
        <f ca="1">IFERROR(__xludf.DUMMYFUNCTION("""COMPUTED_VALUE"""),-0.0265067205363389)</f>
        <v>-2.6506720536338901E-2</v>
      </c>
      <c r="JK93" s="3">
        <f ca="1">IFERROR(__xludf.DUMMYFUNCTION("""COMPUTED_VALUE"""),-0.0648585633718213)</f>
        <v>-6.4858563371821304E-2</v>
      </c>
      <c r="JL93" s="3">
        <f ca="1">IFERROR(__xludf.DUMMYFUNCTION("""COMPUTED_VALUE"""),-0.0126832138479204)</f>
        <v>-1.2683213847920399E-2</v>
      </c>
      <c r="JM93" s="3">
        <f ca="1">IFERROR(__xludf.DUMMYFUNCTION("""COMPUTED_VALUE"""),-0.048476981447424)</f>
        <v>-4.8476981447424003E-2</v>
      </c>
      <c r="JN93" s="3">
        <f ca="1">IFERROR(__xludf.DUMMYFUNCTION("""COMPUTED_VALUE"""),-0.0228653477259274)</f>
        <v>-2.2865347725927399E-2</v>
      </c>
      <c r="JO93" s="3">
        <f ca="1">IFERROR(__xludf.DUMMYFUNCTION("""COMPUTED_VALUE"""),-0.241732547686752)</f>
        <v>-0.24173254768675201</v>
      </c>
      <c r="JP93" s="3">
        <f ca="1">IFERROR(__xludf.DUMMYFUNCTION("""COMPUTED_VALUE"""),-0.21190445141555)</f>
        <v>-0.21190445141555</v>
      </c>
      <c r="JQ93" s="3">
        <f ca="1">IFERROR(__xludf.DUMMYFUNCTION("""COMPUTED_VALUE"""),-0.15614802150529)</f>
        <v>-0.15614802150529</v>
      </c>
      <c r="JR93" s="3">
        <f ca="1">IFERROR(__xludf.DUMMYFUNCTION("""COMPUTED_VALUE"""),-0.16575751408506)</f>
        <v>-0.16575751408506001</v>
      </c>
      <c r="JS93" s="3">
        <f ca="1">IFERROR(__xludf.DUMMYFUNCTION("""COMPUTED_VALUE"""),-0.225024647594584)</f>
        <v>-0.22502464759458399</v>
      </c>
      <c r="JT93" s="3">
        <f ca="1">IFERROR(__xludf.DUMMYFUNCTION("""COMPUTED_VALUE"""),-0.170824149774902)</f>
        <v>-0.17082414977490201</v>
      </c>
      <c r="JU93" s="3">
        <f ca="1">IFERROR(__xludf.DUMMYFUNCTION("""COMPUTED_VALUE"""),-0.234891857248134)</f>
        <v>-0.234891857248134</v>
      </c>
      <c r="JV93" s="3">
        <f ca="1">IFERROR(__xludf.DUMMYFUNCTION("""COMPUTED_VALUE"""),-0.201539538126579)</f>
        <v>-0.20153953812657899</v>
      </c>
      <c r="JW93" s="3">
        <f ca="1">IFERROR(__xludf.DUMMYFUNCTION("""COMPUTED_VALUE"""),-0.24605558028429)</f>
        <v>-0.24605558028429</v>
      </c>
      <c r="JX93" s="3">
        <f ca="1">IFERROR(__xludf.DUMMYFUNCTION("""COMPUTED_VALUE"""),-0.249233523612752)</f>
        <v>-0.249233523612752</v>
      </c>
      <c r="JY93" s="3">
        <f ca="1">IFERROR(__xludf.DUMMYFUNCTION("""COMPUTED_VALUE"""),-0.255380504930016)</f>
        <v>-0.25538050493001602</v>
      </c>
      <c r="JZ93" s="3">
        <f ca="1">IFERROR(__xludf.DUMMYFUNCTION("""COMPUTED_VALUE"""),-0.232965208955843)</f>
        <v>-0.232965208955843</v>
      </c>
      <c r="KA93" s="3">
        <f ca="1">IFERROR(__xludf.DUMMYFUNCTION("""COMPUTED_VALUE"""),-0.262226087818342)</f>
        <v>-0.262226087818342</v>
      </c>
      <c r="KB93" s="3">
        <f ca="1">IFERROR(__xludf.DUMMYFUNCTION("""COMPUTED_VALUE"""),-0.235554218080413)</f>
        <v>-0.23555421808041299</v>
      </c>
      <c r="KC93" s="3">
        <f ca="1">IFERROR(__xludf.DUMMYFUNCTION("""COMPUTED_VALUE"""),-0.272061611736463)</f>
        <v>-0.27206161173646298</v>
      </c>
      <c r="KD93" s="3">
        <f ca="1">IFERROR(__xludf.DUMMYFUNCTION("""COMPUTED_VALUE"""),-0.280657313134114)</f>
        <v>-0.28065731313411402</v>
      </c>
      <c r="KE93" s="3">
        <f ca="1">IFERROR(__xludf.DUMMYFUNCTION("""COMPUTED_VALUE"""),-0.224741125293809)</f>
        <v>-0.22474112529380899</v>
      </c>
      <c r="KF93" s="3">
        <f ca="1">IFERROR(__xludf.DUMMYFUNCTION("""COMPUTED_VALUE"""),-0.260129664429145)</f>
        <v>-0.26012966442914498</v>
      </c>
      <c r="KG93" s="3">
        <f ca="1">IFERROR(__xludf.DUMMYFUNCTION("""COMPUTED_VALUE"""),-0.20867136180262)</f>
        <v>-0.20867136180262</v>
      </c>
      <c r="KH93" s="3">
        <f ca="1">IFERROR(__xludf.DUMMYFUNCTION("""COMPUTED_VALUE"""),-0.196913181952991)</f>
        <v>-0.19691318195299101</v>
      </c>
      <c r="KI93" s="3">
        <f ca="1">IFERROR(__xludf.DUMMYFUNCTION("""COMPUTED_VALUE"""),-0.152986458944485)</f>
        <v>-0.15298645894448501</v>
      </c>
      <c r="KJ93" s="3">
        <f ca="1">IFERROR(__xludf.DUMMYFUNCTION("""COMPUTED_VALUE"""),-0.111062842298959)</f>
        <v>-0.11106284229895901</v>
      </c>
      <c r="KK93" s="3">
        <f ca="1">IFERROR(__xludf.DUMMYFUNCTION("""COMPUTED_VALUE"""),-0.209207985064736)</f>
        <v>-0.20920798506473601</v>
      </c>
      <c r="KL93" s="3">
        <f ca="1">IFERROR(__xludf.DUMMYFUNCTION("""COMPUTED_VALUE"""),-0.151618139346696)</f>
        <v>-0.15161813934669599</v>
      </c>
      <c r="KM93" s="3">
        <f ca="1">IFERROR(__xludf.DUMMYFUNCTION("""COMPUTED_VALUE"""),-0.225469735900203)</f>
        <v>-0.225469735900203</v>
      </c>
      <c r="KN93" s="3">
        <f ca="1">IFERROR(__xludf.DUMMYFUNCTION("""COMPUTED_VALUE"""),-0.313319696607705)</f>
        <v>-0.31331969660770498</v>
      </c>
      <c r="KO93" s="3">
        <f ca="1">IFERROR(__xludf.DUMMYFUNCTION("""COMPUTED_VALUE"""),-0.322085273473489)</f>
        <v>-0.32208527347348898</v>
      </c>
      <c r="KP93" s="3">
        <f ca="1">IFERROR(__xludf.DUMMYFUNCTION("""COMPUTED_VALUE"""),-0.281303683964964)</f>
        <v>-0.28130368396496402</v>
      </c>
      <c r="KQ93" s="3">
        <f ca="1">IFERROR(__xludf.DUMMYFUNCTION("""COMPUTED_VALUE"""),-0.260183680283107)</f>
        <v>-0.26018368028310701</v>
      </c>
      <c r="KR93" s="3">
        <f ca="1">IFERROR(__xludf.DUMMYFUNCTION("""COMPUTED_VALUE"""),-0.287716960461274)</f>
        <v>-0.28771696046127399</v>
      </c>
      <c r="KS93" s="3">
        <f ca="1">IFERROR(__xludf.DUMMYFUNCTION("""COMPUTED_VALUE"""),-0.346961827090712)</f>
        <v>-0.34696182709071199</v>
      </c>
      <c r="KT93" s="3">
        <f ca="1">IFERROR(__xludf.DUMMYFUNCTION("""COMPUTED_VALUE"""),-0.313848187507025)</f>
        <v>-0.31384818750702498</v>
      </c>
      <c r="KU93" s="3">
        <f ca="1">IFERROR(__xludf.DUMMYFUNCTION("""COMPUTED_VALUE"""),-0.39443162672927)</f>
        <v>-0.39443162672927001</v>
      </c>
      <c r="KV93" s="3">
        <f ca="1">IFERROR(__xludf.DUMMYFUNCTION("""COMPUTED_VALUE"""),-0.375398821223377)</f>
        <v>-0.37539882122337698</v>
      </c>
      <c r="KW93" s="3">
        <f ca="1">IFERROR(__xludf.DUMMYFUNCTION("""COMPUTED_VALUE"""),-0.317944708534057)</f>
        <v>-0.31794470853405699</v>
      </c>
      <c r="KX93" s="3">
        <f ca="1">IFERROR(__xludf.DUMMYFUNCTION("""COMPUTED_VALUE"""),-0.305609333878152)</f>
        <v>-0.30560933387815198</v>
      </c>
      <c r="KY93" s="3">
        <f ca="1">IFERROR(__xludf.DUMMYFUNCTION("""COMPUTED_VALUE"""),-0.315529350264038)</f>
        <v>-0.315529350264038</v>
      </c>
      <c r="KZ93" s="3">
        <f ca="1">IFERROR(__xludf.DUMMYFUNCTION("""COMPUTED_VALUE"""),-0.323290528684338)</f>
        <v>-0.323290528684338</v>
      </c>
      <c r="LA93" s="3">
        <f ca="1">IFERROR(__xludf.DUMMYFUNCTION("""COMPUTED_VALUE"""),-0.345683707826328)</f>
        <v>-0.34568370782632801</v>
      </c>
      <c r="LB93" s="3">
        <f ca="1">IFERROR(__xludf.DUMMYFUNCTION("""COMPUTED_VALUE"""),-0.397535652052844)</f>
        <v>-0.39753565205284402</v>
      </c>
      <c r="LC93" s="3">
        <f ca="1">IFERROR(__xludf.DUMMYFUNCTION("""COMPUTED_VALUE"""),-0.380308765141755)</f>
        <v>-0.38030876514175499</v>
      </c>
      <c r="LD93" s="3">
        <f ca="1">IFERROR(__xludf.DUMMYFUNCTION("""COMPUTED_VALUE"""),-0.370758983746954)</f>
        <v>-0.37075898374695399</v>
      </c>
      <c r="LE93" s="3">
        <f ca="1">IFERROR(__xludf.DUMMYFUNCTION("""COMPUTED_VALUE"""),-0.302094044617045)</f>
        <v>-0.30209404461704498</v>
      </c>
      <c r="LF93" s="3">
        <f ca="1">IFERROR(__xludf.DUMMYFUNCTION("""COMPUTED_VALUE"""),-0.344042780700483)</f>
        <v>-0.344042780700483</v>
      </c>
      <c r="LG93" s="3">
        <f ca="1">IFERROR(__xludf.DUMMYFUNCTION("""COMPUTED_VALUE"""),-0.350500719633681)</f>
        <v>-0.35050071963368101</v>
      </c>
      <c r="LH93" s="3">
        <f ca="1">IFERROR(__xludf.DUMMYFUNCTION("""COMPUTED_VALUE"""),-0.427526801493291)</f>
        <v>-0.42752680149329098</v>
      </c>
      <c r="LI93" s="3">
        <f ca="1">IFERROR(__xludf.DUMMYFUNCTION("""COMPUTED_VALUE"""),-0.484023357202258)</f>
        <v>-0.48402335720225798</v>
      </c>
      <c r="LJ93" s="3">
        <f ca="1">IFERROR(__xludf.DUMMYFUNCTION("""COMPUTED_VALUE"""),-0.455340619303154)</f>
        <v>-0.455340619303154</v>
      </c>
      <c r="LK93" s="3">
        <f ca="1">IFERROR(__xludf.DUMMYFUNCTION("""COMPUTED_VALUE"""),-0.432007326321456)</f>
        <v>-0.432007326321456</v>
      </c>
      <c r="LL93" s="3">
        <f ca="1">IFERROR(__xludf.DUMMYFUNCTION("""COMPUTED_VALUE"""),-0.462568916055702)</f>
        <v>-0.462568916055702</v>
      </c>
      <c r="LM93" s="3">
        <f ca="1">IFERROR(__xludf.DUMMYFUNCTION("""COMPUTED_VALUE"""),-0.393213344725731)</f>
        <v>-0.393213344725731</v>
      </c>
      <c r="LN93" s="3">
        <f ca="1">IFERROR(__xludf.DUMMYFUNCTION("""COMPUTED_VALUE"""),-0.344087348895434)</f>
        <v>-0.34408734889543402</v>
      </c>
      <c r="LO93" s="3">
        <f ca="1">IFERROR(__xludf.DUMMYFUNCTION("""COMPUTED_VALUE"""),-0.502377690374916)</f>
        <v>-0.50237769037491598</v>
      </c>
      <c r="LP93" s="3">
        <f ca="1">IFERROR(__xludf.DUMMYFUNCTION("""COMPUTED_VALUE"""),-0.554476133447519)</f>
        <v>-0.554476133447519</v>
      </c>
      <c r="LQ93" s="3">
        <f ca="1">IFERROR(__xludf.DUMMYFUNCTION("""COMPUTED_VALUE"""),-0.510758552126358)</f>
        <v>-0.51075855212635801</v>
      </c>
      <c r="LR93" s="3">
        <f ca="1">IFERROR(__xludf.DUMMYFUNCTION("""COMPUTED_VALUE"""),-0.503084641236224)</f>
        <v>-0.50308464123622398</v>
      </c>
      <c r="LS93" s="3">
        <f ca="1">IFERROR(__xludf.DUMMYFUNCTION("""COMPUTED_VALUE"""),-0.450207731252045)</f>
        <v>-0.450207731252045</v>
      </c>
      <c r="LT93" s="3">
        <f ca="1">IFERROR(__xludf.DUMMYFUNCTION("""COMPUTED_VALUE"""),-0.45178040259967)</f>
        <v>-0.45178040259967001</v>
      </c>
      <c r="LU93" s="3">
        <f ca="1">IFERROR(__xludf.DUMMYFUNCTION("""COMPUTED_VALUE"""),-0.502578779413644)</f>
        <v>-0.50257877941364404</v>
      </c>
      <c r="LV93" s="3">
        <f ca="1">IFERROR(__xludf.DUMMYFUNCTION("""COMPUTED_VALUE"""),-0.541714093869704)</f>
        <v>-0.54171409386970404</v>
      </c>
      <c r="LW93" s="3">
        <f ca="1">IFERROR(__xludf.DUMMYFUNCTION("""COMPUTED_VALUE"""),-0.63480254093585)</f>
        <v>-0.63480254093584998</v>
      </c>
      <c r="LX93" s="3">
        <f ca="1">IFERROR(__xludf.DUMMYFUNCTION("""COMPUTED_VALUE"""),-0.575482734632655)</f>
        <v>-0.57548273463265498</v>
      </c>
      <c r="LY93" s="3">
        <f ca="1">IFERROR(__xludf.DUMMYFUNCTION("""COMPUTED_VALUE"""),-0.546883510107071)</f>
        <v>-0.54688351010707104</v>
      </c>
      <c r="LZ93" s="3">
        <f ca="1">IFERROR(__xludf.DUMMYFUNCTION("""COMPUTED_VALUE"""),-0.541309170440439)</f>
        <v>-0.54130917044043902</v>
      </c>
      <c r="MA93" s="3">
        <f ca="1">IFERROR(__xludf.DUMMYFUNCTION("""COMPUTED_VALUE"""),-0.491889200469637)</f>
        <v>-0.49188920046963702</v>
      </c>
      <c r="MB93" s="3">
        <f ca="1">IFERROR(__xludf.DUMMYFUNCTION("""COMPUTED_VALUE"""),-0.706415618556898)</f>
        <v>-0.70641561855689805</v>
      </c>
      <c r="MC93" s="3">
        <f ca="1">IFERROR(__xludf.DUMMYFUNCTION("""COMPUTED_VALUE"""),-0.689142050532701)</f>
        <v>-0.68914205053270094</v>
      </c>
      <c r="MD93" s="3">
        <f ca="1">IFERROR(__xludf.DUMMYFUNCTION("""COMPUTED_VALUE"""),-0.711002041184505)</f>
        <v>-0.71100204118450505</v>
      </c>
      <c r="ME93" s="3">
        <f ca="1">IFERROR(__xludf.DUMMYFUNCTION("""COMPUTED_VALUE"""),-0.705560981787106)</f>
        <v>-0.70556098178710602</v>
      </c>
      <c r="MF93" s="3">
        <f ca="1">IFERROR(__xludf.DUMMYFUNCTION("""COMPUTED_VALUE"""),-0.542681043278229)</f>
        <v>-0.54268104327822897</v>
      </c>
      <c r="MG93" s="3">
        <f ca="1">IFERROR(__xludf.DUMMYFUNCTION("""COMPUTED_VALUE"""),-0.723584424075624)</f>
        <v>-0.72358442407562396</v>
      </c>
      <c r="MH93" s="3">
        <f ca="1">IFERROR(__xludf.DUMMYFUNCTION("""COMPUTED_VALUE"""),-0.745317814277797)</f>
        <v>-0.74531781427779698</v>
      </c>
      <c r="MI93" s="3">
        <f ca="1">IFERROR(__xludf.DUMMYFUNCTION("""COMPUTED_VALUE"""),-0.765539948967408)</f>
        <v>-0.76553994896740796</v>
      </c>
      <c r="MJ93" s="3">
        <f ca="1">IFERROR(__xludf.DUMMYFUNCTION("""COMPUTED_VALUE"""),-0.691751583058287)</f>
        <v>-0.69175158305828699</v>
      </c>
      <c r="MK93" s="3">
        <f ca="1">IFERROR(__xludf.DUMMYFUNCTION("""COMPUTED_VALUE"""),-0.94425650098957)</f>
        <v>-0.94425650098957004</v>
      </c>
      <c r="ML93" s="3">
        <f ca="1">IFERROR(__xludf.DUMMYFUNCTION("""COMPUTED_VALUE"""),-0.760904595855249)</f>
        <v>-0.76090459585524906</v>
      </c>
      <c r="MM93" s="3">
        <f ca="1">IFERROR(__xludf.DUMMYFUNCTION("""COMPUTED_VALUE"""),-0.710650934606966)</f>
        <v>-0.71065093460696604</v>
      </c>
      <c r="MN93" s="3">
        <f ca="1">IFERROR(__xludf.DUMMYFUNCTION("""COMPUTED_VALUE"""),-0.786476692299494)</f>
        <v>-0.78647669229949402</v>
      </c>
      <c r="MO93" s="3">
        <f ca="1">IFERROR(__xludf.DUMMYFUNCTION("""COMPUTED_VALUE"""),-0.713084799710178)</f>
        <v>-0.71308479971017802</v>
      </c>
      <c r="MP93" s="3">
        <f ca="1">IFERROR(__xludf.DUMMYFUNCTION("""COMPUTED_VALUE"""),-0.847732093890196)</f>
        <v>-0.84773209389019599</v>
      </c>
      <c r="MQ93" s="3">
        <f ca="1">IFERROR(__xludf.DUMMYFUNCTION("""COMPUTED_VALUE"""),-0.798276211365572)</f>
        <v>-0.79827621136557203</v>
      </c>
      <c r="MR93" s="3">
        <f ca="1">IFERROR(__xludf.DUMMYFUNCTION("""COMPUTED_VALUE"""),-0.766773508904119)</f>
        <v>-0.76677350890411899</v>
      </c>
      <c r="MS93" s="3">
        <f ca="1">IFERROR(__xludf.DUMMYFUNCTION("""COMPUTED_VALUE"""),-0.715297024169023)</f>
        <v>-0.71529702416902297</v>
      </c>
      <c r="MT93" s="3">
        <f ca="1">IFERROR(__xludf.DUMMYFUNCTION("""COMPUTED_VALUE"""),-0.672893648888168)</f>
        <v>-0.67289364888816805</v>
      </c>
      <c r="MU93" s="3">
        <f ca="1">IFERROR(__xludf.DUMMYFUNCTION("""COMPUTED_VALUE"""),-0.754106257216754)</f>
        <v>-0.75410625721675395</v>
      </c>
      <c r="MV93" s="3">
        <f ca="1">IFERROR(__xludf.DUMMYFUNCTION("""COMPUTED_VALUE"""),-0.697809969152903)</f>
        <v>-0.69780996915290305</v>
      </c>
      <c r="MW93" s="3">
        <f ca="1">IFERROR(__xludf.DUMMYFUNCTION("""COMPUTED_VALUE"""),-0.82994562316293)</f>
        <v>-0.82994562316292997</v>
      </c>
      <c r="MX93" s="3">
        <f ca="1">IFERROR(__xludf.DUMMYFUNCTION("""COMPUTED_VALUE"""),-0.758016003574137)</f>
        <v>-0.75801600357413701</v>
      </c>
      <c r="MY93" s="3">
        <f ca="1">IFERROR(__xludf.DUMMYFUNCTION("""COMPUTED_VALUE"""),-0.734601115573636)</f>
        <v>-0.73460111557363605</v>
      </c>
      <c r="MZ93" s="3">
        <f ca="1">IFERROR(__xludf.DUMMYFUNCTION("""COMPUTED_VALUE"""),-0.747586620753105)</f>
        <v>-0.747586620753105</v>
      </c>
      <c r="NA93" s="3">
        <f ca="1">IFERROR(__xludf.DUMMYFUNCTION("""COMPUTED_VALUE"""),-0.721886005094023)</f>
        <v>-0.72188600509402301</v>
      </c>
      <c r="NB93" s="3">
        <f ca="1">IFERROR(__xludf.DUMMYFUNCTION("""COMPUTED_VALUE"""),-0.68944207946675)</f>
        <v>-0.68944207946674996</v>
      </c>
      <c r="NC93" s="3">
        <f ca="1">IFERROR(__xludf.DUMMYFUNCTION("""COMPUTED_VALUE"""),-0.730830903248279)</f>
        <v>-0.73083090324827904</v>
      </c>
      <c r="ND93" s="3">
        <f ca="1">IFERROR(__xludf.DUMMYFUNCTION("""COMPUTED_VALUE"""),-0.811972949403094)</f>
        <v>-0.81197294940309395</v>
      </c>
      <c r="NE93" s="3">
        <f ca="1">IFERROR(__xludf.DUMMYFUNCTION("""COMPUTED_VALUE"""),-0.725046001201457)</f>
        <v>-0.72504600120145701</v>
      </c>
      <c r="NF93" s="3">
        <f ca="1">IFERROR(__xludf.DUMMYFUNCTION("""COMPUTED_VALUE"""),-0.748391429889214)</f>
        <v>-0.74839142988921403</v>
      </c>
      <c r="NG93" s="3">
        <f ca="1">IFERROR(__xludf.DUMMYFUNCTION("""COMPUTED_VALUE"""),-0.775107831348814)</f>
        <v>-0.775107831348814</v>
      </c>
      <c r="NH93" s="3">
        <f ca="1">IFERROR(__xludf.DUMMYFUNCTION("""COMPUTED_VALUE"""),-0.755324269219515)</f>
        <v>-0.75532426921951501</v>
      </c>
      <c r="NI93" s="3">
        <f ca="1">IFERROR(__xludf.DUMMYFUNCTION("""COMPUTED_VALUE"""),-0.703462397199612)</f>
        <v>-0.70346239719961201</v>
      </c>
      <c r="NJ93" s="3">
        <f ca="1">IFERROR(__xludf.DUMMYFUNCTION("""COMPUTED_VALUE"""),-0.728054600015645)</f>
        <v>-0.72805460001564504</v>
      </c>
      <c r="NK93" s="3">
        <f ca="1">IFERROR(__xludf.DUMMYFUNCTION("""COMPUTED_VALUE"""),-0.831968228325098)</f>
        <v>-0.83196822832509798</v>
      </c>
      <c r="NL93" s="3">
        <f ca="1">IFERROR(__xludf.DUMMYFUNCTION("""COMPUTED_VALUE"""),-0.787297054001344)</f>
        <v>-0.78729705400134398</v>
      </c>
      <c r="NM93" s="3">
        <f ca="1">IFERROR(__xludf.DUMMYFUNCTION("""COMPUTED_VALUE"""),-0.783053150277585)</f>
        <v>-0.78305315027758504</v>
      </c>
      <c r="NN93" s="3">
        <f ca="1">IFERROR(__xludf.DUMMYFUNCTION("""COMPUTED_VALUE"""),-0.803607089071777)</f>
        <v>-0.80360708907177703</v>
      </c>
      <c r="NO93" s="3">
        <f ca="1">IFERROR(__xludf.DUMMYFUNCTION("""COMPUTED_VALUE"""),-0.799924348080904)</f>
        <v>-0.79992434808090396</v>
      </c>
      <c r="NP93" s="3">
        <f ca="1">IFERROR(__xludf.DUMMYFUNCTION("""COMPUTED_VALUE"""),-0.780585537864389)</f>
        <v>-0.780585537864389</v>
      </c>
      <c r="NQ93" s="3">
        <f ca="1">IFERROR(__xludf.DUMMYFUNCTION("""COMPUTED_VALUE"""),-0.773219358030514)</f>
        <v>-0.773219358030514</v>
      </c>
      <c r="NR93" s="3">
        <f ca="1">IFERROR(__xludf.DUMMYFUNCTION("""COMPUTED_VALUE"""),-0.854122792605073)</f>
        <v>-0.85412279260507296</v>
      </c>
      <c r="NS93" s="3">
        <f ca="1">IFERROR(__xludf.DUMMYFUNCTION("""COMPUTED_VALUE"""),-0.79355168776802)</f>
        <v>-0.79355168776801999</v>
      </c>
      <c r="NT93" s="3">
        <f ca="1">IFERROR(__xludf.DUMMYFUNCTION("""COMPUTED_VALUE"""),-0.806782783307533)</f>
        <v>-0.80678278330753295</v>
      </c>
      <c r="NU93" s="3">
        <f ca="1">IFERROR(__xludf.DUMMYFUNCTION("""COMPUTED_VALUE"""),-0.842016469046662)</f>
        <v>-0.84201646904666205</v>
      </c>
      <c r="NV93" s="3">
        <f ca="1">IFERROR(__xludf.DUMMYFUNCTION("""COMPUTED_VALUE"""),-0.782800201048875)</f>
        <v>-0.78280020104887504</v>
      </c>
      <c r="NW93" s="3">
        <f ca="1">IFERROR(__xludf.DUMMYFUNCTION("""COMPUTED_VALUE"""),-0.759862349122174)</f>
        <v>-0.75986234912217399</v>
      </c>
      <c r="NX93" s="3">
        <f ca="1">IFERROR(__xludf.DUMMYFUNCTION("""COMPUTED_VALUE"""),-0.792538950250756)</f>
        <v>-0.79253895025075605</v>
      </c>
      <c r="NY93" s="3">
        <f ca="1">IFERROR(__xludf.DUMMYFUNCTION("""COMPUTED_VALUE"""),-0.81811220770136)</f>
        <v>-0.81811220770135995</v>
      </c>
      <c r="NZ93" s="3">
        <f ca="1">IFERROR(__xludf.DUMMYFUNCTION("""COMPUTED_VALUE"""),-0.82738361441899)</f>
        <v>-0.82738361441899</v>
      </c>
      <c r="OA93" s="3">
        <f ca="1">IFERROR(__xludf.DUMMYFUNCTION("""COMPUTED_VALUE"""),-0.844700352149833)</f>
        <v>-0.84470035214983297</v>
      </c>
      <c r="OB93" s="3">
        <f ca="1">IFERROR(__xludf.DUMMYFUNCTION("""COMPUTED_VALUE"""),-0.806903306666435)</f>
        <v>-0.80690330666643495</v>
      </c>
      <c r="OC93" s="3">
        <f ca="1">IFERROR(__xludf.DUMMYFUNCTION("""COMPUTED_VALUE"""),-0.777815211378287)</f>
        <v>-0.77781521137828702</v>
      </c>
      <c r="OD93" s="3">
        <f ca="1">IFERROR(__xludf.DUMMYFUNCTION("""COMPUTED_VALUE"""),-0.69471193256499)</f>
        <v>-0.69471193256498998</v>
      </c>
      <c r="OE93" s="3">
        <f ca="1">IFERROR(__xludf.DUMMYFUNCTION("""COMPUTED_VALUE"""),-0.386474107538025)</f>
        <v>-0.38647410753802502</v>
      </c>
      <c r="OF93" s="3">
        <f ca="1">IFERROR(__xludf.DUMMYFUNCTION("""COMPUTED_VALUE"""),-0.277654984964034)</f>
        <v>-0.27765498496403401</v>
      </c>
      <c r="OG93" s="3">
        <f ca="1">IFERROR(__xludf.DUMMYFUNCTION("""COMPUTED_VALUE"""),-0.17372960952188)</f>
        <v>-0.17372960952187999</v>
      </c>
      <c r="OH93" s="3">
        <f ca="1">IFERROR(__xludf.DUMMYFUNCTION("""COMPUTED_VALUE"""),-0.142071942947697)</f>
        <v>-0.14207194294769701</v>
      </c>
      <c r="OI93" s="3">
        <f ca="1">IFERROR(__xludf.DUMMYFUNCTION("""COMPUTED_VALUE"""),-0.043310731075175)</f>
        <v>-4.3310731075175003E-2</v>
      </c>
      <c r="OJ93" s="3">
        <f ca="1">IFERROR(__xludf.DUMMYFUNCTION("""COMPUTED_VALUE"""),-0.0224525565126523)</f>
        <v>-2.2452556512652301E-2</v>
      </c>
      <c r="OK93" s="3">
        <f ca="1">IFERROR(__xludf.DUMMYFUNCTION("""COMPUTED_VALUE"""),-0.0738484500136376)</f>
        <v>-7.3848450013637601E-2</v>
      </c>
      <c r="OL93" s="3">
        <f ca="1">IFERROR(__xludf.DUMMYFUNCTION("""COMPUTED_VALUE"""),-0.0029675646800501)</f>
        <v>-2.9675646800500998E-3</v>
      </c>
      <c r="OM93" s="3">
        <f ca="1">IFERROR(__xludf.DUMMYFUNCTION("""COMPUTED_VALUE"""),0.0226547750530137)</f>
        <v>2.26547750530137E-2</v>
      </c>
      <c r="ON93" s="3">
        <f ca="1">IFERROR(__xludf.DUMMYFUNCTION("""COMPUTED_VALUE"""),0.0309921567619253)</f>
        <v>3.0992156761925301E-2</v>
      </c>
      <c r="OO93" s="3">
        <f ca="1">IFERROR(__xludf.DUMMYFUNCTION("""COMPUTED_VALUE"""),0.0382822837921323)</f>
        <v>3.8282283792132298E-2</v>
      </c>
      <c r="OP93" s="3">
        <f ca="1">IFERROR(__xludf.DUMMYFUNCTION("""COMPUTED_VALUE"""),0.010873275425957)</f>
        <v>1.0873275425957001E-2</v>
      </c>
      <c r="OQ93" s="3">
        <f ca="1">IFERROR(__xludf.DUMMYFUNCTION("""COMPUTED_VALUE"""),-0.0575231597153086)</f>
        <v>-5.7523159715308601E-2</v>
      </c>
      <c r="OR93" s="3">
        <f ca="1">IFERROR(__xludf.DUMMYFUNCTION("""COMPUTED_VALUE"""),-0.0529162437025735)</f>
        <v>-5.2916243702573501E-2</v>
      </c>
      <c r="OS93" s="3">
        <f ca="1">IFERROR(__xludf.DUMMYFUNCTION("""COMPUTED_VALUE"""),0.132425009768563)</f>
        <v>0.132425009768563</v>
      </c>
      <c r="OT93" s="3">
        <f ca="1">IFERROR(__xludf.DUMMYFUNCTION("""COMPUTED_VALUE"""),0.0212477472510848)</f>
        <v>2.12477472510848E-2</v>
      </c>
      <c r="OU93" s="3">
        <f ca="1">IFERROR(__xludf.DUMMYFUNCTION("""COMPUTED_VALUE"""),-0.0813426256854822)</f>
        <v>-8.1342625685482201E-2</v>
      </c>
      <c r="OV93" s="3">
        <f ca="1">IFERROR(__xludf.DUMMYFUNCTION("""COMPUTED_VALUE"""),-0.0766845599536985)</f>
        <v>-7.6684559953698495E-2</v>
      </c>
      <c r="OW93" s="3">
        <f ca="1">IFERROR(__xludf.DUMMYFUNCTION("""COMPUTED_VALUE"""),-0.123395229911739)</f>
        <v>-0.123395229911739</v>
      </c>
      <c r="OX93" s="3">
        <f ca="1">IFERROR(__xludf.DUMMYFUNCTION("""COMPUTED_VALUE"""),-0.0832265906596388)</f>
        <v>-8.3226590659638805E-2</v>
      </c>
      <c r="OY93" s="3">
        <f ca="1">IFERROR(__xludf.DUMMYFUNCTION("""COMPUTED_VALUE"""),-0.101953741103539)</f>
        <v>-0.101953741103539</v>
      </c>
      <c r="OZ93" s="3">
        <f ca="1">IFERROR(__xludf.DUMMYFUNCTION("""COMPUTED_VALUE"""),-0.0921199764275004)</f>
        <v>-9.2119976427500402E-2</v>
      </c>
      <c r="PA93" s="3">
        <f ca="1">IFERROR(__xludf.DUMMYFUNCTION("""COMPUTED_VALUE"""),0.0725649055207644)</f>
        <v>7.2564905520764403E-2</v>
      </c>
      <c r="PB93" s="3">
        <f ca="1">IFERROR(__xludf.DUMMYFUNCTION("""COMPUTED_VALUE"""),0.00955468942724713)</f>
        <v>9.5546894272471299E-3</v>
      </c>
      <c r="PC93" s="3">
        <f ca="1">IFERROR(__xludf.DUMMYFUNCTION("""COMPUTED_VALUE"""),-0.0303884000906443)</f>
        <v>-3.0388400090644301E-2</v>
      </c>
      <c r="PD93" s="3">
        <f ca="1">IFERROR(__xludf.DUMMYFUNCTION("""COMPUTED_VALUE"""),0.0302208831653689)</f>
        <v>3.02208831653689E-2</v>
      </c>
      <c r="PE93" s="3">
        <f ca="1">IFERROR(__xludf.DUMMYFUNCTION("""COMPUTED_VALUE"""),-0.011472234434141)</f>
        <v>-1.1472234434141E-2</v>
      </c>
      <c r="PF93" s="3">
        <f ca="1">IFERROR(__xludf.DUMMYFUNCTION("""COMPUTED_VALUE"""),0.00576831220253026)</f>
        <v>5.7683122025302602E-3</v>
      </c>
      <c r="PG93" s="3">
        <f ca="1">IFERROR(__xludf.DUMMYFUNCTION("""COMPUTED_VALUE"""),0.106987062070797)</f>
        <v>0.106987062070797</v>
      </c>
      <c r="PH93" s="3">
        <f ca="1">IFERROR(__xludf.DUMMYFUNCTION("""COMPUTED_VALUE"""),0.097533853693382)</f>
        <v>9.7533853693381994E-2</v>
      </c>
      <c r="PI93" s="3">
        <f ca="1">IFERROR(__xludf.DUMMYFUNCTION("""COMPUTED_VALUE"""),0.176703308357263)</f>
        <v>0.176703308357263</v>
      </c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</row>
    <row r="94" spans="1:477" ht="13">
      <c r="A94" s="1" t="str">
        <f ca="1">IFERROR(__xludf.DUMMYFUNCTION("""COMPUTED_VALUE"""),"MTA &amp; RTA")</f>
        <v>MTA &amp; RTA</v>
      </c>
      <c r="B94" s="1" t="str">
        <f ca="1">IFERROR(__xludf.DUMMYFUNCTION("""COMPUTED_VALUE"""),"Nashville")</f>
        <v>Nashville</v>
      </c>
      <c r="C94" s="1" t="str">
        <f ca="1">IFERROR(__xludf.DUMMYFUNCTION("""COMPUTED_VALUE"""),"United States")</f>
        <v>United States</v>
      </c>
      <c r="D94" s="1" t="str">
        <f ca="1">IFERROR(__xludf.DUMMYFUNCTION("""COMPUTED_VALUE"""),"Tennessee")</f>
        <v>Tennessee</v>
      </c>
      <c r="E94" s="3">
        <f ca="1">IFERROR(__xludf.DUMMYFUNCTION("""COMPUTED_VALUE"""),-0.626527356700264)</f>
        <v>-0.62652735670026405</v>
      </c>
      <c r="F94" s="3">
        <f ca="1">IFERROR(__xludf.DUMMYFUNCTION("""COMPUTED_VALUE"""),-0.620319766486914)</f>
        <v>-0.620319766486914</v>
      </c>
      <c r="G94" s="3">
        <f ca="1">IFERROR(__xludf.DUMMYFUNCTION("""COMPUTED_VALUE"""),-0.640503777994645)</f>
        <v>-0.64050377799464497</v>
      </c>
      <c r="H94" s="3">
        <f ca="1">IFERROR(__xludf.DUMMYFUNCTION("""COMPUTED_VALUE"""),-0.653793151063286)</f>
        <v>-0.65379315106328595</v>
      </c>
      <c r="I94" s="3">
        <f ca="1">IFERROR(__xludf.DUMMYFUNCTION("""COMPUTED_VALUE"""),-0.687955961655978)</f>
        <v>-0.68795596165597805</v>
      </c>
      <c r="J94" s="3">
        <f ca="1">IFERROR(__xludf.DUMMYFUNCTION("""COMPUTED_VALUE"""),-0.648422314311282)</f>
        <v>-0.64842231431128206</v>
      </c>
      <c r="K94" s="3">
        <f ca="1">IFERROR(__xludf.DUMMYFUNCTION("""COMPUTED_VALUE"""),-0.610762461735603)</f>
        <v>-0.610762461735603</v>
      </c>
      <c r="L94" s="3">
        <f ca="1">IFERROR(__xludf.DUMMYFUNCTION("""COMPUTED_VALUE"""),-0.613790737697164)</f>
        <v>-0.61379073769716397</v>
      </c>
      <c r="M94" s="3">
        <f ca="1">IFERROR(__xludf.DUMMYFUNCTION("""COMPUTED_VALUE"""),-0.717511324237462)</f>
        <v>-0.717511324237462</v>
      </c>
      <c r="N94" s="3">
        <f ca="1">IFERROR(__xludf.DUMMYFUNCTION("""COMPUTED_VALUE"""),-0.68602124958926)</f>
        <v>-0.68602124958926003</v>
      </c>
      <c r="O94" s="3">
        <f ca="1">IFERROR(__xludf.DUMMYFUNCTION("""COMPUTED_VALUE"""),-0.718789538591044)</f>
        <v>-0.718789538591044</v>
      </c>
      <c r="P94" s="3">
        <f ca="1">IFERROR(__xludf.DUMMYFUNCTION("""COMPUTED_VALUE"""),-0.700745803108176)</f>
        <v>-0.70074580310817602</v>
      </c>
      <c r="Q94" s="3">
        <f ca="1">IFERROR(__xludf.DUMMYFUNCTION("""COMPUTED_VALUE"""),-0.678921101618218)</f>
        <v>-0.67892110161821795</v>
      </c>
      <c r="R94" s="3">
        <f ca="1">IFERROR(__xludf.DUMMYFUNCTION("""COMPUTED_VALUE"""),-0.589825624868771)</f>
        <v>-0.58982562486877099</v>
      </c>
      <c r="S94" s="3">
        <f ca="1">IFERROR(__xludf.DUMMYFUNCTION("""COMPUTED_VALUE"""),-0.714501642259826)</f>
        <v>-0.71450164225982604</v>
      </c>
      <c r="T94" s="3">
        <f ca="1">IFERROR(__xludf.DUMMYFUNCTION("""COMPUTED_VALUE"""),-0.680001791363829)</f>
        <v>-0.68000179136382899</v>
      </c>
      <c r="U94" s="3">
        <f ca="1">IFERROR(__xludf.DUMMYFUNCTION("""COMPUTED_VALUE"""),-0.732489247901583)</f>
        <v>-0.73248924790158298</v>
      </c>
      <c r="V94" s="3">
        <f ca="1">IFERROR(__xludf.DUMMYFUNCTION("""COMPUTED_VALUE"""),-0.691299137802385)</f>
        <v>-0.69129913780238506</v>
      </c>
      <c r="W94" s="3">
        <f ca="1">IFERROR(__xludf.DUMMYFUNCTION("""COMPUTED_VALUE"""),-0.711051265371916)</f>
        <v>-0.71105126537191599</v>
      </c>
      <c r="X94" s="3">
        <f ca="1">IFERROR(__xludf.DUMMYFUNCTION("""COMPUTED_VALUE"""),-0.68359461372797)</f>
        <v>-0.68359461372797004</v>
      </c>
      <c r="Y94" s="3">
        <f ca="1">IFERROR(__xludf.DUMMYFUNCTION("""COMPUTED_VALUE"""),-0.5774495547297)</f>
        <v>-0.57744955472970005</v>
      </c>
      <c r="Z94" s="3">
        <f ca="1">IFERROR(__xludf.DUMMYFUNCTION("""COMPUTED_VALUE"""),-0.623850534626977)</f>
        <v>-0.62385053462697704</v>
      </c>
      <c r="AA94" s="3">
        <f ca="1">IFERROR(__xludf.DUMMYFUNCTION("""COMPUTED_VALUE"""),-0.726206873655261)</f>
        <v>-0.72620687365526104</v>
      </c>
      <c r="AB94" s="3">
        <f ca="1">IFERROR(__xludf.DUMMYFUNCTION("""COMPUTED_VALUE"""),-0.698792909628308)</f>
        <v>-0.69879290962830798</v>
      </c>
      <c r="AC94" s="3">
        <f ca="1">IFERROR(__xludf.DUMMYFUNCTION("""COMPUTED_VALUE"""),-0.755111696610964)</f>
        <v>-0.755111696610964</v>
      </c>
      <c r="AD94" s="3">
        <f ca="1">IFERROR(__xludf.DUMMYFUNCTION("""COMPUTED_VALUE"""),-0.693385364015266)</f>
        <v>-0.69338536401526596</v>
      </c>
      <c r="AE94" s="3">
        <f ca="1">IFERROR(__xludf.DUMMYFUNCTION("""COMPUTED_VALUE"""),-0.731738237537767)</f>
        <v>-0.73173823753776701</v>
      </c>
      <c r="AF94" s="3">
        <f ca="1">IFERROR(__xludf.DUMMYFUNCTION("""COMPUTED_VALUE"""),-0.619122479581635)</f>
        <v>-0.61912247958163502</v>
      </c>
      <c r="AG94" s="3">
        <f ca="1">IFERROR(__xludf.DUMMYFUNCTION("""COMPUTED_VALUE"""),-0.601102573745972)</f>
        <v>-0.60110257374597198</v>
      </c>
      <c r="AH94" s="3">
        <f ca="1">IFERROR(__xludf.DUMMYFUNCTION("""COMPUTED_VALUE"""),-0.695326348989444)</f>
        <v>-0.69532634898944401</v>
      </c>
      <c r="AI94" s="3">
        <f ca="1">IFERROR(__xludf.DUMMYFUNCTION("""COMPUTED_VALUE"""),-0.656805146111345)</f>
        <v>-0.656805146111345</v>
      </c>
      <c r="AJ94" s="3">
        <f ca="1">IFERROR(__xludf.DUMMYFUNCTION("""COMPUTED_VALUE"""),-0.685671135671072)</f>
        <v>-0.68567113567107196</v>
      </c>
      <c r="AK94" s="3">
        <f ca="1">IFERROR(__xludf.DUMMYFUNCTION("""COMPUTED_VALUE"""),-0.682371898225552)</f>
        <v>-0.682371898225552</v>
      </c>
      <c r="AL94" s="3">
        <f ca="1">IFERROR(__xludf.DUMMYFUNCTION("""COMPUTED_VALUE"""),-0.626828623390806)</f>
        <v>-0.62682862339080603</v>
      </c>
      <c r="AM94" s="3">
        <f ca="1">IFERROR(__xludf.DUMMYFUNCTION("""COMPUTED_VALUE"""),-0.60846232106104)</f>
        <v>-0.60846232106104003</v>
      </c>
      <c r="AN94" s="3">
        <f ca="1">IFERROR(__xludf.DUMMYFUNCTION("""COMPUTED_VALUE"""),-0.62715226050546)</f>
        <v>-0.62715226050546002</v>
      </c>
      <c r="AO94" s="3">
        <f ca="1">IFERROR(__xludf.DUMMYFUNCTION("""COMPUTED_VALUE"""),-0.656152042133593)</f>
        <v>-0.65615204213359302</v>
      </c>
      <c r="AP94" s="3">
        <f ca="1">IFERROR(__xludf.DUMMYFUNCTION("""COMPUTED_VALUE"""),-0.652865685122638)</f>
        <v>-0.65286568512263798</v>
      </c>
      <c r="AQ94" s="3">
        <f ca="1">IFERROR(__xludf.DUMMYFUNCTION("""COMPUTED_VALUE"""),-0.639210292673874)</f>
        <v>-0.63921029267387397</v>
      </c>
      <c r="AR94" s="3">
        <f ca="1">IFERROR(__xludf.DUMMYFUNCTION("""COMPUTED_VALUE"""),-0.658348172877365)</f>
        <v>-0.65834817287736502</v>
      </c>
      <c r="AS94" s="3">
        <f ca="1">IFERROR(__xludf.DUMMYFUNCTION("""COMPUTED_VALUE"""),-0.705498544331967)</f>
        <v>-0.70549854433196701</v>
      </c>
      <c r="AT94" s="3">
        <f ca="1">IFERROR(__xludf.DUMMYFUNCTION("""COMPUTED_VALUE"""),-0.614624284635582)</f>
        <v>-0.61462428463558205</v>
      </c>
      <c r="AU94" s="3">
        <f ca="1">IFERROR(__xludf.DUMMYFUNCTION("""COMPUTED_VALUE"""),-0.580067853652743)</f>
        <v>-0.58006785365274305</v>
      </c>
      <c r="AV94" s="3">
        <f ca="1">IFERROR(__xludf.DUMMYFUNCTION("""COMPUTED_VALUE"""),-0.662581132751473)</f>
        <v>-0.66258113275147301</v>
      </c>
      <c r="AW94" s="3">
        <f ca="1">IFERROR(__xludf.DUMMYFUNCTION("""COMPUTED_VALUE"""),-0.69553022143963)</f>
        <v>-0.69553022143962995</v>
      </c>
      <c r="AX94" s="3">
        <f ca="1">IFERROR(__xludf.DUMMYFUNCTION("""COMPUTED_VALUE"""),-0.656156651238569)</f>
        <v>-0.65615665123856903</v>
      </c>
      <c r="AY94" s="3">
        <f ca="1">IFERROR(__xludf.DUMMYFUNCTION("""COMPUTED_VALUE"""),-0.676664211967604)</f>
        <v>-0.67666421196760396</v>
      </c>
      <c r="AZ94" s="3">
        <f ca="1">IFERROR(__xludf.DUMMYFUNCTION("""COMPUTED_VALUE"""),-0.65762628504709)</f>
        <v>-0.65762628504708998</v>
      </c>
      <c r="BA94" s="3">
        <f ca="1">IFERROR(__xludf.DUMMYFUNCTION("""COMPUTED_VALUE"""),-0.565080802944916)</f>
        <v>-0.56508080294491603</v>
      </c>
      <c r="BB94" s="3">
        <f ca="1">IFERROR(__xludf.DUMMYFUNCTION("""COMPUTED_VALUE"""),-0.581657381308396)</f>
        <v>-0.58165738130839595</v>
      </c>
      <c r="BC94" s="3">
        <f ca="1">IFERROR(__xludf.DUMMYFUNCTION("""COMPUTED_VALUE"""),-0.689934060627738)</f>
        <v>-0.68993406062773799</v>
      </c>
      <c r="BD94" s="3">
        <f ca="1">IFERROR(__xludf.DUMMYFUNCTION("""COMPUTED_VALUE"""),-0.783844087348926)</f>
        <v>-0.78384408734892597</v>
      </c>
      <c r="BE94" s="3">
        <f ca="1">IFERROR(__xludf.DUMMYFUNCTION("""COMPUTED_VALUE"""),-0.772549588638743)</f>
        <v>-0.77254958863874301</v>
      </c>
      <c r="BF94" s="3">
        <f ca="1">IFERROR(__xludf.DUMMYFUNCTION("""COMPUTED_VALUE"""),-0.776865762598588)</f>
        <v>-0.77686576259858797</v>
      </c>
      <c r="BG94" s="3">
        <f ca="1">IFERROR(__xludf.DUMMYFUNCTION("""COMPUTED_VALUE"""),-0.765597250612546)</f>
        <v>-0.76559725061254602</v>
      </c>
      <c r="BH94" s="3">
        <f ca="1">IFERROR(__xludf.DUMMYFUNCTION("""COMPUTED_VALUE"""),-0.53693358262024)</f>
        <v>-0.53693358262024005</v>
      </c>
      <c r="BI94" s="3">
        <f ca="1">IFERROR(__xludf.DUMMYFUNCTION("""COMPUTED_VALUE"""),-0.628551796825418)</f>
        <v>-0.62855179682541795</v>
      </c>
      <c r="BJ94" s="3">
        <f ca="1">IFERROR(__xludf.DUMMYFUNCTION("""COMPUTED_VALUE"""),-0.740458460825516)</f>
        <v>-0.74045846082551603</v>
      </c>
      <c r="BK94" s="3">
        <f ca="1">IFERROR(__xludf.DUMMYFUNCTION("""COMPUTED_VALUE"""),-0.75933164689373)</f>
        <v>-0.75933164689373001</v>
      </c>
      <c r="BL94" s="3">
        <f ca="1">IFERROR(__xludf.DUMMYFUNCTION("""COMPUTED_VALUE"""),-0.739318513818939)</f>
        <v>-0.73931851381893898</v>
      </c>
      <c r="BM94" s="3">
        <f ca="1">IFERROR(__xludf.DUMMYFUNCTION("""COMPUTED_VALUE"""),-0.733010449387033)</f>
        <v>-0.73301044938703297</v>
      </c>
      <c r="BN94" s="3">
        <f ca="1">IFERROR(__xludf.DUMMYFUNCTION("""COMPUTED_VALUE"""),-0.72006152980789)</f>
        <v>-0.72006152980788996</v>
      </c>
      <c r="BO94" s="3">
        <f ca="1">IFERROR(__xludf.DUMMYFUNCTION("""COMPUTED_VALUE"""),-0.710107919722804)</f>
        <v>-0.71010791972280396</v>
      </c>
      <c r="BP94" s="3">
        <f ca="1">IFERROR(__xludf.DUMMYFUNCTION("""COMPUTED_VALUE"""),-0.676991339965706)</f>
        <v>-0.67699133996570604</v>
      </c>
      <c r="BQ94" s="3">
        <f ca="1">IFERROR(__xludf.DUMMYFUNCTION("""COMPUTED_VALUE"""),-0.724053383384577)</f>
        <v>-0.72405338338457703</v>
      </c>
      <c r="BR94" s="3">
        <f ca="1">IFERROR(__xludf.DUMMYFUNCTION("""COMPUTED_VALUE"""),-0.757777478208016)</f>
        <v>-0.757777478208016</v>
      </c>
      <c r="BS94" s="3">
        <f ca="1">IFERROR(__xludf.DUMMYFUNCTION("""COMPUTED_VALUE"""),-0.72614539010274)</f>
        <v>-0.72614539010274004</v>
      </c>
      <c r="BT94" s="3">
        <f ca="1">IFERROR(__xludf.DUMMYFUNCTION("""COMPUTED_VALUE"""),-0.761733367224378)</f>
        <v>-0.76173336722437801</v>
      </c>
      <c r="BU94" s="3">
        <f ca="1">IFERROR(__xludf.DUMMYFUNCTION("""COMPUTED_VALUE"""),-0.741983957927946)</f>
        <v>-0.74198395792794603</v>
      </c>
      <c r="BV94" s="3">
        <f ca="1">IFERROR(__xludf.DUMMYFUNCTION("""COMPUTED_VALUE"""),-0.664858419203986)</f>
        <v>-0.66485841920398603</v>
      </c>
      <c r="BW94" s="3">
        <f ca="1">IFERROR(__xludf.DUMMYFUNCTION("""COMPUTED_VALUE"""),-0.679483836633557)</f>
        <v>-0.67948383663355705</v>
      </c>
      <c r="BX94" s="3">
        <f ca="1">IFERROR(__xludf.DUMMYFUNCTION("""COMPUTED_VALUE"""),-0.761142410148605)</f>
        <v>-0.76114241014860495</v>
      </c>
      <c r="BY94" s="3">
        <f ca="1">IFERROR(__xludf.DUMMYFUNCTION("""COMPUTED_VALUE"""),-0.762153136752156)</f>
        <v>-0.76215313675215601</v>
      </c>
      <c r="BZ94" s="3">
        <f ca="1">IFERROR(__xludf.DUMMYFUNCTION("""COMPUTED_VALUE"""),-0.750135804352022)</f>
        <v>-0.75013580435202198</v>
      </c>
      <c r="CA94" s="3">
        <f ca="1">IFERROR(__xludf.DUMMYFUNCTION("""COMPUTED_VALUE"""),-0.72129804495888)</f>
        <v>-0.72129804495887995</v>
      </c>
      <c r="CB94" s="3">
        <f ca="1">IFERROR(__xludf.DUMMYFUNCTION("""COMPUTED_VALUE"""),-0.751616812903957)</f>
        <v>-0.75161681290395699</v>
      </c>
      <c r="CC94" s="3">
        <f ca="1">IFERROR(__xludf.DUMMYFUNCTION("""COMPUTED_VALUE"""),-0.728525636474805)</f>
        <v>-0.72852563647480495</v>
      </c>
      <c r="CD94" s="3">
        <f ca="1">IFERROR(__xludf.DUMMYFUNCTION("""COMPUTED_VALUE"""),-0.657796115530312)</f>
        <v>-0.65779611553031203</v>
      </c>
      <c r="CE94" s="3">
        <f ca="1">IFERROR(__xludf.DUMMYFUNCTION("""COMPUTED_VALUE"""),-0.759420364593413)</f>
        <v>-0.759420364593413</v>
      </c>
      <c r="CF94" s="3">
        <f ca="1">IFERROR(__xludf.DUMMYFUNCTION("""COMPUTED_VALUE"""),-0.749597875592922)</f>
        <v>-0.74959787559292201</v>
      </c>
      <c r="CG94" s="3">
        <f ca="1">IFERROR(__xludf.DUMMYFUNCTION("""COMPUTED_VALUE"""),-0.777731709111353)</f>
        <v>-0.77773170911135303</v>
      </c>
      <c r="CH94" s="3">
        <f ca="1">IFERROR(__xludf.DUMMYFUNCTION("""COMPUTED_VALUE"""),-0.728839216369415)</f>
        <v>-0.72883921636941496</v>
      </c>
      <c r="CI94" s="3">
        <f ca="1">IFERROR(__xludf.DUMMYFUNCTION("""COMPUTED_VALUE"""),-0.741890573452922)</f>
        <v>-0.74189057345292198</v>
      </c>
      <c r="CJ94" s="3">
        <f ca="1">IFERROR(__xludf.DUMMYFUNCTION("""COMPUTED_VALUE"""),-0.631060081624922)</f>
        <v>-0.631060081624922</v>
      </c>
      <c r="CK94" s="3">
        <f ca="1">IFERROR(__xludf.DUMMYFUNCTION("""COMPUTED_VALUE"""),-0.643697802069846)</f>
        <v>-0.64369780206984595</v>
      </c>
      <c r="CL94" s="3">
        <f ca="1">IFERROR(__xludf.DUMMYFUNCTION("""COMPUTED_VALUE"""),-0.745361314232048)</f>
        <v>-0.74536131423204799</v>
      </c>
      <c r="CM94" s="3">
        <f ca="1">IFERROR(__xludf.DUMMYFUNCTION("""COMPUTED_VALUE"""),-0.76990186351568)</f>
        <v>-0.76990186351568002</v>
      </c>
      <c r="CN94" s="3">
        <f ca="1">IFERROR(__xludf.DUMMYFUNCTION("""COMPUTED_VALUE"""),-0.768402803344546)</f>
        <v>-0.76840280334454603</v>
      </c>
      <c r="CO94" s="3">
        <f ca="1">IFERROR(__xludf.DUMMYFUNCTION("""COMPUTED_VALUE"""),-0.771266641124693)</f>
        <v>-0.77126664112469301</v>
      </c>
      <c r="CP94" s="3">
        <f ca="1">IFERROR(__xludf.DUMMYFUNCTION("""COMPUTED_VALUE"""),-0.733253167240499)</f>
        <v>-0.73325316724049905</v>
      </c>
      <c r="CQ94" s="3">
        <f ca="1">IFERROR(__xludf.DUMMYFUNCTION("""COMPUTED_VALUE"""),-0.667476454639502)</f>
        <v>-0.667476454639502</v>
      </c>
      <c r="CR94" s="3">
        <f ca="1">IFERROR(__xludf.DUMMYFUNCTION("""COMPUTED_VALUE"""),-0.699594895138157)</f>
        <v>-0.69959489513815698</v>
      </c>
      <c r="CS94" s="3">
        <f ca="1">IFERROR(__xludf.DUMMYFUNCTION("""COMPUTED_VALUE"""),-0.734587087364176)</f>
        <v>-0.73458708736417599</v>
      </c>
      <c r="CT94" s="3">
        <f ca="1">IFERROR(__xludf.DUMMYFUNCTION("""COMPUTED_VALUE"""),-0.726334267417093)</f>
        <v>-0.72633426741709295</v>
      </c>
      <c r="CU94" s="3">
        <f ca="1">IFERROR(__xludf.DUMMYFUNCTION("""COMPUTED_VALUE"""),-0.733832744181544)</f>
        <v>-0.73383274418154398</v>
      </c>
      <c r="CV94" s="3">
        <f ca="1">IFERROR(__xludf.DUMMYFUNCTION("""COMPUTED_VALUE"""),-0.730348224204329)</f>
        <v>-0.73034822420432899</v>
      </c>
      <c r="CW94" s="3">
        <f ca="1">IFERROR(__xludf.DUMMYFUNCTION("""COMPUTED_VALUE"""),-0.734289990752704)</f>
        <v>-0.73428999075270396</v>
      </c>
      <c r="CX94" s="3">
        <f ca="1">IFERROR(__xludf.DUMMYFUNCTION("""COMPUTED_VALUE"""),-0.639331118358639)</f>
        <v>-0.63933111835863898</v>
      </c>
      <c r="CY94" s="3">
        <f ca="1">IFERROR(__xludf.DUMMYFUNCTION("""COMPUTED_VALUE"""),-0.61969093653174)</f>
        <v>-0.61969093653174001</v>
      </c>
      <c r="CZ94" s="3">
        <f ca="1">IFERROR(__xludf.DUMMYFUNCTION("""COMPUTED_VALUE"""),-0.747566824279982)</f>
        <v>-0.747566824279982</v>
      </c>
      <c r="DA94" s="3">
        <f ca="1">IFERROR(__xludf.DUMMYFUNCTION("""COMPUTED_VALUE"""),-0.733115107189126)</f>
        <v>-0.73311510718912598</v>
      </c>
      <c r="DB94" s="3">
        <f ca="1">IFERROR(__xludf.DUMMYFUNCTION("""COMPUTED_VALUE"""),-0.630091963163771)</f>
        <v>-0.63009196316377103</v>
      </c>
      <c r="DC94" s="3">
        <f ca="1">IFERROR(__xludf.DUMMYFUNCTION("""COMPUTED_VALUE"""),-0.665098483070861)</f>
        <v>-0.66509848307086095</v>
      </c>
      <c r="DD94" s="3">
        <f ca="1">IFERROR(__xludf.DUMMYFUNCTION("""COMPUTED_VALUE"""),-0.721112125740528)</f>
        <v>-0.72111212574052796</v>
      </c>
      <c r="DE94" s="3">
        <f ca="1">IFERROR(__xludf.DUMMYFUNCTION("""COMPUTED_VALUE"""),-0.69046227193071)</f>
        <v>-0.69046227193070997</v>
      </c>
      <c r="DF94" s="3">
        <f ca="1">IFERROR(__xludf.DUMMYFUNCTION("""COMPUTED_VALUE"""),-0.716682736382621)</f>
        <v>-0.71668273638262103</v>
      </c>
      <c r="DG94" s="3">
        <f ca="1">IFERROR(__xludf.DUMMYFUNCTION("""COMPUTED_VALUE"""),-0.897852910663583)</f>
        <v>-0.89785291066358297</v>
      </c>
      <c r="DH94" s="3">
        <f ca="1">IFERROR(__xludf.DUMMYFUNCTION("""COMPUTED_VALUE"""),-0.758484098896492)</f>
        <v>-0.75848409889649204</v>
      </c>
      <c r="DI94" s="3">
        <f ca="1">IFERROR(__xludf.DUMMYFUNCTION("""COMPUTED_VALUE"""),-0.660392979087955)</f>
        <v>-0.66039297908795502</v>
      </c>
      <c r="DJ94" s="3">
        <f ca="1">IFERROR(__xludf.DUMMYFUNCTION("""COMPUTED_VALUE"""),-0.705792036019512)</f>
        <v>-0.70579203601951201</v>
      </c>
      <c r="DK94" s="3">
        <f ca="1">IFERROR(__xludf.DUMMYFUNCTION("""COMPUTED_VALUE"""),-0.706982196481775)</f>
        <v>-0.70698219648177496</v>
      </c>
      <c r="DL94" s="3">
        <f ca="1">IFERROR(__xludf.DUMMYFUNCTION("""COMPUTED_VALUE"""),-0.629594036426623)</f>
        <v>-0.62959403642662304</v>
      </c>
      <c r="DM94" s="3">
        <f ca="1">IFERROR(__xludf.DUMMYFUNCTION("""COMPUTED_VALUE"""),-0.646384436688588)</f>
        <v>-0.64638443668858803</v>
      </c>
      <c r="DN94" s="3">
        <f ca="1">IFERROR(__xludf.DUMMYFUNCTION("""COMPUTED_VALUE"""),-0.712288811123647)</f>
        <v>-0.71228881112364695</v>
      </c>
      <c r="DO94" s="3">
        <f ca="1">IFERROR(__xludf.DUMMYFUNCTION("""COMPUTED_VALUE"""),-0.726569089742862)</f>
        <v>-0.72656908974286205</v>
      </c>
      <c r="DP94" s="3">
        <f ca="1">IFERROR(__xludf.DUMMYFUNCTION("""COMPUTED_VALUE"""),-0.675889034352842)</f>
        <v>-0.67588903435284198</v>
      </c>
      <c r="DQ94" s="3">
        <f ca="1">IFERROR(__xludf.DUMMYFUNCTION("""COMPUTED_VALUE"""),-0.696030152283188)</f>
        <v>-0.69603015228318799</v>
      </c>
      <c r="DR94" s="3">
        <f ca="1">IFERROR(__xludf.DUMMYFUNCTION("""COMPUTED_VALUE"""),-0.735019089239069)</f>
        <v>-0.735019089239069</v>
      </c>
      <c r="DS94" s="3">
        <f ca="1">IFERROR(__xludf.DUMMYFUNCTION("""COMPUTED_VALUE"""),-0.694999134482943)</f>
        <v>-0.69499913448294304</v>
      </c>
      <c r="DT94" s="3">
        <f ca="1">IFERROR(__xludf.DUMMYFUNCTION("""COMPUTED_VALUE"""),-0.710942302433687)</f>
        <v>-0.71094230243368695</v>
      </c>
      <c r="DU94" s="3">
        <f ca="1">IFERROR(__xludf.DUMMYFUNCTION("""COMPUTED_VALUE"""),-0.706818414657781)</f>
        <v>-0.70681841465778095</v>
      </c>
      <c r="DV94" s="3">
        <f ca="1">IFERROR(__xludf.DUMMYFUNCTION("""COMPUTED_VALUE"""),-0.757196803975799)</f>
        <v>-0.75719680397579903</v>
      </c>
      <c r="DW94" s="3">
        <f ca="1">IFERROR(__xludf.DUMMYFUNCTION("""COMPUTED_VALUE"""),-0.748281244024283)</f>
        <v>-0.74828124402428298</v>
      </c>
      <c r="DX94" s="3">
        <f ca="1">IFERROR(__xludf.DUMMYFUNCTION("""COMPUTED_VALUE"""),-0.76793101699734)</f>
        <v>-0.76793101699734001</v>
      </c>
      <c r="DY94" s="3">
        <f ca="1">IFERROR(__xludf.DUMMYFUNCTION("""COMPUTED_VALUE"""),-0.762228628998232)</f>
        <v>-0.76222862899823196</v>
      </c>
      <c r="DZ94" s="3">
        <f ca="1">IFERROR(__xludf.DUMMYFUNCTION("""COMPUTED_VALUE"""),-0.712508128522947)</f>
        <v>-0.71250812852294698</v>
      </c>
      <c r="EA94" s="3">
        <f ca="1">IFERROR(__xludf.DUMMYFUNCTION("""COMPUTED_VALUE"""),-0.673608281604908)</f>
        <v>-0.67360828160490804</v>
      </c>
      <c r="EB94" s="3">
        <f ca="1">IFERROR(__xludf.DUMMYFUNCTION("""COMPUTED_VALUE"""),-0.730695712223993)</f>
        <v>-0.73069571222399299</v>
      </c>
      <c r="EC94" s="3">
        <f ca="1">IFERROR(__xludf.DUMMYFUNCTION("""COMPUTED_VALUE"""),-0.734308888369578)</f>
        <v>-0.73430888836957797</v>
      </c>
      <c r="ED94" s="3">
        <f ca="1">IFERROR(__xludf.DUMMYFUNCTION("""COMPUTED_VALUE"""),-0.746658888862897)</f>
        <v>-0.746658888862897</v>
      </c>
      <c r="EE94" s="3">
        <f ca="1">IFERROR(__xludf.DUMMYFUNCTION("""COMPUTED_VALUE"""),-0.742998832873764)</f>
        <v>-0.742998832873764</v>
      </c>
      <c r="EF94" s="3">
        <f ca="1">IFERROR(__xludf.DUMMYFUNCTION("""COMPUTED_VALUE"""),-0.759388385332534)</f>
        <v>-0.75938838533253405</v>
      </c>
      <c r="EG94" s="3">
        <f ca="1">IFERROR(__xludf.DUMMYFUNCTION("""COMPUTED_VALUE"""),-0.686310691322094)</f>
        <v>-0.68631069132209399</v>
      </c>
      <c r="EH94" s="3">
        <f ca="1">IFERROR(__xludf.DUMMYFUNCTION("""COMPUTED_VALUE"""),-0.709611071963707)</f>
        <v>-0.70961107196370699</v>
      </c>
      <c r="EI94" s="3">
        <f ca="1">IFERROR(__xludf.DUMMYFUNCTION("""COMPUTED_VALUE"""),-0.755462072432723)</f>
        <v>-0.75546207243272301</v>
      </c>
      <c r="EJ94" s="3">
        <f ca="1">IFERROR(__xludf.DUMMYFUNCTION("""COMPUTED_VALUE"""),-0.808974729586589)</f>
        <v>-0.808974729586589</v>
      </c>
      <c r="EK94" s="3">
        <f ca="1">IFERROR(__xludf.DUMMYFUNCTION("""COMPUTED_VALUE"""),-0.769640339572398)</f>
        <v>-0.76964033957239797</v>
      </c>
      <c r="EL94" s="3">
        <f ca="1">IFERROR(__xludf.DUMMYFUNCTION("""COMPUTED_VALUE"""),-0.776105099428039)</f>
        <v>-0.77610509942803896</v>
      </c>
      <c r="EM94" s="3">
        <f ca="1">IFERROR(__xludf.DUMMYFUNCTION("""COMPUTED_VALUE"""),-0.762788548071831)</f>
        <v>-0.76278854807183105</v>
      </c>
      <c r="EN94" s="3">
        <f ca="1">IFERROR(__xludf.DUMMYFUNCTION("""COMPUTED_VALUE"""),-0.68501134697408)</f>
        <v>-0.68501134697407995</v>
      </c>
      <c r="EO94" s="3">
        <f ca="1">IFERROR(__xludf.DUMMYFUNCTION("""COMPUTED_VALUE"""),-0.68490236261334)</f>
        <v>-0.68490236261334003</v>
      </c>
      <c r="EP94" s="3">
        <f ca="1">IFERROR(__xludf.DUMMYFUNCTION("""COMPUTED_VALUE"""),-0.732405595955503)</f>
        <v>-0.73240559595550303</v>
      </c>
      <c r="EQ94" s="3">
        <f ca="1">IFERROR(__xludf.DUMMYFUNCTION("""COMPUTED_VALUE"""),-0.730622134729143)</f>
        <v>-0.73062213472914295</v>
      </c>
      <c r="ER94" s="3">
        <f ca="1">IFERROR(__xludf.DUMMYFUNCTION("""COMPUTED_VALUE"""),-0.756916878933914)</f>
        <v>-0.75691687893391402</v>
      </c>
      <c r="ES94" s="3">
        <f ca="1">IFERROR(__xludf.DUMMYFUNCTION("""COMPUTED_VALUE"""),-0.754112016693259)</f>
        <v>-0.754112016693259</v>
      </c>
      <c r="ET94" s="3">
        <f ca="1">IFERROR(__xludf.DUMMYFUNCTION("""COMPUTED_VALUE"""),-0.763983720364844)</f>
        <v>-0.76398372036484397</v>
      </c>
      <c r="EU94" s="3">
        <f ca="1">IFERROR(__xludf.DUMMYFUNCTION("""COMPUTED_VALUE"""),-0.68595309311412)</f>
        <v>-0.68595309311412</v>
      </c>
      <c r="EV94" s="3">
        <f ca="1">IFERROR(__xludf.DUMMYFUNCTION("""COMPUTED_VALUE"""),-0.706899179052208)</f>
        <v>-0.706899179052208</v>
      </c>
      <c r="EW94" s="3">
        <f ca="1">IFERROR(__xludf.DUMMYFUNCTION("""COMPUTED_VALUE"""),-0.760630829451717)</f>
        <v>-0.76063082945171701</v>
      </c>
      <c r="EX94" s="3">
        <f ca="1">IFERROR(__xludf.DUMMYFUNCTION("""COMPUTED_VALUE"""),-0.778345738610669)</f>
        <v>-0.77834573861066902</v>
      </c>
      <c r="EY94" s="3">
        <f ca="1">IFERROR(__xludf.DUMMYFUNCTION("""COMPUTED_VALUE"""),-0.78663377650398)</f>
        <v>-0.78663377650398003</v>
      </c>
      <c r="EZ94" s="3">
        <f ca="1">IFERROR(__xludf.DUMMYFUNCTION("""COMPUTED_VALUE"""),-0.770366572249858)</f>
        <v>-0.77036657224985805</v>
      </c>
      <c r="FA94" s="3">
        <f ca="1">IFERROR(__xludf.DUMMYFUNCTION("""COMPUTED_VALUE"""),-0.744493562323215)</f>
        <v>-0.74449356232321495</v>
      </c>
      <c r="FB94" s="3">
        <f ca="1">IFERROR(__xludf.DUMMYFUNCTION("""COMPUTED_VALUE"""),-0.68864910844464)</f>
        <v>-0.68864910844464</v>
      </c>
      <c r="FC94" s="3">
        <f ca="1">IFERROR(__xludf.DUMMYFUNCTION("""COMPUTED_VALUE"""),-0.695422101982893)</f>
        <v>-0.695422101982893</v>
      </c>
      <c r="FD94" s="3">
        <f ca="1">IFERROR(__xludf.DUMMYFUNCTION("""COMPUTED_VALUE"""),-0.731421640780928)</f>
        <v>-0.73142164078092797</v>
      </c>
      <c r="FE94" s="3">
        <f ca="1">IFERROR(__xludf.DUMMYFUNCTION("""COMPUTED_VALUE"""),-0.793500697782078)</f>
        <v>-0.79350069778207799</v>
      </c>
      <c r="FF94" s="3">
        <f ca="1">IFERROR(__xludf.DUMMYFUNCTION("""COMPUTED_VALUE"""),-0.784591843661369)</f>
        <v>-0.78459184366136903</v>
      </c>
      <c r="FG94" s="3">
        <f ca="1">IFERROR(__xludf.DUMMYFUNCTION("""COMPUTED_VALUE"""),-0.778003904331404)</f>
        <v>-0.77800390433140398</v>
      </c>
      <c r="FH94" s="3">
        <f ca="1">IFERROR(__xludf.DUMMYFUNCTION("""COMPUTED_VALUE"""),-0.749666870523591)</f>
        <v>-0.74966687052359104</v>
      </c>
      <c r="FI94" s="3">
        <f ca="1">IFERROR(__xludf.DUMMYFUNCTION("""COMPUTED_VALUE"""),-0.694976637113087)</f>
        <v>-0.69497663711308699</v>
      </c>
      <c r="FJ94" s="3">
        <f ca="1">IFERROR(__xludf.DUMMYFUNCTION("""COMPUTED_VALUE"""),-0.674461146372543)</f>
        <v>-0.67446114637254295</v>
      </c>
      <c r="FK94" s="3">
        <f ca="1">IFERROR(__xludf.DUMMYFUNCTION("""COMPUTED_VALUE"""),-0.74289953568672)</f>
        <v>-0.74289953568671996</v>
      </c>
      <c r="FL94" s="3">
        <f ca="1">IFERROR(__xludf.DUMMYFUNCTION("""COMPUTED_VALUE"""),-0.792710552353407)</f>
        <v>-0.79271055235340704</v>
      </c>
      <c r="FM94" s="3">
        <f ca="1">IFERROR(__xludf.DUMMYFUNCTION("""COMPUTED_VALUE"""),-0.815696686496058)</f>
        <v>-0.81569668649605798</v>
      </c>
      <c r="FN94" s="3">
        <f ca="1">IFERROR(__xludf.DUMMYFUNCTION("""COMPUTED_VALUE"""),-0.792738467764044)</f>
        <v>-0.792738467764044</v>
      </c>
      <c r="FO94" s="3">
        <f ca="1">IFERROR(__xludf.DUMMYFUNCTION("""COMPUTED_VALUE"""),-0.734076747879101)</f>
        <v>-0.73407674787910104</v>
      </c>
      <c r="FP94" s="3">
        <f ca="1">IFERROR(__xludf.DUMMYFUNCTION("""COMPUTED_VALUE"""),-0.651552890659998)</f>
        <v>-0.651552890659998</v>
      </c>
      <c r="FQ94" s="3">
        <f ca="1">IFERROR(__xludf.DUMMYFUNCTION("""COMPUTED_VALUE"""),-0.722359059931495)</f>
        <v>-0.72235905993149496</v>
      </c>
      <c r="FR94" s="3">
        <f ca="1">IFERROR(__xludf.DUMMYFUNCTION("""COMPUTED_VALUE"""),-0.773102465696582)</f>
        <v>-0.77310246569658203</v>
      </c>
      <c r="FS94" s="3">
        <f ca="1">IFERROR(__xludf.DUMMYFUNCTION("""COMPUTED_VALUE"""),-0.745119455150629)</f>
        <v>-0.74511945515062905</v>
      </c>
      <c r="FT94" s="3">
        <f ca="1">IFERROR(__xludf.DUMMYFUNCTION("""COMPUTED_VALUE"""),-0.77136716366672)</f>
        <v>-0.77136716366671998</v>
      </c>
      <c r="FU94" s="3">
        <f ca="1">IFERROR(__xludf.DUMMYFUNCTION("""COMPUTED_VALUE"""),-0.763293845359843)</f>
        <v>-0.76329384535984302</v>
      </c>
      <c r="FV94" s="3">
        <f ca="1">IFERROR(__xludf.DUMMYFUNCTION("""COMPUTED_VALUE"""),-0.771374912206467)</f>
        <v>-0.77137491220646703</v>
      </c>
      <c r="FW94" s="3">
        <f ca="1">IFERROR(__xludf.DUMMYFUNCTION("""COMPUTED_VALUE"""),-0.692062048478243)</f>
        <v>-0.69206204847824304</v>
      </c>
      <c r="FX94" s="3">
        <f ca="1">IFERROR(__xludf.DUMMYFUNCTION("""COMPUTED_VALUE"""),-0.733067583511257)</f>
        <v>-0.733067583511257</v>
      </c>
      <c r="FY94" s="3">
        <f ca="1">IFERROR(__xludf.DUMMYFUNCTION("""COMPUTED_VALUE"""),-0.768611966486816)</f>
        <v>-0.76861196648681596</v>
      </c>
      <c r="FZ94" s="3">
        <f ca="1">IFERROR(__xludf.DUMMYFUNCTION("""COMPUTED_VALUE"""),-0.785459597895717)</f>
        <v>-0.78545959789571695</v>
      </c>
      <c r="GA94" s="3">
        <f ca="1">IFERROR(__xludf.DUMMYFUNCTION("""COMPUTED_VALUE"""),-0.806517863779381)</f>
        <v>-0.80651786377938095</v>
      </c>
      <c r="GB94" s="3">
        <f ca="1">IFERROR(__xludf.DUMMYFUNCTION("""COMPUTED_VALUE"""),-0.774912334765311)</f>
        <v>-0.77491233476531096</v>
      </c>
      <c r="GC94" s="3">
        <f ca="1">IFERROR(__xludf.DUMMYFUNCTION("""COMPUTED_VALUE"""),-0.750425116036865)</f>
        <v>-0.75042511603686501</v>
      </c>
      <c r="GD94" s="3">
        <f ca="1">IFERROR(__xludf.DUMMYFUNCTION("""COMPUTED_VALUE"""),-0.728254730148042)</f>
        <v>-0.72825473014804198</v>
      </c>
      <c r="GE94" s="3">
        <f ca="1">IFERROR(__xludf.DUMMYFUNCTION("""COMPUTED_VALUE"""),-0.76169987128895)</f>
        <v>-0.76169987128895</v>
      </c>
      <c r="GF94" s="3">
        <f ca="1">IFERROR(__xludf.DUMMYFUNCTION("""COMPUTED_VALUE"""),-0.769850783882505)</f>
        <v>-0.76985078388250505</v>
      </c>
      <c r="GG94" s="3">
        <f ca="1">IFERROR(__xludf.DUMMYFUNCTION("""COMPUTED_VALUE"""),-0.785801004196074)</f>
        <v>-0.78580100419607402</v>
      </c>
      <c r="GH94" s="3">
        <f ca="1">IFERROR(__xludf.DUMMYFUNCTION("""COMPUTED_VALUE"""),-0.781656260650637)</f>
        <v>-0.78165626065063698</v>
      </c>
      <c r="GI94" s="3">
        <f ca="1">IFERROR(__xludf.DUMMYFUNCTION("""COMPUTED_VALUE"""),-0.767201074021789)</f>
        <v>-0.76720107402178905</v>
      </c>
      <c r="GJ94" s="3">
        <f ca="1">IFERROR(__xludf.DUMMYFUNCTION("""COMPUTED_VALUE"""),-0.782495804116526)</f>
        <v>-0.78249580411652597</v>
      </c>
      <c r="GK94" s="3">
        <f ca="1">IFERROR(__xludf.DUMMYFUNCTION("""COMPUTED_VALUE"""),-0.688198222405824)</f>
        <v>-0.68819822240582396</v>
      </c>
      <c r="GL94" s="3">
        <f ca="1">IFERROR(__xludf.DUMMYFUNCTION("""COMPUTED_VALUE"""),-0.687270725977546)</f>
        <v>-0.68727072597754602</v>
      </c>
      <c r="GM94" s="3">
        <f ca="1">IFERROR(__xludf.DUMMYFUNCTION("""COMPUTED_VALUE"""),-0.746543169993722)</f>
        <v>-0.74654316999372194</v>
      </c>
      <c r="GN94" s="3">
        <f ca="1">IFERROR(__xludf.DUMMYFUNCTION("""COMPUTED_VALUE"""),-0.785573023574618)</f>
        <v>-0.785573023574618</v>
      </c>
      <c r="GO94" s="3">
        <f ca="1">IFERROR(__xludf.DUMMYFUNCTION("""COMPUTED_VALUE"""),-0.768408031510166)</f>
        <v>-0.76840803151016601</v>
      </c>
      <c r="GP94" s="3">
        <f ca="1">IFERROR(__xludf.DUMMYFUNCTION("""COMPUTED_VALUE"""),-0.761190016415715)</f>
        <v>-0.76119001641571504</v>
      </c>
      <c r="GQ94" s="3">
        <f ca="1">IFERROR(__xludf.DUMMYFUNCTION("""COMPUTED_VALUE"""),-0.780419955165165)</f>
        <v>-0.78041995516516505</v>
      </c>
      <c r="GR94" s="3">
        <f ca="1">IFERROR(__xludf.DUMMYFUNCTION("""COMPUTED_VALUE"""),-0.704987540675466)</f>
        <v>-0.70498754067546598</v>
      </c>
      <c r="GS94" s="3">
        <f ca="1">IFERROR(__xludf.DUMMYFUNCTION("""COMPUTED_VALUE"""),-0.705985115890472)</f>
        <v>-0.70598511589047197</v>
      </c>
      <c r="GT94" s="3">
        <f ca="1">IFERROR(__xludf.DUMMYFUNCTION("""COMPUTED_VALUE"""),-0.769463713177394)</f>
        <v>-0.76946371317739404</v>
      </c>
      <c r="GU94" s="3">
        <f ca="1">IFERROR(__xludf.DUMMYFUNCTION("""COMPUTED_VALUE"""),-0.793269949004405)</f>
        <v>-0.79326994900440495</v>
      </c>
      <c r="GV94" s="3">
        <f ca="1">IFERROR(__xludf.DUMMYFUNCTION("""COMPUTED_VALUE"""),-0.796823224999049)</f>
        <v>-0.79682322499904901</v>
      </c>
      <c r="GW94" s="3">
        <f ca="1">IFERROR(__xludf.DUMMYFUNCTION("""COMPUTED_VALUE"""),-0.799214443007412)</f>
        <v>-0.79921444300741196</v>
      </c>
      <c r="GX94" s="3">
        <f ca="1">IFERROR(__xludf.DUMMYFUNCTION("""COMPUTED_VALUE"""),-0.773519478143424)</f>
        <v>-0.77351947814342403</v>
      </c>
      <c r="GY94" s="3">
        <f ca="1">IFERROR(__xludf.DUMMYFUNCTION("""COMPUTED_VALUE"""),-0.715576156200113)</f>
        <v>-0.71557615620011294</v>
      </c>
      <c r="GZ94" s="3">
        <f ca="1">IFERROR(__xludf.DUMMYFUNCTION("""COMPUTED_VALUE"""),-0.669870603480322)</f>
        <v>-0.66987060348032201</v>
      </c>
      <c r="HA94" s="3">
        <f ca="1">IFERROR(__xludf.DUMMYFUNCTION("""COMPUTED_VALUE"""),-0.746541208992659)</f>
        <v>-0.74654120899265897</v>
      </c>
      <c r="HB94" s="3">
        <f ca="1">IFERROR(__xludf.DUMMYFUNCTION("""COMPUTED_VALUE"""),-0.743150101703836)</f>
        <v>-0.743150101703836</v>
      </c>
      <c r="HC94" s="3">
        <f ca="1">IFERROR(__xludf.DUMMYFUNCTION("""COMPUTED_VALUE"""),-0.768146502526867)</f>
        <v>-0.768146502526867</v>
      </c>
      <c r="HD94" s="3">
        <f ca="1">IFERROR(__xludf.DUMMYFUNCTION("""COMPUTED_VALUE"""),-0.74234280114273)</f>
        <v>-0.74234280114272999</v>
      </c>
      <c r="HE94" s="3">
        <f ca="1">IFERROR(__xludf.DUMMYFUNCTION("""COMPUTED_VALUE"""),-0.735265395248021)</f>
        <v>-0.73526539524802104</v>
      </c>
      <c r="HF94" s="3">
        <f ca="1">IFERROR(__xludf.DUMMYFUNCTION("""COMPUTED_VALUE"""),-0.686566352379301)</f>
        <v>-0.68656635237930097</v>
      </c>
      <c r="HG94" s="3">
        <f ca="1">IFERROR(__xludf.DUMMYFUNCTION("""COMPUTED_VALUE"""),-0.665542080736235)</f>
        <v>-0.665542080736235</v>
      </c>
      <c r="HH94" s="3">
        <f ca="1">IFERROR(__xludf.DUMMYFUNCTION("""COMPUTED_VALUE"""),-0.762118183727151)</f>
        <v>-0.76211818372715101</v>
      </c>
      <c r="HI94" s="3">
        <f ca="1">IFERROR(__xludf.DUMMYFUNCTION("""COMPUTED_VALUE"""),-0.735177141979994)</f>
        <v>-0.73517714197999395</v>
      </c>
      <c r="HJ94" s="3">
        <f ca="1">IFERROR(__xludf.DUMMYFUNCTION("""COMPUTED_VALUE"""),-0.731794446054458)</f>
        <v>-0.73179444605445798</v>
      </c>
      <c r="HK94" s="3">
        <f ca="1">IFERROR(__xludf.DUMMYFUNCTION("""COMPUTED_VALUE"""),-0.761442906874527)</f>
        <v>-0.76144290687452698</v>
      </c>
      <c r="HL94" s="3">
        <f ca="1">IFERROR(__xludf.DUMMYFUNCTION("""COMPUTED_VALUE"""),-0.704585170989928)</f>
        <v>-0.70458517098992801</v>
      </c>
      <c r="HM94" s="3">
        <f ca="1">IFERROR(__xludf.DUMMYFUNCTION("""COMPUTED_VALUE"""),-0.661013209017648)</f>
        <v>-0.66101320901764804</v>
      </c>
      <c r="HN94" s="3">
        <f ca="1">IFERROR(__xludf.DUMMYFUNCTION("""COMPUTED_VALUE"""),-0.592892930444967)</f>
        <v>-0.59289293044496705</v>
      </c>
      <c r="HO94" s="3">
        <f ca="1">IFERROR(__xludf.DUMMYFUNCTION("""COMPUTED_VALUE"""),-0.737837323678061)</f>
        <v>-0.73783732367806099</v>
      </c>
      <c r="HP94" s="3">
        <f ca="1">IFERROR(__xludf.DUMMYFUNCTION("""COMPUTED_VALUE"""),-0.749653670568894)</f>
        <v>-0.74965367056889398</v>
      </c>
      <c r="HQ94" s="3">
        <f ca="1">IFERROR(__xludf.DUMMYFUNCTION("""COMPUTED_VALUE"""),-0.747788937602589)</f>
        <v>-0.74778893760258902</v>
      </c>
      <c r="HR94" s="3">
        <f ca="1">IFERROR(__xludf.DUMMYFUNCTION("""COMPUTED_VALUE"""),-0.738931212279737)</f>
        <v>-0.73893121227973702</v>
      </c>
      <c r="HS94" s="3">
        <f ca="1">IFERROR(__xludf.DUMMYFUNCTION("""COMPUTED_VALUE"""),-0.721742372120747)</f>
        <v>-0.72174237212074699</v>
      </c>
      <c r="HT94" s="3">
        <f ca="1">IFERROR(__xludf.DUMMYFUNCTION("""COMPUTED_VALUE"""),-0.692396382786743)</f>
        <v>-0.69239638278674298</v>
      </c>
      <c r="HU94" s="3">
        <f ca="1">IFERROR(__xludf.DUMMYFUNCTION("""COMPUTED_VALUE"""),-0.680472166682435)</f>
        <v>-0.68047216668243504</v>
      </c>
      <c r="HV94" s="3">
        <f ca="1">IFERROR(__xludf.DUMMYFUNCTION("""COMPUTED_VALUE"""),-0.80236743499072)</f>
        <v>-0.80236743499072005</v>
      </c>
      <c r="HW94" s="3">
        <f ca="1">IFERROR(__xludf.DUMMYFUNCTION("""COMPUTED_VALUE"""),-0.749136441908359)</f>
        <v>-0.74913644190835904</v>
      </c>
      <c r="HX94" s="3">
        <f ca="1">IFERROR(__xludf.DUMMYFUNCTION("""COMPUTED_VALUE"""),-0.768396894006499)</f>
        <v>-0.76839689400649902</v>
      </c>
      <c r="HY94" s="3">
        <f ca="1">IFERROR(__xludf.DUMMYFUNCTION("""COMPUTED_VALUE"""),-0.744420766535876)</f>
        <v>-0.74442076653587597</v>
      </c>
      <c r="HZ94" s="3">
        <f ca="1">IFERROR(__xludf.DUMMYFUNCTION("""COMPUTED_VALUE"""),-0.699026511051802)</f>
        <v>-0.69902651105180202</v>
      </c>
      <c r="IA94" s="3">
        <f ca="1">IFERROR(__xludf.DUMMYFUNCTION("""COMPUTED_VALUE"""),-0.632465428698616)</f>
        <v>-0.63246542869861599</v>
      </c>
      <c r="IB94" s="3">
        <f ca="1">IFERROR(__xludf.DUMMYFUNCTION("""COMPUTED_VALUE"""),-0.707161479752548)</f>
        <v>-0.70716147975254795</v>
      </c>
      <c r="IC94" s="3">
        <f ca="1">IFERROR(__xludf.DUMMYFUNCTION("""COMPUTED_VALUE"""),-0.770753499273075)</f>
        <v>-0.77075349927307502</v>
      </c>
      <c r="ID94" s="3">
        <f ca="1">IFERROR(__xludf.DUMMYFUNCTION("""COMPUTED_VALUE"""),-0.773152807300537)</f>
        <v>-0.77315280730053704</v>
      </c>
      <c r="IE94" s="3">
        <f ca="1">IFERROR(__xludf.DUMMYFUNCTION("""COMPUTED_VALUE"""),-0.761062282150936)</f>
        <v>-0.76106228215093596</v>
      </c>
      <c r="IF94" s="3">
        <f ca="1">IFERROR(__xludf.DUMMYFUNCTION("""COMPUTED_VALUE"""),-0.723125929670468)</f>
        <v>-0.72312592967046796</v>
      </c>
      <c r="IG94" s="3">
        <f ca="1">IFERROR(__xludf.DUMMYFUNCTION("""COMPUTED_VALUE"""),-0.704238173346216)</f>
        <v>-0.70423817334621597</v>
      </c>
      <c r="IH94" s="3">
        <f ca="1">IFERROR(__xludf.DUMMYFUNCTION("""COMPUTED_VALUE"""),-0.630819889497486)</f>
        <v>-0.63081988949748602</v>
      </c>
      <c r="II94" s="3">
        <f ca="1">IFERROR(__xludf.DUMMYFUNCTION("""COMPUTED_VALUE"""),-0.67196653733511)</f>
        <v>-0.67196653733511003</v>
      </c>
      <c r="IJ94" s="3">
        <f ca="1">IFERROR(__xludf.DUMMYFUNCTION("""COMPUTED_VALUE"""),-0.743200364748964)</f>
        <v>-0.743200364748964</v>
      </c>
      <c r="IK94" s="3">
        <f ca="1">IFERROR(__xludf.DUMMYFUNCTION("""COMPUTED_VALUE"""),-0.74726986423895)</f>
        <v>-0.74726986423895003</v>
      </c>
      <c r="IL94" s="3">
        <f ca="1">IFERROR(__xludf.DUMMYFUNCTION("""COMPUTED_VALUE"""),-0.758702091553359)</f>
        <v>-0.75870209155335899</v>
      </c>
      <c r="IM94" s="3">
        <f ca="1">IFERROR(__xludf.DUMMYFUNCTION("""COMPUTED_VALUE"""),-0.726815198297727)</f>
        <v>-0.72681519829772701</v>
      </c>
      <c r="IN94" s="3">
        <f ca="1">IFERROR(__xludf.DUMMYFUNCTION("""COMPUTED_VALUE"""),-0.720527809705517)</f>
        <v>-0.720527809705517</v>
      </c>
      <c r="IO94" s="3">
        <f ca="1">IFERROR(__xludf.DUMMYFUNCTION("""COMPUTED_VALUE"""),-0.621735883151275)</f>
        <v>-0.62173588315127504</v>
      </c>
      <c r="IP94" s="3">
        <f ca="1">IFERROR(__xludf.DUMMYFUNCTION("""COMPUTED_VALUE"""),-0.698188222159334)</f>
        <v>-0.69818822215933396</v>
      </c>
      <c r="IQ94" s="3">
        <f ca="1">IFERROR(__xludf.DUMMYFUNCTION("""COMPUTED_VALUE"""),-0.736062192764382)</f>
        <v>-0.73606219276438201</v>
      </c>
      <c r="IR94" s="3">
        <f ca="1">IFERROR(__xludf.DUMMYFUNCTION("""COMPUTED_VALUE"""),-0.735203675230824)</f>
        <v>-0.73520367523082397</v>
      </c>
      <c r="IS94" s="3">
        <f ca="1">IFERROR(__xludf.DUMMYFUNCTION("""COMPUTED_VALUE"""),-0.704310508111113)</f>
        <v>-0.70431050811111295</v>
      </c>
      <c r="IT94" s="3">
        <f ca="1">IFERROR(__xludf.DUMMYFUNCTION("""COMPUTED_VALUE"""),-0.736633287988317)</f>
        <v>-0.73663328798831695</v>
      </c>
      <c r="IU94" s="3">
        <f ca="1">IFERROR(__xludf.DUMMYFUNCTION("""COMPUTED_VALUE"""),-0.700042446278789)</f>
        <v>-0.70004244627878898</v>
      </c>
      <c r="IV94" s="3">
        <f ca="1">IFERROR(__xludf.DUMMYFUNCTION("""COMPUTED_VALUE"""),-0.64485976692579)</f>
        <v>-0.64485976692578995</v>
      </c>
      <c r="IW94" s="3">
        <f ca="1">IFERROR(__xludf.DUMMYFUNCTION("""COMPUTED_VALUE"""),-0.661962384139835)</f>
        <v>-0.66196238413983499</v>
      </c>
      <c r="IX94" s="3">
        <f ca="1">IFERROR(__xludf.DUMMYFUNCTION("""COMPUTED_VALUE"""),-0.731982331493947)</f>
        <v>-0.73198233149394698</v>
      </c>
      <c r="IY94" s="3">
        <f ca="1">IFERROR(__xludf.DUMMYFUNCTION("""COMPUTED_VALUE"""),-0.736743848577493)</f>
        <v>-0.73674384857749298</v>
      </c>
      <c r="IZ94" s="3">
        <f ca="1">IFERROR(__xludf.DUMMYFUNCTION("""COMPUTED_VALUE"""),-0.711943570438738)</f>
        <v>-0.71194357043873802</v>
      </c>
      <c r="JA94" s="3">
        <f ca="1">IFERROR(__xludf.DUMMYFUNCTION("""COMPUTED_VALUE"""),-0.729837264302507)</f>
        <v>-0.72983726430250695</v>
      </c>
      <c r="JB94" s="3">
        <f ca="1">IFERROR(__xludf.DUMMYFUNCTION("""COMPUTED_VALUE"""),-0.687199723939756)</f>
        <v>-0.68719972393975604</v>
      </c>
      <c r="JC94" s="3">
        <f ca="1">IFERROR(__xludf.DUMMYFUNCTION("""COMPUTED_VALUE"""),-0.669217025710702)</f>
        <v>-0.66921702571070196</v>
      </c>
      <c r="JD94" s="3">
        <f ca="1">IFERROR(__xludf.DUMMYFUNCTION("""COMPUTED_VALUE"""),-0.706238023512042)</f>
        <v>-0.70623802351204201</v>
      </c>
      <c r="JE94" s="3">
        <f ca="1">IFERROR(__xludf.DUMMYFUNCTION("""COMPUTED_VALUE"""),-0.732776950349925)</f>
        <v>-0.73277695034992496</v>
      </c>
      <c r="JF94" s="3">
        <f ca="1">IFERROR(__xludf.DUMMYFUNCTION("""COMPUTED_VALUE"""),-0.735594253752044)</f>
        <v>-0.73559425375204401</v>
      </c>
      <c r="JG94" s="3">
        <f ca="1">IFERROR(__xludf.DUMMYFUNCTION("""COMPUTED_VALUE"""),-0.738459743940847)</f>
        <v>-0.73845974394084701</v>
      </c>
      <c r="JH94" s="3">
        <f ca="1">IFERROR(__xludf.DUMMYFUNCTION("""COMPUTED_VALUE"""),-0.730985656866903)</f>
        <v>-0.73098565686690298</v>
      </c>
      <c r="JI94" s="3">
        <f ca="1">IFERROR(__xludf.DUMMYFUNCTION("""COMPUTED_VALUE"""),-0.674141633412296)</f>
        <v>-0.67414163341229605</v>
      </c>
      <c r="JJ94" s="3">
        <f ca="1">IFERROR(__xludf.DUMMYFUNCTION("""COMPUTED_VALUE"""),-0.629915437190882)</f>
        <v>-0.62991543719088205</v>
      </c>
      <c r="JK94" s="3">
        <f ca="1">IFERROR(__xludf.DUMMYFUNCTION("""COMPUTED_VALUE"""),-0.686300675346824)</f>
        <v>-0.68630067534682404</v>
      </c>
      <c r="JL94" s="3">
        <f ca="1">IFERROR(__xludf.DUMMYFUNCTION("""COMPUTED_VALUE"""),-0.728179061186265)</f>
        <v>-0.72817906118626496</v>
      </c>
      <c r="JM94" s="3">
        <f ca="1">IFERROR(__xludf.DUMMYFUNCTION("""COMPUTED_VALUE"""),-0.73662068936685)</f>
        <v>-0.73662068936684999</v>
      </c>
      <c r="JN94" s="3">
        <f ca="1">IFERROR(__xludf.DUMMYFUNCTION("""COMPUTED_VALUE"""),-0.67424919759246)</f>
        <v>-0.67424919759246005</v>
      </c>
      <c r="JO94" s="3">
        <f ca="1">IFERROR(__xludf.DUMMYFUNCTION("""COMPUTED_VALUE"""),-0.699445219327148)</f>
        <v>-0.69944521932714798</v>
      </c>
      <c r="JP94" s="3">
        <f ca="1">IFERROR(__xludf.DUMMYFUNCTION("""COMPUTED_VALUE"""),-0.67074224278061)</f>
        <v>-0.67074224278061001</v>
      </c>
      <c r="JQ94" s="3">
        <f ca="1">IFERROR(__xludf.DUMMYFUNCTION("""COMPUTED_VALUE"""),-0.67605575587744)</f>
        <v>-0.67605575587744005</v>
      </c>
      <c r="JR94" s="3">
        <f ca="1">IFERROR(__xludf.DUMMYFUNCTION("""COMPUTED_VALUE"""),-0.696729627802362)</f>
        <v>-0.69672962780236203</v>
      </c>
      <c r="JS94" s="3">
        <f ca="1">IFERROR(__xludf.DUMMYFUNCTION("""COMPUTED_VALUE"""),-0.669477404384047)</f>
        <v>-0.66947740438404701</v>
      </c>
      <c r="JT94" s="3">
        <f ca="1">IFERROR(__xludf.DUMMYFUNCTION("""COMPUTED_VALUE"""),-0.717319153709234)</f>
        <v>-0.71731915370923405</v>
      </c>
      <c r="JU94" s="3">
        <f ca="1">IFERROR(__xludf.DUMMYFUNCTION("""COMPUTED_VALUE"""),-0.71771237832808)</f>
        <v>-0.71771237832807999</v>
      </c>
      <c r="JV94" s="3">
        <f ca="1">IFERROR(__xludf.DUMMYFUNCTION("""COMPUTED_VALUE"""),-0.700486325599782)</f>
        <v>-0.70048632559978197</v>
      </c>
      <c r="JW94" s="3">
        <f ca="1">IFERROR(__xludf.DUMMYFUNCTION("""COMPUTED_VALUE"""),-0.714245616129631)</f>
        <v>-0.714245616129631</v>
      </c>
      <c r="JX94" s="3">
        <f ca="1">IFERROR(__xludf.DUMMYFUNCTION("""COMPUTED_VALUE"""),-0.710732708058608)</f>
        <v>-0.710732708058608</v>
      </c>
      <c r="JY94" s="3">
        <f ca="1">IFERROR(__xludf.DUMMYFUNCTION("""COMPUTED_VALUE"""),-0.742825362179913)</f>
        <v>-0.74282536217991302</v>
      </c>
      <c r="JZ94" s="3">
        <f ca="1">IFERROR(__xludf.DUMMYFUNCTION("""COMPUTED_VALUE"""),-0.695858308338718)</f>
        <v>-0.69585830833871798</v>
      </c>
      <c r="KA94" s="3">
        <f ca="1">IFERROR(__xludf.DUMMYFUNCTION("""COMPUTED_VALUE"""),-0.665605984365721)</f>
        <v>-0.66560598436572105</v>
      </c>
      <c r="KB94" s="3">
        <f ca="1">IFERROR(__xludf.DUMMYFUNCTION("""COMPUTED_VALUE"""),-0.684014917423368)</f>
        <v>-0.68401491742336795</v>
      </c>
      <c r="KC94" s="3">
        <f ca="1">IFERROR(__xludf.DUMMYFUNCTION("""COMPUTED_VALUE"""),-0.711560414162881)</f>
        <v>-0.71156041416288096</v>
      </c>
      <c r="KD94" s="3">
        <f ca="1">IFERROR(__xludf.DUMMYFUNCTION("""COMPUTED_VALUE"""),-0.710984769152026)</f>
        <v>-0.71098476915202602</v>
      </c>
      <c r="KE94" s="3">
        <f ca="1">IFERROR(__xludf.DUMMYFUNCTION("""COMPUTED_VALUE"""),-0.622921374382831)</f>
        <v>-0.62292137438283102</v>
      </c>
      <c r="KF94" s="3">
        <f ca="1">IFERROR(__xludf.DUMMYFUNCTION("""COMPUTED_VALUE"""),-0.718224677370149)</f>
        <v>-0.71822467737014895</v>
      </c>
      <c r="KG94" s="3">
        <f ca="1">IFERROR(__xludf.DUMMYFUNCTION("""COMPUTED_VALUE"""),-0.669448321093141)</f>
        <v>-0.66944832109314101</v>
      </c>
      <c r="KH94" s="3">
        <f ca="1">IFERROR(__xludf.DUMMYFUNCTION("""COMPUTED_VALUE"""),-0.660380606676464)</f>
        <v>-0.66038060667646403</v>
      </c>
      <c r="KI94" s="3">
        <f ca="1">IFERROR(__xludf.DUMMYFUNCTION("""COMPUTED_VALUE"""),-0.71385681632619)</f>
        <v>-0.71385681632619002</v>
      </c>
      <c r="KJ94" s="3">
        <f ca="1">IFERROR(__xludf.DUMMYFUNCTION("""COMPUTED_VALUE"""),-0.675754413759298)</f>
        <v>-0.67575441375929801</v>
      </c>
      <c r="KK94" s="3">
        <f ca="1">IFERROR(__xludf.DUMMYFUNCTION("""COMPUTED_VALUE"""),-0.69450172237883)</f>
        <v>-0.69450172237883001</v>
      </c>
      <c r="KL94" s="3">
        <f ca="1">IFERROR(__xludf.DUMMYFUNCTION("""COMPUTED_VALUE"""),-0.680607230246266)</f>
        <v>-0.68060723024626602</v>
      </c>
      <c r="KM94" s="3">
        <f ca="1">IFERROR(__xludf.DUMMYFUNCTION("""COMPUTED_VALUE"""),-0.635974787880888)</f>
        <v>-0.63597478788088802</v>
      </c>
      <c r="KN94" s="3">
        <f ca="1">IFERROR(__xludf.DUMMYFUNCTION("""COMPUTED_VALUE"""),-0.703310744613749)</f>
        <v>-0.70331074461374898</v>
      </c>
      <c r="KO94" s="3">
        <f ca="1">IFERROR(__xludf.DUMMYFUNCTION("""COMPUTED_VALUE"""),-0.708323390087803)</f>
        <v>-0.70832339008780298</v>
      </c>
      <c r="KP94" s="3">
        <f ca="1">IFERROR(__xludf.DUMMYFUNCTION("""COMPUTED_VALUE"""),-0.698482184390539)</f>
        <v>-0.698482184390539</v>
      </c>
      <c r="KQ94" s="3">
        <f ca="1">IFERROR(__xludf.DUMMYFUNCTION("""COMPUTED_VALUE"""),-0.706447279070055)</f>
        <v>-0.706447279070055</v>
      </c>
      <c r="KR94" s="3">
        <f ca="1">IFERROR(__xludf.DUMMYFUNCTION("""COMPUTED_VALUE"""),-0.721307696203674)</f>
        <v>-0.72130769620367396</v>
      </c>
      <c r="KS94" s="3">
        <f ca="1">IFERROR(__xludf.DUMMYFUNCTION("""COMPUTED_VALUE"""),-0.673807197702484)</f>
        <v>-0.67380719770248398</v>
      </c>
      <c r="KT94" s="3">
        <f ca="1">IFERROR(__xludf.DUMMYFUNCTION("""COMPUTED_VALUE"""),-0.644535337118978)</f>
        <v>-0.64453533711897804</v>
      </c>
      <c r="KU94" s="3">
        <f ca="1">IFERROR(__xludf.DUMMYFUNCTION("""COMPUTED_VALUE"""),-0.710692077749202)</f>
        <v>-0.71069207774920196</v>
      </c>
      <c r="KV94" s="3">
        <f ca="1">IFERROR(__xludf.DUMMYFUNCTION("""COMPUTED_VALUE"""),-0.70109355395686)</f>
        <v>-0.70109355395686002</v>
      </c>
      <c r="KW94" s="3">
        <f ca="1">IFERROR(__xludf.DUMMYFUNCTION("""COMPUTED_VALUE"""),-0.71207560313164)</f>
        <v>-0.71207560313163998</v>
      </c>
      <c r="KX94" s="3">
        <f ca="1">IFERROR(__xludf.DUMMYFUNCTION("""COMPUTED_VALUE"""),-0.722376680056037)</f>
        <v>-0.72237668005603695</v>
      </c>
      <c r="KY94" s="3">
        <f ca="1">IFERROR(__xludf.DUMMYFUNCTION("""COMPUTED_VALUE"""),-0.703200644605118)</f>
        <v>-0.703200644605118</v>
      </c>
      <c r="KZ94" s="3">
        <f ca="1">IFERROR(__xludf.DUMMYFUNCTION("""COMPUTED_VALUE"""),-0.647955777295964)</f>
        <v>-0.64795577729596399</v>
      </c>
      <c r="LA94" s="3">
        <f ca="1">IFERROR(__xludf.DUMMYFUNCTION("""COMPUTED_VALUE"""),-0.678342603036318)</f>
        <v>-0.67834260303631799</v>
      </c>
      <c r="LB94" s="3">
        <f ca="1">IFERROR(__xludf.DUMMYFUNCTION("""COMPUTED_VALUE"""),-0.663718595229374)</f>
        <v>-0.66371859522937404</v>
      </c>
      <c r="LC94" s="3">
        <f ca="1">IFERROR(__xludf.DUMMYFUNCTION("""COMPUTED_VALUE"""),-0.723040570471947)</f>
        <v>-0.72304057047194703</v>
      </c>
      <c r="LD94" s="3">
        <f ca="1">IFERROR(__xludf.DUMMYFUNCTION("""COMPUTED_VALUE"""),-0.671812248471468)</f>
        <v>-0.67181224847146803</v>
      </c>
      <c r="LE94" s="3">
        <f ca="1">IFERROR(__xludf.DUMMYFUNCTION("""COMPUTED_VALUE"""),-0.698188413964423)</f>
        <v>-0.69818841396442299</v>
      </c>
      <c r="LF94" s="3">
        <f ca="1">IFERROR(__xludf.DUMMYFUNCTION("""COMPUTED_VALUE"""),-0.694292160194003)</f>
        <v>-0.69429216019400297</v>
      </c>
      <c r="LG94" s="3">
        <f ca="1">IFERROR(__xludf.DUMMYFUNCTION("""COMPUTED_VALUE"""),-0.650919454846959)</f>
        <v>-0.65091945484695901</v>
      </c>
      <c r="LH94" s="3">
        <f ca="1">IFERROR(__xludf.DUMMYFUNCTION("""COMPUTED_VALUE"""),-0.670660365611175)</f>
        <v>-0.67066036561117504</v>
      </c>
      <c r="LI94" s="3">
        <f ca="1">IFERROR(__xludf.DUMMYFUNCTION("""COMPUTED_VALUE"""),-0.682232015562852)</f>
        <v>-0.68223201556285196</v>
      </c>
      <c r="LJ94" s="3">
        <f ca="1">IFERROR(__xludf.DUMMYFUNCTION("""COMPUTED_VALUE"""),-0.764461301816486)</f>
        <v>-0.76446130181648597</v>
      </c>
      <c r="LK94" s="3">
        <f ca="1">IFERROR(__xludf.DUMMYFUNCTION("""COMPUTED_VALUE"""),-0.761743261397392)</f>
        <v>-0.76174326139739201</v>
      </c>
      <c r="LL94" s="3">
        <f ca="1">IFERROR(__xludf.DUMMYFUNCTION("""COMPUTED_VALUE"""),-0.71662668721939)</f>
        <v>-0.71662668721939005</v>
      </c>
      <c r="LM94" s="3">
        <f ca="1">IFERROR(__xludf.DUMMYFUNCTION("""COMPUTED_VALUE"""),-0.719300108135401)</f>
        <v>-0.71930010813540102</v>
      </c>
      <c r="LN94" s="3">
        <f ca="1">IFERROR(__xludf.DUMMYFUNCTION("""COMPUTED_VALUE"""),-0.66973873409837)</f>
        <v>-0.66973873409837004</v>
      </c>
      <c r="LO94" s="3">
        <f ca="1">IFERROR(__xludf.DUMMYFUNCTION("""COMPUTED_VALUE"""),-0.699500202235124)</f>
        <v>-0.69950020223512399</v>
      </c>
      <c r="LP94" s="3">
        <f ca="1">IFERROR(__xludf.DUMMYFUNCTION("""COMPUTED_VALUE"""),-0.749007548871438)</f>
        <v>-0.74900754887143794</v>
      </c>
      <c r="LQ94" s="3">
        <f ca="1">IFERROR(__xludf.DUMMYFUNCTION("""COMPUTED_VALUE"""),-0.747645978203691)</f>
        <v>-0.74764597820369105</v>
      </c>
      <c r="LR94" s="3">
        <f ca="1">IFERROR(__xludf.DUMMYFUNCTION("""COMPUTED_VALUE"""),-0.697166884569929)</f>
        <v>-0.69716688456992904</v>
      </c>
      <c r="LS94" s="3">
        <f ca="1">IFERROR(__xludf.DUMMYFUNCTION("""COMPUTED_VALUE"""),-0.751641585900583)</f>
        <v>-0.75164158590058305</v>
      </c>
      <c r="LT94" s="3">
        <f ca="1">IFERROR(__xludf.DUMMYFUNCTION("""COMPUTED_VALUE"""),-0.735539302490307)</f>
        <v>-0.73553930249030697</v>
      </c>
      <c r="LU94" s="3">
        <f ca="1">IFERROR(__xludf.DUMMYFUNCTION("""COMPUTED_VALUE"""),-0.656107249659378)</f>
        <v>-0.65610724965937794</v>
      </c>
      <c r="LV94" s="3">
        <f ca="1">IFERROR(__xludf.DUMMYFUNCTION("""COMPUTED_VALUE"""),-0.649068156313932)</f>
        <v>-0.649068156313932</v>
      </c>
      <c r="LW94" s="3">
        <f ca="1">IFERROR(__xludf.DUMMYFUNCTION("""COMPUTED_VALUE"""),-0.712934778931219)</f>
        <v>-0.71293477893121904</v>
      </c>
      <c r="LX94" s="3">
        <f ca="1">IFERROR(__xludf.DUMMYFUNCTION("""COMPUTED_VALUE"""),-0.703414471530279)</f>
        <v>-0.70341447153027903</v>
      </c>
      <c r="LY94" s="3">
        <f ca="1">IFERROR(__xludf.DUMMYFUNCTION("""COMPUTED_VALUE"""),-0.76449103029079)</f>
        <v>-0.76449103029079002</v>
      </c>
      <c r="LZ94" s="3">
        <f ca="1">IFERROR(__xludf.DUMMYFUNCTION("""COMPUTED_VALUE"""),-0.743766662146846)</f>
        <v>-0.74376666214684595</v>
      </c>
      <c r="MA94" s="3">
        <f ca="1">IFERROR(__xludf.DUMMYFUNCTION("""COMPUTED_VALUE"""),-0.714678336658881)</f>
        <v>-0.71467833665888103</v>
      </c>
      <c r="MB94" s="3">
        <f ca="1">IFERROR(__xludf.DUMMYFUNCTION("""COMPUTED_VALUE"""),-0.690694350836803)</f>
        <v>-0.69069435083680297</v>
      </c>
      <c r="MC94" s="3">
        <f ca="1">IFERROR(__xludf.DUMMYFUNCTION("""COMPUTED_VALUE"""),-0.688762733498023)</f>
        <v>-0.68876273349802297</v>
      </c>
      <c r="MD94" s="3">
        <f ca="1">IFERROR(__xludf.DUMMYFUNCTION("""COMPUTED_VALUE"""),-0.768611928331422)</f>
        <v>-0.768611928331422</v>
      </c>
      <c r="ME94" s="3">
        <f ca="1">IFERROR(__xludf.DUMMYFUNCTION("""COMPUTED_VALUE"""),-0.730146542839576)</f>
        <v>-0.73014654283957603</v>
      </c>
      <c r="MF94" s="3">
        <f ca="1">IFERROR(__xludf.DUMMYFUNCTION("""COMPUTED_VALUE"""),-0.711188008958634)</f>
        <v>-0.71118800895863399</v>
      </c>
      <c r="MG94" s="3">
        <f ca="1">IFERROR(__xludf.DUMMYFUNCTION("""COMPUTED_VALUE"""),-0.718189120682858)</f>
        <v>-0.71818912068285801</v>
      </c>
      <c r="MH94" s="3">
        <f ca="1">IFERROR(__xludf.DUMMYFUNCTION("""COMPUTED_VALUE"""),-0.722612547599095)</f>
        <v>-0.72261254759909499</v>
      </c>
      <c r="MI94" s="3">
        <f ca="1">IFERROR(__xludf.DUMMYFUNCTION("""COMPUTED_VALUE"""),-0.755581785252354)</f>
        <v>-0.75558178525235398</v>
      </c>
      <c r="MJ94" s="3">
        <f ca="1">IFERROR(__xludf.DUMMYFUNCTION("""COMPUTED_VALUE"""),-0.658084202584909)</f>
        <v>-0.65808420258490896</v>
      </c>
      <c r="MK94" s="3">
        <f ca="1">IFERROR(__xludf.DUMMYFUNCTION("""COMPUTED_VALUE"""),-0.752568389114905)</f>
        <v>-0.75256838911490498</v>
      </c>
      <c r="ML94" s="3">
        <f ca="1">IFERROR(__xludf.DUMMYFUNCTION("""COMPUTED_VALUE"""),-0.740962167107694)</f>
        <v>-0.74096216710769403</v>
      </c>
      <c r="MM94" s="3">
        <f ca="1">IFERROR(__xludf.DUMMYFUNCTION("""COMPUTED_VALUE"""),-0.766802862441168)</f>
        <v>-0.76680286244116802</v>
      </c>
      <c r="MN94" s="3">
        <f ca="1">IFERROR(__xludf.DUMMYFUNCTION("""COMPUTED_VALUE"""),-0.767229387165375)</f>
        <v>-0.76722938716537503</v>
      </c>
      <c r="MO94" s="3">
        <f ca="1">IFERROR(__xludf.DUMMYFUNCTION("""COMPUTED_VALUE"""),-0.73390474769928)</f>
        <v>-0.73390474769928005</v>
      </c>
      <c r="MP94" s="3">
        <f ca="1">IFERROR(__xludf.DUMMYFUNCTION("""COMPUTED_VALUE"""),-0.735315694053425)</f>
        <v>-0.73531569405342501</v>
      </c>
      <c r="MQ94" s="3">
        <f ca="1">IFERROR(__xludf.DUMMYFUNCTION("""COMPUTED_VALUE"""),-0.78271721665633)</f>
        <v>-0.78271721665632998</v>
      </c>
      <c r="MR94" s="3">
        <f ca="1">IFERROR(__xludf.DUMMYFUNCTION("""COMPUTED_VALUE"""),-0.722343761970643)</f>
        <v>-0.72234376197064298</v>
      </c>
      <c r="MS94" s="3">
        <f ca="1">IFERROR(__xludf.DUMMYFUNCTION("""COMPUTED_VALUE"""),-0.752654030954867)</f>
        <v>-0.75265403095486705</v>
      </c>
      <c r="MT94" s="3">
        <f ca="1">IFERROR(__xludf.DUMMYFUNCTION("""COMPUTED_VALUE"""),-0.764227770054322)</f>
        <v>-0.76422777005432196</v>
      </c>
      <c r="MU94" s="3">
        <f ca="1">IFERROR(__xludf.DUMMYFUNCTION("""COMPUTED_VALUE"""),-0.764904318132178)</f>
        <v>-0.76490431813217796</v>
      </c>
      <c r="MV94" s="3">
        <f ca="1">IFERROR(__xludf.DUMMYFUNCTION("""COMPUTED_VALUE"""),-0.6943877303206)</f>
        <v>-0.69438773032059997</v>
      </c>
      <c r="MW94" s="3">
        <f ca="1">IFERROR(__xludf.DUMMYFUNCTION("""COMPUTED_VALUE"""),-0.744854683802017)</f>
        <v>-0.74485468380201703</v>
      </c>
      <c r="MX94" s="3">
        <f ca="1">IFERROR(__xludf.DUMMYFUNCTION("""COMPUTED_VALUE"""),-0.696247927768697)</f>
        <v>-0.69624792776869704</v>
      </c>
      <c r="MY94" s="3">
        <f ca="1">IFERROR(__xludf.DUMMYFUNCTION("""COMPUTED_VALUE"""),-0.728963122104716)</f>
        <v>-0.72896312210471603</v>
      </c>
      <c r="MZ94" s="3">
        <f ca="1">IFERROR(__xludf.DUMMYFUNCTION("""COMPUTED_VALUE"""),-0.763321321187475)</f>
        <v>-0.76332132118747498</v>
      </c>
      <c r="NA94" s="3">
        <f ca="1">IFERROR(__xludf.DUMMYFUNCTION("""COMPUTED_VALUE"""),-0.760662064701866)</f>
        <v>-0.76066206470186604</v>
      </c>
      <c r="NB94" s="3">
        <f ca="1">IFERROR(__xludf.DUMMYFUNCTION("""COMPUTED_VALUE"""),-0.772330282787476)</f>
        <v>-0.77233028278747595</v>
      </c>
      <c r="NC94" s="3">
        <f ca="1">IFERROR(__xludf.DUMMYFUNCTION("""COMPUTED_VALUE"""),-0.772319126582085)</f>
        <v>-0.77231912658208501</v>
      </c>
      <c r="ND94" s="3">
        <f ca="1">IFERROR(__xludf.DUMMYFUNCTION("""COMPUTED_VALUE"""),-0.761218249432522)</f>
        <v>-0.76121824943252203</v>
      </c>
      <c r="NE94" s="3">
        <f ca="1">IFERROR(__xludf.DUMMYFUNCTION("""COMPUTED_VALUE"""),-0.683454149024948)</f>
        <v>-0.68345414902494805</v>
      </c>
      <c r="NF94" s="3">
        <f ca="1">IFERROR(__xludf.DUMMYFUNCTION("""COMPUTED_VALUE"""),-0.71250000332855)</f>
        <v>-0.71250000332855001</v>
      </c>
      <c r="NG94" s="3">
        <f ca="1">IFERROR(__xludf.DUMMYFUNCTION("""COMPUTED_VALUE"""),-0.72097971684786)</f>
        <v>-0.72097971684786</v>
      </c>
      <c r="NH94" s="3">
        <f ca="1">IFERROR(__xludf.DUMMYFUNCTION("""COMPUTED_VALUE"""),-0.737093755575813)</f>
        <v>-0.73709375557581303</v>
      </c>
      <c r="NI94" s="3">
        <f ca="1">IFERROR(__xludf.DUMMYFUNCTION("""COMPUTED_VALUE"""),-0.730962923229708)</f>
        <v>-0.73096292322970802</v>
      </c>
      <c r="NJ94" s="3">
        <f ca="1">IFERROR(__xludf.DUMMYFUNCTION("""COMPUTED_VALUE"""),-0.67334675508296)</f>
        <v>-0.67334675508296005</v>
      </c>
      <c r="NK94" s="3">
        <f ca="1">IFERROR(__xludf.DUMMYFUNCTION("""COMPUTED_VALUE"""),-0.61983862018947)</f>
        <v>-0.61983862018947</v>
      </c>
      <c r="NL94" s="3">
        <f ca="1">IFERROR(__xludf.DUMMYFUNCTION("""COMPUTED_VALUE"""),-0.673553081193835)</f>
        <v>-0.67355308119383495</v>
      </c>
      <c r="NM94" s="3">
        <f ca="1">IFERROR(__xludf.DUMMYFUNCTION("""COMPUTED_VALUE"""),-0.658385787449955)</f>
        <v>-0.65838578744995502</v>
      </c>
      <c r="NN94" s="3">
        <f ca="1">IFERROR(__xludf.DUMMYFUNCTION("""COMPUTED_VALUE"""),-0.708373546344691)</f>
        <v>-0.70837354634469096</v>
      </c>
      <c r="NO94" s="3">
        <f ca="1">IFERROR(__xludf.DUMMYFUNCTION("""COMPUTED_VALUE"""),-0.699390831031614)</f>
        <v>-0.69939083103161404</v>
      </c>
      <c r="NP94" s="3">
        <f ca="1">IFERROR(__xludf.DUMMYFUNCTION("""COMPUTED_VALUE"""),-0.753284485845304)</f>
        <v>-0.75328448584530405</v>
      </c>
      <c r="NQ94" s="3">
        <f ca="1">IFERROR(__xludf.DUMMYFUNCTION("""COMPUTED_VALUE"""),-0.627887178354399)</f>
        <v>-0.627887178354399</v>
      </c>
      <c r="NR94" s="3">
        <f ca="1">IFERROR(__xludf.DUMMYFUNCTION("""COMPUTED_VALUE"""),-0.532540997804002)</f>
        <v>-0.53254099780400199</v>
      </c>
      <c r="NS94" s="3">
        <f ca="1">IFERROR(__xludf.DUMMYFUNCTION("""COMPUTED_VALUE"""),-0.615125248633265)</f>
        <v>-0.61512524863326501</v>
      </c>
      <c r="NT94" s="3">
        <f ca="1">IFERROR(__xludf.DUMMYFUNCTION("""COMPUTED_VALUE"""),-0.705601648054723)</f>
        <v>-0.70560164805472303</v>
      </c>
      <c r="NU94" s="3">
        <f ca="1">IFERROR(__xludf.DUMMYFUNCTION("""COMPUTED_VALUE"""),-0.68394214372677)</f>
        <v>-0.68394214372676998</v>
      </c>
      <c r="NV94" s="3">
        <f ca="1">IFERROR(__xludf.DUMMYFUNCTION("""COMPUTED_VALUE"""),-0.718031240934563)</f>
        <v>-0.71803124093456305</v>
      </c>
      <c r="NW94" s="3">
        <f ca="1">IFERROR(__xludf.DUMMYFUNCTION("""COMPUTED_VALUE"""),-0.767881725753999)</f>
        <v>-0.76788172575399904</v>
      </c>
      <c r="NX94" s="3">
        <f ca="1">IFERROR(__xludf.DUMMYFUNCTION("""COMPUTED_VALUE"""),-0.692460614043824)</f>
        <v>-0.69246061404382397</v>
      </c>
      <c r="NY94" s="3">
        <f ca="1">IFERROR(__xludf.DUMMYFUNCTION("""COMPUTED_VALUE"""),-0.516990708928658)</f>
        <v>-0.51699070892865795</v>
      </c>
      <c r="NZ94" s="3">
        <f ca="1">IFERROR(__xludf.DUMMYFUNCTION("""COMPUTED_VALUE"""),-0.494358213689213)</f>
        <v>-0.49435821368921301</v>
      </c>
      <c r="OA94" s="3">
        <f ca="1">IFERROR(__xludf.DUMMYFUNCTION("""COMPUTED_VALUE"""),-0.62601526342186)</f>
        <v>-0.62601526342185998</v>
      </c>
      <c r="OB94" s="3">
        <f ca="1">IFERROR(__xludf.DUMMYFUNCTION("""COMPUTED_VALUE"""),-0.577531928143902)</f>
        <v>-0.57753192814390197</v>
      </c>
      <c r="OC94" s="3">
        <f ca="1">IFERROR(__xludf.DUMMYFUNCTION("""COMPUTED_VALUE"""),-0.602914407963266)</f>
        <v>-0.60291440796326601</v>
      </c>
      <c r="OD94" s="3">
        <f ca="1">IFERROR(__xludf.DUMMYFUNCTION("""COMPUTED_VALUE"""),-0.510152517627132)</f>
        <v>-0.51015251762713199</v>
      </c>
      <c r="OE94" s="3">
        <f ca="1">IFERROR(__xludf.DUMMYFUNCTION("""COMPUTED_VALUE"""),-0.360298874128522)</f>
        <v>-0.36029887412852202</v>
      </c>
      <c r="OF94" s="3">
        <f ca="1">IFERROR(__xludf.DUMMYFUNCTION("""COMPUTED_VALUE"""),-0.266578037196517)</f>
        <v>-0.26657803719651701</v>
      </c>
      <c r="OG94" s="3">
        <f ca="1">IFERROR(__xludf.DUMMYFUNCTION("""COMPUTED_VALUE"""),-0.183503200600011)</f>
        <v>-0.18350320060001099</v>
      </c>
      <c r="OH94" s="3">
        <f ca="1">IFERROR(__xludf.DUMMYFUNCTION("""COMPUTED_VALUE"""),-0.365451590223698)</f>
        <v>-0.365451590223698</v>
      </c>
      <c r="OI94" s="3">
        <f ca="1">IFERROR(__xludf.DUMMYFUNCTION("""COMPUTED_VALUE"""),-0.261602189083536)</f>
        <v>-0.261602189083536</v>
      </c>
      <c r="OJ94" s="3">
        <f ca="1">IFERROR(__xludf.DUMMYFUNCTION("""COMPUTED_VALUE"""),-0.0917938733728422)</f>
        <v>-9.17938733728422E-2</v>
      </c>
      <c r="OK94" s="3">
        <f ca="1">IFERROR(__xludf.DUMMYFUNCTION("""COMPUTED_VALUE"""),-0.117367824918239)</f>
        <v>-0.11736782491823899</v>
      </c>
      <c r="OL94" s="3">
        <f ca="1">IFERROR(__xludf.DUMMYFUNCTION("""COMPUTED_VALUE"""),0.0327478893031722)</f>
        <v>3.2747889303172198E-2</v>
      </c>
      <c r="OM94" s="3">
        <f ca="1">IFERROR(__xludf.DUMMYFUNCTION("""COMPUTED_VALUE"""),0.0248463971156169)</f>
        <v>2.4846397115616901E-2</v>
      </c>
      <c r="ON94" s="3">
        <f ca="1">IFERROR(__xludf.DUMMYFUNCTION("""COMPUTED_VALUE"""),-0.072234742874221)</f>
        <v>-7.2234742874221006E-2</v>
      </c>
      <c r="OO94" s="3">
        <f ca="1">IFERROR(__xludf.DUMMYFUNCTION("""COMPUTED_VALUE"""),-0.229244707431925)</f>
        <v>-0.22924470743192499</v>
      </c>
      <c r="OP94" s="3">
        <f ca="1">IFERROR(__xludf.DUMMYFUNCTION("""COMPUTED_VALUE"""),-0.197774941558728)</f>
        <v>-0.19777494155872799</v>
      </c>
      <c r="OQ94" s="3">
        <f ca="1">IFERROR(__xludf.DUMMYFUNCTION("""COMPUTED_VALUE"""),-0.169523188559841)</f>
        <v>-0.169523188559841</v>
      </c>
      <c r="OR94" s="3">
        <f ca="1">IFERROR(__xludf.DUMMYFUNCTION("""COMPUTED_VALUE"""),-0.279148631925998)</f>
        <v>-0.27914863192599798</v>
      </c>
      <c r="OS94" s="3">
        <f ca="1">IFERROR(__xludf.DUMMYFUNCTION("""COMPUTED_VALUE"""),-0.102111456872082)</f>
        <v>-0.10211145687208199</v>
      </c>
      <c r="OT94" s="3">
        <f ca="1">IFERROR(__xludf.DUMMYFUNCTION("""COMPUTED_VALUE"""),-0.131527262967321)</f>
        <v>-0.13152726296732101</v>
      </c>
      <c r="OU94" s="3">
        <f ca="1">IFERROR(__xludf.DUMMYFUNCTION("""COMPUTED_VALUE"""),0.180664430337582)</f>
        <v>0.180664430337582</v>
      </c>
      <c r="OV94" s="3">
        <f ca="1">IFERROR(__xludf.DUMMYFUNCTION("""COMPUTED_VALUE"""),-0.0137989092388616)</f>
        <v>-1.37989092388616E-2</v>
      </c>
      <c r="OW94" s="3">
        <f ca="1">IFERROR(__xludf.DUMMYFUNCTION("""COMPUTED_VALUE"""),-0.0163641828077669)</f>
        <v>-1.63641828077669E-2</v>
      </c>
      <c r="OX94" s="3">
        <f ca="1">IFERROR(__xludf.DUMMYFUNCTION("""COMPUTED_VALUE"""),0.0679566022621693)</f>
        <v>6.7956602262169305E-2</v>
      </c>
      <c r="OY94" s="3">
        <f ca="1">IFERROR(__xludf.DUMMYFUNCTION("""COMPUTED_VALUE"""),-0.00131375030308922)</f>
        <v>-1.31375030308922E-3</v>
      </c>
      <c r="OZ94" s="3">
        <f ca="1">IFERROR(__xludf.DUMMYFUNCTION("""COMPUTED_VALUE"""),-0.0285312697548409)</f>
        <v>-2.85312697548409E-2</v>
      </c>
      <c r="PA94" s="3">
        <f ca="1">IFERROR(__xludf.DUMMYFUNCTION("""COMPUTED_VALUE"""),0.0551560550750216)</f>
        <v>5.5156055075021602E-2</v>
      </c>
      <c r="PB94" s="3">
        <f ca="1">IFERROR(__xludf.DUMMYFUNCTION("""COMPUTED_VALUE"""),0.124011077446515)</f>
        <v>0.124011077446515</v>
      </c>
      <c r="PC94" s="3">
        <f ca="1">IFERROR(__xludf.DUMMYFUNCTION("""COMPUTED_VALUE"""),0.0207683284951722)</f>
        <v>2.0768328495172201E-2</v>
      </c>
      <c r="PD94" s="3">
        <f ca="1">IFERROR(__xludf.DUMMYFUNCTION("""COMPUTED_VALUE"""),-0.0749885235651661)</f>
        <v>-7.4988523565166096E-2</v>
      </c>
      <c r="PE94" s="3">
        <f ca="1">IFERROR(__xludf.DUMMYFUNCTION("""COMPUTED_VALUE"""),-0.023291424998855)</f>
        <v>-2.3291424998855E-2</v>
      </c>
      <c r="PF94" s="3">
        <f ca="1">IFERROR(__xludf.DUMMYFUNCTION("""COMPUTED_VALUE"""),-0.0523286641937819)</f>
        <v>-5.2328664193781897E-2</v>
      </c>
      <c r="PG94" s="3">
        <f ca="1">IFERROR(__xludf.DUMMYFUNCTION("""COMPUTED_VALUE"""),-0.20453458141643)</f>
        <v>-0.20453458141642999</v>
      </c>
      <c r="PH94" s="3">
        <f ca="1">IFERROR(__xludf.DUMMYFUNCTION("""COMPUTED_VALUE"""),0.0669577800449463)</f>
        <v>6.6957780044946305E-2</v>
      </c>
      <c r="PI94" s="3">
        <f ca="1">IFERROR(__xludf.DUMMYFUNCTION("""COMPUTED_VALUE"""),0.207498863120389)</f>
        <v>0.20749886312038901</v>
      </c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</row>
    <row r="95" spans="1:477" ht="13">
      <c r="A95" s="1" t="str">
        <f ca="1">IFERROR(__xludf.DUMMYFUNCTION("""COMPUTED_VALUE"""),"NJ Transit - Rail")</f>
        <v>NJ Transit - Rail</v>
      </c>
      <c r="B95" s="1" t="str">
        <f ca="1">IFERROR(__xludf.DUMMYFUNCTION("""COMPUTED_VALUE"""),"New Jersey")</f>
        <v>New Jersey</v>
      </c>
      <c r="C95" s="1" t="str">
        <f ca="1">IFERROR(__xludf.DUMMYFUNCTION("""COMPUTED_VALUE"""),"United States")</f>
        <v>United States</v>
      </c>
      <c r="D95" s="1" t="str">
        <f ca="1">IFERROR(__xludf.DUMMYFUNCTION("""COMPUTED_VALUE"""),"New Jersey")</f>
        <v>New Jersey</v>
      </c>
      <c r="E95" s="3">
        <f ca="1">IFERROR(__xludf.DUMMYFUNCTION("""COMPUTED_VALUE"""),-0.266521537308201)</f>
        <v>-0.266521537308201</v>
      </c>
      <c r="F95" s="3">
        <f ca="1">IFERROR(__xludf.DUMMYFUNCTION("""COMPUTED_VALUE"""),-0.325536260872093)</f>
        <v>-0.32553626087209298</v>
      </c>
      <c r="G95" s="3">
        <f ca="1">IFERROR(__xludf.DUMMYFUNCTION("""COMPUTED_VALUE"""),-0.367081500222143)</f>
        <v>-0.36708150022214298</v>
      </c>
      <c r="H95" s="3">
        <f ca="1">IFERROR(__xludf.DUMMYFUNCTION("""COMPUTED_VALUE"""),-0.373813544319318)</f>
        <v>-0.37381354431931801</v>
      </c>
      <c r="I95" s="3">
        <f ca="1">IFERROR(__xludf.DUMMYFUNCTION("""COMPUTED_VALUE"""),-0.360881707893158)</f>
        <v>-0.36088170789315799</v>
      </c>
      <c r="J95" s="3">
        <f ca="1">IFERROR(__xludf.DUMMYFUNCTION("""COMPUTED_VALUE"""),-0.349206334195983)</f>
        <v>-0.34920633419598301</v>
      </c>
      <c r="K95" s="3">
        <f ca="1">IFERROR(__xludf.DUMMYFUNCTION("""COMPUTED_VALUE"""),-0.345603653966632)</f>
        <v>-0.34560365396663201</v>
      </c>
      <c r="L95" s="3">
        <f ca="1">IFERROR(__xludf.DUMMYFUNCTION("""COMPUTED_VALUE"""),-0.342329348402173)</f>
        <v>-0.34232934840217299</v>
      </c>
      <c r="M95" s="3">
        <f ca="1">IFERROR(__xludf.DUMMYFUNCTION("""COMPUTED_VALUE"""),-0.402898893158183)</f>
        <v>-0.402898893158183</v>
      </c>
      <c r="N95" s="3">
        <f ca="1">IFERROR(__xludf.DUMMYFUNCTION("""COMPUTED_VALUE"""),-0.440073127722463)</f>
        <v>-0.44007312772246299</v>
      </c>
      <c r="O95" s="3">
        <f ca="1">IFERROR(__xludf.DUMMYFUNCTION("""COMPUTED_VALUE"""),-0.464777793944608)</f>
        <v>-0.464777793944608</v>
      </c>
      <c r="P95" s="3">
        <f ca="1">IFERROR(__xludf.DUMMYFUNCTION("""COMPUTED_VALUE"""),-0.421060596009943)</f>
        <v>-0.421060596009943</v>
      </c>
      <c r="Q95" s="3">
        <f ca="1">IFERROR(__xludf.DUMMYFUNCTION("""COMPUTED_VALUE"""),-0.435565661153643)</f>
        <v>-0.43556566115364298</v>
      </c>
      <c r="R95" s="3">
        <f ca="1">IFERROR(__xludf.DUMMYFUNCTION("""COMPUTED_VALUE"""),-0.414692927464229)</f>
        <v>-0.41469292746422898</v>
      </c>
      <c r="S95" s="3">
        <f ca="1">IFERROR(__xludf.DUMMYFUNCTION("""COMPUTED_VALUE"""),-0.347758449544088)</f>
        <v>-0.34775844954408802</v>
      </c>
      <c r="T95" s="3">
        <f ca="1">IFERROR(__xludf.DUMMYFUNCTION("""COMPUTED_VALUE"""),-0.471768044850565)</f>
        <v>-0.471768044850565</v>
      </c>
      <c r="U95" s="3">
        <f ca="1">IFERROR(__xludf.DUMMYFUNCTION("""COMPUTED_VALUE"""),-0.536077952805403)</f>
        <v>-0.53607795280540305</v>
      </c>
      <c r="V95" s="3">
        <f ca="1">IFERROR(__xludf.DUMMYFUNCTION("""COMPUTED_VALUE"""),-0.576395763026828)</f>
        <v>-0.57639576302682805</v>
      </c>
      <c r="W95" s="3">
        <f ca="1">IFERROR(__xludf.DUMMYFUNCTION("""COMPUTED_VALUE"""),-0.52445620967726)</f>
        <v>-0.52445620967726003</v>
      </c>
      <c r="X95" s="3">
        <f ca="1">IFERROR(__xludf.DUMMYFUNCTION("""COMPUTED_VALUE"""),-0.479576250602992)</f>
        <v>-0.47957625060299203</v>
      </c>
      <c r="Y95" s="3">
        <f ca="1">IFERROR(__xludf.DUMMYFUNCTION("""COMPUTED_VALUE"""),-0.394242124262642)</f>
        <v>-0.39424212426264199</v>
      </c>
      <c r="Z95" s="3">
        <f ca="1">IFERROR(__xludf.DUMMYFUNCTION("""COMPUTED_VALUE"""),-0.418565093550543)</f>
        <v>-0.418565093550543</v>
      </c>
      <c r="AA95" s="3">
        <f ca="1">IFERROR(__xludf.DUMMYFUNCTION("""COMPUTED_VALUE"""),-0.525930532311834)</f>
        <v>-0.52593053231183395</v>
      </c>
      <c r="AB95" s="3">
        <f ca="1">IFERROR(__xludf.DUMMYFUNCTION("""COMPUTED_VALUE"""),-0.569927323461135)</f>
        <v>-0.56992732346113495</v>
      </c>
      <c r="AC95" s="3">
        <f ca="1">IFERROR(__xludf.DUMMYFUNCTION("""COMPUTED_VALUE"""),-0.548121576495808)</f>
        <v>-0.54812157649580795</v>
      </c>
      <c r="AD95" s="3">
        <f ca="1">IFERROR(__xludf.DUMMYFUNCTION("""COMPUTED_VALUE"""),-0.555149983263472)</f>
        <v>-0.55514998326347198</v>
      </c>
      <c r="AE95" s="3">
        <f ca="1">IFERROR(__xludf.DUMMYFUNCTION("""COMPUTED_VALUE"""),-0.522101600544354)</f>
        <v>-0.52210160054435395</v>
      </c>
      <c r="AF95" s="3">
        <f ca="1">IFERROR(__xludf.DUMMYFUNCTION("""COMPUTED_VALUE"""),-0.435701889544874)</f>
        <v>-0.43570188954487399</v>
      </c>
      <c r="AG95" s="3">
        <f ca="1">IFERROR(__xludf.DUMMYFUNCTION("""COMPUTED_VALUE"""),-0.451042431230661)</f>
        <v>-0.45104243123066101</v>
      </c>
      <c r="AH95" s="3">
        <f ca="1">IFERROR(__xludf.DUMMYFUNCTION("""COMPUTED_VALUE"""),-0.504520593454683)</f>
        <v>-0.50452059345468303</v>
      </c>
      <c r="AI95" s="3">
        <f ca="1">IFERROR(__xludf.DUMMYFUNCTION("""COMPUTED_VALUE"""),-0.516109219459093)</f>
        <v>-0.51610921945909305</v>
      </c>
      <c r="AJ95" s="3">
        <f ca="1">IFERROR(__xludf.DUMMYFUNCTION("""COMPUTED_VALUE"""),-0.541936113845459)</f>
        <v>-0.54193611384545903</v>
      </c>
      <c r="AK95" s="3">
        <f ca="1">IFERROR(__xludf.DUMMYFUNCTION("""COMPUTED_VALUE"""),-0.536907900202713)</f>
        <v>-0.53690790020271295</v>
      </c>
      <c r="AL95" s="3">
        <f ca="1">IFERROR(__xludf.DUMMYFUNCTION("""COMPUTED_VALUE"""),-0.520351176245988)</f>
        <v>-0.52035117624598803</v>
      </c>
      <c r="AM95" s="3">
        <f ca="1">IFERROR(__xludf.DUMMYFUNCTION("""COMPUTED_VALUE"""),-0.435881304400201)</f>
        <v>-0.43588130440020101</v>
      </c>
      <c r="AN95" s="3">
        <f ca="1">IFERROR(__xludf.DUMMYFUNCTION("""COMPUTED_VALUE"""),-0.493796932161374)</f>
        <v>-0.49379693216137399</v>
      </c>
      <c r="AO95" s="3">
        <f ca="1">IFERROR(__xludf.DUMMYFUNCTION("""COMPUTED_VALUE"""),-0.548720467791363)</f>
        <v>-0.54872046779136296</v>
      </c>
      <c r="AP95" s="3">
        <f ca="1">IFERROR(__xludf.DUMMYFUNCTION("""COMPUTED_VALUE"""),-0.549313204986577)</f>
        <v>-0.54931320498657699</v>
      </c>
      <c r="AQ95" s="3">
        <f ca="1">IFERROR(__xludf.DUMMYFUNCTION("""COMPUTED_VALUE"""),-0.54190353677073)</f>
        <v>-0.54190353677073</v>
      </c>
      <c r="AR95" s="3">
        <f ca="1">IFERROR(__xludf.DUMMYFUNCTION("""COMPUTED_VALUE"""),-0.561735071067333)</f>
        <v>-0.561735071067333</v>
      </c>
      <c r="AS95" s="3">
        <f ca="1">IFERROR(__xludf.DUMMYFUNCTION("""COMPUTED_VALUE"""),-0.520629679593141)</f>
        <v>-0.52062967959314099</v>
      </c>
      <c r="AT95" s="3">
        <f ca="1">IFERROR(__xludf.DUMMYFUNCTION("""COMPUTED_VALUE"""),-0.434587879414731)</f>
        <v>-0.43458787941473098</v>
      </c>
      <c r="AU95" s="3">
        <f ca="1">IFERROR(__xludf.DUMMYFUNCTION("""COMPUTED_VALUE"""),-0.493438254189514)</f>
        <v>-0.49343825418951398</v>
      </c>
      <c r="AV95" s="3">
        <f ca="1">IFERROR(__xludf.DUMMYFUNCTION("""COMPUTED_VALUE"""),-0.530105337220458)</f>
        <v>-0.53010533722045805</v>
      </c>
      <c r="AW95" s="3">
        <f ca="1">IFERROR(__xludf.DUMMYFUNCTION("""COMPUTED_VALUE"""),-0.538289814305755)</f>
        <v>-0.53828981430575495</v>
      </c>
      <c r="AX95" s="3">
        <f ca="1">IFERROR(__xludf.DUMMYFUNCTION("""COMPUTED_VALUE"""),-0.533070408781058)</f>
        <v>-0.53307040878105805</v>
      </c>
      <c r="AY95" s="3">
        <f ca="1">IFERROR(__xludf.DUMMYFUNCTION("""COMPUTED_VALUE"""),-0.566992286654045)</f>
        <v>-0.566992286654045</v>
      </c>
      <c r="AZ95" s="3">
        <f ca="1">IFERROR(__xludf.DUMMYFUNCTION("""COMPUTED_VALUE"""),-0.530365085674207)</f>
        <v>-0.53036508567420704</v>
      </c>
      <c r="BA95" s="3">
        <f ca="1">IFERROR(__xludf.DUMMYFUNCTION("""COMPUTED_VALUE"""),-0.418552224690445)</f>
        <v>-0.41855222469044501</v>
      </c>
      <c r="BB95" s="3">
        <f ca="1">IFERROR(__xludf.DUMMYFUNCTION("""COMPUTED_VALUE"""),-0.473535338753243)</f>
        <v>-0.473535338753243</v>
      </c>
      <c r="BC95" s="3">
        <f ca="1">IFERROR(__xludf.DUMMYFUNCTION("""COMPUTED_VALUE"""),-0.557078185754806)</f>
        <v>-0.55707818575480605</v>
      </c>
      <c r="BD95" s="3">
        <f ca="1">IFERROR(__xludf.DUMMYFUNCTION("""COMPUTED_VALUE"""),-0.578268365922465)</f>
        <v>-0.578268365922465</v>
      </c>
      <c r="BE95" s="3">
        <f ca="1">IFERROR(__xludf.DUMMYFUNCTION("""COMPUTED_VALUE"""),-0.525490846833487)</f>
        <v>-0.52549084683348701</v>
      </c>
      <c r="BF95" s="3">
        <f ca="1">IFERROR(__xludf.DUMMYFUNCTION("""COMPUTED_VALUE"""),-0.501029173440671)</f>
        <v>-0.50102917344067099</v>
      </c>
      <c r="BG95" s="3">
        <f ca="1">IFERROR(__xludf.DUMMYFUNCTION("""COMPUTED_VALUE"""),-0.487452244870578)</f>
        <v>-0.48745224487057798</v>
      </c>
      <c r="BH95" s="3">
        <f ca="1">IFERROR(__xludf.DUMMYFUNCTION("""COMPUTED_VALUE"""),-0.430516291416891)</f>
        <v>-0.43051629141689102</v>
      </c>
      <c r="BI95" s="3">
        <f ca="1">IFERROR(__xludf.DUMMYFUNCTION("""COMPUTED_VALUE"""),-0.489174274212654)</f>
        <v>-0.48917427421265403</v>
      </c>
      <c r="BJ95" s="3">
        <f ca="1">IFERROR(__xludf.DUMMYFUNCTION("""COMPUTED_VALUE"""),-0.549949700751993)</f>
        <v>-0.54994970075199301</v>
      </c>
      <c r="BK95" s="3">
        <f ca="1">IFERROR(__xludf.DUMMYFUNCTION("""COMPUTED_VALUE"""),-0.566701552757602)</f>
        <v>-0.56670155275760203</v>
      </c>
      <c r="BL95" s="3">
        <f ca="1">IFERROR(__xludf.DUMMYFUNCTION("""COMPUTED_VALUE"""),-0.571245993911007)</f>
        <v>-0.57124599391100706</v>
      </c>
      <c r="BM95" s="3">
        <f ca="1">IFERROR(__xludf.DUMMYFUNCTION("""COMPUTED_VALUE"""),-0.567806914442637)</f>
        <v>-0.56780691444263698</v>
      </c>
      <c r="BN95" s="3">
        <f ca="1">IFERROR(__xludf.DUMMYFUNCTION("""COMPUTED_VALUE"""),-0.526532167619533)</f>
        <v>-0.52653216761953303</v>
      </c>
      <c r="BO95" s="3">
        <f ca="1">IFERROR(__xludf.DUMMYFUNCTION("""COMPUTED_VALUE"""),-0.489784876451903)</f>
        <v>-0.489784876451903</v>
      </c>
      <c r="BP95" s="3">
        <f ca="1">IFERROR(__xludf.DUMMYFUNCTION("""COMPUTED_VALUE"""),-0.428415162027101)</f>
        <v>-0.428415162027101</v>
      </c>
      <c r="BQ95" s="3">
        <f ca="1">IFERROR(__xludf.DUMMYFUNCTION("""COMPUTED_VALUE"""),-0.520929286128158)</f>
        <v>-0.52092928612815803</v>
      </c>
      <c r="BR95" s="3">
        <f ca="1">IFERROR(__xludf.DUMMYFUNCTION("""COMPUTED_VALUE"""),-0.493536673980403)</f>
        <v>-0.49353667398040302</v>
      </c>
      <c r="BS95" s="3">
        <f ca="1">IFERROR(__xludf.DUMMYFUNCTION("""COMPUTED_VALUE"""),-0.458591952393805)</f>
        <v>-0.45859195239380501</v>
      </c>
      <c r="BT95" s="3">
        <f ca="1">IFERROR(__xludf.DUMMYFUNCTION("""COMPUTED_VALUE"""),-0.555734065714686)</f>
        <v>-0.55573406571468598</v>
      </c>
      <c r="BU95" s="3">
        <f ca="1">IFERROR(__xludf.DUMMYFUNCTION("""COMPUTED_VALUE"""),-0.763987210292931)</f>
        <v>-0.76398721029293104</v>
      </c>
      <c r="BV95" s="3">
        <f ca="1">IFERROR(__xludf.DUMMYFUNCTION("""COMPUTED_VALUE"""),-0.524215064337588)</f>
        <v>-0.52421506433758802</v>
      </c>
      <c r="BW95" s="3">
        <f ca="1">IFERROR(__xludf.DUMMYFUNCTION("""COMPUTED_VALUE"""),-0.544154621966001)</f>
        <v>-0.54415462196600095</v>
      </c>
      <c r="BX95" s="3">
        <f ca="1">IFERROR(__xludf.DUMMYFUNCTION("""COMPUTED_VALUE"""),-0.641862794364695)</f>
        <v>-0.64186279436469496</v>
      </c>
      <c r="BY95" s="3">
        <f ca="1">IFERROR(__xludf.DUMMYFUNCTION("""COMPUTED_VALUE"""),-0.617572640338328)</f>
        <v>-0.61757264033832804</v>
      </c>
      <c r="BZ95" s="3">
        <f ca="1">IFERROR(__xludf.DUMMYFUNCTION("""COMPUTED_VALUE"""),-0.61525447832523)</f>
        <v>-0.61525447832522995</v>
      </c>
      <c r="CA95" s="3">
        <f ca="1">IFERROR(__xludf.DUMMYFUNCTION("""COMPUTED_VALUE"""),-0.639795722237223)</f>
        <v>-0.63979572223722303</v>
      </c>
      <c r="CB95" s="3">
        <f ca="1">IFERROR(__xludf.DUMMYFUNCTION("""COMPUTED_VALUE"""),-0.580884329060369)</f>
        <v>-0.58088432906036902</v>
      </c>
      <c r="CC95" s="3">
        <f ca="1">IFERROR(__xludf.DUMMYFUNCTION("""COMPUTED_VALUE"""),-0.533656410669407)</f>
        <v>-0.53365641066940706</v>
      </c>
      <c r="CD95" s="3">
        <f ca="1">IFERROR(__xludf.DUMMYFUNCTION("""COMPUTED_VALUE"""),-0.503660750440342)</f>
        <v>-0.50366075044034198</v>
      </c>
      <c r="CE95" s="3">
        <f ca="1">IFERROR(__xludf.DUMMYFUNCTION("""COMPUTED_VALUE"""),-0.582229822375113)</f>
        <v>-0.582229822375113</v>
      </c>
      <c r="CF95" s="3">
        <f ca="1">IFERROR(__xludf.DUMMYFUNCTION("""COMPUTED_VALUE"""),-0.597593704167823)</f>
        <v>-0.59759370416782298</v>
      </c>
      <c r="CG95" s="3">
        <f ca="1">IFERROR(__xludf.DUMMYFUNCTION("""COMPUTED_VALUE"""),-0.603667225312164)</f>
        <v>-0.60366722531216399</v>
      </c>
      <c r="CH95" s="3">
        <f ca="1">IFERROR(__xludf.DUMMYFUNCTION("""COMPUTED_VALUE"""),-0.576958835003926)</f>
        <v>-0.57695883500392597</v>
      </c>
      <c r="CI95" s="3">
        <f ca="1">IFERROR(__xludf.DUMMYFUNCTION("""COMPUTED_VALUE"""),-0.516963691332404)</f>
        <v>-0.51696369133240405</v>
      </c>
      <c r="CJ95" s="3">
        <f ca="1">IFERROR(__xludf.DUMMYFUNCTION("""COMPUTED_VALUE"""),-0.511105956058507)</f>
        <v>-0.51110595605850695</v>
      </c>
      <c r="CK95" s="3">
        <f ca="1">IFERROR(__xludf.DUMMYFUNCTION("""COMPUTED_VALUE"""),-0.504388588840063)</f>
        <v>-0.50438858884006299</v>
      </c>
      <c r="CL95" s="3">
        <f ca="1">IFERROR(__xludf.DUMMYFUNCTION("""COMPUTED_VALUE"""),-0.577085668244826)</f>
        <v>-0.57708566824482599</v>
      </c>
      <c r="CM95" s="3">
        <f ca="1">IFERROR(__xludf.DUMMYFUNCTION("""COMPUTED_VALUE"""),-0.585008861975577)</f>
        <v>-0.585008861975577</v>
      </c>
      <c r="CN95" s="3">
        <f ca="1">IFERROR(__xludf.DUMMYFUNCTION("""COMPUTED_VALUE"""),-0.584694036608317)</f>
        <v>-0.58469403660831698</v>
      </c>
      <c r="CO95" s="3">
        <f ca="1">IFERROR(__xludf.DUMMYFUNCTION("""COMPUTED_VALUE"""),-0.567037021380753)</f>
        <v>-0.56703702138075296</v>
      </c>
      <c r="CP95" s="3">
        <f ca="1">IFERROR(__xludf.DUMMYFUNCTION("""COMPUTED_VALUE"""),-0.563323143283868)</f>
        <v>-0.56332314328386801</v>
      </c>
      <c r="CQ95" s="3">
        <f ca="1">IFERROR(__xludf.DUMMYFUNCTION("""COMPUTED_VALUE"""),-0.517379232279451)</f>
        <v>-0.51737923227945104</v>
      </c>
      <c r="CR95" s="3">
        <f ca="1">IFERROR(__xludf.DUMMYFUNCTION("""COMPUTED_VALUE"""),-0.497382727848746)</f>
        <v>-0.49738272784874599</v>
      </c>
      <c r="CS95" s="3">
        <f ca="1">IFERROR(__xludf.DUMMYFUNCTION("""COMPUTED_VALUE"""),-0.586777208214963)</f>
        <v>-0.58677720821496304</v>
      </c>
      <c r="CT95" s="3">
        <f ca="1">IFERROR(__xludf.DUMMYFUNCTION("""COMPUTED_VALUE"""),-0.575302731702113)</f>
        <v>-0.57530273170211299</v>
      </c>
      <c r="CU95" s="3">
        <f ca="1">IFERROR(__xludf.DUMMYFUNCTION("""COMPUTED_VALUE"""),-0.549671300335308)</f>
        <v>-0.54967130033530798</v>
      </c>
      <c r="CV95" s="3">
        <f ca="1">IFERROR(__xludf.DUMMYFUNCTION("""COMPUTED_VALUE"""),-0.56643530541536)</f>
        <v>-0.56643530541536002</v>
      </c>
      <c r="CW95" s="3">
        <f ca="1">IFERROR(__xludf.DUMMYFUNCTION("""COMPUTED_VALUE"""),-0.554791529941788)</f>
        <v>-0.55479152994178804</v>
      </c>
      <c r="CX95" s="3">
        <f ca="1">IFERROR(__xludf.DUMMYFUNCTION("""COMPUTED_VALUE"""),-0.56504344926342)</f>
        <v>-0.56504344926341998</v>
      </c>
      <c r="CY95" s="3">
        <f ca="1">IFERROR(__xludf.DUMMYFUNCTION("""COMPUTED_VALUE"""),-0.557955282700175)</f>
        <v>-0.55795528270017503</v>
      </c>
      <c r="CZ95" s="3">
        <f ca="1">IFERROR(__xludf.DUMMYFUNCTION("""COMPUTED_VALUE"""),-0.65304071893478)</f>
        <v>-0.65304071893478</v>
      </c>
      <c r="DA95" s="3">
        <f ca="1">IFERROR(__xludf.DUMMYFUNCTION("""COMPUTED_VALUE"""),-0.50299340255743)</f>
        <v>-0.50299340255742997</v>
      </c>
      <c r="DB95" s="3">
        <f ca="1">IFERROR(__xludf.DUMMYFUNCTION("""COMPUTED_VALUE"""),-0.412972960749244)</f>
        <v>-0.412972960749244</v>
      </c>
      <c r="DC95" s="3">
        <f ca="1">IFERROR(__xludf.DUMMYFUNCTION("""COMPUTED_VALUE"""),-0.546396329860194)</f>
        <v>-0.54639632986019404</v>
      </c>
      <c r="DD95" s="3">
        <f ca="1">IFERROR(__xludf.DUMMYFUNCTION("""COMPUTED_VALUE"""),-0.550511436366349)</f>
        <v>-0.55051143636634903</v>
      </c>
      <c r="DE95" s="3">
        <f ca="1">IFERROR(__xludf.DUMMYFUNCTION("""COMPUTED_VALUE"""),-0.543068905904064)</f>
        <v>-0.54306890590406398</v>
      </c>
      <c r="DF95" s="3">
        <f ca="1">IFERROR(__xludf.DUMMYFUNCTION("""COMPUTED_VALUE"""),-0.592250695422433)</f>
        <v>-0.59225069542243303</v>
      </c>
      <c r="DG95" s="3">
        <f ca="1">IFERROR(__xludf.DUMMYFUNCTION("""COMPUTED_VALUE"""),-0.749014380983844)</f>
        <v>-0.74901438098384399</v>
      </c>
      <c r="DH95" s="3">
        <f ca="1">IFERROR(__xludf.DUMMYFUNCTION("""COMPUTED_VALUE"""),-0.486860471416864)</f>
        <v>-0.486860471416864</v>
      </c>
      <c r="DI95" s="3">
        <f ca="1">IFERROR(__xludf.DUMMYFUNCTION("""COMPUTED_VALUE"""),-0.38294106921176)</f>
        <v>-0.38294106921176002</v>
      </c>
      <c r="DJ95" s="3">
        <f ca="1">IFERROR(__xludf.DUMMYFUNCTION("""COMPUTED_VALUE"""),-0.530524145614746)</f>
        <v>-0.53052414561474603</v>
      </c>
      <c r="DK95" s="3">
        <f ca="1">IFERROR(__xludf.DUMMYFUNCTION("""COMPUTED_VALUE"""),-0.527660352179009)</f>
        <v>-0.52766035217900897</v>
      </c>
      <c r="DL95" s="3">
        <f ca="1">IFERROR(__xludf.DUMMYFUNCTION("""COMPUTED_VALUE"""),-0.510034678891117)</f>
        <v>-0.51003467889111698</v>
      </c>
      <c r="DM95" s="3">
        <f ca="1">IFERROR(__xludf.DUMMYFUNCTION("""COMPUTED_VALUE"""),-0.512914289259539)</f>
        <v>-0.51291428925953897</v>
      </c>
      <c r="DN95" s="3">
        <f ca="1">IFERROR(__xludf.DUMMYFUNCTION("""COMPUTED_VALUE"""),-0.577634835730295)</f>
        <v>-0.57763483573029495</v>
      </c>
      <c r="DO95" s="3">
        <f ca="1">IFERROR(__xludf.DUMMYFUNCTION("""COMPUTED_VALUE"""),-0.612436044546795)</f>
        <v>-0.61243604454679501</v>
      </c>
      <c r="DP95" s="3">
        <f ca="1">IFERROR(__xludf.DUMMYFUNCTION("""COMPUTED_VALUE"""),-0.518840159040632)</f>
        <v>-0.51884015904063197</v>
      </c>
      <c r="DQ95" s="3">
        <f ca="1">IFERROR(__xludf.DUMMYFUNCTION("""COMPUTED_VALUE"""),-0.602691453293877)</f>
        <v>-0.60269145329387697</v>
      </c>
      <c r="DR95" s="3">
        <f ca="1">IFERROR(__xludf.DUMMYFUNCTION("""COMPUTED_VALUE"""),-0.618293743891193)</f>
        <v>-0.61829374389119296</v>
      </c>
      <c r="DS95" s="3">
        <f ca="1">IFERROR(__xludf.DUMMYFUNCTION("""COMPUTED_VALUE"""),-0.521354851130968)</f>
        <v>-0.52135485113096802</v>
      </c>
      <c r="DT95" s="3">
        <f ca="1">IFERROR(__xludf.DUMMYFUNCTION("""COMPUTED_VALUE"""),-0.542342787936894)</f>
        <v>-0.54234278793689406</v>
      </c>
      <c r="DU95" s="3">
        <f ca="1">IFERROR(__xludf.DUMMYFUNCTION("""COMPUTED_VALUE"""),-0.61672013119994)</f>
        <v>-0.61672013119993996</v>
      </c>
      <c r="DV95" s="3">
        <f ca="1">IFERROR(__xludf.DUMMYFUNCTION("""COMPUTED_VALUE"""),-0.638980119811722)</f>
        <v>-0.63898011981172198</v>
      </c>
      <c r="DW95" s="3">
        <f ca="1">IFERROR(__xludf.DUMMYFUNCTION("""COMPUTED_VALUE"""),-0.640086462704267)</f>
        <v>-0.64008646270426695</v>
      </c>
      <c r="DX95" s="3">
        <f ca="1">IFERROR(__xludf.DUMMYFUNCTION("""COMPUTED_VALUE"""),-0.62609462783228)</f>
        <v>-0.62609462783227998</v>
      </c>
      <c r="DY95" s="3">
        <f ca="1">IFERROR(__xludf.DUMMYFUNCTION("""COMPUTED_VALUE"""),-0.583942824944948)</f>
        <v>-0.58394282494494798</v>
      </c>
      <c r="DZ95" s="3">
        <f ca="1">IFERROR(__xludf.DUMMYFUNCTION("""COMPUTED_VALUE"""),-0.509058873703662)</f>
        <v>-0.50905887370366198</v>
      </c>
      <c r="EA95" s="3">
        <f ca="1">IFERROR(__xludf.DUMMYFUNCTION("""COMPUTED_VALUE"""),-0.580717731937329)</f>
        <v>-0.58071773193732901</v>
      </c>
      <c r="EB95" s="3">
        <f ca="1">IFERROR(__xludf.DUMMYFUNCTION("""COMPUTED_VALUE"""),-0.605307741552732)</f>
        <v>-0.60530774155273204</v>
      </c>
      <c r="EC95" s="3">
        <f ca="1">IFERROR(__xludf.DUMMYFUNCTION("""COMPUTED_VALUE"""),-0.587687427632902)</f>
        <v>-0.58768742763290205</v>
      </c>
      <c r="ED95" s="3">
        <f ca="1">IFERROR(__xludf.DUMMYFUNCTION("""COMPUTED_VALUE"""),-0.629463211331801)</f>
        <v>-0.62946321133180105</v>
      </c>
      <c r="EE95" s="3">
        <f ca="1">IFERROR(__xludf.DUMMYFUNCTION("""COMPUTED_VALUE"""),-0.624797567877875)</f>
        <v>-0.62479756787787499</v>
      </c>
      <c r="EF95" s="3">
        <f ca="1">IFERROR(__xludf.DUMMYFUNCTION("""COMPUTED_VALUE"""),-0.613512645094694)</f>
        <v>-0.61351264509469405</v>
      </c>
      <c r="EG95" s="3">
        <f ca="1">IFERROR(__xludf.DUMMYFUNCTION("""COMPUTED_VALUE"""),-0.487351990637628)</f>
        <v>-0.48735199063762802</v>
      </c>
      <c r="EH95" s="3">
        <f ca="1">IFERROR(__xludf.DUMMYFUNCTION("""COMPUTED_VALUE"""),-0.544102772621257)</f>
        <v>-0.54410277262125695</v>
      </c>
      <c r="EI95" s="3">
        <f ca="1">IFERROR(__xludf.DUMMYFUNCTION("""COMPUTED_VALUE"""),-0.572771261029953)</f>
        <v>-0.57277126102995302</v>
      </c>
      <c r="EJ95" s="3">
        <f ca="1">IFERROR(__xludf.DUMMYFUNCTION("""COMPUTED_VALUE"""),-0.662283358523803)</f>
        <v>-0.66228335852380305</v>
      </c>
      <c r="EK95" s="3">
        <f ca="1">IFERROR(__xludf.DUMMYFUNCTION("""COMPUTED_VALUE"""),-0.592196064811527)</f>
        <v>-0.59219606481152698</v>
      </c>
      <c r="EL95" s="3">
        <f ca="1">IFERROR(__xludf.DUMMYFUNCTION("""COMPUTED_VALUE"""),-0.613183412938299)</f>
        <v>-0.61318341293829903</v>
      </c>
      <c r="EM95" s="3">
        <f ca="1">IFERROR(__xludf.DUMMYFUNCTION("""COMPUTED_VALUE"""),-0.579628574122603)</f>
        <v>-0.57962857412260305</v>
      </c>
      <c r="EN95" s="3">
        <f ca="1">IFERROR(__xludf.DUMMYFUNCTION("""COMPUTED_VALUE"""),-0.474535423124689)</f>
        <v>-0.47453542312468899</v>
      </c>
      <c r="EO95" s="3">
        <f ca="1">IFERROR(__xludf.DUMMYFUNCTION("""COMPUTED_VALUE"""),-0.517656126338242)</f>
        <v>-0.51765612633824198</v>
      </c>
      <c r="EP95" s="3">
        <f ca="1">IFERROR(__xludf.DUMMYFUNCTION("""COMPUTED_VALUE"""),-0.587299080602877)</f>
        <v>-0.58729908060287705</v>
      </c>
      <c r="EQ95" s="3">
        <f ca="1">IFERROR(__xludf.DUMMYFUNCTION("""COMPUTED_VALUE"""),-0.585305477148563)</f>
        <v>-0.58530547714856296</v>
      </c>
      <c r="ER95" s="3">
        <f ca="1">IFERROR(__xludf.DUMMYFUNCTION("""COMPUTED_VALUE"""),-0.629803072232072)</f>
        <v>-0.62980307223207199</v>
      </c>
      <c r="ES95" s="3">
        <f ca="1">IFERROR(__xludf.DUMMYFUNCTION("""COMPUTED_VALUE"""),-0.620667171031904)</f>
        <v>-0.62066717103190405</v>
      </c>
      <c r="ET95" s="3">
        <f ca="1">IFERROR(__xludf.DUMMYFUNCTION("""COMPUTED_VALUE"""),-0.582587219240628)</f>
        <v>-0.58258721924062795</v>
      </c>
      <c r="EU95" s="3">
        <f ca="1">IFERROR(__xludf.DUMMYFUNCTION("""COMPUTED_VALUE"""),-0.511673688294105)</f>
        <v>-0.51167368829410498</v>
      </c>
      <c r="EV95" s="3">
        <f ca="1">IFERROR(__xludf.DUMMYFUNCTION("""COMPUTED_VALUE"""),-0.517793412638126)</f>
        <v>-0.51779341263812595</v>
      </c>
      <c r="EW95" s="3">
        <f ca="1">IFERROR(__xludf.DUMMYFUNCTION("""COMPUTED_VALUE"""),-0.618739896299461)</f>
        <v>-0.61873989629946102</v>
      </c>
      <c r="EX95" s="3">
        <f ca="1">IFERROR(__xludf.DUMMYFUNCTION("""COMPUTED_VALUE"""),-0.631210389782017)</f>
        <v>-0.63121038978201705</v>
      </c>
      <c r="EY95" s="3">
        <f ca="1">IFERROR(__xludf.DUMMYFUNCTION("""COMPUTED_VALUE"""),-0.628163718514894)</f>
        <v>-0.62816371851489405</v>
      </c>
      <c r="EZ95" s="3">
        <f ca="1">IFERROR(__xludf.DUMMYFUNCTION("""COMPUTED_VALUE"""),-0.571688932058198)</f>
        <v>-0.57168893205819804</v>
      </c>
      <c r="FA95" s="3">
        <f ca="1">IFERROR(__xludf.DUMMYFUNCTION("""COMPUTED_VALUE"""),-0.543664621700314)</f>
        <v>-0.54366462170031404</v>
      </c>
      <c r="FB95" s="3">
        <f ca="1">IFERROR(__xludf.DUMMYFUNCTION("""COMPUTED_VALUE"""),-0.48050679067867)</f>
        <v>-0.48050679067867003</v>
      </c>
      <c r="FC95" s="3">
        <f ca="1">IFERROR(__xludf.DUMMYFUNCTION("""COMPUTED_VALUE"""),-0.507977933178241)</f>
        <v>-0.50797793317824103</v>
      </c>
      <c r="FD95" s="3">
        <f ca="1">IFERROR(__xludf.DUMMYFUNCTION("""COMPUTED_VALUE"""),-0.605128054085134)</f>
        <v>-0.60512805408513404</v>
      </c>
      <c r="FE95" s="3">
        <f ca="1">IFERROR(__xludf.DUMMYFUNCTION("""COMPUTED_VALUE"""),-0.604657545986017)</f>
        <v>-0.60465754598601695</v>
      </c>
      <c r="FF95" s="3">
        <f ca="1">IFERROR(__xludf.DUMMYFUNCTION("""COMPUTED_VALUE"""),-0.62158571046234)</f>
        <v>-0.62158571046234001</v>
      </c>
      <c r="FG95" s="3">
        <f ca="1">IFERROR(__xludf.DUMMYFUNCTION("""COMPUTED_VALUE"""),-0.597767451512547)</f>
        <v>-0.59776745151254695</v>
      </c>
      <c r="FH95" s="3">
        <f ca="1">IFERROR(__xludf.DUMMYFUNCTION("""COMPUTED_VALUE"""),-0.578153173135094)</f>
        <v>-0.57815317313509396</v>
      </c>
      <c r="FI95" s="3">
        <f ca="1">IFERROR(__xludf.DUMMYFUNCTION("""COMPUTED_VALUE"""),-0.510445658167514)</f>
        <v>-0.51044565816751397</v>
      </c>
      <c r="FJ95" s="3">
        <f ca="1">IFERROR(__xludf.DUMMYFUNCTION("""COMPUTED_VALUE"""),-0.528073978493858)</f>
        <v>-0.52807397849385795</v>
      </c>
      <c r="FK95" s="3">
        <f ca="1">IFERROR(__xludf.DUMMYFUNCTION("""COMPUTED_VALUE"""),-0.641304473743903)</f>
        <v>-0.64130447374390298</v>
      </c>
      <c r="FL95" s="3">
        <f ca="1">IFERROR(__xludf.DUMMYFUNCTION("""COMPUTED_VALUE"""),-0.65760325172572)</f>
        <v>-0.65760325172571998</v>
      </c>
      <c r="FM95" s="3">
        <f ca="1">IFERROR(__xludf.DUMMYFUNCTION("""COMPUTED_VALUE"""),-0.623742584190084)</f>
        <v>-0.62374258419008399</v>
      </c>
      <c r="FN95" s="3">
        <f ca="1">IFERROR(__xludf.DUMMYFUNCTION("""COMPUTED_VALUE"""),-0.596370188780536)</f>
        <v>-0.59637018878053605</v>
      </c>
      <c r="FO95" s="3">
        <f ca="1">IFERROR(__xludf.DUMMYFUNCTION("""COMPUTED_VALUE"""),-0.587447725225341)</f>
        <v>-0.58744772522534106</v>
      </c>
      <c r="FP95" s="3">
        <f ca="1">IFERROR(__xludf.DUMMYFUNCTION("""COMPUTED_VALUE"""),-0.489877428118858)</f>
        <v>-0.48987742811885798</v>
      </c>
      <c r="FQ95" s="3">
        <f ca="1">IFERROR(__xludf.DUMMYFUNCTION("""COMPUTED_VALUE"""),-0.517267385846047)</f>
        <v>-0.51726738584604703</v>
      </c>
      <c r="FR95" s="3">
        <f ca="1">IFERROR(__xludf.DUMMYFUNCTION("""COMPUTED_VALUE"""),-0.599712686240961)</f>
        <v>-0.59971268624096097</v>
      </c>
      <c r="FS95" s="3">
        <f ca="1">IFERROR(__xludf.DUMMYFUNCTION("""COMPUTED_VALUE"""),-0.595546683873338)</f>
        <v>-0.59554668387333798</v>
      </c>
      <c r="FT95" s="3">
        <f ca="1">IFERROR(__xludf.DUMMYFUNCTION("""COMPUTED_VALUE"""),-0.597292594267466)</f>
        <v>-0.59729259426746595</v>
      </c>
      <c r="FU95" s="3">
        <f ca="1">IFERROR(__xludf.DUMMYFUNCTION("""COMPUTED_VALUE"""),-0.595300705520146)</f>
        <v>-0.59530070552014602</v>
      </c>
      <c r="FV95" s="3">
        <f ca="1">IFERROR(__xludf.DUMMYFUNCTION("""COMPUTED_VALUE"""),-0.557210441669471)</f>
        <v>-0.55721044166947098</v>
      </c>
      <c r="FW95" s="3">
        <f ca="1">IFERROR(__xludf.DUMMYFUNCTION("""COMPUTED_VALUE"""),-0.471665237309385)</f>
        <v>-0.47166523730938498</v>
      </c>
      <c r="FX95" s="3">
        <f ca="1">IFERROR(__xludf.DUMMYFUNCTION("""COMPUTED_VALUE"""),-0.528017243997752)</f>
        <v>-0.52801724399775196</v>
      </c>
      <c r="FY95" s="3">
        <f ca="1">IFERROR(__xludf.DUMMYFUNCTION("""COMPUTED_VALUE"""),-0.650918160973113)</f>
        <v>-0.65091816097311295</v>
      </c>
      <c r="FZ95" s="3">
        <f ca="1">IFERROR(__xludf.DUMMYFUNCTION("""COMPUTED_VALUE"""),-0.599420206749741)</f>
        <v>-0.59942020674974095</v>
      </c>
      <c r="GA95" s="3">
        <f ca="1">IFERROR(__xludf.DUMMYFUNCTION("""COMPUTED_VALUE"""),-0.584349629900216)</f>
        <v>-0.58434962990021599</v>
      </c>
      <c r="GB95" s="3">
        <f ca="1">IFERROR(__xludf.DUMMYFUNCTION("""COMPUTED_VALUE"""),-0.609029283237726)</f>
        <v>-0.60902928323772598</v>
      </c>
      <c r="GC95" s="3">
        <f ca="1">IFERROR(__xludf.DUMMYFUNCTION("""COMPUTED_VALUE"""),-0.592254828111403)</f>
        <v>-0.59225482811140295</v>
      </c>
      <c r="GD95" s="3">
        <f ca="1">IFERROR(__xludf.DUMMYFUNCTION("""COMPUTED_VALUE"""),-0.489735352956683)</f>
        <v>-0.48973535295668302</v>
      </c>
      <c r="GE95" s="3">
        <f ca="1">IFERROR(__xludf.DUMMYFUNCTION("""COMPUTED_VALUE"""),-0.518235305038803)</f>
        <v>-0.518235305038803</v>
      </c>
      <c r="GF95" s="3">
        <f ca="1">IFERROR(__xludf.DUMMYFUNCTION("""COMPUTED_VALUE"""),-0.601090935754655)</f>
        <v>-0.601090935754655</v>
      </c>
      <c r="GG95" s="3">
        <f ca="1">IFERROR(__xludf.DUMMYFUNCTION("""COMPUTED_VALUE"""),-0.599784825216476)</f>
        <v>-0.59978482521647603</v>
      </c>
      <c r="GH95" s="3">
        <f ca="1">IFERROR(__xludf.DUMMYFUNCTION("""COMPUTED_VALUE"""),-0.602320826737882)</f>
        <v>-0.60232082673788201</v>
      </c>
      <c r="GI95" s="3">
        <f ca="1">IFERROR(__xludf.DUMMYFUNCTION("""COMPUTED_VALUE"""),-0.590646318981161)</f>
        <v>-0.59064631898116104</v>
      </c>
      <c r="GJ95" s="3">
        <f ca="1">IFERROR(__xludf.DUMMYFUNCTION("""COMPUTED_VALUE"""),-0.567213001609299)</f>
        <v>-0.56721300160929899</v>
      </c>
      <c r="GK95" s="3">
        <f ca="1">IFERROR(__xludf.DUMMYFUNCTION("""COMPUTED_VALUE"""),-0.501416556198202)</f>
        <v>-0.50141655619820202</v>
      </c>
      <c r="GL95" s="3">
        <f ca="1">IFERROR(__xludf.DUMMYFUNCTION("""COMPUTED_VALUE"""),-0.512587525704833)</f>
        <v>-0.51258752570483301</v>
      </c>
      <c r="GM95" s="3">
        <f ca="1">IFERROR(__xludf.DUMMYFUNCTION("""COMPUTED_VALUE"""),-0.593910880599259)</f>
        <v>-0.59391088059925901</v>
      </c>
      <c r="GN95" s="3">
        <f ca="1">IFERROR(__xludf.DUMMYFUNCTION("""COMPUTED_VALUE"""),-0.603133859967984)</f>
        <v>-0.60313385996798397</v>
      </c>
      <c r="GO95" s="3">
        <f ca="1">IFERROR(__xludf.DUMMYFUNCTION("""COMPUTED_VALUE"""),-0.605225203857227)</f>
        <v>-0.605225203857227</v>
      </c>
      <c r="GP95" s="3">
        <f ca="1">IFERROR(__xludf.DUMMYFUNCTION("""COMPUTED_VALUE"""),-0.619066928150007)</f>
        <v>-0.61906692815000697</v>
      </c>
      <c r="GQ95" s="3">
        <f ca="1">IFERROR(__xludf.DUMMYFUNCTION("""COMPUTED_VALUE"""),-0.566570665112541)</f>
        <v>-0.56657066511254095</v>
      </c>
      <c r="GR95" s="3">
        <f ca="1">IFERROR(__xludf.DUMMYFUNCTION("""COMPUTED_VALUE"""),-0.48275426407682)</f>
        <v>-0.48275426407681998</v>
      </c>
      <c r="GS95" s="3">
        <f ca="1">IFERROR(__xludf.DUMMYFUNCTION("""COMPUTED_VALUE"""),-0.513421707449132)</f>
        <v>-0.51342170744913196</v>
      </c>
      <c r="GT95" s="3">
        <f ca="1">IFERROR(__xludf.DUMMYFUNCTION("""COMPUTED_VALUE"""),-0.592377126799039)</f>
        <v>-0.59237712679903898</v>
      </c>
      <c r="GU95" s="3">
        <f ca="1">IFERROR(__xludf.DUMMYFUNCTION("""COMPUTED_VALUE"""),-0.598426127713146)</f>
        <v>-0.59842612771314596</v>
      </c>
      <c r="GV95" s="3">
        <f ca="1">IFERROR(__xludf.DUMMYFUNCTION("""COMPUTED_VALUE"""),-0.596390308515137)</f>
        <v>-0.59639030851513697</v>
      </c>
      <c r="GW95" s="3">
        <f ca="1">IFERROR(__xludf.DUMMYFUNCTION("""COMPUTED_VALUE"""),-0.597578847692137)</f>
        <v>-0.59757884769213698</v>
      </c>
      <c r="GX95" s="3">
        <f ca="1">IFERROR(__xludf.DUMMYFUNCTION("""COMPUTED_VALUE"""),-0.57603917299235)</f>
        <v>-0.57603917299234997</v>
      </c>
      <c r="GY95" s="3">
        <f ca="1">IFERROR(__xludf.DUMMYFUNCTION("""COMPUTED_VALUE"""),-0.493667381329999)</f>
        <v>-0.49366738132999899</v>
      </c>
      <c r="GZ95" s="3">
        <f ca="1">IFERROR(__xludf.DUMMYFUNCTION("""COMPUTED_VALUE"""),-0.505897471397255)</f>
        <v>-0.50589747139725505</v>
      </c>
      <c r="HA95" s="3">
        <f ca="1">IFERROR(__xludf.DUMMYFUNCTION("""COMPUTED_VALUE"""),-0.590350532109418)</f>
        <v>-0.59035053210941801</v>
      </c>
      <c r="HB95" s="3">
        <f ca="1">IFERROR(__xludf.DUMMYFUNCTION("""COMPUTED_VALUE"""),-0.60663290497309)</f>
        <v>-0.60663290497308997</v>
      </c>
      <c r="HC95" s="3">
        <f ca="1">IFERROR(__xludf.DUMMYFUNCTION("""COMPUTED_VALUE"""),-0.611756208157441)</f>
        <v>-0.61175620815744103</v>
      </c>
      <c r="HD95" s="3">
        <f ca="1">IFERROR(__xludf.DUMMYFUNCTION("""COMPUTED_VALUE"""),-0.608494980986686)</f>
        <v>-0.60849498098668597</v>
      </c>
      <c r="HE95" s="3">
        <f ca="1">IFERROR(__xludf.DUMMYFUNCTION("""COMPUTED_VALUE"""),-0.580008161599757)</f>
        <v>-0.58000816159975699</v>
      </c>
      <c r="HF95" s="3">
        <f ca="1">IFERROR(__xludf.DUMMYFUNCTION("""COMPUTED_VALUE"""),-0.493920260061808)</f>
        <v>-0.493920260061808</v>
      </c>
      <c r="HG95" s="3">
        <f ca="1">IFERROR(__xludf.DUMMYFUNCTION("""COMPUTED_VALUE"""),-0.493054751977666)</f>
        <v>-0.49305475197766602</v>
      </c>
      <c r="HH95" s="3">
        <f ca="1">IFERROR(__xludf.DUMMYFUNCTION("""COMPUTED_VALUE"""),-0.585734953182069)</f>
        <v>-0.58573495318206903</v>
      </c>
      <c r="HI95" s="3">
        <f ca="1">IFERROR(__xludf.DUMMYFUNCTION("""COMPUTED_VALUE"""),-0.610464864639284)</f>
        <v>-0.61046486463928396</v>
      </c>
      <c r="HJ95" s="3">
        <f ca="1">IFERROR(__xludf.DUMMYFUNCTION("""COMPUTED_VALUE"""),-0.586635653753111)</f>
        <v>-0.586635653753111</v>
      </c>
      <c r="HK95" s="3">
        <f ca="1">IFERROR(__xludf.DUMMYFUNCTION("""COMPUTED_VALUE"""),-0.527885338572571)</f>
        <v>-0.52788533857257103</v>
      </c>
      <c r="HL95" s="3">
        <f ca="1">IFERROR(__xludf.DUMMYFUNCTION("""COMPUTED_VALUE"""),-0.406259269938813)</f>
        <v>-0.40625926993881301</v>
      </c>
      <c r="HM95" s="3">
        <f ca="1">IFERROR(__xludf.DUMMYFUNCTION("""COMPUTED_VALUE"""),-0.469239045982676)</f>
        <v>-0.46923904598267602</v>
      </c>
      <c r="HN95" s="3">
        <f ca="1">IFERROR(__xludf.DUMMYFUNCTION("""COMPUTED_VALUE"""),-0.467979382687804)</f>
        <v>-0.46797938268780398</v>
      </c>
      <c r="HO95" s="3">
        <f ca="1">IFERROR(__xludf.DUMMYFUNCTION("""COMPUTED_VALUE"""),-0.550130407981825)</f>
        <v>-0.550130407981825</v>
      </c>
      <c r="HP95" s="3">
        <f ca="1">IFERROR(__xludf.DUMMYFUNCTION("""COMPUTED_VALUE"""),-0.576577520093309)</f>
        <v>-0.57657752009330898</v>
      </c>
      <c r="HQ95" s="3">
        <f ca="1">IFERROR(__xludf.DUMMYFUNCTION("""COMPUTED_VALUE"""),-0.600488097504724)</f>
        <v>-0.60048809750472398</v>
      </c>
      <c r="HR95" s="3">
        <f ca="1">IFERROR(__xludf.DUMMYFUNCTION("""COMPUTED_VALUE"""),-0.592577924869442)</f>
        <v>-0.59257792486944205</v>
      </c>
      <c r="HS95" s="3">
        <f ca="1">IFERROR(__xludf.DUMMYFUNCTION("""COMPUTED_VALUE"""),-0.526688238360041)</f>
        <v>-0.52668823836004097</v>
      </c>
      <c r="HT95" s="3">
        <f ca="1">IFERROR(__xludf.DUMMYFUNCTION("""COMPUTED_VALUE"""),-0.472451636199665)</f>
        <v>-0.47245163619966501</v>
      </c>
      <c r="HU95" s="3">
        <f ca="1">IFERROR(__xludf.DUMMYFUNCTION("""COMPUTED_VALUE"""),-0.524283975157172)</f>
        <v>-0.52428397515717196</v>
      </c>
      <c r="HV95" s="3">
        <f ca="1">IFERROR(__xludf.DUMMYFUNCTION("""COMPUTED_VALUE"""),-0.545710361579667)</f>
        <v>-0.54571036157966701</v>
      </c>
      <c r="HW95" s="3">
        <f ca="1">IFERROR(__xludf.DUMMYFUNCTION("""COMPUTED_VALUE"""),-0.569600402193544)</f>
        <v>-0.56960040219354402</v>
      </c>
      <c r="HX95" s="3">
        <f ca="1">IFERROR(__xludf.DUMMYFUNCTION("""COMPUTED_VALUE"""),-0.557742712132289)</f>
        <v>-0.55774271213228899</v>
      </c>
      <c r="HY95" s="3">
        <f ca="1">IFERROR(__xludf.DUMMYFUNCTION("""COMPUTED_VALUE"""),-0.542762726199395)</f>
        <v>-0.54276272619939503</v>
      </c>
      <c r="HZ95" s="3">
        <f ca="1">IFERROR(__xludf.DUMMYFUNCTION("""COMPUTED_VALUE"""),-0.484724961251664)</f>
        <v>-0.48472496125166398</v>
      </c>
      <c r="IA95" s="3">
        <f ca="1">IFERROR(__xludf.DUMMYFUNCTION("""COMPUTED_VALUE"""),-0.474645759954541)</f>
        <v>-0.474645759954541</v>
      </c>
      <c r="IB95" s="3">
        <f ca="1">IFERROR(__xludf.DUMMYFUNCTION("""COMPUTED_VALUE"""),-0.485330775509834)</f>
        <v>-0.485330775509834</v>
      </c>
      <c r="IC95" s="3">
        <f ca="1">IFERROR(__xludf.DUMMYFUNCTION("""COMPUTED_VALUE"""),-0.504525657495845)</f>
        <v>-0.50452565749584499</v>
      </c>
      <c r="ID95" s="3">
        <f ca="1">IFERROR(__xludf.DUMMYFUNCTION("""COMPUTED_VALUE"""),-0.527060364560068)</f>
        <v>-0.527060364560068</v>
      </c>
      <c r="IE95" s="3">
        <f ca="1">IFERROR(__xludf.DUMMYFUNCTION("""COMPUTED_VALUE"""),-0.515088303524887)</f>
        <v>-0.51508830352488699</v>
      </c>
      <c r="IF95" s="3">
        <f ca="1">IFERROR(__xludf.DUMMYFUNCTION("""COMPUTED_VALUE"""),-0.511745214055303)</f>
        <v>-0.51174521405530304</v>
      </c>
      <c r="IG95" s="3">
        <f ca="1">IFERROR(__xludf.DUMMYFUNCTION("""COMPUTED_VALUE"""),-0.511202224720857)</f>
        <v>-0.51120222472085697</v>
      </c>
      <c r="IH95" s="3">
        <f ca="1">IFERROR(__xludf.DUMMYFUNCTION("""COMPUTED_VALUE"""),-0.527071038627816)</f>
        <v>-0.52707103862781601</v>
      </c>
      <c r="II95" s="3">
        <f ca="1">IFERROR(__xludf.DUMMYFUNCTION("""COMPUTED_VALUE"""),-0.480371449520549)</f>
        <v>-0.480371449520549</v>
      </c>
      <c r="IJ95" s="3">
        <f ca="1">IFERROR(__xludf.DUMMYFUNCTION("""COMPUTED_VALUE"""),-0.513302465748765)</f>
        <v>-0.51330246574876504</v>
      </c>
      <c r="IK95" s="3">
        <f ca="1">IFERROR(__xludf.DUMMYFUNCTION("""COMPUTED_VALUE"""),-0.551660229903873)</f>
        <v>-0.55166022990387298</v>
      </c>
      <c r="IL95" s="3">
        <f ca="1">IFERROR(__xludf.DUMMYFUNCTION("""COMPUTED_VALUE"""),-0.511108239565724)</f>
        <v>-0.51110823956572404</v>
      </c>
      <c r="IM95" s="3">
        <f ca="1">IFERROR(__xludf.DUMMYFUNCTION("""COMPUTED_VALUE"""),-0.481938631211909)</f>
        <v>-0.481938631211909</v>
      </c>
      <c r="IN95" s="3">
        <f ca="1">IFERROR(__xludf.DUMMYFUNCTION("""COMPUTED_VALUE"""),-0.476787605035346)</f>
        <v>-0.47678760503534601</v>
      </c>
      <c r="IO95" s="3">
        <f ca="1">IFERROR(__xludf.DUMMYFUNCTION("""COMPUTED_VALUE"""),-0.448994686790423)</f>
        <v>-0.44899468679042298</v>
      </c>
      <c r="IP95" s="3">
        <f ca="1">IFERROR(__xludf.DUMMYFUNCTION("""COMPUTED_VALUE"""),-0.484464931958717)</f>
        <v>-0.48446493195871698</v>
      </c>
      <c r="IQ95" s="3">
        <f ca="1">IFERROR(__xludf.DUMMYFUNCTION("""COMPUTED_VALUE"""),-0.503174124872283)</f>
        <v>-0.50317412487228297</v>
      </c>
      <c r="IR95" s="3">
        <f ca="1">IFERROR(__xludf.DUMMYFUNCTION("""COMPUTED_VALUE"""),-0.48186400747962)</f>
        <v>-0.48186400747961999</v>
      </c>
      <c r="IS95" s="3">
        <f ca="1">IFERROR(__xludf.DUMMYFUNCTION("""COMPUTED_VALUE"""),-0.429124484770392)</f>
        <v>-0.429124484770392</v>
      </c>
      <c r="IT95" s="3">
        <f ca="1">IFERROR(__xludf.DUMMYFUNCTION("""COMPUTED_VALUE"""),-0.545155455417681)</f>
        <v>-0.54515545541768096</v>
      </c>
      <c r="IU95" s="3">
        <f ca="1">IFERROR(__xludf.DUMMYFUNCTION("""COMPUTED_VALUE"""),-0.454163629979116)</f>
        <v>-0.45416362997911602</v>
      </c>
      <c r="IV95" s="3">
        <f ca="1">IFERROR(__xludf.DUMMYFUNCTION("""COMPUTED_VALUE"""),-0.429506524596406)</f>
        <v>-0.42950652459640598</v>
      </c>
      <c r="IW95" s="3">
        <f ca="1">IFERROR(__xludf.DUMMYFUNCTION("""COMPUTED_VALUE"""),-0.419118043125943)</f>
        <v>-0.41911804312594297</v>
      </c>
      <c r="IX95" s="3">
        <f ca="1">IFERROR(__xludf.DUMMYFUNCTION("""COMPUTED_VALUE"""),-0.478236705043728)</f>
        <v>-0.47823670504372801</v>
      </c>
      <c r="IY95" s="3">
        <f ca="1">IFERROR(__xludf.DUMMYFUNCTION("""COMPUTED_VALUE"""),-0.498097331953204)</f>
        <v>-0.49809733195320399</v>
      </c>
      <c r="IZ95" s="3">
        <f ca="1">IFERROR(__xludf.DUMMYFUNCTION("""COMPUTED_VALUE"""),-0.471510832266464)</f>
        <v>-0.47151083226646401</v>
      </c>
      <c r="JA95" s="3">
        <f ca="1">IFERROR(__xludf.DUMMYFUNCTION("""COMPUTED_VALUE"""),-0.470039573985901)</f>
        <v>-0.47003957398590102</v>
      </c>
      <c r="JB95" s="3">
        <f ca="1">IFERROR(__xludf.DUMMYFUNCTION("""COMPUTED_VALUE"""),-0.449399444622236)</f>
        <v>-0.44939944462223602</v>
      </c>
      <c r="JC95" s="3">
        <f ca="1">IFERROR(__xludf.DUMMYFUNCTION("""COMPUTED_VALUE"""),-0.419080510812595)</f>
        <v>-0.41908051081259501</v>
      </c>
      <c r="JD95" s="3">
        <f ca="1">IFERROR(__xludf.DUMMYFUNCTION("""COMPUTED_VALUE"""),-0.437710501245981)</f>
        <v>-0.43771050124598099</v>
      </c>
      <c r="JE95" s="3">
        <f ca="1">IFERROR(__xludf.DUMMYFUNCTION("""COMPUTED_VALUE"""),-0.519413878260117)</f>
        <v>-0.51941387826011698</v>
      </c>
      <c r="JF95" s="3">
        <f ca="1">IFERROR(__xludf.DUMMYFUNCTION("""COMPUTED_VALUE"""),-0.507558033629492)</f>
        <v>-0.50755803362949203</v>
      </c>
      <c r="JG95" s="3">
        <f ca="1">IFERROR(__xludf.DUMMYFUNCTION("""COMPUTED_VALUE"""),-0.489351421018239)</f>
        <v>-0.48935142101823897</v>
      </c>
      <c r="JH95" s="3">
        <f ca="1">IFERROR(__xludf.DUMMYFUNCTION("""COMPUTED_VALUE"""),-0.475109171730313)</f>
        <v>-0.47510917173031297</v>
      </c>
      <c r="JI95" s="3">
        <f ca="1">IFERROR(__xludf.DUMMYFUNCTION("""COMPUTED_VALUE"""),-0.453672792939101)</f>
        <v>-0.45367279293910101</v>
      </c>
      <c r="JJ95" s="3">
        <f ca="1">IFERROR(__xludf.DUMMYFUNCTION("""COMPUTED_VALUE"""),-0.415515654869875)</f>
        <v>-0.41551565486987502</v>
      </c>
      <c r="JK95" s="3">
        <f ca="1">IFERROR(__xludf.DUMMYFUNCTION("""COMPUTED_VALUE"""),-0.442436999919104)</f>
        <v>-0.44243699991910401</v>
      </c>
      <c r="JL95" s="3">
        <f ca="1">IFERROR(__xludf.DUMMYFUNCTION("""COMPUTED_VALUE"""),-0.507106871111126)</f>
        <v>-0.50710687111112596</v>
      </c>
      <c r="JM95" s="3">
        <f ca="1">IFERROR(__xludf.DUMMYFUNCTION("""COMPUTED_VALUE"""),-0.505010581253431)</f>
        <v>-0.50501058125343101</v>
      </c>
      <c r="JN95" s="3">
        <f ca="1">IFERROR(__xludf.DUMMYFUNCTION("""COMPUTED_VALUE"""),-0.502996611660596)</f>
        <v>-0.50299661166059595</v>
      </c>
      <c r="JO95" s="3">
        <f ca="1">IFERROR(__xludf.DUMMYFUNCTION("""COMPUTED_VALUE"""),-0.493987843492231)</f>
        <v>-0.49398784349223102</v>
      </c>
      <c r="JP95" s="3">
        <f ca="1">IFERROR(__xludf.DUMMYFUNCTION("""COMPUTED_VALUE"""),-0.451459420690816)</f>
        <v>-0.45145942069081602</v>
      </c>
      <c r="JQ95" s="3">
        <f ca="1">IFERROR(__xludf.DUMMYFUNCTION("""COMPUTED_VALUE"""),-0.409183501855602)</f>
        <v>-0.40918350185560198</v>
      </c>
      <c r="JR95" s="3">
        <f ca="1">IFERROR(__xludf.DUMMYFUNCTION("""COMPUTED_VALUE"""),-0.486807906484265)</f>
        <v>-0.48680790648426497</v>
      </c>
      <c r="JS95" s="3">
        <f ca="1">IFERROR(__xludf.DUMMYFUNCTION("""COMPUTED_VALUE"""),-0.564568659537197)</f>
        <v>-0.56456865953719704</v>
      </c>
      <c r="JT95" s="3">
        <f ca="1">IFERROR(__xludf.DUMMYFUNCTION("""COMPUTED_VALUE"""),-0.469395020847582)</f>
        <v>-0.469395020847582</v>
      </c>
      <c r="JU95" s="3">
        <f ca="1">IFERROR(__xludf.DUMMYFUNCTION("""COMPUTED_VALUE"""),-0.53860866553344)</f>
        <v>-0.53860866553344</v>
      </c>
      <c r="JV95" s="3">
        <f ca="1">IFERROR(__xludf.DUMMYFUNCTION("""COMPUTED_VALUE"""),-0.517464131940323)</f>
        <v>-0.51746413194032304</v>
      </c>
      <c r="JW95" s="3">
        <f ca="1">IFERROR(__xludf.DUMMYFUNCTION("""COMPUTED_VALUE"""),-0.491412356622603)</f>
        <v>-0.49141235662260302</v>
      </c>
      <c r="JX95" s="3">
        <f ca="1">IFERROR(__xludf.DUMMYFUNCTION("""COMPUTED_VALUE"""),-0.446197612248316)</f>
        <v>-0.446197612248316</v>
      </c>
      <c r="JY95" s="3">
        <f ca="1">IFERROR(__xludf.DUMMYFUNCTION("""COMPUTED_VALUE"""),-0.503509768347411)</f>
        <v>-0.50350976834741101</v>
      </c>
      <c r="JZ95" s="3">
        <f ca="1">IFERROR(__xludf.DUMMYFUNCTION("""COMPUTED_VALUE"""),-0.467062010848593)</f>
        <v>-0.467062010848593</v>
      </c>
      <c r="KA95" s="3">
        <f ca="1">IFERROR(__xludf.DUMMYFUNCTION("""COMPUTED_VALUE"""),-0.493564916635305)</f>
        <v>-0.493564916635305</v>
      </c>
      <c r="KB95" s="3">
        <f ca="1">IFERROR(__xludf.DUMMYFUNCTION("""COMPUTED_VALUE"""),-0.574187713701416)</f>
        <v>-0.57418771370141597</v>
      </c>
      <c r="KC95" s="3">
        <f ca="1">IFERROR(__xludf.DUMMYFUNCTION("""COMPUTED_VALUE"""),-0.544608440084363)</f>
        <v>-0.54460844008436304</v>
      </c>
      <c r="KD95" s="3">
        <f ca="1">IFERROR(__xludf.DUMMYFUNCTION("""COMPUTED_VALUE"""),-0.49778840161978)</f>
        <v>-0.49778840161978</v>
      </c>
      <c r="KE95" s="3">
        <f ca="1">IFERROR(__xludf.DUMMYFUNCTION("""COMPUTED_VALUE"""),-0.4826328459974)</f>
        <v>-0.48263284599739997</v>
      </c>
      <c r="KF95" s="3">
        <f ca="1">IFERROR(__xludf.DUMMYFUNCTION("""COMPUTED_VALUE"""),-0.524104420108642)</f>
        <v>-0.524104420108642</v>
      </c>
      <c r="KG95" s="3">
        <f ca="1">IFERROR(__xludf.DUMMYFUNCTION("""COMPUTED_VALUE"""),-0.517218420062762)</f>
        <v>-0.51721842006276197</v>
      </c>
      <c r="KH95" s="3">
        <f ca="1">IFERROR(__xludf.DUMMYFUNCTION("""COMPUTED_VALUE"""),-0.52024137859436)</f>
        <v>-0.52024137859436004</v>
      </c>
      <c r="KI95" s="3">
        <f ca="1">IFERROR(__xludf.DUMMYFUNCTION("""COMPUTED_VALUE"""),-0.548753377133828)</f>
        <v>-0.54875337713382799</v>
      </c>
      <c r="KJ95" s="3">
        <f ca="1">IFERROR(__xludf.DUMMYFUNCTION("""COMPUTED_VALUE"""),-0.527938817186081)</f>
        <v>-0.52793881718608104</v>
      </c>
      <c r="KK95" s="3">
        <f ca="1">IFERROR(__xludf.DUMMYFUNCTION("""COMPUTED_VALUE"""),-0.516103273156281)</f>
        <v>-0.51610327315628102</v>
      </c>
      <c r="KL95" s="3">
        <f ca="1">IFERROR(__xludf.DUMMYFUNCTION("""COMPUTED_VALUE"""),-0.528618236544468)</f>
        <v>-0.52861823654446805</v>
      </c>
      <c r="KM95" s="3">
        <f ca="1">IFERROR(__xludf.DUMMYFUNCTION("""COMPUTED_VALUE"""),-0.560042307621585)</f>
        <v>-0.56004230762158502</v>
      </c>
      <c r="KN95" s="3">
        <f ca="1">IFERROR(__xludf.DUMMYFUNCTION("""COMPUTED_VALUE"""),-0.590364884122974)</f>
        <v>-0.59036488412297405</v>
      </c>
      <c r="KO95" s="3">
        <f ca="1">IFERROR(__xludf.DUMMYFUNCTION("""COMPUTED_VALUE"""),-0.60250913180044)</f>
        <v>-0.60250913180043997</v>
      </c>
      <c r="KP95" s="3">
        <f ca="1">IFERROR(__xludf.DUMMYFUNCTION("""COMPUTED_VALUE"""),-0.60261391348049)</f>
        <v>-0.60261391348048998</v>
      </c>
      <c r="KQ95" s="3">
        <f ca="1">IFERROR(__xludf.DUMMYFUNCTION("""COMPUTED_VALUE"""),-0.578176779445777)</f>
        <v>-0.57817677944577694</v>
      </c>
      <c r="KR95" s="3">
        <f ca="1">IFERROR(__xludf.DUMMYFUNCTION("""COMPUTED_VALUE"""),-0.568260104494001)</f>
        <v>-0.56826010449400099</v>
      </c>
      <c r="KS95" s="3">
        <f ca="1">IFERROR(__xludf.DUMMYFUNCTION("""COMPUTED_VALUE"""),-0.575049640428271)</f>
        <v>-0.575049640428271</v>
      </c>
      <c r="KT95" s="3">
        <f ca="1">IFERROR(__xludf.DUMMYFUNCTION("""COMPUTED_VALUE"""),-0.599246118037649)</f>
        <v>-0.59924611803764904</v>
      </c>
      <c r="KU95" s="3">
        <f ca="1">IFERROR(__xludf.DUMMYFUNCTION("""COMPUTED_VALUE"""),-0.622462384674818)</f>
        <v>-0.62246238467481796</v>
      </c>
      <c r="KV95" s="3">
        <f ca="1">IFERROR(__xludf.DUMMYFUNCTION("""COMPUTED_VALUE"""),-0.633028953337434)</f>
        <v>-0.63302895333743403</v>
      </c>
      <c r="KW95" s="3">
        <f ca="1">IFERROR(__xludf.DUMMYFUNCTION("""COMPUTED_VALUE"""),-0.615441303719431)</f>
        <v>-0.61544130371943095</v>
      </c>
      <c r="KX95" s="3">
        <f ca="1">IFERROR(__xludf.DUMMYFUNCTION("""COMPUTED_VALUE"""),-0.597394747689621)</f>
        <v>-0.59739474768962098</v>
      </c>
      <c r="KY95" s="3">
        <f ca="1">IFERROR(__xludf.DUMMYFUNCTION("""COMPUTED_VALUE"""),-0.589228451547617)</f>
        <v>-0.58922845154761705</v>
      </c>
      <c r="KZ95" s="3">
        <f ca="1">IFERROR(__xludf.DUMMYFUNCTION("""COMPUTED_VALUE"""),-0.571252575861299)</f>
        <v>-0.57125257586129896</v>
      </c>
      <c r="LA95" s="3">
        <f ca="1">IFERROR(__xludf.DUMMYFUNCTION("""COMPUTED_VALUE"""),-0.624375575944568)</f>
        <v>-0.62437557594456805</v>
      </c>
      <c r="LB95" s="3">
        <f ca="1">IFERROR(__xludf.DUMMYFUNCTION("""COMPUTED_VALUE"""),-0.663968784199505)</f>
        <v>-0.663968784199505</v>
      </c>
      <c r="LC95" s="3">
        <f ca="1">IFERROR(__xludf.DUMMYFUNCTION("""COMPUTED_VALUE"""),-0.62611438140531)</f>
        <v>-0.62611438140530995</v>
      </c>
      <c r="LD95" s="3">
        <f ca="1">IFERROR(__xludf.DUMMYFUNCTION("""COMPUTED_VALUE"""),-0.637772441331641)</f>
        <v>-0.63777244133164102</v>
      </c>
      <c r="LE95" s="3">
        <f ca="1">IFERROR(__xludf.DUMMYFUNCTION("""COMPUTED_VALUE"""),-0.642724599668707)</f>
        <v>-0.64272459966870699</v>
      </c>
      <c r="LF95" s="3">
        <f ca="1">IFERROR(__xludf.DUMMYFUNCTION("""COMPUTED_VALUE"""),-0.608473599260887)</f>
        <v>-0.60847359926088695</v>
      </c>
      <c r="LG95" s="3">
        <f ca="1">IFERROR(__xludf.DUMMYFUNCTION("""COMPUTED_VALUE"""),-0.625078326320977)</f>
        <v>-0.62507832632097704</v>
      </c>
      <c r="LH95" s="3">
        <f ca="1">IFERROR(__xludf.DUMMYFUNCTION("""COMPUTED_VALUE"""),-0.624271436442618)</f>
        <v>-0.62427143644261796</v>
      </c>
      <c r="LI95" s="3">
        <f ca="1">IFERROR(__xludf.DUMMYFUNCTION("""COMPUTED_VALUE"""),-0.66140562609383)</f>
        <v>-0.66140562609383002</v>
      </c>
      <c r="LJ95" s="3">
        <f ca="1">IFERROR(__xludf.DUMMYFUNCTION("""COMPUTED_VALUE"""),-0.646561896740788)</f>
        <v>-0.64656189674078801</v>
      </c>
      <c r="LK95" s="3">
        <f ca="1">IFERROR(__xludf.DUMMYFUNCTION("""COMPUTED_VALUE"""),-0.638733407808068)</f>
        <v>-0.63873340780806798</v>
      </c>
      <c r="LL95" s="3">
        <f ca="1">IFERROR(__xludf.DUMMYFUNCTION("""COMPUTED_VALUE"""),-0.644047527155717)</f>
        <v>-0.644047527155717</v>
      </c>
      <c r="LM95" s="3">
        <f ca="1">IFERROR(__xludf.DUMMYFUNCTION("""COMPUTED_VALUE"""),-0.670739062215858)</f>
        <v>-0.670739062215858</v>
      </c>
      <c r="LN95" s="3">
        <f ca="1">IFERROR(__xludf.DUMMYFUNCTION("""COMPUTED_VALUE"""),-0.649527232059085)</f>
        <v>-0.64952723205908502</v>
      </c>
      <c r="LO95" s="3">
        <f ca="1">IFERROR(__xludf.DUMMYFUNCTION("""COMPUTED_VALUE"""),-0.710404048650965)</f>
        <v>-0.71040404865096496</v>
      </c>
      <c r="LP95" s="3">
        <f ca="1">IFERROR(__xludf.DUMMYFUNCTION("""COMPUTED_VALUE"""),-0.684631333756253)</f>
        <v>-0.68463133375625296</v>
      </c>
      <c r="LQ95" s="3">
        <f ca="1">IFERROR(__xludf.DUMMYFUNCTION("""COMPUTED_VALUE"""),-0.664283005740289)</f>
        <v>-0.66428300574028898</v>
      </c>
      <c r="LR95" s="3">
        <f ca="1">IFERROR(__xludf.DUMMYFUNCTION("""COMPUTED_VALUE"""),-0.669411623175182)</f>
        <v>-0.66941162317518199</v>
      </c>
      <c r="LS95" s="3">
        <f ca="1">IFERROR(__xludf.DUMMYFUNCTION("""COMPUTED_VALUE"""),-0.658384852877218)</f>
        <v>-0.65838485287721804</v>
      </c>
      <c r="LT95" s="3">
        <f ca="1">IFERROR(__xludf.DUMMYFUNCTION("""COMPUTED_VALUE"""),-0.634852093560587)</f>
        <v>-0.63485209356058703</v>
      </c>
      <c r="LU95" s="3">
        <f ca="1">IFERROR(__xludf.DUMMYFUNCTION("""COMPUTED_VALUE"""),-0.622399844825681)</f>
        <v>-0.622399844825681</v>
      </c>
      <c r="LV95" s="3">
        <f ca="1">IFERROR(__xludf.DUMMYFUNCTION("""COMPUTED_VALUE"""),-0.66550970358862)</f>
        <v>-0.66550970358862005</v>
      </c>
      <c r="LW95" s="3">
        <f ca="1">IFERROR(__xludf.DUMMYFUNCTION("""COMPUTED_VALUE"""),-0.665662294791585)</f>
        <v>-0.66566229479158501</v>
      </c>
      <c r="LX95" s="3">
        <f ca="1">IFERROR(__xludf.DUMMYFUNCTION("""COMPUTED_VALUE"""),-0.674157069136345)</f>
        <v>-0.67415706913634499</v>
      </c>
      <c r="LY95" s="3">
        <f ca="1">IFERROR(__xludf.DUMMYFUNCTION("""COMPUTED_VALUE"""),-0.671727532339471)</f>
        <v>-0.67172753233947102</v>
      </c>
      <c r="LZ95" s="3">
        <f ca="1">IFERROR(__xludf.DUMMYFUNCTION("""COMPUTED_VALUE"""),-0.629052354315198)</f>
        <v>-0.62905235431519801</v>
      </c>
      <c r="MA95" s="3">
        <f ca="1">IFERROR(__xludf.DUMMYFUNCTION("""COMPUTED_VALUE"""),-0.56829128539911)</f>
        <v>-0.56829128539911</v>
      </c>
      <c r="MB95" s="3">
        <f ca="1">IFERROR(__xludf.DUMMYFUNCTION("""COMPUTED_VALUE"""),-0.625821287874565)</f>
        <v>-0.62582128787456504</v>
      </c>
      <c r="MC95" s="3">
        <f ca="1">IFERROR(__xludf.DUMMYFUNCTION("""COMPUTED_VALUE"""),-0.698789344338456)</f>
        <v>-0.69878934433845596</v>
      </c>
      <c r="MD95" s="3">
        <f ca="1">IFERROR(__xludf.DUMMYFUNCTION("""COMPUTED_VALUE"""),-0.70740275739714)</f>
        <v>-0.70740275739713998</v>
      </c>
      <c r="ME95" s="3">
        <f ca="1">IFERROR(__xludf.DUMMYFUNCTION("""COMPUTED_VALUE"""),-0.635899974202376)</f>
        <v>-0.63589997420237598</v>
      </c>
      <c r="MF95" s="3">
        <f ca="1">IFERROR(__xludf.DUMMYFUNCTION("""COMPUTED_VALUE"""),-0.590255100235782)</f>
        <v>-0.59025510023578198</v>
      </c>
      <c r="MG95" s="3">
        <f ca="1">IFERROR(__xludf.DUMMYFUNCTION("""COMPUTED_VALUE"""),-0.675093820845449)</f>
        <v>-0.675093820845449</v>
      </c>
      <c r="MH95" s="3">
        <f ca="1">IFERROR(__xludf.DUMMYFUNCTION("""COMPUTED_VALUE"""),-0.637972582149416)</f>
        <v>-0.63797258214941599</v>
      </c>
      <c r="MI95" s="3">
        <f ca="1">IFERROR(__xludf.DUMMYFUNCTION("""COMPUTED_VALUE"""),-0.599504946653111)</f>
        <v>-0.59950494665311105</v>
      </c>
      <c r="MJ95" s="3">
        <f ca="1">IFERROR(__xludf.DUMMYFUNCTION("""COMPUTED_VALUE"""),-0.678933789615989)</f>
        <v>-0.67893378961598905</v>
      </c>
      <c r="MK95" s="3">
        <f ca="1">IFERROR(__xludf.DUMMYFUNCTION("""COMPUTED_VALUE"""),-0.693704156808916)</f>
        <v>-0.69370415680891595</v>
      </c>
      <c r="ML95" s="3">
        <f ca="1">IFERROR(__xludf.DUMMYFUNCTION("""COMPUTED_VALUE"""),-0.687861421673351)</f>
        <v>-0.68786142167335096</v>
      </c>
      <c r="MM95" s="3">
        <f ca="1">IFERROR(__xludf.DUMMYFUNCTION("""COMPUTED_VALUE"""),-0.540429763423813)</f>
        <v>-0.54042976342381299</v>
      </c>
      <c r="MN95" s="3">
        <f ca="1">IFERROR(__xludf.DUMMYFUNCTION("""COMPUTED_VALUE"""),-0.59727924393744)</f>
        <v>-0.59727924393744003</v>
      </c>
      <c r="MO95" s="3">
        <f ca="1">IFERROR(__xludf.DUMMYFUNCTION("""COMPUTED_VALUE"""),-0.677846777134243)</f>
        <v>-0.67784677713424302</v>
      </c>
      <c r="MP95" s="3">
        <f ca="1">IFERROR(__xludf.DUMMYFUNCTION("""COMPUTED_VALUE"""),-0.691333894680538)</f>
        <v>-0.69133389468053796</v>
      </c>
      <c r="MQ95" s="3">
        <f ca="1">IFERROR(__xludf.DUMMYFUNCTION("""COMPUTED_VALUE"""),-0.697496561365295)</f>
        <v>-0.69749656136529503</v>
      </c>
      <c r="MR95" s="3">
        <f ca="1">IFERROR(__xludf.DUMMYFUNCTION("""COMPUTED_VALUE"""),-0.707746883770859)</f>
        <v>-0.70774688377085904</v>
      </c>
      <c r="MS95" s="3">
        <f ca="1">IFERROR(__xludf.DUMMYFUNCTION("""COMPUTED_VALUE"""),-0.700162165085356)</f>
        <v>-0.700162165085356</v>
      </c>
      <c r="MT95" s="3">
        <f ca="1">IFERROR(__xludf.DUMMYFUNCTION("""COMPUTED_VALUE"""),-0.677023107944832)</f>
        <v>-0.677023107944832</v>
      </c>
      <c r="MU95" s="3">
        <f ca="1">IFERROR(__xludf.DUMMYFUNCTION("""COMPUTED_VALUE"""),-0.659945989358898)</f>
        <v>-0.65994598935889803</v>
      </c>
      <c r="MV95" s="3">
        <f ca="1">IFERROR(__xludf.DUMMYFUNCTION("""COMPUTED_VALUE"""),-0.627281409364384)</f>
        <v>-0.62728140936438403</v>
      </c>
      <c r="MW95" s="3">
        <f ca="1">IFERROR(__xludf.DUMMYFUNCTION("""COMPUTED_VALUE"""),-0.662314953606162)</f>
        <v>-0.66231495360616199</v>
      </c>
      <c r="MX95" s="3">
        <f ca="1">IFERROR(__xludf.DUMMYFUNCTION("""COMPUTED_VALUE"""),-0.719021246165528)</f>
        <v>-0.71902124616552798</v>
      </c>
      <c r="MY95" s="3">
        <f ca="1">IFERROR(__xludf.DUMMYFUNCTION("""COMPUTED_VALUE"""),-0.662988318174575)</f>
        <v>-0.66298831817457504</v>
      </c>
      <c r="MZ95" s="3">
        <f ca="1">IFERROR(__xludf.DUMMYFUNCTION("""COMPUTED_VALUE"""),-0.684694348500064)</f>
        <v>-0.68469434850006405</v>
      </c>
      <c r="NA95" s="3">
        <f ca="1">IFERROR(__xludf.DUMMYFUNCTION("""COMPUTED_VALUE"""),-0.684309995699846)</f>
        <v>-0.68430999569984596</v>
      </c>
      <c r="NB95" s="3">
        <f ca="1">IFERROR(__xludf.DUMMYFUNCTION("""COMPUTED_VALUE"""),-0.671024024904374)</f>
        <v>-0.67102402490437396</v>
      </c>
      <c r="NC95" s="3">
        <f ca="1">IFERROR(__xludf.DUMMYFUNCTION("""COMPUTED_VALUE"""),-0.727861099172275)</f>
        <v>-0.72786109917227504</v>
      </c>
      <c r="ND95" s="3">
        <f ca="1">IFERROR(__xludf.DUMMYFUNCTION("""COMPUTED_VALUE"""),-0.688348678571281)</f>
        <v>-0.68834867857128101</v>
      </c>
      <c r="NE95" s="3">
        <f ca="1">IFERROR(__xludf.DUMMYFUNCTION("""COMPUTED_VALUE"""),-0.693334034305343)</f>
        <v>-0.69333403430534302</v>
      </c>
      <c r="NF95" s="3">
        <f ca="1">IFERROR(__xludf.DUMMYFUNCTION("""COMPUTED_VALUE"""),-0.677107401691609)</f>
        <v>-0.67710740169160899</v>
      </c>
      <c r="NG95" s="3">
        <f ca="1">IFERROR(__xludf.DUMMYFUNCTION("""COMPUTED_VALUE"""),-0.654806570622878)</f>
        <v>-0.65480657062287795</v>
      </c>
      <c r="NH95" s="3">
        <f ca="1">IFERROR(__xludf.DUMMYFUNCTION("""COMPUTED_VALUE"""),-0.688256815435932)</f>
        <v>-0.68825681543593198</v>
      </c>
      <c r="NI95" s="3">
        <f ca="1">IFERROR(__xludf.DUMMYFUNCTION("""COMPUTED_VALUE"""),-0.679083607469283)</f>
        <v>-0.67908360746928298</v>
      </c>
      <c r="NJ95" s="3">
        <f ca="1">IFERROR(__xludf.DUMMYFUNCTION("""COMPUTED_VALUE"""),-0.655921279929483)</f>
        <v>-0.65592127992948301</v>
      </c>
      <c r="NK95" s="3">
        <f ca="1">IFERROR(__xludf.DUMMYFUNCTION("""COMPUTED_VALUE"""),-0.679710051507623)</f>
        <v>-0.67971005150762298</v>
      </c>
      <c r="NL95" s="3">
        <f ca="1">IFERROR(__xludf.DUMMYFUNCTION("""COMPUTED_VALUE"""),-0.696910093017151)</f>
        <v>-0.69691009301715101</v>
      </c>
      <c r="NM95" s="3">
        <f ca="1">IFERROR(__xludf.DUMMYFUNCTION("""COMPUTED_VALUE"""),-0.656803783967354)</f>
        <v>-0.65680378396735395</v>
      </c>
      <c r="NN95" s="3">
        <f ca="1">IFERROR(__xludf.DUMMYFUNCTION("""COMPUTED_VALUE"""),-0.619192423385573)</f>
        <v>-0.61919242338557301</v>
      </c>
      <c r="NO95" s="3">
        <f ca="1">IFERROR(__xludf.DUMMYFUNCTION("""COMPUTED_VALUE"""),-0.610587297139694)</f>
        <v>-0.61058729713969395</v>
      </c>
      <c r="NP95" s="3">
        <f ca="1">IFERROR(__xludf.DUMMYFUNCTION("""COMPUTED_VALUE"""),-0.585138422128152)</f>
        <v>-0.58513842212815204</v>
      </c>
      <c r="NQ95" s="3">
        <f ca="1">IFERROR(__xludf.DUMMYFUNCTION("""COMPUTED_VALUE"""),-0.573664167265733)</f>
        <v>-0.57366416726573299</v>
      </c>
      <c r="NR95" s="3">
        <f ca="1">IFERROR(__xludf.DUMMYFUNCTION("""COMPUTED_VALUE"""),-0.636584271886256)</f>
        <v>-0.63658427188625599</v>
      </c>
      <c r="NS95" s="3">
        <f ca="1">IFERROR(__xludf.DUMMYFUNCTION("""COMPUTED_VALUE"""),-0.669536090324672)</f>
        <v>-0.66953609032467198</v>
      </c>
      <c r="NT95" s="3">
        <f ca="1">IFERROR(__xludf.DUMMYFUNCTION("""COMPUTED_VALUE"""),-0.656927464719574)</f>
        <v>-0.65692746471957397</v>
      </c>
      <c r="NU95" s="3">
        <f ca="1">IFERROR(__xludf.DUMMYFUNCTION("""COMPUTED_VALUE"""),-0.667192762089501)</f>
        <v>-0.66719276208950096</v>
      </c>
      <c r="NV95" s="3">
        <f ca="1">IFERROR(__xludf.DUMMYFUNCTION("""COMPUTED_VALUE"""),-0.68838734896616)</f>
        <v>-0.68838734896616005</v>
      </c>
      <c r="NW95" s="3">
        <f ca="1">IFERROR(__xludf.DUMMYFUNCTION("""COMPUTED_VALUE"""),-0.663362790744375)</f>
        <v>-0.66336279074437499</v>
      </c>
      <c r="NX95" s="3">
        <f ca="1">IFERROR(__xludf.DUMMYFUNCTION("""COMPUTED_VALUE"""),-0.67898400405064)</f>
        <v>-0.67898400405063997</v>
      </c>
      <c r="NY95" s="3">
        <f ca="1">IFERROR(__xludf.DUMMYFUNCTION("""COMPUTED_VALUE"""),-0.608142788138849)</f>
        <v>-0.60814278813884903</v>
      </c>
      <c r="NZ95" s="3">
        <f ca="1">IFERROR(__xludf.DUMMYFUNCTION("""COMPUTED_VALUE"""),-0.612535105923901)</f>
        <v>-0.61253510592390104</v>
      </c>
      <c r="OA95" s="3">
        <f ca="1">IFERROR(__xludf.DUMMYFUNCTION("""COMPUTED_VALUE"""),-0.552683879546588)</f>
        <v>-0.55268387954658804</v>
      </c>
      <c r="OB95" s="3">
        <f ca="1">IFERROR(__xludf.DUMMYFUNCTION("""COMPUTED_VALUE"""),-0.557871288482792)</f>
        <v>-0.55787128848279199</v>
      </c>
      <c r="OC95" s="3">
        <f ca="1">IFERROR(__xludf.DUMMYFUNCTION("""COMPUTED_VALUE"""),-0.513281774744372)</f>
        <v>-0.51328177474437198</v>
      </c>
      <c r="OD95" s="3">
        <f ca="1">IFERROR(__xludf.DUMMYFUNCTION("""COMPUTED_VALUE"""),-0.49701443812837)</f>
        <v>-0.49701443812836998</v>
      </c>
      <c r="OE95" s="3">
        <f ca="1">IFERROR(__xludf.DUMMYFUNCTION("""COMPUTED_VALUE"""),-0.394975011406643)</f>
        <v>-0.39497501140664298</v>
      </c>
      <c r="OF95" s="3">
        <f ca="1">IFERROR(__xludf.DUMMYFUNCTION("""COMPUTED_VALUE"""),-0.266663274705843)</f>
        <v>-0.266663274705843</v>
      </c>
      <c r="OG95" s="3">
        <f ca="1">IFERROR(__xludf.DUMMYFUNCTION("""COMPUTED_VALUE"""),-0.230345510680641)</f>
        <v>-0.23034551068064099</v>
      </c>
      <c r="OH95" s="3">
        <f ca="1">IFERROR(__xludf.DUMMYFUNCTION("""COMPUTED_VALUE"""),-0.241669661281809)</f>
        <v>-0.241669661281809</v>
      </c>
      <c r="OI95" s="3">
        <f ca="1">IFERROR(__xludf.DUMMYFUNCTION("""COMPUTED_VALUE"""),-0.179874612890515)</f>
        <v>-0.17987461289051501</v>
      </c>
      <c r="OJ95" s="3">
        <f ca="1">IFERROR(__xludf.DUMMYFUNCTION("""COMPUTED_VALUE"""),-0.145717933498698)</f>
        <v>-0.14571793349869799</v>
      </c>
      <c r="OK95" s="3">
        <f ca="1">IFERROR(__xludf.DUMMYFUNCTION("""COMPUTED_VALUE"""),-0.101444599146053)</f>
        <v>-0.101444599146053</v>
      </c>
      <c r="OL95" s="3">
        <f ca="1">IFERROR(__xludf.DUMMYFUNCTION("""COMPUTED_VALUE"""),-0.00821115355199619)</f>
        <v>-8.2111535519961906E-3</v>
      </c>
      <c r="OM95" s="3">
        <f ca="1">IFERROR(__xludf.DUMMYFUNCTION("""COMPUTED_VALUE"""),0.0215288046542223)</f>
        <v>2.15288046542223E-2</v>
      </c>
      <c r="ON95" s="3">
        <f ca="1">IFERROR(__xludf.DUMMYFUNCTION("""COMPUTED_VALUE"""),-0.0027225999241105)</f>
        <v>-2.7225999241105E-3</v>
      </c>
      <c r="OO95" s="3">
        <f ca="1">IFERROR(__xludf.DUMMYFUNCTION("""COMPUTED_VALUE"""),-0.0761738930338957)</f>
        <v>-7.6173893033895698E-2</v>
      </c>
      <c r="OP95" s="3">
        <f ca="1">IFERROR(__xludf.DUMMYFUNCTION("""COMPUTED_VALUE"""),-0.045122751335747)</f>
        <v>-4.5122751335747002E-2</v>
      </c>
      <c r="OQ95" s="3">
        <f ca="1">IFERROR(__xludf.DUMMYFUNCTION("""COMPUTED_VALUE"""),-0.0413397277137945)</f>
        <v>-4.1339727713794502E-2</v>
      </c>
      <c r="OR95" s="3">
        <f ca="1">IFERROR(__xludf.DUMMYFUNCTION("""COMPUTED_VALUE"""),-0.014097289048257)</f>
        <v>-1.4097289048257E-2</v>
      </c>
      <c r="OS95" s="3">
        <f ca="1">IFERROR(__xludf.DUMMYFUNCTION("""COMPUTED_VALUE"""),-0.0107489450790083)</f>
        <v>-1.0748945079008299E-2</v>
      </c>
      <c r="OT95" s="3">
        <f ca="1">IFERROR(__xludf.DUMMYFUNCTION("""COMPUTED_VALUE"""),0.0502650760891507)</f>
        <v>5.02650760891507E-2</v>
      </c>
      <c r="OU95" s="3">
        <f ca="1">IFERROR(__xludf.DUMMYFUNCTION("""COMPUTED_VALUE"""),0.0074653276691381)</f>
        <v>7.4653276691380999E-3</v>
      </c>
      <c r="OV95" s="3">
        <f ca="1">IFERROR(__xludf.DUMMYFUNCTION("""COMPUTED_VALUE"""),-0.00803036658847411)</f>
        <v>-8.0303665884741103E-3</v>
      </c>
      <c r="OW95" s="3">
        <f ca="1">IFERROR(__xludf.DUMMYFUNCTION("""COMPUTED_VALUE"""),-0.0334898220405898)</f>
        <v>-3.3489822040589798E-2</v>
      </c>
      <c r="OX95" s="3">
        <f ca="1">IFERROR(__xludf.DUMMYFUNCTION("""COMPUTED_VALUE"""),-0.00191458253947918)</f>
        <v>-1.91458253947918E-3</v>
      </c>
      <c r="OY95" s="3">
        <f ca="1">IFERROR(__xludf.DUMMYFUNCTION("""COMPUTED_VALUE"""),-0.0345477680917981)</f>
        <v>-3.4547768091798103E-2</v>
      </c>
      <c r="OZ95" s="3">
        <f ca="1">IFERROR(__xludf.DUMMYFUNCTION("""COMPUTED_VALUE"""),0.036403164046926)</f>
        <v>3.6403164046926E-2</v>
      </c>
      <c r="PA95" s="3">
        <f ca="1">IFERROR(__xludf.DUMMYFUNCTION("""COMPUTED_VALUE"""),0.095339266178769)</f>
        <v>9.5339266178769005E-2</v>
      </c>
      <c r="PB95" s="3">
        <f ca="1">IFERROR(__xludf.DUMMYFUNCTION("""COMPUTED_VALUE"""),0.0357703101181186)</f>
        <v>3.5770310118118598E-2</v>
      </c>
      <c r="PC95" s="3">
        <f ca="1">IFERROR(__xludf.DUMMYFUNCTION("""COMPUTED_VALUE"""),-0.0104836107060144)</f>
        <v>-1.0483610706014401E-2</v>
      </c>
      <c r="PD95" s="3">
        <f ca="1">IFERROR(__xludf.DUMMYFUNCTION("""COMPUTED_VALUE"""),-0.0198191471053187)</f>
        <v>-1.98191471053187E-2</v>
      </c>
      <c r="PE95" s="3">
        <f ca="1">IFERROR(__xludf.DUMMYFUNCTION("""COMPUTED_VALUE"""),0.0249753380852459)</f>
        <v>2.49753380852459E-2</v>
      </c>
      <c r="PF95" s="3">
        <f ca="1">IFERROR(__xludf.DUMMYFUNCTION("""COMPUTED_VALUE"""),0.0550893486920121)</f>
        <v>5.5089348692012097E-2</v>
      </c>
      <c r="PG95" s="3">
        <f ca="1">IFERROR(__xludf.DUMMYFUNCTION("""COMPUTED_VALUE"""),0.00961297968101648)</f>
        <v>9.61297968101648E-3</v>
      </c>
      <c r="PH95" s="3">
        <f ca="1">IFERROR(__xludf.DUMMYFUNCTION("""COMPUTED_VALUE"""),0.0257707698249194)</f>
        <v>2.5770769824919399E-2</v>
      </c>
      <c r="PI95" s="3">
        <f ca="1">IFERROR(__xludf.DUMMYFUNCTION("""COMPUTED_VALUE"""),-0.0396278270501139)</f>
        <v>-3.9627827050113897E-2</v>
      </c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</row>
    <row r="96" spans="1:477" ht="13">
      <c r="A96" s="1" t="str">
        <f ca="1">IFERROR(__xludf.DUMMYFUNCTION("""COMPUTED_VALUE"""),"NJ Transit - Bus")</f>
        <v>NJ Transit - Bus</v>
      </c>
      <c r="B96" s="1" t="str">
        <f ca="1">IFERROR(__xludf.DUMMYFUNCTION("""COMPUTED_VALUE"""),"New Jersey")</f>
        <v>New Jersey</v>
      </c>
      <c r="C96" s="1" t="str">
        <f ca="1">IFERROR(__xludf.DUMMYFUNCTION("""COMPUTED_VALUE"""),"United States")</f>
        <v>United States</v>
      </c>
      <c r="D96" s="1" t="str">
        <f ca="1">IFERROR(__xludf.DUMMYFUNCTION("""COMPUTED_VALUE"""),"New Jersey")</f>
        <v>New Jersey</v>
      </c>
      <c r="E96" s="3">
        <f ca="1">IFERROR(__xludf.DUMMYFUNCTION("""COMPUTED_VALUE"""),-0.430614295663232)</f>
        <v>-0.43061429566323201</v>
      </c>
      <c r="F96" s="3">
        <f ca="1">IFERROR(__xludf.DUMMYFUNCTION("""COMPUTED_VALUE"""),-0.479097403473592)</f>
        <v>-0.47909740347359198</v>
      </c>
      <c r="G96" s="3">
        <f ca="1">IFERROR(__xludf.DUMMYFUNCTION("""COMPUTED_VALUE"""),-0.511359808558424)</f>
        <v>-0.511359808558424</v>
      </c>
      <c r="H96" s="3">
        <f ca="1">IFERROR(__xludf.DUMMYFUNCTION("""COMPUTED_VALUE"""),-0.525385376583925)</f>
        <v>-0.52538537658392503</v>
      </c>
      <c r="I96" s="3">
        <f ca="1">IFERROR(__xludf.DUMMYFUNCTION("""COMPUTED_VALUE"""),-0.511805655467779)</f>
        <v>-0.51180565546777901</v>
      </c>
      <c r="J96" s="3">
        <f ca="1">IFERROR(__xludf.DUMMYFUNCTION("""COMPUTED_VALUE"""),-0.499058320344265)</f>
        <v>-0.49905832034426501</v>
      </c>
      <c r="K96" s="3">
        <f ca="1">IFERROR(__xludf.DUMMYFUNCTION("""COMPUTED_VALUE"""),-0.466213505835264)</f>
        <v>-0.466213505835264</v>
      </c>
      <c r="L96" s="3">
        <f ca="1">IFERROR(__xludf.DUMMYFUNCTION("""COMPUTED_VALUE"""),-0.47348889406184)</f>
        <v>-0.47348889406184003</v>
      </c>
      <c r="M96" s="3">
        <f ca="1">IFERROR(__xludf.DUMMYFUNCTION("""COMPUTED_VALUE"""),-0.540059778705021)</f>
        <v>-0.54005977870502098</v>
      </c>
      <c r="N96" s="3">
        <f ca="1">IFERROR(__xludf.DUMMYFUNCTION("""COMPUTED_VALUE"""),-0.551693134982043)</f>
        <v>-0.55169313498204298</v>
      </c>
      <c r="O96" s="3">
        <f ca="1">IFERROR(__xludf.DUMMYFUNCTION("""COMPUTED_VALUE"""),-0.576691964024613)</f>
        <v>-0.57669196402461298</v>
      </c>
      <c r="P96" s="3">
        <f ca="1">IFERROR(__xludf.DUMMYFUNCTION("""COMPUTED_VALUE"""),-0.535609050264463)</f>
        <v>-0.53560905026446304</v>
      </c>
      <c r="Q96" s="3">
        <f ca="1">IFERROR(__xludf.DUMMYFUNCTION("""COMPUTED_VALUE"""),-0.537376386916217)</f>
        <v>-0.53737638691621703</v>
      </c>
      <c r="R96" s="3">
        <f ca="1">IFERROR(__xludf.DUMMYFUNCTION("""COMPUTED_VALUE"""),-0.51008787697905)</f>
        <v>-0.51008787697905</v>
      </c>
      <c r="S96" s="3">
        <f ca="1">IFERROR(__xludf.DUMMYFUNCTION("""COMPUTED_VALUE"""),-0.421306117618628)</f>
        <v>-0.42130611761862802</v>
      </c>
      <c r="T96" s="3">
        <f ca="1">IFERROR(__xludf.DUMMYFUNCTION("""COMPUTED_VALUE"""),-0.485674396915353)</f>
        <v>-0.48567439691535302</v>
      </c>
      <c r="U96" s="3">
        <f ca="1">IFERROR(__xludf.DUMMYFUNCTION("""COMPUTED_VALUE"""),-0.522927698634345)</f>
        <v>-0.52292769863434496</v>
      </c>
      <c r="V96" s="3">
        <f ca="1">IFERROR(__xludf.DUMMYFUNCTION("""COMPUTED_VALUE"""),-0.577488704555005)</f>
        <v>-0.57748870455500501</v>
      </c>
      <c r="W96" s="3">
        <f ca="1">IFERROR(__xludf.DUMMYFUNCTION("""COMPUTED_VALUE"""),-0.524959752055975)</f>
        <v>-0.524959752055975</v>
      </c>
      <c r="X96" s="3">
        <f ca="1">IFERROR(__xludf.DUMMYFUNCTION("""COMPUTED_VALUE"""),-0.493909960185603)</f>
        <v>-0.49390996018560301</v>
      </c>
      <c r="Y96" s="3">
        <f ca="1">IFERROR(__xludf.DUMMYFUNCTION("""COMPUTED_VALUE"""),-0.399908402932794)</f>
        <v>-0.399908402932794</v>
      </c>
      <c r="Z96" s="3">
        <f ca="1">IFERROR(__xludf.DUMMYFUNCTION("""COMPUTED_VALUE"""),-0.42124039107334)</f>
        <v>-0.42124039107333999</v>
      </c>
      <c r="AA96" s="3">
        <f ca="1">IFERROR(__xludf.DUMMYFUNCTION("""COMPUTED_VALUE"""),-0.510469263537752)</f>
        <v>-0.51046926353775202</v>
      </c>
      <c r="AB96" s="3">
        <f ca="1">IFERROR(__xludf.DUMMYFUNCTION("""COMPUTED_VALUE"""),-0.565719921743279)</f>
        <v>-0.56571992174327901</v>
      </c>
      <c r="AC96" s="3">
        <f ca="1">IFERROR(__xludf.DUMMYFUNCTION("""COMPUTED_VALUE"""),-0.540182082347107)</f>
        <v>-0.54018208234710696</v>
      </c>
      <c r="AD96" s="3">
        <f ca="1">IFERROR(__xludf.DUMMYFUNCTION("""COMPUTED_VALUE"""),-0.552285553175797)</f>
        <v>-0.55228555317579697</v>
      </c>
      <c r="AE96" s="3">
        <f ca="1">IFERROR(__xludf.DUMMYFUNCTION("""COMPUTED_VALUE"""),-0.526156132809281)</f>
        <v>-0.52615613280928097</v>
      </c>
      <c r="AF96" s="3">
        <f ca="1">IFERROR(__xludf.DUMMYFUNCTION("""COMPUTED_VALUE"""),-0.437357684686972)</f>
        <v>-0.437357684686972</v>
      </c>
      <c r="AG96" s="3">
        <f ca="1">IFERROR(__xludf.DUMMYFUNCTION("""COMPUTED_VALUE"""),-0.446299021538524)</f>
        <v>-0.44629902153852402</v>
      </c>
      <c r="AH96" s="3">
        <f ca="1">IFERROR(__xludf.DUMMYFUNCTION("""COMPUTED_VALUE"""),-0.503275870113538)</f>
        <v>-0.50327587011353803</v>
      </c>
      <c r="AI96" s="3">
        <f ca="1">IFERROR(__xludf.DUMMYFUNCTION("""COMPUTED_VALUE"""),-0.50616989849984)</f>
        <v>-0.50616989849983995</v>
      </c>
      <c r="AJ96" s="3">
        <f ca="1">IFERROR(__xludf.DUMMYFUNCTION("""COMPUTED_VALUE"""),-0.535101085570773)</f>
        <v>-0.53510108557077296</v>
      </c>
      <c r="AK96" s="3">
        <f ca="1">IFERROR(__xludf.DUMMYFUNCTION("""COMPUTED_VALUE"""),-0.528987850502463)</f>
        <v>-0.528987850502463</v>
      </c>
      <c r="AL96" s="3">
        <f ca="1">IFERROR(__xludf.DUMMYFUNCTION("""COMPUTED_VALUE"""),-0.519098982624624)</f>
        <v>-0.51909898262462395</v>
      </c>
      <c r="AM96" s="3">
        <f ca="1">IFERROR(__xludf.DUMMYFUNCTION("""COMPUTED_VALUE"""),-0.437186830114625)</f>
        <v>-0.437186830114625</v>
      </c>
      <c r="AN96" s="3">
        <f ca="1">IFERROR(__xludf.DUMMYFUNCTION("""COMPUTED_VALUE"""),-0.486439166504214)</f>
        <v>-0.48643916650421398</v>
      </c>
      <c r="AO96" s="3">
        <f ca="1">IFERROR(__xludf.DUMMYFUNCTION("""COMPUTED_VALUE"""),-0.539475871481684)</f>
        <v>-0.53947587148168397</v>
      </c>
      <c r="AP96" s="3">
        <f ca="1">IFERROR(__xludf.DUMMYFUNCTION("""COMPUTED_VALUE"""),-0.544656892748189)</f>
        <v>-0.54465689274818896</v>
      </c>
      <c r="AQ96" s="3">
        <f ca="1">IFERROR(__xludf.DUMMYFUNCTION("""COMPUTED_VALUE"""),-0.527730843676226)</f>
        <v>-0.52773084367622602</v>
      </c>
      <c r="AR96" s="3">
        <f ca="1">IFERROR(__xludf.DUMMYFUNCTION("""COMPUTED_VALUE"""),-0.557608937218158)</f>
        <v>-0.55760893721815796</v>
      </c>
      <c r="AS96" s="3">
        <f ca="1">IFERROR(__xludf.DUMMYFUNCTION("""COMPUTED_VALUE"""),-0.515765280442608)</f>
        <v>-0.51576528044260805</v>
      </c>
      <c r="AT96" s="3">
        <f ca="1">IFERROR(__xludf.DUMMYFUNCTION("""COMPUTED_VALUE"""),-0.437704132654643)</f>
        <v>-0.43770413265464297</v>
      </c>
      <c r="AU96" s="3">
        <f ca="1">IFERROR(__xludf.DUMMYFUNCTION("""COMPUTED_VALUE"""),-0.484178319366361)</f>
        <v>-0.48417831936636102</v>
      </c>
      <c r="AV96" s="3">
        <f ca="1">IFERROR(__xludf.DUMMYFUNCTION("""COMPUTED_VALUE"""),-0.525168292477041)</f>
        <v>-0.525168292477041</v>
      </c>
      <c r="AW96" s="3">
        <f ca="1">IFERROR(__xludf.DUMMYFUNCTION("""COMPUTED_VALUE"""),-0.531654142244084)</f>
        <v>-0.53165414224408403</v>
      </c>
      <c r="AX96" s="3">
        <f ca="1">IFERROR(__xludf.DUMMYFUNCTION("""COMPUTED_VALUE"""),-0.506346262741448)</f>
        <v>-0.50634626274144801</v>
      </c>
      <c r="AY96" s="3">
        <f ca="1">IFERROR(__xludf.DUMMYFUNCTION("""COMPUTED_VALUE"""),-0.547691791191855)</f>
        <v>-0.54769179119185496</v>
      </c>
      <c r="AZ96" s="3">
        <f ca="1">IFERROR(__xludf.DUMMYFUNCTION("""COMPUTED_VALUE"""),-0.51801218606607)</f>
        <v>-0.51801218606607002</v>
      </c>
      <c r="BA96" s="3">
        <f ca="1">IFERROR(__xludf.DUMMYFUNCTION("""COMPUTED_VALUE"""),-0.429190233508883)</f>
        <v>-0.42919023350888302</v>
      </c>
      <c r="BB96" s="3">
        <f ca="1">IFERROR(__xludf.DUMMYFUNCTION("""COMPUTED_VALUE"""),-0.452527650726691)</f>
        <v>-0.45252765072669099</v>
      </c>
      <c r="BC96" s="3">
        <f ca="1">IFERROR(__xludf.DUMMYFUNCTION("""COMPUTED_VALUE"""),-0.545544008008642)</f>
        <v>-0.545544008008642</v>
      </c>
      <c r="BD96" s="3">
        <f ca="1">IFERROR(__xludf.DUMMYFUNCTION("""COMPUTED_VALUE"""),-0.586029602846111)</f>
        <v>-0.58602960284611105</v>
      </c>
      <c r="BE96" s="3">
        <f ca="1">IFERROR(__xludf.DUMMYFUNCTION("""COMPUTED_VALUE"""),-0.514060070364601)</f>
        <v>-0.514060070364601</v>
      </c>
      <c r="BF96" s="3">
        <f ca="1">IFERROR(__xludf.DUMMYFUNCTION("""COMPUTED_VALUE"""),-0.492866849543307)</f>
        <v>-0.49286684954330701</v>
      </c>
      <c r="BG96" s="3">
        <f ca="1">IFERROR(__xludf.DUMMYFUNCTION("""COMPUTED_VALUE"""),-0.499453812633069)</f>
        <v>-0.49945381263306898</v>
      </c>
      <c r="BH96" s="3">
        <f ca="1">IFERROR(__xludf.DUMMYFUNCTION("""COMPUTED_VALUE"""),-0.427523468232435)</f>
        <v>-0.42752346823243498</v>
      </c>
      <c r="BI96" s="3">
        <f ca="1">IFERROR(__xludf.DUMMYFUNCTION("""COMPUTED_VALUE"""),-0.468823695682948)</f>
        <v>-0.46882369568294802</v>
      </c>
      <c r="BJ96" s="3">
        <f ca="1">IFERROR(__xludf.DUMMYFUNCTION("""COMPUTED_VALUE"""),-0.539350753146125)</f>
        <v>-0.53935075314612502</v>
      </c>
      <c r="BK96" s="3">
        <f ca="1">IFERROR(__xludf.DUMMYFUNCTION("""COMPUTED_VALUE"""),-0.556623368582086)</f>
        <v>-0.55662336858208605</v>
      </c>
      <c r="BL96" s="3">
        <f ca="1">IFERROR(__xludf.DUMMYFUNCTION("""COMPUTED_VALUE"""),-0.557606130416647)</f>
        <v>-0.55760613041664697</v>
      </c>
      <c r="BM96" s="3">
        <f ca="1">IFERROR(__xludf.DUMMYFUNCTION("""COMPUTED_VALUE"""),-0.563380960418294)</f>
        <v>-0.563380960418294</v>
      </c>
      <c r="BN96" s="3">
        <f ca="1">IFERROR(__xludf.DUMMYFUNCTION("""COMPUTED_VALUE"""),-0.514206461480298)</f>
        <v>-0.51420646148029803</v>
      </c>
      <c r="BO96" s="3">
        <f ca="1">IFERROR(__xludf.DUMMYFUNCTION("""COMPUTED_VALUE"""),-0.499074038854819)</f>
        <v>-0.49907403885481899</v>
      </c>
      <c r="BP96" s="3">
        <f ca="1">IFERROR(__xludf.DUMMYFUNCTION("""COMPUTED_VALUE"""),-0.421344385008127)</f>
        <v>-0.42134438500812699</v>
      </c>
      <c r="BQ96" s="3">
        <f ca="1">IFERROR(__xludf.DUMMYFUNCTION("""COMPUTED_VALUE"""),-0.523221010000155)</f>
        <v>-0.52322101000015497</v>
      </c>
      <c r="BR96" s="3">
        <f ca="1">IFERROR(__xludf.DUMMYFUNCTION("""COMPUTED_VALUE"""),-0.501136313660284)</f>
        <v>-0.50113631366028399</v>
      </c>
      <c r="BS96" s="3">
        <f ca="1">IFERROR(__xludf.DUMMYFUNCTION("""COMPUTED_VALUE"""),-0.465935565059142)</f>
        <v>-0.46593556505914202</v>
      </c>
      <c r="BT96" s="3">
        <f ca="1">IFERROR(__xludf.DUMMYFUNCTION("""COMPUTED_VALUE"""),-0.574232877410007)</f>
        <v>-0.57423287741000695</v>
      </c>
      <c r="BU96" s="3">
        <f ca="1">IFERROR(__xludf.DUMMYFUNCTION("""COMPUTED_VALUE"""),-0.784918491605915)</f>
        <v>-0.78491849160591498</v>
      </c>
      <c r="BV96" s="3">
        <f ca="1">IFERROR(__xludf.DUMMYFUNCTION("""COMPUTED_VALUE"""),-0.503736664461403)</f>
        <v>-0.50373666446140297</v>
      </c>
      <c r="BW96" s="3">
        <f ca="1">IFERROR(__xludf.DUMMYFUNCTION("""COMPUTED_VALUE"""),-0.514653242423286)</f>
        <v>-0.51465324242328603</v>
      </c>
      <c r="BX96" s="3">
        <f ca="1">IFERROR(__xludf.DUMMYFUNCTION("""COMPUTED_VALUE"""),-0.624058503202855)</f>
        <v>-0.62405850320285505</v>
      </c>
      <c r="BY96" s="3">
        <f ca="1">IFERROR(__xludf.DUMMYFUNCTION("""COMPUTED_VALUE"""),-0.59900891678239)</f>
        <v>-0.59900891678238999</v>
      </c>
      <c r="BZ96" s="3">
        <f ca="1">IFERROR(__xludf.DUMMYFUNCTION("""COMPUTED_VALUE"""),-0.587532590573212)</f>
        <v>-0.58753259057321205</v>
      </c>
      <c r="CA96" s="3">
        <f ca="1">IFERROR(__xludf.DUMMYFUNCTION("""COMPUTED_VALUE"""),-0.619526754782884)</f>
        <v>-0.61952675478288399</v>
      </c>
      <c r="CB96" s="3">
        <f ca="1">IFERROR(__xludf.DUMMYFUNCTION("""COMPUTED_VALUE"""),-0.549873646090958)</f>
        <v>-0.54987364609095801</v>
      </c>
      <c r="CC96" s="3">
        <f ca="1">IFERROR(__xludf.DUMMYFUNCTION("""COMPUTED_VALUE"""),-0.522592051166003)</f>
        <v>-0.52259205116600305</v>
      </c>
      <c r="CD96" s="3">
        <f ca="1">IFERROR(__xludf.DUMMYFUNCTION("""COMPUTED_VALUE"""),-0.479844378422566)</f>
        <v>-0.479844378422566</v>
      </c>
      <c r="CE96" s="3">
        <f ca="1">IFERROR(__xludf.DUMMYFUNCTION("""COMPUTED_VALUE"""),-0.569316008828358)</f>
        <v>-0.56931600882835798</v>
      </c>
      <c r="CF96" s="3">
        <f ca="1">IFERROR(__xludf.DUMMYFUNCTION("""COMPUTED_VALUE"""),-0.579256284574656)</f>
        <v>-0.57925628457465606</v>
      </c>
      <c r="CG96" s="3">
        <f ca="1">IFERROR(__xludf.DUMMYFUNCTION("""COMPUTED_VALUE"""),-0.592468526275194)</f>
        <v>-0.59246852627519397</v>
      </c>
      <c r="CH96" s="3">
        <f ca="1">IFERROR(__xludf.DUMMYFUNCTION("""COMPUTED_VALUE"""),-0.574597711135659)</f>
        <v>-0.57459771113565905</v>
      </c>
      <c r="CI96" s="3">
        <f ca="1">IFERROR(__xludf.DUMMYFUNCTION("""COMPUTED_VALUE"""),-0.524210628577197)</f>
        <v>-0.52421062857719702</v>
      </c>
      <c r="CJ96" s="3">
        <f ca="1">IFERROR(__xludf.DUMMYFUNCTION("""COMPUTED_VALUE"""),-0.49804762901988)</f>
        <v>-0.49804762901987998</v>
      </c>
      <c r="CK96" s="3">
        <f ca="1">IFERROR(__xludf.DUMMYFUNCTION("""COMPUTED_VALUE"""),-0.473628459096504)</f>
        <v>-0.47362845909650397</v>
      </c>
      <c r="CL96" s="3">
        <f ca="1">IFERROR(__xludf.DUMMYFUNCTION("""COMPUTED_VALUE"""),-0.566224271878024)</f>
        <v>-0.56622427187802404</v>
      </c>
      <c r="CM96" s="3">
        <f ca="1">IFERROR(__xludf.DUMMYFUNCTION("""COMPUTED_VALUE"""),-0.563977605502815)</f>
        <v>-0.56397760550281495</v>
      </c>
      <c r="CN96" s="3">
        <f ca="1">IFERROR(__xludf.DUMMYFUNCTION("""COMPUTED_VALUE"""),-0.565336533988712)</f>
        <v>-0.56533653398871198</v>
      </c>
      <c r="CO96" s="3">
        <f ca="1">IFERROR(__xludf.DUMMYFUNCTION("""COMPUTED_VALUE"""),-0.560062209311079)</f>
        <v>-0.56006220931107897</v>
      </c>
      <c r="CP96" s="3">
        <f ca="1">IFERROR(__xludf.DUMMYFUNCTION("""COMPUTED_VALUE"""),-0.54430879237057)</f>
        <v>-0.54430879237056995</v>
      </c>
      <c r="CQ96" s="3">
        <f ca="1">IFERROR(__xludf.DUMMYFUNCTION("""COMPUTED_VALUE"""),-0.501893612874961)</f>
        <v>-0.50189361287496104</v>
      </c>
      <c r="CR96" s="3">
        <f ca="1">IFERROR(__xludf.DUMMYFUNCTION("""COMPUTED_VALUE"""),-0.481714890480018)</f>
        <v>-0.48171489048001798</v>
      </c>
      <c r="CS96" s="3">
        <f ca="1">IFERROR(__xludf.DUMMYFUNCTION("""COMPUTED_VALUE"""),-0.563028000472497)</f>
        <v>-0.56302800047249701</v>
      </c>
      <c r="CT96" s="3">
        <f ca="1">IFERROR(__xludf.DUMMYFUNCTION("""COMPUTED_VALUE"""),-0.561517661350271)</f>
        <v>-0.56151766135027104</v>
      </c>
      <c r="CU96" s="3">
        <f ca="1">IFERROR(__xludf.DUMMYFUNCTION("""COMPUTED_VALUE"""),-0.510623172612596)</f>
        <v>-0.51062317261259604</v>
      </c>
      <c r="CV96" s="3">
        <f ca="1">IFERROR(__xludf.DUMMYFUNCTION("""COMPUTED_VALUE"""),-0.54912100506568)</f>
        <v>-0.54912100506567996</v>
      </c>
      <c r="CW96" s="3">
        <f ca="1">IFERROR(__xludf.DUMMYFUNCTION("""COMPUTED_VALUE"""),-0.533215543187959)</f>
        <v>-0.53321554318795905</v>
      </c>
      <c r="CX96" s="3">
        <f ca="1">IFERROR(__xludf.DUMMYFUNCTION("""COMPUTED_VALUE"""),-0.549951242924844)</f>
        <v>-0.54995124292484399</v>
      </c>
      <c r="CY96" s="3">
        <f ca="1">IFERROR(__xludf.DUMMYFUNCTION("""COMPUTED_VALUE"""),-0.536117695281381)</f>
        <v>-0.53611769528138098</v>
      </c>
      <c r="CZ96" s="3">
        <f ca="1">IFERROR(__xludf.DUMMYFUNCTION("""COMPUTED_VALUE"""),-0.694463584674653)</f>
        <v>-0.69446358467465297</v>
      </c>
      <c r="DA96" s="3">
        <f ca="1">IFERROR(__xludf.DUMMYFUNCTION("""COMPUTED_VALUE"""),-0.516429373637592)</f>
        <v>-0.516429373637592</v>
      </c>
      <c r="DB96" s="3">
        <f ca="1">IFERROR(__xludf.DUMMYFUNCTION("""COMPUTED_VALUE"""),-0.363076666087628)</f>
        <v>-0.36307666608762801</v>
      </c>
      <c r="DC96" s="3">
        <f ca="1">IFERROR(__xludf.DUMMYFUNCTION("""COMPUTED_VALUE"""),-0.528334803681658)</f>
        <v>-0.52833480368165797</v>
      </c>
      <c r="DD96" s="3">
        <f ca="1">IFERROR(__xludf.DUMMYFUNCTION("""COMPUTED_VALUE"""),-0.527872013012943)</f>
        <v>-0.52787201301294295</v>
      </c>
      <c r="DE96" s="3">
        <f ca="1">IFERROR(__xludf.DUMMYFUNCTION("""COMPUTED_VALUE"""),-0.525872784130858)</f>
        <v>-0.52587278413085803</v>
      </c>
      <c r="DF96" s="3">
        <f ca="1">IFERROR(__xludf.DUMMYFUNCTION("""COMPUTED_VALUE"""),-0.559825828135243)</f>
        <v>-0.55982582813524295</v>
      </c>
      <c r="DG96" s="3">
        <f ca="1">IFERROR(__xludf.DUMMYFUNCTION("""COMPUTED_VALUE"""),-0.772770123822172)</f>
        <v>-0.77277012382217203</v>
      </c>
      <c r="DH96" s="3">
        <f ca="1">IFERROR(__xludf.DUMMYFUNCTION("""COMPUTED_VALUE"""),-0.510092332579528)</f>
        <v>-0.51009233257952802</v>
      </c>
      <c r="DI96" s="3">
        <f ca="1">IFERROR(__xludf.DUMMYFUNCTION("""COMPUTED_VALUE"""),-0.328386311377609)</f>
        <v>-0.32838631137760899</v>
      </c>
      <c r="DJ96" s="3">
        <f ca="1">IFERROR(__xludf.DUMMYFUNCTION("""COMPUTED_VALUE"""),-0.502343174705892)</f>
        <v>-0.50234317470589196</v>
      </c>
      <c r="DK96" s="3">
        <f ca="1">IFERROR(__xludf.DUMMYFUNCTION("""COMPUTED_VALUE"""),-0.507765863013428)</f>
        <v>-0.50776586301342796</v>
      </c>
      <c r="DL96" s="3">
        <f ca="1">IFERROR(__xludf.DUMMYFUNCTION("""COMPUTED_VALUE"""),-0.49815748271973)</f>
        <v>-0.49815748271972998</v>
      </c>
      <c r="DM96" s="3">
        <f ca="1">IFERROR(__xludf.DUMMYFUNCTION("""COMPUTED_VALUE"""),-0.492575306589876)</f>
        <v>-0.49257530658987603</v>
      </c>
      <c r="DN96" s="3">
        <f ca="1">IFERROR(__xludf.DUMMYFUNCTION("""COMPUTED_VALUE"""),-0.536466263550266)</f>
        <v>-0.53646626355026605</v>
      </c>
      <c r="DO96" s="3">
        <f ca="1">IFERROR(__xludf.DUMMYFUNCTION("""COMPUTED_VALUE"""),-0.609682031570884)</f>
        <v>-0.60968203157088396</v>
      </c>
      <c r="DP96" s="3">
        <f ca="1">IFERROR(__xludf.DUMMYFUNCTION("""COMPUTED_VALUE"""),-0.491021460885917)</f>
        <v>-0.49102146088591703</v>
      </c>
      <c r="DQ96" s="3">
        <f ca="1">IFERROR(__xludf.DUMMYFUNCTION("""COMPUTED_VALUE"""),-0.563363070854042)</f>
        <v>-0.56336307085404203</v>
      </c>
      <c r="DR96" s="3">
        <f ca="1">IFERROR(__xludf.DUMMYFUNCTION("""COMPUTED_VALUE"""),-0.605346100073907)</f>
        <v>-0.60534610007390699</v>
      </c>
      <c r="DS96" s="3">
        <f ca="1">IFERROR(__xludf.DUMMYFUNCTION("""COMPUTED_VALUE"""),-0.507233647039046)</f>
        <v>-0.50723364703904605</v>
      </c>
      <c r="DT96" s="3">
        <f ca="1">IFERROR(__xludf.DUMMYFUNCTION("""COMPUTED_VALUE"""),-0.525399768905599)</f>
        <v>-0.52539976890559903</v>
      </c>
      <c r="DU96" s="3">
        <f ca="1">IFERROR(__xludf.DUMMYFUNCTION("""COMPUTED_VALUE"""),-0.595301258717917)</f>
        <v>-0.59530125871791695</v>
      </c>
      <c r="DV96" s="3">
        <f ca="1">IFERROR(__xludf.DUMMYFUNCTION("""COMPUTED_VALUE"""),-0.609869908453832)</f>
        <v>-0.60986990845383204</v>
      </c>
      <c r="DW96" s="3">
        <f ca="1">IFERROR(__xludf.DUMMYFUNCTION("""COMPUTED_VALUE"""),-0.624427682763597)</f>
        <v>-0.62442768276359695</v>
      </c>
      <c r="DX96" s="3">
        <f ca="1">IFERROR(__xludf.DUMMYFUNCTION("""COMPUTED_VALUE"""),-0.611109314683748)</f>
        <v>-0.61110931468374796</v>
      </c>
      <c r="DY96" s="3">
        <f ca="1">IFERROR(__xludf.DUMMYFUNCTION("""COMPUTED_VALUE"""),-0.57257724025929)</f>
        <v>-0.57257724025929002</v>
      </c>
      <c r="DZ96" s="3">
        <f ca="1">IFERROR(__xludf.DUMMYFUNCTION("""COMPUTED_VALUE"""),-0.493500674514478)</f>
        <v>-0.49350067451447799</v>
      </c>
      <c r="EA96" s="3">
        <f ca="1">IFERROR(__xludf.DUMMYFUNCTION("""COMPUTED_VALUE"""),-0.559311456135702)</f>
        <v>-0.55931145613570199</v>
      </c>
      <c r="EB96" s="3">
        <f ca="1">IFERROR(__xludf.DUMMYFUNCTION("""COMPUTED_VALUE"""),-0.577994020327218)</f>
        <v>-0.57799402032721803</v>
      </c>
      <c r="EC96" s="3">
        <f ca="1">IFERROR(__xludf.DUMMYFUNCTION("""COMPUTED_VALUE"""),-0.543738956312685)</f>
        <v>-0.54373895631268498</v>
      </c>
      <c r="ED96" s="3">
        <f ca="1">IFERROR(__xludf.DUMMYFUNCTION("""COMPUTED_VALUE"""),-0.61121917894847)</f>
        <v>-0.61121917894847</v>
      </c>
      <c r="EE96" s="3">
        <f ca="1">IFERROR(__xludf.DUMMYFUNCTION("""COMPUTED_VALUE"""),-0.601247152644289)</f>
        <v>-0.60124715264428896</v>
      </c>
      <c r="EF96" s="3">
        <f ca="1">IFERROR(__xludf.DUMMYFUNCTION("""COMPUTED_VALUE"""),-0.613368583696117)</f>
        <v>-0.61336858369611702</v>
      </c>
      <c r="EG96" s="3">
        <f ca="1">IFERROR(__xludf.DUMMYFUNCTION("""COMPUTED_VALUE"""),-0.475413186465956)</f>
        <v>-0.47541318646595598</v>
      </c>
      <c r="EH96" s="3">
        <f ca="1">IFERROR(__xludf.DUMMYFUNCTION("""COMPUTED_VALUE"""),-0.529555623550693)</f>
        <v>-0.52955562355069297</v>
      </c>
      <c r="EI96" s="3">
        <f ca="1">IFERROR(__xludf.DUMMYFUNCTION("""COMPUTED_VALUE"""),-0.565760926165298)</f>
        <v>-0.56576092616529805</v>
      </c>
      <c r="EJ96" s="3">
        <f ca="1">IFERROR(__xludf.DUMMYFUNCTION("""COMPUTED_VALUE"""),-0.692246402052811)</f>
        <v>-0.69224640205281096</v>
      </c>
      <c r="EK96" s="3">
        <f ca="1">IFERROR(__xludf.DUMMYFUNCTION("""COMPUTED_VALUE"""),-0.577124740472498)</f>
        <v>-0.57712474047249795</v>
      </c>
      <c r="EL96" s="3">
        <f ca="1">IFERROR(__xludf.DUMMYFUNCTION("""COMPUTED_VALUE"""),-0.597023689890783)</f>
        <v>-0.59702368989078303</v>
      </c>
      <c r="EM96" s="3">
        <f ca="1">IFERROR(__xludf.DUMMYFUNCTION("""COMPUTED_VALUE"""),-0.568256969390615)</f>
        <v>-0.56825696939061499</v>
      </c>
      <c r="EN96" s="3">
        <f ca="1">IFERROR(__xludf.DUMMYFUNCTION("""COMPUTED_VALUE"""),-0.467602008463877)</f>
        <v>-0.46760200846387701</v>
      </c>
      <c r="EO96" s="3">
        <f ca="1">IFERROR(__xludf.DUMMYFUNCTION("""COMPUTED_VALUE"""),-0.488821632462859)</f>
        <v>-0.48882163246285898</v>
      </c>
      <c r="EP96" s="3">
        <f ca="1">IFERROR(__xludf.DUMMYFUNCTION("""COMPUTED_VALUE"""),-0.545451868102933)</f>
        <v>-0.545451868102933</v>
      </c>
      <c r="EQ96" s="3">
        <f ca="1">IFERROR(__xludf.DUMMYFUNCTION("""COMPUTED_VALUE"""),-0.537582127572512)</f>
        <v>-0.537582127572512</v>
      </c>
      <c r="ER96" s="3">
        <f ca="1">IFERROR(__xludf.DUMMYFUNCTION("""COMPUTED_VALUE"""),-0.606120413654467)</f>
        <v>-0.60612041365446701</v>
      </c>
      <c r="ES96" s="3">
        <f ca="1">IFERROR(__xludf.DUMMYFUNCTION("""COMPUTED_VALUE"""),-0.600020123152673)</f>
        <v>-0.60002012315267295</v>
      </c>
      <c r="ET96" s="3">
        <f ca="1">IFERROR(__xludf.DUMMYFUNCTION("""COMPUTED_VALUE"""),-0.561248667771434)</f>
        <v>-0.56124866777143401</v>
      </c>
      <c r="EU96" s="3">
        <f ca="1">IFERROR(__xludf.DUMMYFUNCTION("""COMPUTED_VALUE"""),-0.497944672975575)</f>
        <v>-0.49794467297557499</v>
      </c>
      <c r="EV96" s="3">
        <f ca="1">IFERROR(__xludf.DUMMYFUNCTION("""COMPUTED_VALUE"""),-0.484980755059695)</f>
        <v>-0.48498075505969501</v>
      </c>
      <c r="EW96" s="3">
        <f ca="1">IFERROR(__xludf.DUMMYFUNCTION("""COMPUTED_VALUE"""),-0.581697055994605)</f>
        <v>-0.58169705599460497</v>
      </c>
      <c r="EX96" s="3">
        <f ca="1">IFERROR(__xludf.DUMMYFUNCTION("""COMPUTED_VALUE"""),-0.604453247279132)</f>
        <v>-0.60445324727913197</v>
      </c>
      <c r="EY96" s="3">
        <f ca="1">IFERROR(__xludf.DUMMYFUNCTION("""COMPUTED_VALUE"""),-0.616382139518622)</f>
        <v>-0.61638213951862197</v>
      </c>
      <c r="EZ96" s="3">
        <f ca="1">IFERROR(__xludf.DUMMYFUNCTION("""COMPUTED_VALUE"""),-0.557447664693106)</f>
        <v>-0.55744766469310603</v>
      </c>
      <c r="FA96" s="3">
        <f ca="1">IFERROR(__xludf.DUMMYFUNCTION("""COMPUTED_VALUE"""),-0.537973754174871)</f>
        <v>-0.53797375417487103</v>
      </c>
      <c r="FB96" s="3">
        <f ca="1">IFERROR(__xludf.DUMMYFUNCTION("""COMPUTED_VALUE"""),-0.466898626279844)</f>
        <v>-0.46689862627984402</v>
      </c>
      <c r="FC96" s="3">
        <f ca="1">IFERROR(__xludf.DUMMYFUNCTION("""COMPUTED_VALUE"""),-0.479168085497307)</f>
        <v>-0.47916808549730699</v>
      </c>
      <c r="FD96" s="3">
        <f ca="1">IFERROR(__xludf.DUMMYFUNCTION("""COMPUTED_VALUE"""),-0.571293600154896)</f>
        <v>-0.57129360015489605</v>
      </c>
      <c r="FE96" s="3">
        <f ca="1">IFERROR(__xludf.DUMMYFUNCTION("""COMPUTED_VALUE"""),-0.570663198753331)</f>
        <v>-0.57066319875333105</v>
      </c>
      <c r="FF96" s="3">
        <f ca="1">IFERROR(__xludf.DUMMYFUNCTION("""COMPUTED_VALUE"""),-0.595993672541137)</f>
        <v>-0.595993672541137</v>
      </c>
      <c r="FG96" s="3">
        <f ca="1">IFERROR(__xludf.DUMMYFUNCTION("""COMPUTED_VALUE"""),-0.578725309693035)</f>
        <v>-0.57872530969303504</v>
      </c>
      <c r="FH96" s="3">
        <f ca="1">IFERROR(__xludf.DUMMYFUNCTION("""COMPUTED_VALUE"""),-0.560173273973388)</f>
        <v>-0.56017327397338801</v>
      </c>
      <c r="FI96" s="3">
        <f ca="1">IFERROR(__xludf.DUMMYFUNCTION("""COMPUTED_VALUE"""),-0.497989928752435)</f>
        <v>-0.49798992875243497</v>
      </c>
      <c r="FJ96" s="3">
        <f ca="1">IFERROR(__xludf.DUMMYFUNCTION("""COMPUTED_VALUE"""),-0.4947169973665)</f>
        <v>-0.49471699736649999</v>
      </c>
      <c r="FK96" s="3">
        <f ca="1">IFERROR(__xludf.DUMMYFUNCTION("""COMPUTED_VALUE"""),-0.614491135147604)</f>
        <v>-0.61449113514760401</v>
      </c>
      <c r="FL96" s="3">
        <f ca="1">IFERROR(__xludf.DUMMYFUNCTION("""COMPUTED_VALUE"""),-0.639253123437766)</f>
        <v>-0.63925312343776597</v>
      </c>
      <c r="FM96" s="3">
        <f ca="1">IFERROR(__xludf.DUMMYFUNCTION("""COMPUTED_VALUE"""),-0.603774226918446)</f>
        <v>-0.60377422691844596</v>
      </c>
      <c r="FN96" s="3">
        <f ca="1">IFERROR(__xludf.DUMMYFUNCTION("""COMPUTED_VALUE"""),-0.574614302128774)</f>
        <v>-0.57461430212877396</v>
      </c>
      <c r="FO96" s="3">
        <f ca="1">IFERROR(__xludf.DUMMYFUNCTION("""COMPUTED_VALUE"""),-0.585205451414347)</f>
        <v>-0.58520545141434699</v>
      </c>
      <c r="FP96" s="3">
        <f ca="1">IFERROR(__xludf.DUMMYFUNCTION("""COMPUTED_VALUE"""),-0.469088817220143)</f>
        <v>-0.46908881722014301</v>
      </c>
      <c r="FQ96" s="3">
        <f ca="1">IFERROR(__xludf.DUMMYFUNCTION("""COMPUTED_VALUE"""),-0.492624056251033)</f>
        <v>-0.492624056251033</v>
      </c>
      <c r="FR96" s="3">
        <f ca="1">IFERROR(__xludf.DUMMYFUNCTION("""COMPUTED_VALUE"""),-0.585702685231656)</f>
        <v>-0.58570268523165603</v>
      </c>
      <c r="FS96" s="3">
        <f ca="1">IFERROR(__xludf.DUMMYFUNCTION("""COMPUTED_VALUE"""),-0.579185696134327)</f>
        <v>-0.57918569613432702</v>
      </c>
      <c r="FT96" s="3">
        <f ca="1">IFERROR(__xludf.DUMMYFUNCTION("""COMPUTED_VALUE"""),-0.577371106975583)</f>
        <v>-0.57737110697558303</v>
      </c>
      <c r="FU96" s="3">
        <f ca="1">IFERROR(__xludf.DUMMYFUNCTION("""COMPUTED_VALUE"""),-0.578482200349467)</f>
        <v>-0.57848220034946696</v>
      </c>
      <c r="FV96" s="3">
        <f ca="1">IFERROR(__xludf.DUMMYFUNCTION("""COMPUTED_VALUE"""),-0.543565221933624)</f>
        <v>-0.543565221933624</v>
      </c>
      <c r="FW96" s="3">
        <f ca="1">IFERROR(__xludf.DUMMYFUNCTION("""COMPUTED_VALUE"""),-0.455474082662864)</f>
        <v>-0.45547408266286399</v>
      </c>
      <c r="FX96" s="3">
        <f ca="1">IFERROR(__xludf.DUMMYFUNCTION("""COMPUTED_VALUE"""),-0.489629344566951)</f>
        <v>-0.48962934456695101</v>
      </c>
      <c r="FY96" s="3">
        <f ca="1">IFERROR(__xludf.DUMMYFUNCTION("""COMPUTED_VALUE"""),-0.631831088752299)</f>
        <v>-0.63183108875229899</v>
      </c>
      <c r="FZ96" s="3">
        <f ca="1">IFERROR(__xludf.DUMMYFUNCTION("""COMPUTED_VALUE"""),-0.575558724579055)</f>
        <v>-0.57555872457905499</v>
      </c>
      <c r="GA96" s="3">
        <f ca="1">IFERROR(__xludf.DUMMYFUNCTION("""COMPUTED_VALUE"""),-0.550367913526871)</f>
        <v>-0.55036791352687098</v>
      </c>
      <c r="GB96" s="3">
        <f ca="1">IFERROR(__xludf.DUMMYFUNCTION("""COMPUTED_VALUE"""),-0.588144500584548)</f>
        <v>-0.58814450058454804</v>
      </c>
      <c r="GC96" s="3">
        <f ca="1">IFERROR(__xludf.DUMMYFUNCTION("""COMPUTED_VALUE"""),-0.594023293566907)</f>
        <v>-0.59402329356690697</v>
      </c>
      <c r="GD96" s="3">
        <f ca="1">IFERROR(__xludf.DUMMYFUNCTION("""COMPUTED_VALUE"""),-0.480255209137455)</f>
        <v>-0.48025520913745501</v>
      </c>
      <c r="GE96" s="3">
        <f ca="1">IFERROR(__xludf.DUMMYFUNCTION("""COMPUTED_VALUE"""),-0.490512236438953)</f>
        <v>-0.49051223643895298</v>
      </c>
      <c r="GF96" s="3">
        <f ca="1">IFERROR(__xludf.DUMMYFUNCTION("""COMPUTED_VALUE"""),-0.573477524410781)</f>
        <v>-0.57347752441078104</v>
      </c>
      <c r="GG96" s="3">
        <f ca="1">IFERROR(__xludf.DUMMYFUNCTION("""COMPUTED_VALUE"""),-0.579189896934854)</f>
        <v>-0.57918989693485401</v>
      </c>
      <c r="GH96" s="3">
        <f ca="1">IFERROR(__xludf.DUMMYFUNCTION("""COMPUTED_VALUE"""),-0.568995128867106)</f>
        <v>-0.56899512886710601</v>
      </c>
      <c r="GI96" s="3">
        <f ca="1">IFERROR(__xludf.DUMMYFUNCTION("""COMPUTED_VALUE"""),-0.573347697789263)</f>
        <v>-0.57334769778926298</v>
      </c>
      <c r="GJ96" s="3">
        <f ca="1">IFERROR(__xludf.DUMMYFUNCTION("""COMPUTED_VALUE"""),-0.539264145640163)</f>
        <v>-0.53926414564016301</v>
      </c>
      <c r="GK96" s="3">
        <f ca="1">IFERROR(__xludf.DUMMYFUNCTION("""COMPUTED_VALUE"""),-0.48630787041312)</f>
        <v>-0.48630787041312001</v>
      </c>
      <c r="GL96" s="3">
        <f ca="1">IFERROR(__xludf.DUMMYFUNCTION("""COMPUTED_VALUE"""),-0.483538669883142)</f>
        <v>-0.48353866988314198</v>
      </c>
      <c r="GM96" s="3">
        <f ca="1">IFERROR(__xludf.DUMMYFUNCTION("""COMPUTED_VALUE"""),-0.562054881378578)</f>
        <v>-0.56205488137857795</v>
      </c>
      <c r="GN96" s="3">
        <f ca="1">IFERROR(__xludf.DUMMYFUNCTION("""COMPUTED_VALUE"""),-0.571767315621741)</f>
        <v>-0.57176731562174099</v>
      </c>
      <c r="GO96" s="3">
        <f ca="1">IFERROR(__xludf.DUMMYFUNCTION("""COMPUTED_VALUE"""),-0.566385048451179)</f>
        <v>-0.56638504845117899</v>
      </c>
      <c r="GP96" s="3">
        <f ca="1">IFERROR(__xludf.DUMMYFUNCTION("""COMPUTED_VALUE"""),-0.598070179799138)</f>
        <v>-0.59807017979913801</v>
      </c>
      <c r="GQ96" s="3">
        <f ca="1">IFERROR(__xludf.DUMMYFUNCTION("""COMPUTED_VALUE"""),-0.558270826088602)</f>
        <v>-0.55827082608860201</v>
      </c>
      <c r="GR96" s="3">
        <f ca="1">IFERROR(__xludf.DUMMYFUNCTION("""COMPUTED_VALUE"""),-0.467985366377169)</f>
        <v>-0.46798536637716898</v>
      </c>
      <c r="GS96" s="3">
        <f ca="1">IFERROR(__xludf.DUMMYFUNCTION("""COMPUTED_VALUE"""),-0.490059237485408)</f>
        <v>-0.49005923748540797</v>
      </c>
      <c r="GT96" s="3">
        <f ca="1">IFERROR(__xludf.DUMMYFUNCTION("""COMPUTED_VALUE"""),-0.56554446552088)</f>
        <v>-0.56554446552088</v>
      </c>
      <c r="GU96" s="3">
        <f ca="1">IFERROR(__xludf.DUMMYFUNCTION("""COMPUTED_VALUE"""),-0.580332551176882)</f>
        <v>-0.58033255117688198</v>
      </c>
      <c r="GV96" s="3">
        <f ca="1">IFERROR(__xludf.DUMMYFUNCTION("""COMPUTED_VALUE"""),-0.571349712657757)</f>
        <v>-0.57134971265775703</v>
      </c>
      <c r="GW96" s="3">
        <f ca="1">IFERROR(__xludf.DUMMYFUNCTION("""COMPUTED_VALUE"""),-0.572459006564011)</f>
        <v>-0.57245900656401105</v>
      </c>
      <c r="GX96" s="3">
        <f ca="1">IFERROR(__xludf.DUMMYFUNCTION("""COMPUTED_VALUE"""),-0.55425006967157)</f>
        <v>-0.55425006967156998</v>
      </c>
      <c r="GY96" s="3">
        <f ca="1">IFERROR(__xludf.DUMMYFUNCTION("""COMPUTED_VALUE"""),-0.478360426905381)</f>
        <v>-0.478360426905381</v>
      </c>
      <c r="GZ96" s="3">
        <f ca="1">IFERROR(__xludf.DUMMYFUNCTION("""COMPUTED_VALUE"""),-0.474696881943749)</f>
        <v>-0.47469688194374898</v>
      </c>
      <c r="HA96" s="3">
        <f ca="1">IFERROR(__xludf.DUMMYFUNCTION("""COMPUTED_VALUE"""),-0.563668943457855)</f>
        <v>-0.56366894345785501</v>
      </c>
      <c r="HB96" s="3">
        <f ca="1">IFERROR(__xludf.DUMMYFUNCTION("""COMPUTED_VALUE"""),-0.580874604825486)</f>
        <v>-0.58087460482548603</v>
      </c>
      <c r="HC96" s="3">
        <f ca="1">IFERROR(__xludf.DUMMYFUNCTION("""COMPUTED_VALUE"""),-0.583015023253967)</f>
        <v>-0.58301502325396704</v>
      </c>
      <c r="HD96" s="3">
        <f ca="1">IFERROR(__xludf.DUMMYFUNCTION("""COMPUTED_VALUE"""),-0.588329900093889)</f>
        <v>-0.58832990009388897</v>
      </c>
      <c r="HE96" s="3">
        <f ca="1">IFERROR(__xludf.DUMMYFUNCTION("""COMPUTED_VALUE"""),-0.564182719557923)</f>
        <v>-0.56418271955792298</v>
      </c>
      <c r="HF96" s="3">
        <f ca="1">IFERROR(__xludf.DUMMYFUNCTION("""COMPUTED_VALUE"""),-0.480009407345138)</f>
        <v>-0.48000940734513797</v>
      </c>
      <c r="HG96" s="3">
        <f ca="1">IFERROR(__xludf.DUMMYFUNCTION("""COMPUTED_VALUE"""),-0.477334209806522)</f>
        <v>-0.47733420980652203</v>
      </c>
      <c r="HH96" s="3">
        <f ca="1">IFERROR(__xludf.DUMMYFUNCTION("""COMPUTED_VALUE"""),-0.554999565764767)</f>
        <v>-0.55499956576476706</v>
      </c>
      <c r="HI96" s="3">
        <f ca="1">IFERROR(__xludf.DUMMYFUNCTION("""COMPUTED_VALUE"""),-0.58877252854778)</f>
        <v>-0.58877252854777995</v>
      </c>
      <c r="HJ96" s="3">
        <f ca="1">IFERROR(__xludf.DUMMYFUNCTION("""COMPUTED_VALUE"""),-0.567466397749918)</f>
        <v>-0.56746639774991803</v>
      </c>
      <c r="HK96" s="3">
        <f ca="1">IFERROR(__xludf.DUMMYFUNCTION("""COMPUTED_VALUE"""),-0.525282996320191)</f>
        <v>-0.52528299632019104</v>
      </c>
      <c r="HL96" s="3">
        <f ca="1">IFERROR(__xludf.DUMMYFUNCTION("""COMPUTED_VALUE"""),-0.474526877107425)</f>
        <v>-0.47452687710742503</v>
      </c>
      <c r="HM96" s="3">
        <f ca="1">IFERROR(__xludf.DUMMYFUNCTION("""COMPUTED_VALUE"""),-0.452529568876022)</f>
        <v>-0.45252956887602203</v>
      </c>
      <c r="HN96" s="3">
        <f ca="1">IFERROR(__xludf.DUMMYFUNCTION("""COMPUTED_VALUE"""),-0.459627067370394)</f>
        <v>-0.45962706737039399</v>
      </c>
      <c r="HO96" s="3">
        <f ca="1">IFERROR(__xludf.DUMMYFUNCTION("""COMPUTED_VALUE"""),-0.529897705863507)</f>
        <v>-0.52989770586350704</v>
      </c>
      <c r="HP96" s="3">
        <f ca="1">IFERROR(__xludf.DUMMYFUNCTION("""COMPUTED_VALUE"""),-0.549570799728937)</f>
        <v>-0.54957079972893697</v>
      </c>
      <c r="HQ96" s="3">
        <f ca="1">IFERROR(__xludf.DUMMYFUNCTION("""COMPUTED_VALUE"""),-0.573401522511682)</f>
        <v>-0.57340152251168197</v>
      </c>
      <c r="HR96" s="3">
        <f ca="1">IFERROR(__xludf.DUMMYFUNCTION("""COMPUTED_VALUE"""),-0.563419091010299)</f>
        <v>-0.56341909101029897</v>
      </c>
      <c r="HS96" s="3">
        <f ca="1">IFERROR(__xludf.DUMMYFUNCTION("""COMPUTED_VALUE"""),-0.488560510330176)</f>
        <v>-0.488560510330176</v>
      </c>
      <c r="HT96" s="3">
        <f ca="1">IFERROR(__xludf.DUMMYFUNCTION("""COMPUTED_VALUE"""),-0.460924223341157)</f>
        <v>-0.46092422334115701</v>
      </c>
      <c r="HU96" s="3">
        <f ca="1">IFERROR(__xludf.DUMMYFUNCTION("""COMPUTED_VALUE"""),-0.504993210393841)</f>
        <v>-0.50499321039384104</v>
      </c>
      <c r="HV96" s="3">
        <f ca="1">IFERROR(__xludf.DUMMYFUNCTION("""COMPUTED_VALUE"""),-0.525401010448696)</f>
        <v>-0.52540101044869603</v>
      </c>
      <c r="HW96" s="3">
        <f ca="1">IFERROR(__xludf.DUMMYFUNCTION("""COMPUTED_VALUE"""),-0.548450771084688)</f>
        <v>-0.54845077108468798</v>
      </c>
      <c r="HX96" s="3">
        <f ca="1">IFERROR(__xludf.DUMMYFUNCTION("""COMPUTED_VALUE"""),-0.533019096761775)</f>
        <v>-0.53301909676177495</v>
      </c>
      <c r="HY96" s="3">
        <f ca="1">IFERROR(__xludf.DUMMYFUNCTION("""COMPUTED_VALUE"""),-0.523991481321286)</f>
        <v>-0.52399148132128603</v>
      </c>
      <c r="HZ96" s="3">
        <f ca="1">IFERROR(__xludf.DUMMYFUNCTION("""COMPUTED_VALUE"""),-0.440710210663863)</f>
        <v>-0.44071021066386301</v>
      </c>
      <c r="IA96" s="3">
        <f ca="1">IFERROR(__xludf.DUMMYFUNCTION("""COMPUTED_VALUE"""),-0.466104632447567)</f>
        <v>-0.466104632447567</v>
      </c>
      <c r="IB96" s="3">
        <f ca="1">IFERROR(__xludf.DUMMYFUNCTION("""COMPUTED_VALUE"""),-0.463132838492211)</f>
        <v>-0.46313283849221099</v>
      </c>
      <c r="IC96" s="3">
        <f ca="1">IFERROR(__xludf.DUMMYFUNCTION("""COMPUTED_VALUE"""),-0.487894644634418)</f>
        <v>-0.48789464463441801</v>
      </c>
      <c r="ID96" s="3">
        <f ca="1">IFERROR(__xludf.DUMMYFUNCTION("""COMPUTED_VALUE"""),-0.51070902389861)</f>
        <v>-0.51070902389860995</v>
      </c>
      <c r="IE96" s="3">
        <f ca="1">IFERROR(__xludf.DUMMYFUNCTION("""COMPUTED_VALUE"""),-0.504286888830748)</f>
        <v>-0.50428688883074801</v>
      </c>
      <c r="IF96" s="3">
        <f ca="1">IFERROR(__xludf.DUMMYFUNCTION("""COMPUTED_VALUE"""),-0.490573738875539)</f>
        <v>-0.49057373887553901</v>
      </c>
      <c r="IG96" s="3">
        <f ca="1">IFERROR(__xludf.DUMMYFUNCTION("""COMPUTED_VALUE"""),-0.487797609677665)</f>
        <v>-0.487797609677665</v>
      </c>
      <c r="IH96" s="3">
        <f ca="1">IFERROR(__xludf.DUMMYFUNCTION("""COMPUTED_VALUE"""),-0.531002360853622)</f>
        <v>-0.53100236085362196</v>
      </c>
      <c r="II96" s="3">
        <f ca="1">IFERROR(__xludf.DUMMYFUNCTION("""COMPUTED_VALUE"""),-0.466533451922757)</f>
        <v>-0.46653345192275703</v>
      </c>
      <c r="IJ96" s="3">
        <f ca="1">IFERROR(__xludf.DUMMYFUNCTION("""COMPUTED_VALUE"""),-0.483067375568056)</f>
        <v>-0.48306737556805601</v>
      </c>
      <c r="IK96" s="3">
        <f ca="1">IFERROR(__xludf.DUMMYFUNCTION("""COMPUTED_VALUE"""),-0.537215846279836)</f>
        <v>-0.53721584627983598</v>
      </c>
      <c r="IL96" s="3">
        <f ca="1">IFERROR(__xludf.DUMMYFUNCTION("""COMPUTED_VALUE"""),-0.495070859961354)</f>
        <v>-0.49507085996135403</v>
      </c>
      <c r="IM96" s="3">
        <f ca="1">IFERROR(__xludf.DUMMYFUNCTION("""COMPUTED_VALUE"""),-0.475005179764085)</f>
        <v>-0.47500517976408502</v>
      </c>
      <c r="IN96" s="3">
        <f ca="1">IFERROR(__xludf.DUMMYFUNCTION("""COMPUTED_VALUE"""),-0.467561555419718)</f>
        <v>-0.467561555419718</v>
      </c>
      <c r="IO96" s="3">
        <f ca="1">IFERROR(__xludf.DUMMYFUNCTION("""COMPUTED_VALUE"""),-0.447555700521913)</f>
        <v>-0.44755570052191301</v>
      </c>
      <c r="IP96" s="3">
        <f ca="1">IFERROR(__xludf.DUMMYFUNCTION("""COMPUTED_VALUE"""),-0.464405168797721)</f>
        <v>-0.46440516879772098</v>
      </c>
      <c r="IQ96" s="3">
        <f ca="1">IFERROR(__xludf.DUMMYFUNCTION("""COMPUTED_VALUE"""),-0.49688899980335)</f>
        <v>-0.49688899980335</v>
      </c>
      <c r="IR96" s="3">
        <f ca="1">IFERROR(__xludf.DUMMYFUNCTION("""COMPUTED_VALUE"""),-0.496709224172793)</f>
        <v>-0.49670922417279301</v>
      </c>
      <c r="IS96" s="3">
        <f ca="1">IFERROR(__xludf.DUMMYFUNCTION("""COMPUTED_VALUE"""),-0.416885183619421)</f>
        <v>-0.41688518361942101</v>
      </c>
      <c r="IT96" s="3">
        <f ca="1">IFERROR(__xludf.DUMMYFUNCTION("""COMPUTED_VALUE"""),-0.550430591246993)</f>
        <v>-0.55043059124699301</v>
      </c>
      <c r="IU96" s="3">
        <f ca="1">IFERROR(__xludf.DUMMYFUNCTION("""COMPUTED_VALUE"""),-0.452706934131198)</f>
        <v>-0.452706934131198</v>
      </c>
      <c r="IV96" s="3">
        <f ca="1">IFERROR(__xludf.DUMMYFUNCTION("""COMPUTED_VALUE"""),-0.43370613576529)</f>
        <v>-0.43370613576528999</v>
      </c>
      <c r="IW96" s="3">
        <f ca="1">IFERROR(__xludf.DUMMYFUNCTION("""COMPUTED_VALUE"""),-0.410941746633629)</f>
        <v>-0.41094174663362898</v>
      </c>
      <c r="IX96" s="3">
        <f ca="1">IFERROR(__xludf.DUMMYFUNCTION("""COMPUTED_VALUE"""),-0.464585296353806)</f>
        <v>-0.46458529635380602</v>
      </c>
      <c r="IY96" s="3">
        <f ca="1">IFERROR(__xludf.DUMMYFUNCTION("""COMPUTED_VALUE"""),-0.49660621876577)</f>
        <v>-0.49660621876576999</v>
      </c>
      <c r="IZ96" s="3">
        <f ca="1">IFERROR(__xludf.DUMMYFUNCTION("""COMPUTED_VALUE"""),-0.467367666436449)</f>
        <v>-0.467367666436449</v>
      </c>
      <c r="JA96" s="3">
        <f ca="1">IFERROR(__xludf.DUMMYFUNCTION("""COMPUTED_VALUE"""),-0.471617150094545)</f>
        <v>-0.47161715009454502</v>
      </c>
      <c r="JB96" s="3">
        <f ca="1">IFERROR(__xludf.DUMMYFUNCTION("""COMPUTED_VALUE"""),-0.453441406810189)</f>
        <v>-0.45344140681018902</v>
      </c>
      <c r="JC96" s="3">
        <f ca="1">IFERROR(__xludf.DUMMYFUNCTION("""COMPUTED_VALUE"""),-0.421793190222184)</f>
        <v>-0.42179319022218398</v>
      </c>
      <c r="JD96" s="3">
        <f ca="1">IFERROR(__xludf.DUMMYFUNCTION("""COMPUTED_VALUE"""),-0.421498889448201)</f>
        <v>-0.42149888944820102</v>
      </c>
      <c r="JE96" s="3">
        <f ca="1">IFERROR(__xludf.DUMMYFUNCTION("""COMPUTED_VALUE"""),-0.510460874529034)</f>
        <v>-0.51046087452903399</v>
      </c>
      <c r="JF96" s="3">
        <f ca="1">IFERROR(__xludf.DUMMYFUNCTION("""COMPUTED_VALUE"""),-0.502431768504429)</f>
        <v>-0.50243176850442905</v>
      </c>
      <c r="JG96" s="3">
        <f ca="1">IFERROR(__xludf.DUMMYFUNCTION("""COMPUTED_VALUE"""),-0.496089777482125)</f>
        <v>-0.49608977748212502</v>
      </c>
      <c r="JH96" s="3">
        <f ca="1">IFERROR(__xludf.DUMMYFUNCTION("""COMPUTED_VALUE"""),-0.481636953599757)</f>
        <v>-0.481636953599757</v>
      </c>
      <c r="JI96" s="3">
        <f ca="1">IFERROR(__xludf.DUMMYFUNCTION("""COMPUTED_VALUE"""),-0.459424418692096)</f>
        <v>-0.45942441869209599</v>
      </c>
      <c r="JJ96" s="3">
        <f ca="1">IFERROR(__xludf.DUMMYFUNCTION("""COMPUTED_VALUE"""),-0.431387928724853)</f>
        <v>-0.43138792872485299</v>
      </c>
      <c r="JK96" s="3">
        <f ca="1">IFERROR(__xludf.DUMMYFUNCTION("""COMPUTED_VALUE"""),-0.434633520407577)</f>
        <v>-0.43463352040757702</v>
      </c>
      <c r="JL96" s="3">
        <f ca="1">IFERROR(__xludf.DUMMYFUNCTION("""COMPUTED_VALUE"""),-0.506404051018642)</f>
        <v>-0.50640405101864205</v>
      </c>
      <c r="JM96" s="3">
        <f ca="1">IFERROR(__xludf.DUMMYFUNCTION("""COMPUTED_VALUE"""),-0.495034980690769)</f>
        <v>-0.49503498069076901</v>
      </c>
      <c r="JN96" s="3">
        <f ca="1">IFERROR(__xludf.DUMMYFUNCTION("""COMPUTED_VALUE"""),-0.501263266349072)</f>
        <v>-0.50126326634907203</v>
      </c>
      <c r="JO96" s="3">
        <f ca="1">IFERROR(__xludf.DUMMYFUNCTION("""COMPUTED_VALUE"""),-0.48978579592271)</f>
        <v>-0.48978579592270999</v>
      </c>
      <c r="JP96" s="3">
        <f ca="1">IFERROR(__xludf.DUMMYFUNCTION("""COMPUTED_VALUE"""),-0.454873458879277)</f>
        <v>-0.45487345887927699</v>
      </c>
      <c r="JQ96" s="3">
        <f ca="1">IFERROR(__xludf.DUMMYFUNCTION("""COMPUTED_VALUE"""),-0.410600834251954)</f>
        <v>-0.41060083425195398</v>
      </c>
      <c r="JR96" s="3">
        <f ca="1">IFERROR(__xludf.DUMMYFUNCTION("""COMPUTED_VALUE"""),-0.458628094030436)</f>
        <v>-0.45862809403043597</v>
      </c>
      <c r="JS96" s="3">
        <f ca="1">IFERROR(__xludf.DUMMYFUNCTION("""COMPUTED_VALUE"""),-0.562123347006068)</f>
        <v>-0.56212334700606803</v>
      </c>
      <c r="JT96" s="3">
        <f ca="1">IFERROR(__xludf.DUMMYFUNCTION("""COMPUTED_VALUE"""),-0.43697333775556)</f>
        <v>-0.43697333775556002</v>
      </c>
      <c r="JU96" s="3">
        <f ca="1">IFERROR(__xludf.DUMMYFUNCTION("""COMPUTED_VALUE"""),-0.529788562007569)</f>
        <v>-0.52978856200756896</v>
      </c>
      <c r="JV96" s="3">
        <f ca="1">IFERROR(__xludf.DUMMYFUNCTION("""COMPUTED_VALUE"""),-0.50353962887765)</f>
        <v>-0.50353962887765003</v>
      </c>
      <c r="JW96" s="3">
        <f ca="1">IFERROR(__xludf.DUMMYFUNCTION("""COMPUTED_VALUE"""),-0.485519856100992)</f>
        <v>-0.48551985610099202</v>
      </c>
      <c r="JX96" s="3">
        <f ca="1">IFERROR(__xludf.DUMMYFUNCTION("""COMPUTED_VALUE"""),-0.443845443174448)</f>
        <v>-0.44384544317444802</v>
      </c>
      <c r="JY96" s="3">
        <f ca="1">IFERROR(__xludf.DUMMYFUNCTION("""COMPUTED_VALUE"""),-0.493774418767413)</f>
        <v>-0.49377441876741301</v>
      </c>
      <c r="JZ96" s="3">
        <f ca="1">IFERROR(__xludf.DUMMYFUNCTION("""COMPUTED_VALUE"""),-0.471940665101234)</f>
        <v>-0.471940665101234</v>
      </c>
      <c r="KA96" s="3">
        <f ca="1">IFERROR(__xludf.DUMMYFUNCTION("""COMPUTED_VALUE"""),-0.446285217384465)</f>
        <v>-0.44628521738446503</v>
      </c>
      <c r="KB96" s="3">
        <f ca="1">IFERROR(__xludf.DUMMYFUNCTION("""COMPUTED_VALUE"""),-0.542146156198539)</f>
        <v>-0.54214615619853901</v>
      </c>
      <c r="KC96" s="3">
        <f ca="1">IFERROR(__xludf.DUMMYFUNCTION("""COMPUTED_VALUE"""),-0.519585956325032)</f>
        <v>-0.51958595632503202</v>
      </c>
      <c r="KD96" s="3">
        <f ca="1">IFERROR(__xludf.DUMMYFUNCTION("""COMPUTED_VALUE"""),-0.482796399501299)</f>
        <v>-0.48279639950129899</v>
      </c>
      <c r="KE96" s="3">
        <f ca="1">IFERROR(__xludf.DUMMYFUNCTION("""COMPUTED_VALUE"""),-0.452530203285171)</f>
        <v>-0.45253020328517102</v>
      </c>
      <c r="KF96" s="3">
        <f ca="1">IFERROR(__xludf.DUMMYFUNCTION("""COMPUTED_VALUE"""),-0.480229236753873)</f>
        <v>-0.48022923675387302</v>
      </c>
      <c r="KG96" s="3">
        <f ca="1">IFERROR(__xludf.DUMMYFUNCTION("""COMPUTED_VALUE"""),-0.467645060651645)</f>
        <v>-0.46764506065164502</v>
      </c>
      <c r="KH96" s="3">
        <f ca="1">IFERROR(__xludf.DUMMYFUNCTION("""COMPUTED_VALUE"""),-0.47262488994587)</f>
        <v>-0.47262488994586999</v>
      </c>
      <c r="KI96" s="3">
        <f ca="1">IFERROR(__xludf.DUMMYFUNCTION("""COMPUTED_VALUE"""),-0.523170349413863)</f>
        <v>-0.52317034941386298</v>
      </c>
      <c r="KJ96" s="3">
        <f ca="1">IFERROR(__xludf.DUMMYFUNCTION("""COMPUTED_VALUE"""),-0.49161347133192)</f>
        <v>-0.49161347133192002</v>
      </c>
      <c r="KK96" s="3">
        <f ca="1">IFERROR(__xludf.DUMMYFUNCTION("""COMPUTED_VALUE"""),-0.489885034484761)</f>
        <v>-0.48988503448476101</v>
      </c>
      <c r="KL96" s="3">
        <f ca="1">IFERROR(__xludf.DUMMYFUNCTION("""COMPUTED_VALUE"""),-0.500173563612788)</f>
        <v>-0.50017356361278797</v>
      </c>
      <c r="KM96" s="3">
        <f ca="1">IFERROR(__xludf.DUMMYFUNCTION("""COMPUTED_VALUE"""),-0.533531661071577)</f>
        <v>-0.53353166107157701</v>
      </c>
      <c r="KN96" s="3">
        <f ca="1">IFERROR(__xludf.DUMMYFUNCTION("""COMPUTED_VALUE"""),-0.553651178050406)</f>
        <v>-0.55365117805040598</v>
      </c>
      <c r="KO96" s="3">
        <f ca="1">IFERROR(__xludf.DUMMYFUNCTION("""COMPUTED_VALUE"""),-0.56707135037284)</f>
        <v>-0.56707135037283996</v>
      </c>
      <c r="KP96" s="3">
        <f ca="1">IFERROR(__xludf.DUMMYFUNCTION("""COMPUTED_VALUE"""),-0.564733297815783)</f>
        <v>-0.56473329781578296</v>
      </c>
      <c r="KQ96" s="3">
        <f ca="1">IFERROR(__xludf.DUMMYFUNCTION("""COMPUTED_VALUE"""),-0.548424684101819)</f>
        <v>-0.54842468410181899</v>
      </c>
      <c r="KR96" s="3">
        <f ca="1">IFERROR(__xludf.DUMMYFUNCTION("""COMPUTED_VALUE"""),-0.54240499460005)</f>
        <v>-0.54240499460004998</v>
      </c>
      <c r="KS96" s="3">
        <f ca="1">IFERROR(__xludf.DUMMYFUNCTION("""COMPUTED_VALUE"""),-0.537644658181686)</f>
        <v>-0.53764465818168605</v>
      </c>
      <c r="KT96" s="3">
        <f ca="1">IFERROR(__xludf.DUMMYFUNCTION("""COMPUTED_VALUE"""),-0.562380283696581)</f>
        <v>-0.562380283696581</v>
      </c>
      <c r="KU96" s="3">
        <f ca="1">IFERROR(__xludf.DUMMYFUNCTION("""COMPUTED_VALUE"""),-0.58147095510832)</f>
        <v>-0.58147095510832003</v>
      </c>
      <c r="KV96" s="3">
        <f ca="1">IFERROR(__xludf.DUMMYFUNCTION("""COMPUTED_VALUE"""),-0.609142271491554)</f>
        <v>-0.60914227149155398</v>
      </c>
      <c r="KW96" s="3">
        <f ca="1">IFERROR(__xludf.DUMMYFUNCTION("""COMPUTED_VALUE"""),-0.585420511193169)</f>
        <v>-0.58542051119316896</v>
      </c>
      <c r="KX96" s="3">
        <f ca="1">IFERROR(__xludf.DUMMYFUNCTION("""COMPUTED_VALUE"""),-0.573278099274421)</f>
        <v>-0.57327809927442097</v>
      </c>
      <c r="KY96" s="3">
        <f ca="1">IFERROR(__xludf.DUMMYFUNCTION("""COMPUTED_VALUE"""),-0.56558516238822)</f>
        <v>-0.56558516238821999</v>
      </c>
      <c r="KZ96" s="3">
        <f ca="1">IFERROR(__xludf.DUMMYFUNCTION("""COMPUTED_VALUE"""),-0.545357503197056)</f>
        <v>-0.545357503197056</v>
      </c>
      <c r="LA96" s="3">
        <f ca="1">IFERROR(__xludf.DUMMYFUNCTION("""COMPUTED_VALUE"""),-0.584137318631325)</f>
        <v>-0.58413731863132501</v>
      </c>
      <c r="LB96" s="3">
        <f ca="1">IFERROR(__xludf.DUMMYFUNCTION("""COMPUTED_VALUE"""),-0.643873161667542)</f>
        <v>-0.64387316166754205</v>
      </c>
      <c r="LC96" s="3">
        <f ca="1">IFERROR(__xludf.DUMMYFUNCTION("""COMPUTED_VALUE"""),-0.611592820736256)</f>
        <v>-0.61159282073625598</v>
      </c>
      <c r="LD96" s="3">
        <f ca="1">IFERROR(__xludf.DUMMYFUNCTION("""COMPUTED_VALUE"""),-0.626123150437029)</f>
        <v>-0.62612315043702904</v>
      </c>
      <c r="LE96" s="3">
        <f ca="1">IFERROR(__xludf.DUMMYFUNCTION("""COMPUTED_VALUE"""),-0.624486324168967)</f>
        <v>-0.62448632416896699</v>
      </c>
      <c r="LF96" s="3">
        <f ca="1">IFERROR(__xludf.DUMMYFUNCTION("""COMPUTED_VALUE"""),-0.578006887749489)</f>
        <v>-0.57800688774948905</v>
      </c>
      <c r="LG96" s="3">
        <f ca="1">IFERROR(__xludf.DUMMYFUNCTION("""COMPUTED_VALUE"""),-0.600733826756551)</f>
        <v>-0.60073382675655096</v>
      </c>
      <c r="LH96" s="3">
        <f ca="1">IFERROR(__xludf.DUMMYFUNCTION("""COMPUTED_VALUE"""),-0.59299716513073)</f>
        <v>-0.59299716513072998</v>
      </c>
      <c r="LI96" s="3">
        <f ca="1">IFERROR(__xludf.DUMMYFUNCTION("""COMPUTED_VALUE"""),-0.650251012445399)</f>
        <v>-0.65025101244539896</v>
      </c>
      <c r="LJ96" s="3">
        <f ca="1">IFERROR(__xludf.DUMMYFUNCTION("""COMPUTED_VALUE"""),-0.636965095588127)</f>
        <v>-0.63696509558812697</v>
      </c>
      <c r="LK96" s="3">
        <f ca="1">IFERROR(__xludf.DUMMYFUNCTION("""COMPUTED_VALUE"""),-0.627025459536612)</f>
        <v>-0.62702545953661204</v>
      </c>
      <c r="LL96" s="3">
        <f ca="1">IFERROR(__xludf.DUMMYFUNCTION("""COMPUTED_VALUE"""),-0.615270838025755)</f>
        <v>-0.615270838025755</v>
      </c>
      <c r="LM96" s="3">
        <f ca="1">IFERROR(__xludf.DUMMYFUNCTION("""COMPUTED_VALUE"""),-0.669285888556189)</f>
        <v>-0.66928588855618898</v>
      </c>
      <c r="LN96" s="3">
        <f ca="1">IFERROR(__xludf.DUMMYFUNCTION("""COMPUTED_VALUE"""),-0.615201614189028)</f>
        <v>-0.61520161418902797</v>
      </c>
      <c r="LO96" s="3">
        <f ca="1">IFERROR(__xludf.DUMMYFUNCTION("""COMPUTED_VALUE"""),-0.682097898205758)</f>
        <v>-0.68209789820575795</v>
      </c>
      <c r="LP96" s="3">
        <f ca="1">IFERROR(__xludf.DUMMYFUNCTION("""COMPUTED_VALUE"""),-0.672648378766072)</f>
        <v>-0.67264837876607197</v>
      </c>
      <c r="LQ96" s="3">
        <f ca="1">IFERROR(__xludf.DUMMYFUNCTION("""COMPUTED_VALUE"""),-0.652297724087473)</f>
        <v>-0.652297724087473</v>
      </c>
      <c r="LR96" s="3">
        <f ca="1">IFERROR(__xludf.DUMMYFUNCTION("""COMPUTED_VALUE"""),-0.662717636916123)</f>
        <v>-0.66271763691612295</v>
      </c>
      <c r="LS96" s="3">
        <f ca="1">IFERROR(__xludf.DUMMYFUNCTION("""COMPUTED_VALUE"""),-0.65322699372047)</f>
        <v>-0.65322699372046999</v>
      </c>
      <c r="LT96" s="3">
        <f ca="1">IFERROR(__xludf.DUMMYFUNCTION("""COMPUTED_VALUE"""),-0.617766679090993)</f>
        <v>-0.61776667909099303</v>
      </c>
      <c r="LU96" s="3">
        <f ca="1">IFERROR(__xludf.DUMMYFUNCTION("""COMPUTED_VALUE"""),-0.602765866120872)</f>
        <v>-0.60276586612087202</v>
      </c>
      <c r="LV96" s="3">
        <f ca="1">IFERROR(__xludf.DUMMYFUNCTION("""COMPUTED_VALUE"""),-0.646079347857211)</f>
        <v>-0.64607934785721099</v>
      </c>
      <c r="LW96" s="3">
        <f ca="1">IFERROR(__xludf.DUMMYFUNCTION("""COMPUTED_VALUE"""),-0.663057765211142)</f>
        <v>-0.66305776521114201</v>
      </c>
      <c r="LX96" s="3">
        <f ca="1">IFERROR(__xludf.DUMMYFUNCTION("""COMPUTED_VALUE"""),-0.671282247732215)</f>
        <v>-0.67128224773221501</v>
      </c>
      <c r="LY96" s="3">
        <f ca="1">IFERROR(__xludf.DUMMYFUNCTION("""COMPUTED_VALUE"""),-0.674608032201824)</f>
        <v>-0.67460803220182397</v>
      </c>
      <c r="LZ96" s="3">
        <f ca="1">IFERROR(__xludf.DUMMYFUNCTION("""COMPUTED_VALUE"""),-0.651878085750571)</f>
        <v>-0.65187808575057105</v>
      </c>
      <c r="MA96" s="3">
        <f ca="1">IFERROR(__xludf.DUMMYFUNCTION("""COMPUTED_VALUE"""),-0.635349630455794)</f>
        <v>-0.63534963045579396</v>
      </c>
      <c r="MB96" s="3">
        <f ca="1">IFERROR(__xludf.DUMMYFUNCTION("""COMPUTED_VALUE"""),-0.60866310601291)</f>
        <v>-0.60866310601290996</v>
      </c>
      <c r="MC96" s="3">
        <f ca="1">IFERROR(__xludf.DUMMYFUNCTION("""COMPUTED_VALUE"""),-0.691405540860367)</f>
        <v>-0.69140554086036699</v>
      </c>
      <c r="MD96" s="3">
        <f ca="1">IFERROR(__xludf.DUMMYFUNCTION("""COMPUTED_VALUE"""),-0.705544467894371)</f>
        <v>-0.70554446789437097</v>
      </c>
      <c r="ME96" s="3">
        <f ca="1">IFERROR(__xludf.DUMMYFUNCTION("""COMPUTED_VALUE"""),-0.660571163957238)</f>
        <v>-0.66057116395723803</v>
      </c>
      <c r="MF96" s="3">
        <f ca="1">IFERROR(__xludf.DUMMYFUNCTION("""COMPUTED_VALUE"""),-0.66194730548425)</f>
        <v>-0.66194730548424996</v>
      </c>
      <c r="MG96" s="3">
        <f ca="1">IFERROR(__xludf.DUMMYFUNCTION("""COMPUTED_VALUE"""),-0.67625946076292)</f>
        <v>-0.67625946076291998</v>
      </c>
      <c r="MH96" s="3">
        <f ca="1">IFERROR(__xludf.DUMMYFUNCTION("""COMPUTED_VALUE"""),-0.65695148062241)</f>
        <v>-0.65695148062241004</v>
      </c>
      <c r="MI96" s="3">
        <f ca="1">IFERROR(__xludf.DUMMYFUNCTION("""COMPUTED_VALUE"""),-0.579708247572088)</f>
        <v>-0.57970824757208805</v>
      </c>
      <c r="MJ96" s="3">
        <f ca="1">IFERROR(__xludf.DUMMYFUNCTION("""COMPUTED_VALUE"""),-0.672190191290793)</f>
        <v>-0.67219019129079305</v>
      </c>
      <c r="MK96" s="3">
        <f ca="1">IFERROR(__xludf.DUMMYFUNCTION("""COMPUTED_VALUE"""),-0.69390551100212)</f>
        <v>-0.69390551100211995</v>
      </c>
      <c r="ML96" s="3">
        <f ca="1">IFERROR(__xludf.DUMMYFUNCTION("""COMPUTED_VALUE"""),-0.714536948140434)</f>
        <v>-0.714536948140434</v>
      </c>
      <c r="MM96" s="3">
        <f ca="1">IFERROR(__xludf.DUMMYFUNCTION("""COMPUTED_VALUE"""),-0.642261373666322)</f>
        <v>-0.64226137366632197</v>
      </c>
      <c r="MN96" s="3">
        <f ca="1">IFERROR(__xludf.DUMMYFUNCTION("""COMPUTED_VALUE"""),-0.650540744802047)</f>
        <v>-0.65054074480204704</v>
      </c>
      <c r="MO96" s="3">
        <f ca="1">IFERROR(__xludf.DUMMYFUNCTION("""COMPUTED_VALUE"""),-0.691917591401475)</f>
        <v>-0.69191759140147502</v>
      </c>
      <c r="MP96" s="3">
        <f ca="1">IFERROR(__xludf.DUMMYFUNCTION("""COMPUTED_VALUE"""),-0.684191532959238)</f>
        <v>-0.68419153295923796</v>
      </c>
      <c r="MQ96" s="3">
        <f ca="1">IFERROR(__xludf.DUMMYFUNCTION("""COMPUTED_VALUE"""),-0.687867048589712)</f>
        <v>-0.68786704858971204</v>
      </c>
      <c r="MR96" s="3">
        <f ca="1">IFERROR(__xludf.DUMMYFUNCTION("""COMPUTED_VALUE"""),-0.704755518074347)</f>
        <v>-0.704755518074347</v>
      </c>
      <c r="MS96" s="3">
        <f ca="1">IFERROR(__xludf.DUMMYFUNCTION("""COMPUTED_VALUE"""),-0.712730259807812)</f>
        <v>-0.71273025980781202</v>
      </c>
      <c r="MT96" s="3">
        <f ca="1">IFERROR(__xludf.DUMMYFUNCTION("""COMPUTED_VALUE"""),-0.693629654014304)</f>
        <v>-0.69362965401430399</v>
      </c>
      <c r="MU96" s="3">
        <f ca="1">IFERROR(__xludf.DUMMYFUNCTION("""COMPUTED_VALUE"""),-0.693009835205144)</f>
        <v>-0.69300983520514403</v>
      </c>
      <c r="MV96" s="3">
        <f ca="1">IFERROR(__xludf.DUMMYFUNCTION("""COMPUTED_VALUE"""),-0.657260058911502)</f>
        <v>-0.65726005891150197</v>
      </c>
      <c r="MW96" s="3">
        <f ca="1">IFERROR(__xludf.DUMMYFUNCTION("""COMPUTED_VALUE"""),-0.65930662825503)</f>
        <v>-0.65930662825502995</v>
      </c>
      <c r="MX96" s="3">
        <f ca="1">IFERROR(__xludf.DUMMYFUNCTION("""COMPUTED_VALUE"""),-0.715010177990929)</f>
        <v>-0.71501017799092903</v>
      </c>
      <c r="MY96" s="3">
        <f ca="1">IFERROR(__xludf.DUMMYFUNCTION("""COMPUTED_VALUE"""),-0.661179456276864)</f>
        <v>-0.66117945627686403</v>
      </c>
      <c r="MZ96" s="3">
        <f ca="1">IFERROR(__xludf.DUMMYFUNCTION("""COMPUTED_VALUE"""),-0.701698586946937)</f>
        <v>-0.70169858694693699</v>
      </c>
      <c r="NA96" s="3">
        <f ca="1">IFERROR(__xludf.DUMMYFUNCTION("""COMPUTED_VALUE"""),-0.709471349424259)</f>
        <v>-0.70947134942425905</v>
      </c>
      <c r="NB96" s="3">
        <f ca="1">IFERROR(__xludf.DUMMYFUNCTION("""COMPUTED_VALUE"""),-0.690403876879181)</f>
        <v>-0.69040387687918103</v>
      </c>
      <c r="NC96" s="3">
        <f ca="1">IFERROR(__xludf.DUMMYFUNCTION("""COMPUTED_VALUE"""),-0.745474826359838)</f>
        <v>-0.74547482635983797</v>
      </c>
      <c r="ND96" s="3">
        <f ca="1">IFERROR(__xludf.DUMMYFUNCTION("""COMPUTED_VALUE"""),-0.688508441458489)</f>
        <v>-0.688508441458489</v>
      </c>
      <c r="NE96" s="3">
        <f ca="1">IFERROR(__xludf.DUMMYFUNCTION("""COMPUTED_VALUE"""),-0.704001618553243)</f>
        <v>-0.70400161855324295</v>
      </c>
      <c r="NF96" s="3">
        <f ca="1">IFERROR(__xludf.DUMMYFUNCTION("""COMPUTED_VALUE"""),-0.702385895969868)</f>
        <v>-0.702385895969868</v>
      </c>
      <c r="NG96" s="3">
        <f ca="1">IFERROR(__xludf.DUMMYFUNCTION("""COMPUTED_VALUE"""),-0.671015618754214)</f>
        <v>-0.671015618754214</v>
      </c>
      <c r="NH96" s="3">
        <f ca="1">IFERROR(__xludf.DUMMYFUNCTION("""COMPUTED_VALUE"""),-0.70952633117417)</f>
        <v>-0.70952633117416997</v>
      </c>
      <c r="NI96" s="3">
        <f ca="1">IFERROR(__xludf.DUMMYFUNCTION("""COMPUTED_VALUE"""),-0.697995581156775)</f>
        <v>-0.69799558115677496</v>
      </c>
      <c r="NJ96" s="3">
        <f ca="1">IFERROR(__xludf.DUMMYFUNCTION("""COMPUTED_VALUE"""),-0.678437896800542)</f>
        <v>-0.67843789680054201</v>
      </c>
      <c r="NK96" s="3">
        <f ca="1">IFERROR(__xludf.DUMMYFUNCTION("""COMPUTED_VALUE"""),-0.66822359116955)</f>
        <v>-0.66822359116954999</v>
      </c>
      <c r="NL96" s="3">
        <f ca="1">IFERROR(__xludf.DUMMYFUNCTION("""COMPUTED_VALUE"""),-0.702067901780806)</f>
        <v>-0.70206790178080603</v>
      </c>
      <c r="NM96" s="3">
        <f ca="1">IFERROR(__xludf.DUMMYFUNCTION("""COMPUTED_VALUE"""),-0.678932879990788)</f>
        <v>-0.678932879990788</v>
      </c>
      <c r="NN96" s="3">
        <f ca="1">IFERROR(__xludf.DUMMYFUNCTION("""COMPUTED_VALUE"""),-0.640224077714941)</f>
        <v>-0.64022407771494105</v>
      </c>
      <c r="NO96" s="3">
        <f ca="1">IFERROR(__xludf.DUMMYFUNCTION("""COMPUTED_VALUE"""),-0.661642621985189)</f>
        <v>-0.66164262198518897</v>
      </c>
      <c r="NP96" s="3">
        <f ca="1">IFERROR(__xludf.DUMMYFUNCTION("""COMPUTED_VALUE"""),-0.644635667477002)</f>
        <v>-0.64463566747700196</v>
      </c>
      <c r="NQ96" s="3">
        <f ca="1">IFERROR(__xludf.DUMMYFUNCTION("""COMPUTED_VALUE"""),-0.612851893947055)</f>
        <v>-0.61285189394705497</v>
      </c>
      <c r="NR96" s="3">
        <f ca="1">IFERROR(__xludf.DUMMYFUNCTION("""COMPUTED_VALUE"""),-0.636598298602735)</f>
        <v>-0.63659829860273498</v>
      </c>
      <c r="NS96" s="3">
        <f ca="1">IFERROR(__xludf.DUMMYFUNCTION("""COMPUTED_VALUE"""),-0.674237059728846)</f>
        <v>-0.67423705972884596</v>
      </c>
      <c r="NT96" s="3">
        <f ca="1">IFERROR(__xludf.DUMMYFUNCTION("""COMPUTED_VALUE"""),-0.646669991402642)</f>
        <v>-0.64666999140264203</v>
      </c>
      <c r="NU96" s="3">
        <f ca="1">IFERROR(__xludf.DUMMYFUNCTION("""COMPUTED_VALUE"""),-0.646800788909699)</f>
        <v>-0.64680078890969905</v>
      </c>
      <c r="NV96" s="3">
        <f ca="1">IFERROR(__xludf.DUMMYFUNCTION("""COMPUTED_VALUE"""),-0.669771150675299)</f>
        <v>-0.66977115067529902</v>
      </c>
      <c r="NW96" s="3">
        <f ca="1">IFERROR(__xludf.DUMMYFUNCTION("""COMPUTED_VALUE"""),-0.63345528351644)</f>
        <v>-0.63345528351643998</v>
      </c>
      <c r="NX96" s="3">
        <f ca="1">IFERROR(__xludf.DUMMYFUNCTION("""COMPUTED_VALUE"""),-0.668458266555657)</f>
        <v>-0.66845826655565699</v>
      </c>
      <c r="NY96" s="3">
        <f ca="1">IFERROR(__xludf.DUMMYFUNCTION("""COMPUTED_VALUE"""),-0.582037427140032)</f>
        <v>-0.58203742714003204</v>
      </c>
      <c r="NZ96" s="3">
        <f ca="1">IFERROR(__xludf.DUMMYFUNCTION("""COMPUTED_VALUE"""),-0.596488088689082)</f>
        <v>-0.59648808868908199</v>
      </c>
      <c r="OA96" s="3">
        <f ca="1">IFERROR(__xludf.DUMMYFUNCTION("""COMPUTED_VALUE"""),-0.56130455770804)</f>
        <v>-0.56130455770804</v>
      </c>
      <c r="OB96" s="3">
        <f ca="1">IFERROR(__xludf.DUMMYFUNCTION("""COMPUTED_VALUE"""),-0.556810526174909)</f>
        <v>-0.556810526174909</v>
      </c>
      <c r="OC96" s="3">
        <f ca="1">IFERROR(__xludf.DUMMYFUNCTION("""COMPUTED_VALUE"""),-0.514303299278144)</f>
        <v>-0.514303299278144</v>
      </c>
      <c r="OD96" s="3">
        <f ca="1">IFERROR(__xludf.DUMMYFUNCTION("""COMPUTED_VALUE"""),-0.479862195875679)</f>
        <v>-0.47986219587567902</v>
      </c>
      <c r="OE96" s="3">
        <f ca="1">IFERROR(__xludf.DUMMYFUNCTION("""COMPUTED_VALUE"""),-0.373185936772071)</f>
        <v>-0.37318593677207101</v>
      </c>
      <c r="OF96" s="3">
        <f ca="1">IFERROR(__xludf.DUMMYFUNCTION("""COMPUTED_VALUE"""),-0.256831032538461)</f>
        <v>-0.25683103253846101</v>
      </c>
      <c r="OG96" s="3">
        <f ca="1">IFERROR(__xludf.DUMMYFUNCTION("""COMPUTED_VALUE"""),-0.227883643773387)</f>
        <v>-0.22788364377338699</v>
      </c>
      <c r="OH96" s="3">
        <f ca="1">IFERROR(__xludf.DUMMYFUNCTION("""COMPUTED_VALUE"""),-0.211746070429746)</f>
        <v>-0.211746070429746</v>
      </c>
      <c r="OI96" s="3">
        <f ca="1">IFERROR(__xludf.DUMMYFUNCTION("""COMPUTED_VALUE"""),-0.146353283282066)</f>
        <v>-0.14635328328206601</v>
      </c>
      <c r="OJ96" s="3">
        <f ca="1">IFERROR(__xludf.DUMMYFUNCTION("""COMPUTED_VALUE"""),-0.11492998143457)</f>
        <v>-0.11492998143457001</v>
      </c>
      <c r="OK96" s="3">
        <f ca="1">IFERROR(__xludf.DUMMYFUNCTION("""COMPUTED_VALUE"""),-0.0978945969983409)</f>
        <v>-9.7894596998340896E-2</v>
      </c>
      <c r="OL96" s="3">
        <f ca="1">IFERROR(__xludf.DUMMYFUNCTION("""COMPUTED_VALUE"""),0.00168912041477797)</f>
        <v>1.6891204147779699E-3</v>
      </c>
      <c r="OM96" s="3">
        <f ca="1">IFERROR(__xludf.DUMMYFUNCTION("""COMPUTED_VALUE"""),0.0107302315358444)</f>
        <v>1.07302315358444E-2</v>
      </c>
      <c r="ON96" s="3">
        <f ca="1">IFERROR(__xludf.DUMMYFUNCTION("""COMPUTED_VALUE"""),-0.0135790497400154)</f>
        <v>-1.3579049740015401E-2</v>
      </c>
      <c r="OO96" s="3">
        <f ca="1">IFERROR(__xludf.DUMMYFUNCTION("""COMPUTED_VALUE"""),-0.0636897769888292)</f>
        <v>-6.3689776988829203E-2</v>
      </c>
      <c r="OP96" s="3">
        <f ca="1">IFERROR(__xludf.DUMMYFUNCTION("""COMPUTED_VALUE"""),-0.0192756198217554)</f>
        <v>-1.9275619821755401E-2</v>
      </c>
      <c r="OQ96" s="3">
        <f ca="1">IFERROR(__xludf.DUMMYFUNCTION("""COMPUTED_VALUE"""),-0.000980202443942035)</f>
        <v>-9.8020244394203494E-4</v>
      </c>
      <c r="OR96" s="3">
        <f ca="1">IFERROR(__xludf.DUMMYFUNCTION("""COMPUTED_VALUE"""),-0.0203415174415168)</f>
        <v>-2.0341517441516799E-2</v>
      </c>
      <c r="OS96" s="3">
        <f ca="1">IFERROR(__xludf.DUMMYFUNCTION("""COMPUTED_VALUE"""),0.0105134605459817)</f>
        <v>1.05134605459817E-2</v>
      </c>
      <c r="OT96" s="3">
        <f ca="1">IFERROR(__xludf.DUMMYFUNCTION("""COMPUTED_VALUE"""),0.0447866876038174)</f>
        <v>4.4786687603817397E-2</v>
      </c>
      <c r="OU96" s="3">
        <f ca="1">IFERROR(__xludf.DUMMYFUNCTION("""COMPUTED_VALUE"""),-0.0061024131083166)</f>
        <v>-6.1024131083165997E-3</v>
      </c>
      <c r="OV96" s="3">
        <f ca="1">IFERROR(__xludf.DUMMYFUNCTION("""COMPUTED_VALUE"""),-0.00608962711690419)</f>
        <v>-6.0896271169041897E-3</v>
      </c>
      <c r="OW96" s="3">
        <f ca="1">IFERROR(__xludf.DUMMYFUNCTION("""COMPUTED_VALUE"""),-0.0285138859786764)</f>
        <v>-2.85138859786764E-2</v>
      </c>
      <c r="OX96" s="3">
        <f ca="1">IFERROR(__xludf.DUMMYFUNCTION("""COMPUTED_VALUE"""),0.0259154814846001)</f>
        <v>2.59154814846001E-2</v>
      </c>
      <c r="OY96" s="3">
        <f ca="1">IFERROR(__xludf.DUMMYFUNCTION("""COMPUTED_VALUE"""),-0.0296453617686733)</f>
        <v>-2.9645361768673301E-2</v>
      </c>
      <c r="OZ96" s="3">
        <f ca="1">IFERROR(__xludf.DUMMYFUNCTION("""COMPUTED_VALUE"""),0.0741512934071977)</f>
        <v>7.4151293407197699E-2</v>
      </c>
      <c r="PA96" s="3">
        <f ca="1">IFERROR(__xludf.DUMMYFUNCTION("""COMPUTED_VALUE"""),0.0451248401254669)</f>
        <v>4.51248401254669E-2</v>
      </c>
      <c r="PB96" s="3">
        <f ca="1">IFERROR(__xludf.DUMMYFUNCTION("""COMPUTED_VALUE"""),0.0198958501423287)</f>
        <v>1.9895850142328701E-2</v>
      </c>
      <c r="PC96" s="3">
        <f ca="1">IFERROR(__xludf.DUMMYFUNCTION("""COMPUTED_VALUE"""),-0.0141473069129035)</f>
        <v>-1.4147306912903499E-2</v>
      </c>
      <c r="PD96" s="3">
        <f ca="1">IFERROR(__xludf.DUMMYFUNCTION("""COMPUTED_VALUE"""),-0.0246427165134468)</f>
        <v>-2.4642716513446801E-2</v>
      </c>
      <c r="PE96" s="3">
        <f ca="1">IFERROR(__xludf.DUMMYFUNCTION("""COMPUTED_VALUE"""),0.0333229108906247)</f>
        <v>3.3322910890624703E-2</v>
      </c>
      <c r="PF96" s="3">
        <f ca="1">IFERROR(__xludf.DUMMYFUNCTION("""COMPUTED_VALUE"""),0.0608571663230166)</f>
        <v>6.0857166323016597E-2</v>
      </c>
      <c r="PG96" s="3">
        <f ca="1">IFERROR(__xludf.DUMMYFUNCTION("""COMPUTED_VALUE"""),-0.0439530099634105)</f>
        <v>-4.3953009963410498E-2</v>
      </c>
      <c r="PH96" s="3">
        <f ca="1">IFERROR(__xludf.DUMMYFUNCTION("""COMPUTED_VALUE"""),0.0097443627010525)</f>
        <v>9.7443627010525002E-3</v>
      </c>
      <c r="PI96" s="3">
        <f ca="1">IFERROR(__xludf.DUMMYFUNCTION("""COMPUTED_VALUE"""),-0.0399623127174341)</f>
        <v>-3.9962312717434098E-2</v>
      </c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</row>
    <row r="97" spans="1:477" ht="13">
      <c r="A97" s="1" t="str">
        <f ca="1">IFERROR(__xludf.DUMMYFUNCTION("""COMPUTED_VALUE"""),"Lignes d'Azur")</f>
        <v>Lignes d'Azur</v>
      </c>
      <c r="B97" s="1" t="str">
        <f ca="1">IFERROR(__xludf.DUMMYFUNCTION("""COMPUTED_VALUE"""),"Nice")</f>
        <v>Nice</v>
      </c>
      <c r="C97" s="1" t="str">
        <f ca="1">IFERROR(__xludf.DUMMYFUNCTION("""COMPUTED_VALUE"""),"France")</f>
        <v>France</v>
      </c>
      <c r="D97" s="1" t="str">
        <f ca="1">IFERROR(__xludf.DUMMYFUNCTION("""COMPUTED_VALUE"""),"Provence-Alpes-Côte-d’Azur")</f>
        <v>Provence-Alpes-Côte-d’Azur</v>
      </c>
      <c r="E97" s="3">
        <f ca="1">IFERROR(__xludf.DUMMYFUNCTION("""COMPUTED_VALUE"""),-0.537851841723607)</f>
        <v>-0.537851841723607</v>
      </c>
      <c r="F97" s="3">
        <f ca="1">IFERROR(__xludf.DUMMYFUNCTION("""COMPUTED_VALUE"""),-0.541117155326714)</f>
        <v>-0.54111715532671401</v>
      </c>
      <c r="G97" s="3">
        <f ca="1">IFERROR(__xludf.DUMMYFUNCTION("""COMPUTED_VALUE"""),-0.54960799862819)</f>
        <v>-0.54960799862818999</v>
      </c>
      <c r="H97" s="3">
        <f ca="1">IFERROR(__xludf.DUMMYFUNCTION("""COMPUTED_VALUE"""),-0.594454197225851)</f>
        <v>-0.59445419722585102</v>
      </c>
      <c r="I97" s="3">
        <f ca="1">IFERROR(__xludf.DUMMYFUNCTION("""COMPUTED_VALUE"""),-0.587484030945302)</f>
        <v>-0.58748403094530199</v>
      </c>
      <c r="J97" s="3">
        <f ca="1">IFERROR(__xludf.DUMMYFUNCTION("""COMPUTED_VALUE"""),-0.578626386240093)</f>
        <v>-0.57862638624009299</v>
      </c>
      <c r="K97" s="3">
        <f ca="1">IFERROR(__xludf.DUMMYFUNCTION("""COMPUTED_VALUE"""),-0.526589299726594)</f>
        <v>-0.52658929972659396</v>
      </c>
      <c r="L97" s="3">
        <f ca="1">IFERROR(__xludf.DUMMYFUNCTION("""COMPUTED_VALUE"""),-0.528522042251944)</f>
        <v>-0.52852204225194399</v>
      </c>
      <c r="M97" s="3">
        <f ca="1">IFERROR(__xludf.DUMMYFUNCTION("""COMPUTED_VALUE"""),-0.753903951378701)</f>
        <v>-0.75390395137870103</v>
      </c>
      <c r="N97" s="3">
        <f ca="1">IFERROR(__xludf.DUMMYFUNCTION("""COMPUTED_VALUE"""),-0.473261333210036)</f>
        <v>-0.47326133321003599</v>
      </c>
      <c r="O97" s="3">
        <f ca="1">IFERROR(__xludf.DUMMYFUNCTION("""COMPUTED_VALUE"""),-0.470439591608401)</f>
        <v>-0.47043959160840099</v>
      </c>
      <c r="P97" s="3">
        <f ca="1">IFERROR(__xludf.DUMMYFUNCTION("""COMPUTED_VALUE"""),-0.457776564358628)</f>
        <v>-0.45777656435862801</v>
      </c>
      <c r="Q97" s="3">
        <f ca="1">IFERROR(__xludf.DUMMYFUNCTION("""COMPUTED_VALUE"""),-0.451207881726225)</f>
        <v>-0.451207881726225</v>
      </c>
      <c r="R97" s="3">
        <f ca="1">IFERROR(__xludf.DUMMYFUNCTION("""COMPUTED_VALUE"""),-0.414250647500575)</f>
        <v>-0.414250647500575</v>
      </c>
      <c r="S97" s="3">
        <f ca="1">IFERROR(__xludf.DUMMYFUNCTION("""COMPUTED_VALUE"""),-0.506528531996897)</f>
        <v>-0.50652853199689696</v>
      </c>
      <c r="T97" s="3">
        <f ca="1">IFERROR(__xludf.DUMMYFUNCTION("""COMPUTED_VALUE"""),-0.521151960151185)</f>
        <v>-0.52115196015118503</v>
      </c>
      <c r="U97" s="3">
        <f ca="1">IFERROR(__xludf.DUMMYFUNCTION("""COMPUTED_VALUE"""),-0.517250754970973)</f>
        <v>-0.51725075497097295</v>
      </c>
      <c r="V97" s="3">
        <f ca="1">IFERROR(__xludf.DUMMYFUNCTION("""COMPUTED_VALUE"""),-0.501582132195788)</f>
        <v>-0.50158213219578796</v>
      </c>
      <c r="W97" s="3">
        <f ca="1">IFERROR(__xludf.DUMMYFUNCTION("""COMPUTED_VALUE"""),-0.407949761129523)</f>
        <v>-0.40794976112952303</v>
      </c>
      <c r="X97" s="3">
        <f ca="1">IFERROR(__xludf.DUMMYFUNCTION("""COMPUTED_VALUE"""),-0.494757020687894)</f>
        <v>-0.49475702068789401</v>
      </c>
      <c r="Y97" s="3">
        <f ca="1">IFERROR(__xludf.DUMMYFUNCTION("""COMPUTED_VALUE"""),-0.518538439808815)</f>
        <v>-0.51853843980881498</v>
      </c>
      <c r="Z97" s="3">
        <f ca="1">IFERROR(__xludf.DUMMYFUNCTION("""COMPUTED_VALUE"""),-0.644601056987584)</f>
        <v>-0.64460105698758396</v>
      </c>
      <c r="AA97" s="3">
        <f ca="1">IFERROR(__xludf.DUMMYFUNCTION("""COMPUTED_VALUE"""),-0.446359083454153)</f>
        <v>-0.44635908345415298</v>
      </c>
      <c r="AB97" s="3">
        <f ca="1">IFERROR(__xludf.DUMMYFUNCTION("""COMPUTED_VALUE"""),-0.511484114861383)</f>
        <v>-0.51148411486138301</v>
      </c>
      <c r="AC97" s="3">
        <f ca="1">IFERROR(__xludf.DUMMYFUNCTION("""COMPUTED_VALUE"""),-0.515063721618626)</f>
        <v>-0.51506372161862601</v>
      </c>
      <c r="AD97" s="3">
        <f ca="1">IFERROR(__xludf.DUMMYFUNCTION("""COMPUTED_VALUE"""),-0.371967719045931)</f>
        <v>-0.37196771904593101</v>
      </c>
      <c r="AE97" s="3">
        <f ca="1">IFERROR(__xludf.DUMMYFUNCTION("""COMPUTED_VALUE"""),-0.470020375017685)</f>
        <v>-0.47002037501768501</v>
      </c>
      <c r="AF97" s="3">
        <f ca="1">IFERROR(__xludf.DUMMYFUNCTION("""COMPUTED_VALUE"""),-0.619021429657857)</f>
        <v>-0.619021429657857</v>
      </c>
      <c r="AG97" s="3">
        <f ca="1">IFERROR(__xludf.DUMMYFUNCTION("""COMPUTED_VALUE"""),-0.689987139007834)</f>
        <v>-0.68998713900783404</v>
      </c>
      <c r="AH97" s="3">
        <f ca="1">IFERROR(__xludf.DUMMYFUNCTION("""COMPUTED_VALUE"""),-0.531363270779084)</f>
        <v>-0.53136327077908396</v>
      </c>
      <c r="AI97" s="3">
        <f ca="1">IFERROR(__xludf.DUMMYFUNCTION("""COMPUTED_VALUE"""),-0.524754632279228)</f>
        <v>-0.52475463227922803</v>
      </c>
      <c r="AJ97" s="3">
        <f ca="1">IFERROR(__xludf.DUMMYFUNCTION("""COMPUTED_VALUE"""),-0.555663178093482)</f>
        <v>-0.55566317809348198</v>
      </c>
      <c r="AK97" s="3">
        <f ca="1">IFERROR(__xludf.DUMMYFUNCTION("""COMPUTED_VALUE"""),-0.376897100662082)</f>
        <v>-0.37689710066208199</v>
      </c>
      <c r="AL97" s="3">
        <f ca="1">IFERROR(__xludf.DUMMYFUNCTION("""COMPUTED_VALUE"""),-0.491516136351885)</f>
        <v>-0.49151613635188501</v>
      </c>
      <c r="AM97" s="3">
        <f ca="1">IFERROR(__xludf.DUMMYFUNCTION("""COMPUTED_VALUE"""),-0.638513250388568)</f>
        <v>-0.63851325038856799</v>
      </c>
      <c r="AN97" s="3">
        <f ca="1">IFERROR(__xludf.DUMMYFUNCTION("""COMPUTED_VALUE"""),-0.733215281434682)</f>
        <v>-0.73321528143468195</v>
      </c>
      <c r="AO97" s="3">
        <f ca="1">IFERROR(__xludf.DUMMYFUNCTION("""COMPUTED_VALUE"""),-0.624706169080172)</f>
        <v>-0.62470616908017196</v>
      </c>
      <c r="AP97" s="3">
        <f ca="1">IFERROR(__xludf.DUMMYFUNCTION("""COMPUTED_VALUE"""),-0.554595536719684)</f>
        <v>-0.55459553671968398</v>
      </c>
      <c r="AQ97" s="3">
        <f ca="1">IFERROR(__xludf.DUMMYFUNCTION("""COMPUTED_VALUE"""),-0.602031244214851)</f>
        <v>-0.60203124421485099</v>
      </c>
      <c r="AR97" s="3">
        <f ca="1">IFERROR(__xludf.DUMMYFUNCTION("""COMPUTED_VALUE"""),-0.551777221475503)</f>
        <v>-0.55177722147550301</v>
      </c>
      <c r="AS97" s="3">
        <f ca="1">IFERROR(__xludf.DUMMYFUNCTION("""COMPUTED_VALUE"""),-0.506411020825301)</f>
        <v>-0.50641102082530098</v>
      </c>
      <c r="AT97" s="3">
        <f ca="1">IFERROR(__xludf.DUMMYFUNCTION("""COMPUTED_VALUE"""),-0.677441477597027)</f>
        <v>-0.677441477597027</v>
      </c>
      <c r="AU97" s="3">
        <f ca="1">IFERROR(__xludf.DUMMYFUNCTION("""COMPUTED_VALUE"""),-0.741550044983681)</f>
        <v>-0.74155004498368104</v>
      </c>
      <c r="AV97" s="3">
        <f ca="1">IFERROR(__xludf.DUMMYFUNCTION("""COMPUTED_VALUE"""),-0.487425834097616)</f>
        <v>-0.48742583409761597</v>
      </c>
      <c r="AW97" s="3">
        <f ca="1">IFERROR(__xludf.DUMMYFUNCTION("""COMPUTED_VALUE"""),-0.470614195783056)</f>
        <v>-0.47061419578305602</v>
      </c>
      <c r="AX97" s="3">
        <f ca="1">IFERROR(__xludf.DUMMYFUNCTION("""COMPUTED_VALUE"""),-0.543952057083245)</f>
        <v>-0.54395205708324501</v>
      </c>
      <c r="AY97" s="3">
        <f ca="1">IFERROR(__xludf.DUMMYFUNCTION("""COMPUTED_VALUE"""),-0.512655089297066)</f>
        <v>-0.51265508929706605</v>
      </c>
      <c r="AZ97" s="3">
        <f ca="1">IFERROR(__xludf.DUMMYFUNCTION("""COMPUTED_VALUE"""),-0.506288839673672)</f>
        <v>-0.506288839673672</v>
      </c>
      <c r="BA97" s="3">
        <f ca="1">IFERROR(__xludf.DUMMYFUNCTION("""COMPUTED_VALUE"""),-0.365043793654078)</f>
        <v>-0.36504379365407802</v>
      </c>
      <c r="BB97" s="3">
        <f ca="1">IFERROR(__xludf.DUMMYFUNCTION("""COMPUTED_VALUE"""),-0.377446838634016)</f>
        <v>-0.37744683863401601</v>
      </c>
      <c r="BC97" s="3">
        <f ca="1">IFERROR(__xludf.DUMMYFUNCTION("""COMPUTED_VALUE"""),-0.373851752127357)</f>
        <v>-0.373851752127357</v>
      </c>
      <c r="BD97" s="3">
        <f ca="1">IFERROR(__xludf.DUMMYFUNCTION("""COMPUTED_VALUE"""),-0.372928898511855)</f>
        <v>-0.37292889851185501</v>
      </c>
      <c r="BE97" s="3">
        <f ca="1">IFERROR(__xludf.DUMMYFUNCTION("""COMPUTED_VALUE"""),-0.425701444295868)</f>
        <v>-0.42570144429586798</v>
      </c>
      <c r="BF97" s="3">
        <f ca="1">IFERROR(__xludf.DUMMYFUNCTION("""COMPUTED_VALUE"""),-0.389924859513623)</f>
        <v>-0.38992485951362299</v>
      </c>
      <c r="BG97" s="3">
        <f ca="1">IFERROR(__xludf.DUMMYFUNCTION("""COMPUTED_VALUE"""),-0.399800534799823)</f>
        <v>-0.39980053479982303</v>
      </c>
      <c r="BH97" s="3">
        <f ca="1">IFERROR(__xludf.DUMMYFUNCTION("""COMPUTED_VALUE"""),-0.302113522024558)</f>
        <v>-0.30211352202455799</v>
      </c>
      <c r="BI97" s="3">
        <f ca="1">IFERROR(__xludf.DUMMYFUNCTION("""COMPUTED_VALUE"""),-0.399228149019218)</f>
        <v>-0.39922814901921799</v>
      </c>
      <c r="BJ97" s="3">
        <f ca="1">IFERROR(__xludf.DUMMYFUNCTION("""COMPUTED_VALUE"""),-0.495284619942192)</f>
        <v>-0.49528461994219197</v>
      </c>
      <c r="BK97" s="3">
        <f ca="1">IFERROR(__xludf.DUMMYFUNCTION("""COMPUTED_VALUE"""),-0.0819982324194131)</f>
        <v>-8.1998232419413106E-2</v>
      </c>
      <c r="BL97" s="3">
        <f ca="1">IFERROR(__xludf.DUMMYFUNCTION("""COMPUTED_VALUE"""),-0.474533653016695)</f>
        <v>-0.47453365301669498</v>
      </c>
      <c r="BM97" s="3">
        <f ca="1">IFERROR(__xludf.DUMMYFUNCTION("""COMPUTED_VALUE"""),-0.449280358672412)</f>
        <v>-0.44928035867241201</v>
      </c>
      <c r="BN97" s="3">
        <f ca="1">IFERROR(__xludf.DUMMYFUNCTION("""COMPUTED_VALUE"""),-0.44406073174484)</f>
        <v>-0.44406073174484001</v>
      </c>
      <c r="BO97" s="3">
        <f ca="1">IFERROR(__xludf.DUMMYFUNCTION("""COMPUTED_VALUE"""),-0.526986256168026)</f>
        <v>-0.52698625616802597</v>
      </c>
      <c r="BP97" s="3">
        <f ca="1">IFERROR(__xludf.DUMMYFUNCTION("""COMPUTED_VALUE"""),-0.488922489219494)</f>
        <v>-0.48892248921949399</v>
      </c>
      <c r="BQ97" s="3">
        <f ca="1">IFERROR(__xludf.DUMMYFUNCTION("""COMPUTED_VALUE"""),-0.445826949706459)</f>
        <v>-0.44582694970645897</v>
      </c>
      <c r="BR97" s="3">
        <f ca="1">IFERROR(__xludf.DUMMYFUNCTION("""COMPUTED_VALUE"""),-0.701075079348636)</f>
        <v>-0.701075079348636</v>
      </c>
      <c r="BS97" s="3">
        <f ca="1">IFERROR(__xludf.DUMMYFUNCTION("""COMPUTED_VALUE"""),-0.354488549881172)</f>
        <v>-0.35448854988117201</v>
      </c>
      <c r="BT97" s="3">
        <f ca="1">IFERROR(__xludf.DUMMYFUNCTION("""COMPUTED_VALUE"""),-0.479371879299422)</f>
        <v>-0.47937187929942199</v>
      </c>
      <c r="BU97" s="3">
        <f ca="1">IFERROR(__xludf.DUMMYFUNCTION("""COMPUTED_VALUE"""),-0.466588640344069)</f>
        <v>-0.46658864034406899</v>
      </c>
      <c r="BV97" s="3">
        <f ca="1">IFERROR(__xludf.DUMMYFUNCTION("""COMPUTED_VALUE"""),-0.463124766075079)</f>
        <v>-0.46312476607507902</v>
      </c>
      <c r="BW97" s="3">
        <f ca="1">IFERROR(__xludf.DUMMYFUNCTION("""COMPUTED_VALUE"""),-0.48709799777162)</f>
        <v>-0.48709799777161999</v>
      </c>
      <c r="BX97" s="3">
        <f ca="1">IFERROR(__xludf.DUMMYFUNCTION("""COMPUTED_VALUE"""),-0.351846042683093)</f>
        <v>-0.351846042683093</v>
      </c>
      <c r="BY97" s="3">
        <f ca="1">IFERROR(__xludf.DUMMYFUNCTION("""COMPUTED_VALUE"""),-0.351057414896154)</f>
        <v>-0.351057414896154</v>
      </c>
      <c r="BZ97" s="3">
        <f ca="1">IFERROR(__xludf.DUMMYFUNCTION("""COMPUTED_VALUE"""),-0.345145955981483)</f>
        <v>-0.34514595598148301</v>
      </c>
      <c r="CA97" s="3">
        <f ca="1">IFERROR(__xludf.DUMMYFUNCTION("""COMPUTED_VALUE"""),-0.455859019402752)</f>
        <v>-0.45585901940275197</v>
      </c>
      <c r="CB97" s="3">
        <f ca="1">IFERROR(__xludf.DUMMYFUNCTION("""COMPUTED_VALUE"""),-0.441212821923139)</f>
        <v>-0.44121282192313899</v>
      </c>
      <c r="CC97" s="3">
        <f ca="1">IFERROR(__xludf.DUMMYFUNCTION("""COMPUTED_VALUE"""),-0.460944859559379)</f>
        <v>-0.46094485955937903</v>
      </c>
      <c r="CD97" s="3">
        <f ca="1">IFERROR(__xludf.DUMMYFUNCTION("""COMPUTED_VALUE"""),-0.522481200978257)</f>
        <v>-0.52248120097825701</v>
      </c>
      <c r="CE97" s="3">
        <f ca="1">IFERROR(__xludf.DUMMYFUNCTION("""COMPUTED_VALUE"""),-0.43886383390996)</f>
        <v>-0.43886383390995998</v>
      </c>
      <c r="CF97" s="3">
        <f ca="1">IFERROR(__xludf.DUMMYFUNCTION("""COMPUTED_VALUE"""),-0.485450373505981)</f>
        <v>-0.48545037350598103</v>
      </c>
      <c r="CG97" s="3">
        <f ca="1">IFERROR(__xludf.DUMMYFUNCTION("""COMPUTED_VALUE"""),-0.371484344066399)</f>
        <v>-0.37148434406639902</v>
      </c>
      <c r="CH97" s="3">
        <f ca="1">IFERROR(__xludf.DUMMYFUNCTION("""COMPUTED_VALUE"""),-0.389452730796203)</f>
        <v>-0.38945273079620302</v>
      </c>
      <c r="CI97" s="3">
        <f ca="1">IFERROR(__xludf.DUMMYFUNCTION("""COMPUTED_VALUE"""),-0.499710107426826)</f>
        <v>-0.49971010742682598</v>
      </c>
      <c r="CJ97" s="3">
        <f ca="1">IFERROR(__xludf.DUMMYFUNCTION("""COMPUTED_VALUE"""),-0.485116575939828)</f>
        <v>-0.48511657593982799</v>
      </c>
      <c r="CK97" s="3">
        <f ca="1">IFERROR(__xludf.DUMMYFUNCTION("""COMPUTED_VALUE"""),-0.518289227413022)</f>
        <v>-0.51828922741302197</v>
      </c>
      <c r="CL97" s="3">
        <f ca="1">IFERROR(__xludf.DUMMYFUNCTION("""COMPUTED_VALUE"""),-0.315455572967226)</f>
        <v>-0.31545557296722598</v>
      </c>
      <c r="CM97" s="3">
        <f ca="1">IFERROR(__xludf.DUMMYFUNCTION("""COMPUTED_VALUE"""),-0.343621426306829)</f>
        <v>-0.34362142630682901</v>
      </c>
      <c r="CN97" s="3">
        <f ca="1">IFERROR(__xludf.DUMMYFUNCTION("""COMPUTED_VALUE"""),-0.536279026484932)</f>
        <v>-0.53627902648493198</v>
      </c>
      <c r="CO97" s="3">
        <f ca="1">IFERROR(__xludf.DUMMYFUNCTION("""COMPUTED_VALUE"""),-0.393391447540655)</f>
        <v>-0.39339144754065503</v>
      </c>
      <c r="CP97" s="3">
        <f ca="1">IFERROR(__xludf.DUMMYFUNCTION("""COMPUTED_VALUE"""),-0.485187037859303)</f>
        <v>-0.48518703785930301</v>
      </c>
      <c r="CQ97" s="3">
        <f ca="1">IFERROR(__xludf.DUMMYFUNCTION("""COMPUTED_VALUE"""),-0.52593681284321)</f>
        <v>-0.52593681284321003</v>
      </c>
      <c r="CR97" s="3">
        <f ca="1">IFERROR(__xludf.DUMMYFUNCTION("""COMPUTED_VALUE"""),-0.558406829916387)</f>
        <v>-0.55840682991638702</v>
      </c>
      <c r="CS97" s="3">
        <f ca="1">IFERROR(__xludf.DUMMYFUNCTION("""COMPUTED_VALUE"""),-0.439302753736445)</f>
        <v>-0.43930275373644501</v>
      </c>
      <c r="CT97" s="3">
        <f ca="1">IFERROR(__xludf.DUMMYFUNCTION("""COMPUTED_VALUE"""),-0.345715732482133)</f>
        <v>-0.345715732482133</v>
      </c>
      <c r="CU97" s="3">
        <f ca="1">IFERROR(__xludf.DUMMYFUNCTION("""COMPUTED_VALUE"""),-0.443364366213932)</f>
        <v>-0.44336436621393199</v>
      </c>
      <c r="CV97" s="3">
        <f ca="1">IFERROR(__xludf.DUMMYFUNCTION("""COMPUTED_VALUE"""),-0.346822972329254)</f>
        <v>-0.34682297232925402</v>
      </c>
      <c r="CW97" s="3">
        <f ca="1">IFERROR(__xludf.DUMMYFUNCTION("""COMPUTED_VALUE"""),-0.503754053528544)</f>
        <v>-0.50375405352854397</v>
      </c>
      <c r="CX97" s="3">
        <f ca="1">IFERROR(__xludf.DUMMYFUNCTION("""COMPUTED_VALUE"""),-0.598803392824919)</f>
        <v>-0.59880339282491901</v>
      </c>
      <c r="CY97" s="3">
        <f ca="1">IFERROR(__xludf.DUMMYFUNCTION("""COMPUTED_VALUE"""),-0.662836109527623)</f>
        <v>-0.66283610952762295</v>
      </c>
      <c r="CZ97" s="3">
        <f ca="1">IFERROR(__xludf.DUMMYFUNCTION("""COMPUTED_VALUE"""),-0.695599074598983)</f>
        <v>-0.69559907459898296</v>
      </c>
      <c r="DA97" s="3">
        <f ca="1">IFERROR(__xludf.DUMMYFUNCTION("""COMPUTED_VALUE"""),-0.416381956219055)</f>
        <v>-0.41638195621905499</v>
      </c>
      <c r="DB97" s="3">
        <f ca="1">IFERROR(__xludf.DUMMYFUNCTION("""COMPUTED_VALUE"""),-0.446181803723856)</f>
        <v>-0.44618180372385602</v>
      </c>
      <c r="DC97" s="3">
        <f ca="1">IFERROR(__xludf.DUMMYFUNCTION("""COMPUTED_VALUE"""),-0.562923405389077)</f>
        <v>-0.56292340538907704</v>
      </c>
      <c r="DD97" s="3">
        <f ca="1">IFERROR(__xludf.DUMMYFUNCTION("""COMPUTED_VALUE"""),-0.564232264799898)</f>
        <v>-0.56423226479989796</v>
      </c>
      <c r="DE97" s="3">
        <f ca="1">IFERROR(__xludf.DUMMYFUNCTION("""COMPUTED_VALUE"""),-0.511739216272405)</f>
        <v>-0.51173921627240504</v>
      </c>
      <c r="DF97" s="3">
        <f ca="1">IFERROR(__xludf.DUMMYFUNCTION("""COMPUTED_VALUE"""),-0.591167843674323)</f>
        <v>-0.59116784367432296</v>
      </c>
      <c r="DG97" s="3">
        <f ca="1">IFERROR(__xludf.DUMMYFUNCTION("""COMPUTED_VALUE"""),-0.700729057939406)</f>
        <v>-0.70072905793940599</v>
      </c>
      <c r="DH97" s="3">
        <f ca="1">IFERROR(__xludf.DUMMYFUNCTION("""COMPUTED_VALUE"""),-0.579218174154777)</f>
        <v>-0.57921817415477705</v>
      </c>
      <c r="DI97" s="3">
        <f ca="1">IFERROR(__xludf.DUMMYFUNCTION("""COMPUTED_VALUE"""),-0.420027770992376)</f>
        <v>-0.42002777099237598</v>
      </c>
      <c r="DJ97" s="3">
        <f ca="1">IFERROR(__xludf.DUMMYFUNCTION("""COMPUTED_VALUE"""),-0.330176697680472)</f>
        <v>-0.33017669768047198</v>
      </c>
      <c r="DK97" s="3">
        <f ca="1">IFERROR(__xludf.DUMMYFUNCTION("""COMPUTED_VALUE"""),-0.511399992798982)</f>
        <v>-0.51139999279898196</v>
      </c>
      <c r="DL97" s="3">
        <f ca="1">IFERROR(__xludf.DUMMYFUNCTION("""COMPUTED_VALUE"""),-0.548230037489428)</f>
        <v>-0.548230037489428</v>
      </c>
      <c r="DM97" s="3">
        <f ca="1">IFERROR(__xludf.DUMMYFUNCTION("""COMPUTED_VALUE"""),-0.573042635116961)</f>
        <v>-0.57304263511696096</v>
      </c>
      <c r="DN97" s="3">
        <f ca="1">IFERROR(__xludf.DUMMYFUNCTION("""COMPUTED_VALUE"""),-0.369392959707965)</f>
        <v>-0.36939295970796499</v>
      </c>
      <c r="DO97" s="3">
        <f ca="1">IFERROR(__xludf.DUMMYFUNCTION("""COMPUTED_VALUE"""),-0.497546442829941)</f>
        <v>-0.49754644282994098</v>
      </c>
      <c r="DP97" s="3">
        <f ca="1">IFERROR(__xludf.DUMMYFUNCTION("""COMPUTED_VALUE"""),-0.418631873462215)</f>
        <v>-0.41863187346221498</v>
      </c>
      <c r="DQ97" s="3">
        <f ca="1">IFERROR(__xludf.DUMMYFUNCTION("""COMPUTED_VALUE"""),-0.287038983582025)</f>
        <v>-0.28703898358202501</v>
      </c>
      <c r="DR97" s="3">
        <f ca="1">IFERROR(__xludf.DUMMYFUNCTION("""COMPUTED_VALUE"""),-0.468668944322989)</f>
        <v>-0.468668944322989</v>
      </c>
      <c r="DS97" s="3">
        <f ca="1">IFERROR(__xludf.DUMMYFUNCTION("""COMPUTED_VALUE"""),-0.541058654260777)</f>
        <v>-0.54105865426077704</v>
      </c>
      <c r="DT97" s="3">
        <f ca="1">IFERROR(__xludf.DUMMYFUNCTION("""COMPUTED_VALUE"""),-0.50282506554634)</f>
        <v>-0.50282506554633999</v>
      </c>
      <c r="DU97" s="3">
        <f ca="1">IFERROR(__xludf.DUMMYFUNCTION("""COMPUTED_VALUE"""),-0.488257121212664)</f>
        <v>-0.48825712121266401</v>
      </c>
      <c r="DV97" s="3">
        <f ca="1">IFERROR(__xludf.DUMMYFUNCTION("""COMPUTED_VALUE"""),-0.36072410576962)</f>
        <v>-0.36072410576962</v>
      </c>
      <c r="DW97" s="3">
        <f ca="1">IFERROR(__xludf.DUMMYFUNCTION("""COMPUTED_VALUE"""),-0.577327989544508)</f>
        <v>-0.57732798954450804</v>
      </c>
      <c r="DX97" s="3">
        <f ca="1">IFERROR(__xludf.DUMMYFUNCTION("""COMPUTED_VALUE"""),-0.46781709256615)</f>
        <v>-0.46781709256615001</v>
      </c>
      <c r="DY97" s="3">
        <f ca="1">IFERROR(__xludf.DUMMYFUNCTION("""COMPUTED_VALUE"""),-0.553409440185253)</f>
        <v>-0.55340944018525295</v>
      </c>
      <c r="DZ97" s="3">
        <f ca="1">IFERROR(__xludf.DUMMYFUNCTION("""COMPUTED_VALUE"""),-0.448757047468443)</f>
        <v>-0.44875704746844303</v>
      </c>
      <c r="EA97" s="3">
        <f ca="1">IFERROR(__xludf.DUMMYFUNCTION("""COMPUTED_VALUE"""),-0.576053947737697)</f>
        <v>-0.57605394773769703</v>
      </c>
      <c r="EB97" s="3">
        <f ca="1">IFERROR(__xludf.DUMMYFUNCTION("""COMPUTED_VALUE"""),-0.596903359328786)</f>
        <v>-0.59690335932878602</v>
      </c>
      <c r="EC97" s="3">
        <f ca="1">IFERROR(__xludf.DUMMYFUNCTION("""COMPUTED_VALUE"""),-0.364940689900624)</f>
        <v>-0.364940689900624</v>
      </c>
      <c r="ED97" s="3">
        <f ca="1">IFERROR(__xludf.DUMMYFUNCTION("""COMPUTED_VALUE"""),-0.530179949099947)</f>
        <v>-0.53017994909994703</v>
      </c>
      <c r="EE97" s="3">
        <f ca="1">IFERROR(__xludf.DUMMYFUNCTION("""COMPUTED_VALUE"""),-0.545304879787347)</f>
        <v>-0.54530487978734699</v>
      </c>
      <c r="EF97" s="3">
        <f ca="1">IFERROR(__xludf.DUMMYFUNCTION("""COMPUTED_VALUE"""),-0.561993700194666)</f>
        <v>-0.56199370019466599</v>
      </c>
      <c r="EG97" s="3">
        <f ca="1">IFERROR(__xludf.DUMMYFUNCTION("""COMPUTED_VALUE"""),-0.509542664774264)</f>
        <v>-0.50954266477426402</v>
      </c>
      <c r="EH97" s="3">
        <f ca="1">IFERROR(__xludf.DUMMYFUNCTION("""COMPUTED_VALUE"""),-0.576214413543385)</f>
        <v>-0.57621441354338498</v>
      </c>
      <c r="EI97" s="3">
        <f ca="1">IFERROR(__xludf.DUMMYFUNCTION("""COMPUTED_VALUE"""),-0.604873878779286)</f>
        <v>-0.604873878779286</v>
      </c>
      <c r="EJ97" s="3">
        <f ca="1">IFERROR(__xludf.DUMMYFUNCTION("""COMPUTED_VALUE"""),-0.449738650923176)</f>
        <v>-0.449738650923176</v>
      </c>
      <c r="EK97" s="3">
        <f ca="1">IFERROR(__xludf.DUMMYFUNCTION("""COMPUTED_VALUE"""),-0.572377576980632)</f>
        <v>-0.57237757698063196</v>
      </c>
      <c r="EL97" s="3">
        <f ca="1">IFERROR(__xludf.DUMMYFUNCTION("""COMPUTED_VALUE"""),-0.617944013663173)</f>
        <v>-0.61794401366317298</v>
      </c>
      <c r="EM97" s="3">
        <f ca="1">IFERROR(__xludf.DUMMYFUNCTION("""COMPUTED_VALUE"""),-0.615739715923026)</f>
        <v>-0.61573971592302601</v>
      </c>
      <c r="EN97" s="3">
        <f ca="1">IFERROR(__xludf.DUMMYFUNCTION("""COMPUTED_VALUE"""),-0.681257902201562)</f>
        <v>-0.68125790220156202</v>
      </c>
      <c r="EO97" s="3">
        <f ca="1">IFERROR(__xludf.DUMMYFUNCTION("""COMPUTED_VALUE"""),-0.701320239604505)</f>
        <v>-0.70132023960450496</v>
      </c>
      <c r="EP97" s="3">
        <f ca="1">IFERROR(__xludf.DUMMYFUNCTION("""COMPUTED_VALUE"""),-0.656095096790325)</f>
        <v>-0.65609509679032496</v>
      </c>
      <c r="EQ97" s="3">
        <f ca="1">IFERROR(__xludf.DUMMYFUNCTION("""COMPUTED_VALUE"""),-0.614573084604488)</f>
        <v>-0.61457308460448801</v>
      </c>
      <c r="ER97" s="3">
        <f ca="1">IFERROR(__xludf.DUMMYFUNCTION("""COMPUTED_VALUE"""),-0.629244329979739)</f>
        <v>-0.629244329979739</v>
      </c>
      <c r="ES97" s="3">
        <f ca="1">IFERROR(__xludf.DUMMYFUNCTION("""COMPUTED_VALUE"""),-0.638394911954109)</f>
        <v>-0.63839491195410902</v>
      </c>
      <c r="ET97" s="3">
        <f ca="1">IFERROR(__xludf.DUMMYFUNCTION("""COMPUTED_VALUE"""),-0.60891973114243)</f>
        <v>-0.60891973114243003</v>
      </c>
      <c r="EU97" s="3">
        <f ca="1">IFERROR(__xludf.DUMMYFUNCTION("""COMPUTED_VALUE"""),-0.745853972523449)</f>
        <v>-0.74585397252344898</v>
      </c>
      <c r="EV97" s="3">
        <f ca="1">IFERROR(__xludf.DUMMYFUNCTION("""COMPUTED_VALUE"""),-0.697043390481852)</f>
        <v>-0.69704339048185204</v>
      </c>
      <c r="EW97" s="3">
        <f ca="1">IFERROR(__xludf.DUMMYFUNCTION("""COMPUTED_VALUE"""),-0.6083244209165)</f>
        <v>-0.60832442091649996</v>
      </c>
      <c r="EX97" s="3">
        <f ca="1">IFERROR(__xludf.DUMMYFUNCTION("""COMPUTED_VALUE"""),-0.603478695114138)</f>
        <v>-0.60347869511413799</v>
      </c>
      <c r="EY97" s="3">
        <f ca="1">IFERROR(__xludf.DUMMYFUNCTION("""COMPUTED_VALUE"""),-0.75604528897886)</f>
        <v>-0.75604528897886003</v>
      </c>
      <c r="EZ97" s="3">
        <f ca="1">IFERROR(__xludf.DUMMYFUNCTION("""COMPUTED_VALUE"""),-0.5926379173596)</f>
        <v>-0.59263791735960003</v>
      </c>
      <c r="FA97" s="3">
        <f ca="1">IFERROR(__xludf.DUMMYFUNCTION("""COMPUTED_VALUE"""),-0.500652127445531)</f>
        <v>-0.500652127445531</v>
      </c>
      <c r="FB97" s="3">
        <f ca="1">IFERROR(__xludf.DUMMYFUNCTION("""COMPUTED_VALUE"""),-0.710396874588111)</f>
        <v>-0.71039687458811096</v>
      </c>
      <c r="FC97" s="3">
        <f ca="1">IFERROR(__xludf.DUMMYFUNCTION("""COMPUTED_VALUE"""),-0.705957072640715)</f>
        <v>-0.70595707264071506</v>
      </c>
      <c r="FD97" s="3">
        <f ca="1">IFERROR(__xludf.DUMMYFUNCTION("""COMPUTED_VALUE"""),-0.564233784653282)</f>
        <v>-0.564233784653282</v>
      </c>
      <c r="FE97" s="3">
        <f ca="1">IFERROR(__xludf.DUMMYFUNCTION("""COMPUTED_VALUE"""),-0.566379410034068)</f>
        <v>-0.566379410034068</v>
      </c>
      <c r="FF97" s="3">
        <f ca="1">IFERROR(__xludf.DUMMYFUNCTION("""COMPUTED_VALUE"""),-0.624332676359979)</f>
        <v>-0.62433267635997902</v>
      </c>
      <c r="FG97" s="3">
        <f ca="1">IFERROR(__xludf.DUMMYFUNCTION("""COMPUTED_VALUE"""),-0.590253157626017)</f>
        <v>-0.59025315762601704</v>
      </c>
      <c r="FH97" s="3">
        <f ca="1">IFERROR(__xludf.DUMMYFUNCTION("""COMPUTED_VALUE"""),-0.480765060091694)</f>
        <v>-0.48076506009169401</v>
      </c>
      <c r="FI97" s="3">
        <f ca="1">IFERROR(__xludf.DUMMYFUNCTION("""COMPUTED_VALUE"""),-0.707709204963317)</f>
        <v>-0.70770920496331702</v>
      </c>
      <c r="FJ97" s="3">
        <f ca="1">IFERROR(__xludf.DUMMYFUNCTION("""COMPUTED_VALUE"""),-0.762224131347274)</f>
        <v>-0.76222413134727396</v>
      </c>
      <c r="FK97" s="3">
        <f ca="1">IFERROR(__xludf.DUMMYFUNCTION("""COMPUTED_VALUE"""),-0.703295792729147)</f>
        <v>-0.703295792729147</v>
      </c>
      <c r="FL97" s="3">
        <f ca="1">IFERROR(__xludf.DUMMYFUNCTION("""COMPUTED_VALUE"""),-0.398164008563202)</f>
        <v>-0.398164008563202</v>
      </c>
      <c r="FM97" s="3">
        <f ca="1">IFERROR(__xludf.DUMMYFUNCTION("""COMPUTED_VALUE"""),-0.398077569692446)</f>
        <v>-0.39807756969244601</v>
      </c>
      <c r="FN97" s="3">
        <f ca="1">IFERROR(__xludf.DUMMYFUNCTION("""COMPUTED_VALUE"""),-0.451745229459864)</f>
        <v>-0.45174522945986401</v>
      </c>
      <c r="FO97" s="3">
        <f ca="1">IFERROR(__xludf.DUMMYFUNCTION("""COMPUTED_VALUE"""),-0.487298926374556)</f>
        <v>-0.48729892637455602</v>
      </c>
      <c r="FP97" s="3">
        <f ca="1">IFERROR(__xludf.DUMMYFUNCTION("""COMPUTED_VALUE"""),-0.385332568001353)</f>
        <v>-0.38533256800135302</v>
      </c>
      <c r="FQ97" s="3">
        <f ca="1">IFERROR(__xludf.DUMMYFUNCTION("""COMPUTED_VALUE"""),-0.332392963590425)</f>
        <v>-0.33239296359042497</v>
      </c>
      <c r="FR97" s="3">
        <f ca="1">IFERROR(__xludf.DUMMYFUNCTION("""COMPUTED_VALUE"""),-0.386211403934146)</f>
        <v>-0.38621140393414599</v>
      </c>
      <c r="FS97" s="3">
        <f ca="1">IFERROR(__xludf.DUMMYFUNCTION("""COMPUTED_VALUE"""),-0.407004772586337)</f>
        <v>-0.40700477258633699</v>
      </c>
      <c r="FT97" s="3">
        <f ca="1">IFERROR(__xludf.DUMMYFUNCTION("""COMPUTED_VALUE"""),-0.329256472307476)</f>
        <v>-0.32925647230747601</v>
      </c>
      <c r="FU97" s="3">
        <f ca="1">IFERROR(__xludf.DUMMYFUNCTION("""COMPUTED_VALUE"""),-0.349100982901007)</f>
        <v>-0.349100982901007</v>
      </c>
      <c r="FV97" s="3">
        <f ca="1">IFERROR(__xludf.DUMMYFUNCTION("""COMPUTED_VALUE"""),-0.293332438504536)</f>
        <v>-0.293332438504536</v>
      </c>
      <c r="FW97" s="3">
        <f ca="1">IFERROR(__xludf.DUMMYFUNCTION("""COMPUTED_VALUE"""),-0.301276044178582)</f>
        <v>-0.301276044178582</v>
      </c>
      <c r="FX97" s="3">
        <f ca="1">IFERROR(__xludf.DUMMYFUNCTION("""COMPUTED_VALUE"""),-0.303992056565213)</f>
        <v>-0.303992056565213</v>
      </c>
      <c r="FY97" s="3">
        <f ca="1">IFERROR(__xludf.DUMMYFUNCTION("""COMPUTED_VALUE"""),-0.268401228536642)</f>
        <v>-0.268401228536642</v>
      </c>
      <c r="FZ97" s="3">
        <f ca="1">IFERROR(__xludf.DUMMYFUNCTION("""COMPUTED_VALUE"""),-0.263566899172719)</f>
        <v>-0.26356689917271903</v>
      </c>
      <c r="GA97" s="3">
        <f ca="1">IFERROR(__xludf.DUMMYFUNCTION("""COMPUTED_VALUE"""),-0.393644739039558)</f>
        <v>-0.39364473903955799</v>
      </c>
      <c r="GB97" s="3">
        <f ca="1">IFERROR(__xludf.DUMMYFUNCTION("""COMPUTED_VALUE"""),-0.317742524269561)</f>
        <v>-0.31774252426956101</v>
      </c>
      <c r="GC97" s="3">
        <f ca="1">IFERROR(__xludf.DUMMYFUNCTION("""COMPUTED_VALUE"""),-0.287175684364558)</f>
        <v>-0.28717568436455798</v>
      </c>
      <c r="GD97" s="3">
        <f ca="1">IFERROR(__xludf.DUMMYFUNCTION("""COMPUTED_VALUE"""),-0.483297203530589)</f>
        <v>-0.48329720353058903</v>
      </c>
      <c r="GE97" s="3">
        <f ca="1">IFERROR(__xludf.DUMMYFUNCTION("""COMPUTED_VALUE"""),-0.371043708950476)</f>
        <v>-0.371043708950476</v>
      </c>
      <c r="GF97" s="3">
        <f ca="1">IFERROR(__xludf.DUMMYFUNCTION("""COMPUTED_VALUE"""),-0.294869398370588)</f>
        <v>-0.29486939837058801</v>
      </c>
      <c r="GG97" s="3">
        <f ca="1">IFERROR(__xludf.DUMMYFUNCTION("""COMPUTED_VALUE"""),-0.326395395217231)</f>
        <v>-0.32639539521723099</v>
      </c>
      <c r="GH97" s="3">
        <f ca="1">IFERROR(__xludf.DUMMYFUNCTION("""COMPUTED_VALUE"""),-0.333878265191547)</f>
        <v>-0.33387826519154701</v>
      </c>
      <c r="GI97" s="3">
        <f ca="1">IFERROR(__xludf.DUMMYFUNCTION("""COMPUTED_VALUE"""),-0.322203675736015)</f>
        <v>-0.32220367573601499</v>
      </c>
      <c r="GJ97" s="3">
        <f ca="1">IFERROR(__xludf.DUMMYFUNCTION("""COMPUTED_VALUE"""),-0.264413439250289)</f>
        <v>-0.26441343925028898</v>
      </c>
      <c r="GK97" s="3">
        <f ca="1">IFERROR(__xludf.DUMMYFUNCTION("""COMPUTED_VALUE"""),-0.463548395441817)</f>
        <v>-0.46354839544181697</v>
      </c>
      <c r="GL97" s="3">
        <f ca="1">IFERROR(__xludf.DUMMYFUNCTION("""COMPUTED_VALUE"""),-0.361807359615469)</f>
        <v>-0.361807359615469</v>
      </c>
      <c r="GM97" s="3">
        <f ca="1">IFERROR(__xludf.DUMMYFUNCTION("""COMPUTED_VALUE"""),-0.6909384605919)</f>
        <v>-0.69093846059190001</v>
      </c>
      <c r="GN97" s="3">
        <f ca="1">IFERROR(__xludf.DUMMYFUNCTION("""COMPUTED_VALUE"""),-0.266298581695963)</f>
        <v>-0.26629858169596299</v>
      </c>
      <c r="GO97" s="3">
        <f ca="1">IFERROR(__xludf.DUMMYFUNCTION("""COMPUTED_VALUE"""),-0.305364633375506)</f>
        <v>-0.30536463337550601</v>
      </c>
      <c r="GP97" s="3">
        <f ca="1">IFERROR(__xludf.DUMMYFUNCTION("""COMPUTED_VALUE"""),-0.0508084334886261)</f>
        <v>-5.0808433488626098E-2</v>
      </c>
      <c r="GQ97" s="3">
        <f ca="1">IFERROR(__xludf.DUMMYFUNCTION("""COMPUTED_VALUE"""),-0.199971239241551)</f>
        <v>-0.199971239241551</v>
      </c>
      <c r="GR97" s="3">
        <f ca="1">IFERROR(__xludf.DUMMYFUNCTION("""COMPUTED_VALUE"""),-0.324064581741878)</f>
        <v>-0.32406458174187802</v>
      </c>
      <c r="GS97" s="3">
        <f ca="1">IFERROR(__xludf.DUMMYFUNCTION("""COMPUTED_VALUE"""),-0.296463628527815)</f>
        <v>-0.29646362852781499</v>
      </c>
      <c r="GT97" s="3">
        <f ca="1">IFERROR(__xludf.DUMMYFUNCTION("""COMPUTED_VALUE"""),-0.251373109183784)</f>
        <v>-0.25137310918378403</v>
      </c>
      <c r="GU97" s="3">
        <f ca="1">IFERROR(__xludf.DUMMYFUNCTION("""COMPUTED_VALUE"""),-0.167277207217387)</f>
        <v>-0.16727720721738701</v>
      </c>
      <c r="GV97" s="3">
        <f ca="1">IFERROR(__xludf.DUMMYFUNCTION("""COMPUTED_VALUE"""),-0.251470049425969)</f>
        <v>-0.25147004942596901</v>
      </c>
      <c r="GW97" s="3">
        <f ca="1">IFERROR(__xludf.DUMMYFUNCTION("""COMPUTED_VALUE"""),-0.0658724633768306)</f>
        <v>-6.5872463376830601E-2</v>
      </c>
      <c r="GX97" s="3">
        <f ca="1">IFERROR(__xludf.DUMMYFUNCTION("""COMPUTED_VALUE"""),-0.200660580518292)</f>
        <v>-0.200660580518292</v>
      </c>
      <c r="GY97" s="3">
        <f ca="1">IFERROR(__xludf.DUMMYFUNCTION("""COMPUTED_VALUE"""),-0.446750877275086)</f>
        <v>-0.446750877275086</v>
      </c>
      <c r="GZ97" s="3">
        <f ca="1">IFERROR(__xludf.DUMMYFUNCTION("""COMPUTED_VALUE"""),-0.331726465786231)</f>
        <v>-0.331726465786231</v>
      </c>
      <c r="HA97" s="3">
        <f ca="1">IFERROR(__xludf.DUMMYFUNCTION("""COMPUTED_VALUE"""),-0.205237303938308)</f>
        <v>-0.205237303938308</v>
      </c>
      <c r="HB97" s="3">
        <f ca="1">IFERROR(__xludf.DUMMYFUNCTION("""COMPUTED_VALUE"""),-0.688773216981699)</f>
        <v>-0.68877321698169902</v>
      </c>
      <c r="HC97" s="3">
        <f ca="1">IFERROR(__xludf.DUMMYFUNCTION("""COMPUTED_VALUE"""),-0.213264458275709)</f>
        <v>-0.213264458275709</v>
      </c>
      <c r="HD97" s="3">
        <f ca="1">IFERROR(__xludf.DUMMYFUNCTION("""COMPUTED_VALUE"""),0.0286089535407176)</f>
        <v>2.8608953540717599E-2</v>
      </c>
      <c r="HE97" s="3">
        <f ca="1">IFERROR(__xludf.DUMMYFUNCTION("""COMPUTED_VALUE"""),-0.172559848583453)</f>
        <v>-0.172559848583453</v>
      </c>
      <c r="HF97" s="3">
        <f ca="1">IFERROR(__xludf.DUMMYFUNCTION("""COMPUTED_VALUE"""),-0.299285122390167)</f>
        <v>-0.29928512239016702</v>
      </c>
      <c r="HG97" s="3">
        <f ca="1">IFERROR(__xludf.DUMMYFUNCTION("""COMPUTED_VALUE"""),-0.286709552102736)</f>
        <v>-0.28670955210273602</v>
      </c>
      <c r="HH97" s="3">
        <f ca="1">IFERROR(__xludf.DUMMYFUNCTION("""COMPUTED_VALUE"""),-0.205312962917367)</f>
        <v>-0.205312962917367</v>
      </c>
      <c r="HI97" s="3">
        <f ca="1">IFERROR(__xludf.DUMMYFUNCTION("""COMPUTED_VALUE"""),-0.186225553353393)</f>
        <v>-0.186225553353393</v>
      </c>
      <c r="HJ97" s="3">
        <f ca="1">IFERROR(__xludf.DUMMYFUNCTION("""COMPUTED_VALUE"""),-0.239351681182602)</f>
        <v>-0.239351681182602</v>
      </c>
      <c r="HK97" s="3">
        <f ca="1">IFERROR(__xludf.DUMMYFUNCTION("""COMPUTED_VALUE"""),-0.0877171834442669)</f>
        <v>-8.7717183444266905E-2</v>
      </c>
      <c r="HL97" s="3">
        <f ca="1">IFERROR(__xludf.DUMMYFUNCTION("""COMPUTED_VALUE"""),-0.167213703357912)</f>
        <v>-0.167213703357912</v>
      </c>
      <c r="HM97" s="3">
        <f ca="1">IFERROR(__xludf.DUMMYFUNCTION("""COMPUTED_VALUE"""),-0.377820739807477)</f>
        <v>-0.37782073980747699</v>
      </c>
      <c r="HN97" s="3">
        <f ca="1">IFERROR(__xludf.DUMMYFUNCTION("""COMPUTED_VALUE"""),-0.247003996083266)</f>
        <v>-0.24700399608326601</v>
      </c>
      <c r="HO97" s="3">
        <f ca="1">IFERROR(__xludf.DUMMYFUNCTION("""COMPUTED_VALUE"""),-0.184262002619427)</f>
        <v>-0.18426200261942699</v>
      </c>
      <c r="HP97" s="3">
        <f ca="1">IFERROR(__xludf.DUMMYFUNCTION("""COMPUTED_VALUE"""),-0.119015624808151)</f>
        <v>-0.119015624808151</v>
      </c>
      <c r="HQ97" s="3">
        <f ca="1">IFERROR(__xludf.DUMMYFUNCTION("""COMPUTED_VALUE"""),-0.187688812466069)</f>
        <v>-0.187688812466069</v>
      </c>
      <c r="HR97" s="3">
        <f ca="1">IFERROR(__xludf.DUMMYFUNCTION("""COMPUTED_VALUE"""),-0.0533033100201105)</f>
        <v>-5.3303310020110503E-2</v>
      </c>
      <c r="HS97" s="3">
        <f ca="1">IFERROR(__xludf.DUMMYFUNCTION("""COMPUTED_VALUE"""),-0.363509493391278)</f>
        <v>-0.36350949339127803</v>
      </c>
      <c r="HT97" s="3">
        <f ca="1">IFERROR(__xludf.DUMMYFUNCTION("""COMPUTED_VALUE"""),-0.202409525978894)</f>
        <v>-0.202409525978894</v>
      </c>
      <c r="HU97" s="3">
        <f ca="1">IFERROR(__xludf.DUMMYFUNCTION("""COMPUTED_VALUE"""),-0.385860696259743)</f>
        <v>-0.38586069625974301</v>
      </c>
      <c r="HV97" s="3">
        <f ca="1">IFERROR(__xludf.DUMMYFUNCTION("""COMPUTED_VALUE"""),-0.308516378649729)</f>
        <v>-0.30851637864972897</v>
      </c>
      <c r="HW97" s="3">
        <f ca="1">IFERROR(__xludf.DUMMYFUNCTION("""COMPUTED_VALUE"""),-0.224898524298927)</f>
        <v>-0.22489852429892701</v>
      </c>
      <c r="HX97" s="3">
        <f ca="1">IFERROR(__xludf.DUMMYFUNCTION("""COMPUTED_VALUE"""),-0.26370770356396)</f>
        <v>-0.26370770356396001</v>
      </c>
      <c r="HY97" s="3">
        <f ca="1">IFERROR(__xludf.DUMMYFUNCTION("""COMPUTED_VALUE"""),-0.231920589830664)</f>
        <v>-0.23192058983066399</v>
      </c>
      <c r="HZ97" s="3">
        <f ca="1">IFERROR(__xludf.DUMMYFUNCTION("""COMPUTED_VALUE"""),-0.336314238715482)</f>
        <v>-0.33631423871548199</v>
      </c>
      <c r="IA97" s="3">
        <f ca="1">IFERROR(__xludf.DUMMYFUNCTION("""COMPUTED_VALUE"""),-0.294726169494941)</f>
        <v>-0.29472616949494101</v>
      </c>
      <c r="IB97" s="3">
        <f ca="1">IFERROR(__xludf.DUMMYFUNCTION("""COMPUTED_VALUE"""),-0.26449686508043)</f>
        <v>-0.26449686508043002</v>
      </c>
      <c r="IC97" s="3">
        <f ca="1">IFERROR(__xludf.DUMMYFUNCTION("""COMPUTED_VALUE"""),-0.297216567818307)</f>
        <v>-0.29721656781830702</v>
      </c>
      <c r="ID97" s="3">
        <f ca="1">IFERROR(__xludf.DUMMYFUNCTION("""COMPUTED_VALUE"""),-0.252776262375136)</f>
        <v>-0.25277626237513601</v>
      </c>
      <c r="IE97" s="3">
        <f ca="1">IFERROR(__xludf.DUMMYFUNCTION("""COMPUTED_VALUE"""),-0.221480145562234)</f>
        <v>-0.221480145562234</v>
      </c>
      <c r="IF97" s="3">
        <f ca="1">IFERROR(__xludf.DUMMYFUNCTION("""COMPUTED_VALUE"""),-0.250548885561851)</f>
        <v>-0.25054888556185101</v>
      </c>
      <c r="IG97" s="3">
        <f ca="1">IFERROR(__xludf.DUMMYFUNCTION("""COMPUTED_VALUE"""),-0.205434872653106)</f>
        <v>-0.205434872653106</v>
      </c>
      <c r="IH97" s="3">
        <f ca="1">IFERROR(__xludf.DUMMYFUNCTION("""COMPUTED_VALUE"""),-0.265478822875044)</f>
        <v>-0.26547882287504398</v>
      </c>
      <c r="II97" s="3">
        <f ca="1">IFERROR(__xludf.DUMMYFUNCTION("""COMPUTED_VALUE"""),-0.16109526484532)</f>
        <v>-0.16109526484532</v>
      </c>
      <c r="IJ97" s="3">
        <f ca="1">IFERROR(__xludf.DUMMYFUNCTION("""COMPUTED_VALUE"""),-0.185654665740925)</f>
        <v>-0.18565466574092501</v>
      </c>
      <c r="IK97" s="3">
        <f ca="1">IFERROR(__xludf.DUMMYFUNCTION("""COMPUTED_VALUE"""),-0.237849439072229)</f>
        <v>-0.237849439072229</v>
      </c>
      <c r="IL97" s="3">
        <f ca="1">IFERROR(__xludf.DUMMYFUNCTION("""COMPUTED_VALUE"""),-0.181239455473435)</f>
        <v>-0.18123945547343501</v>
      </c>
      <c r="IM97" s="3">
        <f ca="1">IFERROR(__xludf.DUMMYFUNCTION("""COMPUTED_VALUE"""),-0.239444193417672)</f>
        <v>-0.23944419341767201</v>
      </c>
      <c r="IN97" s="3">
        <f ca="1">IFERROR(__xludf.DUMMYFUNCTION("""COMPUTED_VALUE"""),-0.156045327982095)</f>
        <v>-0.156045327982095</v>
      </c>
      <c r="IO97" s="3">
        <f ca="1">IFERROR(__xludf.DUMMYFUNCTION("""COMPUTED_VALUE"""),-0.250360904338315)</f>
        <v>-0.25036090433831498</v>
      </c>
      <c r="IP97" s="3">
        <f ca="1">IFERROR(__xludf.DUMMYFUNCTION("""COMPUTED_VALUE"""),-0.162913766726564)</f>
        <v>-0.16291376672656399</v>
      </c>
      <c r="IQ97" s="3">
        <f ca="1">IFERROR(__xludf.DUMMYFUNCTION("""COMPUTED_VALUE"""),-0.213097235448976)</f>
        <v>-0.21309723544897599</v>
      </c>
      <c r="IR97" s="3">
        <f ca="1">IFERROR(__xludf.DUMMYFUNCTION("""COMPUTED_VALUE"""),-0.208511936934288)</f>
        <v>-0.20851193693428799</v>
      </c>
      <c r="IS97" s="3">
        <f ca="1">IFERROR(__xludf.DUMMYFUNCTION("""COMPUTED_VALUE"""),-0.0997097243529054)</f>
        <v>-9.9709724352905399E-2</v>
      </c>
      <c r="IT97" s="3">
        <f ca="1">IFERROR(__xludf.DUMMYFUNCTION("""COMPUTED_VALUE"""),-0.125585408893288)</f>
        <v>-0.12558540889328801</v>
      </c>
      <c r="IU97" s="3">
        <f ca="1">IFERROR(__xludf.DUMMYFUNCTION("""COMPUTED_VALUE"""),-0.0618577494907592)</f>
        <v>-6.1857749490759201E-2</v>
      </c>
      <c r="IV97" s="3">
        <f ca="1">IFERROR(__xludf.DUMMYFUNCTION("""COMPUTED_VALUE"""),-0.217929468279077)</f>
        <v>-0.217929468279077</v>
      </c>
      <c r="IW97" s="3">
        <f ca="1">IFERROR(__xludf.DUMMYFUNCTION("""COMPUTED_VALUE"""),-0.0801330603372566)</f>
        <v>-8.0133060337256604E-2</v>
      </c>
      <c r="IX97" s="3">
        <f ca="1">IFERROR(__xludf.DUMMYFUNCTION("""COMPUTED_VALUE"""),-0.101805752331943)</f>
        <v>-0.101805752331943</v>
      </c>
      <c r="IY97" s="3">
        <f ca="1">IFERROR(__xludf.DUMMYFUNCTION("""COMPUTED_VALUE"""),-0.156780815132153)</f>
        <v>-0.156780815132153</v>
      </c>
      <c r="IZ97" s="3">
        <f ca="1">IFERROR(__xludf.DUMMYFUNCTION("""COMPUTED_VALUE"""),-0.130163572983696)</f>
        <v>-0.13016357298369599</v>
      </c>
      <c r="JA97" s="3">
        <f ca="1">IFERROR(__xludf.DUMMYFUNCTION("""COMPUTED_VALUE"""),-0.0756922441027719)</f>
        <v>-7.5692244102771894E-2</v>
      </c>
      <c r="JB97" s="3">
        <f ca="1">IFERROR(__xludf.DUMMYFUNCTION("""COMPUTED_VALUE"""),-0.130554663040314)</f>
        <v>-0.13055466304031399</v>
      </c>
      <c r="JC97" s="3">
        <f ca="1">IFERROR(__xludf.DUMMYFUNCTION("""COMPUTED_VALUE"""),-0.177173879899665)</f>
        <v>-0.17717387989966499</v>
      </c>
      <c r="JD97" s="3">
        <f ca="1">IFERROR(__xludf.DUMMYFUNCTION("""COMPUTED_VALUE"""),-0.00429462813519931)</f>
        <v>-4.2946281351993101E-3</v>
      </c>
      <c r="JE97" s="3">
        <f ca="1">IFERROR(__xludf.DUMMYFUNCTION("""COMPUTED_VALUE"""),-0.163859583171186)</f>
        <v>-0.16385958317118601</v>
      </c>
      <c r="JF97" s="3">
        <f ca="1">IFERROR(__xludf.DUMMYFUNCTION("""COMPUTED_VALUE"""),-0.122375876839705)</f>
        <v>-0.12237587683970499</v>
      </c>
      <c r="JG97" s="3">
        <f ca="1">IFERROR(__xludf.DUMMYFUNCTION("""COMPUTED_VALUE"""),-0.176837583882044)</f>
        <v>-0.17683758388204401</v>
      </c>
      <c r="JH97" s="3">
        <f ca="1">IFERROR(__xludf.DUMMYFUNCTION("""COMPUTED_VALUE"""),-0.14738508256081)</f>
        <v>-0.14738508256081001</v>
      </c>
      <c r="JI97" s="3">
        <f ca="1">IFERROR(__xludf.DUMMYFUNCTION("""COMPUTED_VALUE"""),-0.167971261239455)</f>
        <v>-0.16797126123945499</v>
      </c>
      <c r="JJ97" s="3">
        <f ca="1">IFERROR(__xludf.DUMMYFUNCTION("""COMPUTED_VALUE"""),-0.114240248404287)</f>
        <v>-0.114240248404287</v>
      </c>
      <c r="JK97" s="3">
        <f ca="1">IFERROR(__xludf.DUMMYFUNCTION("""COMPUTED_VALUE"""),-0.132138324307575)</f>
        <v>-0.13213832430757499</v>
      </c>
      <c r="JL97" s="3">
        <f ca="1">IFERROR(__xludf.DUMMYFUNCTION("""COMPUTED_VALUE"""),-0.0794083055531089)</f>
        <v>-7.9408305553108904E-2</v>
      </c>
      <c r="JM97" s="3">
        <f ca="1">IFERROR(__xludf.DUMMYFUNCTION("""COMPUTED_VALUE"""),-0.124922643061272)</f>
        <v>-0.124922643061272</v>
      </c>
      <c r="JN97" s="3">
        <f ca="1">IFERROR(__xludf.DUMMYFUNCTION("""COMPUTED_VALUE"""),-0.182033365977423)</f>
        <v>-0.18203336597742301</v>
      </c>
      <c r="JO97" s="3">
        <f ca="1">IFERROR(__xludf.DUMMYFUNCTION("""COMPUTED_VALUE"""),-0.248619235309778)</f>
        <v>-0.248619235309778</v>
      </c>
      <c r="JP97" s="3">
        <f ca="1">IFERROR(__xludf.DUMMYFUNCTION("""COMPUTED_VALUE"""),-0.249779305000728)</f>
        <v>-0.24977930500072801</v>
      </c>
      <c r="JQ97" s="3">
        <f ca="1">IFERROR(__xludf.DUMMYFUNCTION("""COMPUTED_VALUE"""),-0.164999386830704)</f>
        <v>-0.164999386830704</v>
      </c>
      <c r="JR97" s="3">
        <f ca="1">IFERROR(__xludf.DUMMYFUNCTION("""COMPUTED_VALUE"""),-0.152880336754031)</f>
        <v>-0.15288033675403101</v>
      </c>
      <c r="JS97" s="3">
        <f ca="1">IFERROR(__xludf.DUMMYFUNCTION("""COMPUTED_VALUE"""),-0.188166414596258)</f>
        <v>-0.18816641459625799</v>
      </c>
      <c r="JT97" s="3">
        <f ca="1">IFERROR(__xludf.DUMMYFUNCTION("""COMPUTED_VALUE"""),-0.238835771542364)</f>
        <v>-0.23883577154236399</v>
      </c>
      <c r="JU97" s="3">
        <f ca="1">IFERROR(__xludf.DUMMYFUNCTION("""COMPUTED_VALUE"""),-0.238083061751548)</f>
        <v>-0.238083061751548</v>
      </c>
      <c r="JV97" s="3">
        <f ca="1">IFERROR(__xludf.DUMMYFUNCTION("""COMPUTED_VALUE"""),-0.132688900632642)</f>
        <v>-0.13268890063264199</v>
      </c>
      <c r="JW97" s="3">
        <f ca="1">IFERROR(__xludf.DUMMYFUNCTION("""COMPUTED_VALUE"""),-0.181330881030496)</f>
        <v>-0.18133088103049599</v>
      </c>
      <c r="JX97" s="3">
        <f ca="1">IFERROR(__xludf.DUMMYFUNCTION("""COMPUTED_VALUE"""),-0.149393027167727)</f>
        <v>-0.14939302716772701</v>
      </c>
      <c r="JY97" s="3">
        <f ca="1">IFERROR(__xludf.DUMMYFUNCTION("""COMPUTED_VALUE"""),-0.191512704440169)</f>
        <v>-0.19151270444016899</v>
      </c>
      <c r="JZ97" s="3">
        <f ca="1">IFERROR(__xludf.DUMMYFUNCTION("""COMPUTED_VALUE"""),-0.262743792610164)</f>
        <v>-0.26274379261016401</v>
      </c>
      <c r="KA97" s="3">
        <f ca="1">IFERROR(__xludf.DUMMYFUNCTION("""COMPUTED_VALUE"""),-0.259472479289889)</f>
        <v>-0.25947247928988898</v>
      </c>
      <c r="KB97" s="3">
        <f ca="1">IFERROR(__xludf.DUMMYFUNCTION("""COMPUTED_VALUE"""),-0.268603278330016)</f>
        <v>-0.26860327833001602</v>
      </c>
      <c r="KC97" s="3">
        <f ca="1">IFERROR(__xludf.DUMMYFUNCTION("""COMPUTED_VALUE"""),-0.224196631612768)</f>
        <v>-0.22419663161276801</v>
      </c>
      <c r="KD97" s="3">
        <f ca="1">IFERROR(__xludf.DUMMYFUNCTION("""COMPUTED_VALUE"""),-0.269161911797827)</f>
        <v>-0.269161911797827</v>
      </c>
      <c r="KE97" s="3">
        <f ca="1">IFERROR(__xludf.DUMMYFUNCTION("""COMPUTED_VALUE"""),-0.300542924815289)</f>
        <v>-0.30054292481528899</v>
      </c>
      <c r="KF97" s="3">
        <f ca="1">IFERROR(__xludf.DUMMYFUNCTION("""COMPUTED_VALUE"""),-0.23204814845028)</f>
        <v>-0.23204814845027999</v>
      </c>
      <c r="KG97" s="3">
        <f ca="1">IFERROR(__xludf.DUMMYFUNCTION("""COMPUTED_VALUE"""),-0.346397452880456)</f>
        <v>-0.34639745288045598</v>
      </c>
      <c r="KH97" s="3">
        <f ca="1">IFERROR(__xludf.DUMMYFUNCTION("""COMPUTED_VALUE"""),-0.272967135832645)</f>
        <v>-0.27296713583264498</v>
      </c>
      <c r="KI97" s="3">
        <f ca="1">IFERROR(__xludf.DUMMYFUNCTION("""COMPUTED_VALUE"""),-0.341710488730663)</f>
        <v>-0.34171048873066301</v>
      </c>
      <c r="KJ97" s="3">
        <f ca="1">IFERROR(__xludf.DUMMYFUNCTION("""COMPUTED_VALUE"""),-0.287455636561702)</f>
        <v>-0.28745563656170198</v>
      </c>
      <c r="KK97" s="3">
        <f ca="1">IFERROR(__xludf.DUMMYFUNCTION("""COMPUTED_VALUE"""),-0.30702026653048)</f>
        <v>-0.30702026653047998</v>
      </c>
      <c r="KL97" s="3">
        <f ca="1">IFERROR(__xludf.DUMMYFUNCTION("""COMPUTED_VALUE"""),-0.337374529699279)</f>
        <v>-0.337374529699279</v>
      </c>
      <c r="KM97" s="3">
        <f ca="1">IFERROR(__xludf.DUMMYFUNCTION("""COMPUTED_VALUE"""),-0.336064778085485)</f>
        <v>-0.33606477808548502</v>
      </c>
      <c r="KN97" s="3">
        <f ca="1">IFERROR(__xludf.DUMMYFUNCTION("""COMPUTED_VALUE"""),-0.429685931844387)</f>
        <v>-0.42968593184438703</v>
      </c>
      <c r="KO97" s="3">
        <f ca="1">IFERROR(__xludf.DUMMYFUNCTION("""COMPUTED_VALUE"""),-0.360916217371756)</f>
        <v>-0.360916217371756</v>
      </c>
      <c r="KP97" s="3">
        <f ca="1">IFERROR(__xludf.DUMMYFUNCTION("""COMPUTED_VALUE"""),-0.443696849010385)</f>
        <v>-0.44369684901038497</v>
      </c>
      <c r="KQ97" s="3">
        <f ca="1">IFERROR(__xludf.DUMMYFUNCTION("""COMPUTED_VALUE"""),-0.391461128703064)</f>
        <v>-0.39146112870306399</v>
      </c>
      <c r="KR97" s="3">
        <f ca="1">IFERROR(__xludf.DUMMYFUNCTION("""COMPUTED_VALUE"""),-0.343030187537292)</f>
        <v>-0.34303018753729198</v>
      </c>
      <c r="KS97" s="3">
        <f ca="1">IFERROR(__xludf.DUMMYFUNCTION("""COMPUTED_VALUE"""),-0.323282552613623)</f>
        <v>-0.32328255261362299</v>
      </c>
      <c r="KT97" s="3">
        <f ca="1">IFERROR(__xludf.DUMMYFUNCTION("""COMPUTED_VALUE"""),-0.479699125993636)</f>
        <v>-0.47969912599363601</v>
      </c>
      <c r="KU97" s="3">
        <f ca="1">IFERROR(__xludf.DUMMYFUNCTION("""COMPUTED_VALUE"""),-0.516960847063054)</f>
        <v>-0.51696084706305401</v>
      </c>
      <c r="KV97" s="3">
        <f ca="1">IFERROR(__xludf.DUMMYFUNCTION("""COMPUTED_VALUE"""),-0.49237560434396)</f>
        <v>-0.49237560434395999</v>
      </c>
      <c r="KW97" s="3">
        <f ca="1">IFERROR(__xludf.DUMMYFUNCTION("""COMPUTED_VALUE"""),-0.487484566117065)</f>
        <v>-0.48748456611706498</v>
      </c>
      <c r="KX97" s="3">
        <f ca="1">IFERROR(__xludf.DUMMYFUNCTION("""COMPUTED_VALUE"""),-0.461208220633325)</f>
        <v>-0.46120822063332501</v>
      </c>
      <c r="KY97" s="3">
        <f ca="1">IFERROR(__xludf.DUMMYFUNCTION("""COMPUTED_VALUE"""),-0.421482584437085)</f>
        <v>-0.42148258443708497</v>
      </c>
      <c r="KZ97" s="3">
        <f ca="1">IFERROR(__xludf.DUMMYFUNCTION("""COMPUTED_VALUE"""),-0.525767491231272)</f>
        <v>-0.52576749123127198</v>
      </c>
      <c r="LA97" s="3">
        <f ca="1">IFERROR(__xludf.DUMMYFUNCTION("""COMPUTED_VALUE"""),-0.295475839849969)</f>
        <v>-0.295475839849969</v>
      </c>
      <c r="LB97" s="3">
        <f ca="1">IFERROR(__xludf.DUMMYFUNCTION("""COMPUTED_VALUE"""),-0.35550624371432)</f>
        <v>-0.35550624371431999</v>
      </c>
      <c r="LC97" s="3">
        <f ca="1">IFERROR(__xludf.DUMMYFUNCTION("""COMPUTED_VALUE"""),-0.577106966347416)</f>
        <v>-0.57710696634741598</v>
      </c>
      <c r="LD97" s="3">
        <f ca="1">IFERROR(__xludf.DUMMYFUNCTION("""COMPUTED_VALUE"""),-0.531777105881324)</f>
        <v>-0.53177710588132399</v>
      </c>
      <c r="LE97" s="3">
        <f ca="1">IFERROR(__xludf.DUMMYFUNCTION("""COMPUTED_VALUE"""),-0.478588114931684)</f>
        <v>-0.47858811493168402</v>
      </c>
      <c r="LF97" s="3">
        <f ca="1">IFERROR(__xludf.DUMMYFUNCTION("""COMPUTED_VALUE"""),-0.514175271498552)</f>
        <v>-0.51417527149855202</v>
      </c>
      <c r="LG97" s="3">
        <f ca="1">IFERROR(__xludf.DUMMYFUNCTION("""COMPUTED_VALUE"""),-0.464400393469714)</f>
        <v>-0.46440039346971401</v>
      </c>
      <c r="LH97" s="3">
        <f ca="1">IFERROR(__xludf.DUMMYFUNCTION("""COMPUTED_VALUE"""),-0.438963197019542)</f>
        <v>-0.43896319701954201</v>
      </c>
      <c r="LI97" s="3">
        <f ca="1">IFERROR(__xludf.DUMMYFUNCTION("""COMPUTED_VALUE"""),-0.652102917777651)</f>
        <v>-0.65210291777765095</v>
      </c>
      <c r="LJ97" s="3">
        <f ca="1">IFERROR(__xludf.DUMMYFUNCTION("""COMPUTED_VALUE"""),-0.53364206753431)</f>
        <v>-0.53364206753430998</v>
      </c>
      <c r="LK97" s="3">
        <f ca="1">IFERROR(__xludf.DUMMYFUNCTION("""COMPUTED_VALUE"""),-0.651367275458764)</f>
        <v>-0.65136727545876405</v>
      </c>
      <c r="LL97" s="3">
        <f ca="1">IFERROR(__xludf.DUMMYFUNCTION("""COMPUTED_VALUE"""),-0.537160393793475)</f>
        <v>-0.53716039379347502</v>
      </c>
      <c r="LM97" s="3">
        <f ca="1">IFERROR(__xludf.DUMMYFUNCTION("""COMPUTED_VALUE"""),-0.551883904545917)</f>
        <v>-0.55188390454591696</v>
      </c>
      <c r="LN97" s="3">
        <f ca="1">IFERROR(__xludf.DUMMYFUNCTION("""COMPUTED_VALUE"""),-0.425054670272318)</f>
        <v>-0.42505467027231802</v>
      </c>
      <c r="LO97" s="3">
        <f ca="1">IFERROR(__xludf.DUMMYFUNCTION("""COMPUTED_VALUE"""),-0.58288556784251)</f>
        <v>-0.58288556784251</v>
      </c>
      <c r="LP97" s="3">
        <f ca="1">IFERROR(__xludf.DUMMYFUNCTION("""COMPUTED_VALUE"""),-0.674076805504543)</f>
        <v>-0.67407680550454296</v>
      </c>
      <c r="LQ97" s="3">
        <f ca="1">IFERROR(__xludf.DUMMYFUNCTION("""COMPUTED_VALUE"""),-0.688493377113882)</f>
        <v>-0.68849337711388203</v>
      </c>
      <c r="LR97" s="3">
        <f ca="1">IFERROR(__xludf.DUMMYFUNCTION("""COMPUTED_VALUE"""),-0.675941846753366)</f>
        <v>-0.67594184675336599</v>
      </c>
      <c r="LS97" s="3">
        <f ca="1">IFERROR(__xludf.DUMMYFUNCTION("""COMPUTED_VALUE"""),-0.677790010831613)</f>
        <v>-0.67779001083161305</v>
      </c>
      <c r="LT97" s="3">
        <f ca="1">IFERROR(__xludf.DUMMYFUNCTION("""COMPUTED_VALUE"""),-0.667727608454525)</f>
        <v>-0.66772760845452495</v>
      </c>
      <c r="LU97" s="3">
        <f ca="1">IFERROR(__xludf.DUMMYFUNCTION("""COMPUTED_VALUE"""),-0.639994898367514)</f>
        <v>-0.639994898367514</v>
      </c>
      <c r="LV97" s="3">
        <f ca="1">IFERROR(__xludf.DUMMYFUNCTION("""COMPUTED_VALUE"""),-0.617645510983165)</f>
        <v>-0.617645510983165</v>
      </c>
      <c r="LW97" s="3">
        <f ca="1">IFERROR(__xludf.DUMMYFUNCTION("""COMPUTED_VALUE"""),-0.752990983027632)</f>
        <v>-0.75299098302763201</v>
      </c>
      <c r="LX97" s="3">
        <f ca="1">IFERROR(__xludf.DUMMYFUNCTION("""COMPUTED_VALUE"""),-0.718918018151943)</f>
        <v>-0.71891801815194301</v>
      </c>
      <c r="LY97" s="3">
        <f ca="1">IFERROR(__xludf.DUMMYFUNCTION("""COMPUTED_VALUE"""),-0.751866330978962)</f>
        <v>-0.75186633097896205</v>
      </c>
      <c r="LZ97" s="3">
        <f ca="1">IFERROR(__xludf.DUMMYFUNCTION("""COMPUTED_VALUE"""),-0.73138980178866)</f>
        <v>-0.73138980178865998</v>
      </c>
      <c r="MA97" s="3">
        <f ca="1">IFERROR(__xludf.DUMMYFUNCTION("""COMPUTED_VALUE"""),-0.803354407990098)</f>
        <v>-0.80335440799009805</v>
      </c>
      <c r="MB97" s="3">
        <f ca="1">IFERROR(__xludf.DUMMYFUNCTION("""COMPUTED_VALUE"""),-0.899683933633181)</f>
        <v>-0.899683933633181</v>
      </c>
      <c r="MC97" s="3">
        <f ca="1">IFERROR(__xludf.DUMMYFUNCTION("""COMPUTED_VALUE"""),-0.875522788961568)</f>
        <v>-0.87552278896156799</v>
      </c>
      <c r="MD97" s="3">
        <f ca="1">IFERROR(__xludf.DUMMYFUNCTION("""COMPUTED_VALUE"""),-0.907623536989376)</f>
        <v>-0.90762353698937603</v>
      </c>
      <c r="ME97" s="3">
        <f ca="1">IFERROR(__xludf.DUMMYFUNCTION("""COMPUTED_VALUE"""),-0.934582810575851)</f>
        <v>-0.93458281057585102</v>
      </c>
      <c r="MF97" s="3">
        <f ca="1">IFERROR(__xludf.DUMMYFUNCTION("""COMPUTED_VALUE"""),-0.919571169170589)</f>
        <v>-0.91957116917058901</v>
      </c>
      <c r="MG97" s="3">
        <f ca="1">IFERROR(__xludf.DUMMYFUNCTION("""COMPUTED_VALUE"""),-0.953031826070328)</f>
        <v>-0.95303182607032799</v>
      </c>
      <c r="MH97" s="3">
        <f ca="1">IFERROR(__xludf.DUMMYFUNCTION("""COMPUTED_VALUE"""),-0.919792469835933)</f>
        <v>-0.91979246983593299</v>
      </c>
      <c r="MI97" s="3">
        <f ca="1">IFERROR(__xludf.DUMMYFUNCTION("""COMPUTED_VALUE"""),-0.880228704285613)</f>
        <v>-0.88022870428561295</v>
      </c>
      <c r="MJ97" s="3">
        <f ca="1">IFERROR(__xludf.DUMMYFUNCTION("""COMPUTED_VALUE"""),-0.89013724645171)</f>
        <v>-0.89013724645171</v>
      </c>
      <c r="MK97" s="3">
        <f ca="1">IFERROR(__xludf.DUMMYFUNCTION("""COMPUTED_VALUE"""),-0.958144563643612)</f>
        <v>-0.958144563643612</v>
      </c>
      <c r="ML97" s="3">
        <f ca="1">IFERROR(__xludf.DUMMYFUNCTION("""COMPUTED_VALUE"""),-0.943762725437929)</f>
        <v>-0.94376272543792905</v>
      </c>
      <c r="MM97" s="3">
        <f ca="1">IFERROR(__xludf.DUMMYFUNCTION("""COMPUTED_VALUE"""),-0.9115133389863)</f>
        <v>-0.91151333898630005</v>
      </c>
      <c r="MN97" s="3">
        <f ca="1">IFERROR(__xludf.DUMMYFUNCTION("""COMPUTED_VALUE"""),-0.942003884137514)</f>
        <v>-0.94200388413751401</v>
      </c>
      <c r="MO97" s="3">
        <f ca="1">IFERROR(__xludf.DUMMYFUNCTION("""COMPUTED_VALUE"""),-0.892632702338256)</f>
        <v>-0.89263270233825598</v>
      </c>
      <c r="MP97" s="3">
        <f ca="1">IFERROR(__xludf.DUMMYFUNCTION("""COMPUTED_VALUE"""),-0.844426799261742)</f>
        <v>-0.84442679926174202</v>
      </c>
      <c r="MQ97" s="3">
        <f ca="1">IFERROR(__xludf.DUMMYFUNCTION("""COMPUTED_VALUE"""),-0.882290435343841)</f>
        <v>-0.882290435343841</v>
      </c>
      <c r="MR97" s="3">
        <f ca="1">IFERROR(__xludf.DUMMYFUNCTION("""COMPUTED_VALUE"""),-0.874754192743546)</f>
        <v>-0.87475419274354604</v>
      </c>
      <c r="MS97" s="3">
        <f ca="1">IFERROR(__xludf.DUMMYFUNCTION("""COMPUTED_VALUE"""),-0.854097532029317)</f>
        <v>-0.85409753202931704</v>
      </c>
      <c r="MT97" s="3">
        <f ca="1">IFERROR(__xludf.DUMMYFUNCTION("""COMPUTED_VALUE"""),-0.841772213847729)</f>
        <v>-0.84177221384772904</v>
      </c>
      <c r="MU97" s="3">
        <f ca="1">IFERROR(__xludf.DUMMYFUNCTION("""COMPUTED_VALUE"""),-0.885804157462888)</f>
        <v>-0.88580415746288799</v>
      </c>
      <c r="MV97" s="3">
        <f ca="1">IFERROR(__xludf.DUMMYFUNCTION("""COMPUTED_VALUE"""),-0.850809534211234)</f>
        <v>-0.85080953421123395</v>
      </c>
      <c r="MW97" s="3">
        <f ca="1">IFERROR(__xludf.DUMMYFUNCTION("""COMPUTED_VALUE"""),-0.838965259715467)</f>
        <v>-0.83896525971546698</v>
      </c>
      <c r="MX97" s="3">
        <f ca="1">IFERROR(__xludf.DUMMYFUNCTION("""COMPUTED_VALUE"""),-0.854726126904842)</f>
        <v>-0.85472612690484195</v>
      </c>
      <c r="MY97" s="3">
        <f ca="1">IFERROR(__xludf.DUMMYFUNCTION("""COMPUTED_VALUE"""),-0.869884000832464)</f>
        <v>-0.86988400083246398</v>
      </c>
      <c r="MZ97" s="3">
        <f ca="1">IFERROR(__xludf.DUMMYFUNCTION("""COMPUTED_VALUE"""),-0.874265813768385)</f>
        <v>-0.87426581376838497</v>
      </c>
      <c r="NA97" s="3">
        <f ca="1">IFERROR(__xludf.DUMMYFUNCTION("""COMPUTED_VALUE"""),-0.860081800539219)</f>
        <v>-0.86008180053921901</v>
      </c>
      <c r="NB97" s="3">
        <f ca="1">IFERROR(__xludf.DUMMYFUNCTION("""COMPUTED_VALUE"""),-0.856439337030334)</f>
        <v>-0.85643933703033404</v>
      </c>
      <c r="NC97" s="3">
        <f ca="1">IFERROR(__xludf.DUMMYFUNCTION("""COMPUTED_VALUE"""),-0.861328126653359)</f>
        <v>-0.86132812665335901</v>
      </c>
      <c r="ND97" s="3">
        <f ca="1">IFERROR(__xludf.DUMMYFUNCTION("""COMPUTED_VALUE"""),-0.806807728411544)</f>
        <v>-0.80680772841154402</v>
      </c>
      <c r="NE97" s="3">
        <f ca="1">IFERROR(__xludf.DUMMYFUNCTION("""COMPUTED_VALUE"""),-0.867230779160423)</f>
        <v>-0.86723077916042302</v>
      </c>
      <c r="NF97" s="3">
        <f ca="1">IFERROR(__xludf.DUMMYFUNCTION("""COMPUTED_VALUE"""),-0.873346468524423)</f>
        <v>-0.87334646852442299</v>
      </c>
      <c r="NG97" s="3">
        <f ca="1">IFERROR(__xludf.DUMMYFUNCTION("""COMPUTED_VALUE"""),-0.874398115251754)</f>
        <v>-0.87439811525175404</v>
      </c>
      <c r="NH97" s="3">
        <f ca="1">IFERROR(__xludf.DUMMYFUNCTION("""COMPUTED_VALUE"""),-0.869274043643902)</f>
        <v>-0.86927404364390204</v>
      </c>
      <c r="NI97" s="3">
        <f ca="1">IFERROR(__xludf.DUMMYFUNCTION("""COMPUTED_VALUE"""),-0.844140240093905)</f>
        <v>-0.84414024009390498</v>
      </c>
      <c r="NJ97" s="3">
        <f ca="1">IFERROR(__xludf.DUMMYFUNCTION("""COMPUTED_VALUE"""),-0.84045533686008)</f>
        <v>-0.84045533686008</v>
      </c>
      <c r="NK97" s="3">
        <f ca="1">IFERROR(__xludf.DUMMYFUNCTION("""COMPUTED_VALUE"""),-0.810902680811844)</f>
        <v>-0.81090268081184402</v>
      </c>
      <c r="NL97" s="3">
        <f ca="1">IFERROR(__xludf.DUMMYFUNCTION("""COMPUTED_VALUE"""),-0.879203920145154)</f>
        <v>-0.87920392014515403</v>
      </c>
      <c r="NM97" s="3">
        <f ca="1">IFERROR(__xludf.DUMMYFUNCTION("""COMPUTED_VALUE"""),-0.864674762501404)</f>
        <v>-0.86467476250140396</v>
      </c>
      <c r="NN97" s="3">
        <f ca="1">IFERROR(__xludf.DUMMYFUNCTION("""COMPUTED_VALUE"""),-0.842505693675814)</f>
        <v>-0.84250569367581396</v>
      </c>
      <c r="NO97" s="3">
        <f ca="1">IFERROR(__xludf.DUMMYFUNCTION("""COMPUTED_VALUE"""),-0.832863483686035)</f>
        <v>-0.83286348368603502</v>
      </c>
      <c r="NP97" s="3">
        <f ca="1">IFERROR(__xludf.DUMMYFUNCTION("""COMPUTED_VALUE"""),-0.86523267332023)</f>
        <v>-0.86523267332023002</v>
      </c>
      <c r="NQ97" s="3">
        <f ca="1">IFERROR(__xludf.DUMMYFUNCTION("""COMPUTED_VALUE"""),-0.864988974090989)</f>
        <v>-0.86498897409098896</v>
      </c>
      <c r="NR97" s="3">
        <f ca="1">IFERROR(__xludf.DUMMYFUNCTION("""COMPUTED_VALUE"""),-0.831437478538215)</f>
        <v>-0.83143747853821504</v>
      </c>
      <c r="NS97" s="3">
        <f ca="1">IFERROR(__xludf.DUMMYFUNCTION("""COMPUTED_VALUE"""),-0.847858171077644)</f>
        <v>-0.84785817107764405</v>
      </c>
      <c r="NT97" s="3">
        <f ca="1">IFERROR(__xludf.DUMMYFUNCTION("""COMPUTED_VALUE"""),-0.85510729799296)</f>
        <v>-0.85510729799296004</v>
      </c>
      <c r="NU97" s="3">
        <f ca="1">IFERROR(__xludf.DUMMYFUNCTION("""COMPUTED_VALUE"""),-0.852751654976221)</f>
        <v>-0.85275165497622096</v>
      </c>
      <c r="NV97" s="3">
        <f ca="1">IFERROR(__xludf.DUMMYFUNCTION("""COMPUTED_VALUE"""),-0.856865320157029)</f>
        <v>-0.85686532015702899</v>
      </c>
      <c r="NW97" s="3">
        <f ca="1">IFERROR(__xludf.DUMMYFUNCTION("""COMPUTED_VALUE"""),-0.768408313014718)</f>
        <v>-0.76840831301471801</v>
      </c>
      <c r="NX97" s="3">
        <f ca="1">IFERROR(__xludf.DUMMYFUNCTION("""COMPUTED_VALUE"""),-0.84259041449609)</f>
        <v>-0.84259041449608996</v>
      </c>
      <c r="NY97" s="3">
        <f ca="1">IFERROR(__xludf.DUMMYFUNCTION("""COMPUTED_VALUE"""),-0.807006491371346)</f>
        <v>-0.80700649137134595</v>
      </c>
      <c r="NZ97" s="3">
        <f ca="1">IFERROR(__xludf.DUMMYFUNCTION("""COMPUTED_VALUE"""),-0.813151078633456)</f>
        <v>-0.81315107863345604</v>
      </c>
      <c r="OA97" s="3">
        <f ca="1">IFERROR(__xludf.DUMMYFUNCTION("""COMPUTED_VALUE"""),-0.849944306217773)</f>
        <v>-0.84994430621777295</v>
      </c>
      <c r="OB97" s="3">
        <f ca="1">IFERROR(__xludf.DUMMYFUNCTION("""COMPUTED_VALUE"""),-0.83846049685375)</f>
        <v>-0.83846049685375001</v>
      </c>
      <c r="OC97" s="3">
        <f ca="1">IFERROR(__xludf.DUMMYFUNCTION("""COMPUTED_VALUE"""),-0.834374011987518)</f>
        <v>-0.83437401198751804</v>
      </c>
      <c r="OD97" s="3">
        <f ca="1">IFERROR(__xludf.DUMMYFUNCTION("""COMPUTED_VALUE"""),-0.752654488545265)</f>
        <v>-0.75265448854526495</v>
      </c>
      <c r="OE97" s="3">
        <f ca="1">IFERROR(__xludf.DUMMYFUNCTION("""COMPUTED_VALUE"""),-0.5874077362523)</f>
        <v>-0.58740773625230003</v>
      </c>
      <c r="OF97" s="3">
        <f ca="1">IFERROR(__xludf.DUMMYFUNCTION("""COMPUTED_VALUE"""),-0.330636152107649)</f>
        <v>-0.33063615210764902</v>
      </c>
      <c r="OG97" s="3">
        <f ca="1">IFERROR(__xludf.DUMMYFUNCTION("""COMPUTED_VALUE"""),-0.167064866243539)</f>
        <v>-0.167064866243539</v>
      </c>
      <c r="OH97" s="3">
        <f ca="1">IFERROR(__xludf.DUMMYFUNCTION("""COMPUTED_VALUE"""),-0.167098758778917)</f>
        <v>-0.167098758778917</v>
      </c>
      <c r="OI97" s="3">
        <f ca="1">IFERROR(__xludf.DUMMYFUNCTION("""COMPUTED_VALUE"""),-0.123083854146286)</f>
        <v>-0.123083854146286</v>
      </c>
      <c r="OJ97" s="3">
        <f ca="1">IFERROR(__xludf.DUMMYFUNCTION("""COMPUTED_VALUE"""),-0.0305945342094083)</f>
        <v>-3.0594534209408299E-2</v>
      </c>
      <c r="OK97" s="3">
        <f ca="1">IFERROR(__xludf.DUMMYFUNCTION("""COMPUTED_VALUE"""),0.148604769956235)</f>
        <v>0.14860476995623501</v>
      </c>
      <c r="OL97" s="3">
        <f ca="1">IFERROR(__xludf.DUMMYFUNCTION("""COMPUTED_VALUE"""),0.0265457395566783)</f>
        <v>2.6545739556678299E-2</v>
      </c>
      <c r="OM97" s="3">
        <f ca="1">IFERROR(__xludf.DUMMYFUNCTION("""COMPUTED_VALUE"""),0.0137553805665178)</f>
        <v>1.3755380566517801E-2</v>
      </c>
      <c r="ON97" s="3">
        <f ca="1">IFERROR(__xludf.DUMMYFUNCTION("""COMPUTED_VALUE"""),-0.0362383422012242)</f>
        <v>-3.6238342201224197E-2</v>
      </c>
      <c r="OO97" s="3">
        <f ca="1">IFERROR(__xludf.DUMMYFUNCTION("""COMPUTED_VALUE"""),-0.0408045301765658)</f>
        <v>-4.0804530176565802E-2</v>
      </c>
      <c r="OP97" s="3">
        <f ca="1">IFERROR(__xludf.DUMMYFUNCTION("""COMPUTED_VALUE"""),-0.0599643547377666)</f>
        <v>-5.9964354737766602E-2</v>
      </c>
      <c r="OQ97" s="3">
        <f ca="1">IFERROR(__xludf.DUMMYFUNCTION("""COMPUTED_VALUE"""),-0.0475297808364246)</f>
        <v>-4.7529780836424597E-2</v>
      </c>
      <c r="OR97" s="3">
        <f ca="1">IFERROR(__xludf.DUMMYFUNCTION("""COMPUTED_VALUE"""),-0.0748518613823679)</f>
        <v>-7.4851861382367907E-2</v>
      </c>
      <c r="OS97" s="3">
        <f ca="1">IFERROR(__xludf.DUMMYFUNCTION("""COMPUTED_VALUE"""),-0.0691313843167878)</f>
        <v>-6.9131384316787794E-2</v>
      </c>
      <c r="OT97" s="3">
        <f ca="1">IFERROR(__xludf.DUMMYFUNCTION("""COMPUTED_VALUE"""),-0.0668993332316627)</f>
        <v>-6.6899333231662694E-2</v>
      </c>
      <c r="OU97" s="3">
        <f ca="1">IFERROR(__xludf.DUMMYFUNCTION("""COMPUTED_VALUE"""),-0.0435393710191535)</f>
        <v>-4.3539371019153499E-2</v>
      </c>
      <c r="OV97" s="3">
        <f ca="1">IFERROR(__xludf.DUMMYFUNCTION("""COMPUTED_VALUE"""),-0.045699916084371)</f>
        <v>-4.5699916084371003E-2</v>
      </c>
      <c r="OW97" s="3">
        <f ca="1">IFERROR(__xludf.DUMMYFUNCTION("""COMPUTED_VALUE"""),-0.0708121057238778)</f>
        <v>-7.0812105723877805E-2</v>
      </c>
      <c r="OX97" s="3">
        <f ca="1">IFERROR(__xludf.DUMMYFUNCTION("""COMPUTED_VALUE"""),-0.166035754371448)</f>
        <v>-0.16603575437144799</v>
      </c>
      <c r="OY97" s="3">
        <f ca="1">IFERROR(__xludf.DUMMYFUNCTION("""COMPUTED_VALUE"""),-0.0726114290501882)</f>
        <v>-7.2611429050188206E-2</v>
      </c>
      <c r="OZ97" s="3">
        <f ca="1">IFERROR(__xludf.DUMMYFUNCTION("""COMPUTED_VALUE"""),-0.00157032864963069)</f>
        <v>-1.5703286496306899E-3</v>
      </c>
      <c r="PA97" s="3">
        <f ca="1">IFERROR(__xludf.DUMMYFUNCTION("""COMPUTED_VALUE"""),0.229074346107299)</f>
        <v>0.22907434610729899</v>
      </c>
      <c r="PB97" s="3">
        <f ca="1">IFERROR(__xludf.DUMMYFUNCTION("""COMPUTED_VALUE"""),0.00860277492451011)</f>
        <v>8.6027749245101096E-3</v>
      </c>
      <c r="PC97" s="3">
        <f ca="1">IFERROR(__xludf.DUMMYFUNCTION("""COMPUTED_VALUE"""),0.0935657940658283)</f>
        <v>9.3565794065828295E-2</v>
      </c>
      <c r="PD97" s="3">
        <f ca="1">IFERROR(__xludf.DUMMYFUNCTION("""COMPUTED_VALUE"""),-0.643835371332617)</f>
        <v>-0.64383537133261703</v>
      </c>
      <c r="PE97" s="3">
        <f ca="1">IFERROR(__xludf.DUMMYFUNCTION("""COMPUTED_VALUE"""),0.0237612583069368)</f>
        <v>2.3761258306936799E-2</v>
      </c>
      <c r="PF97" s="3">
        <f ca="1">IFERROR(__xludf.DUMMYFUNCTION("""COMPUTED_VALUE"""),0.152501664334742)</f>
        <v>0.15250166433474199</v>
      </c>
      <c r="PG97" s="3">
        <f ca="1">IFERROR(__xludf.DUMMYFUNCTION("""COMPUTED_VALUE"""),0.155582198363579)</f>
        <v>0.15558219836357901</v>
      </c>
      <c r="PH97" s="3">
        <f ca="1">IFERROR(__xludf.DUMMYFUNCTION("""COMPUTED_VALUE"""),0.369084241261449)</f>
        <v>0.36908424126144901</v>
      </c>
      <c r="PI97" s="3">
        <f ca="1">IFERROR(__xludf.DUMMYFUNCTION("""COMPUTED_VALUE"""),0.227291067003597)</f>
        <v>0.227291067003597</v>
      </c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</row>
    <row r="98" spans="1:477" ht="13">
      <c r="A98" s="1" t="str">
        <f ca="1">IFERROR(__xludf.DUMMYFUNCTION("""COMPUTED_VALUE"""),"TheBus")</f>
        <v>TheBus</v>
      </c>
      <c r="B98" s="1" t="str">
        <f ca="1">IFERROR(__xludf.DUMMYFUNCTION("""COMPUTED_VALUE"""),"Oahu")</f>
        <v>Oahu</v>
      </c>
      <c r="C98" s="1" t="str">
        <f ca="1">IFERROR(__xludf.DUMMYFUNCTION("""COMPUTED_VALUE"""),"United States")</f>
        <v>United States</v>
      </c>
      <c r="D98" s="1" t="str">
        <f ca="1">IFERROR(__xludf.DUMMYFUNCTION("""COMPUTED_VALUE"""),"Hawaii")</f>
        <v>Hawaii</v>
      </c>
      <c r="E98" s="3">
        <f ca="1">IFERROR(__xludf.DUMMYFUNCTION("""COMPUTED_VALUE"""),-0.466768468813725)</f>
        <v>-0.46676846881372502</v>
      </c>
      <c r="F98" s="3">
        <f ca="1">IFERROR(__xludf.DUMMYFUNCTION("""COMPUTED_VALUE"""),-0.536166344838125)</f>
        <v>-0.53616634483812498</v>
      </c>
      <c r="G98" s="3">
        <f ca="1">IFERROR(__xludf.DUMMYFUNCTION("""COMPUTED_VALUE"""),-0.536859518310695)</f>
        <v>-0.53685951831069501</v>
      </c>
      <c r="H98" s="3">
        <f ca="1">IFERROR(__xludf.DUMMYFUNCTION("""COMPUTED_VALUE"""),-0.624667513246852)</f>
        <v>-0.62466751324685199</v>
      </c>
      <c r="I98" s="3">
        <f ca="1">IFERROR(__xludf.DUMMYFUNCTION("""COMPUTED_VALUE"""),-0.605780252915932)</f>
        <v>-0.60578025291593196</v>
      </c>
      <c r="J98" s="3">
        <f ca="1">IFERROR(__xludf.DUMMYFUNCTION("""COMPUTED_VALUE"""),-0.5834639199167)</f>
        <v>-0.58346391991669999</v>
      </c>
      <c r="K98" s="3">
        <f ca="1">IFERROR(__xludf.DUMMYFUNCTION("""COMPUTED_VALUE"""),-0.483985407930605)</f>
        <v>-0.48398540793060502</v>
      </c>
      <c r="L98" s="3">
        <f ca="1">IFERROR(__xludf.DUMMYFUNCTION("""COMPUTED_VALUE"""),-0.470490572717626)</f>
        <v>-0.47049057271762601</v>
      </c>
      <c r="M98" s="3">
        <f ca="1">IFERROR(__xludf.DUMMYFUNCTION("""COMPUTED_VALUE"""),-0.580204393852572)</f>
        <v>-0.58020439385257205</v>
      </c>
      <c r="N98" s="3">
        <f ca="1">IFERROR(__xludf.DUMMYFUNCTION("""COMPUTED_VALUE"""),-0.58836910753211)</f>
        <v>-0.58836910753211003</v>
      </c>
      <c r="O98" s="3">
        <f ca="1">IFERROR(__xludf.DUMMYFUNCTION("""COMPUTED_VALUE"""),-0.532474670911736)</f>
        <v>-0.53247467091173595</v>
      </c>
      <c r="P98" s="3">
        <f ca="1">IFERROR(__xludf.DUMMYFUNCTION("""COMPUTED_VALUE"""),-0.593806086754268)</f>
        <v>-0.59380608675426805</v>
      </c>
      <c r="Q98" s="3">
        <f ca="1">IFERROR(__xludf.DUMMYFUNCTION("""COMPUTED_VALUE"""),-0.51965458433987)</f>
        <v>-0.51965458433987</v>
      </c>
      <c r="R98" s="3">
        <f ca="1">IFERROR(__xludf.DUMMYFUNCTION("""COMPUTED_VALUE"""),-0.490645412101926)</f>
        <v>-0.49064541210192603</v>
      </c>
      <c r="S98" s="3">
        <f ca="1">IFERROR(__xludf.DUMMYFUNCTION("""COMPUTED_VALUE"""),-0.48274431026328)</f>
        <v>-0.48274431026328002</v>
      </c>
      <c r="T98" s="3">
        <f ca="1">IFERROR(__xludf.DUMMYFUNCTION("""COMPUTED_VALUE"""),-0.53523285244627)</f>
        <v>-0.53523285244626995</v>
      </c>
      <c r="U98" s="3">
        <f ca="1">IFERROR(__xludf.DUMMYFUNCTION("""COMPUTED_VALUE"""),-0.661968146894671)</f>
        <v>-0.66196814689467098</v>
      </c>
      <c r="V98" s="3">
        <f ca="1">IFERROR(__xludf.DUMMYFUNCTION("""COMPUTED_VALUE"""),-0.612689286840174)</f>
        <v>-0.61268928684017399</v>
      </c>
      <c r="W98" s="3">
        <f ca="1">IFERROR(__xludf.DUMMYFUNCTION("""COMPUTED_VALUE"""),-0.590778352682419)</f>
        <v>-0.59077835268241896</v>
      </c>
      <c r="X98" s="3">
        <f ca="1">IFERROR(__xludf.DUMMYFUNCTION("""COMPUTED_VALUE"""),-0.541602664998989)</f>
        <v>-0.54160266499898901</v>
      </c>
      <c r="Y98" s="3">
        <f ca="1">IFERROR(__xludf.DUMMYFUNCTION("""COMPUTED_VALUE"""),-0.521881749991081)</f>
        <v>-0.52188174999108095</v>
      </c>
      <c r="Z98" s="3">
        <f ca="1">IFERROR(__xludf.DUMMYFUNCTION("""COMPUTED_VALUE"""),-0.502069496609686)</f>
        <v>-0.50206949660968603</v>
      </c>
      <c r="AA98" s="3">
        <f ca="1">IFERROR(__xludf.DUMMYFUNCTION("""COMPUTED_VALUE"""),-0.587764769508529)</f>
        <v>-0.58776476950852896</v>
      </c>
      <c r="AB98" s="3">
        <f ca="1">IFERROR(__xludf.DUMMYFUNCTION("""COMPUTED_VALUE"""),-0.622014129936864)</f>
        <v>-0.622014129936864</v>
      </c>
      <c r="AC98" s="3">
        <f ca="1">IFERROR(__xludf.DUMMYFUNCTION("""COMPUTED_VALUE"""),-0.623463030473904)</f>
        <v>-0.62346303047390395</v>
      </c>
      <c r="AD98" s="3">
        <f ca="1">IFERROR(__xludf.DUMMYFUNCTION("""COMPUTED_VALUE"""),-0.643932117997661)</f>
        <v>-0.64393211799766104</v>
      </c>
      <c r="AE98" s="3">
        <f ca="1">IFERROR(__xludf.DUMMYFUNCTION("""COMPUTED_VALUE"""),-0.566781218344839)</f>
        <v>-0.56678121834483897</v>
      </c>
      <c r="AF98" s="3">
        <f ca="1">IFERROR(__xludf.DUMMYFUNCTION("""COMPUTED_VALUE"""),-0.506889408493711)</f>
        <v>-0.506889408493711</v>
      </c>
      <c r="AG98" s="3">
        <f ca="1">IFERROR(__xludf.DUMMYFUNCTION("""COMPUTED_VALUE"""),-0.608327199388251)</f>
        <v>-0.60832719938825097</v>
      </c>
      <c r="AH98" s="3">
        <f ca="1">IFERROR(__xludf.DUMMYFUNCTION("""COMPUTED_VALUE"""),-0.546356312878497)</f>
        <v>-0.54635631287849695</v>
      </c>
      <c r="AI98" s="3">
        <f ca="1">IFERROR(__xludf.DUMMYFUNCTION("""COMPUTED_VALUE"""),-0.563572576051167)</f>
        <v>-0.56357257605116695</v>
      </c>
      <c r="AJ98" s="3">
        <f ca="1">IFERROR(__xludf.DUMMYFUNCTION("""COMPUTED_VALUE"""),-0.618847513957217)</f>
        <v>-0.61884751395721704</v>
      </c>
      <c r="AK98" s="3">
        <f ca="1">IFERROR(__xludf.DUMMYFUNCTION("""COMPUTED_VALUE"""),-0.632791831518633)</f>
        <v>-0.63279183151863305</v>
      </c>
      <c r="AL98" s="3">
        <f ca="1">IFERROR(__xludf.DUMMYFUNCTION("""COMPUTED_VALUE"""),-0.618345868919058)</f>
        <v>-0.61834586891905796</v>
      </c>
      <c r="AM98" s="3">
        <f ca="1">IFERROR(__xludf.DUMMYFUNCTION("""COMPUTED_VALUE"""),-0.579112039600308)</f>
        <v>-0.57911203960030799</v>
      </c>
      <c r="AN98" s="3">
        <f ca="1">IFERROR(__xludf.DUMMYFUNCTION("""COMPUTED_VALUE"""),-0.555768098050629)</f>
        <v>-0.55576809805062899</v>
      </c>
      <c r="AO98" s="3">
        <f ca="1">IFERROR(__xludf.DUMMYFUNCTION("""COMPUTED_VALUE"""),-0.66493337733052)</f>
        <v>-0.66493337733052005</v>
      </c>
      <c r="AP98" s="3">
        <f ca="1">IFERROR(__xludf.DUMMYFUNCTION("""COMPUTED_VALUE"""),-0.578535330288024)</f>
        <v>-0.57853533028802395</v>
      </c>
      <c r="AQ98" s="3">
        <f ca="1">IFERROR(__xludf.DUMMYFUNCTION("""COMPUTED_VALUE"""),-0.684931053703545)</f>
        <v>-0.68493105370354501</v>
      </c>
      <c r="AR98" s="3">
        <f ca="1">IFERROR(__xludf.DUMMYFUNCTION("""COMPUTED_VALUE"""),-0.641637653142244)</f>
        <v>-0.64163765314224397</v>
      </c>
      <c r="AS98" s="3">
        <f ca="1">IFERROR(__xludf.DUMMYFUNCTION("""COMPUTED_VALUE"""),-0.706275103623033)</f>
        <v>-0.70627510362303303</v>
      </c>
      <c r="AT98" s="3">
        <f ca="1">IFERROR(__xludf.DUMMYFUNCTION("""COMPUTED_VALUE"""),-0.540935304973736)</f>
        <v>-0.54093530497373599</v>
      </c>
      <c r="AU98" s="3">
        <f ca="1">IFERROR(__xludf.DUMMYFUNCTION("""COMPUTED_VALUE"""),-0.647468598566701)</f>
        <v>-0.64746859856670103</v>
      </c>
      <c r="AV98" s="3">
        <f ca="1">IFERROR(__xludf.DUMMYFUNCTION("""COMPUTED_VALUE"""),-0.613566931300451)</f>
        <v>-0.61356693130045104</v>
      </c>
      <c r="AW98" s="3">
        <f ca="1">IFERROR(__xludf.DUMMYFUNCTION("""COMPUTED_VALUE"""),-0.611528485967319)</f>
        <v>-0.61152848596731901</v>
      </c>
      <c r="AX98" s="3">
        <f ca="1">IFERROR(__xludf.DUMMYFUNCTION("""COMPUTED_VALUE"""),-0.636578499377692)</f>
        <v>-0.63657849937769195</v>
      </c>
      <c r="AY98" s="3">
        <f ca="1">IFERROR(__xludf.DUMMYFUNCTION("""COMPUTED_VALUE"""),-0.65265655250661)</f>
        <v>-0.65265655250661003</v>
      </c>
      <c r="AZ98" s="3">
        <f ca="1">IFERROR(__xludf.DUMMYFUNCTION("""COMPUTED_VALUE"""),-0.63177640319823)</f>
        <v>-0.63177640319823003</v>
      </c>
      <c r="BA98" s="3">
        <f ca="1">IFERROR(__xludf.DUMMYFUNCTION("""COMPUTED_VALUE"""),-0.583592786870286)</f>
        <v>-0.58359278687028604</v>
      </c>
      <c r="BB98" s="3">
        <f ca="1">IFERROR(__xludf.DUMMYFUNCTION("""COMPUTED_VALUE"""),-0.604044700361412)</f>
        <v>-0.604044700361412</v>
      </c>
      <c r="BC98" s="3">
        <f ca="1">IFERROR(__xludf.DUMMYFUNCTION("""COMPUTED_VALUE"""),-0.613660400032157)</f>
        <v>-0.61366040003215705</v>
      </c>
      <c r="BD98" s="3">
        <f ca="1">IFERROR(__xludf.DUMMYFUNCTION("""COMPUTED_VALUE"""),-0.593805469216667)</f>
        <v>-0.59380546921666699</v>
      </c>
      <c r="BE98" s="3">
        <f ca="1">IFERROR(__xludf.DUMMYFUNCTION("""COMPUTED_VALUE"""),-0.64344466642054)</f>
        <v>-0.64344466642053999</v>
      </c>
      <c r="BF98" s="3">
        <f ca="1">IFERROR(__xludf.DUMMYFUNCTION("""COMPUTED_VALUE"""),-0.586841241703054)</f>
        <v>-0.58684124170305396</v>
      </c>
      <c r="BG98" s="3">
        <f ca="1">IFERROR(__xludf.DUMMYFUNCTION("""COMPUTED_VALUE"""),-0.586742939806562)</f>
        <v>-0.586742939806562</v>
      </c>
      <c r="BH98" s="3">
        <f ca="1">IFERROR(__xludf.DUMMYFUNCTION("""COMPUTED_VALUE"""),-0.489237918410367)</f>
        <v>-0.48923791841036701</v>
      </c>
      <c r="BI98" s="3">
        <f ca="1">IFERROR(__xludf.DUMMYFUNCTION("""COMPUTED_VALUE"""),-0.557217227821971)</f>
        <v>-0.55721722782197103</v>
      </c>
      <c r="BJ98" s="3">
        <f ca="1">IFERROR(__xludf.DUMMYFUNCTION("""COMPUTED_VALUE"""),-0.639779798758705)</f>
        <v>-0.63977979875870505</v>
      </c>
      <c r="BK98" s="3">
        <f ca="1">IFERROR(__xludf.DUMMYFUNCTION("""COMPUTED_VALUE"""),-0.655916981775925)</f>
        <v>-0.65591698177592495</v>
      </c>
      <c r="BL98" s="3">
        <f ca="1">IFERROR(__xludf.DUMMYFUNCTION("""COMPUTED_VALUE"""),-0.671797514138409)</f>
        <v>-0.67179751413840905</v>
      </c>
      <c r="BM98" s="3">
        <f ca="1">IFERROR(__xludf.DUMMYFUNCTION("""COMPUTED_VALUE"""),-0.708063569377955)</f>
        <v>-0.708063569377955</v>
      </c>
      <c r="BN98" s="3">
        <f ca="1">IFERROR(__xludf.DUMMYFUNCTION("""COMPUTED_VALUE"""),-0.622394964295376)</f>
        <v>-0.622394964295376</v>
      </c>
      <c r="BO98" s="3">
        <f ca="1">IFERROR(__xludf.DUMMYFUNCTION("""COMPUTED_VALUE"""),-0.568112494689228)</f>
        <v>-0.56811249468922798</v>
      </c>
      <c r="BP98" s="3">
        <f ca="1">IFERROR(__xludf.DUMMYFUNCTION("""COMPUTED_VALUE"""),-0.571425102132666)</f>
        <v>-0.57142510213266595</v>
      </c>
      <c r="BQ98" s="3">
        <f ca="1">IFERROR(__xludf.DUMMYFUNCTION("""COMPUTED_VALUE"""),-0.651720096266848)</f>
        <v>-0.65172009626684801</v>
      </c>
      <c r="BR98" s="3">
        <f ca="1">IFERROR(__xludf.DUMMYFUNCTION("""COMPUTED_VALUE"""),-0.641634364351607)</f>
        <v>-0.64163436435160703</v>
      </c>
      <c r="BS98" s="3">
        <f ca="1">IFERROR(__xludf.DUMMYFUNCTION("""COMPUTED_VALUE"""),-0.685035306866242)</f>
        <v>-0.68503530686624203</v>
      </c>
      <c r="BT98" s="3">
        <f ca="1">IFERROR(__xludf.DUMMYFUNCTION("""COMPUTED_VALUE"""),-0.722537145023392)</f>
        <v>-0.72253714502339195</v>
      </c>
      <c r="BU98" s="3">
        <f ca="1">IFERROR(__xludf.DUMMYFUNCTION("""COMPUTED_VALUE"""),-0.642985312237737)</f>
        <v>-0.64298531223773703</v>
      </c>
      <c r="BV98" s="3">
        <f ca="1">IFERROR(__xludf.DUMMYFUNCTION("""COMPUTED_VALUE"""),-0.617736788125263)</f>
        <v>-0.617736788125263</v>
      </c>
      <c r="BW98" s="3">
        <f ca="1">IFERROR(__xludf.DUMMYFUNCTION("""COMPUTED_VALUE"""),-0.563211144141687)</f>
        <v>-0.56321114414168705</v>
      </c>
      <c r="BX98" s="3">
        <f ca="1">IFERROR(__xludf.DUMMYFUNCTION("""COMPUTED_VALUE"""),-0.640682788355816)</f>
        <v>-0.64068278835581605</v>
      </c>
      <c r="BY98" s="3">
        <f ca="1">IFERROR(__xludf.DUMMYFUNCTION("""COMPUTED_VALUE"""),-0.703531126508938)</f>
        <v>-0.70353112650893801</v>
      </c>
      <c r="BZ98" s="3">
        <f ca="1">IFERROR(__xludf.DUMMYFUNCTION("""COMPUTED_VALUE"""),-0.67766799757736)</f>
        <v>-0.67766799757735996</v>
      </c>
      <c r="CA98" s="3">
        <f ca="1">IFERROR(__xludf.DUMMYFUNCTION("""COMPUTED_VALUE"""),-0.710466687518387)</f>
        <v>-0.71046668751838704</v>
      </c>
      <c r="CB98" s="3">
        <f ca="1">IFERROR(__xludf.DUMMYFUNCTION("""COMPUTED_VALUE"""),-0.685173169039001)</f>
        <v>-0.68517316903900105</v>
      </c>
      <c r="CC98" s="3">
        <f ca="1">IFERROR(__xludf.DUMMYFUNCTION("""COMPUTED_VALUE"""),-0.635106028611456)</f>
        <v>-0.63510602861145604</v>
      </c>
      <c r="CD98" s="3">
        <f ca="1">IFERROR(__xludf.DUMMYFUNCTION("""COMPUTED_VALUE"""),-0.560960413410727)</f>
        <v>-0.560960413410727</v>
      </c>
      <c r="CE98" s="3">
        <f ca="1">IFERROR(__xludf.DUMMYFUNCTION("""COMPUTED_VALUE"""),-0.560992319360014)</f>
        <v>-0.56099231936001404</v>
      </c>
      <c r="CF98" s="3">
        <f ca="1">IFERROR(__xludf.DUMMYFUNCTION("""COMPUTED_VALUE"""),-0.640540443785413)</f>
        <v>-0.64054044378541297</v>
      </c>
      <c r="CG98" s="3">
        <f ca="1">IFERROR(__xludf.DUMMYFUNCTION("""COMPUTED_VALUE"""),-0.702564366026461)</f>
        <v>-0.702564366026461</v>
      </c>
      <c r="CH98" s="3">
        <f ca="1">IFERROR(__xludf.DUMMYFUNCTION("""COMPUTED_VALUE"""),-0.673019924206737)</f>
        <v>-0.67301992420673695</v>
      </c>
      <c r="CI98" s="3">
        <f ca="1">IFERROR(__xludf.DUMMYFUNCTION("""COMPUTED_VALUE"""),-0.693118372402179)</f>
        <v>-0.69311837240217899</v>
      </c>
      <c r="CJ98" s="3">
        <f ca="1">IFERROR(__xludf.DUMMYFUNCTION("""COMPUTED_VALUE"""),-0.643127066129145)</f>
        <v>-0.64312706612914505</v>
      </c>
      <c r="CK98" s="3">
        <f ca="1">IFERROR(__xludf.DUMMYFUNCTION("""COMPUTED_VALUE"""),-0.578958173918262)</f>
        <v>-0.57895817391826199</v>
      </c>
      <c r="CL98" s="3">
        <f ca="1">IFERROR(__xludf.DUMMYFUNCTION("""COMPUTED_VALUE"""),-0.670955576760343)</f>
        <v>-0.67095557676034301</v>
      </c>
      <c r="CM98" s="3">
        <f ca="1">IFERROR(__xludf.DUMMYFUNCTION("""COMPUTED_VALUE"""),-0.686410158267181)</f>
        <v>-0.68641015826718099</v>
      </c>
      <c r="CN98" s="3">
        <f ca="1">IFERROR(__xludf.DUMMYFUNCTION("""COMPUTED_VALUE"""),-0.72808392031166)</f>
        <v>-0.72808392031166003</v>
      </c>
      <c r="CO98" s="3">
        <f ca="1">IFERROR(__xludf.DUMMYFUNCTION("""COMPUTED_VALUE"""),-0.722508999685988)</f>
        <v>-0.72250899968598803</v>
      </c>
      <c r="CP98" s="3">
        <f ca="1">IFERROR(__xludf.DUMMYFUNCTION("""COMPUTED_VALUE"""),-0.64579251290433)</f>
        <v>-0.64579251290433004</v>
      </c>
      <c r="CQ98" s="3">
        <f ca="1">IFERROR(__xludf.DUMMYFUNCTION("""COMPUTED_VALUE"""),-0.517530264426681)</f>
        <v>-0.51753026442668104</v>
      </c>
      <c r="CR98" s="3">
        <f ca="1">IFERROR(__xludf.DUMMYFUNCTION("""COMPUTED_VALUE"""),-0.622524913225069)</f>
        <v>-0.62252491322506898</v>
      </c>
      <c r="CS98" s="3">
        <f ca="1">IFERROR(__xludf.DUMMYFUNCTION("""COMPUTED_VALUE"""),-0.654985913971286)</f>
        <v>-0.65498591397128603</v>
      </c>
      <c r="CT98" s="3">
        <f ca="1">IFERROR(__xludf.DUMMYFUNCTION("""COMPUTED_VALUE"""),-0.631096004388415)</f>
        <v>-0.63109600438841496</v>
      </c>
      <c r="CU98" s="3">
        <f ca="1">IFERROR(__xludf.DUMMYFUNCTION("""COMPUTED_VALUE"""),-0.709634080854911)</f>
        <v>-0.70963408085491098</v>
      </c>
      <c r="CV98" s="3">
        <f ca="1">IFERROR(__xludf.DUMMYFUNCTION("""COMPUTED_VALUE"""),-0.704624520138856)</f>
        <v>-0.70462452013885601</v>
      </c>
      <c r="CW98" s="3">
        <f ca="1">IFERROR(__xludf.DUMMYFUNCTION("""COMPUTED_VALUE"""),-0.68827256237101)</f>
        <v>-0.68827256237100998</v>
      </c>
      <c r="CX98" s="3">
        <f ca="1">IFERROR(__xludf.DUMMYFUNCTION("""COMPUTED_VALUE"""),-0.666217783080269)</f>
        <v>-0.66621778308026902</v>
      </c>
      <c r="CY98" s="3">
        <f ca="1">IFERROR(__xludf.DUMMYFUNCTION("""COMPUTED_VALUE"""),-0.720503965914991)</f>
        <v>-0.720503965914991</v>
      </c>
      <c r="CZ98" s="3">
        <f ca="1">IFERROR(__xludf.DUMMYFUNCTION("""COMPUTED_VALUE"""),-0.766707084702044)</f>
        <v>-0.76670708470204396</v>
      </c>
      <c r="DA98" s="3">
        <f ca="1">IFERROR(__xludf.DUMMYFUNCTION("""COMPUTED_VALUE"""),-0.659997585747772)</f>
        <v>-0.65999758574777201</v>
      </c>
      <c r="DB98" s="3">
        <f ca="1">IFERROR(__xludf.DUMMYFUNCTION("""COMPUTED_VALUE"""),-0.513303292392912)</f>
        <v>-0.51330329239291195</v>
      </c>
      <c r="DC98" s="3">
        <f ca="1">IFERROR(__xludf.DUMMYFUNCTION("""COMPUTED_VALUE"""),-0.680126679292648)</f>
        <v>-0.68012667929264803</v>
      </c>
      <c r="DD98" s="3">
        <f ca="1">IFERROR(__xludf.DUMMYFUNCTION("""COMPUTED_VALUE"""),-0.667415412498004)</f>
        <v>-0.66741541249800396</v>
      </c>
      <c r="DE98" s="3">
        <f ca="1">IFERROR(__xludf.DUMMYFUNCTION("""COMPUTED_VALUE"""),-0.625843686563982)</f>
        <v>-0.62584368656398204</v>
      </c>
      <c r="DF98" s="3">
        <f ca="1">IFERROR(__xludf.DUMMYFUNCTION("""COMPUTED_VALUE"""),-0.771739747944192)</f>
        <v>-0.77173974794419198</v>
      </c>
      <c r="DG98" s="3">
        <f ca="1">IFERROR(__xludf.DUMMYFUNCTION("""COMPUTED_VALUE"""),-0.862778884270921)</f>
        <v>-0.86277888427092098</v>
      </c>
      <c r="DH98" s="3">
        <f ca="1">IFERROR(__xludf.DUMMYFUNCTION("""COMPUTED_VALUE"""),-0.70752087874234)</f>
        <v>-0.70752087874234004</v>
      </c>
      <c r="DI98" s="3">
        <f ca="1">IFERROR(__xludf.DUMMYFUNCTION("""COMPUTED_VALUE"""),-0.560846811740212)</f>
        <v>-0.560846811740212</v>
      </c>
      <c r="DJ98" s="3">
        <f ca="1">IFERROR(__xludf.DUMMYFUNCTION("""COMPUTED_VALUE"""),-0.588591158778819)</f>
        <v>-0.58859115877881896</v>
      </c>
      <c r="DK98" s="3">
        <f ca="1">IFERROR(__xludf.DUMMYFUNCTION("""COMPUTED_VALUE"""),-0.653543775907096)</f>
        <v>-0.653543775907096</v>
      </c>
      <c r="DL98" s="3">
        <f ca="1">IFERROR(__xludf.DUMMYFUNCTION("""COMPUTED_VALUE"""),-0.648246279072796)</f>
        <v>-0.64824627907279597</v>
      </c>
      <c r="DM98" s="3">
        <f ca="1">IFERROR(__xludf.DUMMYFUNCTION("""COMPUTED_VALUE"""),-0.659560340445281)</f>
        <v>-0.659560340445281</v>
      </c>
      <c r="DN98" s="3">
        <f ca="1">IFERROR(__xludf.DUMMYFUNCTION("""COMPUTED_VALUE"""),-0.684130682769494)</f>
        <v>-0.68413068276949396</v>
      </c>
      <c r="DO98" s="3">
        <f ca="1">IFERROR(__xludf.DUMMYFUNCTION("""COMPUTED_VALUE"""),-0.694261960527115)</f>
        <v>-0.69426196052711497</v>
      </c>
      <c r="DP98" s="3">
        <f ca="1">IFERROR(__xludf.DUMMYFUNCTION("""COMPUTED_VALUE"""),-0.616978536403784)</f>
        <v>-0.61697853640378397</v>
      </c>
      <c r="DQ98" s="3">
        <f ca="1">IFERROR(__xludf.DUMMYFUNCTION("""COMPUTED_VALUE"""),-0.710920224318762)</f>
        <v>-0.71092022431876201</v>
      </c>
      <c r="DR98" s="3">
        <f ca="1">IFERROR(__xludf.DUMMYFUNCTION("""COMPUTED_VALUE"""),-0.682217831952162)</f>
        <v>-0.68221783195216201</v>
      </c>
      <c r="DS98" s="3">
        <f ca="1">IFERROR(__xludf.DUMMYFUNCTION("""COMPUTED_VALUE"""),-0.647830358432834)</f>
        <v>-0.64783035843283399</v>
      </c>
      <c r="DT98" s="3">
        <f ca="1">IFERROR(__xludf.DUMMYFUNCTION("""COMPUTED_VALUE"""),-0.672086669731148)</f>
        <v>-0.67208666973114795</v>
      </c>
      <c r="DU98" s="3">
        <f ca="1">IFERROR(__xludf.DUMMYFUNCTION("""COMPUTED_VALUE"""),-0.689107036268742)</f>
        <v>-0.68910703626874203</v>
      </c>
      <c r="DV98" s="3">
        <f ca="1">IFERROR(__xludf.DUMMYFUNCTION("""COMPUTED_VALUE"""),-0.687828612905445)</f>
        <v>-0.68782861290544495</v>
      </c>
      <c r="DW98" s="3">
        <f ca="1">IFERROR(__xludf.DUMMYFUNCTION("""COMPUTED_VALUE"""),-0.690509046101825)</f>
        <v>-0.69050904610182495</v>
      </c>
      <c r="DX98" s="3">
        <f ca="1">IFERROR(__xludf.DUMMYFUNCTION("""COMPUTED_VALUE"""),-0.707867983189502)</f>
        <v>-0.70786798318950195</v>
      </c>
      <c r="DY98" s="3">
        <f ca="1">IFERROR(__xludf.DUMMYFUNCTION("""COMPUTED_VALUE"""),-0.687496179177046)</f>
        <v>-0.68749617917704597</v>
      </c>
      <c r="DZ98" s="3">
        <f ca="1">IFERROR(__xludf.DUMMYFUNCTION("""COMPUTED_VALUE"""),-0.625453719869962)</f>
        <v>-0.62545371986996201</v>
      </c>
      <c r="EA98" s="3">
        <f ca="1">IFERROR(__xludf.DUMMYFUNCTION("""COMPUTED_VALUE"""),-0.646599733041751)</f>
        <v>-0.646599733041751</v>
      </c>
      <c r="EB98" s="3">
        <f ca="1">IFERROR(__xludf.DUMMYFUNCTION("""COMPUTED_VALUE"""),-0.598255416916563)</f>
        <v>-0.59825541691656303</v>
      </c>
      <c r="EC98" s="3">
        <f ca="1">IFERROR(__xludf.DUMMYFUNCTION("""COMPUTED_VALUE"""),-0.595023000651849)</f>
        <v>-0.59502300065184899</v>
      </c>
      <c r="ED98" s="3">
        <f ca="1">IFERROR(__xludf.DUMMYFUNCTION("""COMPUTED_VALUE"""),-0.670644755909402)</f>
        <v>-0.67064475590940198</v>
      </c>
      <c r="EE98" s="3">
        <f ca="1">IFERROR(__xludf.DUMMYFUNCTION("""COMPUTED_VALUE"""),-0.721810452588825)</f>
        <v>-0.72181045258882504</v>
      </c>
      <c r="EF98" s="3">
        <f ca="1">IFERROR(__xludf.DUMMYFUNCTION("""COMPUTED_VALUE"""),-0.660745657226511)</f>
        <v>-0.66074565722651102</v>
      </c>
      <c r="EG98" s="3">
        <f ca="1">IFERROR(__xludf.DUMMYFUNCTION("""COMPUTED_VALUE"""),-0.694038145665446)</f>
        <v>-0.69403814566544597</v>
      </c>
      <c r="EH98" s="3">
        <f ca="1">IFERROR(__xludf.DUMMYFUNCTION("""COMPUTED_VALUE"""),-0.620996019037376)</f>
        <v>-0.620996019037376</v>
      </c>
      <c r="EI98" s="3">
        <f ca="1">IFERROR(__xludf.DUMMYFUNCTION("""COMPUTED_VALUE"""),-0.645588947948584)</f>
        <v>-0.64558894794858401</v>
      </c>
      <c r="EJ98" s="3">
        <f ca="1">IFERROR(__xludf.DUMMYFUNCTION("""COMPUTED_VALUE"""),-0.736477322188152)</f>
        <v>-0.73647732218815198</v>
      </c>
      <c r="EK98" s="3">
        <f ca="1">IFERROR(__xludf.DUMMYFUNCTION("""COMPUTED_VALUE"""),-0.66835953315018)</f>
        <v>-0.66835953315018004</v>
      </c>
      <c r="EL98" s="3">
        <f ca="1">IFERROR(__xludf.DUMMYFUNCTION("""COMPUTED_VALUE"""),-0.69997051317738)</f>
        <v>-0.69997051317738002</v>
      </c>
      <c r="EM98" s="3">
        <f ca="1">IFERROR(__xludf.DUMMYFUNCTION("""COMPUTED_VALUE"""),-0.616650166043273)</f>
        <v>-0.61665016604327305</v>
      </c>
      <c r="EN98" s="3">
        <f ca="1">IFERROR(__xludf.DUMMYFUNCTION("""COMPUTED_VALUE"""),-0.590545066305889)</f>
        <v>-0.59054506630588899</v>
      </c>
      <c r="EO98" s="3">
        <f ca="1">IFERROR(__xludf.DUMMYFUNCTION("""COMPUTED_VALUE"""),-0.644322750388282)</f>
        <v>-0.64432275038828202</v>
      </c>
      <c r="EP98" s="3">
        <f ca="1">IFERROR(__xludf.DUMMYFUNCTION("""COMPUTED_VALUE"""),-0.640654280256196)</f>
        <v>-0.64065428025619597</v>
      </c>
      <c r="EQ98" s="3">
        <f ca="1">IFERROR(__xludf.DUMMYFUNCTION("""COMPUTED_VALUE"""),-0.599599943302771)</f>
        <v>-0.599599943302771</v>
      </c>
      <c r="ER98" s="3">
        <f ca="1">IFERROR(__xludf.DUMMYFUNCTION("""COMPUTED_VALUE"""),-0.682190314460499)</f>
        <v>-0.68219031446049905</v>
      </c>
      <c r="ES98" s="3">
        <f ca="1">IFERROR(__xludf.DUMMYFUNCTION("""COMPUTED_VALUE"""),-0.710555201964256)</f>
        <v>-0.71055520196425603</v>
      </c>
      <c r="ET98" s="3">
        <f ca="1">IFERROR(__xludf.DUMMYFUNCTION("""COMPUTED_VALUE"""),-0.671872691675872)</f>
        <v>-0.67187269167587205</v>
      </c>
      <c r="EU98" s="3">
        <f ca="1">IFERROR(__xludf.DUMMYFUNCTION("""COMPUTED_VALUE"""),-0.656589047528474)</f>
        <v>-0.65658904752847402</v>
      </c>
      <c r="EV98" s="3">
        <f ca="1">IFERROR(__xludf.DUMMYFUNCTION("""COMPUTED_VALUE"""),-0.657405340230699)</f>
        <v>-0.65740534023069896</v>
      </c>
      <c r="EW98" s="3">
        <f ca="1">IFERROR(__xludf.DUMMYFUNCTION("""COMPUTED_VALUE"""),-0.692149164496875)</f>
        <v>-0.69214916449687502</v>
      </c>
      <c r="EX98" s="3">
        <f ca="1">IFERROR(__xludf.DUMMYFUNCTION("""COMPUTED_VALUE"""),-0.713911977207462)</f>
        <v>-0.71391197720746202</v>
      </c>
      <c r="EY98" s="3">
        <f ca="1">IFERROR(__xludf.DUMMYFUNCTION("""COMPUTED_VALUE"""),-0.682938915085428)</f>
        <v>-0.68293891508542803</v>
      </c>
      <c r="EZ98" s="3">
        <f ca="1">IFERROR(__xludf.DUMMYFUNCTION("""COMPUTED_VALUE"""),-0.725601033642734)</f>
        <v>-0.72560103364273398</v>
      </c>
      <c r="FA98" s="3">
        <f ca="1">IFERROR(__xludf.DUMMYFUNCTION("""COMPUTED_VALUE"""),-0.703243463922222)</f>
        <v>-0.70324346392222203</v>
      </c>
      <c r="FB98" s="3">
        <f ca="1">IFERROR(__xludf.DUMMYFUNCTION("""COMPUTED_VALUE"""),-0.669043110329151)</f>
        <v>-0.66904311032915098</v>
      </c>
      <c r="FC98" s="3">
        <f ca="1">IFERROR(__xludf.DUMMYFUNCTION("""COMPUTED_VALUE"""),-0.665328319317043)</f>
        <v>-0.66532831931704295</v>
      </c>
      <c r="FD98" s="3">
        <f ca="1">IFERROR(__xludf.DUMMYFUNCTION("""COMPUTED_VALUE"""),-0.683229317713424)</f>
        <v>-0.68322931771342399</v>
      </c>
      <c r="FE98" s="3">
        <f ca="1">IFERROR(__xludf.DUMMYFUNCTION("""COMPUTED_VALUE"""),-0.716102991425363)</f>
        <v>-0.71610299142536304</v>
      </c>
      <c r="FF98" s="3">
        <f ca="1">IFERROR(__xludf.DUMMYFUNCTION("""COMPUTED_VALUE"""),-0.636117750839492)</f>
        <v>-0.63611775083949196</v>
      </c>
      <c r="FG98" s="3">
        <f ca="1">IFERROR(__xludf.DUMMYFUNCTION("""COMPUTED_VALUE"""),-0.711665041271759)</f>
        <v>-0.711665041271759</v>
      </c>
      <c r="FH98" s="3">
        <f ca="1">IFERROR(__xludf.DUMMYFUNCTION("""COMPUTED_VALUE"""),-0.685225459228705)</f>
        <v>-0.68522545922870504</v>
      </c>
      <c r="FI98" s="3">
        <f ca="1">IFERROR(__xludf.DUMMYFUNCTION("""COMPUTED_VALUE"""),-0.713696304599301)</f>
        <v>-0.713696304599301</v>
      </c>
      <c r="FJ98" s="3">
        <f ca="1">IFERROR(__xludf.DUMMYFUNCTION("""COMPUTED_VALUE"""),-0.6984393922331)</f>
        <v>-0.69843939223310003</v>
      </c>
      <c r="FK98" s="3">
        <f ca="1">IFERROR(__xludf.DUMMYFUNCTION("""COMPUTED_VALUE"""),-0.670064944294223)</f>
        <v>-0.67006494429422303</v>
      </c>
      <c r="FL98" s="3">
        <f ca="1">IFERROR(__xludf.DUMMYFUNCTION("""COMPUTED_VALUE"""),-0.710215808993512)</f>
        <v>-0.710215808993512</v>
      </c>
      <c r="FM98" s="3">
        <f ca="1">IFERROR(__xludf.DUMMYFUNCTION("""COMPUTED_VALUE"""),-0.652549840866499)</f>
        <v>-0.65254984086649903</v>
      </c>
      <c r="FN98" s="3">
        <f ca="1">IFERROR(__xludf.DUMMYFUNCTION("""COMPUTED_VALUE"""),-0.669690883882464)</f>
        <v>-0.66969088388246401</v>
      </c>
      <c r="FO98" s="3">
        <f ca="1">IFERROR(__xludf.DUMMYFUNCTION("""COMPUTED_VALUE"""),-0.669005298749024)</f>
        <v>-0.66900529874902404</v>
      </c>
      <c r="FP98" s="3">
        <f ca="1">IFERROR(__xludf.DUMMYFUNCTION("""COMPUTED_VALUE"""),-0.658273154624007)</f>
        <v>-0.65827315462400704</v>
      </c>
      <c r="FQ98" s="3">
        <f ca="1">IFERROR(__xludf.DUMMYFUNCTION("""COMPUTED_VALUE"""),-0.669018898272507)</f>
        <v>-0.66901889827250705</v>
      </c>
      <c r="FR98" s="3">
        <f ca="1">IFERROR(__xludf.DUMMYFUNCTION("""COMPUTED_VALUE"""),-0.71558534117012)</f>
        <v>-0.71558534117011996</v>
      </c>
      <c r="FS98" s="3">
        <f ca="1">IFERROR(__xludf.DUMMYFUNCTION("""COMPUTED_VALUE"""),-0.733565624412541)</f>
        <v>-0.73356562441254103</v>
      </c>
      <c r="FT98" s="3">
        <f ca="1">IFERROR(__xludf.DUMMYFUNCTION("""COMPUTED_VALUE"""),-0.705742696895001)</f>
        <v>-0.70574269689500102</v>
      </c>
      <c r="FU98" s="3">
        <f ca="1">IFERROR(__xludf.DUMMYFUNCTION("""COMPUTED_VALUE"""),-0.743789425749939)</f>
        <v>-0.743789425749939</v>
      </c>
      <c r="FV98" s="3">
        <f ca="1">IFERROR(__xludf.DUMMYFUNCTION("""COMPUTED_VALUE"""),-0.64775046515399)</f>
        <v>-0.64775046515399004</v>
      </c>
      <c r="FW98" s="3">
        <f ca="1">IFERROR(__xludf.DUMMYFUNCTION("""COMPUTED_VALUE"""),-0.688172492879779)</f>
        <v>-0.688172492879779</v>
      </c>
      <c r="FX98" s="3">
        <f ca="1">IFERROR(__xludf.DUMMYFUNCTION("""COMPUTED_VALUE"""),-0.658745935771209)</f>
        <v>-0.65874593577120899</v>
      </c>
      <c r="FY98" s="3">
        <f ca="1">IFERROR(__xludf.DUMMYFUNCTION("""COMPUTED_VALUE"""),-0.71234680362028)</f>
        <v>-0.71234680362028002</v>
      </c>
      <c r="FZ98" s="3">
        <f ca="1">IFERROR(__xludf.DUMMYFUNCTION("""COMPUTED_VALUE"""),-0.707630264378233)</f>
        <v>-0.70763026437823295</v>
      </c>
      <c r="GA98" s="3">
        <f ca="1">IFERROR(__xludf.DUMMYFUNCTION("""COMPUTED_VALUE"""),-0.655853283756414)</f>
        <v>-0.65585328375641405</v>
      </c>
      <c r="GB98" s="3">
        <f ca="1">IFERROR(__xludf.DUMMYFUNCTION("""COMPUTED_VALUE"""),-0.735271321139715)</f>
        <v>-0.73527132113971505</v>
      </c>
      <c r="GC98" s="3">
        <f ca="1">IFERROR(__xludf.DUMMYFUNCTION("""COMPUTED_VALUE"""),-0.676461667242871)</f>
        <v>-0.67646166724287105</v>
      </c>
      <c r="GD98" s="3">
        <f ca="1">IFERROR(__xludf.DUMMYFUNCTION("""COMPUTED_VALUE"""),-0.675258304718745)</f>
        <v>-0.67525830471874504</v>
      </c>
      <c r="GE98" s="3">
        <f ca="1">IFERROR(__xludf.DUMMYFUNCTION("""COMPUTED_VALUE"""),-0.646143479476489)</f>
        <v>-0.64614347947648898</v>
      </c>
      <c r="GF98" s="3">
        <f ca="1">IFERROR(__xludf.DUMMYFUNCTION("""COMPUTED_VALUE"""),-0.678979878762989)</f>
        <v>-0.67897987876298904</v>
      </c>
      <c r="GG98" s="3">
        <f ca="1">IFERROR(__xludf.DUMMYFUNCTION("""COMPUTED_VALUE"""),-0.717792343511862)</f>
        <v>-0.71779234351186205</v>
      </c>
      <c r="GH98" s="3">
        <f ca="1">IFERROR(__xludf.DUMMYFUNCTION("""COMPUTED_VALUE"""),-0.642984093169852)</f>
        <v>-0.64298409316985194</v>
      </c>
      <c r="GI98" s="3">
        <f ca="1">IFERROR(__xludf.DUMMYFUNCTION("""COMPUTED_VALUE"""),-0.687901079484812)</f>
        <v>-0.68790107948481205</v>
      </c>
      <c r="GJ98" s="3">
        <f ca="1">IFERROR(__xludf.DUMMYFUNCTION("""COMPUTED_VALUE"""),-0.658668248124033)</f>
        <v>-0.65866824812403302</v>
      </c>
      <c r="GK98" s="3">
        <f ca="1">IFERROR(__xludf.DUMMYFUNCTION("""COMPUTED_VALUE"""),-0.546361779000088)</f>
        <v>-0.54636177900008798</v>
      </c>
      <c r="GL98" s="3">
        <f ca="1">IFERROR(__xludf.DUMMYFUNCTION("""COMPUTED_VALUE"""),-0.633933044051283)</f>
        <v>-0.63393304405128303</v>
      </c>
      <c r="GM98" s="3">
        <f ca="1">IFERROR(__xludf.DUMMYFUNCTION("""COMPUTED_VALUE"""),-0.697989920869009)</f>
        <v>-0.69798992086900902</v>
      </c>
      <c r="GN98" s="3">
        <f ca="1">IFERROR(__xludf.DUMMYFUNCTION("""COMPUTED_VALUE"""),-0.674022579454169)</f>
        <v>-0.67402257945416899</v>
      </c>
      <c r="GO98" s="3">
        <f ca="1">IFERROR(__xludf.DUMMYFUNCTION("""COMPUTED_VALUE"""),-0.676486226622486)</f>
        <v>-0.67648622662248603</v>
      </c>
      <c r="GP98" s="3">
        <f ca="1">IFERROR(__xludf.DUMMYFUNCTION("""COMPUTED_VALUE"""),-0.638885912128376)</f>
        <v>-0.63888591212837598</v>
      </c>
      <c r="GQ98" s="3">
        <f ca="1">IFERROR(__xludf.DUMMYFUNCTION("""COMPUTED_VALUE"""),-0.645876225184962)</f>
        <v>-0.64587622518496202</v>
      </c>
      <c r="GR98" s="3">
        <f ca="1">IFERROR(__xludf.DUMMYFUNCTION("""COMPUTED_VALUE"""),-0.61815001479551)</f>
        <v>-0.61815001479551002</v>
      </c>
      <c r="GS98" s="3">
        <f ca="1">IFERROR(__xludf.DUMMYFUNCTION("""COMPUTED_VALUE"""),-0.628531318889681)</f>
        <v>-0.62853131888968095</v>
      </c>
      <c r="GT98" s="3">
        <f ca="1">IFERROR(__xludf.DUMMYFUNCTION("""COMPUTED_VALUE"""),-0.61902256940714)</f>
        <v>-0.61902256940713996</v>
      </c>
      <c r="GU98" s="3">
        <f ca="1">IFERROR(__xludf.DUMMYFUNCTION("""COMPUTED_VALUE"""),-0.686937233925523)</f>
        <v>-0.68693723392552297</v>
      </c>
      <c r="GV98" s="3">
        <f ca="1">IFERROR(__xludf.DUMMYFUNCTION("""COMPUTED_VALUE"""),-0.754315864305485)</f>
        <v>-0.75431586430548503</v>
      </c>
      <c r="GW98" s="3">
        <f ca="1">IFERROR(__xludf.DUMMYFUNCTION("""COMPUTED_VALUE"""),-0.756790255352997)</f>
        <v>-0.75679025535299704</v>
      </c>
      <c r="GX98" s="3">
        <f ca="1">IFERROR(__xludf.DUMMYFUNCTION("""COMPUTED_VALUE"""),-0.7421524144245)</f>
        <v>-0.74215241442449997</v>
      </c>
      <c r="GY98" s="3">
        <f ca="1">IFERROR(__xludf.DUMMYFUNCTION("""COMPUTED_VALUE"""),-0.647368664086079)</f>
        <v>-0.64736866408607896</v>
      </c>
      <c r="GZ98" s="3">
        <f ca="1">IFERROR(__xludf.DUMMYFUNCTION("""COMPUTED_VALUE"""),-0.670488894177721)</f>
        <v>-0.67048889417772095</v>
      </c>
      <c r="HA98" s="3">
        <f ca="1">IFERROR(__xludf.DUMMYFUNCTION("""COMPUTED_VALUE"""),-0.71128724373321)</f>
        <v>-0.71128724373320995</v>
      </c>
      <c r="HB98" s="3">
        <f ca="1">IFERROR(__xludf.DUMMYFUNCTION("""COMPUTED_VALUE"""),-0.747553816811349)</f>
        <v>-0.74755381681134903</v>
      </c>
      <c r="HC98" s="3">
        <f ca="1">IFERROR(__xludf.DUMMYFUNCTION("""COMPUTED_VALUE"""),-0.744634098739231)</f>
        <v>-0.74463409873923103</v>
      </c>
      <c r="HD98" s="3">
        <f ca="1">IFERROR(__xludf.DUMMYFUNCTION("""COMPUTED_VALUE"""),-0.758154778622285)</f>
        <v>-0.75815477862228497</v>
      </c>
      <c r="HE98" s="3">
        <f ca="1">IFERROR(__xludf.DUMMYFUNCTION("""COMPUTED_VALUE"""),-0.704396720523754)</f>
        <v>-0.70439672052375402</v>
      </c>
      <c r="HF98" s="3">
        <f ca="1">IFERROR(__xludf.DUMMYFUNCTION("""COMPUTED_VALUE"""),-0.68123852513953)</f>
        <v>-0.68123852513952998</v>
      </c>
      <c r="HG98" s="3">
        <f ca="1">IFERROR(__xludf.DUMMYFUNCTION("""COMPUTED_VALUE"""),-0.654062979525257)</f>
        <v>-0.65406297952525705</v>
      </c>
      <c r="HH98" s="3">
        <f ca="1">IFERROR(__xludf.DUMMYFUNCTION("""COMPUTED_VALUE"""),-0.687239345759428)</f>
        <v>-0.68723934575942802</v>
      </c>
      <c r="HI98" s="3">
        <f ca="1">IFERROR(__xludf.DUMMYFUNCTION("""COMPUTED_VALUE"""),-0.759291842829947)</f>
        <v>-0.75929184282994699</v>
      </c>
      <c r="HJ98" s="3">
        <f ca="1">IFERROR(__xludf.DUMMYFUNCTION("""COMPUTED_VALUE"""),-0.747737474056924)</f>
        <v>-0.74773747405692403</v>
      </c>
      <c r="HK98" s="3">
        <f ca="1">IFERROR(__xludf.DUMMYFUNCTION("""COMPUTED_VALUE"""),-0.723532739276388)</f>
        <v>-0.72353273927638795</v>
      </c>
      <c r="HL98" s="3">
        <f ca="1">IFERROR(__xludf.DUMMYFUNCTION("""COMPUTED_VALUE"""),-0.716944318594982)</f>
        <v>-0.71694431859498198</v>
      </c>
      <c r="HM98" s="3">
        <f ca="1">IFERROR(__xludf.DUMMYFUNCTION("""COMPUTED_VALUE"""),-0.631384752090103)</f>
        <v>-0.63138475209010303</v>
      </c>
      <c r="HN98" s="3">
        <f ca="1">IFERROR(__xludf.DUMMYFUNCTION("""COMPUTED_VALUE"""),-0.646990925121303)</f>
        <v>-0.64699092512130296</v>
      </c>
      <c r="HO98" s="3">
        <f ca="1">IFERROR(__xludf.DUMMYFUNCTION("""COMPUTED_VALUE"""),-0.660804460449377)</f>
        <v>-0.66080446044937702</v>
      </c>
      <c r="HP98" s="3">
        <f ca="1">IFERROR(__xludf.DUMMYFUNCTION("""COMPUTED_VALUE"""),-0.772125374174567)</f>
        <v>-0.77212537417456695</v>
      </c>
      <c r="HQ98" s="3">
        <f ca="1">IFERROR(__xludf.DUMMYFUNCTION("""COMPUTED_VALUE"""),-0.734138713678733)</f>
        <v>-0.73413871367873296</v>
      </c>
      <c r="HR98" s="3">
        <f ca="1">IFERROR(__xludf.DUMMYFUNCTION("""COMPUTED_VALUE"""),-0.757785774234045)</f>
        <v>-0.75778577423404503</v>
      </c>
      <c r="HS98" s="3">
        <f ca="1">IFERROR(__xludf.DUMMYFUNCTION("""COMPUTED_VALUE"""),-0.726411993848127)</f>
        <v>-0.72641199384812705</v>
      </c>
      <c r="HT98" s="3">
        <f ca="1">IFERROR(__xludf.DUMMYFUNCTION("""COMPUTED_VALUE"""),-0.772847580227797)</f>
        <v>-0.77284758022779698</v>
      </c>
      <c r="HU98" s="3">
        <f ca="1">IFERROR(__xludf.DUMMYFUNCTION("""COMPUTED_VALUE"""),-0.713429160887513)</f>
        <v>-0.71342916088751296</v>
      </c>
      <c r="HV98" s="3">
        <f ca="1">IFERROR(__xludf.DUMMYFUNCTION("""COMPUTED_VALUE"""),-0.714860161404494)</f>
        <v>-0.71486016140449404</v>
      </c>
      <c r="HW98" s="3">
        <f ca="1">IFERROR(__xludf.DUMMYFUNCTION("""COMPUTED_VALUE"""),-0.771207329339404)</f>
        <v>-0.77120732933940395</v>
      </c>
      <c r="HX98" s="3">
        <f ca="1">IFERROR(__xludf.DUMMYFUNCTION("""COMPUTED_VALUE"""),-0.752809027751431)</f>
        <v>-0.75280902775143099</v>
      </c>
      <c r="HY98" s="3">
        <f ca="1">IFERROR(__xludf.DUMMYFUNCTION("""COMPUTED_VALUE"""),-0.744307863581287)</f>
        <v>-0.74430786358128698</v>
      </c>
      <c r="HZ98" s="3">
        <f ca="1">IFERROR(__xludf.DUMMYFUNCTION("""COMPUTED_VALUE"""),-0.70265520855218)</f>
        <v>-0.70265520855218</v>
      </c>
      <c r="IA98" s="3">
        <f ca="1">IFERROR(__xludf.DUMMYFUNCTION("""COMPUTED_VALUE"""),-0.7244372003695)</f>
        <v>-0.72443720036949999</v>
      </c>
      <c r="IB98" s="3">
        <f ca="1">IFERROR(__xludf.DUMMYFUNCTION("""COMPUTED_VALUE"""),-0.704997634160095)</f>
        <v>-0.70499763416009498</v>
      </c>
      <c r="IC98" s="3">
        <f ca="1">IFERROR(__xludf.DUMMYFUNCTION("""COMPUTED_VALUE"""),-0.733335549205177)</f>
        <v>-0.73333554920517696</v>
      </c>
      <c r="ID98" s="3">
        <f ca="1">IFERROR(__xludf.DUMMYFUNCTION("""COMPUTED_VALUE"""),-0.733230786507141)</f>
        <v>-0.73323078650714102</v>
      </c>
      <c r="IE98" s="3">
        <f ca="1">IFERROR(__xludf.DUMMYFUNCTION("""COMPUTED_VALUE"""),-0.771095876144052)</f>
        <v>-0.77109587614405195</v>
      </c>
      <c r="IF98" s="3">
        <f ca="1">IFERROR(__xludf.DUMMYFUNCTION("""COMPUTED_VALUE"""),-0.817939200395697)</f>
        <v>-0.81793920039569701</v>
      </c>
      <c r="IG98" s="3">
        <f ca="1">IFERROR(__xludf.DUMMYFUNCTION("""COMPUTED_VALUE"""),-0.732545946133759)</f>
        <v>-0.73254594613375901</v>
      </c>
      <c r="IH98" s="3">
        <f ca="1">IFERROR(__xludf.DUMMYFUNCTION("""COMPUTED_VALUE"""),-0.739799562668751)</f>
        <v>-0.73979956266875102</v>
      </c>
      <c r="II98" s="3">
        <f ca="1">IFERROR(__xludf.DUMMYFUNCTION("""COMPUTED_VALUE"""),-0.701067284541506)</f>
        <v>-0.70106728454150602</v>
      </c>
      <c r="IJ98" s="3">
        <f ca="1">IFERROR(__xludf.DUMMYFUNCTION("""COMPUTED_VALUE"""),-0.672240331813874)</f>
        <v>-0.67224033181387399</v>
      </c>
      <c r="IK98" s="3">
        <f ca="1">IFERROR(__xludf.DUMMYFUNCTION("""COMPUTED_VALUE"""),-0.736345218802556)</f>
        <v>-0.73634521880255599</v>
      </c>
      <c r="IL98" s="3">
        <f ca="1">IFERROR(__xludf.DUMMYFUNCTION("""COMPUTED_VALUE"""),-0.749708847086938)</f>
        <v>-0.74970884708693797</v>
      </c>
      <c r="IM98" s="3">
        <f ca="1">IFERROR(__xludf.DUMMYFUNCTION("""COMPUTED_VALUE"""),-0.731208496231816)</f>
        <v>-0.73120849623181605</v>
      </c>
      <c r="IN98" s="3">
        <f ca="1">IFERROR(__xludf.DUMMYFUNCTION("""COMPUTED_VALUE"""),-0.695817236880158)</f>
        <v>-0.69581723688015795</v>
      </c>
      <c r="IO98" s="3">
        <f ca="1">IFERROR(__xludf.DUMMYFUNCTION("""COMPUTED_VALUE"""),-0.694578245306464)</f>
        <v>-0.69457824530646395</v>
      </c>
      <c r="IP98" s="3">
        <f ca="1">IFERROR(__xludf.DUMMYFUNCTION("""COMPUTED_VALUE"""),-0.613477677639091)</f>
        <v>-0.613477677639091</v>
      </c>
      <c r="IQ98" s="3">
        <f ca="1">IFERROR(__xludf.DUMMYFUNCTION("""COMPUTED_VALUE"""),-0.618233892388512)</f>
        <v>-0.61823389238851201</v>
      </c>
      <c r="IR98" s="3">
        <f ca="1">IFERROR(__xludf.DUMMYFUNCTION("""COMPUTED_VALUE"""),-0.724824464721694)</f>
        <v>-0.72482446472169404</v>
      </c>
      <c r="IS98" s="3">
        <f ca="1">IFERROR(__xludf.DUMMYFUNCTION("""COMPUTED_VALUE"""),-0.693390770882123)</f>
        <v>-0.69339077088212298</v>
      </c>
      <c r="IT98" s="3">
        <f ca="1">IFERROR(__xludf.DUMMYFUNCTION("""COMPUTED_VALUE"""),-0.629089324063747)</f>
        <v>-0.62908932406374696</v>
      </c>
      <c r="IU98" s="3">
        <f ca="1">IFERROR(__xludf.DUMMYFUNCTION("""COMPUTED_VALUE"""),-0.604722604172101)</f>
        <v>-0.604722604172101</v>
      </c>
      <c r="IV98" s="3">
        <f ca="1">IFERROR(__xludf.DUMMYFUNCTION("""COMPUTED_VALUE"""),-0.66057389054627)</f>
        <v>-0.66057389054627003</v>
      </c>
      <c r="IW98" s="3">
        <f ca="1">IFERROR(__xludf.DUMMYFUNCTION("""COMPUTED_VALUE"""),-0.697108255053619)</f>
        <v>-0.69710825505361895</v>
      </c>
      <c r="IX98" s="3">
        <f ca="1">IFERROR(__xludf.DUMMYFUNCTION("""COMPUTED_VALUE"""),-0.630004132832474)</f>
        <v>-0.63000413283247403</v>
      </c>
      <c r="IY98" s="3">
        <f ca="1">IFERROR(__xludf.DUMMYFUNCTION("""COMPUTED_VALUE"""),-0.690584059834739)</f>
        <v>-0.69058405983473903</v>
      </c>
      <c r="IZ98" s="3">
        <f ca="1">IFERROR(__xludf.DUMMYFUNCTION("""COMPUTED_VALUE"""),-0.689621652784059)</f>
        <v>-0.68962165278405896</v>
      </c>
      <c r="JA98" s="3">
        <f ca="1">IFERROR(__xludf.DUMMYFUNCTION("""COMPUTED_VALUE"""),-0.690445041103747)</f>
        <v>-0.69044504110374705</v>
      </c>
      <c r="JB98" s="3">
        <f ca="1">IFERROR(__xludf.DUMMYFUNCTION("""COMPUTED_VALUE"""),-0.721579001457123)</f>
        <v>-0.72157900145712295</v>
      </c>
      <c r="JC98" s="3">
        <f ca="1">IFERROR(__xludf.DUMMYFUNCTION("""COMPUTED_VALUE"""),-0.762722810976735)</f>
        <v>-0.762722810976735</v>
      </c>
      <c r="JD98" s="3">
        <f ca="1">IFERROR(__xludf.DUMMYFUNCTION("""COMPUTED_VALUE"""),-0.665962146228665)</f>
        <v>-0.66596214622866501</v>
      </c>
      <c r="JE98" s="3">
        <f ca="1">IFERROR(__xludf.DUMMYFUNCTION("""COMPUTED_VALUE"""),-0.610522295461189)</f>
        <v>-0.61052229546118897</v>
      </c>
      <c r="JF98" s="3">
        <f ca="1">IFERROR(__xludf.DUMMYFUNCTION("""COMPUTED_VALUE"""),-0.678425647992088)</f>
        <v>-0.67842564799208804</v>
      </c>
      <c r="JG98" s="3">
        <f ca="1">IFERROR(__xludf.DUMMYFUNCTION("""COMPUTED_VALUE"""),-0.674526815324991)</f>
        <v>-0.67452681532499104</v>
      </c>
      <c r="JH98" s="3">
        <f ca="1">IFERROR(__xludf.DUMMYFUNCTION("""COMPUTED_VALUE"""),-0.659003454093004)</f>
        <v>-0.65900345409300398</v>
      </c>
      <c r="JI98" s="3">
        <f ca="1">IFERROR(__xludf.DUMMYFUNCTION("""COMPUTED_VALUE"""),-0.578292670729455)</f>
        <v>-0.57829267072945501</v>
      </c>
      <c r="JJ98" s="3">
        <f ca="1">IFERROR(__xludf.DUMMYFUNCTION("""COMPUTED_VALUE"""),-0.626166391902362)</f>
        <v>-0.62616639190236201</v>
      </c>
      <c r="JK98" s="3">
        <f ca="1">IFERROR(__xludf.DUMMYFUNCTION("""COMPUTED_VALUE"""),-0.601646120207249)</f>
        <v>-0.60164612020724895</v>
      </c>
      <c r="JL98" s="3">
        <f ca="1">IFERROR(__xludf.DUMMYFUNCTION("""COMPUTED_VALUE"""),-0.644161430759417)</f>
        <v>-0.64416143075941701</v>
      </c>
      <c r="JM98" s="3">
        <f ca="1">IFERROR(__xludf.DUMMYFUNCTION("""COMPUTED_VALUE"""),-0.671823666013557)</f>
        <v>-0.67182366601355703</v>
      </c>
      <c r="JN98" s="3">
        <f ca="1">IFERROR(__xludf.DUMMYFUNCTION("""COMPUTED_VALUE"""),-0.691924038875619)</f>
        <v>-0.69192403887561904</v>
      </c>
      <c r="JO98" s="3">
        <f ca="1">IFERROR(__xludf.DUMMYFUNCTION("""COMPUTED_VALUE"""),-0.653242812515174)</f>
        <v>-0.65324281251517402</v>
      </c>
      <c r="JP98" s="3">
        <f ca="1">IFERROR(__xludf.DUMMYFUNCTION("""COMPUTED_VALUE"""),-0.690055338805827)</f>
        <v>-0.69005533880582703</v>
      </c>
      <c r="JQ98" s="3">
        <f ca="1">IFERROR(__xludf.DUMMYFUNCTION("""COMPUTED_VALUE"""),-0.626840417192357)</f>
        <v>-0.62684041719235695</v>
      </c>
      <c r="JR98" s="3">
        <f ca="1">IFERROR(__xludf.DUMMYFUNCTION("""COMPUTED_VALUE"""),-0.607437818986739)</f>
        <v>-0.60743781898673899</v>
      </c>
      <c r="JS98" s="3">
        <f ca="1">IFERROR(__xludf.DUMMYFUNCTION("""COMPUTED_VALUE"""),-0.624667311963987)</f>
        <v>-0.62466731196398695</v>
      </c>
      <c r="JT98" s="3">
        <f ca="1">IFERROR(__xludf.DUMMYFUNCTION("""COMPUTED_VALUE"""),-0.694819289914837)</f>
        <v>-0.69481928991483699</v>
      </c>
      <c r="JU98" s="3">
        <f ca="1">IFERROR(__xludf.DUMMYFUNCTION("""COMPUTED_VALUE"""),-0.69053485606282)</f>
        <v>-0.69053485606281995</v>
      </c>
      <c r="JV98" s="3">
        <f ca="1">IFERROR(__xludf.DUMMYFUNCTION("""COMPUTED_VALUE"""),-0.673998141855728)</f>
        <v>-0.67399814185572804</v>
      </c>
      <c r="JW98" s="3">
        <f ca="1">IFERROR(__xludf.DUMMYFUNCTION("""COMPUTED_VALUE"""),-0.605398955448576)</f>
        <v>-0.60539895544857603</v>
      </c>
      <c r="JX98" s="3">
        <f ca="1">IFERROR(__xludf.DUMMYFUNCTION("""COMPUTED_VALUE"""),-0.63914611619021)</f>
        <v>-0.63914611619021</v>
      </c>
      <c r="JY98" s="3">
        <f ca="1">IFERROR(__xludf.DUMMYFUNCTION("""COMPUTED_VALUE"""),-0.737371486293255)</f>
        <v>-0.737371486293255</v>
      </c>
      <c r="JZ98" s="3">
        <f ca="1">IFERROR(__xludf.DUMMYFUNCTION("""COMPUTED_VALUE"""),-0.690728683174666)</f>
        <v>-0.69072868317466596</v>
      </c>
      <c r="KA98" s="3">
        <f ca="1">IFERROR(__xludf.DUMMYFUNCTION("""COMPUTED_VALUE"""),-0.644891272269369)</f>
        <v>-0.64489127226936904</v>
      </c>
      <c r="KB98" s="3">
        <f ca="1">IFERROR(__xludf.DUMMYFUNCTION("""COMPUTED_VALUE"""),-0.667474470439501)</f>
        <v>-0.66747447043950103</v>
      </c>
      <c r="KC98" s="3">
        <f ca="1">IFERROR(__xludf.DUMMYFUNCTION("""COMPUTED_VALUE"""),-0.600529996364739)</f>
        <v>-0.60052999636473903</v>
      </c>
      <c r="KD98" s="3">
        <f ca="1">IFERROR(__xludf.DUMMYFUNCTION("""COMPUTED_VALUE"""),-0.636694965108432)</f>
        <v>-0.63669496510843204</v>
      </c>
      <c r="KE98" s="3">
        <f ca="1">IFERROR(__xludf.DUMMYFUNCTION("""COMPUTED_VALUE"""),-0.615531606273321)</f>
        <v>-0.61553160627332104</v>
      </c>
      <c r="KF98" s="3">
        <f ca="1">IFERROR(__xludf.DUMMYFUNCTION("""COMPUTED_VALUE"""),-0.654522886937702)</f>
        <v>-0.654522886937702</v>
      </c>
      <c r="KG98" s="3">
        <f ca="1">IFERROR(__xludf.DUMMYFUNCTION("""COMPUTED_VALUE"""),-0.70079927859234)</f>
        <v>-0.70079927859234004</v>
      </c>
      <c r="KH98" s="3">
        <f ca="1">IFERROR(__xludf.DUMMYFUNCTION("""COMPUTED_VALUE"""),-0.687424056098824)</f>
        <v>-0.68742405609882395</v>
      </c>
      <c r="KI98" s="3">
        <f ca="1">IFERROR(__xludf.DUMMYFUNCTION("""COMPUTED_VALUE"""),-0.624992992825722)</f>
        <v>-0.62499299282572196</v>
      </c>
      <c r="KJ98" s="3">
        <f ca="1">IFERROR(__xludf.DUMMYFUNCTION("""COMPUTED_VALUE"""),-0.609080544406629)</f>
        <v>-0.60908054440662895</v>
      </c>
      <c r="KK98" s="3">
        <f ca="1">IFERROR(__xludf.DUMMYFUNCTION("""COMPUTED_VALUE"""),-0.619867041692896)</f>
        <v>-0.61986704169289597</v>
      </c>
      <c r="KL98" s="3">
        <f ca="1">IFERROR(__xludf.DUMMYFUNCTION("""COMPUTED_VALUE"""),-0.560119693494682)</f>
        <v>-0.56011969349468205</v>
      </c>
      <c r="KM98" s="3">
        <f ca="1">IFERROR(__xludf.DUMMYFUNCTION("""COMPUTED_VALUE"""),-0.595901188702463)</f>
        <v>-0.595901188702463</v>
      </c>
      <c r="KN98" s="3">
        <f ca="1">IFERROR(__xludf.DUMMYFUNCTION("""COMPUTED_VALUE"""),-0.639340567688313)</f>
        <v>-0.63934056768831304</v>
      </c>
      <c r="KO98" s="3">
        <f ca="1">IFERROR(__xludf.DUMMYFUNCTION("""COMPUTED_VALUE"""),-0.694373590113301)</f>
        <v>-0.69437359011330102</v>
      </c>
      <c r="KP98" s="3">
        <f ca="1">IFERROR(__xludf.DUMMYFUNCTION("""COMPUTED_VALUE"""),-0.696751806605372)</f>
        <v>-0.69675180660537195</v>
      </c>
      <c r="KQ98" s="3">
        <f ca="1">IFERROR(__xludf.DUMMYFUNCTION("""COMPUTED_VALUE"""),-0.605086449116125)</f>
        <v>-0.60508644911612497</v>
      </c>
      <c r="KR98" s="3">
        <f ca="1">IFERROR(__xludf.DUMMYFUNCTION("""COMPUTED_VALUE"""),-0.6542899951971)</f>
        <v>-0.65428999519709996</v>
      </c>
      <c r="KS98" s="3">
        <f ca="1">IFERROR(__xludf.DUMMYFUNCTION("""COMPUTED_VALUE"""),-0.689727078910457)</f>
        <v>-0.68972707891045704</v>
      </c>
      <c r="KT98" s="3">
        <f ca="1">IFERROR(__xludf.DUMMYFUNCTION("""COMPUTED_VALUE"""),-0.681331238135816)</f>
        <v>-0.68133123813581598</v>
      </c>
      <c r="KU98" s="3">
        <f ca="1">IFERROR(__xludf.DUMMYFUNCTION("""COMPUTED_VALUE"""),-0.639484504888344)</f>
        <v>-0.63948450488834396</v>
      </c>
      <c r="KV98" s="3">
        <f ca="1">IFERROR(__xludf.DUMMYFUNCTION("""COMPUTED_VALUE"""),-0.746886282136068)</f>
        <v>-0.746886282136068</v>
      </c>
      <c r="KW98" s="3">
        <f ca="1">IFERROR(__xludf.DUMMYFUNCTION("""COMPUTED_VALUE"""),-0.669226128256727)</f>
        <v>-0.669226128256727</v>
      </c>
      <c r="KX98" s="3">
        <f ca="1">IFERROR(__xludf.DUMMYFUNCTION("""COMPUTED_VALUE"""),-0.667583429390647)</f>
        <v>-0.66758342939064697</v>
      </c>
      <c r="KY98" s="3">
        <f ca="1">IFERROR(__xludf.DUMMYFUNCTION("""COMPUTED_VALUE"""),-0.671840258933659)</f>
        <v>-0.67184025893365895</v>
      </c>
      <c r="KZ98" s="3">
        <f ca="1">IFERROR(__xludf.DUMMYFUNCTION("""COMPUTED_VALUE"""),-0.63595323794267)</f>
        <v>-0.63595323794267</v>
      </c>
      <c r="LA98" s="3">
        <f ca="1">IFERROR(__xludf.DUMMYFUNCTION("""COMPUTED_VALUE"""),-0.752211023695985)</f>
        <v>-0.75221102369598503</v>
      </c>
      <c r="LB98" s="3">
        <f ca="1">IFERROR(__xludf.DUMMYFUNCTION("""COMPUTED_VALUE"""),-0.655662963707411)</f>
        <v>-0.65566296370741095</v>
      </c>
      <c r="LC98" s="3">
        <f ca="1">IFERROR(__xludf.DUMMYFUNCTION("""COMPUTED_VALUE"""),-0.696858653556892)</f>
        <v>-0.69685865355689203</v>
      </c>
      <c r="LD98" s="3">
        <f ca="1">IFERROR(__xludf.DUMMYFUNCTION("""COMPUTED_VALUE"""),-0.66907432636015)</f>
        <v>-0.66907432636014996</v>
      </c>
      <c r="LE98" s="3">
        <f ca="1">IFERROR(__xludf.DUMMYFUNCTION("""COMPUTED_VALUE"""),-0.664583349097714)</f>
        <v>-0.66458334909771399</v>
      </c>
      <c r="LF98" s="3">
        <f ca="1">IFERROR(__xludf.DUMMYFUNCTION("""COMPUTED_VALUE"""),-0.643275613199479)</f>
        <v>-0.64327561319947901</v>
      </c>
      <c r="LG98" s="3">
        <f ca="1">IFERROR(__xludf.DUMMYFUNCTION("""COMPUTED_VALUE"""),-0.732032549634633)</f>
        <v>-0.73203254963463305</v>
      </c>
      <c r="LH98" s="3">
        <f ca="1">IFERROR(__xludf.DUMMYFUNCTION("""COMPUTED_VALUE"""),-0.700798000603013)</f>
        <v>-0.700798000603013</v>
      </c>
      <c r="LI98" s="3">
        <f ca="1">IFERROR(__xludf.DUMMYFUNCTION("""COMPUTED_VALUE"""),-0.70773404126004)</f>
        <v>-0.70773404126004003</v>
      </c>
      <c r="LJ98" s="3">
        <f ca="1">IFERROR(__xludf.DUMMYFUNCTION("""COMPUTED_VALUE"""),-0.737645844258779)</f>
        <v>-0.73764584425877899</v>
      </c>
      <c r="LK98" s="3">
        <f ca="1">IFERROR(__xludf.DUMMYFUNCTION("""COMPUTED_VALUE"""),-0.686184292415198)</f>
        <v>-0.68618429241519796</v>
      </c>
      <c r="LL98" s="3">
        <f ca="1">IFERROR(__xludf.DUMMYFUNCTION("""COMPUTED_VALUE"""),-0.674395367194159)</f>
        <v>-0.67439536719415905</v>
      </c>
      <c r="LM98" s="3">
        <f ca="1">IFERROR(__xludf.DUMMYFUNCTION("""COMPUTED_VALUE"""),-0.718777591243603)</f>
        <v>-0.71877759124360296</v>
      </c>
      <c r="LN98" s="3">
        <f ca="1">IFERROR(__xludf.DUMMYFUNCTION("""COMPUTED_VALUE"""),-0.75823576526524)</f>
        <v>-0.75823576526523995</v>
      </c>
      <c r="LO98" s="3">
        <f ca="1">IFERROR(__xludf.DUMMYFUNCTION("""COMPUTED_VALUE"""),-0.716857716572212)</f>
        <v>-0.71685771657221198</v>
      </c>
      <c r="LP98" s="3">
        <f ca="1">IFERROR(__xludf.DUMMYFUNCTION("""COMPUTED_VALUE"""),-0.651872671958641)</f>
        <v>-0.65187267195864096</v>
      </c>
      <c r="LQ98" s="3">
        <f ca="1">IFERROR(__xludf.DUMMYFUNCTION("""COMPUTED_VALUE"""),-0.732431034976364)</f>
        <v>-0.73243103497636397</v>
      </c>
      <c r="LR98" s="3">
        <f ca="1">IFERROR(__xludf.DUMMYFUNCTION("""COMPUTED_VALUE"""),-0.740300996293413)</f>
        <v>-0.74030099629341295</v>
      </c>
      <c r="LS98" s="3">
        <f ca="1">IFERROR(__xludf.DUMMYFUNCTION("""COMPUTED_VALUE"""),-0.743187109233964)</f>
        <v>-0.74318710923396403</v>
      </c>
      <c r="LT98" s="3">
        <f ca="1">IFERROR(__xludf.DUMMYFUNCTION("""COMPUTED_VALUE"""),-0.717886015179903)</f>
        <v>-0.71788601517990303</v>
      </c>
      <c r="LU98" s="3">
        <f ca="1">IFERROR(__xludf.DUMMYFUNCTION("""COMPUTED_VALUE"""),-0.763298802568238)</f>
        <v>-0.76329880256823801</v>
      </c>
      <c r="LV98" s="3">
        <f ca="1">IFERROR(__xludf.DUMMYFUNCTION("""COMPUTED_VALUE"""),-0.758099206065111)</f>
        <v>-0.75809920606511105</v>
      </c>
      <c r="LW98" s="3">
        <f ca="1">IFERROR(__xludf.DUMMYFUNCTION("""COMPUTED_VALUE"""),-0.750896279152531)</f>
        <v>-0.75089627915253099</v>
      </c>
      <c r="LX98" s="3">
        <f ca="1">IFERROR(__xludf.DUMMYFUNCTION("""COMPUTED_VALUE"""),-0.77983417855566)</f>
        <v>-0.77983417855565995</v>
      </c>
      <c r="LY98" s="3">
        <f ca="1">IFERROR(__xludf.DUMMYFUNCTION("""COMPUTED_VALUE"""),-0.748929644709047)</f>
        <v>-0.74892964470904699</v>
      </c>
      <c r="LZ98" s="3">
        <f ca="1">IFERROR(__xludf.DUMMYFUNCTION("""COMPUTED_VALUE"""),-0.759684782224571)</f>
        <v>-0.75968478222457103</v>
      </c>
      <c r="MA98" s="3">
        <f ca="1">IFERROR(__xludf.DUMMYFUNCTION("""COMPUTED_VALUE"""),-0.742311261838096)</f>
        <v>-0.74231126183809604</v>
      </c>
      <c r="MB98" s="3">
        <f ca="1">IFERROR(__xludf.DUMMYFUNCTION("""COMPUTED_VALUE"""),-0.788076704736683)</f>
        <v>-0.78807670473668301</v>
      </c>
      <c r="MC98" s="3">
        <f ca="1">IFERROR(__xludf.DUMMYFUNCTION("""COMPUTED_VALUE"""),-0.766670275081857)</f>
        <v>-0.76667027508185703</v>
      </c>
      <c r="MD98" s="3">
        <f ca="1">IFERROR(__xludf.DUMMYFUNCTION("""COMPUTED_VALUE"""),-0.798560525509926)</f>
        <v>-0.79856052550992596</v>
      </c>
      <c r="ME98" s="3">
        <f ca="1">IFERROR(__xludf.DUMMYFUNCTION("""COMPUTED_VALUE"""),-0.79411809033865)</f>
        <v>-0.79411809033865</v>
      </c>
      <c r="MF98" s="3">
        <f ca="1">IFERROR(__xludf.DUMMYFUNCTION("""COMPUTED_VALUE"""),-0.789889990512041)</f>
        <v>-0.78988999051204101</v>
      </c>
      <c r="MG98" s="3">
        <f ca="1">IFERROR(__xludf.DUMMYFUNCTION("""COMPUTED_VALUE"""),-0.794937150714855)</f>
        <v>-0.79493715071485505</v>
      </c>
      <c r="MH98" s="3">
        <f ca="1">IFERROR(__xludf.DUMMYFUNCTION("""COMPUTED_VALUE"""),-0.782612007400382)</f>
        <v>-0.78261200740038195</v>
      </c>
      <c r="MI98" s="3">
        <f ca="1">IFERROR(__xludf.DUMMYFUNCTION("""COMPUTED_VALUE"""),-0.803195070615361)</f>
        <v>-0.803195070615361</v>
      </c>
      <c r="MJ98" s="3">
        <f ca="1">IFERROR(__xludf.DUMMYFUNCTION("""COMPUTED_VALUE"""),-0.790121467842084)</f>
        <v>-0.79012146784208404</v>
      </c>
      <c r="MK98" s="3">
        <f ca="1">IFERROR(__xludf.DUMMYFUNCTION("""COMPUTED_VALUE"""),-0.766031233709491)</f>
        <v>-0.766031233709491</v>
      </c>
      <c r="ML98" s="3">
        <f ca="1">IFERROR(__xludf.DUMMYFUNCTION("""COMPUTED_VALUE"""),-0.835677016489354)</f>
        <v>-0.835677016489354</v>
      </c>
      <c r="MM98" s="3">
        <f ca="1">IFERROR(__xludf.DUMMYFUNCTION("""COMPUTED_VALUE"""),-0.833862162164265)</f>
        <v>-0.83386216216426501</v>
      </c>
      <c r="MN98" s="3">
        <f ca="1">IFERROR(__xludf.DUMMYFUNCTION("""COMPUTED_VALUE"""),-0.809293247557562)</f>
        <v>-0.80929324755756205</v>
      </c>
      <c r="MO98" s="3">
        <f ca="1">IFERROR(__xludf.DUMMYFUNCTION("""COMPUTED_VALUE"""),-0.752421494387126)</f>
        <v>-0.75242149438712602</v>
      </c>
      <c r="MP98" s="3">
        <f ca="1">IFERROR(__xludf.DUMMYFUNCTION("""COMPUTED_VALUE"""),-0.717817123845523)</f>
        <v>-0.71781712384552299</v>
      </c>
      <c r="MQ98" s="3">
        <f ca="1">IFERROR(__xludf.DUMMYFUNCTION("""COMPUTED_VALUE"""),-0.786290818259282)</f>
        <v>-0.78629081825928204</v>
      </c>
      <c r="MR98" s="3">
        <f ca="1">IFERROR(__xludf.DUMMYFUNCTION("""COMPUTED_VALUE"""),-0.746288466991562)</f>
        <v>-0.74628846699156204</v>
      </c>
      <c r="MS98" s="3">
        <f ca="1">IFERROR(__xludf.DUMMYFUNCTION("""COMPUTED_VALUE"""),-0.799045144302505)</f>
        <v>-0.79904514430250495</v>
      </c>
      <c r="MT98" s="3">
        <f ca="1">IFERROR(__xludf.DUMMYFUNCTION("""COMPUTED_VALUE"""),-0.860961978338484)</f>
        <v>-0.86096197833848398</v>
      </c>
      <c r="MU98" s="3">
        <f ca="1">IFERROR(__xludf.DUMMYFUNCTION("""COMPUTED_VALUE"""),-0.845413072180892)</f>
        <v>-0.84541307218089201</v>
      </c>
      <c r="MV98" s="3">
        <f ca="1">IFERROR(__xludf.DUMMYFUNCTION("""COMPUTED_VALUE"""),-0.753982815913792)</f>
        <v>-0.75398281591379201</v>
      </c>
      <c r="MW98" s="3">
        <f ca="1">IFERROR(__xludf.DUMMYFUNCTION("""COMPUTED_VALUE"""),-0.770773347481287)</f>
        <v>-0.77077334748128701</v>
      </c>
      <c r="MX98" s="3">
        <f ca="1">IFERROR(__xludf.DUMMYFUNCTION("""COMPUTED_VALUE"""),-0.807080893361779)</f>
        <v>-0.80708089336177902</v>
      </c>
      <c r="MY98" s="3">
        <f ca="1">IFERROR(__xludf.DUMMYFUNCTION("""COMPUTED_VALUE"""),-0.826705199704313)</f>
        <v>-0.826705199704313</v>
      </c>
      <c r="MZ98" s="3">
        <f ca="1">IFERROR(__xludf.DUMMYFUNCTION("""COMPUTED_VALUE"""),-0.844714399347616)</f>
        <v>-0.84471439934761605</v>
      </c>
      <c r="NA98" s="3">
        <f ca="1">IFERROR(__xludf.DUMMYFUNCTION("""COMPUTED_VALUE"""),-0.820803554428899)</f>
        <v>-0.82080355442889896</v>
      </c>
      <c r="NB98" s="3">
        <f ca="1">IFERROR(__xludf.DUMMYFUNCTION("""COMPUTED_VALUE"""),-0.836479856708628)</f>
        <v>-0.83647985670862801</v>
      </c>
      <c r="NC98" s="3">
        <f ca="1">IFERROR(__xludf.DUMMYFUNCTION("""COMPUTED_VALUE"""),-0.873983718885197)</f>
        <v>-0.87398371888519699</v>
      </c>
      <c r="ND98" s="3">
        <f ca="1">IFERROR(__xludf.DUMMYFUNCTION("""COMPUTED_VALUE"""),-0.82079027182449)</f>
        <v>-0.82079027182449005</v>
      </c>
      <c r="NE98" s="3">
        <f ca="1">IFERROR(__xludf.DUMMYFUNCTION("""COMPUTED_VALUE"""),-0.839913182867679)</f>
        <v>-0.83991318286767902</v>
      </c>
      <c r="NF98" s="3">
        <f ca="1">IFERROR(__xludf.DUMMYFUNCTION("""COMPUTED_VALUE"""),-0.81524630546883)</f>
        <v>-0.81524630546883003</v>
      </c>
      <c r="NG98" s="3">
        <f ca="1">IFERROR(__xludf.DUMMYFUNCTION("""COMPUTED_VALUE"""),-0.808267623150133)</f>
        <v>-0.80826762315013301</v>
      </c>
      <c r="NH98" s="3">
        <f ca="1">IFERROR(__xludf.DUMMYFUNCTION("""COMPUTED_VALUE"""),-0.798837836302856)</f>
        <v>-0.79883783630285599</v>
      </c>
      <c r="NI98" s="3">
        <f ca="1">IFERROR(__xludf.DUMMYFUNCTION("""COMPUTED_VALUE"""),-0.810023282669519)</f>
        <v>-0.81002328266951895</v>
      </c>
      <c r="NJ98" s="3">
        <f ca="1">IFERROR(__xludf.DUMMYFUNCTION("""COMPUTED_VALUE"""),-0.75599126081654)</f>
        <v>-0.75599126081654</v>
      </c>
      <c r="NK98" s="3">
        <f ca="1">IFERROR(__xludf.DUMMYFUNCTION("""COMPUTED_VALUE"""),-0.824465878507711)</f>
        <v>-0.82446587850771103</v>
      </c>
      <c r="NL98" s="3">
        <f ca="1">IFERROR(__xludf.DUMMYFUNCTION("""COMPUTED_VALUE"""),-0.810294752571593)</f>
        <v>-0.810294752571593</v>
      </c>
      <c r="NM98" s="3">
        <f ca="1">IFERROR(__xludf.DUMMYFUNCTION("""COMPUTED_VALUE"""),-0.78016673588527)</f>
        <v>-0.78016673588526997</v>
      </c>
      <c r="NN98" s="3">
        <f ca="1">IFERROR(__xludf.DUMMYFUNCTION("""COMPUTED_VALUE"""),-0.762321136347298)</f>
        <v>-0.76232113634729803</v>
      </c>
      <c r="NO98" s="3">
        <f ca="1">IFERROR(__xludf.DUMMYFUNCTION("""COMPUTED_VALUE"""),-0.782248476863)</f>
        <v>-0.78224847686300003</v>
      </c>
      <c r="NP98" s="3">
        <f ca="1">IFERROR(__xludf.DUMMYFUNCTION("""COMPUTED_VALUE"""),-0.822439973465438)</f>
        <v>-0.82243997346543796</v>
      </c>
      <c r="NQ98" s="3">
        <f ca="1">IFERROR(__xludf.DUMMYFUNCTION("""COMPUTED_VALUE"""),-0.781808514269945)</f>
        <v>-0.78180851426994502</v>
      </c>
      <c r="NR98" s="3">
        <f ca="1">IFERROR(__xludf.DUMMYFUNCTION("""COMPUTED_VALUE"""),-0.822169776229485)</f>
        <v>-0.82216977622948495</v>
      </c>
      <c r="NS98" s="3">
        <f ca="1">IFERROR(__xludf.DUMMYFUNCTION("""COMPUTED_VALUE"""),-0.825097440504278)</f>
        <v>-0.82509744050427802</v>
      </c>
      <c r="NT98" s="3">
        <f ca="1">IFERROR(__xludf.DUMMYFUNCTION("""COMPUTED_VALUE"""),-0.750474127092455)</f>
        <v>-0.75047412709245498</v>
      </c>
      <c r="NU98" s="3">
        <f ca="1">IFERROR(__xludf.DUMMYFUNCTION("""COMPUTED_VALUE"""),-0.797710244506319)</f>
        <v>-0.797710244506319</v>
      </c>
      <c r="NV98" s="3">
        <f ca="1">IFERROR(__xludf.DUMMYFUNCTION("""COMPUTED_VALUE"""),-0.782631742614383)</f>
        <v>-0.78263174261438295</v>
      </c>
      <c r="NW98" s="3">
        <f ca="1">IFERROR(__xludf.DUMMYFUNCTION("""COMPUTED_VALUE"""),-0.775843979988016)</f>
        <v>-0.77584397998801602</v>
      </c>
      <c r="NX98" s="3">
        <f ca="1">IFERROR(__xludf.DUMMYFUNCTION("""COMPUTED_VALUE"""),-0.646618068702512)</f>
        <v>-0.64661806870251204</v>
      </c>
      <c r="NY98" s="3">
        <f ca="1">IFERROR(__xludf.DUMMYFUNCTION("""COMPUTED_VALUE"""),-0.698676172610107)</f>
        <v>-0.69867617261010695</v>
      </c>
      <c r="NZ98" s="3">
        <f ca="1">IFERROR(__xludf.DUMMYFUNCTION("""COMPUTED_VALUE"""),-0.601798066673555)</f>
        <v>-0.60179806667355495</v>
      </c>
      <c r="OA98" s="3">
        <f ca="1">IFERROR(__xludf.DUMMYFUNCTION("""COMPUTED_VALUE"""),-0.594632263217752)</f>
        <v>-0.59463226321775198</v>
      </c>
      <c r="OB98" s="3">
        <f ca="1">IFERROR(__xludf.DUMMYFUNCTION("""COMPUTED_VALUE"""),-0.545474935064266)</f>
        <v>-0.54547493506426603</v>
      </c>
      <c r="OC98" s="3">
        <f ca="1">IFERROR(__xludf.DUMMYFUNCTION("""COMPUTED_VALUE"""),-0.577170489205933)</f>
        <v>-0.57717048920593295</v>
      </c>
      <c r="OD98" s="3">
        <f ca="1">IFERROR(__xludf.DUMMYFUNCTION("""COMPUTED_VALUE"""),-0.508400436701278)</f>
        <v>-0.50840043670127799</v>
      </c>
      <c r="OE98" s="3">
        <f ca="1">IFERROR(__xludf.DUMMYFUNCTION("""COMPUTED_VALUE"""),-0.37034773767945)</f>
        <v>-0.37034773767945001</v>
      </c>
      <c r="OF98" s="3">
        <f ca="1">IFERROR(__xludf.DUMMYFUNCTION("""COMPUTED_VALUE"""),-0.330088603378017)</f>
        <v>-0.33008860337801699</v>
      </c>
      <c r="OG98" s="3">
        <f ca="1">IFERROR(__xludf.DUMMYFUNCTION("""COMPUTED_VALUE"""),-0.20477832841229)</f>
        <v>-0.20477832841228999</v>
      </c>
      <c r="OH98" s="3">
        <f ca="1">IFERROR(__xludf.DUMMYFUNCTION("""COMPUTED_VALUE"""),-0.147011517915274)</f>
        <v>-0.147011517915274</v>
      </c>
      <c r="OI98" s="3">
        <f ca="1">IFERROR(__xludf.DUMMYFUNCTION("""COMPUTED_VALUE"""),-0.115944946707957)</f>
        <v>-0.11594494670795701</v>
      </c>
      <c r="OJ98" s="3">
        <f ca="1">IFERROR(__xludf.DUMMYFUNCTION("""COMPUTED_VALUE"""),-0.113951925399838)</f>
        <v>-0.11395192539983801</v>
      </c>
      <c r="OK98" s="3">
        <f ca="1">IFERROR(__xludf.DUMMYFUNCTION("""COMPUTED_VALUE"""),-0.02956123612888)</f>
        <v>-2.9561236128880002E-2</v>
      </c>
      <c r="OL98" s="3">
        <f ca="1">IFERROR(__xludf.DUMMYFUNCTION("""COMPUTED_VALUE"""),0.000432020154523593)</f>
        <v>4.32020154523593E-4</v>
      </c>
      <c r="OM98" s="3">
        <f ca="1">IFERROR(__xludf.DUMMYFUNCTION("""COMPUTED_VALUE"""),-0.087115727265314)</f>
        <v>-8.7115727265313997E-2</v>
      </c>
      <c r="ON98" s="3">
        <f ca="1">IFERROR(__xludf.DUMMYFUNCTION("""COMPUTED_VALUE"""),-0.0671130059063214)</f>
        <v>-6.7113005906321396E-2</v>
      </c>
      <c r="OO98" s="3">
        <f ca="1">IFERROR(__xludf.DUMMYFUNCTION("""COMPUTED_VALUE"""),0.00942494055306597)</f>
        <v>9.4249405530659695E-3</v>
      </c>
      <c r="OP98" s="3">
        <f ca="1">IFERROR(__xludf.DUMMYFUNCTION("""COMPUTED_VALUE"""),0.0146445032586703)</f>
        <v>1.46445032586703E-2</v>
      </c>
      <c r="OQ98" s="3">
        <f ca="1">IFERROR(__xludf.DUMMYFUNCTION("""COMPUTED_VALUE"""),-0.0431608687895637)</f>
        <v>-4.3160868789563697E-2</v>
      </c>
      <c r="OR98" s="3">
        <f ca="1">IFERROR(__xludf.DUMMYFUNCTION("""COMPUTED_VALUE"""),-0.040864955451604)</f>
        <v>-4.0864955451603999E-2</v>
      </c>
      <c r="OS98" s="3">
        <f ca="1">IFERROR(__xludf.DUMMYFUNCTION("""COMPUTED_VALUE"""),-0.0305111910819905)</f>
        <v>-3.0511191081990501E-2</v>
      </c>
      <c r="OT98" s="3">
        <f ca="1">IFERROR(__xludf.DUMMYFUNCTION("""COMPUTED_VALUE"""),-0.0670528792576129)</f>
        <v>-6.7052879257612899E-2</v>
      </c>
      <c r="OU98" s="3">
        <f ca="1">IFERROR(__xludf.DUMMYFUNCTION("""COMPUTED_VALUE"""),-0.159181112169871)</f>
        <v>-0.15918111216987099</v>
      </c>
      <c r="OV98" s="3">
        <f ca="1">IFERROR(__xludf.DUMMYFUNCTION("""COMPUTED_VALUE"""),-0.0715861191379431)</f>
        <v>-7.1586119137943105E-2</v>
      </c>
      <c r="OW98" s="3">
        <f ca="1">IFERROR(__xludf.DUMMYFUNCTION("""COMPUTED_VALUE"""),0.0656182338455191)</f>
        <v>6.5618233845519097E-2</v>
      </c>
      <c r="OX98" s="3">
        <f ca="1">IFERROR(__xludf.DUMMYFUNCTION("""COMPUTED_VALUE"""),-0.0788047528002474)</f>
        <v>-7.8804752800247402E-2</v>
      </c>
      <c r="OY98" s="3">
        <f ca="1">IFERROR(__xludf.DUMMYFUNCTION("""COMPUTED_VALUE"""),0.0449442104610915)</f>
        <v>4.4944210461091497E-2</v>
      </c>
      <c r="OZ98" s="3">
        <f ca="1">IFERROR(__xludf.DUMMYFUNCTION("""COMPUTED_VALUE"""),-0.0451072960233076)</f>
        <v>-4.5107296023307597E-2</v>
      </c>
      <c r="PA98" s="3">
        <f ca="1">IFERROR(__xludf.DUMMYFUNCTION("""COMPUTED_VALUE"""),0.135339140016198)</f>
        <v>0.13533914001619801</v>
      </c>
      <c r="PB98" s="3">
        <f ca="1">IFERROR(__xludf.DUMMYFUNCTION("""COMPUTED_VALUE"""),-0.00629978113928575)</f>
        <v>-6.2997811392857504E-3</v>
      </c>
      <c r="PC98" s="3">
        <f ca="1">IFERROR(__xludf.DUMMYFUNCTION("""COMPUTED_VALUE"""),0.0739679963498982)</f>
        <v>7.3967996349898202E-2</v>
      </c>
      <c r="PD98" s="3">
        <f ca="1">IFERROR(__xludf.DUMMYFUNCTION("""COMPUTED_VALUE"""),0.0171978606128804)</f>
        <v>1.7197860612880402E-2</v>
      </c>
      <c r="PE98" s="3">
        <f ca="1">IFERROR(__xludf.DUMMYFUNCTION("""COMPUTED_VALUE"""),-0.00989528037981557)</f>
        <v>-9.8952803798155707E-3</v>
      </c>
      <c r="PF98" s="3">
        <f ca="1">IFERROR(__xludf.DUMMYFUNCTION("""COMPUTED_VALUE"""),0.0762310504400762)</f>
        <v>7.6231050440076206E-2</v>
      </c>
      <c r="PG98" s="3">
        <f ca="1">IFERROR(__xludf.DUMMYFUNCTION("""COMPUTED_VALUE"""),-0.158225888368457)</f>
        <v>-0.158225888368457</v>
      </c>
      <c r="PH98" s="3">
        <f ca="1">IFERROR(__xludf.DUMMYFUNCTION("""COMPUTED_VALUE"""),0.108214444139107)</f>
        <v>0.108214444139107</v>
      </c>
      <c r="PI98" s="3">
        <f ca="1">IFERROR(__xludf.DUMMYFUNCTION("""COMPUTED_VALUE"""),0.202653670748359)</f>
        <v>0.20265367074835899</v>
      </c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</row>
    <row r="99" spans="1:477" ht="13">
      <c r="A99" s="1" t="str">
        <f ca="1">IFERROR(__xludf.DUMMYFUNCTION("""COMPUTED_VALUE"""),"Lynx")</f>
        <v>Lynx</v>
      </c>
      <c r="B99" s="1" t="str">
        <f ca="1">IFERROR(__xludf.DUMMYFUNCTION("""COMPUTED_VALUE"""),"Orlando")</f>
        <v>Orlando</v>
      </c>
      <c r="C99" s="1" t="str">
        <f ca="1">IFERROR(__xludf.DUMMYFUNCTION("""COMPUTED_VALUE"""),"United States")</f>
        <v>United States</v>
      </c>
      <c r="D99" s="1" t="str">
        <f ca="1">IFERROR(__xludf.DUMMYFUNCTION("""COMPUTED_VALUE"""),"Florida")</f>
        <v>Florida</v>
      </c>
      <c r="E99" s="3">
        <f ca="1">IFERROR(__xludf.DUMMYFUNCTION("""COMPUTED_VALUE"""),-0.474140882660476)</f>
        <v>-0.47414088266047599</v>
      </c>
      <c r="F99" s="3">
        <f ca="1">IFERROR(__xludf.DUMMYFUNCTION("""COMPUTED_VALUE"""),-0.387134856194328)</f>
        <v>-0.38713485619432803</v>
      </c>
      <c r="G99" s="3">
        <f ca="1">IFERROR(__xludf.DUMMYFUNCTION("""COMPUTED_VALUE"""),-0.449087385695881)</f>
        <v>-0.44908738569588103</v>
      </c>
      <c r="H99" s="3">
        <f ca="1">IFERROR(__xludf.DUMMYFUNCTION("""COMPUTED_VALUE"""),-0.406312045446768)</f>
        <v>-0.40631204544676802</v>
      </c>
      <c r="I99" s="3">
        <f ca="1">IFERROR(__xludf.DUMMYFUNCTION("""COMPUTED_VALUE"""),-0.466882626796178)</f>
        <v>-0.46688262679617798</v>
      </c>
      <c r="J99" s="3">
        <f ca="1">IFERROR(__xludf.DUMMYFUNCTION("""COMPUTED_VALUE"""),-0.482918474390106)</f>
        <v>-0.48291847439010599</v>
      </c>
      <c r="K99" s="3">
        <f ca="1">IFERROR(__xludf.DUMMYFUNCTION("""COMPUTED_VALUE"""),-0.439680037645751)</f>
        <v>-0.43968003764575098</v>
      </c>
      <c r="L99" s="3">
        <f ca="1">IFERROR(__xludf.DUMMYFUNCTION("""COMPUTED_VALUE"""),-0.479739845336881)</f>
        <v>-0.47973984533688102</v>
      </c>
      <c r="M99" s="3">
        <f ca="1">IFERROR(__xludf.DUMMYFUNCTION("""COMPUTED_VALUE"""),-0.419133429858442)</f>
        <v>-0.41913342985844199</v>
      </c>
      <c r="N99" s="3">
        <f ca="1">IFERROR(__xludf.DUMMYFUNCTION("""COMPUTED_VALUE"""),-0.408123462601559)</f>
        <v>-0.40812346260155902</v>
      </c>
      <c r="O99" s="3">
        <f ca="1">IFERROR(__xludf.DUMMYFUNCTION("""COMPUTED_VALUE"""),-0.406353076093385)</f>
        <v>-0.406353076093385</v>
      </c>
      <c r="P99" s="3">
        <f ca="1">IFERROR(__xludf.DUMMYFUNCTION("""COMPUTED_VALUE"""),-0.481310921514589)</f>
        <v>-0.48131092151458899</v>
      </c>
      <c r="Q99" s="3">
        <f ca="1">IFERROR(__xludf.DUMMYFUNCTION("""COMPUTED_VALUE"""),-0.434378993844817)</f>
        <v>-0.43437899384481699</v>
      </c>
      <c r="R99" s="3">
        <f ca="1">IFERROR(__xludf.DUMMYFUNCTION("""COMPUTED_VALUE"""),-0.448346619163448)</f>
        <v>-0.44834661916344798</v>
      </c>
      <c r="S99" s="3">
        <f ca="1">IFERROR(__xludf.DUMMYFUNCTION("""COMPUTED_VALUE"""),-0.484264310542391)</f>
        <v>-0.484264310542391</v>
      </c>
      <c r="T99" s="3">
        <f ca="1">IFERROR(__xludf.DUMMYFUNCTION("""COMPUTED_VALUE"""),-0.474829229621917)</f>
        <v>-0.47482922962191698</v>
      </c>
      <c r="U99" s="3">
        <f ca="1">IFERROR(__xludf.DUMMYFUNCTION("""COMPUTED_VALUE"""),-0.485262834359974)</f>
        <v>-0.48526283435997403</v>
      </c>
      <c r="V99" s="3">
        <f ca="1">IFERROR(__xludf.DUMMYFUNCTION("""COMPUTED_VALUE"""),-0.379384949169464)</f>
        <v>-0.37938494916946403</v>
      </c>
      <c r="W99" s="3">
        <f ca="1">IFERROR(__xludf.DUMMYFUNCTION("""COMPUTED_VALUE"""),-0.405639496651207)</f>
        <v>-0.40563949665120702</v>
      </c>
      <c r="X99" s="3">
        <f ca="1">IFERROR(__xludf.DUMMYFUNCTION("""COMPUTED_VALUE"""),-0.432984598665217)</f>
        <v>-0.43298459866521699</v>
      </c>
      <c r="Y99" s="3">
        <f ca="1">IFERROR(__xludf.DUMMYFUNCTION("""COMPUTED_VALUE"""),-0.366885943893385)</f>
        <v>-0.36688594389338502</v>
      </c>
      <c r="Z99" s="3">
        <f ca="1">IFERROR(__xludf.DUMMYFUNCTION("""COMPUTED_VALUE"""),-0.436469259151674)</f>
        <v>-0.43646925915167401</v>
      </c>
      <c r="AA99" s="3">
        <f ca="1">IFERROR(__xludf.DUMMYFUNCTION("""COMPUTED_VALUE"""),-0.454048940103564)</f>
        <v>-0.454048940103564</v>
      </c>
      <c r="AB99" s="3">
        <f ca="1">IFERROR(__xludf.DUMMYFUNCTION("""COMPUTED_VALUE"""),-0.406106431959058)</f>
        <v>-0.40610643195905799</v>
      </c>
      <c r="AC99" s="3">
        <f ca="1">IFERROR(__xludf.DUMMYFUNCTION("""COMPUTED_VALUE"""),-0.395082579385747)</f>
        <v>-0.39508257938574698</v>
      </c>
      <c r="AD99" s="3">
        <f ca="1">IFERROR(__xludf.DUMMYFUNCTION("""COMPUTED_VALUE"""),-0.384107786750216)</f>
        <v>-0.38410778675021601</v>
      </c>
      <c r="AE99" s="3">
        <f ca="1">IFERROR(__xludf.DUMMYFUNCTION("""COMPUTED_VALUE"""),-0.396625163774334)</f>
        <v>-0.39662516377433399</v>
      </c>
      <c r="AF99" s="3">
        <f ca="1">IFERROR(__xludf.DUMMYFUNCTION("""COMPUTED_VALUE"""),-0.317857571480892)</f>
        <v>-0.317857571480892</v>
      </c>
      <c r="AG99" s="3">
        <f ca="1">IFERROR(__xludf.DUMMYFUNCTION("""COMPUTED_VALUE"""),-0.330124797566498)</f>
        <v>-0.33012479756649799</v>
      </c>
      <c r="AH99" s="3">
        <f ca="1">IFERROR(__xludf.DUMMYFUNCTION("""COMPUTED_VALUE"""),-0.454448463376016)</f>
        <v>-0.45444846337601602</v>
      </c>
      <c r="AI99" s="3">
        <f ca="1">IFERROR(__xludf.DUMMYFUNCTION("""COMPUTED_VALUE"""),-0.432659961471333)</f>
        <v>-0.43265996147133301</v>
      </c>
      <c r="AJ99" s="3">
        <f ca="1">IFERROR(__xludf.DUMMYFUNCTION("""COMPUTED_VALUE"""),-0.445080020509076)</f>
        <v>-0.44508002050907602</v>
      </c>
      <c r="AK99" s="3">
        <f ca="1">IFERROR(__xludf.DUMMYFUNCTION("""COMPUTED_VALUE"""),-0.413775015601685)</f>
        <v>-0.413775015601685</v>
      </c>
      <c r="AL99" s="3">
        <f ca="1">IFERROR(__xludf.DUMMYFUNCTION("""COMPUTED_VALUE"""),-0.473356096954552)</f>
        <v>-0.473356096954552</v>
      </c>
      <c r="AM99" s="3">
        <f ca="1">IFERROR(__xludf.DUMMYFUNCTION("""COMPUTED_VALUE"""),-0.421005458036011)</f>
        <v>-0.42100545803601103</v>
      </c>
      <c r="AN99" s="3">
        <f ca="1">IFERROR(__xludf.DUMMYFUNCTION("""COMPUTED_VALUE"""),-0.457535501842745)</f>
        <v>-0.457535501842745</v>
      </c>
      <c r="AO99" s="3">
        <f ca="1">IFERROR(__xludf.DUMMYFUNCTION("""COMPUTED_VALUE"""),-0.445661971924984)</f>
        <v>-0.44566197192498402</v>
      </c>
      <c r="AP99" s="3">
        <f ca="1">IFERROR(__xludf.DUMMYFUNCTION("""COMPUTED_VALUE"""),-0.449879883710732)</f>
        <v>-0.44987988371073201</v>
      </c>
      <c r="AQ99" s="3">
        <f ca="1">IFERROR(__xludf.DUMMYFUNCTION("""COMPUTED_VALUE"""),-0.478888840250614)</f>
        <v>-0.47888884025061401</v>
      </c>
      <c r="AR99" s="3">
        <f ca="1">IFERROR(__xludf.DUMMYFUNCTION("""COMPUTED_VALUE"""),-0.44397059655874)</f>
        <v>-0.44397059655873999</v>
      </c>
      <c r="AS99" s="3">
        <f ca="1">IFERROR(__xludf.DUMMYFUNCTION("""COMPUTED_VALUE"""),-0.451400598755938)</f>
        <v>-0.45140059875593802</v>
      </c>
      <c r="AT99" s="3">
        <f ca="1">IFERROR(__xludf.DUMMYFUNCTION("""COMPUTED_VALUE"""),-0.348705203551848)</f>
        <v>-0.34870520355184798</v>
      </c>
      <c r="AU99" s="3">
        <f ca="1">IFERROR(__xludf.DUMMYFUNCTION("""COMPUTED_VALUE"""),-0.454094397604373)</f>
        <v>-0.45409439760437298</v>
      </c>
      <c r="AV99" s="3">
        <f ca="1">IFERROR(__xludf.DUMMYFUNCTION("""COMPUTED_VALUE"""),-0.502170764763929)</f>
        <v>-0.50217076476392897</v>
      </c>
      <c r="AW99" s="3">
        <f ca="1">IFERROR(__xludf.DUMMYFUNCTION("""COMPUTED_VALUE"""),-0.488891505651417)</f>
        <v>-0.48889150565141698</v>
      </c>
      <c r="AX99" s="3">
        <f ca="1">IFERROR(__xludf.DUMMYFUNCTION("""COMPUTED_VALUE"""),-0.488419851288346)</f>
        <v>-0.48841985128834597</v>
      </c>
      <c r="AY99" s="3">
        <f ca="1">IFERROR(__xludf.DUMMYFUNCTION("""COMPUTED_VALUE"""),-0.485875819426544)</f>
        <v>-0.48587581942654401</v>
      </c>
      <c r="AZ99" s="3">
        <f ca="1">IFERROR(__xludf.DUMMYFUNCTION("""COMPUTED_VALUE"""),-0.497668075087075)</f>
        <v>-0.497668075087075</v>
      </c>
      <c r="BA99" s="3">
        <f ca="1">IFERROR(__xludf.DUMMYFUNCTION("""COMPUTED_VALUE"""),-0.422101074753703)</f>
        <v>-0.42210107475370301</v>
      </c>
      <c r="BB99" s="3">
        <f ca="1">IFERROR(__xludf.DUMMYFUNCTION("""COMPUTED_VALUE"""),-0.473327938827389)</f>
        <v>-0.47332793882738899</v>
      </c>
      <c r="BC99" s="3">
        <f ca="1">IFERROR(__xludf.DUMMYFUNCTION("""COMPUTED_VALUE"""),-0.542574817573181)</f>
        <v>-0.54257481757318105</v>
      </c>
      <c r="BD99" s="3">
        <f ca="1">IFERROR(__xludf.DUMMYFUNCTION("""COMPUTED_VALUE"""),-0.53010866397846)</f>
        <v>-0.53010866397846002</v>
      </c>
      <c r="BE99" s="3">
        <f ca="1">IFERROR(__xludf.DUMMYFUNCTION("""COMPUTED_VALUE"""),-0.541121420355991)</f>
        <v>-0.54112142035599098</v>
      </c>
      <c r="BF99" s="3">
        <f ca="1">IFERROR(__xludf.DUMMYFUNCTION("""COMPUTED_VALUE"""),-0.503330453239536)</f>
        <v>-0.50333045323953596</v>
      </c>
      <c r="BG99" s="3">
        <f ca="1">IFERROR(__xludf.DUMMYFUNCTION("""COMPUTED_VALUE"""),-0.504684590748347)</f>
        <v>-0.50468459074834704</v>
      </c>
      <c r="BH99" s="3">
        <f ca="1">IFERROR(__xludf.DUMMYFUNCTION("""COMPUTED_VALUE"""),-0.408739669053793)</f>
        <v>-0.408739669053793</v>
      </c>
      <c r="BI99" s="3">
        <f ca="1">IFERROR(__xludf.DUMMYFUNCTION("""COMPUTED_VALUE"""),-0.493228239707184)</f>
        <v>-0.49322823970718399</v>
      </c>
      <c r="BJ99" s="3">
        <f ca="1">IFERROR(__xludf.DUMMYFUNCTION("""COMPUTED_VALUE"""),-0.497846650927022)</f>
        <v>-0.49784665092702202</v>
      </c>
      <c r="BK99" s="3">
        <f ca="1">IFERROR(__xludf.DUMMYFUNCTION("""COMPUTED_VALUE"""),-0.528292236496227)</f>
        <v>-0.52829223649622703</v>
      </c>
      <c r="BL99" s="3">
        <f ca="1">IFERROR(__xludf.DUMMYFUNCTION("""COMPUTED_VALUE"""),-0.557420967727122)</f>
        <v>-0.55742096772712202</v>
      </c>
      <c r="BM99" s="3">
        <f ca="1">IFERROR(__xludf.DUMMYFUNCTION("""COMPUTED_VALUE"""),-0.536661769083394)</f>
        <v>-0.53666176908339402</v>
      </c>
      <c r="BN99" s="3">
        <f ca="1">IFERROR(__xludf.DUMMYFUNCTION("""COMPUTED_VALUE"""),-0.580020700625898)</f>
        <v>-0.58002070062589794</v>
      </c>
      <c r="BO99" s="3">
        <f ca="1">IFERROR(__xludf.DUMMYFUNCTION("""COMPUTED_VALUE"""),-0.56298067152019)</f>
        <v>-0.56298067152019005</v>
      </c>
      <c r="BP99" s="3">
        <f ca="1">IFERROR(__xludf.DUMMYFUNCTION("""COMPUTED_VALUE"""),-0.564150747511356)</f>
        <v>-0.56415074751135597</v>
      </c>
      <c r="BQ99" s="3">
        <f ca="1">IFERROR(__xludf.DUMMYFUNCTION("""COMPUTED_VALUE"""),-0.551837942306761)</f>
        <v>-0.55183794230676098</v>
      </c>
      <c r="BR99" s="3">
        <f ca="1">IFERROR(__xludf.DUMMYFUNCTION("""COMPUTED_VALUE"""),-0.57808567012076)</f>
        <v>-0.57808567012075995</v>
      </c>
      <c r="BS99" s="3">
        <f ca="1">IFERROR(__xludf.DUMMYFUNCTION("""COMPUTED_VALUE"""),-0.599240351225172)</f>
        <v>-0.59924035122517205</v>
      </c>
      <c r="BT99" s="3">
        <f ca="1">IFERROR(__xludf.DUMMYFUNCTION("""COMPUTED_VALUE"""),-0.595947096308041)</f>
        <v>-0.59594709630804099</v>
      </c>
      <c r="BU99" s="3">
        <f ca="1">IFERROR(__xludf.DUMMYFUNCTION("""COMPUTED_VALUE"""),-0.545914046629556)</f>
        <v>-0.545914046629556</v>
      </c>
      <c r="BV99" s="3">
        <f ca="1">IFERROR(__xludf.DUMMYFUNCTION("""COMPUTED_VALUE"""),-0.519206243957375)</f>
        <v>-0.51920624395737502</v>
      </c>
      <c r="BW99" s="3">
        <f ca="1">IFERROR(__xludf.DUMMYFUNCTION("""COMPUTED_VALUE"""),-0.53301502188691)</f>
        <v>-0.53301502188690997</v>
      </c>
      <c r="BX99" s="3">
        <f ca="1">IFERROR(__xludf.DUMMYFUNCTION("""COMPUTED_VALUE"""),-0.609522375675174)</f>
        <v>-0.60952237567517398</v>
      </c>
      <c r="BY99" s="3">
        <f ca="1">IFERROR(__xludf.DUMMYFUNCTION("""COMPUTED_VALUE"""),-0.610277281438446)</f>
        <v>-0.61027728143844595</v>
      </c>
      <c r="BZ99" s="3">
        <f ca="1">IFERROR(__xludf.DUMMYFUNCTION("""COMPUTED_VALUE"""),-0.524526860226088)</f>
        <v>-0.52452686022608797</v>
      </c>
      <c r="CA99" s="3">
        <f ca="1">IFERROR(__xludf.DUMMYFUNCTION("""COMPUTED_VALUE"""),-0.581616103569908)</f>
        <v>-0.58161610356990801</v>
      </c>
      <c r="CB99" s="3">
        <f ca="1">IFERROR(__xludf.DUMMYFUNCTION("""COMPUTED_VALUE"""),-0.581144576095698)</f>
        <v>-0.58114457609569803</v>
      </c>
      <c r="CC99" s="3">
        <f ca="1">IFERROR(__xludf.DUMMYFUNCTION("""COMPUTED_VALUE"""),-0.497236118487299)</f>
        <v>-0.49723611848729898</v>
      </c>
      <c r="CD99" s="3">
        <f ca="1">IFERROR(__xludf.DUMMYFUNCTION("""COMPUTED_VALUE"""),-0.583931120857048)</f>
        <v>-0.58393112085704801</v>
      </c>
      <c r="CE99" s="3">
        <f ca="1">IFERROR(__xludf.DUMMYFUNCTION("""COMPUTED_VALUE"""),-0.570134732367308)</f>
        <v>-0.57013473236730805</v>
      </c>
      <c r="CF99" s="3">
        <f ca="1">IFERROR(__xludf.DUMMYFUNCTION("""COMPUTED_VALUE"""),-0.591644158604907)</f>
        <v>-0.59164415860490704</v>
      </c>
      <c r="CG99" s="3">
        <f ca="1">IFERROR(__xludf.DUMMYFUNCTION("""COMPUTED_VALUE"""),-0.508512944173877)</f>
        <v>-0.50851294417387705</v>
      </c>
      <c r="CH99" s="3">
        <f ca="1">IFERROR(__xludf.DUMMYFUNCTION("""COMPUTED_VALUE"""),-0.582765456495792)</f>
        <v>-0.58276545649579203</v>
      </c>
      <c r="CI99" s="3">
        <f ca="1">IFERROR(__xludf.DUMMYFUNCTION("""COMPUTED_VALUE"""),-0.583626409136694)</f>
        <v>-0.58362640913669395</v>
      </c>
      <c r="CJ99" s="3">
        <f ca="1">IFERROR(__xludf.DUMMYFUNCTION("""COMPUTED_VALUE"""),-0.498939455107822)</f>
        <v>-0.49893945510782201</v>
      </c>
      <c r="CK99" s="3">
        <f ca="1">IFERROR(__xludf.DUMMYFUNCTION("""COMPUTED_VALUE"""),-0.554600907358157)</f>
        <v>-0.55460090735815704</v>
      </c>
      <c r="CL99" s="3">
        <f ca="1">IFERROR(__xludf.DUMMYFUNCTION("""COMPUTED_VALUE"""),-0.549511681265088)</f>
        <v>-0.54951168126508798</v>
      </c>
      <c r="CM99" s="3">
        <f ca="1">IFERROR(__xludf.DUMMYFUNCTION("""COMPUTED_VALUE"""),-0.620776110285843)</f>
        <v>-0.62077611028584301</v>
      </c>
      <c r="CN99" s="3">
        <f ca="1">IFERROR(__xludf.DUMMYFUNCTION("""COMPUTED_VALUE"""),-0.572251096932773)</f>
        <v>-0.57225109693277298</v>
      </c>
      <c r="CO99" s="3">
        <f ca="1">IFERROR(__xludf.DUMMYFUNCTION("""COMPUTED_VALUE"""),-0.592965051573316)</f>
        <v>-0.59296505157331603</v>
      </c>
      <c r="CP99" s="3">
        <f ca="1">IFERROR(__xludf.DUMMYFUNCTION("""COMPUTED_VALUE"""),-0.568989670943122)</f>
        <v>-0.56898967094312203</v>
      </c>
      <c r="CQ99" s="3">
        <f ca="1">IFERROR(__xludf.DUMMYFUNCTION("""COMPUTED_VALUE"""),-0.478920181535177)</f>
        <v>-0.47892018153517701</v>
      </c>
      <c r="CR99" s="3">
        <f ca="1">IFERROR(__xludf.DUMMYFUNCTION("""COMPUTED_VALUE"""),-0.514198290630339)</f>
        <v>-0.51419829063033895</v>
      </c>
      <c r="CS99" s="3">
        <f ca="1">IFERROR(__xludf.DUMMYFUNCTION("""COMPUTED_VALUE"""),-0.585255086688916)</f>
        <v>-0.58525508668891602</v>
      </c>
      <c r="CT99" s="3">
        <f ca="1">IFERROR(__xludf.DUMMYFUNCTION("""COMPUTED_VALUE"""),-0.563367461715649)</f>
        <v>-0.563367461715649</v>
      </c>
      <c r="CU99" s="3">
        <f ca="1">IFERROR(__xludf.DUMMYFUNCTION("""COMPUTED_VALUE"""),-0.561840246537906)</f>
        <v>-0.56184024653790599</v>
      </c>
      <c r="CV99" s="3">
        <f ca="1">IFERROR(__xludf.DUMMYFUNCTION("""COMPUTED_VALUE"""),-0.57792044316162)</f>
        <v>-0.57792044316161995</v>
      </c>
      <c r="CW99" s="3">
        <f ca="1">IFERROR(__xludf.DUMMYFUNCTION("""COMPUTED_VALUE"""),-0.563888752963467)</f>
        <v>-0.56388875296346697</v>
      </c>
      <c r="CX99" s="3">
        <f ca="1">IFERROR(__xludf.DUMMYFUNCTION("""COMPUTED_VALUE"""),-0.49201598269156)</f>
        <v>-0.49201598269155999</v>
      </c>
      <c r="CY99" s="3">
        <f ca="1">IFERROR(__xludf.DUMMYFUNCTION("""COMPUTED_VALUE"""),-0.486550664816946)</f>
        <v>-0.48655066481694598</v>
      </c>
      <c r="CZ99" s="3">
        <f ca="1">IFERROR(__xludf.DUMMYFUNCTION("""COMPUTED_VALUE"""),-0.560217585814933)</f>
        <v>-0.56021758581493297</v>
      </c>
      <c r="DA99" s="3">
        <f ca="1">IFERROR(__xludf.DUMMYFUNCTION("""COMPUTED_VALUE"""),-0.500260371193019)</f>
        <v>-0.50026037119301903</v>
      </c>
      <c r="DB99" s="3">
        <f ca="1">IFERROR(__xludf.DUMMYFUNCTION("""COMPUTED_VALUE"""),-0.387522959089438)</f>
        <v>-0.38752295908943801</v>
      </c>
      <c r="DC99" s="3">
        <f ca="1">IFERROR(__xludf.DUMMYFUNCTION("""COMPUTED_VALUE"""),-0.509210211526085)</f>
        <v>-0.50921021152608503</v>
      </c>
      <c r="DD99" s="3">
        <f ca="1">IFERROR(__xludf.DUMMYFUNCTION("""COMPUTED_VALUE"""),-0.53835923551291)</f>
        <v>-0.53835923551290998</v>
      </c>
      <c r="DE99" s="3">
        <f ca="1">IFERROR(__xludf.DUMMYFUNCTION("""COMPUTED_VALUE"""),-0.516837948753914)</f>
        <v>-0.51683794875391398</v>
      </c>
      <c r="DF99" s="3">
        <f ca="1">IFERROR(__xludf.DUMMYFUNCTION("""COMPUTED_VALUE"""),-0.560005605127472)</f>
        <v>-0.56000560512747199</v>
      </c>
      <c r="DG99" s="3">
        <f ca="1">IFERROR(__xludf.DUMMYFUNCTION("""COMPUTED_VALUE"""),-0.717399087230265)</f>
        <v>-0.71739908723026502</v>
      </c>
      <c r="DH99" s="3">
        <f ca="1">IFERROR(__xludf.DUMMYFUNCTION("""COMPUTED_VALUE"""),-0.520957826613316)</f>
        <v>-0.52095782661331602</v>
      </c>
      <c r="DI99" s="3">
        <f ca="1">IFERROR(__xludf.DUMMYFUNCTION("""COMPUTED_VALUE"""),-0.407562094375924)</f>
        <v>-0.407562094375924</v>
      </c>
      <c r="DJ99" s="3">
        <f ca="1">IFERROR(__xludf.DUMMYFUNCTION("""COMPUTED_VALUE"""),-0.54012828358098)</f>
        <v>-0.54012828358097997</v>
      </c>
      <c r="DK99" s="3">
        <f ca="1">IFERROR(__xludf.DUMMYFUNCTION("""COMPUTED_VALUE"""),-0.565080898035873)</f>
        <v>-0.56508089803587302</v>
      </c>
      <c r="DL99" s="3">
        <f ca="1">IFERROR(__xludf.DUMMYFUNCTION("""COMPUTED_VALUE"""),-0.435503832145701)</f>
        <v>-0.43550383214570099</v>
      </c>
      <c r="DM99" s="3">
        <f ca="1">IFERROR(__xludf.DUMMYFUNCTION("""COMPUTED_VALUE"""),-0.4845666598863)</f>
        <v>-0.48456665988629999</v>
      </c>
      <c r="DN99" s="3">
        <f ca="1">IFERROR(__xludf.DUMMYFUNCTION("""COMPUTED_VALUE"""),-0.508929207161916)</f>
        <v>-0.50892920716191603</v>
      </c>
      <c r="DO99" s="3">
        <f ca="1">IFERROR(__xludf.DUMMYFUNCTION("""COMPUTED_VALUE"""),-0.553464491892662)</f>
        <v>-0.553464491892662</v>
      </c>
      <c r="DP99" s="3">
        <f ca="1">IFERROR(__xludf.DUMMYFUNCTION("""COMPUTED_VALUE"""),-0.457857488872891)</f>
        <v>-0.45785748887289102</v>
      </c>
      <c r="DQ99" s="3">
        <f ca="1">IFERROR(__xludf.DUMMYFUNCTION("""COMPUTED_VALUE"""),-0.49329028606814)</f>
        <v>-0.49329028606814002</v>
      </c>
      <c r="DR99" s="3">
        <f ca="1">IFERROR(__xludf.DUMMYFUNCTION("""COMPUTED_VALUE"""),-0.507445302826433)</f>
        <v>-0.50744530282643296</v>
      </c>
      <c r="DS99" s="3">
        <f ca="1">IFERROR(__xludf.DUMMYFUNCTION("""COMPUTED_VALUE"""),-0.45852837516647)</f>
        <v>-0.45852837516646999</v>
      </c>
      <c r="DT99" s="3">
        <f ca="1">IFERROR(__xludf.DUMMYFUNCTION("""COMPUTED_VALUE"""),-0.479971702731217)</f>
        <v>-0.47997170273121698</v>
      </c>
      <c r="DU99" s="3">
        <f ca="1">IFERROR(__xludf.DUMMYFUNCTION("""COMPUTED_VALUE"""),-0.521291556582579)</f>
        <v>-0.52129155658257897</v>
      </c>
      <c r="DV99" s="3">
        <f ca="1">IFERROR(__xludf.DUMMYFUNCTION("""COMPUTED_VALUE"""),-0.528183171265267)</f>
        <v>-0.52818317126526704</v>
      </c>
      <c r="DW99" s="3">
        <f ca="1">IFERROR(__xludf.DUMMYFUNCTION("""COMPUTED_VALUE"""),-0.570072008081324)</f>
        <v>-0.57007200808132397</v>
      </c>
      <c r="DX99" s="3">
        <f ca="1">IFERROR(__xludf.DUMMYFUNCTION("""COMPUTED_VALUE"""),-0.582670937288738)</f>
        <v>-0.58267093728873798</v>
      </c>
      <c r="DY99" s="3">
        <f ca="1">IFERROR(__xludf.DUMMYFUNCTION("""COMPUTED_VALUE"""),-0.63341412604998)</f>
        <v>-0.63341412604998004</v>
      </c>
      <c r="DZ99" s="3">
        <f ca="1">IFERROR(__xludf.DUMMYFUNCTION("""COMPUTED_VALUE"""),-0.498097751978724)</f>
        <v>-0.49809775197872402</v>
      </c>
      <c r="EA99" s="3">
        <f ca="1">IFERROR(__xludf.DUMMYFUNCTION("""COMPUTED_VALUE"""),-0.474993491168849)</f>
        <v>-0.47499349116884898</v>
      </c>
      <c r="EB99" s="3">
        <f ca="1">IFERROR(__xludf.DUMMYFUNCTION("""COMPUTED_VALUE"""),-0.56393507926117)</f>
        <v>-0.56393507926117004</v>
      </c>
      <c r="EC99" s="3">
        <f ca="1">IFERROR(__xludf.DUMMYFUNCTION("""COMPUTED_VALUE"""),-0.49381660234826)</f>
        <v>-0.49381660234826003</v>
      </c>
      <c r="ED99" s="3">
        <f ca="1">IFERROR(__xludf.DUMMYFUNCTION("""COMPUTED_VALUE"""),-0.596832465691855)</f>
        <v>-0.596832465691855</v>
      </c>
      <c r="EE99" s="3">
        <f ca="1">IFERROR(__xludf.DUMMYFUNCTION("""COMPUTED_VALUE"""),-0.594086941242666)</f>
        <v>-0.59408694124266603</v>
      </c>
      <c r="EF99" s="3">
        <f ca="1">IFERROR(__xludf.DUMMYFUNCTION("""COMPUTED_VALUE"""),-0.613765822653933)</f>
        <v>-0.61376582265393298</v>
      </c>
      <c r="EG99" s="3">
        <f ca="1">IFERROR(__xludf.DUMMYFUNCTION("""COMPUTED_VALUE"""),-0.528213924279518)</f>
        <v>-0.52821392427951797</v>
      </c>
      <c r="EH99" s="3">
        <f ca="1">IFERROR(__xludf.DUMMYFUNCTION("""COMPUTED_VALUE"""),-0.608124923546677)</f>
        <v>-0.60812492354667702</v>
      </c>
      <c r="EI99" s="3">
        <f ca="1">IFERROR(__xludf.DUMMYFUNCTION("""COMPUTED_VALUE"""),-0.602139109988605)</f>
        <v>-0.60213910998860498</v>
      </c>
      <c r="EJ99" s="3">
        <f ca="1">IFERROR(__xludf.DUMMYFUNCTION("""COMPUTED_VALUE"""),-0.687141157168857)</f>
        <v>-0.68714115716885704</v>
      </c>
      <c r="EK99" s="3">
        <f ca="1">IFERROR(__xludf.DUMMYFUNCTION("""COMPUTED_VALUE"""),-0.577463176492349)</f>
        <v>-0.57746317649234902</v>
      </c>
      <c r="EL99" s="3">
        <f ca="1">IFERROR(__xludf.DUMMYFUNCTION("""COMPUTED_VALUE"""),-0.584900644655285)</f>
        <v>-0.58490064465528502</v>
      </c>
      <c r="EM99" s="3">
        <f ca="1">IFERROR(__xludf.DUMMYFUNCTION("""COMPUTED_VALUE"""),-0.59322903879914)</f>
        <v>-0.59322903879914002</v>
      </c>
      <c r="EN99" s="3">
        <f ca="1">IFERROR(__xludf.DUMMYFUNCTION("""COMPUTED_VALUE"""),-0.53502861876978)</f>
        <v>-0.53502861876978003</v>
      </c>
      <c r="EO99" s="3">
        <f ca="1">IFERROR(__xludf.DUMMYFUNCTION("""COMPUTED_VALUE"""),-0.515023676030699)</f>
        <v>-0.51502367603069898</v>
      </c>
      <c r="EP99" s="3">
        <f ca="1">IFERROR(__xludf.DUMMYFUNCTION("""COMPUTED_VALUE"""),-0.523153852191139)</f>
        <v>-0.52315385219113897</v>
      </c>
      <c r="EQ99" s="3">
        <f ca="1">IFERROR(__xludf.DUMMYFUNCTION("""COMPUTED_VALUE"""),-0.549992445469125)</f>
        <v>-0.54999244546912496</v>
      </c>
      <c r="ER99" s="3">
        <f ca="1">IFERROR(__xludf.DUMMYFUNCTION("""COMPUTED_VALUE"""),-0.570977927123081)</f>
        <v>-0.57097792712308104</v>
      </c>
      <c r="ES99" s="3">
        <f ca="1">IFERROR(__xludf.DUMMYFUNCTION("""COMPUTED_VALUE"""),-0.599511008973976)</f>
        <v>-0.59951100897397602</v>
      </c>
      <c r="ET99" s="3">
        <f ca="1">IFERROR(__xludf.DUMMYFUNCTION("""COMPUTED_VALUE"""),-0.603347928614452)</f>
        <v>-0.60334792861445197</v>
      </c>
      <c r="EU99" s="3">
        <f ca="1">IFERROR(__xludf.DUMMYFUNCTION("""COMPUTED_VALUE"""),-0.561566944220709)</f>
        <v>-0.56156694422070896</v>
      </c>
      <c r="EV99" s="3">
        <f ca="1">IFERROR(__xludf.DUMMYFUNCTION("""COMPUTED_VALUE"""),-0.552723069247808)</f>
        <v>-0.55272306924780801</v>
      </c>
      <c r="EW99" s="3">
        <f ca="1">IFERROR(__xludf.DUMMYFUNCTION("""COMPUTED_VALUE"""),-0.61250950712424)</f>
        <v>-0.61250950712424002</v>
      </c>
      <c r="EX99" s="3">
        <f ca="1">IFERROR(__xludf.DUMMYFUNCTION("""COMPUTED_VALUE"""),-0.610370112906569)</f>
        <v>-0.61037011290656895</v>
      </c>
      <c r="EY99" s="3">
        <f ca="1">IFERROR(__xludf.DUMMYFUNCTION("""COMPUTED_VALUE"""),-0.665105344787406)</f>
        <v>-0.66510534478740602</v>
      </c>
      <c r="EZ99" s="3">
        <f ca="1">IFERROR(__xludf.DUMMYFUNCTION("""COMPUTED_VALUE"""),-0.633637298824333)</f>
        <v>-0.63363729882433295</v>
      </c>
      <c r="FA99" s="3">
        <f ca="1">IFERROR(__xludf.DUMMYFUNCTION("""COMPUTED_VALUE"""),-0.611954657647034)</f>
        <v>-0.61195465764703405</v>
      </c>
      <c r="FB99" s="3">
        <f ca="1">IFERROR(__xludf.DUMMYFUNCTION("""COMPUTED_VALUE"""),-0.556050637195763)</f>
        <v>-0.55605063719576298</v>
      </c>
      <c r="FC99" s="3">
        <f ca="1">IFERROR(__xludf.DUMMYFUNCTION("""COMPUTED_VALUE"""),-0.575682478851959)</f>
        <v>-0.575682478851959</v>
      </c>
      <c r="FD99" s="3">
        <f ca="1">IFERROR(__xludf.DUMMYFUNCTION("""COMPUTED_VALUE"""),-0.593485154385115)</f>
        <v>-0.59348515438511495</v>
      </c>
      <c r="FE99" s="3">
        <f ca="1">IFERROR(__xludf.DUMMYFUNCTION("""COMPUTED_VALUE"""),-0.594876943372472)</f>
        <v>-0.59487694337247199</v>
      </c>
      <c r="FF99" s="3">
        <f ca="1">IFERROR(__xludf.DUMMYFUNCTION("""COMPUTED_VALUE"""),-0.627793906351964)</f>
        <v>-0.62779390635196397</v>
      </c>
      <c r="FG99" s="3">
        <f ca="1">IFERROR(__xludf.DUMMYFUNCTION("""COMPUTED_VALUE"""),-0.609039710262735)</f>
        <v>-0.60903971026273496</v>
      </c>
      <c r="FH99" s="3">
        <f ca="1">IFERROR(__xludf.DUMMYFUNCTION("""COMPUTED_VALUE"""),-0.604323262264428)</f>
        <v>-0.60432326226442801</v>
      </c>
      <c r="FI99" s="3">
        <f ca="1">IFERROR(__xludf.DUMMYFUNCTION("""COMPUTED_VALUE"""),-0.568529197601373)</f>
        <v>-0.56852919760137299</v>
      </c>
      <c r="FJ99" s="3">
        <f ca="1">IFERROR(__xludf.DUMMYFUNCTION("""COMPUTED_VALUE"""),-0.580619862630106)</f>
        <v>-0.58061986263010601</v>
      </c>
      <c r="FK99" s="3">
        <f ca="1">IFERROR(__xludf.DUMMYFUNCTION("""COMPUTED_VALUE"""),-0.565452618112191)</f>
        <v>-0.56545261811219105</v>
      </c>
      <c r="FL99" s="3">
        <f ca="1">IFERROR(__xludf.DUMMYFUNCTION("""COMPUTED_VALUE"""),-0.622166972891997)</f>
        <v>-0.62216697289199696</v>
      </c>
      <c r="FM99" s="3">
        <f ca="1">IFERROR(__xludf.DUMMYFUNCTION("""COMPUTED_VALUE"""),-0.640226234538093)</f>
        <v>-0.64022623453809302</v>
      </c>
      <c r="FN99" s="3">
        <f ca="1">IFERROR(__xludf.DUMMYFUNCTION("""COMPUTED_VALUE"""),-0.635460269768369)</f>
        <v>-0.635460269768369</v>
      </c>
      <c r="FO99" s="3">
        <f ca="1">IFERROR(__xludf.DUMMYFUNCTION("""COMPUTED_VALUE"""),-0.604609860693329)</f>
        <v>-0.604609860693329</v>
      </c>
      <c r="FP99" s="3">
        <f ca="1">IFERROR(__xludf.DUMMYFUNCTION("""COMPUTED_VALUE"""),-0.545895919327323)</f>
        <v>-0.54589591932732295</v>
      </c>
      <c r="FQ99" s="3">
        <f ca="1">IFERROR(__xludf.DUMMYFUNCTION("""COMPUTED_VALUE"""),-0.543918716350373)</f>
        <v>-0.54391871635037303</v>
      </c>
      <c r="FR99" s="3">
        <f ca="1">IFERROR(__xludf.DUMMYFUNCTION("""COMPUTED_VALUE"""),-0.60867324678508)</f>
        <v>-0.60867324678507995</v>
      </c>
      <c r="FS99" s="3">
        <f ca="1">IFERROR(__xludf.DUMMYFUNCTION("""COMPUTED_VALUE"""),-0.583527387964416)</f>
        <v>-0.58352738796441606</v>
      </c>
      <c r="FT99" s="3">
        <f ca="1">IFERROR(__xludf.DUMMYFUNCTION("""COMPUTED_VALUE"""),-0.616206350310115)</f>
        <v>-0.61620635031011495</v>
      </c>
      <c r="FU99" s="3">
        <f ca="1">IFERROR(__xludf.DUMMYFUNCTION("""COMPUTED_VALUE"""),-0.626249206546343)</f>
        <v>-0.62624920654634297</v>
      </c>
      <c r="FV99" s="3">
        <f ca="1">IFERROR(__xludf.DUMMYFUNCTION("""COMPUTED_VALUE"""),-0.588491334196873)</f>
        <v>-0.58849133419687305</v>
      </c>
      <c r="FW99" s="3">
        <f ca="1">IFERROR(__xludf.DUMMYFUNCTION("""COMPUTED_VALUE"""),-0.575994272299471)</f>
        <v>-0.57599427229947098</v>
      </c>
      <c r="FX99" s="3">
        <f ca="1">IFERROR(__xludf.DUMMYFUNCTION("""COMPUTED_VALUE"""),-0.553213184195152)</f>
        <v>-0.55321318419515197</v>
      </c>
      <c r="FY99" s="3">
        <f ca="1">IFERROR(__xludf.DUMMYFUNCTION("""COMPUTED_VALUE"""),-0.548817023006334)</f>
        <v>-0.54881702300633395</v>
      </c>
      <c r="FZ99" s="3">
        <f ca="1">IFERROR(__xludf.DUMMYFUNCTION("""COMPUTED_VALUE"""),-0.589906956773184)</f>
        <v>-0.58990695677318405</v>
      </c>
      <c r="GA99" s="3">
        <f ca="1">IFERROR(__xludf.DUMMYFUNCTION("""COMPUTED_VALUE"""),-0.584871137534759)</f>
        <v>-0.58487113753475894</v>
      </c>
      <c r="GB99" s="3">
        <f ca="1">IFERROR(__xludf.DUMMYFUNCTION("""COMPUTED_VALUE"""),-0.560551404699793)</f>
        <v>-0.56055140469979303</v>
      </c>
      <c r="GC99" s="3">
        <f ca="1">IFERROR(__xludf.DUMMYFUNCTION("""COMPUTED_VALUE"""),-0.552046824353034)</f>
        <v>-0.55204682435303398</v>
      </c>
      <c r="GD99" s="3">
        <f ca="1">IFERROR(__xludf.DUMMYFUNCTION("""COMPUTED_VALUE"""),-0.566923322846352)</f>
        <v>-0.56692332284635205</v>
      </c>
      <c r="GE99" s="3">
        <f ca="1">IFERROR(__xludf.DUMMYFUNCTION("""COMPUTED_VALUE"""),-0.492083579092486)</f>
        <v>-0.49208357909248601</v>
      </c>
      <c r="GF99" s="3">
        <f ca="1">IFERROR(__xludf.DUMMYFUNCTION("""COMPUTED_VALUE"""),-0.584081321628668)</f>
        <v>-0.58408132162866799</v>
      </c>
      <c r="GG99" s="3">
        <f ca="1">IFERROR(__xludf.DUMMYFUNCTION("""COMPUTED_VALUE"""),-0.575239286545232)</f>
        <v>-0.57523928654523204</v>
      </c>
      <c r="GH99" s="3">
        <f ca="1">IFERROR(__xludf.DUMMYFUNCTION("""COMPUTED_VALUE"""),-0.583223294678082)</f>
        <v>-0.58322329467808198</v>
      </c>
      <c r="GI99" s="3">
        <f ca="1">IFERROR(__xludf.DUMMYFUNCTION("""COMPUTED_VALUE"""),-0.620628282625067)</f>
        <v>-0.62062828262506697</v>
      </c>
      <c r="GJ99" s="3">
        <f ca="1">IFERROR(__xludf.DUMMYFUNCTION("""COMPUTED_VALUE"""),-0.587738629372082)</f>
        <v>-0.58773862937208199</v>
      </c>
      <c r="GK99" s="3">
        <f ca="1">IFERROR(__xludf.DUMMYFUNCTION("""COMPUTED_VALUE"""),-0.543014323459626)</f>
        <v>-0.54301432345962597</v>
      </c>
      <c r="GL99" s="3">
        <f ca="1">IFERROR(__xludf.DUMMYFUNCTION("""COMPUTED_VALUE"""),-0.552229892042311)</f>
        <v>-0.55222989204231099</v>
      </c>
      <c r="GM99" s="3">
        <f ca="1">IFERROR(__xludf.DUMMYFUNCTION("""COMPUTED_VALUE"""),-0.603756223412586)</f>
        <v>-0.60375622341258595</v>
      </c>
      <c r="GN99" s="3">
        <f ca="1">IFERROR(__xludf.DUMMYFUNCTION("""COMPUTED_VALUE"""),-0.604184668805922)</f>
        <v>-0.60418466880592203</v>
      </c>
      <c r="GO99" s="3">
        <f ca="1">IFERROR(__xludf.DUMMYFUNCTION("""COMPUTED_VALUE"""),-0.610523483311626)</f>
        <v>-0.61052348331162598</v>
      </c>
      <c r="GP99" s="3">
        <f ca="1">IFERROR(__xludf.DUMMYFUNCTION("""COMPUTED_VALUE"""),-0.608001613064103)</f>
        <v>-0.60800161306410305</v>
      </c>
      <c r="GQ99" s="3">
        <f ca="1">IFERROR(__xludf.DUMMYFUNCTION("""COMPUTED_VALUE"""),-0.547988447567803)</f>
        <v>-0.54798844756780296</v>
      </c>
      <c r="GR99" s="3">
        <f ca="1">IFERROR(__xludf.DUMMYFUNCTION("""COMPUTED_VALUE"""),-0.531472240597833)</f>
        <v>-0.53147224059783305</v>
      </c>
      <c r="GS99" s="3">
        <f ca="1">IFERROR(__xludf.DUMMYFUNCTION("""COMPUTED_VALUE"""),-0.543587424914849)</f>
        <v>-0.54358742491484902</v>
      </c>
      <c r="GT99" s="3">
        <f ca="1">IFERROR(__xludf.DUMMYFUNCTION("""COMPUTED_VALUE"""),-0.568823036872264)</f>
        <v>-0.56882303687226399</v>
      </c>
      <c r="GU99" s="3">
        <f ca="1">IFERROR(__xludf.DUMMYFUNCTION("""COMPUTED_VALUE"""),-0.598785901156943)</f>
        <v>-0.59878590115694297</v>
      </c>
      <c r="GV99" s="3">
        <f ca="1">IFERROR(__xludf.DUMMYFUNCTION("""COMPUTED_VALUE"""),-0.614447171936656)</f>
        <v>-0.61444717193665599</v>
      </c>
      <c r="GW99" s="3">
        <f ca="1">IFERROR(__xludf.DUMMYFUNCTION("""COMPUTED_VALUE"""),-0.65247997555167)</f>
        <v>-0.65247997555167003</v>
      </c>
      <c r="GX99" s="3">
        <f ca="1">IFERROR(__xludf.DUMMYFUNCTION("""COMPUTED_VALUE"""),-0.548961364395653)</f>
        <v>-0.54896136439565302</v>
      </c>
      <c r="GY99" s="3">
        <f ca="1">IFERROR(__xludf.DUMMYFUNCTION("""COMPUTED_VALUE"""),-0.535608277613491)</f>
        <v>-0.53560827761349095</v>
      </c>
      <c r="GZ99" s="3">
        <f ca="1">IFERROR(__xludf.DUMMYFUNCTION("""COMPUTED_VALUE"""),-0.51557334573533)</f>
        <v>-0.51557334573532998</v>
      </c>
      <c r="HA99" s="3">
        <f ca="1">IFERROR(__xludf.DUMMYFUNCTION("""COMPUTED_VALUE"""),-0.572089875304142)</f>
        <v>-0.57208987530414201</v>
      </c>
      <c r="HB99" s="3">
        <f ca="1">IFERROR(__xludf.DUMMYFUNCTION("""COMPUTED_VALUE"""),-0.593285293952643)</f>
        <v>-0.59328529395264296</v>
      </c>
      <c r="HC99" s="3">
        <f ca="1">IFERROR(__xludf.DUMMYFUNCTION("""COMPUTED_VALUE"""),-0.634637511145446)</f>
        <v>-0.63463751114544598</v>
      </c>
      <c r="HD99" s="3">
        <f ca="1">IFERROR(__xludf.DUMMYFUNCTION("""COMPUTED_VALUE"""),-0.633229971277911)</f>
        <v>-0.63322997127791103</v>
      </c>
      <c r="HE99" s="3">
        <f ca="1">IFERROR(__xludf.DUMMYFUNCTION("""COMPUTED_VALUE"""),-0.587513938772921)</f>
        <v>-0.58751393877292102</v>
      </c>
      <c r="HF99" s="3">
        <f ca="1">IFERROR(__xludf.DUMMYFUNCTION("""COMPUTED_VALUE"""),-0.449339220166308)</f>
        <v>-0.44933922016630801</v>
      </c>
      <c r="HG99" s="3">
        <f ca="1">IFERROR(__xludf.DUMMYFUNCTION("""COMPUTED_VALUE"""),-0.497578617653268)</f>
        <v>-0.497578617653268</v>
      </c>
      <c r="HH99" s="3">
        <f ca="1">IFERROR(__xludf.DUMMYFUNCTION("""COMPUTED_VALUE"""),-0.535382937996498)</f>
        <v>-0.53538293799649805</v>
      </c>
      <c r="HI99" s="3">
        <f ca="1">IFERROR(__xludf.DUMMYFUNCTION("""COMPUTED_VALUE"""),-0.543655223893327)</f>
        <v>-0.54365522389332699</v>
      </c>
      <c r="HJ99" s="3">
        <f ca="1">IFERROR(__xludf.DUMMYFUNCTION("""COMPUTED_VALUE"""),-0.531243357864849)</f>
        <v>-0.531243357864849</v>
      </c>
      <c r="HK99" s="3">
        <f ca="1">IFERROR(__xludf.DUMMYFUNCTION("""COMPUTED_VALUE"""),-0.48665967898811)</f>
        <v>-0.48665967898811002</v>
      </c>
      <c r="HL99" s="3">
        <f ca="1">IFERROR(__xludf.DUMMYFUNCTION("""COMPUTED_VALUE"""),-0.443066216180122)</f>
        <v>-0.44306621618012199</v>
      </c>
      <c r="HM99" s="3">
        <f ca="1">IFERROR(__xludf.DUMMYFUNCTION("""COMPUTED_VALUE"""),-0.493910960562879)</f>
        <v>-0.49391096056287898</v>
      </c>
      <c r="HN99" s="3">
        <f ca="1">IFERROR(__xludf.DUMMYFUNCTION("""COMPUTED_VALUE"""),-0.44108331233595)</f>
        <v>-0.44108331233595</v>
      </c>
      <c r="HO99" s="3">
        <f ca="1">IFERROR(__xludf.DUMMYFUNCTION("""COMPUTED_VALUE"""),-0.476723470763178)</f>
        <v>-0.476723470763178</v>
      </c>
      <c r="HP99" s="3">
        <f ca="1">IFERROR(__xludf.DUMMYFUNCTION("""COMPUTED_VALUE"""),-0.4890925197548)</f>
        <v>-0.4890925197548</v>
      </c>
      <c r="HQ99" s="3">
        <f ca="1">IFERROR(__xludf.DUMMYFUNCTION("""COMPUTED_VALUE"""),-0.467508143935621)</f>
        <v>-0.46750814393562101</v>
      </c>
      <c r="HR99" s="3">
        <f ca="1">IFERROR(__xludf.DUMMYFUNCTION("""COMPUTED_VALUE"""),-0.429075472696023)</f>
        <v>-0.42907547269602297</v>
      </c>
      <c r="HS99" s="3">
        <f ca="1">IFERROR(__xludf.DUMMYFUNCTION("""COMPUTED_VALUE"""),-0.33921649274043)</f>
        <v>-0.33921649274042998</v>
      </c>
      <c r="HT99" s="3">
        <f ca="1">IFERROR(__xludf.DUMMYFUNCTION("""COMPUTED_VALUE"""),-0.370010425251339)</f>
        <v>-0.37001042525133898</v>
      </c>
      <c r="HU99" s="3">
        <f ca="1">IFERROR(__xludf.DUMMYFUNCTION("""COMPUTED_VALUE"""),-0.352867957584663)</f>
        <v>-0.35286795758466299</v>
      </c>
      <c r="HV99" s="3">
        <f ca="1">IFERROR(__xludf.DUMMYFUNCTION("""COMPUTED_VALUE"""),-0.443565513065944)</f>
        <v>-0.44356551306594399</v>
      </c>
      <c r="HW99" s="3">
        <f ca="1">IFERROR(__xludf.DUMMYFUNCTION("""COMPUTED_VALUE"""),-0.39632496911797)</f>
        <v>-0.39632496911796999</v>
      </c>
      <c r="HX99" s="3">
        <f ca="1">IFERROR(__xludf.DUMMYFUNCTION("""COMPUTED_VALUE"""),-0.366258736816302)</f>
        <v>-0.366258736816302</v>
      </c>
      <c r="HY99" s="3">
        <f ca="1">IFERROR(__xludf.DUMMYFUNCTION("""COMPUTED_VALUE"""),-0.321018718887184)</f>
        <v>-0.32101871888718397</v>
      </c>
      <c r="HZ99" s="3">
        <f ca="1">IFERROR(__xludf.DUMMYFUNCTION("""COMPUTED_VALUE"""),-0.321059394823381)</f>
        <v>-0.32105939482338097</v>
      </c>
      <c r="IA99" s="3">
        <f ca="1">IFERROR(__xludf.DUMMYFUNCTION("""COMPUTED_VALUE"""),-0.378486988786446)</f>
        <v>-0.37848698878644599</v>
      </c>
      <c r="IB99" s="3">
        <f ca="1">IFERROR(__xludf.DUMMYFUNCTION("""COMPUTED_VALUE"""),-0.442138805425183)</f>
        <v>-0.44213880542518302</v>
      </c>
      <c r="IC99" s="3">
        <f ca="1">IFERROR(__xludf.DUMMYFUNCTION("""COMPUTED_VALUE"""),-0.48105245588186)</f>
        <v>-0.48105245588186002</v>
      </c>
      <c r="ID99" s="3">
        <f ca="1">IFERROR(__xludf.DUMMYFUNCTION("""COMPUTED_VALUE"""),-0.454871145550675)</f>
        <v>-0.45487114555067498</v>
      </c>
      <c r="IE99" s="3">
        <f ca="1">IFERROR(__xludf.DUMMYFUNCTION("""COMPUTED_VALUE"""),-0.453208695760937)</f>
        <v>-0.45320869576093697</v>
      </c>
      <c r="IF99" s="3">
        <f ca="1">IFERROR(__xludf.DUMMYFUNCTION("""COMPUTED_VALUE"""),-0.505779223000039)</f>
        <v>-0.50577922300003897</v>
      </c>
      <c r="IG99" s="3">
        <f ca="1">IFERROR(__xludf.DUMMYFUNCTION("""COMPUTED_VALUE"""),-0.491759623309449)</f>
        <v>-0.491759623309449</v>
      </c>
      <c r="IH99" s="3">
        <f ca="1">IFERROR(__xludf.DUMMYFUNCTION("""COMPUTED_VALUE"""),-0.435028908893303)</f>
        <v>-0.43502890889330298</v>
      </c>
      <c r="II99" s="3">
        <f ca="1">IFERROR(__xludf.DUMMYFUNCTION("""COMPUTED_VALUE"""),-0.430003248922806)</f>
        <v>-0.430003248922806</v>
      </c>
      <c r="IJ99" s="3">
        <f ca="1">IFERROR(__xludf.DUMMYFUNCTION("""COMPUTED_VALUE"""),-0.488216780156005)</f>
        <v>-0.488216780156005</v>
      </c>
      <c r="IK99" s="3">
        <f ca="1">IFERROR(__xludf.DUMMYFUNCTION("""COMPUTED_VALUE"""),-0.437505238987967)</f>
        <v>-0.437505238987967</v>
      </c>
      <c r="IL99" s="3">
        <f ca="1">IFERROR(__xludf.DUMMYFUNCTION("""COMPUTED_VALUE"""),-0.45042835577046)</f>
        <v>-0.45042835577045998</v>
      </c>
      <c r="IM99" s="3">
        <f ca="1">IFERROR(__xludf.DUMMYFUNCTION("""COMPUTED_VALUE"""),-0.492870306070407)</f>
        <v>-0.49287030607040699</v>
      </c>
      <c r="IN99" s="3">
        <f ca="1">IFERROR(__xludf.DUMMYFUNCTION("""COMPUTED_VALUE"""),-0.440674354025543)</f>
        <v>-0.440674354025543</v>
      </c>
      <c r="IO99" s="3">
        <f ca="1">IFERROR(__xludf.DUMMYFUNCTION("""COMPUTED_VALUE"""),-0.39780368387401)</f>
        <v>-0.39780368387400999</v>
      </c>
      <c r="IP99" s="3">
        <f ca="1">IFERROR(__xludf.DUMMYFUNCTION("""COMPUTED_VALUE"""),-0.438255952965559)</f>
        <v>-0.43825595296555903</v>
      </c>
      <c r="IQ99" s="3">
        <f ca="1">IFERROR(__xludf.DUMMYFUNCTION("""COMPUTED_VALUE"""),-0.457958667299144)</f>
        <v>-0.45795866729914397</v>
      </c>
      <c r="IR99" s="3">
        <f ca="1">IFERROR(__xludf.DUMMYFUNCTION("""COMPUTED_VALUE"""),-0.438310808598424)</f>
        <v>-0.43831080859842397</v>
      </c>
      <c r="IS99" s="3">
        <f ca="1">IFERROR(__xludf.DUMMYFUNCTION("""COMPUTED_VALUE"""),-0.457581742607804)</f>
        <v>-0.45758174260780399</v>
      </c>
      <c r="IT99" s="3">
        <f ca="1">IFERROR(__xludf.DUMMYFUNCTION("""COMPUTED_VALUE"""),-0.501145913035278)</f>
        <v>-0.501145913035278</v>
      </c>
      <c r="IU99" s="3">
        <f ca="1">IFERROR(__xludf.DUMMYFUNCTION("""COMPUTED_VALUE"""),-0.408793210361547)</f>
        <v>-0.40879321036154698</v>
      </c>
      <c r="IV99" s="3">
        <f ca="1">IFERROR(__xludf.DUMMYFUNCTION("""COMPUTED_VALUE"""),-0.432778073230439)</f>
        <v>-0.43277807323043899</v>
      </c>
      <c r="IW99" s="3">
        <f ca="1">IFERROR(__xludf.DUMMYFUNCTION("""COMPUTED_VALUE"""),-0.39370709728174)</f>
        <v>-0.39370709728174003</v>
      </c>
      <c r="IX99" s="3">
        <f ca="1">IFERROR(__xludf.DUMMYFUNCTION("""COMPUTED_VALUE"""),-0.466546899786524)</f>
        <v>-0.46654689978652403</v>
      </c>
      <c r="IY99" s="3">
        <f ca="1">IFERROR(__xludf.DUMMYFUNCTION("""COMPUTED_VALUE"""),-0.41750139485478)</f>
        <v>-0.41750139485477999</v>
      </c>
      <c r="IZ99" s="3">
        <f ca="1">IFERROR(__xludf.DUMMYFUNCTION("""COMPUTED_VALUE"""),-0.46006280275087)</f>
        <v>-0.46006280275087003</v>
      </c>
      <c r="JA99" s="3">
        <f ca="1">IFERROR(__xludf.DUMMYFUNCTION("""COMPUTED_VALUE"""),-0.468309157410514)</f>
        <v>-0.46830915741051399</v>
      </c>
      <c r="JB99" s="3">
        <f ca="1">IFERROR(__xludf.DUMMYFUNCTION("""COMPUTED_VALUE"""),-0.496837945445297)</f>
        <v>-0.49683794544529702</v>
      </c>
      <c r="JC99" s="3">
        <f ca="1">IFERROR(__xludf.DUMMYFUNCTION("""COMPUTED_VALUE"""),-0.404825644185138)</f>
        <v>-0.404825644185138</v>
      </c>
      <c r="JD99" s="3">
        <f ca="1">IFERROR(__xludf.DUMMYFUNCTION("""COMPUTED_VALUE"""),-0.421076284836664)</f>
        <v>-0.42107628483666398</v>
      </c>
      <c r="JE99" s="3">
        <f ca="1">IFERROR(__xludf.DUMMYFUNCTION("""COMPUTED_VALUE"""),-0.469174535132364)</f>
        <v>-0.46917453513236401</v>
      </c>
      <c r="JF99" s="3">
        <f ca="1">IFERROR(__xludf.DUMMYFUNCTION("""COMPUTED_VALUE"""),-0.511860844182267)</f>
        <v>-0.51186084418226696</v>
      </c>
      <c r="JG99" s="3">
        <f ca="1">IFERROR(__xludf.DUMMYFUNCTION("""COMPUTED_VALUE"""),-0.483303628167976)</f>
        <v>-0.48330362816797601</v>
      </c>
      <c r="JH99" s="3">
        <f ca="1">IFERROR(__xludf.DUMMYFUNCTION("""COMPUTED_VALUE"""),-0.476828123828391)</f>
        <v>-0.47682812382839102</v>
      </c>
      <c r="JI99" s="3">
        <f ca="1">IFERROR(__xludf.DUMMYFUNCTION("""COMPUTED_VALUE"""),-0.437515898364805)</f>
        <v>-0.43751589836480498</v>
      </c>
      <c r="JJ99" s="3">
        <f ca="1">IFERROR(__xludf.DUMMYFUNCTION("""COMPUTED_VALUE"""),-0.436089363799972)</f>
        <v>-0.43608936379997199</v>
      </c>
      <c r="JK99" s="3">
        <f ca="1">IFERROR(__xludf.DUMMYFUNCTION("""COMPUTED_VALUE"""),-0.468682722121299)</f>
        <v>-0.46868272212129902</v>
      </c>
      <c r="JL99" s="3">
        <f ca="1">IFERROR(__xludf.DUMMYFUNCTION("""COMPUTED_VALUE"""),-0.492702072962668)</f>
        <v>-0.49270207296266799</v>
      </c>
      <c r="JM99" s="3">
        <f ca="1">IFERROR(__xludf.DUMMYFUNCTION("""COMPUTED_VALUE"""),-0.477457048324535)</f>
        <v>-0.477457048324535</v>
      </c>
      <c r="JN99" s="3">
        <f ca="1">IFERROR(__xludf.DUMMYFUNCTION("""COMPUTED_VALUE"""),-0.483322749493571)</f>
        <v>-0.48332274949357101</v>
      </c>
      <c r="JO99" s="3">
        <f ca="1">IFERROR(__xludf.DUMMYFUNCTION("""COMPUTED_VALUE"""),-0.466818829382447)</f>
        <v>-0.46681882938244701</v>
      </c>
      <c r="JP99" s="3">
        <f ca="1">IFERROR(__xludf.DUMMYFUNCTION("""COMPUTED_VALUE"""),-0.44541181888963)</f>
        <v>-0.44541181888963</v>
      </c>
      <c r="JQ99" s="3">
        <f ca="1">IFERROR(__xludf.DUMMYFUNCTION("""COMPUTED_VALUE"""),-0.471096437883557)</f>
        <v>-0.47109643788355698</v>
      </c>
      <c r="JR99" s="3">
        <f ca="1">IFERROR(__xludf.DUMMYFUNCTION("""COMPUTED_VALUE"""),-0.531978814968424)</f>
        <v>-0.53197881496842403</v>
      </c>
      <c r="JS99" s="3">
        <f ca="1">IFERROR(__xludf.DUMMYFUNCTION("""COMPUTED_VALUE"""),-0.491081711378768)</f>
        <v>-0.49108171137876799</v>
      </c>
      <c r="JT99" s="3">
        <f ca="1">IFERROR(__xludf.DUMMYFUNCTION("""COMPUTED_VALUE"""),-0.533822004655396)</f>
        <v>-0.53382200465539598</v>
      </c>
      <c r="JU99" s="3">
        <f ca="1">IFERROR(__xludf.DUMMYFUNCTION("""COMPUTED_VALUE"""),-0.563671566572531)</f>
        <v>-0.56367156657253104</v>
      </c>
      <c r="JV99" s="3">
        <f ca="1">IFERROR(__xludf.DUMMYFUNCTION("""COMPUTED_VALUE"""),-0.558853172853441)</f>
        <v>-0.55885317285344105</v>
      </c>
      <c r="JW99" s="3">
        <f ca="1">IFERROR(__xludf.DUMMYFUNCTION("""COMPUTED_VALUE"""),-0.530229772660617)</f>
        <v>-0.53022977266061699</v>
      </c>
      <c r="JX99" s="3">
        <f ca="1">IFERROR(__xludf.DUMMYFUNCTION("""COMPUTED_VALUE"""),-0.484673666805063)</f>
        <v>-0.48467366680506302</v>
      </c>
      <c r="JY99" s="3">
        <f ca="1">IFERROR(__xludf.DUMMYFUNCTION("""COMPUTED_VALUE"""),-0.477479405509222)</f>
        <v>-0.47747940550922202</v>
      </c>
      <c r="JZ99" s="3">
        <f ca="1">IFERROR(__xludf.DUMMYFUNCTION("""COMPUTED_VALUE"""),-0.541090188188483)</f>
        <v>-0.54109018818848298</v>
      </c>
      <c r="KA99" s="3">
        <f ca="1">IFERROR(__xludf.DUMMYFUNCTION("""COMPUTED_VALUE"""),-0.497914272757714)</f>
        <v>-0.49791427275771399</v>
      </c>
      <c r="KB99" s="3">
        <f ca="1">IFERROR(__xludf.DUMMYFUNCTION("""COMPUTED_VALUE"""),-0.533178776557437)</f>
        <v>-0.53317877655743695</v>
      </c>
      <c r="KC99" s="3">
        <f ca="1">IFERROR(__xludf.DUMMYFUNCTION("""COMPUTED_VALUE"""),-0.543904017181744)</f>
        <v>-0.54390401718174397</v>
      </c>
      <c r="KD99" s="3">
        <f ca="1">IFERROR(__xludf.DUMMYFUNCTION("""COMPUTED_VALUE"""),-0.502361679490611)</f>
        <v>-0.50236167949061095</v>
      </c>
      <c r="KE99" s="3">
        <f ca="1">IFERROR(__xludf.DUMMYFUNCTION("""COMPUTED_VALUE"""),-0.483436934948533)</f>
        <v>-0.48343693494853301</v>
      </c>
      <c r="KF99" s="3">
        <f ca="1">IFERROR(__xludf.DUMMYFUNCTION("""COMPUTED_VALUE"""),-0.372161409070332)</f>
        <v>-0.37216140907033202</v>
      </c>
      <c r="KG99" s="3">
        <f ca="1">IFERROR(__xludf.DUMMYFUNCTION("""COMPUTED_VALUE"""),-0.483344376938612)</f>
        <v>-0.48334437693861199</v>
      </c>
      <c r="KH99" s="3">
        <f ca="1">IFERROR(__xludf.DUMMYFUNCTION("""COMPUTED_VALUE"""),-0.426190312903912)</f>
        <v>-0.42619031290391202</v>
      </c>
      <c r="KI99" s="3">
        <f ca="1">IFERROR(__xludf.DUMMYFUNCTION("""COMPUTED_VALUE"""),-0.413644944707714)</f>
        <v>-0.41364494470771401</v>
      </c>
      <c r="KJ99" s="3">
        <f ca="1">IFERROR(__xludf.DUMMYFUNCTION("""COMPUTED_VALUE"""),-0.476972014702426)</f>
        <v>-0.47697201470242601</v>
      </c>
      <c r="KK99" s="3">
        <f ca="1">IFERROR(__xludf.DUMMYFUNCTION("""COMPUTED_VALUE"""),-0.454451283809558)</f>
        <v>-0.45445128380955802</v>
      </c>
      <c r="KL99" s="3">
        <f ca="1">IFERROR(__xludf.DUMMYFUNCTION("""COMPUTED_VALUE"""),-0.461683357065762)</f>
        <v>-0.46168335706576202</v>
      </c>
      <c r="KM99" s="3">
        <f ca="1">IFERROR(__xludf.DUMMYFUNCTION("""COMPUTED_VALUE"""),-0.425370776131398)</f>
        <v>-0.42537077613139801</v>
      </c>
      <c r="KN99" s="3">
        <f ca="1">IFERROR(__xludf.DUMMYFUNCTION("""COMPUTED_VALUE"""),-0.370696330578107)</f>
        <v>-0.37069633057810703</v>
      </c>
      <c r="KO99" s="3">
        <f ca="1">IFERROR(__xludf.DUMMYFUNCTION("""COMPUTED_VALUE"""),-0.441920022256813)</f>
        <v>-0.44192002225681298</v>
      </c>
      <c r="KP99" s="3">
        <f ca="1">IFERROR(__xludf.DUMMYFUNCTION("""COMPUTED_VALUE"""),-0.388265391150696)</f>
        <v>-0.38826539115069603</v>
      </c>
      <c r="KQ99" s="3">
        <f ca="1">IFERROR(__xludf.DUMMYFUNCTION("""COMPUTED_VALUE"""),-0.507343761982266)</f>
        <v>-0.50734376198226605</v>
      </c>
      <c r="KR99" s="3">
        <f ca="1">IFERROR(__xludf.DUMMYFUNCTION("""COMPUTED_VALUE"""),-0.432648283318077)</f>
        <v>-0.43264828331807698</v>
      </c>
      <c r="KS99" s="3">
        <f ca="1">IFERROR(__xludf.DUMMYFUNCTION("""COMPUTED_VALUE"""),-0.300496823645456)</f>
        <v>-0.30049682364545599</v>
      </c>
      <c r="KT99" s="3">
        <f ca="1">IFERROR(__xludf.DUMMYFUNCTION("""COMPUTED_VALUE"""),-0.449626688319009)</f>
        <v>-0.44962668831900898</v>
      </c>
      <c r="KU99" s="3">
        <f ca="1">IFERROR(__xludf.DUMMYFUNCTION("""COMPUTED_VALUE"""),-0.456775235416427)</f>
        <v>-0.45677523541642701</v>
      </c>
      <c r="KV99" s="3">
        <f ca="1">IFERROR(__xludf.DUMMYFUNCTION("""COMPUTED_VALUE"""),-0.438332053309307)</f>
        <v>-0.43833205330930702</v>
      </c>
      <c r="KW99" s="3">
        <f ca="1">IFERROR(__xludf.DUMMYFUNCTION("""COMPUTED_VALUE"""),-0.402286951034317)</f>
        <v>-0.402286951034317</v>
      </c>
      <c r="KX99" s="3">
        <f ca="1">IFERROR(__xludf.DUMMYFUNCTION("""COMPUTED_VALUE"""),-0.437640414661764)</f>
        <v>-0.43764041466176401</v>
      </c>
      <c r="KY99" s="3">
        <f ca="1">IFERROR(__xludf.DUMMYFUNCTION("""COMPUTED_VALUE"""),-0.439158320854716)</f>
        <v>-0.43915832085471601</v>
      </c>
      <c r="KZ99" s="3">
        <f ca="1">IFERROR(__xludf.DUMMYFUNCTION("""COMPUTED_VALUE"""),-0.471141178049169)</f>
        <v>-0.471141178049169</v>
      </c>
      <c r="LA99" s="3">
        <f ca="1">IFERROR(__xludf.DUMMYFUNCTION("""COMPUTED_VALUE"""),-0.54865789398707)</f>
        <v>-0.54865789398706999</v>
      </c>
      <c r="LB99" s="3">
        <f ca="1">IFERROR(__xludf.DUMMYFUNCTION("""COMPUTED_VALUE"""),-0.473921616447707)</f>
        <v>-0.47392161644770697</v>
      </c>
      <c r="LC99" s="3">
        <f ca="1">IFERROR(__xludf.DUMMYFUNCTION("""COMPUTED_VALUE"""),-0.625840236471035)</f>
        <v>-0.62584023647103504</v>
      </c>
      <c r="LD99" s="3">
        <f ca="1">IFERROR(__xludf.DUMMYFUNCTION("""COMPUTED_VALUE"""),-0.488343645144068)</f>
        <v>-0.48834364514406797</v>
      </c>
      <c r="LE99" s="3">
        <f ca="1">IFERROR(__xludf.DUMMYFUNCTION("""COMPUTED_VALUE"""),-0.589909237640194)</f>
        <v>-0.58990923764019398</v>
      </c>
      <c r="LF99" s="3">
        <f ca="1">IFERROR(__xludf.DUMMYFUNCTION("""COMPUTED_VALUE"""),-0.471678815713606)</f>
        <v>-0.47167881571360598</v>
      </c>
      <c r="LG99" s="3">
        <f ca="1">IFERROR(__xludf.DUMMYFUNCTION("""COMPUTED_VALUE"""),-0.439107457585527)</f>
        <v>-0.43910745758552699</v>
      </c>
      <c r="LH99" s="3">
        <f ca="1">IFERROR(__xludf.DUMMYFUNCTION("""COMPUTED_VALUE"""),-0.442069132611923)</f>
        <v>-0.44206913261192299</v>
      </c>
      <c r="LI99" s="3">
        <f ca="1">IFERROR(__xludf.DUMMYFUNCTION("""COMPUTED_VALUE"""),-0.518893530086103)</f>
        <v>-0.51889353008610295</v>
      </c>
      <c r="LJ99" s="3">
        <f ca="1">IFERROR(__xludf.DUMMYFUNCTION("""COMPUTED_VALUE"""),-0.554444034316424)</f>
        <v>-0.55444403431642397</v>
      </c>
      <c r="LK99" s="3">
        <f ca="1">IFERROR(__xludf.DUMMYFUNCTION("""COMPUTED_VALUE"""),-0.575231202010357)</f>
        <v>-0.57523120201035705</v>
      </c>
      <c r="LL99" s="3">
        <f ca="1">IFERROR(__xludf.DUMMYFUNCTION("""COMPUTED_VALUE"""),-0.548670010781923)</f>
        <v>-0.54867001078192301</v>
      </c>
      <c r="LM99" s="3">
        <f ca="1">IFERROR(__xludf.DUMMYFUNCTION("""COMPUTED_VALUE"""),-0.664919798626932)</f>
        <v>-0.66491979862693196</v>
      </c>
      <c r="LN99" s="3">
        <f ca="1">IFERROR(__xludf.DUMMYFUNCTION("""COMPUTED_VALUE"""),-0.532970083720478)</f>
        <v>-0.53297008372047805</v>
      </c>
      <c r="LO99" s="3">
        <f ca="1">IFERROR(__xludf.DUMMYFUNCTION("""COMPUTED_VALUE"""),-0.44776960343077)</f>
        <v>-0.44776960343076999</v>
      </c>
      <c r="LP99" s="3">
        <f ca="1">IFERROR(__xludf.DUMMYFUNCTION("""COMPUTED_VALUE"""),-0.59879535992761)</f>
        <v>-0.59879535992761002</v>
      </c>
      <c r="LQ99" s="3">
        <f ca="1">IFERROR(__xludf.DUMMYFUNCTION("""COMPUTED_VALUE"""),-0.583627733806394)</f>
        <v>-0.58362773380639399</v>
      </c>
      <c r="LR99" s="3">
        <f ca="1">IFERROR(__xludf.DUMMYFUNCTION("""COMPUTED_VALUE"""),-0.488529529619466)</f>
        <v>-0.488529529619466</v>
      </c>
      <c r="LS99" s="3">
        <f ca="1">IFERROR(__xludf.DUMMYFUNCTION("""COMPUTED_VALUE"""),-0.561995359054094)</f>
        <v>-0.56199535905409403</v>
      </c>
      <c r="LT99" s="3">
        <f ca="1">IFERROR(__xludf.DUMMYFUNCTION("""COMPUTED_VALUE"""),-0.486635337220994)</f>
        <v>-0.486635337220994</v>
      </c>
      <c r="LU99" s="3">
        <f ca="1">IFERROR(__xludf.DUMMYFUNCTION("""COMPUTED_VALUE"""),-0.598347203988375)</f>
        <v>-0.59834720398837504</v>
      </c>
      <c r="LV99" s="3">
        <f ca="1">IFERROR(__xludf.DUMMYFUNCTION("""COMPUTED_VALUE"""),-0.548428166263218)</f>
        <v>-0.548428166263218</v>
      </c>
      <c r="LW99" s="3">
        <f ca="1">IFERROR(__xludf.DUMMYFUNCTION("""COMPUTED_VALUE"""),-0.542310325280412)</f>
        <v>-0.54231032528041201</v>
      </c>
      <c r="LX99" s="3">
        <f ca="1">IFERROR(__xludf.DUMMYFUNCTION("""COMPUTED_VALUE"""),-0.56417365422965)</f>
        <v>-0.56417365422965005</v>
      </c>
      <c r="LY99" s="3">
        <f ca="1">IFERROR(__xludf.DUMMYFUNCTION("""COMPUTED_VALUE"""),-0.510250280125442)</f>
        <v>-0.51025028012544205</v>
      </c>
      <c r="LZ99" s="3">
        <f ca="1">IFERROR(__xludf.DUMMYFUNCTION("""COMPUTED_VALUE"""),-0.579578879110254)</f>
        <v>-0.57957887911025396</v>
      </c>
      <c r="MA99" s="3">
        <f ca="1">IFERROR(__xludf.DUMMYFUNCTION("""COMPUTED_VALUE"""),-0.536073887424781)</f>
        <v>-0.53607388742478101</v>
      </c>
      <c r="MB99" s="3">
        <f ca="1">IFERROR(__xludf.DUMMYFUNCTION("""COMPUTED_VALUE"""),-0.589938993153647)</f>
        <v>-0.58993899315364695</v>
      </c>
      <c r="MC99" s="3">
        <f ca="1">IFERROR(__xludf.DUMMYFUNCTION("""COMPUTED_VALUE"""),-0.585890025022242)</f>
        <v>-0.58589002502224197</v>
      </c>
      <c r="MD99" s="3">
        <f ca="1">IFERROR(__xludf.DUMMYFUNCTION("""COMPUTED_VALUE"""),-0.598336822674547)</f>
        <v>-0.59833682267454702</v>
      </c>
      <c r="ME99" s="3">
        <f ca="1">IFERROR(__xludf.DUMMYFUNCTION("""COMPUTED_VALUE"""),-0.60866694310561)</f>
        <v>-0.60866694310560998</v>
      </c>
      <c r="MF99" s="3">
        <f ca="1">IFERROR(__xludf.DUMMYFUNCTION("""COMPUTED_VALUE"""),-0.620835148097414)</f>
        <v>-0.62083514809741402</v>
      </c>
      <c r="MG99" s="3">
        <f ca="1">IFERROR(__xludf.DUMMYFUNCTION("""COMPUTED_VALUE"""),-0.662974037574877)</f>
        <v>-0.66297403757487705</v>
      </c>
      <c r="MH99" s="3">
        <f ca="1">IFERROR(__xludf.DUMMYFUNCTION("""COMPUTED_VALUE"""),-0.602624304315811)</f>
        <v>-0.60262430431581104</v>
      </c>
      <c r="MI99" s="3">
        <f ca="1">IFERROR(__xludf.DUMMYFUNCTION("""COMPUTED_VALUE"""),-0.689883205840688)</f>
        <v>-0.68988320584068796</v>
      </c>
      <c r="MJ99" s="3">
        <f ca="1">IFERROR(__xludf.DUMMYFUNCTION("""COMPUTED_VALUE"""),-0.684229027808422)</f>
        <v>-0.68422902780842199</v>
      </c>
      <c r="MK99" s="3">
        <f ca="1">IFERROR(__xludf.DUMMYFUNCTION("""COMPUTED_VALUE"""),-0.619193681038645)</f>
        <v>-0.61919368103864503</v>
      </c>
      <c r="ML99" s="3">
        <f ca="1">IFERROR(__xludf.DUMMYFUNCTION("""COMPUTED_VALUE"""),-0.730049310440396)</f>
        <v>-0.730049310440396</v>
      </c>
      <c r="MM99" s="3">
        <f ca="1">IFERROR(__xludf.DUMMYFUNCTION("""COMPUTED_VALUE"""),-0.651574700236529)</f>
        <v>-0.65157470023652897</v>
      </c>
      <c r="MN99" s="3">
        <f ca="1">IFERROR(__xludf.DUMMYFUNCTION("""COMPUTED_VALUE"""),-0.656706867582382)</f>
        <v>-0.65670686758238195</v>
      </c>
      <c r="MO99" s="3">
        <f ca="1">IFERROR(__xludf.DUMMYFUNCTION("""COMPUTED_VALUE"""),-0.640199562359875)</f>
        <v>-0.64019956235987496</v>
      </c>
      <c r="MP99" s="3">
        <f ca="1">IFERROR(__xludf.DUMMYFUNCTION("""COMPUTED_VALUE"""),-0.678366834743504)</f>
        <v>-0.67836683474350401</v>
      </c>
      <c r="MQ99" s="3">
        <f ca="1">IFERROR(__xludf.DUMMYFUNCTION("""COMPUTED_VALUE"""),-0.656468601103855)</f>
        <v>-0.65646860110385497</v>
      </c>
      <c r="MR99" s="3">
        <f ca="1">IFERROR(__xludf.DUMMYFUNCTION("""COMPUTED_VALUE"""),-0.683606789332523)</f>
        <v>-0.68360678933252295</v>
      </c>
      <c r="MS99" s="3">
        <f ca="1">IFERROR(__xludf.DUMMYFUNCTION("""COMPUTED_VALUE"""),-0.65067180267046)</f>
        <v>-0.65067180267045999</v>
      </c>
      <c r="MT99" s="3">
        <f ca="1">IFERROR(__xludf.DUMMYFUNCTION("""COMPUTED_VALUE"""),-0.657780786442643)</f>
        <v>-0.65778078644264304</v>
      </c>
      <c r="MU99" s="3">
        <f ca="1">IFERROR(__xludf.DUMMYFUNCTION("""COMPUTED_VALUE"""),-0.686163877774343)</f>
        <v>-0.68616387777434296</v>
      </c>
      <c r="MV99" s="3">
        <f ca="1">IFERROR(__xludf.DUMMYFUNCTION("""COMPUTED_VALUE"""),-0.682871557456733)</f>
        <v>-0.682871557456733</v>
      </c>
      <c r="MW99" s="3">
        <f ca="1">IFERROR(__xludf.DUMMYFUNCTION("""COMPUTED_VALUE"""),-0.613113386979731)</f>
        <v>-0.61311338697973095</v>
      </c>
      <c r="MX99" s="3">
        <f ca="1">IFERROR(__xludf.DUMMYFUNCTION("""COMPUTED_VALUE"""),-0.650824004426488)</f>
        <v>-0.65082400442648802</v>
      </c>
      <c r="MY99" s="3">
        <f ca="1">IFERROR(__xludf.DUMMYFUNCTION("""COMPUTED_VALUE"""),-0.643362231661682)</f>
        <v>-0.64336223166168205</v>
      </c>
      <c r="MZ99" s="3">
        <f ca="1">IFERROR(__xludf.DUMMYFUNCTION("""COMPUTED_VALUE"""),-0.719372785150086)</f>
        <v>-0.71937278515008596</v>
      </c>
      <c r="NA99" s="3">
        <f ca="1">IFERROR(__xludf.DUMMYFUNCTION("""COMPUTED_VALUE"""),-0.686722291956435)</f>
        <v>-0.68672229195643497</v>
      </c>
      <c r="NB99" s="3">
        <f ca="1">IFERROR(__xludf.DUMMYFUNCTION("""COMPUTED_VALUE"""),-0.690079773335745)</f>
        <v>-0.69007977333574499</v>
      </c>
      <c r="NC99" s="3">
        <f ca="1">IFERROR(__xludf.DUMMYFUNCTION("""COMPUTED_VALUE"""),-0.666331082049554)</f>
        <v>-0.66633108204955405</v>
      </c>
      <c r="ND99" s="3">
        <f ca="1">IFERROR(__xludf.DUMMYFUNCTION("""COMPUTED_VALUE"""),-0.634850057917794)</f>
        <v>-0.63485005791779403</v>
      </c>
      <c r="NE99" s="3">
        <f ca="1">IFERROR(__xludf.DUMMYFUNCTION("""COMPUTED_VALUE"""),-0.640365287564178)</f>
        <v>-0.64036528756417799</v>
      </c>
      <c r="NF99" s="3">
        <f ca="1">IFERROR(__xludf.DUMMYFUNCTION("""COMPUTED_VALUE"""),-0.606779671069656)</f>
        <v>-0.60677967106965602</v>
      </c>
      <c r="NG99" s="3">
        <f ca="1">IFERROR(__xludf.DUMMYFUNCTION("""COMPUTED_VALUE"""),-0.638474594803018)</f>
        <v>-0.63847459480301805</v>
      </c>
      <c r="NH99" s="3">
        <f ca="1">IFERROR(__xludf.DUMMYFUNCTION("""COMPUTED_VALUE"""),-0.601562727896056)</f>
        <v>-0.60156272789605603</v>
      </c>
      <c r="NI99" s="3">
        <f ca="1">IFERROR(__xludf.DUMMYFUNCTION("""COMPUTED_VALUE"""),-0.641124696716609)</f>
        <v>-0.64112469671660899</v>
      </c>
      <c r="NJ99" s="3">
        <f ca="1">IFERROR(__xludf.DUMMYFUNCTION("""COMPUTED_VALUE"""),-0.553267840235391)</f>
        <v>-0.553267840235391</v>
      </c>
      <c r="NK99" s="3">
        <f ca="1">IFERROR(__xludf.DUMMYFUNCTION("""COMPUTED_VALUE"""),-0.71549925733272)</f>
        <v>-0.71549925733272002</v>
      </c>
      <c r="NL99" s="3">
        <f ca="1">IFERROR(__xludf.DUMMYFUNCTION("""COMPUTED_VALUE"""),-0.63643237223345)</f>
        <v>-0.63643237223344995</v>
      </c>
      <c r="NM99" s="3">
        <f ca="1">IFERROR(__xludf.DUMMYFUNCTION("""COMPUTED_VALUE"""),-0.584320990351931)</f>
        <v>-0.58432099035193097</v>
      </c>
      <c r="NN99" s="3">
        <f ca="1">IFERROR(__xludf.DUMMYFUNCTION("""COMPUTED_VALUE"""),-0.575874566784005)</f>
        <v>-0.57587456678400495</v>
      </c>
      <c r="NO99" s="3">
        <f ca="1">IFERROR(__xludf.DUMMYFUNCTION("""COMPUTED_VALUE"""),-0.522776759563923)</f>
        <v>-0.522776759563923</v>
      </c>
      <c r="NP99" s="3">
        <f ca="1">IFERROR(__xludf.DUMMYFUNCTION("""COMPUTED_VALUE"""),-0.630483274213178)</f>
        <v>-0.63048327421317796</v>
      </c>
      <c r="NQ99" s="3">
        <f ca="1">IFERROR(__xludf.DUMMYFUNCTION("""COMPUTED_VALUE"""),-0.52274849530324)</f>
        <v>-0.52274849530323997</v>
      </c>
      <c r="NR99" s="3">
        <f ca="1">IFERROR(__xludf.DUMMYFUNCTION("""COMPUTED_VALUE"""),-0.612795647285863)</f>
        <v>-0.612795647285863</v>
      </c>
      <c r="NS99" s="3">
        <f ca="1">IFERROR(__xludf.DUMMYFUNCTION("""COMPUTED_VALUE"""),-0.7032734385119)</f>
        <v>-0.70327343851190005</v>
      </c>
      <c r="NT99" s="3">
        <f ca="1">IFERROR(__xludf.DUMMYFUNCTION("""COMPUTED_VALUE"""),-0.691400035927742)</f>
        <v>-0.69140003592774202</v>
      </c>
      <c r="NU99" s="3">
        <f ca="1">IFERROR(__xludf.DUMMYFUNCTION("""COMPUTED_VALUE"""),-0.613843654080291)</f>
        <v>-0.61384365408029096</v>
      </c>
      <c r="NV99" s="3">
        <f ca="1">IFERROR(__xludf.DUMMYFUNCTION("""COMPUTED_VALUE"""),-0.609986783878561)</f>
        <v>-0.60998678387856098</v>
      </c>
      <c r="NW99" s="3">
        <f ca="1">IFERROR(__xludf.DUMMYFUNCTION("""COMPUTED_VALUE"""),-0.550083936158145)</f>
        <v>-0.55008393615814499</v>
      </c>
      <c r="NX99" s="3">
        <f ca="1">IFERROR(__xludf.DUMMYFUNCTION("""COMPUTED_VALUE"""),-0.498678014100083)</f>
        <v>-0.498678014100083</v>
      </c>
      <c r="NY99" s="3">
        <f ca="1">IFERROR(__xludf.DUMMYFUNCTION("""COMPUTED_VALUE"""),-0.630195518094951)</f>
        <v>-0.630195518094951</v>
      </c>
      <c r="NZ99" s="3">
        <f ca="1">IFERROR(__xludf.DUMMYFUNCTION("""COMPUTED_VALUE"""),-0.557597977716145)</f>
        <v>-0.55759797771614505</v>
      </c>
      <c r="OA99" s="3">
        <f ca="1">IFERROR(__xludf.DUMMYFUNCTION("""COMPUTED_VALUE"""),-0.386135578587005)</f>
        <v>-0.38613557858700498</v>
      </c>
      <c r="OB99" s="3">
        <f ca="1">IFERROR(__xludf.DUMMYFUNCTION("""COMPUTED_VALUE"""),-0.381985304105437)</f>
        <v>-0.38198530410543702</v>
      </c>
      <c r="OC99" s="3">
        <f ca="1">IFERROR(__xludf.DUMMYFUNCTION("""COMPUTED_VALUE"""),-0.353714228727508)</f>
        <v>-0.35371422872750802</v>
      </c>
      <c r="OD99" s="3">
        <f ca="1">IFERROR(__xludf.DUMMYFUNCTION("""COMPUTED_VALUE"""),-0.232527297173452)</f>
        <v>-0.232527297173452</v>
      </c>
      <c r="OE99" s="3">
        <f ca="1">IFERROR(__xludf.DUMMYFUNCTION("""COMPUTED_VALUE"""),-0.28867490338819)</f>
        <v>-0.28867490338819002</v>
      </c>
      <c r="OF99" s="3">
        <f ca="1">IFERROR(__xludf.DUMMYFUNCTION("""COMPUTED_VALUE"""),-0.158423047643514)</f>
        <v>-0.158423047643514</v>
      </c>
      <c r="OG99" s="3">
        <f ca="1">IFERROR(__xludf.DUMMYFUNCTION("""COMPUTED_VALUE"""),-0.0209175997890266)</f>
        <v>-2.09175997890266E-2</v>
      </c>
      <c r="OH99" s="3">
        <f ca="1">IFERROR(__xludf.DUMMYFUNCTION("""COMPUTED_VALUE"""),-0.0346322541183385)</f>
        <v>-3.46322541183385E-2</v>
      </c>
      <c r="OI99" s="3">
        <f ca="1">IFERROR(__xludf.DUMMYFUNCTION("""COMPUTED_VALUE"""),-0.0264581131077066)</f>
        <v>-2.6458113107706599E-2</v>
      </c>
      <c r="OJ99" s="3">
        <f ca="1">IFERROR(__xludf.DUMMYFUNCTION("""COMPUTED_VALUE"""),0.0373412990466601)</f>
        <v>3.7341299046660101E-2</v>
      </c>
      <c r="OK99" s="3">
        <f ca="1">IFERROR(__xludf.DUMMYFUNCTION("""COMPUTED_VALUE"""),0.0421880603386757)</f>
        <v>4.2188060338675698E-2</v>
      </c>
      <c r="OL99" s="3">
        <f ca="1">IFERROR(__xludf.DUMMYFUNCTION("""COMPUTED_VALUE"""),0.0506535491217878)</f>
        <v>5.0653549121787801E-2</v>
      </c>
      <c r="OM99" s="3">
        <f ca="1">IFERROR(__xludf.DUMMYFUNCTION("""COMPUTED_VALUE"""),0.0919937855972301)</f>
        <v>9.1993785597230093E-2</v>
      </c>
      <c r="ON99" s="3">
        <f ca="1">IFERROR(__xludf.DUMMYFUNCTION("""COMPUTED_VALUE"""),0.0668315095227209)</f>
        <v>6.6831509522720906E-2</v>
      </c>
      <c r="OO99" s="3">
        <f ca="1">IFERROR(__xludf.DUMMYFUNCTION("""COMPUTED_VALUE"""),-0.0856856939414378)</f>
        <v>-8.5685693941437796E-2</v>
      </c>
      <c r="OP99" s="3">
        <f ca="1">IFERROR(__xludf.DUMMYFUNCTION("""COMPUTED_VALUE"""),0.0331556599654707)</f>
        <v>3.31556599654707E-2</v>
      </c>
      <c r="OQ99" s="3">
        <f ca="1">IFERROR(__xludf.DUMMYFUNCTION("""COMPUTED_VALUE"""),0.0635373576399138)</f>
        <v>6.3537357639913805E-2</v>
      </c>
      <c r="OR99" s="3">
        <f ca="1">IFERROR(__xludf.DUMMYFUNCTION("""COMPUTED_VALUE"""),0.0198386007747271)</f>
        <v>1.98386007747271E-2</v>
      </c>
      <c r="OS99" s="3">
        <f ca="1">IFERROR(__xludf.DUMMYFUNCTION("""COMPUTED_VALUE"""),0.078022835575336)</f>
        <v>7.8022835575336E-2</v>
      </c>
      <c r="OT99" s="3">
        <f ca="1">IFERROR(__xludf.DUMMYFUNCTION("""COMPUTED_VALUE"""),0.127623605350932)</f>
        <v>0.12762360535093201</v>
      </c>
      <c r="OU99" s="3">
        <f ca="1">IFERROR(__xludf.DUMMYFUNCTION("""COMPUTED_VALUE"""),0.128694650313357)</f>
        <v>0.128694650313357</v>
      </c>
      <c r="OV99" s="3">
        <f ca="1">IFERROR(__xludf.DUMMYFUNCTION("""COMPUTED_VALUE"""),-0.0186235157846307)</f>
        <v>-1.8623515784630701E-2</v>
      </c>
      <c r="OW99" s="3">
        <f ca="1">IFERROR(__xludf.DUMMYFUNCTION("""COMPUTED_VALUE"""),-0.00608152287293151)</f>
        <v>-6.0815228729315099E-3</v>
      </c>
      <c r="OX99" s="3">
        <f ca="1">IFERROR(__xludf.DUMMYFUNCTION("""COMPUTED_VALUE"""),0.0125898996486024)</f>
        <v>1.2589899648602401E-2</v>
      </c>
      <c r="OY99" s="3">
        <f ca="1">IFERROR(__xludf.DUMMYFUNCTION("""COMPUTED_VALUE"""),-0.0140450709103762)</f>
        <v>-1.40450709103762E-2</v>
      </c>
      <c r="OZ99" s="3">
        <f ca="1">IFERROR(__xludf.DUMMYFUNCTION("""COMPUTED_VALUE"""),0.0677701151420437)</f>
        <v>6.7770115142043702E-2</v>
      </c>
      <c r="PA99" s="3">
        <f ca="1">IFERROR(__xludf.DUMMYFUNCTION("""COMPUTED_VALUE"""),-0.0956264897615789)</f>
        <v>-9.5626489761578906E-2</v>
      </c>
      <c r="PB99" s="3">
        <f ca="1">IFERROR(__xludf.DUMMYFUNCTION("""COMPUTED_VALUE"""),-0.0332573269343101)</f>
        <v>-3.3257326934310098E-2</v>
      </c>
      <c r="PC99" s="3">
        <f ca="1">IFERROR(__xludf.DUMMYFUNCTION("""COMPUTED_VALUE"""),-0.139668911223824)</f>
        <v>-0.13966891122382399</v>
      </c>
      <c r="PD99" s="3">
        <f ca="1">IFERROR(__xludf.DUMMYFUNCTION("""COMPUTED_VALUE"""),0.0131446346302328)</f>
        <v>1.3144634630232801E-2</v>
      </c>
      <c r="PE99" s="3">
        <f ca="1">IFERROR(__xludf.DUMMYFUNCTION("""COMPUTED_VALUE"""),-0.00428317629144536)</f>
        <v>-4.2831762914453597E-3</v>
      </c>
      <c r="PF99" s="3">
        <f ca="1">IFERROR(__xludf.DUMMYFUNCTION("""COMPUTED_VALUE"""),0.129396830537107)</f>
        <v>0.12939683053710699</v>
      </c>
      <c r="PG99" s="3">
        <f ca="1">IFERROR(__xludf.DUMMYFUNCTION("""COMPUTED_VALUE"""),-0.0313495133533091)</f>
        <v>-3.13495133533091E-2</v>
      </c>
      <c r="PH99" s="3">
        <f ca="1">IFERROR(__xludf.DUMMYFUNCTION("""COMPUTED_VALUE"""),-0.00169488562762276)</f>
        <v>-1.6948856276227599E-3</v>
      </c>
      <c r="PI99" s="3">
        <f ca="1">IFERROR(__xludf.DUMMYFUNCTION("""COMPUTED_VALUE"""),-0.0133764306868172)</f>
        <v>-1.33764306868172E-2</v>
      </c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</row>
    <row r="100" spans="1:477" ht="13">
      <c r="A100" s="1" t="str">
        <f ca="1">IFERROR(__xludf.DUMMYFUNCTION("""COMPUTED_VALUE"""),"OC Transpo")</f>
        <v>OC Transpo</v>
      </c>
      <c r="B100" s="1" t="str">
        <f ca="1">IFERROR(__xludf.DUMMYFUNCTION("""COMPUTED_VALUE"""),"Ottawa")</f>
        <v>Ottawa</v>
      </c>
      <c r="C100" s="1" t="str">
        <f ca="1">IFERROR(__xludf.DUMMYFUNCTION("""COMPUTED_VALUE"""),"Canada")</f>
        <v>Canada</v>
      </c>
      <c r="D100" s="1" t="str">
        <f ca="1">IFERROR(__xludf.DUMMYFUNCTION("""COMPUTED_VALUE"""),"Ontario")</f>
        <v>Ontario</v>
      </c>
      <c r="E100" s="3">
        <f ca="1">IFERROR(__xludf.DUMMYFUNCTION("""COMPUTED_VALUE"""),-0.661319400167897)</f>
        <v>-0.66131940016789703</v>
      </c>
      <c r="F100" s="3">
        <f ca="1">IFERROR(__xludf.DUMMYFUNCTION("""COMPUTED_VALUE"""),-0.698334626357177)</f>
        <v>-0.69833462635717702</v>
      </c>
      <c r="G100" s="3">
        <f ca="1">IFERROR(__xludf.DUMMYFUNCTION("""COMPUTED_VALUE"""),-0.739742180723198)</f>
        <v>-0.73974218072319797</v>
      </c>
      <c r="H100" s="3">
        <f ca="1">IFERROR(__xludf.DUMMYFUNCTION("""COMPUTED_VALUE"""),-0.712484443349155)</f>
        <v>-0.71248444334915495</v>
      </c>
      <c r="I100" s="3">
        <f ca="1">IFERROR(__xludf.DUMMYFUNCTION("""COMPUTED_VALUE"""),-0.709464009425416)</f>
        <v>-0.70946400942541599</v>
      </c>
      <c r="J100" s="3">
        <f ca="1">IFERROR(__xludf.DUMMYFUNCTION("""COMPUTED_VALUE"""),-0.735986895142472)</f>
        <v>-0.73598689514247195</v>
      </c>
      <c r="K100" s="3">
        <f ca="1">IFERROR(__xludf.DUMMYFUNCTION("""COMPUTED_VALUE"""),-0.69708490494478)</f>
        <v>-0.69708490494478004</v>
      </c>
      <c r="L100" s="3">
        <f ca="1">IFERROR(__xludf.DUMMYFUNCTION("""COMPUTED_VALUE"""),-0.635063541726248)</f>
        <v>-0.63506354172624802</v>
      </c>
      <c r="M100" s="3">
        <f ca="1">IFERROR(__xludf.DUMMYFUNCTION("""COMPUTED_VALUE"""),-0.775965010385988)</f>
        <v>-0.77596501038598797</v>
      </c>
      <c r="N100" s="3">
        <f ca="1">IFERROR(__xludf.DUMMYFUNCTION("""COMPUTED_VALUE"""),-0.677382075324248)</f>
        <v>-0.67738207532424799</v>
      </c>
      <c r="O100" s="3">
        <f ca="1">IFERROR(__xludf.DUMMYFUNCTION("""COMPUTED_VALUE"""),-0.688057405120399)</f>
        <v>-0.68805740512039903</v>
      </c>
      <c r="P100" s="3">
        <f ca="1">IFERROR(__xludf.DUMMYFUNCTION("""COMPUTED_VALUE"""),-0.673386410709986)</f>
        <v>-0.67338641070998595</v>
      </c>
      <c r="Q100" s="3">
        <f ca="1">IFERROR(__xludf.DUMMYFUNCTION("""COMPUTED_VALUE"""),-0.681156333462837)</f>
        <v>-0.68115633346283699</v>
      </c>
      <c r="R100" s="3">
        <f ca="1">IFERROR(__xludf.DUMMYFUNCTION("""COMPUTED_VALUE"""),-0.592855594976391)</f>
        <v>-0.59285559497639095</v>
      </c>
      <c r="S100" s="3">
        <f ca="1">IFERROR(__xludf.DUMMYFUNCTION("""COMPUTED_VALUE"""),-0.579983473686053)</f>
        <v>-0.57998347368605296</v>
      </c>
      <c r="T100" s="3">
        <f ca="1">IFERROR(__xludf.DUMMYFUNCTION("""COMPUTED_VALUE"""),-0.707231771524584)</f>
        <v>-0.70723177152458405</v>
      </c>
      <c r="U100" s="3">
        <f ca="1">IFERROR(__xludf.DUMMYFUNCTION("""COMPUTED_VALUE"""),-0.692867527988842)</f>
        <v>-0.69286752798884199</v>
      </c>
      <c r="V100" s="3">
        <f ca="1">IFERROR(__xludf.DUMMYFUNCTION("""COMPUTED_VALUE"""),-0.706686853414351)</f>
        <v>-0.706686853414351</v>
      </c>
      <c r="W100" s="3">
        <f ca="1">IFERROR(__xludf.DUMMYFUNCTION("""COMPUTED_VALUE"""),-0.696142618944823)</f>
        <v>-0.69614261894482299</v>
      </c>
      <c r="X100" s="3">
        <f ca="1">IFERROR(__xludf.DUMMYFUNCTION("""COMPUTED_VALUE"""),-0.689375183875951)</f>
        <v>-0.68937518387595098</v>
      </c>
      <c r="Y100" s="3">
        <f ca="1">IFERROR(__xludf.DUMMYFUNCTION("""COMPUTED_VALUE"""),-0.52693646475498)</f>
        <v>-0.52693646475498002</v>
      </c>
      <c r="Z100" s="3">
        <f ca="1">IFERROR(__xludf.DUMMYFUNCTION("""COMPUTED_VALUE"""),-0.570952636795994)</f>
        <v>-0.57095263679599395</v>
      </c>
      <c r="AA100" s="3">
        <f ca="1">IFERROR(__xludf.DUMMYFUNCTION("""COMPUTED_VALUE"""),-0.660321599901402)</f>
        <v>-0.66032159990140205</v>
      </c>
      <c r="AB100" s="3">
        <f ca="1">IFERROR(__xludf.DUMMYFUNCTION("""COMPUTED_VALUE"""),-0.682909232656014)</f>
        <v>-0.682909232656014</v>
      </c>
      <c r="AC100" s="3">
        <f ca="1">IFERROR(__xludf.DUMMYFUNCTION("""COMPUTED_VALUE"""),-0.689040620049722)</f>
        <v>-0.689040620049722</v>
      </c>
      <c r="AD100" s="3">
        <f ca="1">IFERROR(__xludf.DUMMYFUNCTION("""COMPUTED_VALUE"""),-0.698218332633942)</f>
        <v>-0.69821833263394195</v>
      </c>
      <c r="AE100" s="3">
        <f ca="1">IFERROR(__xludf.DUMMYFUNCTION("""COMPUTED_VALUE"""),-0.689245296027216)</f>
        <v>-0.68924529602721596</v>
      </c>
      <c r="AF100" s="3">
        <f ca="1">IFERROR(__xludf.DUMMYFUNCTION("""COMPUTED_VALUE"""),-0.543705716258408)</f>
        <v>-0.54370571625840802</v>
      </c>
      <c r="AG100" s="3">
        <f ca="1">IFERROR(__xludf.DUMMYFUNCTION("""COMPUTED_VALUE"""),-0.564008729839253)</f>
        <v>-0.56400872983925299</v>
      </c>
      <c r="AH100" s="3">
        <f ca="1">IFERROR(__xludf.DUMMYFUNCTION("""COMPUTED_VALUE"""),-0.669245639037966)</f>
        <v>-0.66924563903796597</v>
      </c>
      <c r="AI100" s="3">
        <f ca="1">IFERROR(__xludf.DUMMYFUNCTION("""COMPUTED_VALUE"""),-0.682666808182261)</f>
        <v>-0.682666808182261</v>
      </c>
      <c r="AJ100" s="3">
        <f ca="1">IFERROR(__xludf.DUMMYFUNCTION("""COMPUTED_VALUE"""),-0.685095086656911)</f>
        <v>-0.68509508665691099</v>
      </c>
      <c r="AK100" s="3">
        <f ca="1">IFERROR(__xludf.DUMMYFUNCTION("""COMPUTED_VALUE"""),-0.697765429075945)</f>
        <v>-0.69776542907594497</v>
      </c>
      <c r="AL100" s="3">
        <f ca="1">IFERROR(__xludf.DUMMYFUNCTION("""COMPUTED_VALUE"""),-0.687711574490254)</f>
        <v>-0.687711574490254</v>
      </c>
      <c r="AM100" s="3">
        <f ca="1">IFERROR(__xludf.DUMMYFUNCTION("""COMPUTED_VALUE"""),-0.517413744485262)</f>
        <v>-0.51741374448526201</v>
      </c>
      <c r="AN100" s="3">
        <f ca="1">IFERROR(__xludf.DUMMYFUNCTION("""COMPUTED_VALUE"""),-0.570929240756713)</f>
        <v>-0.57092924075671303</v>
      </c>
      <c r="AO100" s="3">
        <f ca="1">IFERROR(__xludf.DUMMYFUNCTION("""COMPUTED_VALUE"""),-0.666749277189657)</f>
        <v>-0.66674927718965704</v>
      </c>
      <c r="AP100" s="3">
        <f ca="1">IFERROR(__xludf.DUMMYFUNCTION("""COMPUTED_VALUE"""),-0.687206260357935)</f>
        <v>-0.68720626035793497</v>
      </c>
      <c r="AQ100" s="3">
        <f ca="1">IFERROR(__xludf.DUMMYFUNCTION("""COMPUTED_VALUE"""),-0.684433230780738)</f>
        <v>-0.68443323078073803</v>
      </c>
      <c r="AR100" s="3">
        <f ca="1">IFERROR(__xludf.DUMMYFUNCTION("""COMPUTED_VALUE"""),-0.699225574036832)</f>
        <v>-0.69922557403683205</v>
      </c>
      <c r="AS100" s="3">
        <f ca="1">IFERROR(__xludf.DUMMYFUNCTION("""COMPUTED_VALUE"""),-0.679442731981693)</f>
        <v>-0.67944273198169303</v>
      </c>
      <c r="AT100" s="3">
        <f ca="1">IFERROR(__xludf.DUMMYFUNCTION("""COMPUTED_VALUE"""),-0.477190470306355)</f>
        <v>-0.47719047030635497</v>
      </c>
      <c r="AU100" s="3">
        <f ca="1">IFERROR(__xludf.DUMMYFUNCTION("""COMPUTED_VALUE"""),-0.541806884026389)</f>
        <v>-0.54180688402638899</v>
      </c>
      <c r="AV100" s="3">
        <f ca="1">IFERROR(__xludf.DUMMYFUNCTION("""COMPUTED_VALUE"""),-0.646715691662264)</f>
        <v>-0.64671569166226395</v>
      </c>
      <c r="AW100" s="3">
        <f ca="1">IFERROR(__xludf.DUMMYFUNCTION("""COMPUTED_VALUE"""),-0.678962739699222)</f>
        <v>-0.67896273969922205</v>
      </c>
      <c r="AX100" s="3">
        <f ca="1">IFERROR(__xludf.DUMMYFUNCTION("""COMPUTED_VALUE"""),-0.667870689860083)</f>
        <v>-0.66787068986008302</v>
      </c>
      <c r="AY100" s="3">
        <f ca="1">IFERROR(__xludf.DUMMYFUNCTION("""COMPUTED_VALUE"""),-0.689501391372416)</f>
        <v>-0.68950139137241595</v>
      </c>
      <c r="AZ100" s="3">
        <f ca="1">IFERROR(__xludf.DUMMYFUNCTION("""COMPUTED_VALUE"""),-0.651745711008552)</f>
        <v>-0.65174571100855205</v>
      </c>
      <c r="BA100" s="3">
        <f ca="1">IFERROR(__xludf.DUMMYFUNCTION("""COMPUTED_VALUE"""),-0.538949410301207)</f>
        <v>-0.53894941030120702</v>
      </c>
      <c r="BB100" s="3">
        <f ca="1">IFERROR(__xludf.DUMMYFUNCTION("""COMPUTED_VALUE"""),-0.566909531448899)</f>
        <v>-0.566909531448899</v>
      </c>
      <c r="BC100" s="3">
        <f ca="1">IFERROR(__xludf.DUMMYFUNCTION("""COMPUTED_VALUE"""),-0.664456577579827)</f>
        <v>-0.66445657757982701</v>
      </c>
      <c r="BD100" s="3">
        <f ca="1">IFERROR(__xludf.DUMMYFUNCTION("""COMPUTED_VALUE"""),-0.708676375597153)</f>
        <v>-0.70867637559715302</v>
      </c>
      <c r="BE100" s="3">
        <f ca="1">IFERROR(__xludf.DUMMYFUNCTION("""COMPUTED_VALUE"""),-0.623135348376635)</f>
        <v>-0.62313534837663498</v>
      </c>
      <c r="BF100" s="3">
        <f ca="1">IFERROR(__xludf.DUMMYFUNCTION("""COMPUTED_VALUE"""),-0.660987839309525)</f>
        <v>-0.66098783930952498</v>
      </c>
      <c r="BG100" s="3">
        <f ca="1">IFERROR(__xludf.DUMMYFUNCTION("""COMPUTED_VALUE"""),-0.804292674236555)</f>
        <v>-0.80429267423655504</v>
      </c>
      <c r="BH100" s="3">
        <f ca="1">IFERROR(__xludf.DUMMYFUNCTION("""COMPUTED_VALUE"""),-0.602446616792824)</f>
        <v>-0.60244661679282396</v>
      </c>
      <c r="BI100" s="3">
        <f ca="1">IFERROR(__xludf.DUMMYFUNCTION("""COMPUTED_VALUE"""),-0.67156187944472)</f>
        <v>-0.67156187944472001</v>
      </c>
      <c r="BJ100" s="3">
        <f ca="1">IFERROR(__xludf.DUMMYFUNCTION("""COMPUTED_VALUE"""),-0.755864298836335)</f>
        <v>-0.75586429883633499</v>
      </c>
      <c r="BK100" s="3">
        <f ca="1">IFERROR(__xludf.DUMMYFUNCTION("""COMPUTED_VALUE"""),-0.76735117196482)</f>
        <v>-0.76735117196481994</v>
      </c>
      <c r="BL100" s="3">
        <f ca="1">IFERROR(__xludf.DUMMYFUNCTION("""COMPUTED_VALUE"""),-0.766903039790975)</f>
        <v>-0.76690303979097496</v>
      </c>
      <c r="BM100" s="3">
        <f ca="1">IFERROR(__xludf.DUMMYFUNCTION("""COMPUTED_VALUE"""),-0.762138238334154)</f>
        <v>-0.76213823833415395</v>
      </c>
      <c r="BN100" s="3">
        <f ca="1">IFERROR(__xludf.DUMMYFUNCTION("""COMPUTED_VALUE"""),-0.738727076047541)</f>
        <v>-0.73872707604754095</v>
      </c>
      <c r="BO100" s="3">
        <f ca="1">IFERROR(__xludf.DUMMYFUNCTION("""COMPUTED_VALUE"""),-0.657234795514286)</f>
        <v>-0.65723479551428599</v>
      </c>
      <c r="BP100" s="3">
        <f ca="1">IFERROR(__xludf.DUMMYFUNCTION("""COMPUTED_VALUE"""),-0.668522734130128)</f>
        <v>-0.66852273413012797</v>
      </c>
      <c r="BQ100" s="3">
        <f ca="1">IFERROR(__xludf.DUMMYFUNCTION("""COMPUTED_VALUE"""),-0.769915591473216)</f>
        <v>-0.76991559147321598</v>
      </c>
      <c r="BR100" s="3">
        <f ca="1">IFERROR(__xludf.DUMMYFUNCTION("""COMPUTED_VALUE"""),-0.776719590001795)</f>
        <v>-0.77671959000179502</v>
      </c>
      <c r="BS100" s="3">
        <f ca="1">IFERROR(__xludf.DUMMYFUNCTION("""COMPUTED_VALUE"""),-0.774888979104092)</f>
        <v>-0.77488897910409205</v>
      </c>
      <c r="BT100" s="3">
        <f ca="1">IFERROR(__xludf.DUMMYFUNCTION("""COMPUTED_VALUE"""),-0.789480955546083)</f>
        <v>-0.789480955546083</v>
      </c>
      <c r="BU100" s="3">
        <f ca="1">IFERROR(__xludf.DUMMYFUNCTION("""COMPUTED_VALUE"""),-0.790460514297666)</f>
        <v>-0.79046051429766595</v>
      </c>
      <c r="BV100" s="3">
        <f ca="1">IFERROR(__xludf.DUMMYFUNCTION("""COMPUTED_VALUE"""),-0.671253260142979)</f>
        <v>-0.67125326014297904</v>
      </c>
      <c r="BW100" s="3">
        <f ca="1">IFERROR(__xludf.DUMMYFUNCTION("""COMPUTED_VALUE"""),-0.711554188665482)</f>
        <v>-0.71155418866548203</v>
      </c>
      <c r="BX100" s="3">
        <f ca="1">IFERROR(__xludf.DUMMYFUNCTION("""COMPUTED_VALUE"""),-0.816017264328214)</f>
        <v>-0.81601726432821398</v>
      </c>
      <c r="BY100" s="3">
        <f ca="1">IFERROR(__xludf.DUMMYFUNCTION("""COMPUTED_VALUE"""),-0.818100688137204)</f>
        <v>-0.81810068813720405</v>
      </c>
      <c r="BZ100" s="3">
        <f ca="1">IFERROR(__xludf.DUMMYFUNCTION("""COMPUTED_VALUE"""),-0.820220689671162)</f>
        <v>-0.82022068967116202</v>
      </c>
      <c r="CA100" s="3">
        <f ca="1">IFERROR(__xludf.DUMMYFUNCTION("""COMPUTED_VALUE"""),-0.823920092242632)</f>
        <v>-0.82392009224263196</v>
      </c>
      <c r="CB100" s="3">
        <f ca="1">IFERROR(__xludf.DUMMYFUNCTION("""COMPUTED_VALUE"""),-0.817544590588728)</f>
        <v>-0.81754459058872797</v>
      </c>
      <c r="CC100" s="3">
        <f ca="1">IFERROR(__xludf.DUMMYFUNCTION("""COMPUTED_VALUE"""),-0.68570147930458)</f>
        <v>-0.68570147930458003</v>
      </c>
      <c r="CD100" s="3">
        <f ca="1">IFERROR(__xludf.DUMMYFUNCTION("""COMPUTED_VALUE"""),-0.717405513249639)</f>
        <v>-0.71740551324963897</v>
      </c>
      <c r="CE100" s="3">
        <f ca="1">IFERROR(__xludf.DUMMYFUNCTION("""COMPUTED_VALUE"""),-0.798214593621538)</f>
        <v>-0.79821459362153802</v>
      </c>
      <c r="CF100" s="3">
        <f ca="1">IFERROR(__xludf.DUMMYFUNCTION("""COMPUTED_VALUE"""),-0.81942259053663)</f>
        <v>-0.81942259053663002</v>
      </c>
      <c r="CG100" s="3">
        <f ca="1">IFERROR(__xludf.DUMMYFUNCTION("""COMPUTED_VALUE"""),-0.82291707917096)</f>
        <v>-0.82291707917096002</v>
      </c>
      <c r="CH100" s="3">
        <f ca="1">IFERROR(__xludf.DUMMYFUNCTION("""COMPUTED_VALUE"""),-0.827383270343714)</f>
        <v>-0.82738327034371395</v>
      </c>
      <c r="CI100" s="3">
        <f ca="1">IFERROR(__xludf.DUMMYFUNCTION("""COMPUTED_VALUE"""),-0.819105012192538)</f>
        <v>-0.81910501219253795</v>
      </c>
      <c r="CJ100" s="3">
        <f ca="1">IFERROR(__xludf.DUMMYFUNCTION("""COMPUTED_VALUE"""),-0.66888360572878)</f>
        <v>-0.66888360572878003</v>
      </c>
      <c r="CK100" s="3">
        <f ca="1">IFERROR(__xludf.DUMMYFUNCTION("""COMPUTED_VALUE"""),-0.705842392603462)</f>
        <v>-0.70584239260346204</v>
      </c>
      <c r="CL100" s="3">
        <f ca="1">IFERROR(__xludf.DUMMYFUNCTION("""COMPUTED_VALUE"""),-0.808999894176518)</f>
        <v>-0.80899989417651796</v>
      </c>
      <c r="CM100" s="3">
        <f ca="1">IFERROR(__xludf.DUMMYFUNCTION("""COMPUTED_VALUE"""),-0.823932311073721)</f>
        <v>-0.823932311073721</v>
      </c>
      <c r="CN100" s="3">
        <f ca="1">IFERROR(__xludf.DUMMYFUNCTION("""COMPUTED_VALUE"""),-0.80678305963232)</f>
        <v>-0.80678305963232</v>
      </c>
      <c r="CO100" s="3">
        <f ca="1">IFERROR(__xludf.DUMMYFUNCTION("""COMPUTED_VALUE"""),-0.811862954360275)</f>
        <v>-0.811862954360275</v>
      </c>
      <c r="CP100" s="3">
        <f ca="1">IFERROR(__xludf.DUMMYFUNCTION("""COMPUTED_VALUE"""),-0.809406802209459)</f>
        <v>-0.80940680220945904</v>
      </c>
      <c r="CQ100" s="3">
        <f ca="1">IFERROR(__xludf.DUMMYFUNCTION("""COMPUTED_VALUE"""),-0.666225924622167)</f>
        <v>-0.66622592462216701</v>
      </c>
      <c r="CR100" s="3">
        <f ca="1">IFERROR(__xludf.DUMMYFUNCTION("""COMPUTED_VALUE"""),-0.656835094552828)</f>
        <v>-0.65683509455282796</v>
      </c>
      <c r="CS100" s="3">
        <f ca="1">IFERROR(__xludf.DUMMYFUNCTION("""COMPUTED_VALUE"""),-0.749839275633655)</f>
        <v>-0.74983927563365504</v>
      </c>
      <c r="CT100" s="3">
        <f ca="1">IFERROR(__xludf.DUMMYFUNCTION("""COMPUTED_VALUE"""),-0.758745987023922)</f>
        <v>-0.75874598702392204</v>
      </c>
      <c r="CU100" s="3">
        <f ca="1">IFERROR(__xludf.DUMMYFUNCTION("""COMPUTED_VALUE"""),-0.723077173384659)</f>
        <v>-0.72307717338465904</v>
      </c>
      <c r="CV100" s="3">
        <f ca="1">IFERROR(__xludf.DUMMYFUNCTION("""COMPUTED_VALUE"""),-0.763655484717416)</f>
        <v>-0.76365548471741596</v>
      </c>
      <c r="CW100" s="3">
        <f ca="1">IFERROR(__xludf.DUMMYFUNCTION("""COMPUTED_VALUE"""),-0.750689471603449)</f>
        <v>-0.75068947160344901</v>
      </c>
      <c r="CX100" s="3">
        <f ca="1">IFERROR(__xludf.DUMMYFUNCTION("""COMPUTED_VALUE"""),-0.641893221834513)</f>
        <v>-0.64189322183451303</v>
      </c>
      <c r="CY100" s="3">
        <f ca="1">IFERROR(__xludf.DUMMYFUNCTION("""COMPUTED_VALUE"""),-0.644398437327509)</f>
        <v>-0.64439843732750901</v>
      </c>
      <c r="CZ100" s="3">
        <f ca="1">IFERROR(__xludf.DUMMYFUNCTION("""COMPUTED_VALUE"""),-0.831712012267191)</f>
        <v>-0.83171201226719105</v>
      </c>
      <c r="DA100" s="3">
        <f ca="1">IFERROR(__xludf.DUMMYFUNCTION("""COMPUTED_VALUE"""),-0.714391149863834)</f>
        <v>-0.71439114986383401</v>
      </c>
      <c r="DB100" s="3">
        <f ca="1">IFERROR(__xludf.DUMMYFUNCTION("""COMPUTED_VALUE"""),-0.610410800844125)</f>
        <v>-0.61041080084412502</v>
      </c>
      <c r="DC100" s="3">
        <f ca="1">IFERROR(__xludf.DUMMYFUNCTION("""COMPUTED_VALUE"""),-0.708346641159801)</f>
        <v>-0.70834664115980095</v>
      </c>
      <c r="DD100" s="3">
        <f ca="1">IFERROR(__xludf.DUMMYFUNCTION("""COMPUTED_VALUE"""),-0.734705518356192)</f>
        <v>-0.73470551835619202</v>
      </c>
      <c r="DE100" s="3">
        <f ca="1">IFERROR(__xludf.DUMMYFUNCTION("""COMPUTED_VALUE"""),-0.621461710130763)</f>
        <v>-0.62146171013076301</v>
      </c>
      <c r="DF100" s="3">
        <f ca="1">IFERROR(__xludf.DUMMYFUNCTION("""COMPUTED_VALUE"""),-0.675317462556181)</f>
        <v>-0.67531746255618097</v>
      </c>
      <c r="DG100" s="3">
        <f ca="1">IFERROR(__xludf.DUMMYFUNCTION("""COMPUTED_VALUE"""),-0.819981587443171)</f>
        <v>-0.81998158744317096</v>
      </c>
      <c r="DH100" s="3">
        <f ca="1">IFERROR(__xludf.DUMMYFUNCTION("""COMPUTED_VALUE"""),-0.591125415890259)</f>
        <v>-0.59112541589025902</v>
      </c>
      <c r="DI100" s="3">
        <f ca="1">IFERROR(__xludf.DUMMYFUNCTION("""COMPUTED_VALUE"""),-0.337081388573391)</f>
        <v>-0.33708138857339098</v>
      </c>
      <c r="DJ100" s="3">
        <f ca="1">IFERROR(__xludf.DUMMYFUNCTION("""COMPUTED_VALUE"""),-0.538478945828156)</f>
        <v>-0.53847894582815603</v>
      </c>
      <c r="DK100" s="3">
        <f ca="1">IFERROR(__xludf.DUMMYFUNCTION("""COMPUTED_VALUE"""),-0.553193641254075)</f>
        <v>-0.553193641254075</v>
      </c>
      <c r="DL100" s="3">
        <f ca="1">IFERROR(__xludf.DUMMYFUNCTION("""COMPUTED_VALUE"""),-0.511760212731085)</f>
        <v>-0.51176021273108496</v>
      </c>
      <c r="DM100" s="3">
        <f ca="1">IFERROR(__xludf.DUMMYFUNCTION("""COMPUTED_VALUE"""),-0.528224120690323)</f>
        <v>-0.52822412069032298</v>
      </c>
      <c r="DN100" s="3">
        <f ca="1">IFERROR(__xludf.DUMMYFUNCTION("""COMPUTED_VALUE"""),-0.596124817434889)</f>
        <v>-0.59612481743488899</v>
      </c>
      <c r="DO100" s="3">
        <f ca="1">IFERROR(__xludf.DUMMYFUNCTION("""COMPUTED_VALUE"""),-0.597707594981073)</f>
        <v>-0.59770759498107295</v>
      </c>
      <c r="DP100" s="3">
        <f ca="1">IFERROR(__xludf.DUMMYFUNCTION("""COMPUTED_VALUE"""),-0.585797228621683)</f>
        <v>-0.58579722862168304</v>
      </c>
      <c r="DQ100" s="3">
        <f ca="1">IFERROR(__xludf.DUMMYFUNCTION("""COMPUTED_VALUE"""),-0.648540189235167)</f>
        <v>-0.64854018923516699</v>
      </c>
      <c r="DR100" s="3">
        <f ca="1">IFERROR(__xludf.DUMMYFUNCTION("""COMPUTED_VALUE"""),-0.650828502167868)</f>
        <v>-0.65082850216786803</v>
      </c>
      <c r="DS100" s="3">
        <f ca="1">IFERROR(__xludf.DUMMYFUNCTION("""COMPUTED_VALUE"""),-0.577084490523382)</f>
        <v>-0.57708449052338195</v>
      </c>
      <c r="DT100" s="3">
        <f ca="1">IFERROR(__xludf.DUMMYFUNCTION("""COMPUTED_VALUE"""),-0.598308597197151)</f>
        <v>-0.59830859719715102</v>
      </c>
      <c r="DU100" s="3">
        <f ca="1">IFERROR(__xludf.DUMMYFUNCTION("""COMPUTED_VALUE"""),-0.646598028347793)</f>
        <v>-0.64659802834779301</v>
      </c>
      <c r="DV100" s="3">
        <f ca="1">IFERROR(__xludf.DUMMYFUNCTION("""COMPUTED_VALUE"""),-0.669732810535094)</f>
        <v>-0.66973281053509404</v>
      </c>
      <c r="DW100" s="3">
        <f ca="1">IFERROR(__xludf.DUMMYFUNCTION("""COMPUTED_VALUE"""),-0.677543240350948)</f>
        <v>-0.67754324035094804</v>
      </c>
      <c r="DX100" s="3">
        <f ca="1">IFERROR(__xludf.DUMMYFUNCTION("""COMPUTED_VALUE"""),-0.686693159611936)</f>
        <v>-0.686693159611936</v>
      </c>
      <c r="DY100" s="3">
        <f ca="1">IFERROR(__xludf.DUMMYFUNCTION("""COMPUTED_VALUE"""),-0.684961989935972)</f>
        <v>-0.68496198993597202</v>
      </c>
      <c r="DZ100" s="3">
        <f ca="1">IFERROR(__xludf.DUMMYFUNCTION("""COMPUTED_VALUE"""),-0.566572954682605)</f>
        <v>-0.56657295468260505</v>
      </c>
      <c r="EA100" s="3">
        <f ca="1">IFERROR(__xludf.DUMMYFUNCTION("""COMPUTED_VALUE"""),-0.58316151887987)</f>
        <v>-0.58316151887987</v>
      </c>
      <c r="EB100" s="3">
        <f ca="1">IFERROR(__xludf.DUMMYFUNCTION("""COMPUTED_VALUE"""),-0.665458251608293)</f>
        <v>-0.66545825160829297</v>
      </c>
      <c r="EC100" s="3">
        <f ca="1">IFERROR(__xludf.DUMMYFUNCTION("""COMPUTED_VALUE"""),-0.698146831136546)</f>
        <v>-0.69814683113654596</v>
      </c>
      <c r="ED100" s="3">
        <f ca="1">IFERROR(__xludf.DUMMYFUNCTION("""COMPUTED_VALUE"""),-0.695738425072546)</f>
        <v>-0.69573842507254602</v>
      </c>
      <c r="EE100" s="3">
        <f ca="1">IFERROR(__xludf.DUMMYFUNCTION("""COMPUTED_VALUE"""),-0.695847658142978)</f>
        <v>-0.695847658142978</v>
      </c>
      <c r="EF100" s="3">
        <f ca="1">IFERROR(__xludf.DUMMYFUNCTION("""COMPUTED_VALUE"""),-0.677181952005792)</f>
        <v>-0.67718195200579201</v>
      </c>
      <c r="EG100" s="3">
        <f ca="1">IFERROR(__xludf.DUMMYFUNCTION("""COMPUTED_VALUE"""),-0.506094495667135)</f>
        <v>-0.50609449566713505</v>
      </c>
      <c r="EH100" s="3">
        <f ca="1">IFERROR(__xludf.DUMMYFUNCTION("""COMPUTED_VALUE"""),-0.567203529228832)</f>
        <v>-0.56720352922883199</v>
      </c>
      <c r="EI100" s="3">
        <f ca="1">IFERROR(__xludf.DUMMYFUNCTION("""COMPUTED_VALUE"""),-0.637104137766984)</f>
        <v>-0.63710413776698405</v>
      </c>
      <c r="EJ100" s="3">
        <f ca="1">IFERROR(__xludf.DUMMYFUNCTION("""COMPUTED_VALUE"""),-0.693215782821535)</f>
        <v>-0.69321578282153495</v>
      </c>
      <c r="EK100" s="3">
        <f ca="1">IFERROR(__xludf.DUMMYFUNCTION("""COMPUTED_VALUE"""),-0.691960537301988)</f>
        <v>-0.69196053730198803</v>
      </c>
      <c r="EL100" s="3">
        <f ca="1">IFERROR(__xludf.DUMMYFUNCTION("""COMPUTED_VALUE"""),-0.71497232355844)</f>
        <v>-0.71497232355843998</v>
      </c>
      <c r="EM100" s="3">
        <f ca="1">IFERROR(__xludf.DUMMYFUNCTION("""COMPUTED_VALUE"""),-0.694090151604643)</f>
        <v>-0.69409015160464305</v>
      </c>
      <c r="EN100" s="3">
        <f ca="1">IFERROR(__xludf.DUMMYFUNCTION("""COMPUTED_VALUE"""),-0.530534330628396)</f>
        <v>-0.53053433062839594</v>
      </c>
      <c r="EO100" s="3">
        <f ca="1">IFERROR(__xludf.DUMMYFUNCTION("""COMPUTED_VALUE"""),-0.578233409637784)</f>
        <v>-0.57823340963778402</v>
      </c>
      <c r="EP100" s="3">
        <f ca="1">IFERROR(__xludf.DUMMYFUNCTION("""COMPUTED_VALUE"""),-0.694675178789295)</f>
        <v>-0.69467517878929497</v>
      </c>
      <c r="EQ100" s="3">
        <f ca="1">IFERROR(__xludf.DUMMYFUNCTION("""COMPUTED_VALUE"""),-0.726597482721131)</f>
        <v>-0.726597482721131</v>
      </c>
      <c r="ER100" s="3">
        <f ca="1">IFERROR(__xludf.DUMMYFUNCTION("""COMPUTED_VALUE"""),-0.721867976731329)</f>
        <v>-0.72186797673132896</v>
      </c>
      <c r="ES100" s="3">
        <f ca="1">IFERROR(__xludf.DUMMYFUNCTION("""COMPUTED_VALUE"""),-0.720287944676746)</f>
        <v>-0.72028794467674595</v>
      </c>
      <c r="ET100" s="3">
        <f ca="1">IFERROR(__xludf.DUMMYFUNCTION("""COMPUTED_VALUE"""),-0.710495009812468)</f>
        <v>-0.71049500981246805</v>
      </c>
      <c r="EU100" s="3">
        <f ca="1">IFERROR(__xludf.DUMMYFUNCTION("""COMPUTED_VALUE"""),-0.586952218362078)</f>
        <v>-0.586952218362078</v>
      </c>
      <c r="EV100" s="3">
        <f ca="1">IFERROR(__xludf.DUMMYFUNCTION("""COMPUTED_VALUE"""),-0.578954912993771)</f>
        <v>-0.578954912993771</v>
      </c>
      <c r="EW100" s="3">
        <f ca="1">IFERROR(__xludf.DUMMYFUNCTION("""COMPUTED_VALUE"""),-0.701079764448656)</f>
        <v>-0.70107976444865605</v>
      </c>
      <c r="EX100" s="3">
        <f ca="1">IFERROR(__xludf.DUMMYFUNCTION("""COMPUTED_VALUE"""),-0.722066121254617)</f>
        <v>-0.722066121254617</v>
      </c>
      <c r="EY100" s="3">
        <f ca="1">IFERROR(__xludf.DUMMYFUNCTION("""COMPUTED_VALUE"""),-0.716219023752482)</f>
        <v>-0.71621902375248203</v>
      </c>
      <c r="EZ100" s="3">
        <f ca="1">IFERROR(__xludf.DUMMYFUNCTION("""COMPUTED_VALUE"""),-0.705495113170266)</f>
        <v>-0.70549511317026603</v>
      </c>
      <c r="FA100" s="3">
        <f ca="1">IFERROR(__xludf.DUMMYFUNCTION("""COMPUTED_VALUE"""),-0.686846239332342)</f>
        <v>-0.68684623933234201</v>
      </c>
      <c r="FB100" s="3">
        <f ca="1">IFERROR(__xludf.DUMMYFUNCTION("""COMPUTED_VALUE"""),-0.537049758789051)</f>
        <v>-0.53704975878905103</v>
      </c>
      <c r="FC100" s="3">
        <f ca="1">IFERROR(__xludf.DUMMYFUNCTION("""COMPUTED_VALUE"""),-0.560399336044363)</f>
        <v>-0.56039933604436298</v>
      </c>
      <c r="FD100" s="3">
        <f ca="1">IFERROR(__xludf.DUMMYFUNCTION("""COMPUTED_VALUE"""),-0.689157859665237)</f>
        <v>-0.68915785966523702</v>
      </c>
      <c r="FE100" s="3">
        <f ca="1">IFERROR(__xludf.DUMMYFUNCTION("""COMPUTED_VALUE"""),-0.72032359982405)</f>
        <v>-0.72032359982405003</v>
      </c>
      <c r="FF100" s="3">
        <f ca="1">IFERROR(__xludf.DUMMYFUNCTION("""COMPUTED_VALUE"""),-0.725031424814822)</f>
        <v>-0.72503142481482197</v>
      </c>
      <c r="FG100" s="3">
        <f ca="1">IFERROR(__xludf.DUMMYFUNCTION("""COMPUTED_VALUE"""),-0.727257868556519)</f>
        <v>-0.72725786855651897</v>
      </c>
      <c r="FH100" s="3">
        <f ca="1">IFERROR(__xludf.DUMMYFUNCTION("""COMPUTED_VALUE"""),-0.714053283655827)</f>
        <v>-0.71405328365582699</v>
      </c>
      <c r="FI100" s="3">
        <f ca="1">IFERROR(__xludf.DUMMYFUNCTION("""COMPUTED_VALUE"""),-0.587929914037216)</f>
        <v>-0.58792991403721595</v>
      </c>
      <c r="FJ100" s="3">
        <f ca="1">IFERROR(__xludf.DUMMYFUNCTION("""COMPUTED_VALUE"""),-0.575705337419013)</f>
        <v>-0.57570533741901297</v>
      </c>
      <c r="FK100" s="3">
        <f ca="1">IFERROR(__xludf.DUMMYFUNCTION("""COMPUTED_VALUE"""),-0.684615309910474)</f>
        <v>-0.68461530991047403</v>
      </c>
      <c r="FL100" s="3">
        <f ca="1">IFERROR(__xludf.DUMMYFUNCTION("""COMPUTED_VALUE"""),-0.711072738740202)</f>
        <v>-0.71107273874020205</v>
      </c>
      <c r="FM100" s="3">
        <f ca="1">IFERROR(__xludf.DUMMYFUNCTION("""COMPUTED_VALUE"""),-0.706563158330773)</f>
        <v>-0.70656315833077299</v>
      </c>
      <c r="FN100" s="3">
        <f ca="1">IFERROR(__xludf.DUMMYFUNCTION("""COMPUTED_VALUE"""),-0.704249141540729)</f>
        <v>-0.70424914154072904</v>
      </c>
      <c r="FO100" s="3">
        <f ca="1">IFERROR(__xludf.DUMMYFUNCTION("""COMPUTED_VALUE"""),-0.702572808731866)</f>
        <v>-0.70257280873186601</v>
      </c>
      <c r="FP100" s="3">
        <f ca="1">IFERROR(__xludf.DUMMYFUNCTION("""COMPUTED_VALUE"""),-0.552397931686551)</f>
        <v>-0.55239793168655105</v>
      </c>
      <c r="FQ100" s="3">
        <f ca="1">IFERROR(__xludf.DUMMYFUNCTION("""COMPUTED_VALUE"""),-0.595579880767554)</f>
        <v>-0.59557988076755397</v>
      </c>
      <c r="FR100" s="3">
        <f ca="1">IFERROR(__xludf.DUMMYFUNCTION("""COMPUTED_VALUE"""),-0.668034882613321)</f>
        <v>-0.668034882613321</v>
      </c>
      <c r="FS100" s="3">
        <f ca="1">IFERROR(__xludf.DUMMYFUNCTION("""COMPUTED_VALUE"""),-0.716938968917871)</f>
        <v>-0.71693896891787101</v>
      </c>
      <c r="FT100" s="3">
        <f ca="1">IFERROR(__xludf.DUMMYFUNCTION("""COMPUTED_VALUE"""),-0.727259780488752)</f>
        <v>-0.72725978048875195</v>
      </c>
      <c r="FU100" s="3">
        <f ca="1">IFERROR(__xludf.DUMMYFUNCTION("""COMPUTED_VALUE"""),-0.707207391085498)</f>
        <v>-0.70720739108549802</v>
      </c>
      <c r="FV100" s="3">
        <f ca="1">IFERROR(__xludf.DUMMYFUNCTION("""COMPUTED_VALUE"""),-0.643306664229712)</f>
        <v>-0.64330666422971206</v>
      </c>
      <c r="FW100" s="3">
        <f ca="1">IFERROR(__xludf.DUMMYFUNCTION("""COMPUTED_VALUE"""),-0.568688553420861)</f>
        <v>-0.568688553420861</v>
      </c>
      <c r="FX100" s="3">
        <f ca="1">IFERROR(__xludf.DUMMYFUNCTION("""COMPUTED_VALUE"""),-0.571900552169332)</f>
        <v>-0.571900552169332</v>
      </c>
      <c r="FY100" s="3">
        <f ca="1">IFERROR(__xludf.DUMMYFUNCTION("""COMPUTED_VALUE"""),-0.685577314583865)</f>
        <v>-0.68557731458386495</v>
      </c>
      <c r="FZ100" s="3">
        <f ca="1">IFERROR(__xludf.DUMMYFUNCTION("""COMPUTED_VALUE"""),-0.716790990065159)</f>
        <v>-0.71679099006515901</v>
      </c>
      <c r="GA100" s="3">
        <f ca="1">IFERROR(__xludf.DUMMYFUNCTION("""COMPUTED_VALUE"""),-0.71828595359522)</f>
        <v>-0.71828595359521996</v>
      </c>
      <c r="GB100" s="3">
        <f ca="1">IFERROR(__xludf.DUMMYFUNCTION("""COMPUTED_VALUE"""),-0.716079053462973)</f>
        <v>-0.71607905346297296</v>
      </c>
      <c r="GC100" s="3">
        <f ca="1">IFERROR(__xludf.DUMMYFUNCTION("""COMPUTED_VALUE"""),-0.78676588105812)</f>
        <v>-0.78676588105811995</v>
      </c>
      <c r="GD100" s="3">
        <f ca="1">IFERROR(__xludf.DUMMYFUNCTION("""COMPUTED_VALUE"""),-0.572122062660729)</f>
        <v>-0.57212206266072896</v>
      </c>
      <c r="GE100" s="3">
        <f ca="1">IFERROR(__xludf.DUMMYFUNCTION("""COMPUTED_VALUE"""),-0.598253969145108)</f>
        <v>-0.59825396914510798</v>
      </c>
      <c r="GF100" s="3">
        <f ca="1">IFERROR(__xludf.DUMMYFUNCTION("""COMPUTED_VALUE"""),-0.688441628625346)</f>
        <v>-0.68844162862534597</v>
      </c>
      <c r="GG100" s="3">
        <f ca="1">IFERROR(__xludf.DUMMYFUNCTION("""COMPUTED_VALUE"""),-0.709116444845003)</f>
        <v>-0.70911644484500302</v>
      </c>
      <c r="GH100" s="3">
        <f ca="1">IFERROR(__xludf.DUMMYFUNCTION("""COMPUTED_VALUE"""),-0.719138122531065)</f>
        <v>-0.71913812253106502</v>
      </c>
      <c r="GI100" s="3">
        <f ca="1">IFERROR(__xludf.DUMMYFUNCTION("""COMPUTED_VALUE"""),-0.705699099396139)</f>
        <v>-0.70569909939613895</v>
      </c>
      <c r="GJ100" s="3">
        <f ca="1">IFERROR(__xludf.DUMMYFUNCTION("""COMPUTED_VALUE"""),-0.648329338903676)</f>
        <v>-0.64832933890367594</v>
      </c>
      <c r="GK100" s="3">
        <f ca="1">IFERROR(__xludf.DUMMYFUNCTION("""COMPUTED_VALUE"""),-0.566196145558868)</f>
        <v>-0.56619614555886799</v>
      </c>
      <c r="GL100" s="3">
        <f ca="1">IFERROR(__xludf.DUMMYFUNCTION("""COMPUTED_VALUE"""),-0.570340901390234)</f>
        <v>-0.57034090139023397</v>
      </c>
      <c r="GM100" s="3">
        <f ca="1">IFERROR(__xludf.DUMMYFUNCTION("""COMPUTED_VALUE"""),-0.706915157933033)</f>
        <v>-0.70691515793303294</v>
      </c>
      <c r="GN100" s="3">
        <f ca="1">IFERROR(__xludf.DUMMYFUNCTION("""COMPUTED_VALUE"""),-0.711152189093137)</f>
        <v>-0.71115218909313704</v>
      </c>
      <c r="GO100" s="3">
        <f ca="1">IFERROR(__xludf.DUMMYFUNCTION("""COMPUTED_VALUE"""),-0.708442808400786)</f>
        <v>-0.70844280840078599</v>
      </c>
      <c r="GP100" s="3">
        <f ca="1">IFERROR(__xludf.DUMMYFUNCTION("""COMPUTED_VALUE"""),-0.716724973647677)</f>
        <v>-0.71672497364767696</v>
      </c>
      <c r="GQ100" s="3">
        <f ca="1">IFERROR(__xludf.DUMMYFUNCTION("""COMPUTED_VALUE"""),-0.709455198470337)</f>
        <v>-0.709455198470337</v>
      </c>
      <c r="GR100" s="3">
        <f ca="1">IFERROR(__xludf.DUMMYFUNCTION("""COMPUTED_VALUE"""),-0.542091915429899)</f>
        <v>-0.54209191542989899</v>
      </c>
      <c r="GS100" s="3">
        <f ca="1">IFERROR(__xludf.DUMMYFUNCTION("""COMPUTED_VALUE"""),-0.559256430211133)</f>
        <v>-0.55925643021113303</v>
      </c>
      <c r="GT100" s="3">
        <f ca="1">IFERROR(__xludf.DUMMYFUNCTION("""COMPUTED_VALUE"""),-0.690413841075545)</f>
        <v>-0.69041384107554504</v>
      </c>
      <c r="GU100" s="3">
        <f ca="1">IFERROR(__xludf.DUMMYFUNCTION("""COMPUTED_VALUE"""),-0.706107695056138)</f>
        <v>-0.70610769505613802</v>
      </c>
      <c r="GV100" s="3">
        <f ca="1">IFERROR(__xludf.DUMMYFUNCTION("""COMPUTED_VALUE"""),-0.697712275269504)</f>
        <v>-0.69771227526950397</v>
      </c>
      <c r="GW100" s="3">
        <f ca="1">IFERROR(__xludf.DUMMYFUNCTION("""COMPUTED_VALUE"""),-0.694338245943854)</f>
        <v>-0.69433824594385396</v>
      </c>
      <c r="GX100" s="3">
        <f ca="1">IFERROR(__xludf.DUMMYFUNCTION("""COMPUTED_VALUE"""),-0.68577078756305)</f>
        <v>-0.68577078756304999</v>
      </c>
      <c r="GY100" s="3">
        <f ca="1">IFERROR(__xludf.DUMMYFUNCTION("""COMPUTED_VALUE"""),-0.516240452896465)</f>
        <v>-0.51624045289646503</v>
      </c>
      <c r="GZ100" s="3">
        <f ca="1">IFERROR(__xludf.DUMMYFUNCTION("""COMPUTED_VALUE"""),-0.539376512084427)</f>
        <v>-0.53937651208442705</v>
      </c>
      <c r="HA100" s="3">
        <f ca="1">IFERROR(__xludf.DUMMYFUNCTION("""COMPUTED_VALUE"""),-0.674458510020389)</f>
        <v>-0.67445851002038903</v>
      </c>
      <c r="HB100" s="3">
        <f ca="1">IFERROR(__xludf.DUMMYFUNCTION("""COMPUTED_VALUE"""),-0.678962429154883)</f>
        <v>-0.67896242915488303</v>
      </c>
      <c r="HC100" s="3">
        <f ca="1">IFERROR(__xludf.DUMMYFUNCTION("""COMPUTED_VALUE"""),-0.686980878442831)</f>
        <v>-0.68698087844283096</v>
      </c>
      <c r="HD100" s="3">
        <f ca="1">IFERROR(__xludf.DUMMYFUNCTION("""COMPUTED_VALUE"""),-0.695495887769466)</f>
        <v>-0.69549588776946603</v>
      </c>
      <c r="HE100" s="3">
        <f ca="1">IFERROR(__xludf.DUMMYFUNCTION("""COMPUTED_VALUE"""),-0.69225711660013)</f>
        <v>-0.69225711660013001</v>
      </c>
      <c r="HF100" s="3">
        <f ca="1">IFERROR(__xludf.DUMMYFUNCTION("""COMPUTED_VALUE"""),-0.534376195671488)</f>
        <v>-0.53437619567148797</v>
      </c>
      <c r="HG100" s="3">
        <f ca="1">IFERROR(__xludf.DUMMYFUNCTION("""COMPUTED_VALUE"""),-0.511879698260756)</f>
        <v>-0.51187969826075597</v>
      </c>
      <c r="HH100" s="3">
        <f ca="1">IFERROR(__xludf.DUMMYFUNCTION("""COMPUTED_VALUE"""),-0.663695531294182)</f>
        <v>-0.66369553129418202</v>
      </c>
      <c r="HI100" s="3">
        <f ca="1">IFERROR(__xludf.DUMMYFUNCTION("""COMPUTED_VALUE"""),-0.701346606988136)</f>
        <v>-0.701346606988136</v>
      </c>
      <c r="HJ100" s="3">
        <f ca="1">IFERROR(__xludf.DUMMYFUNCTION("""COMPUTED_VALUE"""),-0.714693326727622)</f>
        <v>-0.71469332672762198</v>
      </c>
      <c r="HK100" s="3">
        <f ca="1">IFERROR(__xludf.DUMMYFUNCTION("""COMPUTED_VALUE"""),-0.683308841253212)</f>
        <v>-0.68330884125321201</v>
      </c>
      <c r="HL100" s="3">
        <f ca="1">IFERROR(__xludf.DUMMYFUNCTION("""COMPUTED_VALUE"""),-0.762130441953066)</f>
        <v>-0.76213044195306601</v>
      </c>
      <c r="HM100" s="3">
        <f ca="1">IFERROR(__xludf.DUMMYFUNCTION("""COMPUTED_VALUE"""),-0.483060002694263)</f>
        <v>-0.48306000269426302</v>
      </c>
      <c r="HN100" s="3">
        <f ca="1">IFERROR(__xludf.DUMMYFUNCTION("""COMPUTED_VALUE"""),-0.518347230848282)</f>
        <v>-0.51834723084828205</v>
      </c>
      <c r="HO100" s="3">
        <f ca="1">IFERROR(__xludf.DUMMYFUNCTION("""COMPUTED_VALUE"""),-0.659974281408813)</f>
        <v>-0.65997428140881298</v>
      </c>
      <c r="HP100" s="3">
        <f ca="1">IFERROR(__xludf.DUMMYFUNCTION("""COMPUTED_VALUE"""),-0.664835011518004)</f>
        <v>-0.66483501151800395</v>
      </c>
      <c r="HQ100" s="3">
        <f ca="1">IFERROR(__xludf.DUMMYFUNCTION("""COMPUTED_VALUE"""),-0.708968099692852)</f>
        <v>-0.70896809969285202</v>
      </c>
      <c r="HR100" s="3">
        <f ca="1">IFERROR(__xludf.DUMMYFUNCTION("""COMPUTED_VALUE"""),-0.688455328507605)</f>
        <v>-0.68845532850760505</v>
      </c>
      <c r="HS100" s="3">
        <f ca="1">IFERROR(__xludf.DUMMYFUNCTION("""COMPUTED_VALUE"""),-0.588786410281474)</f>
        <v>-0.58878641028147405</v>
      </c>
      <c r="HT100" s="3">
        <f ca="1">IFERROR(__xludf.DUMMYFUNCTION("""COMPUTED_VALUE"""),-0.511982734471061)</f>
        <v>-0.51198273447106102</v>
      </c>
      <c r="HU100" s="3">
        <f ca="1">IFERROR(__xludf.DUMMYFUNCTION("""COMPUTED_VALUE"""),-0.552408655647753)</f>
        <v>-0.55240865564775299</v>
      </c>
      <c r="HV100" s="3">
        <f ca="1">IFERROR(__xludf.DUMMYFUNCTION("""COMPUTED_VALUE"""),-0.641499496496771)</f>
        <v>-0.64149949649677096</v>
      </c>
      <c r="HW100" s="3">
        <f ca="1">IFERROR(__xludf.DUMMYFUNCTION("""COMPUTED_VALUE"""),-0.671841932964372)</f>
        <v>-0.671841932964372</v>
      </c>
      <c r="HX100" s="3">
        <f ca="1">IFERROR(__xludf.DUMMYFUNCTION("""COMPUTED_VALUE"""),-0.652436044526561)</f>
        <v>-0.65243604452656101</v>
      </c>
      <c r="HY100" s="3">
        <f ca="1">IFERROR(__xludf.DUMMYFUNCTION("""COMPUTED_VALUE"""),-0.628602641511591)</f>
        <v>-0.62860264151159095</v>
      </c>
      <c r="HZ100" s="3">
        <f ca="1">IFERROR(__xludf.DUMMYFUNCTION("""COMPUTED_VALUE"""),-0.517413918236351)</f>
        <v>-0.51741391823635097</v>
      </c>
      <c r="IA100" s="3">
        <f ca="1">IFERROR(__xludf.DUMMYFUNCTION("""COMPUTED_VALUE"""),-0.49002580838756)</f>
        <v>-0.49002580838755999</v>
      </c>
      <c r="IB100" s="3">
        <f ca="1">IFERROR(__xludf.DUMMYFUNCTION("""COMPUTED_VALUE"""),-0.442394419978928)</f>
        <v>-0.44239441997892798</v>
      </c>
      <c r="IC100" s="3">
        <f ca="1">IFERROR(__xludf.DUMMYFUNCTION("""COMPUTED_VALUE"""),-0.581045070205595)</f>
        <v>-0.58104507020559504</v>
      </c>
      <c r="ID100" s="3">
        <f ca="1">IFERROR(__xludf.DUMMYFUNCTION("""COMPUTED_VALUE"""),-0.604594918366665)</f>
        <v>-0.60459491836666501</v>
      </c>
      <c r="IE100" s="3">
        <f ca="1">IFERROR(__xludf.DUMMYFUNCTION("""COMPUTED_VALUE"""),-0.58310516368167)</f>
        <v>-0.58310516368166998</v>
      </c>
      <c r="IF100" s="3">
        <f ca="1">IFERROR(__xludf.DUMMYFUNCTION("""COMPUTED_VALUE"""),-0.590183558983566)</f>
        <v>-0.590183558983566</v>
      </c>
      <c r="IG100" s="3">
        <f ca="1">IFERROR(__xludf.DUMMYFUNCTION("""COMPUTED_VALUE"""),-0.569862419196485)</f>
        <v>-0.56986241919648495</v>
      </c>
      <c r="IH100" s="3">
        <f ca="1">IFERROR(__xludf.DUMMYFUNCTION("""COMPUTED_VALUE"""),-0.496448924768695)</f>
        <v>-0.49644892476869501</v>
      </c>
      <c r="II100" s="3">
        <f ca="1">IFERROR(__xludf.DUMMYFUNCTION("""COMPUTED_VALUE"""),-0.424065328537737)</f>
        <v>-0.42406532853773699</v>
      </c>
      <c r="IJ100" s="3">
        <f ca="1">IFERROR(__xludf.DUMMYFUNCTION("""COMPUTED_VALUE"""),-0.564213015666818)</f>
        <v>-0.56421301566681803</v>
      </c>
      <c r="IK100" s="3">
        <f ca="1">IFERROR(__xludf.DUMMYFUNCTION("""COMPUTED_VALUE"""),-0.580058359479574)</f>
        <v>-0.58005835947957396</v>
      </c>
      <c r="IL100" s="3">
        <f ca="1">IFERROR(__xludf.DUMMYFUNCTION("""COMPUTED_VALUE"""),-0.590288605568257)</f>
        <v>-0.59028860556825702</v>
      </c>
      <c r="IM100" s="3">
        <f ca="1">IFERROR(__xludf.DUMMYFUNCTION("""COMPUTED_VALUE"""),-0.605844742708668)</f>
        <v>-0.60584474270866795</v>
      </c>
      <c r="IN100" s="3">
        <f ca="1">IFERROR(__xludf.DUMMYFUNCTION("""COMPUTED_VALUE"""),-0.530942318535564)</f>
        <v>-0.53094231853556395</v>
      </c>
      <c r="IO100" s="3">
        <f ca="1">IFERROR(__xludf.DUMMYFUNCTION("""COMPUTED_VALUE"""),-0.479519270140652)</f>
        <v>-0.47951927014065199</v>
      </c>
      <c r="IP100" s="3">
        <f ca="1">IFERROR(__xludf.DUMMYFUNCTION("""COMPUTED_VALUE"""),-0.418965863703316)</f>
        <v>-0.41896586370331601</v>
      </c>
      <c r="IQ100" s="3">
        <f ca="1">IFERROR(__xludf.DUMMYFUNCTION("""COMPUTED_VALUE"""),-0.556815872839707)</f>
        <v>-0.55681587283970702</v>
      </c>
      <c r="IR100" s="3">
        <f ca="1">IFERROR(__xludf.DUMMYFUNCTION("""COMPUTED_VALUE"""),-0.570398288996671)</f>
        <v>-0.570398288996671</v>
      </c>
      <c r="IS100" s="3">
        <f ca="1">IFERROR(__xludf.DUMMYFUNCTION("""COMPUTED_VALUE"""),-0.605690968769897)</f>
        <v>-0.60569096876989703</v>
      </c>
      <c r="IT100" s="3">
        <f ca="1">IFERROR(__xludf.DUMMYFUNCTION("""COMPUTED_VALUE"""),-0.621786518546648)</f>
        <v>-0.62178651854664801</v>
      </c>
      <c r="IU100" s="3">
        <f ca="1">IFERROR(__xludf.DUMMYFUNCTION("""COMPUTED_VALUE"""),-0.579537955162629)</f>
        <v>-0.57953795516262896</v>
      </c>
      <c r="IV100" s="3">
        <f ca="1">IFERROR(__xludf.DUMMYFUNCTION("""COMPUTED_VALUE"""),-0.524263091475311)</f>
        <v>-0.52426309147531103</v>
      </c>
      <c r="IW100" s="3">
        <f ca="1">IFERROR(__xludf.DUMMYFUNCTION("""COMPUTED_VALUE"""),-0.46132481312546)</f>
        <v>-0.46132481312545998</v>
      </c>
      <c r="IX100" s="3">
        <f ca="1">IFERROR(__xludf.DUMMYFUNCTION("""COMPUTED_VALUE"""),-0.554693772540239)</f>
        <v>-0.55469377254023899</v>
      </c>
      <c r="IY100" s="3">
        <f ca="1">IFERROR(__xludf.DUMMYFUNCTION("""COMPUTED_VALUE"""),-0.615085942354148)</f>
        <v>-0.61508594235414804</v>
      </c>
      <c r="IZ100" s="3">
        <f ca="1">IFERROR(__xludf.DUMMYFUNCTION("""COMPUTED_VALUE"""),-0.632594283094271)</f>
        <v>-0.63259428309427101</v>
      </c>
      <c r="JA100" s="3">
        <f ca="1">IFERROR(__xludf.DUMMYFUNCTION("""COMPUTED_VALUE"""),-0.615650057487464)</f>
        <v>-0.61565005748746404</v>
      </c>
      <c r="JB100" s="3">
        <f ca="1">IFERROR(__xludf.DUMMYFUNCTION("""COMPUTED_VALUE"""),-0.571794700737817)</f>
        <v>-0.57179470073781702</v>
      </c>
      <c r="JC100" s="3">
        <f ca="1">IFERROR(__xludf.DUMMYFUNCTION("""COMPUTED_VALUE"""),-0.484150507441766)</f>
        <v>-0.48415050744176602</v>
      </c>
      <c r="JD100" s="3">
        <f ca="1">IFERROR(__xludf.DUMMYFUNCTION("""COMPUTED_VALUE"""),-0.485395473568602)</f>
        <v>-0.48539547356860202</v>
      </c>
      <c r="JE100" s="3">
        <f ca="1">IFERROR(__xludf.DUMMYFUNCTION("""COMPUTED_VALUE"""),-0.59979876674839)</f>
        <v>-0.59979876674839006</v>
      </c>
      <c r="JF100" s="3">
        <f ca="1">IFERROR(__xludf.DUMMYFUNCTION("""COMPUTED_VALUE"""),-0.647443312529713)</f>
        <v>-0.64744331252971299</v>
      </c>
      <c r="JG100" s="3">
        <f ca="1">IFERROR(__xludf.DUMMYFUNCTION("""COMPUTED_VALUE"""),-0.659379240133808)</f>
        <v>-0.659379240133808</v>
      </c>
      <c r="JH100" s="3">
        <f ca="1">IFERROR(__xludf.DUMMYFUNCTION("""COMPUTED_VALUE"""),-0.635697467767602)</f>
        <v>-0.63569746776760205</v>
      </c>
      <c r="JI100" s="3">
        <f ca="1">IFERROR(__xludf.DUMMYFUNCTION("""COMPUTED_VALUE"""),-0.617008485103266)</f>
        <v>-0.617008485103266</v>
      </c>
      <c r="JJ100" s="3">
        <f ca="1">IFERROR(__xludf.DUMMYFUNCTION("""COMPUTED_VALUE"""),-0.503422267489141)</f>
        <v>-0.50342226748914098</v>
      </c>
      <c r="JK100" s="3">
        <f ca="1">IFERROR(__xludf.DUMMYFUNCTION("""COMPUTED_VALUE"""),-0.491749805915337)</f>
        <v>-0.49174980591533701</v>
      </c>
      <c r="JL100" s="3">
        <f ca="1">IFERROR(__xludf.DUMMYFUNCTION("""COMPUTED_VALUE"""),-0.611153893561132)</f>
        <v>-0.61115389356113203</v>
      </c>
      <c r="JM100" s="3">
        <f ca="1">IFERROR(__xludf.DUMMYFUNCTION("""COMPUTED_VALUE"""),-0.661826108107739)</f>
        <v>-0.66182610810773901</v>
      </c>
      <c r="JN100" s="3">
        <f ca="1">IFERROR(__xludf.DUMMYFUNCTION("""COMPUTED_VALUE"""),-0.647208770773189)</f>
        <v>-0.64720877077318895</v>
      </c>
      <c r="JO100" s="3">
        <f ca="1">IFERROR(__xludf.DUMMYFUNCTION("""COMPUTED_VALUE"""),-0.644702110185954)</f>
        <v>-0.64470211018595402</v>
      </c>
      <c r="JP100" s="3">
        <f ca="1">IFERROR(__xludf.DUMMYFUNCTION("""COMPUTED_VALUE"""),-0.638014242984376)</f>
        <v>-0.63801424298437603</v>
      </c>
      <c r="JQ100" s="3">
        <f ca="1">IFERROR(__xludf.DUMMYFUNCTION("""COMPUTED_VALUE"""),-0.52639053960053)</f>
        <v>-0.52639053960052995</v>
      </c>
      <c r="JR100" s="3">
        <f ca="1">IFERROR(__xludf.DUMMYFUNCTION("""COMPUTED_VALUE"""),-0.551652500575738)</f>
        <v>-0.551652500575738</v>
      </c>
      <c r="JS100" s="3">
        <f ca="1">IFERROR(__xludf.DUMMYFUNCTION("""COMPUTED_VALUE"""),-0.61796667115639)</f>
        <v>-0.61796667115639003</v>
      </c>
      <c r="JT100" s="3">
        <f ca="1">IFERROR(__xludf.DUMMYFUNCTION("""COMPUTED_VALUE"""),-0.654421143650225)</f>
        <v>-0.65442114365022497</v>
      </c>
      <c r="JU100" s="3">
        <f ca="1">IFERROR(__xludf.DUMMYFUNCTION("""COMPUTED_VALUE"""),-0.659422191884639)</f>
        <v>-0.65942219188463902</v>
      </c>
      <c r="JV100" s="3">
        <f ca="1">IFERROR(__xludf.DUMMYFUNCTION("""COMPUTED_VALUE"""),-0.665124133857078)</f>
        <v>-0.66512413385707803</v>
      </c>
      <c r="JW100" s="3">
        <f ca="1">IFERROR(__xludf.DUMMYFUNCTION("""COMPUTED_VALUE"""),-0.628254199825449)</f>
        <v>-0.62825419982544894</v>
      </c>
      <c r="JX100" s="3">
        <f ca="1">IFERROR(__xludf.DUMMYFUNCTION("""COMPUTED_VALUE"""),-0.522903166167272)</f>
        <v>-0.52290316616727195</v>
      </c>
      <c r="JY100" s="3">
        <f ca="1">IFERROR(__xludf.DUMMYFUNCTION("""COMPUTED_VALUE"""),-0.506935121653643)</f>
        <v>-0.50693512165364296</v>
      </c>
      <c r="JZ100" s="3">
        <f ca="1">IFERROR(__xludf.DUMMYFUNCTION("""COMPUTED_VALUE"""),-0.633071916162262)</f>
        <v>-0.63307191616226199</v>
      </c>
      <c r="KA100" s="3">
        <f ca="1">IFERROR(__xludf.DUMMYFUNCTION("""COMPUTED_VALUE"""),-0.682702737242819)</f>
        <v>-0.68270273724281905</v>
      </c>
      <c r="KB100" s="3">
        <f ca="1">IFERROR(__xludf.DUMMYFUNCTION("""COMPUTED_VALUE"""),-0.694446552555167)</f>
        <v>-0.69444655255516696</v>
      </c>
      <c r="KC100" s="3">
        <f ca="1">IFERROR(__xludf.DUMMYFUNCTION("""COMPUTED_VALUE"""),-0.666309489693885)</f>
        <v>-0.66630948969388504</v>
      </c>
      <c r="KD100" s="3">
        <f ca="1">IFERROR(__xludf.DUMMYFUNCTION("""COMPUTED_VALUE"""),-0.654594839849388)</f>
        <v>-0.65459483984938804</v>
      </c>
      <c r="KE100" s="3">
        <f ca="1">IFERROR(__xludf.DUMMYFUNCTION("""COMPUTED_VALUE"""),-0.580590074613515)</f>
        <v>-0.58059007461351497</v>
      </c>
      <c r="KF100" s="3">
        <f ca="1">IFERROR(__xludf.DUMMYFUNCTION("""COMPUTED_VALUE"""),-0.596094980723475)</f>
        <v>-0.596094980723475</v>
      </c>
      <c r="KG100" s="3">
        <f ca="1">IFERROR(__xludf.DUMMYFUNCTION("""COMPUTED_VALUE"""),-0.674838609044426)</f>
        <v>-0.67483860904442605</v>
      </c>
      <c r="KH100" s="3">
        <f ca="1">IFERROR(__xludf.DUMMYFUNCTION("""COMPUTED_VALUE"""),-0.692673623602769)</f>
        <v>-0.69267362360276896</v>
      </c>
      <c r="KI100" s="3">
        <f ca="1">IFERROR(__xludf.DUMMYFUNCTION("""COMPUTED_VALUE"""),-0.704890610176267)</f>
        <v>-0.70489061017626697</v>
      </c>
      <c r="KJ100" s="3">
        <f ca="1">IFERROR(__xludf.DUMMYFUNCTION("""COMPUTED_VALUE"""),-0.711252590895943)</f>
        <v>-0.71125259089594295</v>
      </c>
      <c r="KK100" s="3">
        <f ca="1">IFERROR(__xludf.DUMMYFUNCTION("""COMPUTED_VALUE"""),-0.689814099308076)</f>
        <v>-0.68981409930807602</v>
      </c>
      <c r="KL100" s="3">
        <f ca="1">IFERROR(__xludf.DUMMYFUNCTION("""COMPUTED_VALUE"""),-0.569293473267363)</f>
        <v>-0.56929347326736301</v>
      </c>
      <c r="KM100" s="3">
        <f ca="1">IFERROR(__xludf.DUMMYFUNCTION("""COMPUTED_VALUE"""),-0.571618681865019)</f>
        <v>-0.57161868186501896</v>
      </c>
      <c r="KN100" s="3">
        <f ca="1">IFERROR(__xludf.DUMMYFUNCTION("""COMPUTED_VALUE"""),-0.682232877866843)</f>
        <v>-0.68223287786684295</v>
      </c>
      <c r="KO100" s="3">
        <f ca="1">IFERROR(__xludf.DUMMYFUNCTION("""COMPUTED_VALUE"""),-0.715606982041075)</f>
        <v>-0.71560698204107498</v>
      </c>
      <c r="KP100" s="3">
        <f ca="1">IFERROR(__xludf.DUMMYFUNCTION("""COMPUTED_VALUE"""),-0.70614424594211)</f>
        <v>-0.70614424594211</v>
      </c>
      <c r="KQ100" s="3">
        <f ca="1">IFERROR(__xludf.DUMMYFUNCTION("""COMPUTED_VALUE"""),-0.712884364026339)</f>
        <v>-0.71288436402633903</v>
      </c>
      <c r="KR100" s="3">
        <f ca="1">IFERROR(__xludf.DUMMYFUNCTION("""COMPUTED_VALUE"""),-0.703665308477319)</f>
        <v>-0.70366530847731901</v>
      </c>
      <c r="KS100" s="3">
        <f ca="1">IFERROR(__xludf.DUMMYFUNCTION("""COMPUTED_VALUE"""),-0.581142129926742)</f>
        <v>-0.58114212992674197</v>
      </c>
      <c r="KT100" s="3">
        <f ca="1">IFERROR(__xludf.DUMMYFUNCTION("""COMPUTED_VALUE"""),-0.606265487453283)</f>
        <v>-0.60626548745328301</v>
      </c>
      <c r="KU100" s="3">
        <f ca="1">IFERROR(__xludf.DUMMYFUNCTION("""COMPUTED_VALUE"""),-0.697799415037456)</f>
        <v>-0.69779941503745602</v>
      </c>
      <c r="KV100" s="3">
        <f ca="1">IFERROR(__xludf.DUMMYFUNCTION("""COMPUTED_VALUE"""),-0.72699182472984)</f>
        <v>-0.72699182472984003</v>
      </c>
      <c r="KW100" s="3">
        <f ca="1">IFERROR(__xludf.DUMMYFUNCTION("""COMPUTED_VALUE"""),-0.730605252668989)</f>
        <v>-0.73060525266898901</v>
      </c>
      <c r="KX100" s="3">
        <f ca="1">IFERROR(__xludf.DUMMYFUNCTION("""COMPUTED_VALUE"""),-0.728522041013886)</f>
        <v>-0.72852204101388596</v>
      </c>
      <c r="KY100" s="3">
        <f ca="1">IFERROR(__xludf.DUMMYFUNCTION("""COMPUTED_VALUE"""),-0.72576464888009)</f>
        <v>-0.72576464888008996</v>
      </c>
      <c r="KZ100" s="3">
        <f ca="1">IFERROR(__xludf.DUMMYFUNCTION("""COMPUTED_VALUE"""),-0.595855040743628)</f>
        <v>-0.59585504074362805</v>
      </c>
      <c r="LA100" s="3">
        <f ca="1">IFERROR(__xludf.DUMMYFUNCTION("""COMPUTED_VALUE"""),-0.653119531392095)</f>
        <v>-0.653119531392095</v>
      </c>
      <c r="LB100" s="3">
        <f ca="1">IFERROR(__xludf.DUMMYFUNCTION("""COMPUTED_VALUE"""),-0.695688894205648)</f>
        <v>-0.69568889420564795</v>
      </c>
      <c r="LC100" s="3">
        <f ca="1">IFERROR(__xludf.DUMMYFUNCTION("""COMPUTED_VALUE"""),-0.724910346426914)</f>
        <v>-0.72491034642691399</v>
      </c>
      <c r="LD100" s="3">
        <f ca="1">IFERROR(__xludf.DUMMYFUNCTION("""COMPUTED_VALUE"""),-0.745372295891952)</f>
        <v>-0.74537229589195197</v>
      </c>
      <c r="LE100" s="3">
        <f ca="1">IFERROR(__xludf.DUMMYFUNCTION("""COMPUTED_VALUE"""),-0.748063965099274)</f>
        <v>-0.74806396509927398</v>
      </c>
      <c r="LF100" s="3">
        <f ca="1">IFERROR(__xludf.DUMMYFUNCTION("""COMPUTED_VALUE"""),-0.728556917653137)</f>
        <v>-0.72855691765313702</v>
      </c>
      <c r="LG100" s="3">
        <f ca="1">IFERROR(__xludf.DUMMYFUNCTION("""COMPUTED_VALUE"""),-0.610383738974257)</f>
        <v>-0.61038373897425702</v>
      </c>
      <c r="LH100" s="3">
        <f ca="1">IFERROR(__xludf.DUMMYFUNCTION("""COMPUTED_VALUE"""),-0.660853666852691)</f>
        <v>-0.66085366685269098</v>
      </c>
      <c r="LI100" s="3">
        <f ca="1">IFERROR(__xludf.DUMMYFUNCTION("""COMPUTED_VALUE"""),-0.7369724361221)</f>
        <v>-0.73697243612209995</v>
      </c>
      <c r="LJ100" s="3">
        <f ca="1">IFERROR(__xludf.DUMMYFUNCTION("""COMPUTED_VALUE"""),-0.755816289007274)</f>
        <v>-0.75581628900727404</v>
      </c>
      <c r="LK100" s="3">
        <f ca="1">IFERROR(__xludf.DUMMYFUNCTION("""COMPUTED_VALUE"""),-0.747639455350584)</f>
        <v>-0.74763945535058396</v>
      </c>
      <c r="LL100" s="3">
        <f ca="1">IFERROR(__xludf.DUMMYFUNCTION("""COMPUTED_VALUE"""),-0.749111394477374)</f>
        <v>-0.74911139447737396</v>
      </c>
      <c r="LM100" s="3">
        <f ca="1">IFERROR(__xludf.DUMMYFUNCTION("""COMPUTED_VALUE"""),-0.712604007662984)</f>
        <v>-0.71260400766298404</v>
      </c>
      <c r="LN100" s="3">
        <f ca="1">IFERROR(__xludf.DUMMYFUNCTION("""COMPUTED_VALUE"""),-0.631939903369137)</f>
        <v>-0.63193990336913697</v>
      </c>
      <c r="LO100" s="3">
        <f ca="1">IFERROR(__xludf.DUMMYFUNCTION("""COMPUTED_VALUE"""),-0.652980928651128)</f>
        <v>-0.652980928651128</v>
      </c>
      <c r="LP100" s="3">
        <f ca="1">IFERROR(__xludf.DUMMYFUNCTION("""COMPUTED_VALUE"""),-0.747246779220578)</f>
        <v>-0.74724677922057803</v>
      </c>
      <c r="LQ100" s="3">
        <f ca="1">IFERROR(__xludf.DUMMYFUNCTION("""COMPUTED_VALUE"""),-0.78298314888992)</f>
        <v>-0.78298314888992004</v>
      </c>
      <c r="LR100" s="3">
        <f ca="1">IFERROR(__xludf.DUMMYFUNCTION("""COMPUTED_VALUE"""),-0.784737466890771)</f>
        <v>-0.78473746689077095</v>
      </c>
      <c r="LS100" s="3">
        <f ca="1">IFERROR(__xludf.DUMMYFUNCTION("""COMPUTED_VALUE"""),-0.780174108207394)</f>
        <v>-0.78017410820739397</v>
      </c>
      <c r="LT100" s="3">
        <f ca="1">IFERROR(__xludf.DUMMYFUNCTION("""COMPUTED_VALUE"""),-0.783038007120468)</f>
        <v>-0.783038007120468</v>
      </c>
      <c r="LU100" s="3">
        <f ca="1">IFERROR(__xludf.DUMMYFUNCTION("""COMPUTED_VALUE"""),-0.697593658737229)</f>
        <v>-0.69759365873722901</v>
      </c>
      <c r="LV100" s="3">
        <f ca="1">IFERROR(__xludf.DUMMYFUNCTION("""COMPUTED_VALUE"""),-0.712303077246365)</f>
        <v>-0.71230307724636499</v>
      </c>
      <c r="LW100" s="3">
        <f ca="1">IFERROR(__xludf.DUMMYFUNCTION("""COMPUTED_VALUE"""),-0.80728312994055)</f>
        <v>-0.80728312994054996</v>
      </c>
      <c r="LX100" s="3">
        <f ca="1">IFERROR(__xludf.DUMMYFUNCTION("""COMPUTED_VALUE"""),-0.814521147377441)</f>
        <v>-0.81452114737744097</v>
      </c>
      <c r="LY100" s="3">
        <f ca="1">IFERROR(__xludf.DUMMYFUNCTION("""COMPUTED_VALUE"""),-0.807771489999028)</f>
        <v>-0.80777148999902804</v>
      </c>
      <c r="LZ100" s="3">
        <f ca="1">IFERROR(__xludf.DUMMYFUNCTION("""COMPUTED_VALUE"""),-0.806639959903191)</f>
        <v>-0.80663995990319104</v>
      </c>
      <c r="MA100" s="3">
        <f ca="1">IFERROR(__xludf.DUMMYFUNCTION("""COMPUTED_VALUE"""),-0.760971857411826)</f>
        <v>-0.76097185741182605</v>
      </c>
      <c r="MB100" s="3">
        <f ca="1">IFERROR(__xludf.DUMMYFUNCTION("""COMPUTED_VALUE"""),-0.725490490033382)</f>
        <v>-0.72549049003338195</v>
      </c>
      <c r="MC100" s="3">
        <f ca="1">IFERROR(__xludf.DUMMYFUNCTION("""COMPUTED_VALUE"""),-0.746646596424205)</f>
        <v>-0.74664659642420494</v>
      </c>
      <c r="MD100" s="3">
        <f ca="1">IFERROR(__xludf.DUMMYFUNCTION("""COMPUTED_VALUE"""),-0.812623432985918)</f>
        <v>-0.81262343298591799</v>
      </c>
      <c r="ME100" s="3">
        <f ca="1">IFERROR(__xludf.DUMMYFUNCTION("""COMPUTED_VALUE"""),-0.82676368302188)</f>
        <v>-0.82676368302187997</v>
      </c>
      <c r="MF100" s="3">
        <f ca="1">IFERROR(__xludf.DUMMYFUNCTION("""COMPUTED_VALUE"""),-0.815416174481018)</f>
        <v>-0.815416174481018</v>
      </c>
      <c r="MG100" s="3">
        <f ca="1">IFERROR(__xludf.DUMMYFUNCTION("""COMPUTED_VALUE"""),-0.822697091688139)</f>
        <v>-0.82269709168813898</v>
      </c>
      <c r="MH100" s="3">
        <f ca="1">IFERROR(__xludf.DUMMYFUNCTION("""COMPUTED_VALUE"""),-0.808173705225277)</f>
        <v>-0.80817370522527698</v>
      </c>
      <c r="MI100" s="3">
        <f ca="1">IFERROR(__xludf.DUMMYFUNCTION("""COMPUTED_VALUE"""),-0.731805454178334)</f>
        <v>-0.73180545417833398</v>
      </c>
      <c r="MJ100" s="3">
        <f ca="1">IFERROR(__xludf.DUMMYFUNCTION("""COMPUTED_VALUE"""),-0.761206537852569)</f>
        <v>-0.76120653785256898</v>
      </c>
      <c r="MK100" s="3">
        <f ca="1">IFERROR(__xludf.DUMMYFUNCTION("""COMPUTED_VALUE"""),-0.820373608414589)</f>
        <v>-0.82037360841458895</v>
      </c>
      <c r="ML100" s="3">
        <f ca="1">IFERROR(__xludf.DUMMYFUNCTION("""COMPUTED_VALUE"""),-0.839864254277065)</f>
        <v>-0.83986425427706501</v>
      </c>
      <c r="MM100" s="3">
        <f ca="1">IFERROR(__xludf.DUMMYFUNCTION("""COMPUTED_VALUE"""),-0.837890367213429)</f>
        <v>-0.83789036721342902</v>
      </c>
      <c r="MN100" s="3">
        <f ca="1">IFERROR(__xludf.DUMMYFUNCTION("""COMPUTED_VALUE"""),-0.835433347047272)</f>
        <v>-0.83543334704727201</v>
      </c>
      <c r="MO100" s="3">
        <f ca="1">IFERROR(__xludf.DUMMYFUNCTION("""COMPUTED_VALUE"""),-0.81034640671309)</f>
        <v>-0.81034640671309</v>
      </c>
      <c r="MP100" s="3">
        <f ca="1">IFERROR(__xludf.DUMMYFUNCTION("""COMPUTED_VALUE"""),-0.75783148418682)</f>
        <v>-0.75783148418682</v>
      </c>
      <c r="MQ100" s="3">
        <f ca="1">IFERROR(__xludf.DUMMYFUNCTION("""COMPUTED_VALUE"""),-0.786399327263859)</f>
        <v>-0.78639932726385897</v>
      </c>
      <c r="MR100" s="3">
        <f ca="1">IFERROR(__xludf.DUMMYFUNCTION("""COMPUTED_VALUE"""),-0.816981347585174)</f>
        <v>-0.81698134758517404</v>
      </c>
      <c r="MS100" s="3">
        <f ca="1">IFERROR(__xludf.DUMMYFUNCTION("""COMPUTED_VALUE"""),-0.846283685844075)</f>
        <v>-0.84628368584407498</v>
      </c>
      <c r="MT100" s="3">
        <f ca="1">IFERROR(__xludf.DUMMYFUNCTION("""COMPUTED_VALUE"""),-0.848660687125767)</f>
        <v>-0.84866068712576703</v>
      </c>
      <c r="MU100" s="3">
        <f ca="1">IFERROR(__xludf.DUMMYFUNCTION("""COMPUTED_VALUE"""),-0.850209125028946)</f>
        <v>-0.85020912502894597</v>
      </c>
      <c r="MV100" s="3">
        <f ca="1">IFERROR(__xludf.DUMMYFUNCTION("""COMPUTED_VALUE"""),-0.822130763947617)</f>
        <v>-0.82213076394761697</v>
      </c>
      <c r="MW100" s="3">
        <f ca="1">IFERROR(__xludf.DUMMYFUNCTION("""COMPUTED_VALUE"""),-0.781397643146079)</f>
        <v>-0.78139764314607896</v>
      </c>
      <c r="MX100" s="3">
        <f ca="1">IFERROR(__xludf.DUMMYFUNCTION("""COMPUTED_VALUE"""),-0.810581999634318)</f>
        <v>-0.81058199963431798</v>
      </c>
      <c r="MY100" s="3">
        <f ca="1">IFERROR(__xludf.DUMMYFUNCTION("""COMPUTED_VALUE"""),-0.830336087054656)</f>
        <v>-0.830336087054656</v>
      </c>
      <c r="MZ100" s="3">
        <f ca="1">IFERROR(__xludf.DUMMYFUNCTION("""COMPUTED_VALUE"""),-0.861795035991219)</f>
        <v>-0.86179503599121898</v>
      </c>
      <c r="NA100" s="3">
        <f ca="1">IFERROR(__xludf.DUMMYFUNCTION("""COMPUTED_VALUE"""),-0.860318711002099)</f>
        <v>-0.860318711002099</v>
      </c>
      <c r="NB100" s="3">
        <f ca="1">IFERROR(__xludf.DUMMYFUNCTION("""COMPUTED_VALUE"""),-0.853076966116518)</f>
        <v>-0.85307696611651795</v>
      </c>
      <c r="NC100" s="3">
        <f ca="1">IFERROR(__xludf.DUMMYFUNCTION("""COMPUTED_VALUE"""),-0.857625815896455)</f>
        <v>-0.85762581589645503</v>
      </c>
      <c r="ND100" s="3">
        <f ca="1">IFERROR(__xludf.DUMMYFUNCTION("""COMPUTED_VALUE"""),-0.832212566194856)</f>
        <v>-0.83221256619485595</v>
      </c>
      <c r="NE100" s="3">
        <f ca="1">IFERROR(__xludf.DUMMYFUNCTION("""COMPUTED_VALUE"""),-0.809353303175259)</f>
        <v>-0.809353303175259</v>
      </c>
      <c r="NF100" s="3">
        <f ca="1">IFERROR(__xludf.DUMMYFUNCTION("""COMPUTED_VALUE"""),-0.877612066765663)</f>
        <v>-0.87761206676566295</v>
      </c>
      <c r="NG100" s="3">
        <f ca="1">IFERROR(__xludf.DUMMYFUNCTION("""COMPUTED_VALUE"""),-0.863156713627731)</f>
        <v>-0.86315671362773105</v>
      </c>
      <c r="NH100" s="3">
        <f ca="1">IFERROR(__xludf.DUMMYFUNCTION("""COMPUTED_VALUE"""),-0.855818122999751)</f>
        <v>-0.85581812299975102</v>
      </c>
      <c r="NI100" s="3">
        <f ca="1">IFERROR(__xludf.DUMMYFUNCTION("""COMPUTED_VALUE"""),-0.846844992086669)</f>
        <v>-0.84684499208666897</v>
      </c>
      <c r="NJ100" s="3">
        <f ca="1">IFERROR(__xludf.DUMMYFUNCTION("""COMPUTED_VALUE"""),-0.845316620301967)</f>
        <v>-0.84531662030196697</v>
      </c>
      <c r="NK100" s="3">
        <f ca="1">IFERROR(__xludf.DUMMYFUNCTION("""COMPUTED_VALUE"""),-0.790022397240457)</f>
        <v>-0.79002239724045697</v>
      </c>
      <c r="NL100" s="3">
        <f ca="1">IFERROR(__xludf.DUMMYFUNCTION("""COMPUTED_VALUE"""),-0.801502710201224)</f>
        <v>-0.80150271020122399</v>
      </c>
      <c r="NM100" s="3">
        <f ca="1">IFERROR(__xludf.DUMMYFUNCTION("""COMPUTED_VALUE"""),-0.859040035235663)</f>
        <v>-0.85904003523566297</v>
      </c>
      <c r="NN100" s="3">
        <f ca="1">IFERROR(__xludf.DUMMYFUNCTION("""COMPUTED_VALUE"""),-0.85852205973593)</f>
        <v>-0.85852205973592999</v>
      </c>
      <c r="NO100" s="3">
        <f ca="1">IFERROR(__xludf.DUMMYFUNCTION("""COMPUTED_VALUE"""),-0.854037799165393)</f>
        <v>-0.85403779916539302</v>
      </c>
      <c r="NP100" s="3">
        <f ca="1">IFERROR(__xludf.DUMMYFUNCTION("""COMPUTED_VALUE"""),-0.846908535069855)</f>
        <v>-0.84690853506985497</v>
      </c>
      <c r="NQ100" s="3">
        <f ca="1">IFERROR(__xludf.DUMMYFUNCTION("""COMPUTED_VALUE"""),-0.841780758454993)</f>
        <v>-0.84178075845499301</v>
      </c>
      <c r="NR100" s="3">
        <f ca="1">IFERROR(__xludf.DUMMYFUNCTION("""COMPUTED_VALUE"""),-0.790453107827606)</f>
        <v>-0.79045310782760603</v>
      </c>
      <c r="NS100" s="3">
        <f ca="1">IFERROR(__xludf.DUMMYFUNCTION("""COMPUTED_VALUE"""),-0.802663450338859)</f>
        <v>-0.802663450338859</v>
      </c>
      <c r="NT100" s="3">
        <f ca="1">IFERROR(__xludf.DUMMYFUNCTION("""COMPUTED_VALUE"""),-0.852445811692109)</f>
        <v>-0.85244581169210898</v>
      </c>
      <c r="NU100" s="3">
        <f ca="1">IFERROR(__xludf.DUMMYFUNCTION("""COMPUTED_VALUE"""),-0.862208781981674)</f>
        <v>-0.86220878198167406</v>
      </c>
      <c r="NV100" s="3">
        <f ca="1">IFERROR(__xludf.DUMMYFUNCTION("""COMPUTED_VALUE"""),-0.859258839349199)</f>
        <v>-0.859258839349199</v>
      </c>
      <c r="NW100" s="3">
        <f ca="1">IFERROR(__xludf.DUMMYFUNCTION("""COMPUTED_VALUE"""),-0.843851119282281)</f>
        <v>-0.84385111928228096</v>
      </c>
      <c r="NX100" s="3">
        <f ca="1">IFERROR(__xludf.DUMMYFUNCTION("""COMPUTED_VALUE"""),-0.829442764377537)</f>
        <v>-0.82944276437753695</v>
      </c>
      <c r="NY100" s="3">
        <f ca="1">IFERROR(__xludf.DUMMYFUNCTION("""COMPUTED_VALUE"""),-0.701394194001596)</f>
        <v>-0.70139419400159597</v>
      </c>
      <c r="NZ100" s="3">
        <f ca="1">IFERROR(__xludf.DUMMYFUNCTION("""COMPUTED_VALUE"""),-0.708897717425992)</f>
        <v>-0.70889771742599195</v>
      </c>
      <c r="OA100" s="3">
        <f ca="1">IFERROR(__xludf.DUMMYFUNCTION("""COMPUTED_VALUE"""),-0.778861698540069)</f>
        <v>-0.77886169854006904</v>
      </c>
      <c r="OB100" s="3">
        <f ca="1">IFERROR(__xludf.DUMMYFUNCTION("""COMPUTED_VALUE"""),-0.77567803408351)</f>
        <v>-0.77567803408350999</v>
      </c>
      <c r="OC100" s="3">
        <f ca="1">IFERROR(__xludf.DUMMYFUNCTION("""COMPUTED_VALUE"""),-0.750979948279369)</f>
        <v>-0.75097994827936898</v>
      </c>
      <c r="OD100" s="3">
        <f ca="1">IFERROR(__xludf.DUMMYFUNCTION("""COMPUTED_VALUE"""),-0.708994147035308)</f>
        <v>-0.70899414703530805</v>
      </c>
      <c r="OE100" s="3">
        <f ca="1">IFERROR(__xludf.DUMMYFUNCTION("""COMPUTED_VALUE"""),-0.61289202877047)</f>
        <v>-0.61289202877047</v>
      </c>
      <c r="OF100" s="3">
        <f ca="1">IFERROR(__xludf.DUMMYFUNCTION("""COMPUTED_VALUE"""),-0.306025734843421)</f>
        <v>-0.30602573484342099</v>
      </c>
      <c r="OG100" s="3">
        <f ca="1">IFERROR(__xludf.DUMMYFUNCTION("""COMPUTED_VALUE"""),-0.278251214897664)</f>
        <v>-0.27825121489766402</v>
      </c>
      <c r="OH100" s="3">
        <f ca="1">IFERROR(__xludf.DUMMYFUNCTION("""COMPUTED_VALUE"""),-0.183147533399924)</f>
        <v>-0.18314753339992401</v>
      </c>
      <c r="OI100" s="3">
        <f ca="1">IFERROR(__xludf.DUMMYFUNCTION("""COMPUTED_VALUE"""),-0.0571853396794989)</f>
        <v>-5.7185339679498903E-2</v>
      </c>
      <c r="OJ100" s="3">
        <f ca="1">IFERROR(__xludf.DUMMYFUNCTION("""COMPUTED_VALUE"""),-0.0122045622265665)</f>
        <v>-1.22045622265665E-2</v>
      </c>
      <c r="OK100" s="3">
        <f ca="1">IFERROR(__xludf.DUMMYFUNCTION("""COMPUTED_VALUE"""),-0.00324190191145135)</f>
        <v>-3.2419019114513499E-3</v>
      </c>
      <c r="OL100" s="3">
        <f ca="1">IFERROR(__xludf.DUMMYFUNCTION("""COMPUTED_VALUE"""),-0.00549391090740503)</f>
        <v>-5.4939109074050299E-3</v>
      </c>
      <c r="OM100" s="3">
        <f ca="1">IFERROR(__xludf.DUMMYFUNCTION("""COMPUTED_VALUE"""),-0.000427291564240817)</f>
        <v>-4.2729156424081699E-4</v>
      </c>
      <c r="ON100" s="3">
        <f ca="1">IFERROR(__xludf.DUMMYFUNCTION("""COMPUTED_VALUE"""),0.0408190556659204)</f>
        <v>4.0819055665920402E-2</v>
      </c>
      <c r="OO100" s="3">
        <f ca="1">IFERROR(__xludf.DUMMYFUNCTION("""COMPUTED_VALUE"""),0.04101246985893)</f>
        <v>4.1012469858929999E-2</v>
      </c>
      <c r="OP100" s="3">
        <f ca="1">IFERROR(__xludf.DUMMYFUNCTION("""COMPUTED_VALUE"""),0.0351648018933636)</f>
        <v>3.5164801893363601E-2</v>
      </c>
      <c r="OQ100" s="3">
        <f ca="1">IFERROR(__xludf.DUMMYFUNCTION("""COMPUTED_VALUE"""),0.034857431059706)</f>
        <v>3.4857431059705998E-2</v>
      </c>
      <c r="OR100" s="3">
        <f ca="1">IFERROR(__xludf.DUMMYFUNCTION("""COMPUTED_VALUE"""),0.0730035941096023)</f>
        <v>7.3003594109602304E-2</v>
      </c>
      <c r="OS100" s="3">
        <f ca="1">IFERROR(__xludf.DUMMYFUNCTION("""COMPUTED_VALUE"""),0.0367600438691932)</f>
        <v>3.6760043869193203E-2</v>
      </c>
      <c r="OT100" s="3">
        <f ca="1">IFERROR(__xludf.DUMMYFUNCTION("""COMPUTED_VALUE"""),0.0595901216607099)</f>
        <v>5.9590121660709899E-2</v>
      </c>
      <c r="OU100" s="3">
        <f ca="1">IFERROR(__xludf.DUMMYFUNCTION("""COMPUTED_VALUE"""),0.0387648760394239)</f>
        <v>3.8764876039423898E-2</v>
      </c>
      <c r="OV100" s="3">
        <f ca="1">IFERROR(__xludf.DUMMYFUNCTION("""COMPUTED_VALUE"""),0.0224539425791299)</f>
        <v>2.2453942579129901E-2</v>
      </c>
      <c r="OW100" s="3">
        <f ca="1">IFERROR(__xludf.DUMMYFUNCTION("""COMPUTED_VALUE"""),-0.0836365189118698)</f>
        <v>-8.3636518911869795E-2</v>
      </c>
      <c r="OX100" s="3">
        <f ca="1">IFERROR(__xludf.DUMMYFUNCTION("""COMPUTED_VALUE"""),0.0341024914884255)</f>
        <v>3.41024914884255E-2</v>
      </c>
      <c r="OY100" s="3">
        <f ca="1">IFERROR(__xludf.DUMMYFUNCTION("""COMPUTED_VALUE"""),0.0351790897738766)</f>
        <v>3.5179089773876598E-2</v>
      </c>
      <c r="OZ100" s="3">
        <f ca="1">IFERROR(__xludf.DUMMYFUNCTION("""COMPUTED_VALUE"""),0.14902929664523)</f>
        <v>0.14902929664523001</v>
      </c>
      <c r="PA100" s="3">
        <f ca="1">IFERROR(__xludf.DUMMYFUNCTION("""COMPUTED_VALUE"""),0.00842716578417968)</f>
        <v>8.4271657841796799E-3</v>
      </c>
      <c r="PB100" s="3">
        <f ca="1">IFERROR(__xludf.DUMMYFUNCTION("""COMPUTED_VALUE"""),-0.0268632030248107)</f>
        <v>-2.6863203024810701E-2</v>
      </c>
      <c r="PC100" s="3">
        <f ca="1">IFERROR(__xludf.DUMMYFUNCTION("""COMPUTED_VALUE"""),-0.129773387372072)</f>
        <v>-0.129773387372072</v>
      </c>
      <c r="PD100" s="3">
        <f ca="1">IFERROR(__xludf.DUMMYFUNCTION("""COMPUTED_VALUE"""),-0.108605031121356)</f>
        <v>-0.108605031121356</v>
      </c>
      <c r="PE100" s="3">
        <f ca="1">IFERROR(__xludf.DUMMYFUNCTION("""COMPUTED_VALUE"""),0.140200315011046)</f>
        <v>0.14020031501104599</v>
      </c>
      <c r="PF100" s="3">
        <f ca="1">IFERROR(__xludf.DUMMYFUNCTION("""COMPUTED_VALUE"""),0.00722072055543798)</f>
        <v>7.2207205554379802E-3</v>
      </c>
      <c r="PG100" s="3">
        <f ca="1">IFERROR(__xludf.DUMMYFUNCTION("""COMPUTED_VALUE"""),-0.339316392899997)</f>
        <v>-0.33931639289999699</v>
      </c>
      <c r="PH100" s="3">
        <f ca="1">IFERROR(__xludf.DUMMYFUNCTION("""COMPUTED_VALUE"""),0.0456139416969323)</f>
        <v>4.5613941696932302E-2</v>
      </c>
      <c r="PI100" s="3">
        <f ca="1">IFERROR(__xludf.DUMMYFUNCTION("""COMPUTED_VALUE"""),-0.0440291048998638)</f>
        <v>-4.4029104899863801E-2</v>
      </c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</row>
    <row r="101" spans="1:477" ht="13">
      <c r="A101" s="1" t="str">
        <f ca="1">IFERROR(__xludf.DUMMYFUNCTION("""COMPUTED_VALUE"""),"IDF Mobilités - Bus")</f>
        <v>IDF Mobilités - Bus</v>
      </c>
      <c r="B101" s="1" t="str">
        <f ca="1">IFERROR(__xludf.DUMMYFUNCTION("""COMPUTED_VALUE"""),"Paris")</f>
        <v>Paris</v>
      </c>
      <c r="C101" s="1" t="str">
        <f ca="1">IFERROR(__xludf.DUMMYFUNCTION("""COMPUTED_VALUE"""),"France")</f>
        <v>France</v>
      </c>
      <c r="D101" s="1" t="str">
        <f ca="1">IFERROR(__xludf.DUMMYFUNCTION("""COMPUTED_VALUE"""),"Île-de-France")</f>
        <v>Île-de-France</v>
      </c>
      <c r="E101" s="3">
        <f ca="1">IFERROR(__xludf.DUMMYFUNCTION("""COMPUTED_VALUE"""),-0.553893971906971)</f>
        <v>-0.55389397190697098</v>
      </c>
      <c r="F101" s="3">
        <f ca="1">IFERROR(__xludf.DUMMYFUNCTION("""COMPUTED_VALUE"""),-0.559039479565556)</f>
        <v>-0.559039479565556</v>
      </c>
      <c r="G101" s="3">
        <f ca="1">IFERROR(__xludf.DUMMYFUNCTION("""COMPUTED_VALUE"""),-0.529938189421088)</f>
        <v>-0.52993818942108795</v>
      </c>
      <c r="H101" s="3">
        <f ca="1">IFERROR(__xludf.DUMMYFUNCTION("""COMPUTED_VALUE"""),-0.528520437792727)</f>
        <v>-0.52852043779272695</v>
      </c>
      <c r="I101" s="3">
        <f ca="1">IFERROR(__xludf.DUMMYFUNCTION("""COMPUTED_VALUE"""),-0.529834472843311)</f>
        <v>-0.52983447284331098</v>
      </c>
      <c r="J101" s="3">
        <f ca="1">IFERROR(__xludf.DUMMYFUNCTION("""COMPUTED_VALUE"""),-0.591731581434704)</f>
        <v>-0.59173158143470395</v>
      </c>
      <c r="K101" s="3">
        <f ca="1">IFERROR(__xludf.DUMMYFUNCTION("""COMPUTED_VALUE"""),-0.435477202819107)</f>
        <v>-0.43547720281910701</v>
      </c>
      <c r="L101" s="3">
        <f ca="1">IFERROR(__xludf.DUMMYFUNCTION("""COMPUTED_VALUE"""),-0.516117750335982)</f>
        <v>-0.51611775033598195</v>
      </c>
      <c r="M101" s="3">
        <f ca="1">IFERROR(__xludf.DUMMYFUNCTION("""COMPUTED_VALUE"""),-0.443046804665306)</f>
        <v>-0.44304680466530599</v>
      </c>
      <c r="N101" s="3">
        <f ca="1">IFERROR(__xludf.DUMMYFUNCTION("""COMPUTED_VALUE"""),-0.424599986387553)</f>
        <v>-0.42459998638755297</v>
      </c>
      <c r="O101" s="3">
        <f ca="1">IFERROR(__xludf.DUMMYFUNCTION("""COMPUTED_VALUE"""),-0.420924325323007)</f>
        <v>-0.420924325323007</v>
      </c>
      <c r="P101" s="3">
        <f ca="1">IFERROR(__xludf.DUMMYFUNCTION("""COMPUTED_VALUE"""),-0.385643410125436)</f>
        <v>-0.38564341012543601</v>
      </c>
      <c r="Q101" s="3">
        <f ca="1">IFERROR(__xludf.DUMMYFUNCTION("""COMPUTED_VALUE"""),-0.419752918970214)</f>
        <v>-0.419752918970214</v>
      </c>
      <c r="R101" s="3">
        <f ca="1">IFERROR(__xludf.DUMMYFUNCTION("""COMPUTED_VALUE"""),-0.490923978558841)</f>
        <v>-0.49092397855884101</v>
      </c>
      <c r="S101" s="3">
        <f ca="1">IFERROR(__xludf.DUMMYFUNCTION("""COMPUTED_VALUE"""),-0.515356504149224)</f>
        <v>-0.51535650414922396</v>
      </c>
      <c r="T101" s="3">
        <f ca="1">IFERROR(__xludf.DUMMYFUNCTION("""COMPUTED_VALUE"""),-0.466789571966548)</f>
        <v>-0.46678957196654802</v>
      </c>
      <c r="U101" s="3">
        <f ca="1">IFERROR(__xludf.DUMMYFUNCTION("""COMPUTED_VALUE"""),-0.439763786056479)</f>
        <v>-0.43976378605647898</v>
      </c>
      <c r="V101" s="3">
        <f ca="1">IFERROR(__xludf.DUMMYFUNCTION("""COMPUTED_VALUE"""),-0.44330401086468)</f>
        <v>-0.44330401086468002</v>
      </c>
      <c r="W101" s="3">
        <f ca="1">IFERROR(__xludf.DUMMYFUNCTION("""COMPUTED_VALUE"""),-0.430254850792908)</f>
        <v>-0.43025485079290798</v>
      </c>
      <c r="X101" s="3">
        <f ca="1">IFERROR(__xludf.DUMMYFUNCTION("""COMPUTED_VALUE"""),-0.455683229039972)</f>
        <v>-0.45568322903997199</v>
      </c>
      <c r="Y101" s="3">
        <f ca="1">IFERROR(__xludf.DUMMYFUNCTION("""COMPUTED_VALUE"""),-0.547587081248635)</f>
        <v>-0.54758708124863498</v>
      </c>
      <c r="Z101" s="3">
        <f ca="1">IFERROR(__xludf.DUMMYFUNCTION("""COMPUTED_VALUE"""),-0.582431545079586)</f>
        <v>-0.58243154507958605</v>
      </c>
      <c r="AA101" s="3">
        <f ca="1">IFERROR(__xludf.DUMMYFUNCTION("""COMPUTED_VALUE"""),-0.403133625807637)</f>
        <v>-0.40313362580763701</v>
      </c>
      <c r="AB101" s="3">
        <f ca="1">IFERROR(__xludf.DUMMYFUNCTION("""COMPUTED_VALUE"""),-0.417840296463072)</f>
        <v>-0.41784029646307203</v>
      </c>
      <c r="AC101" s="3">
        <f ca="1">IFERROR(__xludf.DUMMYFUNCTION("""COMPUTED_VALUE"""),-0.4100881717833)</f>
        <v>-0.41008817178329998</v>
      </c>
      <c r="AD101" s="3">
        <f ca="1">IFERROR(__xludf.DUMMYFUNCTION("""COMPUTED_VALUE"""),-0.38814354846358)</f>
        <v>-0.38814354846358001</v>
      </c>
      <c r="AE101" s="3">
        <f ca="1">IFERROR(__xludf.DUMMYFUNCTION("""COMPUTED_VALUE"""),-0.405492283606302)</f>
        <v>-0.40549228360630202</v>
      </c>
      <c r="AF101" s="3">
        <f ca="1">IFERROR(__xludf.DUMMYFUNCTION("""COMPUTED_VALUE"""),-0.3992615924695)</f>
        <v>-0.39926159246949999</v>
      </c>
      <c r="AG101" s="3">
        <f ca="1">IFERROR(__xludf.DUMMYFUNCTION("""COMPUTED_VALUE"""),-0.427260058794803)</f>
        <v>-0.427260058794803</v>
      </c>
      <c r="AH101" s="3">
        <f ca="1">IFERROR(__xludf.DUMMYFUNCTION("""COMPUTED_VALUE"""),-0.415656848110024)</f>
        <v>-0.41565684811002401</v>
      </c>
      <c r="AI101" s="3">
        <f ca="1">IFERROR(__xludf.DUMMYFUNCTION("""COMPUTED_VALUE"""),-0.402520514938597)</f>
        <v>-0.40252051493859697</v>
      </c>
      <c r="AJ101" s="3">
        <f ca="1">IFERROR(__xludf.DUMMYFUNCTION("""COMPUTED_VALUE"""),-0.376143040021027)</f>
        <v>-0.376143040021027</v>
      </c>
      <c r="AK101" s="3">
        <f ca="1">IFERROR(__xludf.DUMMYFUNCTION("""COMPUTED_VALUE"""),-0.373114234646603)</f>
        <v>-0.37311423464660298</v>
      </c>
      <c r="AL101" s="3">
        <f ca="1">IFERROR(__xludf.DUMMYFUNCTION("""COMPUTED_VALUE"""),-0.382235414688524)</f>
        <v>-0.38223541468852401</v>
      </c>
      <c r="AM101" s="3">
        <f ca="1">IFERROR(__xludf.DUMMYFUNCTION("""COMPUTED_VALUE"""),-0.388145934034007)</f>
        <v>-0.38814593403400699</v>
      </c>
      <c r="AN101" s="3">
        <f ca="1">IFERROR(__xludf.DUMMYFUNCTION("""COMPUTED_VALUE"""),-0.389610055570038)</f>
        <v>-0.38961005557003803</v>
      </c>
      <c r="AO101" s="3">
        <f ca="1">IFERROR(__xludf.DUMMYFUNCTION("""COMPUTED_VALUE"""),-0.340822642458523)</f>
        <v>-0.34082264245852301</v>
      </c>
      <c r="AP101" s="3">
        <f ca="1">IFERROR(__xludf.DUMMYFUNCTION("""COMPUTED_VALUE"""),-0.331328971635274)</f>
        <v>-0.33132897163527403</v>
      </c>
      <c r="AQ101" s="3">
        <f ca="1">IFERROR(__xludf.DUMMYFUNCTION("""COMPUTED_VALUE"""),-0.319489212904439)</f>
        <v>-0.31948921290443899</v>
      </c>
      <c r="AR101" s="3">
        <f ca="1">IFERROR(__xludf.DUMMYFUNCTION("""COMPUTED_VALUE"""),-0.310808912231035)</f>
        <v>-0.31080891223103502</v>
      </c>
      <c r="AS101" s="3">
        <f ca="1">IFERROR(__xludf.DUMMYFUNCTION("""COMPUTED_VALUE"""),-0.349053290336467)</f>
        <v>-0.34905329033646698</v>
      </c>
      <c r="AT101" s="3">
        <f ca="1">IFERROR(__xludf.DUMMYFUNCTION("""COMPUTED_VALUE"""),-0.379340174349063)</f>
        <v>-0.37934017434906298</v>
      </c>
      <c r="AU101" s="3">
        <f ca="1">IFERROR(__xludf.DUMMYFUNCTION("""COMPUTED_VALUE"""),-0.38365814387432)</f>
        <v>-0.38365814387432001</v>
      </c>
      <c r="AV101" s="3">
        <f ca="1">IFERROR(__xludf.DUMMYFUNCTION("""COMPUTED_VALUE"""),-0.432237687285149)</f>
        <v>-0.432237687285149</v>
      </c>
      <c r="AW101" s="3">
        <f ca="1">IFERROR(__xludf.DUMMYFUNCTION("""COMPUTED_VALUE"""),-0.414044976587648)</f>
        <v>-0.41404497658764799</v>
      </c>
      <c r="AX101" s="3">
        <f ca="1">IFERROR(__xludf.DUMMYFUNCTION("""COMPUTED_VALUE"""),-0.397245420133151)</f>
        <v>-0.39724542013315101</v>
      </c>
      <c r="AY101" s="3">
        <f ca="1">IFERROR(__xludf.DUMMYFUNCTION("""COMPUTED_VALUE"""),-0.431913114686902)</f>
        <v>-0.43191311468690202</v>
      </c>
      <c r="AZ101" s="3">
        <f ca="1">IFERROR(__xludf.DUMMYFUNCTION("""COMPUTED_VALUE"""),-0.440328946698519)</f>
        <v>-0.44032894669851902</v>
      </c>
      <c r="BA101" s="3">
        <f ca="1">IFERROR(__xludf.DUMMYFUNCTION("""COMPUTED_VALUE"""),-0.391882688503519)</f>
        <v>-0.39188268850351898</v>
      </c>
      <c r="BB101" s="3">
        <f ca="1">IFERROR(__xludf.DUMMYFUNCTION("""COMPUTED_VALUE"""),-0.40222272605508)</f>
        <v>-0.40222272605508003</v>
      </c>
      <c r="BC101" s="3">
        <f ca="1">IFERROR(__xludf.DUMMYFUNCTION("""COMPUTED_VALUE"""),-0.475863568908132)</f>
        <v>-0.47586356890813197</v>
      </c>
      <c r="BD101" s="3">
        <f ca="1">IFERROR(__xludf.DUMMYFUNCTION("""COMPUTED_VALUE"""),-0.461317543878297)</f>
        <v>-0.46131754387829699</v>
      </c>
      <c r="BE101" s="3">
        <f ca="1">IFERROR(__xludf.DUMMYFUNCTION("""COMPUTED_VALUE"""),-0.466910035123904)</f>
        <v>-0.466910035123904</v>
      </c>
      <c r="BF101" s="3">
        <f ca="1">IFERROR(__xludf.DUMMYFUNCTION("""COMPUTED_VALUE"""),-0.415587223335132)</f>
        <v>-0.41558722333513198</v>
      </c>
      <c r="BG101" s="3">
        <f ca="1">IFERROR(__xludf.DUMMYFUNCTION("""COMPUTED_VALUE"""),-0.433010638686539)</f>
        <v>-0.433010638686539</v>
      </c>
      <c r="BH101" s="3">
        <f ca="1">IFERROR(__xludf.DUMMYFUNCTION("""COMPUTED_VALUE"""),-0.424326372299991)</f>
        <v>-0.42432637229999098</v>
      </c>
      <c r="BI101" s="3">
        <f ca="1">IFERROR(__xludf.DUMMYFUNCTION("""COMPUTED_VALUE"""),-0.470766692758175)</f>
        <v>-0.47076669275817501</v>
      </c>
      <c r="BJ101" s="3">
        <f ca="1">IFERROR(__xludf.DUMMYFUNCTION("""COMPUTED_VALUE"""),-0.453571565539343)</f>
        <v>-0.45357156553934302</v>
      </c>
      <c r="BK101" s="3">
        <f ca="1">IFERROR(__xludf.DUMMYFUNCTION("""COMPUTED_VALUE"""),-0.444323907796691)</f>
        <v>-0.44432390779669101</v>
      </c>
      <c r="BL101" s="3">
        <f ca="1">IFERROR(__xludf.DUMMYFUNCTION("""COMPUTED_VALUE"""),-0.455324052589428)</f>
        <v>-0.45532405258942799</v>
      </c>
      <c r="BM101" s="3">
        <f ca="1">IFERROR(__xludf.DUMMYFUNCTION("""COMPUTED_VALUE"""),-0.406655918821397)</f>
        <v>-0.40665591882139701</v>
      </c>
      <c r="BN101" s="3">
        <f ca="1">IFERROR(__xludf.DUMMYFUNCTION("""COMPUTED_VALUE"""),-0.440398637339887)</f>
        <v>-0.44039863733988699</v>
      </c>
      <c r="BO101" s="3">
        <f ca="1">IFERROR(__xludf.DUMMYFUNCTION("""COMPUTED_VALUE"""),-0.458766180100651)</f>
        <v>-0.45876618010065101</v>
      </c>
      <c r="BP101" s="3">
        <f ca="1">IFERROR(__xludf.DUMMYFUNCTION("""COMPUTED_VALUE"""),-0.428696939961365)</f>
        <v>-0.42869693996136499</v>
      </c>
      <c r="BQ101" s="3">
        <f ca="1">IFERROR(__xludf.DUMMYFUNCTION("""COMPUTED_VALUE"""),-0.418291598809278)</f>
        <v>-0.41829159880927802</v>
      </c>
      <c r="BR101" s="3">
        <f ca="1">IFERROR(__xludf.DUMMYFUNCTION("""COMPUTED_VALUE"""),-0.465221546345199)</f>
        <v>-0.46522154634519902</v>
      </c>
      <c r="BS101" s="3">
        <f ca="1">IFERROR(__xludf.DUMMYFUNCTION("""COMPUTED_VALUE"""),-0.485683749551977)</f>
        <v>-0.48568374955197702</v>
      </c>
      <c r="BT101" s="3">
        <f ca="1">IFERROR(__xludf.DUMMYFUNCTION("""COMPUTED_VALUE"""),-0.478622710350275)</f>
        <v>-0.47862271035027498</v>
      </c>
      <c r="BU101" s="3">
        <f ca="1">IFERROR(__xludf.DUMMYFUNCTION("""COMPUTED_VALUE"""),-0.514962282644206)</f>
        <v>-0.51496228264420596</v>
      </c>
      <c r="BV101" s="3">
        <f ca="1">IFERROR(__xludf.DUMMYFUNCTION("""COMPUTED_VALUE"""),-0.434075453303884)</f>
        <v>-0.43407545330388397</v>
      </c>
      <c r="BW101" s="3">
        <f ca="1">IFERROR(__xludf.DUMMYFUNCTION("""COMPUTED_VALUE"""),-0.448068638336833)</f>
        <v>-0.44806863833683303</v>
      </c>
      <c r="BX101" s="3">
        <f ca="1">IFERROR(__xludf.DUMMYFUNCTION("""COMPUTED_VALUE"""),-0.534154637738079)</f>
        <v>-0.53415463773807903</v>
      </c>
      <c r="BY101" s="3">
        <f ca="1">IFERROR(__xludf.DUMMYFUNCTION("""COMPUTED_VALUE"""),-0.496693712980683)</f>
        <v>-0.49669371298068299</v>
      </c>
      <c r="BZ101" s="3">
        <f ca="1">IFERROR(__xludf.DUMMYFUNCTION("""COMPUTED_VALUE"""),-0.514426630790202)</f>
        <v>-0.51442663079020201</v>
      </c>
      <c r="CA101" s="3">
        <f ca="1">IFERROR(__xludf.DUMMYFUNCTION("""COMPUTED_VALUE"""),-0.506525209675294)</f>
        <v>-0.50652520967529402</v>
      </c>
      <c r="CB101" s="3">
        <f ca="1">IFERROR(__xludf.DUMMYFUNCTION("""COMPUTED_VALUE"""),-0.533726668086886)</f>
        <v>-0.53372666808688596</v>
      </c>
      <c r="CC101" s="3">
        <f ca="1">IFERROR(__xludf.DUMMYFUNCTION("""COMPUTED_VALUE"""),-0.509159550912646)</f>
        <v>-0.50915955091264598</v>
      </c>
      <c r="CD101" s="3">
        <f ca="1">IFERROR(__xludf.DUMMYFUNCTION("""COMPUTED_VALUE"""),-0.553514948511169)</f>
        <v>-0.553514948511169</v>
      </c>
      <c r="CE101" s="3">
        <f ca="1">IFERROR(__xludf.DUMMYFUNCTION("""COMPUTED_VALUE"""),-0.563136022856947)</f>
        <v>-0.56313602285694697</v>
      </c>
      <c r="CF101" s="3">
        <f ca="1">IFERROR(__xludf.DUMMYFUNCTION("""COMPUTED_VALUE"""),-0.516266263475386)</f>
        <v>-0.51626626347538596</v>
      </c>
      <c r="CG101" s="3">
        <f ca="1">IFERROR(__xludf.DUMMYFUNCTION("""COMPUTED_VALUE"""),-0.545627674817031)</f>
        <v>-0.54562767481703101</v>
      </c>
      <c r="CH101" s="3">
        <f ca="1">IFERROR(__xludf.DUMMYFUNCTION("""COMPUTED_VALUE"""),-0.541202575178035)</f>
        <v>-0.54120257517803505</v>
      </c>
      <c r="CI101" s="3">
        <f ca="1">IFERROR(__xludf.DUMMYFUNCTION("""COMPUTED_VALUE"""),-0.55646250356527)</f>
        <v>-0.55646250356527005</v>
      </c>
      <c r="CJ101" s="3">
        <f ca="1">IFERROR(__xludf.DUMMYFUNCTION("""COMPUTED_VALUE"""),-0.561847522240713)</f>
        <v>-0.56184752224071299</v>
      </c>
      <c r="CK101" s="3">
        <f ca="1">IFERROR(__xludf.DUMMYFUNCTION("""COMPUTED_VALUE"""),-0.594859940573962)</f>
        <v>-0.59485994057396196</v>
      </c>
      <c r="CL101" s="3">
        <f ca="1">IFERROR(__xludf.DUMMYFUNCTION("""COMPUTED_VALUE"""),-0.584482732537419)</f>
        <v>-0.584482732537419</v>
      </c>
      <c r="CM101" s="3">
        <f ca="1">IFERROR(__xludf.DUMMYFUNCTION("""COMPUTED_VALUE"""),-0.574742871404536)</f>
        <v>-0.57474287140453595</v>
      </c>
      <c r="CN101" s="3">
        <f ca="1">IFERROR(__xludf.DUMMYFUNCTION("""COMPUTED_VALUE"""),-0.57882239285144)</f>
        <v>-0.57882239285143999</v>
      </c>
      <c r="CO101" s="3">
        <f ca="1">IFERROR(__xludf.DUMMYFUNCTION("""COMPUTED_VALUE"""),-0.571961357819705)</f>
        <v>-0.57196135781970503</v>
      </c>
      <c r="CP101" s="3">
        <f ca="1">IFERROR(__xludf.DUMMYFUNCTION("""COMPUTED_VALUE"""),-0.59734764998397)</f>
        <v>-0.59734764998397005</v>
      </c>
      <c r="CQ101" s="3">
        <f ca="1">IFERROR(__xludf.DUMMYFUNCTION("""COMPUTED_VALUE"""),-0.562365859135189)</f>
        <v>-0.56236585913518899</v>
      </c>
      <c r="CR101" s="3">
        <f ca="1">IFERROR(__xludf.DUMMYFUNCTION("""COMPUTED_VALUE"""),-0.570907234008005)</f>
        <v>-0.57090723400800503</v>
      </c>
      <c r="CS101" s="3">
        <f ca="1">IFERROR(__xludf.DUMMYFUNCTION("""COMPUTED_VALUE"""),-0.538933296483853)</f>
        <v>-0.53893329648385302</v>
      </c>
      <c r="CT101" s="3">
        <f ca="1">IFERROR(__xludf.DUMMYFUNCTION("""COMPUTED_VALUE"""),-0.542451108830737)</f>
        <v>-0.54245110883073699</v>
      </c>
      <c r="CU101" s="3">
        <f ca="1">IFERROR(__xludf.DUMMYFUNCTION("""COMPUTED_VALUE"""),-0.492663627747109)</f>
        <v>-0.49266362774710898</v>
      </c>
      <c r="CV101" s="3">
        <f ca="1">IFERROR(__xludf.DUMMYFUNCTION("""COMPUTED_VALUE"""),-0.556966517687266)</f>
        <v>-0.55696651768726602</v>
      </c>
      <c r="CW101" s="3">
        <f ca="1">IFERROR(__xludf.DUMMYFUNCTION("""COMPUTED_VALUE"""),-0.576674152674522)</f>
        <v>-0.57667415267452204</v>
      </c>
      <c r="CX101" s="3">
        <f ca="1">IFERROR(__xludf.DUMMYFUNCTION("""COMPUTED_VALUE"""),-0.59200062543184)</f>
        <v>-0.59200062543183996</v>
      </c>
      <c r="CY101" s="3">
        <f ca="1">IFERROR(__xludf.DUMMYFUNCTION("""COMPUTED_VALUE"""),-0.627339620717221)</f>
        <v>-0.62733962071722105</v>
      </c>
      <c r="CZ101" s="3">
        <f ca="1">IFERROR(__xludf.DUMMYFUNCTION("""COMPUTED_VALUE"""),-0.731557776194439)</f>
        <v>-0.73155777619443896</v>
      </c>
      <c r="DA101" s="3">
        <f ca="1">IFERROR(__xludf.DUMMYFUNCTION("""COMPUTED_VALUE"""),-0.583086491741262)</f>
        <v>-0.58308649174126204</v>
      </c>
      <c r="DB101" s="3">
        <f ca="1">IFERROR(__xludf.DUMMYFUNCTION("""COMPUTED_VALUE"""),-0.511078728361091)</f>
        <v>-0.51107872836109103</v>
      </c>
      <c r="DC101" s="3">
        <f ca="1">IFERROR(__xludf.DUMMYFUNCTION("""COMPUTED_VALUE"""),-0.65491595973887)</f>
        <v>-0.65491595973886996</v>
      </c>
      <c r="DD101" s="3">
        <f ca="1">IFERROR(__xludf.DUMMYFUNCTION("""COMPUTED_VALUE"""),-0.699596739471227)</f>
        <v>-0.69959673947122702</v>
      </c>
      <c r="DE101" s="3">
        <f ca="1">IFERROR(__xludf.DUMMYFUNCTION("""COMPUTED_VALUE"""),-0.682252292550794)</f>
        <v>-0.682252292550794</v>
      </c>
      <c r="DF101" s="3">
        <f ca="1">IFERROR(__xludf.DUMMYFUNCTION("""COMPUTED_VALUE"""),-0.687719041374565)</f>
        <v>-0.68771904137456497</v>
      </c>
      <c r="DG101" s="3">
        <f ca="1">IFERROR(__xludf.DUMMYFUNCTION("""COMPUTED_VALUE"""),-0.783377582081252)</f>
        <v>-0.78337758208125197</v>
      </c>
      <c r="DH101" s="3">
        <f ca="1">IFERROR(__xludf.DUMMYFUNCTION("""COMPUTED_VALUE"""),-0.666126443281961)</f>
        <v>-0.66612644328196102</v>
      </c>
      <c r="DI101" s="3">
        <f ca="1">IFERROR(__xludf.DUMMYFUNCTION("""COMPUTED_VALUE"""),-0.556413951805066)</f>
        <v>-0.55641395180506603</v>
      </c>
      <c r="DJ101" s="3">
        <f ca="1">IFERROR(__xludf.DUMMYFUNCTION("""COMPUTED_VALUE"""),-0.661701043074571)</f>
        <v>-0.661701043074571</v>
      </c>
      <c r="DK101" s="3">
        <f ca="1">IFERROR(__xludf.DUMMYFUNCTION("""COMPUTED_VALUE"""),-0.688201125031463)</f>
        <v>-0.68820112503146302</v>
      </c>
      <c r="DL101" s="3">
        <f ca="1">IFERROR(__xludf.DUMMYFUNCTION("""COMPUTED_VALUE"""),-0.618061126339635)</f>
        <v>-0.61806112633963495</v>
      </c>
      <c r="DM101" s="3">
        <f ca="1">IFERROR(__xludf.DUMMYFUNCTION("""COMPUTED_VALUE"""),-0.632572719926921)</f>
        <v>-0.63257271992692099</v>
      </c>
      <c r="DN101" s="3">
        <f ca="1">IFERROR(__xludf.DUMMYFUNCTION("""COMPUTED_VALUE"""),-0.626647853301033)</f>
        <v>-0.62664785330103301</v>
      </c>
      <c r="DO101" s="3">
        <f ca="1">IFERROR(__xludf.DUMMYFUNCTION("""COMPUTED_VALUE"""),-0.609529730383615)</f>
        <v>-0.60952973038361502</v>
      </c>
      <c r="DP101" s="3">
        <f ca="1">IFERROR(__xludf.DUMMYFUNCTION("""COMPUTED_VALUE"""),-0.603514405297958)</f>
        <v>-0.60351440529795797</v>
      </c>
      <c r="DQ101" s="3">
        <f ca="1">IFERROR(__xludf.DUMMYFUNCTION("""COMPUTED_VALUE"""),-0.625884504978976)</f>
        <v>-0.62588450497897596</v>
      </c>
      <c r="DR101" s="3">
        <f ca="1">IFERROR(__xludf.DUMMYFUNCTION("""COMPUTED_VALUE"""),-0.682659826841637)</f>
        <v>-0.68265982684163695</v>
      </c>
      <c r="DS101" s="3">
        <f ca="1">IFERROR(__xludf.DUMMYFUNCTION("""COMPUTED_VALUE"""),-0.658688010407057)</f>
        <v>-0.65868801040705705</v>
      </c>
      <c r="DT101" s="3">
        <f ca="1">IFERROR(__xludf.DUMMYFUNCTION("""COMPUTED_VALUE"""),-0.65271067371243)</f>
        <v>-0.65271067371242997</v>
      </c>
      <c r="DU101" s="3">
        <f ca="1">IFERROR(__xludf.DUMMYFUNCTION("""COMPUTED_VALUE"""),-0.665639998287218)</f>
        <v>-0.66563999828721798</v>
      </c>
      <c r="DV101" s="3">
        <f ca="1">IFERROR(__xludf.DUMMYFUNCTION("""COMPUTED_VALUE"""),-0.641546615442479)</f>
        <v>-0.64154661544247904</v>
      </c>
      <c r="DW101" s="3">
        <f ca="1">IFERROR(__xludf.DUMMYFUNCTION("""COMPUTED_VALUE"""),-0.672145860704777)</f>
        <v>-0.672145860704777</v>
      </c>
      <c r="DX101" s="3">
        <f ca="1">IFERROR(__xludf.DUMMYFUNCTION("""COMPUTED_VALUE"""),-0.642087835488685)</f>
        <v>-0.64208783548868498</v>
      </c>
      <c r="DY101" s="3">
        <f ca="1">IFERROR(__xludf.DUMMYFUNCTION("""COMPUTED_VALUE"""),-0.687396097292144)</f>
        <v>-0.68739609729214401</v>
      </c>
      <c r="DZ101" s="3">
        <f ca="1">IFERROR(__xludf.DUMMYFUNCTION("""COMPUTED_VALUE"""),-0.638073748431815)</f>
        <v>-0.63807374843181497</v>
      </c>
      <c r="EA101" s="3">
        <f ca="1">IFERROR(__xludf.DUMMYFUNCTION("""COMPUTED_VALUE"""),-0.630190510797255)</f>
        <v>-0.63019051079725497</v>
      </c>
      <c r="EB101" s="3">
        <f ca="1">IFERROR(__xludf.DUMMYFUNCTION("""COMPUTED_VALUE"""),-0.6462283677391)</f>
        <v>-0.64622836773909997</v>
      </c>
      <c r="EC101" s="3">
        <f ca="1">IFERROR(__xludf.DUMMYFUNCTION("""COMPUTED_VALUE"""),-0.619362986250481)</f>
        <v>-0.61936298625048103</v>
      </c>
      <c r="ED101" s="3">
        <f ca="1">IFERROR(__xludf.DUMMYFUNCTION("""COMPUTED_VALUE"""),-0.625415513908137)</f>
        <v>-0.62541551390813699</v>
      </c>
      <c r="EE101" s="3">
        <f ca="1">IFERROR(__xludf.DUMMYFUNCTION("""COMPUTED_VALUE"""),-0.502699045855478)</f>
        <v>-0.50269904585547798</v>
      </c>
      <c r="EF101" s="3">
        <f ca="1">IFERROR(__xludf.DUMMYFUNCTION("""COMPUTED_VALUE"""),-0.600394121559812)</f>
        <v>-0.60039412155981198</v>
      </c>
      <c r="EG101" s="3">
        <f ca="1">IFERROR(__xludf.DUMMYFUNCTION("""COMPUTED_VALUE"""),-0.638279356369815)</f>
        <v>-0.63827935636981503</v>
      </c>
      <c r="EH101" s="3">
        <f ca="1">IFERROR(__xludf.DUMMYFUNCTION("""COMPUTED_VALUE"""),-0.64496853446999)</f>
        <v>-0.64496853446999003</v>
      </c>
      <c r="EI101" s="3">
        <f ca="1">IFERROR(__xludf.DUMMYFUNCTION("""COMPUTED_VALUE"""),-0.681555065097196)</f>
        <v>-0.68155506509719599</v>
      </c>
      <c r="EJ101" s="3">
        <f ca="1">IFERROR(__xludf.DUMMYFUNCTION("""COMPUTED_VALUE"""),-0.629128847949028)</f>
        <v>-0.62912884794902801</v>
      </c>
      <c r="EK101" s="3">
        <f ca="1">IFERROR(__xludf.DUMMYFUNCTION("""COMPUTED_VALUE"""),-0.647889106438724)</f>
        <v>-0.64788910643872399</v>
      </c>
      <c r="EL101" s="3">
        <f ca="1">IFERROR(__xludf.DUMMYFUNCTION("""COMPUTED_VALUE"""),-0.484849790103189)</f>
        <v>-0.48484979010318902</v>
      </c>
      <c r="EM101" s="3">
        <f ca="1">IFERROR(__xludf.DUMMYFUNCTION("""COMPUTED_VALUE"""),-0.563532521120629)</f>
        <v>-0.56353252112062902</v>
      </c>
      <c r="EN101" s="3">
        <f ca="1">IFERROR(__xludf.DUMMYFUNCTION("""COMPUTED_VALUE"""),-0.694576822179049)</f>
        <v>-0.69457682217904904</v>
      </c>
      <c r="EO101" s="3">
        <f ca="1">IFERROR(__xludf.DUMMYFUNCTION("""COMPUTED_VALUE"""),-0.702671864092222)</f>
        <v>-0.70267186409222204</v>
      </c>
      <c r="EP101" s="3">
        <f ca="1">IFERROR(__xludf.DUMMYFUNCTION("""COMPUTED_VALUE"""),-0.654470001797196)</f>
        <v>-0.65447000179719605</v>
      </c>
      <c r="EQ101" s="3">
        <f ca="1">IFERROR(__xludf.DUMMYFUNCTION("""COMPUTED_VALUE"""),-0.6321320823596)</f>
        <v>-0.63213208235959994</v>
      </c>
      <c r="ER101" s="3">
        <f ca="1">IFERROR(__xludf.DUMMYFUNCTION("""COMPUTED_VALUE"""),-0.612848089708339)</f>
        <v>-0.61284808970833904</v>
      </c>
      <c r="ES101" s="3">
        <f ca="1">IFERROR(__xludf.DUMMYFUNCTION("""COMPUTED_VALUE"""),-0.497184170674904)</f>
        <v>-0.497184170674904</v>
      </c>
      <c r="ET101" s="3">
        <f ca="1">IFERROR(__xludf.DUMMYFUNCTION("""COMPUTED_VALUE"""),-0.523051648316456)</f>
        <v>-0.52305164831645601</v>
      </c>
      <c r="EU101" s="3">
        <f ca="1">IFERROR(__xludf.DUMMYFUNCTION("""COMPUTED_VALUE"""),-0.715074764176887)</f>
        <v>-0.71507476417688698</v>
      </c>
      <c r="EV101" s="3">
        <f ca="1">IFERROR(__xludf.DUMMYFUNCTION("""COMPUTED_VALUE"""),-0.70958853009646)</f>
        <v>-0.70958853009645995</v>
      </c>
      <c r="EW101" s="3">
        <f ca="1">IFERROR(__xludf.DUMMYFUNCTION("""COMPUTED_VALUE"""),-0.655656586380038)</f>
        <v>-0.65565658638003799</v>
      </c>
      <c r="EX101" s="3">
        <f ca="1">IFERROR(__xludf.DUMMYFUNCTION("""COMPUTED_VALUE"""),-0.660423056344687)</f>
        <v>-0.66042305634468701</v>
      </c>
      <c r="EY101" s="3">
        <f ca="1">IFERROR(__xludf.DUMMYFUNCTION("""COMPUTED_VALUE"""),-0.757581591584457)</f>
        <v>-0.75758159158445704</v>
      </c>
      <c r="EZ101" s="3">
        <f ca="1">IFERROR(__xludf.DUMMYFUNCTION("""COMPUTED_VALUE"""),-0.622185332556944)</f>
        <v>-0.62218533255694397</v>
      </c>
      <c r="FA101" s="3">
        <f ca="1">IFERROR(__xludf.DUMMYFUNCTION("""COMPUTED_VALUE"""),-0.618841919533857)</f>
        <v>-0.61884191953385703</v>
      </c>
      <c r="FB101" s="3">
        <f ca="1">IFERROR(__xludf.DUMMYFUNCTION("""COMPUTED_VALUE"""),-0.714185155500896)</f>
        <v>-0.71418515550089601</v>
      </c>
      <c r="FC101" s="3">
        <f ca="1">IFERROR(__xludf.DUMMYFUNCTION("""COMPUTED_VALUE"""),-0.707756090596521)</f>
        <v>-0.707756090596521</v>
      </c>
      <c r="FD101" s="3">
        <f ca="1">IFERROR(__xludf.DUMMYFUNCTION("""COMPUTED_VALUE"""),-0.628096948340103)</f>
        <v>-0.62809694834010299</v>
      </c>
      <c r="FE101" s="3">
        <f ca="1">IFERROR(__xludf.DUMMYFUNCTION("""COMPUTED_VALUE"""),-0.640265373190698)</f>
        <v>-0.64026537319069798</v>
      </c>
      <c r="FF101" s="3">
        <f ca="1">IFERROR(__xludf.DUMMYFUNCTION("""COMPUTED_VALUE"""),-0.649506964838148)</f>
        <v>-0.64950696483814796</v>
      </c>
      <c r="FG101" s="3">
        <f ca="1">IFERROR(__xludf.DUMMYFUNCTION("""COMPUTED_VALUE"""),-0.625715039553306)</f>
        <v>-0.62571503955330599</v>
      </c>
      <c r="FH101" s="3">
        <f ca="1">IFERROR(__xludf.DUMMYFUNCTION("""COMPUTED_VALUE"""),-0.582831978500584)</f>
        <v>-0.58283197850058399</v>
      </c>
      <c r="FI101" s="3">
        <f ca="1">IFERROR(__xludf.DUMMYFUNCTION("""COMPUTED_VALUE"""),-0.717892129948883)</f>
        <v>-0.71789212994888296</v>
      </c>
      <c r="FJ101" s="3">
        <f ca="1">IFERROR(__xludf.DUMMYFUNCTION("""COMPUTED_VALUE"""),-0.733521513951417)</f>
        <v>-0.73352151395141696</v>
      </c>
      <c r="FK101" s="3">
        <f ca="1">IFERROR(__xludf.DUMMYFUNCTION("""COMPUTED_VALUE"""),-0.715365815445505)</f>
        <v>-0.71536581544550504</v>
      </c>
      <c r="FL101" s="3">
        <f ca="1">IFERROR(__xludf.DUMMYFUNCTION("""COMPUTED_VALUE"""),-0.47896850869418)</f>
        <v>-0.47896850869418001</v>
      </c>
      <c r="FM101" s="3">
        <f ca="1">IFERROR(__xludf.DUMMYFUNCTION("""COMPUTED_VALUE"""),-0.553508938291312)</f>
        <v>-0.55350893829131198</v>
      </c>
      <c r="FN101" s="3">
        <f ca="1">IFERROR(__xludf.DUMMYFUNCTION("""COMPUTED_VALUE"""),-0.557027787204502)</f>
        <v>-0.55702778720450197</v>
      </c>
      <c r="FO101" s="3">
        <f ca="1">IFERROR(__xludf.DUMMYFUNCTION("""COMPUTED_VALUE"""),-0.559801612133602)</f>
        <v>-0.55980161213360202</v>
      </c>
      <c r="FP101" s="3">
        <f ca="1">IFERROR(__xludf.DUMMYFUNCTION("""COMPUTED_VALUE"""),-0.509181458579333)</f>
        <v>-0.50918145857933295</v>
      </c>
      <c r="FQ101" s="3">
        <f ca="1">IFERROR(__xludf.DUMMYFUNCTION("""COMPUTED_VALUE"""),-0.54616845191393)</f>
        <v>-0.54616845191393004</v>
      </c>
      <c r="FR101" s="3">
        <f ca="1">IFERROR(__xludf.DUMMYFUNCTION("""COMPUTED_VALUE"""),-0.589057031833802)</f>
        <v>-0.58905703183380198</v>
      </c>
      <c r="FS101" s="3">
        <f ca="1">IFERROR(__xludf.DUMMYFUNCTION("""COMPUTED_VALUE"""),-0.567157269087349)</f>
        <v>-0.56715726908734898</v>
      </c>
      <c r="FT101" s="3">
        <f ca="1">IFERROR(__xludf.DUMMYFUNCTION("""COMPUTED_VALUE"""),-0.537130446751756)</f>
        <v>-0.53713044675175603</v>
      </c>
      <c r="FU101" s="3">
        <f ca="1">IFERROR(__xludf.DUMMYFUNCTION("""COMPUTED_VALUE"""),-0.535305747310172)</f>
        <v>-0.535305747310172</v>
      </c>
      <c r="FV101" s="3">
        <f ca="1">IFERROR(__xludf.DUMMYFUNCTION("""COMPUTED_VALUE"""),-0.518623290244206)</f>
        <v>-0.51862329024420595</v>
      </c>
      <c r="FW101" s="3">
        <f ca="1">IFERROR(__xludf.DUMMYFUNCTION("""COMPUTED_VALUE"""),-0.50823550177994)</f>
        <v>-0.50823550177994004</v>
      </c>
      <c r="FX101" s="3">
        <f ca="1">IFERROR(__xludf.DUMMYFUNCTION("""COMPUTED_VALUE"""),-0.536109444232725)</f>
        <v>-0.536109444232725</v>
      </c>
      <c r="FY101" s="3">
        <f ca="1">IFERROR(__xludf.DUMMYFUNCTION("""COMPUTED_VALUE"""),-0.522110723427226)</f>
        <v>-0.52211072342722598</v>
      </c>
      <c r="FZ101" s="3">
        <f ca="1">IFERROR(__xludf.DUMMYFUNCTION("""COMPUTED_VALUE"""),-0.480521932877137)</f>
        <v>-0.48052193287713701</v>
      </c>
      <c r="GA101" s="3">
        <f ca="1">IFERROR(__xludf.DUMMYFUNCTION("""COMPUTED_VALUE"""),-0.532019259551382)</f>
        <v>-0.53201925955138196</v>
      </c>
      <c r="GB101" s="3">
        <f ca="1">IFERROR(__xludf.DUMMYFUNCTION("""COMPUTED_VALUE"""),-0.500739484593276)</f>
        <v>-0.500739484593276</v>
      </c>
      <c r="GC101" s="3">
        <f ca="1">IFERROR(__xludf.DUMMYFUNCTION("""COMPUTED_VALUE"""),-0.522076535798741)</f>
        <v>-0.52207653579874103</v>
      </c>
      <c r="GD101" s="3">
        <f ca="1">IFERROR(__xludf.DUMMYFUNCTION("""COMPUTED_VALUE"""),-0.497375919398035)</f>
        <v>-0.49737591939803499</v>
      </c>
      <c r="GE101" s="3">
        <f ca="1">IFERROR(__xludf.DUMMYFUNCTION("""COMPUTED_VALUE"""),-0.495562513681081)</f>
        <v>-0.49556251368108101</v>
      </c>
      <c r="GF101" s="3">
        <f ca="1">IFERROR(__xludf.DUMMYFUNCTION("""COMPUTED_VALUE"""),-0.541054154348053)</f>
        <v>-0.54105415434805304</v>
      </c>
      <c r="GG101" s="3">
        <f ca="1">IFERROR(__xludf.DUMMYFUNCTION("""COMPUTED_VALUE"""),-0.524318010049174)</f>
        <v>-0.524318010049174</v>
      </c>
      <c r="GH101" s="3">
        <f ca="1">IFERROR(__xludf.DUMMYFUNCTION("""COMPUTED_VALUE"""),-0.519065400127128)</f>
        <v>-0.51906540012712798</v>
      </c>
      <c r="GI101" s="3">
        <f ca="1">IFERROR(__xludf.DUMMYFUNCTION("""COMPUTED_VALUE"""),-0.509071471056195)</f>
        <v>-0.50907147105619499</v>
      </c>
      <c r="GJ101" s="3">
        <f ca="1">IFERROR(__xludf.DUMMYFUNCTION("""COMPUTED_VALUE"""),-0.517843292831013)</f>
        <v>-0.51784329283101305</v>
      </c>
      <c r="GK101" s="3">
        <f ca="1">IFERROR(__xludf.DUMMYFUNCTION("""COMPUTED_VALUE"""),-0.50296447866649)</f>
        <v>-0.50296447866648997</v>
      </c>
      <c r="GL101" s="3">
        <f ca="1">IFERROR(__xludf.DUMMYFUNCTION("""COMPUTED_VALUE"""),-0.506763519124312)</f>
        <v>-0.50676351912431195</v>
      </c>
      <c r="GM101" s="3">
        <f ca="1">IFERROR(__xludf.DUMMYFUNCTION("""COMPUTED_VALUE"""),-0.519513916201349)</f>
        <v>-0.51951391620134901</v>
      </c>
      <c r="GN101" s="3">
        <f ca="1">IFERROR(__xludf.DUMMYFUNCTION("""COMPUTED_VALUE"""),-0.518588682120816)</f>
        <v>-0.51858868212081599</v>
      </c>
      <c r="GO101" s="3">
        <f ca="1">IFERROR(__xludf.DUMMYFUNCTION("""COMPUTED_VALUE"""),-0.506344713358955)</f>
        <v>-0.50634471335895503</v>
      </c>
      <c r="GP101" s="3">
        <f ca="1">IFERROR(__xludf.DUMMYFUNCTION("""COMPUTED_VALUE"""),-0.523195321554046)</f>
        <v>-0.52319532155404602</v>
      </c>
      <c r="GQ101" s="3">
        <f ca="1">IFERROR(__xludf.DUMMYFUNCTION("""COMPUTED_VALUE"""),-0.540267041661828)</f>
        <v>-0.54026704166182804</v>
      </c>
      <c r="GR101" s="3">
        <f ca="1">IFERROR(__xludf.DUMMYFUNCTION("""COMPUTED_VALUE"""),-0.516722269152947)</f>
        <v>-0.51672226915294694</v>
      </c>
      <c r="GS101" s="3">
        <f ca="1">IFERROR(__xludf.DUMMYFUNCTION("""COMPUTED_VALUE"""),-0.520472165850721)</f>
        <v>-0.52047216585072098</v>
      </c>
      <c r="GT101" s="3">
        <f ca="1">IFERROR(__xludf.DUMMYFUNCTION("""COMPUTED_VALUE"""),-0.529161986987961)</f>
        <v>-0.52916198698796102</v>
      </c>
      <c r="GU101" s="3">
        <f ca="1">IFERROR(__xludf.DUMMYFUNCTION("""COMPUTED_VALUE"""),-0.511814573783419)</f>
        <v>-0.51181457378341899</v>
      </c>
      <c r="GV101" s="3">
        <f ca="1">IFERROR(__xludf.DUMMYFUNCTION("""COMPUTED_VALUE"""),-0.488704983346489)</f>
        <v>-0.48870498334648899</v>
      </c>
      <c r="GW101" s="3">
        <f ca="1">IFERROR(__xludf.DUMMYFUNCTION("""COMPUTED_VALUE"""),-0.469488347775067)</f>
        <v>-0.46948834777506698</v>
      </c>
      <c r="GX101" s="3">
        <f ca="1">IFERROR(__xludf.DUMMYFUNCTION("""COMPUTED_VALUE"""),-0.445404073049764)</f>
        <v>-0.44540407304976398</v>
      </c>
      <c r="GY101" s="3">
        <f ca="1">IFERROR(__xludf.DUMMYFUNCTION("""COMPUTED_VALUE"""),-0.396126536762696)</f>
        <v>-0.39612653676269599</v>
      </c>
      <c r="GZ101" s="3">
        <f ca="1">IFERROR(__xludf.DUMMYFUNCTION("""COMPUTED_VALUE"""),-0.443018842318651)</f>
        <v>-0.44301884231865102</v>
      </c>
      <c r="HA101" s="3">
        <f ca="1">IFERROR(__xludf.DUMMYFUNCTION("""COMPUTED_VALUE"""),-0.524131859539665)</f>
        <v>-0.52413185953966501</v>
      </c>
      <c r="HB101" s="3">
        <f ca="1">IFERROR(__xludf.DUMMYFUNCTION("""COMPUTED_VALUE"""),-0.459179674855089)</f>
        <v>-0.45917967485508898</v>
      </c>
      <c r="HC101" s="3">
        <f ca="1">IFERROR(__xludf.DUMMYFUNCTION("""COMPUTED_VALUE"""),-0.456402712029776)</f>
        <v>-0.456402712029776</v>
      </c>
      <c r="HD101" s="3">
        <f ca="1">IFERROR(__xludf.DUMMYFUNCTION("""COMPUTED_VALUE"""),-0.472786188228991)</f>
        <v>-0.47278618822899099</v>
      </c>
      <c r="HE101" s="3">
        <f ca="1">IFERROR(__xludf.DUMMYFUNCTION("""COMPUTED_VALUE"""),-0.494405713230765)</f>
        <v>-0.49440571323076499</v>
      </c>
      <c r="HF101" s="3">
        <f ca="1">IFERROR(__xludf.DUMMYFUNCTION("""COMPUTED_VALUE"""),-0.43546459329068)</f>
        <v>-0.43546459329067999</v>
      </c>
      <c r="HG101" s="3">
        <f ca="1">IFERROR(__xludf.DUMMYFUNCTION("""COMPUTED_VALUE"""),-0.468904519873922)</f>
        <v>-0.46890451987392201</v>
      </c>
      <c r="HH101" s="3">
        <f ca="1">IFERROR(__xludf.DUMMYFUNCTION("""COMPUTED_VALUE"""),-0.513104208327215)</f>
        <v>-0.51310420832721504</v>
      </c>
      <c r="HI101" s="3">
        <f ca="1">IFERROR(__xludf.DUMMYFUNCTION("""COMPUTED_VALUE"""),-0.460111553621068)</f>
        <v>-0.46011155362106798</v>
      </c>
      <c r="HJ101" s="3">
        <f ca="1">IFERROR(__xludf.DUMMYFUNCTION("""COMPUTED_VALUE"""),-0.433325007728149)</f>
        <v>-0.43332500772814903</v>
      </c>
      <c r="HK101" s="3">
        <f ca="1">IFERROR(__xludf.DUMMYFUNCTION("""COMPUTED_VALUE"""),-0.441775056361559)</f>
        <v>-0.441775056361559</v>
      </c>
      <c r="HL101" s="3">
        <f ca="1">IFERROR(__xludf.DUMMYFUNCTION("""COMPUTED_VALUE"""),-0.454999090944391)</f>
        <v>-0.454999090944391</v>
      </c>
      <c r="HM101" s="3">
        <f ca="1">IFERROR(__xludf.DUMMYFUNCTION("""COMPUTED_VALUE"""),-0.46617463971231)</f>
        <v>-0.46617463971230999</v>
      </c>
      <c r="HN101" s="3">
        <f ca="1">IFERROR(__xludf.DUMMYFUNCTION("""COMPUTED_VALUE"""),-0.454839374775108)</f>
        <v>-0.454839374775108</v>
      </c>
      <c r="HO101" s="3">
        <f ca="1">IFERROR(__xludf.DUMMYFUNCTION("""COMPUTED_VALUE"""),-0.470604753388833)</f>
        <v>-0.47060475338883301</v>
      </c>
      <c r="HP101" s="3">
        <f ca="1">IFERROR(__xludf.DUMMYFUNCTION("""COMPUTED_VALUE"""),-0.398326265371249)</f>
        <v>-0.39832626537124899</v>
      </c>
      <c r="HQ101" s="3">
        <f ca="1">IFERROR(__xludf.DUMMYFUNCTION("""COMPUTED_VALUE"""),-0.425158927058138)</f>
        <v>-0.42515892705813801</v>
      </c>
      <c r="HR101" s="3">
        <f ca="1">IFERROR(__xludf.DUMMYFUNCTION("""COMPUTED_VALUE"""),-0.429804173471203)</f>
        <v>-0.42980417347120298</v>
      </c>
      <c r="HS101" s="3">
        <f ca="1">IFERROR(__xludf.DUMMYFUNCTION("""COMPUTED_VALUE"""),-0.482665468873425)</f>
        <v>-0.48266546887342499</v>
      </c>
      <c r="HT101" s="3">
        <f ca="1">IFERROR(__xludf.DUMMYFUNCTION("""COMPUTED_VALUE"""),-0.459482212795306)</f>
        <v>-0.45948221279530599</v>
      </c>
      <c r="HU101" s="3">
        <f ca="1">IFERROR(__xludf.DUMMYFUNCTION("""COMPUTED_VALUE"""),-0.441492011495271)</f>
        <v>-0.44149201149527101</v>
      </c>
      <c r="HV101" s="3">
        <f ca="1">IFERROR(__xludf.DUMMYFUNCTION("""COMPUTED_VALUE"""),-0.478175089731713)</f>
        <v>-0.47817508973171302</v>
      </c>
      <c r="HW101" s="3">
        <f ca="1">IFERROR(__xludf.DUMMYFUNCTION("""COMPUTED_VALUE"""),-0.462767491512626)</f>
        <v>-0.46276749151262597</v>
      </c>
      <c r="HX101" s="3">
        <f ca="1">IFERROR(__xludf.DUMMYFUNCTION("""COMPUTED_VALUE"""),-0.45425532244391)</f>
        <v>-0.45425532244390998</v>
      </c>
      <c r="HY101" s="3">
        <f ca="1">IFERROR(__xludf.DUMMYFUNCTION("""COMPUTED_VALUE"""),-0.467287755428352)</f>
        <v>-0.46728775542835199</v>
      </c>
      <c r="HZ101" s="3">
        <f ca="1">IFERROR(__xludf.DUMMYFUNCTION("""COMPUTED_VALUE"""),-0.501631476316539)</f>
        <v>-0.50163147631653904</v>
      </c>
      <c r="IA101" s="3">
        <f ca="1">IFERROR(__xludf.DUMMYFUNCTION("""COMPUTED_VALUE"""),-0.434542650711783)</f>
        <v>-0.434542650711783</v>
      </c>
      <c r="IB101" s="3">
        <f ca="1">IFERROR(__xludf.DUMMYFUNCTION("""COMPUTED_VALUE"""),-0.400961958914104)</f>
        <v>-0.40096195891410402</v>
      </c>
      <c r="IC101" s="3">
        <f ca="1">IFERROR(__xludf.DUMMYFUNCTION("""COMPUTED_VALUE"""),-0.430298367121699)</f>
        <v>-0.430298367121699</v>
      </c>
      <c r="ID101" s="3">
        <f ca="1">IFERROR(__xludf.DUMMYFUNCTION("""COMPUTED_VALUE"""),-0.399258043734644)</f>
        <v>-0.39925804373464402</v>
      </c>
      <c r="IE101" s="3">
        <f ca="1">IFERROR(__xludf.DUMMYFUNCTION("""COMPUTED_VALUE"""),-0.413444468420616)</f>
        <v>-0.413444468420616</v>
      </c>
      <c r="IF101" s="3">
        <f ca="1">IFERROR(__xludf.DUMMYFUNCTION("""COMPUTED_VALUE"""),-0.380180890044265)</f>
        <v>-0.38018089004426497</v>
      </c>
      <c r="IG101" s="3">
        <f ca="1">IFERROR(__xludf.DUMMYFUNCTION("""COMPUTED_VALUE"""),-0.437902337532624)</f>
        <v>-0.43790233753262398</v>
      </c>
      <c r="IH101" s="3">
        <f ca="1">IFERROR(__xludf.DUMMYFUNCTION("""COMPUTED_VALUE"""),-0.43391313412732)</f>
        <v>-0.43391313412732002</v>
      </c>
      <c r="II101" s="3">
        <f ca="1">IFERROR(__xludf.DUMMYFUNCTION("""COMPUTED_VALUE"""),-0.331616791975399)</f>
        <v>-0.33161679197539901</v>
      </c>
      <c r="IJ101" s="3">
        <f ca="1">IFERROR(__xludf.DUMMYFUNCTION("""COMPUTED_VALUE"""),-0.380521537862155)</f>
        <v>-0.38052153786215498</v>
      </c>
      <c r="IK101" s="3">
        <f ca="1">IFERROR(__xludf.DUMMYFUNCTION("""COMPUTED_VALUE"""),-0.35282616195606)</f>
        <v>-0.35282616195605998</v>
      </c>
      <c r="IL101" s="3">
        <f ca="1">IFERROR(__xludf.DUMMYFUNCTION("""COMPUTED_VALUE"""),-0.347130713048077)</f>
        <v>-0.34713071304807702</v>
      </c>
      <c r="IM101" s="3">
        <f ca="1">IFERROR(__xludf.DUMMYFUNCTION("""COMPUTED_VALUE"""),-0.351617019437901)</f>
        <v>-0.35161701943790102</v>
      </c>
      <c r="IN101" s="3">
        <f ca="1">IFERROR(__xludf.DUMMYFUNCTION("""COMPUTED_VALUE"""),-0.369825233976839)</f>
        <v>-0.36982523397683897</v>
      </c>
      <c r="IO101" s="3">
        <f ca="1">IFERROR(__xludf.DUMMYFUNCTION("""COMPUTED_VALUE"""),-0.371155886647571)</f>
        <v>-0.37115588664757099</v>
      </c>
      <c r="IP101" s="3">
        <f ca="1">IFERROR(__xludf.DUMMYFUNCTION("""COMPUTED_VALUE"""),-0.295826844227313)</f>
        <v>-0.29582684422731298</v>
      </c>
      <c r="IQ101" s="3">
        <f ca="1">IFERROR(__xludf.DUMMYFUNCTION("""COMPUTED_VALUE"""),-0.346882044774204)</f>
        <v>-0.34688204477420398</v>
      </c>
      <c r="IR101" s="3">
        <f ca="1">IFERROR(__xludf.DUMMYFUNCTION("""COMPUTED_VALUE"""),-0.335929239484777)</f>
        <v>-0.33592923948477699</v>
      </c>
      <c r="IS101" s="3">
        <f ca="1">IFERROR(__xludf.DUMMYFUNCTION("""COMPUTED_VALUE"""),-0.374463017040817)</f>
        <v>-0.37446301704081703</v>
      </c>
      <c r="IT101" s="3">
        <f ca="1">IFERROR(__xludf.DUMMYFUNCTION("""COMPUTED_VALUE"""),-0.371899892197622)</f>
        <v>-0.37189989219762198</v>
      </c>
      <c r="IU101" s="3">
        <f ca="1">IFERROR(__xludf.DUMMYFUNCTION("""COMPUTED_VALUE"""),-0.417852620326978)</f>
        <v>-0.41785262032697801</v>
      </c>
      <c r="IV101" s="3">
        <f ca="1">IFERROR(__xludf.DUMMYFUNCTION("""COMPUTED_VALUE"""),-0.395377492983795)</f>
        <v>-0.39537749298379499</v>
      </c>
      <c r="IW101" s="3">
        <f ca="1">IFERROR(__xludf.DUMMYFUNCTION("""COMPUTED_VALUE"""),-0.36098823543662)</f>
        <v>-0.36098823543662001</v>
      </c>
      <c r="IX101" s="3">
        <f ca="1">IFERROR(__xludf.DUMMYFUNCTION("""COMPUTED_VALUE"""),-0.365293249192184)</f>
        <v>-0.36529324919218398</v>
      </c>
      <c r="IY101" s="3">
        <f ca="1">IFERROR(__xludf.DUMMYFUNCTION("""COMPUTED_VALUE"""),-0.356888663767405)</f>
        <v>-0.35688866376740502</v>
      </c>
      <c r="IZ101" s="3">
        <f ca="1">IFERROR(__xludf.DUMMYFUNCTION("""COMPUTED_VALUE"""),-0.376217713846313)</f>
        <v>-0.37621771384631297</v>
      </c>
      <c r="JA101" s="3">
        <f ca="1">IFERROR(__xludf.DUMMYFUNCTION("""COMPUTED_VALUE"""),-0.400644725800549)</f>
        <v>-0.400644725800549</v>
      </c>
      <c r="JB101" s="3">
        <f ca="1">IFERROR(__xludf.DUMMYFUNCTION("""COMPUTED_VALUE"""),-0.392896878027516)</f>
        <v>-0.39289687802751599</v>
      </c>
      <c r="JC101" s="3">
        <f ca="1">IFERROR(__xludf.DUMMYFUNCTION("""COMPUTED_VALUE"""),-0.425145428952491)</f>
        <v>-0.42514542895249102</v>
      </c>
      <c r="JD101" s="3">
        <f ca="1">IFERROR(__xludf.DUMMYFUNCTION("""COMPUTED_VALUE"""),-0.372161118677079)</f>
        <v>-0.37216111867707902</v>
      </c>
      <c r="JE101" s="3">
        <f ca="1">IFERROR(__xludf.DUMMYFUNCTION("""COMPUTED_VALUE"""),-0.425324465391076)</f>
        <v>-0.42532446539107599</v>
      </c>
      <c r="JF101" s="3">
        <f ca="1">IFERROR(__xludf.DUMMYFUNCTION("""COMPUTED_VALUE"""),-0.420655068135303)</f>
        <v>-0.42065506813530301</v>
      </c>
      <c r="JG101" s="3">
        <f ca="1">IFERROR(__xludf.DUMMYFUNCTION("""COMPUTED_VALUE"""),-0.431230652523204)</f>
        <v>-0.43123065252320403</v>
      </c>
      <c r="JH101" s="3">
        <f ca="1">IFERROR(__xludf.DUMMYFUNCTION("""COMPUTED_VALUE"""),-0.413462891707039)</f>
        <v>-0.41346289170703898</v>
      </c>
      <c r="JI101" s="3">
        <f ca="1">IFERROR(__xludf.DUMMYFUNCTION("""COMPUTED_VALUE"""),-0.421144741941317)</f>
        <v>-0.42114474194131701</v>
      </c>
      <c r="JJ101" s="3">
        <f ca="1">IFERROR(__xludf.DUMMYFUNCTION("""COMPUTED_VALUE"""),-0.401217919590963)</f>
        <v>-0.40121791959096298</v>
      </c>
      <c r="JK101" s="3">
        <f ca="1">IFERROR(__xludf.DUMMYFUNCTION("""COMPUTED_VALUE"""),-0.339443903062715)</f>
        <v>-0.33944390306271499</v>
      </c>
      <c r="JL101" s="3">
        <f ca="1">IFERROR(__xludf.DUMMYFUNCTION("""COMPUTED_VALUE"""),-0.403117948865637)</f>
        <v>-0.40311794886563701</v>
      </c>
      <c r="JM101" s="3">
        <f ca="1">IFERROR(__xludf.DUMMYFUNCTION("""COMPUTED_VALUE"""),-0.414858898918465)</f>
        <v>-0.414858898918465</v>
      </c>
      <c r="JN101" s="3">
        <f ca="1">IFERROR(__xludf.DUMMYFUNCTION("""COMPUTED_VALUE"""),-0.435708413967158)</f>
        <v>-0.43570841396715798</v>
      </c>
      <c r="JO101" s="3">
        <f ca="1">IFERROR(__xludf.DUMMYFUNCTION("""COMPUTED_VALUE"""),-0.514133935851643)</f>
        <v>-0.51413393585164302</v>
      </c>
      <c r="JP101" s="3">
        <f ca="1">IFERROR(__xludf.DUMMYFUNCTION("""COMPUTED_VALUE"""),-0.408773704042821)</f>
        <v>-0.40877370404282098</v>
      </c>
      <c r="JQ101" s="3">
        <f ca="1">IFERROR(__xludf.DUMMYFUNCTION("""COMPUTED_VALUE"""),-0.449086135580864)</f>
        <v>-0.44908613558086402</v>
      </c>
      <c r="JR101" s="3">
        <f ca="1">IFERROR(__xludf.DUMMYFUNCTION("""COMPUTED_VALUE"""),-0.399090917212194)</f>
        <v>-0.39909091721219397</v>
      </c>
      <c r="JS101" s="3">
        <f ca="1">IFERROR(__xludf.DUMMYFUNCTION("""COMPUTED_VALUE"""),-0.478656007538591)</f>
        <v>-0.478656007538591</v>
      </c>
      <c r="JT101" s="3">
        <f ca="1">IFERROR(__xludf.DUMMYFUNCTION("""COMPUTED_VALUE"""),-0.440142470070681)</f>
        <v>-0.44014247007068102</v>
      </c>
      <c r="JU101" s="3">
        <f ca="1">IFERROR(__xludf.DUMMYFUNCTION("""COMPUTED_VALUE"""),-0.438614365510667)</f>
        <v>-0.43861436551066701</v>
      </c>
      <c r="JV101" s="3">
        <f ca="1">IFERROR(__xludf.DUMMYFUNCTION("""COMPUTED_VALUE"""),-0.369567821682797)</f>
        <v>-0.369567821682797</v>
      </c>
      <c r="JW101" s="3">
        <f ca="1">IFERROR(__xludf.DUMMYFUNCTION("""COMPUTED_VALUE"""),-0.360001905578028)</f>
        <v>-0.36000190557802803</v>
      </c>
      <c r="JX101" s="3">
        <f ca="1">IFERROR(__xludf.DUMMYFUNCTION("""COMPUTED_VALUE"""),-0.464721114721545)</f>
        <v>-0.46472111472154498</v>
      </c>
      <c r="JY101" s="3">
        <f ca="1">IFERROR(__xludf.DUMMYFUNCTION("""COMPUTED_VALUE"""),-0.462655653596704)</f>
        <v>-0.46265565359670402</v>
      </c>
      <c r="JZ101" s="3">
        <f ca="1">IFERROR(__xludf.DUMMYFUNCTION("""COMPUTED_VALUE"""),-0.492678890539927)</f>
        <v>-0.49267889053992697</v>
      </c>
      <c r="KA101" s="3">
        <f ca="1">IFERROR(__xludf.DUMMYFUNCTION("""COMPUTED_VALUE"""),-0.489027905656188)</f>
        <v>-0.48902790565618798</v>
      </c>
      <c r="KB101" s="3">
        <f ca="1">IFERROR(__xludf.DUMMYFUNCTION("""COMPUTED_VALUE"""),-0.505580780684747)</f>
        <v>-0.50558078068474699</v>
      </c>
      <c r="KC101" s="3">
        <f ca="1">IFERROR(__xludf.DUMMYFUNCTION("""COMPUTED_VALUE"""),-0.465974560337712)</f>
        <v>-0.46597456033771201</v>
      </c>
      <c r="KD101" s="3">
        <f ca="1">IFERROR(__xludf.DUMMYFUNCTION("""COMPUTED_VALUE"""),-0.420850078043918)</f>
        <v>-0.420850078043918</v>
      </c>
      <c r="KE101" s="3">
        <f ca="1">IFERROR(__xludf.DUMMYFUNCTION("""COMPUTED_VALUE"""),-0.499638924381886)</f>
        <v>-0.49963892438188601</v>
      </c>
      <c r="KF101" s="3">
        <f ca="1">IFERROR(__xludf.DUMMYFUNCTION("""COMPUTED_VALUE"""),-0.475403423623339)</f>
        <v>-0.47540342362333898</v>
      </c>
      <c r="KG101" s="3">
        <f ca="1">IFERROR(__xludf.DUMMYFUNCTION("""COMPUTED_VALUE"""),-0.506816642347252)</f>
        <v>-0.50681664234725199</v>
      </c>
      <c r="KH101" s="3">
        <f ca="1">IFERROR(__xludf.DUMMYFUNCTION("""COMPUTED_VALUE"""),-0.453082614834509)</f>
        <v>-0.45308261483450901</v>
      </c>
      <c r="KI101" s="3">
        <f ca="1">IFERROR(__xludf.DUMMYFUNCTION("""COMPUTED_VALUE"""),-0.465932408056799)</f>
        <v>-0.46593240805679897</v>
      </c>
      <c r="KJ101" s="3">
        <f ca="1">IFERROR(__xludf.DUMMYFUNCTION("""COMPUTED_VALUE"""),-0.433023919620715)</f>
        <v>-0.43302391962071501</v>
      </c>
      <c r="KK101" s="3">
        <f ca="1">IFERROR(__xludf.DUMMYFUNCTION("""COMPUTED_VALUE"""),-0.407913794183631)</f>
        <v>-0.407913794183631</v>
      </c>
      <c r="KL101" s="3">
        <f ca="1">IFERROR(__xludf.DUMMYFUNCTION("""COMPUTED_VALUE"""),-0.480905929447845)</f>
        <v>-0.48090592944784499</v>
      </c>
      <c r="KM101" s="3">
        <f ca="1">IFERROR(__xludf.DUMMYFUNCTION("""COMPUTED_VALUE"""),-0.492197274678502)</f>
        <v>-0.49219727467850199</v>
      </c>
      <c r="KN101" s="3">
        <f ca="1">IFERROR(__xludf.DUMMYFUNCTION("""COMPUTED_VALUE"""),-0.548021097185215)</f>
        <v>-0.54802109718521497</v>
      </c>
      <c r="KO101" s="3">
        <f ca="1">IFERROR(__xludf.DUMMYFUNCTION("""COMPUTED_VALUE"""),-0.530922206881818)</f>
        <v>-0.53092220688181802</v>
      </c>
      <c r="KP101" s="3">
        <f ca="1">IFERROR(__xludf.DUMMYFUNCTION("""COMPUTED_VALUE"""),-0.538445122347095)</f>
        <v>-0.53844512234709496</v>
      </c>
      <c r="KQ101" s="3">
        <f ca="1">IFERROR(__xludf.DUMMYFUNCTION("""COMPUTED_VALUE"""),-0.536374510336875)</f>
        <v>-0.536374510336875</v>
      </c>
      <c r="KR101" s="3">
        <f ca="1">IFERROR(__xludf.DUMMYFUNCTION("""COMPUTED_VALUE"""),-0.499757563582752)</f>
        <v>-0.49975756358275197</v>
      </c>
      <c r="KS101" s="3">
        <f ca="1">IFERROR(__xludf.DUMMYFUNCTION("""COMPUTED_VALUE"""),-0.521478377247597)</f>
        <v>-0.52147837724759705</v>
      </c>
      <c r="KT101" s="3">
        <f ca="1">IFERROR(__xludf.DUMMYFUNCTION("""COMPUTED_VALUE"""),-0.499793188802686)</f>
        <v>-0.49979318880268597</v>
      </c>
      <c r="KU101" s="3">
        <f ca="1">IFERROR(__xludf.DUMMYFUNCTION("""COMPUTED_VALUE"""),-0.615532935299147)</f>
        <v>-0.61553293529914699</v>
      </c>
      <c r="KV101" s="3">
        <f ca="1">IFERROR(__xludf.DUMMYFUNCTION("""COMPUTED_VALUE"""),-0.573481839070298)</f>
        <v>-0.57348183907029804</v>
      </c>
      <c r="KW101" s="3">
        <f ca="1">IFERROR(__xludf.DUMMYFUNCTION("""COMPUTED_VALUE"""),-0.554295367605644)</f>
        <v>-0.55429536760564402</v>
      </c>
      <c r="KX101" s="3">
        <f ca="1">IFERROR(__xludf.DUMMYFUNCTION("""COMPUTED_VALUE"""),-0.582818883812649)</f>
        <v>-0.58281888381264901</v>
      </c>
      <c r="KY101" s="3">
        <f ca="1">IFERROR(__xludf.DUMMYFUNCTION("""COMPUTED_VALUE"""),-0.543848287305723)</f>
        <v>-0.54384828730572299</v>
      </c>
      <c r="KZ101" s="3">
        <f ca="1">IFERROR(__xludf.DUMMYFUNCTION("""COMPUTED_VALUE"""),-0.568394112856624)</f>
        <v>-0.568394112856624</v>
      </c>
      <c r="LA101" s="3">
        <f ca="1">IFERROR(__xludf.DUMMYFUNCTION("""COMPUTED_VALUE"""),-0.549579049300958)</f>
        <v>-0.54957904930095802</v>
      </c>
      <c r="LB101" s="3">
        <f ca="1">IFERROR(__xludf.DUMMYFUNCTION("""COMPUTED_VALUE"""),-0.613873064590196)</f>
        <v>-0.61387306459019597</v>
      </c>
      <c r="LC101" s="3">
        <f ca="1">IFERROR(__xludf.DUMMYFUNCTION("""COMPUTED_VALUE"""),-0.588447052430971)</f>
        <v>-0.58844705243097095</v>
      </c>
      <c r="LD101" s="3">
        <f ca="1">IFERROR(__xludf.DUMMYFUNCTION("""COMPUTED_VALUE"""),-0.60204657125392)</f>
        <v>-0.60204657125392003</v>
      </c>
      <c r="LE101" s="3">
        <f ca="1">IFERROR(__xludf.DUMMYFUNCTION("""COMPUTED_VALUE"""),-0.561280986908896)</f>
        <v>-0.56128098690889605</v>
      </c>
      <c r="LF101" s="3">
        <f ca="1">IFERROR(__xludf.DUMMYFUNCTION("""COMPUTED_VALUE"""),-0.621502015805513)</f>
        <v>-0.62150201580551301</v>
      </c>
      <c r="LG101" s="3">
        <f ca="1">IFERROR(__xludf.DUMMYFUNCTION("""COMPUTED_VALUE"""),-0.574251345135554)</f>
        <v>-0.57425134513555398</v>
      </c>
      <c r="LH101" s="3">
        <f ca="1">IFERROR(__xludf.DUMMYFUNCTION("""COMPUTED_VALUE"""),-0.580687187688385)</f>
        <v>-0.58068718768838501</v>
      </c>
      <c r="LI101" s="3">
        <f ca="1">IFERROR(__xludf.DUMMYFUNCTION("""COMPUTED_VALUE"""),-0.640030114703776)</f>
        <v>-0.64003011470377602</v>
      </c>
      <c r="LJ101" s="3">
        <f ca="1">IFERROR(__xludf.DUMMYFUNCTION("""COMPUTED_VALUE"""),-0.61661293500799)</f>
        <v>-0.61661293500798997</v>
      </c>
      <c r="LK101" s="3">
        <f ca="1">IFERROR(__xludf.DUMMYFUNCTION("""COMPUTED_VALUE"""),-0.642084505830579)</f>
        <v>-0.64208450583057897</v>
      </c>
      <c r="LL101" s="3">
        <f ca="1">IFERROR(__xludf.DUMMYFUNCTION("""COMPUTED_VALUE"""),-0.627254714070243)</f>
        <v>-0.62725471407024302</v>
      </c>
      <c r="LM101" s="3">
        <f ca="1">IFERROR(__xludf.DUMMYFUNCTION("""COMPUTED_VALUE"""),-0.642251834465192)</f>
        <v>-0.64225183446519196</v>
      </c>
      <c r="LN101" s="3">
        <f ca="1">IFERROR(__xludf.DUMMYFUNCTION("""COMPUTED_VALUE"""),-0.593469988140517)</f>
        <v>-0.59346998814051699</v>
      </c>
      <c r="LO101" s="3">
        <f ca="1">IFERROR(__xludf.DUMMYFUNCTION("""COMPUTED_VALUE"""),-0.653715215443747)</f>
        <v>-0.653715215443747</v>
      </c>
      <c r="LP101" s="3">
        <f ca="1">IFERROR(__xludf.DUMMYFUNCTION("""COMPUTED_VALUE"""),-0.685233858711174)</f>
        <v>-0.68523385871117404</v>
      </c>
      <c r="LQ101" s="3">
        <f ca="1">IFERROR(__xludf.DUMMYFUNCTION("""COMPUTED_VALUE"""),-0.678648691373728)</f>
        <v>-0.67864869137372796</v>
      </c>
      <c r="LR101" s="3">
        <f ca="1">IFERROR(__xludf.DUMMYFUNCTION("""COMPUTED_VALUE"""),-0.676500749787507)</f>
        <v>-0.67650074978750696</v>
      </c>
      <c r="LS101" s="3">
        <f ca="1">IFERROR(__xludf.DUMMYFUNCTION("""COMPUTED_VALUE"""),-0.660321038369965)</f>
        <v>-0.66032103836996503</v>
      </c>
      <c r="LT101" s="3">
        <f ca="1">IFERROR(__xludf.DUMMYFUNCTION("""COMPUTED_VALUE"""),-0.672656381686616)</f>
        <v>-0.67265638168661601</v>
      </c>
      <c r="LU101" s="3">
        <f ca="1">IFERROR(__xludf.DUMMYFUNCTION("""COMPUTED_VALUE"""),-0.651805327028248)</f>
        <v>-0.651805327028248</v>
      </c>
      <c r="LV101" s="3">
        <f ca="1">IFERROR(__xludf.DUMMYFUNCTION("""COMPUTED_VALUE"""),-0.668197519034738)</f>
        <v>-0.66819751903473801</v>
      </c>
      <c r="LW101" s="3">
        <f ca="1">IFERROR(__xludf.DUMMYFUNCTION("""COMPUTED_VALUE"""),-0.731806159332027)</f>
        <v>-0.73180615933202697</v>
      </c>
      <c r="LX101" s="3">
        <f ca="1">IFERROR(__xludf.DUMMYFUNCTION("""COMPUTED_VALUE"""),-0.72174829456097)</f>
        <v>-0.72174829456097001</v>
      </c>
      <c r="LY101" s="3">
        <f ca="1">IFERROR(__xludf.DUMMYFUNCTION("""COMPUTED_VALUE"""),-0.705036028033804)</f>
        <v>-0.70503602803380405</v>
      </c>
      <c r="LZ101" s="3">
        <f ca="1">IFERROR(__xludf.DUMMYFUNCTION("""COMPUTED_VALUE"""),-0.7153505035599)</f>
        <v>-0.71535050355990004</v>
      </c>
      <c r="MA101" s="3">
        <f ca="1">IFERROR(__xludf.DUMMYFUNCTION("""COMPUTED_VALUE"""),-0.704099781715983)</f>
        <v>-0.70409978171598298</v>
      </c>
      <c r="MB101" s="3">
        <f ca="1">IFERROR(__xludf.DUMMYFUNCTION("""COMPUTED_VALUE"""),-0.750894898289363)</f>
        <v>-0.75089489828936296</v>
      </c>
      <c r="MC101" s="3">
        <f ca="1">IFERROR(__xludf.DUMMYFUNCTION("""COMPUTED_VALUE"""),-0.792656370813729)</f>
        <v>-0.79265637081372897</v>
      </c>
      <c r="MD101" s="3">
        <f ca="1">IFERROR(__xludf.DUMMYFUNCTION("""COMPUTED_VALUE"""),-0.830856289887157)</f>
        <v>-0.83085628988715698</v>
      </c>
      <c r="ME101" s="3">
        <f ca="1">IFERROR(__xludf.DUMMYFUNCTION("""COMPUTED_VALUE"""),-0.791921688131585)</f>
        <v>-0.79192168813158503</v>
      </c>
      <c r="MF101" s="3">
        <f ca="1">IFERROR(__xludf.DUMMYFUNCTION("""COMPUTED_VALUE"""),-0.754237116628018)</f>
        <v>-0.75423711662801796</v>
      </c>
      <c r="MG101" s="3">
        <f ca="1">IFERROR(__xludf.DUMMYFUNCTION("""COMPUTED_VALUE"""),-0.805631558059066)</f>
        <v>-0.80563155805906606</v>
      </c>
      <c r="MH101" s="3">
        <f ca="1">IFERROR(__xludf.DUMMYFUNCTION("""COMPUTED_VALUE"""),-0.799993637887991)</f>
        <v>-0.79999363788799105</v>
      </c>
      <c r="MI101" s="3">
        <f ca="1">IFERROR(__xludf.DUMMYFUNCTION("""COMPUTED_VALUE"""),-0.824209080031266)</f>
        <v>-0.82420908003126603</v>
      </c>
      <c r="MJ101" s="3">
        <f ca="1">IFERROR(__xludf.DUMMYFUNCTION("""COMPUTED_VALUE"""),-0.824794187670979)</f>
        <v>-0.82479418767097901</v>
      </c>
      <c r="MK101" s="3">
        <f ca="1">IFERROR(__xludf.DUMMYFUNCTION("""COMPUTED_VALUE"""),-0.885903949985503)</f>
        <v>-0.88590394998550304</v>
      </c>
      <c r="ML101" s="3">
        <f ca="1">IFERROR(__xludf.DUMMYFUNCTION("""COMPUTED_VALUE"""),-0.833988363466544)</f>
        <v>-0.83398836346654404</v>
      </c>
      <c r="MM101" s="3">
        <f ca="1">IFERROR(__xludf.DUMMYFUNCTION("""COMPUTED_VALUE"""),-0.799685665950042)</f>
        <v>-0.79968566595004198</v>
      </c>
      <c r="MN101" s="3">
        <f ca="1">IFERROR(__xludf.DUMMYFUNCTION("""COMPUTED_VALUE"""),-0.835918094872618)</f>
        <v>-0.83591809487261803</v>
      </c>
      <c r="MO101" s="3">
        <f ca="1">IFERROR(__xludf.DUMMYFUNCTION("""COMPUTED_VALUE"""),-0.813138622525796)</f>
        <v>-0.81313862252579605</v>
      </c>
      <c r="MP101" s="3">
        <f ca="1">IFERROR(__xludf.DUMMYFUNCTION("""COMPUTED_VALUE"""),-0.84787607811722)</f>
        <v>-0.84787607811721999</v>
      </c>
      <c r="MQ101" s="3">
        <f ca="1">IFERROR(__xludf.DUMMYFUNCTION("""COMPUTED_VALUE"""),-0.852148482255843)</f>
        <v>-0.85214848225584305</v>
      </c>
      <c r="MR101" s="3">
        <f ca="1">IFERROR(__xludf.DUMMYFUNCTION("""COMPUTED_VALUE"""),-0.844969452227181)</f>
        <v>-0.84496945222718101</v>
      </c>
      <c r="MS101" s="3">
        <f ca="1">IFERROR(__xludf.DUMMYFUNCTION("""COMPUTED_VALUE"""),-0.821451725104527)</f>
        <v>-0.82145172510452702</v>
      </c>
      <c r="MT101" s="3">
        <f ca="1">IFERROR(__xludf.DUMMYFUNCTION("""COMPUTED_VALUE"""),-0.815908269734288)</f>
        <v>-0.81590826973428798</v>
      </c>
      <c r="MU101" s="3">
        <f ca="1">IFERROR(__xludf.DUMMYFUNCTION("""COMPUTED_VALUE"""),-0.831889008963925)</f>
        <v>-0.83188900896392504</v>
      </c>
      <c r="MV101" s="3">
        <f ca="1">IFERROR(__xludf.DUMMYFUNCTION("""COMPUTED_VALUE"""),-0.809888103612146)</f>
        <v>-0.80988810361214603</v>
      </c>
      <c r="MW101" s="3">
        <f ca="1">IFERROR(__xludf.DUMMYFUNCTION("""COMPUTED_VALUE"""),-0.853304329283825)</f>
        <v>-0.85330432928382505</v>
      </c>
      <c r="MX101" s="3">
        <f ca="1">IFERROR(__xludf.DUMMYFUNCTION("""COMPUTED_VALUE"""),-0.843030709308111)</f>
        <v>-0.84303070930811097</v>
      </c>
      <c r="MY101" s="3">
        <f ca="1">IFERROR(__xludf.DUMMYFUNCTION("""COMPUTED_VALUE"""),-0.815874476958874)</f>
        <v>-0.81587447695887405</v>
      </c>
      <c r="MZ101" s="3">
        <f ca="1">IFERROR(__xludf.DUMMYFUNCTION("""COMPUTED_VALUE"""),-0.766624555392569)</f>
        <v>-0.76662455539256902</v>
      </c>
      <c r="NA101" s="3">
        <f ca="1">IFERROR(__xludf.DUMMYFUNCTION("""COMPUTED_VALUE"""),-0.772861319271369)</f>
        <v>-0.77286131927136903</v>
      </c>
      <c r="NB101" s="3">
        <f ca="1">IFERROR(__xludf.DUMMYFUNCTION("""COMPUTED_VALUE"""),-0.763318035768789)</f>
        <v>-0.76331803576878898</v>
      </c>
      <c r="NC101" s="3">
        <f ca="1">IFERROR(__xludf.DUMMYFUNCTION("""COMPUTED_VALUE"""),-0.8120168082772)</f>
        <v>-0.81201680827720002</v>
      </c>
      <c r="ND101" s="3">
        <f ca="1">IFERROR(__xludf.DUMMYFUNCTION("""COMPUTED_VALUE"""),-0.822731983221749)</f>
        <v>-0.82273198322174901</v>
      </c>
      <c r="NE101" s="3">
        <f ca="1">IFERROR(__xludf.DUMMYFUNCTION("""COMPUTED_VALUE"""),-0.810576510652504)</f>
        <v>-0.81057651065250402</v>
      </c>
      <c r="NF101" s="3">
        <f ca="1">IFERROR(__xludf.DUMMYFUNCTION("""COMPUTED_VALUE"""),-0.789483758076621)</f>
        <v>-0.78948375807662097</v>
      </c>
      <c r="NG101" s="3">
        <f ca="1">IFERROR(__xludf.DUMMYFUNCTION("""COMPUTED_VALUE"""),-0.792471879986797)</f>
        <v>-0.79247187998679702</v>
      </c>
      <c r="NH101" s="3">
        <f ca="1">IFERROR(__xludf.DUMMYFUNCTION("""COMPUTED_VALUE"""),-0.799196094010593)</f>
        <v>-0.79919609401059299</v>
      </c>
      <c r="NI101" s="3">
        <f ca="1">IFERROR(__xludf.DUMMYFUNCTION("""COMPUTED_VALUE"""),-0.779616373245405)</f>
        <v>-0.779616373245405</v>
      </c>
      <c r="NJ101" s="3">
        <f ca="1">IFERROR(__xludf.DUMMYFUNCTION("""COMPUTED_VALUE"""),-0.7816663906786)</f>
        <v>-0.7816663906786</v>
      </c>
      <c r="NK101" s="3">
        <f ca="1">IFERROR(__xludf.DUMMYFUNCTION("""COMPUTED_VALUE"""),-0.833301683595592)</f>
        <v>-0.83330168359559198</v>
      </c>
      <c r="NL101" s="3">
        <f ca="1">IFERROR(__xludf.DUMMYFUNCTION("""COMPUTED_VALUE"""),-0.839634551441941)</f>
        <v>-0.83963455144194099</v>
      </c>
      <c r="NM101" s="3">
        <f ca="1">IFERROR(__xludf.DUMMYFUNCTION("""COMPUTED_VALUE"""),-0.826988124517688)</f>
        <v>-0.82698812451768799</v>
      </c>
      <c r="NN101" s="3">
        <f ca="1">IFERROR(__xludf.DUMMYFUNCTION("""COMPUTED_VALUE"""),-0.815924113023731)</f>
        <v>-0.81592411302373102</v>
      </c>
      <c r="NO101" s="3">
        <f ca="1">IFERROR(__xludf.DUMMYFUNCTION("""COMPUTED_VALUE"""),-0.810033463116297)</f>
        <v>-0.81003346311629698</v>
      </c>
      <c r="NP101" s="3">
        <f ca="1">IFERROR(__xludf.DUMMYFUNCTION("""COMPUTED_VALUE"""),-0.787429579650348)</f>
        <v>-0.78742957965034799</v>
      </c>
      <c r="NQ101" s="3">
        <f ca="1">IFERROR(__xludf.DUMMYFUNCTION("""COMPUTED_VALUE"""),-0.74955895304634)</f>
        <v>-0.74955895304634002</v>
      </c>
      <c r="NR101" s="3">
        <f ca="1">IFERROR(__xludf.DUMMYFUNCTION("""COMPUTED_VALUE"""),-0.848142816823108)</f>
        <v>-0.84814281682310799</v>
      </c>
      <c r="NS101" s="3">
        <f ca="1">IFERROR(__xludf.DUMMYFUNCTION("""COMPUTED_VALUE"""),-0.836953043131271)</f>
        <v>-0.83695304313127095</v>
      </c>
      <c r="NT101" s="3">
        <f ca="1">IFERROR(__xludf.DUMMYFUNCTION("""COMPUTED_VALUE"""),-0.818996363487264)</f>
        <v>-0.81899636348726401</v>
      </c>
      <c r="NU101" s="3">
        <f ca="1">IFERROR(__xludf.DUMMYFUNCTION("""COMPUTED_VALUE"""),-0.796765509355612)</f>
        <v>-0.79676550935561197</v>
      </c>
      <c r="NV101" s="3">
        <f ca="1">IFERROR(__xludf.DUMMYFUNCTION("""COMPUTED_VALUE"""),-0.805780119304002)</f>
        <v>-0.80578011930400195</v>
      </c>
      <c r="NW101" s="3">
        <f ca="1">IFERROR(__xludf.DUMMYFUNCTION("""COMPUTED_VALUE"""),-0.743877782705076)</f>
        <v>-0.74387778270507598</v>
      </c>
      <c r="NX101" s="3">
        <f ca="1">IFERROR(__xludf.DUMMYFUNCTION("""COMPUTED_VALUE"""),-0.7532076976277)</f>
        <v>-0.75320769762770001</v>
      </c>
      <c r="NY101" s="3">
        <f ca="1">IFERROR(__xludf.DUMMYFUNCTION("""COMPUTED_VALUE"""),-0.811616286163428)</f>
        <v>-0.81161628616342796</v>
      </c>
      <c r="NZ101" s="3">
        <f ca="1">IFERROR(__xludf.DUMMYFUNCTION("""COMPUTED_VALUE"""),-0.801736690297618)</f>
        <v>-0.80173669029761796</v>
      </c>
      <c r="OA101" s="3">
        <f ca="1">IFERROR(__xludf.DUMMYFUNCTION("""COMPUTED_VALUE"""),-0.783800460827678)</f>
        <v>-0.78380046082767796</v>
      </c>
      <c r="OB101" s="3">
        <f ca="1">IFERROR(__xludf.DUMMYFUNCTION("""COMPUTED_VALUE"""),-0.756761746860326)</f>
        <v>-0.75676174686032605</v>
      </c>
      <c r="OC101" s="3">
        <f ca="1">IFERROR(__xludf.DUMMYFUNCTION("""COMPUTED_VALUE"""),-0.759661476188887)</f>
        <v>-0.75966147618888702</v>
      </c>
      <c r="OD101" s="3">
        <f ca="1">IFERROR(__xludf.DUMMYFUNCTION("""COMPUTED_VALUE"""),-0.647861172324796)</f>
        <v>-0.64786117232479601</v>
      </c>
      <c r="OE101" s="3">
        <f ca="1">IFERROR(__xludf.DUMMYFUNCTION("""COMPUTED_VALUE"""),-0.398330863941524)</f>
        <v>-0.398330863941524</v>
      </c>
      <c r="OF101" s="3">
        <f ca="1">IFERROR(__xludf.DUMMYFUNCTION("""COMPUTED_VALUE"""),-0.301371159293712)</f>
        <v>-0.301371159293712</v>
      </c>
      <c r="OG101" s="3">
        <f ca="1">IFERROR(__xludf.DUMMYFUNCTION("""COMPUTED_VALUE"""),-0.20051396021758)</f>
        <v>-0.20051396021758</v>
      </c>
      <c r="OH101" s="3">
        <f ca="1">IFERROR(__xludf.DUMMYFUNCTION("""COMPUTED_VALUE"""),0.00807055913952536)</f>
        <v>8.0705591395253597E-3</v>
      </c>
      <c r="OI101" s="3">
        <f ca="1">IFERROR(__xludf.DUMMYFUNCTION("""COMPUTED_VALUE"""),0.0125386321128475)</f>
        <v>1.25386321128475E-2</v>
      </c>
      <c r="OJ101" s="3">
        <f ca="1">IFERROR(__xludf.DUMMYFUNCTION("""COMPUTED_VALUE"""),0.0509338750623238)</f>
        <v>5.0933875062323802E-2</v>
      </c>
      <c r="OK101" s="3">
        <f ca="1">IFERROR(__xludf.DUMMYFUNCTION("""COMPUTED_VALUE"""),0.0409871609315048)</f>
        <v>4.0987160931504799E-2</v>
      </c>
      <c r="OL101" s="3">
        <f ca="1">IFERROR(__xludf.DUMMYFUNCTION("""COMPUTED_VALUE"""),0.0494760836351539)</f>
        <v>4.9476083635153899E-2</v>
      </c>
      <c r="OM101" s="3">
        <f ca="1">IFERROR(__xludf.DUMMYFUNCTION("""COMPUTED_VALUE"""),-0.0853792986426938)</f>
        <v>-8.5379298642693793E-2</v>
      </c>
      <c r="ON101" s="3">
        <f ca="1">IFERROR(__xludf.DUMMYFUNCTION("""COMPUTED_VALUE"""),0.0621205307672498)</f>
        <v>6.2120530767249799E-2</v>
      </c>
      <c r="OO101" s="3">
        <f ca="1">IFERROR(__xludf.DUMMYFUNCTION("""COMPUTED_VALUE"""),0.161236363903394)</f>
        <v>0.16123636390339399</v>
      </c>
      <c r="OP101" s="3">
        <f ca="1">IFERROR(__xludf.DUMMYFUNCTION("""COMPUTED_VALUE"""),0.0836469539107129)</f>
        <v>8.3646953910712904E-2</v>
      </c>
      <c r="OQ101" s="3">
        <f ca="1">IFERROR(__xludf.DUMMYFUNCTION("""COMPUTED_VALUE"""),0.109580411516173)</f>
        <v>0.109580411516173</v>
      </c>
      <c r="OR101" s="3">
        <f ca="1">IFERROR(__xludf.DUMMYFUNCTION("""COMPUTED_VALUE"""),0.158588549720908)</f>
        <v>0.158588549720908</v>
      </c>
      <c r="OS101" s="3">
        <f ca="1">IFERROR(__xludf.DUMMYFUNCTION("""COMPUTED_VALUE"""),0.150955587469837)</f>
        <v>0.150955587469837</v>
      </c>
      <c r="OT101" s="3">
        <f ca="1">IFERROR(__xludf.DUMMYFUNCTION("""COMPUTED_VALUE"""),-0.0904043999279303)</f>
        <v>-9.0404399927930298E-2</v>
      </c>
      <c r="OU101" s="3">
        <f ca="1">IFERROR(__xludf.DUMMYFUNCTION("""COMPUTED_VALUE"""),0.0982396316707392)</f>
        <v>9.8239631670739194E-2</v>
      </c>
      <c r="OV101" s="3">
        <f ca="1">IFERROR(__xludf.DUMMYFUNCTION("""COMPUTED_VALUE"""),0.2030701711595)</f>
        <v>0.20307017115949999</v>
      </c>
      <c r="OW101" s="3">
        <f ca="1">IFERROR(__xludf.DUMMYFUNCTION("""COMPUTED_VALUE"""),0.126418481569028)</f>
        <v>0.12641848156902799</v>
      </c>
      <c r="OX101" s="3">
        <f ca="1">IFERROR(__xludf.DUMMYFUNCTION("""COMPUTED_VALUE"""),0.137543434075595)</f>
        <v>0.13754343407559499</v>
      </c>
      <c r="OY101" s="3">
        <f ca="1">IFERROR(__xludf.DUMMYFUNCTION("""COMPUTED_VALUE"""),0.120895876769351)</f>
        <v>0.120895876769351</v>
      </c>
      <c r="OZ101" s="3">
        <f ca="1">IFERROR(__xludf.DUMMYFUNCTION("""COMPUTED_VALUE"""),0.0905755457577928)</f>
        <v>9.0575545757792794E-2</v>
      </c>
      <c r="PA101" s="3">
        <f ca="1">IFERROR(__xludf.DUMMYFUNCTION("""COMPUTED_VALUE"""),-0.0796805021840593)</f>
        <v>-7.9680502184059296E-2</v>
      </c>
      <c r="PB101" s="3">
        <f ca="1">IFERROR(__xludf.DUMMYFUNCTION("""COMPUTED_VALUE"""),-0.0693135137974524)</f>
        <v>-6.9313513797452403E-2</v>
      </c>
      <c r="PC101" s="3">
        <f ca="1">IFERROR(__xludf.DUMMYFUNCTION("""COMPUTED_VALUE"""),-0.0785051556386632)</f>
        <v>-7.8505155638663199E-2</v>
      </c>
      <c r="PD101" s="3">
        <f ca="1">IFERROR(__xludf.DUMMYFUNCTION("""COMPUTED_VALUE"""),-0.0483534041531581)</f>
        <v>-4.83534041531581E-2</v>
      </c>
      <c r="PE101" s="3">
        <f ca="1">IFERROR(__xludf.DUMMYFUNCTION("""COMPUTED_VALUE"""),-0.0921515242373557)</f>
        <v>-9.2151524237355703E-2</v>
      </c>
      <c r="PF101" s="3">
        <f ca="1">IFERROR(__xludf.DUMMYFUNCTION("""COMPUTED_VALUE"""),-0.0381688614333967)</f>
        <v>-3.8168861433396699E-2</v>
      </c>
      <c r="PG101" s="3">
        <f ca="1">IFERROR(__xludf.DUMMYFUNCTION("""COMPUTED_VALUE"""),-0.0525201484994379)</f>
        <v>-5.2520148499437903E-2</v>
      </c>
      <c r="PH101" s="3">
        <f ca="1">IFERROR(__xludf.DUMMYFUNCTION("""COMPUTED_VALUE"""),-0.018805683975351)</f>
        <v>-1.8805683975351001E-2</v>
      </c>
      <c r="PI101" s="3">
        <f ca="1">IFERROR(__xludf.DUMMYFUNCTION("""COMPUTED_VALUE"""),-0.0966669120539425)</f>
        <v>-9.6666912053942497E-2</v>
      </c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</row>
    <row r="102" spans="1:477" ht="13">
      <c r="A102" s="1" t="str">
        <f ca="1">IFERROR(__xludf.DUMMYFUNCTION("""COMPUTED_VALUE"""),"RATP Metro")</f>
        <v>RATP Metro</v>
      </c>
      <c r="B102" s="1" t="str">
        <f ca="1">IFERROR(__xludf.DUMMYFUNCTION("""COMPUTED_VALUE"""),"Paris")</f>
        <v>Paris</v>
      </c>
      <c r="C102" s="1" t="str">
        <f ca="1">IFERROR(__xludf.DUMMYFUNCTION("""COMPUTED_VALUE"""),"France")</f>
        <v>France</v>
      </c>
      <c r="D102" s="1" t="str">
        <f ca="1">IFERROR(__xludf.DUMMYFUNCTION("""COMPUTED_VALUE"""),"Île-de-France")</f>
        <v>Île-de-France</v>
      </c>
      <c r="E102" s="3">
        <f ca="1">IFERROR(__xludf.DUMMYFUNCTION("""COMPUTED_VALUE"""),-0.996836216835707)</f>
        <v>-0.996836216835707</v>
      </c>
      <c r="F102" s="3">
        <f ca="1">IFERROR(__xludf.DUMMYFUNCTION("""COMPUTED_VALUE"""),-0.996982786805004)</f>
        <v>-0.99698278680500396</v>
      </c>
      <c r="G102" s="3">
        <f ca="1">IFERROR(__xludf.DUMMYFUNCTION("""COMPUTED_VALUE"""),-0.996722357125577)</f>
        <v>-0.996722357125577</v>
      </c>
      <c r="H102" s="3">
        <f ca="1">IFERROR(__xludf.DUMMYFUNCTION("""COMPUTED_VALUE"""),-0.996590181223005)</f>
        <v>-0.99659018122300502</v>
      </c>
      <c r="I102" s="3">
        <f ca="1">IFERROR(__xludf.DUMMYFUNCTION("""COMPUTED_VALUE"""),-0.996462122649563)</f>
        <v>-0.99646212264956302</v>
      </c>
      <c r="J102" s="3">
        <f ca="1">IFERROR(__xludf.DUMMYFUNCTION("""COMPUTED_VALUE"""),-0.9957394277004)</f>
        <v>-0.99573942770040003</v>
      </c>
      <c r="K102" s="3">
        <f ca="1">IFERROR(__xludf.DUMMYFUNCTION("""COMPUTED_VALUE"""),-0.995006517903551)</f>
        <v>-0.99500651790355099</v>
      </c>
      <c r="L102" s="3">
        <f ca="1">IFERROR(__xludf.DUMMYFUNCTION("""COMPUTED_VALUE"""),-0.99596238667755)</f>
        <v>-0.99596238667754999</v>
      </c>
      <c r="M102" s="3">
        <f ca="1">IFERROR(__xludf.DUMMYFUNCTION("""COMPUTED_VALUE"""),-0.996045184756597)</f>
        <v>-0.99604518475659698</v>
      </c>
      <c r="N102" s="3">
        <f ca="1">IFERROR(__xludf.DUMMYFUNCTION("""COMPUTED_VALUE"""),-0.995726687001407)</f>
        <v>-0.99572668700140698</v>
      </c>
      <c r="O102" s="3">
        <f ca="1">IFERROR(__xludf.DUMMYFUNCTION("""COMPUTED_VALUE"""),-0.995207165661747)</f>
        <v>-0.99520716566174705</v>
      </c>
      <c r="P102" s="3">
        <f ca="1">IFERROR(__xludf.DUMMYFUNCTION("""COMPUTED_VALUE"""),-0.994912340429884)</f>
        <v>-0.99491234042988397</v>
      </c>
      <c r="Q102" s="3">
        <f ca="1">IFERROR(__xludf.DUMMYFUNCTION("""COMPUTED_VALUE"""),-0.994896949058792)</f>
        <v>-0.994896949058792</v>
      </c>
      <c r="R102" s="3">
        <f ca="1">IFERROR(__xludf.DUMMYFUNCTION("""COMPUTED_VALUE"""),-0.994289244618056)</f>
        <v>-0.99428924461805601</v>
      </c>
      <c r="S102" s="3">
        <f ca="1">IFERROR(__xludf.DUMMYFUNCTION("""COMPUTED_VALUE"""),-0.995398793017285)</f>
        <v>-0.99539879301728496</v>
      </c>
      <c r="T102" s="3">
        <f ca="1">IFERROR(__xludf.DUMMYFUNCTION("""COMPUTED_VALUE"""),-0.995007885384412)</f>
        <v>-0.99500788538441198</v>
      </c>
      <c r="U102" s="3">
        <f ca="1">IFERROR(__xludf.DUMMYFUNCTION("""COMPUTED_VALUE"""),-0.994560367460388)</f>
        <v>-0.99456036746038801</v>
      </c>
      <c r="V102" s="3">
        <f ca="1">IFERROR(__xludf.DUMMYFUNCTION("""COMPUTED_VALUE"""),-0.994400342154366)</f>
        <v>-0.99440034215436601</v>
      </c>
      <c r="W102" s="3">
        <f ca="1">IFERROR(__xludf.DUMMYFUNCTION("""COMPUTED_VALUE"""),-0.993526562248027)</f>
        <v>-0.99352656224802705</v>
      </c>
      <c r="X102" s="3">
        <f ca="1">IFERROR(__xludf.DUMMYFUNCTION("""COMPUTED_VALUE"""),-0.992497002585126)</f>
        <v>-0.99249700258512596</v>
      </c>
      <c r="Y102" s="3">
        <f ca="1">IFERROR(__xludf.DUMMYFUNCTION("""COMPUTED_VALUE"""),-0.993230905959032)</f>
        <v>-0.99323090595903196</v>
      </c>
      <c r="Z102" s="3">
        <f ca="1">IFERROR(__xludf.DUMMYFUNCTION("""COMPUTED_VALUE"""),-0.994568084751915)</f>
        <v>-0.99456808475191505</v>
      </c>
      <c r="AA102" s="3">
        <f ca="1">IFERROR(__xludf.DUMMYFUNCTION("""COMPUTED_VALUE"""),-0.992185320974667)</f>
        <v>-0.99218532097466705</v>
      </c>
      <c r="AB102" s="3">
        <f ca="1">IFERROR(__xludf.DUMMYFUNCTION("""COMPUTED_VALUE"""),-0.992473742138435)</f>
        <v>-0.99247374213843498</v>
      </c>
      <c r="AC102" s="3">
        <f ca="1">IFERROR(__xludf.DUMMYFUNCTION("""COMPUTED_VALUE"""),-0.991722436797676)</f>
        <v>-0.99172243679767602</v>
      </c>
      <c r="AD102" s="3">
        <f ca="1">IFERROR(__xludf.DUMMYFUNCTION("""COMPUTED_VALUE"""),-0.989885921779894)</f>
        <v>-0.98988592177989398</v>
      </c>
      <c r="AE102" s="3">
        <f ca="1">IFERROR(__xludf.DUMMYFUNCTION("""COMPUTED_VALUE"""),-0.988612325955793)</f>
        <v>-0.98861232595579296</v>
      </c>
      <c r="AF102" s="3">
        <f ca="1">IFERROR(__xludf.DUMMYFUNCTION("""COMPUTED_VALUE"""),-0.989356969318945)</f>
        <v>-0.98935696931894501</v>
      </c>
      <c r="AG102" s="3">
        <f ca="1">IFERROR(__xludf.DUMMYFUNCTION("""COMPUTED_VALUE"""),-0.98879947004991)</f>
        <v>-0.98879947004990998</v>
      </c>
      <c r="AH102" s="3">
        <f ca="1">IFERROR(__xludf.DUMMYFUNCTION("""COMPUTED_VALUE"""),-0.989707543931606)</f>
        <v>-0.98970754393160598</v>
      </c>
      <c r="AI102" s="3">
        <f ca="1">IFERROR(__xludf.DUMMYFUNCTION("""COMPUTED_VALUE"""),-0.987766337330208)</f>
        <v>-0.98776633733020802</v>
      </c>
      <c r="AJ102" s="3">
        <f ca="1">IFERROR(__xludf.DUMMYFUNCTION("""COMPUTED_VALUE"""),-0.986422200508534)</f>
        <v>-0.98642220050853402</v>
      </c>
      <c r="AK102" s="3">
        <f ca="1">IFERROR(__xludf.DUMMYFUNCTION("""COMPUTED_VALUE"""),-0.985687142462587)</f>
        <v>-0.98568714246258704</v>
      </c>
      <c r="AL102" s="3">
        <f ca="1">IFERROR(__xludf.DUMMYFUNCTION("""COMPUTED_VALUE"""),-0.981667672396971)</f>
        <v>-0.98166767239697095</v>
      </c>
      <c r="AM102" s="3">
        <f ca="1">IFERROR(__xludf.DUMMYFUNCTION("""COMPUTED_VALUE"""),-0.979695529772748)</f>
        <v>-0.97969552977274799</v>
      </c>
      <c r="AN102" s="3">
        <f ca="1">IFERROR(__xludf.DUMMYFUNCTION("""COMPUTED_VALUE"""),-0.974386714491867)</f>
        <v>-0.97438671449186698</v>
      </c>
      <c r="AO102" s="3">
        <f ca="1">IFERROR(__xludf.DUMMYFUNCTION("""COMPUTED_VALUE"""),-0.968986500890795)</f>
        <v>-0.96898650089079497</v>
      </c>
      <c r="AP102" s="3">
        <f ca="1">IFERROR(__xludf.DUMMYFUNCTION("""COMPUTED_VALUE"""),-0.961047049200978)</f>
        <v>-0.96104704920097805</v>
      </c>
      <c r="AQ102" s="3">
        <f ca="1">IFERROR(__xludf.DUMMYFUNCTION("""COMPUTED_VALUE"""),-0.93963556630011)</f>
        <v>-0.93963556630011003</v>
      </c>
      <c r="AR102" s="3">
        <f ca="1">IFERROR(__xludf.DUMMYFUNCTION("""COMPUTED_VALUE"""),-0.845418636128278)</f>
        <v>-0.84541863612827794</v>
      </c>
      <c r="AS102" s="3">
        <f ca="1">IFERROR(__xludf.DUMMYFUNCTION("""COMPUTED_VALUE"""),-0.338021496150455)</f>
        <v>-0.33802149615045501</v>
      </c>
      <c r="AT102" s="3">
        <f ca="1">IFERROR(__xludf.DUMMYFUNCTION("""COMPUTED_VALUE"""),-0.087522339229323)</f>
        <v>-8.7522339229322996E-2</v>
      </c>
      <c r="AU102" s="3">
        <f ca="1">IFERROR(__xludf.DUMMYFUNCTION("""COMPUTED_VALUE"""),-0.0994474399656223)</f>
        <v>-9.9447439965622303E-2</v>
      </c>
      <c r="AV102" s="3">
        <f ca="1">IFERROR(__xludf.DUMMYFUNCTION("""COMPUTED_VALUE"""),-0.149381692544469)</f>
        <v>-0.14938169254446901</v>
      </c>
      <c r="AW102" s="3">
        <f ca="1">IFERROR(__xludf.DUMMYFUNCTION("""COMPUTED_VALUE"""),-0.0719164857481694)</f>
        <v>-7.1916485748169404E-2</v>
      </c>
      <c r="AX102" s="3">
        <f ca="1">IFERROR(__xludf.DUMMYFUNCTION("""COMPUTED_VALUE"""),-0.0633037006823585)</f>
        <v>-6.3303700682358494E-2</v>
      </c>
      <c r="AY102" s="3">
        <f ca="1">IFERROR(__xludf.DUMMYFUNCTION("""COMPUTED_VALUE"""),-0.127065660381277)</f>
        <v>-0.12706566038127701</v>
      </c>
      <c r="AZ102" s="3">
        <f ca="1">IFERROR(__xludf.DUMMYFUNCTION("""COMPUTED_VALUE"""),-0.126224479045925)</f>
        <v>-0.12622447904592499</v>
      </c>
      <c r="BA102" s="3">
        <f ca="1">IFERROR(__xludf.DUMMYFUNCTION("""COMPUTED_VALUE"""),-0.0801886908059213)</f>
        <v>-8.0188690805921295E-2</v>
      </c>
      <c r="BB102" s="3">
        <f ca="1">IFERROR(__xludf.DUMMYFUNCTION("""COMPUTED_VALUE"""),-0.090576892738563)</f>
        <v>-9.0576892738562995E-2</v>
      </c>
      <c r="BC102" s="3">
        <f ca="1">IFERROR(__xludf.DUMMYFUNCTION("""COMPUTED_VALUE"""),-0.149653374027868)</f>
        <v>-0.14965337402786799</v>
      </c>
      <c r="BD102" s="3">
        <f ca="1">IFERROR(__xludf.DUMMYFUNCTION("""COMPUTED_VALUE"""),-0.168359386477499)</f>
        <v>-0.16835938647749901</v>
      </c>
      <c r="BE102" s="3">
        <f ca="1">IFERROR(__xludf.DUMMYFUNCTION("""COMPUTED_VALUE"""),-0.153780463036855)</f>
        <v>-0.153780463036855</v>
      </c>
      <c r="BF102" s="3">
        <f ca="1">IFERROR(__xludf.DUMMYFUNCTION("""COMPUTED_VALUE"""),-0.102588437571712)</f>
        <v>-0.102588437571712</v>
      </c>
      <c r="BG102" s="3">
        <f ca="1">IFERROR(__xludf.DUMMYFUNCTION("""COMPUTED_VALUE"""),-0.132689501713138)</f>
        <v>-0.13268950171313801</v>
      </c>
      <c r="BH102" s="3">
        <f ca="1">IFERROR(__xludf.DUMMYFUNCTION("""COMPUTED_VALUE"""),-0.13952406136995)</f>
        <v>-0.13952406136994999</v>
      </c>
      <c r="BI102" s="3">
        <f ca="1">IFERROR(__xludf.DUMMYFUNCTION("""COMPUTED_VALUE"""),-0.226187336780832)</f>
        <v>-0.226187336780832</v>
      </c>
      <c r="BJ102" s="3">
        <f ca="1">IFERROR(__xludf.DUMMYFUNCTION("""COMPUTED_VALUE"""),-0.269262027321848)</f>
        <v>-0.26926202732184801</v>
      </c>
      <c r="BK102" s="3">
        <f ca="1">IFERROR(__xludf.DUMMYFUNCTION("""COMPUTED_VALUE"""),-0.280531465905544)</f>
        <v>-0.28053146590554401</v>
      </c>
      <c r="BL102" s="3">
        <f ca="1">IFERROR(__xludf.DUMMYFUNCTION("""COMPUTED_VALUE"""),-0.224693355495431)</f>
        <v>-0.22469335549543101</v>
      </c>
      <c r="BM102" s="3">
        <f ca="1">IFERROR(__xludf.DUMMYFUNCTION("""COMPUTED_VALUE"""),-0.240465160046699)</f>
        <v>-0.24046516004669899</v>
      </c>
      <c r="BN102" s="3">
        <f ca="1">IFERROR(__xludf.DUMMYFUNCTION("""COMPUTED_VALUE"""),-0.23833939971715)</f>
        <v>-0.23833939971715001</v>
      </c>
      <c r="BO102" s="3">
        <f ca="1">IFERROR(__xludf.DUMMYFUNCTION("""COMPUTED_VALUE"""),-0.231194592901227)</f>
        <v>-0.23119459290122699</v>
      </c>
      <c r="BP102" s="3">
        <f ca="1">IFERROR(__xludf.DUMMYFUNCTION("""COMPUTED_VALUE"""),-0.178887992255943)</f>
        <v>-0.17888799225594301</v>
      </c>
      <c r="BQ102" s="3">
        <f ca="1">IFERROR(__xludf.DUMMYFUNCTION("""COMPUTED_VALUE"""),-0.152786471657126)</f>
        <v>-0.152786471657126</v>
      </c>
      <c r="BR102" s="3">
        <f ca="1">IFERROR(__xludf.DUMMYFUNCTION("""COMPUTED_VALUE"""),-0.290013302578885)</f>
        <v>-0.29001330257888502</v>
      </c>
      <c r="BS102" s="3">
        <f ca="1">IFERROR(__xludf.DUMMYFUNCTION("""COMPUTED_VALUE"""),-0.32356231269501)</f>
        <v>-0.32356231269501001</v>
      </c>
      <c r="BT102" s="3">
        <f ca="1">IFERROR(__xludf.DUMMYFUNCTION("""COMPUTED_VALUE"""),-0.325505409923602)</f>
        <v>-0.325505409923602</v>
      </c>
      <c r="BU102" s="3">
        <f ca="1">IFERROR(__xludf.DUMMYFUNCTION("""COMPUTED_VALUE"""),-0.327863766877229)</f>
        <v>-0.32786376687722901</v>
      </c>
      <c r="BV102" s="3">
        <f ca="1">IFERROR(__xludf.DUMMYFUNCTION("""COMPUTED_VALUE"""),-0.19543588227054)</f>
        <v>-0.19543588227054001</v>
      </c>
      <c r="BW102" s="3">
        <f ca="1">IFERROR(__xludf.DUMMYFUNCTION("""COMPUTED_VALUE"""),-0.243271935398649)</f>
        <v>-0.243271935398649</v>
      </c>
      <c r="BX102" s="3">
        <f ca="1">IFERROR(__xludf.DUMMYFUNCTION("""COMPUTED_VALUE"""),-0.402805754149166)</f>
        <v>-0.40280575414916597</v>
      </c>
      <c r="BY102" s="3">
        <f ca="1">IFERROR(__xludf.DUMMYFUNCTION("""COMPUTED_VALUE"""),-0.346029396122285)</f>
        <v>-0.346029396122285</v>
      </c>
      <c r="BZ102" s="3">
        <f ca="1">IFERROR(__xludf.DUMMYFUNCTION("""COMPUTED_VALUE"""),-0.367507121031399)</f>
        <v>-0.36750712103139899</v>
      </c>
      <c r="CA102" s="3">
        <f ca="1">IFERROR(__xludf.DUMMYFUNCTION("""COMPUTED_VALUE"""),-0.354992249001529)</f>
        <v>-0.35499224900152898</v>
      </c>
      <c r="CB102" s="3">
        <f ca="1">IFERROR(__xludf.DUMMYFUNCTION("""COMPUTED_VALUE"""),-0.400324580878976)</f>
        <v>-0.40032458087897599</v>
      </c>
      <c r="CC102" s="3">
        <f ca="1">IFERROR(__xludf.DUMMYFUNCTION("""COMPUTED_VALUE"""),-0.401789390730806)</f>
        <v>-0.401789390730806</v>
      </c>
      <c r="CD102" s="3">
        <f ca="1">IFERROR(__xludf.DUMMYFUNCTION("""COMPUTED_VALUE"""),-0.45066335823936)</f>
        <v>-0.45066335823935999</v>
      </c>
      <c r="CE102" s="3">
        <f ca="1">IFERROR(__xludf.DUMMYFUNCTION("""COMPUTED_VALUE"""),-0.482390950267154)</f>
        <v>-0.48239095026715401</v>
      </c>
      <c r="CF102" s="3">
        <f ca="1">IFERROR(__xludf.DUMMYFUNCTION("""COMPUTED_VALUE"""),-0.429258875382409)</f>
        <v>-0.42925887538240898</v>
      </c>
      <c r="CG102" s="3">
        <f ca="1">IFERROR(__xludf.DUMMYFUNCTION("""COMPUTED_VALUE"""),-0.485521212343227)</f>
        <v>-0.48552121234322698</v>
      </c>
      <c r="CH102" s="3">
        <f ca="1">IFERROR(__xludf.DUMMYFUNCTION("""COMPUTED_VALUE"""),-0.480868030408145)</f>
        <v>-0.48086803040814502</v>
      </c>
      <c r="CI102" s="3">
        <f ca="1">IFERROR(__xludf.DUMMYFUNCTION("""COMPUTED_VALUE"""),-0.499162757408474)</f>
        <v>-0.49916275740847399</v>
      </c>
      <c r="CJ102" s="3">
        <f ca="1">IFERROR(__xludf.DUMMYFUNCTION("""COMPUTED_VALUE"""),-0.515433079190178)</f>
        <v>-0.515433079190178</v>
      </c>
      <c r="CK102" s="3">
        <f ca="1">IFERROR(__xludf.DUMMYFUNCTION("""COMPUTED_VALUE"""),-0.542079538808222)</f>
        <v>-0.54207953880822202</v>
      </c>
      <c r="CL102" s="3">
        <f ca="1">IFERROR(__xludf.DUMMYFUNCTION("""COMPUTED_VALUE"""),-0.565722422310717)</f>
        <v>-0.56572242231071701</v>
      </c>
      <c r="CM102" s="3">
        <f ca="1">IFERROR(__xludf.DUMMYFUNCTION("""COMPUTED_VALUE"""),-0.567135202339955)</f>
        <v>-0.56713520233995496</v>
      </c>
      <c r="CN102" s="3">
        <f ca="1">IFERROR(__xludf.DUMMYFUNCTION("""COMPUTED_VALUE"""),-0.576736044518964)</f>
        <v>-0.57673604451896399</v>
      </c>
      <c r="CO102" s="3">
        <f ca="1">IFERROR(__xludf.DUMMYFUNCTION("""COMPUTED_VALUE"""),-0.583979782789695)</f>
        <v>-0.58397978278969498</v>
      </c>
      <c r="CP102" s="3">
        <f ca="1">IFERROR(__xludf.DUMMYFUNCTION("""COMPUTED_VALUE"""),-0.601633986579962)</f>
        <v>-0.60163398657996203</v>
      </c>
      <c r="CQ102" s="3">
        <f ca="1">IFERROR(__xludf.DUMMYFUNCTION("""COMPUTED_VALUE"""),-0.564178210797032)</f>
        <v>-0.56417821079703201</v>
      </c>
      <c r="CR102" s="3">
        <f ca="1">IFERROR(__xludf.DUMMYFUNCTION("""COMPUTED_VALUE"""),-0.591576107778113)</f>
        <v>-0.59157610777811298</v>
      </c>
      <c r="CS102" s="3">
        <f ca="1">IFERROR(__xludf.DUMMYFUNCTION("""COMPUTED_VALUE"""),-0.609071797574534)</f>
        <v>-0.609071797574534</v>
      </c>
      <c r="CT102" s="3">
        <f ca="1">IFERROR(__xludf.DUMMYFUNCTION("""COMPUTED_VALUE"""),-0.631173884504517)</f>
        <v>-0.63117388450451695</v>
      </c>
      <c r="CU102" s="3">
        <f ca="1">IFERROR(__xludf.DUMMYFUNCTION("""COMPUTED_VALUE"""),-0.604952623866529)</f>
        <v>-0.60495262386652904</v>
      </c>
      <c r="CV102" s="3">
        <f ca="1">IFERROR(__xludf.DUMMYFUNCTION("""COMPUTED_VALUE"""),-0.657869585839834)</f>
        <v>-0.65786958583983401</v>
      </c>
      <c r="CW102" s="3">
        <f ca="1">IFERROR(__xludf.DUMMYFUNCTION("""COMPUTED_VALUE"""),-0.659019332386756)</f>
        <v>-0.65901933238675603</v>
      </c>
      <c r="CX102" s="3">
        <f ca="1">IFERROR(__xludf.DUMMYFUNCTION("""COMPUTED_VALUE"""),-0.661497048207338)</f>
        <v>-0.66149704820733801</v>
      </c>
      <c r="CY102" s="3">
        <f ca="1">IFERROR(__xludf.DUMMYFUNCTION("""COMPUTED_VALUE"""),-0.691099477066825)</f>
        <v>-0.69109947706682495</v>
      </c>
      <c r="CZ102" s="3">
        <f ca="1">IFERROR(__xludf.DUMMYFUNCTION("""COMPUTED_VALUE"""),-0.737391974877299)</f>
        <v>-0.73739197487729902</v>
      </c>
      <c r="DA102" s="3">
        <f ca="1">IFERROR(__xludf.DUMMYFUNCTION("""COMPUTED_VALUE"""),-0.599924121400064)</f>
        <v>-0.59992412140006401</v>
      </c>
      <c r="DB102" s="3">
        <f ca="1">IFERROR(__xludf.DUMMYFUNCTION("""COMPUTED_VALUE"""),-0.584446583281909)</f>
        <v>-0.58444658328190902</v>
      </c>
      <c r="DC102" s="3">
        <f ca="1">IFERROR(__xludf.DUMMYFUNCTION("""COMPUTED_VALUE"""),-0.672211509167401)</f>
        <v>-0.67221150916740102</v>
      </c>
      <c r="DD102" s="3">
        <f ca="1">IFERROR(__xludf.DUMMYFUNCTION("""COMPUTED_VALUE"""),-0.688766558654351)</f>
        <v>-0.68876655865435099</v>
      </c>
      <c r="DE102" s="3">
        <f ca="1">IFERROR(__xludf.DUMMYFUNCTION("""COMPUTED_VALUE"""),-0.670581495736888)</f>
        <v>-0.67058149573688797</v>
      </c>
      <c r="DF102" s="3">
        <f ca="1">IFERROR(__xludf.DUMMYFUNCTION("""COMPUTED_VALUE"""),-0.694499186720642)</f>
        <v>-0.69449918672064204</v>
      </c>
      <c r="DG102" s="3">
        <f ca="1">IFERROR(__xludf.DUMMYFUNCTION("""COMPUTED_VALUE"""),-0.759668613957497)</f>
        <v>-0.75966861395749696</v>
      </c>
      <c r="DH102" s="3">
        <f ca="1">IFERROR(__xludf.DUMMYFUNCTION("""COMPUTED_VALUE"""),-0.664639307994801)</f>
        <v>-0.66463930799480098</v>
      </c>
      <c r="DI102" s="3">
        <f ca="1">IFERROR(__xludf.DUMMYFUNCTION("""COMPUTED_VALUE"""),-0.584431121602519)</f>
        <v>-0.58443112160251898</v>
      </c>
      <c r="DJ102" s="3">
        <f ca="1">IFERROR(__xludf.DUMMYFUNCTION("""COMPUTED_VALUE"""),-0.675149069899646)</f>
        <v>-0.67514906989964596</v>
      </c>
      <c r="DK102" s="3">
        <f ca="1">IFERROR(__xludf.DUMMYFUNCTION("""COMPUTED_VALUE"""),-0.704836153326609)</f>
        <v>-0.70483615332660898</v>
      </c>
      <c r="DL102" s="3">
        <f ca="1">IFERROR(__xludf.DUMMYFUNCTION("""COMPUTED_VALUE"""),-0.67385470541302)</f>
        <v>-0.67385470541301995</v>
      </c>
      <c r="DM102" s="3">
        <f ca="1">IFERROR(__xludf.DUMMYFUNCTION("""COMPUTED_VALUE"""),-0.691543131456218)</f>
        <v>-0.69154313145621804</v>
      </c>
      <c r="DN102" s="3">
        <f ca="1">IFERROR(__xludf.DUMMYFUNCTION("""COMPUTED_VALUE"""),-0.683551660577884)</f>
        <v>-0.68355166057788397</v>
      </c>
      <c r="DO102" s="3">
        <f ca="1">IFERROR(__xludf.DUMMYFUNCTION("""COMPUTED_VALUE"""),-0.651225894768175)</f>
        <v>-0.65122589476817505</v>
      </c>
      <c r="DP102" s="3">
        <f ca="1">IFERROR(__xludf.DUMMYFUNCTION("""COMPUTED_VALUE"""),-0.670551816935973)</f>
        <v>-0.67055181693597299</v>
      </c>
      <c r="DQ102" s="3">
        <f ca="1">IFERROR(__xludf.DUMMYFUNCTION("""COMPUTED_VALUE"""),-0.680283828085841)</f>
        <v>-0.68028382808584098</v>
      </c>
      <c r="DR102" s="3">
        <f ca="1">IFERROR(__xludf.DUMMYFUNCTION("""COMPUTED_VALUE"""),-0.728030667416178)</f>
        <v>-0.72803066741617795</v>
      </c>
      <c r="DS102" s="3">
        <f ca="1">IFERROR(__xludf.DUMMYFUNCTION("""COMPUTED_VALUE"""),-0.699556402764103)</f>
        <v>-0.69955640276410302</v>
      </c>
      <c r="DT102" s="3">
        <f ca="1">IFERROR(__xludf.DUMMYFUNCTION("""COMPUTED_VALUE"""),-0.710176151622531)</f>
        <v>-0.710176151622531</v>
      </c>
      <c r="DU102" s="3">
        <f ca="1">IFERROR(__xludf.DUMMYFUNCTION("""COMPUTED_VALUE"""),-0.704254885703827)</f>
        <v>-0.70425488570382699</v>
      </c>
      <c r="DV102" s="3">
        <f ca="1">IFERROR(__xludf.DUMMYFUNCTION("""COMPUTED_VALUE"""),-0.689006611207596)</f>
        <v>-0.68900661120759599</v>
      </c>
      <c r="DW102" s="3">
        <f ca="1">IFERROR(__xludf.DUMMYFUNCTION("""COMPUTED_VALUE"""),-0.698644012908988)</f>
        <v>-0.69864401290898803</v>
      </c>
      <c r="DX102" s="3">
        <f ca="1">IFERROR(__xludf.DUMMYFUNCTION("""COMPUTED_VALUE"""),-0.658521760557321)</f>
        <v>-0.65852176055732103</v>
      </c>
      <c r="DY102" s="3">
        <f ca="1">IFERROR(__xludf.DUMMYFUNCTION("""COMPUTED_VALUE"""),-0.709567163169794)</f>
        <v>-0.70956716316979396</v>
      </c>
      <c r="DZ102" s="3">
        <f ca="1">IFERROR(__xludf.DUMMYFUNCTION("""COMPUTED_VALUE"""),-0.656694578703666)</f>
        <v>-0.65669457870366599</v>
      </c>
      <c r="EA102" s="3">
        <f ca="1">IFERROR(__xludf.DUMMYFUNCTION("""COMPUTED_VALUE"""),-0.655390985458164)</f>
        <v>-0.65539098545816399</v>
      </c>
      <c r="EB102" s="3">
        <f ca="1">IFERROR(__xludf.DUMMYFUNCTION("""COMPUTED_VALUE"""),-0.66874944744513)</f>
        <v>-0.66874944744512999</v>
      </c>
      <c r="EC102" s="3">
        <f ca="1">IFERROR(__xludf.DUMMYFUNCTION("""COMPUTED_VALUE"""),-0.632230219322042)</f>
        <v>-0.63223021932204204</v>
      </c>
      <c r="ED102" s="3">
        <f ca="1">IFERROR(__xludf.DUMMYFUNCTION("""COMPUTED_VALUE"""),-0.636186150916104)</f>
        <v>-0.63618615091610398</v>
      </c>
      <c r="EE102" s="3">
        <f ca="1">IFERROR(__xludf.DUMMYFUNCTION("""COMPUTED_VALUE"""),-0.59769807417297)</f>
        <v>-0.59769807417297005</v>
      </c>
      <c r="EF102" s="3">
        <f ca="1">IFERROR(__xludf.DUMMYFUNCTION("""COMPUTED_VALUE"""),-0.64818862930829)</f>
        <v>-0.64818862930829002</v>
      </c>
      <c r="EG102" s="3">
        <f ca="1">IFERROR(__xludf.DUMMYFUNCTION("""COMPUTED_VALUE"""),-0.592971587136581)</f>
        <v>-0.59297158713658105</v>
      </c>
      <c r="EH102" s="3">
        <f ca="1">IFERROR(__xludf.DUMMYFUNCTION("""COMPUTED_VALUE"""),-0.622893969785878)</f>
        <v>-0.62289396978587797</v>
      </c>
      <c r="EI102" s="3">
        <f ca="1">IFERROR(__xludf.DUMMYFUNCTION("""COMPUTED_VALUE"""),-0.655870319427854)</f>
        <v>-0.65587031942785401</v>
      </c>
      <c r="EJ102" s="3">
        <f ca="1">IFERROR(__xludf.DUMMYFUNCTION("""COMPUTED_VALUE"""),-0.579371969374448)</f>
        <v>-0.57937196937444801</v>
      </c>
      <c r="EK102" s="3">
        <f ca="1">IFERROR(__xludf.DUMMYFUNCTION("""COMPUTED_VALUE"""),-0.568371868145378)</f>
        <v>-0.56837186814537799</v>
      </c>
      <c r="EL102" s="3">
        <f ca="1">IFERROR(__xludf.DUMMYFUNCTION("""COMPUTED_VALUE"""),-0.50120075420132)</f>
        <v>-0.50120075420132004</v>
      </c>
      <c r="EM102" s="3">
        <f ca="1">IFERROR(__xludf.DUMMYFUNCTION("""COMPUTED_VALUE"""),-0.502196150335861)</f>
        <v>-0.50219615033586096</v>
      </c>
      <c r="EN102" s="3">
        <f ca="1">IFERROR(__xludf.DUMMYFUNCTION("""COMPUTED_VALUE"""),-0.586520201741663)</f>
        <v>-0.58652020174166297</v>
      </c>
      <c r="EO102" s="3">
        <f ca="1">IFERROR(__xludf.DUMMYFUNCTION("""COMPUTED_VALUE"""),-0.61503424074633)</f>
        <v>-0.61503424074632995</v>
      </c>
      <c r="EP102" s="3">
        <f ca="1">IFERROR(__xludf.DUMMYFUNCTION("""COMPUTED_VALUE"""),-0.525822973165904)</f>
        <v>-0.52582297316590398</v>
      </c>
      <c r="EQ102" s="3">
        <f ca="1">IFERROR(__xludf.DUMMYFUNCTION("""COMPUTED_VALUE"""),-0.511767249726642)</f>
        <v>-0.511767249726642</v>
      </c>
      <c r="ER102" s="3">
        <f ca="1">IFERROR(__xludf.DUMMYFUNCTION("""COMPUTED_VALUE"""),-0.51316849838469)</f>
        <v>-0.51316849838469003</v>
      </c>
      <c r="ES102" s="3">
        <f ca="1">IFERROR(__xludf.DUMMYFUNCTION("""COMPUTED_VALUE"""),-0.499706515108648)</f>
        <v>-0.499706515108648</v>
      </c>
      <c r="ET102" s="3">
        <f ca="1">IFERROR(__xludf.DUMMYFUNCTION("""COMPUTED_VALUE"""),-0.497228100106991)</f>
        <v>-0.49722810010699098</v>
      </c>
      <c r="EU102" s="3">
        <f ca="1">IFERROR(__xludf.DUMMYFUNCTION("""COMPUTED_VALUE"""),-0.618937342504854)</f>
        <v>-0.61893734250485399</v>
      </c>
      <c r="EV102" s="3">
        <f ca="1">IFERROR(__xludf.DUMMYFUNCTION("""COMPUTED_VALUE"""),-0.611973652963205)</f>
        <v>-0.61197365296320505</v>
      </c>
      <c r="EW102" s="3">
        <f ca="1">IFERROR(__xludf.DUMMYFUNCTION("""COMPUTED_VALUE"""),-0.54128736630042)</f>
        <v>-0.54128736630041996</v>
      </c>
      <c r="EX102" s="3">
        <f ca="1">IFERROR(__xludf.DUMMYFUNCTION("""COMPUTED_VALUE"""),-0.547484481145948)</f>
        <v>-0.54748448114594805</v>
      </c>
      <c r="EY102" s="3">
        <f ca="1">IFERROR(__xludf.DUMMYFUNCTION("""COMPUTED_VALUE"""),-0.627458308863491)</f>
        <v>-0.62745830886349097</v>
      </c>
      <c r="EZ102" s="3">
        <f ca="1">IFERROR(__xludf.DUMMYFUNCTION("""COMPUTED_VALUE"""),-0.513781010218721)</f>
        <v>-0.51378101021872102</v>
      </c>
      <c r="FA102" s="3">
        <f ca="1">IFERROR(__xludf.DUMMYFUNCTION("""COMPUTED_VALUE"""),-0.499117945693102)</f>
        <v>-0.49911794569310203</v>
      </c>
      <c r="FB102" s="3">
        <f ca="1">IFERROR(__xludf.DUMMYFUNCTION("""COMPUTED_VALUE"""),-0.630206611993159)</f>
        <v>-0.63020661199315897</v>
      </c>
      <c r="FC102" s="3">
        <f ca="1">IFERROR(__xludf.DUMMYFUNCTION("""COMPUTED_VALUE"""),-0.638092250550806)</f>
        <v>-0.63809225055080598</v>
      </c>
      <c r="FD102" s="3">
        <f ca="1">IFERROR(__xludf.DUMMYFUNCTION("""COMPUTED_VALUE"""),-0.568054260018763)</f>
        <v>-0.56805426001876302</v>
      </c>
      <c r="FE102" s="3">
        <f ca="1">IFERROR(__xludf.DUMMYFUNCTION("""COMPUTED_VALUE"""),-0.58726101859727)</f>
        <v>-0.58726101859726998</v>
      </c>
      <c r="FF102" s="3">
        <f ca="1">IFERROR(__xludf.DUMMYFUNCTION("""COMPUTED_VALUE"""),-0.574246326949621)</f>
        <v>-0.57424632694962097</v>
      </c>
      <c r="FG102" s="3">
        <f ca="1">IFERROR(__xludf.DUMMYFUNCTION("""COMPUTED_VALUE"""),-0.539717481672701)</f>
        <v>-0.53971748167270095</v>
      </c>
      <c r="FH102" s="3">
        <f ca="1">IFERROR(__xludf.DUMMYFUNCTION("""COMPUTED_VALUE"""),-0.478989255654522)</f>
        <v>-0.47898925565452199</v>
      </c>
      <c r="FI102" s="3">
        <f ca="1">IFERROR(__xludf.DUMMYFUNCTION("""COMPUTED_VALUE"""),-0.639047394441646)</f>
        <v>-0.63904739444164604</v>
      </c>
      <c r="FJ102" s="3">
        <f ca="1">IFERROR(__xludf.DUMMYFUNCTION("""COMPUTED_VALUE"""),-0.642136769719249)</f>
        <v>-0.64213676971924905</v>
      </c>
      <c r="FK102" s="3">
        <f ca="1">IFERROR(__xludf.DUMMYFUNCTION("""COMPUTED_VALUE"""),-0.570934667956283)</f>
        <v>-0.570934667956283</v>
      </c>
      <c r="FL102" s="3">
        <f ca="1">IFERROR(__xludf.DUMMYFUNCTION("""COMPUTED_VALUE"""),-0.200627627922225)</f>
        <v>-0.20062762792222499</v>
      </c>
      <c r="FM102" s="3">
        <f ca="1">IFERROR(__xludf.DUMMYFUNCTION("""COMPUTED_VALUE"""),-0.33321429810029)</f>
        <v>-0.33321429810029002</v>
      </c>
      <c r="FN102" s="3">
        <f ca="1">IFERROR(__xludf.DUMMYFUNCTION("""COMPUTED_VALUE"""),-0.327371072742668)</f>
        <v>-0.32737107274266802</v>
      </c>
      <c r="FO102" s="3">
        <f ca="1">IFERROR(__xludf.DUMMYFUNCTION("""COMPUTED_VALUE"""),-0.306387497620757)</f>
        <v>-0.30638749762075701</v>
      </c>
      <c r="FP102" s="3">
        <f ca="1">IFERROR(__xludf.DUMMYFUNCTION("""COMPUTED_VALUE"""),-0.268736083080541)</f>
        <v>-0.26873608308054098</v>
      </c>
      <c r="FQ102" s="3">
        <f ca="1">IFERROR(__xludf.DUMMYFUNCTION("""COMPUTED_VALUE"""),-0.317551449468226)</f>
        <v>-0.317551449468226</v>
      </c>
      <c r="FR102" s="3">
        <f ca="1">IFERROR(__xludf.DUMMYFUNCTION("""COMPUTED_VALUE"""),-0.400226537534078)</f>
        <v>-0.400226537534078</v>
      </c>
      <c r="FS102" s="3">
        <f ca="1">IFERROR(__xludf.DUMMYFUNCTION("""COMPUTED_VALUE"""),-0.3425156850809)</f>
        <v>-0.34251568508090002</v>
      </c>
      <c r="FT102" s="3">
        <f ca="1">IFERROR(__xludf.DUMMYFUNCTION("""COMPUTED_VALUE"""),-0.30672013112407)</f>
        <v>-0.30672013112406998</v>
      </c>
      <c r="FU102" s="3">
        <f ca="1">IFERROR(__xludf.DUMMYFUNCTION("""COMPUTED_VALUE"""),-0.291005159563834)</f>
        <v>-0.29100515956383399</v>
      </c>
      <c r="FV102" s="3">
        <f ca="1">IFERROR(__xludf.DUMMYFUNCTION("""COMPUTED_VALUE"""),-0.239409497544242)</f>
        <v>-0.23940949754424201</v>
      </c>
      <c r="FW102" s="3">
        <f ca="1">IFERROR(__xludf.DUMMYFUNCTION("""COMPUTED_VALUE"""),-0.281860601085142)</f>
        <v>-0.28186060108514199</v>
      </c>
      <c r="FX102" s="3">
        <f ca="1">IFERROR(__xludf.DUMMYFUNCTION("""COMPUTED_VALUE"""),-0.329211331236447)</f>
        <v>-0.32921133123644702</v>
      </c>
      <c r="FY102" s="3">
        <f ca="1">IFERROR(__xludf.DUMMYFUNCTION("""COMPUTED_VALUE"""),-0.332722734033459)</f>
        <v>-0.33272273403345898</v>
      </c>
      <c r="FZ102" s="3">
        <f ca="1">IFERROR(__xludf.DUMMYFUNCTION("""COMPUTED_VALUE"""),-0.261808643975869)</f>
        <v>-0.261808643975869</v>
      </c>
      <c r="GA102" s="3">
        <f ca="1">IFERROR(__xludf.DUMMYFUNCTION("""COMPUTED_VALUE"""),-0.3239301926314)</f>
        <v>-0.32393019263139999</v>
      </c>
      <c r="GB102" s="3">
        <f ca="1">IFERROR(__xludf.DUMMYFUNCTION("""COMPUTED_VALUE"""),-0.283934868361622)</f>
        <v>-0.28393486836162202</v>
      </c>
      <c r="GC102" s="3">
        <f ca="1">IFERROR(__xludf.DUMMYFUNCTION("""COMPUTED_VALUE"""),-0.260885743482274)</f>
        <v>-0.260885743482274</v>
      </c>
      <c r="GD102" s="3">
        <f ca="1">IFERROR(__xludf.DUMMYFUNCTION("""COMPUTED_VALUE"""),-0.26257332759927)</f>
        <v>-0.26257332759926999</v>
      </c>
      <c r="GE102" s="3">
        <f ca="1">IFERROR(__xludf.DUMMYFUNCTION("""COMPUTED_VALUE"""),-0.294419283702497)</f>
        <v>-0.29441928370249698</v>
      </c>
      <c r="GF102" s="3">
        <f ca="1">IFERROR(__xludf.DUMMYFUNCTION("""COMPUTED_VALUE"""),-0.338811323087181)</f>
        <v>-0.33881132308718098</v>
      </c>
      <c r="GG102" s="3">
        <f ca="1">IFERROR(__xludf.DUMMYFUNCTION("""COMPUTED_VALUE"""),-0.315072565436105)</f>
        <v>-0.31507256543610501</v>
      </c>
      <c r="GH102" s="3">
        <f ca="1">IFERROR(__xludf.DUMMYFUNCTION("""COMPUTED_VALUE"""),-0.286950511554258)</f>
        <v>-0.28695051155425799</v>
      </c>
      <c r="GI102" s="3">
        <f ca="1">IFERROR(__xludf.DUMMYFUNCTION("""COMPUTED_VALUE"""),-0.268275074131221)</f>
        <v>-0.26827507413122098</v>
      </c>
      <c r="GJ102" s="3">
        <f ca="1">IFERROR(__xludf.DUMMYFUNCTION("""COMPUTED_VALUE"""),-0.220051316674529)</f>
        <v>-0.22005131667452901</v>
      </c>
      <c r="GK102" s="3">
        <f ca="1">IFERROR(__xludf.DUMMYFUNCTION("""COMPUTED_VALUE"""),-0.283973204606739)</f>
        <v>-0.28397320460673903</v>
      </c>
      <c r="GL102" s="3">
        <f ca="1">IFERROR(__xludf.DUMMYFUNCTION("""COMPUTED_VALUE"""),-0.310589494260953)</f>
        <v>-0.310589494260953</v>
      </c>
      <c r="GM102" s="3">
        <f ca="1">IFERROR(__xludf.DUMMYFUNCTION("""COMPUTED_VALUE"""),-0.285358497805496)</f>
        <v>-0.28535849780549599</v>
      </c>
      <c r="GN102" s="3">
        <f ca="1">IFERROR(__xludf.DUMMYFUNCTION("""COMPUTED_VALUE"""),-0.298357958657334)</f>
        <v>-0.298357958657334</v>
      </c>
      <c r="GO102" s="3">
        <f ca="1">IFERROR(__xludf.DUMMYFUNCTION("""COMPUTED_VALUE"""),-0.284077704471833)</f>
        <v>-0.284077704471833</v>
      </c>
      <c r="GP102" s="3">
        <f ca="1">IFERROR(__xludf.DUMMYFUNCTION("""COMPUTED_VALUE"""),-0.329287438555695)</f>
        <v>-0.32928743855569498</v>
      </c>
      <c r="GQ102" s="3">
        <f ca="1">IFERROR(__xludf.DUMMYFUNCTION("""COMPUTED_VALUE"""),-0.310095682181368)</f>
        <v>-0.31009568218136802</v>
      </c>
      <c r="GR102" s="3">
        <f ca="1">IFERROR(__xludf.DUMMYFUNCTION("""COMPUTED_VALUE"""),-0.323371935207134)</f>
        <v>-0.32337193520713398</v>
      </c>
      <c r="GS102" s="3">
        <f ca="1">IFERROR(__xludf.DUMMYFUNCTION("""COMPUTED_VALUE"""),-0.363272603313233)</f>
        <v>-0.36327260331323302</v>
      </c>
      <c r="GT102" s="3">
        <f ca="1">IFERROR(__xludf.DUMMYFUNCTION("""COMPUTED_VALUE"""),-0.336307866789005)</f>
        <v>-0.33630786678900498</v>
      </c>
      <c r="GU102" s="3">
        <f ca="1">IFERROR(__xludf.DUMMYFUNCTION("""COMPUTED_VALUE"""),-0.332693203073629)</f>
        <v>-0.33269320307362898</v>
      </c>
      <c r="GV102" s="3">
        <f ca="1">IFERROR(__xludf.DUMMYFUNCTION("""COMPUTED_VALUE"""),-0.285605713957619)</f>
        <v>-0.28560571395761902</v>
      </c>
      <c r="GW102" s="3">
        <f ca="1">IFERROR(__xludf.DUMMYFUNCTION("""COMPUTED_VALUE"""),-0.318458090030346)</f>
        <v>-0.31845809003034597</v>
      </c>
      <c r="GX102" s="3">
        <f ca="1">IFERROR(__xludf.DUMMYFUNCTION("""COMPUTED_VALUE"""),-0.259047650104678)</f>
        <v>-0.25904765010467801</v>
      </c>
      <c r="GY102" s="3">
        <f ca="1">IFERROR(__xludf.DUMMYFUNCTION("""COMPUTED_VALUE"""),-0.250186456684578)</f>
        <v>-0.25018645668457801</v>
      </c>
      <c r="GZ102" s="3">
        <f ca="1">IFERROR(__xludf.DUMMYFUNCTION("""COMPUTED_VALUE"""),-0.323351063894838)</f>
        <v>-0.32335106389483798</v>
      </c>
      <c r="HA102" s="3">
        <f ca="1">IFERROR(__xludf.DUMMYFUNCTION("""COMPUTED_VALUE"""),-0.445664013807129)</f>
        <v>-0.445664013807129</v>
      </c>
      <c r="HB102" s="3">
        <f ca="1">IFERROR(__xludf.DUMMYFUNCTION("""COMPUTED_VALUE"""),-0.276477841888091)</f>
        <v>-0.27647784188809099</v>
      </c>
      <c r="HC102" s="3">
        <f ca="1">IFERROR(__xludf.DUMMYFUNCTION("""COMPUTED_VALUE"""),-0.24677511033865)</f>
        <v>-0.24677511033864999</v>
      </c>
      <c r="HD102" s="3">
        <f ca="1">IFERROR(__xludf.DUMMYFUNCTION("""COMPUTED_VALUE"""),-0.281367484765315)</f>
        <v>-0.28136748476531498</v>
      </c>
      <c r="HE102" s="3">
        <f ca="1">IFERROR(__xludf.DUMMYFUNCTION("""COMPUTED_VALUE"""),-0.246443447662194)</f>
        <v>-0.246443447662194</v>
      </c>
      <c r="HF102" s="3">
        <f ca="1">IFERROR(__xludf.DUMMYFUNCTION("""COMPUTED_VALUE"""),-0.211900879044316)</f>
        <v>-0.21190087904431601</v>
      </c>
      <c r="HG102" s="3">
        <f ca="1">IFERROR(__xludf.DUMMYFUNCTION("""COMPUTED_VALUE"""),-0.266237048615257)</f>
        <v>-0.26623704861525699</v>
      </c>
      <c r="HH102" s="3">
        <f ca="1">IFERROR(__xludf.DUMMYFUNCTION("""COMPUTED_VALUE"""),-0.430539973700382)</f>
        <v>-0.43053997370038199</v>
      </c>
      <c r="HI102" s="3">
        <f ca="1">IFERROR(__xludf.DUMMYFUNCTION("""COMPUTED_VALUE"""),-0.250722884544944)</f>
        <v>-0.25072288454494401</v>
      </c>
      <c r="HJ102" s="3">
        <f ca="1">IFERROR(__xludf.DUMMYFUNCTION("""COMPUTED_VALUE"""),-0.220077249599629)</f>
        <v>-0.22007724959962899</v>
      </c>
      <c r="HK102" s="3">
        <f ca="1">IFERROR(__xludf.DUMMYFUNCTION("""COMPUTED_VALUE"""),-0.245435492620504)</f>
        <v>-0.24543549262050399</v>
      </c>
      <c r="HL102" s="3">
        <f ca="1">IFERROR(__xludf.DUMMYFUNCTION("""COMPUTED_VALUE"""),-0.225146244513305)</f>
        <v>-0.225146244513305</v>
      </c>
      <c r="HM102" s="3">
        <f ca="1">IFERROR(__xludf.DUMMYFUNCTION("""COMPUTED_VALUE"""),-0.257859914457682)</f>
        <v>-0.25785991445768203</v>
      </c>
      <c r="HN102" s="3">
        <f ca="1">IFERROR(__xludf.DUMMYFUNCTION("""COMPUTED_VALUE"""),-0.28339644569638)</f>
        <v>-0.28339644569638001</v>
      </c>
      <c r="HO102" s="3">
        <f ca="1">IFERROR(__xludf.DUMMYFUNCTION("""COMPUTED_VALUE"""),-0.409632014862563)</f>
        <v>-0.40963201486256301</v>
      </c>
      <c r="HP102" s="3">
        <f ca="1">IFERROR(__xludf.DUMMYFUNCTION("""COMPUTED_VALUE"""),-0.218459946053564)</f>
        <v>-0.218459946053564</v>
      </c>
      <c r="HQ102" s="3">
        <f ca="1">IFERROR(__xludf.DUMMYFUNCTION("""COMPUTED_VALUE"""),-0.225763038022476)</f>
        <v>-0.22576303802247599</v>
      </c>
      <c r="HR102" s="3">
        <f ca="1">IFERROR(__xludf.DUMMYFUNCTION("""COMPUTED_VALUE"""),-0.260482712605598)</f>
        <v>-0.26048271260559802</v>
      </c>
      <c r="HS102" s="3">
        <f ca="1">IFERROR(__xludf.DUMMYFUNCTION("""COMPUTED_VALUE"""),-0.235383034751607)</f>
        <v>-0.23538303475160699</v>
      </c>
      <c r="HT102" s="3">
        <f ca="1">IFERROR(__xludf.DUMMYFUNCTION("""COMPUTED_VALUE"""),-0.261223925917525)</f>
        <v>-0.26122392591752502</v>
      </c>
      <c r="HU102" s="3">
        <f ca="1">IFERROR(__xludf.DUMMYFUNCTION("""COMPUTED_VALUE"""),-0.249917581789432)</f>
        <v>-0.24991758178943199</v>
      </c>
      <c r="HV102" s="3">
        <f ca="1">IFERROR(__xludf.DUMMYFUNCTION("""COMPUTED_VALUE"""),-0.276780620764251)</f>
        <v>-0.27678062076425097</v>
      </c>
      <c r="HW102" s="3">
        <f ca="1">IFERROR(__xludf.DUMMYFUNCTION("""COMPUTED_VALUE"""),-0.249774391507002)</f>
        <v>-0.24977439150700201</v>
      </c>
      <c r="HX102" s="3">
        <f ca="1">IFERROR(__xludf.DUMMYFUNCTION("""COMPUTED_VALUE"""),-0.223893734573334)</f>
        <v>-0.223893734573334</v>
      </c>
      <c r="HY102" s="3">
        <f ca="1">IFERROR(__xludf.DUMMYFUNCTION("""COMPUTED_VALUE"""),-0.258538741516389)</f>
        <v>-0.258538741516389</v>
      </c>
      <c r="HZ102" s="3">
        <f ca="1">IFERROR(__xludf.DUMMYFUNCTION("""COMPUTED_VALUE"""),-0.265966907733064)</f>
        <v>-0.26596690773306397</v>
      </c>
      <c r="IA102" s="3">
        <f ca="1">IFERROR(__xludf.DUMMYFUNCTION("""COMPUTED_VALUE"""),-0.203543808705155)</f>
        <v>-0.20354380870515501</v>
      </c>
      <c r="IB102" s="3">
        <f ca="1">IFERROR(__xludf.DUMMYFUNCTION("""COMPUTED_VALUE"""),-0.194859075362008)</f>
        <v>-0.194859075362008</v>
      </c>
      <c r="IC102" s="3">
        <f ca="1">IFERROR(__xludf.DUMMYFUNCTION("""COMPUTED_VALUE"""),-0.211144889571959)</f>
        <v>-0.21114488957195901</v>
      </c>
      <c r="ID102" s="3">
        <f ca="1">IFERROR(__xludf.DUMMYFUNCTION("""COMPUTED_VALUE"""),-0.193560812777975)</f>
        <v>-0.19356081277797499</v>
      </c>
      <c r="IE102" s="3">
        <f ca="1">IFERROR(__xludf.DUMMYFUNCTION("""COMPUTED_VALUE"""),-0.213403620027879)</f>
        <v>-0.21340362002787899</v>
      </c>
      <c r="IF102" s="3">
        <f ca="1">IFERROR(__xludf.DUMMYFUNCTION("""COMPUTED_VALUE"""),-0.154812609962336)</f>
        <v>-0.15481260996233601</v>
      </c>
      <c r="IG102" s="3">
        <f ca="1">IFERROR(__xludf.DUMMYFUNCTION("""COMPUTED_VALUE"""),-0.164286218942943)</f>
        <v>-0.16428621894294301</v>
      </c>
      <c r="IH102" s="3">
        <f ca="1">IFERROR(__xludf.DUMMYFUNCTION("""COMPUTED_VALUE"""),-0.145826618343431)</f>
        <v>-0.145826618343431</v>
      </c>
      <c r="II102" s="3">
        <f ca="1">IFERROR(__xludf.DUMMYFUNCTION("""COMPUTED_VALUE"""),0.012790437778464)</f>
        <v>1.2790437778464E-2</v>
      </c>
      <c r="IJ102" s="3">
        <f ca="1">IFERROR(__xludf.DUMMYFUNCTION("""COMPUTED_VALUE"""),-0.0949692469345273)</f>
        <v>-9.4969246934527296E-2</v>
      </c>
      <c r="IK102" s="3">
        <f ca="1">IFERROR(__xludf.DUMMYFUNCTION("""COMPUTED_VALUE"""),-0.0505758387200692)</f>
        <v>-5.0575838720069197E-2</v>
      </c>
      <c r="IL102" s="3">
        <f ca="1">IFERROR(__xludf.DUMMYFUNCTION("""COMPUTED_VALUE"""),-0.0235466691227197)</f>
        <v>-2.3546669122719702E-2</v>
      </c>
      <c r="IM102" s="3">
        <f ca="1">IFERROR(__xludf.DUMMYFUNCTION("""COMPUTED_VALUE"""),-0.0213500161071225)</f>
        <v>-2.1350016107122501E-2</v>
      </c>
      <c r="IN102" s="3">
        <f ca="1">IFERROR(__xludf.DUMMYFUNCTION("""COMPUTED_VALUE"""),-0.053777513202285)</f>
        <v>-5.3777513202285E-2</v>
      </c>
      <c r="IO102" s="3">
        <f ca="1">IFERROR(__xludf.DUMMYFUNCTION("""COMPUTED_VALUE"""),-0.0961994242052053)</f>
        <v>-9.6199424205205303E-2</v>
      </c>
      <c r="IP102" s="3">
        <f ca="1">IFERROR(__xludf.DUMMYFUNCTION("""COMPUTED_VALUE"""),-0.0320828026663663)</f>
        <v>-3.2082802666366303E-2</v>
      </c>
      <c r="IQ102" s="3">
        <f ca="1">IFERROR(__xludf.DUMMYFUNCTION("""COMPUTED_VALUE"""),-0.0559515276368057)</f>
        <v>-5.5951527636805699E-2</v>
      </c>
      <c r="IR102" s="3">
        <f ca="1">IFERROR(__xludf.DUMMYFUNCTION("""COMPUTED_VALUE"""),-0.0834438820127001)</f>
        <v>-8.3443882012700102E-2</v>
      </c>
      <c r="IS102" s="3">
        <f ca="1">IFERROR(__xludf.DUMMYFUNCTION("""COMPUTED_VALUE"""),-0.0989660276724307)</f>
        <v>-9.8966027672430706E-2</v>
      </c>
      <c r="IT102" s="3">
        <f ca="1">IFERROR(__xludf.DUMMYFUNCTION("""COMPUTED_VALUE"""),-0.0969453078972948)</f>
        <v>-9.6945307897294802E-2</v>
      </c>
      <c r="IU102" s="3">
        <f ca="1">IFERROR(__xludf.DUMMYFUNCTION("""COMPUTED_VALUE"""),-0.133532896007214)</f>
        <v>-0.13353289600721399</v>
      </c>
      <c r="IV102" s="3">
        <f ca="1">IFERROR(__xludf.DUMMYFUNCTION("""COMPUTED_VALUE"""),-0.11527588570328)</f>
        <v>-0.11527588570328</v>
      </c>
      <c r="IW102" s="3">
        <f ca="1">IFERROR(__xludf.DUMMYFUNCTION("""COMPUTED_VALUE"""),-0.0803828598488809)</f>
        <v>-8.0382859848880897E-2</v>
      </c>
      <c r="IX102" s="3">
        <f ca="1">IFERROR(__xludf.DUMMYFUNCTION("""COMPUTED_VALUE"""),-0.0730812255646411)</f>
        <v>-7.3081225564641097E-2</v>
      </c>
      <c r="IY102" s="3">
        <f ca="1">IFERROR(__xludf.DUMMYFUNCTION("""COMPUTED_VALUE"""),-0.069646775343764)</f>
        <v>-6.9646775343763997E-2</v>
      </c>
      <c r="IZ102" s="3">
        <f ca="1">IFERROR(__xludf.DUMMYFUNCTION("""COMPUTED_VALUE"""),-0.102592622015632)</f>
        <v>-0.102592622015632</v>
      </c>
      <c r="JA102" s="3">
        <f ca="1">IFERROR(__xludf.DUMMYFUNCTION("""COMPUTED_VALUE"""),-0.165029285266256)</f>
        <v>-0.16502928526625599</v>
      </c>
      <c r="JB102" s="3">
        <f ca="1">IFERROR(__xludf.DUMMYFUNCTION("""COMPUTED_VALUE"""),-0.117965593185501)</f>
        <v>-0.117965593185501</v>
      </c>
      <c r="JC102" s="3">
        <f ca="1">IFERROR(__xludf.DUMMYFUNCTION("""COMPUTED_VALUE"""),-0.175377698374373)</f>
        <v>-0.175377698374373</v>
      </c>
      <c r="JD102" s="3">
        <f ca="1">IFERROR(__xludf.DUMMYFUNCTION("""COMPUTED_VALUE"""),-0.128695068314171)</f>
        <v>-0.12869506831417099</v>
      </c>
      <c r="JE102" s="3">
        <f ca="1">IFERROR(__xludf.DUMMYFUNCTION("""COMPUTED_VALUE"""),-0.173196245659111)</f>
        <v>-0.17319624565911099</v>
      </c>
      <c r="JF102" s="3">
        <f ca="1">IFERROR(__xludf.DUMMYFUNCTION("""COMPUTED_VALUE"""),-0.180774969296464)</f>
        <v>-0.180774969296464</v>
      </c>
      <c r="JG102" s="3">
        <f ca="1">IFERROR(__xludf.DUMMYFUNCTION("""COMPUTED_VALUE"""),-0.195748557430211)</f>
        <v>-0.195748557430211</v>
      </c>
      <c r="JH102" s="3">
        <f ca="1">IFERROR(__xludf.DUMMYFUNCTION("""COMPUTED_VALUE"""),-0.180869007220816)</f>
        <v>-0.180869007220816</v>
      </c>
      <c r="JI102" s="3">
        <f ca="1">IFERROR(__xludf.DUMMYFUNCTION("""COMPUTED_VALUE"""),-0.192744539264667)</f>
        <v>-0.192744539264667</v>
      </c>
      <c r="JJ102" s="3">
        <f ca="1">IFERROR(__xludf.DUMMYFUNCTION("""COMPUTED_VALUE"""),-0.15269410411735)</f>
        <v>-0.15269410411734999</v>
      </c>
      <c r="JK102" s="3">
        <f ca="1">IFERROR(__xludf.DUMMYFUNCTION("""COMPUTED_VALUE"""),-0.0675779600305205)</f>
        <v>-6.7577960030520495E-2</v>
      </c>
      <c r="JL102" s="3">
        <f ca="1">IFERROR(__xludf.DUMMYFUNCTION("""COMPUTED_VALUE"""),-0.148448088883332)</f>
        <v>-0.148448088883332</v>
      </c>
      <c r="JM102" s="3">
        <f ca="1">IFERROR(__xludf.DUMMYFUNCTION("""COMPUTED_VALUE"""),-0.160509279645238)</f>
        <v>-0.16050927964523801</v>
      </c>
      <c r="JN102" s="3">
        <f ca="1">IFERROR(__xludf.DUMMYFUNCTION("""COMPUTED_VALUE"""),-0.187776183352794)</f>
        <v>-0.187776183352794</v>
      </c>
      <c r="JO102" s="3">
        <f ca="1">IFERROR(__xludf.DUMMYFUNCTION("""COMPUTED_VALUE"""),-0.23339839750491)</f>
        <v>-0.23339839750491001</v>
      </c>
      <c r="JP102" s="3">
        <f ca="1">IFERROR(__xludf.DUMMYFUNCTION("""COMPUTED_VALUE"""),-0.127419426815341)</f>
        <v>-0.12741942681534099</v>
      </c>
      <c r="JQ102" s="3">
        <f ca="1">IFERROR(__xludf.DUMMYFUNCTION("""COMPUTED_VALUE"""),-0.190575692456141)</f>
        <v>-0.190575692456141</v>
      </c>
      <c r="JR102" s="3">
        <f ca="1">IFERROR(__xludf.DUMMYFUNCTION("""COMPUTED_VALUE"""),-0.172265186481809)</f>
        <v>-0.172265186481809</v>
      </c>
      <c r="JS102" s="3">
        <f ca="1">IFERROR(__xludf.DUMMYFUNCTION("""COMPUTED_VALUE"""),-0.263723184308726)</f>
        <v>-0.26372318430872599</v>
      </c>
      <c r="JT102" s="3">
        <f ca="1">IFERROR(__xludf.DUMMYFUNCTION("""COMPUTED_VALUE"""),-0.215646892154835)</f>
        <v>-0.21564689215483501</v>
      </c>
      <c r="JU102" s="3">
        <f ca="1">IFERROR(__xludf.DUMMYFUNCTION("""COMPUTED_VALUE"""),-0.236609105321286)</f>
        <v>-0.23660910532128601</v>
      </c>
      <c r="JV102" s="3">
        <f ca="1">IFERROR(__xludf.DUMMYFUNCTION("""COMPUTED_VALUE"""),-0.184405001077815)</f>
        <v>-0.18440500107781499</v>
      </c>
      <c r="JW102" s="3">
        <f ca="1">IFERROR(__xludf.DUMMYFUNCTION("""COMPUTED_VALUE"""),-0.230090146469346)</f>
        <v>-0.230090146469346</v>
      </c>
      <c r="JX102" s="3">
        <f ca="1">IFERROR(__xludf.DUMMYFUNCTION("""COMPUTED_VALUE"""),-0.152230686677722)</f>
        <v>-0.15223068667772199</v>
      </c>
      <c r="JY102" s="3">
        <f ca="1">IFERROR(__xludf.DUMMYFUNCTION("""COMPUTED_VALUE"""),-0.167465859492426)</f>
        <v>-0.16746585949242601</v>
      </c>
      <c r="JZ102" s="3">
        <f ca="1">IFERROR(__xludf.DUMMYFUNCTION("""COMPUTED_VALUE"""),-0.242329687494151)</f>
        <v>-0.24232968749415101</v>
      </c>
      <c r="KA102" s="3">
        <f ca="1">IFERROR(__xludf.DUMMYFUNCTION("""COMPUTED_VALUE"""),-0.231731854241433)</f>
        <v>-0.231731854241433</v>
      </c>
      <c r="KB102" s="3">
        <f ca="1">IFERROR(__xludf.DUMMYFUNCTION("""COMPUTED_VALUE"""),-0.239714810967013)</f>
        <v>-0.239714810967013</v>
      </c>
      <c r="KC102" s="3">
        <f ca="1">IFERROR(__xludf.DUMMYFUNCTION("""COMPUTED_VALUE"""),-0.20735007426699)</f>
        <v>-0.20735007426699001</v>
      </c>
      <c r="KD102" s="3">
        <f ca="1">IFERROR(__xludf.DUMMYFUNCTION("""COMPUTED_VALUE"""),-0.227985848430187)</f>
        <v>-0.22798584843018699</v>
      </c>
      <c r="KE102" s="3">
        <f ca="1">IFERROR(__xludf.DUMMYFUNCTION("""COMPUTED_VALUE"""),-0.189941305883898)</f>
        <v>-0.18994130588389799</v>
      </c>
      <c r="KF102" s="3">
        <f ca="1">IFERROR(__xludf.DUMMYFUNCTION("""COMPUTED_VALUE"""),-0.132443445690143)</f>
        <v>-0.13244344569014299</v>
      </c>
      <c r="KG102" s="3">
        <f ca="1">IFERROR(__xludf.DUMMYFUNCTION("""COMPUTED_VALUE"""),-0.220042212245536)</f>
        <v>-0.220042212245536</v>
      </c>
      <c r="KH102" s="3">
        <f ca="1">IFERROR(__xludf.DUMMYFUNCTION("""COMPUTED_VALUE"""),-0.178344570337023)</f>
        <v>-0.178344570337023</v>
      </c>
      <c r="KI102" s="3">
        <f ca="1">IFERROR(__xludf.DUMMYFUNCTION("""COMPUTED_VALUE"""),-0.150874424233886)</f>
        <v>-0.150874424233886</v>
      </c>
      <c r="KJ102" s="3">
        <f ca="1">IFERROR(__xludf.DUMMYFUNCTION("""COMPUTED_VALUE"""),-0.133096607756103)</f>
        <v>-0.13309660775610299</v>
      </c>
      <c r="KK102" s="3">
        <f ca="1">IFERROR(__xludf.DUMMYFUNCTION("""COMPUTED_VALUE"""),-0.153570444534516)</f>
        <v>-0.15357044453451599</v>
      </c>
      <c r="KL102" s="3">
        <f ca="1">IFERROR(__xludf.DUMMYFUNCTION("""COMPUTED_VALUE"""),-0.136595324007463)</f>
        <v>-0.13659532400746299</v>
      </c>
      <c r="KM102" s="3">
        <f ca="1">IFERROR(__xludf.DUMMYFUNCTION("""COMPUTED_VALUE"""),-0.172724759676091)</f>
        <v>-0.17272475967609099</v>
      </c>
      <c r="KN102" s="3">
        <f ca="1">IFERROR(__xludf.DUMMYFUNCTION("""COMPUTED_VALUE"""),-0.263864307684064)</f>
        <v>-0.26386430768406399</v>
      </c>
      <c r="KO102" s="3">
        <f ca="1">IFERROR(__xludf.DUMMYFUNCTION("""COMPUTED_VALUE"""),-0.241457893632166)</f>
        <v>-0.24145789363216599</v>
      </c>
      <c r="KP102" s="3">
        <f ca="1">IFERROR(__xludf.DUMMYFUNCTION("""COMPUTED_VALUE"""),-0.230993162095351)</f>
        <v>-0.23099316209535101</v>
      </c>
      <c r="KQ102" s="3">
        <f ca="1">IFERROR(__xludf.DUMMYFUNCTION("""COMPUTED_VALUE"""),-0.203569000321418)</f>
        <v>-0.203569000321418</v>
      </c>
      <c r="KR102" s="3">
        <f ca="1">IFERROR(__xludf.DUMMYFUNCTION("""COMPUTED_VALUE"""),-0.172682170428227)</f>
        <v>-0.17268217042822701</v>
      </c>
      <c r="KS102" s="3">
        <f ca="1">IFERROR(__xludf.DUMMYFUNCTION("""COMPUTED_VALUE"""),-0.182642543590985)</f>
        <v>-0.182642543590985</v>
      </c>
      <c r="KT102" s="3">
        <f ca="1">IFERROR(__xludf.DUMMYFUNCTION("""COMPUTED_VALUE"""),-0.199851166073092)</f>
        <v>-0.199851166073092</v>
      </c>
      <c r="KU102" s="3">
        <f ca="1">IFERROR(__xludf.DUMMYFUNCTION("""COMPUTED_VALUE"""),-0.385829439631258)</f>
        <v>-0.38582943963125799</v>
      </c>
      <c r="KV102" s="3">
        <f ca="1">IFERROR(__xludf.DUMMYFUNCTION("""COMPUTED_VALUE"""),-0.305120449474214)</f>
        <v>-0.30512044947421402</v>
      </c>
      <c r="KW102" s="3">
        <f ca="1">IFERROR(__xludf.DUMMYFUNCTION("""COMPUTED_VALUE"""),-0.256484471690788)</f>
        <v>-0.25648447169078797</v>
      </c>
      <c r="KX102" s="3">
        <f ca="1">IFERROR(__xludf.DUMMYFUNCTION("""COMPUTED_VALUE"""),-0.310623478525012)</f>
        <v>-0.31062347852501199</v>
      </c>
      <c r="KY102" s="3">
        <f ca="1">IFERROR(__xludf.DUMMYFUNCTION("""COMPUTED_VALUE"""),-0.254923126552956)</f>
        <v>-0.25492312655295601</v>
      </c>
      <c r="KZ102" s="3">
        <f ca="1">IFERROR(__xludf.DUMMYFUNCTION("""COMPUTED_VALUE"""),-0.309059076909489)</f>
        <v>-0.30905907690948897</v>
      </c>
      <c r="LA102" s="3">
        <f ca="1">IFERROR(__xludf.DUMMYFUNCTION("""COMPUTED_VALUE"""),-0.287099955279279)</f>
        <v>-0.28709995527927901</v>
      </c>
      <c r="LB102" s="3">
        <f ca="1">IFERROR(__xludf.DUMMYFUNCTION("""COMPUTED_VALUE"""),-0.344550092494637)</f>
        <v>-0.34455009249463697</v>
      </c>
      <c r="LC102" s="3">
        <f ca="1">IFERROR(__xludf.DUMMYFUNCTION("""COMPUTED_VALUE"""),-0.277042723266594)</f>
        <v>-0.27704272326659402</v>
      </c>
      <c r="LD102" s="3">
        <f ca="1">IFERROR(__xludf.DUMMYFUNCTION("""COMPUTED_VALUE"""),-0.277321499119116)</f>
        <v>-0.27732149911911602</v>
      </c>
      <c r="LE102" s="3">
        <f ca="1">IFERROR(__xludf.DUMMYFUNCTION("""COMPUTED_VALUE"""),-0.19092089287418)</f>
        <v>-0.19092089287417999</v>
      </c>
      <c r="LF102" s="3">
        <f ca="1">IFERROR(__xludf.DUMMYFUNCTION("""COMPUTED_VALUE"""),-0.262658948693902)</f>
        <v>-0.26265894869390199</v>
      </c>
      <c r="LG102" s="3">
        <f ca="1">IFERROR(__xludf.DUMMYFUNCTION("""COMPUTED_VALUE"""),-0.335563839632124)</f>
        <v>-0.33556383963212399</v>
      </c>
      <c r="LH102" s="3">
        <f ca="1">IFERROR(__xludf.DUMMYFUNCTION("""COMPUTED_VALUE"""),-0.344633574682254)</f>
        <v>-0.34463357468225397</v>
      </c>
      <c r="LI102" s="3">
        <f ca="1">IFERROR(__xludf.DUMMYFUNCTION("""COMPUTED_VALUE"""),-0.419578129452363)</f>
        <v>-0.419578129452363</v>
      </c>
      <c r="LJ102" s="3">
        <f ca="1">IFERROR(__xludf.DUMMYFUNCTION("""COMPUTED_VALUE"""),-0.388441694163039)</f>
        <v>-0.38844169416303898</v>
      </c>
      <c r="LK102" s="3">
        <f ca="1">IFERROR(__xludf.DUMMYFUNCTION("""COMPUTED_VALUE"""),-0.405628654341312)</f>
        <v>-0.40562865434131201</v>
      </c>
      <c r="LL102" s="3">
        <f ca="1">IFERROR(__xludf.DUMMYFUNCTION("""COMPUTED_VALUE"""),-0.374546470861624)</f>
        <v>-0.37454647086162401</v>
      </c>
      <c r="LM102" s="3">
        <f ca="1">IFERROR(__xludf.DUMMYFUNCTION("""COMPUTED_VALUE"""),-0.403775212020542)</f>
        <v>-0.40377521202054201</v>
      </c>
      <c r="LN102" s="3">
        <f ca="1">IFERROR(__xludf.DUMMYFUNCTION("""COMPUTED_VALUE"""),-0.434128577214472)</f>
        <v>-0.43412857721447201</v>
      </c>
      <c r="LO102" s="3">
        <f ca="1">IFERROR(__xludf.DUMMYFUNCTION("""COMPUTED_VALUE"""),-0.521140890288471)</f>
        <v>-0.52114089028847099</v>
      </c>
      <c r="LP102" s="3">
        <f ca="1">IFERROR(__xludf.DUMMYFUNCTION("""COMPUTED_VALUE"""),-0.483762711380527)</f>
        <v>-0.48376271138052701</v>
      </c>
      <c r="LQ102" s="3">
        <f ca="1">IFERROR(__xludf.DUMMYFUNCTION("""COMPUTED_VALUE"""),-0.441602398620206)</f>
        <v>-0.441602398620206</v>
      </c>
      <c r="LR102" s="3">
        <f ca="1">IFERROR(__xludf.DUMMYFUNCTION("""COMPUTED_VALUE"""),-0.462925049873014)</f>
        <v>-0.46292504987301403</v>
      </c>
      <c r="LS102" s="3">
        <f ca="1">IFERROR(__xludf.DUMMYFUNCTION("""COMPUTED_VALUE"""),-0.45670797522345)</f>
        <v>-0.45670797522345002</v>
      </c>
      <c r="LT102" s="3">
        <f ca="1">IFERROR(__xludf.DUMMYFUNCTION("""COMPUTED_VALUE"""),-0.446688516038265)</f>
        <v>-0.44668851603826498</v>
      </c>
      <c r="LU102" s="3">
        <f ca="1">IFERROR(__xludf.DUMMYFUNCTION("""COMPUTED_VALUE"""),-0.484089825813142)</f>
        <v>-0.48408982581314203</v>
      </c>
      <c r="LV102" s="3">
        <f ca="1">IFERROR(__xludf.DUMMYFUNCTION("""COMPUTED_VALUE"""),-0.523122624648475)</f>
        <v>-0.52312262464847503</v>
      </c>
      <c r="LW102" s="3">
        <f ca="1">IFERROR(__xludf.DUMMYFUNCTION("""COMPUTED_VALUE"""),-0.541408139198517)</f>
        <v>-0.54140813919851705</v>
      </c>
      <c r="LX102" s="3">
        <f ca="1">IFERROR(__xludf.DUMMYFUNCTION("""COMPUTED_VALUE"""),-0.507001136925464)</f>
        <v>-0.507001136925464</v>
      </c>
      <c r="LY102" s="3">
        <f ca="1">IFERROR(__xludf.DUMMYFUNCTION("""COMPUTED_VALUE"""),-0.48911568205742)</f>
        <v>-0.48911568205742001</v>
      </c>
      <c r="LZ102" s="3">
        <f ca="1">IFERROR(__xludf.DUMMYFUNCTION("""COMPUTED_VALUE"""),-0.494061095407856)</f>
        <v>-0.49406109540785598</v>
      </c>
      <c r="MA102" s="3">
        <f ca="1">IFERROR(__xludf.DUMMYFUNCTION("""COMPUTED_VALUE"""),-0.456086949483269)</f>
        <v>-0.456086949483269</v>
      </c>
      <c r="MB102" s="3">
        <f ca="1">IFERROR(__xludf.DUMMYFUNCTION("""COMPUTED_VALUE"""),-0.637983745538465)</f>
        <v>-0.63798374553846504</v>
      </c>
      <c r="MC102" s="3">
        <f ca="1">IFERROR(__xludf.DUMMYFUNCTION("""COMPUTED_VALUE"""),-0.68456234525784)</f>
        <v>-0.68456234525783999</v>
      </c>
      <c r="MD102" s="3">
        <f ca="1">IFERROR(__xludf.DUMMYFUNCTION("""COMPUTED_VALUE"""),-0.694146797318087)</f>
        <v>-0.69414679731808704</v>
      </c>
      <c r="ME102" s="3">
        <f ca="1">IFERROR(__xludf.DUMMYFUNCTION("""COMPUTED_VALUE"""),-0.649920023566178)</f>
        <v>-0.64992002356617795</v>
      </c>
      <c r="MF102" s="3">
        <f ca="1">IFERROR(__xludf.DUMMYFUNCTION("""COMPUTED_VALUE"""),-0.614621422637172)</f>
        <v>-0.61462142263717201</v>
      </c>
      <c r="MG102" s="3">
        <f ca="1">IFERROR(__xludf.DUMMYFUNCTION("""COMPUTED_VALUE"""),-0.658679232639741)</f>
        <v>-0.65867923263974104</v>
      </c>
      <c r="MH102" s="3">
        <f ca="1">IFERROR(__xludf.DUMMYFUNCTION("""COMPUTED_VALUE"""),-0.672200887137469)</f>
        <v>-0.67220088713746895</v>
      </c>
      <c r="MI102" s="3">
        <f ca="1">IFERROR(__xludf.DUMMYFUNCTION("""COMPUTED_VALUE"""),-0.735335289668066)</f>
        <v>-0.73533528966806605</v>
      </c>
      <c r="MJ102" s="3">
        <f ca="1">IFERROR(__xludf.DUMMYFUNCTION("""COMPUTED_VALUE"""),-0.728990766659162)</f>
        <v>-0.72899076665916196</v>
      </c>
      <c r="MK102" s="3">
        <f ca="1">IFERROR(__xludf.DUMMYFUNCTION("""COMPUTED_VALUE"""),-0.786997842876006)</f>
        <v>-0.78699784287600605</v>
      </c>
      <c r="ML102" s="3">
        <f ca="1">IFERROR(__xludf.DUMMYFUNCTION("""COMPUTED_VALUE"""),-0.701299205280532)</f>
        <v>-0.70129920528053202</v>
      </c>
      <c r="MM102" s="3">
        <f ca="1">IFERROR(__xludf.DUMMYFUNCTION("""COMPUTED_VALUE"""),-0.708558578561891)</f>
        <v>-0.70855857856189097</v>
      </c>
      <c r="MN102" s="3">
        <f ca="1">IFERROR(__xludf.DUMMYFUNCTION("""COMPUTED_VALUE"""),-0.730556867079156)</f>
        <v>-0.73055686707915601</v>
      </c>
      <c r="MO102" s="3">
        <f ca="1">IFERROR(__xludf.DUMMYFUNCTION("""COMPUTED_VALUE"""),-0.705797069679525)</f>
        <v>-0.70579706967952505</v>
      </c>
      <c r="MP102" s="3">
        <f ca="1">IFERROR(__xludf.DUMMYFUNCTION("""COMPUTED_VALUE"""),-0.773814476999004)</f>
        <v>-0.77381447699900396</v>
      </c>
      <c r="MQ102" s="3">
        <f ca="1">IFERROR(__xludf.DUMMYFUNCTION("""COMPUTED_VALUE"""),-0.792049756252505)</f>
        <v>-0.79204975625250496</v>
      </c>
      <c r="MR102" s="3">
        <f ca="1">IFERROR(__xludf.DUMMYFUNCTION("""COMPUTED_VALUE"""),-0.730819271771662)</f>
        <v>-0.73081927177166195</v>
      </c>
      <c r="MS102" s="3">
        <f ca="1">IFERROR(__xludf.DUMMYFUNCTION("""COMPUTED_VALUE"""),-0.683424172330658)</f>
        <v>-0.683424172330658</v>
      </c>
      <c r="MT102" s="3">
        <f ca="1">IFERROR(__xludf.DUMMYFUNCTION("""COMPUTED_VALUE"""),-0.700049362228388)</f>
        <v>-0.70004936222838798</v>
      </c>
      <c r="MU102" s="3">
        <f ca="1">IFERROR(__xludf.DUMMYFUNCTION("""COMPUTED_VALUE"""),-0.721516971792723)</f>
        <v>-0.72151697179272301</v>
      </c>
      <c r="MV102" s="3">
        <f ca="1">IFERROR(__xludf.DUMMYFUNCTION("""COMPUTED_VALUE"""),-0.705829678375881)</f>
        <v>-0.70582967837588095</v>
      </c>
      <c r="MW102" s="3">
        <f ca="1">IFERROR(__xludf.DUMMYFUNCTION("""COMPUTED_VALUE"""),-0.776651162331144)</f>
        <v>-0.77665116233114395</v>
      </c>
      <c r="MX102" s="3">
        <f ca="1">IFERROR(__xludf.DUMMYFUNCTION("""COMPUTED_VALUE"""),-0.759163071786308)</f>
        <v>-0.75916307178630804</v>
      </c>
      <c r="MY102" s="3">
        <f ca="1">IFERROR(__xludf.DUMMYFUNCTION("""COMPUTED_VALUE"""),-0.723411123656178)</f>
        <v>-0.72341112365617799</v>
      </c>
      <c r="MZ102" s="3">
        <f ca="1">IFERROR(__xludf.DUMMYFUNCTION("""COMPUTED_VALUE"""),-0.712874962033223)</f>
        <v>-0.71287496203322298</v>
      </c>
      <c r="NA102" s="3">
        <f ca="1">IFERROR(__xludf.DUMMYFUNCTION("""COMPUTED_VALUE"""),-0.716885461183763)</f>
        <v>-0.71688546118376295</v>
      </c>
      <c r="NB102" s="3">
        <f ca="1">IFERROR(__xludf.DUMMYFUNCTION("""COMPUTED_VALUE"""),-0.735538628574586)</f>
        <v>-0.73553862857458596</v>
      </c>
      <c r="NC102" s="3">
        <f ca="1">IFERROR(__xludf.DUMMYFUNCTION("""COMPUTED_VALUE"""),-0.763360955267562)</f>
        <v>-0.76336095526756198</v>
      </c>
      <c r="ND102" s="3">
        <f ca="1">IFERROR(__xludf.DUMMYFUNCTION("""COMPUTED_VALUE"""),-0.785965367800877)</f>
        <v>-0.785965367800877</v>
      </c>
      <c r="NE102" s="3">
        <f ca="1">IFERROR(__xludf.DUMMYFUNCTION("""COMPUTED_VALUE"""),-0.787066057938386)</f>
        <v>-0.78706605793838602</v>
      </c>
      <c r="NF102" s="3">
        <f ca="1">IFERROR(__xludf.DUMMYFUNCTION("""COMPUTED_VALUE"""),-0.719670446424656)</f>
        <v>-0.71967044642465605</v>
      </c>
      <c r="NG102" s="3">
        <f ca="1">IFERROR(__xludf.DUMMYFUNCTION("""COMPUTED_VALUE"""),-0.727654332513986)</f>
        <v>-0.72765433251398604</v>
      </c>
      <c r="NH102" s="3">
        <f ca="1">IFERROR(__xludf.DUMMYFUNCTION("""COMPUTED_VALUE"""),-0.722119671340945)</f>
        <v>-0.72211967134094501</v>
      </c>
      <c r="NI102" s="3">
        <f ca="1">IFERROR(__xludf.DUMMYFUNCTION("""COMPUTED_VALUE"""),-0.699990732634568)</f>
        <v>-0.69999073263456801</v>
      </c>
      <c r="NJ102" s="3">
        <f ca="1">IFERROR(__xludf.DUMMYFUNCTION("""COMPUTED_VALUE"""),-0.727763631963271)</f>
        <v>-0.72776363196327098</v>
      </c>
      <c r="NK102" s="3">
        <f ca="1">IFERROR(__xludf.DUMMYFUNCTION("""COMPUTED_VALUE"""),-0.791016223048064)</f>
        <v>-0.79101622304806396</v>
      </c>
      <c r="NL102" s="3">
        <f ca="1">IFERROR(__xludf.DUMMYFUNCTION("""COMPUTED_VALUE"""),-0.811477938836911)</f>
        <v>-0.81147793883691099</v>
      </c>
      <c r="NM102" s="3">
        <f ca="1">IFERROR(__xludf.DUMMYFUNCTION("""COMPUTED_VALUE"""),-0.750396091093622)</f>
        <v>-0.75039609109362204</v>
      </c>
      <c r="NN102" s="3">
        <f ca="1">IFERROR(__xludf.DUMMYFUNCTION("""COMPUTED_VALUE"""),-0.766056270463829)</f>
        <v>-0.76605627046382896</v>
      </c>
      <c r="NO102" s="3">
        <f ca="1">IFERROR(__xludf.DUMMYFUNCTION("""COMPUTED_VALUE"""),-0.745468185396076)</f>
        <v>-0.74546818539607596</v>
      </c>
      <c r="NP102" s="3">
        <f ca="1">IFERROR(__xludf.DUMMYFUNCTION("""COMPUTED_VALUE"""),-0.731821636890618)</f>
        <v>-0.73182163689061797</v>
      </c>
      <c r="NQ102" s="3">
        <f ca="1">IFERROR(__xludf.DUMMYFUNCTION("""COMPUTED_VALUE"""),-0.708198268907339)</f>
        <v>-0.70819826890733895</v>
      </c>
      <c r="NR102" s="3">
        <f ca="1">IFERROR(__xludf.DUMMYFUNCTION("""COMPUTED_VALUE"""),-0.819422986230435)</f>
        <v>-0.81942298623043497</v>
      </c>
      <c r="NS102" s="3">
        <f ca="1">IFERROR(__xludf.DUMMYFUNCTION("""COMPUTED_VALUE"""),-0.81877037775345)</f>
        <v>-0.81877037775344996</v>
      </c>
      <c r="NT102" s="3">
        <f ca="1">IFERROR(__xludf.DUMMYFUNCTION("""COMPUTED_VALUE"""),-0.761797703105603)</f>
        <v>-0.76179770310560302</v>
      </c>
      <c r="NU102" s="3">
        <f ca="1">IFERROR(__xludf.DUMMYFUNCTION("""COMPUTED_VALUE"""),-0.748945280158035)</f>
        <v>-0.74894528015803497</v>
      </c>
      <c r="NV102" s="3">
        <f ca="1">IFERROR(__xludf.DUMMYFUNCTION("""COMPUTED_VALUE"""),-0.760065967037104)</f>
        <v>-0.76006596703710405</v>
      </c>
      <c r="NW102" s="3">
        <f ca="1">IFERROR(__xludf.DUMMYFUNCTION("""COMPUTED_VALUE"""),-0.705347925229669)</f>
        <v>-0.70534792522966905</v>
      </c>
      <c r="NX102" s="3">
        <f ca="1">IFERROR(__xludf.DUMMYFUNCTION("""COMPUTED_VALUE"""),-0.73465221521559)</f>
        <v>-0.73465221521558999</v>
      </c>
      <c r="NY102" s="3">
        <f ca="1">IFERROR(__xludf.DUMMYFUNCTION("""COMPUTED_VALUE"""),-0.796578555901912)</f>
        <v>-0.79657855590191196</v>
      </c>
      <c r="NZ102" s="3">
        <f ca="1">IFERROR(__xludf.DUMMYFUNCTION("""COMPUTED_VALUE"""),-0.796133772389302)</f>
        <v>-0.79613377238930205</v>
      </c>
      <c r="OA102" s="3">
        <f ca="1">IFERROR(__xludf.DUMMYFUNCTION("""COMPUTED_VALUE"""),-0.758112411610856)</f>
        <v>-0.75811241161085596</v>
      </c>
      <c r="OB102" s="3">
        <f ca="1">IFERROR(__xludf.DUMMYFUNCTION("""COMPUTED_VALUE"""),-0.730390020797815)</f>
        <v>-0.73039002079781501</v>
      </c>
      <c r="OC102" s="3">
        <f ca="1">IFERROR(__xludf.DUMMYFUNCTION("""COMPUTED_VALUE"""),-0.754418832212028)</f>
        <v>-0.75441883221202799</v>
      </c>
      <c r="OD102" s="3">
        <f ca="1">IFERROR(__xludf.DUMMYFUNCTION("""COMPUTED_VALUE"""),-0.622566728723775)</f>
        <v>-0.62256672872377505</v>
      </c>
      <c r="OE102" s="3">
        <f ca="1">IFERROR(__xludf.DUMMYFUNCTION("""COMPUTED_VALUE"""),-0.406964974774803)</f>
        <v>-0.40696497477480298</v>
      </c>
      <c r="OF102" s="3">
        <f ca="1">IFERROR(__xludf.DUMMYFUNCTION("""COMPUTED_VALUE"""),-0.332278987757504)</f>
        <v>-0.33227898775750397</v>
      </c>
      <c r="OG102" s="3">
        <f ca="1">IFERROR(__xludf.DUMMYFUNCTION("""COMPUTED_VALUE"""),-0.27684694362614)</f>
        <v>-0.27684694362613999</v>
      </c>
      <c r="OH102" s="3">
        <f ca="1">IFERROR(__xludf.DUMMYFUNCTION("""COMPUTED_VALUE"""),-0.116358492330274)</f>
        <v>-0.116358492330274</v>
      </c>
      <c r="OI102" s="3">
        <f ca="1">IFERROR(__xludf.DUMMYFUNCTION("""COMPUTED_VALUE"""),-0.0869268385722507)</f>
        <v>-8.6926838572250698E-2</v>
      </c>
      <c r="OJ102" s="3">
        <f ca="1">IFERROR(__xludf.DUMMYFUNCTION("""COMPUTED_VALUE"""),-0.0614583289110927)</f>
        <v>-6.1458328911092701E-2</v>
      </c>
      <c r="OK102" s="3">
        <f ca="1">IFERROR(__xludf.DUMMYFUNCTION("""COMPUTED_VALUE"""),-0.0617250798440629)</f>
        <v>-6.1725079844062898E-2</v>
      </c>
      <c r="OL102" s="3">
        <f ca="1">IFERROR(__xludf.DUMMYFUNCTION("""COMPUTED_VALUE"""),-0.0645145902429276)</f>
        <v>-6.4514590242927605E-2</v>
      </c>
      <c r="OM102" s="3">
        <f ca="1">IFERROR(__xludf.DUMMYFUNCTION("""COMPUTED_VALUE"""),-0.0931561118381014)</f>
        <v>-9.3156111838101394E-2</v>
      </c>
      <c r="ON102" s="3">
        <f ca="1">IFERROR(__xludf.DUMMYFUNCTION("""COMPUTED_VALUE"""),-0.0330076018497687)</f>
        <v>-3.3007601849768697E-2</v>
      </c>
      <c r="OO102" s="3">
        <f ca="1">IFERROR(__xludf.DUMMYFUNCTION("""COMPUTED_VALUE"""),-0.0000113089719898651)</f>
        <v>-1.13089719898651E-5</v>
      </c>
      <c r="OP102" s="3">
        <f ca="1">IFERROR(__xludf.DUMMYFUNCTION("""COMPUTED_VALUE"""),-0.0505631299987477)</f>
        <v>-5.0563129998747701E-2</v>
      </c>
      <c r="OQ102" s="3">
        <f ca="1">IFERROR(__xludf.DUMMYFUNCTION("""COMPUTED_VALUE"""),-0.026324490825721)</f>
        <v>-2.6324490825721001E-2</v>
      </c>
      <c r="OR102" s="3">
        <f ca="1">IFERROR(__xludf.DUMMYFUNCTION("""COMPUTED_VALUE"""),0.0273057632761264)</f>
        <v>2.73057632761264E-2</v>
      </c>
      <c r="OS102" s="3">
        <f ca="1">IFERROR(__xludf.DUMMYFUNCTION("""COMPUTED_VALUE"""),-0.0421784535814278)</f>
        <v>-4.2178453581427799E-2</v>
      </c>
      <c r="OT102" s="3">
        <f ca="1">IFERROR(__xludf.DUMMYFUNCTION("""COMPUTED_VALUE"""),-0.0732172084759933)</f>
        <v>-7.3217208475993306E-2</v>
      </c>
      <c r="OU102" s="3">
        <f ca="1">IFERROR(__xludf.DUMMYFUNCTION("""COMPUTED_VALUE"""),0.0405061822083394)</f>
        <v>4.0506182208339403E-2</v>
      </c>
      <c r="OV102" s="3">
        <f ca="1">IFERROR(__xludf.DUMMYFUNCTION("""COMPUTED_VALUE"""),0.0968471772784214)</f>
        <v>9.6847177278421404E-2</v>
      </c>
      <c r="OW102" s="3">
        <f ca="1">IFERROR(__xludf.DUMMYFUNCTION("""COMPUTED_VALUE"""),0.0387919530027676)</f>
        <v>3.8791953002767603E-2</v>
      </c>
      <c r="OX102" s="3">
        <f ca="1">IFERROR(__xludf.DUMMYFUNCTION("""COMPUTED_VALUE"""),0.00566841638072501)</f>
        <v>5.6684163807250096E-3</v>
      </c>
      <c r="OY102" s="3">
        <f ca="1">IFERROR(__xludf.DUMMYFUNCTION("""COMPUTED_VALUE"""),0.0386697997183356)</f>
        <v>3.8669799718335597E-2</v>
      </c>
      <c r="OZ102" s="3">
        <f ca="1">IFERROR(__xludf.DUMMYFUNCTION("""COMPUTED_VALUE"""),0.00801014738887295)</f>
        <v>8.0101473888729499E-3</v>
      </c>
      <c r="PA102" s="3">
        <f ca="1">IFERROR(__xludf.DUMMYFUNCTION("""COMPUTED_VALUE"""),0.00763140330398059)</f>
        <v>7.63140330398059E-3</v>
      </c>
      <c r="PB102" s="3">
        <f ca="1">IFERROR(__xludf.DUMMYFUNCTION("""COMPUTED_VALUE"""),-0.0310667408039878)</f>
        <v>-3.1066740803987799E-2</v>
      </c>
      <c r="PC102" s="3">
        <f ca="1">IFERROR(__xludf.DUMMYFUNCTION("""COMPUTED_VALUE"""),0.00761351958742828)</f>
        <v>7.6135195874282796E-3</v>
      </c>
      <c r="PD102" s="3">
        <f ca="1">IFERROR(__xludf.DUMMYFUNCTION("""COMPUTED_VALUE"""),0.0158922243402781)</f>
        <v>1.5892224340278101E-2</v>
      </c>
      <c r="PE102" s="3">
        <f ca="1">IFERROR(__xludf.DUMMYFUNCTION("""COMPUTED_VALUE"""),0.00719520602307177)</f>
        <v>7.1952060230717702E-3</v>
      </c>
      <c r="PF102" s="3">
        <f ca="1">IFERROR(__xludf.DUMMYFUNCTION("""COMPUTED_VALUE"""),0.0539308630538881)</f>
        <v>5.3930863053888098E-2</v>
      </c>
      <c r="PG102" s="3">
        <f ca="1">IFERROR(__xludf.DUMMYFUNCTION("""COMPUTED_VALUE"""),0.0547715693362302)</f>
        <v>5.4771569336230203E-2</v>
      </c>
      <c r="PH102" s="3">
        <f ca="1">IFERROR(__xludf.DUMMYFUNCTION("""COMPUTED_VALUE"""),0.0650622842472588)</f>
        <v>6.5062284247258795E-2</v>
      </c>
      <c r="PI102" s="3">
        <f ca="1">IFERROR(__xludf.DUMMYFUNCTION("""COMPUTED_VALUE"""),-0.0401859593082614)</f>
        <v>-4.0185959308261403E-2</v>
      </c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</row>
    <row r="103" spans="1:477" ht="13">
      <c r="A103" s="1" t="str">
        <f ca="1">IFERROR(__xludf.DUMMYFUNCTION("""COMPUTED_VALUE"""),"IDF Mobilités - Tramways")</f>
        <v>IDF Mobilités - Tramways</v>
      </c>
      <c r="B103" s="1" t="str">
        <f ca="1">IFERROR(__xludf.DUMMYFUNCTION("""COMPUTED_VALUE"""),"Paris")</f>
        <v>Paris</v>
      </c>
      <c r="C103" s="1" t="str">
        <f ca="1">IFERROR(__xludf.DUMMYFUNCTION("""COMPUTED_VALUE"""),"France")</f>
        <v>France</v>
      </c>
      <c r="D103" s="1" t="str">
        <f ca="1">IFERROR(__xludf.DUMMYFUNCTION("""COMPUTED_VALUE"""),"Île-de-France")</f>
        <v>Île-de-France</v>
      </c>
      <c r="E103" s="3">
        <f ca="1">IFERROR(__xludf.DUMMYFUNCTION("""COMPUTED_VALUE"""),-0.0862760155448184)</f>
        <v>-8.6276015544818396E-2</v>
      </c>
      <c r="F103" s="3">
        <f ca="1">IFERROR(__xludf.DUMMYFUNCTION("""COMPUTED_VALUE"""),0.0370590850318197)</f>
        <v>3.7059085031819698E-2</v>
      </c>
      <c r="G103" s="3">
        <f ca="1">IFERROR(__xludf.DUMMYFUNCTION("""COMPUTED_VALUE"""),0.0523637911158254)</f>
        <v>5.2363791115825398E-2</v>
      </c>
      <c r="H103" s="3">
        <f ca="1">IFERROR(__xludf.DUMMYFUNCTION("""COMPUTED_VALUE"""),0.0692767212519525)</f>
        <v>6.92767212519525E-2</v>
      </c>
      <c r="I103" s="3">
        <f ca="1">IFERROR(__xludf.DUMMYFUNCTION("""COMPUTED_VALUE"""),0.0441851583978978)</f>
        <v>4.41851583978978E-2</v>
      </c>
      <c r="J103" s="3">
        <f ca="1">IFERROR(__xludf.DUMMYFUNCTION("""COMPUTED_VALUE"""),0.00246443099994775)</f>
        <v>2.4644309999477501E-3</v>
      </c>
      <c r="K103" s="3">
        <f ca="1">IFERROR(__xludf.DUMMYFUNCTION("""COMPUTED_VALUE"""),0.0868837475961108)</f>
        <v>8.6883747596110797E-2</v>
      </c>
      <c r="L103" s="3">
        <f ca="1">IFERROR(__xludf.DUMMYFUNCTION("""COMPUTED_VALUE"""),-0.0207919730029201)</f>
        <v>-2.07919730029201E-2</v>
      </c>
      <c r="M103" s="3">
        <f ca="1">IFERROR(__xludf.DUMMYFUNCTION("""COMPUTED_VALUE"""),0.198828234853147)</f>
        <v>0.19882823485314699</v>
      </c>
      <c r="N103" s="3">
        <f ca="1">IFERROR(__xludf.DUMMYFUNCTION("""COMPUTED_VALUE"""),0.198182119889384)</f>
        <v>0.198182119889384</v>
      </c>
      <c r="O103" s="3">
        <f ca="1">IFERROR(__xludf.DUMMYFUNCTION("""COMPUTED_VALUE"""),0.237130793653148)</f>
        <v>0.23713079365314799</v>
      </c>
      <c r="P103" s="3">
        <f ca="1">IFERROR(__xludf.DUMMYFUNCTION("""COMPUTED_VALUE"""),0.281861079596709)</f>
        <v>0.28186107959670897</v>
      </c>
      <c r="Q103" s="3">
        <f ca="1">IFERROR(__xludf.DUMMYFUNCTION("""COMPUTED_VALUE"""),0.215660081207233)</f>
        <v>0.21566008120723301</v>
      </c>
      <c r="R103" s="3">
        <f ca="1">IFERROR(__xludf.DUMMYFUNCTION("""COMPUTED_VALUE"""),-0.0747797442351102)</f>
        <v>-7.4779744235110204E-2</v>
      </c>
      <c r="S103" s="3">
        <f ca="1">IFERROR(__xludf.DUMMYFUNCTION("""COMPUTED_VALUE"""),-0.131281761351361)</f>
        <v>-0.13128176135136099</v>
      </c>
      <c r="T103" s="3">
        <f ca="1">IFERROR(__xludf.DUMMYFUNCTION("""COMPUTED_VALUE"""),-0.00117091741866648)</f>
        <v>-1.17091741866648E-3</v>
      </c>
      <c r="U103" s="3">
        <f ca="1">IFERROR(__xludf.DUMMYFUNCTION("""COMPUTED_VALUE"""),-0.00462822406927221)</f>
        <v>-4.6282240692722097E-3</v>
      </c>
      <c r="V103" s="3">
        <f ca="1">IFERROR(__xludf.DUMMYFUNCTION("""COMPUTED_VALUE"""),0.00111688936088683)</f>
        <v>1.11688936088683E-3</v>
      </c>
      <c r="W103" s="3">
        <f ca="1">IFERROR(__xludf.DUMMYFUNCTION("""COMPUTED_VALUE"""),0.0589219597868992)</f>
        <v>5.8921959786899201E-2</v>
      </c>
      <c r="X103" s="3">
        <f ca="1">IFERROR(__xludf.DUMMYFUNCTION("""COMPUTED_VALUE"""),0.0243350895718039)</f>
        <v>2.43350895718039E-2</v>
      </c>
      <c r="Y103" s="3">
        <f ca="1">IFERROR(__xludf.DUMMYFUNCTION("""COMPUTED_VALUE"""),-0.245019650762723)</f>
        <v>-0.245019650762723</v>
      </c>
      <c r="Z103" s="3">
        <f ca="1">IFERROR(__xludf.DUMMYFUNCTION("""COMPUTED_VALUE"""),-0.252648551860255)</f>
        <v>-0.25264855186025498</v>
      </c>
      <c r="AA103" s="3">
        <f ca="1">IFERROR(__xludf.DUMMYFUNCTION("""COMPUTED_VALUE"""),0.127179940283067)</f>
        <v>0.12717994028306701</v>
      </c>
      <c r="AB103" s="3">
        <f ca="1">IFERROR(__xludf.DUMMYFUNCTION("""COMPUTED_VALUE"""),0.0404443044980302)</f>
        <v>4.0444304498030201E-2</v>
      </c>
      <c r="AC103" s="3">
        <f ca="1">IFERROR(__xludf.DUMMYFUNCTION("""COMPUTED_VALUE"""),0.0787595291647742)</f>
        <v>7.8759529164774203E-2</v>
      </c>
      <c r="AD103" s="3">
        <f ca="1">IFERROR(__xludf.DUMMYFUNCTION("""COMPUTED_VALUE"""),0.12479008514636)</f>
        <v>0.12479008514636</v>
      </c>
      <c r="AE103" s="3">
        <f ca="1">IFERROR(__xludf.DUMMYFUNCTION("""COMPUTED_VALUE"""),0.152093164164843)</f>
        <v>0.152093164164843</v>
      </c>
      <c r="AF103" s="3">
        <f ca="1">IFERROR(__xludf.DUMMYFUNCTION("""COMPUTED_VALUE"""),0.0552944820730858)</f>
        <v>5.52944820730858E-2</v>
      </c>
      <c r="AG103" s="3">
        <f ca="1">IFERROR(__xludf.DUMMYFUNCTION("""COMPUTED_VALUE"""),0.0400161240145386)</f>
        <v>4.00161240145386E-2</v>
      </c>
      <c r="AH103" s="3">
        <f ca="1">IFERROR(__xludf.DUMMYFUNCTION("""COMPUTED_VALUE"""),0.0265283369013249)</f>
        <v>2.65283369013249E-2</v>
      </c>
      <c r="AI103" s="3">
        <f ca="1">IFERROR(__xludf.DUMMYFUNCTION("""COMPUTED_VALUE"""),0.0321112566083778)</f>
        <v>3.2111256608377797E-2</v>
      </c>
      <c r="AJ103" s="3">
        <f ca="1">IFERROR(__xludf.DUMMYFUNCTION("""COMPUTED_VALUE"""),0.104761913623541)</f>
        <v>0.10476191362354099</v>
      </c>
      <c r="AK103" s="3">
        <f ca="1">IFERROR(__xludf.DUMMYFUNCTION("""COMPUTED_VALUE"""),0.0936525765438538)</f>
        <v>9.3652576543853797E-2</v>
      </c>
      <c r="AL103" s="3">
        <f ca="1">IFERROR(__xludf.DUMMYFUNCTION("""COMPUTED_VALUE"""),0.111218764447247)</f>
        <v>0.111218764447247</v>
      </c>
      <c r="AM103" s="3">
        <f ca="1">IFERROR(__xludf.DUMMYFUNCTION("""COMPUTED_VALUE"""),0.0210034483425705)</f>
        <v>2.1003448342570501E-2</v>
      </c>
      <c r="AN103" s="3">
        <f ca="1">IFERROR(__xludf.DUMMYFUNCTION("""COMPUTED_VALUE"""),0.0187272057577281)</f>
        <v>1.8727205757728099E-2</v>
      </c>
      <c r="AO103" s="3">
        <f ca="1">IFERROR(__xludf.DUMMYFUNCTION("""COMPUTED_VALUE"""),0.0948559507401658)</f>
        <v>9.4855950740165798E-2</v>
      </c>
      <c r="AP103" s="3">
        <f ca="1">IFERROR(__xludf.DUMMYFUNCTION("""COMPUTED_VALUE"""),0.112820880701892)</f>
        <v>0.112820880701892</v>
      </c>
      <c r="AQ103" s="3">
        <f ca="1">IFERROR(__xludf.DUMMYFUNCTION("""COMPUTED_VALUE"""),0.123826853709843)</f>
        <v>0.123826853709843</v>
      </c>
      <c r="AR103" s="3">
        <f ca="1">IFERROR(__xludf.DUMMYFUNCTION("""COMPUTED_VALUE"""),0.134526507786395)</f>
        <v>0.13452650778639499</v>
      </c>
      <c r="AS103" s="3">
        <f ca="1">IFERROR(__xludf.DUMMYFUNCTION("""COMPUTED_VALUE"""),0.0283055535099263)</f>
        <v>2.83055535099263E-2</v>
      </c>
      <c r="AT103" s="3">
        <f ca="1">IFERROR(__xludf.DUMMYFUNCTION("""COMPUTED_VALUE"""),0.0134180886862582)</f>
        <v>1.3418088686258199E-2</v>
      </c>
      <c r="AU103" s="3">
        <f ca="1">IFERROR(__xludf.DUMMYFUNCTION("""COMPUTED_VALUE"""),0.0127655604845517)</f>
        <v>1.27655604845517E-2</v>
      </c>
      <c r="AV103" s="3">
        <f ca="1">IFERROR(__xludf.DUMMYFUNCTION("""COMPUTED_VALUE"""),-0.0481163779564151)</f>
        <v>-4.8116377956415102E-2</v>
      </c>
      <c r="AW103" s="3">
        <f ca="1">IFERROR(__xludf.DUMMYFUNCTION("""COMPUTED_VALUE"""),-0.0350167935557336)</f>
        <v>-3.5016793555733602E-2</v>
      </c>
      <c r="AX103" s="3">
        <f ca="1">IFERROR(__xludf.DUMMYFUNCTION("""COMPUTED_VALUE"""),-0.00106041795552069)</f>
        <v>-1.06041795552069E-3</v>
      </c>
      <c r="AY103" s="3">
        <f ca="1">IFERROR(__xludf.DUMMYFUNCTION("""COMPUTED_VALUE"""),-0.081758071949749)</f>
        <v>-8.1758071949749003E-2</v>
      </c>
      <c r="AZ103" s="3">
        <f ca="1">IFERROR(__xludf.DUMMYFUNCTION("""COMPUTED_VALUE"""),-0.0886652749817324)</f>
        <v>-8.8665274981732406E-2</v>
      </c>
      <c r="BA103" s="3">
        <f ca="1">IFERROR(__xludf.DUMMYFUNCTION("""COMPUTED_VALUE"""),-0.00956836548369344)</f>
        <v>-9.56836548369344E-3</v>
      </c>
      <c r="BB103" s="3">
        <f ca="1">IFERROR(__xludf.DUMMYFUNCTION("""COMPUTED_VALUE"""),0.000647794468396023)</f>
        <v>6.4779446839602296E-4</v>
      </c>
      <c r="BC103" s="3">
        <f ca="1">IFERROR(__xludf.DUMMYFUNCTION("""COMPUTED_VALUE"""),-0.060761060267006)</f>
        <v>-6.0761060267005999E-2</v>
      </c>
      <c r="BD103" s="3">
        <f ca="1">IFERROR(__xludf.DUMMYFUNCTION("""COMPUTED_VALUE"""),-0.0915990356178308)</f>
        <v>-9.1599035617830796E-2</v>
      </c>
      <c r="BE103" s="3">
        <f ca="1">IFERROR(__xludf.DUMMYFUNCTION("""COMPUTED_VALUE"""),-0.0665971170993319)</f>
        <v>-6.6597117099331901E-2</v>
      </c>
      <c r="BF103" s="3">
        <f ca="1">IFERROR(__xludf.DUMMYFUNCTION("""COMPUTED_VALUE"""),-0.0220369687501105)</f>
        <v>-2.2036968750110499E-2</v>
      </c>
      <c r="BG103" s="3">
        <f ca="1">IFERROR(__xludf.DUMMYFUNCTION("""COMPUTED_VALUE"""),-0.0506869400122713)</f>
        <v>-5.0686940012271302E-2</v>
      </c>
      <c r="BH103" s="3">
        <f ca="1">IFERROR(__xludf.DUMMYFUNCTION("""COMPUTED_VALUE"""),-0.06008674275754)</f>
        <v>-6.0086742757540001E-2</v>
      </c>
      <c r="BI103" s="3">
        <f ca="1">IFERROR(__xludf.DUMMYFUNCTION("""COMPUTED_VALUE"""),-0.0955079111636497)</f>
        <v>-9.5507911163649706E-2</v>
      </c>
      <c r="BJ103" s="3">
        <f ca="1">IFERROR(__xludf.DUMMYFUNCTION("""COMPUTED_VALUE"""),-0.126127144561216)</f>
        <v>-0.12612714456121599</v>
      </c>
      <c r="BK103" s="3">
        <f ca="1">IFERROR(__xludf.DUMMYFUNCTION("""COMPUTED_VALUE"""),-0.133123752607888)</f>
        <v>-0.133123752607888</v>
      </c>
      <c r="BL103" s="3">
        <f ca="1">IFERROR(__xludf.DUMMYFUNCTION("""COMPUTED_VALUE"""),-0.0797746243449848)</f>
        <v>-7.9774624344984807E-2</v>
      </c>
      <c r="BM103" s="3">
        <f ca="1">IFERROR(__xludf.DUMMYFUNCTION("""COMPUTED_VALUE"""),-0.0729411035901768)</f>
        <v>-7.2941103590176803E-2</v>
      </c>
      <c r="BN103" s="3">
        <f ca="1">IFERROR(__xludf.DUMMYFUNCTION("""COMPUTED_VALUE"""),-0.0964304714574746)</f>
        <v>-9.6430471457474604E-2</v>
      </c>
      <c r="BO103" s="3">
        <f ca="1">IFERROR(__xludf.DUMMYFUNCTION("""COMPUTED_VALUE"""),-0.152676361243739)</f>
        <v>-0.15267636124373901</v>
      </c>
      <c r="BP103" s="3">
        <f ca="1">IFERROR(__xludf.DUMMYFUNCTION("""COMPUTED_VALUE"""),-0.0689871057525526)</f>
        <v>-6.8987105752552597E-2</v>
      </c>
      <c r="BQ103" s="3">
        <f ca="1">IFERROR(__xludf.DUMMYFUNCTION("""COMPUTED_VALUE"""),0.0495824126687507)</f>
        <v>4.95824126687507E-2</v>
      </c>
      <c r="BR103" s="3">
        <f ca="1">IFERROR(__xludf.DUMMYFUNCTION("""COMPUTED_VALUE"""),-0.135832308068893)</f>
        <v>-0.13583230806889299</v>
      </c>
      <c r="BS103" s="3">
        <f ca="1">IFERROR(__xludf.DUMMYFUNCTION("""COMPUTED_VALUE"""),-0.193197546885337)</f>
        <v>-0.193197546885337</v>
      </c>
      <c r="BT103" s="3">
        <f ca="1">IFERROR(__xludf.DUMMYFUNCTION("""COMPUTED_VALUE"""),-0.192469892645261)</f>
        <v>-0.19246989264526099</v>
      </c>
      <c r="BU103" s="3">
        <f ca="1">IFERROR(__xludf.DUMMYFUNCTION("""COMPUTED_VALUE"""),-0.205486765869067)</f>
        <v>-0.205486765869067</v>
      </c>
      <c r="BV103" s="3">
        <f ca="1">IFERROR(__xludf.DUMMYFUNCTION("""COMPUTED_VALUE"""),-0.0989827444700224)</f>
        <v>-9.8982744470022394E-2</v>
      </c>
      <c r="BW103" s="3">
        <f ca="1">IFERROR(__xludf.DUMMYFUNCTION("""COMPUTED_VALUE"""),-0.118131015700071)</f>
        <v>-0.11813101570007099</v>
      </c>
      <c r="BX103" s="3">
        <f ca="1">IFERROR(__xludf.DUMMYFUNCTION("""COMPUTED_VALUE"""),-0.28561532783608)</f>
        <v>-0.28561532783608001</v>
      </c>
      <c r="BY103" s="3">
        <f ca="1">IFERROR(__xludf.DUMMYFUNCTION("""COMPUTED_VALUE"""),-0.208277461418459)</f>
        <v>-0.20827746141845899</v>
      </c>
      <c r="BZ103" s="3">
        <f ca="1">IFERROR(__xludf.DUMMYFUNCTION("""COMPUTED_VALUE"""),-0.250003770277876)</f>
        <v>-0.25000377027787601</v>
      </c>
      <c r="CA103" s="3">
        <f ca="1">IFERROR(__xludf.DUMMYFUNCTION("""COMPUTED_VALUE"""),-0.240605630715174)</f>
        <v>-0.24060563071517399</v>
      </c>
      <c r="CB103" s="3">
        <f ca="1">IFERROR(__xludf.DUMMYFUNCTION("""COMPUTED_VALUE"""),-0.294873422254584)</f>
        <v>-0.29487342225458402</v>
      </c>
      <c r="CC103" s="3">
        <f ca="1">IFERROR(__xludf.DUMMYFUNCTION("""COMPUTED_VALUE"""),-0.324279672209083)</f>
        <v>-0.32427967220908299</v>
      </c>
      <c r="CD103" s="3">
        <f ca="1">IFERROR(__xludf.DUMMYFUNCTION("""COMPUTED_VALUE"""),-0.345913846701065)</f>
        <v>-0.34591384670106501</v>
      </c>
      <c r="CE103" s="3">
        <f ca="1">IFERROR(__xludf.DUMMYFUNCTION("""COMPUTED_VALUE"""),-0.36141522849578)</f>
        <v>-0.36141522849578001</v>
      </c>
      <c r="CF103" s="3">
        <f ca="1">IFERROR(__xludf.DUMMYFUNCTION("""COMPUTED_VALUE"""),-0.299990886503868)</f>
        <v>-0.29999088650386802</v>
      </c>
      <c r="CG103" s="3">
        <f ca="1">IFERROR(__xludf.DUMMYFUNCTION("""COMPUTED_VALUE"""),-0.357417959893583)</f>
        <v>-0.35741795989358299</v>
      </c>
      <c r="CH103" s="3">
        <f ca="1">IFERROR(__xludf.DUMMYFUNCTION("""COMPUTED_VALUE"""),-0.355261907181987)</f>
        <v>-0.35526190718198702</v>
      </c>
      <c r="CI103" s="3">
        <f ca="1">IFERROR(__xludf.DUMMYFUNCTION("""COMPUTED_VALUE"""),-0.391503053909401)</f>
        <v>-0.39150305390940099</v>
      </c>
      <c r="CJ103" s="3">
        <f ca="1">IFERROR(__xludf.DUMMYFUNCTION("""COMPUTED_VALUE"""),-0.443717846894829)</f>
        <v>-0.44371784689482902</v>
      </c>
      <c r="CK103" s="3">
        <f ca="1">IFERROR(__xludf.DUMMYFUNCTION("""COMPUTED_VALUE"""),-0.438941862473243)</f>
        <v>-0.43894186247324302</v>
      </c>
      <c r="CL103" s="3">
        <f ca="1">IFERROR(__xludf.DUMMYFUNCTION("""COMPUTED_VALUE"""),-0.464657148277856)</f>
        <v>-0.46465714827785598</v>
      </c>
      <c r="CM103" s="3">
        <f ca="1">IFERROR(__xludf.DUMMYFUNCTION("""COMPUTED_VALUE"""),-0.461079959354882)</f>
        <v>-0.461079959354882</v>
      </c>
      <c r="CN103" s="3">
        <f ca="1">IFERROR(__xludf.DUMMYFUNCTION("""COMPUTED_VALUE"""),-0.467115418887263)</f>
        <v>-0.46711541888726299</v>
      </c>
      <c r="CO103" s="3">
        <f ca="1">IFERROR(__xludf.DUMMYFUNCTION("""COMPUTED_VALUE"""),-0.476497331084891)</f>
        <v>-0.47649733108489101</v>
      </c>
      <c r="CP103" s="3">
        <f ca="1">IFERROR(__xludf.DUMMYFUNCTION("""COMPUTED_VALUE"""),-0.483356755773626)</f>
        <v>-0.48335675577362602</v>
      </c>
      <c r="CQ103" s="3">
        <f ca="1">IFERROR(__xludf.DUMMYFUNCTION("""COMPUTED_VALUE"""),-0.479777385316767)</f>
        <v>-0.479777385316767</v>
      </c>
      <c r="CR103" s="3">
        <f ca="1">IFERROR(__xludf.DUMMYFUNCTION("""COMPUTED_VALUE"""),-0.501454032143944)</f>
        <v>-0.50145403214394402</v>
      </c>
      <c r="CS103" s="3">
        <f ca="1">IFERROR(__xludf.DUMMYFUNCTION("""COMPUTED_VALUE"""),-0.496666023243856)</f>
        <v>-0.496666023243856</v>
      </c>
      <c r="CT103" s="3">
        <f ca="1">IFERROR(__xludf.DUMMYFUNCTION("""COMPUTED_VALUE"""),-0.51604697210299)</f>
        <v>-0.51604697210299</v>
      </c>
      <c r="CU103" s="3">
        <f ca="1">IFERROR(__xludf.DUMMYFUNCTION("""COMPUTED_VALUE"""),-0.498950552627951)</f>
        <v>-0.49895055262795102</v>
      </c>
      <c r="CV103" s="3">
        <f ca="1">IFERROR(__xludf.DUMMYFUNCTION("""COMPUTED_VALUE"""),-0.547305926450838)</f>
        <v>-0.54730592645083798</v>
      </c>
      <c r="CW103" s="3">
        <f ca="1">IFERROR(__xludf.DUMMYFUNCTION("""COMPUTED_VALUE"""),-0.572635615597311)</f>
        <v>-0.57263561559731102</v>
      </c>
      <c r="CX103" s="3">
        <f ca="1">IFERROR(__xludf.DUMMYFUNCTION("""COMPUTED_VALUE"""),-0.621195833882687)</f>
        <v>-0.62119583388268695</v>
      </c>
      <c r="CY103" s="3">
        <f ca="1">IFERROR(__xludf.DUMMYFUNCTION("""COMPUTED_VALUE"""),-0.644740782060152)</f>
        <v>-0.64474078206015195</v>
      </c>
      <c r="CZ103" s="3">
        <f ca="1">IFERROR(__xludf.DUMMYFUNCTION("""COMPUTED_VALUE"""),-0.684069043099695)</f>
        <v>-0.68406904309969496</v>
      </c>
      <c r="DA103" s="3">
        <f ca="1">IFERROR(__xludf.DUMMYFUNCTION("""COMPUTED_VALUE"""),-0.519259642519773)</f>
        <v>-0.51925964251977297</v>
      </c>
      <c r="DB103" s="3">
        <f ca="1">IFERROR(__xludf.DUMMYFUNCTION("""COMPUTED_VALUE"""),-0.503973918546452)</f>
        <v>-0.50397391854645202</v>
      </c>
      <c r="DC103" s="3">
        <f ca="1">IFERROR(__xludf.DUMMYFUNCTION("""COMPUTED_VALUE"""),-0.602329406384737)</f>
        <v>-0.60232940638473698</v>
      </c>
      <c r="DD103" s="3">
        <f ca="1">IFERROR(__xludf.DUMMYFUNCTION("""COMPUTED_VALUE"""),-0.635060148331823)</f>
        <v>-0.635060148331823</v>
      </c>
      <c r="DE103" s="3">
        <f ca="1">IFERROR(__xludf.DUMMYFUNCTION("""COMPUTED_VALUE"""),-0.629230673601161)</f>
        <v>-0.62923067360116103</v>
      </c>
      <c r="DF103" s="3">
        <f ca="1">IFERROR(__xludf.DUMMYFUNCTION("""COMPUTED_VALUE"""),-0.639413104475753)</f>
        <v>-0.63941310447575295</v>
      </c>
      <c r="DG103" s="3">
        <f ca="1">IFERROR(__xludf.DUMMYFUNCTION("""COMPUTED_VALUE"""),-0.696201406624661)</f>
        <v>-0.69620140662466101</v>
      </c>
      <c r="DH103" s="3">
        <f ca="1">IFERROR(__xludf.DUMMYFUNCTION("""COMPUTED_VALUE"""),-0.576094424153559)</f>
        <v>-0.57609442415355905</v>
      </c>
      <c r="DI103" s="3">
        <f ca="1">IFERROR(__xludf.DUMMYFUNCTION("""COMPUTED_VALUE"""),-0.482655052385544)</f>
        <v>-0.48265505238554401</v>
      </c>
      <c r="DJ103" s="3">
        <f ca="1">IFERROR(__xludf.DUMMYFUNCTION("""COMPUTED_VALUE"""),-0.594012645223032)</f>
        <v>-0.59401264522303199</v>
      </c>
      <c r="DK103" s="3">
        <f ca="1">IFERROR(__xludf.DUMMYFUNCTION("""COMPUTED_VALUE"""),-0.631906824491434)</f>
        <v>-0.63190682449143398</v>
      </c>
      <c r="DL103" s="3">
        <f ca="1">IFERROR(__xludf.DUMMYFUNCTION("""COMPUTED_VALUE"""),-0.599229983026505)</f>
        <v>-0.59922998302650499</v>
      </c>
      <c r="DM103" s="3">
        <f ca="1">IFERROR(__xludf.DUMMYFUNCTION("""COMPUTED_VALUE"""),-0.615755132370165)</f>
        <v>-0.61575513237016499</v>
      </c>
      <c r="DN103" s="3">
        <f ca="1">IFERROR(__xludf.DUMMYFUNCTION("""COMPUTED_VALUE"""),-0.593199776683556)</f>
        <v>-0.59319977668355595</v>
      </c>
      <c r="DO103" s="3">
        <f ca="1">IFERROR(__xludf.DUMMYFUNCTION("""COMPUTED_VALUE"""),-0.558279172827214)</f>
        <v>-0.55827917282721395</v>
      </c>
      <c r="DP103" s="3">
        <f ca="1">IFERROR(__xludf.DUMMYFUNCTION("""COMPUTED_VALUE"""),-0.58573850061509)</f>
        <v>-0.58573850061509003</v>
      </c>
      <c r="DQ103" s="3">
        <f ca="1">IFERROR(__xludf.DUMMYFUNCTION("""COMPUTED_VALUE"""),-0.615639330400758)</f>
        <v>-0.61563933040075802</v>
      </c>
      <c r="DR103" s="3">
        <f ca="1">IFERROR(__xludf.DUMMYFUNCTION("""COMPUTED_VALUE"""),-0.683173652356183)</f>
        <v>-0.68317365235618299</v>
      </c>
      <c r="DS103" s="3">
        <f ca="1">IFERROR(__xludf.DUMMYFUNCTION("""COMPUTED_VALUE"""),-0.63948938173446)</f>
        <v>-0.63948938173446002</v>
      </c>
      <c r="DT103" s="3">
        <f ca="1">IFERROR(__xludf.DUMMYFUNCTION("""COMPUTED_VALUE"""),-0.649169022722444)</f>
        <v>-0.64916902272244403</v>
      </c>
      <c r="DU103" s="3">
        <f ca="1">IFERROR(__xludf.DUMMYFUNCTION("""COMPUTED_VALUE"""),-0.637638738910136)</f>
        <v>-0.637638738910136</v>
      </c>
      <c r="DV103" s="3">
        <f ca="1">IFERROR(__xludf.DUMMYFUNCTION("""COMPUTED_VALUE"""),-0.609631252473724)</f>
        <v>-0.60963125247372396</v>
      </c>
      <c r="DW103" s="3">
        <f ca="1">IFERROR(__xludf.DUMMYFUNCTION("""COMPUTED_VALUE"""),-0.622392422105366)</f>
        <v>-0.62239242210536605</v>
      </c>
      <c r="DX103" s="3">
        <f ca="1">IFERROR(__xludf.DUMMYFUNCTION("""COMPUTED_VALUE"""),-0.579363433888614)</f>
        <v>-0.579363433888614</v>
      </c>
      <c r="DY103" s="3">
        <f ca="1">IFERROR(__xludf.DUMMYFUNCTION("""COMPUTED_VALUE"""),-0.643603434778218)</f>
        <v>-0.64360343477821802</v>
      </c>
      <c r="DZ103" s="3">
        <f ca="1">IFERROR(__xludf.DUMMYFUNCTION("""COMPUTED_VALUE"""),-0.597535901593783)</f>
        <v>-0.597535901593783</v>
      </c>
      <c r="EA103" s="3">
        <f ca="1">IFERROR(__xludf.DUMMYFUNCTION("""COMPUTED_VALUE"""),-0.584358461264263)</f>
        <v>-0.58435846126426305</v>
      </c>
      <c r="EB103" s="3">
        <f ca="1">IFERROR(__xludf.DUMMYFUNCTION("""COMPUTED_VALUE"""),-0.595543001243485)</f>
        <v>-0.59554300124348503</v>
      </c>
      <c r="EC103" s="3">
        <f ca="1">IFERROR(__xludf.DUMMYFUNCTION("""COMPUTED_VALUE"""),-0.54798084271509)</f>
        <v>-0.54798084271508996</v>
      </c>
      <c r="ED103" s="3">
        <f ca="1">IFERROR(__xludf.DUMMYFUNCTION("""COMPUTED_VALUE"""),-0.562499213696948)</f>
        <v>-0.562499213696948</v>
      </c>
      <c r="EE103" s="3">
        <f ca="1">IFERROR(__xludf.DUMMYFUNCTION("""COMPUTED_VALUE"""),-0.536207745367962)</f>
        <v>-0.53620774536796201</v>
      </c>
      <c r="EF103" s="3">
        <f ca="1">IFERROR(__xludf.DUMMYFUNCTION("""COMPUTED_VALUE"""),-0.590092567166085)</f>
        <v>-0.59009256716608505</v>
      </c>
      <c r="EG103" s="3">
        <f ca="1">IFERROR(__xludf.DUMMYFUNCTION("""COMPUTED_VALUE"""),-0.540125621848577)</f>
        <v>-0.54012562184857704</v>
      </c>
      <c r="EH103" s="3">
        <f ca="1">IFERROR(__xludf.DUMMYFUNCTION("""COMPUTED_VALUE"""),-0.552099089823022)</f>
        <v>-0.55209908982302203</v>
      </c>
      <c r="EI103" s="3">
        <f ca="1">IFERROR(__xludf.DUMMYFUNCTION("""COMPUTED_VALUE"""),-0.58648484644885)</f>
        <v>-0.58648484644885002</v>
      </c>
      <c r="EJ103" s="3">
        <f ca="1">IFERROR(__xludf.DUMMYFUNCTION("""COMPUTED_VALUE"""),-0.50505682510515)</f>
        <v>-0.50505682510515004</v>
      </c>
      <c r="EK103" s="3">
        <f ca="1">IFERROR(__xludf.DUMMYFUNCTION("""COMPUTED_VALUE"""),-0.503062164323066)</f>
        <v>-0.50306216432306605</v>
      </c>
      <c r="EL103" s="3">
        <f ca="1">IFERROR(__xludf.DUMMYFUNCTION("""COMPUTED_VALUE"""),-0.43649312469931)</f>
        <v>-0.43649312469931001</v>
      </c>
      <c r="EM103" s="3">
        <f ca="1">IFERROR(__xludf.DUMMYFUNCTION("""COMPUTED_VALUE"""),-0.439837748486473)</f>
        <v>-0.439837748486473</v>
      </c>
      <c r="EN103" s="3">
        <f ca="1">IFERROR(__xludf.DUMMYFUNCTION("""COMPUTED_VALUE"""),-0.535330132310922)</f>
        <v>-0.53533013231092197</v>
      </c>
      <c r="EO103" s="3">
        <f ca="1">IFERROR(__xludf.DUMMYFUNCTION("""COMPUTED_VALUE"""),-0.543904130728909)</f>
        <v>-0.54390413072890897</v>
      </c>
      <c r="EP103" s="3">
        <f ca="1">IFERROR(__xludf.DUMMYFUNCTION("""COMPUTED_VALUE"""),-0.443332994627901)</f>
        <v>-0.44333299462790099</v>
      </c>
      <c r="EQ103" s="3">
        <f ca="1">IFERROR(__xludf.DUMMYFUNCTION("""COMPUTED_VALUE"""),-0.427568704837604)</f>
        <v>-0.42756870483760401</v>
      </c>
      <c r="ER103" s="3">
        <f ca="1">IFERROR(__xludf.DUMMYFUNCTION("""COMPUTED_VALUE"""),-0.444737027212878)</f>
        <v>-0.444737027212878</v>
      </c>
      <c r="ES103" s="3">
        <f ca="1">IFERROR(__xludf.DUMMYFUNCTION("""COMPUTED_VALUE"""),-0.447558853615181)</f>
        <v>-0.447558853615181</v>
      </c>
      <c r="ET103" s="3">
        <f ca="1">IFERROR(__xludf.DUMMYFUNCTION("""COMPUTED_VALUE"""),-0.457957155688369)</f>
        <v>-0.45795715568836898</v>
      </c>
      <c r="EU103" s="3">
        <f ca="1">IFERROR(__xludf.DUMMYFUNCTION("""COMPUTED_VALUE"""),-0.583547332051881)</f>
        <v>-0.58354733205188103</v>
      </c>
      <c r="EV103" s="3">
        <f ca="1">IFERROR(__xludf.DUMMYFUNCTION("""COMPUTED_VALUE"""),-0.545980236739431)</f>
        <v>-0.54598023673943097</v>
      </c>
      <c r="EW103" s="3">
        <f ca="1">IFERROR(__xludf.DUMMYFUNCTION("""COMPUTED_VALUE"""),-0.453296218581139)</f>
        <v>-0.453296218581139</v>
      </c>
      <c r="EX103" s="3">
        <f ca="1">IFERROR(__xludf.DUMMYFUNCTION("""COMPUTED_VALUE"""),-0.468892595228783)</f>
        <v>-0.46889259522878302</v>
      </c>
      <c r="EY103" s="3">
        <f ca="1">IFERROR(__xludf.DUMMYFUNCTION("""COMPUTED_VALUE"""),-0.568692808365536)</f>
        <v>-0.56869280836553604</v>
      </c>
      <c r="EZ103" s="3">
        <f ca="1">IFERROR(__xludf.DUMMYFUNCTION("""COMPUTED_VALUE"""),-0.384357758001211)</f>
        <v>-0.38435775800121103</v>
      </c>
      <c r="FA103" s="3">
        <f ca="1">IFERROR(__xludf.DUMMYFUNCTION("""COMPUTED_VALUE"""),-0.3949814313962)</f>
        <v>-0.39498143139620001</v>
      </c>
      <c r="FB103" s="3">
        <f ca="1">IFERROR(__xludf.DUMMYFUNCTION("""COMPUTED_VALUE"""),-0.564564892479475)</f>
        <v>-0.56456489247947494</v>
      </c>
      <c r="FC103" s="3">
        <f ca="1">IFERROR(__xludf.DUMMYFUNCTION("""COMPUTED_VALUE"""),-0.552231256895076)</f>
        <v>-0.55223125689507602</v>
      </c>
      <c r="FD103" s="3">
        <f ca="1">IFERROR(__xludf.DUMMYFUNCTION("""COMPUTED_VALUE"""),-0.452995916932326)</f>
        <v>-0.45299591693232599</v>
      </c>
      <c r="FE103" s="3">
        <f ca="1">IFERROR(__xludf.DUMMYFUNCTION("""COMPUTED_VALUE"""),-0.476152721794948)</f>
        <v>-0.476152721794948</v>
      </c>
      <c r="FF103" s="3">
        <f ca="1">IFERROR(__xludf.DUMMYFUNCTION("""COMPUTED_VALUE"""),-0.470739545844196)</f>
        <v>-0.47073954584419597</v>
      </c>
      <c r="FG103" s="3">
        <f ca="1">IFERROR(__xludf.DUMMYFUNCTION("""COMPUTED_VALUE"""),-0.420392147810781)</f>
        <v>-0.42039214781078099</v>
      </c>
      <c r="FH103" s="3">
        <f ca="1">IFERROR(__xludf.DUMMYFUNCTION("""COMPUTED_VALUE"""),-0.36108921518913)</f>
        <v>-0.36108921518913001</v>
      </c>
      <c r="FI103" s="3">
        <f ca="1">IFERROR(__xludf.DUMMYFUNCTION("""COMPUTED_VALUE"""),-0.578425019885772)</f>
        <v>-0.578425019885772</v>
      </c>
      <c r="FJ103" s="3">
        <f ca="1">IFERROR(__xludf.DUMMYFUNCTION("""COMPUTED_VALUE"""),-0.569203279897039)</f>
        <v>-0.56920327989703901</v>
      </c>
      <c r="FK103" s="3">
        <f ca="1">IFERROR(__xludf.DUMMYFUNCTION("""COMPUTED_VALUE"""),-0.511988423889912)</f>
        <v>-0.51198842388991195</v>
      </c>
      <c r="FL103" s="3">
        <f ca="1">IFERROR(__xludf.DUMMYFUNCTION("""COMPUTED_VALUE"""),-0.143593850094065)</f>
        <v>-0.143593850094065</v>
      </c>
      <c r="FM103" s="3">
        <f ca="1">IFERROR(__xludf.DUMMYFUNCTION("""COMPUTED_VALUE"""),-0.280697009032132)</f>
        <v>-0.28069700903213202</v>
      </c>
      <c r="FN103" s="3">
        <f ca="1">IFERROR(__xludf.DUMMYFUNCTION("""COMPUTED_VALUE"""),-0.288859451085804)</f>
        <v>-0.28885945108580402</v>
      </c>
      <c r="FO103" s="3">
        <f ca="1">IFERROR(__xludf.DUMMYFUNCTION("""COMPUTED_VALUE"""),-0.263382566091408)</f>
        <v>-0.26338256609140798</v>
      </c>
      <c r="FP103" s="3">
        <f ca="1">IFERROR(__xludf.DUMMYFUNCTION("""COMPUTED_VALUE"""),-0.221151958756483)</f>
        <v>-0.221151958756483</v>
      </c>
      <c r="FQ103" s="3">
        <f ca="1">IFERROR(__xludf.DUMMYFUNCTION("""COMPUTED_VALUE"""),-0.26608152480617)</f>
        <v>-0.26608152480616998</v>
      </c>
      <c r="FR103" s="3">
        <f ca="1">IFERROR(__xludf.DUMMYFUNCTION("""COMPUTED_VALUE"""),-0.370782053117007)</f>
        <v>-0.37078205311700702</v>
      </c>
      <c r="FS103" s="3">
        <f ca="1">IFERROR(__xludf.DUMMYFUNCTION("""COMPUTED_VALUE"""),-0.318508115037873)</f>
        <v>-0.31850811503787302</v>
      </c>
      <c r="FT103" s="3">
        <f ca="1">IFERROR(__xludf.DUMMYFUNCTION("""COMPUTED_VALUE"""),-0.273104437774994)</f>
        <v>-0.27310443777499399</v>
      </c>
      <c r="FU103" s="3">
        <f ca="1">IFERROR(__xludf.DUMMYFUNCTION("""COMPUTED_VALUE"""),-0.267771338304344)</f>
        <v>-0.26777133830434402</v>
      </c>
      <c r="FV103" s="3">
        <f ca="1">IFERROR(__xludf.DUMMYFUNCTION("""COMPUTED_VALUE"""),-0.235454674842963)</f>
        <v>-0.23545467484296301</v>
      </c>
      <c r="FW103" s="3">
        <f ca="1">IFERROR(__xludf.DUMMYFUNCTION("""COMPUTED_VALUE"""),-0.247661033701532)</f>
        <v>-0.247661033701532</v>
      </c>
      <c r="FX103" s="3">
        <f ca="1">IFERROR(__xludf.DUMMYFUNCTION("""COMPUTED_VALUE"""),-0.285745334910856)</f>
        <v>-0.28574533491085602</v>
      </c>
      <c r="FY103" s="3">
        <f ca="1">IFERROR(__xludf.DUMMYFUNCTION("""COMPUTED_VALUE"""),-0.260994022185181)</f>
        <v>-0.26099402218518097</v>
      </c>
      <c r="FZ103" s="3">
        <f ca="1">IFERROR(__xludf.DUMMYFUNCTION("""COMPUTED_VALUE"""),-0.182629759313105)</f>
        <v>-0.18262975931310499</v>
      </c>
      <c r="GA103" s="3">
        <f ca="1">IFERROR(__xludf.DUMMYFUNCTION("""COMPUTED_VALUE"""),-0.257030970712138)</f>
        <v>-0.25703097071213798</v>
      </c>
      <c r="GB103" s="3">
        <f ca="1">IFERROR(__xludf.DUMMYFUNCTION("""COMPUTED_VALUE"""),-0.208085157855448)</f>
        <v>-0.20808515785544801</v>
      </c>
      <c r="GC103" s="3">
        <f ca="1">IFERROR(__xludf.DUMMYFUNCTION("""COMPUTED_VALUE"""),-0.204217964181344)</f>
        <v>-0.204217964181344</v>
      </c>
      <c r="GD103" s="3">
        <f ca="1">IFERROR(__xludf.DUMMYFUNCTION("""COMPUTED_VALUE"""),-0.228400086563253)</f>
        <v>-0.228400086563253</v>
      </c>
      <c r="GE103" s="3">
        <f ca="1">IFERROR(__xludf.DUMMYFUNCTION("""COMPUTED_VALUE"""),-0.227102360550945)</f>
        <v>-0.22710236055094499</v>
      </c>
      <c r="GF103" s="3">
        <f ca="1">IFERROR(__xludf.DUMMYFUNCTION("""COMPUTED_VALUE"""),-0.294165297746968)</f>
        <v>-0.29416529774696798</v>
      </c>
      <c r="GG103" s="3">
        <f ca="1">IFERROR(__xludf.DUMMYFUNCTION("""COMPUTED_VALUE"""),-0.243375027628605)</f>
        <v>-0.243375027628605</v>
      </c>
      <c r="GH103" s="3">
        <f ca="1">IFERROR(__xludf.DUMMYFUNCTION("""COMPUTED_VALUE"""),-0.229787704874705)</f>
        <v>-0.22978770487470501</v>
      </c>
      <c r="GI103" s="3">
        <f ca="1">IFERROR(__xludf.DUMMYFUNCTION("""COMPUTED_VALUE"""),-0.207047349205783)</f>
        <v>-0.20704734920578299</v>
      </c>
      <c r="GJ103" s="3">
        <f ca="1">IFERROR(__xludf.DUMMYFUNCTION("""COMPUTED_VALUE"""),-0.191379746477103)</f>
        <v>-0.19137974647710301</v>
      </c>
      <c r="GK103" s="3">
        <f ca="1">IFERROR(__xludf.DUMMYFUNCTION("""COMPUTED_VALUE"""),-0.237795416573893)</f>
        <v>-0.237795416573893</v>
      </c>
      <c r="GL103" s="3">
        <f ca="1">IFERROR(__xludf.DUMMYFUNCTION("""COMPUTED_VALUE"""),-0.244565988780462)</f>
        <v>-0.24456598878046201</v>
      </c>
      <c r="GM103" s="3">
        <f ca="1">IFERROR(__xludf.DUMMYFUNCTION("""COMPUTED_VALUE"""),-0.233087203355897)</f>
        <v>-0.233087203355897</v>
      </c>
      <c r="GN103" s="3">
        <f ca="1">IFERROR(__xludf.DUMMYFUNCTION("""COMPUTED_VALUE"""),-0.244591967208714)</f>
        <v>-0.24459196720871401</v>
      </c>
      <c r="GO103" s="3">
        <f ca="1">IFERROR(__xludf.DUMMYFUNCTION("""COMPUTED_VALUE"""),-0.21123663088479)</f>
        <v>-0.21123663088479</v>
      </c>
      <c r="GP103" s="3">
        <f ca="1">IFERROR(__xludf.DUMMYFUNCTION("""COMPUTED_VALUE"""),-0.266778263404612)</f>
        <v>-0.26677826340461203</v>
      </c>
      <c r="GQ103" s="3">
        <f ca="1">IFERROR(__xludf.DUMMYFUNCTION("""COMPUTED_VALUE"""),-0.260744632558088)</f>
        <v>-0.260744632558088</v>
      </c>
      <c r="GR103" s="3">
        <f ca="1">IFERROR(__xludf.DUMMYFUNCTION("""COMPUTED_VALUE"""),-0.275755997430408)</f>
        <v>-0.27575599743040802</v>
      </c>
      <c r="GS103" s="3">
        <f ca="1">IFERROR(__xludf.DUMMYFUNCTION("""COMPUTED_VALUE"""),-0.292599380016504)</f>
        <v>-0.29259938001650398</v>
      </c>
      <c r="GT103" s="3">
        <f ca="1">IFERROR(__xludf.DUMMYFUNCTION("""COMPUTED_VALUE"""),-0.285188719405946)</f>
        <v>-0.28518871940594598</v>
      </c>
      <c r="GU103" s="3">
        <f ca="1">IFERROR(__xludf.DUMMYFUNCTION("""COMPUTED_VALUE"""),-0.278018053577695)</f>
        <v>-0.27801805357769499</v>
      </c>
      <c r="GV103" s="3">
        <f ca="1">IFERROR(__xludf.DUMMYFUNCTION("""COMPUTED_VALUE"""),-0.255612984491314)</f>
        <v>-0.25561298449131398</v>
      </c>
      <c r="GW103" s="3">
        <f ca="1">IFERROR(__xludf.DUMMYFUNCTION("""COMPUTED_VALUE"""),-0.281558563440193)</f>
        <v>-0.28155856344019298</v>
      </c>
      <c r="GX103" s="3">
        <f ca="1">IFERROR(__xludf.DUMMYFUNCTION("""COMPUTED_VALUE"""),-0.212140368940983)</f>
        <v>-0.21214036894098301</v>
      </c>
      <c r="GY103" s="3">
        <f ca="1">IFERROR(__xludf.DUMMYFUNCTION("""COMPUTED_VALUE"""),-0.201575026743819)</f>
        <v>-0.201575026743819</v>
      </c>
      <c r="GZ103" s="3">
        <f ca="1">IFERROR(__xludf.DUMMYFUNCTION("""COMPUTED_VALUE"""),-0.251559193667422)</f>
        <v>-0.25155919366742202</v>
      </c>
      <c r="HA103" s="3">
        <f ca="1">IFERROR(__xludf.DUMMYFUNCTION("""COMPUTED_VALUE"""),-0.375831374549137)</f>
        <v>-0.37583137454913701</v>
      </c>
      <c r="HB103" s="3">
        <f ca="1">IFERROR(__xludf.DUMMYFUNCTION("""COMPUTED_VALUE"""),-0.229276144034187)</f>
        <v>-0.229276144034187</v>
      </c>
      <c r="HC103" s="3">
        <f ca="1">IFERROR(__xludf.DUMMYFUNCTION("""COMPUTED_VALUE"""),-0.196252860318349)</f>
        <v>-0.19625286031834899</v>
      </c>
      <c r="HD103" s="3">
        <f ca="1">IFERROR(__xludf.DUMMYFUNCTION("""COMPUTED_VALUE"""),-0.227669904528211)</f>
        <v>-0.22766990452821101</v>
      </c>
      <c r="HE103" s="3">
        <f ca="1">IFERROR(__xludf.DUMMYFUNCTION("""COMPUTED_VALUE"""),-0.181884101228455)</f>
        <v>-0.181884101228455</v>
      </c>
      <c r="HF103" s="3">
        <f ca="1">IFERROR(__xludf.DUMMYFUNCTION("""COMPUTED_VALUE"""),-0.150832761300892)</f>
        <v>-0.15083276130089199</v>
      </c>
      <c r="HG103" s="3">
        <f ca="1">IFERROR(__xludf.DUMMYFUNCTION("""COMPUTED_VALUE"""),-0.206979327317075)</f>
        <v>-0.206979327317075</v>
      </c>
      <c r="HH103" s="3">
        <f ca="1">IFERROR(__xludf.DUMMYFUNCTION("""COMPUTED_VALUE"""),-0.337353418281497)</f>
        <v>-0.33735341828149701</v>
      </c>
      <c r="HI103" s="3">
        <f ca="1">IFERROR(__xludf.DUMMYFUNCTION("""COMPUTED_VALUE"""),-0.191470080388516)</f>
        <v>-0.19147008038851601</v>
      </c>
      <c r="HJ103" s="3">
        <f ca="1">IFERROR(__xludf.DUMMYFUNCTION("""COMPUTED_VALUE"""),-0.175039215562773)</f>
        <v>-0.17503921556277299</v>
      </c>
      <c r="HK103" s="3">
        <f ca="1">IFERROR(__xludf.DUMMYFUNCTION("""COMPUTED_VALUE"""),-0.180252050037448)</f>
        <v>-0.18025205003744799</v>
      </c>
      <c r="HL103" s="3">
        <f ca="1">IFERROR(__xludf.DUMMYFUNCTION("""COMPUTED_VALUE"""),-0.159184401711487)</f>
        <v>-0.15918440171148701</v>
      </c>
      <c r="HM103" s="3">
        <f ca="1">IFERROR(__xludf.DUMMYFUNCTION("""COMPUTED_VALUE"""),-0.1877443791401)</f>
        <v>-0.1877443791401</v>
      </c>
      <c r="HN103" s="3">
        <f ca="1">IFERROR(__xludf.DUMMYFUNCTION("""COMPUTED_VALUE"""),-0.217488413498404)</f>
        <v>-0.217488413498404</v>
      </c>
      <c r="HO103" s="3">
        <f ca="1">IFERROR(__xludf.DUMMYFUNCTION("""COMPUTED_VALUE"""),-0.299831653046953)</f>
        <v>-0.29983165304695297</v>
      </c>
      <c r="HP103" s="3">
        <f ca="1">IFERROR(__xludf.DUMMYFUNCTION("""COMPUTED_VALUE"""),-0.12123447572976)</f>
        <v>-0.12123447572976</v>
      </c>
      <c r="HQ103" s="3">
        <f ca="1">IFERROR(__xludf.DUMMYFUNCTION("""COMPUTED_VALUE"""),-0.15359376191395)</f>
        <v>-0.15359376191394999</v>
      </c>
      <c r="HR103" s="3">
        <f ca="1">IFERROR(__xludf.DUMMYFUNCTION("""COMPUTED_VALUE"""),-0.163777832658663)</f>
        <v>-0.163777832658663</v>
      </c>
      <c r="HS103" s="3">
        <f ca="1">IFERROR(__xludf.DUMMYFUNCTION("""COMPUTED_VALUE"""),-0.166973814923534)</f>
        <v>-0.166973814923534</v>
      </c>
      <c r="HT103" s="3">
        <f ca="1">IFERROR(__xludf.DUMMYFUNCTION("""COMPUTED_VALUE"""),-0.171444361530033)</f>
        <v>-0.17144436153003301</v>
      </c>
      <c r="HU103" s="3">
        <f ca="1">IFERROR(__xludf.DUMMYFUNCTION("""COMPUTED_VALUE"""),-0.133024230781717)</f>
        <v>-0.13302423078171699</v>
      </c>
      <c r="HV103" s="3">
        <f ca="1">IFERROR(__xludf.DUMMYFUNCTION("""COMPUTED_VALUE"""),-0.184786754404202)</f>
        <v>-0.184786754404202</v>
      </c>
      <c r="HW103" s="3">
        <f ca="1">IFERROR(__xludf.DUMMYFUNCTION("""COMPUTED_VALUE"""),-0.172807236820534)</f>
        <v>-0.172807236820534</v>
      </c>
      <c r="HX103" s="3">
        <f ca="1">IFERROR(__xludf.DUMMYFUNCTION("""COMPUTED_VALUE"""),-0.146130708888287)</f>
        <v>-0.146130708888287</v>
      </c>
      <c r="HY103" s="3">
        <f ca="1">IFERROR(__xludf.DUMMYFUNCTION("""COMPUTED_VALUE"""),-0.197272363597501)</f>
        <v>-0.197272363597501</v>
      </c>
      <c r="HZ103" s="3">
        <f ca="1">IFERROR(__xludf.DUMMYFUNCTION("""COMPUTED_VALUE"""),-0.208606840717784)</f>
        <v>-0.20860684071778399</v>
      </c>
      <c r="IA103" s="3">
        <f ca="1">IFERROR(__xludf.DUMMYFUNCTION("""COMPUTED_VALUE"""),-0.128679553828016)</f>
        <v>-0.12867955382801599</v>
      </c>
      <c r="IB103" s="3">
        <f ca="1">IFERROR(__xludf.DUMMYFUNCTION("""COMPUTED_VALUE"""),-0.0944530283051318)</f>
        <v>-9.4453028305131803E-2</v>
      </c>
      <c r="IC103" s="3">
        <f ca="1">IFERROR(__xludf.DUMMYFUNCTION("""COMPUTED_VALUE"""),-0.148060560273489)</f>
        <v>-0.14806056027348899</v>
      </c>
      <c r="ID103" s="3">
        <f ca="1">IFERROR(__xludf.DUMMYFUNCTION("""COMPUTED_VALUE"""),-0.09355261738739)</f>
        <v>-9.355261738739E-2</v>
      </c>
      <c r="IE103" s="3">
        <f ca="1">IFERROR(__xludf.DUMMYFUNCTION("""COMPUTED_VALUE"""),-0.121162491274225)</f>
        <v>-0.121162491274225</v>
      </c>
      <c r="IF103" s="3">
        <f ca="1">IFERROR(__xludf.DUMMYFUNCTION("""COMPUTED_VALUE"""),-0.0782223945238554)</f>
        <v>-7.8222394523855404E-2</v>
      </c>
      <c r="IG103" s="3">
        <f ca="1">IFERROR(__xludf.DUMMYFUNCTION("""COMPUTED_VALUE"""),-0.0951925006155363)</f>
        <v>-9.5192500615536302E-2</v>
      </c>
      <c r="IH103" s="3">
        <f ca="1">IFERROR(__xludf.DUMMYFUNCTION("""COMPUTED_VALUE"""),-0.0834723216948224)</f>
        <v>-8.3472321694822396E-2</v>
      </c>
      <c r="II103" s="3">
        <f ca="1">IFERROR(__xludf.DUMMYFUNCTION("""COMPUTED_VALUE"""),0.109891191596851)</f>
        <v>0.109891191596851</v>
      </c>
      <c r="IJ103" s="3">
        <f ca="1">IFERROR(__xludf.DUMMYFUNCTION("""COMPUTED_VALUE"""),-0.0292897913126964)</f>
        <v>-2.9289791312696399E-2</v>
      </c>
      <c r="IK103" s="3">
        <f ca="1">IFERROR(__xludf.DUMMYFUNCTION("""COMPUTED_VALUE"""),-0.00648507478024629)</f>
        <v>-6.4850747802462898E-3</v>
      </c>
      <c r="IL103" s="3">
        <f ca="1">IFERROR(__xludf.DUMMYFUNCTION("""COMPUTED_VALUE"""),0.0442943418046166)</f>
        <v>4.4294341804616597E-2</v>
      </c>
      <c r="IM103" s="3">
        <f ca="1">IFERROR(__xludf.DUMMYFUNCTION("""COMPUTED_VALUE"""),0.0227601580298326)</f>
        <v>2.2760158029832601E-2</v>
      </c>
      <c r="IN103" s="3">
        <f ca="1">IFERROR(__xludf.DUMMYFUNCTION("""COMPUTED_VALUE"""),-0.0123792645678202)</f>
        <v>-1.23792645678202E-2</v>
      </c>
      <c r="IO103" s="3">
        <f ca="1">IFERROR(__xludf.DUMMYFUNCTION("""COMPUTED_VALUE"""),-0.0158354098753839)</f>
        <v>-1.5835409875383899E-2</v>
      </c>
      <c r="IP103" s="3">
        <f ca="1">IFERROR(__xludf.DUMMYFUNCTION("""COMPUTED_VALUE"""),0.0574032405929549)</f>
        <v>5.7403240592954902E-2</v>
      </c>
      <c r="IQ103" s="3">
        <f ca="1">IFERROR(__xludf.DUMMYFUNCTION("""COMPUTED_VALUE"""),-0.0158846446781678)</f>
        <v>-1.58846446781678E-2</v>
      </c>
      <c r="IR103" s="3">
        <f ca="1">IFERROR(__xludf.DUMMYFUNCTION("""COMPUTED_VALUE"""),-0.0173143474883514)</f>
        <v>-1.7314347488351398E-2</v>
      </c>
      <c r="IS103" s="3">
        <f ca="1">IFERROR(__xludf.DUMMYFUNCTION("""COMPUTED_VALUE"""),-0.0409275755840276)</f>
        <v>-4.0927575584027598E-2</v>
      </c>
      <c r="IT103" s="3">
        <f ca="1">IFERROR(__xludf.DUMMYFUNCTION("""COMPUTED_VALUE"""),-0.0567830216536441)</f>
        <v>-5.67830216536441E-2</v>
      </c>
      <c r="IU103" s="3">
        <f ca="1">IFERROR(__xludf.DUMMYFUNCTION("""COMPUTED_VALUE"""),-0.103874766092694)</f>
        <v>-0.103874766092694</v>
      </c>
      <c r="IV103" s="3">
        <f ca="1">IFERROR(__xludf.DUMMYFUNCTION("""COMPUTED_VALUE"""),-0.0683399855755637)</f>
        <v>-6.83399855755637E-2</v>
      </c>
      <c r="IW103" s="3">
        <f ca="1">IFERROR(__xludf.DUMMYFUNCTION("""COMPUTED_VALUE"""),-0.0582360489981991)</f>
        <v>-5.8236048998199098E-2</v>
      </c>
      <c r="IX103" s="3">
        <f ca="1">IFERROR(__xludf.DUMMYFUNCTION("""COMPUTED_VALUE"""),-0.0450079761855862)</f>
        <v>-4.5007976185586197E-2</v>
      </c>
      <c r="IY103" s="3">
        <f ca="1">IFERROR(__xludf.DUMMYFUNCTION("""COMPUTED_VALUE"""),-0.0422435670602565)</f>
        <v>-4.2243567060256497E-2</v>
      </c>
      <c r="IZ103" s="3">
        <f ca="1">IFERROR(__xludf.DUMMYFUNCTION("""COMPUTED_VALUE"""),-0.0793253233410413)</f>
        <v>-7.9325323341041296E-2</v>
      </c>
      <c r="JA103" s="3">
        <f ca="1">IFERROR(__xludf.DUMMYFUNCTION("""COMPUTED_VALUE"""),-0.148544830662925)</f>
        <v>-0.14854483066292501</v>
      </c>
      <c r="JB103" s="3">
        <f ca="1">IFERROR(__xludf.DUMMYFUNCTION("""COMPUTED_VALUE"""),-0.146682602501368)</f>
        <v>-0.146682602501368</v>
      </c>
      <c r="JC103" s="3">
        <f ca="1">IFERROR(__xludf.DUMMYFUNCTION("""COMPUTED_VALUE"""),-0.194140646798516)</f>
        <v>-0.194140646798516</v>
      </c>
      <c r="JD103" s="3">
        <f ca="1">IFERROR(__xludf.DUMMYFUNCTION("""COMPUTED_VALUE"""),-0.117693766240592)</f>
        <v>-0.117693766240592</v>
      </c>
      <c r="JE103" s="3">
        <f ca="1">IFERROR(__xludf.DUMMYFUNCTION("""COMPUTED_VALUE"""),-0.153185808971918)</f>
        <v>-0.153185808971918</v>
      </c>
      <c r="JF103" s="3">
        <f ca="1">IFERROR(__xludf.DUMMYFUNCTION("""COMPUTED_VALUE"""),-0.115442404089522)</f>
        <v>-0.115442404089522</v>
      </c>
      <c r="JG103" s="3">
        <f ca="1">IFERROR(__xludf.DUMMYFUNCTION("""COMPUTED_VALUE"""),-0.123951903212309)</f>
        <v>-0.12395190321230901</v>
      </c>
      <c r="JH103" s="3">
        <f ca="1">IFERROR(__xludf.DUMMYFUNCTION("""COMPUTED_VALUE"""),-0.0960593395863771)</f>
        <v>-9.6059339586377093E-2</v>
      </c>
      <c r="JI103" s="3">
        <f ca="1">IFERROR(__xludf.DUMMYFUNCTION("""COMPUTED_VALUE"""),-0.121943451804528)</f>
        <v>-0.12194345180452799</v>
      </c>
      <c r="JJ103" s="3">
        <f ca="1">IFERROR(__xludf.DUMMYFUNCTION("""COMPUTED_VALUE"""),-0.0727368353017011)</f>
        <v>-7.2736835301701094E-2</v>
      </c>
      <c r="JK103" s="3">
        <f ca="1">IFERROR(__xludf.DUMMYFUNCTION("""COMPUTED_VALUE"""),-0.0152762426467641)</f>
        <v>-1.52762426467641E-2</v>
      </c>
      <c r="JL103" s="3">
        <f ca="1">IFERROR(__xludf.DUMMYFUNCTION("""COMPUTED_VALUE"""),-0.0745451348202171)</f>
        <v>-7.4545134820217102E-2</v>
      </c>
      <c r="JM103" s="3">
        <f ca="1">IFERROR(__xludf.DUMMYFUNCTION("""COMPUTED_VALUE"""),-0.0994982142477856)</f>
        <v>-9.9498214247785599E-2</v>
      </c>
      <c r="JN103" s="3">
        <f ca="1">IFERROR(__xludf.DUMMYFUNCTION("""COMPUTED_VALUE"""),-0.117022589139577)</f>
        <v>-0.117022589139577</v>
      </c>
      <c r="JO103" s="3">
        <f ca="1">IFERROR(__xludf.DUMMYFUNCTION("""COMPUTED_VALUE"""),-0.159310897934032)</f>
        <v>-0.159310897934032</v>
      </c>
      <c r="JP103" s="3">
        <f ca="1">IFERROR(__xludf.DUMMYFUNCTION("""COMPUTED_VALUE"""),-0.0964480861567667)</f>
        <v>-9.6448086156766699E-2</v>
      </c>
      <c r="JQ103" s="3">
        <f ca="1">IFERROR(__xludf.DUMMYFUNCTION("""COMPUTED_VALUE"""),-0.148956087884631)</f>
        <v>-0.14895608788463099</v>
      </c>
      <c r="JR103" s="3">
        <f ca="1">IFERROR(__xludf.DUMMYFUNCTION("""COMPUTED_VALUE"""),-0.108411558836714)</f>
        <v>-0.10841155883671399</v>
      </c>
      <c r="JS103" s="3">
        <f ca="1">IFERROR(__xludf.DUMMYFUNCTION("""COMPUTED_VALUE"""),-0.201722443324994)</f>
        <v>-0.20172244332499401</v>
      </c>
      <c r="JT103" s="3">
        <f ca="1">IFERROR(__xludf.DUMMYFUNCTION("""COMPUTED_VALUE"""),-0.15353620858551)</f>
        <v>-0.15353620858551001</v>
      </c>
      <c r="JU103" s="3">
        <f ca="1">IFERROR(__xludf.DUMMYFUNCTION("""COMPUTED_VALUE"""),-0.17989031939058)</f>
        <v>-0.17989031939058001</v>
      </c>
      <c r="JV103" s="3">
        <f ca="1">IFERROR(__xludf.DUMMYFUNCTION("""COMPUTED_VALUE"""),-0.147066818846809)</f>
        <v>-0.147066818846809</v>
      </c>
      <c r="JW103" s="3">
        <f ca="1">IFERROR(__xludf.DUMMYFUNCTION("""COMPUTED_VALUE"""),-0.224502278073195)</f>
        <v>-0.22450227807319501</v>
      </c>
      <c r="JX103" s="3">
        <f ca="1">IFERROR(__xludf.DUMMYFUNCTION("""COMPUTED_VALUE"""),-0.135852935994474)</f>
        <v>-0.13585293599447401</v>
      </c>
      <c r="JY103" s="3">
        <f ca="1">IFERROR(__xludf.DUMMYFUNCTION("""COMPUTED_VALUE"""),-0.16812599423573)</f>
        <v>-0.16812599423572999</v>
      </c>
      <c r="JZ103" s="3">
        <f ca="1">IFERROR(__xludf.DUMMYFUNCTION("""COMPUTED_VALUE"""),-0.238729730012199)</f>
        <v>-0.23872973001219899</v>
      </c>
      <c r="KA103" s="3">
        <f ca="1">IFERROR(__xludf.DUMMYFUNCTION("""COMPUTED_VALUE"""),-0.220455615568219)</f>
        <v>-0.22045561556821899</v>
      </c>
      <c r="KB103" s="3">
        <f ca="1">IFERROR(__xludf.DUMMYFUNCTION("""COMPUTED_VALUE"""),-0.21256044186791)</f>
        <v>-0.21256044186791001</v>
      </c>
      <c r="KC103" s="3">
        <f ca="1">IFERROR(__xludf.DUMMYFUNCTION("""COMPUTED_VALUE"""),-0.173932337196816)</f>
        <v>-0.173932337196816</v>
      </c>
      <c r="KD103" s="3">
        <f ca="1">IFERROR(__xludf.DUMMYFUNCTION("""COMPUTED_VALUE"""),-0.224314841700461)</f>
        <v>-0.22431484170046101</v>
      </c>
      <c r="KE103" s="3">
        <f ca="1">IFERROR(__xludf.DUMMYFUNCTION("""COMPUTED_VALUE"""),-0.14069830460482)</f>
        <v>-0.14069830460482</v>
      </c>
      <c r="KF103" s="3">
        <f ca="1">IFERROR(__xludf.DUMMYFUNCTION("""COMPUTED_VALUE"""),-0.0922155614182917)</f>
        <v>-9.2215561418291694E-2</v>
      </c>
      <c r="KG103" s="3">
        <f ca="1">IFERROR(__xludf.DUMMYFUNCTION("""COMPUTED_VALUE"""),-0.143424883262538)</f>
        <v>-0.14342488326253799</v>
      </c>
      <c r="KH103" s="3">
        <f ca="1">IFERROR(__xludf.DUMMYFUNCTION("""COMPUTED_VALUE"""),-0.0777867735928584)</f>
        <v>-7.7786773592858405E-2</v>
      </c>
      <c r="KI103" s="3">
        <f ca="1">IFERROR(__xludf.DUMMYFUNCTION("""COMPUTED_VALUE"""),-0.0835824473105476)</f>
        <v>-8.3582447310547606E-2</v>
      </c>
      <c r="KJ103" s="3">
        <f ca="1">IFERROR(__xludf.DUMMYFUNCTION("""COMPUTED_VALUE"""),-0.139793722377285)</f>
        <v>-0.13979372237728499</v>
      </c>
      <c r="KK103" s="3">
        <f ca="1">IFERROR(__xludf.DUMMYFUNCTION("""COMPUTED_VALUE"""),-0.178616664854252)</f>
        <v>-0.17861666485425201</v>
      </c>
      <c r="KL103" s="3">
        <f ca="1">IFERROR(__xludf.DUMMYFUNCTION("""COMPUTED_VALUE"""),-0.138666428347174)</f>
        <v>-0.13866642834717399</v>
      </c>
      <c r="KM103" s="3">
        <f ca="1">IFERROR(__xludf.DUMMYFUNCTION("""COMPUTED_VALUE"""),-0.128305099852605)</f>
        <v>-0.12830509985260499</v>
      </c>
      <c r="KN103" s="3">
        <f ca="1">IFERROR(__xludf.DUMMYFUNCTION("""COMPUTED_VALUE"""),-0.19687694105738)</f>
        <v>-0.19687694105737999</v>
      </c>
      <c r="KO103" s="3">
        <f ca="1">IFERROR(__xludf.DUMMYFUNCTION("""COMPUTED_VALUE"""),-0.154657221397811)</f>
        <v>-0.15465722139781099</v>
      </c>
      <c r="KP103" s="3">
        <f ca="1">IFERROR(__xludf.DUMMYFUNCTION("""COMPUTED_VALUE"""),-0.168333255332716)</f>
        <v>-0.16833325533271601</v>
      </c>
      <c r="KQ103" s="3">
        <f ca="1">IFERROR(__xludf.DUMMYFUNCTION("""COMPUTED_VALUE"""),-0.181045501339802)</f>
        <v>-0.18104550133980199</v>
      </c>
      <c r="KR103" s="3">
        <f ca="1">IFERROR(__xludf.DUMMYFUNCTION("""COMPUTED_VALUE"""),-0.178501595490552)</f>
        <v>-0.178501595490552</v>
      </c>
      <c r="KS103" s="3">
        <f ca="1">IFERROR(__xludf.DUMMYFUNCTION("""COMPUTED_VALUE"""),-0.143175892785974)</f>
        <v>-0.14317589278597401</v>
      </c>
      <c r="KT103" s="3">
        <f ca="1">IFERROR(__xludf.DUMMYFUNCTION("""COMPUTED_VALUE"""),-0.176153499475567)</f>
        <v>-0.17615349947556699</v>
      </c>
      <c r="KU103" s="3">
        <f ca="1">IFERROR(__xludf.DUMMYFUNCTION("""COMPUTED_VALUE"""),-0.297561159233979)</f>
        <v>-0.29756115923397902</v>
      </c>
      <c r="KV103" s="3">
        <f ca="1">IFERROR(__xludf.DUMMYFUNCTION("""COMPUTED_VALUE"""),-0.232479555878245)</f>
        <v>-0.23247955587824501</v>
      </c>
      <c r="KW103" s="3">
        <f ca="1">IFERROR(__xludf.DUMMYFUNCTION("""COMPUTED_VALUE"""),-0.196015806939725)</f>
        <v>-0.19601580693972501</v>
      </c>
      <c r="KX103" s="3">
        <f ca="1">IFERROR(__xludf.DUMMYFUNCTION("""COMPUTED_VALUE"""),-0.249711281626557)</f>
        <v>-0.24971128162655701</v>
      </c>
      <c r="KY103" s="3">
        <f ca="1">IFERROR(__xludf.DUMMYFUNCTION("""COMPUTED_VALUE"""),-0.226258958633519)</f>
        <v>-0.226258958633519</v>
      </c>
      <c r="KZ103" s="3">
        <f ca="1">IFERROR(__xludf.DUMMYFUNCTION("""COMPUTED_VALUE"""),-0.266584431161083)</f>
        <v>-0.26658443116108299</v>
      </c>
      <c r="LA103" s="3">
        <f ca="1">IFERROR(__xludf.DUMMYFUNCTION("""COMPUTED_VALUE"""),-0.23505139879169)</f>
        <v>-0.23505139879169001</v>
      </c>
      <c r="LB103" s="3">
        <f ca="1">IFERROR(__xludf.DUMMYFUNCTION("""COMPUTED_VALUE"""),-0.267254391371074)</f>
        <v>-0.26725439137107398</v>
      </c>
      <c r="LC103" s="3">
        <f ca="1">IFERROR(__xludf.DUMMYFUNCTION("""COMPUTED_VALUE"""),-0.200706125719275)</f>
        <v>-0.20070612571927501</v>
      </c>
      <c r="LD103" s="3">
        <f ca="1">IFERROR(__xludf.DUMMYFUNCTION("""COMPUTED_VALUE"""),-0.228594027362)</f>
        <v>-0.22859402736199999</v>
      </c>
      <c r="LE103" s="3">
        <f ca="1">IFERROR(__xludf.DUMMYFUNCTION("""COMPUTED_VALUE"""),-0.162331022087684)</f>
        <v>-0.16233102208768399</v>
      </c>
      <c r="LF103" s="3">
        <f ca="1">IFERROR(__xludf.DUMMYFUNCTION("""COMPUTED_VALUE"""),-0.22221363590723)</f>
        <v>-0.22221363590723001</v>
      </c>
      <c r="LG103" s="3">
        <f ca="1">IFERROR(__xludf.DUMMYFUNCTION("""COMPUTED_VALUE"""),-0.241941724574449)</f>
        <v>-0.24194172457444901</v>
      </c>
      <c r="LH103" s="3">
        <f ca="1">IFERROR(__xludf.DUMMYFUNCTION("""COMPUTED_VALUE"""),-0.29118140544626)</f>
        <v>-0.29118140544625998</v>
      </c>
      <c r="LI103" s="3">
        <f ca="1">IFERROR(__xludf.DUMMYFUNCTION("""COMPUTED_VALUE"""),-0.376888813809528)</f>
        <v>-0.37688881380952799</v>
      </c>
      <c r="LJ103" s="3">
        <f ca="1">IFERROR(__xludf.DUMMYFUNCTION("""COMPUTED_VALUE"""),-0.325672110512469)</f>
        <v>-0.32567211051246903</v>
      </c>
      <c r="LK103" s="3">
        <f ca="1">IFERROR(__xludf.DUMMYFUNCTION("""COMPUTED_VALUE"""),-0.353987774025805)</f>
        <v>-0.353987774025805</v>
      </c>
      <c r="LL103" s="3">
        <f ca="1">IFERROR(__xludf.DUMMYFUNCTION("""COMPUTED_VALUE"""),-0.313810606110337)</f>
        <v>-0.31381060611033701</v>
      </c>
      <c r="LM103" s="3">
        <f ca="1">IFERROR(__xludf.DUMMYFUNCTION("""COMPUTED_VALUE"""),-0.32239550743668)</f>
        <v>-0.32239550743668</v>
      </c>
      <c r="LN103" s="3">
        <f ca="1">IFERROR(__xludf.DUMMYFUNCTION("""COMPUTED_VALUE"""),-0.290017733731548)</f>
        <v>-0.29001773373154799</v>
      </c>
      <c r="LO103" s="3">
        <f ca="1">IFERROR(__xludf.DUMMYFUNCTION("""COMPUTED_VALUE"""),-0.412980569151025)</f>
        <v>-0.41298056915102499</v>
      </c>
      <c r="LP103" s="3">
        <f ca="1">IFERROR(__xludf.DUMMYFUNCTION("""COMPUTED_VALUE"""),-0.380200690676567)</f>
        <v>-0.38020069067656698</v>
      </c>
      <c r="LQ103" s="3">
        <f ca="1">IFERROR(__xludf.DUMMYFUNCTION("""COMPUTED_VALUE"""),-0.341777109690681)</f>
        <v>-0.34177710969068098</v>
      </c>
      <c r="LR103" s="3">
        <f ca="1">IFERROR(__xludf.DUMMYFUNCTION("""COMPUTED_VALUE"""),-0.384473395752589)</f>
        <v>-0.38447339575258899</v>
      </c>
      <c r="LS103" s="3">
        <f ca="1">IFERROR(__xludf.DUMMYFUNCTION("""COMPUTED_VALUE"""),-0.384968640704644)</f>
        <v>-0.38496864070464398</v>
      </c>
      <c r="LT103" s="3">
        <f ca="1">IFERROR(__xludf.DUMMYFUNCTION("""COMPUTED_VALUE"""),-0.383720838058353)</f>
        <v>-0.383720838058353</v>
      </c>
      <c r="LU103" s="3">
        <f ca="1">IFERROR(__xludf.DUMMYFUNCTION("""COMPUTED_VALUE"""),-0.394161477534707)</f>
        <v>-0.39416147753470698</v>
      </c>
      <c r="LV103" s="3">
        <f ca="1">IFERROR(__xludf.DUMMYFUNCTION("""COMPUTED_VALUE"""),-0.419550697455226)</f>
        <v>-0.419550697455226</v>
      </c>
      <c r="LW103" s="3">
        <f ca="1">IFERROR(__xludf.DUMMYFUNCTION("""COMPUTED_VALUE"""),-0.51482934759698)</f>
        <v>-0.51482934759697996</v>
      </c>
      <c r="LX103" s="3">
        <f ca="1">IFERROR(__xludf.DUMMYFUNCTION("""COMPUTED_VALUE"""),-0.455017616163822)</f>
        <v>-0.45501761616382203</v>
      </c>
      <c r="LY103" s="3">
        <f ca="1">IFERROR(__xludf.DUMMYFUNCTION("""COMPUTED_VALUE"""),-0.462271722943509)</f>
        <v>-0.46227172294350899</v>
      </c>
      <c r="LZ103" s="3">
        <f ca="1">IFERROR(__xludf.DUMMYFUNCTION("""COMPUTED_VALUE"""),-0.475873728056554)</f>
        <v>-0.47587372805655398</v>
      </c>
      <c r="MA103" s="3">
        <f ca="1">IFERROR(__xludf.DUMMYFUNCTION("""COMPUTED_VALUE"""),-0.422819774935805)</f>
        <v>-0.42281977493580503</v>
      </c>
      <c r="MB103" s="3">
        <f ca="1">IFERROR(__xludf.DUMMYFUNCTION("""COMPUTED_VALUE"""),-0.553625905713913)</f>
        <v>-0.55362590571391301</v>
      </c>
      <c r="MC103" s="3">
        <f ca="1">IFERROR(__xludf.DUMMYFUNCTION("""COMPUTED_VALUE"""),-0.590338459713233)</f>
        <v>-0.59033845971323295</v>
      </c>
      <c r="MD103" s="3">
        <f ca="1">IFERROR(__xludf.DUMMYFUNCTION("""COMPUTED_VALUE"""),-0.604893550684285)</f>
        <v>-0.60489355068428496</v>
      </c>
      <c r="ME103" s="3">
        <f ca="1">IFERROR(__xludf.DUMMYFUNCTION("""COMPUTED_VALUE"""),-0.561642168806511)</f>
        <v>-0.56164216880651097</v>
      </c>
      <c r="MF103" s="3">
        <f ca="1">IFERROR(__xludf.DUMMYFUNCTION("""COMPUTED_VALUE"""),-0.547172920406208)</f>
        <v>-0.54717292040620802</v>
      </c>
      <c r="MG103" s="3">
        <f ca="1">IFERROR(__xludf.DUMMYFUNCTION("""COMPUTED_VALUE"""),-0.578853041123178)</f>
        <v>-0.57885304112317804</v>
      </c>
      <c r="MH103" s="3">
        <f ca="1">IFERROR(__xludf.DUMMYFUNCTION("""COMPUTED_VALUE"""),-0.605689805274744)</f>
        <v>-0.60568980527474403</v>
      </c>
      <c r="MI103" s="3">
        <f ca="1">IFERROR(__xludf.DUMMYFUNCTION("""COMPUTED_VALUE"""),-0.65733246307458)</f>
        <v>-0.65733246307458004</v>
      </c>
      <c r="MJ103" s="3">
        <f ca="1">IFERROR(__xludf.DUMMYFUNCTION("""COMPUTED_VALUE"""),-0.648625446734396)</f>
        <v>-0.64862544673439604</v>
      </c>
      <c r="MK103" s="3">
        <f ca="1">IFERROR(__xludf.DUMMYFUNCTION("""COMPUTED_VALUE"""),-0.712362668171268)</f>
        <v>-0.71236266817126803</v>
      </c>
      <c r="ML103" s="3">
        <f ca="1">IFERROR(__xludf.DUMMYFUNCTION("""COMPUTED_VALUE"""),-0.653463581351305)</f>
        <v>-0.653463581351305</v>
      </c>
      <c r="MM103" s="3">
        <f ca="1">IFERROR(__xludf.DUMMYFUNCTION("""COMPUTED_VALUE"""),-0.63837440347026)</f>
        <v>-0.63837440347025998</v>
      </c>
      <c r="MN103" s="3">
        <f ca="1">IFERROR(__xludf.DUMMYFUNCTION("""COMPUTED_VALUE"""),-0.671700574239043)</f>
        <v>-0.67170057423904295</v>
      </c>
      <c r="MO103" s="3">
        <f ca="1">IFERROR(__xludf.DUMMYFUNCTION("""COMPUTED_VALUE"""),-0.65365604829464)</f>
        <v>-0.65365604829463997</v>
      </c>
      <c r="MP103" s="3">
        <f ca="1">IFERROR(__xludf.DUMMYFUNCTION("""COMPUTED_VALUE"""),-0.734157269110725)</f>
        <v>-0.73415726911072499</v>
      </c>
      <c r="MQ103" s="3">
        <f ca="1">IFERROR(__xludf.DUMMYFUNCTION("""COMPUTED_VALUE"""),-0.737790300528581)</f>
        <v>-0.73779030052858097</v>
      </c>
      <c r="MR103" s="3">
        <f ca="1">IFERROR(__xludf.DUMMYFUNCTION("""COMPUTED_VALUE"""),-0.671331826744892)</f>
        <v>-0.671331826744892</v>
      </c>
      <c r="MS103" s="3">
        <f ca="1">IFERROR(__xludf.DUMMYFUNCTION("""COMPUTED_VALUE"""),-0.620055931665559)</f>
        <v>-0.62005593166555895</v>
      </c>
      <c r="MT103" s="3">
        <f ca="1">IFERROR(__xludf.DUMMYFUNCTION("""COMPUTED_VALUE"""),-0.630399036918711)</f>
        <v>-0.63039903691871102</v>
      </c>
      <c r="MU103" s="3">
        <f ca="1">IFERROR(__xludf.DUMMYFUNCTION("""COMPUTED_VALUE"""),-0.645718057352977)</f>
        <v>-0.64571805735297705</v>
      </c>
      <c r="MV103" s="3">
        <f ca="1">IFERROR(__xludf.DUMMYFUNCTION("""COMPUTED_VALUE"""),-0.649056439525759)</f>
        <v>-0.64905643952575898</v>
      </c>
      <c r="MW103" s="3">
        <f ca="1">IFERROR(__xludf.DUMMYFUNCTION("""COMPUTED_VALUE"""),-0.73159559839835)</f>
        <v>-0.73159559839834998</v>
      </c>
      <c r="MX103" s="3">
        <f ca="1">IFERROR(__xludf.DUMMYFUNCTION("""COMPUTED_VALUE"""),-0.704044974737001)</f>
        <v>-0.70404497473700101</v>
      </c>
      <c r="MY103" s="3">
        <f ca="1">IFERROR(__xludf.DUMMYFUNCTION("""COMPUTED_VALUE"""),-0.687008496322716)</f>
        <v>-0.68700849632271599</v>
      </c>
      <c r="MZ103" s="3">
        <f ca="1">IFERROR(__xludf.DUMMYFUNCTION("""COMPUTED_VALUE"""),-0.668196032103277)</f>
        <v>-0.66819603210327705</v>
      </c>
      <c r="NA103" s="3">
        <f ca="1">IFERROR(__xludf.DUMMYFUNCTION("""COMPUTED_VALUE"""),-0.68704561430486)</f>
        <v>-0.68704561430486</v>
      </c>
      <c r="NB103" s="3">
        <f ca="1">IFERROR(__xludf.DUMMYFUNCTION("""COMPUTED_VALUE"""),-0.700816660965784)</f>
        <v>-0.70081666096578399</v>
      </c>
      <c r="NC103" s="3">
        <f ca="1">IFERROR(__xludf.DUMMYFUNCTION("""COMPUTED_VALUE"""),-0.716173359010334)</f>
        <v>-0.71617335901033397</v>
      </c>
      <c r="ND103" s="3">
        <f ca="1">IFERROR(__xludf.DUMMYFUNCTION("""COMPUTED_VALUE"""),-0.753364369890281)</f>
        <v>-0.75336436989028099</v>
      </c>
      <c r="NE103" s="3">
        <f ca="1">IFERROR(__xludf.DUMMYFUNCTION("""COMPUTED_VALUE"""),-0.746568498999079)</f>
        <v>-0.74656849899907896</v>
      </c>
      <c r="NF103" s="3">
        <f ca="1">IFERROR(__xludf.DUMMYFUNCTION("""COMPUTED_VALUE"""),-0.68373235427425)</f>
        <v>-0.68373235427425005</v>
      </c>
      <c r="NG103" s="3">
        <f ca="1">IFERROR(__xludf.DUMMYFUNCTION("""COMPUTED_VALUE"""),-0.70388452510633)</f>
        <v>-0.70388452510633004</v>
      </c>
      <c r="NH103" s="3">
        <f ca="1">IFERROR(__xludf.DUMMYFUNCTION("""COMPUTED_VALUE"""),-0.708448861827683)</f>
        <v>-0.70844886182768296</v>
      </c>
      <c r="NI103" s="3">
        <f ca="1">IFERROR(__xludf.DUMMYFUNCTION("""COMPUTED_VALUE"""),-0.686765559922684)</f>
        <v>-0.68676555992268395</v>
      </c>
      <c r="NJ103" s="3">
        <f ca="1">IFERROR(__xludf.DUMMYFUNCTION("""COMPUTED_VALUE"""),-0.709050863501335)</f>
        <v>-0.70905086350133495</v>
      </c>
      <c r="NK103" s="3">
        <f ca="1">IFERROR(__xludf.DUMMYFUNCTION("""COMPUTED_VALUE"""),-0.773767296394585)</f>
        <v>-0.77376729639458497</v>
      </c>
      <c r="NL103" s="3">
        <f ca="1">IFERROR(__xludf.DUMMYFUNCTION("""COMPUTED_VALUE"""),-0.781172269580439)</f>
        <v>-0.78117226958043895</v>
      </c>
      <c r="NM103" s="3">
        <f ca="1">IFERROR(__xludf.DUMMYFUNCTION("""COMPUTED_VALUE"""),-0.733270397545462)</f>
        <v>-0.73327039754546197</v>
      </c>
      <c r="NN103" s="3">
        <f ca="1">IFERROR(__xludf.DUMMYFUNCTION("""COMPUTED_VALUE"""),-0.739353745397885)</f>
        <v>-0.73935374539788501</v>
      </c>
      <c r="NO103" s="3">
        <f ca="1">IFERROR(__xludf.DUMMYFUNCTION("""COMPUTED_VALUE"""),-0.727764519878607)</f>
        <v>-0.72776451987860702</v>
      </c>
      <c r="NP103" s="3">
        <f ca="1">IFERROR(__xludf.DUMMYFUNCTION("""COMPUTED_VALUE"""),-0.710592634940884)</f>
        <v>-0.71059263494088398</v>
      </c>
      <c r="NQ103" s="3">
        <f ca="1">IFERROR(__xludf.DUMMYFUNCTION("""COMPUTED_VALUE"""),-0.674301173467541)</f>
        <v>-0.67430117346754104</v>
      </c>
      <c r="NR103" s="3">
        <f ca="1">IFERROR(__xludf.DUMMYFUNCTION("""COMPUTED_VALUE"""),-0.796736355761565)</f>
        <v>-0.79673635576156498</v>
      </c>
      <c r="NS103" s="3">
        <f ca="1">IFERROR(__xludf.DUMMYFUNCTION("""COMPUTED_VALUE"""),-0.788346773201033)</f>
        <v>-0.78834677320103297</v>
      </c>
      <c r="NT103" s="3">
        <f ca="1">IFERROR(__xludf.DUMMYFUNCTION("""COMPUTED_VALUE"""),-0.750932149999374)</f>
        <v>-0.75093214999937397</v>
      </c>
      <c r="NU103" s="3">
        <f ca="1">IFERROR(__xludf.DUMMYFUNCTION("""COMPUTED_VALUE"""),-0.732940973145334)</f>
        <v>-0.73294097314533402</v>
      </c>
      <c r="NV103" s="3">
        <f ca="1">IFERROR(__xludf.DUMMYFUNCTION("""COMPUTED_VALUE"""),-0.738527768982098)</f>
        <v>-0.73852776898209804</v>
      </c>
      <c r="NW103" s="3">
        <f ca="1">IFERROR(__xludf.DUMMYFUNCTION("""COMPUTED_VALUE"""),-0.671339937569161)</f>
        <v>-0.67133993756916099</v>
      </c>
      <c r="NX103" s="3">
        <f ca="1">IFERROR(__xludf.DUMMYFUNCTION("""COMPUTED_VALUE"""),-0.684992210249911)</f>
        <v>-0.68499221024991097</v>
      </c>
      <c r="NY103" s="3">
        <f ca="1">IFERROR(__xludf.DUMMYFUNCTION("""COMPUTED_VALUE"""),-0.765138319146781)</f>
        <v>-0.76513831914678099</v>
      </c>
      <c r="NZ103" s="3">
        <f ca="1">IFERROR(__xludf.DUMMYFUNCTION("""COMPUTED_VALUE"""),-0.732198494771596)</f>
        <v>-0.73219849477159604</v>
      </c>
      <c r="OA103" s="3">
        <f ca="1">IFERROR(__xludf.DUMMYFUNCTION("""COMPUTED_VALUE"""),-0.70787408118758)</f>
        <v>-0.70787408118758</v>
      </c>
      <c r="OB103" s="3">
        <f ca="1">IFERROR(__xludf.DUMMYFUNCTION("""COMPUTED_VALUE"""),-0.677842562075474)</f>
        <v>-0.677842562075474</v>
      </c>
      <c r="OC103" s="3">
        <f ca="1">IFERROR(__xludf.DUMMYFUNCTION("""COMPUTED_VALUE"""),-0.711521179777203)</f>
        <v>-0.71152117977720297</v>
      </c>
      <c r="OD103" s="3">
        <f ca="1">IFERROR(__xludf.DUMMYFUNCTION("""COMPUTED_VALUE"""),-0.569920719530259)</f>
        <v>-0.56992071953025902</v>
      </c>
      <c r="OE103" s="3">
        <f ca="1">IFERROR(__xludf.DUMMYFUNCTION("""COMPUTED_VALUE"""),-0.313730846993719)</f>
        <v>-0.313730846993719</v>
      </c>
      <c r="OF103" s="3">
        <f ca="1">IFERROR(__xludf.DUMMYFUNCTION("""COMPUTED_VALUE"""),-0.23051198616445)</f>
        <v>-0.23051198616445001</v>
      </c>
      <c r="OG103" s="3">
        <f ca="1">IFERROR(__xludf.DUMMYFUNCTION("""COMPUTED_VALUE"""),-0.160935650487074)</f>
        <v>-0.16093565048707401</v>
      </c>
      <c r="OH103" s="3">
        <f ca="1">IFERROR(__xludf.DUMMYFUNCTION("""COMPUTED_VALUE"""),-0.0123043126663519)</f>
        <v>-1.23043126663519E-2</v>
      </c>
      <c r="OI103" s="3">
        <f ca="1">IFERROR(__xludf.DUMMYFUNCTION("""COMPUTED_VALUE"""),6.92688936432261E-07)</f>
        <v>6.9268893643226097E-7</v>
      </c>
      <c r="OJ103" s="3">
        <f ca="1">IFERROR(__xludf.DUMMYFUNCTION("""COMPUTED_VALUE"""),0.0456928199173698)</f>
        <v>4.5692819917369801E-2</v>
      </c>
      <c r="OK103" s="3">
        <f ca="1">IFERROR(__xludf.DUMMYFUNCTION("""COMPUTED_VALUE"""),0.0575901738874387)</f>
        <v>5.75901738874387E-2</v>
      </c>
      <c r="OL103" s="3">
        <f ca="1">IFERROR(__xludf.DUMMYFUNCTION("""COMPUTED_VALUE"""),0.0407368994021319)</f>
        <v>4.0736899402131897E-2</v>
      </c>
      <c r="OM103" s="3">
        <f ca="1">IFERROR(__xludf.DUMMYFUNCTION("""COMPUTED_VALUE"""),0.00343330601187008)</f>
        <v>3.4333060118700801E-3</v>
      </c>
      <c r="ON103" s="3">
        <f ca="1">IFERROR(__xludf.DUMMYFUNCTION("""COMPUTED_VALUE"""),0.0671185313388225)</f>
        <v>6.7118531338822507E-2</v>
      </c>
      <c r="OO103" s="3">
        <f ca="1">IFERROR(__xludf.DUMMYFUNCTION("""COMPUTED_VALUE"""),0.0986094799336638)</f>
        <v>9.8609479933663799E-2</v>
      </c>
      <c r="OP103" s="3">
        <f ca="1">IFERROR(__xludf.DUMMYFUNCTION("""COMPUTED_VALUE"""),0.0507704386252769)</f>
        <v>5.0770438625276901E-2</v>
      </c>
      <c r="OQ103" s="3">
        <f ca="1">IFERROR(__xludf.DUMMYFUNCTION("""COMPUTED_VALUE"""),0.121039090863545)</f>
        <v>0.121039090863545</v>
      </c>
      <c r="OR103" s="3">
        <f ca="1">IFERROR(__xludf.DUMMYFUNCTION("""COMPUTED_VALUE"""),0.122135289507627)</f>
        <v>0.122135289507627</v>
      </c>
      <c r="OS103" s="3">
        <f ca="1">IFERROR(__xludf.DUMMYFUNCTION("""COMPUTED_VALUE"""),0.0409692865142403)</f>
        <v>4.0969286514240297E-2</v>
      </c>
      <c r="OT103" s="3">
        <f ca="1">IFERROR(__xludf.DUMMYFUNCTION("""COMPUTED_VALUE"""),0.0267507491494787)</f>
        <v>2.6750749149478701E-2</v>
      </c>
      <c r="OU103" s="3">
        <f ca="1">IFERROR(__xludf.DUMMYFUNCTION("""COMPUTED_VALUE"""),0.122711101728094)</f>
        <v>0.122711101728094</v>
      </c>
      <c r="OV103" s="3">
        <f ca="1">IFERROR(__xludf.DUMMYFUNCTION("""COMPUTED_VALUE"""),0.150357281826531)</f>
        <v>0.15035728182653099</v>
      </c>
      <c r="OW103" s="3">
        <f ca="1">IFERROR(__xludf.DUMMYFUNCTION("""COMPUTED_VALUE"""),0.0918603393865427)</f>
        <v>9.18603393865427E-2</v>
      </c>
      <c r="OX103" s="3">
        <f ca="1">IFERROR(__xludf.DUMMYFUNCTION("""COMPUTED_VALUE"""),0.0985515467088355)</f>
        <v>9.8551546708835494E-2</v>
      </c>
      <c r="OY103" s="3">
        <f ca="1">IFERROR(__xludf.DUMMYFUNCTION("""COMPUTED_VALUE"""),0.0713546427926499)</f>
        <v>7.13546427926499E-2</v>
      </c>
      <c r="OZ103" s="3">
        <f ca="1">IFERROR(__xludf.DUMMYFUNCTION("""COMPUTED_VALUE"""),-0.00132799554715223)</f>
        <v>-1.32799554715223E-3</v>
      </c>
      <c r="PA103" s="3">
        <f ca="1">IFERROR(__xludf.DUMMYFUNCTION("""COMPUTED_VALUE"""),0.0116267182896125)</f>
        <v>1.16267182896125E-2</v>
      </c>
      <c r="PB103" s="3">
        <f ca="1">IFERROR(__xludf.DUMMYFUNCTION("""COMPUTED_VALUE"""),-0.0117840770181836)</f>
        <v>-1.1784077018183599E-2</v>
      </c>
      <c r="PC103" s="3">
        <f ca="1">IFERROR(__xludf.DUMMYFUNCTION("""COMPUTED_VALUE"""),-0.00989214251723691)</f>
        <v>-9.8921425172369092E-3</v>
      </c>
      <c r="PD103" s="3">
        <f ca="1">IFERROR(__xludf.DUMMYFUNCTION("""COMPUTED_VALUE"""),-0.0214500526313116)</f>
        <v>-2.1450052631311601E-2</v>
      </c>
      <c r="PE103" s="3">
        <f ca="1">IFERROR(__xludf.DUMMYFUNCTION("""COMPUTED_VALUE"""),-0.0425906352458558)</f>
        <v>-4.2590635245855803E-2</v>
      </c>
      <c r="PF103" s="3">
        <f ca="1">IFERROR(__xludf.DUMMYFUNCTION("""COMPUTED_VALUE"""),-0.0047703459521301)</f>
        <v>-4.7703459521301001E-3</v>
      </c>
      <c r="PG103" s="3">
        <f ca="1">IFERROR(__xludf.DUMMYFUNCTION("""COMPUTED_VALUE"""),-0.0254635860926875)</f>
        <v>-2.54635860926875E-2</v>
      </c>
      <c r="PH103" s="3">
        <f ca="1">IFERROR(__xludf.DUMMYFUNCTION("""COMPUTED_VALUE"""),0.00343785879140789)</f>
        <v>3.43785879140789E-3</v>
      </c>
      <c r="PI103" s="3">
        <f ca="1">IFERROR(__xludf.DUMMYFUNCTION("""COMPUTED_VALUE"""),-0.0537103160754763)</f>
        <v>-5.37103160754763E-2</v>
      </c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</row>
    <row r="104" spans="1:477" ht="13">
      <c r="A104" s="1" t="str">
        <f ca="1">IFERROR(__xludf.DUMMYFUNCTION("""COMPUTED_VALUE"""),"IDF Mobilités - RER &amp; Transiliens")</f>
        <v>IDF Mobilités - RER &amp; Transiliens</v>
      </c>
      <c r="B104" s="1" t="str">
        <f ca="1">IFERROR(__xludf.DUMMYFUNCTION("""COMPUTED_VALUE"""),"Paris")</f>
        <v>Paris</v>
      </c>
      <c r="C104" s="1" t="str">
        <f ca="1">IFERROR(__xludf.DUMMYFUNCTION("""COMPUTED_VALUE"""),"France")</f>
        <v>France</v>
      </c>
      <c r="D104" s="1" t="str">
        <f ca="1">IFERROR(__xludf.DUMMYFUNCTION("""COMPUTED_VALUE"""),"Île-de-France")</f>
        <v>Île-de-France</v>
      </c>
      <c r="E104" s="3">
        <f ca="1">IFERROR(__xludf.DUMMYFUNCTION("""COMPUTED_VALUE"""),-0.0932328142479222)</f>
        <v>-9.3232814247922194E-2</v>
      </c>
      <c r="F104" s="3">
        <f ca="1">IFERROR(__xludf.DUMMYFUNCTION("""COMPUTED_VALUE"""),-0.0576434689344954)</f>
        <v>-5.7643468934495401E-2</v>
      </c>
      <c r="G104" s="3">
        <f ca="1">IFERROR(__xludf.DUMMYFUNCTION("""COMPUTED_VALUE"""),-0.00281721377696431)</f>
        <v>-2.81721377696431E-3</v>
      </c>
      <c r="H104" s="3">
        <f ca="1">IFERROR(__xludf.DUMMYFUNCTION("""COMPUTED_VALUE"""),-0.0109199930766068)</f>
        <v>-1.09199930766068E-2</v>
      </c>
      <c r="I104" s="3">
        <f ca="1">IFERROR(__xludf.DUMMYFUNCTION("""COMPUTED_VALUE"""),-0.00825785508918608)</f>
        <v>-8.2578550891860801E-3</v>
      </c>
      <c r="J104" s="3">
        <f ca="1">IFERROR(__xludf.DUMMYFUNCTION("""COMPUTED_VALUE"""),-0.0770571124361489)</f>
        <v>-7.7057112436148906E-2</v>
      </c>
      <c r="K104" s="3">
        <f ca="1">IFERROR(__xludf.DUMMYFUNCTION("""COMPUTED_VALUE"""),0.13208594600794)</f>
        <v>0.13208594600793999</v>
      </c>
      <c r="L104" s="3">
        <f ca="1">IFERROR(__xludf.DUMMYFUNCTION("""COMPUTED_VALUE"""),-0.0220886699811341)</f>
        <v>-2.2088669981134099E-2</v>
      </c>
      <c r="M104" s="3">
        <f ca="1">IFERROR(__xludf.DUMMYFUNCTION("""COMPUTED_VALUE"""),0.17623334818538)</f>
        <v>0.17623334818538</v>
      </c>
      <c r="N104" s="3">
        <f ca="1">IFERROR(__xludf.DUMMYFUNCTION("""COMPUTED_VALUE"""),0.20590018593349)</f>
        <v>0.20590018593348999</v>
      </c>
      <c r="O104" s="3">
        <f ca="1">IFERROR(__xludf.DUMMYFUNCTION("""COMPUTED_VALUE"""),0.227008339931702)</f>
        <v>0.227008339931702</v>
      </c>
      <c r="P104" s="3">
        <f ca="1">IFERROR(__xludf.DUMMYFUNCTION("""COMPUTED_VALUE"""),0.284654820370652)</f>
        <v>0.28465482037065198</v>
      </c>
      <c r="Q104" s="3">
        <f ca="1">IFERROR(__xludf.DUMMYFUNCTION("""COMPUTED_VALUE"""),0.236906269646312)</f>
        <v>0.23690626964631201</v>
      </c>
      <c r="R104" s="3">
        <f ca="1">IFERROR(__xludf.DUMMYFUNCTION("""COMPUTED_VALUE"""),-0.0411066497980131)</f>
        <v>-4.1106649798013102E-2</v>
      </c>
      <c r="S104" s="3">
        <f ca="1">IFERROR(__xludf.DUMMYFUNCTION("""COMPUTED_VALUE"""),-0.124906518036111)</f>
        <v>-0.124906518036111</v>
      </c>
      <c r="T104" s="3">
        <f ca="1">IFERROR(__xludf.DUMMYFUNCTION("""COMPUTED_VALUE"""),-0.0597564329647942)</f>
        <v>-5.9756432964794201E-2</v>
      </c>
      <c r="U104" s="3">
        <f ca="1">IFERROR(__xludf.DUMMYFUNCTION("""COMPUTED_VALUE"""),-0.0333886960079572)</f>
        <v>-3.33886960079572E-2</v>
      </c>
      <c r="V104" s="3">
        <f ca="1">IFERROR(__xludf.DUMMYFUNCTION("""COMPUTED_VALUE"""),-0.0389301832839341)</f>
        <v>-3.8930183283934099E-2</v>
      </c>
      <c r="W104" s="3">
        <f ca="1">IFERROR(__xludf.DUMMYFUNCTION("""COMPUTED_VALUE"""),-0.0121273714793779)</f>
        <v>-1.21273714793779E-2</v>
      </c>
      <c r="X104" s="3">
        <f ca="1">IFERROR(__xludf.DUMMYFUNCTION("""COMPUTED_VALUE"""),-0.027832094281759)</f>
        <v>-2.7832094281759E-2</v>
      </c>
      <c r="Y104" s="3">
        <f ca="1">IFERROR(__xludf.DUMMYFUNCTION("""COMPUTED_VALUE"""),-0.224414751264739)</f>
        <v>-0.224414751264739</v>
      </c>
      <c r="Z104" s="3">
        <f ca="1">IFERROR(__xludf.DUMMYFUNCTION("""COMPUTED_VALUE"""),-0.284356209428685)</f>
        <v>-0.284356209428685</v>
      </c>
      <c r="AA104" s="3">
        <f ca="1">IFERROR(__xludf.DUMMYFUNCTION("""COMPUTED_VALUE"""),0.0372670154760705)</f>
        <v>3.7267015476070503E-2</v>
      </c>
      <c r="AB104" s="3">
        <f ca="1">IFERROR(__xludf.DUMMYFUNCTION("""COMPUTED_VALUE"""),0.00165892623145591)</f>
        <v>1.65892623145591E-3</v>
      </c>
      <c r="AC104" s="3">
        <f ca="1">IFERROR(__xludf.DUMMYFUNCTION("""COMPUTED_VALUE"""),0.0240756962352812)</f>
        <v>2.4075696235281201E-2</v>
      </c>
      <c r="AD104" s="3">
        <f ca="1">IFERROR(__xludf.DUMMYFUNCTION("""COMPUTED_VALUE"""),0.0462415118625707)</f>
        <v>4.6241511862570701E-2</v>
      </c>
      <c r="AE104" s="3">
        <f ca="1">IFERROR(__xludf.DUMMYFUNCTION("""COMPUTED_VALUE"""),0.0499893207799444)</f>
        <v>4.9989320779944398E-2</v>
      </c>
      <c r="AF104" s="3">
        <f ca="1">IFERROR(__xludf.DUMMYFUNCTION("""COMPUTED_VALUE"""),-0.0363571245342075)</f>
        <v>-3.6357124534207502E-2</v>
      </c>
      <c r="AG104" s="3">
        <f ca="1">IFERROR(__xludf.DUMMYFUNCTION("""COMPUTED_VALUE"""),-0.0531478133222206)</f>
        <v>-5.31478133222206E-2</v>
      </c>
      <c r="AH104" s="3">
        <f ca="1">IFERROR(__xludf.DUMMYFUNCTION("""COMPUTED_VALUE"""),0.00257256131015393)</f>
        <v>2.57256131015393E-3</v>
      </c>
      <c r="AI104" s="3">
        <f ca="1">IFERROR(__xludf.DUMMYFUNCTION("""COMPUTED_VALUE"""),0.016729809452882)</f>
        <v>1.6729809452882001E-2</v>
      </c>
      <c r="AJ104" s="3">
        <f ca="1">IFERROR(__xludf.DUMMYFUNCTION("""COMPUTED_VALUE"""),0.0576913501940756)</f>
        <v>5.7691350194075598E-2</v>
      </c>
      <c r="AK104" s="3">
        <f ca="1">IFERROR(__xludf.DUMMYFUNCTION("""COMPUTED_VALUE"""),0.0608109947275596)</f>
        <v>6.0810994727559603E-2</v>
      </c>
      <c r="AL104" s="3">
        <f ca="1">IFERROR(__xludf.DUMMYFUNCTION("""COMPUTED_VALUE"""),0.0919191748705874)</f>
        <v>9.19191748705874E-2</v>
      </c>
      <c r="AM104" s="3">
        <f ca="1">IFERROR(__xludf.DUMMYFUNCTION("""COMPUTED_VALUE"""),0.0140824159804195)</f>
        <v>1.40824159804195E-2</v>
      </c>
      <c r="AN104" s="3">
        <f ca="1">IFERROR(__xludf.DUMMYFUNCTION("""COMPUTED_VALUE"""),0.00863301878742617)</f>
        <v>8.6330187874261704E-3</v>
      </c>
      <c r="AO104" s="3">
        <f ca="1">IFERROR(__xludf.DUMMYFUNCTION("""COMPUTED_VALUE"""),0.0661171618903631)</f>
        <v>6.6117161890363096E-2</v>
      </c>
      <c r="AP104" s="3">
        <f ca="1">IFERROR(__xludf.DUMMYFUNCTION("""COMPUTED_VALUE"""),0.0686735305015835)</f>
        <v>6.8673530501583493E-2</v>
      </c>
      <c r="AQ104" s="3">
        <f ca="1">IFERROR(__xludf.DUMMYFUNCTION("""COMPUTED_VALUE"""),0.11331271591398)</f>
        <v>0.11331271591398</v>
      </c>
      <c r="AR104" s="3">
        <f ca="1">IFERROR(__xludf.DUMMYFUNCTION("""COMPUTED_VALUE"""),0.19934409386267)</f>
        <v>0.19934409386266999</v>
      </c>
      <c r="AS104" s="3">
        <f ca="1">IFERROR(__xludf.DUMMYFUNCTION("""COMPUTED_VALUE"""),0.240982960011988)</f>
        <v>0.24098296001198799</v>
      </c>
      <c r="AT104" s="3">
        <f ca="1">IFERROR(__xludf.DUMMYFUNCTION("""COMPUTED_VALUE"""),0.0250491288713847)</f>
        <v>2.5049128871384701E-2</v>
      </c>
      <c r="AU104" s="3">
        <f ca="1">IFERROR(__xludf.DUMMYFUNCTION("""COMPUTED_VALUE"""),0.0366212305528792)</f>
        <v>3.6621230552879198E-2</v>
      </c>
      <c r="AV104" s="3">
        <f ca="1">IFERROR(__xludf.DUMMYFUNCTION("""COMPUTED_VALUE"""),-0.0367211769260487)</f>
        <v>-3.6721176926048697E-2</v>
      </c>
      <c r="AW104" s="3">
        <f ca="1">IFERROR(__xludf.DUMMYFUNCTION("""COMPUTED_VALUE"""),-0.00127325816364665)</f>
        <v>-1.27325816364665E-3</v>
      </c>
      <c r="AX104" s="3">
        <f ca="1">IFERROR(__xludf.DUMMYFUNCTION("""COMPUTED_VALUE"""),0.0529514638149024)</f>
        <v>5.29514638149024E-2</v>
      </c>
      <c r="AY104" s="3">
        <f ca="1">IFERROR(__xludf.DUMMYFUNCTION("""COMPUTED_VALUE"""),0.0228583000198141)</f>
        <v>2.28583000198141E-2</v>
      </c>
      <c r="AZ104" s="3">
        <f ca="1">IFERROR(__xludf.DUMMYFUNCTION("""COMPUTED_VALUE"""),0.071605665759955)</f>
        <v>7.1605665759955001E-2</v>
      </c>
      <c r="BA104" s="3">
        <f ca="1">IFERROR(__xludf.DUMMYFUNCTION("""COMPUTED_VALUE"""),0.000731826259333434)</f>
        <v>7.3182625933343405E-4</v>
      </c>
      <c r="BB104" s="3">
        <f ca="1">IFERROR(__xludf.DUMMYFUNCTION("""COMPUTED_VALUE"""),-0.000618332134473931)</f>
        <v>-6.1833213447393099E-4</v>
      </c>
      <c r="BC104" s="3">
        <f ca="1">IFERROR(__xludf.DUMMYFUNCTION("""COMPUTED_VALUE"""),-0.11320314126625)</f>
        <v>-0.11320314126625</v>
      </c>
      <c r="BD104" s="3">
        <f ca="1">IFERROR(__xludf.DUMMYFUNCTION("""COMPUTED_VALUE"""),-0.101089906309182)</f>
        <v>-0.10108990630918201</v>
      </c>
      <c r="BE104" s="3">
        <f ca="1">IFERROR(__xludf.DUMMYFUNCTION("""COMPUTED_VALUE"""),-0.0812331342443843)</f>
        <v>-8.1233134244384303E-2</v>
      </c>
      <c r="BF104" s="3">
        <f ca="1">IFERROR(__xludf.DUMMYFUNCTION("""COMPUTED_VALUE"""),0.0518809551031984)</f>
        <v>5.1880955103198401E-2</v>
      </c>
      <c r="BG104" s="3">
        <f ca="1">IFERROR(__xludf.DUMMYFUNCTION("""COMPUTED_VALUE"""),0.094680244555342)</f>
        <v>9.4680244555342005E-2</v>
      </c>
      <c r="BH104" s="3">
        <f ca="1">IFERROR(__xludf.DUMMYFUNCTION("""COMPUTED_VALUE"""),-0.0542590700804652)</f>
        <v>-5.4259070080465197E-2</v>
      </c>
      <c r="BI104" s="3">
        <f ca="1">IFERROR(__xludf.DUMMYFUNCTION("""COMPUTED_VALUE"""),-0.118344952366938)</f>
        <v>-0.118344952366938</v>
      </c>
      <c r="BJ104" s="3">
        <f ca="1">IFERROR(__xludf.DUMMYFUNCTION("""COMPUTED_VALUE"""),-0.0502477619734144)</f>
        <v>-5.02477619734144E-2</v>
      </c>
      <c r="BK104" s="3">
        <f ca="1">IFERROR(__xludf.DUMMYFUNCTION("""COMPUTED_VALUE"""),-0.056745814794441)</f>
        <v>-5.6745814794440998E-2</v>
      </c>
      <c r="BL104" s="3">
        <f ca="1">IFERROR(__xludf.DUMMYFUNCTION("""COMPUTED_VALUE"""),-0.0929508639833874)</f>
        <v>-9.2950863983387394E-2</v>
      </c>
      <c r="BM104" s="3">
        <f ca="1">IFERROR(__xludf.DUMMYFUNCTION("""COMPUTED_VALUE"""),-0.00444847764567413)</f>
        <v>-4.4484776456741298E-3</v>
      </c>
      <c r="BN104" s="3">
        <f ca="1">IFERROR(__xludf.DUMMYFUNCTION("""COMPUTED_VALUE"""),-0.0229368835224149)</f>
        <v>-2.2936883522414901E-2</v>
      </c>
      <c r="BO104" s="3">
        <f ca="1">IFERROR(__xludf.DUMMYFUNCTION("""COMPUTED_VALUE"""),-0.0794040269855795)</f>
        <v>-7.9404026985579496E-2</v>
      </c>
      <c r="BP104" s="3">
        <f ca="1">IFERROR(__xludf.DUMMYFUNCTION("""COMPUTED_VALUE"""),-0.015515043279439)</f>
        <v>-1.5515043279439001E-2</v>
      </c>
      <c r="BQ104" s="3">
        <f ca="1">IFERROR(__xludf.DUMMYFUNCTION("""COMPUTED_VALUE"""),0.0418154167080866)</f>
        <v>4.1815416708086597E-2</v>
      </c>
      <c r="BR104" s="3">
        <f ca="1">IFERROR(__xludf.DUMMYFUNCTION("""COMPUTED_VALUE"""),-0.0739772993159988)</f>
        <v>-7.3977299315998807E-2</v>
      </c>
      <c r="BS104" s="3">
        <f ca="1">IFERROR(__xludf.DUMMYFUNCTION("""COMPUTED_VALUE"""),-0.116595301990161)</f>
        <v>-0.11659530199016099</v>
      </c>
      <c r="BT104" s="3">
        <f ca="1">IFERROR(__xludf.DUMMYFUNCTION("""COMPUTED_VALUE"""),-0.106814279008252)</f>
        <v>-0.10681427900825199</v>
      </c>
      <c r="BU104" s="3">
        <f ca="1">IFERROR(__xludf.DUMMYFUNCTION("""COMPUTED_VALUE"""),-0.130560587208928)</f>
        <v>-0.13056058720892799</v>
      </c>
      <c r="BV104" s="3">
        <f ca="1">IFERROR(__xludf.DUMMYFUNCTION("""COMPUTED_VALUE"""),-0.0272406187341071)</f>
        <v>-2.7240618734107099E-2</v>
      </c>
      <c r="BW104" s="3">
        <f ca="1">IFERROR(__xludf.DUMMYFUNCTION("""COMPUTED_VALUE"""),-0.0405023745987022)</f>
        <v>-4.05023745987022E-2</v>
      </c>
      <c r="BX104" s="3">
        <f ca="1">IFERROR(__xludf.DUMMYFUNCTION("""COMPUTED_VALUE"""),-0.174425069159459)</f>
        <v>-0.17442506915945899</v>
      </c>
      <c r="BY104" s="3">
        <f ca="1">IFERROR(__xludf.DUMMYFUNCTION("""COMPUTED_VALUE"""),-0.115919183258619)</f>
        <v>-0.115919183258619</v>
      </c>
      <c r="BZ104" s="3">
        <f ca="1">IFERROR(__xludf.DUMMYFUNCTION("""COMPUTED_VALUE"""),-0.164854317001003)</f>
        <v>-0.164854317001003</v>
      </c>
      <c r="CA104" s="3">
        <f ca="1">IFERROR(__xludf.DUMMYFUNCTION("""COMPUTED_VALUE"""),-0.146217113235917)</f>
        <v>-0.14621711323591699</v>
      </c>
      <c r="CB104" s="3">
        <f ca="1">IFERROR(__xludf.DUMMYFUNCTION("""COMPUTED_VALUE"""),-0.160064251861156)</f>
        <v>-0.160064251861156</v>
      </c>
      <c r="CC104" s="3">
        <f ca="1">IFERROR(__xludf.DUMMYFUNCTION("""COMPUTED_VALUE"""),-0.17561518026986)</f>
        <v>-0.17561518026986001</v>
      </c>
      <c r="CD104" s="3">
        <f ca="1">IFERROR(__xludf.DUMMYFUNCTION("""COMPUTED_VALUE"""),-0.242322478334628)</f>
        <v>-0.242322478334628</v>
      </c>
      <c r="CE104" s="3">
        <f ca="1">IFERROR(__xludf.DUMMYFUNCTION("""COMPUTED_VALUE"""),-0.24032539102885)</f>
        <v>-0.24032539102885001</v>
      </c>
      <c r="CF104" s="3">
        <f ca="1">IFERROR(__xludf.DUMMYFUNCTION("""COMPUTED_VALUE"""),-0.159012660596191)</f>
        <v>-0.15901266059619101</v>
      </c>
      <c r="CG104" s="3">
        <f ca="1">IFERROR(__xludf.DUMMYFUNCTION("""COMPUTED_VALUE"""),-0.225995004110359)</f>
        <v>-0.225995004110359</v>
      </c>
      <c r="CH104" s="3">
        <f ca="1">IFERROR(__xludf.DUMMYFUNCTION("""COMPUTED_VALUE"""),-0.210491784008366)</f>
        <v>-0.21049178400836599</v>
      </c>
      <c r="CI104" s="3">
        <f ca="1">IFERROR(__xludf.DUMMYFUNCTION("""COMPUTED_VALUE"""),-0.219338738502776)</f>
        <v>-0.21933873850277599</v>
      </c>
      <c r="CJ104" s="3">
        <f ca="1">IFERROR(__xludf.DUMMYFUNCTION("""COMPUTED_VALUE"""),-0.276260795470185)</f>
        <v>-0.27626079547018501</v>
      </c>
      <c r="CK104" s="3">
        <f ca="1">IFERROR(__xludf.DUMMYFUNCTION("""COMPUTED_VALUE"""),-0.333367280223477)</f>
        <v>-0.333367280223477</v>
      </c>
      <c r="CL104" s="3">
        <f ca="1">IFERROR(__xludf.DUMMYFUNCTION("""COMPUTED_VALUE"""),-0.279655700599709)</f>
        <v>-0.27965570059970901</v>
      </c>
      <c r="CM104" s="3">
        <f ca="1">IFERROR(__xludf.DUMMYFUNCTION("""COMPUTED_VALUE"""),-0.268483684121725)</f>
        <v>-0.26848368412172502</v>
      </c>
      <c r="CN104" s="3">
        <f ca="1">IFERROR(__xludf.DUMMYFUNCTION("""COMPUTED_VALUE"""),-0.278147083834767)</f>
        <v>-0.27814708383476699</v>
      </c>
      <c r="CO104" s="3">
        <f ca="1">IFERROR(__xludf.DUMMYFUNCTION("""COMPUTED_VALUE"""),-0.279271430563928)</f>
        <v>-0.279271430563928</v>
      </c>
      <c r="CP104" s="3">
        <f ca="1">IFERROR(__xludf.DUMMYFUNCTION("""COMPUTED_VALUE"""),-0.298843587949787)</f>
        <v>-0.29884358794978699</v>
      </c>
      <c r="CQ104" s="3">
        <f ca="1">IFERROR(__xludf.DUMMYFUNCTION("""COMPUTED_VALUE"""),-0.280320313222376)</f>
        <v>-0.28032031322237599</v>
      </c>
      <c r="CR104" s="3">
        <f ca="1">IFERROR(__xludf.DUMMYFUNCTION("""COMPUTED_VALUE"""),-0.303418334041388)</f>
        <v>-0.30341833404138802</v>
      </c>
      <c r="CS104" s="3">
        <f ca="1">IFERROR(__xludf.DUMMYFUNCTION("""COMPUTED_VALUE"""),-0.277391678367647)</f>
        <v>-0.277391678367647</v>
      </c>
      <c r="CT104" s="3">
        <f ca="1">IFERROR(__xludf.DUMMYFUNCTION("""COMPUTED_VALUE"""),-0.311880212719104)</f>
        <v>-0.31188021271910399</v>
      </c>
      <c r="CU104" s="3">
        <f ca="1">IFERROR(__xludf.DUMMYFUNCTION("""COMPUTED_VALUE"""),-0.263092776117892)</f>
        <v>-0.263092776117892</v>
      </c>
      <c r="CV104" s="3">
        <f ca="1">IFERROR(__xludf.DUMMYFUNCTION("""COMPUTED_VALUE"""),-0.374307742720572)</f>
        <v>-0.37430774272057199</v>
      </c>
      <c r="CW104" s="3">
        <f ca="1">IFERROR(__xludf.DUMMYFUNCTION("""COMPUTED_VALUE"""),-0.374271087514509)</f>
        <v>-0.37427108751450899</v>
      </c>
      <c r="CX104" s="3">
        <f ca="1">IFERROR(__xludf.DUMMYFUNCTION("""COMPUTED_VALUE"""),-0.421451146850521)</f>
        <v>-0.42145114685052099</v>
      </c>
      <c r="CY104" s="3">
        <f ca="1">IFERROR(__xludf.DUMMYFUNCTION("""COMPUTED_VALUE"""),-0.455228696463775)</f>
        <v>-0.45522869646377501</v>
      </c>
      <c r="CZ104" s="3">
        <f ca="1">IFERROR(__xludf.DUMMYFUNCTION("""COMPUTED_VALUE"""),-0.555290660281842)</f>
        <v>-0.55529066028184204</v>
      </c>
      <c r="DA104" s="3">
        <f ca="1">IFERROR(__xludf.DUMMYFUNCTION("""COMPUTED_VALUE"""),-0.31756340763385)</f>
        <v>-0.31756340763384999</v>
      </c>
      <c r="DB104" s="3">
        <f ca="1">IFERROR(__xludf.DUMMYFUNCTION("""COMPUTED_VALUE"""),-0.260842608974423)</f>
        <v>-0.26084260897442302</v>
      </c>
      <c r="DC104" s="3">
        <f ca="1">IFERROR(__xludf.DUMMYFUNCTION("""COMPUTED_VALUE"""),-0.423831995311734)</f>
        <v>-0.42383199531173399</v>
      </c>
      <c r="DD104" s="3">
        <f ca="1">IFERROR(__xludf.DUMMYFUNCTION("""COMPUTED_VALUE"""),-0.449742717908483)</f>
        <v>-0.44974271790848303</v>
      </c>
      <c r="DE104" s="3">
        <f ca="1">IFERROR(__xludf.DUMMYFUNCTION("""COMPUTED_VALUE"""),-0.416637806877555)</f>
        <v>-0.41663780687755497</v>
      </c>
      <c r="DF104" s="3">
        <f ca="1">IFERROR(__xludf.DUMMYFUNCTION("""COMPUTED_VALUE"""),-0.423736047636464)</f>
        <v>-0.423736047636464</v>
      </c>
      <c r="DG104" s="3">
        <f ca="1">IFERROR(__xludf.DUMMYFUNCTION("""COMPUTED_VALUE"""),-0.581808117333592)</f>
        <v>-0.58180811733359195</v>
      </c>
      <c r="DH104" s="3">
        <f ca="1">IFERROR(__xludf.DUMMYFUNCTION("""COMPUTED_VALUE"""),-0.390279392982636)</f>
        <v>-0.39027939298263598</v>
      </c>
      <c r="DI104" s="3">
        <f ca="1">IFERROR(__xludf.DUMMYFUNCTION("""COMPUTED_VALUE"""),-0.230984139699492)</f>
        <v>-0.230984139699492</v>
      </c>
      <c r="DJ104" s="3">
        <f ca="1">IFERROR(__xludf.DUMMYFUNCTION("""COMPUTED_VALUE"""),-0.40132295561956)</f>
        <v>-0.40132295561956</v>
      </c>
      <c r="DK104" s="3">
        <f ca="1">IFERROR(__xludf.DUMMYFUNCTION("""COMPUTED_VALUE"""),-0.453533750332818)</f>
        <v>-0.45353375033281801</v>
      </c>
      <c r="DL104" s="3">
        <f ca="1">IFERROR(__xludf.DUMMYFUNCTION("""COMPUTED_VALUE"""),-0.398270353027496)</f>
        <v>-0.39827035302749603</v>
      </c>
      <c r="DM104" s="3">
        <f ca="1">IFERROR(__xludf.DUMMYFUNCTION("""COMPUTED_VALUE"""),-0.434484997152991)</f>
        <v>-0.43448499715299099</v>
      </c>
      <c r="DN104" s="3">
        <f ca="1">IFERROR(__xludf.DUMMYFUNCTION("""COMPUTED_VALUE"""),-0.402497947344256)</f>
        <v>-0.40249794734425598</v>
      </c>
      <c r="DO104" s="3">
        <f ca="1">IFERROR(__xludf.DUMMYFUNCTION("""COMPUTED_VALUE"""),-0.37518380293618)</f>
        <v>-0.37518380293617998</v>
      </c>
      <c r="DP104" s="3">
        <f ca="1">IFERROR(__xludf.DUMMYFUNCTION("""COMPUTED_VALUE"""),-0.382698709842619)</f>
        <v>-0.382698709842619</v>
      </c>
      <c r="DQ104" s="3">
        <f ca="1">IFERROR(__xludf.DUMMYFUNCTION("""COMPUTED_VALUE"""),-0.414998356826785)</f>
        <v>-0.41499835682678499</v>
      </c>
      <c r="DR104" s="3">
        <f ca="1">IFERROR(__xludf.DUMMYFUNCTION("""COMPUTED_VALUE"""),-0.484020316627242)</f>
        <v>-0.48402031662724199</v>
      </c>
      <c r="DS104" s="3">
        <f ca="1">IFERROR(__xludf.DUMMYFUNCTION("""COMPUTED_VALUE"""),-0.466155446393325)</f>
        <v>-0.46615544639332501</v>
      </c>
      <c r="DT104" s="3">
        <f ca="1">IFERROR(__xludf.DUMMYFUNCTION("""COMPUTED_VALUE"""),-0.475856826907162)</f>
        <v>-0.47585682690716202</v>
      </c>
      <c r="DU104" s="3">
        <f ca="1">IFERROR(__xludf.DUMMYFUNCTION("""COMPUTED_VALUE"""),-0.484175659204375)</f>
        <v>-0.484175659204375</v>
      </c>
      <c r="DV104" s="3">
        <f ca="1">IFERROR(__xludf.DUMMYFUNCTION("""COMPUTED_VALUE"""),-0.444768960121535)</f>
        <v>-0.444768960121535</v>
      </c>
      <c r="DW104" s="3">
        <f ca="1">IFERROR(__xludf.DUMMYFUNCTION("""COMPUTED_VALUE"""),-0.478891994032107)</f>
        <v>-0.47889199403210703</v>
      </c>
      <c r="DX104" s="3">
        <f ca="1">IFERROR(__xludf.DUMMYFUNCTION("""COMPUTED_VALUE"""),-0.431016735254436)</f>
        <v>-0.43101673525443601</v>
      </c>
      <c r="DY104" s="3">
        <f ca="1">IFERROR(__xludf.DUMMYFUNCTION("""COMPUTED_VALUE"""),-0.496994898355884)</f>
        <v>-0.49699489835588401</v>
      </c>
      <c r="DZ104" s="3">
        <f ca="1">IFERROR(__xludf.DUMMYFUNCTION("""COMPUTED_VALUE"""),-0.44985979042255)</f>
        <v>-0.44985979042254998</v>
      </c>
      <c r="EA104" s="3">
        <f ca="1">IFERROR(__xludf.DUMMYFUNCTION("""COMPUTED_VALUE"""),-0.443685287341901)</f>
        <v>-0.44368528734190099</v>
      </c>
      <c r="EB104" s="3">
        <f ca="1">IFERROR(__xludf.DUMMYFUNCTION("""COMPUTED_VALUE"""),-0.448022825424106)</f>
        <v>-0.44802282542410599</v>
      </c>
      <c r="EC104" s="3">
        <f ca="1">IFERROR(__xludf.DUMMYFUNCTION("""COMPUTED_VALUE"""),-0.415505120977892)</f>
        <v>-0.415505120977892</v>
      </c>
      <c r="ED104" s="3">
        <f ca="1">IFERROR(__xludf.DUMMYFUNCTION("""COMPUTED_VALUE"""),-0.449206380906544)</f>
        <v>-0.44920638090654402</v>
      </c>
      <c r="EE104" s="3">
        <f ca="1">IFERROR(__xludf.DUMMYFUNCTION("""COMPUTED_VALUE"""),-0.404339086395881)</f>
        <v>-0.40433908639588101</v>
      </c>
      <c r="EF104" s="3">
        <f ca="1">IFERROR(__xludf.DUMMYFUNCTION("""COMPUTED_VALUE"""),-0.473924934952978)</f>
        <v>-0.47392493495297799</v>
      </c>
      <c r="EG104" s="3">
        <f ca="1">IFERROR(__xludf.DUMMYFUNCTION("""COMPUTED_VALUE"""),-0.438335632385062)</f>
        <v>-0.43833563238506201</v>
      </c>
      <c r="EH104" s="3">
        <f ca="1">IFERROR(__xludf.DUMMYFUNCTION("""COMPUTED_VALUE"""),-0.444824981123928)</f>
        <v>-0.44482498112392799</v>
      </c>
      <c r="EI104" s="3">
        <f ca="1">IFERROR(__xludf.DUMMYFUNCTION("""COMPUTED_VALUE"""),-0.487113186482215)</f>
        <v>-0.48711318648221502</v>
      </c>
      <c r="EJ104" s="3">
        <f ca="1">IFERROR(__xludf.DUMMYFUNCTION("""COMPUTED_VALUE"""),-0.416003146199581)</f>
        <v>-0.41600314619958101</v>
      </c>
      <c r="EK104" s="3">
        <f ca="1">IFERROR(__xludf.DUMMYFUNCTION("""COMPUTED_VALUE"""),-0.466608068299894)</f>
        <v>-0.46660806829989399</v>
      </c>
      <c r="EL104" s="3">
        <f ca="1">IFERROR(__xludf.DUMMYFUNCTION("""COMPUTED_VALUE"""),-0.400926823977117)</f>
        <v>-0.40092682397711699</v>
      </c>
      <c r="EM104" s="3">
        <f ca="1">IFERROR(__xludf.DUMMYFUNCTION("""COMPUTED_VALUE"""),-0.425332218460202)</f>
        <v>-0.42533221846020203</v>
      </c>
      <c r="EN104" s="3">
        <f ca="1">IFERROR(__xludf.DUMMYFUNCTION("""COMPUTED_VALUE"""),-0.5176178040582)</f>
        <v>-0.51761780405820002</v>
      </c>
      <c r="EO104" s="3">
        <f ca="1">IFERROR(__xludf.DUMMYFUNCTION("""COMPUTED_VALUE"""),-0.521155413238363)</f>
        <v>-0.52115541323836301</v>
      </c>
      <c r="EP104" s="3">
        <f ca="1">IFERROR(__xludf.DUMMYFUNCTION("""COMPUTED_VALUE"""),-0.423849852290949)</f>
        <v>-0.42384985229094901</v>
      </c>
      <c r="EQ104" s="3">
        <f ca="1">IFERROR(__xludf.DUMMYFUNCTION("""COMPUTED_VALUE"""),-0.413110427786804)</f>
        <v>-0.41311042778680401</v>
      </c>
      <c r="ER104" s="3">
        <f ca="1">IFERROR(__xludf.DUMMYFUNCTION("""COMPUTED_VALUE"""),-0.425194665704893)</f>
        <v>-0.425194665704893</v>
      </c>
      <c r="ES104" s="3">
        <f ca="1">IFERROR(__xludf.DUMMYFUNCTION("""COMPUTED_VALUE"""),-0.415310038074615)</f>
        <v>-0.41531003807461497</v>
      </c>
      <c r="ET104" s="3">
        <f ca="1">IFERROR(__xludf.DUMMYFUNCTION("""COMPUTED_VALUE"""),-0.42636313489922)</f>
        <v>-0.42636313489922001</v>
      </c>
      <c r="EU104" s="3">
        <f ca="1">IFERROR(__xludf.DUMMYFUNCTION("""COMPUTED_VALUE"""),-0.548172252518819)</f>
        <v>-0.54817225251881896</v>
      </c>
      <c r="EV104" s="3">
        <f ca="1">IFERROR(__xludf.DUMMYFUNCTION("""COMPUTED_VALUE"""),-0.537276953086422)</f>
        <v>-0.53727695308642198</v>
      </c>
      <c r="EW104" s="3">
        <f ca="1">IFERROR(__xludf.DUMMYFUNCTION("""COMPUTED_VALUE"""),-0.432274642111365)</f>
        <v>-0.43227464211136502</v>
      </c>
      <c r="EX104" s="3">
        <f ca="1">IFERROR(__xludf.DUMMYFUNCTION("""COMPUTED_VALUE"""),-0.434703155901711)</f>
        <v>-0.43470315590171099</v>
      </c>
      <c r="EY104" s="3">
        <f ca="1">IFERROR(__xludf.DUMMYFUNCTION("""COMPUTED_VALUE"""),-0.580153908778379)</f>
        <v>-0.58015390877837902</v>
      </c>
      <c r="EZ104" s="3">
        <f ca="1">IFERROR(__xludf.DUMMYFUNCTION("""COMPUTED_VALUE"""),-0.374609065187654)</f>
        <v>-0.37460906518765402</v>
      </c>
      <c r="FA104" s="3">
        <f ca="1">IFERROR(__xludf.DUMMYFUNCTION("""COMPUTED_VALUE"""),-0.375218912191394)</f>
        <v>-0.37521891219139403</v>
      </c>
      <c r="FB104" s="3">
        <f ca="1">IFERROR(__xludf.DUMMYFUNCTION("""COMPUTED_VALUE"""),-0.553437401687096)</f>
        <v>-0.55343740168709599</v>
      </c>
      <c r="FC104" s="3">
        <f ca="1">IFERROR(__xludf.DUMMYFUNCTION("""COMPUTED_VALUE"""),-0.540974500625975)</f>
        <v>-0.54097450062597496</v>
      </c>
      <c r="FD104" s="3">
        <f ca="1">IFERROR(__xludf.DUMMYFUNCTION("""COMPUTED_VALUE"""),-0.399038999045081)</f>
        <v>-0.399038999045081</v>
      </c>
      <c r="FE104" s="3">
        <f ca="1">IFERROR(__xludf.DUMMYFUNCTION("""COMPUTED_VALUE"""),-0.414826412017205)</f>
        <v>-0.41482641201720499</v>
      </c>
      <c r="FF104" s="3">
        <f ca="1">IFERROR(__xludf.DUMMYFUNCTION("""COMPUTED_VALUE"""),-0.42813381358715)</f>
        <v>-0.42813381358715003</v>
      </c>
      <c r="FG104" s="3">
        <f ca="1">IFERROR(__xludf.DUMMYFUNCTION("""COMPUTED_VALUE"""),-0.388195583951412)</f>
        <v>-0.38819558395141202</v>
      </c>
      <c r="FH104" s="3">
        <f ca="1">IFERROR(__xludf.DUMMYFUNCTION("""COMPUTED_VALUE"""),-0.337129971696582)</f>
        <v>-0.33712997169658199</v>
      </c>
      <c r="FI104" s="3">
        <f ca="1">IFERROR(__xludf.DUMMYFUNCTION("""COMPUTED_VALUE"""),-0.571342431006151)</f>
        <v>-0.57134243100615101</v>
      </c>
      <c r="FJ104" s="3">
        <f ca="1">IFERROR(__xludf.DUMMYFUNCTION("""COMPUTED_VALUE"""),-0.590561480378683)</f>
        <v>-0.59056148037868295</v>
      </c>
      <c r="FK104" s="3">
        <f ca="1">IFERROR(__xludf.DUMMYFUNCTION("""COMPUTED_VALUE"""),-0.573078815040664)</f>
        <v>-0.57307881504066405</v>
      </c>
      <c r="FL104" s="3">
        <f ca="1">IFERROR(__xludf.DUMMYFUNCTION("""COMPUTED_VALUE"""),-0.166502080255419)</f>
        <v>-0.16650208025541899</v>
      </c>
      <c r="FM104" s="3">
        <f ca="1">IFERROR(__xludf.DUMMYFUNCTION("""COMPUTED_VALUE"""),-0.2866282420949)</f>
        <v>-0.28662824209490001</v>
      </c>
      <c r="FN104" s="3">
        <f ca="1">IFERROR(__xludf.DUMMYFUNCTION("""COMPUTED_VALUE"""),-0.273029699023838)</f>
        <v>-0.273029699023838</v>
      </c>
      <c r="FO104" s="3">
        <f ca="1">IFERROR(__xludf.DUMMYFUNCTION("""COMPUTED_VALUE"""),-0.236913716888586)</f>
        <v>-0.23691371688858601</v>
      </c>
      <c r="FP104" s="3">
        <f ca="1">IFERROR(__xludf.DUMMYFUNCTION("""COMPUTED_VALUE"""),-0.190825788714811)</f>
        <v>-0.19082578871481101</v>
      </c>
      <c r="FQ104" s="3">
        <f ca="1">IFERROR(__xludf.DUMMYFUNCTION("""COMPUTED_VALUE"""),-0.251539960039218)</f>
        <v>-0.25153996003921802</v>
      </c>
      <c r="FR104" s="3">
        <f ca="1">IFERROR(__xludf.DUMMYFUNCTION("""COMPUTED_VALUE"""),-0.339929340468465)</f>
        <v>-0.33992934046846501</v>
      </c>
      <c r="FS104" s="3">
        <f ca="1">IFERROR(__xludf.DUMMYFUNCTION("""COMPUTED_VALUE"""),-0.271264865025613)</f>
        <v>-0.27126486502561298</v>
      </c>
      <c r="FT104" s="3">
        <f ca="1">IFERROR(__xludf.DUMMYFUNCTION("""COMPUTED_VALUE"""),-0.234201521172704)</f>
        <v>-0.23420152117270401</v>
      </c>
      <c r="FU104" s="3">
        <f ca="1">IFERROR(__xludf.DUMMYFUNCTION("""COMPUTED_VALUE"""),-0.21821935447321)</f>
        <v>-0.21821935447321</v>
      </c>
      <c r="FV104" s="3">
        <f ca="1">IFERROR(__xludf.DUMMYFUNCTION("""COMPUTED_VALUE"""),-0.165304170216682)</f>
        <v>-0.16530417021668201</v>
      </c>
      <c r="FW104" s="3">
        <f ca="1">IFERROR(__xludf.DUMMYFUNCTION("""COMPUTED_VALUE"""),-0.196126002986707)</f>
        <v>-0.19612600298670699</v>
      </c>
      <c r="FX104" s="3">
        <f ca="1">IFERROR(__xludf.DUMMYFUNCTION("""COMPUTED_VALUE"""),-0.254160650268975)</f>
        <v>-0.254160650268975</v>
      </c>
      <c r="FY104" s="3">
        <f ca="1">IFERROR(__xludf.DUMMYFUNCTION("""COMPUTED_VALUE"""),-0.23104897316025)</f>
        <v>-0.23104897316025</v>
      </c>
      <c r="FZ104" s="3">
        <f ca="1">IFERROR(__xludf.DUMMYFUNCTION("""COMPUTED_VALUE"""),-0.163711841638988)</f>
        <v>-0.163711841638988</v>
      </c>
      <c r="GA104" s="3">
        <f ca="1">IFERROR(__xludf.DUMMYFUNCTION("""COMPUTED_VALUE"""),-0.252202789009407)</f>
        <v>-0.25220278900940701</v>
      </c>
      <c r="GB104" s="3">
        <f ca="1">IFERROR(__xludf.DUMMYFUNCTION("""COMPUTED_VALUE"""),-0.188694098383603)</f>
        <v>-0.18869409838360299</v>
      </c>
      <c r="GC104" s="3">
        <f ca="1">IFERROR(__xludf.DUMMYFUNCTION("""COMPUTED_VALUE"""),-0.173367845505678)</f>
        <v>-0.17336784550567799</v>
      </c>
      <c r="GD104" s="3">
        <f ca="1">IFERROR(__xludf.DUMMYFUNCTION("""COMPUTED_VALUE"""),-0.213805512198346)</f>
        <v>-0.21380551219834601</v>
      </c>
      <c r="GE104" s="3">
        <f ca="1">IFERROR(__xludf.DUMMYFUNCTION("""COMPUTED_VALUE"""),-0.192856055329186)</f>
        <v>-0.19285605532918601</v>
      </c>
      <c r="GF104" s="3">
        <f ca="1">IFERROR(__xludf.DUMMYFUNCTION("""COMPUTED_VALUE"""),-0.23090524807043)</f>
        <v>-0.23090524807043</v>
      </c>
      <c r="GG104" s="3">
        <f ca="1">IFERROR(__xludf.DUMMYFUNCTION("""COMPUTED_VALUE"""),-0.19025544464606)</f>
        <v>-0.19025544464606001</v>
      </c>
      <c r="GH104" s="3">
        <f ca="1">IFERROR(__xludf.DUMMYFUNCTION("""COMPUTED_VALUE"""),-0.167993285095757)</f>
        <v>-0.16799328509575701</v>
      </c>
      <c r="GI104" s="3">
        <f ca="1">IFERROR(__xludf.DUMMYFUNCTION("""COMPUTED_VALUE"""),-0.173380360341731)</f>
        <v>-0.17338036034173099</v>
      </c>
      <c r="GJ104" s="3">
        <f ca="1">IFERROR(__xludf.DUMMYFUNCTION("""COMPUTED_VALUE"""),-0.160115172987797)</f>
        <v>-0.16011517298779701</v>
      </c>
      <c r="GK104" s="3">
        <f ca="1">IFERROR(__xludf.DUMMYFUNCTION("""COMPUTED_VALUE"""),-0.208391164029971)</f>
        <v>-0.20839116402997099</v>
      </c>
      <c r="GL104" s="3">
        <f ca="1">IFERROR(__xludf.DUMMYFUNCTION("""COMPUTED_VALUE"""),-0.20345489473498)</f>
        <v>-0.20345489473497999</v>
      </c>
      <c r="GM104" s="3">
        <f ca="1">IFERROR(__xludf.DUMMYFUNCTION("""COMPUTED_VALUE"""),-0.197106095473292)</f>
        <v>-0.197106095473292</v>
      </c>
      <c r="GN104" s="3">
        <f ca="1">IFERROR(__xludf.DUMMYFUNCTION("""COMPUTED_VALUE"""),-0.188087074160272)</f>
        <v>-0.18808707416027201</v>
      </c>
      <c r="GO104" s="3">
        <f ca="1">IFERROR(__xludf.DUMMYFUNCTION("""COMPUTED_VALUE"""),-0.168970756096255)</f>
        <v>-0.168970756096255</v>
      </c>
      <c r="GP104" s="3">
        <f ca="1">IFERROR(__xludf.DUMMYFUNCTION("""COMPUTED_VALUE"""),-0.217981817327794)</f>
        <v>-0.21798181732779401</v>
      </c>
      <c r="GQ104" s="3">
        <f ca="1">IFERROR(__xludf.DUMMYFUNCTION("""COMPUTED_VALUE"""),-0.201214917148489)</f>
        <v>-0.20121491714848899</v>
      </c>
      <c r="GR104" s="3">
        <f ca="1">IFERROR(__xludf.DUMMYFUNCTION("""COMPUTED_VALUE"""),-0.236634641320078)</f>
        <v>-0.236634641320078</v>
      </c>
      <c r="GS104" s="3">
        <f ca="1">IFERROR(__xludf.DUMMYFUNCTION("""COMPUTED_VALUE"""),-0.231267406687052)</f>
        <v>-0.23126740668705201</v>
      </c>
      <c r="GT104" s="3">
        <f ca="1">IFERROR(__xludf.DUMMYFUNCTION("""COMPUTED_VALUE"""),-0.251076052430552)</f>
        <v>-0.25107605243055198</v>
      </c>
      <c r="GU104" s="3">
        <f ca="1">IFERROR(__xludf.DUMMYFUNCTION("""COMPUTED_VALUE"""),-0.24745262800256)</f>
        <v>-0.24745262800255999</v>
      </c>
      <c r="GV104" s="3">
        <f ca="1">IFERROR(__xludf.DUMMYFUNCTION("""COMPUTED_VALUE"""),-0.215921853079598)</f>
        <v>-0.21592185307959799</v>
      </c>
      <c r="GW104" s="3">
        <f ca="1">IFERROR(__xludf.DUMMYFUNCTION("""COMPUTED_VALUE"""),-0.216907043464379)</f>
        <v>-0.216907043464379</v>
      </c>
      <c r="GX104" s="3">
        <f ca="1">IFERROR(__xludf.DUMMYFUNCTION("""COMPUTED_VALUE"""),-0.179877671088713)</f>
        <v>-0.179877671088713</v>
      </c>
      <c r="GY104" s="3">
        <f ca="1">IFERROR(__xludf.DUMMYFUNCTION("""COMPUTED_VALUE"""),-0.151881470743864)</f>
        <v>-0.15188147074386399</v>
      </c>
      <c r="GZ104" s="3">
        <f ca="1">IFERROR(__xludf.DUMMYFUNCTION("""COMPUTED_VALUE"""),-0.21286294888054)</f>
        <v>-0.21286294888054</v>
      </c>
      <c r="HA104" s="3">
        <f ca="1">IFERROR(__xludf.DUMMYFUNCTION("""COMPUTED_VALUE"""),-0.274373057847473)</f>
        <v>-0.27437305784747301</v>
      </c>
      <c r="HB104" s="3">
        <f ca="1">IFERROR(__xludf.DUMMYFUNCTION("""COMPUTED_VALUE"""),-0.168017383930459)</f>
        <v>-0.16801738393045901</v>
      </c>
      <c r="HC104" s="3">
        <f ca="1">IFERROR(__xludf.DUMMYFUNCTION("""COMPUTED_VALUE"""),-0.171119875761186)</f>
        <v>-0.17111987576118601</v>
      </c>
      <c r="HD104" s="3">
        <f ca="1">IFERROR(__xludf.DUMMYFUNCTION("""COMPUTED_VALUE"""),-0.171037719394023)</f>
        <v>-0.17103771939402301</v>
      </c>
      <c r="HE104" s="3">
        <f ca="1">IFERROR(__xludf.DUMMYFUNCTION("""COMPUTED_VALUE"""),-0.143844015599246)</f>
        <v>-0.14384401559924601</v>
      </c>
      <c r="HF104" s="3">
        <f ca="1">IFERROR(__xludf.DUMMYFUNCTION("""COMPUTED_VALUE"""),-0.09987219029456)</f>
        <v>-9.9872190294560001E-2</v>
      </c>
      <c r="HG104" s="3">
        <f ca="1">IFERROR(__xludf.DUMMYFUNCTION("""COMPUTED_VALUE"""),-0.182700890772967)</f>
        <v>-0.182700890772967</v>
      </c>
      <c r="HH104" s="3">
        <f ca="1">IFERROR(__xludf.DUMMYFUNCTION("""COMPUTED_VALUE"""),-0.240544961238442)</f>
        <v>-0.24054496123844199</v>
      </c>
      <c r="HI104" s="3">
        <f ca="1">IFERROR(__xludf.DUMMYFUNCTION("""COMPUTED_VALUE"""),-0.129243867731912)</f>
        <v>-0.12924386773191199</v>
      </c>
      <c r="HJ104" s="3">
        <f ca="1">IFERROR(__xludf.DUMMYFUNCTION("""COMPUTED_VALUE"""),-0.097457305290513)</f>
        <v>-9.7457305290512997E-2</v>
      </c>
      <c r="HK104" s="3">
        <f ca="1">IFERROR(__xludf.DUMMYFUNCTION("""COMPUTED_VALUE"""),-0.109785792866372)</f>
        <v>-0.109785792866372</v>
      </c>
      <c r="HL104" s="3">
        <f ca="1">IFERROR(__xludf.DUMMYFUNCTION("""COMPUTED_VALUE"""),-0.103702745222177)</f>
        <v>-0.103702745222177</v>
      </c>
      <c r="HM104" s="3">
        <f ca="1">IFERROR(__xludf.DUMMYFUNCTION("""COMPUTED_VALUE"""),-0.158401768076032)</f>
        <v>-0.15840176807603201</v>
      </c>
      <c r="HN104" s="3">
        <f ca="1">IFERROR(__xludf.DUMMYFUNCTION("""COMPUTED_VALUE"""),-0.170863268400121)</f>
        <v>-0.170863268400121</v>
      </c>
      <c r="HO104" s="3">
        <f ca="1">IFERROR(__xludf.DUMMYFUNCTION("""COMPUTED_VALUE"""),-0.194610321684513)</f>
        <v>-0.194610321684513</v>
      </c>
      <c r="HP104" s="3">
        <f ca="1">IFERROR(__xludf.DUMMYFUNCTION("""COMPUTED_VALUE"""),-0.0506163228270601)</f>
        <v>-5.0616322827060099E-2</v>
      </c>
      <c r="HQ104" s="3">
        <f ca="1">IFERROR(__xludf.DUMMYFUNCTION("""COMPUTED_VALUE"""),-0.10069947728834)</f>
        <v>-0.10069947728834</v>
      </c>
      <c r="HR104" s="3">
        <f ca="1">IFERROR(__xludf.DUMMYFUNCTION("""COMPUTED_VALUE"""),-0.112268605649679)</f>
        <v>-0.112268605649679</v>
      </c>
      <c r="HS104" s="3">
        <f ca="1">IFERROR(__xludf.DUMMYFUNCTION("""COMPUTED_VALUE"""),-0.173262574344655)</f>
        <v>-0.173262574344655</v>
      </c>
      <c r="HT104" s="3">
        <f ca="1">IFERROR(__xludf.DUMMYFUNCTION("""COMPUTED_VALUE"""),-0.14993847482886)</f>
        <v>-0.14993847482886</v>
      </c>
      <c r="HU104" s="3">
        <f ca="1">IFERROR(__xludf.DUMMYFUNCTION("""COMPUTED_VALUE"""),-0.132605214062657)</f>
        <v>-0.13260521406265699</v>
      </c>
      <c r="HV104" s="3">
        <f ca="1">IFERROR(__xludf.DUMMYFUNCTION("""COMPUTED_VALUE"""),-0.177116924365733)</f>
        <v>-0.17711692436573301</v>
      </c>
      <c r="HW104" s="3">
        <f ca="1">IFERROR(__xludf.DUMMYFUNCTION("""COMPUTED_VALUE"""),-0.161749748702579)</f>
        <v>-0.16174974870257899</v>
      </c>
      <c r="HX104" s="3">
        <f ca="1">IFERROR(__xludf.DUMMYFUNCTION("""COMPUTED_VALUE"""),-0.153658855618899)</f>
        <v>-0.153658855618899</v>
      </c>
      <c r="HY104" s="3">
        <f ca="1">IFERROR(__xludf.DUMMYFUNCTION("""COMPUTED_VALUE"""),-0.169580787995678)</f>
        <v>-0.169580787995678</v>
      </c>
      <c r="HZ104" s="3">
        <f ca="1">IFERROR(__xludf.DUMMYFUNCTION("""COMPUTED_VALUE"""),-0.207243705901741)</f>
        <v>-0.20724370590174099</v>
      </c>
      <c r="IA104" s="3">
        <f ca="1">IFERROR(__xludf.DUMMYFUNCTION("""COMPUTED_VALUE"""),-0.122977417004089)</f>
        <v>-0.122977417004089</v>
      </c>
      <c r="IB104" s="3">
        <f ca="1">IFERROR(__xludf.DUMMYFUNCTION("""COMPUTED_VALUE"""),-0.0939095911552184)</f>
        <v>-9.3909591155218394E-2</v>
      </c>
      <c r="IC104" s="3">
        <f ca="1">IFERROR(__xludf.DUMMYFUNCTION("""COMPUTED_VALUE"""),-0.127390041596807)</f>
        <v>-0.127390041596807</v>
      </c>
      <c r="ID104" s="3">
        <f ca="1">IFERROR(__xludf.DUMMYFUNCTION("""COMPUTED_VALUE"""),-0.0819251850067021)</f>
        <v>-8.1925185006702095E-2</v>
      </c>
      <c r="IE104" s="3">
        <f ca="1">IFERROR(__xludf.DUMMYFUNCTION("""COMPUTED_VALUE"""),-0.102341622850284)</f>
        <v>-0.102341622850284</v>
      </c>
      <c r="IF104" s="3">
        <f ca="1">IFERROR(__xludf.DUMMYFUNCTION("""COMPUTED_VALUE"""),-0.0437629968075041)</f>
        <v>-4.3762996807504097E-2</v>
      </c>
      <c r="IG104" s="3">
        <f ca="1">IFERROR(__xludf.DUMMYFUNCTION("""COMPUTED_VALUE"""),-0.0984154529957291)</f>
        <v>-9.8415452995729097E-2</v>
      </c>
      <c r="IH104" s="3">
        <f ca="1">IFERROR(__xludf.DUMMYFUNCTION("""COMPUTED_VALUE"""),-0.0779246313914643)</f>
        <v>-7.79246313914643E-2</v>
      </c>
      <c r="II104" s="3">
        <f ca="1">IFERROR(__xludf.DUMMYFUNCTION("""COMPUTED_VALUE"""),0.104841875714404)</f>
        <v>0.104841875714404</v>
      </c>
      <c r="IJ104" s="3">
        <f ca="1">IFERROR(__xludf.DUMMYFUNCTION("""COMPUTED_VALUE"""),-0.0424708513800905)</f>
        <v>-4.2470851380090498E-2</v>
      </c>
      <c r="IK104" s="3">
        <f ca="1">IFERROR(__xludf.DUMMYFUNCTION("""COMPUTED_VALUE"""),-0.00852043551013681)</f>
        <v>-8.5204355101368093E-3</v>
      </c>
      <c r="IL104" s="3">
        <f ca="1">IFERROR(__xludf.DUMMYFUNCTION("""COMPUTED_VALUE"""),0.0264945991274947)</f>
        <v>2.6494599127494699E-2</v>
      </c>
      <c r="IM104" s="3">
        <f ca="1">IFERROR(__xludf.DUMMYFUNCTION("""COMPUTED_VALUE"""),0.0311452320098428)</f>
        <v>3.1145232009842799E-2</v>
      </c>
      <c r="IN104" s="3">
        <f ca="1">IFERROR(__xludf.DUMMYFUNCTION("""COMPUTED_VALUE"""),0.0233662037712303)</f>
        <v>2.33662037712303E-2</v>
      </c>
      <c r="IO104" s="3">
        <f ca="1">IFERROR(__xludf.DUMMYFUNCTION("""COMPUTED_VALUE"""),-0.0182623356981066)</f>
        <v>-1.8262335698106601E-2</v>
      </c>
      <c r="IP104" s="3">
        <f ca="1">IFERROR(__xludf.DUMMYFUNCTION("""COMPUTED_VALUE"""),0.0956578536633336)</f>
        <v>9.5657853663333597E-2</v>
      </c>
      <c r="IQ104" s="3">
        <f ca="1">IFERROR(__xludf.DUMMYFUNCTION("""COMPUTED_VALUE"""),0.018600351524314)</f>
        <v>1.8600351524314E-2</v>
      </c>
      <c r="IR104" s="3">
        <f ca="1">IFERROR(__xludf.DUMMYFUNCTION("""COMPUTED_VALUE"""),0.0295720433240835)</f>
        <v>2.9572043324083499E-2</v>
      </c>
      <c r="IS104" s="3">
        <f ca="1">IFERROR(__xludf.DUMMYFUNCTION("""COMPUTED_VALUE"""),0.0155993935414306)</f>
        <v>1.55993935414306E-2</v>
      </c>
      <c r="IT104" s="3">
        <f ca="1">IFERROR(__xludf.DUMMYFUNCTION("""COMPUTED_VALUE"""),0.0255253539497353)</f>
        <v>2.5525353949735301E-2</v>
      </c>
      <c r="IU104" s="3">
        <f ca="1">IFERROR(__xludf.DUMMYFUNCTION("""COMPUTED_VALUE"""),-0.0167571566909386)</f>
        <v>-1.67571566909386E-2</v>
      </c>
      <c r="IV104" s="3">
        <f ca="1">IFERROR(__xludf.DUMMYFUNCTION("""COMPUTED_VALUE"""),-0.0484013383665348)</f>
        <v>-4.8401338366534798E-2</v>
      </c>
      <c r="IW104" s="3">
        <f ca="1">IFERROR(__xludf.DUMMYFUNCTION("""COMPUTED_VALUE"""),-0.027749376122558)</f>
        <v>-2.7749376122558001E-2</v>
      </c>
      <c r="IX104" s="3">
        <f ca="1">IFERROR(__xludf.DUMMYFUNCTION("""COMPUTED_VALUE"""),-0.0143072389908868)</f>
        <v>-1.43072389908868E-2</v>
      </c>
      <c r="IY104" s="3">
        <f ca="1">IFERROR(__xludf.DUMMYFUNCTION("""COMPUTED_VALUE"""),-0.00552869272035461)</f>
        <v>-5.5286927203546101E-3</v>
      </c>
      <c r="IZ104" s="3">
        <f ca="1">IFERROR(__xludf.DUMMYFUNCTION("""COMPUTED_VALUE"""),-0.0226364434958507)</f>
        <v>-2.26364434958507E-2</v>
      </c>
      <c r="JA104" s="3">
        <f ca="1">IFERROR(__xludf.DUMMYFUNCTION("""COMPUTED_VALUE"""),-0.073310686086788)</f>
        <v>-7.3310686086787993E-2</v>
      </c>
      <c r="JB104" s="3">
        <f ca="1">IFERROR(__xludf.DUMMYFUNCTION("""COMPUTED_VALUE"""),-0.0258270703502219)</f>
        <v>-2.5827070350221901E-2</v>
      </c>
      <c r="JC104" s="3">
        <f ca="1">IFERROR(__xludf.DUMMYFUNCTION("""COMPUTED_VALUE"""),-0.113492511467432)</f>
        <v>-0.113492511467432</v>
      </c>
      <c r="JD104" s="3">
        <f ca="1">IFERROR(__xludf.DUMMYFUNCTION("""COMPUTED_VALUE"""),-0.0545055181447992)</f>
        <v>-5.4505518144799203E-2</v>
      </c>
      <c r="JE104" s="3">
        <f ca="1">IFERROR(__xludf.DUMMYFUNCTION("""COMPUTED_VALUE"""),-0.10560184739187)</f>
        <v>-0.10560184739186999</v>
      </c>
      <c r="JF104" s="3">
        <f ca="1">IFERROR(__xludf.DUMMYFUNCTION("""COMPUTED_VALUE"""),-0.0934747809141813)</f>
        <v>-9.3474780914181294E-2</v>
      </c>
      <c r="JG104" s="3">
        <f ca="1">IFERROR(__xludf.DUMMYFUNCTION("""COMPUTED_VALUE"""),-0.111774514937761)</f>
        <v>-0.111774514937761</v>
      </c>
      <c r="JH104" s="3">
        <f ca="1">IFERROR(__xludf.DUMMYFUNCTION("""COMPUTED_VALUE"""),-0.0845908195682383)</f>
        <v>-8.4590819568238301E-2</v>
      </c>
      <c r="JI104" s="3">
        <f ca="1">IFERROR(__xludf.DUMMYFUNCTION("""COMPUTED_VALUE"""),-0.0746426334974156)</f>
        <v>-7.4642633497415595E-2</v>
      </c>
      <c r="JJ104" s="3">
        <f ca="1">IFERROR(__xludf.DUMMYFUNCTION("""COMPUTED_VALUE"""),-0.0939217509227129)</f>
        <v>-9.3921750922712904E-2</v>
      </c>
      <c r="JK104" s="3">
        <f ca="1">IFERROR(__xludf.DUMMYFUNCTION("""COMPUTED_VALUE"""),-0.0204771959367091)</f>
        <v>-2.0477195936709099E-2</v>
      </c>
      <c r="JL104" s="3">
        <f ca="1">IFERROR(__xludf.DUMMYFUNCTION("""COMPUTED_VALUE"""),-0.0999103990445979)</f>
        <v>-9.9910399044597906E-2</v>
      </c>
      <c r="JM104" s="3">
        <f ca="1">IFERROR(__xludf.DUMMYFUNCTION("""COMPUTED_VALUE"""),-0.117791815903671)</f>
        <v>-0.11779181590367099</v>
      </c>
      <c r="JN104" s="3">
        <f ca="1">IFERROR(__xludf.DUMMYFUNCTION("""COMPUTED_VALUE"""),-0.123003314460181)</f>
        <v>-0.12300331446018101</v>
      </c>
      <c r="JO104" s="3">
        <f ca="1">IFERROR(__xludf.DUMMYFUNCTION("""COMPUTED_VALUE"""),-0.224235750618794)</f>
        <v>-0.224235750618794</v>
      </c>
      <c r="JP104" s="3">
        <f ca="1">IFERROR(__xludf.DUMMYFUNCTION("""COMPUTED_VALUE"""),-0.124133665187425)</f>
        <v>-0.124133665187425</v>
      </c>
      <c r="JQ104" s="3">
        <f ca="1">IFERROR(__xludf.DUMMYFUNCTION("""COMPUTED_VALUE"""),-0.193045287530692)</f>
        <v>-0.193045287530692</v>
      </c>
      <c r="JR104" s="3">
        <f ca="1">IFERROR(__xludf.DUMMYFUNCTION("""COMPUTED_VALUE"""),-0.0965351528987018)</f>
        <v>-9.6535152898701806E-2</v>
      </c>
      <c r="JS104" s="3">
        <f ca="1">IFERROR(__xludf.DUMMYFUNCTION("""COMPUTED_VALUE"""),-0.206778232509723)</f>
        <v>-0.20677823250972299</v>
      </c>
      <c r="JT104" s="3">
        <f ca="1">IFERROR(__xludf.DUMMYFUNCTION("""COMPUTED_VALUE"""),-0.169942697897838)</f>
        <v>-0.169942697897838</v>
      </c>
      <c r="JU104" s="3">
        <f ca="1">IFERROR(__xludf.DUMMYFUNCTION("""COMPUTED_VALUE"""),-0.178177855555095)</f>
        <v>-0.17817785555509499</v>
      </c>
      <c r="JV104" s="3">
        <f ca="1">IFERROR(__xludf.DUMMYFUNCTION("""COMPUTED_VALUE"""),-0.108372850998985)</f>
        <v>-0.108372850998985</v>
      </c>
      <c r="JW104" s="3">
        <f ca="1">IFERROR(__xludf.DUMMYFUNCTION("""COMPUTED_VALUE"""),-0.167103761636462)</f>
        <v>-0.16710376163646201</v>
      </c>
      <c r="JX104" s="3">
        <f ca="1">IFERROR(__xludf.DUMMYFUNCTION("""COMPUTED_VALUE"""),-0.173418209642971)</f>
        <v>-0.173418209642971</v>
      </c>
      <c r="JY104" s="3">
        <f ca="1">IFERROR(__xludf.DUMMYFUNCTION("""COMPUTED_VALUE"""),-0.182065637679675)</f>
        <v>-0.18206563767967501</v>
      </c>
      <c r="JZ104" s="3">
        <f ca="1">IFERROR(__xludf.DUMMYFUNCTION("""COMPUTED_VALUE"""),-0.240589864193901)</f>
        <v>-0.24058986419390099</v>
      </c>
      <c r="KA104" s="3">
        <f ca="1">IFERROR(__xludf.DUMMYFUNCTION("""COMPUTED_VALUE"""),-0.23751741699451)</f>
        <v>-0.23751741699451001</v>
      </c>
      <c r="KB104" s="3">
        <f ca="1">IFERROR(__xludf.DUMMYFUNCTION("""COMPUTED_VALUE"""),-0.219226272498558)</f>
        <v>-0.219226272498558</v>
      </c>
      <c r="KC104" s="3">
        <f ca="1">IFERROR(__xludf.DUMMYFUNCTION("""COMPUTED_VALUE"""),0.0117342259213091)</f>
        <v>1.1734225921309099E-2</v>
      </c>
      <c r="KD104" s="3">
        <f ca="1">IFERROR(__xludf.DUMMYFUNCTION("""COMPUTED_VALUE"""),-0.152960634356922)</f>
        <v>-0.152960634356922</v>
      </c>
      <c r="KE104" s="3">
        <f ca="1">IFERROR(__xludf.DUMMYFUNCTION("""COMPUTED_VALUE"""),-0.263884904219809)</f>
        <v>-0.26388490421980898</v>
      </c>
      <c r="KF104" s="3">
        <f ca="1">IFERROR(__xludf.DUMMYFUNCTION("""COMPUTED_VALUE"""),-0.222540577853789)</f>
        <v>-0.222540577853789</v>
      </c>
      <c r="KG104" s="3">
        <f ca="1">IFERROR(__xludf.DUMMYFUNCTION("""COMPUTED_VALUE"""),-0.257839664836555)</f>
        <v>-0.25783966483655502</v>
      </c>
      <c r="KH104" s="3">
        <f ca="1">IFERROR(__xludf.DUMMYFUNCTION("""COMPUTED_VALUE"""),-0.162613759851044)</f>
        <v>-0.16261375985104401</v>
      </c>
      <c r="KI104" s="3">
        <f ca="1">IFERROR(__xludf.DUMMYFUNCTION("""COMPUTED_VALUE"""),-0.156923541964916)</f>
        <v>-0.15692354196491601</v>
      </c>
      <c r="KJ104" s="3">
        <f ca="1">IFERROR(__xludf.DUMMYFUNCTION("""COMPUTED_VALUE"""),0.0594101000812987)</f>
        <v>5.9410100081298697E-2</v>
      </c>
      <c r="KK104" s="3">
        <f ca="1">IFERROR(__xludf.DUMMYFUNCTION("""COMPUTED_VALUE"""),-0.131810057694801)</f>
        <v>-0.131810057694801</v>
      </c>
      <c r="KL104" s="3">
        <f ca="1">IFERROR(__xludf.DUMMYFUNCTION("""COMPUTED_VALUE"""),-0.248709072791987)</f>
        <v>-0.24870907279198701</v>
      </c>
      <c r="KM104" s="3">
        <f ca="1">IFERROR(__xludf.DUMMYFUNCTION("""COMPUTED_VALUE"""),-0.243851349214401)</f>
        <v>-0.24385134921440099</v>
      </c>
      <c r="KN104" s="3">
        <f ca="1">IFERROR(__xludf.DUMMYFUNCTION("""COMPUTED_VALUE"""),-0.291832416511561)</f>
        <v>-0.291832416511561</v>
      </c>
      <c r="KO104" s="3">
        <f ca="1">IFERROR(__xludf.DUMMYFUNCTION("""COMPUTED_VALUE"""),-0.2642166153805)</f>
        <v>-0.26421661538050001</v>
      </c>
      <c r="KP104" s="3">
        <f ca="1">IFERROR(__xludf.DUMMYFUNCTION("""COMPUTED_VALUE"""),-0.236354982761027)</f>
        <v>-0.23635498276102701</v>
      </c>
      <c r="KQ104" s="3">
        <f ca="1">IFERROR(__xludf.DUMMYFUNCTION("""COMPUTED_VALUE"""),-0.048457787009573)</f>
        <v>-4.8457787009572997E-2</v>
      </c>
      <c r="KR104" s="3">
        <f ca="1">IFERROR(__xludf.DUMMYFUNCTION("""COMPUTED_VALUE"""),-0.134021169654427)</f>
        <v>-0.13402116965442701</v>
      </c>
      <c r="KS104" s="3">
        <f ca="1">IFERROR(__xludf.DUMMYFUNCTION("""COMPUTED_VALUE"""),-0.316345466613726)</f>
        <v>-0.31634546661372598</v>
      </c>
      <c r="KT104" s="3">
        <f ca="1">IFERROR(__xludf.DUMMYFUNCTION("""COMPUTED_VALUE"""),-0.283038556614316)</f>
        <v>-0.28303855661431598</v>
      </c>
      <c r="KU104" s="3">
        <f ca="1">IFERROR(__xludf.DUMMYFUNCTION("""COMPUTED_VALUE"""),-0.413410728122987)</f>
        <v>-0.41341072812298701</v>
      </c>
      <c r="KV104" s="3">
        <f ca="1">IFERROR(__xludf.DUMMYFUNCTION("""COMPUTED_VALUE"""),-0.339630851339586)</f>
        <v>-0.33963085133958598</v>
      </c>
      <c r="KW104" s="3">
        <f ca="1">IFERROR(__xludf.DUMMYFUNCTION("""COMPUTED_VALUE"""),-0.3185513629824)</f>
        <v>-0.3185513629824</v>
      </c>
      <c r="KX104" s="3">
        <f ca="1">IFERROR(__xludf.DUMMYFUNCTION("""COMPUTED_VALUE"""),-0.366977504908578)</f>
        <v>-0.366977504908578</v>
      </c>
      <c r="KY104" s="3">
        <f ca="1">IFERROR(__xludf.DUMMYFUNCTION("""COMPUTED_VALUE"""),-0.332501322830841)</f>
        <v>-0.332501322830841</v>
      </c>
      <c r="KZ104" s="3">
        <f ca="1">IFERROR(__xludf.DUMMYFUNCTION("""COMPUTED_VALUE"""),-0.396066587288211)</f>
        <v>-0.39606658728821098</v>
      </c>
      <c r="LA104" s="3">
        <f ca="1">IFERROR(__xludf.DUMMYFUNCTION("""COMPUTED_VALUE"""),-0.329913793877499)</f>
        <v>-0.32991379387749897</v>
      </c>
      <c r="LB104" s="3">
        <f ca="1">IFERROR(__xludf.DUMMYFUNCTION("""COMPUTED_VALUE"""),-0.401425272953506)</f>
        <v>-0.401425272953506</v>
      </c>
      <c r="LC104" s="3">
        <f ca="1">IFERROR(__xludf.DUMMYFUNCTION("""COMPUTED_VALUE"""),-0.35979449875101)</f>
        <v>-0.35979449875100999</v>
      </c>
      <c r="LD104" s="3">
        <f ca="1">IFERROR(__xludf.DUMMYFUNCTION("""COMPUTED_VALUE"""),-0.370247775222325)</f>
        <v>-0.37024777522232499</v>
      </c>
      <c r="LE104" s="3">
        <f ca="1">IFERROR(__xludf.DUMMYFUNCTION("""COMPUTED_VALUE"""),-0.299011512095629)</f>
        <v>-0.29901151209562898</v>
      </c>
      <c r="LF104" s="3">
        <f ca="1">IFERROR(__xludf.DUMMYFUNCTION("""COMPUTED_VALUE"""),-0.362672345736487)</f>
        <v>-0.36267234573648699</v>
      </c>
      <c r="LG104" s="3">
        <f ca="1">IFERROR(__xludf.DUMMYFUNCTION("""COMPUTED_VALUE"""),-0.375681896300172)</f>
        <v>-0.37568189630017201</v>
      </c>
      <c r="LH104" s="3">
        <f ca="1">IFERROR(__xludf.DUMMYFUNCTION("""COMPUTED_VALUE"""),-0.394514865851967)</f>
        <v>-0.39451486585196699</v>
      </c>
      <c r="LI104" s="3">
        <f ca="1">IFERROR(__xludf.DUMMYFUNCTION("""COMPUTED_VALUE"""),-0.46849182371932)</f>
        <v>-0.46849182371932002</v>
      </c>
      <c r="LJ104" s="3">
        <f ca="1">IFERROR(__xludf.DUMMYFUNCTION("""COMPUTED_VALUE"""),-0.443957469737438)</f>
        <v>-0.44395746973743799</v>
      </c>
      <c r="LK104" s="3">
        <f ca="1">IFERROR(__xludf.DUMMYFUNCTION("""COMPUTED_VALUE"""),-0.475801124349116)</f>
        <v>-0.47580112434911598</v>
      </c>
      <c r="LL104" s="3">
        <f ca="1">IFERROR(__xludf.DUMMYFUNCTION("""COMPUTED_VALUE"""),-0.450199726490741)</f>
        <v>-0.45019972649074103</v>
      </c>
      <c r="LM104" s="3">
        <f ca="1">IFERROR(__xludf.DUMMYFUNCTION("""COMPUTED_VALUE"""),-0.449759433883213)</f>
        <v>-0.44975943388321299</v>
      </c>
      <c r="LN104" s="3">
        <f ca="1">IFERROR(__xludf.DUMMYFUNCTION("""COMPUTED_VALUE"""),-0.420980440009966)</f>
        <v>-0.42098044000996598</v>
      </c>
      <c r="LO104" s="3">
        <f ca="1">IFERROR(__xludf.DUMMYFUNCTION("""COMPUTED_VALUE"""),-0.50585300333732)</f>
        <v>-0.50585300333731997</v>
      </c>
      <c r="LP104" s="3">
        <f ca="1">IFERROR(__xludf.DUMMYFUNCTION("""COMPUTED_VALUE"""),-0.518666167095796)</f>
        <v>-0.51866616709579605</v>
      </c>
      <c r="LQ104" s="3">
        <f ca="1">IFERROR(__xludf.DUMMYFUNCTION("""COMPUTED_VALUE"""),-0.490830313000839)</f>
        <v>-0.49083031300083901</v>
      </c>
      <c r="LR104" s="3">
        <f ca="1">IFERROR(__xludf.DUMMYFUNCTION("""COMPUTED_VALUE"""),-0.537385644503004)</f>
        <v>-0.53738564450300397</v>
      </c>
      <c r="LS104" s="3">
        <f ca="1">IFERROR(__xludf.DUMMYFUNCTION("""COMPUTED_VALUE"""),-0.508782939142616)</f>
        <v>-0.50878293914261596</v>
      </c>
      <c r="LT104" s="3">
        <f ca="1">IFERROR(__xludf.DUMMYFUNCTION("""COMPUTED_VALUE"""),-0.515615508209163)</f>
        <v>-0.51561550820916302</v>
      </c>
      <c r="LU104" s="3">
        <f ca="1">IFERROR(__xludf.DUMMYFUNCTION("""COMPUTED_VALUE"""),-0.536462291246135)</f>
        <v>-0.53646229124613498</v>
      </c>
      <c r="LV104" s="3">
        <f ca="1">IFERROR(__xludf.DUMMYFUNCTION("""COMPUTED_VALUE"""),-0.543170540197251)</f>
        <v>-0.54317054019725097</v>
      </c>
      <c r="LW104" s="3">
        <f ca="1">IFERROR(__xludf.DUMMYFUNCTION("""COMPUTED_VALUE"""),-0.616020176181833)</f>
        <v>-0.61602017618183302</v>
      </c>
      <c r="LX104" s="3">
        <f ca="1">IFERROR(__xludf.DUMMYFUNCTION("""COMPUTED_VALUE"""),-0.586624707565605)</f>
        <v>-0.58662470756560503</v>
      </c>
      <c r="LY104" s="3">
        <f ca="1">IFERROR(__xludf.DUMMYFUNCTION("""COMPUTED_VALUE"""),-0.580440064682386)</f>
        <v>-0.58044006468238596</v>
      </c>
      <c r="LZ104" s="3">
        <f ca="1">IFERROR(__xludf.DUMMYFUNCTION("""COMPUTED_VALUE"""),-0.589162005723942)</f>
        <v>-0.58916200572394195</v>
      </c>
      <c r="MA104" s="3">
        <f ca="1">IFERROR(__xludf.DUMMYFUNCTION("""COMPUTED_VALUE"""),-0.574373762407879)</f>
        <v>-0.57437376240787896</v>
      </c>
      <c r="MB104" s="3">
        <f ca="1">IFERROR(__xludf.DUMMYFUNCTION("""COMPUTED_VALUE"""),-0.697683950677758)</f>
        <v>-0.69768395067775801</v>
      </c>
      <c r="MC104" s="3">
        <f ca="1">IFERROR(__xludf.DUMMYFUNCTION("""COMPUTED_VALUE"""),-0.71011770205497)</f>
        <v>-0.71011770205497005</v>
      </c>
      <c r="MD104" s="3">
        <f ca="1">IFERROR(__xludf.DUMMYFUNCTION("""COMPUTED_VALUE"""),-0.747901974556491)</f>
        <v>-0.74790197455649099</v>
      </c>
      <c r="ME104" s="3">
        <f ca="1">IFERROR(__xludf.DUMMYFUNCTION("""COMPUTED_VALUE"""),-0.707262897732961)</f>
        <v>-0.70726289773296103</v>
      </c>
      <c r="MF104" s="3">
        <f ca="1">IFERROR(__xludf.DUMMYFUNCTION("""COMPUTED_VALUE"""),-0.674632968700017)</f>
        <v>-0.67463296870001699</v>
      </c>
      <c r="MG104" s="3">
        <f ca="1">IFERROR(__xludf.DUMMYFUNCTION("""COMPUTED_VALUE"""),-0.729449674844572)</f>
        <v>-0.72944967484457202</v>
      </c>
      <c r="MH104" s="3">
        <f ca="1">IFERROR(__xludf.DUMMYFUNCTION("""COMPUTED_VALUE"""),-0.718202233421559)</f>
        <v>-0.71820223342155898</v>
      </c>
      <c r="MI104" s="3">
        <f ca="1">IFERROR(__xludf.DUMMYFUNCTION("""COMPUTED_VALUE"""),-0.775085986500595)</f>
        <v>-0.77508598650059501</v>
      </c>
      <c r="MJ104" s="3">
        <f ca="1">IFERROR(__xludf.DUMMYFUNCTION("""COMPUTED_VALUE"""),-0.754055433890204)</f>
        <v>-0.75405543389020402</v>
      </c>
      <c r="MK104" s="3">
        <f ca="1">IFERROR(__xludf.DUMMYFUNCTION("""COMPUTED_VALUE"""),-0.816057644754935)</f>
        <v>-0.81605764475493503</v>
      </c>
      <c r="ML104" s="3">
        <f ca="1">IFERROR(__xludf.DUMMYFUNCTION("""COMPUTED_VALUE"""),-0.761369436980456)</f>
        <v>-0.761369436980456</v>
      </c>
      <c r="MM104" s="3">
        <f ca="1">IFERROR(__xludf.DUMMYFUNCTION("""COMPUTED_VALUE"""),-0.746271645632137)</f>
        <v>-0.74627164563213699</v>
      </c>
      <c r="MN104" s="3">
        <f ca="1">IFERROR(__xludf.DUMMYFUNCTION("""COMPUTED_VALUE"""),-0.765050836995278)</f>
        <v>-0.76505083699527798</v>
      </c>
      <c r="MO104" s="3">
        <f ca="1">IFERROR(__xludf.DUMMYFUNCTION("""COMPUTED_VALUE"""),-0.745692902229498)</f>
        <v>-0.74569290222949802</v>
      </c>
      <c r="MP104" s="3">
        <f ca="1">IFERROR(__xludf.DUMMYFUNCTION("""COMPUTED_VALUE"""),-0.806408122163853)</f>
        <v>-0.80640812216385305</v>
      </c>
      <c r="MQ104" s="3">
        <f ca="1">IFERROR(__xludf.DUMMYFUNCTION("""COMPUTED_VALUE"""),-0.792554845163401)</f>
        <v>-0.79255484516340102</v>
      </c>
      <c r="MR104" s="3">
        <f ca="1">IFERROR(__xludf.DUMMYFUNCTION("""COMPUTED_VALUE"""),-0.771654337175355)</f>
        <v>-0.77165433717535503</v>
      </c>
      <c r="MS104" s="3">
        <f ca="1">IFERROR(__xludf.DUMMYFUNCTION("""COMPUTED_VALUE"""),-0.742101780465473)</f>
        <v>-0.74210178046547304</v>
      </c>
      <c r="MT104" s="3">
        <f ca="1">IFERROR(__xludf.DUMMYFUNCTION("""COMPUTED_VALUE"""),-0.747829925570393)</f>
        <v>-0.74782992557039296</v>
      </c>
      <c r="MU104" s="3">
        <f ca="1">IFERROR(__xludf.DUMMYFUNCTION("""COMPUTED_VALUE"""),-0.772269972107911)</f>
        <v>-0.77226997210791104</v>
      </c>
      <c r="MV104" s="3">
        <f ca="1">IFERROR(__xludf.DUMMYFUNCTION("""COMPUTED_VALUE"""),-0.75069448841278)</f>
        <v>-0.75069448841277997</v>
      </c>
      <c r="MW104" s="3">
        <f ca="1">IFERROR(__xludf.DUMMYFUNCTION("""COMPUTED_VALUE"""),-0.809960875294642)</f>
        <v>-0.809960875294642</v>
      </c>
      <c r="MX104" s="3">
        <f ca="1">IFERROR(__xludf.DUMMYFUNCTION("""COMPUTED_VALUE"""),-0.804168003884375)</f>
        <v>-0.80416800388437504</v>
      </c>
      <c r="MY104" s="3">
        <f ca="1">IFERROR(__xludf.DUMMYFUNCTION("""COMPUTED_VALUE"""),-0.783761157252121)</f>
        <v>-0.78376115725212103</v>
      </c>
      <c r="MZ104" s="3">
        <f ca="1">IFERROR(__xludf.DUMMYFUNCTION("""COMPUTED_VALUE"""),-0.782376010169602)</f>
        <v>-0.78237601016960201</v>
      </c>
      <c r="NA104" s="3">
        <f ca="1">IFERROR(__xludf.DUMMYFUNCTION("""COMPUTED_VALUE"""),-0.782266283628192)</f>
        <v>-0.78226628362819195</v>
      </c>
      <c r="NB104" s="3">
        <f ca="1">IFERROR(__xludf.DUMMYFUNCTION("""COMPUTED_VALUE"""),-0.777619500377012)</f>
        <v>-0.777619500377012</v>
      </c>
      <c r="NC104" s="3">
        <f ca="1">IFERROR(__xludf.DUMMYFUNCTION("""COMPUTED_VALUE"""),-0.79689971398936)</f>
        <v>-0.79689971398935999</v>
      </c>
      <c r="ND104" s="3">
        <f ca="1">IFERROR(__xludf.DUMMYFUNCTION("""COMPUTED_VALUE"""),-0.812343822607375)</f>
        <v>-0.81234382260737503</v>
      </c>
      <c r="NE104" s="3">
        <f ca="1">IFERROR(__xludf.DUMMYFUNCTION("""COMPUTED_VALUE"""),-0.818965427073783)</f>
        <v>-0.81896542707378295</v>
      </c>
      <c r="NF104" s="3">
        <f ca="1">IFERROR(__xludf.DUMMYFUNCTION("""COMPUTED_VALUE"""),-0.801369161693971)</f>
        <v>-0.80136916169397099</v>
      </c>
      <c r="NG104" s="3">
        <f ca="1">IFERROR(__xludf.DUMMYFUNCTION("""COMPUTED_VALUE"""),-0.803275094789915)</f>
        <v>-0.80327509478991499</v>
      </c>
      <c r="NH104" s="3">
        <f ca="1">IFERROR(__xludf.DUMMYFUNCTION("""COMPUTED_VALUE"""),-0.809707603144067)</f>
        <v>-0.80970760314406698</v>
      </c>
      <c r="NI104" s="3">
        <f ca="1">IFERROR(__xludf.DUMMYFUNCTION("""COMPUTED_VALUE"""),-0.785948245599194)</f>
        <v>-0.78594824559919396</v>
      </c>
      <c r="NJ104" s="3">
        <f ca="1">IFERROR(__xludf.DUMMYFUNCTION("""COMPUTED_VALUE"""),-0.785168562268643)</f>
        <v>-0.78516856226864296</v>
      </c>
      <c r="NK104" s="3">
        <f ca="1">IFERROR(__xludf.DUMMYFUNCTION("""COMPUTED_VALUE"""),-0.830402174357339)</f>
        <v>-0.83040217435733898</v>
      </c>
      <c r="NL104" s="3">
        <f ca="1">IFERROR(__xludf.DUMMYFUNCTION("""COMPUTED_VALUE"""),-0.846126234980293)</f>
        <v>-0.84612623498029305</v>
      </c>
      <c r="NM104" s="3">
        <f ca="1">IFERROR(__xludf.DUMMYFUNCTION("""COMPUTED_VALUE"""),-0.836198388137171)</f>
        <v>-0.83619838813717096</v>
      </c>
      <c r="NN104" s="3">
        <f ca="1">IFERROR(__xludf.DUMMYFUNCTION("""COMPUTED_VALUE"""),-0.829495920545371)</f>
        <v>-0.82949592054537102</v>
      </c>
      <c r="NO104" s="3">
        <f ca="1">IFERROR(__xludf.DUMMYFUNCTION("""COMPUTED_VALUE"""),-0.821452369423614)</f>
        <v>-0.82145236942361399</v>
      </c>
      <c r="NP104" s="3">
        <f ca="1">IFERROR(__xludf.DUMMYFUNCTION("""COMPUTED_VALUE"""),-0.796020316858341)</f>
        <v>-0.79602031685834096</v>
      </c>
      <c r="NQ104" s="3">
        <f ca="1">IFERROR(__xludf.DUMMYFUNCTION("""COMPUTED_VALUE"""),-0.768613889692669)</f>
        <v>-0.76861388969266897</v>
      </c>
      <c r="NR104" s="3">
        <f ca="1">IFERROR(__xludf.DUMMYFUNCTION("""COMPUTED_VALUE"""),-0.852856607081656)</f>
        <v>-0.852856607081656</v>
      </c>
      <c r="NS104" s="3">
        <f ca="1">IFERROR(__xludf.DUMMYFUNCTION("""COMPUTED_VALUE"""),-0.844487428939137)</f>
        <v>-0.84448742893913697</v>
      </c>
      <c r="NT104" s="3">
        <f ca="1">IFERROR(__xludf.DUMMYFUNCTION("""COMPUTED_VALUE"""),-0.833052073628703)</f>
        <v>-0.83305207362870304</v>
      </c>
      <c r="NU104" s="3">
        <f ca="1">IFERROR(__xludf.DUMMYFUNCTION("""COMPUTED_VALUE"""),-0.813410408540379)</f>
        <v>-0.81341040854037905</v>
      </c>
      <c r="NV104" s="3">
        <f ca="1">IFERROR(__xludf.DUMMYFUNCTION("""COMPUTED_VALUE"""),-0.819486930586646)</f>
        <v>-0.81948693058664601</v>
      </c>
      <c r="NW104" s="3">
        <f ca="1">IFERROR(__xludf.DUMMYFUNCTION("""COMPUTED_VALUE"""),-0.765383696839456)</f>
        <v>-0.76538369683945595</v>
      </c>
      <c r="NX104" s="3">
        <f ca="1">IFERROR(__xludf.DUMMYFUNCTION("""COMPUTED_VALUE"""),-0.773876137595907)</f>
        <v>-0.77387613759590701</v>
      </c>
      <c r="NY104" s="3">
        <f ca="1">IFERROR(__xludf.DUMMYFUNCTION("""COMPUTED_VALUE"""),-0.80751069030143)</f>
        <v>-0.80751069030142997</v>
      </c>
      <c r="NZ104" s="3">
        <f ca="1">IFERROR(__xludf.DUMMYFUNCTION("""COMPUTED_VALUE"""),-0.811046514854724)</f>
        <v>-0.81104651485472401</v>
      </c>
      <c r="OA104" s="3">
        <f ca="1">IFERROR(__xludf.DUMMYFUNCTION("""COMPUTED_VALUE"""),-0.799513129570505)</f>
        <v>-0.79951312957050502</v>
      </c>
      <c r="OB104" s="3">
        <f ca="1">IFERROR(__xludf.DUMMYFUNCTION("""COMPUTED_VALUE"""),-0.778210809560358)</f>
        <v>-0.77821080956035804</v>
      </c>
      <c r="OC104" s="3">
        <f ca="1">IFERROR(__xludf.DUMMYFUNCTION("""COMPUTED_VALUE"""),-0.783760098449995)</f>
        <v>-0.78376009844999495</v>
      </c>
      <c r="OD104" s="3">
        <f ca="1">IFERROR(__xludf.DUMMYFUNCTION("""COMPUTED_VALUE"""),-0.662588110421891)</f>
        <v>-0.66258811042189103</v>
      </c>
      <c r="OE104" s="3">
        <f ca="1">IFERROR(__xludf.DUMMYFUNCTION("""COMPUTED_VALUE"""),-0.413315883155635)</f>
        <v>-0.413315883155635</v>
      </c>
      <c r="OF104" s="3">
        <f ca="1">IFERROR(__xludf.DUMMYFUNCTION("""COMPUTED_VALUE"""),-0.307013745042871)</f>
        <v>-0.30701374504287099</v>
      </c>
      <c r="OG104" s="3">
        <f ca="1">IFERROR(__xludf.DUMMYFUNCTION("""COMPUTED_VALUE"""),-0.237432936480489)</f>
        <v>-0.23743293648048899</v>
      </c>
      <c r="OH104" s="3">
        <f ca="1">IFERROR(__xludf.DUMMYFUNCTION("""COMPUTED_VALUE"""),-0.0579820406535801)</f>
        <v>-5.7982040653580098E-2</v>
      </c>
      <c r="OI104" s="3">
        <f ca="1">IFERROR(__xludf.DUMMYFUNCTION("""COMPUTED_VALUE"""),-0.0455486989112936)</f>
        <v>-4.5548698911293602E-2</v>
      </c>
      <c r="OJ104" s="3">
        <f ca="1">IFERROR(__xludf.DUMMYFUNCTION("""COMPUTED_VALUE"""),0.00149745896085273)</f>
        <v>1.49745896085273E-3</v>
      </c>
      <c r="OK104" s="3">
        <f ca="1">IFERROR(__xludf.DUMMYFUNCTION("""COMPUTED_VALUE"""),-0.021149237593291)</f>
        <v>-2.1149237593291001E-2</v>
      </c>
      <c r="OL104" s="3">
        <f ca="1">IFERROR(__xludf.DUMMYFUNCTION("""COMPUTED_VALUE"""),-0.0341819088761192)</f>
        <v>-3.4181908876119202E-2</v>
      </c>
      <c r="OM104" s="3">
        <f ca="1">IFERROR(__xludf.DUMMYFUNCTION("""COMPUTED_VALUE"""),-0.0939051149827567)</f>
        <v>-9.3905114982756693E-2</v>
      </c>
      <c r="ON104" s="3">
        <f ca="1">IFERROR(__xludf.DUMMYFUNCTION("""COMPUTED_VALUE"""),0.0261392466186811)</f>
        <v>2.6139246618681101E-2</v>
      </c>
      <c r="OO104" s="3">
        <f ca="1">IFERROR(__xludf.DUMMYFUNCTION("""COMPUTED_VALUE"""),0.0917380274625718)</f>
        <v>9.17380274625718E-2</v>
      </c>
      <c r="OP104" s="3">
        <f ca="1">IFERROR(__xludf.DUMMYFUNCTION("""COMPUTED_VALUE"""),0.0246436877016351)</f>
        <v>2.4643687701635102E-2</v>
      </c>
      <c r="OQ104" s="3">
        <f ca="1">IFERROR(__xludf.DUMMYFUNCTION("""COMPUTED_VALUE"""),0.0752621152647312)</f>
        <v>7.52621152647312E-2</v>
      </c>
      <c r="OR104" s="3">
        <f ca="1">IFERROR(__xludf.DUMMYFUNCTION("""COMPUTED_VALUE"""),0.171716933989919)</f>
        <v>0.171716933989919</v>
      </c>
      <c r="OS104" s="3">
        <f ca="1">IFERROR(__xludf.DUMMYFUNCTION("""COMPUTED_VALUE"""),0.16068783133704)</f>
        <v>0.16068783133704001</v>
      </c>
      <c r="OT104" s="3">
        <f ca="1">IFERROR(__xludf.DUMMYFUNCTION("""COMPUTED_VALUE"""),-0.116165653999695)</f>
        <v>-0.116165653999695</v>
      </c>
      <c r="OU104" s="3">
        <f ca="1">IFERROR(__xludf.DUMMYFUNCTION("""COMPUTED_VALUE"""),0.0650844591787138)</f>
        <v>6.5084459178713805E-2</v>
      </c>
      <c r="OV104" s="3">
        <f ca="1">IFERROR(__xludf.DUMMYFUNCTION("""COMPUTED_VALUE"""),0.138859813167909)</f>
        <v>0.13885981316790899</v>
      </c>
      <c r="OW104" s="3">
        <f ca="1">IFERROR(__xludf.DUMMYFUNCTION("""COMPUTED_VALUE"""),0.0480262322109974)</f>
        <v>4.8026232210997402E-2</v>
      </c>
      <c r="OX104" s="3">
        <f ca="1">IFERROR(__xludf.DUMMYFUNCTION("""COMPUTED_VALUE"""),0.0774781449935668)</f>
        <v>7.7478144993566797E-2</v>
      </c>
      <c r="OY104" s="3">
        <f ca="1">IFERROR(__xludf.DUMMYFUNCTION("""COMPUTED_VALUE"""),0.124681931302388)</f>
        <v>0.124681931302388</v>
      </c>
      <c r="OZ104" s="3">
        <f ca="1">IFERROR(__xludf.DUMMYFUNCTION("""COMPUTED_VALUE"""),0.128882134207808)</f>
        <v>0.128882134207808</v>
      </c>
      <c r="PA104" s="3">
        <f ca="1">IFERROR(__xludf.DUMMYFUNCTION("""COMPUTED_VALUE"""),-0.0790907270177742)</f>
        <v>-7.9090727017774198E-2</v>
      </c>
      <c r="PB104" s="3">
        <f ca="1">IFERROR(__xludf.DUMMYFUNCTION("""COMPUTED_VALUE"""),-0.0835138030642871)</f>
        <v>-8.3513803064287101E-2</v>
      </c>
      <c r="PC104" s="3">
        <f ca="1">IFERROR(__xludf.DUMMYFUNCTION("""COMPUTED_VALUE"""),-0.0980898266373008)</f>
        <v>-9.80898266373008E-2</v>
      </c>
      <c r="PD104" s="3">
        <f ca="1">IFERROR(__xludf.DUMMYFUNCTION("""COMPUTED_VALUE"""),-0.0669448938540666)</f>
        <v>-6.6944893854066601E-2</v>
      </c>
      <c r="PE104" s="3">
        <f ca="1">IFERROR(__xludf.DUMMYFUNCTION("""COMPUTED_VALUE"""),-0.0867963448936121)</f>
        <v>-8.6796344893612098E-2</v>
      </c>
      <c r="PF104" s="3">
        <f ca="1">IFERROR(__xludf.DUMMYFUNCTION("""COMPUTED_VALUE"""),0.025949204275095)</f>
        <v>2.5949204275094999E-2</v>
      </c>
      <c r="PG104" s="3">
        <f ca="1">IFERROR(__xludf.DUMMYFUNCTION("""COMPUTED_VALUE"""),0.0789008463254241)</f>
        <v>7.8900846325424101E-2</v>
      </c>
      <c r="PH104" s="3">
        <f ca="1">IFERROR(__xludf.DUMMYFUNCTION("""COMPUTED_VALUE"""),-0.0299647035901188)</f>
        <v>-2.99647035901188E-2</v>
      </c>
      <c r="PI104" s="3">
        <f ca="1">IFERROR(__xludf.DUMMYFUNCTION("""COMPUTED_VALUE"""),-0.121491974634805)</f>
        <v>-0.121491974634805</v>
      </c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</row>
    <row r="105" spans="1:477" ht="13">
      <c r="A105" s="1" t="str">
        <f ca="1">IFERROR(__xludf.DUMMYFUNCTION("""COMPUTED_VALUE"""),"RATP Bus")</f>
        <v>RATP Bus</v>
      </c>
      <c r="B105" s="1" t="str">
        <f ca="1">IFERROR(__xludf.DUMMYFUNCTION("""COMPUTED_VALUE"""),"Paris")</f>
        <v>Paris</v>
      </c>
      <c r="C105" s="1" t="str">
        <f ca="1">IFERROR(__xludf.DUMMYFUNCTION("""COMPUTED_VALUE"""),"France")</f>
        <v>France</v>
      </c>
      <c r="D105" s="1" t="str">
        <f ca="1">IFERROR(__xludf.DUMMYFUNCTION("""COMPUTED_VALUE"""),"Île-de-France")</f>
        <v>Île-de-France</v>
      </c>
      <c r="E105" s="3">
        <f ca="1">IFERROR(__xludf.DUMMYFUNCTION("""COMPUTED_VALUE"""),-0.246666554089318)</f>
        <v>-0.24666655408931801</v>
      </c>
      <c r="F105" s="3">
        <f ca="1">IFERROR(__xludf.DUMMYFUNCTION("""COMPUTED_VALUE"""),-0.198830596028387)</f>
        <v>-0.19883059602838701</v>
      </c>
      <c r="G105" s="3">
        <f ca="1">IFERROR(__xludf.DUMMYFUNCTION("""COMPUTED_VALUE"""),-0.17976422855217)</f>
        <v>-0.17976422855217</v>
      </c>
      <c r="H105" s="3">
        <f ca="1">IFERROR(__xludf.DUMMYFUNCTION("""COMPUTED_VALUE"""),-0.182715876892577)</f>
        <v>-0.18271587689257701</v>
      </c>
      <c r="I105" s="3">
        <f ca="1">IFERROR(__xludf.DUMMYFUNCTION("""COMPUTED_VALUE"""),-0.176980958137421)</f>
        <v>-0.17698095813742101</v>
      </c>
      <c r="J105" s="3">
        <f ca="1">IFERROR(__xludf.DUMMYFUNCTION("""COMPUTED_VALUE"""),-0.270205168231262)</f>
        <v>-0.27020516823126201</v>
      </c>
      <c r="K105" s="3">
        <f ca="1">IFERROR(__xludf.DUMMYFUNCTION("""COMPUTED_VALUE"""),-0.113238037734608)</f>
        <v>-0.113238037734608</v>
      </c>
      <c r="L105" s="3">
        <f ca="1">IFERROR(__xludf.DUMMYFUNCTION("""COMPUTED_VALUE"""),-0.196673911127034)</f>
        <v>-0.196673911127034</v>
      </c>
      <c r="M105" s="3">
        <f ca="1">IFERROR(__xludf.DUMMYFUNCTION("""COMPUTED_VALUE"""),-0.038316036950846)</f>
        <v>-3.8316036950845997E-2</v>
      </c>
      <c r="N105" s="3">
        <f ca="1">IFERROR(__xludf.DUMMYFUNCTION("""COMPUTED_VALUE"""),-0.0129327070209631)</f>
        <v>-1.2932707020963099E-2</v>
      </c>
      <c r="O105" s="3">
        <f ca="1">IFERROR(__xludf.DUMMYFUNCTION("""COMPUTED_VALUE"""),0.0200906562093596)</f>
        <v>2.0090656209359601E-2</v>
      </c>
      <c r="P105" s="3">
        <f ca="1">IFERROR(__xludf.DUMMYFUNCTION("""COMPUTED_VALUE"""),0.0652475272906791)</f>
        <v>6.5247527290679105E-2</v>
      </c>
      <c r="Q105" s="3">
        <f ca="1">IFERROR(__xludf.DUMMYFUNCTION("""COMPUTED_VALUE"""),0.0551962372459791)</f>
        <v>5.51962372459791E-2</v>
      </c>
      <c r="R105" s="3">
        <f ca="1">IFERROR(__xludf.DUMMYFUNCTION("""COMPUTED_VALUE"""),-0.16567744359097)</f>
        <v>-0.16567744359097</v>
      </c>
      <c r="S105" s="3">
        <f ca="1">IFERROR(__xludf.DUMMYFUNCTION("""COMPUTED_VALUE"""),-0.197993758804611)</f>
        <v>-0.19799375880461101</v>
      </c>
      <c r="T105" s="3">
        <f ca="1">IFERROR(__xludf.DUMMYFUNCTION("""COMPUTED_VALUE"""),-0.0491914474083559)</f>
        <v>-4.9191447408355897E-2</v>
      </c>
      <c r="U105" s="3">
        <f ca="1">IFERROR(__xludf.DUMMYFUNCTION("""COMPUTED_VALUE"""),-0.0176264139483108)</f>
        <v>-1.7626413948310798E-2</v>
      </c>
      <c r="V105" s="3">
        <f ca="1">IFERROR(__xludf.DUMMYFUNCTION("""COMPUTED_VALUE"""),-0.0226349843980383)</f>
        <v>-2.2634984398038301E-2</v>
      </c>
      <c r="W105" s="3">
        <f ca="1">IFERROR(__xludf.DUMMYFUNCTION("""COMPUTED_VALUE"""),0.0179265213399106)</f>
        <v>1.79265213399106E-2</v>
      </c>
      <c r="X105" s="3">
        <f ca="1">IFERROR(__xludf.DUMMYFUNCTION("""COMPUTED_VALUE"""),0.0230182720187155)</f>
        <v>2.3018272018715501E-2</v>
      </c>
      <c r="Y105" s="3">
        <f ca="1">IFERROR(__xludf.DUMMYFUNCTION("""COMPUTED_VALUE"""),-0.246616670952873)</f>
        <v>-0.24661667095287301</v>
      </c>
      <c r="Z105" s="3">
        <f ca="1">IFERROR(__xludf.DUMMYFUNCTION("""COMPUTED_VALUE"""),-0.280454103502522)</f>
        <v>-0.28045410350252198</v>
      </c>
      <c r="AA105" s="3">
        <f ca="1">IFERROR(__xludf.DUMMYFUNCTION("""COMPUTED_VALUE"""),0.0670434470582481)</f>
        <v>6.7043447058248107E-2</v>
      </c>
      <c r="AB105" s="3">
        <f ca="1">IFERROR(__xludf.DUMMYFUNCTION("""COMPUTED_VALUE"""),0.0142557006698136)</f>
        <v>1.42557006698136E-2</v>
      </c>
      <c r="AC105" s="3">
        <f ca="1">IFERROR(__xludf.DUMMYFUNCTION("""COMPUTED_VALUE"""),0.0285817392098302)</f>
        <v>2.85817392098302E-2</v>
      </c>
      <c r="AD105" s="3">
        <f ca="1">IFERROR(__xludf.DUMMYFUNCTION("""COMPUTED_VALUE"""),0.0585736257686375)</f>
        <v>5.8573625768637498E-2</v>
      </c>
      <c r="AE105" s="3">
        <f ca="1">IFERROR(__xludf.DUMMYFUNCTION("""COMPUTED_VALUE"""),0.0789407073160994)</f>
        <v>7.8940707316099396E-2</v>
      </c>
      <c r="AF105" s="3">
        <f ca="1">IFERROR(__xludf.DUMMYFUNCTION("""COMPUTED_VALUE"""),-0.0205299786405935)</f>
        <v>-2.0529978640593499E-2</v>
      </c>
      <c r="AG105" s="3">
        <f ca="1">IFERROR(__xludf.DUMMYFUNCTION("""COMPUTED_VALUE"""),-0.047700237878827)</f>
        <v>-4.7700237878826997E-2</v>
      </c>
      <c r="AH105" s="3">
        <f ca="1">IFERROR(__xludf.DUMMYFUNCTION("""COMPUTED_VALUE"""),0.0120095273611722)</f>
        <v>1.2009527361172201E-2</v>
      </c>
      <c r="AI105" s="3">
        <f ca="1">IFERROR(__xludf.DUMMYFUNCTION("""COMPUTED_VALUE"""),0.0338712083700394)</f>
        <v>3.3871208370039402E-2</v>
      </c>
      <c r="AJ105" s="3">
        <f ca="1">IFERROR(__xludf.DUMMYFUNCTION("""COMPUTED_VALUE"""),0.0662905862701186)</f>
        <v>6.6290586270118607E-2</v>
      </c>
      <c r="AK105" s="3">
        <f ca="1">IFERROR(__xludf.DUMMYFUNCTION("""COMPUTED_VALUE"""),0.0738933034390529)</f>
        <v>7.3893303439052899E-2</v>
      </c>
      <c r="AL105" s="3">
        <f ca="1">IFERROR(__xludf.DUMMYFUNCTION("""COMPUTED_VALUE"""),0.108066647479648)</f>
        <v>0.108066647479648</v>
      </c>
      <c r="AM105" s="3">
        <f ca="1">IFERROR(__xludf.DUMMYFUNCTION("""COMPUTED_VALUE"""),0.000446589220346682)</f>
        <v>4.4658922034668198E-4</v>
      </c>
      <c r="AN105" s="3">
        <f ca="1">IFERROR(__xludf.DUMMYFUNCTION("""COMPUTED_VALUE"""),-0.00486244542428548)</f>
        <v>-4.86244542428548E-3</v>
      </c>
      <c r="AO105" s="3">
        <f ca="1">IFERROR(__xludf.DUMMYFUNCTION("""COMPUTED_VALUE"""),0.0929201652429747)</f>
        <v>9.2920165242974695E-2</v>
      </c>
      <c r="AP105" s="3">
        <f ca="1">IFERROR(__xludf.DUMMYFUNCTION("""COMPUTED_VALUE"""),0.0999705086307995)</f>
        <v>9.9970508630799496E-2</v>
      </c>
      <c r="AQ105" s="3">
        <f ca="1">IFERROR(__xludf.DUMMYFUNCTION("""COMPUTED_VALUE"""),0.0978486305906825)</f>
        <v>9.7848630590682495E-2</v>
      </c>
      <c r="AR105" s="3">
        <f ca="1">IFERROR(__xludf.DUMMYFUNCTION("""COMPUTED_VALUE"""),0.132792206259799)</f>
        <v>0.13279220625979901</v>
      </c>
      <c r="AS105" s="3">
        <f ca="1">IFERROR(__xludf.DUMMYFUNCTION("""COMPUTED_VALUE"""),0.111006538106433)</f>
        <v>0.111006538106433</v>
      </c>
      <c r="AT105" s="3">
        <f ca="1">IFERROR(__xludf.DUMMYFUNCTION("""COMPUTED_VALUE"""),0.0101579811889849)</f>
        <v>1.0157981188984901E-2</v>
      </c>
      <c r="AU105" s="3">
        <f ca="1">IFERROR(__xludf.DUMMYFUNCTION("""COMPUTED_VALUE"""),0.00996911694793789)</f>
        <v>9.9691169479378897E-3</v>
      </c>
      <c r="AV105" s="3">
        <f ca="1">IFERROR(__xludf.DUMMYFUNCTION("""COMPUTED_VALUE"""),-0.0643785739659512)</f>
        <v>-6.4378573965951202E-2</v>
      </c>
      <c r="AW105" s="3">
        <f ca="1">IFERROR(__xludf.DUMMYFUNCTION("""COMPUTED_VALUE"""),-0.0281838700685592)</f>
        <v>-2.81838700685592E-2</v>
      </c>
      <c r="AX105" s="3">
        <f ca="1">IFERROR(__xludf.DUMMYFUNCTION("""COMPUTED_VALUE"""),-0.00448394176873445)</f>
        <v>-4.4839417687344502E-3</v>
      </c>
      <c r="AY105" s="3">
        <f ca="1">IFERROR(__xludf.DUMMYFUNCTION("""COMPUTED_VALUE"""),-0.0674748012586428)</f>
        <v>-6.7474801258642803E-2</v>
      </c>
      <c r="AZ105" s="3">
        <f ca="1">IFERROR(__xludf.DUMMYFUNCTION("""COMPUTED_VALUE"""),-0.0554936350432185)</f>
        <v>-5.5493635043218498E-2</v>
      </c>
      <c r="BA105" s="3">
        <f ca="1">IFERROR(__xludf.DUMMYFUNCTION("""COMPUTED_VALUE"""),-0.0119772865719226)</f>
        <v>-1.19772865719226E-2</v>
      </c>
      <c r="BB105" s="3">
        <f ca="1">IFERROR(__xludf.DUMMYFUNCTION("""COMPUTED_VALUE"""),-0.0228399998805992)</f>
        <v>-2.2839999880599201E-2</v>
      </c>
      <c r="BC105" s="3">
        <f ca="1">IFERROR(__xludf.DUMMYFUNCTION("""COMPUTED_VALUE"""),-0.114623952658767)</f>
        <v>-0.114623952658767</v>
      </c>
      <c r="BD105" s="3">
        <f ca="1">IFERROR(__xludf.DUMMYFUNCTION("""COMPUTED_VALUE"""),-0.113508331379963)</f>
        <v>-0.113508331379963</v>
      </c>
      <c r="BE105" s="3">
        <f ca="1">IFERROR(__xludf.DUMMYFUNCTION("""COMPUTED_VALUE"""),-0.109840730318018)</f>
        <v>-0.109840730318018</v>
      </c>
      <c r="BF105" s="3">
        <f ca="1">IFERROR(__xludf.DUMMYFUNCTION("""COMPUTED_VALUE"""),-0.0392600400179306)</f>
        <v>-3.9260040017930598E-2</v>
      </c>
      <c r="BG105" s="3">
        <f ca="1">IFERROR(__xludf.DUMMYFUNCTION("""COMPUTED_VALUE"""),-0.0291862021847169)</f>
        <v>-2.9186202184716899E-2</v>
      </c>
      <c r="BH105" s="3">
        <f ca="1">IFERROR(__xludf.DUMMYFUNCTION("""COMPUTED_VALUE"""),-0.0666606363198162)</f>
        <v>-6.6660636319816197E-2</v>
      </c>
      <c r="BI105" s="3">
        <f ca="1">IFERROR(__xludf.DUMMYFUNCTION("""COMPUTED_VALUE"""),-0.10830848338576)</f>
        <v>-0.10830848338576</v>
      </c>
      <c r="BJ105" s="3">
        <f ca="1">IFERROR(__xludf.DUMMYFUNCTION("""COMPUTED_VALUE"""),-0.0751621118121264)</f>
        <v>-7.5162111812126398E-2</v>
      </c>
      <c r="BK105" s="3">
        <f ca="1">IFERROR(__xludf.DUMMYFUNCTION("""COMPUTED_VALUE"""),-0.0595165126826567)</f>
        <v>-5.9516512682656703E-2</v>
      </c>
      <c r="BL105" s="3">
        <f ca="1">IFERROR(__xludf.DUMMYFUNCTION("""COMPUTED_VALUE"""),-0.031293115739489)</f>
        <v>-3.1293115739489001E-2</v>
      </c>
      <c r="BM105" s="3">
        <f ca="1">IFERROR(__xludf.DUMMYFUNCTION("""COMPUTED_VALUE"""),-0.0162062645942007)</f>
        <v>-1.6206264594200701E-2</v>
      </c>
      <c r="BN105" s="3">
        <f ca="1">IFERROR(__xludf.DUMMYFUNCTION("""COMPUTED_VALUE"""),-0.0409815584108841)</f>
        <v>-4.0981558410884099E-2</v>
      </c>
      <c r="BO105" s="3">
        <f ca="1">IFERROR(__xludf.DUMMYFUNCTION("""COMPUTED_VALUE"""),-0.112230053992708)</f>
        <v>-0.112230053992708</v>
      </c>
      <c r="BP105" s="3">
        <f ca="1">IFERROR(__xludf.DUMMYFUNCTION("""COMPUTED_VALUE"""),-0.0765013445401496)</f>
        <v>-7.6501344540149605E-2</v>
      </c>
      <c r="BQ105" s="3">
        <f ca="1">IFERROR(__xludf.DUMMYFUNCTION("""COMPUTED_VALUE"""),-0.0151747962074698)</f>
        <v>-1.5174796207469801E-2</v>
      </c>
      <c r="BR105" s="3">
        <f ca="1">IFERROR(__xludf.DUMMYFUNCTION("""COMPUTED_VALUE"""),-0.101800103676961)</f>
        <v>-0.101800103676961</v>
      </c>
      <c r="BS105" s="3">
        <f ca="1">IFERROR(__xludf.DUMMYFUNCTION("""COMPUTED_VALUE"""),-0.138864886367864)</f>
        <v>-0.13886488636786401</v>
      </c>
      <c r="BT105" s="3">
        <f ca="1">IFERROR(__xludf.DUMMYFUNCTION("""COMPUTED_VALUE"""),-0.134178265381378)</f>
        <v>-0.134178265381378</v>
      </c>
      <c r="BU105" s="3">
        <f ca="1">IFERROR(__xludf.DUMMYFUNCTION("""COMPUTED_VALUE"""),-0.163372472040165)</f>
        <v>-0.163372472040165</v>
      </c>
      <c r="BV105" s="3">
        <f ca="1">IFERROR(__xludf.DUMMYFUNCTION("""COMPUTED_VALUE"""),-0.0875386969548585)</f>
        <v>-8.7538696954858497E-2</v>
      </c>
      <c r="BW105" s="3">
        <f ca="1">IFERROR(__xludf.DUMMYFUNCTION("""COMPUTED_VALUE"""),-0.0929363667561526)</f>
        <v>-9.2936366756152605E-2</v>
      </c>
      <c r="BX105" s="3">
        <f ca="1">IFERROR(__xludf.DUMMYFUNCTION("""COMPUTED_VALUE"""),-0.221605718660331)</f>
        <v>-0.22160571866033099</v>
      </c>
      <c r="BY105" s="3">
        <f ca="1">IFERROR(__xludf.DUMMYFUNCTION("""COMPUTED_VALUE"""),-0.161955673933599)</f>
        <v>-0.161955673933599</v>
      </c>
      <c r="BZ105" s="3">
        <f ca="1">IFERROR(__xludf.DUMMYFUNCTION("""COMPUTED_VALUE"""),-0.195852150118664)</f>
        <v>-0.195852150118664</v>
      </c>
      <c r="CA105" s="3">
        <f ca="1">IFERROR(__xludf.DUMMYFUNCTION("""COMPUTED_VALUE"""),-0.176123152883392)</f>
        <v>-0.176123152883392</v>
      </c>
      <c r="CB105" s="3">
        <f ca="1">IFERROR(__xludf.DUMMYFUNCTION("""COMPUTED_VALUE"""),-0.198198516895482)</f>
        <v>-0.19819851689548201</v>
      </c>
      <c r="CC105" s="3">
        <f ca="1">IFERROR(__xludf.DUMMYFUNCTION("""COMPUTED_VALUE"""),-0.211637307344777)</f>
        <v>-0.21163730734477701</v>
      </c>
      <c r="CD105" s="3">
        <f ca="1">IFERROR(__xludf.DUMMYFUNCTION("""COMPUTED_VALUE"""),-0.26509471953639)</f>
        <v>-0.26509471953639002</v>
      </c>
      <c r="CE105" s="3">
        <f ca="1">IFERROR(__xludf.DUMMYFUNCTION("""COMPUTED_VALUE"""),-0.278231429052212)</f>
        <v>-0.27823142905221199</v>
      </c>
      <c r="CF105" s="3">
        <f ca="1">IFERROR(__xludf.DUMMYFUNCTION("""COMPUTED_VALUE"""),-0.215287234641988)</f>
        <v>-0.21528723464198801</v>
      </c>
      <c r="CG105" s="3">
        <f ca="1">IFERROR(__xludf.DUMMYFUNCTION("""COMPUTED_VALUE"""),-0.265748670981428)</f>
        <v>-0.26574867098142801</v>
      </c>
      <c r="CH105" s="3">
        <f ca="1">IFERROR(__xludf.DUMMYFUNCTION("""COMPUTED_VALUE"""),-0.258224432386897)</f>
        <v>-0.25822443238689702</v>
      </c>
      <c r="CI105" s="3">
        <f ca="1">IFERROR(__xludf.DUMMYFUNCTION("""COMPUTED_VALUE"""),-0.268332356160739)</f>
        <v>-0.26833235616073903</v>
      </c>
      <c r="CJ105" s="3">
        <f ca="1">IFERROR(__xludf.DUMMYFUNCTION("""COMPUTED_VALUE"""),-0.31340131374052)</f>
        <v>-0.31340131374051999</v>
      </c>
      <c r="CK105" s="3">
        <f ca="1">IFERROR(__xludf.DUMMYFUNCTION("""COMPUTED_VALUE"""),-0.338251285862868)</f>
        <v>-0.33825128586286801</v>
      </c>
      <c r="CL105" s="3">
        <f ca="1">IFERROR(__xludf.DUMMYFUNCTION("""COMPUTED_VALUE"""),-0.33723441970248)</f>
        <v>-0.33723441970248003</v>
      </c>
      <c r="CM105" s="3">
        <f ca="1">IFERROR(__xludf.DUMMYFUNCTION("""COMPUTED_VALUE"""),-0.319163847555687)</f>
        <v>-0.319163847555687</v>
      </c>
      <c r="CN105" s="3">
        <f ca="1">IFERROR(__xludf.DUMMYFUNCTION("""COMPUTED_VALUE"""),-0.339749256469174)</f>
        <v>-0.33974925646917398</v>
      </c>
      <c r="CO105" s="3">
        <f ca="1">IFERROR(__xludf.DUMMYFUNCTION("""COMPUTED_VALUE"""),-0.331702573208727)</f>
        <v>-0.33170257320872698</v>
      </c>
      <c r="CP105" s="3">
        <f ca="1">IFERROR(__xludf.DUMMYFUNCTION("""COMPUTED_VALUE"""),-0.356045431560302)</f>
        <v>-0.35604543156030199</v>
      </c>
      <c r="CQ105" s="3">
        <f ca="1">IFERROR(__xludf.DUMMYFUNCTION("""COMPUTED_VALUE"""),-0.337113871318092)</f>
        <v>-0.33711387131809201</v>
      </c>
      <c r="CR105" s="3">
        <f ca="1">IFERROR(__xludf.DUMMYFUNCTION("""COMPUTED_VALUE"""),-0.358997721719785)</f>
        <v>-0.358997721719785</v>
      </c>
      <c r="CS105" s="3">
        <f ca="1">IFERROR(__xludf.DUMMYFUNCTION("""COMPUTED_VALUE"""),-0.341373530034732)</f>
        <v>-0.34137353003473198</v>
      </c>
      <c r="CT105" s="3">
        <f ca="1">IFERROR(__xludf.DUMMYFUNCTION("""COMPUTED_VALUE"""),-0.359506277867335)</f>
        <v>-0.35950627786733502</v>
      </c>
      <c r="CU105" s="3">
        <f ca="1">IFERROR(__xludf.DUMMYFUNCTION("""COMPUTED_VALUE"""),-0.309993841931349)</f>
        <v>-0.30999384193134899</v>
      </c>
      <c r="CV105" s="3">
        <f ca="1">IFERROR(__xludf.DUMMYFUNCTION("""COMPUTED_VALUE"""),-0.386647459228281)</f>
        <v>-0.38664745922828098</v>
      </c>
      <c r="CW105" s="3">
        <f ca="1">IFERROR(__xludf.DUMMYFUNCTION("""COMPUTED_VALUE"""),-0.397982633701088)</f>
        <v>-0.397982633701088</v>
      </c>
      <c r="CX105" s="3">
        <f ca="1">IFERROR(__xludf.DUMMYFUNCTION("""COMPUTED_VALUE"""),-0.434531427648412)</f>
        <v>-0.43453142764841202</v>
      </c>
      <c r="CY105" s="3">
        <f ca="1">IFERROR(__xludf.DUMMYFUNCTION("""COMPUTED_VALUE"""),-0.488177173756421)</f>
        <v>-0.488177173756421</v>
      </c>
      <c r="CZ105" s="3">
        <f ca="1">IFERROR(__xludf.DUMMYFUNCTION("""COMPUTED_VALUE"""),-0.617449060543671)</f>
        <v>-0.61744906054367099</v>
      </c>
      <c r="DA105" s="3">
        <f ca="1">IFERROR(__xludf.DUMMYFUNCTION("""COMPUTED_VALUE"""),-0.403784661989057)</f>
        <v>-0.40378466198905699</v>
      </c>
      <c r="DB105" s="3">
        <f ca="1">IFERROR(__xludf.DUMMYFUNCTION("""COMPUTED_VALUE"""),-0.309550216108608)</f>
        <v>-0.309550216108608</v>
      </c>
      <c r="DC105" s="3">
        <f ca="1">IFERROR(__xludf.DUMMYFUNCTION("""COMPUTED_VALUE"""),-0.467152367759616)</f>
        <v>-0.46715236775961599</v>
      </c>
      <c r="DD105" s="3">
        <f ca="1">IFERROR(__xludf.DUMMYFUNCTION("""COMPUTED_VALUE"""),-0.505533434436469)</f>
        <v>-0.50553343443646903</v>
      </c>
      <c r="DE105" s="3">
        <f ca="1">IFERROR(__xludf.DUMMYFUNCTION("""COMPUTED_VALUE"""),-0.467829353823469)</f>
        <v>-0.46782935382346902</v>
      </c>
      <c r="DF105" s="3">
        <f ca="1">IFERROR(__xludf.DUMMYFUNCTION("""COMPUTED_VALUE"""),-0.480331813989306)</f>
        <v>-0.48033181398930602</v>
      </c>
      <c r="DG105" s="3">
        <f ca="1">IFERROR(__xludf.DUMMYFUNCTION("""COMPUTED_VALUE"""),-0.635892702029994)</f>
        <v>-0.63589270202999404</v>
      </c>
      <c r="DH105" s="3">
        <f ca="1">IFERROR(__xludf.DUMMYFUNCTION("""COMPUTED_VALUE"""),-0.458814209332803)</f>
        <v>-0.45881420933280298</v>
      </c>
      <c r="DI105" s="3">
        <f ca="1">IFERROR(__xludf.DUMMYFUNCTION("""COMPUTED_VALUE"""),-0.285915426694742)</f>
        <v>-0.28591542669474201</v>
      </c>
      <c r="DJ105" s="3">
        <f ca="1">IFERROR(__xludf.DUMMYFUNCTION("""COMPUTED_VALUE"""),-0.441875114188057)</f>
        <v>-0.44187511418805703</v>
      </c>
      <c r="DK105" s="3">
        <f ca="1">IFERROR(__xludf.DUMMYFUNCTION("""COMPUTED_VALUE"""),-0.501743500247467)</f>
        <v>-0.50174350024746694</v>
      </c>
      <c r="DL105" s="3">
        <f ca="1">IFERROR(__xludf.DUMMYFUNCTION("""COMPUTED_VALUE"""),-0.438734644689247)</f>
        <v>-0.438734644689247</v>
      </c>
      <c r="DM105" s="3">
        <f ca="1">IFERROR(__xludf.DUMMYFUNCTION("""COMPUTED_VALUE"""),-0.4633167055935)</f>
        <v>-0.46331670559350002</v>
      </c>
      <c r="DN105" s="3">
        <f ca="1">IFERROR(__xludf.DUMMYFUNCTION("""COMPUTED_VALUE"""),-0.438256656248593)</f>
        <v>-0.438256656248593</v>
      </c>
      <c r="DO105" s="3">
        <f ca="1">IFERROR(__xludf.DUMMYFUNCTION("""COMPUTED_VALUE"""),-0.375097268942738)</f>
        <v>-0.37509726894273798</v>
      </c>
      <c r="DP105" s="3">
        <f ca="1">IFERROR(__xludf.DUMMYFUNCTION("""COMPUTED_VALUE"""),-0.392477773218083)</f>
        <v>-0.39247777321808303</v>
      </c>
      <c r="DQ105" s="3">
        <f ca="1">IFERROR(__xludf.DUMMYFUNCTION("""COMPUTED_VALUE"""),-0.415948485684478)</f>
        <v>-0.41594848568447801</v>
      </c>
      <c r="DR105" s="3">
        <f ca="1">IFERROR(__xludf.DUMMYFUNCTION("""COMPUTED_VALUE"""),-0.502739461075784)</f>
        <v>-0.50273946107578404</v>
      </c>
      <c r="DS105" s="3">
        <f ca="1">IFERROR(__xludf.DUMMYFUNCTION("""COMPUTED_VALUE"""),-0.482308965818832)</f>
        <v>-0.48230896581883198</v>
      </c>
      <c r="DT105" s="3">
        <f ca="1">IFERROR(__xludf.DUMMYFUNCTION("""COMPUTED_VALUE"""),-0.490936684543245)</f>
        <v>-0.49093668454324502</v>
      </c>
      <c r="DU105" s="3">
        <f ca="1">IFERROR(__xludf.DUMMYFUNCTION("""COMPUTED_VALUE"""),-0.481859612904344)</f>
        <v>-0.48185961290434398</v>
      </c>
      <c r="DV105" s="3">
        <f ca="1">IFERROR(__xludf.DUMMYFUNCTION("""COMPUTED_VALUE"""),-0.44155002597737)</f>
        <v>-0.44155002597736998</v>
      </c>
      <c r="DW105" s="3">
        <f ca="1">IFERROR(__xludf.DUMMYFUNCTION("""COMPUTED_VALUE"""),-0.497010837454978)</f>
        <v>-0.49701083745497798</v>
      </c>
      <c r="DX105" s="3">
        <f ca="1">IFERROR(__xludf.DUMMYFUNCTION("""COMPUTED_VALUE"""),-0.422450150275261)</f>
        <v>-0.422450150275261</v>
      </c>
      <c r="DY105" s="3">
        <f ca="1">IFERROR(__xludf.DUMMYFUNCTION("""COMPUTED_VALUE"""),-0.495925018779017)</f>
        <v>-0.49592501877901701</v>
      </c>
      <c r="DZ105" s="3">
        <f ca="1">IFERROR(__xludf.DUMMYFUNCTION("""COMPUTED_VALUE"""),-0.460824327343162)</f>
        <v>-0.46082432734316198</v>
      </c>
      <c r="EA105" s="3">
        <f ca="1">IFERROR(__xludf.DUMMYFUNCTION("""COMPUTED_VALUE"""),-0.450699431694815)</f>
        <v>-0.45069943169481502</v>
      </c>
      <c r="EB105" s="3">
        <f ca="1">IFERROR(__xludf.DUMMYFUNCTION("""COMPUTED_VALUE"""),-0.446597075501738)</f>
        <v>-0.44659707550173799</v>
      </c>
      <c r="EC105" s="3">
        <f ca="1">IFERROR(__xludf.DUMMYFUNCTION("""COMPUTED_VALUE"""),-0.405699466291001)</f>
        <v>-0.40569946629100101</v>
      </c>
      <c r="ED105" s="3">
        <f ca="1">IFERROR(__xludf.DUMMYFUNCTION("""COMPUTED_VALUE"""),-0.467319372996187)</f>
        <v>-0.46731937299618698</v>
      </c>
      <c r="EE105" s="3">
        <f ca="1">IFERROR(__xludf.DUMMYFUNCTION("""COMPUTED_VALUE"""),-0.397206328353509)</f>
        <v>-0.397206328353509</v>
      </c>
      <c r="EF105" s="3">
        <f ca="1">IFERROR(__xludf.DUMMYFUNCTION("""COMPUTED_VALUE"""),-0.459697131956533)</f>
        <v>-0.459697131956533</v>
      </c>
      <c r="EG105" s="3">
        <f ca="1">IFERROR(__xludf.DUMMYFUNCTION("""COMPUTED_VALUE"""),-0.443794018970933)</f>
        <v>-0.44379401897093301</v>
      </c>
      <c r="EH105" s="3">
        <f ca="1">IFERROR(__xludf.DUMMYFUNCTION("""COMPUTED_VALUE"""),-0.451031054992138)</f>
        <v>-0.45103105499213803</v>
      </c>
      <c r="EI105" s="3">
        <f ca="1">IFERROR(__xludf.DUMMYFUNCTION("""COMPUTED_VALUE"""),-0.481752720346463)</f>
        <v>-0.48175272034646299</v>
      </c>
      <c r="EJ105" s="3">
        <f ca="1">IFERROR(__xludf.DUMMYFUNCTION("""COMPUTED_VALUE"""),-0.403479203109037)</f>
        <v>-0.40347920310903701</v>
      </c>
      <c r="EK105" s="3">
        <f ca="1">IFERROR(__xludf.DUMMYFUNCTION("""COMPUTED_VALUE"""),-0.470627514563539)</f>
        <v>-0.47062751456353902</v>
      </c>
      <c r="EL105" s="3">
        <f ca="1">IFERROR(__xludf.DUMMYFUNCTION("""COMPUTED_VALUE"""),-0.391927748737813)</f>
        <v>-0.391927748737813</v>
      </c>
      <c r="EM105" s="3">
        <f ca="1">IFERROR(__xludf.DUMMYFUNCTION("""COMPUTED_VALUE"""),-0.393736048516567)</f>
        <v>-0.39373604851656702</v>
      </c>
      <c r="EN105" s="3">
        <f ca="1">IFERROR(__xludf.DUMMYFUNCTION("""COMPUTED_VALUE"""),-0.503917799112998)</f>
        <v>-0.50391779911299805</v>
      </c>
      <c r="EO105" s="3">
        <f ca="1">IFERROR(__xludf.DUMMYFUNCTION("""COMPUTED_VALUE"""),-0.517347182356505)</f>
        <v>-0.51734718235650501</v>
      </c>
      <c r="EP105" s="3">
        <f ca="1">IFERROR(__xludf.DUMMYFUNCTION("""COMPUTED_VALUE"""),-0.422520640277337)</f>
        <v>-0.42252064027733699</v>
      </c>
      <c r="EQ105" s="3">
        <f ca="1">IFERROR(__xludf.DUMMYFUNCTION("""COMPUTED_VALUE"""),-0.397702283219299)</f>
        <v>-0.39770228321929901</v>
      </c>
      <c r="ER105" s="3">
        <f ca="1">IFERROR(__xludf.DUMMYFUNCTION("""COMPUTED_VALUE"""),-0.418743499175744)</f>
        <v>-0.41874349917574399</v>
      </c>
      <c r="ES105" s="3">
        <f ca="1">IFERROR(__xludf.DUMMYFUNCTION("""COMPUTED_VALUE"""),-0.399195008025406)</f>
        <v>-0.39919500802540597</v>
      </c>
      <c r="ET105" s="3">
        <f ca="1">IFERROR(__xludf.DUMMYFUNCTION("""COMPUTED_VALUE"""),-0.36604635320688)</f>
        <v>-0.36604635320688</v>
      </c>
      <c r="EU105" s="3">
        <f ca="1">IFERROR(__xludf.DUMMYFUNCTION("""COMPUTED_VALUE"""),-0.533521986405574)</f>
        <v>-0.53352198640557402</v>
      </c>
      <c r="EV105" s="3">
        <f ca="1">IFERROR(__xludf.DUMMYFUNCTION("""COMPUTED_VALUE"""),-0.527686625679324)</f>
        <v>-0.52768662567932401</v>
      </c>
      <c r="EW105" s="3">
        <f ca="1">IFERROR(__xludf.DUMMYFUNCTION("""COMPUTED_VALUE"""),-0.438871512776743)</f>
        <v>-0.43887151277674302</v>
      </c>
      <c r="EX105" s="3">
        <f ca="1">IFERROR(__xludf.DUMMYFUNCTION("""COMPUTED_VALUE"""),-0.409623230745626)</f>
        <v>-0.40962323074562601</v>
      </c>
      <c r="EY105" s="3">
        <f ca="1">IFERROR(__xludf.DUMMYFUNCTION("""COMPUTED_VALUE"""),-0.597503964944926)</f>
        <v>-0.59750396494492597</v>
      </c>
      <c r="EZ105" s="3">
        <f ca="1">IFERROR(__xludf.DUMMYFUNCTION("""COMPUTED_VALUE"""),-0.383097097575857)</f>
        <v>-0.38309709757585703</v>
      </c>
      <c r="FA105" s="3">
        <f ca="1">IFERROR(__xludf.DUMMYFUNCTION("""COMPUTED_VALUE"""),-0.331184536335757)</f>
        <v>-0.33118453633575701</v>
      </c>
      <c r="FB105" s="3">
        <f ca="1">IFERROR(__xludf.DUMMYFUNCTION("""COMPUTED_VALUE"""),-0.533549756900575)</f>
        <v>-0.53354975690057505</v>
      </c>
      <c r="FC105" s="3">
        <f ca="1">IFERROR(__xludf.DUMMYFUNCTION("""COMPUTED_VALUE"""),-0.523182678519369)</f>
        <v>-0.52318267851936895</v>
      </c>
      <c r="FD105" s="3">
        <f ca="1">IFERROR(__xludf.DUMMYFUNCTION("""COMPUTED_VALUE"""),-0.38600359057748)</f>
        <v>-0.38600359057748002</v>
      </c>
      <c r="FE105" s="3">
        <f ca="1">IFERROR(__xludf.DUMMYFUNCTION("""COMPUTED_VALUE"""),-0.406949747332993)</f>
        <v>-0.40694974733299299</v>
      </c>
      <c r="FF105" s="3">
        <f ca="1">IFERROR(__xludf.DUMMYFUNCTION("""COMPUTED_VALUE"""),-0.420226661485696)</f>
        <v>-0.42022666148569598</v>
      </c>
      <c r="FG105" s="3">
        <f ca="1">IFERROR(__xludf.DUMMYFUNCTION("""COMPUTED_VALUE"""),-0.387405788281802)</f>
        <v>-0.387405788281802</v>
      </c>
      <c r="FH105" s="3">
        <f ca="1">IFERROR(__xludf.DUMMYFUNCTION("""COMPUTED_VALUE"""),-0.288665446854508)</f>
        <v>-0.28866544685450801</v>
      </c>
      <c r="FI105" s="3">
        <f ca="1">IFERROR(__xludf.DUMMYFUNCTION("""COMPUTED_VALUE"""),-0.546245080136205)</f>
        <v>-0.54624508013620499</v>
      </c>
      <c r="FJ105" s="3">
        <f ca="1">IFERROR(__xludf.DUMMYFUNCTION("""COMPUTED_VALUE"""),-0.557174532883762)</f>
        <v>-0.55717453288376195</v>
      </c>
      <c r="FK105" s="3">
        <f ca="1">IFERROR(__xludf.DUMMYFUNCTION("""COMPUTED_VALUE"""),-0.523270860239508)</f>
        <v>-0.52327086023950797</v>
      </c>
      <c r="FL105" s="3">
        <f ca="1">IFERROR(__xludf.DUMMYFUNCTION("""COMPUTED_VALUE"""),-0.146075557711618)</f>
        <v>-0.14607555771161801</v>
      </c>
      <c r="FM105" s="3">
        <f ca="1">IFERROR(__xludf.DUMMYFUNCTION("""COMPUTED_VALUE"""),-0.274838506459959)</f>
        <v>-0.274838506459959</v>
      </c>
      <c r="FN105" s="3">
        <f ca="1">IFERROR(__xludf.DUMMYFUNCTION("""COMPUTED_VALUE"""),-0.283893291161002)</f>
        <v>-0.28389329116100198</v>
      </c>
      <c r="FO105" s="3">
        <f ca="1">IFERROR(__xludf.DUMMYFUNCTION("""COMPUTED_VALUE"""),-0.261138080373243)</f>
        <v>-0.26113808037324299</v>
      </c>
      <c r="FP105" s="3">
        <f ca="1">IFERROR(__xludf.DUMMYFUNCTION("""COMPUTED_VALUE"""),-0.203432309329528)</f>
        <v>-0.20343230932952799</v>
      </c>
      <c r="FQ105" s="3">
        <f ca="1">IFERROR(__xludf.DUMMYFUNCTION("""COMPUTED_VALUE"""),-0.257149790460431)</f>
        <v>-0.25714979046043102</v>
      </c>
      <c r="FR105" s="3">
        <f ca="1">IFERROR(__xludf.DUMMYFUNCTION("""COMPUTED_VALUE"""),-0.323898182978047)</f>
        <v>-0.32389818297804701</v>
      </c>
      <c r="FS105" s="3">
        <f ca="1">IFERROR(__xludf.DUMMYFUNCTION("""COMPUTED_VALUE"""),-0.293018543712017)</f>
        <v>-0.29301854371201702</v>
      </c>
      <c r="FT105" s="3">
        <f ca="1">IFERROR(__xludf.DUMMYFUNCTION("""COMPUTED_VALUE"""),-0.26927323279906)</f>
        <v>-0.26927323279906001</v>
      </c>
      <c r="FU105" s="3">
        <f ca="1">IFERROR(__xludf.DUMMYFUNCTION("""COMPUTED_VALUE"""),-0.250476318907207)</f>
        <v>-0.25047631890720701</v>
      </c>
      <c r="FV105" s="3">
        <f ca="1">IFERROR(__xludf.DUMMYFUNCTION("""COMPUTED_VALUE"""),-0.218252202976228)</f>
        <v>-0.21825220297622799</v>
      </c>
      <c r="FW105" s="3">
        <f ca="1">IFERROR(__xludf.DUMMYFUNCTION("""COMPUTED_VALUE"""),-0.197405051772035)</f>
        <v>-0.19740505177203499</v>
      </c>
      <c r="FX105" s="3">
        <f ca="1">IFERROR(__xludf.DUMMYFUNCTION("""COMPUTED_VALUE"""),-0.263584107062005)</f>
        <v>-0.26358410706200502</v>
      </c>
      <c r="FY105" s="3">
        <f ca="1">IFERROR(__xludf.DUMMYFUNCTION("""COMPUTED_VALUE"""),-0.222007635421574)</f>
        <v>-0.22200763542157401</v>
      </c>
      <c r="FZ105" s="3">
        <f ca="1">IFERROR(__xludf.DUMMYFUNCTION("""COMPUTED_VALUE"""),-0.154608526393738)</f>
        <v>-0.15460852639373801</v>
      </c>
      <c r="GA105" s="3">
        <f ca="1">IFERROR(__xludf.DUMMYFUNCTION("""COMPUTED_VALUE"""),-0.237130522566125)</f>
        <v>-0.23713052256612499</v>
      </c>
      <c r="GB105" s="3">
        <f ca="1">IFERROR(__xludf.DUMMYFUNCTION("""COMPUTED_VALUE"""),-0.191458045390693)</f>
        <v>-0.191458045390693</v>
      </c>
      <c r="GC105" s="3">
        <f ca="1">IFERROR(__xludf.DUMMYFUNCTION("""COMPUTED_VALUE"""),-0.180303980938928)</f>
        <v>-0.18030398093892799</v>
      </c>
      <c r="GD105" s="3">
        <f ca="1">IFERROR(__xludf.DUMMYFUNCTION("""COMPUTED_VALUE"""),-0.213968758503275)</f>
        <v>-0.21396875850327499</v>
      </c>
      <c r="GE105" s="3">
        <f ca="1">IFERROR(__xludf.DUMMYFUNCTION("""COMPUTED_VALUE"""),-0.223184953350942)</f>
        <v>-0.22318495335094199</v>
      </c>
      <c r="GF105" s="3">
        <f ca="1">IFERROR(__xludf.DUMMYFUNCTION("""COMPUTED_VALUE"""),-0.258801620774558)</f>
        <v>-0.25880162077455798</v>
      </c>
      <c r="GG105" s="3">
        <f ca="1">IFERROR(__xludf.DUMMYFUNCTION("""COMPUTED_VALUE"""),-0.225531060209051)</f>
        <v>-0.225531060209051</v>
      </c>
      <c r="GH105" s="3">
        <f ca="1">IFERROR(__xludf.DUMMYFUNCTION("""COMPUTED_VALUE"""),-0.204534866301897)</f>
        <v>-0.20453486630189699</v>
      </c>
      <c r="GI105" s="3">
        <f ca="1">IFERROR(__xludf.DUMMYFUNCTION("""COMPUTED_VALUE"""),-0.195491647676081)</f>
        <v>-0.19549164767608099</v>
      </c>
      <c r="GJ105" s="3">
        <f ca="1">IFERROR(__xludf.DUMMYFUNCTION("""COMPUTED_VALUE"""),-0.172119525706883)</f>
        <v>-0.17211952570688299</v>
      </c>
      <c r="GK105" s="3">
        <f ca="1">IFERROR(__xludf.DUMMYFUNCTION("""COMPUTED_VALUE"""),-0.219327159524006)</f>
        <v>-0.219327159524006</v>
      </c>
      <c r="GL105" s="3">
        <f ca="1">IFERROR(__xludf.DUMMYFUNCTION("""COMPUTED_VALUE"""),-0.231967165695226)</f>
        <v>-0.23196716569522599</v>
      </c>
      <c r="GM105" s="3">
        <f ca="1">IFERROR(__xludf.DUMMYFUNCTION("""COMPUTED_VALUE"""),-0.221676066038425)</f>
        <v>-0.22167606603842499</v>
      </c>
      <c r="GN105" s="3">
        <f ca="1">IFERROR(__xludf.DUMMYFUNCTION("""COMPUTED_VALUE"""),-0.213263627292504)</f>
        <v>-0.213263627292504</v>
      </c>
      <c r="GO105" s="3">
        <f ca="1">IFERROR(__xludf.DUMMYFUNCTION("""COMPUTED_VALUE"""),-0.203564246280675)</f>
        <v>-0.20356424628067499</v>
      </c>
      <c r="GP105" s="3">
        <f ca="1">IFERROR(__xludf.DUMMYFUNCTION("""COMPUTED_VALUE"""),-0.224099003178588)</f>
        <v>-0.224099003178588</v>
      </c>
      <c r="GQ105" s="3">
        <f ca="1">IFERROR(__xludf.DUMMYFUNCTION("""COMPUTED_VALUE"""),-0.224113190253411)</f>
        <v>-0.224113190253411</v>
      </c>
      <c r="GR105" s="3">
        <f ca="1">IFERROR(__xludf.DUMMYFUNCTION("""COMPUTED_VALUE"""),-0.257630641304912)</f>
        <v>-0.25763064130491198</v>
      </c>
      <c r="GS105" s="3">
        <f ca="1">IFERROR(__xludf.DUMMYFUNCTION("""COMPUTED_VALUE"""),-0.268674393964031)</f>
        <v>-0.26867439396403098</v>
      </c>
      <c r="GT105" s="3">
        <f ca="1">IFERROR(__xludf.DUMMYFUNCTION("""COMPUTED_VALUE"""),-0.254277681228288)</f>
        <v>-0.25427768122828798</v>
      </c>
      <c r="GU105" s="3">
        <f ca="1">IFERROR(__xludf.DUMMYFUNCTION("""COMPUTED_VALUE"""),-0.233903227353804)</f>
        <v>-0.23390322735380401</v>
      </c>
      <c r="GV105" s="3">
        <f ca="1">IFERROR(__xludf.DUMMYFUNCTION("""COMPUTED_VALUE"""),-0.212192536642392)</f>
        <v>-0.21219253664239199</v>
      </c>
      <c r="GW105" s="3">
        <f ca="1">IFERROR(__xludf.DUMMYFUNCTION("""COMPUTED_VALUE"""),-0.231103588039839)</f>
        <v>-0.23110358803983899</v>
      </c>
      <c r="GX105" s="3">
        <f ca="1">IFERROR(__xludf.DUMMYFUNCTION("""COMPUTED_VALUE"""),-0.203684821097578)</f>
        <v>-0.20368482109757799</v>
      </c>
      <c r="GY105" s="3">
        <f ca="1">IFERROR(__xludf.DUMMYFUNCTION("""COMPUTED_VALUE"""),-0.178896360157503)</f>
        <v>-0.17889636015750299</v>
      </c>
      <c r="GZ105" s="3">
        <f ca="1">IFERROR(__xludf.DUMMYFUNCTION("""COMPUTED_VALUE"""),-0.240236480778617)</f>
        <v>-0.24023648077861701</v>
      </c>
      <c r="HA105" s="3">
        <f ca="1">IFERROR(__xludf.DUMMYFUNCTION("""COMPUTED_VALUE"""),-0.295613398471847)</f>
        <v>-0.29561339847184698</v>
      </c>
      <c r="HB105" s="3">
        <f ca="1">IFERROR(__xludf.DUMMYFUNCTION("""COMPUTED_VALUE"""),-0.179820881316677)</f>
        <v>-0.17982088131667701</v>
      </c>
      <c r="HC105" s="3">
        <f ca="1">IFERROR(__xludf.DUMMYFUNCTION("""COMPUTED_VALUE"""),-0.166965065243955)</f>
        <v>-0.16696506524395499</v>
      </c>
      <c r="HD105" s="3">
        <f ca="1">IFERROR(__xludf.DUMMYFUNCTION("""COMPUTED_VALUE"""),-0.195741055497615)</f>
        <v>-0.195741055497615</v>
      </c>
      <c r="HE105" s="3">
        <f ca="1">IFERROR(__xludf.DUMMYFUNCTION("""COMPUTED_VALUE"""),-0.184199542382977)</f>
        <v>-0.18419954238297701</v>
      </c>
      <c r="HF105" s="3">
        <f ca="1">IFERROR(__xludf.DUMMYFUNCTION("""COMPUTED_VALUE"""),-0.152064754943725)</f>
        <v>-0.15206475494372501</v>
      </c>
      <c r="HG105" s="3">
        <f ca="1">IFERROR(__xludf.DUMMYFUNCTION("""COMPUTED_VALUE"""),-0.205550890783863)</f>
        <v>-0.20555089078386299</v>
      </c>
      <c r="HH105" s="3">
        <f ca="1">IFERROR(__xludf.DUMMYFUNCTION("""COMPUTED_VALUE"""),-0.278987351432085)</f>
        <v>-0.27898735143208497</v>
      </c>
      <c r="HI105" s="3">
        <f ca="1">IFERROR(__xludf.DUMMYFUNCTION("""COMPUTED_VALUE"""),-0.178486568954103)</f>
        <v>-0.178486568954103</v>
      </c>
      <c r="HJ105" s="3">
        <f ca="1">IFERROR(__xludf.DUMMYFUNCTION("""COMPUTED_VALUE"""),-0.156588088111108)</f>
        <v>-0.156588088111108</v>
      </c>
      <c r="HK105" s="3">
        <f ca="1">IFERROR(__xludf.DUMMYFUNCTION("""COMPUTED_VALUE"""),-0.164670387869917)</f>
        <v>-0.164670387869917</v>
      </c>
      <c r="HL105" s="3">
        <f ca="1">IFERROR(__xludf.DUMMYFUNCTION("""COMPUTED_VALUE"""),-0.145971118044703)</f>
        <v>-0.145971118044703</v>
      </c>
      <c r="HM105" s="3">
        <f ca="1">IFERROR(__xludf.DUMMYFUNCTION("""COMPUTED_VALUE"""),-0.192760248740162)</f>
        <v>-0.19276024874016201</v>
      </c>
      <c r="HN105" s="3">
        <f ca="1">IFERROR(__xludf.DUMMYFUNCTION("""COMPUTED_VALUE"""),-0.205879944128679)</f>
        <v>-0.20587994412867899</v>
      </c>
      <c r="HO105" s="3">
        <f ca="1">IFERROR(__xludf.DUMMYFUNCTION("""COMPUTED_VALUE"""),-0.249943437702595)</f>
        <v>-0.249943437702595</v>
      </c>
      <c r="HP105" s="3">
        <f ca="1">IFERROR(__xludf.DUMMYFUNCTION("""COMPUTED_VALUE"""),-0.125412964370692)</f>
        <v>-0.12541296437069199</v>
      </c>
      <c r="HQ105" s="3">
        <f ca="1">IFERROR(__xludf.DUMMYFUNCTION("""COMPUTED_VALUE"""),-0.162855933839564)</f>
        <v>-0.16285593383956401</v>
      </c>
      <c r="HR105" s="3">
        <f ca="1">IFERROR(__xludf.DUMMYFUNCTION("""COMPUTED_VALUE"""),-0.174290745953929)</f>
        <v>-0.17429074595392899</v>
      </c>
      <c r="HS105" s="3">
        <f ca="1">IFERROR(__xludf.DUMMYFUNCTION("""COMPUTED_VALUE"""),-0.210256622399816)</f>
        <v>-0.21025662239981599</v>
      </c>
      <c r="HT105" s="3">
        <f ca="1">IFERROR(__xludf.DUMMYFUNCTION("""COMPUTED_VALUE"""),-0.188966361248405)</f>
        <v>-0.18896636124840499</v>
      </c>
      <c r="HU105" s="3">
        <f ca="1">IFERROR(__xludf.DUMMYFUNCTION("""COMPUTED_VALUE"""),-0.178323982755859)</f>
        <v>-0.17832398275585901</v>
      </c>
      <c r="HV105" s="3">
        <f ca="1">IFERROR(__xludf.DUMMYFUNCTION("""COMPUTED_VALUE"""),-0.222879612697183)</f>
        <v>-0.22287961269718301</v>
      </c>
      <c r="HW105" s="3">
        <f ca="1">IFERROR(__xludf.DUMMYFUNCTION("""COMPUTED_VALUE"""),-0.201244709919927)</f>
        <v>-0.20124470991992699</v>
      </c>
      <c r="HX105" s="3">
        <f ca="1">IFERROR(__xludf.DUMMYFUNCTION("""COMPUTED_VALUE"""),-0.189140484571456)</f>
        <v>-0.18914048457145599</v>
      </c>
      <c r="HY105" s="3">
        <f ca="1">IFERROR(__xludf.DUMMYFUNCTION("""COMPUTED_VALUE"""),-0.206512814994247)</f>
        <v>-0.20651281499424701</v>
      </c>
      <c r="HZ105" s="3">
        <f ca="1">IFERROR(__xludf.DUMMYFUNCTION("""COMPUTED_VALUE"""),-0.222313292737232)</f>
        <v>-0.22231329273723199</v>
      </c>
      <c r="IA105" s="3">
        <f ca="1">IFERROR(__xludf.DUMMYFUNCTION("""COMPUTED_VALUE"""),-0.153916492267869)</f>
        <v>-0.15391649226786899</v>
      </c>
      <c r="IB105" s="3">
        <f ca="1">IFERROR(__xludf.DUMMYFUNCTION("""COMPUTED_VALUE"""),-0.132722465195309)</f>
        <v>-0.132722465195309</v>
      </c>
      <c r="IC105" s="3">
        <f ca="1">IFERROR(__xludf.DUMMYFUNCTION("""COMPUTED_VALUE"""),-0.164874777287375)</f>
        <v>-0.16487477728737501</v>
      </c>
      <c r="ID105" s="3">
        <f ca="1">IFERROR(__xludf.DUMMYFUNCTION("""COMPUTED_VALUE"""),-0.115111661157616)</f>
        <v>-0.11511166115761599</v>
      </c>
      <c r="IE105" s="3">
        <f ca="1">IFERROR(__xludf.DUMMYFUNCTION("""COMPUTED_VALUE"""),-0.145086496033462)</f>
        <v>-0.14508649603346199</v>
      </c>
      <c r="IF105" s="3">
        <f ca="1">IFERROR(__xludf.DUMMYFUNCTION("""COMPUTED_VALUE"""),-0.0965334869521463)</f>
        <v>-9.6533486952146294E-2</v>
      </c>
      <c r="IG105" s="3">
        <f ca="1">IFERROR(__xludf.DUMMYFUNCTION("""COMPUTED_VALUE"""),-0.127562328183578)</f>
        <v>-0.12756232818357799</v>
      </c>
      <c r="IH105" s="3">
        <f ca="1">IFERROR(__xludf.DUMMYFUNCTION("""COMPUTED_VALUE"""),-0.140386540564762)</f>
        <v>-0.14038654056476199</v>
      </c>
      <c r="II105" s="3">
        <f ca="1">IFERROR(__xludf.DUMMYFUNCTION("""COMPUTED_VALUE"""),0.00989812511826682)</f>
        <v>9.8981251182668206E-3</v>
      </c>
      <c r="IJ105" s="3">
        <f ca="1">IFERROR(__xludf.DUMMYFUNCTION("""COMPUTED_VALUE"""),-0.0771720979423734)</f>
        <v>-7.7172097942373397E-2</v>
      </c>
      <c r="IK105" s="3">
        <f ca="1">IFERROR(__xludf.DUMMYFUNCTION("""COMPUTED_VALUE"""),-0.0380997161441147)</f>
        <v>-3.8099716144114698E-2</v>
      </c>
      <c r="IL105" s="3">
        <f ca="1">IFERROR(__xludf.DUMMYFUNCTION("""COMPUTED_VALUE"""),-0.0087302743644051)</f>
        <v>-8.7302743644050995E-3</v>
      </c>
      <c r="IM105" s="3">
        <f ca="1">IFERROR(__xludf.DUMMYFUNCTION("""COMPUTED_VALUE"""),-0.0329718177342297)</f>
        <v>-3.2971817734229698E-2</v>
      </c>
      <c r="IN105" s="3">
        <f ca="1">IFERROR(__xludf.DUMMYFUNCTION("""COMPUTED_VALUE"""),-0.0262770989405777)</f>
        <v>-2.6277098940577701E-2</v>
      </c>
      <c r="IO105" s="3">
        <f ca="1">IFERROR(__xludf.DUMMYFUNCTION("""COMPUTED_VALUE"""),-0.0688220186846607)</f>
        <v>-6.8822018684660702E-2</v>
      </c>
      <c r="IP105" s="3">
        <f ca="1">IFERROR(__xludf.DUMMYFUNCTION("""COMPUTED_VALUE"""),0.0139882073609642)</f>
        <v>1.39882073609642E-2</v>
      </c>
      <c r="IQ105" s="3">
        <f ca="1">IFERROR(__xludf.DUMMYFUNCTION("""COMPUTED_VALUE"""),-0.0309130660715636)</f>
        <v>-3.0913066071563602E-2</v>
      </c>
      <c r="IR105" s="3">
        <f ca="1">IFERROR(__xludf.DUMMYFUNCTION("""COMPUTED_VALUE"""),-0.0205237903100045)</f>
        <v>-2.0523790310004501E-2</v>
      </c>
      <c r="IS105" s="3">
        <f ca="1">IFERROR(__xludf.DUMMYFUNCTION("""COMPUTED_VALUE"""),-0.0584744907147687)</f>
        <v>-5.84744907147687E-2</v>
      </c>
      <c r="IT105" s="3">
        <f ca="1">IFERROR(__xludf.DUMMYFUNCTION("""COMPUTED_VALUE"""),-0.0564354591476566)</f>
        <v>-5.6435459147656603E-2</v>
      </c>
      <c r="IU105" s="3">
        <f ca="1">IFERROR(__xludf.DUMMYFUNCTION("""COMPUTED_VALUE"""),-0.0950312058749727)</f>
        <v>-9.5031205874972699E-2</v>
      </c>
      <c r="IV105" s="3">
        <f ca="1">IFERROR(__xludf.DUMMYFUNCTION("""COMPUTED_VALUE"""),-0.104429089417338)</f>
        <v>-0.104429089417338</v>
      </c>
      <c r="IW105" s="3">
        <f ca="1">IFERROR(__xludf.DUMMYFUNCTION("""COMPUTED_VALUE"""),-0.0795621686335769)</f>
        <v>-7.9562168633576902E-2</v>
      </c>
      <c r="IX105" s="3">
        <f ca="1">IFERROR(__xludf.DUMMYFUNCTION("""COMPUTED_VALUE"""),-0.0711890310787236)</f>
        <v>-7.1189031078723597E-2</v>
      </c>
      <c r="IY105" s="3">
        <f ca="1">IFERROR(__xludf.DUMMYFUNCTION("""COMPUTED_VALUE"""),-0.0377783707479064)</f>
        <v>-3.7778370747906402E-2</v>
      </c>
      <c r="IZ105" s="3">
        <f ca="1">IFERROR(__xludf.DUMMYFUNCTION("""COMPUTED_VALUE"""),-0.0653793958897027)</f>
        <v>-6.5379395889702693E-2</v>
      </c>
      <c r="JA105" s="3">
        <f ca="1">IFERROR(__xludf.DUMMYFUNCTION("""COMPUTED_VALUE"""),-0.118010644374982)</f>
        <v>-0.118010644374982</v>
      </c>
      <c r="JB105" s="3">
        <f ca="1">IFERROR(__xludf.DUMMYFUNCTION("""COMPUTED_VALUE"""),-0.0906975529618796)</f>
        <v>-9.0697552961879604E-2</v>
      </c>
      <c r="JC105" s="3">
        <f ca="1">IFERROR(__xludf.DUMMYFUNCTION("""COMPUTED_VALUE"""),-0.15908528765666)</f>
        <v>-0.15908528765666</v>
      </c>
      <c r="JD105" s="3">
        <f ca="1">IFERROR(__xludf.DUMMYFUNCTION("""COMPUTED_VALUE"""),-0.0983574446871269)</f>
        <v>-9.8357444687126899E-2</v>
      </c>
      <c r="JE105" s="3">
        <f ca="1">IFERROR(__xludf.DUMMYFUNCTION("""COMPUTED_VALUE"""),-0.145006941190995)</f>
        <v>-0.145006941190995</v>
      </c>
      <c r="JF105" s="3">
        <f ca="1">IFERROR(__xludf.DUMMYFUNCTION("""COMPUTED_VALUE"""),-0.129665669973328)</f>
        <v>-0.12966566997332801</v>
      </c>
      <c r="JG105" s="3">
        <f ca="1">IFERROR(__xludf.DUMMYFUNCTION("""COMPUTED_VALUE"""),-0.154213408835014)</f>
        <v>-0.154213408835014</v>
      </c>
      <c r="JH105" s="3">
        <f ca="1">IFERROR(__xludf.DUMMYFUNCTION("""COMPUTED_VALUE"""),-0.119247466481868)</f>
        <v>-0.119247466481868</v>
      </c>
      <c r="JI105" s="3">
        <f ca="1">IFERROR(__xludf.DUMMYFUNCTION("""COMPUTED_VALUE"""),-0.129972773828988)</f>
        <v>-0.129972773828988</v>
      </c>
      <c r="JJ105" s="3">
        <f ca="1">IFERROR(__xludf.DUMMYFUNCTION("""COMPUTED_VALUE"""),-0.136428360598126)</f>
        <v>-0.13642836059812599</v>
      </c>
      <c r="JK105" s="3">
        <f ca="1">IFERROR(__xludf.DUMMYFUNCTION("""COMPUTED_VALUE"""),-0.0612036011715371)</f>
        <v>-6.12036011715371E-2</v>
      </c>
      <c r="JL105" s="3">
        <f ca="1">IFERROR(__xludf.DUMMYFUNCTION("""COMPUTED_VALUE"""),-0.120051497408601)</f>
        <v>-0.12005149740860099</v>
      </c>
      <c r="JM105" s="3">
        <f ca="1">IFERROR(__xludf.DUMMYFUNCTION("""COMPUTED_VALUE"""),-0.143841856444931)</f>
        <v>-0.143841856444931</v>
      </c>
      <c r="JN105" s="3">
        <f ca="1">IFERROR(__xludf.DUMMYFUNCTION("""COMPUTED_VALUE"""),-0.151430596502474)</f>
        <v>-0.15143059650247401</v>
      </c>
      <c r="JO105" s="3">
        <f ca="1">IFERROR(__xludf.DUMMYFUNCTION("""COMPUTED_VALUE"""),-0.258904457082302)</f>
        <v>-0.25890445708230198</v>
      </c>
      <c r="JP105" s="3">
        <f ca="1">IFERROR(__xludf.DUMMYFUNCTION("""COMPUTED_VALUE"""),-0.121642262723164)</f>
        <v>-0.121642262723164</v>
      </c>
      <c r="JQ105" s="3">
        <f ca="1">IFERROR(__xludf.DUMMYFUNCTION("""COMPUTED_VALUE"""),-0.206297944155635)</f>
        <v>-0.20629794415563499</v>
      </c>
      <c r="JR105" s="3">
        <f ca="1">IFERROR(__xludf.DUMMYFUNCTION("""COMPUTED_VALUE"""),-0.141297546213016)</f>
        <v>-0.14129754621301599</v>
      </c>
      <c r="JS105" s="3">
        <f ca="1">IFERROR(__xludf.DUMMYFUNCTION("""COMPUTED_VALUE"""),-0.21630301924339)</f>
        <v>-0.21630301924338999</v>
      </c>
      <c r="JT105" s="3">
        <f ca="1">IFERROR(__xludf.DUMMYFUNCTION("""COMPUTED_VALUE"""),-0.168110725397518)</f>
        <v>-0.16811072539751801</v>
      </c>
      <c r="JU105" s="3">
        <f ca="1">IFERROR(__xludf.DUMMYFUNCTION("""COMPUTED_VALUE"""),-0.186383464469142)</f>
        <v>-0.186383464469142</v>
      </c>
      <c r="JV105" s="3">
        <f ca="1">IFERROR(__xludf.DUMMYFUNCTION("""COMPUTED_VALUE"""),-0.135902563562705)</f>
        <v>-0.135902563562705</v>
      </c>
      <c r="JW105" s="3">
        <f ca="1">IFERROR(__xludf.DUMMYFUNCTION("""COMPUTED_VALUE"""),-0.181261719470602)</f>
        <v>-0.18126171947060199</v>
      </c>
      <c r="JX105" s="3">
        <f ca="1">IFERROR(__xludf.DUMMYFUNCTION("""COMPUTED_VALUE"""),-0.178008156385361)</f>
        <v>-0.17800815638536099</v>
      </c>
      <c r="JY105" s="3">
        <f ca="1">IFERROR(__xludf.DUMMYFUNCTION("""COMPUTED_VALUE"""),-0.168243247006357)</f>
        <v>-0.16824324700635701</v>
      </c>
      <c r="JZ105" s="3">
        <f ca="1">IFERROR(__xludf.DUMMYFUNCTION("""COMPUTED_VALUE"""),-0.206917748042024)</f>
        <v>-0.20691774804202401</v>
      </c>
      <c r="KA105" s="3">
        <f ca="1">IFERROR(__xludf.DUMMYFUNCTION("""COMPUTED_VALUE"""),-0.191780121972356)</f>
        <v>-0.191780121972356</v>
      </c>
      <c r="KB105" s="3">
        <f ca="1">IFERROR(__xludf.DUMMYFUNCTION("""COMPUTED_VALUE"""),-0.225129484746632)</f>
        <v>-0.225129484746632</v>
      </c>
      <c r="KC105" s="3">
        <f ca="1">IFERROR(__xludf.DUMMYFUNCTION("""COMPUTED_VALUE"""),-0.197370421328807)</f>
        <v>-0.197370421328807</v>
      </c>
      <c r="KD105" s="3">
        <f ca="1">IFERROR(__xludf.DUMMYFUNCTION("""COMPUTED_VALUE"""),-0.220276794298939)</f>
        <v>-0.22027679429893901</v>
      </c>
      <c r="KE105" s="3">
        <f ca="1">IFERROR(__xludf.DUMMYFUNCTION("""COMPUTED_VALUE"""),-0.221683979790168)</f>
        <v>-0.22168397979016799</v>
      </c>
      <c r="KF105" s="3">
        <f ca="1">IFERROR(__xludf.DUMMYFUNCTION("""COMPUTED_VALUE"""),-0.178271960010942)</f>
        <v>-0.178271960010942</v>
      </c>
      <c r="KG105" s="3">
        <f ca="1">IFERROR(__xludf.DUMMYFUNCTION("""COMPUTED_VALUE"""),-0.204849754459135)</f>
        <v>-0.204849754459135</v>
      </c>
      <c r="KH105" s="3">
        <f ca="1">IFERROR(__xludf.DUMMYFUNCTION("""COMPUTED_VALUE"""),-0.144457767991143)</f>
        <v>-0.14445776799114299</v>
      </c>
      <c r="KI105" s="3">
        <f ca="1">IFERROR(__xludf.DUMMYFUNCTION("""COMPUTED_VALUE"""),-0.167400480370065)</f>
        <v>-0.167400480370065</v>
      </c>
      <c r="KJ105" s="3">
        <f ca="1">IFERROR(__xludf.DUMMYFUNCTION("""COMPUTED_VALUE"""),-0.138398647451511)</f>
        <v>-0.13839864745151101</v>
      </c>
      <c r="KK105" s="3">
        <f ca="1">IFERROR(__xludf.DUMMYFUNCTION("""COMPUTED_VALUE"""),-0.179077443282704)</f>
        <v>-0.179077443282704</v>
      </c>
      <c r="KL105" s="3">
        <f ca="1">IFERROR(__xludf.DUMMYFUNCTION("""COMPUTED_VALUE"""),-0.192588922202832)</f>
        <v>-0.192588922202832</v>
      </c>
      <c r="KM105" s="3">
        <f ca="1">IFERROR(__xludf.DUMMYFUNCTION("""COMPUTED_VALUE"""),-0.195505508436896)</f>
        <v>-0.19550550843689601</v>
      </c>
      <c r="KN105" s="3">
        <f ca="1">IFERROR(__xludf.DUMMYFUNCTION("""COMPUTED_VALUE"""),-0.240890695294131)</f>
        <v>-0.24089069529413101</v>
      </c>
      <c r="KO105" s="3">
        <f ca="1">IFERROR(__xludf.DUMMYFUNCTION("""COMPUTED_VALUE"""),-0.215096867805078)</f>
        <v>-0.215096867805078</v>
      </c>
      <c r="KP105" s="3">
        <f ca="1">IFERROR(__xludf.DUMMYFUNCTION("""COMPUTED_VALUE"""),-0.225032004466514)</f>
        <v>-0.225032004466514</v>
      </c>
      <c r="KQ105" s="3">
        <f ca="1">IFERROR(__xludf.DUMMYFUNCTION("""COMPUTED_VALUE"""),-0.210861845772589)</f>
        <v>-0.21086184577258901</v>
      </c>
      <c r="KR105" s="3">
        <f ca="1">IFERROR(__xludf.DUMMYFUNCTION("""COMPUTED_VALUE"""),-0.170274053930094)</f>
        <v>-0.17027405393009401</v>
      </c>
      <c r="KS105" s="3">
        <f ca="1">IFERROR(__xludf.DUMMYFUNCTION("""COMPUTED_VALUE"""),-0.229205670691432)</f>
        <v>-0.229205670691432</v>
      </c>
      <c r="KT105" s="3">
        <f ca="1">IFERROR(__xludf.DUMMYFUNCTION("""COMPUTED_VALUE"""),-0.212694815413266)</f>
        <v>-0.21269481541326599</v>
      </c>
      <c r="KU105" s="3">
        <f ca="1">IFERROR(__xludf.DUMMYFUNCTION("""COMPUTED_VALUE"""),-0.34375155005781)</f>
        <v>-0.34375155005781</v>
      </c>
      <c r="KV105" s="3">
        <f ca="1">IFERROR(__xludf.DUMMYFUNCTION("""COMPUTED_VALUE"""),-0.278485752150561)</f>
        <v>-0.27848575215056098</v>
      </c>
      <c r="KW105" s="3">
        <f ca="1">IFERROR(__xludf.DUMMYFUNCTION("""COMPUTED_VALUE"""),-0.255792376536432)</f>
        <v>-0.255792376536432</v>
      </c>
      <c r="KX105" s="3">
        <f ca="1">IFERROR(__xludf.DUMMYFUNCTION("""COMPUTED_VALUE"""),-0.298567626612795)</f>
        <v>-0.29856762661279501</v>
      </c>
      <c r="KY105" s="3">
        <f ca="1">IFERROR(__xludf.DUMMYFUNCTION("""COMPUTED_VALUE"""),-0.24077858424323)</f>
        <v>-0.24077858424323001</v>
      </c>
      <c r="KZ105" s="3">
        <f ca="1">IFERROR(__xludf.DUMMYFUNCTION("""COMPUTED_VALUE"""),-0.326697136109431)</f>
        <v>-0.32669713610943102</v>
      </c>
      <c r="LA105" s="3">
        <f ca="1">IFERROR(__xludf.DUMMYFUNCTION("""COMPUTED_VALUE"""),-0.277155422480383)</f>
        <v>-0.277155422480383</v>
      </c>
      <c r="LB105" s="3">
        <f ca="1">IFERROR(__xludf.DUMMYFUNCTION("""COMPUTED_VALUE"""),-0.338378943411839)</f>
        <v>-0.33837894341183899</v>
      </c>
      <c r="LC105" s="3">
        <f ca="1">IFERROR(__xludf.DUMMYFUNCTION("""COMPUTED_VALUE"""),-0.295446780689255)</f>
        <v>-0.29544678068925501</v>
      </c>
      <c r="LD105" s="3">
        <f ca="1">IFERROR(__xludf.DUMMYFUNCTION("""COMPUTED_VALUE"""),-0.325209678212053)</f>
        <v>-0.32520967821205299</v>
      </c>
      <c r="LE105" s="3">
        <f ca="1">IFERROR(__xludf.DUMMYFUNCTION("""COMPUTED_VALUE"""),-0.263864848600447)</f>
        <v>-0.26386484860044701</v>
      </c>
      <c r="LF105" s="3">
        <f ca="1">IFERROR(__xludf.DUMMYFUNCTION("""COMPUTED_VALUE"""),-0.338835971611701)</f>
        <v>-0.33883597161170098</v>
      </c>
      <c r="LG105" s="3">
        <f ca="1">IFERROR(__xludf.DUMMYFUNCTION("""COMPUTED_VALUE"""),-0.338743491654221)</f>
        <v>-0.33874349165422102</v>
      </c>
      <c r="LH105" s="3">
        <f ca="1">IFERROR(__xludf.DUMMYFUNCTION("""COMPUTED_VALUE"""),-0.348886693288104)</f>
        <v>-0.34888669328810401</v>
      </c>
      <c r="LI105" s="3">
        <f ca="1">IFERROR(__xludf.DUMMYFUNCTION("""COMPUTED_VALUE"""),-0.413477671404327)</f>
        <v>-0.41347767140432701</v>
      </c>
      <c r="LJ105" s="3">
        <f ca="1">IFERROR(__xludf.DUMMYFUNCTION("""COMPUTED_VALUE"""),-0.388924657474843)</f>
        <v>-0.38892465747484301</v>
      </c>
      <c r="LK105" s="3">
        <f ca="1">IFERROR(__xludf.DUMMYFUNCTION("""COMPUTED_VALUE"""),-0.420967895666834)</f>
        <v>-0.42096789566683401</v>
      </c>
      <c r="LL105" s="3">
        <f ca="1">IFERROR(__xludf.DUMMYFUNCTION("""COMPUTED_VALUE"""),-0.398653257968578)</f>
        <v>-0.39865325796857798</v>
      </c>
      <c r="LM105" s="3">
        <f ca="1">IFERROR(__xludf.DUMMYFUNCTION("""COMPUTED_VALUE"""),-0.399123529513418)</f>
        <v>-0.39912352951341801</v>
      </c>
      <c r="LN105" s="3">
        <f ca="1">IFERROR(__xludf.DUMMYFUNCTION("""COMPUTED_VALUE"""),-0.388978455018074)</f>
        <v>-0.38897845501807399</v>
      </c>
      <c r="LO105" s="3">
        <f ca="1">IFERROR(__xludf.DUMMYFUNCTION("""COMPUTED_VALUE"""),-0.473626866266882)</f>
        <v>-0.473626866266882</v>
      </c>
      <c r="LP105" s="3">
        <f ca="1">IFERROR(__xludf.DUMMYFUNCTION("""COMPUTED_VALUE"""),-0.467451518894135)</f>
        <v>-0.467451518894135</v>
      </c>
      <c r="LQ105" s="3">
        <f ca="1">IFERROR(__xludf.DUMMYFUNCTION("""COMPUTED_VALUE"""),-0.462062452374248)</f>
        <v>-0.46206245237424798</v>
      </c>
      <c r="LR105" s="3">
        <f ca="1">IFERROR(__xludf.DUMMYFUNCTION("""COMPUTED_VALUE"""),-0.481307614879098)</f>
        <v>-0.48130761487909801</v>
      </c>
      <c r="LS105" s="3">
        <f ca="1">IFERROR(__xludf.DUMMYFUNCTION("""COMPUTED_VALUE"""),-0.45875790154458)</f>
        <v>-0.45875790154458002</v>
      </c>
      <c r="LT105" s="3">
        <f ca="1">IFERROR(__xludf.DUMMYFUNCTION("""COMPUTED_VALUE"""),-0.454142562855677)</f>
        <v>-0.454142562855677</v>
      </c>
      <c r="LU105" s="3">
        <f ca="1">IFERROR(__xludf.DUMMYFUNCTION("""COMPUTED_VALUE"""),-0.470881213739329)</f>
        <v>-0.47088121373932901</v>
      </c>
      <c r="LV105" s="3">
        <f ca="1">IFERROR(__xludf.DUMMYFUNCTION("""COMPUTED_VALUE"""),-0.491458819280073)</f>
        <v>-0.49145881928007301</v>
      </c>
      <c r="LW105" s="3">
        <f ca="1">IFERROR(__xludf.DUMMYFUNCTION("""COMPUTED_VALUE"""),-0.557085653135647)</f>
        <v>-0.55708565313564695</v>
      </c>
      <c r="LX105" s="3">
        <f ca="1">IFERROR(__xludf.DUMMYFUNCTION("""COMPUTED_VALUE"""),-0.531192572824591)</f>
        <v>-0.53119257282459098</v>
      </c>
      <c r="LY105" s="3">
        <f ca="1">IFERROR(__xludf.DUMMYFUNCTION("""COMPUTED_VALUE"""),-0.515193868599717)</f>
        <v>-0.51519386859971705</v>
      </c>
      <c r="LZ105" s="3">
        <f ca="1">IFERROR(__xludf.DUMMYFUNCTION("""COMPUTED_VALUE"""),-0.536377116475529)</f>
        <v>-0.53637711647552899</v>
      </c>
      <c r="MA105" s="3">
        <f ca="1">IFERROR(__xludf.DUMMYFUNCTION("""COMPUTED_VALUE"""),-0.484101730995821)</f>
        <v>-0.48410173099582099</v>
      </c>
      <c r="MB105" s="3">
        <f ca="1">IFERROR(__xludf.DUMMYFUNCTION("""COMPUTED_VALUE"""),-0.62869070443959)</f>
        <v>-0.62869070443958996</v>
      </c>
      <c r="MC105" s="3">
        <f ca="1">IFERROR(__xludf.DUMMYFUNCTION("""COMPUTED_VALUE"""),-0.661355674154869)</f>
        <v>-0.66135567415486896</v>
      </c>
      <c r="MD105" s="3">
        <f ca="1">IFERROR(__xludf.DUMMYFUNCTION("""COMPUTED_VALUE"""),-0.704207841878861)</f>
        <v>-0.70420784187886099</v>
      </c>
      <c r="ME105" s="3">
        <f ca="1">IFERROR(__xludf.DUMMYFUNCTION("""COMPUTED_VALUE"""),-0.643793860807206)</f>
        <v>-0.64379386080720602</v>
      </c>
      <c r="MF105" s="3">
        <f ca="1">IFERROR(__xludf.DUMMYFUNCTION("""COMPUTED_VALUE"""),-0.606723189421072)</f>
        <v>-0.60672318942107195</v>
      </c>
      <c r="MG105" s="3">
        <f ca="1">IFERROR(__xludf.DUMMYFUNCTION("""COMPUTED_VALUE"""),-0.668791432357894)</f>
        <v>-0.66879143235789396</v>
      </c>
      <c r="MH105" s="3">
        <f ca="1">IFERROR(__xludf.DUMMYFUNCTION("""COMPUTED_VALUE"""),-0.646807511150825)</f>
        <v>-0.64680751115082502</v>
      </c>
      <c r="MI105" s="3">
        <f ca="1">IFERROR(__xludf.DUMMYFUNCTION("""COMPUTED_VALUE"""),-0.714198969105384)</f>
        <v>-0.71419896910538405</v>
      </c>
      <c r="MJ105" s="3">
        <f ca="1">IFERROR(__xludf.DUMMYFUNCTION("""COMPUTED_VALUE"""),-0.688521389892026)</f>
        <v>-0.68852138989202605</v>
      </c>
      <c r="MK105" s="3">
        <f ca="1">IFERROR(__xludf.DUMMYFUNCTION("""COMPUTED_VALUE"""),-0.774633941976405)</f>
        <v>-0.774633941976405</v>
      </c>
      <c r="ML105" s="3">
        <f ca="1">IFERROR(__xludf.DUMMYFUNCTION("""COMPUTED_VALUE"""),-0.692192028435087)</f>
        <v>-0.69219202843508698</v>
      </c>
      <c r="MM105" s="3">
        <f ca="1">IFERROR(__xludf.DUMMYFUNCTION("""COMPUTED_VALUE"""),-0.667545557672483)</f>
        <v>-0.66754555767248303</v>
      </c>
      <c r="MN105" s="3">
        <f ca="1">IFERROR(__xludf.DUMMYFUNCTION("""COMPUTED_VALUE"""),-0.71273274858695)</f>
        <v>-0.71273274858695002</v>
      </c>
      <c r="MO105" s="3">
        <f ca="1">IFERROR(__xludf.DUMMYFUNCTION("""COMPUTED_VALUE"""),-0.679372536524539)</f>
        <v>-0.67937253652453899</v>
      </c>
      <c r="MP105" s="3">
        <f ca="1">IFERROR(__xludf.DUMMYFUNCTION("""COMPUTED_VALUE"""),-0.758464031115438)</f>
        <v>-0.75846403111543803</v>
      </c>
      <c r="MQ105" s="3">
        <f ca="1">IFERROR(__xludf.DUMMYFUNCTION("""COMPUTED_VALUE"""),-0.748359698446448)</f>
        <v>-0.74835969844644801</v>
      </c>
      <c r="MR105" s="3">
        <f ca="1">IFERROR(__xludf.DUMMYFUNCTION("""COMPUTED_VALUE"""),-0.722330540625851)</f>
        <v>-0.722330540625851</v>
      </c>
      <c r="MS105" s="3">
        <f ca="1">IFERROR(__xludf.DUMMYFUNCTION("""COMPUTED_VALUE"""),-0.676741028359091)</f>
        <v>-0.676741028359091</v>
      </c>
      <c r="MT105" s="3">
        <f ca="1">IFERROR(__xludf.DUMMYFUNCTION("""COMPUTED_VALUE"""),-0.683422351135422)</f>
        <v>-0.68342235113542205</v>
      </c>
      <c r="MU105" s="3">
        <f ca="1">IFERROR(__xludf.DUMMYFUNCTION("""COMPUTED_VALUE"""),-0.703478974414322)</f>
        <v>-0.70347897441432194</v>
      </c>
      <c r="MV105" s="3">
        <f ca="1">IFERROR(__xludf.DUMMYFUNCTION("""COMPUTED_VALUE"""),-0.677957284364976)</f>
        <v>-0.67795728436497604</v>
      </c>
      <c r="MW105" s="3">
        <f ca="1">IFERROR(__xludf.DUMMYFUNCTION("""COMPUTED_VALUE"""),-0.762354920511005)</f>
        <v>-0.76235492051100495</v>
      </c>
      <c r="MX105" s="3">
        <f ca="1">IFERROR(__xludf.DUMMYFUNCTION("""COMPUTED_VALUE"""),-0.754384601057304)</f>
        <v>-0.75438460105730398</v>
      </c>
      <c r="MY105" s="3">
        <f ca="1">IFERROR(__xludf.DUMMYFUNCTION("""COMPUTED_VALUE"""),-0.740380667418439)</f>
        <v>-0.740380667418439</v>
      </c>
      <c r="MZ105" s="3">
        <f ca="1">IFERROR(__xludf.DUMMYFUNCTION("""COMPUTED_VALUE"""),-0.72058628251292)</f>
        <v>-0.72058628251292001</v>
      </c>
      <c r="NA105" s="3">
        <f ca="1">IFERROR(__xludf.DUMMYFUNCTION("""COMPUTED_VALUE"""),-0.732812149877286)</f>
        <v>-0.73281214987728605</v>
      </c>
      <c r="NB105" s="3">
        <f ca="1">IFERROR(__xludf.DUMMYFUNCTION("""COMPUTED_VALUE"""),-0.718090004710612)</f>
        <v>-0.71809000471061202</v>
      </c>
      <c r="NC105" s="3">
        <f ca="1">IFERROR(__xludf.DUMMYFUNCTION("""COMPUTED_VALUE"""),-0.768285885293317)</f>
        <v>-0.76828588529331698</v>
      </c>
      <c r="ND105" s="3">
        <f ca="1">IFERROR(__xludf.DUMMYFUNCTION("""COMPUTED_VALUE"""),-0.785191331638824)</f>
        <v>-0.78519133163882404</v>
      </c>
      <c r="NE105" s="3">
        <f ca="1">IFERROR(__xludf.DUMMYFUNCTION("""COMPUTED_VALUE"""),-0.773454788952268)</f>
        <v>-0.77345478895226805</v>
      </c>
      <c r="NF105" s="3">
        <f ca="1">IFERROR(__xludf.DUMMYFUNCTION("""COMPUTED_VALUE"""),-0.737284170068579)</f>
        <v>-0.73728417006857905</v>
      </c>
      <c r="NG105" s="3">
        <f ca="1">IFERROR(__xludf.DUMMYFUNCTION("""COMPUTED_VALUE"""),-0.762235539730234)</f>
        <v>-0.76223553973023395</v>
      </c>
      <c r="NH105" s="3">
        <f ca="1">IFERROR(__xludf.DUMMYFUNCTION("""COMPUTED_VALUE"""),-0.764528967907635)</f>
        <v>-0.76452896790763503</v>
      </c>
      <c r="NI105" s="3">
        <f ca="1">IFERROR(__xludf.DUMMYFUNCTION("""COMPUTED_VALUE"""),-0.741850914347507)</f>
        <v>-0.74185091434750705</v>
      </c>
      <c r="NJ105" s="3">
        <f ca="1">IFERROR(__xludf.DUMMYFUNCTION("""COMPUTED_VALUE"""),-0.736477729799378)</f>
        <v>-0.73647772979937798</v>
      </c>
      <c r="NK105" s="3">
        <f ca="1">IFERROR(__xludf.DUMMYFUNCTION("""COMPUTED_VALUE"""),-0.796659428908377)</f>
        <v>-0.79665942890837704</v>
      </c>
      <c r="NL105" s="3">
        <f ca="1">IFERROR(__xludf.DUMMYFUNCTION("""COMPUTED_VALUE"""),-0.807739494174841)</f>
        <v>-0.80773949417484103</v>
      </c>
      <c r="NM105" s="3">
        <f ca="1">IFERROR(__xludf.DUMMYFUNCTION("""COMPUTED_VALUE"""),-0.787494129860218)</f>
        <v>-0.78749412986021805</v>
      </c>
      <c r="NN105" s="3">
        <f ca="1">IFERROR(__xludf.DUMMYFUNCTION("""COMPUTED_VALUE"""),-0.785061530074421)</f>
        <v>-0.78506153007442103</v>
      </c>
      <c r="NO105" s="3">
        <f ca="1">IFERROR(__xludf.DUMMYFUNCTION("""COMPUTED_VALUE"""),-0.775608869041045)</f>
        <v>-0.77560886904104498</v>
      </c>
      <c r="NP105" s="3">
        <f ca="1">IFERROR(__xludf.DUMMYFUNCTION("""COMPUTED_VALUE"""),-0.75582202688448)</f>
        <v>-0.75582202688447997</v>
      </c>
      <c r="NQ105" s="3">
        <f ca="1">IFERROR(__xludf.DUMMYFUNCTION("""COMPUTED_VALUE"""),-0.698414902183843)</f>
        <v>-0.69841490218384294</v>
      </c>
      <c r="NR105" s="3">
        <f ca="1">IFERROR(__xludf.DUMMYFUNCTION("""COMPUTED_VALUE"""),-0.819699498042842)</f>
        <v>-0.81969949804284203</v>
      </c>
      <c r="NS105" s="3">
        <f ca="1">IFERROR(__xludf.DUMMYFUNCTION("""COMPUTED_VALUE"""),-0.810379663641538)</f>
        <v>-0.81037966364153802</v>
      </c>
      <c r="NT105" s="3">
        <f ca="1">IFERROR(__xludf.DUMMYFUNCTION("""COMPUTED_VALUE"""),-0.787046764892435)</f>
        <v>-0.78704676489243497</v>
      </c>
      <c r="NU105" s="3">
        <f ca="1">IFERROR(__xludf.DUMMYFUNCTION("""COMPUTED_VALUE"""),-0.771015701112467)</f>
        <v>-0.77101570111246698</v>
      </c>
      <c r="NV105" s="3">
        <f ca="1">IFERROR(__xludf.DUMMYFUNCTION("""COMPUTED_VALUE"""),-0.773368584433408)</f>
        <v>-0.77336858443340795</v>
      </c>
      <c r="NW105" s="3">
        <f ca="1">IFERROR(__xludf.DUMMYFUNCTION("""COMPUTED_VALUE"""),-0.705777659714685)</f>
        <v>-0.70577765971468498</v>
      </c>
      <c r="NX105" s="3">
        <f ca="1">IFERROR(__xludf.DUMMYFUNCTION("""COMPUTED_VALUE"""),-0.722410839363741)</f>
        <v>-0.72241083936374095</v>
      </c>
      <c r="NY105" s="3">
        <f ca="1">IFERROR(__xludf.DUMMYFUNCTION("""COMPUTED_VALUE"""),-0.78967430467789)</f>
        <v>-0.78967430467789002</v>
      </c>
      <c r="NZ105" s="3">
        <f ca="1">IFERROR(__xludf.DUMMYFUNCTION("""COMPUTED_VALUE"""),-0.775843874689173)</f>
        <v>-0.77584387468917304</v>
      </c>
      <c r="OA105" s="3">
        <f ca="1">IFERROR(__xludf.DUMMYFUNCTION("""COMPUTED_VALUE"""),-0.750115460123625)</f>
        <v>-0.75011546012362496</v>
      </c>
      <c r="OB105" s="3">
        <f ca="1">IFERROR(__xludf.DUMMYFUNCTION("""COMPUTED_VALUE"""),-0.729626939953531)</f>
        <v>-0.72962693995353101</v>
      </c>
      <c r="OC105" s="3">
        <f ca="1">IFERROR(__xludf.DUMMYFUNCTION("""COMPUTED_VALUE"""),-0.74348012172074)</f>
        <v>-0.74348012172073996</v>
      </c>
      <c r="OD105" s="3">
        <f ca="1">IFERROR(__xludf.DUMMYFUNCTION("""COMPUTED_VALUE"""),-0.624825548053004)</f>
        <v>-0.62482554805300405</v>
      </c>
      <c r="OE105" s="3">
        <f ca="1">IFERROR(__xludf.DUMMYFUNCTION("""COMPUTED_VALUE"""),-0.393017938133322)</f>
        <v>-0.39301793813332198</v>
      </c>
      <c r="OF105" s="3">
        <f ca="1">IFERROR(__xludf.DUMMYFUNCTION("""COMPUTED_VALUE"""),-0.303773530440553)</f>
        <v>-0.303773530440553</v>
      </c>
      <c r="OG105" s="3">
        <f ca="1">IFERROR(__xludf.DUMMYFUNCTION("""COMPUTED_VALUE"""),-0.226257854130025)</f>
        <v>-0.226257854130025</v>
      </c>
      <c r="OH105" s="3">
        <f ca="1">IFERROR(__xludf.DUMMYFUNCTION("""COMPUTED_VALUE"""),-0.0351345254954919)</f>
        <v>-3.5134525495491897E-2</v>
      </c>
      <c r="OI105" s="3">
        <f ca="1">IFERROR(__xludf.DUMMYFUNCTION("""COMPUTED_VALUE"""),-0.0248195113812507)</f>
        <v>-2.48195113812507E-2</v>
      </c>
      <c r="OJ105" s="3">
        <f ca="1">IFERROR(__xludf.DUMMYFUNCTION("""COMPUTED_VALUE"""),0.0143386002790351)</f>
        <v>1.4338600279035101E-2</v>
      </c>
      <c r="OK105" s="3">
        <f ca="1">IFERROR(__xludf.DUMMYFUNCTION("""COMPUTED_VALUE"""),0.0134879584563039)</f>
        <v>1.34879584563039E-2</v>
      </c>
      <c r="OL105" s="3">
        <f ca="1">IFERROR(__xludf.DUMMYFUNCTION("""COMPUTED_VALUE"""),0.0226655882359732)</f>
        <v>2.26655882359732E-2</v>
      </c>
      <c r="OM105" s="3">
        <f ca="1">IFERROR(__xludf.DUMMYFUNCTION("""COMPUTED_VALUE"""),-0.0793955735559061)</f>
        <v>-7.9395573555906096E-2</v>
      </c>
      <c r="ON105" s="3">
        <f ca="1">IFERROR(__xludf.DUMMYFUNCTION("""COMPUTED_VALUE"""),0.0184809630937652)</f>
        <v>1.84809630937652E-2</v>
      </c>
      <c r="OO105" s="3">
        <f ca="1">IFERROR(__xludf.DUMMYFUNCTION("""COMPUTED_VALUE"""),0.103519196765466)</f>
        <v>0.103519196765466</v>
      </c>
      <c r="OP105" s="3">
        <f ca="1">IFERROR(__xludf.DUMMYFUNCTION("""COMPUTED_VALUE"""),0.0547316703168838)</f>
        <v>5.47316703168838E-2</v>
      </c>
      <c r="OQ105" s="3">
        <f ca="1">IFERROR(__xludf.DUMMYFUNCTION("""COMPUTED_VALUE"""),0.0820432192261082)</f>
        <v>8.2043219226108202E-2</v>
      </c>
      <c r="OR105" s="3">
        <f ca="1">IFERROR(__xludf.DUMMYFUNCTION("""COMPUTED_VALUE"""),0.125661566414733)</f>
        <v>0.125661566414733</v>
      </c>
      <c r="OS105" s="3">
        <f ca="1">IFERROR(__xludf.DUMMYFUNCTION("""COMPUTED_VALUE"""),0.102438716694667)</f>
        <v>0.102438716694667</v>
      </c>
      <c r="OT105" s="3">
        <f ca="1">IFERROR(__xludf.DUMMYFUNCTION("""COMPUTED_VALUE"""),-0.0730413648452839)</f>
        <v>-7.3041364845283896E-2</v>
      </c>
      <c r="OU105" s="3">
        <f ca="1">IFERROR(__xludf.DUMMYFUNCTION("""COMPUTED_VALUE"""),0.0825287614998553)</f>
        <v>8.2528761499855302E-2</v>
      </c>
      <c r="OV105" s="3">
        <f ca="1">IFERROR(__xludf.DUMMYFUNCTION("""COMPUTED_VALUE"""),0.155395156843756)</f>
        <v>0.15539515684375599</v>
      </c>
      <c r="OW105" s="3">
        <f ca="1">IFERROR(__xludf.DUMMYFUNCTION("""COMPUTED_VALUE"""),0.120014002604654)</f>
        <v>0.120014002604654</v>
      </c>
      <c r="OX105" s="3">
        <f ca="1">IFERROR(__xludf.DUMMYFUNCTION("""COMPUTED_VALUE"""),0.105679084612692)</f>
        <v>0.105679084612692</v>
      </c>
      <c r="OY105" s="3">
        <f ca="1">IFERROR(__xludf.DUMMYFUNCTION("""COMPUTED_VALUE"""),0.110421713764174)</f>
        <v>0.11042171376417401</v>
      </c>
      <c r="OZ105" s="3">
        <f ca="1">IFERROR(__xludf.DUMMYFUNCTION("""COMPUTED_VALUE"""),0.0777937087967428)</f>
        <v>7.77937087967428E-2</v>
      </c>
      <c r="PA105" s="3">
        <f ca="1">IFERROR(__xludf.DUMMYFUNCTION("""COMPUTED_VALUE"""),-0.0616002137632352)</f>
        <v>-6.1600213763235198E-2</v>
      </c>
      <c r="PB105" s="3">
        <f ca="1">IFERROR(__xludf.DUMMYFUNCTION("""COMPUTED_VALUE"""),-0.0594350271290008)</f>
        <v>-5.9435027129000798E-2</v>
      </c>
      <c r="PC105" s="3">
        <f ca="1">IFERROR(__xludf.DUMMYFUNCTION("""COMPUTED_VALUE"""),-0.0694583972392184)</f>
        <v>-6.94583972392184E-2</v>
      </c>
      <c r="PD105" s="3">
        <f ca="1">IFERROR(__xludf.DUMMYFUNCTION("""COMPUTED_VALUE"""),-0.036209369255698)</f>
        <v>-3.6209369255698003E-2</v>
      </c>
      <c r="PE105" s="3">
        <f ca="1">IFERROR(__xludf.DUMMYFUNCTION("""COMPUTED_VALUE"""),-0.0791674791271321)</f>
        <v>-7.9167479127132095E-2</v>
      </c>
      <c r="PF105" s="3">
        <f ca="1">IFERROR(__xludf.DUMMYFUNCTION("""COMPUTED_VALUE"""),-0.0246383991083692)</f>
        <v>-2.4638399108369201E-2</v>
      </c>
      <c r="PG105" s="3">
        <f ca="1">IFERROR(__xludf.DUMMYFUNCTION("""COMPUTED_VALUE"""),-0.0112739760729703)</f>
        <v>-1.12739760729703E-2</v>
      </c>
      <c r="PH105" s="3">
        <f ca="1">IFERROR(__xludf.DUMMYFUNCTION("""COMPUTED_VALUE"""),-0.00124499228305974)</f>
        <v>-1.24499228305974E-3</v>
      </c>
      <c r="PI105" s="3">
        <f ca="1">IFERROR(__xludf.DUMMYFUNCTION("""COMPUTED_VALUE"""),-0.0801673988704326)</f>
        <v>-8.0167398870432602E-2</v>
      </c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</row>
    <row r="106" spans="1:477" ht="13">
      <c r="A106" s="1" t="str">
        <f ca="1">IFERROR(__xludf.DUMMYFUNCTION("""COMPUTED_VALUE"""),"SEPTA - Bus")</f>
        <v>SEPTA - Bus</v>
      </c>
      <c r="B106" s="1" t="str">
        <f ca="1">IFERROR(__xludf.DUMMYFUNCTION("""COMPUTED_VALUE"""),"Philadelphia")</f>
        <v>Philadelphia</v>
      </c>
      <c r="C106" s="1" t="str">
        <f ca="1">IFERROR(__xludf.DUMMYFUNCTION("""COMPUTED_VALUE"""),"United States")</f>
        <v>United States</v>
      </c>
      <c r="D106" s="1" t="str">
        <f ca="1">IFERROR(__xludf.DUMMYFUNCTION("""COMPUTED_VALUE"""),"Pennsylvania")</f>
        <v>Pennsylvania</v>
      </c>
      <c r="E106" s="3">
        <f ca="1">IFERROR(__xludf.DUMMYFUNCTION("""COMPUTED_VALUE"""),-0.454717236532651)</f>
        <v>-0.454717236532651</v>
      </c>
      <c r="F106" s="3">
        <f ca="1">IFERROR(__xludf.DUMMYFUNCTION("""COMPUTED_VALUE"""),-0.588290809521619)</f>
        <v>-0.58829080952161905</v>
      </c>
      <c r="G106" s="3">
        <f ca="1">IFERROR(__xludf.DUMMYFUNCTION("""COMPUTED_VALUE"""),-0.57445339393102)</f>
        <v>-0.57445339393102002</v>
      </c>
      <c r="H106" s="3">
        <f ca="1">IFERROR(__xludf.DUMMYFUNCTION("""COMPUTED_VALUE"""),-0.628117102013866)</f>
        <v>-0.62811710201386595</v>
      </c>
      <c r="I106" s="3">
        <f ca="1">IFERROR(__xludf.DUMMYFUNCTION("""COMPUTED_VALUE"""),-0.603653444392464)</f>
        <v>-0.60365344439246404</v>
      </c>
      <c r="J106" s="3">
        <f ca="1">IFERROR(__xludf.DUMMYFUNCTION("""COMPUTED_VALUE"""),-0.615468499789662)</f>
        <v>-0.615468499789662</v>
      </c>
      <c r="K106" s="3">
        <f ca="1">IFERROR(__xludf.DUMMYFUNCTION("""COMPUTED_VALUE"""),-0.520509207454392)</f>
        <v>-0.520509207454392</v>
      </c>
      <c r="L106" s="3">
        <f ca="1">IFERROR(__xludf.DUMMYFUNCTION("""COMPUTED_VALUE"""),-0.505463697661619)</f>
        <v>-0.50546369766161903</v>
      </c>
      <c r="M106" s="3">
        <f ca="1">IFERROR(__xludf.DUMMYFUNCTION("""COMPUTED_VALUE"""),-0.653387801661865)</f>
        <v>-0.65338780166186505</v>
      </c>
      <c r="N106" s="3">
        <f ca="1">IFERROR(__xludf.DUMMYFUNCTION("""COMPUTED_VALUE"""),-0.633652456167323)</f>
        <v>-0.63365245616732302</v>
      </c>
      <c r="O106" s="3">
        <f ca="1">IFERROR(__xludf.DUMMYFUNCTION("""COMPUTED_VALUE"""),-0.664145773220175)</f>
        <v>-0.66414577322017498</v>
      </c>
      <c r="P106" s="3">
        <f ca="1">IFERROR(__xludf.DUMMYFUNCTION("""COMPUTED_VALUE"""),-0.610516580982063)</f>
        <v>-0.61051658098206296</v>
      </c>
      <c r="Q106" s="3">
        <f ca="1">IFERROR(__xludf.DUMMYFUNCTION("""COMPUTED_VALUE"""),-0.619622027333035)</f>
        <v>-0.61962202733303495</v>
      </c>
      <c r="R106" s="3">
        <f ca="1">IFERROR(__xludf.DUMMYFUNCTION("""COMPUTED_VALUE"""),-0.554997656401718)</f>
        <v>-0.55499765640171805</v>
      </c>
      <c r="S106" s="3">
        <f ca="1">IFERROR(__xludf.DUMMYFUNCTION("""COMPUTED_VALUE"""),-0.462410176663069)</f>
        <v>-0.46241017666306899</v>
      </c>
      <c r="T106" s="3">
        <f ca="1">IFERROR(__xludf.DUMMYFUNCTION("""COMPUTED_VALUE"""),-0.579303770654568)</f>
        <v>-0.57930377065456795</v>
      </c>
      <c r="U106" s="3">
        <f ca="1">IFERROR(__xludf.DUMMYFUNCTION("""COMPUTED_VALUE"""),-0.617129084299211)</f>
        <v>-0.61712908429921098</v>
      </c>
      <c r="V106" s="3">
        <f ca="1">IFERROR(__xludf.DUMMYFUNCTION("""COMPUTED_VALUE"""),-0.672786224897471)</f>
        <v>-0.67278622489747097</v>
      </c>
      <c r="W106" s="3">
        <f ca="1">IFERROR(__xludf.DUMMYFUNCTION("""COMPUTED_VALUE"""),-0.599351707405846)</f>
        <v>-0.59935170740584598</v>
      </c>
      <c r="X106" s="3">
        <f ca="1">IFERROR(__xludf.DUMMYFUNCTION("""COMPUTED_VALUE"""),-0.60159525297455)</f>
        <v>-0.60159525297454997</v>
      </c>
      <c r="Y106" s="3">
        <f ca="1">IFERROR(__xludf.DUMMYFUNCTION("""COMPUTED_VALUE"""),-0.45601558441102)</f>
        <v>-0.45601558441102003</v>
      </c>
      <c r="Z106" s="3">
        <f ca="1">IFERROR(__xludf.DUMMYFUNCTION("""COMPUTED_VALUE"""),-0.468197053332655)</f>
        <v>-0.46819705333265499</v>
      </c>
      <c r="AA106" s="3">
        <f ca="1">IFERROR(__xludf.DUMMYFUNCTION("""COMPUTED_VALUE"""),-0.606098492427831)</f>
        <v>-0.60609849242783098</v>
      </c>
      <c r="AB106" s="3">
        <f ca="1">IFERROR(__xludf.DUMMYFUNCTION("""COMPUTED_VALUE"""),-0.656566099611431)</f>
        <v>-0.65656609961143098</v>
      </c>
      <c r="AC106" s="3">
        <f ca="1">IFERROR(__xludf.DUMMYFUNCTION("""COMPUTED_VALUE"""),-0.631433230567149)</f>
        <v>-0.63143323056714895</v>
      </c>
      <c r="AD106" s="3">
        <f ca="1">IFERROR(__xludf.DUMMYFUNCTION("""COMPUTED_VALUE"""),-0.634735672678595)</f>
        <v>-0.63473567267859499</v>
      </c>
      <c r="AE106" s="3">
        <f ca="1">IFERROR(__xludf.DUMMYFUNCTION("""COMPUTED_VALUE"""),-0.616785186544252)</f>
        <v>-0.61678518654425196</v>
      </c>
      <c r="AF106" s="3">
        <f ca="1">IFERROR(__xludf.DUMMYFUNCTION("""COMPUTED_VALUE"""),-0.477938101892061)</f>
        <v>-0.47793810189206098</v>
      </c>
      <c r="AG106" s="3">
        <f ca="1">IFERROR(__xludf.DUMMYFUNCTION("""COMPUTED_VALUE"""),-0.483860393118963)</f>
        <v>-0.48386039311896301</v>
      </c>
      <c r="AH106" s="3">
        <f ca="1">IFERROR(__xludf.DUMMYFUNCTION("""COMPUTED_VALUE"""),-0.601702067851461)</f>
        <v>-0.60170206785146096</v>
      </c>
      <c r="AI106" s="3">
        <f ca="1">IFERROR(__xludf.DUMMYFUNCTION("""COMPUTED_VALUE"""),-0.578090750654524)</f>
        <v>-0.57809075065452398</v>
      </c>
      <c r="AJ106" s="3">
        <f ca="1">IFERROR(__xludf.DUMMYFUNCTION("""COMPUTED_VALUE"""),-0.611125749527315)</f>
        <v>-0.61112574952731502</v>
      </c>
      <c r="AK106" s="3">
        <f ca="1">IFERROR(__xludf.DUMMYFUNCTION("""COMPUTED_VALUE"""),-0.610484200470998)</f>
        <v>-0.61048420047099805</v>
      </c>
      <c r="AL106" s="3">
        <f ca="1">IFERROR(__xludf.DUMMYFUNCTION("""COMPUTED_VALUE"""),-0.621733658389124)</f>
        <v>-0.62173365838912398</v>
      </c>
      <c r="AM106" s="3">
        <f ca="1">IFERROR(__xludf.DUMMYFUNCTION("""COMPUTED_VALUE"""),-0.479199875885995)</f>
        <v>-0.479199875885995</v>
      </c>
      <c r="AN106" s="3">
        <f ca="1">IFERROR(__xludf.DUMMYFUNCTION("""COMPUTED_VALUE"""),-0.510962816237084)</f>
        <v>-0.51096281623708395</v>
      </c>
      <c r="AO106" s="3">
        <f ca="1">IFERROR(__xludf.DUMMYFUNCTION("""COMPUTED_VALUE"""),-0.623992579598381)</f>
        <v>-0.62399257959838095</v>
      </c>
      <c r="AP106" s="3">
        <f ca="1">IFERROR(__xludf.DUMMYFUNCTION("""COMPUTED_VALUE"""),-0.621213871910775)</f>
        <v>-0.62121387191077504</v>
      </c>
      <c r="AQ106" s="3">
        <f ca="1">IFERROR(__xludf.DUMMYFUNCTION("""COMPUTED_VALUE"""),-0.6138111850466)</f>
        <v>-0.61381118504660004</v>
      </c>
      <c r="AR106" s="3">
        <f ca="1">IFERROR(__xludf.DUMMYFUNCTION("""COMPUTED_VALUE"""),-0.635037765854389)</f>
        <v>-0.63503776585438898</v>
      </c>
      <c r="AS106" s="3">
        <f ca="1">IFERROR(__xludf.DUMMYFUNCTION("""COMPUTED_VALUE"""),-0.629835186078803)</f>
        <v>-0.62983518607880296</v>
      </c>
      <c r="AT106" s="3">
        <f ca="1">IFERROR(__xludf.DUMMYFUNCTION("""COMPUTED_VALUE"""),-0.52030405301534)</f>
        <v>-0.52030405301534</v>
      </c>
      <c r="AU106" s="3">
        <f ca="1">IFERROR(__xludf.DUMMYFUNCTION("""COMPUTED_VALUE"""),-0.509527309199011)</f>
        <v>-0.50952730919901101</v>
      </c>
      <c r="AV106" s="3">
        <f ca="1">IFERROR(__xludf.DUMMYFUNCTION("""COMPUTED_VALUE"""),-0.621169041080986)</f>
        <v>-0.62116904108098603</v>
      </c>
      <c r="AW106" s="3">
        <f ca="1">IFERROR(__xludf.DUMMYFUNCTION("""COMPUTED_VALUE"""),-0.611435645907709)</f>
        <v>-0.61143564590770905</v>
      </c>
      <c r="AX106" s="3">
        <f ca="1">IFERROR(__xludf.DUMMYFUNCTION("""COMPUTED_VALUE"""),-0.535749392050144)</f>
        <v>-0.53574939205014405</v>
      </c>
      <c r="AY106" s="3">
        <f ca="1">IFERROR(__xludf.DUMMYFUNCTION("""COMPUTED_VALUE"""),-0.628170928239278)</f>
        <v>-0.628170928239278</v>
      </c>
      <c r="AZ106" s="3">
        <f ca="1">IFERROR(__xludf.DUMMYFUNCTION("""COMPUTED_VALUE"""),-0.621280521475933)</f>
        <v>-0.62128052147593305</v>
      </c>
      <c r="BA106" s="3">
        <f ca="1">IFERROR(__xludf.DUMMYFUNCTION("""COMPUTED_VALUE"""),-0.475654527190122)</f>
        <v>-0.47565452719012202</v>
      </c>
      <c r="BB106" s="3">
        <f ca="1">IFERROR(__xludf.DUMMYFUNCTION("""COMPUTED_VALUE"""),-0.479487265221878)</f>
        <v>-0.47948726522187801</v>
      </c>
      <c r="BC106" s="3">
        <f ca="1">IFERROR(__xludf.DUMMYFUNCTION("""COMPUTED_VALUE"""),-0.637481645302836)</f>
        <v>-0.63748164530283602</v>
      </c>
      <c r="BD106" s="3">
        <f ca="1">IFERROR(__xludf.DUMMYFUNCTION("""COMPUTED_VALUE"""),-0.732306865206075)</f>
        <v>-0.73230686520607502</v>
      </c>
      <c r="BE106" s="3">
        <f ca="1">IFERROR(__xludf.DUMMYFUNCTION("""COMPUTED_VALUE"""),-0.584810255330138)</f>
        <v>-0.58481025533013797</v>
      </c>
      <c r="BF106" s="3">
        <f ca="1">IFERROR(__xludf.DUMMYFUNCTION("""COMPUTED_VALUE"""),-0.631889968686941)</f>
        <v>-0.63188996868694103</v>
      </c>
      <c r="BG106" s="3">
        <f ca="1">IFERROR(__xludf.DUMMYFUNCTION("""COMPUTED_VALUE"""),-0.613780198650886)</f>
        <v>-0.61378019865088596</v>
      </c>
      <c r="BH106" s="3">
        <f ca="1">IFERROR(__xludf.DUMMYFUNCTION("""COMPUTED_VALUE"""),-0.44469886860574)</f>
        <v>-0.44469886860573998</v>
      </c>
      <c r="BI106" s="3">
        <f ca="1">IFERROR(__xludf.DUMMYFUNCTION("""COMPUTED_VALUE"""),-0.465539240102774)</f>
        <v>-0.46553924010277398</v>
      </c>
      <c r="BJ106" s="3">
        <f ca="1">IFERROR(__xludf.DUMMYFUNCTION("""COMPUTED_VALUE"""),-0.624709271614024)</f>
        <v>-0.62470927161402401</v>
      </c>
      <c r="BK106" s="3">
        <f ca="1">IFERROR(__xludf.DUMMYFUNCTION("""COMPUTED_VALUE"""),-0.631178136537951)</f>
        <v>-0.63117813653795096</v>
      </c>
      <c r="BL106" s="3">
        <f ca="1">IFERROR(__xludf.DUMMYFUNCTION("""COMPUTED_VALUE"""),-0.630083489636541)</f>
        <v>-0.63008348963654104</v>
      </c>
      <c r="BM106" s="3">
        <f ca="1">IFERROR(__xludf.DUMMYFUNCTION("""COMPUTED_VALUE"""),-0.634861980610746)</f>
        <v>-0.63486198061074595</v>
      </c>
      <c r="BN106" s="3">
        <f ca="1">IFERROR(__xludf.DUMMYFUNCTION("""COMPUTED_VALUE"""),-0.585858140177755)</f>
        <v>-0.58585814017775495</v>
      </c>
      <c r="BO106" s="3">
        <f ca="1">IFERROR(__xludf.DUMMYFUNCTION("""COMPUTED_VALUE"""),-0.551574319367556)</f>
        <v>-0.55157431936755597</v>
      </c>
      <c r="BP106" s="3">
        <f ca="1">IFERROR(__xludf.DUMMYFUNCTION("""COMPUTED_VALUE"""),-0.471225211515519)</f>
        <v>-0.47122521151551899</v>
      </c>
      <c r="BQ106" s="3">
        <f ca="1">IFERROR(__xludf.DUMMYFUNCTION("""COMPUTED_VALUE"""),-0.626942058872738)</f>
        <v>-0.62694205887273802</v>
      </c>
      <c r="BR106" s="3">
        <f ca="1">IFERROR(__xludf.DUMMYFUNCTION("""COMPUTED_VALUE"""),-0.61093370889061)</f>
        <v>-0.61093370889061005</v>
      </c>
      <c r="BS106" s="3">
        <f ca="1">IFERROR(__xludf.DUMMYFUNCTION("""COMPUTED_VALUE"""),-0.607822424061365)</f>
        <v>-0.607822424061365</v>
      </c>
      <c r="BT106" s="3">
        <f ca="1">IFERROR(__xludf.DUMMYFUNCTION("""COMPUTED_VALUE"""),-0.684341433013861)</f>
        <v>-0.68434143301386097</v>
      </c>
      <c r="BU106" s="3">
        <f ca="1">IFERROR(__xludf.DUMMYFUNCTION("""COMPUTED_VALUE"""),-0.730914897208693)</f>
        <v>-0.73091489720869296</v>
      </c>
      <c r="BV106" s="3">
        <f ca="1">IFERROR(__xludf.DUMMYFUNCTION("""COMPUTED_VALUE"""),-0.53240814936488)</f>
        <v>-0.53240814936488001</v>
      </c>
      <c r="BW106" s="3">
        <f ca="1">IFERROR(__xludf.DUMMYFUNCTION("""COMPUTED_VALUE"""),-0.511910866024919)</f>
        <v>-0.51191086602491898</v>
      </c>
      <c r="BX106" s="3">
        <f ca="1">IFERROR(__xludf.DUMMYFUNCTION("""COMPUTED_VALUE"""),-0.684670377474606)</f>
        <v>-0.68467037747460602</v>
      </c>
      <c r="BY106" s="3">
        <f ca="1">IFERROR(__xludf.DUMMYFUNCTION("""COMPUTED_VALUE"""),-0.663924415066074)</f>
        <v>-0.66392441506607403</v>
      </c>
      <c r="BZ106" s="3">
        <f ca="1">IFERROR(__xludf.DUMMYFUNCTION("""COMPUTED_VALUE"""),-0.652731903308769)</f>
        <v>-0.65273190330876896</v>
      </c>
      <c r="CA106" s="3">
        <f ca="1">IFERROR(__xludf.DUMMYFUNCTION("""COMPUTED_VALUE"""),-0.671528839205085)</f>
        <v>-0.67152883920508499</v>
      </c>
      <c r="CB106" s="3">
        <f ca="1">IFERROR(__xludf.DUMMYFUNCTION("""COMPUTED_VALUE"""),-0.606461200718481)</f>
        <v>-0.60646120071848097</v>
      </c>
      <c r="CC106" s="3">
        <f ca="1">IFERROR(__xludf.DUMMYFUNCTION("""COMPUTED_VALUE"""),-0.517067162526627)</f>
        <v>-0.51706716252662699</v>
      </c>
      <c r="CD106" s="3">
        <f ca="1">IFERROR(__xludf.DUMMYFUNCTION("""COMPUTED_VALUE"""),-0.490458355722516)</f>
        <v>-0.490458355722516</v>
      </c>
      <c r="CE106" s="3">
        <f ca="1">IFERROR(__xludf.DUMMYFUNCTION("""COMPUTED_VALUE"""),-0.650189257342827)</f>
        <v>-0.65018925734282695</v>
      </c>
      <c r="CF106" s="3">
        <f ca="1">IFERROR(__xludf.DUMMYFUNCTION("""COMPUTED_VALUE"""),-0.653681762835318)</f>
        <v>-0.65368176283531798</v>
      </c>
      <c r="CG106" s="3">
        <f ca="1">IFERROR(__xludf.DUMMYFUNCTION("""COMPUTED_VALUE"""),-0.665833085736225)</f>
        <v>-0.66583308573622502</v>
      </c>
      <c r="CH106" s="3">
        <f ca="1">IFERROR(__xludf.DUMMYFUNCTION("""COMPUTED_VALUE"""),-0.647789047538514)</f>
        <v>-0.64778904753851396</v>
      </c>
      <c r="CI106" s="3">
        <f ca="1">IFERROR(__xludf.DUMMYFUNCTION("""COMPUTED_VALUE"""),-0.624783560968412)</f>
        <v>-0.62478356096841203</v>
      </c>
      <c r="CJ106" s="3">
        <f ca="1">IFERROR(__xludf.DUMMYFUNCTION("""COMPUTED_VALUE"""),-0.511596837081671)</f>
        <v>-0.51159683708167103</v>
      </c>
      <c r="CK106" s="3">
        <f ca="1">IFERROR(__xludf.DUMMYFUNCTION("""COMPUTED_VALUE"""),-0.495184331309678)</f>
        <v>-0.49518433130967798</v>
      </c>
      <c r="CL106" s="3">
        <f ca="1">IFERROR(__xludf.DUMMYFUNCTION("""COMPUTED_VALUE"""),-0.656637519232245)</f>
        <v>-0.656637519232245</v>
      </c>
      <c r="CM106" s="3">
        <f ca="1">IFERROR(__xludf.DUMMYFUNCTION("""COMPUTED_VALUE"""),-0.653048516548182)</f>
        <v>-0.65304851654818197</v>
      </c>
      <c r="CN106" s="3">
        <f ca="1">IFERROR(__xludf.DUMMYFUNCTION("""COMPUTED_VALUE"""),-0.652908705766903)</f>
        <v>-0.65290870576690296</v>
      </c>
      <c r="CO106" s="3">
        <f ca="1">IFERROR(__xludf.DUMMYFUNCTION("""COMPUTED_VALUE"""),-0.654166142999985)</f>
        <v>-0.65416614299998499</v>
      </c>
      <c r="CP106" s="3">
        <f ca="1">IFERROR(__xludf.DUMMYFUNCTION("""COMPUTED_VALUE"""),-0.615278581575741)</f>
        <v>-0.615278581575741</v>
      </c>
      <c r="CQ106" s="3">
        <f ca="1">IFERROR(__xludf.DUMMYFUNCTION("""COMPUTED_VALUE"""),-0.533900215416156)</f>
        <v>-0.53390021541615595</v>
      </c>
      <c r="CR106" s="3">
        <f ca="1">IFERROR(__xludf.DUMMYFUNCTION("""COMPUTED_VALUE"""),-0.519715079931157)</f>
        <v>-0.51971507993115695</v>
      </c>
      <c r="CS106" s="3">
        <f ca="1">IFERROR(__xludf.DUMMYFUNCTION("""COMPUTED_VALUE"""),-0.648410143318462)</f>
        <v>-0.64841014331846203</v>
      </c>
      <c r="CT106" s="3">
        <f ca="1">IFERROR(__xludf.DUMMYFUNCTION("""COMPUTED_VALUE"""),-0.642104707666682)</f>
        <v>-0.64210470766668204</v>
      </c>
      <c r="CU106" s="3">
        <f ca="1">IFERROR(__xludf.DUMMYFUNCTION("""COMPUTED_VALUE"""),-0.616775511724763)</f>
        <v>-0.61677551172476297</v>
      </c>
      <c r="CV106" s="3">
        <f ca="1">IFERROR(__xludf.DUMMYFUNCTION("""COMPUTED_VALUE"""),-0.641210981476819)</f>
        <v>-0.64121098147681899</v>
      </c>
      <c r="CW106" s="3">
        <f ca="1">IFERROR(__xludf.DUMMYFUNCTION("""COMPUTED_VALUE"""),-0.62295533041826)</f>
        <v>-0.62295533041826001</v>
      </c>
      <c r="CX106" s="3">
        <f ca="1">IFERROR(__xludf.DUMMYFUNCTION("""COMPUTED_VALUE"""),-0.56759878727273)</f>
        <v>-0.56759878727273005</v>
      </c>
      <c r="CY106" s="3">
        <f ca="1">IFERROR(__xludf.DUMMYFUNCTION("""COMPUTED_VALUE"""),-0.553270204964229)</f>
        <v>-0.55327020496422896</v>
      </c>
      <c r="CZ106" s="3">
        <f ca="1">IFERROR(__xludf.DUMMYFUNCTION("""COMPUTED_VALUE"""),-0.724900977246271)</f>
        <v>-0.72490097724627101</v>
      </c>
      <c r="DA106" s="3">
        <f ca="1">IFERROR(__xludf.DUMMYFUNCTION("""COMPUTED_VALUE"""),-0.608574561581389)</f>
        <v>-0.60857456158138901</v>
      </c>
      <c r="DB106" s="3">
        <f ca="1">IFERROR(__xludf.DUMMYFUNCTION("""COMPUTED_VALUE"""),-0.491480314788223)</f>
        <v>-0.49148031478822302</v>
      </c>
      <c r="DC106" s="3">
        <f ca="1">IFERROR(__xludf.DUMMYFUNCTION("""COMPUTED_VALUE"""),-0.59746701684766)</f>
        <v>-0.59746701684766002</v>
      </c>
      <c r="DD106" s="3">
        <f ca="1">IFERROR(__xludf.DUMMYFUNCTION("""COMPUTED_VALUE"""),-0.599489481370317)</f>
        <v>-0.59948948137031699</v>
      </c>
      <c r="DE106" s="3">
        <f ca="1">IFERROR(__xludf.DUMMYFUNCTION("""COMPUTED_VALUE"""),-0.560203213855474)</f>
        <v>-0.560203213855474</v>
      </c>
      <c r="DF106" s="3">
        <f ca="1">IFERROR(__xludf.DUMMYFUNCTION("""COMPUTED_VALUE"""),-0.593501873503264)</f>
        <v>-0.593501873503264</v>
      </c>
      <c r="DG106" s="3">
        <f ca="1">IFERROR(__xludf.DUMMYFUNCTION("""COMPUTED_VALUE"""),-0.806416424636792)</f>
        <v>-0.80641642463679197</v>
      </c>
      <c r="DH106" s="3">
        <f ca="1">IFERROR(__xludf.DUMMYFUNCTION("""COMPUTED_VALUE"""),-0.630657654608288)</f>
        <v>-0.63065765460828804</v>
      </c>
      <c r="DI106" s="3">
        <f ca="1">IFERROR(__xludf.DUMMYFUNCTION("""COMPUTED_VALUE"""),-0.45335302509985)</f>
        <v>-0.45335302509984998</v>
      </c>
      <c r="DJ106" s="3">
        <f ca="1">IFERROR(__xludf.DUMMYFUNCTION("""COMPUTED_VALUE"""),-0.570130370916398)</f>
        <v>-0.57013037091639795</v>
      </c>
      <c r="DK106" s="3">
        <f ca="1">IFERROR(__xludf.DUMMYFUNCTION("""COMPUTED_VALUE"""),-0.56827989578363)</f>
        <v>-0.56827989578363003</v>
      </c>
      <c r="DL106" s="3">
        <f ca="1">IFERROR(__xludf.DUMMYFUNCTION("""COMPUTED_VALUE"""),-0.52786194146314)</f>
        <v>-0.52786194146314003</v>
      </c>
      <c r="DM106" s="3">
        <f ca="1">IFERROR(__xludf.DUMMYFUNCTION("""COMPUTED_VALUE"""),-0.513623581288246)</f>
        <v>-0.51362358128824603</v>
      </c>
      <c r="DN106" s="3">
        <f ca="1">IFERROR(__xludf.DUMMYFUNCTION("""COMPUTED_VALUE"""),-0.592104760783599)</f>
        <v>-0.59210476078359897</v>
      </c>
      <c r="DO106" s="3">
        <f ca="1">IFERROR(__xludf.DUMMYFUNCTION("""COMPUTED_VALUE"""),-0.629242455673307)</f>
        <v>-0.62924245567330706</v>
      </c>
      <c r="DP106" s="3">
        <f ca="1">IFERROR(__xludf.DUMMYFUNCTION("""COMPUTED_VALUE"""),-0.596779889056078)</f>
        <v>-0.59677988905607804</v>
      </c>
      <c r="DQ106" s="3">
        <f ca="1">IFERROR(__xludf.DUMMYFUNCTION("""COMPUTED_VALUE"""),-0.610858090767858)</f>
        <v>-0.61085809076785802</v>
      </c>
      <c r="DR106" s="3">
        <f ca="1">IFERROR(__xludf.DUMMYFUNCTION("""COMPUTED_VALUE"""),-0.661330097012452)</f>
        <v>-0.66133009701245205</v>
      </c>
      <c r="DS106" s="3">
        <f ca="1">IFERROR(__xludf.DUMMYFUNCTION("""COMPUTED_VALUE"""),-0.540336946404149)</f>
        <v>-0.54033694640414898</v>
      </c>
      <c r="DT106" s="3">
        <f ca="1">IFERROR(__xludf.DUMMYFUNCTION("""COMPUTED_VALUE"""),-0.557941685122198)</f>
        <v>-0.55794168512219799</v>
      </c>
      <c r="DU106" s="3">
        <f ca="1">IFERROR(__xludf.DUMMYFUNCTION("""COMPUTED_VALUE"""),-0.669751231083233)</f>
        <v>-0.66975123108323298</v>
      </c>
      <c r="DV106" s="3">
        <f ca="1">IFERROR(__xludf.DUMMYFUNCTION("""COMPUTED_VALUE"""),-0.66884115754086)</f>
        <v>-0.66884115754086004</v>
      </c>
      <c r="DW106" s="3">
        <f ca="1">IFERROR(__xludf.DUMMYFUNCTION("""COMPUTED_VALUE"""),-0.68758084074726)</f>
        <v>-0.68758084074726</v>
      </c>
      <c r="DX106" s="3">
        <f ca="1">IFERROR(__xludf.DUMMYFUNCTION("""COMPUTED_VALUE"""),-0.671667708929778)</f>
        <v>-0.67166770892977801</v>
      </c>
      <c r="DY106" s="3">
        <f ca="1">IFERROR(__xludf.DUMMYFUNCTION("""COMPUTED_VALUE"""),-0.653675179901569)</f>
        <v>-0.65367517990156898</v>
      </c>
      <c r="DZ106" s="3">
        <f ca="1">IFERROR(__xludf.DUMMYFUNCTION("""COMPUTED_VALUE"""),-0.532806662608665)</f>
        <v>-0.53280666260866505</v>
      </c>
      <c r="EA106" s="3">
        <f ca="1">IFERROR(__xludf.DUMMYFUNCTION("""COMPUTED_VALUE"""),-0.574683483905225)</f>
        <v>-0.57468348390522495</v>
      </c>
      <c r="EB106" s="3">
        <f ca="1">IFERROR(__xludf.DUMMYFUNCTION("""COMPUTED_VALUE"""),-0.656976753172265)</f>
        <v>-0.656976753172265</v>
      </c>
      <c r="EC106" s="3">
        <f ca="1">IFERROR(__xludf.DUMMYFUNCTION("""COMPUTED_VALUE"""),-0.604954322078529)</f>
        <v>-0.60495432207852895</v>
      </c>
      <c r="ED106" s="3">
        <f ca="1">IFERROR(__xludf.DUMMYFUNCTION("""COMPUTED_VALUE"""),-0.675834048011338)</f>
        <v>-0.67583404801133795</v>
      </c>
      <c r="EE106" s="3">
        <f ca="1">IFERROR(__xludf.DUMMYFUNCTION("""COMPUTED_VALUE"""),-0.664060336132913)</f>
        <v>-0.66406033613291304</v>
      </c>
      <c r="EF106" s="3">
        <f ca="1">IFERROR(__xludf.DUMMYFUNCTION("""COMPUTED_VALUE"""),-0.691502403997831)</f>
        <v>-0.69150240399783103</v>
      </c>
      <c r="EG106" s="3">
        <f ca="1">IFERROR(__xludf.DUMMYFUNCTION("""COMPUTED_VALUE"""),-0.527140113249607)</f>
        <v>-0.52714011324960697</v>
      </c>
      <c r="EH106" s="3">
        <f ca="1">IFERROR(__xludf.DUMMYFUNCTION("""COMPUTED_VALUE"""),-0.561396535829089)</f>
        <v>-0.56139653582908899</v>
      </c>
      <c r="EI106" s="3">
        <f ca="1">IFERROR(__xludf.DUMMYFUNCTION("""COMPUTED_VALUE"""),-0.671883659084083)</f>
        <v>-0.67188365908408298</v>
      </c>
      <c r="EJ106" s="3">
        <f ca="1">IFERROR(__xludf.DUMMYFUNCTION("""COMPUTED_VALUE"""),-0.745114360845626)</f>
        <v>-0.74511436084562599</v>
      </c>
      <c r="EK106" s="3">
        <f ca="1">IFERROR(__xludf.DUMMYFUNCTION("""COMPUTED_VALUE"""),-0.659304195688082)</f>
        <v>-0.65930419568808196</v>
      </c>
      <c r="EL106" s="3">
        <f ca="1">IFERROR(__xludf.DUMMYFUNCTION("""COMPUTED_VALUE"""),-0.661669842508088)</f>
        <v>-0.66166984250808802</v>
      </c>
      <c r="EM106" s="3">
        <f ca="1">IFERROR(__xludf.DUMMYFUNCTION("""COMPUTED_VALUE"""),-0.664672641282597)</f>
        <v>-0.66467264128259695</v>
      </c>
      <c r="EN106" s="3">
        <f ca="1">IFERROR(__xludf.DUMMYFUNCTION("""COMPUTED_VALUE"""),-0.539412816849006)</f>
        <v>-0.53941281684900599</v>
      </c>
      <c r="EO106" s="3">
        <f ca="1">IFERROR(__xludf.DUMMYFUNCTION("""COMPUTED_VALUE"""),-0.5459823764678)</f>
        <v>-0.54598237646780001</v>
      </c>
      <c r="EP106" s="3">
        <f ca="1">IFERROR(__xludf.DUMMYFUNCTION("""COMPUTED_VALUE"""),-0.637812601157911)</f>
        <v>-0.63781260115791105</v>
      </c>
      <c r="EQ106" s="3">
        <f ca="1">IFERROR(__xludf.DUMMYFUNCTION("""COMPUTED_VALUE"""),-0.608408412639791)</f>
        <v>-0.60840841263979095</v>
      </c>
      <c r="ER106" s="3">
        <f ca="1">IFERROR(__xludf.DUMMYFUNCTION("""COMPUTED_VALUE"""),-0.666014489422409)</f>
        <v>-0.66601448942240904</v>
      </c>
      <c r="ES106" s="3">
        <f ca="1">IFERROR(__xludf.DUMMYFUNCTION("""COMPUTED_VALUE"""),-0.655784010572035)</f>
        <v>-0.65578401057203495</v>
      </c>
      <c r="ET106" s="3">
        <f ca="1">IFERROR(__xludf.DUMMYFUNCTION("""COMPUTED_VALUE"""),-0.628236595309269)</f>
        <v>-0.62823659530926901</v>
      </c>
      <c r="EU106" s="3">
        <f ca="1">IFERROR(__xludf.DUMMYFUNCTION("""COMPUTED_VALUE"""),-0.540818849226231)</f>
        <v>-0.54081884922623102</v>
      </c>
      <c r="EV106" s="3">
        <f ca="1">IFERROR(__xludf.DUMMYFUNCTION("""COMPUTED_VALUE"""),-0.511025682792704)</f>
        <v>-0.51102568279270399</v>
      </c>
      <c r="EW106" s="3">
        <f ca="1">IFERROR(__xludf.DUMMYFUNCTION("""COMPUTED_VALUE"""),-0.661693837953285)</f>
        <v>-0.66169383795328496</v>
      </c>
      <c r="EX106" s="3">
        <f ca="1">IFERROR(__xludf.DUMMYFUNCTION("""COMPUTED_VALUE"""),-0.680906238554997)</f>
        <v>-0.68090623855499699</v>
      </c>
      <c r="EY106" s="3">
        <f ca="1">IFERROR(__xludf.DUMMYFUNCTION("""COMPUTED_VALUE"""),-0.686889618164391)</f>
        <v>-0.68688961816439098</v>
      </c>
      <c r="EZ106" s="3">
        <f ca="1">IFERROR(__xludf.DUMMYFUNCTION("""COMPUTED_VALUE"""),-0.61859587931154)</f>
        <v>-0.61859587931154003</v>
      </c>
      <c r="FA106" s="3">
        <f ca="1">IFERROR(__xludf.DUMMYFUNCTION("""COMPUTED_VALUE"""),-0.607662050266371)</f>
        <v>-0.60766205026637099</v>
      </c>
      <c r="FB106" s="3">
        <f ca="1">IFERROR(__xludf.DUMMYFUNCTION("""COMPUTED_VALUE"""),-0.500521925151051)</f>
        <v>-0.50052192515105098</v>
      </c>
      <c r="FC106" s="3">
        <f ca="1">IFERROR(__xludf.DUMMYFUNCTION("""COMPUTED_VALUE"""),-0.504370488685985)</f>
        <v>-0.504370488685985</v>
      </c>
      <c r="FD106" s="3">
        <f ca="1">IFERROR(__xludf.DUMMYFUNCTION("""COMPUTED_VALUE"""),-0.660626129366235)</f>
        <v>-0.66062612936623499</v>
      </c>
      <c r="FE106" s="3">
        <f ca="1">IFERROR(__xludf.DUMMYFUNCTION("""COMPUTED_VALUE"""),-0.64721575894433)</f>
        <v>-0.64721575894433003</v>
      </c>
      <c r="FF106" s="3">
        <f ca="1">IFERROR(__xludf.DUMMYFUNCTION("""COMPUTED_VALUE"""),-0.650557918381278)</f>
        <v>-0.65055791838127797</v>
      </c>
      <c r="FG106" s="3">
        <f ca="1">IFERROR(__xludf.DUMMYFUNCTION("""COMPUTED_VALUE"""),-0.637878482448794)</f>
        <v>-0.63787848244879397</v>
      </c>
      <c r="FH106" s="3">
        <f ca="1">IFERROR(__xludf.DUMMYFUNCTION("""COMPUTED_VALUE"""),-0.61942674040703)</f>
        <v>-0.61942674040703005</v>
      </c>
      <c r="FI106" s="3">
        <f ca="1">IFERROR(__xludf.DUMMYFUNCTION("""COMPUTED_VALUE"""),-0.549799834886378)</f>
        <v>-0.54979983488637796</v>
      </c>
      <c r="FJ106" s="3">
        <f ca="1">IFERROR(__xludf.DUMMYFUNCTION("""COMPUTED_VALUE"""),-0.528014530966556)</f>
        <v>-0.52801453096655604</v>
      </c>
      <c r="FK106" s="3">
        <f ca="1">IFERROR(__xludf.DUMMYFUNCTION("""COMPUTED_VALUE"""),-0.672706253412278)</f>
        <v>-0.67270625341227797</v>
      </c>
      <c r="FL106" s="3">
        <f ca="1">IFERROR(__xludf.DUMMYFUNCTION("""COMPUTED_VALUE"""),-0.706470268515152)</f>
        <v>-0.70647026851515204</v>
      </c>
      <c r="FM106" s="3">
        <f ca="1">IFERROR(__xludf.DUMMYFUNCTION("""COMPUTED_VALUE"""),-0.671909778776514)</f>
        <v>-0.67190977877651403</v>
      </c>
      <c r="FN106" s="3">
        <f ca="1">IFERROR(__xludf.DUMMYFUNCTION("""COMPUTED_VALUE"""),-0.639082756183111)</f>
        <v>-0.63908275618311094</v>
      </c>
      <c r="FO106" s="3">
        <f ca="1">IFERROR(__xludf.DUMMYFUNCTION("""COMPUTED_VALUE"""),-0.652342315678008)</f>
        <v>-0.65234231567800804</v>
      </c>
      <c r="FP106" s="3">
        <f ca="1">IFERROR(__xludf.DUMMYFUNCTION("""COMPUTED_VALUE"""),-0.523403969406094)</f>
        <v>-0.52340396940609402</v>
      </c>
      <c r="FQ106" s="3">
        <f ca="1">IFERROR(__xludf.DUMMYFUNCTION("""COMPUTED_VALUE"""),-0.512162380375495)</f>
        <v>-0.512162380375495</v>
      </c>
      <c r="FR106" s="3">
        <f ca="1">IFERROR(__xludf.DUMMYFUNCTION("""COMPUTED_VALUE"""),-0.649587392804827)</f>
        <v>-0.64958739280482702</v>
      </c>
      <c r="FS106" s="3">
        <f ca="1">IFERROR(__xludf.DUMMYFUNCTION("""COMPUTED_VALUE"""),-0.647607110825244)</f>
        <v>-0.64760711082524403</v>
      </c>
      <c r="FT106" s="3">
        <f ca="1">IFERROR(__xludf.DUMMYFUNCTION("""COMPUTED_VALUE"""),-0.648358189725989)</f>
        <v>-0.64835818972598902</v>
      </c>
      <c r="FU106" s="3">
        <f ca="1">IFERROR(__xludf.DUMMYFUNCTION("""COMPUTED_VALUE"""),-0.644778008258393)</f>
        <v>-0.64477800825839304</v>
      </c>
      <c r="FV106" s="3">
        <f ca="1">IFERROR(__xludf.DUMMYFUNCTION("""COMPUTED_VALUE"""),-0.631037050989911)</f>
        <v>-0.63103705098991103</v>
      </c>
      <c r="FW106" s="3">
        <f ca="1">IFERROR(__xludf.DUMMYFUNCTION("""COMPUTED_VALUE"""),-0.47686179899044)</f>
        <v>-0.47686179899044001</v>
      </c>
      <c r="FX106" s="3">
        <f ca="1">IFERROR(__xludf.DUMMYFUNCTION("""COMPUTED_VALUE"""),-0.496680027026228)</f>
        <v>-0.49668002702622799</v>
      </c>
      <c r="FY106" s="3">
        <f ca="1">IFERROR(__xludf.DUMMYFUNCTION("""COMPUTED_VALUE"""),-0.693144738040901)</f>
        <v>-0.69314473804090104</v>
      </c>
      <c r="FZ106" s="3">
        <f ca="1">IFERROR(__xludf.DUMMYFUNCTION("""COMPUTED_VALUE"""),-0.650853293848797)</f>
        <v>-0.65085329384879698</v>
      </c>
      <c r="GA106" s="3">
        <f ca="1">IFERROR(__xludf.DUMMYFUNCTION("""COMPUTED_VALUE"""),-0.633005753512378)</f>
        <v>-0.63300575351237798</v>
      </c>
      <c r="GB106" s="3">
        <f ca="1">IFERROR(__xludf.DUMMYFUNCTION("""COMPUTED_VALUE"""),-0.651594145836197)</f>
        <v>-0.65159414583619701</v>
      </c>
      <c r="GC106" s="3">
        <f ca="1">IFERROR(__xludf.DUMMYFUNCTION("""COMPUTED_VALUE"""),-0.681068346480324)</f>
        <v>-0.68106834648032399</v>
      </c>
      <c r="GD106" s="3">
        <f ca="1">IFERROR(__xludf.DUMMYFUNCTION("""COMPUTED_VALUE"""),-0.522027732627729)</f>
        <v>-0.52202773262772895</v>
      </c>
      <c r="GE106" s="3">
        <f ca="1">IFERROR(__xludf.DUMMYFUNCTION("""COMPUTED_VALUE"""),-0.521871946344488)</f>
        <v>-0.52187194634448797</v>
      </c>
      <c r="GF106" s="3">
        <f ca="1">IFERROR(__xludf.DUMMYFUNCTION("""COMPUTED_VALUE"""),-0.649329520634415)</f>
        <v>-0.64932952063441496</v>
      </c>
      <c r="GG106" s="3">
        <f ca="1">IFERROR(__xludf.DUMMYFUNCTION("""COMPUTED_VALUE"""),-0.662532228171224)</f>
        <v>-0.66253222817122404</v>
      </c>
      <c r="GH106" s="3">
        <f ca="1">IFERROR(__xludf.DUMMYFUNCTION("""COMPUTED_VALUE"""),-0.64301956628233)</f>
        <v>-0.64301956628233004</v>
      </c>
      <c r="GI106" s="3">
        <f ca="1">IFERROR(__xludf.DUMMYFUNCTION("""COMPUTED_VALUE"""),-0.658795765523042)</f>
        <v>-0.65879576552304198</v>
      </c>
      <c r="GJ106" s="3">
        <f ca="1">IFERROR(__xludf.DUMMYFUNCTION("""COMPUTED_VALUE"""),-0.620867560272715)</f>
        <v>-0.62086756027271495</v>
      </c>
      <c r="GK106" s="3">
        <f ca="1">IFERROR(__xludf.DUMMYFUNCTION("""COMPUTED_VALUE"""),-0.51360555794344)</f>
        <v>-0.51360555794343998</v>
      </c>
      <c r="GL106" s="3">
        <f ca="1">IFERROR(__xludf.DUMMYFUNCTION("""COMPUTED_VALUE"""),-0.512239411298552)</f>
        <v>-0.51223941129855199</v>
      </c>
      <c r="GM106" s="3">
        <f ca="1">IFERROR(__xludf.DUMMYFUNCTION("""COMPUTED_VALUE"""),-0.634247938874224)</f>
        <v>-0.63424793887422404</v>
      </c>
      <c r="GN106" s="3">
        <f ca="1">IFERROR(__xludf.DUMMYFUNCTION("""COMPUTED_VALUE"""),-0.65514957933053)</f>
        <v>-0.65514957933052997</v>
      </c>
      <c r="GO106" s="3">
        <f ca="1">IFERROR(__xludf.DUMMYFUNCTION("""COMPUTED_VALUE"""),-0.64558436679599)</f>
        <v>-0.64558436679598996</v>
      </c>
      <c r="GP106" s="3">
        <f ca="1">IFERROR(__xludf.DUMMYFUNCTION("""COMPUTED_VALUE"""),-0.683628903934085)</f>
        <v>-0.68362890393408504</v>
      </c>
      <c r="GQ106" s="3">
        <f ca="1">IFERROR(__xludf.DUMMYFUNCTION("""COMPUTED_VALUE"""),-0.624125347047624)</f>
        <v>-0.62412534704762401</v>
      </c>
      <c r="GR106" s="3">
        <f ca="1">IFERROR(__xludf.DUMMYFUNCTION("""COMPUTED_VALUE"""),-0.51781309559469)</f>
        <v>-0.51781309559469002</v>
      </c>
      <c r="GS106" s="3">
        <f ca="1">IFERROR(__xludf.DUMMYFUNCTION("""COMPUTED_VALUE"""),-0.533313355138469)</f>
        <v>-0.533313355138469</v>
      </c>
      <c r="GT106" s="3">
        <f ca="1">IFERROR(__xludf.DUMMYFUNCTION("""COMPUTED_VALUE"""),-0.630047937759011)</f>
        <v>-0.63004793775901102</v>
      </c>
      <c r="GU106" s="3">
        <f ca="1">IFERROR(__xludf.DUMMYFUNCTION("""COMPUTED_VALUE"""),-0.656081880906823)</f>
        <v>-0.65608188090682296</v>
      </c>
      <c r="GV106" s="3">
        <f ca="1">IFERROR(__xludf.DUMMYFUNCTION("""COMPUTED_VALUE"""),-0.645926499351327)</f>
        <v>-0.64592649935132695</v>
      </c>
      <c r="GW106" s="3">
        <f ca="1">IFERROR(__xludf.DUMMYFUNCTION("""COMPUTED_VALUE"""),-0.643756176835303)</f>
        <v>-0.64375617683530295</v>
      </c>
      <c r="GX106" s="3">
        <f ca="1">IFERROR(__xludf.DUMMYFUNCTION("""COMPUTED_VALUE"""),-0.612453980592683)</f>
        <v>-0.61245398059268297</v>
      </c>
      <c r="GY106" s="3">
        <f ca="1">IFERROR(__xludf.DUMMYFUNCTION("""COMPUTED_VALUE"""),-0.501407586912704)</f>
        <v>-0.50140758691270404</v>
      </c>
      <c r="GZ106" s="3">
        <f ca="1">IFERROR(__xludf.DUMMYFUNCTION("""COMPUTED_VALUE"""),-0.492805746626207)</f>
        <v>-0.49280574662620702</v>
      </c>
      <c r="HA106" s="3">
        <f ca="1">IFERROR(__xludf.DUMMYFUNCTION("""COMPUTED_VALUE"""),-0.62683493764803)</f>
        <v>-0.62683493764803</v>
      </c>
      <c r="HB106" s="3">
        <f ca="1">IFERROR(__xludf.DUMMYFUNCTION("""COMPUTED_VALUE"""),-0.662361221110875)</f>
        <v>-0.66236122111087503</v>
      </c>
      <c r="HC106" s="3">
        <f ca="1">IFERROR(__xludf.DUMMYFUNCTION("""COMPUTED_VALUE"""),-0.657645054643064)</f>
        <v>-0.657645054643064</v>
      </c>
      <c r="HD106" s="3">
        <f ca="1">IFERROR(__xludf.DUMMYFUNCTION("""COMPUTED_VALUE"""),-0.655324941019417)</f>
        <v>-0.65532494101941696</v>
      </c>
      <c r="HE106" s="3">
        <f ca="1">IFERROR(__xludf.DUMMYFUNCTION("""COMPUTED_VALUE"""),-0.638283588998602)</f>
        <v>-0.63828358899860205</v>
      </c>
      <c r="HF106" s="3">
        <f ca="1">IFERROR(__xludf.DUMMYFUNCTION("""COMPUTED_VALUE"""),-0.525447264451766)</f>
        <v>-0.52544726445176604</v>
      </c>
      <c r="HG106" s="3">
        <f ca="1">IFERROR(__xludf.DUMMYFUNCTION("""COMPUTED_VALUE"""),-0.514381745175508)</f>
        <v>-0.51438174517550805</v>
      </c>
      <c r="HH106" s="3">
        <f ca="1">IFERROR(__xludf.DUMMYFUNCTION("""COMPUTED_VALUE"""),-0.643871626113211)</f>
        <v>-0.64387162611321103</v>
      </c>
      <c r="HI106" s="3">
        <f ca="1">IFERROR(__xludf.DUMMYFUNCTION("""COMPUTED_VALUE"""),-0.675608259132963)</f>
        <v>-0.67560825913296296</v>
      </c>
      <c r="HJ106" s="3">
        <f ca="1">IFERROR(__xludf.DUMMYFUNCTION("""COMPUTED_VALUE"""),-0.661728781067702)</f>
        <v>-0.66172878106770205</v>
      </c>
      <c r="HK106" s="3">
        <f ca="1">IFERROR(__xludf.DUMMYFUNCTION("""COMPUTED_VALUE"""),-0.64784477985194)</f>
        <v>-0.64784477985194</v>
      </c>
      <c r="HL106" s="3">
        <f ca="1">IFERROR(__xludf.DUMMYFUNCTION("""COMPUTED_VALUE"""),-0.563582023591606)</f>
        <v>-0.56358202359160603</v>
      </c>
      <c r="HM106" s="3">
        <f ca="1">IFERROR(__xludf.DUMMYFUNCTION("""COMPUTED_VALUE"""),-0.525236260244172)</f>
        <v>-0.52523626024417203</v>
      </c>
      <c r="HN106" s="3">
        <f ca="1">IFERROR(__xludf.DUMMYFUNCTION("""COMPUTED_VALUE"""),-0.508161991857149)</f>
        <v>-0.50816199185714905</v>
      </c>
      <c r="HO106" s="3">
        <f ca="1">IFERROR(__xludf.DUMMYFUNCTION("""COMPUTED_VALUE"""),-0.62884743660076)</f>
        <v>-0.62884743660076003</v>
      </c>
      <c r="HP106" s="3">
        <f ca="1">IFERROR(__xludf.DUMMYFUNCTION("""COMPUTED_VALUE"""),-0.650802341995704)</f>
        <v>-0.65080234199570397</v>
      </c>
      <c r="HQ106" s="3">
        <f ca="1">IFERROR(__xludf.DUMMYFUNCTION("""COMPUTED_VALUE"""),-0.658132136183669)</f>
        <v>-0.65813213618366895</v>
      </c>
      <c r="HR106" s="3">
        <f ca="1">IFERROR(__xludf.DUMMYFUNCTION("""COMPUTED_VALUE"""),-0.647577027960714)</f>
        <v>-0.64757702796071404</v>
      </c>
      <c r="HS106" s="3">
        <f ca="1">IFERROR(__xludf.DUMMYFUNCTION("""COMPUTED_VALUE"""),-0.590593168070572)</f>
        <v>-0.59059316807057205</v>
      </c>
      <c r="HT106" s="3">
        <f ca="1">IFERROR(__xludf.DUMMYFUNCTION("""COMPUTED_VALUE"""),-0.51348709387955)</f>
        <v>-0.51348709387955005</v>
      </c>
      <c r="HU106" s="3">
        <f ca="1">IFERROR(__xludf.DUMMYFUNCTION("""COMPUTED_VALUE"""),-0.555588340685772)</f>
        <v>-0.55558834068577201</v>
      </c>
      <c r="HV106" s="3">
        <f ca="1">IFERROR(__xludf.DUMMYFUNCTION("""COMPUTED_VALUE"""),-0.620764731243374)</f>
        <v>-0.62076473124337395</v>
      </c>
      <c r="HW106" s="3">
        <f ca="1">IFERROR(__xludf.DUMMYFUNCTION("""COMPUTED_VALUE"""),-0.615606540975192)</f>
        <v>-0.61560654097519196</v>
      </c>
      <c r="HX106" s="3">
        <f ca="1">IFERROR(__xludf.DUMMYFUNCTION("""COMPUTED_VALUE"""),-0.609896471447609)</f>
        <v>-0.60989647144760895</v>
      </c>
      <c r="HY106" s="3">
        <f ca="1">IFERROR(__xludf.DUMMYFUNCTION("""COMPUTED_VALUE"""),-0.618684813390988)</f>
        <v>-0.61868481339098802</v>
      </c>
      <c r="HZ106" s="3">
        <f ca="1">IFERROR(__xludf.DUMMYFUNCTION("""COMPUTED_VALUE"""),-0.526624966031555)</f>
        <v>-0.52662496603155495</v>
      </c>
      <c r="IA106" s="3">
        <f ca="1">IFERROR(__xludf.DUMMYFUNCTION("""COMPUTED_VALUE"""),-0.550631193392964)</f>
        <v>-0.55063119339296396</v>
      </c>
      <c r="IB106" s="3">
        <f ca="1">IFERROR(__xludf.DUMMYFUNCTION("""COMPUTED_VALUE"""),-0.532442596100338)</f>
        <v>-0.53244259610033795</v>
      </c>
      <c r="IC106" s="3">
        <f ca="1">IFERROR(__xludf.DUMMYFUNCTION("""COMPUTED_VALUE"""),-0.58530541581848)</f>
        <v>-0.58530541581847995</v>
      </c>
      <c r="ID106" s="3">
        <f ca="1">IFERROR(__xludf.DUMMYFUNCTION("""COMPUTED_VALUE"""),-0.592905499493714)</f>
        <v>-0.59290549949371396</v>
      </c>
      <c r="IE106" s="3">
        <f ca="1">IFERROR(__xludf.DUMMYFUNCTION("""COMPUTED_VALUE"""),-0.591890603867257)</f>
        <v>-0.591890603867257</v>
      </c>
      <c r="IF106" s="3">
        <f ca="1">IFERROR(__xludf.DUMMYFUNCTION("""COMPUTED_VALUE"""),-0.56641145114864)</f>
        <v>-0.56641145114864</v>
      </c>
      <c r="IG106" s="3">
        <f ca="1">IFERROR(__xludf.DUMMYFUNCTION("""COMPUTED_VALUE"""),-0.566207116694068)</f>
        <v>-0.56620711669406798</v>
      </c>
      <c r="IH106" s="3">
        <f ca="1">IFERROR(__xludf.DUMMYFUNCTION("""COMPUTED_VALUE"""),-0.569148863847298)</f>
        <v>-0.56914886384729801</v>
      </c>
      <c r="II106" s="3">
        <f ca="1">IFERROR(__xludf.DUMMYFUNCTION("""COMPUTED_VALUE"""),-0.523610939951494)</f>
        <v>-0.52361093995149399</v>
      </c>
      <c r="IJ106" s="3">
        <f ca="1">IFERROR(__xludf.DUMMYFUNCTION("""COMPUTED_VALUE"""),-0.551400193636732)</f>
        <v>-0.55140019363673198</v>
      </c>
      <c r="IK106" s="3">
        <f ca="1">IFERROR(__xludf.DUMMYFUNCTION("""COMPUTED_VALUE"""),-0.596021306215279)</f>
        <v>-0.59602130621527905</v>
      </c>
      <c r="IL106" s="3">
        <f ca="1">IFERROR(__xludf.DUMMYFUNCTION("""COMPUTED_VALUE"""),-0.578591900751063)</f>
        <v>-0.57859190075106304</v>
      </c>
      <c r="IM106" s="3">
        <f ca="1">IFERROR(__xludf.DUMMYFUNCTION("""COMPUTED_VALUE"""),-0.542819077486779)</f>
        <v>-0.54281907748677904</v>
      </c>
      <c r="IN106" s="3">
        <f ca="1">IFERROR(__xludf.DUMMYFUNCTION("""COMPUTED_VALUE"""),-0.521531744905562)</f>
        <v>-0.52153174490556198</v>
      </c>
      <c r="IO106" s="3">
        <f ca="1">IFERROR(__xludf.DUMMYFUNCTION("""COMPUTED_VALUE"""),-0.51323463240789)</f>
        <v>-0.51323463240789002</v>
      </c>
      <c r="IP106" s="3">
        <f ca="1">IFERROR(__xludf.DUMMYFUNCTION("""COMPUTED_VALUE"""),-0.530058693089289)</f>
        <v>-0.53005869308928899</v>
      </c>
      <c r="IQ106" s="3">
        <f ca="1">IFERROR(__xludf.DUMMYFUNCTION("""COMPUTED_VALUE"""),-0.585134256848237)</f>
        <v>-0.58513425684823706</v>
      </c>
      <c r="IR106" s="3">
        <f ca="1">IFERROR(__xludf.DUMMYFUNCTION("""COMPUTED_VALUE"""),-0.586612276125699)</f>
        <v>-0.58661227612569899</v>
      </c>
      <c r="IS106" s="3">
        <f ca="1">IFERROR(__xludf.DUMMYFUNCTION("""COMPUTED_VALUE"""),-0.498076620710864)</f>
        <v>-0.498076620710864</v>
      </c>
      <c r="IT106" s="3">
        <f ca="1">IFERROR(__xludf.DUMMYFUNCTION("""COMPUTED_VALUE"""),-0.615343243516463)</f>
        <v>-0.61534324351646297</v>
      </c>
      <c r="IU106" s="3">
        <f ca="1">IFERROR(__xludf.DUMMYFUNCTION("""COMPUTED_VALUE"""),-0.551752567488493)</f>
        <v>-0.551752567488493</v>
      </c>
      <c r="IV106" s="3">
        <f ca="1">IFERROR(__xludf.DUMMYFUNCTION("""COMPUTED_VALUE"""),-0.52567637962182)</f>
        <v>-0.52567637962182001</v>
      </c>
      <c r="IW106" s="3">
        <f ca="1">IFERROR(__xludf.DUMMYFUNCTION("""COMPUTED_VALUE"""),-0.516101432723034)</f>
        <v>-0.51610143272303399</v>
      </c>
      <c r="IX106" s="3">
        <f ca="1">IFERROR(__xludf.DUMMYFUNCTION("""COMPUTED_VALUE"""),-0.567588276700271)</f>
        <v>-0.56758827670027101</v>
      </c>
      <c r="IY106" s="3">
        <f ca="1">IFERROR(__xludf.DUMMYFUNCTION("""COMPUTED_VALUE"""),-0.578388831465009)</f>
        <v>-0.57838883146500897</v>
      </c>
      <c r="IZ106" s="3">
        <f ca="1">IFERROR(__xludf.DUMMYFUNCTION("""COMPUTED_VALUE"""),-0.561027155853908)</f>
        <v>-0.56102715585390805</v>
      </c>
      <c r="JA106" s="3">
        <f ca="1">IFERROR(__xludf.DUMMYFUNCTION("""COMPUTED_VALUE"""),-0.563772286361835)</f>
        <v>-0.56377228636183496</v>
      </c>
      <c r="JB106" s="3">
        <f ca="1">IFERROR(__xludf.DUMMYFUNCTION("""COMPUTED_VALUE"""),-0.545376468787277)</f>
        <v>-0.54537646878727697</v>
      </c>
      <c r="JC106" s="3">
        <f ca="1">IFERROR(__xludf.DUMMYFUNCTION("""COMPUTED_VALUE"""),-0.529500101830839)</f>
        <v>-0.52950010183083895</v>
      </c>
      <c r="JD106" s="3">
        <f ca="1">IFERROR(__xludf.DUMMYFUNCTION("""COMPUTED_VALUE"""),-0.510460848367342)</f>
        <v>-0.51046084836734196</v>
      </c>
      <c r="JE106" s="3">
        <f ca="1">IFERROR(__xludf.DUMMYFUNCTION("""COMPUTED_VALUE"""),-0.601635293372023)</f>
        <v>-0.60163529337202304</v>
      </c>
      <c r="JF106" s="3">
        <f ca="1">IFERROR(__xludf.DUMMYFUNCTION("""COMPUTED_VALUE"""),-0.585074923184161)</f>
        <v>-0.58507492318416099</v>
      </c>
      <c r="JG106" s="3">
        <f ca="1">IFERROR(__xludf.DUMMYFUNCTION("""COMPUTED_VALUE"""),-0.581777091194473)</f>
        <v>-0.58177709119447296</v>
      </c>
      <c r="JH106" s="3">
        <f ca="1">IFERROR(__xludf.DUMMYFUNCTION("""COMPUTED_VALUE"""),-0.558807445099864)</f>
        <v>-0.55880744509986402</v>
      </c>
      <c r="JI106" s="3">
        <f ca="1">IFERROR(__xludf.DUMMYFUNCTION("""COMPUTED_VALUE"""),-0.549280607343076)</f>
        <v>-0.54928060734307604</v>
      </c>
      <c r="JJ106" s="3">
        <f ca="1">IFERROR(__xludf.DUMMYFUNCTION("""COMPUTED_VALUE"""),-0.505417967842501)</f>
        <v>-0.50541796784250104</v>
      </c>
      <c r="JK106" s="3">
        <f ca="1">IFERROR(__xludf.DUMMYFUNCTION("""COMPUTED_VALUE"""),-0.492503625084084)</f>
        <v>-0.49250362508408402</v>
      </c>
      <c r="JL106" s="3">
        <f ca="1">IFERROR(__xludf.DUMMYFUNCTION("""COMPUTED_VALUE"""),-0.556870047112421)</f>
        <v>-0.55687004711242105</v>
      </c>
      <c r="JM106" s="3">
        <f ca="1">IFERROR(__xludf.DUMMYFUNCTION("""COMPUTED_VALUE"""),-0.549947046391785)</f>
        <v>-0.54994704639178504</v>
      </c>
      <c r="JN106" s="3">
        <f ca="1">IFERROR(__xludf.DUMMYFUNCTION("""COMPUTED_VALUE"""),-0.565723436689715)</f>
        <v>-0.56572343668971503</v>
      </c>
      <c r="JO106" s="3">
        <f ca="1">IFERROR(__xludf.DUMMYFUNCTION("""COMPUTED_VALUE"""),-0.544698302859565)</f>
        <v>-0.544698302859565</v>
      </c>
      <c r="JP106" s="3">
        <f ca="1">IFERROR(__xludf.DUMMYFUNCTION("""COMPUTED_VALUE"""),-0.532185884209003)</f>
        <v>-0.53218588420900304</v>
      </c>
      <c r="JQ106" s="3">
        <f ca="1">IFERROR(__xludf.DUMMYFUNCTION("""COMPUTED_VALUE"""),-0.480750073968966)</f>
        <v>-0.48075007396896602</v>
      </c>
      <c r="JR106" s="3">
        <f ca="1">IFERROR(__xludf.DUMMYFUNCTION("""COMPUTED_VALUE"""),-0.474426197238675)</f>
        <v>-0.47442619723867502</v>
      </c>
      <c r="JS106" s="3">
        <f ca="1">IFERROR(__xludf.DUMMYFUNCTION("""COMPUTED_VALUE"""),-0.633325330644084)</f>
        <v>-0.63332533064408403</v>
      </c>
      <c r="JT106" s="3">
        <f ca="1">IFERROR(__xludf.DUMMYFUNCTION("""COMPUTED_VALUE"""),-0.530572727907269)</f>
        <v>-0.53057272790726895</v>
      </c>
      <c r="JU106" s="3">
        <f ca="1">IFERROR(__xludf.DUMMYFUNCTION("""COMPUTED_VALUE"""),-0.593047491119172)</f>
        <v>-0.59304749111917199</v>
      </c>
      <c r="JV106" s="3">
        <f ca="1">IFERROR(__xludf.DUMMYFUNCTION("""COMPUTED_VALUE"""),-0.582162039175574)</f>
        <v>-0.58216203917557396</v>
      </c>
      <c r="JW106" s="3">
        <f ca="1">IFERROR(__xludf.DUMMYFUNCTION("""COMPUTED_VALUE"""),-0.60585714569621)</f>
        <v>-0.60585714569620996</v>
      </c>
      <c r="JX106" s="3">
        <f ca="1">IFERROR(__xludf.DUMMYFUNCTION("""COMPUTED_VALUE"""),-0.50846421517592)</f>
        <v>-0.50846421517592</v>
      </c>
      <c r="JY106" s="3">
        <f ca="1">IFERROR(__xludf.DUMMYFUNCTION("""COMPUTED_VALUE"""),-0.495255325392941)</f>
        <v>-0.49525532539294098</v>
      </c>
      <c r="JZ106" s="3">
        <f ca="1">IFERROR(__xludf.DUMMYFUNCTION("""COMPUTED_VALUE"""),-0.574368602140307)</f>
        <v>-0.57436860214030705</v>
      </c>
      <c r="KA106" s="3">
        <f ca="1">IFERROR(__xludf.DUMMYFUNCTION("""COMPUTED_VALUE"""),-0.520912760838937)</f>
        <v>-0.52091276083893701</v>
      </c>
      <c r="KB106" s="3">
        <f ca="1">IFERROR(__xludf.DUMMYFUNCTION("""COMPUTED_VALUE"""),-0.582709421343443)</f>
        <v>-0.58270942134344295</v>
      </c>
      <c r="KC106" s="3">
        <f ca="1">IFERROR(__xludf.DUMMYFUNCTION("""COMPUTED_VALUE"""),-0.576515676744042)</f>
        <v>-0.57651567674404203</v>
      </c>
      <c r="KD106" s="3">
        <f ca="1">IFERROR(__xludf.DUMMYFUNCTION("""COMPUTED_VALUE"""),-0.539625498626424)</f>
        <v>-0.53962549862642395</v>
      </c>
      <c r="KE106" s="3">
        <f ca="1">IFERROR(__xludf.DUMMYFUNCTION("""COMPUTED_VALUE"""),-0.506191958921489)</f>
        <v>-0.50619195892148905</v>
      </c>
      <c r="KF106" s="3">
        <f ca="1">IFERROR(__xludf.DUMMYFUNCTION("""COMPUTED_VALUE"""),-0.504864936006386)</f>
        <v>-0.50486493600638604</v>
      </c>
      <c r="KG106" s="3">
        <f ca="1">IFERROR(__xludf.DUMMYFUNCTION("""COMPUTED_VALUE"""),-0.522717167041758)</f>
        <v>-0.52271716704175797</v>
      </c>
      <c r="KH106" s="3">
        <f ca="1">IFERROR(__xludf.DUMMYFUNCTION("""COMPUTED_VALUE"""),-0.559710868071536)</f>
        <v>-0.55971086807153603</v>
      </c>
      <c r="KI106" s="3">
        <f ca="1">IFERROR(__xludf.DUMMYFUNCTION("""COMPUTED_VALUE"""),-0.576072259937833)</f>
        <v>-0.57607225993783295</v>
      </c>
      <c r="KJ106" s="3">
        <f ca="1">IFERROR(__xludf.DUMMYFUNCTION("""COMPUTED_VALUE"""),-0.565753907708577)</f>
        <v>-0.56575390770857703</v>
      </c>
      <c r="KK106" s="3">
        <f ca="1">IFERROR(__xludf.DUMMYFUNCTION("""COMPUTED_VALUE"""),-0.539680294120905)</f>
        <v>-0.53968029412090501</v>
      </c>
      <c r="KL106" s="3">
        <f ca="1">IFERROR(__xludf.DUMMYFUNCTION("""COMPUTED_VALUE"""),-0.508626049762102)</f>
        <v>-0.50862604976210202</v>
      </c>
      <c r="KM106" s="3">
        <f ca="1">IFERROR(__xludf.DUMMYFUNCTION("""COMPUTED_VALUE"""),-0.56717829212226)</f>
        <v>-0.56717829212226001</v>
      </c>
      <c r="KN106" s="3">
        <f ca="1">IFERROR(__xludf.DUMMYFUNCTION("""COMPUTED_VALUE"""),-0.591368367601484)</f>
        <v>-0.59136836760148404</v>
      </c>
      <c r="KO106" s="3">
        <f ca="1">IFERROR(__xludf.DUMMYFUNCTION("""COMPUTED_VALUE"""),-0.608120035172471)</f>
        <v>-0.60812003517247104</v>
      </c>
      <c r="KP106" s="3">
        <f ca="1">IFERROR(__xludf.DUMMYFUNCTION("""COMPUTED_VALUE"""),-0.604734539264652)</f>
        <v>-0.60473453926465204</v>
      </c>
      <c r="KQ106" s="3">
        <f ca="1">IFERROR(__xludf.DUMMYFUNCTION("""COMPUTED_VALUE"""),-0.604705736885736)</f>
        <v>-0.60470573688573603</v>
      </c>
      <c r="KR106" s="3">
        <f ca="1">IFERROR(__xludf.DUMMYFUNCTION("""COMPUTED_VALUE"""),-0.556829744376044)</f>
        <v>-0.55682974437604404</v>
      </c>
      <c r="KS106" s="3">
        <f ca="1">IFERROR(__xludf.DUMMYFUNCTION("""COMPUTED_VALUE"""),-0.5470103636736)</f>
        <v>-0.54701036367360001</v>
      </c>
      <c r="KT106" s="3">
        <f ca="1">IFERROR(__xludf.DUMMYFUNCTION("""COMPUTED_VALUE"""),-0.524199437516)</f>
        <v>-0.52419943751599996</v>
      </c>
      <c r="KU106" s="3">
        <f ca="1">IFERROR(__xludf.DUMMYFUNCTION("""COMPUTED_VALUE"""),-0.58321750357364)</f>
        <v>-0.58321750357363999</v>
      </c>
      <c r="KV106" s="3">
        <f ca="1">IFERROR(__xludf.DUMMYFUNCTION("""COMPUTED_VALUE"""),-0.638853530809678)</f>
        <v>-0.63885353080967799</v>
      </c>
      <c r="KW106" s="3">
        <f ca="1">IFERROR(__xludf.DUMMYFUNCTION("""COMPUTED_VALUE"""),-0.624403852883938)</f>
        <v>-0.62440385288393796</v>
      </c>
      <c r="KX106" s="3">
        <f ca="1">IFERROR(__xludf.DUMMYFUNCTION("""COMPUTED_VALUE"""),-0.637182831480355)</f>
        <v>-0.63718283148035504</v>
      </c>
      <c r="KY106" s="3">
        <f ca="1">IFERROR(__xludf.DUMMYFUNCTION("""COMPUTED_VALUE"""),-0.613006062897543)</f>
        <v>-0.613006062897543</v>
      </c>
      <c r="KZ106" s="3">
        <f ca="1">IFERROR(__xludf.DUMMYFUNCTION("""COMPUTED_VALUE"""),-0.580430002853445)</f>
        <v>-0.58043000285344504</v>
      </c>
      <c r="LA106" s="3">
        <f ca="1">IFERROR(__xludf.DUMMYFUNCTION("""COMPUTED_VALUE"""),-0.605738455821012)</f>
        <v>-0.60573845582101205</v>
      </c>
      <c r="LB106" s="3">
        <f ca="1">IFERROR(__xludf.DUMMYFUNCTION("""COMPUTED_VALUE"""),-0.708664690398024)</f>
        <v>-0.70866469039802404</v>
      </c>
      <c r="LC106" s="3">
        <f ca="1">IFERROR(__xludf.DUMMYFUNCTION("""COMPUTED_VALUE"""),-0.708567440665312)</f>
        <v>-0.70856744066531197</v>
      </c>
      <c r="LD106" s="3">
        <f ca="1">IFERROR(__xludf.DUMMYFUNCTION("""COMPUTED_VALUE"""),-0.740232259368861)</f>
        <v>-0.74023225936886095</v>
      </c>
      <c r="LE106" s="3">
        <f ca="1">IFERROR(__xludf.DUMMYFUNCTION("""COMPUTED_VALUE"""),-0.750785504120079)</f>
        <v>-0.75078550412007905</v>
      </c>
      <c r="LF106" s="3">
        <f ca="1">IFERROR(__xludf.DUMMYFUNCTION("""COMPUTED_VALUE"""),-0.704629891865966)</f>
        <v>-0.70462989186596603</v>
      </c>
      <c r="LG106" s="3">
        <f ca="1">IFERROR(__xludf.DUMMYFUNCTION("""COMPUTED_VALUE"""),-0.674344911131512)</f>
        <v>-0.67434491113151196</v>
      </c>
      <c r="LH106" s="3">
        <f ca="1">IFERROR(__xludf.DUMMYFUNCTION("""COMPUTED_VALUE"""),-0.6048889572216)</f>
        <v>-0.60488895722159997</v>
      </c>
      <c r="LI106" s="3">
        <f ca="1">IFERROR(__xludf.DUMMYFUNCTION("""COMPUTED_VALUE"""),-0.716533452406759)</f>
        <v>-0.71653345240675903</v>
      </c>
      <c r="LJ106" s="3">
        <f ca="1">IFERROR(__xludf.DUMMYFUNCTION("""COMPUTED_VALUE"""),-0.7328926582388)</f>
        <v>-0.73289265823880001</v>
      </c>
      <c r="LK106" s="3">
        <f ca="1">IFERROR(__xludf.DUMMYFUNCTION("""COMPUTED_VALUE"""),-0.70996234476811)</f>
        <v>-0.70996234476811004</v>
      </c>
      <c r="LL106" s="3">
        <f ca="1">IFERROR(__xludf.DUMMYFUNCTION("""COMPUTED_VALUE"""),-0.689740263180636)</f>
        <v>-0.68974026318063597</v>
      </c>
      <c r="LM106" s="3">
        <f ca="1">IFERROR(__xludf.DUMMYFUNCTION("""COMPUTED_VALUE"""),-0.680985518644435)</f>
        <v>-0.68098551864443502</v>
      </c>
      <c r="LN106" s="3">
        <f ca="1">IFERROR(__xludf.DUMMYFUNCTION("""COMPUTED_VALUE"""),-0.60627119543166)</f>
        <v>-0.60627119543165997</v>
      </c>
      <c r="LO106" s="3">
        <f ca="1">IFERROR(__xludf.DUMMYFUNCTION("""COMPUTED_VALUE"""),-0.664012534788633)</f>
        <v>-0.66401253478863298</v>
      </c>
      <c r="LP106" s="3">
        <f ca="1">IFERROR(__xludf.DUMMYFUNCTION("""COMPUTED_VALUE"""),-0.763179284676502)</f>
        <v>-0.76317928467650198</v>
      </c>
      <c r="LQ106" s="3">
        <f ca="1">IFERROR(__xludf.DUMMYFUNCTION("""COMPUTED_VALUE"""),-0.738825313929323)</f>
        <v>-0.73882531392932305</v>
      </c>
      <c r="LR106" s="3">
        <f ca="1">IFERROR(__xludf.DUMMYFUNCTION("""COMPUTED_VALUE"""),-0.745333906792761)</f>
        <v>-0.74533390679276101</v>
      </c>
      <c r="LS106" s="3">
        <f ca="1">IFERROR(__xludf.DUMMYFUNCTION("""COMPUTED_VALUE"""),-0.725690788682121)</f>
        <v>-0.725690788682121</v>
      </c>
      <c r="LT106" s="3">
        <f ca="1">IFERROR(__xludf.DUMMYFUNCTION("""COMPUTED_VALUE"""),-0.694810519379368)</f>
        <v>-0.694810519379368</v>
      </c>
      <c r="LU106" s="3">
        <f ca="1">IFERROR(__xludf.DUMMYFUNCTION("""COMPUTED_VALUE"""),-0.590076508805629)</f>
        <v>-0.59007650880562901</v>
      </c>
      <c r="LV106" s="3">
        <f ca="1">IFERROR(__xludf.DUMMYFUNCTION("""COMPUTED_VALUE"""),-0.637865360511491)</f>
        <v>-0.63786536051149101</v>
      </c>
      <c r="LW106" s="3">
        <f ca="1">IFERROR(__xludf.DUMMYFUNCTION("""COMPUTED_VALUE"""),-0.710492367691256)</f>
        <v>-0.71049236769125601</v>
      </c>
      <c r="LX106" s="3">
        <f ca="1">IFERROR(__xludf.DUMMYFUNCTION("""COMPUTED_VALUE"""),-0.735125614499122)</f>
        <v>-0.73512561449912195</v>
      </c>
      <c r="LY106" s="3">
        <f ca="1">IFERROR(__xludf.DUMMYFUNCTION("""COMPUTED_VALUE"""),-0.723851334705828)</f>
        <v>-0.72385133470582796</v>
      </c>
      <c r="LZ106" s="3">
        <f ca="1">IFERROR(__xludf.DUMMYFUNCTION("""COMPUTED_VALUE"""),-0.718782865016311)</f>
        <v>-0.71878286501631095</v>
      </c>
      <c r="MA106" s="3">
        <f ca="1">IFERROR(__xludf.DUMMYFUNCTION("""COMPUTED_VALUE"""),-0.715703564883405)</f>
        <v>-0.71570356488340503</v>
      </c>
      <c r="MB106" s="3">
        <f ca="1">IFERROR(__xludf.DUMMYFUNCTION("""COMPUTED_VALUE"""),-0.572903630908653)</f>
        <v>-0.57290363090865304</v>
      </c>
      <c r="MC106" s="3">
        <f ca="1">IFERROR(__xludf.DUMMYFUNCTION("""COMPUTED_VALUE"""),-0.682221271193459)</f>
        <v>-0.68222127119345899</v>
      </c>
      <c r="MD106" s="3">
        <f ca="1">IFERROR(__xludf.DUMMYFUNCTION("""COMPUTED_VALUE"""),-0.748615821190181)</f>
        <v>-0.748615821190181</v>
      </c>
      <c r="ME106" s="3">
        <f ca="1">IFERROR(__xludf.DUMMYFUNCTION("""COMPUTED_VALUE"""),-0.717699217243391)</f>
        <v>-0.71769921724339103</v>
      </c>
      <c r="MF106" s="3">
        <f ca="1">IFERROR(__xludf.DUMMYFUNCTION("""COMPUTED_VALUE"""),-0.754881073281099)</f>
        <v>-0.75488107328109899</v>
      </c>
      <c r="MG106" s="3">
        <f ca="1">IFERROR(__xludf.DUMMYFUNCTION("""COMPUTED_VALUE"""),-0.700058685258113)</f>
        <v>-0.70005868525811299</v>
      </c>
      <c r="MH106" s="3">
        <f ca="1">IFERROR(__xludf.DUMMYFUNCTION("""COMPUTED_VALUE"""),-0.653064024829689)</f>
        <v>-0.65306402482968895</v>
      </c>
      <c r="MI106" s="3">
        <f ca="1">IFERROR(__xludf.DUMMYFUNCTION("""COMPUTED_VALUE"""),-0.534683288302783)</f>
        <v>-0.534683288302783</v>
      </c>
      <c r="MJ106" s="3">
        <f ca="1">IFERROR(__xludf.DUMMYFUNCTION("""COMPUTED_VALUE"""),-0.597441921805098)</f>
        <v>-0.59744192180509803</v>
      </c>
      <c r="MK106" s="3">
        <f ca="1">IFERROR(__xludf.DUMMYFUNCTION("""COMPUTED_VALUE"""),-0.678758291191604)</f>
        <v>-0.67875829119160402</v>
      </c>
      <c r="ML106" s="3">
        <f ca="1">IFERROR(__xludf.DUMMYFUNCTION("""COMPUTED_VALUE"""),-0.716164070910936)</f>
        <v>-0.71616407091093603</v>
      </c>
      <c r="MM106" s="3">
        <f ca="1">IFERROR(__xludf.DUMMYFUNCTION("""COMPUTED_VALUE"""),-0.690948867551687)</f>
        <v>-0.69094886755168705</v>
      </c>
      <c r="MN106" s="3">
        <f ca="1">IFERROR(__xludf.DUMMYFUNCTION("""COMPUTED_VALUE"""),-0.674253683442291)</f>
        <v>-0.67425368344229097</v>
      </c>
      <c r="MO106" s="3">
        <f ca="1">IFERROR(__xludf.DUMMYFUNCTION("""COMPUTED_VALUE"""),-0.607664368079257)</f>
        <v>-0.60766436807925694</v>
      </c>
      <c r="MP106" s="3">
        <f ca="1">IFERROR(__xludf.DUMMYFUNCTION("""COMPUTED_VALUE"""),-0.551515242678438)</f>
        <v>-0.55151524267843799</v>
      </c>
      <c r="MQ106" s="3">
        <f ca="1">IFERROR(__xludf.DUMMYFUNCTION("""COMPUTED_VALUE"""),-0.62666603790436)</f>
        <v>-0.62666603790436004</v>
      </c>
      <c r="MR106" s="3">
        <f ca="1">IFERROR(__xludf.DUMMYFUNCTION("""COMPUTED_VALUE"""),-0.703043083763379)</f>
        <v>-0.70304308376337898</v>
      </c>
      <c r="MS106" s="3">
        <f ca="1">IFERROR(__xludf.DUMMYFUNCTION("""COMPUTED_VALUE"""),-0.696290513034631)</f>
        <v>-0.69629051303463096</v>
      </c>
      <c r="MT106" s="3">
        <f ca="1">IFERROR(__xludf.DUMMYFUNCTION("""COMPUTED_VALUE"""),-0.70759316336653)</f>
        <v>-0.70759316336653</v>
      </c>
      <c r="MU106" s="3">
        <f ca="1">IFERROR(__xludf.DUMMYFUNCTION("""COMPUTED_VALUE"""),-0.710271296153114)</f>
        <v>-0.71027129615311402</v>
      </c>
      <c r="MV106" s="3">
        <f ca="1">IFERROR(__xludf.DUMMYFUNCTION("""COMPUTED_VALUE"""),-0.650316912001515)</f>
        <v>-0.65031691200151498</v>
      </c>
      <c r="MW106" s="3">
        <f ca="1">IFERROR(__xludf.DUMMYFUNCTION("""COMPUTED_VALUE"""),-0.585865776706371)</f>
        <v>-0.58586577670637097</v>
      </c>
      <c r="MX106" s="3">
        <f ca="1">IFERROR(__xludf.DUMMYFUNCTION("""COMPUTED_VALUE"""),-0.658381112836028)</f>
        <v>-0.65838111283602796</v>
      </c>
      <c r="MY106" s="3">
        <f ca="1">IFERROR(__xludf.DUMMYFUNCTION("""COMPUTED_VALUE"""),-0.691688630692966)</f>
        <v>-0.69168863069296604</v>
      </c>
      <c r="MZ106" s="3">
        <f ca="1">IFERROR(__xludf.DUMMYFUNCTION("""COMPUTED_VALUE"""),-0.674518313447252)</f>
        <v>-0.67451831344725199</v>
      </c>
      <c r="NA106" s="3">
        <f ca="1">IFERROR(__xludf.DUMMYFUNCTION("""COMPUTED_VALUE"""),-0.706532557555152)</f>
        <v>-0.70653255755515199</v>
      </c>
      <c r="NB106" s="3">
        <f ca="1">IFERROR(__xludf.DUMMYFUNCTION("""COMPUTED_VALUE"""),-0.68145829675309)</f>
        <v>-0.68145829675309</v>
      </c>
      <c r="NC106" s="3">
        <f ca="1">IFERROR(__xludf.DUMMYFUNCTION("""COMPUTED_VALUE"""),-0.707478509037675)</f>
        <v>-0.70747850903767495</v>
      </c>
      <c r="ND106" s="3">
        <f ca="1">IFERROR(__xludf.DUMMYFUNCTION("""COMPUTED_VALUE"""),-0.619687029387743)</f>
        <v>-0.619687029387743</v>
      </c>
      <c r="NE106" s="3">
        <f ca="1">IFERROR(__xludf.DUMMYFUNCTION("""COMPUTED_VALUE"""),-0.638365251980047)</f>
        <v>-0.63836525198004701</v>
      </c>
      <c r="NF106" s="3">
        <f ca="1">IFERROR(__xludf.DUMMYFUNCTION("""COMPUTED_VALUE"""),-0.685511276223918)</f>
        <v>-0.68551127622391805</v>
      </c>
      <c r="NG106" s="3">
        <f ca="1">IFERROR(__xludf.DUMMYFUNCTION("""COMPUTED_VALUE"""),-0.608421565257578)</f>
        <v>-0.60842156525757796</v>
      </c>
      <c r="NH106" s="3">
        <f ca="1">IFERROR(__xludf.DUMMYFUNCTION("""COMPUTED_VALUE"""),-0.616008014310353)</f>
        <v>-0.61600801431035301</v>
      </c>
      <c r="NI106" s="3">
        <f ca="1">IFERROR(__xludf.DUMMYFUNCTION("""COMPUTED_VALUE"""),-0.619471553865797)</f>
        <v>-0.619471553865797</v>
      </c>
      <c r="NJ106" s="3">
        <f ca="1">IFERROR(__xludf.DUMMYFUNCTION("""COMPUTED_VALUE"""),-0.603518217992768)</f>
        <v>-0.60351821799276795</v>
      </c>
      <c r="NK106" s="3">
        <f ca="1">IFERROR(__xludf.DUMMYFUNCTION("""COMPUTED_VALUE"""),-0.49404000980698)</f>
        <v>-0.49404000980697999</v>
      </c>
      <c r="NL106" s="3">
        <f ca="1">IFERROR(__xludf.DUMMYFUNCTION("""COMPUTED_VALUE"""),-0.57371085391361)</f>
        <v>-0.57371085391360999</v>
      </c>
      <c r="NM106" s="3">
        <f ca="1">IFERROR(__xludf.DUMMYFUNCTION("""COMPUTED_VALUE"""),-0.653276809751136)</f>
        <v>-0.653276809751136</v>
      </c>
      <c r="NN106" s="3">
        <f ca="1">IFERROR(__xludf.DUMMYFUNCTION("""COMPUTED_VALUE"""),-0.655050411284513)</f>
        <v>-0.65505041128451302</v>
      </c>
      <c r="NO106" s="3">
        <f ca="1">IFERROR(__xludf.DUMMYFUNCTION("""COMPUTED_VALUE"""),-0.648868813406127)</f>
        <v>-0.64886881340612701</v>
      </c>
      <c r="NP106" s="3">
        <f ca="1">IFERROR(__xludf.DUMMYFUNCTION("""COMPUTED_VALUE"""),-0.676448613184537)</f>
        <v>-0.67644861318453697</v>
      </c>
      <c r="NQ106" s="3">
        <f ca="1">IFERROR(__xludf.DUMMYFUNCTION("""COMPUTED_VALUE"""),-0.635873482769829)</f>
        <v>-0.63587348276982902</v>
      </c>
      <c r="NR106" s="3">
        <f ca="1">IFERROR(__xludf.DUMMYFUNCTION("""COMPUTED_VALUE"""),-0.577025319908838)</f>
        <v>-0.57702531990883799</v>
      </c>
      <c r="NS106" s="3">
        <f ca="1">IFERROR(__xludf.DUMMYFUNCTION("""COMPUTED_VALUE"""),-0.65929456852717)</f>
        <v>-0.65929456852717006</v>
      </c>
      <c r="NT106" s="3">
        <f ca="1">IFERROR(__xludf.DUMMYFUNCTION("""COMPUTED_VALUE"""),-0.666588070943309)</f>
        <v>-0.66658807094330896</v>
      </c>
      <c r="NU106" s="3">
        <f ca="1">IFERROR(__xludf.DUMMYFUNCTION("""COMPUTED_VALUE"""),-0.658701783671572)</f>
        <v>-0.65870178367157195</v>
      </c>
      <c r="NV106" s="3">
        <f ca="1">IFERROR(__xludf.DUMMYFUNCTION("""COMPUTED_VALUE"""),-0.678516680234128)</f>
        <v>-0.67851668023412803</v>
      </c>
      <c r="NW106" s="3">
        <f ca="1">IFERROR(__xludf.DUMMYFUNCTION("""COMPUTED_VALUE"""),-0.626213604313337)</f>
        <v>-0.62621360431333695</v>
      </c>
      <c r="NX106" s="3">
        <f ca="1">IFERROR(__xludf.DUMMYFUNCTION("""COMPUTED_VALUE"""),-0.676991210399869)</f>
        <v>-0.67699121039986898</v>
      </c>
      <c r="NY106" s="3">
        <f ca="1">IFERROR(__xludf.DUMMYFUNCTION("""COMPUTED_VALUE"""),-0.463435885525863)</f>
        <v>-0.46343588552586301</v>
      </c>
      <c r="NZ106" s="3">
        <f ca="1">IFERROR(__xludf.DUMMYFUNCTION("""COMPUTED_VALUE"""),-0.49878030119342)</f>
        <v>-0.49878030119341998</v>
      </c>
      <c r="OA106" s="3">
        <f ca="1">IFERROR(__xludf.DUMMYFUNCTION("""COMPUTED_VALUE"""),-0.584344158916664)</f>
        <v>-0.58434415891666402</v>
      </c>
      <c r="OB106" s="3">
        <f ca="1">IFERROR(__xludf.DUMMYFUNCTION("""COMPUTED_VALUE"""),-0.593275511378538)</f>
        <v>-0.59327551137853796</v>
      </c>
      <c r="OC106" s="3">
        <f ca="1">IFERROR(__xludf.DUMMYFUNCTION("""COMPUTED_VALUE"""),-0.58597392175481)</f>
        <v>-0.58597392175481</v>
      </c>
      <c r="OD106" s="3">
        <f ca="1">IFERROR(__xludf.DUMMYFUNCTION("""COMPUTED_VALUE"""),-0.570695391259833)</f>
        <v>-0.57069539125983304</v>
      </c>
      <c r="OE106" s="3">
        <f ca="1">IFERROR(__xludf.DUMMYFUNCTION("""COMPUTED_VALUE"""),-0.466974496691261)</f>
        <v>-0.46697449669126101</v>
      </c>
      <c r="OF106" s="3">
        <f ca="1">IFERROR(__xludf.DUMMYFUNCTION("""COMPUTED_VALUE"""),-0.229380341980749)</f>
        <v>-0.229380341980749</v>
      </c>
      <c r="OG106" s="3">
        <f ca="1">IFERROR(__xludf.DUMMYFUNCTION("""COMPUTED_VALUE"""),-0.21479781921727)</f>
        <v>-0.21479781921727001</v>
      </c>
      <c r="OH106" s="3">
        <f ca="1">IFERROR(__xludf.DUMMYFUNCTION("""COMPUTED_VALUE"""),-0.256047055033789)</f>
        <v>-0.256047055033789</v>
      </c>
      <c r="OI106" s="3">
        <f ca="1">IFERROR(__xludf.DUMMYFUNCTION("""COMPUTED_VALUE"""),-0.103204340664395)</f>
        <v>-0.103204340664395</v>
      </c>
      <c r="OJ106" s="3">
        <f ca="1">IFERROR(__xludf.DUMMYFUNCTION("""COMPUTED_VALUE"""),-0.0767459419222024)</f>
        <v>-7.6745941922202396E-2</v>
      </c>
      <c r="OK106" s="3">
        <f ca="1">IFERROR(__xludf.DUMMYFUNCTION("""COMPUTED_VALUE"""),-0.0915600736591071)</f>
        <v>-9.1560073659107094E-2</v>
      </c>
      <c r="OL106" s="3">
        <f ca="1">IFERROR(__xludf.DUMMYFUNCTION("""COMPUTED_VALUE"""),-0.0051121173779387)</f>
        <v>-5.1121173779386997E-3</v>
      </c>
      <c r="OM106" s="3">
        <f ca="1">IFERROR(__xludf.DUMMYFUNCTION("""COMPUTED_VALUE"""),-0.00288350565124417)</f>
        <v>-2.8835056512441699E-3</v>
      </c>
      <c r="ON106" s="3">
        <f ca="1">IFERROR(__xludf.DUMMYFUNCTION("""COMPUTED_VALUE"""),-0.0357410743505133)</f>
        <v>-3.5741074350513297E-2</v>
      </c>
      <c r="OO106" s="3">
        <f ca="1">IFERROR(__xludf.DUMMYFUNCTION("""COMPUTED_VALUE"""),-0.0782777833513367)</f>
        <v>-7.8277783351336699E-2</v>
      </c>
      <c r="OP106" s="3">
        <f ca="1">IFERROR(__xludf.DUMMYFUNCTION("""COMPUTED_VALUE"""),-0.0459519922656207)</f>
        <v>-4.5951992265620703E-2</v>
      </c>
      <c r="OQ106" s="3">
        <f ca="1">IFERROR(__xludf.DUMMYFUNCTION("""COMPUTED_VALUE"""),-0.0295922668453203)</f>
        <v>-2.9592266845320299E-2</v>
      </c>
      <c r="OR106" s="3">
        <f ca="1">IFERROR(__xludf.DUMMYFUNCTION("""COMPUTED_VALUE"""),-0.08602676025961)</f>
        <v>-8.6026760259609994E-2</v>
      </c>
      <c r="OS106" s="3">
        <f ca="1">IFERROR(__xludf.DUMMYFUNCTION("""COMPUTED_VALUE"""),-0.0640216123084397)</f>
        <v>-6.4021612308439696E-2</v>
      </c>
      <c r="OT106" s="3">
        <f ca="1">IFERROR(__xludf.DUMMYFUNCTION("""COMPUTED_VALUE"""),-0.0196039436918389)</f>
        <v>-1.9603943691838901E-2</v>
      </c>
      <c r="OU106" s="3">
        <f ca="1">IFERROR(__xludf.DUMMYFUNCTION("""COMPUTED_VALUE"""),-0.0486888648332393)</f>
        <v>-4.8688864833239302E-2</v>
      </c>
      <c r="OV106" s="3">
        <f ca="1">IFERROR(__xludf.DUMMYFUNCTION("""COMPUTED_VALUE"""),0.0266253942240135)</f>
        <v>2.6625394224013499E-2</v>
      </c>
      <c r="OW106" s="3">
        <f ca="1">IFERROR(__xludf.DUMMYFUNCTION("""COMPUTED_VALUE"""),-0.0181139580033535)</f>
        <v>-1.8113958003353501E-2</v>
      </c>
      <c r="OX106" s="3">
        <f ca="1">IFERROR(__xludf.DUMMYFUNCTION("""COMPUTED_VALUE"""),0.132513378480823)</f>
        <v>0.13251337848082301</v>
      </c>
      <c r="OY106" s="3">
        <f ca="1">IFERROR(__xludf.DUMMYFUNCTION("""COMPUTED_VALUE"""),-0.0656370967930014)</f>
        <v>-6.5637096793001407E-2</v>
      </c>
      <c r="OZ106" s="3">
        <f ca="1">IFERROR(__xludf.DUMMYFUNCTION("""COMPUTED_VALUE"""),0.0470118680590643)</f>
        <v>4.70118680590643E-2</v>
      </c>
      <c r="PA106" s="3">
        <f ca="1">IFERROR(__xludf.DUMMYFUNCTION("""COMPUTED_VALUE"""),0.0193465794585734)</f>
        <v>1.9346579458573401E-2</v>
      </c>
      <c r="PB106" s="3">
        <f ca="1">IFERROR(__xludf.DUMMYFUNCTION("""COMPUTED_VALUE"""),-0.0169071743340905)</f>
        <v>-1.6907174334090499E-2</v>
      </c>
      <c r="PC106" s="3">
        <f ca="1">IFERROR(__xludf.DUMMYFUNCTION("""COMPUTED_VALUE"""),-0.011928076357291)</f>
        <v>-1.1928076357291E-2</v>
      </c>
      <c r="PD106" s="3">
        <f ca="1">IFERROR(__xludf.DUMMYFUNCTION("""COMPUTED_VALUE"""),-0.0405636324755404)</f>
        <v>-4.0563632475540401E-2</v>
      </c>
      <c r="PE106" s="3">
        <f ca="1">IFERROR(__xludf.DUMMYFUNCTION("""COMPUTED_VALUE"""),0.120608243439378)</f>
        <v>0.120608243439378</v>
      </c>
      <c r="PF106" s="3">
        <f ca="1">IFERROR(__xludf.DUMMYFUNCTION("""COMPUTED_VALUE"""),-0.0205313684329363)</f>
        <v>-2.0531368432936299E-2</v>
      </c>
      <c r="PG106" s="3">
        <f ca="1">IFERROR(__xludf.DUMMYFUNCTION("""COMPUTED_VALUE"""),-0.211379721743666)</f>
        <v>-0.21137972174366601</v>
      </c>
      <c r="PH106" s="3">
        <f ca="1">IFERROR(__xludf.DUMMYFUNCTION("""COMPUTED_VALUE"""),-0.00688190608545735)</f>
        <v>-6.8819060854573497E-3</v>
      </c>
      <c r="PI106" s="3">
        <f ca="1">IFERROR(__xludf.DUMMYFUNCTION("""COMPUTED_VALUE"""),-0.0267631544559118)</f>
        <v>-2.6763154455911799E-2</v>
      </c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</row>
    <row r="107" spans="1:477" ht="13">
      <c r="A107" s="1" t="str">
        <f ca="1">IFERROR(__xludf.DUMMYFUNCTION("""COMPUTED_VALUE"""),"SEPTA - Rail")</f>
        <v>SEPTA - Rail</v>
      </c>
      <c r="B107" s="1" t="str">
        <f ca="1">IFERROR(__xludf.DUMMYFUNCTION("""COMPUTED_VALUE"""),"Philadelphia")</f>
        <v>Philadelphia</v>
      </c>
      <c r="C107" s="1" t="str">
        <f ca="1">IFERROR(__xludf.DUMMYFUNCTION("""COMPUTED_VALUE"""),"United States")</f>
        <v>United States</v>
      </c>
      <c r="D107" s="1" t="str">
        <f ca="1">IFERROR(__xludf.DUMMYFUNCTION("""COMPUTED_VALUE"""),"Pennsylvania")</f>
        <v>Pennsylvania</v>
      </c>
      <c r="E107" s="3">
        <f ca="1">IFERROR(__xludf.DUMMYFUNCTION("""COMPUTED_VALUE"""),-0.348324115952822)</f>
        <v>-0.34832411595282198</v>
      </c>
      <c r="F107" s="3">
        <f ca="1">IFERROR(__xludf.DUMMYFUNCTION("""COMPUTED_VALUE"""),-0.492013334721566)</f>
        <v>-0.492013334721566</v>
      </c>
      <c r="G107" s="3">
        <f ca="1">IFERROR(__xludf.DUMMYFUNCTION("""COMPUTED_VALUE"""),-0.461970458051887)</f>
        <v>-0.46197045805188702</v>
      </c>
      <c r="H107" s="3">
        <f ca="1">IFERROR(__xludf.DUMMYFUNCTION("""COMPUTED_VALUE"""),-0.532211677429188)</f>
        <v>-0.53221167742918796</v>
      </c>
      <c r="I107" s="3">
        <f ca="1">IFERROR(__xludf.DUMMYFUNCTION("""COMPUTED_VALUE"""),-0.49761892718399)</f>
        <v>-0.49761892718398998</v>
      </c>
      <c r="J107" s="3">
        <f ca="1">IFERROR(__xludf.DUMMYFUNCTION("""COMPUTED_VALUE"""),-0.501536641842106)</f>
        <v>-0.501536641842106</v>
      </c>
      <c r="K107" s="3">
        <f ca="1">IFERROR(__xludf.DUMMYFUNCTION("""COMPUTED_VALUE"""),-0.462371572744347)</f>
        <v>-0.46237157274434698</v>
      </c>
      <c r="L107" s="3">
        <f ca="1">IFERROR(__xludf.DUMMYFUNCTION("""COMPUTED_VALUE"""),-0.414661802024149)</f>
        <v>-0.41466180202414898</v>
      </c>
      <c r="M107" s="3">
        <f ca="1">IFERROR(__xludf.DUMMYFUNCTION("""COMPUTED_VALUE"""),-0.58084125712526)</f>
        <v>-0.58084125712526002</v>
      </c>
      <c r="N107" s="3">
        <f ca="1">IFERROR(__xludf.DUMMYFUNCTION("""COMPUTED_VALUE"""),-0.549483011479702)</f>
        <v>-0.54948301147970202</v>
      </c>
      <c r="O107" s="3">
        <f ca="1">IFERROR(__xludf.DUMMYFUNCTION("""COMPUTED_VALUE"""),-0.58787338396959)</f>
        <v>-0.58787338396958999</v>
      </c>
      <c r="P107" s="3">
        <f ca="1">IFERROR(__xludf.DUMMYFUNCTION("""COMPUTED_VALUE"""),-0.519872627390801)</f>
        <v>-0.51987262739080098</v>
      </c>
      <c r="Q107" s="3">
        <f ca="1">IFERROR(__xludf.DUMMYFUNCTION("""COMPUTED_VALUE"""),-0.532866427177671)</f>
        <v>-0.53286642717767096</v>
      </c>
      <c r="R107" s="3">
        <f ca="1">IFERROR(__xludf.DUMMYFUNCTION("""COMPUTED_VALUE"""),-0.514539807556748)</f>
        <v>-0.514539807556748</v>
      </c>
      <c r="S107" s="3">
        <f ca="1">IFERROR(__xludf.DUMMYFUNCTION("""COMPUTED_VALUE"""),-0.4469701183926)</f>
        <v>-0.44697011839259998</v>
      </c>
      <c r="T107" s="3">
        <f ca="1">IFERROR(__xludf.DUMMYFUNCTION("""COMPUTED_VALUE"""),-0.598234638951374)</f>
        <v>-0.59823463895137396</v>
      </c>
      <c r="U107" s="3">
        <f ca="1">IFERROR(__xludf.DUMMYFUNCTION("""COMPUTED_VALUE"""),-0.642906574765773)</f>
        <v>-0.64290657476577295</v>
      </c>
      <c r="V107" s="3">
        <f ca="1">IFERROR(__xludf.DUMMYFUNCTION("""COMPUTED_VALUE"""),-0.688004655028505)</f>
        <v>-0.68800465502850505</v>
      </c>
      <c r="W107" s="3">
        <f ca="1">IFERROR(__xludf.DUMMYFUNCTION("""COMPUTED_VALUE"""),-0.619811159735338)</f>
        <v>-0.61981115973533796</v>
      </c>
      <c r="X107" s="3">
        <f ca="1">IFERROR(__xludf.DUMMYFUNCTION("""COMPUTED_VALUE"""),-0.611177474711002)</f>
        <v>-0.61117747471100203</v>
      </c>
      <c r="Y107" s="3">
        <f ca="1">IFERROR(__xludf.DUMMYFUNCTION("""COMPUTED_VALUE"""),-0.513016910370643)</f>
        <v>-0.51301691037064301</v>
      </c>
      <c r="Z107" s="3">
        <f ca="1">IFERROR(__xludf.DUMMYFUNCTION("""COMPUTED_VALUE"""),-0.526675670296929)</f>
        <v>-0.52667567029692897</v>
      </c>
      <c r="AA107" s="3">
        <f ca="1">IFERROR(__xludf.DUMMYFUNCTION("""COMPUTED_VALUE"""),-0.641969014734947)</f>
        <v>-0.64196901473494705</v>
      </c>
      <c r="AB107" s="3">
        <f ca="1">IFERROR(__xludf.DUMMYFUNCTION("""COMPUTED_VALUE"""),-0.676548457327326)</f>
        <v>-0.67654845732732605</v>
      </c>
      <c r="AC107" s="3">
        <f ca="1">IFERROR(__xludf.DUMMYFUNCTION("""COMPUTED_VALUE"""),-0.664371905975413)</f>
        <v>-0.66437190597541296</v>
      </c>
      <c r="AD107" s="3">
        <f ca="1">IFERROR(__xludf.DUMMYFUNCTION("""COMPUTED_VALUE"""),-0.652592946903392)</f>
        <v>-0.65259294690339198</v>
      </c>
      <c r="AE107" s="3">
        <f ca="1">IFERROR(__xludf.DUMMYFUNCTION("""COMPUTED_VALUE"""),-0.623970548875166)</f>
        <v>-0.62397054887516601</v>
      </c>
      <c r="AF107" s="3">
        <f ca="1">IFERROR(__xludf.DUMMYFUNCTION("""COMPUTED_VALUE"""),-0.528975084567054)</f>
        <v>-0.528975084567054</v>
      </c>
      <c r="AG107" s="3">
        <f ca="1">IFERROR(__xludf.DUMMYFUNCTION("""COMPUTED_VALUE"""),-0.517073305108751)</f>
        <v>-0.51707330510875105</v>
      </c>
      <c r="AH107" s="3">
        <f ca="1">IFERROR(__xludf.DUMMYFUNCTION("""COMPUTED_VALUE"""),-0.60968889545557)</f>
        <v>-0.60968889545557003</v>
      </c>
      <c r="AI107" s="3">
        <f ca="1">IFERROR(__xludf.DUMMYFUNCTION("""COMPUTED_VALUE"""),-0.596771883074028)</f>
        <v>-0.59677188307402795</v>
      </c>
      <c r="AJ107" s="3">
        <f ca="1">IFERROR(__xludf.DUMMYFUNCTION("""COMPUTED_VALUE"""),-0.632112981475122)</f>
        <v>-0.63211298147512196</v>
      </c>
      <c r="AK107" s="3">
        <f ca="1">IFERROR(__xludf.DUMMYFUNCTION("""COMPUTED_VALUE"""),-0.625130544347936)</f>
        <v>-0.62513054434793602</v>
      </c>
      <c r="AL107" s="3">
        <f ca="1">IFERROR(__xludf.DUMMYFUNCTION("""COMPUTED_VALUE"""),-0.622099421927923)</f>
        <v>-0.622099421927923</v>
      </c>
      <c r="AM107" s="3">
        <f ca="1">IFERROR(__xludf.DUMMYFUNCTION("""COMPUTED_VALUE"""),-0.523540176674618)</f>
        <v>-0.52354017667461805</v>
      </c>
      <c r="AN107" s="3">
        <f ca="1">IFERROR(__xludf.DUMMYFUNCTION("""COMPUTED_VALUE"""),-0.545662553143869)</f>
        <v>-0.54566255314386902</v>
      </c>
      <c r="AO107" s="3">
        <f ca="1">IFERROR(__xludf.DUMMYFUNCTION("""COMPUTED_VALUE"""),-0.650347687884662)</f>
        <v>-0.65034768788466202</v>
      </c>
      <c r="AP107" s="3">
        <f ca="1">IFERROR(__xludf.DUMMYFUNCTION("""COMPUTED_VALUE"""),-0.642920735976931)</f>
        <v>-0.642920735976931</v>
      </c>
      <c r="AQ107" s="3">
        <f ca="1">IFERROR(__xludf.DUMMYFUNCTION("""COMPUTED_VALUE"""),-0.641621938777404)</f>
        <v>-0.64162193877740403</v>
      </c>
      <c r="AR107" s="3">
        <f ca="1">IFERROR(__xludf.DUMMYFUNCTION("""COMPUTED_VALUE"""),-0.655722785423132)</f>
        <v>-0.655722785423132</v>
      </c>
      <c r="AS107" s="3">
        <f ca="1">IFERROR(__xludf.DUMMYFUNCTION("""COMPUTED_VALUE"""),-0.641436772992736)</f>
        <v>-0.64143677299273605</v>
      </c>
      <c r="AT107" s="3">
        <f ca="1">IFERROR(__xludf.DUMMYFUNCTION("""COMPUTED_VALUE"""),-0.547886097473743)</f>
        <v>-0.54788609747374295</v>
      </c>
      <c r="AU107" s="3">
        <f ca="1">IFERROR(__xludf.DUMMYFUNCTION("""COMPUTED_VALUE"""),-0.543947193197278)</f>
        <v>-0.54394719319727802</v>
      </c>
      <c r="AV107" s="3">
        <f ca="1">IFERROR(__xludf.DUMMYFUNCTION("""COMPUTED_VALUE"""),-0.641285006693615)</f>
        <v>-0.64128500669361499</v>
      </c>
      <c r="AW107" s="3">
        <f ca="1">IFERROR(__xludf.DUMMYFUNCTION("""COMPUTED_VALUE"""),-0.614699005886435)</f>
        <v>-0.614699005886435</v>
      </c>
      <c r="AX107" s="3">
        <f ca="1">IFERROR(__xludf.DUMMYFUNCTION("""COMPUTED_VALUE"""),-0.57764520576874)</f>
        <v>-0.57764520576874001</v>
      </c>
      <c r="AY107" s="3">
        <f ca="1">IFERROR(__xludf.DUMMYFUNCTION("""COMPUTED_VALUE"""),-0.654438658312696)</f>
        <v>-0.65443865831269599</v>
      </c>
      <c r="AZ107" s="3">
        <f ca="1">IFERROR(__xludf.DUMMYFUNCTION("""COMPUTED_VALUE"""),-0.629539693308079)</f>
        <v>-0.62953969330807902</v>
      </c>
      <c r="BA107" s="3">
        <f ca="1">IFERROR(__xludf.DUMMYFUNCTION("""COMPUTED_VALUE"""),-0.514410161951792)</f>
        <v>-0.51441016195179201</v>
      </c>
      <c r="BB107" s="3">
        <f ca="1">IFERROR(__xludf.DUMMYFUNCTION("""COMPUTED_VALUE"""),-0.529038984235197)</f>
        <v>-0.52903898423519702</v>
      </c>
      <c r="BC107" s="3">
        <f ca="1">IFERROR(__xludf.DUMMYFUNCTION("""COMPUTED_VALUE"""),-0.686689480347565)</f>
        <v>-0.68668948034756505</v>
      </c>
      <c r="BD107" s="3">
        <f ca="1">IFERROR(__xludf.DUMMYFUNCTION("""COMPUTED_VALUE"""),-0.744128880774926)</f>
        <v>-0.744128880774926</v>
      </c>
      <c r="BE107" s="3">
        <f ca="1">IFERROR(__xludf.DUMMYFUNCTION("""COMPUTED_VALUE"""),-0.622954108599163)</f>
        <v>-0.622954108599163</v>
      </c>
      <c r="BF107" s="3">
        <f ca="1">IFERROR(__xludf.DUMMYFUNCTION("""COMPUTED_VALUE"""),-0.659293925811858)</f>
        <v>-0.65929392581185797</v>
      </c>
      <c r="BG107" s="3">
        <f ca="1">IFERROR(__xludf.DUMMYFUNCTION("""COMPUTED_VALUE"""),-0.641068798768519)</f>
        <v>-0.64106879876851897</v>
      </c>
      <c r="BH107" s="3">
        <f ca="1">IFERROR(__xludf.DUMMYFUNCTION("""COMPUTED_VALUE"""),-0.488234949973967)</f>
        <v>-0.48823494997396699</v>
      </c>
      <c r="BI107" s="3">
        <f ca="1">IFERROR(__xludf.DUMMYFUNCTION("""COMPUTED_VALUE"""),-0.514746060331322)</f>
        <v>-0.51474606033132198</v>
      </c>
      <c r="BJ107" s="3">
        <f ca="1">IFERROR(__xludf.DUMMYFUNCTION("""COMPUTED_VALUE"""),-0.656668169789275)</f>
        <v>-0.656668169789275</v>
      </c>
      <c r="BK107" s="3">
        <f ca="1">IFERROR(__xludf.DUMMYFUNCTION("""COMPUTED_VALUE"""),-0.649147509445074)</f>
        <v>-0.64914750944507404</v>
      </c>
      <c r="BL107" s="3">
        <f ca="1">IFERROR(__xludf.DUMMYFUNCTION("""COMPUTED_VALUE"""),-0.662893657481603)</f>
        <v>-0.662893657481603</v>
      </c>
      <c r="BM107" s="3">
        <f ca="1">IFERROR(__xludf.DUMMYFUNCTION("""COMPUTED_VALUE"""),-0.645940388179962)</f>
        <v>-0.64594038817996202</v>
      </c>
      <c r="BN107" s="3">
        <f ca="1">IFERROR(__xludf.DUMMYFUNCTION("""COMPUTED_VALUE"""),-0.614404535747748)</f>
        <v>-0.614404535747748</v>
      </c>
      <c r="BO107" s="3">
        <f ca="1">IFERROR(__xludf.DUMMYFUNCTION("""COMPUTED_VALUE"""),-0.584962077423388)</f>
        <v>-0.58496207742338802</v>
      </c>
      <c r="BP107" s="3">
        <f ca="1">IFERROR(__xludf.DUMMYFUNCTION("""COMPUTED_VALUE"""),-0.523043762231166)</f>
        <v>-0.523043762231166</v>
      </c>
      <c r="BQ107" s="3">
        <f ca="1">IFERROR(__xludf.DUMMYFUNCTION("""COMPUTED_VALUE"""),-0.660666859659535)</f>
        <v>-0.66066685965953498</v>
      </c>
      <c r="BR107" s="3">
        <f ca="1">IFERROR(__xludf.DUMMYFUNCTION("""COMPUTED_VALUE"""),-0.642881391627503)</f>
        <v>-0.64288139162750302</v>
      </c>
      <c r="BS107" s="3">
        <f ca="1">IFERROR(__xludf.DUMMYFUNCTION("""COMPUTED_VALUE"""),-0.659400579690923)</f>
        <v>-0.65940057969092303</v>
      </c>
      <c r="BT107" s="3">
        <f ca="1">IFERROR(__xludf.DUMMYFUNCTION("""COMPUTED_VALUE"""),-0.710602447798162)</f>
        <v>-0.71060244779816195</v>
      </c>
      <c r="BU107" s="3">
        <f ca="1">IFERROR(__xludf.DUMMYFUNCTION("""COMPUTED_VALUE"""),-0.731554673060087)</f>
        <v>-0.73155467306008704</v>
      </c>
      <c r="BV107" s="3">
        <f ca="1">IFERROR(__xludf.DUMMYFUNCTION("""COMPUTED_VALUE"""),-0.57460482822468)</f>
        <v>-0.57460482822467995</v>
      </c>
      <c r="BW107" s="3">
        <f ca="1">IFERROR(__xludf.DUMMYFUNCTION("""COMPUTED_VALUE"""),-0.580120012238504)</f>
        <v>-0.58012001223850396</v>
      </c>
      <c r="BX107" s="3">
        <f ca="1">IFERROR(__xludf.DUMMYFUNCTION("""COMPUTED_VALUE"""),-0.711285742880689)</f>
        <v>-0.71128574288068902</v>
      </c>
      <c r="BY107" s="3">
        <f ca="1">IFERROR(__xludf.DUMMYFUNCTION("""COMPUTED_VALUE"""),-0.691312862229932)</f>
        <v>-0.69131286222993205</v>
      </c>
      <c r="BZ107" s="3">
        <f ca="1">IFERROR(__xludf.DUMMYFUNCTION("""COMPUTED_VALUE"""),-0.681147071605491)</f>
        <v>-0.68114707160549104</v>
      </c>
      <c r="CA107" s="3">
        <f ca="1">IFERROR(__xludf.DUMMYFUNCTION("""COMPUTED_VALUE"""),-0.684664446408732)</f>
        <v>-0.68466444640873203</v>
      </c>
      <c r="CB107" s="3">
        <f ca="1">IFERROR(__xludf.DUMMYFUNCTION("""COMPUTED_VALUE"""),-0.621407419464154)</f>
        <v>-0.62140741946415401</v>
      </c>
      <c r="CC107" s="3">
        <f ca="1">IFERROR(__xludf.DUMMYFUNCTION("""COMPUTED_VALUE"""),-0.566569787125205)</f>
        <v>-0.566569787125205</v>
      </c>
      <c r="CD107" s="3">
        <f ca="1">IFERROR(__xludf.DUMMYFUNCTION("""COMPUTED_VALUE"""),-0.549219514943974)</f>
        <v>-0.54921951494397403</v>
      </c>
      <c r="CE107" s="3">
        <f ca="1">IFERROR(__xludf.DUMMYFUNCTION("""COMPUTED_VALUE"""),-0.685980342162795)</f>
        <v>-0.68598034216279502</v>
      </c>
      <c r="CF107" s="3">
        <f ca="1">IFERROR(__xludf.DUMMYFUNCTION("""COMPUTED_VALUE"""),-0.681233626675749)</f>
        <v>-0.68123362667574905</v>
      </c>
      <c r="CG107" s="3">
        <f ca="1">IFERROR(__xludf.DUMMYFUNCTION("""COMPUTED_VALUE"""),-0.683969903529185)</f>
        <v>-0.68396990352918496</v>
      </c>
      <c r="CH107" s="3">
        <f ca="1">IFERROR(__xludf.DUMMYFUNCTION("""COMPUTED_VALUE"""),-0.661112303078029)</f>
        <v>-0.66111230307802904</v>
      </c>
      <c r="CI107" s="3">
        <f ca="1">IFERROR(__xludf.DUMMYFUNCTION("""COMPUTED_VALUE"""),-0.627816231492097)</f>
        <v>-0.62781623149209698</v>
      </c>
      <c r="CJ107" s="3">
        <f ca="1">IFERROR(__xludf.DUMMYFUNCTION("""COMPUTED_VALUE"""),-0.558361620009477)</f>
        <v>-0.55836162000947698</v>
      </c>
      <c r="CK107" s="3">
        <f ca="1">IFERROR(__xludf.DUMMYFUNCTION("""COMPUTED_VALUE"""),-0.551763159675507)</f>
        <v>-0.55176315967550704</v>
      </c>
      <c r="CL107" s="3">
        <f ca="1">IFERROR(__xludf.DUMMYFUNCTION("""COMPUTED_VALUE"""),-0.684447907247641)</f>
        <v>-0.68444790724764104</v>
      </c>
      <c r="CM107" s="3">
        <f ca="1">IFERROR(__xludf.DUMMYFUNCTION("""COMPUTED_VALUE"""),-0.675488894325843)</f>
        <v>-0.67548889432584303</v>
      </c>
      <c r="CN107" s="3">
        <f ca="1">IFERROR(__xludf.DUMMYFUNCTION("""COMPUTED_VALUE"""),-0.677803209155232)</f>
        <v>-0.67780320915523196</v>
      </c>
      <c r="CO107" s="3">
        <f ca="1">IFERROR(__xludf.DUMMYFUNCTION("""COMPUTED_VALUE"""),-0.671822514998827)</f>
        <v>-0.67182251499882695</v>
      </c>
      <c r="CP107" s="3">
        <f ca="1">IFERROR(__xludf.DUMMYFUNCTION("""COMPUTED_VALUE"""),-0.636429101408443)</f>
        <v>-0.636429101408443</v>
      </c>
      <c r="CQ107" s="3">
        <f ca="1">IFERROR(__xludf.DUMMYFUNCTION("""COMPUTED_VALUE"""),-0.584533094910349)</f>
        <v>-0.58453309491034899</v>
      </c>
      <c r="CR107" s="3">
        <f ca="1">IFERROR(__xludf.DUMMYFUNCTION("""COMPUTED_VALUE"""),-0.571513467603407)</f>
        <v>-0.57151346760340704</v>
      </c>
      <c r="CS107" s="3">
        <f ca="1">IFERROR(__xludf.DUMMYFUNCTION("""COMPUTED_VALUE"""),-0.678934855693039)</f>
        <v>-0.67893485569303902</v>
      </c>
      <c r="CT107" s="3">
        <f ca="1">IFERROR(__xludf.DUMMYFUNCTION("""COMPUTED_VALUE"""),-0.669403181291854)</f>
        <v>-0.66940318129185405</v>
      </c>
      <c r="CU107" s="3">
        <f ca="1">IFERROR(__xludf.DUMMYFUNCTION("""COMPUTED_VALUE"""),-0.661933747062013)</f>
        <v>-0.66193374706201302</v>
      </c>
      <c r="CV107" s="3">
        <f ca="1">IFERROR(__xludf.DUMMYFUNCTION("""COMPUTED_VALUE"""),-0.677302928142765)</f>
        <v>-0.67730292814276505</v>
      </c>
      <c r="CW107" s="3">
        <f ca="1">IFERROR(__xludf.DUMMYFUNCTION("""COMPUTED_VALUE"""),-0.642016955376899)</f>
        <v>-0.64201695537689896</v>
      </c>
      <c r="CX107" s="3">
        <f ca="1">IFERROR(__xludf.DUMMYFUNCTION("""COMPUTED_VALUE"""),-0.609774383659584)</f>
        <v>-0.60977438365958403</v>
      </c>
      <c r="CY107" s="3">
        <f ca="1">IFERROR(__xludf.DUMMYFUNCTION("""COMPUTED_VALUE"""),-0.603077755975446)</f>
        <v>-0.60307775597544599</v>
      </c>
      <c r="CZ107" s="3">
        <f ca="1">IFERROR(__xludf.DUMMYFUNCTION("""COMPUTED_VALUE"""),-0.715054415130335)</f>
        <v>-0.71505441513033496</v>
      </c>
      <c r="DA107" s="3">
        <f ca="1">IFERROR(__xludf.DUMMYFUNCTION("""COMPUTED_VALUE"""),-0.620887456935346)</f>
        <v>-0.62088745693534597</v>
      </c>
      <c r="DB107" s="3">
        <f ca="1">IFERROR(__xludf.DUMMYFUNCTION("""COMPUTED_VALUE"""),-0.568743418577833)</f>
        <v>-0.56874341857783295</v>
      </c>
      <c r="DC107" s="3">
        <f ca="1">IFERROR(__xludf.DUMMYFUNCTION("""COMPUTED_VALUE"""),-0.641084735594486)</f>
        <v>-0.64108473559448598</v>
      </c>
      <c r="DD107" s="3">
        <f ca="1">IFERROR(__xludf.DUMMYFUNCTION("""COMPUTED_VALUE"""),-0.635637251326733)</f>
        <v>-0.63563725132673299</v>
      </c>
      <c r="DE107" s="3">
        <f ca="1">IFERROR(__xludf.DUMMYFUNCTION("""COMPUTED_VALUE"""),-0.613025431632227)</f>
        <v>-0.613025431632227</v>
      </c>
      <c r="DF107" s="3">
        <f ca="1">IFERROR(__xludf.DUMMYFUNCTION("""COMPUTED_VALUE"""),-0.672864873669043)</f>
        <v>-0.67286487366904302</v>
      </c>
      <c r="DG107" s="3">
        <f ca="1">IFERROR(__xludf.DUMMYFUNCTION("""COMPUTED_VALUE"""),-0.819773270313101)</f>
        <v>-0.81977327031310099</v>
      </c>
      <c r="DH107" s="3">
        <f ca="1">IFERROR(__xludf.DUMMYFUNCTION("""COMPUTED_VALUE"""),-0.634706106914186)</f>
        <v>-0.63470610691418605</v>
      </c>
      <c r="DI107" s="3">
        <f ca="1">IFERROR(__xludf.DUMMYFUNCTION("""COMPUTED_VALUE"""),-0.515668711534788)</f>
        <v>-0.51566871153478799</v>
      </c>
      <c r="DJ107" s="3">
        <f ca="1">IFERROR(__xludf.DUMMYFUNCTION("""COMPUTED_VALUE"""),-0.609941779110258)</f>
        <v>-0.60994177911025804</v>
      </c>
      <c r="DK107" s="3">
        <f ca="1">IFERROR(__xludf.DUMMYFUNCTION("""COMPUTED_VALUE"""),-0.605990291802804)</f>
        <v>-0.60599029180280395</v>
      </c>
      <c r="DL107" s="3">
        <f ca="1">IFERROR(__xludf.DUMMYFUNCTION("""COMPUTED_VALUE"""),-0.577486837848806)</f>
        <v>-0.57748683784880595</v>
      </c>
      <c r="DM107" s="3">
        <f ca="1">IFERROR(__xludf.DUMMYFUNCTION("""COMPUTED_VALUE"""),-0.57080848674638)</f>
        <v>-0.57080848674637996</v>
      </c>
      <c r="DN107" s="3">
        <f ca="1">IFERROR(__xludf.DUMMYFUNCTION("""COMPUTED_VALUE"""),-0.648762289449189)</f>
        <v>-0.64876228944918901</v>
      </c>
      <c r="DO107" s="3">
        <f ca="1">IFERROR(__xludf.DUMMYFUNCTION("""COMPUTED_VALUE"""),-0.654862358104447)</f>
        <v>-0.65486235810444704</v>
      </c>
      <c r="DP107" s="3">
        <f ca="1">IFERROR(__xludf.DUMMYFUNCTION("""COMPUTED_VALUE"""),-0.610451853410066)</f>
        <v>-0.61045185341006603</v>
      </c>
      <c r="DQ107" s="3">
        <f ca="1">IFERROR(__xludf.DUMMYFUNCTION("""COMPUTED_VALUE"""),-0.649219825156194)</f>
        <v>-0.64921982515619403</v>
      </c>
      <c r="DR107" s="3">
        <f ca="1">IFERROR(__xludf.DUMMYFUNCTION("""COMPUTED_VALUE"""),-0.680161934185922)</f>
        <v>-0.68016193418592197</v>
      </c>
      <c r="DS107" s="3">
        <f ca="1">IFERROR(__xludf.DUMMYFUNCTION("""COMPUTED_VALUE"""),-0.582540441803364)</f>
        <v>-0.58254044180336395</v>
      </c>
      <c r="DT107" s="3">
        <f ca="1">IFERROR(__xludf.DUMMYFUNCTION("""COMPUTED_VALUE"""),-0.603305025746802)</f>
        <v>-0.603305025746802</v>
      </c>
      <c r="DU107" s="3">
        <f ca="1">IFERROR(__xludf.DUMMYFUNCTION("""COMPUTED_VALUE"""),-0.706560204607113)</f>
        <v>-0.706560204607113</v>
      </c>
      <c r="DV107" s="3">
        <f ca="1">IFERROR(__xludf.DUMMYFUNCTION("""COMPUTED_VALUE"""),-0.696597532935821)</f>
        <v>-0.69659753293582105</v>
      </c>
      <c r="DW107" s="3">
        <f ca="1">IFERROR(__xludf.DUMMYFUNCTION("""COMPUTED_VALUE"""),-0.71287699498817)</f>
        <v>-0.71287699498817003</v>
      </c>
      <c r="DX107" s="3">
        <f ca="1">IFERROR(__xludf.DUMMYFUNCTION("""COMPUTED_VALUE"""),-0.699703075232307)</f>
        <v>-0.69970307523230701</v>
      </c>
      <c r="DY107" s="3">
        <f ca="1">IFERROR(__xludf.DUMMYFUNCTION("""COMPUTED_VALUE"""),-0.662985353560464)</f>
        <v>-0.66298535356046395</v>
      </c>
      <c r="DZ107" s="3">
        <f ca="1">IFERROR(__xludf.DUMMYFUNCTION("""COMPUTED_VALUE"""),-0.58258105649106)</f>
        <v>-0.58258105649105996</v>
      </c>
      <c r="EA107" s="3">
        <f ca="1">IFERROR(__xludf.DUMMYFUNCTION("""COMPUTED_VALUE"""),-0.629542743167327)</f>
        <v>-0.62954274316732695</v>
      </c>
      <c r="EB107" s="3">
        <f ca="1">IFERROR(__xludf.DUMMYFUNCTION("""COMPUTED_VALUE"""),-0.690191623825757)</f>
        <v>-0.69019162382575705</v>
      </c>
      <c r="EC107" s="3">
        <f ca="1">IFERROR(__xludf.DUMMYFUNCTION("""COMPUTED_VALUE"""),-0.650449380650989)</f>
        <v>-0.65044938065098901</v>
      </c>
      <c r="ED107" s="3">
        <f ca="1">IFERROR(__xludf.DUMMYFUNCTION("""COMPUTED_VALUE"""),-0.711921275233623)</f>
        <v>-0.71192127523362303</v>
      </c>
      <c r="EE107" s="3">
        <f ca="1">IFERROR(__xludf.DUMMYFUNCTION("""COMPUTED_VALUE"""),-0.699509067488634)</f>
        <v>-0.69950906748863395</v>
      </c>
      <c r="EF107" s="3">
        <f ca="1">IFERROR(__xludf.DUMMYFUNCTION("""COMPUTED_VALUE"""),-0.697809699959353)</f>
        <v>-0.69780969995935305</v>
      </c>
      <c r="EG107" s="3">
        <f ca="1">IFERROR(__xludf.DUMMYFUNCTION("""COMPUTED_VALUE"""),-0.568439544928412)</f>
        <v>-0.56843954492841198</v>
      </c>
      <c r="EH107" s="3">
        <f ca="1">IFERROR(__xludf.DUMMYFUNCTION("""COMPUTED_VALUE"""),-0.602990066270897)</f>
        <v>-0.60299006627089702</v>
      </c>
      <c r="EI107" s="3">
        <f ca="1">IFERROR(__xludf.DUMMYFUNCTION("""COMPUTED_VALUE"""),-0.724548673048033)</f>
        <v>-0.72454867304803305</v>
      </c>
      <c r="EJ107" s="3">
        <f ca="1">IFERROR(__xludf.DUMMYFUNCTION("""COMPUTED_VALUE"""),-0.762270865330407)</f>
        <v>-0.762270865330407</v>
      </c>
      <c r="EK107" s="3">
        <f ca="1">IFERROR(__xludf.DUMMYFUNCTION("""COMPUTED_VALUE"""),-0.698708471790433)</f>
        <v>-0.69870847179043305</v>
      </c>
      <c r="EL107" s="3">
        <f ca="1">IFERROR(__xludf.DUMMYFUNCTION("""COMPUTED_VALUE"""),-0.693751231773646)</f>
        <v>-0.69375123177364595</v>
      </c>
      <c r="EM107" s="3">
        <f ca="1">IFERROR(__xludf.DUMMYFUNCTION("""COMPUTED_VALUE"""),-0.683259165031107)</f>
        <v>-0.68325916503110695</v>
      </c>
      <c r="EN107" s="3">
        <f ca="1">IFERROR(__xludf.DUMMYFUNCTION("""COMPUTED_VALUE"""),-0.602972440020596)</f>
        <v>-0.60297244002059602</v>
      </c>
      <c r="EO107" s="3">
        <f ca="1">IFERROR(__xludf.DUMMYFUNCTION("""COMPUTED_VALUE"""),-0.605354921958206)</f>
        <v>-0.60535492195820595</v>
      </c>
      <c r="EP107" s="3">
        <f ca="1">IFERROR(__xludf.DUMMYFUNCTION("""COMPUTED_VALUE"""),-0.683738447065642)</f>
        <v>-0.68373844706564202</v>
      </c>
      <c r="EQ107" s="3">
        <f ca="1">IFERROR(__xludf.DUMMYFUNCTION("""COMPUTED_VALUE"""),-0.654460123133481)</f>
        <v>-0.65446012313348101</v>
      </c>
      <c r="ER107" s="3">
        <f ca="1">IFERROR(__xludf.DUMMYFUNCTION("""COMPUTED_VALUE"""),-0.69932914587052)</f>
        <v>-0.69932914587051997</v>
      </c>
      <c r="ES107" s="3">
        <f ca="1">IFERROR(__xludf.DUMMYFUNCTION("""COMPUTED_VALUE"""),-0.682808582765585)</f>
        <v>-0.68280858276558498</v>
      </c>
      <c r="ET107" s="3">
        <f ca="1">IFERROR(__xludf.DUMMYFUNCTION("""COMPUTED_VALUE"""),-0.663916597690458)</f>
        <v>-0.66391659769045797</v>
      </c>
      <c r="EU107" s="3">
        <f ca="1">IFERROR(__xludf.DUMMYFUNCTION("""COMPUTED_VALUE"""),-0.595729022369629)</f>
        <v>-0.59572902236962899</v>
      </c>
      <c r="EV107" s="3">
        <f ca="1">IFERROR(__xludf.DUMMYFUNCTION("""COMPUTED_VALUE"""),-0.577798395985948)</f>
        <v>-0.57779839598594795</v>
      </c>
      <c r="EW107" s="3">
        <f ca="1">IFERROR(__xludf.DUMMYFUNCTION("""COMPUTED_VALUE"""),-0.713283518207697)</f>
        <v>-0.71328351820769698</v>
      </c>
      <c r="EX107" s="3">
        <f ca="1">IFERROR(__xludf.DUMMYFUNCTION("""COMPUTED_VALUE"""),-0.725773434835528)</f>
        <v>-0.72577343483552803</v>
      </c>
      <c r="EY107" s="3">
        <f ca="1">IFERROR(__xludf.DUMMYFUNCTION("""COMPUTED_VALUE"""),-0.712828121707113)</f>
        <v>-0.71282812170711296</v>
      </c>
      <c r="EZ107" s="3">
        <f ca="1">IFERROR(__xludf.DUMMYFUNCTION("""COMPUTED_VALUE"""),-0.650891143281595)</f>
        <v>-0.65089114328159503</v>
      </c>
      <c r="FA107" s="3">
        <f ca="1">IFERROR(__xludf.DUMMYFUNCTION("""COMPUTED_VALUE"""),-0.632152004539895)</f>
        <v>-0.63215200453989495</v>
      </c>
      <c r="FB107" s="3">
        <f ca="1">IFERROR(__xludf.DUMMYFUNCTION("""COMPUTED_VALUE"""),-0.555057139181834)</f>
        <v>-0.55505713918183397</v>
      </c>
      <c r="FC107" s="3">
        <f ca="1">IFERROR(__xludf.DUMMYFUNCTION("""COMPUTED_VALUE"""),-0.561505668145507)</f>
        <v>-0.56150566814550695</v>
      </c>
      <c r="FD107" s="3">
        <f ca="1">IFERROR(__xludf.DUMMYFUNCTION("""COMPUTED_VALUE"""),-0.699722018600725)</f>
        <v>-0.69972201860072503</v>
      </c>
      <c r="FE107" s="3">
        <f ca="1">IFERROR(__xludf.DUMMYFUNCTION("""COMPUTED_VALUE"""),-0.685462146159733)</f>
        <v>-0.685462146159733</v>
      </c>
      <c r="FF107" s="3">
        <f ca="1">IFERROR(__xludf.DUMMYFUNCTION("""COMPUTED_VALUE"""),-0.684508223046357)</f>
        <v>-0.68450822304635695</v>
      </c>
      <c r="FG107" s="3">
        <f ca="1">IFERROR(__xludf.DUMMYFUNCTION("""COMPUTED_VALUE"""),-0.675899415390078)</f>
        <v>-0.67589941539007803</v>
      </c>
      <c r="FH107" s="3">
        <f ca="1">IFERROR(__xludf.DUMMYFUNCTION("""COMPUTED_VALUE"""),-0.649768727628123)</f>
        <v>-0.64976872762812299</v>
      </c>
      <c r="FI107" s="3">
        <f ca="1">IFERROR(__xludf.DUMMYFUNCTION("""COMPUTED_VALUE"""),-0.586679890722965)</f>
        <v>-0.586679890722965</v>
      </c>
      <c r="FJ107" s="3">
        <f ca="1">IFERROR(__xludf.DUMMYFUNCTION("""COMPUTED_VALUE"""),-0.594309572475506)</f>
        <v>-0.59430957247550598</v>
      </c>
      <c r="FK107" s="3">
        <f ca="1">IFERROR(__xludf.DUMMYFUNCTION("""COMPUTED_VALUE"""),-0.72651753244175)</f>
        <v>-0.72651753244174999</v>
      </c>
      <c r="FL107" s="3">
        <f ca="1">IFERROR(__xludf.DUMMYFUNCTION("""COMPUTED_VALUE"""),-0.741262828348772)</f>
        <v>-0.741262828348772</v>
      </c>
      <c r="FM107" s="3">
        <f ca="1">IFERROR(__xludf.DUMMYFUNCTION("""COMPUTED_VALUE"""),-0.706736290827185)</f>
        <v>-0.70673629082718503</v>
      </c>
      <c r="FN107" s="3">
        <f ca="1">IFERROR(__xludf.DUMMYFUNCTION("""COMPUTED_VALUE"""),-0.680941578194235)</f>
        <v>-0.68094157819423495</v>
      </c>
      <c r="FO107" s="3">
        <f ca="1">IFERROR(__xludf.DUMMYFUNCTION("""COMPUTED_VALUE"""),-0.675847813394609)</f>
        <v>-0.67584781339460898</v>
      </c>
      <c r="FP107" s="3">
        <f ca="1">IFERROR(__xludf.DUMMYFUNCTION("""COMPUTED_VALUE"""),-0.595048144243204)</f>
        <v>-0.59504814424320396</v>
      </c>
      <c r="FQ107" s="3">
        <f ca="1">IFERROR(__xludf.DUMMYFUNCTION("""COMPUTED_VALUE"""),-0.577703872587325)</f>
        <v>-0.57770387258732503</v>
      </c>
      <c r="FR107" s="3">
        <f ca="1">IFERROR(__xludf.DUMMYFUNCTION("""COMPUTED_VALUE"""),-0.700266465537395)</f>
        <v>-0.70026646553739502</v>
      </c>
      <c r="FS107" s="3">
        <f ca="1">IFERROR(__xludf.DUMMYFUNCTION("""COMPUTED_VALUE"""),-0.689489451389522)</f>
        <v>-0.689489451389522</v>
      </c>
      <c r="FT107" s="3">
        <f ca="1">IFERROR(__xludf.DUMMYFUNCTION("""COMPUTED_VALUE"""),-0.688378292139414)</f>
        <v>-0.68837829213941404</v>
      </c>
      <c r="FU107" s="3">
        <f ca="1">IFERROR(__xludf.DUMMYFUNCTION("""COMPUTED_VALUE"""),-0.687874576655667)</f>
        <v>-0.68787457665566698</v>
      </c>
      <c r="FV107" s="3">
        <f ca="1">IFERROR(__xludf.DUMMYFUNCTION("""COMPUTED_VALUE"""),-0.651137588687163)</f>
        <v>-0.65113758868716298</v>
      </c>
      <c r="FW107" s="3">
        <f ca="1">IFERROR(__xludf.DUMMYFUNCTION("""COMPUTED_VALUE"""),-0.540864822374694)</f>
        <v>-0.54086482237469402</v>
      </c>
      <c r="FX107" s="3">
        <f ca="1">IFERROR(__xludf.DUMMYFUNCTION("""COMPUTED_VALUE"""),-0.577701879410248)</f>
        <v>-0.57770187941024798</v>
      </c>
      <c r="FY107" s="3">
        <f ca="1">IFERROR(__xludf.DUMMYFUNCTION("""COMPUTED_VALUE"""),-0.731668453613487)</f>
        <v>-0.73166845361348698</v>
      </c>
      <c r="FZ107" s="3">
        <f ca="1">IFERROR(__xludf.DUMMYFUNCTION("""COMPUTED_VALUE"""),-0.688217811187154)</f>
        <v>-0.68821781118715397</v>
      </c>
      <c r="GA107" s="3">
        <f ca="1">IFERROR(__xludf.DUMMYFUNCTION("""COMPUTED_VALUE"""),-0.67954731825913)</f>
        <v>-0.67954731825912995</v>
      </c>
      <c r="GB107" s="3">
        <f ca="1">IFERROR(__xludf.DUMMYFUNCTION("""COMPUTED_VALUE"""),-0.698729022187527)</f>
        <v>-0.69872902218752697</v>
      </c>
      <c r="GC107" s="3">
        <f ca="1">IFERROR(__xludf.DUMMYFUNCTION("""COMPUTED_VALUE"""),-0.693719151929445)</f>
        <v>-0.693719151929445</v>
      </c>
      <c r="GD107" s="3">
        <f ca="1">IFERROR(__xludf.DUMMYFUNCTION("""COMPUTED_VALUE"""),-0.568227128785609)</f>
        <v>-0.56822712878560899</v>
      </c>
      <c r="GE107" s="3">
        <f ca="1">IFERROR(__xludf.DUMMYFUNCTION("""COMPUTED_VALUE"""),-0.58822432957498)</f>
        <v>-0.58822432957498005</v>
      </c>
      <c r="GF107" s="3">
        <f ca="1">IFERROR(__xludf.DUMMYFUNCTION("""COMPUTED_VALUE"""),-0.694675454164882)</f>
        <v>-0.69467545416488197</v>
      </c>
      <c r="GG107" s="3">
        <f ca="1">IFERROR(__xludf.DUMMYFUNCTION("""COMPUTED_VALUE"""),-0.701617134657943)</f>
        <v>-0.70161713465794295</v>
      </c>
      <c r="GH107" s="3">
        <f ca="1">IFERROR(__xludf.DUMMYFUNCTION("""COMPUTED_VALUE"""),-0.687921154303623)</f>
        <v>-0.68792115430362299</v>
      </c>
      <c r="GI107" s="3">
        <f ca="1">IFERROR(__xludf.DUMMYFUNCTION("""COMPUTED_VALUE"""),-0.696649642374527)</f>
        <v>-0.69664964237452698</v>
      </c>
      <c r="GJ107" s="3">
        <f ca="1">IFERROR(__xludf.DUMMYFUNCTION("""COMPUTED_VALUE"""),-0.655741581604586)</f>
        <v>-0.65574158160458595</v>
      </c>
      <c r="GK107" s="3">
        <f ca="1">IFERROR(__xludf.DUMMYFUNCTION("""COMPUTED_VALUE"""),-0.570824243127998)</f>
        <v>-0.57082424312799795</v>
      </c>
      <c r="GL107" s="3">
        <f ca="1">IFERROR(__xludf.DUMMYFUNCTION("""COMPUTED_VALUE"""),-0.570210018972396)</f>
        <v>-0.57021001897239598</v>
      </c>
      <c r="GM107" s="3">
        <f ca="1">IFERROR(__xludf.DUMMYFUNCTION("""COMPUTED_VALUE"""),-0.684763966488378)</f>
        <v>-0.68476396648837801</v>
      </c>
      <c r="GN107" s="3">
        <f ca="1">IFERROR(__xludf.DUMMYFUNCTION("""COMPUTED_VALUE"""),-0.703168742747271)</f>
        <v>-0.70316874274727104</v>
      </c>
      <c r="GO107" s="3">
        <f ca="1">IFERROR(__xludf.DUMMYFUNCTION("""COMPUTED_VALUE"""),-0.712084124331597)</f>
        <v>-0.71208412433159696</v>
      </c>
      <c r="GP107" s="3">
        <f ca="1">IFERROR(__xludf.DUMMYFUNCTION("""COMPUTED_VALUE"""),-0.71875264845339)</f>
        <v>-0.71875264845339004</v>
      </c>
      <c r="GQ107" s="3">
        <f ca="1">IFERROR(__xludf.DUMMYFUNCTION("""COMPUTED_VALUE"""),-0.648290693285611)</f>
        <v>-0.64829069328561095</v>
      </c>
      <c r="GR107" s="3">
        <f ca="1">IFERROR(__xludf.DUMMYFUNCTION("""COMPUTED_VALUE"""),-0.57742502482094)</f>
        <v>-0.57742502482094005</v>
      </c>
      <c r="GS107" s="3">
        <f ca="1">IFERROR(__xludf.DUMMYFUNCTION("""COMPUTED_VALUE"""),-0.588153823065133)</f>
        <v>-0.58815382306513297</v>
      </c>
      <c r="GT107" s="3">
        <f ca="1">IFERROR(__xludf.DUMMYFUNCTION("""COMPUTED_VALUE"""),-0.676401131674363)</f>
        <v>-0.676401131674363</v>
      </c>
      <c r="GU107" s="3">
        <f ca="1">IFERROR(__xludf.DUMMYFUNCTION("""COMPUTED_VALUE"""),-0.694349288357154)</f>
        <v>-0.69434928835715404</v>
      </c>
      <c r="GV107" s="3">
        <f ca="1">IFERROR(__xludf.DUMMYFUNCTION("""COMPUTED_VALUE"""),-0.687536661495264)</f>
        <v>-0.68753666149526405</v>
      </c>
      <c r="GW107" s="3">
        <f ca="1">IFERROR(__xludf.DUMMYFUNCTION("""COMPUTED_VALUE"""),-0.679329981321031)</f>
        <v>-0.67932998132103095</v>
      </c>
      <c r="GX107" s="3">
        <f ca="1">IFERROR(__xludf.DUMMYFUNCTION("""COMPUTED_VALUE"""),-0.637282272401241)</f>
        <v>-0.63728227240124102</v>
      </c>
      <c r="GY107" s="3">
        <f ca="1">IFERROR(__xludf.DUMMYFUNCTION("""COMPUTED_VALUE"""),-0.56987548708874)</f>
        <v>-0.56987548708874003</v>
      </c>
      <c r="GZ107" s="3">
        <f ca="1">IFERROR(__xludf.DUMMYFUNCTION("""COMPUTED_VALUE"""),-0.556775064001154)</f>
        <v>-0.55677506400115395</v>
      </c>
      <c r="HA107" s="3">
        <f ca="1">IFERROR(__xludf.DUMMYFUNCTION("""COMPUTED_VALUE"""),-0.675032635382704)</f>
        <v>-0.67503263538270397</v>
      </c>
      <c r="HB107" s="3">
        <f ca="1">IFERROR(__xludf.DUMMYFUNCTION("""COMPUTED_VALUE"""),-0.706002743110925)</f>
        <v>-0.70600274311092504</v>
      </c>
      <c r="HC107" s="3">
        <f ca="1">IFERROR(__xludf.DUMMYFUNCTION("""COMPUTED_VALUE"""),-0.701375249882578)</f>
        <v>-0.70137524988257804</v>
      </c>
      <c r="HD107" s="3">
        <f ca="1">IFERROR(__xludf.DUMMYFUNCTION("""COMPUTED_VALUE"""),-0.697881830302)</f>
        <v>-0.69788183030200002</v>
      </c>
      <c r="HE107" s="3">
        <f ca="1">IFERROR(__xludf.DUMMYFUNCTION("""COMPUTED_VALUE"""),-0.661760394779185)</f>
        <v>-0.66176039477918502</v>
      </c>
      <c r="HF107" s="3">
        <f ca="1">IFERROR(__xludf.DUMMYFUNCTION("""COMPUTED_VALUE"""),-0.587042734021494)</f>
        <v>-0.58704273402149398</v>
      </c>
      <c r="HG107" s="3">
        <f ca="1">IFERROR(__xludf.DUMMYFUNCTION("""COMPUTED_VALUE"""),-0.572290026890333)</f>
        <v>-0.57229002689033304</v>
      </c>
      <c r="HH107" s="3">
        <f ca="1">IFERROR(__xludf.DUMMYFUNCTION("""COMPUTED_VALUE"""),-0.690977377854965)</f>
        <v>-0.69097737785496505</v>
      </c>
      <c r="HI107" s="3">
        <f ca="1">IFERROR(__xludf.DUMMYFUNCTION("""COMPUTED_VALUE"""),-0.713777119229206)</f>
        <v>-0.71377711922920595</v>
      </c>
      <c r="HJ107" s="3">
        <f ca="1">IFERROR(__xludf.DUMMYFUNCTION("""COMPUTED_VALUE"""),-0.698079570086951)</f>
        <v>-0.69807957008695098</v>
      </c>
      <c r="HK107" s="3">
        <f ca="1">IFERROR(__xludf.DUMMYFUNCTION("""COMPUTED_VALUE"""),-0.686872110538586)</f>
        <v>-0.68687211053858599</v>
      </c>
      <c r="HL107" s="3">
        <f ca="1">IFERROR(__xludf.DUMMYFUNCTION("""COMPUTED_VALUE"""),-0.564458946409563)</f>
        <v>-0.56445894640956296</v>
      </c>
      <c r="HM107" s="3">
        <f ca="1">IFERROR(__xludf.DUMMYFUNCTION("""COMPUTED_VALUE"""),-0.581135319217771)</f>
        <v>-0.58113531921777095</v>
      </c>
      <c r="HN107" s="3">
        <f ca="1">IFERROR(__xludf.DUMMYFUNCTION("""COMPUTED_VALUE"""),-0.561354637589301)</f>
        <v>-0.56135463758930104</v>
      </c>
      <c r="HO107" s="3">
        <f ca="1">IFERROR(__xludf.DUMMYFUNCTION("""COMPUTED_VALUE"""),-0.680034490956789)</f>
        <v>-0.68003449095678903</v>
      </c>
      <c r="HP107" s="3">
        <f ca="1">IFERROR(__xludf.DUMMYFUNCTION("""COMPUTED_VALUE"""),-0.691180905569707)</f>
        <v>-0.69118090556970702</v>
      </c>
      <c r="HQ107" s="3">
        <f ca="1">IFERROR(__xludf.DUMMYFUNCTION("""COMPUTED_VALUE"""),-0.696905568657287)</f>
        <v>-0.69690556865728703</v>
      </c>
      <c r="HR107" s="3">
        <f ca="1">IFERROR(__xludf.DUMMYFUNCTION("""COMPUTED_VALUE"""),-0.688091260245812)</f>
        <v>-0.68809126024581202</v>
      </c>
      <c r="HS107" s="3">
        <f ca="1">IFERROR(__xludf.DUMMYFUNCTION("""COMPUTED_VALUE"""),-0.626016043186504)</f>
        <v>-0.62601604318650395</v>
      </c>
      <c r="HT107" s="3">
        <f ca="1">IFERROR(__xludf.DUMMYFUNCTION("""COMPUTED_VALUE"""),-0.567279983873469)</f>
        <v>-0.56727998387346901</v>
      </c>
      <c r="HU107" s="3">
        <f ca="1">IFERROR(__xludf.DUMMYFUNCTION("""COMPUTED_VALUE"""),-0.607349696552689)</f>
        <v>-0.607349696552689</v>
      </c>
      <c r="HV107" s="3">
        <f ca="1">IFERROR(__xludf.DUMMYFUNCTION("""COMPUTED_VALUE"""),-0.669167169120039)</f>
        <v>-0.66916716912003904</v>
      </c>
      <c r="HW107" s="3">
        <f ca="1">IFERROR(__xludf.DUMMYFUNCTION("""COMPUTED_VALUE"""),-0.671339050193614)</f>
        <v>-0.67133905019361395</v>
      </c>
      <c r="HX107" s="3">
        <f ca="1">IFERROR(__xludf.DUMMYFUNCTION("""COMPUTED_VALUE"""),-0.664712290159707)</f>
        <v>-0.66471229015970701</v>
      </c>
      <c r="HY107" s="3">
        <f ca="1">IFERROR(__xludf.DUMMYFUNCTION("""COMPUTED_VALUE"""),-0.660679651799436)</f>
        <v>-0.660679651799436</v>
      </c>
      <c r="HZ107" s="3">
        <f ca="1">IFERROR(__xludf.DUMMYFUNCTION("""COMPUTED_VALUE"""),-0.593751691387473)</f>
        <v>-0.59375169138747297</v>
      </c>
      <c r="IA107" s="3">
        <f ca="1">IFERROR(__xludf.DUMMYFUNCTION("""COMPUTED_VALUE"""),-0.599107528973212)</f>
        <v>-0.59910752897321196</v>
      </c>
      <c r="IB107" s="3">
        <f ca="1">IFERROR(__xludf.DUMMYFUNCTION("""COMPUTED_VALUE"""),-0.579695326183527)</f>
        <v>-0.57969532618352704</v>
      </c>
      <c r="IC107" s="3">
        <f ca="1">IFERROR(__xludf.DUMMYFUNCTION("""COMPUTED_VALUE"""),-0.639952302970047)</f>
        <v>-0.63995230297004702</v>
      </c>
      <c r="ID107" s="3">
        <f ca="1">IFERROR(__xludf.DUMMYFUNCTION("""COMPUTED_VALUE"""),-0.646948980478272)</f>
        <v>-0.64694898047827198</v>
      </c>
      <c r="IE107" s="3">
        <f ca="1">IFERROR(__xludf.DUMMYFUNCTION("""COMPUTED_VALUE"""),-0.650643880562786)</f>
        <v>-0.65064388056278599</v>
      </c>
      <c r="IF107" s="3">
        <f ca="1">IFERROR(__xludf.DUMMYFUNCTION("""COMPUTED_VALUE"""),-0.635028310766074)</f>
        <v>-0.63502831076607402</v>
      </c>
      <c r="IG107" s="3">
        <f ca="1">IFERROR(__xludf.DUMMYFUNCTION("""COMPUTED_VALUE"""),-0.609837088135297)</f>
        <v>-0.60983708813529702</v>
      </c>
      <c r="IH107" s="3">
        <f ca="1">IFERROR(__xludf.DUMMYFUNCTION("""COMPUTED_VALUE"""),-0.608593081415881)</f>
        <v>-0.60859308141588098</v>
      </c>
      <c r="II107" s="3">
        <f ca="1">IFERROR(__xludf.DUMMYFUNCTION("""COMPUTED_VALUE"""),-0.572510456884424)</f>
        <v>-0.57251045688442403</v>
      </c>
      <c r="IJ107" s="3">
        <f ca="1">IFERROR(__xludf.DUMMYFUNCTION("""COMPUTED_VALUE"""),-0.600248323979335)</f>
        <v>-0.60024832397933503</v>
      </c>
      <c r="IK107" s="3">
        <f ca="1">IFERROR(__xludf.DUMMYFUNCTION("""COMPUTED_VALUE"""),-0.633982107466232)</f>
        <v>-0.63398210746623196</v>
      </c>
      <c r="IL107" s="3">
        <f ca="1">IFERROR(__xludf.DUMMYFUNCTION("""COMPUTED_VALUE"""),-0.617997388649403)</f>
        <v>-0.61799738864940301</v>
      </c>
      <c r="IM107" s="3">
        <f ca="1">IFERROR(__xludf.DUMMYFUNCTION("""COMPUTED_VALUE"""),-0.589338049090619)</f>
        <v>-0.58933804909061904</v>
      </c>
      <c r="IN107" s="3">
        <f ca="1">IFERROR(__xludf.DUMMYFUNCTION("""COMPUTED_VALUE"""),-0.573827089471662)</f>
        <v>-0.57382708947166206</v>
      </c>
      <c r="IO107" s="3">
        <f ca="1">IFERROR(__xludf.DUMMYFUNCTION("""COMPUTED_VALUE"""),-0.560202310456915)</f>
        <v>-0.56020231045691504</v>
      </c>
      <c r="IP107" s="3">
        <f ca="1">IFERROR(__xludf.DUMMYFUNCTION("""COMPUTED_VALUE"""),-0.578091057731642)</f>
        <v>-0.57809105773164204</v>
      </c>
      <c r="IQ107" s="3">
        <f ca="1">IFERROR(__xludf.DUMMYFUNCTION("""COMPUTED_VALUE"""),-0.623199503331735)</f>
        <v>-0.62319950333173502</v>
      </c>
      <c r="IR107" s="3">
        <f ca="1">IFERROR(__xludf.DUMMYFUNCTION("""COMPUTED_VALUE"""),-0.613804670046954)</f>
        <v>-0.61380467004695405</v>
      </c>
      <c r="IS107" s="3">
        <f ca="1">IFERROR(__xludf.DUMMYFUNCTION("""COMPUTED_VALUE"""),-0.568992288638038)</f>
        <v>-0.56899228863803797</v>
      </c>
      <c r="IT107" s="3">
        <f ca="1">IFERROR(__xludf.DUMMYFUNCTION("""COMPUTED_VALUE"""),-0.638523859978777)</f>
        <v>-0.63852385997877703</v>
      </c>
      <c r="IU107" s="3">
        <f ca="1">IFERROR(__xludf.DUMMYFUNCTION("""COMPUTED_VALUE"""),-0.58898319309249)</f>
        <v>-0.58898319309249003</v>
      </c>
      <c r="IV107" s="3">
        <f ca="1">IFERROR(__xludf.DUMMYFUNCTION("""COMPUTED_VALUE"""),-0.570616762286922)</f>
        <v>-0.57061676228692204</v>
      </c>
      <c r="IW107" s="3">
        <f ca="1">IFERROR(__xludf.DUMMYFUNCTION("""COMPUTED_VALUE"""),-0.558849718415619)</f>
        <v>-0.55884971841561903</v>
      </c>
      <c r="IX107" s="3">
        <f ca="1">IFERROR(__xludf.DUMMYFUNCTION("""COMPUTED_VALUE"""),-0.611241436776653)</f>
        <v>-0.61124143677665299</v>
      </c>
      <c r="IY107" s="3">
        <f ca="1">IFERROR(__xludf.DUMMYFUNCTION("""COMPUTED_VALUE"""),-0.614787674949481)</f>
        <v>-0.61478767494948094</v>
      </c>
      <c r="IZ107" s="3">
        <f ca="1">IFERROR(__xludf.DUMMYFUNCTION("""COMPUTED_VALUE"""),-0.601426074469347)</f>
        <v>-0.60142607446934704</v>
      </c>
      <c r="JA107" s="3">
        <f ca="1">IFERROR(__xludf.DUMMYFUNCTION("""COMPUTED_VALUE"""),-0.600546145374666)</f>
        <v>-0.600546145374666</v>
      </c>
      <c r="JB107" s="3">
        <f ca="1">IFERROR(__xludf.DUMMYFUNCTION("""COMPUTED_VALUE"""),-0.588165536425619)</f>
        <v>-0.58816553642561897</v>
      </c>
      <c r="JC107" s="3">
        <f ca="1">IFERROR(__xludf.DUMMYFUNCTION("""COMPUTED_VALUE"""),-0.565195615314211)</f>
        <v>-0.56519561531421103</v>
      </c>
      <c r="JD107" s="3">
        <f ca="1">IFERROR(__xludf.DUMMYFUNCTION("""COMPUTED_VALUE"""),-0.552305214761177)</f>
        <v>-0.552305214761177</v>
      </c>
      <c r="JE107" s="3">
        <f ca="1">IFERROR(__xludf.DUMMYFUNCTION("""COMPUTED_VALUE"""),-0.635246925432516)</f>
        <v>-0.63524692543251604</v>
      </c>
      <c r="JF107" s="3">
        <f ca="1">IFERROR(__xludf.DUMMYFUNCTION("""COMPUTED_VALUE"""),-0.631279858864832)</f>
        <v>-0.63127985886483196</v>
      </c>
      <c r="JG107" s="3">
        <f ca="1">IFERROR(__xludf.DUMMYFUNCTION("""COMPUTED_VALUE"""),-0.618453132620283)</f>
        <v>-0.61845313262028301</v>
      </c>
      <c r="JH107" s="3">
        <f ca="1">IFERROR(__xludf.DUMMYFUNCTION("""COMPUTED_VALUE"""),-0.590565325203764)</f>
        <v>-0.59056532520376404</v>
      </c>
      <c r="JI107" s="3">
        <f ca="1">IFERROR(__xludf.DUMMYFUNCTION("""COMPUTED_VALUE"""),-0.574486354214364)</f>
        <v>-0.574486354214364</v>
      </c>
      <c r="JJ107" s="3">
        <f ca="1">IFERROR(__xludf.DUMMYFUNCTION("""COMPUTED_VALUE"""),-0.540093485411733)</f>
        <v>-0.54009348541173297</v>
      </c>
      <c r="JK107" s="3">
        <f ca="1">IFERROR(__xludf.DUMMYFUNCTION("""COMPUTED_VALUE"""),-0.53408703561954)</f>
        <v>-0.53408703561953996</v>
      </c>
      <c r="JL107" s="3">
        <f ca="1">IFERROR(__xludf.DUMMYFUNCTION("""COMPUTED_VALUE"""),-0.589354639307208)</f>
        <v>-0.58935463930720799</v>
      </c>
      <c r="JM107" s="3">
        <f ca="1">IFERROR(__xludf.DUMMYFUNCTION("""COMPUTED_VALUE"""),-0.59243591669725)</f>
        <v>-0.59243591669725004</v>
      </c>
      <c r="JN107" s="3">
        <f ca="1">IFERROR(__xludf.DUMMYFUNCTION("""COMPUTED_VALUE"""),-0.597008308349563)</f>
        <v>-0.59700830834956298</v>
      </c>
      <c r="JO107" s="3">
        <f ca="1">IFERROR(__xludf.DUMMYFUNCTION("""COMPUTED_VALUE"""),-0.577095081848392)</f>
        <v>-0.57709508184839198</v>
      </c>
      <c r="JP107" s="3">
        <f ca="1">IFERROR(__xludf.DUMMYFUNCTION("""COMPUTED_VALUE"""),-0.560787729158721)</f>
        <v>-0.56078772915872099</v>
      </c>
      <c r="JQ107" s="3">
        <f ca="1">IFERROR(__xludf.DUMMYFUNCTION("""COMPUTED_VALUE"""),-0.50625864025562)</f>
        <v>-0.50625864025561995</v>
      </c>
      <c r="JR107" s="3">
        <f ca="1">IFERROR(__xludf.DUMMYFUNCTION("""COMPUTED_VALUE"""),-0.526713281248364)</f>
        <v>-0.52671328124836403</v>
      </c>
      <c r="JS107" s="3">
        <f ca="1">IFERROR(__xludf.DUMMYFUNCTION("""COMPUTED_VALUE"""),-0.659274437635298)</f>
        <v>-0.65927443763529803</v>
      </c>
      <c r="JT107" s="3">
        <f ca="1">IFERROR(__xludf.DUMMYFUNCTION("""COMPUTED_VALUE"""),-0.583103341810796)</f>
        <v>-0.58310334181079604</v>
      </c>
      <c r="JU107" s="3">
        <f ca="1">IFERROR(__xludf.DUMMYFUNCTION("""COMPUTED_VALUE"""),-0.629793286441423)</f>
        <v>-0.62979328644142296</v>
      </c>
      <c r="JV107" s="3">
        <f ca="1">IFERROR(__xludf.DUMMYFUNCTION("""COMPUTED_VALUE"""),-0.626928711830489)</f>
        <v>-0.62692871183048904</v>
      </c>
      <c r="JW107" s="3">
        <f ca="1">IFERROR(__xludf.DUMMYFUNCTION("""COMPUTED_VALUE"""),-0.621026894644873)</f>
        <v>-0.62102689464487304</v>
      </c>
      <c r="JX107" s="3">
        <f ca="1">IFERROR(__xludf.DUMMYFUNCTION("""COMPUTED_VALUE"""),-0.525266695737535)</f>
        <v>-0.52526669573753504</v>
      </c>
      <c r="JY107" s="3">
        <f ca="1">IFERROR(__xludf.DUMMYFUNCTION("""COMPUTED_VALUE"""),-0.504003428437363)</f>
        <v>-0.50400342843736301</v>
      </c>
      <c r="JZ107" s="3">
        <f ca="1">IFERROR(__xludf.DUMMYFUNCTION("""COMPUTED_VALUE"""),-0.600108577107936)</f>
        <v>-0.60010857710793597</v>
      </c>
      <c r="KA107" s="3">
        <f ca="1">IFERROR(__xludf.DUMMYFUNCTION("""COMPUTED_VALUE"""),-0.57781107965126)</f>
        <v>-0.57781107965126</v>
      </c>
      <c r="KB107" s="3">
        <f ca="1">IFERROR(__xludf.DUMMYFUNCTION("""COMPUTED_VALUE"""),-0.620700564375801)</f>
        <v>-0.62070056437580101</v>
      </c>
      <c r="KC107" s="3">
        <f ca="1">IFERROR(__xludf.DUMMYFUNCTION("""COMPUTED_VALUE"""),-0.610081477605625)</f>
        <v>-0.61008147760562503</v>
      </c>
      <c r="KD107" s="3">
        <f ca="1">IFERROR(__xludf.DUMMYFUNCTION("""COMPUTED_VALUE"""),-0.572525230418168)</f>
        <v>-0.57252523041816805</v>
      </c>
      <c r="KE107" s="3">
        <f ca="1">IFERROR(__xludf.DUMMYFUNCTION("""COMPUTED_VALUE"""),-0.581345443504483)</f>
        <v>-0.58134544350448303</v>
      </c>
      <c r="KF107" s="3">
        <f ca="1">IFERROR(__xludf.DUMMYFUNCTION("""COMPUTED_VALUE"""),-0.674694046431771)</f>
        <v>-0.674694046431771</v>
      </c>
      <c r="KG107" s="3">
        <f ca="1">IFERROR(__xludf.DUMMYFUNCTION("""COMPUTED_VALUE"""),-0.701273032287629)</f>
        <v>-0.70127303228762905</v>
      </c>
      <c r="KH107" s="3">
        <f ca="1">IFERROR(__xludf.DUMMYFUNCTION("""COMPUTED_VALUE"""),-0.728094380982769)</f>
        <v>-0.72809438098276902</v>
      </c>
      <c r="KI107" s="3">
        <f ca="1">IFERROR(__xludf.DUMMYFUNCTION("""COMPUTED_VALUE"""),-0.722105021095469)</f>
        <v>-0.72210502109546904</v>
      </c>
      <c r="KJ107" s="3">
        <f ca="1">IFERROR(__xludf.DUMMYFUNCTION("""COMPUTED_VALUE"""),-0.722126412149996)</f>
        <v>-0.72212641214999596</v>
      </c>
      <c r="KK107" s="3">
        <f ca="1">IFERROR(__xludf.DUMMYFUNCTION("""COMPUTED_VALUE"""),-0.688166798772458)</f>
        <v>-0.68816679877245801</v>
      </c>
      <c r="KL107" s="3">
        <f ca="1">IFERROR(__xludf.DUMMYFUNCTION("""COMPUTED_VALUE"""),-0.66174503935567)</f>
        <v>-0.66174503935566997</v>
      </c>
      <c r="KM107" s="3">
        <f ca="1">IFERROR(__xludf.DUMMYFUNCTION("""COMPUTED_VALUE"""),-0.716537461705122)</f>
        <v>-0.716537461705122</v>
      </c>
      <c r="KN107" s="3">
        <f ca="1">IFERROR(__xludf.DUMMYFUNCTION("""COMPUTED_VALUE"""),-0.747503407645201)</f>
        <v>-0.74750340764520096</v>
      </c>
      <c r="KO107" s="3">
        <f ca="1">IFERROR(__xludf.DUMMYFUNCTION("""COMPUTED_VALUE"""),-0.768909243000888)</f>
        <v>-0.76890924300088803</v>
      </c>
      <c r="KP107" s="3">
        <f ca="1">IFERROR(__xludf.DUMMYFUNCTION("""COMPUTED_VALUE"""),-0.76058339892768)</f>
        <v>-0.76058339892768001</v>
      </c>
      <c r="KQ107" s="3">
        <f ca="1">IFERROR(__xludf.DUMMYFUNCTION("""COMPUTED_VALUE"""),-0.758749558224965)</f>
        <v>-0.75874955822496504</v>
      </c>
      <c r="KR107" s="3">
        <f ca="1">IFERROR(__xludf.DUMMYFUNCTION("""COMPUTED_VALUE"""),-0.715030494361461)</f>
        <v>-0.71503049436146104</v>
      </c>
      <c r="KS107" s="3">
        <f ca="1">IFERROR(__xludf.DUMMYFUNCTION("""COMPUTED_VALUE"""),-0.685855036019333)</f>
        <v>-0.68585503601933295</v>
      </c>
      <c r="KT107" s="3">
        <f ca="1">IFERROR(__xludf.DUMMYFUNCTION("""COMPUTED_VALUE"""),-0.704353767640795)</f>
        <v>-0.70435376764079505</v>
      </c>
      <c r="KU107" s="3">
        <f ca="1">IFERROR(__xludf.DUMMYFUNCTION("""COMPUTED_VALUE"""),-0.756943842680601)</f>
        <v>-0.756943842680601</v>
      </c>
      <c r="KV107" s="3">
        <f ca="1">IFERROR(__xludf.DUMMYFUNCTION("""COMPUTED_VALUE"""),-0.770035796890403)</f>
        <v>-0.77003579689040302</v>
      </c>
      <c r="KW107" s="3">
        <f ca="1">IFERROR(__xludf.DUMMYFUNCTION("""COMPUTED_VALUE"""),-0.777237766596658)</f>
        <v>-0.777237766596658</v>
      </c>
      <c r="KX107" s="3">
        <f ca="1">IFERROR(__xludf.DUMMYFUNCTION("""COMPUTED_VALUE"""),-0.774749160834486)</f>
        <v>-0.77474916083448597</v>
      </c>
      <c r="KY107" s="3">
        <f ca="1">IFERROR(__xludf.DUMMYFUNCTION("""COMPUTED_VALUE"""),-0.749893904699461)</f>
        <v>-0.74989390469946104</v>
      </c>
      <c r="KZ107" s="3">
        <f ca="1">IFERROR(__xludf.DUMMYFUNCTION("""COMPUTED_VALUE"""),-0.728143508036206)</f>
        <v>-0.72814350803620598</v>
      </c>
      <c r="LA107" s="3">
        <f ca="1">IFERROR(__xludf.DUMMYFUNCTION("""COMPUTED_VALUE"""),-0.74286926969563)</f>
        <v>-0.74286926969563005</v>
      </c>
      <c r="LB107" s="3">
        <f ca="1">IFERROR(__xludf.DUMMYFUNCTION("""COMPUTED_VALUE"""),-0.812970329765631)</f>
        <v>-0.81297032976563099</v>
      </c>
      <c r="LC107" s="3">
        <f ca="1">IFERROR(__xludf.DUMMYFUNCTION("""COMPUTED_VALUE"""),-0.818730358400188)</f>
        <v>-0.81873035840018804</v>
      </c>
      <c r="LD107" s="3">
        <f ca="1">IFERROR(__xludf.DUMMYFUNCTION("""COMPUTED_VALUE"""),-0.824485970596349)</f>
        <v>-0.82448597059634898</v>
      </c>
      <c r="LE107" s="3">
        <f ca="1">IFERROR(__xludf.DUMMYFUNCTION("""COMPUTED_VALUE"""),-0.822870811915363)</f>
        <v>-0.82287081191536304</v>
      </c>
      <c r="LF107" s="3">
        <f ca="1">IFERROR(__xludf.DUMMYFUNCTION("""COMPUTED_VALUE"""),-0.786223193659878)</f>
        <v>-0.78622319365987803</v>
      </c>
      <c r="LG107" s="3">
        <f ca="1">IFERROR(__xludf.DUMMYFUNCTION("""COMPUTED_VALUE"""),-0.778543713678719)</f>
        <v>-0.778543713678719</v>
      </c>
      <c r="LH107" s="3">
        <f ca="1">IFERROR(__xludf.DUMMYFUNCTION("""COMPUTED_VALUE"""),-0.738486271973451)</f>
        <v>-0.73848627197345096</v>
      </c>
      <c r="LI107" s="3">
        <f ca="1">IFERROR(__xludf.DUMMYFUNCTION("""COMPUTED_VALUE"""),-0.818217585881669)</f>
        <v>-0.81821758588166904</v>
      </c>
      <c r="LJ107" s="3">
        <f ca="1">IFERROR(__xludf.DUMMYFUNCTION("""COMPUTED_VALUE"""),-0.824564575143733)</f>
        <v>-0.82456457514373305</v>
      </c>
      <c r="LK107" s="3">
        <f ca="1">IFERROR(__xludf.DUMMYFUNCTION("""COMPUTED_VALUE"""),-0.804604885333268)</f>
        <v>-0.80460488533326802</v>
      </c>
      <c r="LL107" s="3">
        <f ca="1">IFERROR(__xludf.DUMMYFUNCTION("""COMPUTED_VALUE"""),-0.776196936111369)</f>
        <v>-0.77619693611136897</v>
      </c>
      <c r="LM107" s="3">
        <f ca="1">IFERROR(__xludf.DUMMYFUNCTION("""COMPUTED_VALUE"""),-0.742291653875143)</f>
        <v>-0.74229165387514295</v>
      </c>
      <c r="LN107" s="3">
        <f ca="1">IFERROR(__xludf.DUMMYFUNCTION("""COMPUTED_VALUE"""),-0.721387590091661)</f>
        <v>-0.72138759009166098</v>
      </c>
      <c r="LO107" s="3">
        <f ca="1">IFERROR(__xludf.DUMMYFUNCTION("""COMPUTED_VALUE"""),-0.768575641060504)</f>
        <v>-0.76857564106050402</v>
      </c>
      <c r="LP107" s="3">
        <f ca="1">IFERROR(__xludf.DUMMYFUNCTION("""COMPUTED_VALUE"""),-0.83484980957246)</f>
        <v>-0.83484980957246002</v>
      </c>
      <c r="LQ107" s="3">
        <f ca="1">IFERROR(__xludf.DUMMYFUNCTION("""COMPUTED_VALUE"""),-0.813715221893671)</f>
        <v>-0.81371522189367096</v>
      </c>
      <c r="LR107" s="3">
        <f ca="1">IFERROR(__xludf.DUMMYFUNCTION("""COMPUTED_VALUE"""),-0.796591890201093)</f>
        <v>-0.796591890201093</v>
      </c>
      <c r="LS107" s="3">
        <f ca="1">IFERROR(__xludf.DUMMYFUNCTION("""COMPUTED_VALUE"""),-0.691252172989764)</f>
        <v>-0.69125217298976405</v>
      </c>
      <c r="LT107" s="3">
        <f ca="1">IFERROR(__xludf.DUMMYFUNCTION("""COMPUTED_VALUE"""),-0.60601860910015)</f>
        <v>-0.60601860910015004</v>
      </c>
      <c r="LU107" s="3">
        <f ca="1">IFERROR(__xludf.DUMMYFUNCTION("""COMPUTED_VALUE"""),-0.557586695700653)</f>
        <v>-0.557586695700653</v>
      </c>
      <c r="LV107" s="3">
        <f ca="1">IFERROR(__xludf.DUMMYFUNCTION("""COMPUTED_VALUE"""),-0.61192681551034)</f>
        <v>-0.61192681551034001</v>
      </c>
      <c r="LW107" s="3">
        <f ca="1">IFERROR(__xludf.DUMMYFUNCTION("""COMPUTED_VALUE"""),-0.678084671110149)</f>
        <v>-0.67808467111014903</v>
      </c>
      <c r="LX107" s="3">
        <f ca="1">IFERROR(__xludf.DUMMYFUNCTION("""COMPUTED_VALUE"""),-0.696272746703334)</f>
        <v>-0.69627274670333394</v>
      </c>
      <c r="LY107" s="3">
        <f ca="1">IFERROR(__xludf.DUMMYFUNCTION("""COMPUTED_VALUE"""),-0.668255154055691)</f>
        <v>-0.66825515405569103</v>
      </c>
      <c r="LZ107" s="3">
        <f ca="1">IFERROR(__xludf.DUMMYFUNCTION("""COMPUTED_VALUE"""),-0.626309644353918)</f>
        <v>-0.626309644353918</v>
      </c>
      <c r="MA107" s="3">
        <f ca="1">IFERROR(__xludf.DUMMYFUNCTION("""COMPUTED_VALUE"""),-0.54042989390254)</f>
        <v>-0.54042989390254004</v>
      </c>
      <c r="MB107" s="3">
        <f ca="1">IFERROR(__xludf.DUMMYFUNCTION("""COMPUTED_VALUE"""),-0.579883270140417)</f>
        <v>-0.57988327014041696</v>
      </c>
      <c r="MC107" s="3">
        <f ca="1">IFERROR(__xludf.DUMMYFUNCTION("""COMPUTED_VALUE"""),-0.645789959217131)</f>
        <v>-0.645789959217131</v>
      </c>
      <c r="MD107" s="3">
        <f ca="1">IFERROR(__xludf.DUMMYFUNCTION("""COMPUTED_VALUE"""),-0.682566242340414)</f>
        <v>-0.68256624234041396</v>
      </c>
      <c r="ME107" s="3">
        <f ca="1">IFERROR(__xludf.DUMMYFUNCTION("""COMPUTED_VALUE"""),-0.594752836401679)</f>
        <v>-0.59475283640167897</v>
      </c>
      <c r="MF107" s="3">
        <f ca="1">IFERROR(__xludf.DUMMYFUNCTION("""COMPUTED_VALUE"""),-0.571063363163794)</f>
        <v>-0.57106336316379402</v>
      </c>
      <c r="MG107" s="3">
        <f ca="1">IFERROR(__xludf.DUMMYFUNCTION("""COMPUTED_VALUE"""),-0.630740221462456)</f>
        <v>-0.63074022146245601</v>
      </c>
      <c r="MH107" s="3">
        <f ca="1">IFERROR(__xludf.DUMMYFUNCTION("""COMPUTED_VALUE"""),-0.55159990393682)</f>
        <v>-0.55159990393682001</v>
      </c>
      <c r="MI107" s="3">
        <f ca="1">IFERROR(__xludf.DUMMYFUNCTION("""COMPUTED_VALUE"""),-0.508405791571695)</f>
        <v>-0.50840579157169496</v>
      </c>
      <c r="MJ107" s="3">
        <f ca="1">IFERROR(__xludf.DUMMYFUNCTION("""COMPUTED_VALUE"""),-0.542762974668261)</f>
        <v>-0.54276297466826096</v>
      </c>
      <c r="MK107" s="3">
        <f ca="1">IFERROR(__xludf.DUMMYFUNCTION("""COMPUTED_VALUE"""),-0.617817151498292)</f>
        <v>-0.61781715149829197</v>
      </c>
      <c r="ML107" s="3">
        <f ca="1">IFERROR(__xludf.DUMMYFUNCTION("""COMPUTED_VALUE"""),-0.604109602009215)</f>
        <v>-0.60410960200921504</v>
      </c>
      <c r="MM107" s="3">
        <f ca="1">IFERROR(__xludf.DUMMYFUNCTION("""COMPUTED_VALUE"""),-0.479080759261545)</f>
        <v>-0.47908075926154498</v>
      </c>
      <c r="MN107" s="3">
        <f ca="1">IFERROR(__xludf.DUMMYFUNCTION("""COMPUTED_VALUE"""),-0.470825114459059)</f>
        <v>-0.470825114459059</v>
      </c>
      <c r="MO107" s="3">
        <f ca="1">IFERROR(__xludf.DUMMYFUNCTION("""COMPUTED_VALUE"""),-0.51953342280798)</f>
        <v>-0.51953342280797998</v>
      </c>
      <c r="MP107" s="3">
        <f ca="1">IFERROR(__xludf.DUMMYFUNCTION("""COMPUTED_VALUE"""),-0.512941764775871)</f>
        <v>-0.51294176477587095</v>
      </c>
      <c r="MQ107" s="3">
        <f ca="1">IFERROR(__xludf.DUMMYFUNCTION("""COMPUTED_VALUE"""),-0.588856801154032)</f>
        <v>-0.58885680115403205</v>
      </c>
      <c r="MR107" s="3">
        <f ca="1">IFERROR(__xludf.DUMMYFUNCTION("""COMPUTED_VALUE"""),-0.664443800241625)</f>
        <v>-0.66444380024162497</v>
      </c>
      <c r="MS107" s="3">
        <f ca="1">IFERROR(__xludf.DUMMYFUNCTION("""COMPUTED_VALUE"""),-0.63732364138348)</f>
        <v>-0.63732364138347997</v>
      </c>
      <c r="MT107" s="3">
        <f ca="1">IFERROR(__xludf.DUMMYFUNCTION("""COMPUTED_VALUE"""),-0.653087126360645)</f>
        <v>-0.65308712636064503</v>
      </c>
      <c r="MU107" s="3">
        <f ca="1">IFERROR(__xludf.DUMMYFUNCTION("""COMPUTED_VALUE"""),-0.63176998279371)</f>
        <v>-0.63176998279370999</v>
      </c>
      <c r="MV107" s="3">
        <f ca="1">IFERROR(__xludf.DUMMYFUNCTION("""COMPUTED_VALUE"""),-0.55648305542021)</f>
        <v>-0.55648305542021004</v>
      </c>
      <c r="MW107" s="3">
        <f ca="1">IFERROR(__xludf.DUMMYFUNCTION("""COMPUTED_VALUE"""),-0.548271406588485)</f>
        <v>-0.54827140658848506</v>
      </c>
      <c r="MX107" s="3">
        <f ca="1">IFERROR(__xludf.DUMMYFUNCTION("""COMPUTED_VALUE"""),-0.614956974564942)</f>
        <v>-0.61495697456494203</v>
      </c>
      <c r="MY107" s="3">
        <f ca="1">IFERROR(__xludf.DUMMYFUNCTION("""COMPUTED_VALUE"""),-0.632434955175996)</f>
        <v>-0.63243495517599602</v>
      </c>
      <c r="MZ107" s="3">
        <f ca="1">IFERROR(__xludf.DUMMYFUNCTION("""COMPUTED_VALUE"""),-0.611956304428533)</f>
        <v>-0.61195630442853299</v>
      </c>
      <c r="NA107" s="3">
        <f ca="1">IFERROR(__xludf.DUMMYFUNCTION("""COMPUTED_VALUE"""),-0.648010270723824)</f>
        <v>-0.648010270723824</v>
      </c>
      <c r="NB107" s="3">
        <f ca="1">IFERROR(__xludf.DUMMYFUNCTION("""COMPUTED_VALUE"""),-0.595908973036614)</f>
        <v>-0.59590897303661405</v>
      </c>
      <c r="NC107" s="3">
        <f ca="1">IFERROR(__xludf.DUMMYFUNCTION("""COMPUTED_VALUE"""),-0.620195581905097)</f>
        <v>-0.62019558190509705</v>
      </c>
      <c r="ND107" s="3">
        <f ca="1">IFERROR(__xludf.DUMMYFUNCTION("""COMPUTED_VALUE"""),-0.552915504001575)</f>
        <v>-0.55291550400157496</v>
      </c>
      <c r="NE107" s="3">
        <f ca="1">IFERROR(__xludf.DUMMYFUNCTION("""COMPUTED_VALUE"""),-0.550228687971482)</f>
        <v>-0.55022868797148194</v>
      </c>
      <c r="NF107" s="3">
        <f ca="1">IFERROR(__xludf.DUMMYFUNCTION("""COMPUTED_VALUE"""),-0.571098579199645)</f>
        <v>-0.57109857919964502</v>
      </c>
      <c r="NG107" s="3">
        <f ca="1">IFERROR(__xludf.DUMMYFUNCTION("""COMPUTED_VALUE"""),-0.484975341140564)</f>
        <v>-0.48497534114056401</v>
      </c>
      <c r="NH107" s="3">
        <f ca="1">IFERROR(__xludf.DUMMYFUNCTION("""COMPUTED_VALUE"""),-0.604853672568761)</f>
        <v>-0.60485367256876099</v>
      </c>
      <c r="NI107" s="3">
        <f ca="1">IFERROR(__xludf.DUMMYFUNCTION("""COMPUTED_VALUE"""),-0.597056824818237)</f>
        <v>-0.59705682481823696</v>
      </c>
      <c r="NJ107" s="3">
        <f ca="1">IFERROR(__xludf.DUMMYFUNCTION("""COMPUTED_VALUE"""),-0.574201956463282)</f>
        <v>-0.57420195646328198</v>
      </c>
      <c r="NK107" s="3">
        <f ca="1">IFERROR(__xludf.DUMMYFUNCTION("""COMPUTED_VALUE"""),-0.540007596675862)</f>
        <v>-0.54000759667586196</v>
      </c>
      <c r="NL107" s="3">
        <f ca="1">IFERROR(__xludf.DUMMYFUNCTION("""COMPUTED_VALUE"""),-0.581309611753797)</f>
        <v>-0.58130961175379703</v>
      </c>
      <c r="NM107" s="3">
        <f ca="1">IFERROR(__xludf.DUMMYFUNCTION("""COMPUTED_VALUE"""),-0.65009226275927)</f>
        <v>-0.65009226275927001</v>
      </c>
      <c r="NN107" s="3">
        <f ca="1">IFERROR(__xludf.DUMMYFUNCTION("""COMPUTED_VALUE"""),-0.638919883445914)</f>
        <v>-0.63891988344591399</v>
      </c>
      <c r="NO107" s="3">
        <f ca="1">IFERROR(__xludf.DUMMYFUNCTION("""COMPUTED_VALUE"""),-0.645476202658064)</f>
        <v>-0.64547620265806405</v>
      </c>
      <c r="NP107" s="3">
        <f ca="1">IFERROR(__xludf.DUMMYFUNCTION("""COMPUTED_VALUE"""),-0.651333650709047)</f>
        <v>-0.65133365070904703</v>
      </c>
      <c r="NQ107" s="3">
        <f ca="1">IFERROR(__xludf.DUMMYFUNCTION("""COMPUTED_VALUE"""),-0.619876180697838)</f>
        <v>-0.61987618069783801</v>
      </c>
      <c r="NR107" s="3">
        <f ca="1">IFERROR(__xludf.DUMMYFUNCTION("""COMPUTED_VALUE"""),-0.617874094054711)</f>
        <v>-0.61787409405471105</v>
      </c>
      <c r="NS107" s="3">
        <f ca="1">IFERROR(__xludf.DUMMYFUNCTION("""COMPUTED_VALUE"""),-0.646707007942851)</f>
        <v>-0.64670700794285096</v>
      </c>
      <c r="NT107" s="3">
        <f ca="1">IFERROR(__xludf.DUMMYFUNCTION("""COMPUTED_VALUE"""),-0.653138941532078)</f>
        <v>-0.65313894153207797</v>
      </c>
      <c r="NU107" s="3">
        <f ca="1">IFERROR(__xludf.DUMMYFUNCTION("""COMPUTED_VALUE"""),-0.645897596013829)</f>
        <v>-0.64589759601382901</v>
      </c>
      <c r="NV107" s="3">
        <f ca="1">IFERROR(__xludf.DUMMYFUNCTION("""COMPUTED_VALUE"""),-0.646503338846664)</f>
        <v>-0.646503338846664</v>
      </c>
      <c r="NW107" s="3">
        <f ca="1">IFERROR(__xludf.DUMMYFUNCTION("""COMPUTED_VALUE"""),-0.616153125919115)</f>
        <v>-0.61615312591911497</v>
      </c>
      <c r="NX107" s="3">
        <f ca="1">IFERROR(__xludf.DUMMYFUNCTION("""COMPUTED_VALUE"""),-0.633572807917688)</f>
        <v>-0.633572807917688</v>
      </c>
      <c r="NY107" s="3">
        <f ca="1">IFERROR(__xludf.DUMMYFUNCTION("""COMPUTED_VALUE"""),-0.488681717317734)</f>
        <v>-0.48868171731773402</v>
      </c>
      <c r="NZ107" s="3">
        <f ca="1">IFERROR(__xludf.DUMMYFUNCTION("""COMPUTED_VALUE"""),-0.515008921253673)</f>
        <v>-0.51500892125367304</v>
      </c>
      <c r="OA107" s="3">
        <f ca="1">IFERROR(__xludf.DUMMYFUNCTION("""COMPUTED_VALUE"""),-0.597688197716208)</f>
        <v>-0.59768819771620796</v>
      </c>
      <c r="OB107" s="3">
        <f ca="1">IFERROR(__xludf.DUMMYFUNCTION("""COMPUTED_VALUE"""),-0.600638442155843)</f>
        <v>-0.60063844215584306</v>
      </c>
      <c r="OC107" s="3">
        <f ca="1">IFERROR(__xludf.DUMMYFUNCTION("""COMPUTED_VALUE"""),-0.599413112950909)</f>
        <v>-0.59941311295090904</v>
      </c>
      <c r="OD107" s="3">
        <f ca="1">IFERROR(__xludf.DUMMYFUNCTION("""COMPUTED_VALUE"""),-0.572654653800966)</f>
        <v>-0.57265465380096603</v>
      </c>
      <c r="OE107" s="3">
        <f ca="1">IFERROR(__xludf.DUMMYFUNCTION("""COMPUTED_VALUE"""),-0.447280563932182)</f>
        <v>-0.44728056393218202</v>
      </c>
      <c r="OF107" s="3">
        <f ca="1">IFERROR(__xludf.DUMMYFUNCTION("""COMPUTED_VALUE"""),-0.272345876401773)</f>
        <v>-0.27234587640177299</v>
      </c>
      <c r="OG107" s="3">
        <f ca="1">IFERROR(__xludf.DUMMYFUNCTION("""COMPUTED_VALUE"""),-0.222275852705367)</f>
        <v>-0.22227585270536701</v>
      </c>
      <c r="OH107" s="3">
        <f ca="1">IFERROR(__xludf.DUMMYFUNCTION("""COMPUTED_VALUE"""),-0.282736227753065)</f>
        <v>-0.28273622775306501</v>
      </c>
      <c r="OI107" s="3">
        <f ca="1">IFERROR(__xludf.DUMMYFUNCTION("""COMPUTED_VALUE"""),-0.125052213550329)</f>
        <v>-0.125052213550329</v>
      </c>
      <c r="OJ107" s="3">
        <f ca="1">IFERROR(__xludf.DUMMYFUNCTION("""COMPUTED_VALUE"""),-0.09561046739103)</f>
        <v>-9.5610467391030005E-2</v>
      </c>
      <c r="OK107" s="3">
        <f ca="1">IFERROR(__xludf.DUMMYFUNCTION("""COMPUTED_VALUE"""),-0.100876354866842)</f>
        <v>-0.100876354866842</v>
      </c>
      <c r="OL107" s="3">
        <f ca="1">IFERROR(__xludf.DUMMYFUNCTION("""COMPUTED_VALUE"""),-0.021568539544699)</f>
        <v>-2.1568539544698999E-2</v>
      </c>
      <c r="OM107" s="3">
        <f ca="1">IFERROR(__xludf.DUMMYFUNCTION("""COMPUTED_VALUE"""),-0.0173806024668929)</f>
        <v>-1.7380602466892901E-2</v>
      </c>
      <c r="ON107" s="3">
        <f ca="1">IFERROR(__xludf.DUMMYFUNCTION("""COMPUTED_VALUE"""),-0.0295867568153002)</f>
        <v>-2.9586756815300201E-2</v>
      </c>
      <c r="OO107" s="3">
        <f ca="1">IFERROR(__xludf.DUMMYFUNCTION("""COMPUTED_VALUE"""),-0.0949026107214453)</f>
        <v>-9.4902610721445305E-2</v>
      </c>
      <c r="OP107" s="3">
        <f ca="1">IFERROR(__xludf.DUMMYFUNCTION("""COMPUTED_VALUE"""),-0.053439928485334)</f>
        <v>-5.3439928485334E-2</v>
      </c>
      <c r="OQ107" s="3">
        <f ca="1">IFERROR(__xludf.DUMMYFUNCTION("""COMPUTED_VALUE"""),-0.0656491052929971)</f>
        <v>-6.5649105292997098E-2</v>
      </c>
      <c r="OR107" s="3">
        <f ca="1">IFERROR(__xludf.DUMMYFUNCTION("""COMPUTED_VALUE"""),-0.106849129329312)</f>
        <v>-0.106849129329312</v>
      </c>
      <c r="OS107" s="3">
        <f ca="1">IFERROR(__xludf.DUMMYFUNCTION("""COMPUTED_VALUE"""),-0.077041631113554)</f>
        <v>-7.7041631113553999E-2</v>
      </c>
      <c r="OT107" s="3">
        <f ca="1">IFERROR(__xludf.DUMMYFUNCTION("""COMPUTED_VALUE"""),-0.0286717420524467)</f>
        <v>-2.86717420524467E-2</v>
      </c>
      <c r="OU107" s="3">
        <f ca="1">IFERROR(__xludf.DUMMYFUNCTION("""COMPUTED_VALUE"""),-0.030190906203957)</f>
        <v>-3.0190906203957001E-2</v>
      </c>
      <c r="OV107" s="3">
        <f ca="1">IFERROR(__xludf.DUMMYFUNCTION("""COMPUTED_VALUE"""),0.0411742663735419)</f>
        <v>4.11742663735419E-2</v>
      </c>
      <c r="OW107" s="3">
        <f ca="1">IFERROR(__xludf.DUMMYFUNCTION("""COMPUTED_VALUE"""),0.0171509055143752)</f>
        <v>1.71509055143752E-2</v>
      </c>
      <c r="OX107" s="3">
        <f ca="1">IFERROR(__xludf.DUMMYFUNCTION("""COMPUTED_VALUE"""),0.112980548967716)</f>
        <v>0.112980548967716</v>
      </c>
      <c r="OY107" s="3">
        <f ca="1">IFERROR(__xludf.DUMMYFUNCTION("""COMPUTED_VALUE"""),-0.0519858614162493)</f>
        <v>-5.19858614162493E-2</v>
      </c>
      <c r="OZ107" s="3">
        <f ca="1">IFERROR(__xludf.DUMMYFUNCTION("""COMPUTED_VALUE"""),-0.0154964281052506)</f>
        <v>-1.5496428105250599E-2</v>
      </c>
      <c r="PA107" s="3">
        <f ca="1">IFERROR(__xludf.DUMMYFUNCTION("""COMPUTED_VALUE"""),0.0292896269457132)</f>
        <v>2.9289626945713201E-2</v>
      </c>
      <c r="PB107" s="3">
        <f ca="1">IFERROR(__xludf.DUMMYFUNCTION("""COMPUTED_VALUE"""),0.00254940829859506)</f>
        <v>2.5494082985950601E-3</v>
      </c>
      <c r="PC107" s="3">
        <f ca="1">IFERROR(__xludf.DUMMYFUNCTION("""COMPUTED_VALUE"""),-0.0092529087562313)</f>
        <v>-9.2529087562313005E-3</v>
      </c>
      <c r="PD107" s="3">
        <f ca="1">IFERROR(__xludf.DUMMYFUNCTION("""COMPUTED_VALUE"""),-0.0086074684704871)</f>
        <v>-8.6074684704871007E-3</v>
      </c>
      <c r="PE107" s="3">
        <f ca="1">IFERROR(__xludf.DUMMYFUNCTION("""COMPUTED_VALUE"""),0.114695021796223)</f>
        <v>0.114695021796223</v>
      </c>
      <c r="PF107" s="3">
        <f ca="1">IFERROR(__xludf.DUMMYFUNCTION("""COMPUTED_VALUE"""),-0.0993117413752042)</f>
        <v>-9.9311741375204196E-2</v>
      </c>
      <c r="PG107" s="3">
        <f ca="1">IFERROR(__xludf.DUMMYFUNCTION("""COMPUTED_VALUE"""),-0.187454223083115)</f>
        <v>-0.18745422308311499</v>
      </c>
      <c r="PH107" s="3">
        <f ca="1">IFERROR(__xludf.DUMMYFUNCTION("""COMPUTED_VALUE"""),-0.00185884620782716)</f>
        <v>-1.8588462078271599E-3</v>
      </c>
      <c r="PI107" s="3">
        <f ca="1">IFERROR(__xludf.DUMMYFUNCTION("""COMPUTED_VALUE"""),-0.0269476353534775)</f>
        <v>-2.6947635353477498E-2</v>
      </c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</row>
    <row r="108" spans="1:477" ht="13">
      <c r="A108" s="1" t="str">
        <f ca="1">IFERROR(__xludf.DUMMYFUNCTION("""COMPUTED_VALUE"""),"PATCO")</f>
        <v>PATCO</v>
      </c>
      <c r="B108" s="1" t="str">
        <f ca="1">IFERROR(__xludf.DUMMYFUNCTION("""COMPUTED_VALUE"""),"Philadelphia")</f>
        <v>Philadelphia</v>
      </c>
      <c r="C108" s="1" t="str">
        <f ca="1">IFERROR(__xludf.DUMMYFUNCTION("""COMPUTED_VALUE"""),"United States")</f>
        <v>United States</v>
      </c>
      <c r="D108" s="1" t="str">
        <f ca="1">IFERROR(__xludf.DUMMYFUNCTION("""COMPUTED_VALUE"""),"Pennsylvania")</f>
        <v>Pennsylvania</v>
      </c>
      <c r="E108" s="3">
        <f ca="1">IFERROR(__xludf.DUMMYFUNCTION("""COMPUTED_VALUE"""),-0.230602622037367)</f>
        <v>-0.23060262203736701</v>
      </c>
      <c r="F108" s="3">
        <f ca="1">IFERROR(__xludf.DUMMYFUNCTION("""COMPUTED_VALUE"""),-0.25211077242413)</f>
        <v>-0.25211077242412999</v>
      </c>
      <c r="G108" s="3">
        <f ca="1">IFERROR(__xludf.DUMMYFUNCTION("""COMPUTED_VALUE"""),-0.278555768714255)</f>
        <v>-0.27855576871425503</v>
      </c>
      <c r="H108" s="3">
        <f ca="1">IFERROR(__xludf.DUMMYFUNCTION("""COMPUTED_VALUE"""),-0.349641216284879)</f>
        <v>-0.34964121628487899</v>
      </c>
      <c r="I108" s="3">
        <f ca="1">IFERROR(__xludf.DUMMYFUNCTION("""COMPUTED_VALUE"""),-0.305934087259325)</f>
        <v>-0.30593408725932503</v>
      </c>
      <c r="J108" s="3">
        <f ca="1">IFERROR(__xludf.DUMMYFUNCTION("""COMPUTED_VALUE"""),-0.320492052807254)</f>
        <v>-0.32049205280725401</v>
      </c>
      <c r="K108" s="3">
        <f ca="1">IFERROR(__xludf.DUMMYFUNCTION("""COMPUTED_VALUE"""),-0.356633509356006)</f>
        <v>-0.35663350935600602</v>
      </c>
      <c r="L108" s="3">
        <f ca="1">IFERROR(__xludf.DUMMYFUNCTION("""COMPUTED_VALUE"""),-0.29616927968329)</f>
        <v>-0.29616927968328999</v>
      </c>
      <c r="M108" s="3">
        <f ca="1">IFERROR(__xludf.DUMMYFUNCTION("""COMPUTED_VALUE"""),-0.418730913923802)</f>
        <v>-0.41873091392380202</v>
      </c>
      <c r="N108" s="3">
        <f ca="1">IFERROR(__xludf.DUMMYFUNCTION("""COMPUTED_VALUE"""),-0.439921840287582)</f>
        <v>-0.43992184028758202</v>
      </c>
      <c r="O108" s="3">
        <f ca="1">IFERROR(__xludf.DUMMYFUNCTION("""COMPUTED_VALUE"""),-0.453611411297376)</f>
        <v>-0.45361141129737598</v>
      </c>
      <c r="P108" s="3">
        <f ca="1">IFERROR(__xludf.DUMMYFUNCTION("""COMPUTED_VALUE"""),-0.377280625993447)</f>
        <v>-0.37728062599344703</v>
      </c>
      <c r="Q108" s="3">
        <f ca="1">IFERROR(__xludf.DUMMYFUNCTION("""COMPUTED_VALUE"""),-0.462580286713171)</f>
        <v>-0.46258028671317097</v>
      </c>
      <c r="R108" s="3">
        <f ca="1">IFERROR(__xludf.DUMMYFUNCTION("""COMPUTED_VALUE"""),-0.438056021020497)</f>
        <v>-0.43805602102049701</v>
      </c>
      <c r="S108" s="3">
        <f ca="1">IFERROR(__xludf.DUMMYFUNCTION("""COMPUTED_VALUE"""),-0.367609344926139)</f>
        <v>-0.367609344926139</v>
      </c>
      <c r="T108" s="3">
        <f ca="1">IFERROR(__xludf.DUMMYFUNCTION("""COMPUTED_VALUE"""),-0.490330017248374)</f>
        <v>-0.49033001724837399</v>
      </c>
      <c r="U108" s="3">
        <f ca="1">IFERROR(__xludf.DUMMYFUNCTION("""COMPUTED_VALUE"""),-0.620650396618467)</f>
        <v>-0.62065039661846699</v>
      </c>
      <c r="V108" s="3">
        <f ca="1">IFERROR(__xludf.DUMMYFUNCTION("""COMPUTED_VALUE"""),-0.641670231626075)</f>
        <v>-0.64167023162607495</v>
      </c>
      <c r="W108" s="3">
        <f ca="1">IFERROR(__xludf.DUMMYFUNCTION("""COMPUTED_VALUE"""),-0.557226890156577)</f>
        <v>-0.557226890156577</v>
      </c>
      <c r="X108" s="3">
        <f ca="1">IFERROR(__xludf.DUMMYFUNCTION("""COMPUTED_VALUE"""),-0.555497794149697)</f>
        <v>-0.55549779414969702</v>
      </c>
      <c r="Y108" s="3">
        <f ca="1">IFERROR(__xludf.DUMMYFUNCTION("""COMPUTED_VALUE"""),-0.514190218034282)</f>
        <v>-0.514190218034282</v>
      </c>
      <c r="Z108" s="3">
        <f ca="1">IFERROR(__xludf.DUMMYFUNCTION("""COMPUTED_VALUE"""),-0.5396054557005)</f>
        <v>-0.5396054557005</v>
      </c>
      <c r="AA108" s="3">
        <f ca="1">IFERROR(__xludf.DUMMYFUNCTION("""COMPUTED_VALUE"""),-0.594877083694586)</f>
        <v>-0.59487708369458603</v>
      </c>
      <c r="AB108" s="3">
        <f ca="1">IFERROR(__xludf.DUMMYFUNCTION("""COMPUTED_VALUE"""),-0.653868537782451)</f>
        <v>-0.65386853778245102</v>
      </c>
      <c r="AC108" s="3">
        <f ca="1">IFERROR(__xludf.DUMMYFUNCTION("""COMPUTED_VALUE"""),-0.641599940842694)</f>
        <v>-0.64159994084269401</v>
      </c>
      <c r="AD108" s="3">
        <f ca="1">IFERROR(__xludf.DUMMYFUNCTION("""COMPUTED_VALUE"""),-0.621005773300722)</f>
        <v>-0.62100577330072204</v>
      </c>
      <c r="AE108" s="3">
        <f ca="1">IFERROR(__xludf.DUMMYFUNCTION("""COMPUTED_VALUE"""),-0.59318637144928)</f>
        <v>-0.59318637144927999</v>
      </c>
      <c r="AF108" s="3">
        <f ca="1">IFERROR(__xludf.DUMMYFUNCTION("""COMPUTED_VALUE"""),-0.530465575384425)</f>
        <v>-0.53046557538442496</v>
      </c>
      <c r="AG108" s="3">
        <f ca="1">IFERROR(__xludf.DUMMYFUNCTION("""COMPUTED_VALUE"""),-0.549143907059414)</f>
        <v>-0.54914390705941396</v>
      </c>
      <c r="AH108" s="3">
        <f ca="1">IFERROR(__xludf.DUMMYFUNCTION("""COMPUTED_VALUE"""),-0.571857118078301)</f>
        <v>-0.57185711807830097</v>
      </c>
      <c r="AI108" s="3">
        <f ca="1">IFERROR(__xludf.DUMMYFUNCTION("""COMPUTED_VALUE"""),-0.562506174971116)</f>
        <v>-0.56250617497111599</v>
      </c>
      <c r="AJ108" s="3">
        <f ca="1">IFERROR(__xludf.DUMMYFUNCTION("""COMPUTED_VALUE"""),-0.621576383147928)</f>
        <v>-0.62157638314792796</v>
      </c>
      <c r="AK108" s="3">
        <f ca="1">IFERROR(__xludf.DUMMYFUNCTION("""COMPUTED_VALUE"""),-0.590409128486742)</f>
        <v>-0.59040912848674199</v>
      </c>
      <c r="AL108" s="3">
        <f ca="1">IFERROR(__xludf.DUMMYFUNCTION("""COMPUTED_VALUE"""),-0.579200945570426)</f>
        <v>-0.57920094557042601</v>
      </c>
      <c r="AM108" s="3">
        <f ca="1">IFERROR(__xludf.DUMMYFUNCTION("""COMPUTED_VALUE"""),-0.576501139188325)</f>
        <v>-0.57650113918832502</v>
      </c>
      <c r="AN108" s="3">
        <f ca="1">IFERROR(__xludf.DUMMYFUNCTION("""COMPUTED_VALUE"""),-0.595855654032714)</f>
        <v>-0.59585565403271401</v>
      </c>
      <c r="AO108" s="3">
        <f ca="1">IFERROR(__xludf.DUMMYFUNCTION("""COMPUTED_VALUE"""),-0.631184103249139)</f>
        <v>-0.63118410324913898</v>
      </c>
      <c r="AP108" s="3">
        <f ca="1">IFERROR(__xludf.DUMMYFUNCTION("""COMPUTED_VALUE"""),-0.649958637401678)</f>
        <v>-0.64995863740167803</v>
      </c>
      <c r="AQ108" s="3">
        <f ca="1">IFERROR(__xludf.DUMMYFUNCTION("""COMPUTED_VALUE"""),-0.639018890920822)</f>
        <v>-0.63901889092082198</v>
      </c>
      <c r="AR108" s="3">
        <f ca="1">IFERROR(__xludf.DUMMYFUNCTION("""COMPUTED_VALUE"""),-0.635116815242423)</f>
        <v>-0.63511681524242303</v>
      </c>
      <c r="AS108" s="3">
        <f ca="1">IFERROR(__xludf.DUMMYFUNCTION("""COMPUTED_VALUE"""),-0.608103298015694)</f>
        <v>-0.60810329801569396</v>
      </c>
      <c r="AT108" s="3">
        <f ca="1">IFERROR(__xludf.DUMMYFUNCTION("""COMPUTED_VALUE"""),-0.548149138969741)</f>
        <v>-0.54814913896974105</v>
      </c>
      <c r="AU108" s="3">
        <f ca="1">IFERROR(__xludf.DUMMYFUNCTION("""COMPUTED_VALUE"""),-0.541859921851876)</f>
        <v>-0.54185992185187604</v>
      </c>
      <c r="AV108" s="3">
        <f ca="1">IFERROR(__xludf.DUMMYFUNCTION("""COMPUTED_VALUE"""),-0.598766214396484)</f>
        <v>-0.59876621439648403</v>
      </c>
      <c r="AW108" s="3">
        <f ca="1">IFERROR(__xludf.DUMMYFUNCTION("""COMPUTED_VALUE"""),-0.570633157726208)</f>
        <v>-0.57063315772620804</v>
      </c>
      <c r="AX108" s="3">
        <f ca="1">IFERROR(__xludf.DUMMYFUNCTION("""COMPUTED_VALUE"""),-0.553216015591832)</f>
        <v>-0.55321601559183198</v>
      </c>
      <c r="AY108" s="3">
        <f ca="1">IFERROR(__xludf.DUMMYFUNCTION("""COMPUTED_VALUE"""),-0.638176457409877)</f>
        <v>-0.63817645740987705</v>
      </c>
      <c r="AZ108" s="3">
        <f ca="1">IFERROR(__xludf.DUMMYFUNCTION("""COMPUTED_VALUE"""),-0.615118053000315)</f>
        <v>-0.61511805300031497</v>
      </c>
      <c r="BA108" s="3">
        <f ca="1">IFERROR(__xludf.DUMMYFUNCTION("""COMPUTED_VALUE"""),-0.527701387475172)</f>
        <v>-0.52770138747517203</v>
      </c>
      <c r="BB108" s="3">
        <f ca="1">IFERROR(__xludf.DUMMYFUNCTION("""COMPUTED_VALUE"""),-0.569952652167545)</f>
        <v>-0.56995265216754498</v>
      </c>
      <c r="BC108" s="3">
        <f ca="1">IFERROR(__xludf.DUMMYFUNCTION("""COMPUTED_VALUE"""),-0.659139890384338)</f>
        <v>-0.65913989038433796</v>
      </c>
      <c r="BD108" s="3">
        <f ca="1">IFERROR(__xludf.DUMMYFUNCTION("""COMPUTED_VALUE"""),-0.682183584618961)</f>
        <v>-0.682183584618961</v>
      </c>
      <c r="BE108" s="3">
        <f ca="1">IFERROR(__xludf.DUMMYFUNCTION("""COMPUTED_VALUE"""),-0.625476197451679)</f>
        <v>-0.62547619745167904</v>
      </c>
      <c r="BF108" s="3">
        <f ca="1">IFERROR(__xludf.DUMMYFUNCTION("""COMPUTED_VALUE"""),-0.634079197105792)</f>
        <v>-0.63407919710579197</v>
      </c>
      <c r="BG108" s="3">
        <f ca="1">IFERROR(__xludf.DUMMYFUNCTION("""COMPUTED_VALUE"""),-0.612106883886993)</f>
        <v>-0.61210688388699297</v>
      </c>
      <c r="BH108" s="3">
        <f ca="1">IFERROR(__xludf.DUMMYFUNCTION("""COMPUTED_VALUE"""),-0.510083115354333)</f>
        <v>-0.51008311535433304</v>
      </c>
      <c r="BI108" s="3">
        <f ca="1">IFERROR(__xludf.DUMMYFUNCTION("""COMPUTED_VALUE"""),-0.550752515063376)</f>
        <v>-0.55075251506337597</v>
      </c>
      <c r="BJ108" s="3">
        <f ca="1">IFERROR(__xludf.DUMMYFUNCTION("""COMPUTED_VALUE"""),-0.638968459311097)</f>
        <v>-0.63896845931109703</v>
      </c>
      <c r="BK108" s="3">
        <f ca="1">IFERROR(__xludf.DUMMYFUNCTION("""COMPUTED_VALUE"""),-0.624219977994159)</f>
        <v>-0.62421997799415896</v>
      </c>
      <c r="BL108" s="3">
        <f ca="1">IFERROR(__xludf.DUMMYFUNCTION("""COMPUTED_VALUE"""),-0.662260871608125)</f>
        <v>-0.66226087160812497</v>
      </c>
      <c r="BM108" s="3">
        <f ca="1">IFERROR(__xludf.DUMMYFUNCTION("""COMPUTED_VALUE"""),-0.651103146998159)</f>
        <v>-0.65110314699815897</v>
      </c>
      <c r="BN108" s="3">
        <f ca="1">IFERROR(__xludf.DUMMYFUNCTION("""COMPUTED_VALUE"""),-0.57462770101555)</f>
        <v>-0.57462770101555005</v>
      </c>
      <c r="BO108" s="3">
        <f ca="1">IFERROR(__xludf.DUMMYFUNCTION("""COMPUTED_VALUE"""),-0.561103662038767)</f>
        <v>-0.56110366203876705</v>
      </c>
      <c r="BP108" s="3">
        <f ca="1">IFERROR(__xludf.DUMMYFUNCTION("""COMPUTED_VALUE"""),-0.573535465473177)</f>
        <v>-0.57353546547317702</v>
      </c>
      <c r="BQ108" s="3">
        <f ca="1">IFERROR(__xludf.DUMMYFUNCTION("""COMPUTED_VALUE"""),-0.623417086035896)</f>
        <v>-0.62341708603589596</v>
      </c>
      <c r="BR108" s="3">
        <f ca="1">IFERROR(__xludf.DUMMYFUNCTION("""COMPUTED_VALUE"""),-0.633504616412684)</f>
        <v>-0.63350461641268396</v>
      </c>
      <c r="BS108" s="3">
        <f ca="1">IFERROR(__xludf.DUMMYFUNCTION("""COMPUTED_VALUE"""),-0.638473378978824)</f>
        <v>-0.63847337897882395</v>
      </c>
      <c r="BT108" s="3">
        <f ca="1">IFERROR(__xludf.DUMMYFUNCTION("""COMPUTED_VALUE"""),-0.684521353198985)</f>
        <v>-0.68452135319898499</v>
      </c>
      <c r="BU108" s="3">
        <f ca="1">IFERROR(__xludf.DUMMYFUNCTION("""COMPUTED_VALUE"""),-0.740341632398709)</f>
        <v>-0.74034163239870898</v>
      </c>
      <c r="BV108" s="3">
        <f ca="1">IFERROR(__xludf.DUMMYFUNCTION("""COMPUTED_VALUE"""),-0.616853804075059)</f>
        <v>-0.61685380407505896</v>
      </c>
      <c r="BW108" s="3">
        <f ca="1">IFERROR(__xludf.DUMMYFUNCTION("""COMPUTED_VALUE"""),-0.600930567827012)</f>
        <v>-0.60093056782701204</v>
      </c>
      <c r="BX108" s="3">
        <f ca="1">IFERROR(__xludf.DUMMYFUNCTION("""COMPUTED_VALUE"""),-0.708404258791204)</f>
        <v>-0.70840425879120394</v>
      </c>
      <c r="BY108" s="3">
        <f ca="1">IFERROR(__xludf.DUMMYFUNCTION("""COMPUTED_VALUE"""),-0.684436416638345)</f>
        <v>-0.68443641663834498</v>
      </c>
      <c r="BZ108" s="3">
        <f ca="1">IFERROR(__xludf.DUMMYFUNCTION("""COMPUTED_VALUE"""),-0.676058618157495)</f>
        <v>-0.67605861815749502</v>
      </c>
      <c r="CA108" s="3">
        <f ca="1">IFERROR(__xludf.DUMMYFUNCTION("""COMPUTED_VALUE"""),-0.691709338462475)</f>
        <v>-0.69170933846247495</v>
      </c>
      <c r="CB108" s="3">
        <f ca="1">IFERROR(__xludf.DUMMYFUNCTION("""COMPUTED_VALUE"""),-0.608579815725985)</f>
        <v>-0.60857981572598496</v>
      </c>
      <c r="CC108" s="3">
        <f ca="1">IFERROR(__xludf.DUMMYFUNCTION("""COMPUTED_VALUE"""),-0.614929517265493)</f>
        <v>-0.61492951726549305</v>
      </c>
      <c r="CD108" s="3">
        <f ca="1">IFERROR(__xludf.DUMMYFUNCTION("""COMPUTED_VALUE"""),-0.583101999062333)</f>
        <v>-0.58310199906233295</v>
      </c>
      <c r="CE108" s="3">
        <f ca="1">IFERROR(__xludf.DUMMYFUNCTION("""COMPUTED_VALUE"""),-0.672957497409985)</f>
        <v>-0.67295749740998501</v>
      </c>
      <c r="CF108" s="3">
        <f ca="1">IFERROR(__xludf.DUMMYFUNCTION("""COMPUTED_VALUE"""),-0.674996544385886)</f>
        <v>-0.67499654438588597</v>
      </c>
      <c r="CG108" s="3">
        <f ca="1">IFERROR(__xludf.DUMMYFUNCTION("""COMPUTED_VALUE"""),-0.669047355889406)</f>
        <v>-0.669047355889406</v>
      </c>
      <c r="CH108" s="3">
        <f ca="1">IFERROR(__xludf.DUMMYFUNCTION("""COMPUTED_VALUE"""),-0.667238579849163)</f>
        <v>-0.66723857984916302</v>
      </c>
      <c r="CI108" s="3">
        <f ca="1">IFERROR(__xludf.DUMMYFUNCTION("""COMPUTED_VALUE"""),-0.599840821049664)</f>
        <v>-0.59984082104966396</v>
      </c>
      <c r="CJ108" s="3">
        <f ca="1">IFERROR(__xludf.DUMMYFUNCTION("""COMPUTED_VALUE"""),-0.588441101001735)</f>
        <v>-0.58844110100173497</v>
      </c>
      <c r="CK108" s="3">
        <f ca="1">IFERROR(__xludf.DUMMYFUNCTION("""COMPUTED_VALUE"""),-0.588953805629323)</f>
        <v>-0.58895380562932298</v>
      </c>
      <c r="CL108" s="3">
        <f ca="1">IFERROR(__xludf.DUMMYFUNCTION("""COMPUTED_VALUE"""),-0.633331666873745)</f>
        <v>-0.63333166687374498</v>
      </c>
      <c r="CM108" s="3">
        <f ca="1">IFERROR(__xludf.DUMMYFUNCTION("""COMPUTED_VALUE"""),-0.662661468729222)</f>
        <v>-0.66266146872922205</v>
      </c>
      <c r="CN108" s="3">
        <f ca="1">IFERROR(__xludf.DUMMYFUNCTION("""COMPUTED_VALUE"""),-0.628634914588644)</f>
        <v>-0.62863491458864396</v>
      </c>
      <c r="CO108" s="3">
        <f ca="1">IFERROR(__xludf.DUMMYFUNCTION("""COMPUTED_VALUE"""),-0.670375421067383)</f>
        <v>-0.67037542106738301</v>
      </c>
      <c r="CP108" s="3">
        <f ca="1">IFERROR(__xludf.DUMMYFUNCTION("""COMPUTED_VALUE"""),-0.617936891311847)</f>
        <v>-0.61793689131184704</v>
      </c>
      <c r="CQ108" s="3">
        <f ca="1">IFERROR(__xludf.DUMMYFUNCTION("""COMPUTED_VALUE"""),-0.631712932037615)</f>
        <v>-0.63171293203761503</v>
      </c>
      <c r="CR108" s="3">
        <f ca="1">IFERROR(__xludf.DUMMYFUNCTION("""COMPUTED_VALUE"""),-0.603394981902878)</f>
        <v>-0.60339498190287799</v>
      </c>
      <c r="CS108" s="3">
        <f ca="1">IFERROR(__xludf.DUMMYFUNCTION("""COMPUTED_VALUE"""),-0.657520981320262)</f>
        <v>-0.65752098132026204</v>
      </c>
      <c r="CT108" s="3">
        <f ca="1">IFERROR(__xludf.DUMMYFUNCTION("""COMPUTED_VALUE"""),-0.642559647301967)</f>
        <v>-0.64255964730196702</v>
      </c>
      <c r="CU108" s="3">
        <f ca="1">IFERROR(__xludf.DUMMYFUNCTION("""COMPUTED_VALUE"""),-0.664387446338149)</f>
        <v>-0.66438744633814895</v>
      </c>
      <c r="CV108" s="3">
        <f ca="1">IFERROR(__xludf.DUMMYFUNCTION("""COMPUTED_VALUE"""),-0.670930893609028)</f>
        <v>-0.67093089360902802</v>
      </c>
      <c r="CW108" s="3">
        <f ca="1">IFERROR(__xludf.DUMMYFUNCTION("""COMPUTED_VALUE"""),-0.60125097230734)</f>
        <v>-0.60125097230734004</v>
      </c>
      <c r="CX108" s="3">
        <f ca="1">IFERROR(__xludf.DUMMYFUNCTION("""COMPUTED_VALUE"""),-0.614683984317294)</f>
        <v>-0.61468398431729399</v>
      </c>
      <c r="CY108" s="3">
        <f ca="1">IFERROR(__xludf.DUMMYFUNCTION("""COMPUTED_VALUE"""),-0.64189518828889)</f>
        <v>-0.64189518828889003</v>
      </c>
      <c r="CZ108" s="3">
        <f ca="1">IFERROR(__xludf.DUMMYFUNCTION("""COMPUTED_VALUE"""),-0.689864181792812)</f>
        <v>-0.68986418179281195</v>
      </c>
      <c r="DA108" s="3">
        <f ca="1">IFERROR(__xludf.DUMMYFUNCTION("""COMPUTED_VALUE"""),-0.583255643120794)</f>
        <v>-0.58325564312079403</v>
      </c>
      <c r="DB108" s="3">
        <f ca="1">IFERROR(__xludf.DUMMYFUNCTION("""COMPUTED_VALUE"""),-0.600997807874593)</f>
        <v>-0.600997807874593</v>
      </c>
      <c r="DC108" s="3">
        <f ca="1">IFERROR(__xludf.DUMMYFUNCTION("""COMPUTED_VALUE"""),-0.646194904028044)</f>
        <v>-0.64619490402804403</v>
      </c>
      <c r="DD108" s="3">
        <f ca="1">IFERROR(__xludf.DUMMYFUNCTION("""COMPUTED_VALUE"""),-0.611304643305688)</f>
        <v>-0.61130464330568801</v>
      </c>
      <c r="DE108" s="3">
        <f ca="1">IFERROR(__xludf.DUMMYFUNCTION("""COMPUTED_VALUE"""),-0.608290025635961)</f>
        <v>-0.60829002563596102</v>
      </c>
      <c r="DF108" s="3">
        <f ca="1">IFERROR(__xludf.DUMMYFUNCTION("""COMPUTED_VALUE"""),-0.69466249197811)</f>
        <v>-0.69466249197811003</v>
      </c>
      <c r="DG108" s="3">
        <f ca="1">IFERROR(__xludf.DUMMYFUNCTION("""COMPUTED_VALUE"""),-0.793271797514871)</f>
        <v>-0.79327179751487098</v>
      </c>
      <c r="DH108" s="3">
        <f ca="1">IFERROR(__xludf.DUMMYFUNCTION("""COMPUTED_VALUE"""),-0.55332576296399)</f>
        <v>-0.55332576296399005</v>
      </c>
      <c r="DI108" s="3">
        <f ca="1">IFERROR(__xludf.DUMMYFUNCTION("""COMPUTED_VALUE"""),-0.552124714182402)</f>
        <v>-0.55212471418240205</v>
      </c>
      <c r="DJ108" s="3">
        <f ca="1">IFERROR(__xludf.DUMMYFUNCTION("""COMPUTED_VALUE"""),-0.641199699885121)</f>
        <v>-0.64119969988512104</v>
      </c>
      <c r="DK108" s="3">
        <f ca="1">IFERROR(__xludf.DUMMYFUNCTION("""COMPUTED_VALUE"""),-0.64536499661569)</f>
        <v>-0.64536499661569002</v>
      </c>
      <c r="DL108" s="3">
        <f ca="1">IFERROR(__xludf.DUMMYFUNCTION("""COMPUTED_VALUE"""),-0.596528091761305)</f>
        <v>-0.59652809176130495</v>
      </c>
      <c r="DM108" s="3">
        <f ca="1">IFERROR(__xludf.DUMMYFUNCTION("""COMPUTED_VALUE"""),-0.644968058586713)</f>
        <v>-0.64496805858671302</v>
      </c>
      <c r="DN108" s="3">
        <f ca="1">IFERROR(__xludf.DUMMYFUNCTION("""COMPUTED_VALUE"""),-0.689960267647884)</f>
        <v>-0.68996026764788398</v>
      </c>
      <c r="DO108" s="3">
        <f ca="1">IFERROR(__xludf.DUMMYFUNCTION("""COMPUTED_VALUE"""),-0.677935294420936)</f>
        <v>-0.67793529442093603</v>
      </c>
      <c r="DP108" s="3">
        <f ca="1">IFERROR(__xludf.DUMMYFUNCTION("""COMPUTED_VALUE"""),-0.610544462344144)</f>
        <v>-0.61054446234414395</v>
      </c>
      <c r="DQ108" s="3">
        <f ca="1">IFERROR(__xludf.DUMMYFUNCTION("""COMPUTED_VALUE"""),-0.693542564819523)</f>
        <v>-0.69354256481952303</v>
      </c>
      <c r="DR108" s="3">
        <f ca="1">IFERROR(__xludf.DUMMYFUNCTION("""COMPUTED_VALUE"""),-0.690733287089966)</f>
        <v>-0.69073328708996595</v>
      </c>
      <c r="DS108" s="3">
        <f ca="1">IFERROR(__xludf.DUMMYFUNCTION("""COMPUTED_VALUE"""),-0.6028487326097)</f>
        <v>-0.60284873260969996</v>
      </c>
      <c r="DT108" s="3">
        <f ca="1">IFERROR(__xludf.DUMMYFUNCTION("""COMPUTED_VALUE"""),-0.659062905482764)</f>
        <v>-0.65906290548276403</v>
      </c>
      <c r="DU108" s="3">
        <f ca="1">IFERROR(__xludf.DUMMYFUNCTION("""COMPUTED_VALUE"""),-0.703368665333396)</f>
        <v>-0.70336866533339604</v>
      </c>
      <c r="DV108" s="3">
        <f ca="1">IFERROR(__xludf.DUMMYFUNCTION("""COMPUTED_VALUE"""),-0.688110068503009)</f>
        <v>-0.68811006850300904</v>
      </c>
      <c r="DW108" s="3">
        <f ca="1">IFERROR(__xludf.DUMMYFUNCTION("""COMPUTED_VALUE"""),-0.706769011683778)</f>
        <v>-0.70676901168377804</v>
      </c>
      <c r="DX108" s="3">
        <f ca="1">IFERROR(__xludf.DUMMYFUNCTION("""COMPUTED_VALUE"""),-0.682413418775497)</f>
        <v>-0.68241341877549699</v>
      </c>
      <c r="DY108" s="3">
        <f ca="1">IFERROR(__xludf.DUMMYFUNCTION("""COMPUTED_VALUE"""),-0.660571758272902)</f>
        <v>-0.66057175827290204</v>
      </c>
      <c r="DZ108" s="3">
        <f ca="1">IFERROR(__xludf.DUMMYFUNCTION("""COMPUTED_VALUE"""),-0.608955953082878)</f>
        <v>-0.60895595308287798</v>
      </c>
      <c r="EA108" s="3">
        <f ca="1">IFERROR(__xludf.DUMMYFUNCTION("""COMPUTED_VALUE"""),-0.704278404797229)</f>
        <v>-0.70427840479722903</v>
      </c>
      <c r="EB108" s="3">
        <f ca="1">IFERROR(__xludf.DUMMYFUNCTION("""COMPUTED_VALUE"""),-0.716485997368553)</f>
        <v>-0.71648599736855301</v>
      </c>
      <c r="EC108" s="3">
        <f ca="1">IFERROR(__xludf.DUMMYFUNCTION("""COMPUTED_VALUE"""),-0.655961489210732)</f>
        <v>-0.65596148921073205</v>
      </c>
      <c r="ED108" s="3">
        <f ca="1">IFERROR(__xludf.DUMMYFUNCTION("""COMPUTED_VALUE"""),-0.701521089038359)</f>
        <v>-0.70152108903835897</v>
      </c>
      <c r="EE108" s="3">
        <f ca="1">IFERROR(__xludf.DUMMYFUNCTION("""COMPUTED_VALUE"""),-0.669330307402031)</f>
        <v>-0.66933030740203103</v>
      </c>
      <c r="EF108" s="3">
        <f ca="1">IFERROR(__xludf.DUMMYFUNCTION("""COMPUTED_VALUE"""),-0.68174203122666)</f>
        <v>-0.68174203122665999</v>
      </c>
      <c r="EG108" s="3">
        <f ca="1">IFERROR(__xludf.DUMMYFUNCTION("""COMPUTED_VALUE"""),-0.635337411974198)</f>
        <v>-0.63533741197419802</v>
      </c>
      <c r="EH108" s="3">
        <f ca="1">IFERROR(__xludf.DUMMYFUNCTION("""COMPUTED_VALUE"""),-0.664376707723217)</f>
        <v>-0.664376707723217</v>
      </c>
      <c r="EI108" s="3">
        <f ca="1">IFERROR(__xludf.DUMMYFUNCTION("""COMPUTED_VALUE"""),-0.708110737921218)</f>
        <v>-0.70811073792121804</v>
      </c>
      <c r="EJ108" s="3">
        <f ca="1">IFERROR(__xludf.DUMMYFUNCTION("""COMPUTED_VALUE"""),-0.726041133700949)</f>
        <v>-0.72604113370094903</v>
      </c>
      <c r="EK108" s="3">
        <f ca="1">IFERROR(__xludf.DUMMYFUNCTION("""COMPUTED_VALUE"""),-0.663519719914945)</f>
        <v>-0.66351971991494496</v>
      </c>
      <c r="EL108" s="3">
        <f ca="1">IFERROR(__xludf.DUMMYFUNCTION("""COMPUTED_VALUE"""),-0.685688675592306)</f>
        <v>-0.68568867559230595</v>
      </c>
      <c r="EM108" s="3">
        <f ca="1">IFERROR(__xludf.DUMMYFUNCTION("""COMPUTED_VALUE"""),-0.667865974047234)</f>
        <v>-0.66786597404723402</v>
      </c>
      <c r="EN108" s="3">
        <f ca="1">IFERROR(__xludf.DUMMYFUNCTION("""COMPUTED_VALUE"""),-0.62233413330858)</f>
        <v>-0.62233413330858001</v>
      </c>
      <c r="EO108" s="3">
        <f ca="1">IFERROR(__xludf.DUMMYFUNCTION("""COMPUTED_VALUE"""),-0.633708106276596)</f>
        <v>-0.63370810627659602</v>
      </c>
      <c r="EP108" s="3">
        <f ca="1">IFERROR(__xludf.DUMMYFUNCTION("""COMPUTED_VALUE"""),-0.644392908104651)</f>
        <v>-0.644392908104651</v>
      </c>
      <c r="EQ108" s="3">
        <f ca="1">IFERROR(__xludf.DUMMYFUNCTION("""COMPUTED_VALUE"""),-0.651595568743176)</f>
        <v>-0.65159556874317603</v>
      </c>
      <c r="ER108" s="3">
        <f ca="1">IFERROR(__xludf.DUMMYFUNCTION("""COMPUTED_VALUE"""),-0.68398263682812)</f>
        <v>-0.68398263682811999</v>
      </c>
      <c r="ES108" s="3">
        <f ca="1">IFERROR(__xludf.DUMMYFUNCTION("""COMPUTED_VALUE"""),-0.686733998184015)</f>
        <v>-0.68673399818401504</v>
      </c>
      <c r="ET108" s="3">
        <f ca="1">IFERROR(__xludf.DUMMYFUNCTION("""COMPUTED_VALUE"""),-0.666186388565467)</f>
        <v>-0.66618638856546697</v>
      </c>
      <c r="EU108" s="3">
        <f ca="1">IFERROR(__xludf.DUMMYFUNCTION("""COMPUTED_VALUE"""),-0.609659863006455)</f>
        <v>-0.60965986300645503</v>
      </c>
      <c r="EV108" s="3">
        <f ca="1">IFERROR(__xludf.DUMMYFUNCTION("""COMPUTED_VALUE"""),-0.60680642735968)</f>
        <v>-0.60680642735968005</v>
      </c>
      <c r="EW108" s="3">
        <f ca="1">IFERROR(__xludf.DUMMYFUNCTION("""COMPUTED_VALUE"""),-0.689690868553359)</f>
        <v>-0.68969086855335904</v>
      </c>
      <c r="EX108" s="3">
        <f ca="1">IFERROR(__xludf.DUMMYFUNCTION("""COMPUTED_VALUE"""),-0.708815829594755)</f>
        <v>-0.70881582959475498</v>
      </c>
      <c r="EY108" s="3">
        <f ca="1">IFERROR(__xludf.DUMMYFUNCTION("""COMPUTED_VALUE"""),-0.684354034552772)</f>
        <v>-0.68435403455277199</v>
      </c>
      <c r="EZ108" s="3">
        <f ca="1">IFERROR(__xludf.DUMMYFUNCTION("""COMPUTED_VALUE"""),-0.612151248456894)</f>
        <v>-0.61215124845689395</v>
      </c>
      <c r="FA108" s="3">
        <f ca="1">IFERROR(__xludf.DUMMYFUNCTION("""COMPUTED_VALUE"""),-0.597070977531132)</f>
        <v>-0.59707097753113203</v>
      </c>
      <c r="FB108" s="3">
        <f ca="1">IFERROR(__xludf.DUMMYFUNCTION("""COMPUTED_VALUE"""),-0.559435750141954)</f>
        <v>-0.55943575014195401</v>
      </c>
      <c r="FC108" s="3">
        <f ca="1">IFERROR(__xludf.DUMMYFUNCTION("""COMPUTED_VALUE"""),-0.549981419547086)</f>
        <v>-0.54998141954708601</v>
      </c>
      <c r="FD108" s="3">
        <f ca="1">IFERROR(__xludf.DUMMYFUNCTION("""COMPUTED_VALUE"""),-0.683991839763167)</f>
        <v>-0.68399183976316702</v>
      </c>
      <c r="FE108" s="3">
        <f ca="1">IFERROR(__xludf.DUMMYFUNCTION("""COMPUTED_VALUE"""),-0.670425557622636)</f>
        <v>-0.670425557622636</v>
      </c>
      <c r="FF108" s="3">
        <f ca="1">IFERROR(__xludf.DUMMYFUNCTION("""COMPUTED_VALUE"""),-0.670451390626907)</f>
        <v>-0.67045139062690695</v>
      </c>
      <c r="FG108" s="3">
        <f ca="1">IFERROR(__xludf.DUMMYFUNCTION("""COMPUTED_VALUE"""),-0.62106949176021)</f>
        <v>-0.62106949176020998</v>
      </c>
      <c r="FH108" s="3">
        <f ca="1">IFERROR(__xludf.DUMMYFUNCTION("""COMPUTED_VALUE"""),-0.582876074624676)</f>
        <v>-0.58287607462467605</v>
      </c>
      <c r="FI108" s="3">
        <f ca="1">IFERROR(__xludf.DUMMYFUNCTION("""COMPUTED_VALUE"""),-0.545633908657531)</f>
        <v>-0.54563390865753103</v>
      </c>
      <c r="FJ108" s="3">
        <f ca="1">IFERROR(__xludf.DUMMYFUNCTION("""COMPUTED_VALUE"""),-0.625807070653201)</f>
        <v>-0.62580707065320096</v>
      </c>
      <c r="FK108" s="3">
        <f ca="1">IFERROR(__xludf.DUMMYFUNCTION("""COMPUTED_VALUE"""),-0.71134033300023)</f>
        <v>-0.71134033300023003</v>
      </c>
      <c r="FL108" s="3">
        <f ca="1">IFERROR(__xludf.DUMMYFUNCTION("""COMPUTED_VALUE"""),-0.731664013193888)</f>
        <v>-0.73166401319388796</v>
      </c>
      <c r="FM108" s="3">
        <f ca="1">IFERROR(__xludf.DUMMYFUNCTION("""COMPUTED_VALUE"""),-0.689444579284901)</f>
        <v>-0.68944457928490099</v>
      </c>
      <c r="FN108" s="3">
        <f ca="1">IFERROR(__xludf.DUMMYFUNCTION("""COMPUTED_VALUE"""),-0.643071258079163)</f>
        <v>-0.64307125807916299</v>
      </c>
      <c r="FO108" s="3">
        <f ca="1">IFERROR(__xludf.DUMMYFUNCTION("""COMPUTED_VALUE"""),-0.573287622974499)</f>
        <v>-0.57328762297449898</v>
      </c>
      <c r="FP108" s="3">
        <f ca="1">IFERROR(__xludf.DUMMYFUNCTION("""COMPUTED_VALUE"""),-0.497404869918161)</f>
        <v>-0.49740486991816102</v>
      </c>
      <c r="FQ108" s="3">
        <f ca="1">IFERROR(__xludf.DUMMYFUNCTION("""COMPUTED_VALUE"""),-0.571728255254603)</f>
        <v>-0.57172825525460302</v>
      </c>
      <c r="FR108" s="3">
        <f ca="1">IFERROR(__xludf.DUMMYFUNCTION("""COMPUTED_VALUE"""),-0.648164623763264)</f>
        <v>-0.648164623763264</v>
      </c>
      <c r="FS108" s="3">
        <f ca="1">IFERROR(__xludf.DUMMYFUNCTION("""COMPUTED_VALUE"""),-0.680549825102227)</f>
        <v>-0.68054982510222695</v>
      </c>
      <c r="FT108" s="3">
        <f ca="1">IFERROR(__xludf.DUMMYFUNCTION("""COMPUTED_VALUE"""),-0.667712494698299)</f>
        <v>-0.66771249469829896</v>
      </c>
      <c r="FU108" s="3">
        <f ca="1">IFERROR(__xludf.DUMMYFUNCTION("""COMPUTED_VALUE"""),-0.641728895955857)</f>
        <v>-0.64172889595585703</v>
      </c>
      <c r="FV108" s="3">
        <f ca="1">IFERROR(__xludf.DUMMYFUNCTION("""COMPUTED_VALUE"""),-0.514201982160434)</f>
        <v>-0.514201982160434</v>
      </c>
      <c r="FW108" s="3">
        <f ca="1">IFERROR(__xludf.DUMMYFUNCTION("""COMPUTED_VALUE"""),-0.43947308200255)</f>
        <v>-0.43947308200254998</v>
      </c>
      <c r="FX108" s="3">
        <f ca="1">IFERROR(__xludf.DUMMYFUNCTION("""COMPUTED_VALUE"""),-0.615985117367231)</f>
        <v>-0.61598511736723105</v>
      </c>
      <c r="FY108" s="3">
        <f ca="1">IFERROR(__xludf.DUMMYFUNCTION("""COMPUTED_VALUE"""),-0.697373894101227)</f>
        <v>-0.69737389410122697</v>
      </c>
      <c r="FZ108" s="3">
        <f ca="1">IFERROR(__xludf.DUMMYFUNCTION("""COMPUTED_VALUE"""),-0.65962299471847)</f>
        <v>-0.65962299471846997</v>
      </c>
      <c r="GA108" s="3">
        <f ca="1">IFERROR(__xludf.DUMMYFUNCTION("""COMPUTED_VALUE"""),-0.657437700048922)</f>
        <v>-0.65743770004892199</v>
      </c>
      <c r="GB108" s="3">
        <f ca="1">IFERROR(__xludf.DUMMYFUNCTION("""COMPUTED_VALUE"""),-0.664423245388341)</f>
        <v>-0.66442324538834097</v>
      </c>
      <c r="GC108" s="3">
        <f ca="1">IFERROR(__xludf.DUMMYFUNCTION("""COMPUTED_VALUE"""),-0.631928241522101)</f>
        <v>-0.63192824152210103</v>
      </c>
      <c r="GD108" s="3">
        <f ca="1">IFERROR(__xludf.DUMMYFUNCTION("""COMPUTED_VALUE"""),-0.536259460217736)</f>
        <v>-0.53625946021773596</v>
      </c>
      <c r="GE108" s="3">
        <f ca="1">IFERROR(__xludf.DUMMYFUNCTION("""COMPUTED_VALUE"""),-0.605950106544984)</f>
        <v>-0.60595010654498405</v>
      </c>
      <c r="GF108" s="3">
        <f ca="1">IFERROR(__xludf.DUMMYFUNCTION("""COMPUTED_VALUE"""),-0.679857592753375)</f>
        <v>-0.67985759275337498</v>
      </c>
      <c r="GG108" s="3">
        <f ca="1">IFERROR(__xludf.DUMMYFUNCTION("""COMPUTED_VALUE"""),-0.692865630550051)</f>
        <v>-0.69286563055005101</v>
      </c>
      <c r="GH108" s="3">
        <f ca="1">IFERROR(__xludf.DUMMYFUNCTION("""COMPUTED_VALUE"""),-0.679255771910735)</f>
        <v>-0.67925577191073505</v>
      </c>
      <c r="GI108" s="3">
        <f ca="1">IFERROR(__xludf.DUMMYFUNCTION("""COMPUTED_VALUE"""),-0.675493377351233)</f>
        <v>-0.67549337735123305</v>
      </c>
      <c r="GJ108" s="3">
        <f ca="1">IFERROR(__xludf.DUMMYFUNCTION("""COMPUTED_VALUE"""),-0.622695864438954)</f>
        <v>-0.62269586443895397</v>
      </c>
      <c r="GK108" s="3">
        <f ca="1">IFERROR(__xludf.DUMMYFUNCTION("""COMPUTED_VALUE"""),-0.592879137118475)</f>
        <v>-0.59287913711847495</v>
      </c>
      <c r="GL108" s="3">
        <f ca="1">IFERROR(__xludf.DUMMYFUNCTION("""COMPUTED_VALUE"""),-0.605611236723211)</f>
        <v>-0.60561123672321104</v>
      </c>
      <c r="GM108" s="3">
        <f ca="1">IFERROR(__xludf.DUMMYFUNCTION("""COMPUTED_VALUE"""),-0.67545895632468)</f>
        <v>-0.67545895632468</v>
      </c>
      <c r="GN108" s="3">
        <f ca="1">IFERROR(__xludf.DUMMYFUNCTION("""COMPUTED_VALUE"""),-0.666865505560877)</f>
        <v>-0.66686550556087698</v>
      </c>
      <c r="GO108" s="3">
        <f ca="1">IFERROR(__xludf.DUMMYFUNCTION("""COMPUTED_VALUE"""),-0.679101151283726)</f>
        <v>-0.67910115128372595</v>
      </c>
      <c r="GP108" s="3">
        <f ca="1">IFERROR(__xludf.DUMMYFUNCTION("""COMPUTED_VALUE"""),-0.688420769038531)</f>
        <v>-0.688420769038531</v>
      </c>
      <c r="GQ108" s="3">
        <f ca="1">IFERROR(__xludf.DUMMYFUNCTION("""COMPUTED_VALUE"""),-0.608247030055378)</f>
        <v>-0.60824703005537795</v>
      </c>
      <c r="GR108" s="3">
        <f ca="1">IFERROR(__xludf.DUMMYFUNCTION("""COMPUTED_VALUE"""),-0.602721843419093)</f>
        <v>-0.60272184341909296</v>
      </c>
      <c r="GS108" s="3">
        <f ca="1">IFERROR(__xludf.DUMMYFUNCTION("""COMPUTED_VALUE"""),-0.616935614233931)</f>
        <v>-0.61693561423393095</v>
      </c>
      <c r="GT108" s="3">
        <f ca="1">IFERROR(__xludf.DUMMYFUNCTION("""COMPUTED_VALUE"""),-0.681188373042042)</f>
        <v>-0.68118837304204205</v>
      </c>
      <c r="GU108" s="3">
        <f ca="1">IFERROR(__xludf.DUMMYFUNCTION("""COMPUTED_VALUE"""),-0.665693296077264)</f>
        <v>-0.66569329607726402</v>
      </c>
      <c r="GV108" s="3">
        <f ca="1">IFERROR(__xludf.DUMMYFUNCTION("""COMPUTED_VALUE"""),-0.660277440521286)</f>
        <v>-0.66027744052128601</v>
      </c>
      <c r="GW108" s="3">
        <f ca="1">IFERROR(__xludf.DUMMYFUNCTION("""COMPUTED_VALUE"""),-0.648988199400454)</f>
        <v>-0.64898819940045405</v>
      </c>
      <c r="GX108" s="3">
        <f ca="1">IFERROR(__xludf.DUMMYFUNCTION("""COMPUTED_VALUE"""),-0.605351373326643)</f>
        <v>-0.60535137332664302</v>
      </c>
      <c r="GY108" s="3">
        <f ca="1">IFERROR(__xludf.DUMMYFUNCTION("""COMPUTED_VALUE"""),-0.592560531939497)</f>
        <v>-0.59256053193949698</v>
      </c>
      <c r="GZ108" s="3">
        <f ca="1">IFERROR(__xludf.DUMMYFUNCTION("""COMPUTED_VALUE"""),-0.559722054873196)</f>
        <v>-0.55972205487319604</v>
      </c>
      <c r="HA108" s="3">
        <f ca="1">IFERROR(__xludf.DUMMYFUNCTION("""COMPUTED_VALUE"""),-0.668013103464918)</f>
        <v>-0.66801310346491805</v>
      </c>
      <c r="HB108" s="3">
        <f ca="1">IFERROR(__xludf.DUMMYFUNCTION("""COMPUTED_VALUE"""),-0.695318016787331)</f>
        <v>-0.69531801678733096</v>
      </c>
      <c r="HC108" s="3">
        <f ca="1">IFERROR(__xludf.DUMMYFUNCTION("""COMPUTED_VALUE"""),-0.678208355385599)</f>
        <v>-0.67820835538559898</v>
      </c>
      <c r="HD108" s="3">
        <f ca="1">IFERROR(__xludf.DUMMYFUNCTION("""COMPUTED_VALUE"""),-0.650662171618186)</f>
        <v>-0.65066217161818596</v>
      </c>
      <c r="HE108" s="3">
        <f ca="1">IFERROR(__xludf.DUMMYFUNCTION("""COMPUTED_VALUE"""),-0.599971528686107)</f>
        <v>-0.59997152868610704</v>
      </c>
      <c r="HF108" s="3">
        <f ca="1">IFERROR(__xludf.DUMMYFUNCTION("""COMPUTED_VALUE"""),-0.598768620362905)</f>
        <v>-0.59876862036290501</v>
      </c>
      <c r="HG108" s="3">
        <f ca="1">IFERROR(__xludf.DUMMYFUNCTION("""COMPUTED_VALUE"""),-0.576166220744982)</f>
        <v>-0.57616622074498203</v>
      </c>
      <c r="HH108" s="3">
        <f ca="1">IFERROR(__xludf.DUMMYFUNCTION("""COMPUTED_VALUE"""),-0.648907139444067)</f>
        <v>-0.64890713944406697</v>
      </c>
      <c r="HI108" s="3">
        <f ca="1">IFERROR(__xludf.DUMMYFUNCTION("""COMPUTED_VALUE"""),-0.684526468513772)</f>
        <v>-0.68452646851377197</v>
      </c>
      <c r="HJ108" s="3">
        <f ca="1">IFERROR(__xludf.DUMMYFUNCTION("""COMPUTED_VALUE"""),-0.672303357917784)</f>
        <v>-0.67230335791778395</v>
      </c>
      <c r="HK108" s="3">
        <f ca="1">IFERROR(__xludf.DUMMYFUNCTION("""COMPUTED_VALUE"""),-0.63753717940657)</f>
        <v>-0.63753717940656995</v>
      </c>
      <c r="HL108" s="3">
        <f ca="1">IFERROR(__xludf.DUMMYFUNCTION("""COMPUTED_VALUE"""),-0.519493926410771)</f>
        <v>-0.51949392641077097</v>
      </c>
      <c r="HM108" s="3">
        <f ca="1">IFERROR(__xludf.DUMMYFUNCTION("""COMPUTED_VALUE"""),-0.576850884911269)</f>
        <v>-0.57685088491126901</v>
      </c>
      <c r="HN108" s="3">
        <f ca="1">IFERROR(__xludf.DUMMYFUNCTION("""COMPUTED_VALUE"""),-0.566210588972108)</f>
        <v>-0.56621058897210796</v>
      </c>
      <c r="HO108" s="3">
        <f ca="1">IFERROR(__xludf.DUMMYFUNCTION("""COMPUTED_VALUE"""),-0.639473656970452)</f>
        <v>-0.639473656970452</v>
      </c>
      <c r="HP108" s="3">
        <f ca="1">IFERROR(__xludf.DUMMYFUNCTION("""COMPUTED_VALUE"""),-0.683941929324048)</f>
        <v>-0.68394192932404796</v>
      </c>
      <c r="HQ108" s="3">
        <f ca="1">IFERROR(__xludf.DUMMYFUNCTION("""COMPUTED_VALUE"""),-0.653584461293012)</f>
        <v>-0.65358446129301195</v>
      </c>
      <c r="HR108" s="3">
        <f ca="1">IFERROR(__xludf.DUMMYFUNCTION("""COMPUTED_VALUE"""),-0.650724191605779)</f>
        <v>-0.65072419160577899</v>
      </c>
      <c r="HS108" s="3">
        <f ca="1">IFERROR(__xludf.DUMMYFUNCTION("""COMPUTED_VALUE"""),-0.598954212764438)</f>
        <v>-0.59895421276443805</v>
      </c>
      <c r="HT108" s="3">
        <f ca="1">IFERROR(__xludf.DUMMYFUNCTION("""COMPUTED_VALUE"""),-0.596126388736124)</f>
        <v>-0.596126388736124</v>
      </c>
      <c r="HU108" s="3">
        <f ca="1">IFERROR(__xludf.DUMMYFUNCTION("""COMPUTED_VALUE"""),-0.645470320675278)</f>
        <v>-0.64547032067527799</v>
      </c>
      <c r="HV108" s="3">
        <f ca="1">IFERROR(__xludf.DUMMYFUNCTION("""COMPUTED_VALUE"""),-0.638738492590079)</f>
        <v>-0.63873849259007898</v>
      </c>
      <c r="HW108" s="3">
        <f ca="1">IFERROR(__xludf.DUMMYFUNCTION("""COMPUTED_VALUE"""),-0.657265732451598)</f>
        <v>-0.65726573245159803</v>
      </c>
      <c r="HX108" s="3">
        <f ca="1">IFERROR(__xludf.DUMMYFUNCTION("""COMPUTED_VALUE"""),-0.63624657941612)</f>
        <v>-0.63624657941611995</v>
      </c>
      <c r="HY108" s="3">
        <f ca="1">IFERROR(__xludf.DUMMYFUNCTION("""COMPUTED_VALUE"""),-0.645606499431379)</f>
        <v>-0.64560649943137904</v>
      </c>
      <c r="HZ108" s="3">
        <f ca="1">IFERROR(__xludf.DUMMYFUNCTION("""COMPUTED_VALUE"""),-0.600744417613006)</f>
        <v>-0.60074441761300601</v>
      </c>
      <c r="IA108" s="3">
        <f ca="1">IFERROR(__xludf.DUMMYFUNCTION("""COMPUTED_VALUE"""),-0.559180975173045)</f>
        <v>-0.55918097517304499</v>
      </c>
      <c r="IB108" s="3">
        <f ca="1">IFERROR(__xludf.DUMMYFUNCTION("""COMPUTED_VALUE"""),-0.598487635892675)</f>
        <v>-0.59848763589267495</v>
      </c>
      <c r="IC108" s="3">
        <f ca="1">IFERROR(__xludf.DUMMYFUNCTION("""COMPUTED_VALUE"""),-0.591314331107427)</f>
        <v>-0.59131433110742704</v>
      </c>
      <c r="ID108" s="3">
        <f ca="1">IFERROR(__xludf.DUMMYFUNCTION("""COMPUTED_VALUE"""),-0.626657119774831)</f>
        <v>-0.62665711977483096</v>
      </c>
      <c r="IE108" s="3">
        <f ca="1">IFERROR(__xludf.DUMMYFUNCTION("""COMPUTED_VALUE"""),-0.589285563456383)</f>
        <v>-0.58928556345638305</v>
      </c>
      <c r="IF108" s="3">
        <f ca="1">IFERROR(__xludf.DUMMYFUNCTION("""COMPUTED_VALUE"""),-0.598340613141887)</f>
        <v>-0.59834061314188702</v>
      </c>
      <c r="IG108" s="3">
        <f ca="1">IFERROR(__xludf.DUMMYFUNCTION("""COMPUTED_VALUE"""),-0.596106669918482)</f>
        <v>-0.59610666991848205</v>
      </c>
      <c r="IH108" s="3">
        <f ca="1">IFERROR(__xludf.DUMMYFUNCTION("""COMPUTED_VALUE"""),-0.608989421932428)</f>
        <v>-0.608989421932428</v>
      </c>
      <c r="II108" s="3">
        <f ca="1">IFERROR(__xludf.DUMMYFUNCTION("""COMPUTED_VALUE"""),-0.616400023549821)</f>
        <v>-0.61640002354982104</v>
      </c>
      <c r="IJ108" s="3">
        <f ca="1">IFERROR(__xludf.DUMMYFUNCTION("""COMPUTED_VALUE"""),-0.575527641711732)</f>
        <v>-0.57552764171173199</v>
      </c>
      <c r="IK108" s="3">
        <f ca="1">IFERROR(__xludf.DUMMYFUNCTION("""COMPUTED_VALUE"""),-0.64375731646174)</f>
        <v>-0.64375731646173995</v>
      </c>
      <c r="IL108" s="3">
        <f ca="1">IFERROR(__xludf.DUMMYFUNCTION("""COMPUTED_VALUE"""),-0.601953840539254)</f>
        <v>-0.60195384053925405</v>
      </c>
      <c r="IM108" s="3">
        <f ca="1">IFERROR(__xludf.DUMMYFUNCTION("""COMPUTED_VALUE"""),-0.591079204812056)</f>
        <v>-0.591079204812056</v>
      </c>
      <c r="IN108" s="3">
        <f ca="1">IFERROR(__xludf.DUMMYFUNCTION("""COMPUTED_VALUE"""),-0.55892946328999)</f>
        <v>-0.55892946328999005</v>
      </c>
      <c r="IO108" s="3">
        <f ca="1">IFERROR(__xludf.DUMMYFUNCTION("""COMPUTED_VALUE"""),-0.556015081987939)</f>
        <v>-0.55601508198793903</v>
      </c>
      <c r="IP108" s="3">
        <f ca="1">IFERROR(__xludf.DUMMYFUNCTION("""COMPUTED_VALUE"""),-0.621024316029398)</f>
        <v>-0.621024316029398</v>
      </c>
      <c r="IQ108" s="3">
        <f ca="1">IFERROR(__xludf.DUMMYFUNCTION("""COMPUTED_VALUE"""),-0.623978815700483)</f>
        <v>-0.62397881570048297</v>
      </c>
      <c r="IR108" s="3">
        <f ca="1">IFERROR(__xludf.DUMMYFUNCTION("""COMPUTED_VALUE"""),-0.567684186024656)</f>
        <v>-0.56768418602465598</v>
      </c>
      <c r="IS108" s="3">
        <f ca="1">IFERROR(__xludf.DUMMYFUNCTION("""COMPUTED_VALUE"""),-0.516056419714762)</f>
        <v>-0.51605641971476202</v>
      </c>
      <c r="IT108" s="3">
        <f ca="1">IFERROR(__xludf.DUMMYFUNCTION("""COMPUTED_VALUE"""),-0.649909794182711)</f>
        <v>-0.649909794182711</v>
      </c>
      <c r="IU108" s="3">
        <f ca="1">IFERROR(__xludf.DUMMYFUNCTION("""COMPUTED_VALUE"""),-0.527545997464021)</f>
        <v>-0.52754599746402098</v>
      </c>
      <c r="IV108" s="3">
        <f ca="1">IFERROR(__xludf.DUMMYFUNCTION("""COMPUTED_VALUE"""),-0.527065870954774)</f>
        <v>-0.52706587095477397</v>
      </c>
      <c r="IW108" s="3">
        <f ca="1">IFERROR(__xludf.DUMMYFUNCTION("""COMPUTED_VALUE"""),-0.555457609766063)</f>
        <v>-0.55545760976606295</v>
      </c>
      <c r="IX108" s="3">
        <f ca="1">IFERROR(__xludf.DUMMYFUNCTION("""COMPUTED_VALUE"""),-0.577625462838987)</f>
        <v>-0.57762546283898697</v>
      </c>
      <c r="IY108" s="3">
        <f ca="1">IFERROR(__xludf.DUMMYFUNCTION("""COMPUTED_VALUE"""),-0.57411577141744)</f>
        <v>-0.57411577141743997</v>
      </c>
      <c r="IZ108" s="3">
        <f ca="1">IFERROR(__xludf.DUMMYFUNCTION("""COMPUTED_VALUE"""),-0.557981531539095)</f>
        <v>-0.55798153153909502</v>
      </c>
      <c r="JA108" s="3">
        <f ca="1">IFERROR(__xludf.DUMMYFUNCTION("""COMPUTED_VALUE"""),-0.567886610968332)</f>
        <v>-0.56788661096833204</v>
      </c>
      <c r="JB108" s="3">
        <f ca="1">IFERROR(__xludf.DUMMYFUNCTION("""COMPUTED_VALUE"""),-0.557286804509398)</f>
        <v>-0.55728680450939805</v>
      </c>
      <c r="JC108" s="3">
        <f ca="1">IFERROR(__xludf.DUMMYFUNCTION("""COMPUTED_VALUE"""),-0.557267661395182)</f>
        <v>-0.55726766139518202</v>
      </c>
      <c r="JD108" s="3">
        <f ca="1">IFERROR(__xludf.DUMMYFUNCTION("""COMPUTED_VALUE"""),-0.539340517454993)</f>
        <v>-0.53934051745499301</v>
      </c>
      <c r="JE108" s="3">
        <f ca="1">IFERROR(__xludf.DUMMYFUNCTION("""COMPUTED_VALUE"""),-0.631700018645578)</f>
        <v>-0.63170001864557801</v>
      </c>
      <c r="JF108" s="3">
        <f ca="1">IFERROR(__xludf.DUMMYFUNCTION("""COMPUTED_VALUE"""),-0.59507952150131)</f>
        <v>-0.59507952150131005</v>
      </c>
      <c r="JG108" s="3">
        <f ca="1">IFERROR(__xludf.DUMMYFUNCTION("""COMPUTED_VALUE"""),-0.568577679421307)</f>
        <v>-0.56857767942130699</v>
      </c>
      <c r="JH108" s="3">
        <f ca="1">IFERROR(__xludf.DUMMYFUNCTION("""COMPUTED_VALUE"""),-0.544517275316721)</f>
        <v>-0.54451727531672101</v>
      </c>
      <c r="JI108" s="3">
        <f ca="1">IFERROR(__xludf.DUMMYFUNCTION("""COMPUTED_VALUE"""),-0.532281824791153)</f>
        <v>-0.53228182479115305</v>
      </c>
      <c r="JJ108" s="3">
        <f ca="1">IFERROR(__xludf.DUMMYFUNCTION("""COMPUTED_VALUE"""),-0.519659808906458)</f>
        <v>-0.51965980890645802</v>
      </c>
      <c r="JK108" s="3">
        <f ca="1">IFERROR(__xludf.DUMMYFUNCTION("""COMPUTED_VALUE"""),-0.48161849850822)</f>
        <v>-0.48161849850822003</v>
      </c>
      <c r="JL108" s="3">
        <f ca="1">IFERROR(__xludf.DUMMYFUNCTION("""COMPUTED_VALUE"""),-0.554786480990791)</f>
        <v>-0.55478648099079098</v>
      </c>
      <c r="JM108" s="3">
        <f ca="1">IFERROR(__xludf.DUMMYFUNCTION("""COMPUTED_VALUE"""),-0.570569217065385)</f>
        <v>-0.57056921706538499</v>
      </c>
      <c r="JN108" s="3">
        <f ca="1">IFERROR(__xludf.DUMMYFUNCTION("""COMPUTED_VALUE"""),-0.569202792144984)</f>
        <v>-0.56920279214498404</v>
      </c>
      <c r="JO108" s="3">
        <f ca="1">IFERROR(__xludf.DUMMYFUNCTION("""COMPUTED_VALUE"""),-0.541928370063755)</f>
        <v>-0.54192837006375505</v>
      </c>
      <c r="JP108" s="3">
        <f ca="1">IFERROR(__xludf.DUMMYFUNCTION("""COMPUTED_VALUE"""),-0.446647552427526)</f>
        <v>-0.44664755242752602</v>
      </c>
      <c r="JQ108" s="3">
        <f ca="1">IFERROR(__xludf.DUMMYFUNCTION("""COMPUTED_VALUE"""),-0.486682656796529)</f>
        <v>-0.486682656796529</v>
      </c>
      <c r="JR108" s="3">
        <f ca="1">IFERROR(__xludf.DUMMYFUNCTION("""COMPUTED_VALUE"""),-0.516032603528421)</f>
        <v>-0.51603260352842095</v>
      </c>
      <c r="JS108" s="3">
        <f ca="1">IFERROR(__xludf.DUMMYFUNCTION("""COMPUTED_VALUE"""),-0.650153580668694)</f>
        <v>-0.650153580668694</v>
      </c>
      <c r="JT108" s="3">
        <f ca="1">IFERROR(__xludf.DUMMYFUNCTION("""COMPUTED_VALUE"""),-0.550487995675372)</f>
        <v>-0.55048799567537199</v>
      </c>
      <c r="JU108" s="3">
        <f ca="1">IFERROR(__xludf.DUMMYFUNCTION("""COMPUTED_VALUE"""),-0.591062511447858)</f>
        <v>-0.59106251144785804</v>
      </c>
      <c r="JV108" s="3">
        <f ca="1">IFERROR(__xludf.DUMMYFUNCTION("""COMPUTED_VALUE"""),-0.560737883217144)</f>
        <v>-0.56073788321714402</v>
      </c>
      <c r="JW108" s="3">
        <f ca="1">IFERROR(__xludf.DUMMYFUNCTION("""COMPUTED_VALUE"""),-0.539682295513051)</f>
        <v>-0.53968229551305102</v>
      </c>
      <c r="JX108" s="3">
        <f ca="1">IFERROR(__xludf.DUMMYFUNCTION("""COMPUTED_VALUE"""),-0.430041670912143)</f>
        <v>-0.43004167091214301</v>
      </c>
      <c r="JY108" s="3">
        <f ca="1">IFERROR(__xludf.DUMMYFUNCTION("""COMPUTED_VALUE"""),-0.460310880478407)</f>
        <v>-0.46031088047840701</v>
      </c>
      <c r="JZ108" s="3">
        <f ca="1">IFERROR(__xludf.DUMMYFUNCTION("""COMPUTED_VALUE"""),-0.570883492749633)</f>
        <v>-0.57088349274963301</v>
      </c>
      <c r="KA108" s="3">
        <f ca="1">IFERROR(__xludf.DUMMYFUNCTION("""COMPUTED_VALUE"""),-0.545960062083763)</f>
        <v>-0.54596006208376302</v>
      </c>
      <c r="KB108" s="3">
        <f ca="1">IFERROR(__xludf.DUMMYFUNCTION("""COMPUTED_VALUE"""),-0.573081526749647)</f>
        <v>-0.57308152674964696</v>
      </c>
      <c r="KC108" s="3">
        <f ca="1">IFERROR(__xludf.DUMMYFUNCTION("""COMPUTED_VALUE"""),-0.575667232218332)</f>
        <v>-0.57566723221833205</v>
      </c>
      <c r="KD108" s="3">
        <f ca="1">IFERROR(__xludf.DUMMYFUNCTION("""COMPUTED_VALUE"""),-0.519810571259019)</f>
        <v>-0.51981057125901897</v>
      </c>
      <c r="KE108" s="3">
        <f ca="1">IFERROR(__xludf.DUMMYFUNCTION("""COMPUTED_VALUE"""),-0.520884272606833)</f>
        <v>-0.52088427260683301</v>
      </c>
      <c r="KF108" s="3">
        <f ca="1">IFERROR(__xludf.DUMMYFUNCTION("""COMPUTED_VALUE"""),-0.523283702582913)</f>
        <v>-0.52328370258291301</v>
      </c>
      <c r="KG108" s="3">
        <f ca="1">IFERROR(__xludf.DUMMYFUNCTION("""COMPUTED_VALUE"""),-0.576861596338214)</f>
        <v>-0.57686159633821399</v>
      </c>
      <c r="KH108" s="3">
        <f ca="1">IFERROR(__xludf.DUMMYFUNCTION("""COMPUTED_VALUE"""),-0.565206298223713)</f>
        <v>-0.56520629822371304</v>
      </c>
      <c r="KI108" s="3">
        <f ca="1">IFERROR(__xludf.DUMMYFUNCTION("""COMPUTED_VALUE"""),-0.568815032337414)</f>
        <v>-0.56881503233741404</v>
      </c>
      <c r="KJ108" s="3">
        <f ca="1">IFERROR(__xludf.DUMMYFUNCTION("""COMPUTED_VALUE"""),-0.518026719250662)</f>
        <v>-0.51802671925066202</v>
      </c>
      <c r="KK108" s="3">
        <f ca="1">IFERROR(__xludf.DUMMYFUNCTION("""COMPUTED_VALUE"""),-0.513430455766009)</f>
        <v>-0.51343045576600899</v>
      </c>
      <c r="KL108" s="3">
        <f ca="1">IFERROR(__xludf.DUMMYFUNCTION("""COMPUTED_VALUE"""),-0.566695145276376)</f>
        <v>-0.56669514527637599</v>
      </c>
      <c r="KM108" s="3">
        <f ca="1">IFERROR(__xludf.DUMMYFUNCTION("""COMPUTED_VALUE"""),-0.607149917894859)</f>
        <v>-0.60714991789485895</v>
      </c>
      <c r="KN108" s="3">
        <f ca="1">IFERROR(__xludf.DUMMYFUNCTION("""COMPUTED_VALUE"""),-0.591882761793954)</f>
        <v>-0.59188276179395405</v>
      </c>
      <c r="KO108" s="3">
        <f ca="1">IFERROR(__xludf.DUMMYFUNCTION("""COMPUTED_VALUE"""),-0.637333945074807)</f>
        <v>-0.63733394507480701</v>
      </c>
      <c r="KP108" s="3">
        <f ca="1">IFERROR(__xludf.DUMMYFUNCTION("""COMPUTED_VALUE"""),-0.613119031552722)</f>
        <v>-0.61311903155272196</v>
      </c>
      <c r="KQ108" s="3">
        <f ca="1">IFERROR(__xludf.DUMMYFUNCTION("""COMPUTED_VALUE"""),-0.590972397576004)</f>
        <v>-0.59097239757600395</v>
      </c>
      <c r="KR108" s="3">
        <f ca="1">IFERROR(__xludf.DUMMYFUNCTION("""COMPUTED_VALUE"""),-0.541440645437241)</f>
        <v>-0.54144064543724102</v>
      </c>
      <c r="KS108" s="3">
        <f ca="1">IFERROR(__xludf.DUMMYFUNCTION("""COMPUTED_VALUE"""),-0.509746615064622)</f>
        <v>-0.50974661506462204</v>
      </c>
      <c r="KT108" s="3">
        <f ca="1">IFERROR(__xludf.DUMMYFUNCTION("""COMPUTED_VALUE"""),-0.558963682174461)</f>
        <v>-0.55896368217446102</v>
      </c>
      <c r="KU108" s="3">
        <f ca="1">IFERROR(__xludf.DUMMYFUNCTION("""COMPUTED_VALUE"""),-0.589485718669666)</f>
        <v>-0.58948571866966604</v>
      </c>
      <c r="KV108" s="3">
        <f ca="1">IFERROR(__xludf.DUMMYFUNCTION("""COMPUTED_VALUE"""),-0.616904333539224)</f>
        <v>-0.61690433353922403</v>
      </c>
      <c r="KW108" s="3">
        <f ca="1">IFERROR(__xludf.DUMMYFUNCTION("""COMPUTED_VALUE"""),-0.599106831209394)</f>
        <v>-0.59910683120939401</v>
      </c>
      <c r="KX108" s="3">
        <f ca="1">IFERROR(__xludf.DUMMYFUNCTION("""COMPUTED_VALUE"""),-0.619295893778644)</f>
        <v>-0.61929589377864402</v>
      </c>
      <c r="KY108" s="3">
        <f ca="1">IFERROR(__xludf.DUMMYFUNCTION("""COMPUTED_VALUE"""),-0.556984234971961)</f>
        <v>-0.55698423497196103</v>
      </c>
      <c r="KZ108" s="3">
        <f ca="1">IFERROR(__xludf.DUMMYFUNCTION("""COMPUTED_VALUE"""),-0.593843690456152)</f>
        <v>-0.59384369045615204</v>
      </c>
      <c r="LA108" s="3">
        <f ca="1">IFERROR(__xludf.DUMMYFUNCTION("""COMPUTED_VALUE"""),-0.663919801524497)</f>
        <v>-0.66391980152449703</v>
      </c>
      <c r="LB108" s="3">
        <f ca="1">IFERROR(__xludf.DUMMYFUNCTION("""COMPUTED_VALUE"""),-0.712865583648614)</f>
        <v>-0.71286558364861397</v>
      </c>
      <c r="LC108" s="3">
        <f ca="1">IFERROR(__xludf.DUMMYFUNCTION("""COMPUTED_VALUE"""),-0.686037648711271)</f>
        <v>-0.68603764871127104</v>
      </c>
      <c r="LD108" s="3">
        <f ca="1">IFERROR(__xludf.DUMMYFUNCTION("""COMPUTED_VALUE"""),-0.657622969633706)</f>
        <v>-0.65762296963370603</v>
      </c>
      <c r="LE108" s="3">
        <f ca="1">IFERROR(__xludf.DUMMYFUNCTION("""COMPUTED_VALUE"""),-0.724883972704123)</f>
        <v>-0.72488397270412297</v>
      </c>
      <c r="LF108" s="3">
        <f ca="1">IFERROR(__xludf.DUMMYFUNCTION("""COMPUTED_VALUE"""),-0.705064405207039)</f>
        <v>-0.70506440520703895</v>
      </c>
      <c r="LG108" s="3">
        <f ca="1">IFERROR(__xludf.DUMMYFUNCTION("""COMPUTED_VALUE"""),-0.668057582304882)</f>
        <v>-0.66805758230488199</v>
      </c>
      <c r="LH108" s="3">
        <f ca="1">IFERROR(__xludf.DUMMYFUNCTION("""COMPUTED_VALUE"""),-0.607690369166054)</f>
        <v>-0.60769036916605401</v>
      </c>
      <c r="LI108" s="3">
        <f ca="1">IFERROR(__xludf.DUMMYFUNCTION("""COMPUTED_VALUE"""),-0.6471554849763)</f>
        <v>-0.64715548497630004</v>
      </c>
      <c r="LJ108" s="3">
        <f ca="1">IFERROR(__xludf.DUMMYFUNCTION("""COMPUTED_VALUE"""),-0.677285506004205)</f>
        <v>-0.67728550600420501</v>
      </c>
      <c r="LK108" s="3">
        <f ca="1">IFERROR(__xludf.DUMMYFUNCTION("""COMPUTED_VALUE"""),-0.632920464842667)</f>
        <v>-0.63292046484266695</v>
      </c>
      <c r="LL108" s="3">
        <f ca="1">IFERROR(__xludf.DUMMYFUNCTION("""COMPUTED_VALUE"""),-0.61711508195411)</f>
        <v>-0.61711508195411002</v>
      </c>
      <c r="LM108" s="3">
        <f ca="1">IFERROR(__xludf.DUMMYFUNCTION("""COMPUTED_VALUE"""),-0.616926569523233)</f>
        <v>-0.61692656952323299</v>
      </c>
      <c r="LN108" s="3">
        <f ca="1">IFERROR(__xludf.DUMMYFUNCTION("""COMPUTED_VALUE"""),-0.656569496071316)</f>
        <v>-0.65656949607131598</v>
      </c>
      <c r="LO108" s="3">
        <f ca="1">IFERROR(__xludf.DUMMYFUNCTION("""COMPUTED_VALUE"""),-0.701137477387834)</f>
        <v>-0.70113747738783405</v>
      </c>
      <c r="LP108" s="3">
        <f ca="1">IFERROR(__xludf.DUMMYFUNCTION("""COMPUTED_VALUE"""),-0.682698550687081)</f>
        <v>-0.68269855068708096</v>
      </c>
      <c r="LQ108" s="3">
        <f ca="1">IFERROR(__xludf.DUMMYFUNCTION("""COMPUTED_VALUE"""),-0.623073165597481)</f>
        <v>-0.62307316559748105</v>
      </c>
      <c r="LR108" s="3">
        <f ca="1">IFERROR(__xludf.DUMMYFUNCTION("""COMPUTED_VALUE"""),-0.627885342036832)</f>
        <v>-0.62788534203683199</v>
      </c>
      <c r="LS108" s="3">
        <f ca="1">IFERROR(__xludf.DUMMYFUNCTION("""COMPUTED_VALUE"""),-0.473062809636367)</f>
        <v>-0.47306280963636699</v>
      </c>
      <c r="LT108" s="3">
        <f ca="1">IFERROR(__xludf.DUMMYFUNCTION("""COMPUTED_VALUE"""),-0.399420483368186)</f>
        <v>-0.39942048336818597</v>
      </c>
      <c r="LU108" s="3">
        <f ca="1">IFERROR(__xludf.DUMMYFUNCTION("""COMPUTED_VALUE"""),-0.461512508127613)</f>
        <v>-0.46151250812761302</v>
      </c>
      <c r="LV108" s="3">
        <f ca="1">IFERROR(__xludf.DUMMYFUNCTION("""COMPUTED_VALUE"""),-0.514015691801747)</f>
        <v>-0.514015691801747</v>
      </c>
      <c r="LW108" s="3">
        <f ca="1">IFERROR(__xludf.DUMMYFUNCTION("""COMPUTED_VALUE"""),-0.490389255776965)</f>
        <v>-0.49038925577696502</v>
      </c>
      <c r="LX108" s="3">
        <f ca="1">IFERROR(__xludf.DUMMYFUNCTION("""COMPUTED_VALUE"""),-0.532673099210285)</f>
        <v>-0.53267309921028505</v>
      </c>
      <c r="LY108" s="3">
        <f ca="1">IFERROR(__xludf.DUMMYFUNCTION("""COMPUTED_VALUE"""),-0.521215117399122)</f>
        <v>-0.52121511739912196</v>
      </c>
      <c r="LZ108" s="3">
        <f ca="1">IFERROR(__xludf.DUMMYFUNCTION("""COMPUTED_VALUE"""),-0.202658476575272)</f>
        <v>-0.202658476575272</v>
      </c>
      <c r="MA108" s="3">
        <f ca="1">IFERROR(__xludf.DUMMYFUNCTION("""COMPUTED_VALUE"""),0.228855417326411)</f>
        <v>0.22885541732641099</v>
      </c>
      <c r="MB108" s="3">
        <f ca="1">IFERROR(__xludf.DUMMYFUNCTION("""COMPUTED_VALUE"""),-0.522842752437635)</f>
        <v>-0.52284275243763501</v>
      </c>
      <c r="MC108" s="3">
        <f ca="1">IFERROR(__xludf.DUMMYFUNCTION("""COMPUTED_VALUE"""),-0.576036275012213)</f>
        <v>-0.57603627501221299</v>
      </c>
      <c r="MD108" s="3">
        <f ca="1">IFERROR(__xludf.DUMMYFUNCTION("""COMPUTED_VALUE"""),-0.582212225663765)</f>
        <v>-0.58221222566376496</v>
      </c>
      <c r="ME108" s="3">
        <f ca="1">IFERROR(__xludf.DUMMYFUNCTION("""COMPUTED_VALUE"""),-0.25761774937592)</f>
        <v>-0.25761774937592002</v>
      </c>
      <c r="MF108" s="3">
        <f ca="1">IFERROR(__xludf.DUMMYFUNCTION("""COMPUTED_VALUE"""),0.0257799795851301)</f>
        <v>2.5779979585130099E-2</v>
      </c>
      <c r="MG108" s="3">
        <f ca="1">IFERROR(__xludf.DUMMYFUNCTION("""COMPUTED_VALUE"""),-0.488535411928948)</f>
        <v>-0.488535411928948</v>
      </c>
      <c r="MH108" s="3">
        <f ca="1">IFERROR(__xludf.DUMMYFUNCTION("""COMPUTED_VALUE"""),-0.357433281848534)</f>
        <v>-0.35743328184853401</v>
      </c>
      <c r="MI108" s="3">
        <f ca="1">IFERROR(__xludf.DUMMYFUNCTION("""COMPUTED_VALUE"""),-0.464976393720127)</f>
        <v>-0.464976393720127</v>
      </c>
      <c r="MJ108" s="3">
        <f ca="1">IFERROR(__xludf.DUMMYFUNCTION("""COMPUTED_VALUE"""),-0.486781930247127)</f>
        <v>-0.48678193024712701</v>
      </c>
      <c r="MK108" s="3">
        <f ca="1">IFERROR(__xludf.DUMMYFUNCTION("""COMPUTED_VALUE"""),-0.47839969271478)</f>
        <v>-0.47839969271478</v>
      </c>
      <c r="ML108" s="3">
        <f ca="1">IFERROR(__xludf.DUMMYFUNCTION("""COMPUTED_VALUE"""),-0.315374394410788)</f>
        <v>-0.31537439441078802</v>
      </c>
      <c r="MM108" s="3">
        <f ca="1">IFERROR(__xludf.DUMMYFUNCTION("""COMPUTED_VALUE"""),0.469120955715845)</f>
        <v>0.469120955715845</v>
      </c>
      <c r="MN108" s="3">
        <f ca="1">IFERROR(__xludf.DUMMYFUNCTION("""COMPUTED_VALUE"""),0.116009563475107)</f>
        <v>0.11600956347510701</v>
      </c>
      <c r="MO108" s="3">
        <f ca="1">IFERROR(__xludf.DUMMYFUNCTION("""COMPUTED_VALUE"""),-0.375897616350347)</f>
        <v>-0.37589761635034702</v>
      </c>
      <c r="MP108" s="3">
        <f ca="1">IFERROR(__xludf.DUMMYFUNCTION("""COMPUTED_VALUE"""),-0.508877488345977)</f>
        <v>-0.50887748834597701</v>
      </c>
      <c r="MQ108" s="3">
        <f ca="1">IFERROR(__xludf.DUMMYFUNCTION("""COMPUTED_VALUE"""),-0.52930079214183)</f>
        <v>-0.52930079214183001</v>
      </c>
      <c r="MR108" s="3">
        <f ca="1">IFERROR(__xludf.DUMMYFUNCTION("""COMPUTED_VALUE"""),-0.5304219559396)</f>
        <v>-0.53042195593959995</v>
      </c>
      <c r="MS108" s="3">
        <f ca="1">IFERROR(__xludf.DUMMYFUNCTION("""COMPUTED_VALUE"""),-0.550111052351657)</f>
        <v>-0.55011105235165703</v>
      </c>
      <c r="MT108" s="3">
        <f ca="1">IFERROR(__xludf.DUMMYFUNCTION("""COMPUTED_VALUE"""),-0.545698190197968)</f>
        <v>-0.54569819019796795</v>
      </c>
      <c r="MU108" s="3">
        <f ca="1">IFERROR(__xludf.DUMMYFUNCTION("""COMPUTED_VALUE"""),-0.445980106646132)</f>
        <v>-0.44598010664613202</v>
      </c>
      <c r="MV108" s="3">
        <f ca="1">IFERROR(__xludf.DUMMYFUNCTION("""COMPUTED_VALUE"""),-0.394893019960843)</f>
        <v>-0.39489301996084297</v>
      </c>
      <c r="MW108" s="3">
        <f ca="1">IFERROR(__xludf.DUMMYFUNCTION("""COMPUTED_VALUE"""),-0.503221893392205)</f>
        <v>-0.50322189339220502</v>
      </c>
      <c r="MX108" s="3">
        <f ca="1">IFERROR(__xludf.DUMMYFUNCTION("""COMPUTED_VALUE"""),-0.534281822285695)</f>
        <v>-0.53428182228569499</v>
      </c>
      <c r="MY108" s="3">
        <f ca="1">IFERROR(__xludf.DUMMYFUNCTION("""COMPUTED_VALUE"""),-0.4857898607719)</f>
        <v>-0.48578986077190001</v>
      </c>
      <c r="MZ108" s="3">
        <f ca="1">IFERROR(__xludf.DUMMYFUNCTION("""COMPUTED_VALUE"""),-0.423333529335905)</f>
        <v>-0.42333352933590501</v>
      </c>
      <c r="NA108" s="3">
        <f ca="1">IFERROR(__xludf.DUMMYFUNCTION("""COMPUTED_VALUE"""),-0.458359466935865)</f>
        <v>-0.45835946693586499</v>
      </c>
      <c r="NB108" s="3">
        <f ca="1">IFERROR(__xludf.DUMMYFUNCTION("""COMPUTED_VALUE"""),-0.401676229335583)</f>
        <v>-0.401676229335583</v>
      </c>
      <c r="NC108" s="3">
        <f ca="1">IFERROR(__xludf.DUMMYFUNCTION("""COMPUTED_VALUE"""),-0.497460828835154)</f>
        <v>-0.49746082883515402</v>
      </c>
      <c r="ND108" s="3">
        <f ca="1">IFERROR(__xludf.DUMMYFUNCTION("""COMPUTED_VALUE"""),-0.468089149573444)</f>
        <v>-0.468089149573444</v>
      </c>
      <c r="NE108" s="3">
        <f ca="1">IFERROR(__xludf.DUMMYFUNCTION("""COMPUTED_VALUE"""),-0.455254280774395)</f>
        <v>-0.455254280774395</v>
      </c>
      <c r="NF108" s="3">
        <f ca="1">IFERROR(__xludf.DUMMYFUNCTION("""COMPUTED_VALUE"""),-0.377299966944653)</f>
        <v>-0.37729996694465301</v>
      </c>
      <c r="NG108" s="3">
        <f ca="1">IFERROR(__xludf.DUMMYFUNCTION("""COMPUTED_VALUE"""),-0.30484777726175)</f>
        <v>-0.30484777726175</v>
      </c>
      <c r="NH108" s="3">
        <f ca="1">IFERROR(__xludf.DUMMYFUNCTION("""COMPUTED_VALUE"""),-0.557800223613797)</f>
        <v>-0.557800223613797</v>
      </c>
      <c r="NI108" s="3">
        <f ca="1">IFERROR(__xludf.DUMMYFUNCTION("""COMPUTED_VALUE"""),-0.554478304057971)</f>
        <v>-0.55447830405797105</v>
      </c>
      <c r="NJ108" s="3">
        <f ca="1">IFERROR(__xludf.DUMMYFUNCTION("""COMPUTED_VALUE"""),-0.592138663032925)</f>
        <v>-0.59213866303292495</v>
      </c>
      <c r="NK108" s="3">
        <f ca="1">IFERROR(__xludf.DUMMYFUNCTION("""COMPUTED_VALUE"""),-0.600518947313962)</f>
        <v>-0.60051894731396205</v>
      </c>
      <c r="NL108" s="3">
        <f ca="1">IFERROR(__xludf.DUMMYFUNCTION("""COMPUTED_VALUE"""),-0.635389677685184)</f>
        <v>-0.63538967768518395</v>
      </c>
      <c r="NM108" s="3">
        <f ca="1">IFERROR(__xludf.DUMMYFUNCTION("""COMPUTED_VALUE"""),-0.552860119156223)</f>
        <v>-0.55286011915622302</v>
      </c>
      <c r="NN108" s="3">
        <f ca="1">IFERROR(__xludf.DUMMYFUNCTION("""COMPUTED_VALUE"""),-0.58843843376032)</f>
        <v>-0.58843843376032001</v>
      </c>
      <c r="NO108" s="3">
        <f ca="1">IFERROR(__xludf.DUMMYFUNCTION("""COMPUTED_VALUE"""),-0.561180093893845)</f>
        <v>-0.56118009389384504</v>
      </c>
      <c r="NP108" s="3">
        <f ca="1">IFERROR(__xludf.DUMMYFUNCTION("""COMPUTED_VALUE"""),-0.503960771303418)</f>
        <v>-0.50396077130341799</v>
      </c>
      <c r="NQ108" s="3">
        <f ca="1">IFERROR(__xludf.DUMMYFUNCTION("""COMPUTED_VALUE"""),-0.522608239157536)</f>
        <v>-0.52260823915753596</v>
      </c>
      <c r="NR108" s="3">
        <f ca="1">IFERROR(__xludf.DUMMYFUNCTION("""COMPUTED_VALUE"""),-0.631709586252576)</f>
        <v>-0.63170958625257601</v>
      </c>
      <c r="NS108" s="3">
        <f ca="1">IFERROR(__xludf.DUMMYFUNCTION("""COMPUTED_VALUE"""),-0.652383787415832)</f>
        <v>-0.65238378741583203</v>
      </c>
      <c r="NT108" s="3">
        <f ca="1">IFERROR(__xludf.DUMMYFUNCTION("""COMPUTED_VALUE"""),-0.581457615790428)</f>
        <v>-0.58145761579042798</v>
      </c>
      <c r="NU108" s="3">
        <f ca="1">IFERROR(__xludf.DUMMYFUNCTION("""COMPUTED_VALUE"""),-0.590562116895824)</f>
        <v>-0.59056211689582405</v>
      </c>
      <c r="NV108" s="3">
        <f ca="1">IFERROR(__xludf.DUMMYFUNCTION("""COMPUTED_VALUE"""),-0.625152428176867)</f>
        <v>-0.625152428176867</v>
      </c>
      <c r="NW108" s="3">
        <f ca="1">IFERROR(__xludf.DUMMYFUNCTION("""COMPUTED_VALUE"""),-0.564752577584366)</f>
        <v>-0.56475257758436603</v>
      </c>
      <c r="NX108" s="3">
        <f ca="1">IFERROR(__xludf.DUMMYFUNCTION("""COMPUTED_VALUE"""),-0.602261800088823)</f>
        <v>-0.60226180008882302</v>
      </c>
      <c r="NY108" s="3">
        <f ca="1">IFERROR(__xludf.DUMMYFUNCTION("""COMPUTED_VALUE"""),-0.553090218699138)</f>
        <v>-0.55309021869913799</v>
      </c>
      <c r="NZ108" s="3">
        <f ca="1">IFERROR(__xludf.DUMMYFUNCTION("""COMPUTED_VALUE"""),-0.569509716256963)</f>
        <v>-0.56950971625696301</v>
      </c>
      <c r="OA108" s="3">
        <f ca="1">IFERROR(__xludf.DUMMYFUNCTION("""COMPUTED_VALUE"""),-0.577591309433394)</f>
        <v>-0.57759130943339398</v>
      </c>
      <c r="OB108" s="3">
        <f ca="1">IFERROR(__xludf.DUMMYFUNCTION("""COMPUTED_VALUE"""),-0.588329050590862)</f>
        <v>-0.58832905059086205</v>
      </c>
      <c r="OC108" s="3">
        <f ca="1">IFERROR(__xludf.DUMMYFUNCTION("""COMPUTED_VALUE"""),-0.569417968144065)</f>
        <v>-0.56941796814406498</v>
      </c>
      <c r="OD108" s="3">
        <f ca="1">IFERROR(__xludf.DUMMYFUNCTION("""COMPUTED_VALUE"""),-0.526878111492711)</f>
        <v>-0.52687811149271102</v>
      </c>
      <c r="OE108" s="3">
        <f ca="1">IFERROR(__xludf.DUMMYFUNCTION("""COMPUTED_VALUE"""),-0.444253839244616)</f>
        <v>-0.44425383924461598</v>
      </c>
      <c r="OF108" s="3">
        <f ca="1">IFERROR(__xludf.DUMMYFUNCTION("""COMPUTED_VALUE"""),-0.266263116141839)</f>
        <v>-0.26626311614183901</v>
      </c>
      <c r="OG108" s="3">
        <f ca="1">IFERROR(__xludf.DUMMYFUNCTION("""COMPUTED_VALUE"""),-0.265735057142618)</f>
        <v>-0.26573505714261803</v>
      </c>
      <c r="OH108" s="3">
        <f ca="1">IFERROR(__xludf.DUMMYFUNCTION("""COMPUTED_VALUE"""),-0.262015384962899)</f>
        <v>-0.262015384962899</v>
      </c>
      <c r="OI108" s="3">
        <f ca="1">IFERROR(__xludf.DUMMYFUNCTION("""COMPUTED_VALUE"""),-0.171325823471684)</f>
        <v>-0.17132582347168401</v>
      </c>
      <c r="OJ108" s="3">
        <f ca="1">IFERROR(__xludf.DUMMYFUNCTION("""COMPUTED_VALUE"""),-0.16959578611897)</f>
        <v>-0.16959578611897</v>
      </c>
      <c r="OK108" s="3">
        <f ca="1">IFERROR(__xludf.DUMMYFUNCTION("""COMPUTED_VALUE"""),-0.0651472257256765)</f>
        <v>-6.5147225725676494E-2</v>
      </c>
      <c r="OL108" s="3">
        <f ca="1">IFERROR(__xludf.DUMMYFUNCTION("""COMPUTED_VALUE"""),0.0217284144185594)</f>
        <v>2.17284144185594E-2</v>
      </c>
      <c r="OM108" s="3">
        <f ca="1">IFERROR(__xludf.DUMMYFUNCTION("""COMPUTED_VALUE"""),-0.00204312621610247)</f>
        <v>-2.0431262161024698E-3</v>
      </c>
      <c r="ON108" s="3">
        <f ca="1">IFERROR(__xludf.DUMMYFUNCTION("""COMPUTED_VALUE"""),-0.0873586273413227)</f>
        <v>-8.73586273413227E-2</v>
      </c>
      <c r="OO108" s="3">
        <f ca="1">IFERROR(__xludf.DUMMYFUNCTION("""COMPUTED_VALUE"""),-0.0804130457522871)</f>
        <v>-8.0413045752287096E-2</v>
      </c>
      <c r="OP108" s="3">
        <f ca="1">IFERROR(__xludf.DUMMYFUNCTION("""COMPUTED_VALUE"""),-0.0629377599036199)</f>
        <v>-6.2937759903619897E-2</v>
      </c>
      <c r="OQ108" s="3">
        <f ca="1">IFERROR(__xludf.DUMMYFUNCTION("""COMPUTED_VALUE"""),-0.0530056776889753)</f>
        <v>-5.3005677688975301E-2</v>
      </c>
      <c r="OR108" s="3">
        <f ca="1">IFERROR(__xludf.DUMMYFUNCTION("""COMPUTED_VALUE"""),-0.0621862005792116)</f>
        <v>-6.2186200579211599E-2</v>
      </c>
      <c r="OS108" s="3">
        <f ca="1">IFERROR(__xludf.DUMMYFUNCTION("""COMPUTED_VALUE"""),-0.108899702632327)</f>
        <v>-0.108899702632327</v>
      </c>
      <c r="OT108" s="3">
        <f ca="1">IFERROR(__xludf.DUMMYFUNCTION("""COMPUTED_VALUE"""),-0.0298363692817608)</f>
        <v>-2.98363692817608E-2</v>
      </c>
      <c r="OU108" s="3">
        <f ca="1">IFERROR(__xludf.DUMMYFUNCTION("""COMPUTED_VALUE"""),-0.0775793350823694)</f>
        <v>-7.7579335082369402E-2</v>
      </c>
      <c r="OV108" s="3">
        <f ca="1">IFERROR(__xludf.DUMMYFUNCTION("""COMPUTED_VALUE"""),0.0362904616327719)</f>
        <v>3.62904616327719E-2</v>
      </c>
      <c r="OW108" s="3">
        <f ca="1">IFERROR(__xludf.DUMMYFUNCTION("""COMPUTED_VALUE"""),-0.0423353429866745)</f>
        <v>-4.2335342986674497E-2</v>
      </c>
      <c r="OX108" s="3">
        <f ca="1">IFERROR(__xludf.DUMMYFUNCTION("""COMPUTED_VALUE"""),0.0529233452632089)</f>
        <v>5.2923345263208903E-2</v>
      </c>
      <c r="OY108" s="3">
        <f ca="1">IFERROR(__xludf.DUMMYFUNCTION("""COMPUTED_VALUE"""),-0.0325889033933626)</f>
        <v>-3.2588903393362602E-2</v>
      </c>
      <c r="OZ108" s="3">
        <f ca="1">IFERROR(__xludf.DUMMYFUNCTION("""COMPUTED_VALUE"""),0.00288636144994636)</f>
        <v>2.8863614499463602E-3</v>
      </c>
      <c r="PA108" s="3">
        <f ca="1">IFERROR(__xludf.DUMMYFUNCTION("""COMPUTED_VALUE"""),0.0657477479284365)</f>
        <v>6.5747747928436504E-2</v>
      </c>
      <c r="PB108" s="3">
        <f ca="1">IFERROR(__xludf.DUMMYFUNCTION("""COMPUTED_VALUE"""),0.0480388108931753)</f>
        <v>4.8038810893175299E-2</v>
      </c>
      <c r="PC108" s="3">
        <f ca="1">IFERROR(__xludf.DUMMYFUNCTION("""COMPUTED_VALUE"""),0.00459995426797688)</f>
        <v>4.5999542679768801E-3</v>
      </c>
      <c r="PD108" s="3">
        <f ca="1">IFERROR(__xludf.DUMMYFUNCTION("""COMPUTED_VALUE"""),-0.0355826725068684)</f>
        <v>-3.5582672506868397E-2</v>
      </c>
      <c r="PE108" s="3">
        <f ca="1">IFERROR(__xludf.DUMMYFUNCTION("""COMPUTED_VALUE"""),0.0959486531480939)</f>
        <v>9.5948653148093893E-2</v>
      </c>
      <c r="PF108" s="3">
        <f ca="1">IFERROR(__xludf.DUMMYFUNCTION("""COMPUTED_VALUE"""),-0.0485276138702224)</f>
        <v>-4.8527613870222398E-2</v>
      </c>
      <c r="PG108" s="3">
        <f ca="1">IFERROR(__xludf.DUMMYFUNCTION("""COMPUTED_VALUE"""),-0.121788372422052)</f>
        <v>-0.121788372422052</v>
      </c>
      <c r="PH108" s="3">
        <f ca="1">IFERROR(__xludf.DUMMYFUNCTION("""COMPUTED_VALUE"""),-0.00241214184295657)</f>
        <v>-2.41214184295657E-3</v>
      </c>
      <c r="PI108" s="3">
        <f ca="1">IFERROR(__xludf.DUMMYFUNCTION("""COMPUTED_VALUE"""),0.0777697314459711)</f>
        <v>7.7769731445971102E-2</v>
      </c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</row>
    <row r="109" spans="1:477" ht="13">
      <c r="A109" s="1" t="str">
        <f ca="1">IFERROR(__xludf.DUMMYFUNCTION("""COMPUTED_VALUE"""),"Valley Metro")</f>
        <v>Valley Metro</v>
      </c>
      <c r="B109" s="1" t="str">
        <f ca="1">IFERROR(__xludf.DUMMYFUNCTION("""COMPUTED_VALUE"""),"Phoenix")</f>
        <v>Phoenix</v>
      </c>
      <c r="C109" s="1" t="str">
        <f ca="1">IFERROR(__xludf.DUMMYFUNCTION("""COMPUTED_VALUE"""),"United States")</f>
        <v>United States</v>
      </c>
      <c r="D109" s="1" t="str">
        <f ca="1">IFERROR(__xludf.DUMMYFUNCTION("""COMPUTED_VALUE"""),"Arizona")</f>
        <v>Arizona</v>
      </c>
      <c r="E109" s="3">
        <f ca="1">IFERROR(__xludf.DUMMYFUNCTION("""COMPUTED_VALUE"""),0.188092593245675)</f>
        <v>0.18809259324567501</v>
      </c>
      <c r="F109" s="3">
        <f ca="1">IFERROR(__xludf.DUMMYFUNCTION("""COMPUTED_VALUE"""),0.119322520127028)</f>
        <v>0.119322520127028</v>
      </c>
      <c r="G109" s="3">
        <f ca="1">IFERROR(__xludf.DUMMYFUNCTION("""COMPUTED_VALUE"""),0.179427345537112)</f>
        <v>0.17942734553711201</v>
      </c>
      <c r="H109" s="3">
        <f ca="1">IFERROR(__xludf.DUMMYFUNCTION("""COMPUTED_VALUE"""),-0.04173823003397)</f>
        <v>-4.1738230033970002E-2</v>
      </c>
      <c r="I109" s="3">
        <f ca="1">IFERROR(__xludf.DUMMYFUNCTION("""COMPUTED_VALUE"""),-0.0295225658464344)</f>
        <v>-2.9522565846434399E-2</v>
      </c>
      <c r="J109" s="3">
        <f ca="1">IFERROR(__xludf.DUMMYFUNCTION("""COMPUTED_VALUE"""),0.0547447864769594)</f>
        <v>5.4744786476959399E-2</v>
      </c>
      <c r="K109" s="3">
        <f ca="1">IFERROR(__xludf.DUMMYFUNCTION("""COMPUTED_VALUE"""),0.0222898023730124)</f>
        <v>2.22898023730124E-2</v>
      </c>
      <c r="L109" s="3">
        <f ca="1">IFERROR(__xludf.DUMMYFUNCTION("""COMPUTED_VALUE"""),0.227371382680741)</f>
        <v>0.227371382680741</v>
      </c>
      <c r="M109" s="3">
        <f ca="1">IFERROR(__xludf.DUMMYFUNCTION("""COMPUTED_VALUE"""),0.059079788116956)</f>
        <v>5.9079788116956002E-2</v>
      </c>
      <c r="N109" s="3">
        <f ca="1">IFERROR(__xludf.DUMMYFUNCTION("""COMPUTED_VALUE"""),0.136347630456951)</f>
        <v>0.136347630456951</v>
      </c>
      <c r="O109" s="3">
        <f ca="1">IFERROR(__xludf.DUMMYFUNCTION("""COMPUTED_VALUE"""),-0.00342105477931153)</f>
        <v>-3.42105477931153E-3</v>
      </c>
      <c r="P109" s="3">
        <f ca="1">IFERROR(__xludf.DUMMYFUNCTION("""COMPUTED_VALUE"""),0.0635045966062795)</f>
        <v>6.3504596606279495E-2</v>
      </c>
      <c r="Q109" s="3">
        <f ca="1">IFERROR(__xludf.DUMMYFUNCTION("""COMPUTED_VALUE"""),-0.0196930137525049)</f>
        <v>-1.9693013752504901E-2</v>
      </c>
      <c r="R109" s="3">
        <f ca="1">IFERROR(__xludf.DUMMYFUNCTION("""COMPUTED_VALUE"""),0.114356750806837)</f>
        <v>0.11435675080683699</v>
      </c>
      <c r="S109" s="3">
        <f ca="1">IFERROR(__xludf.DUMMYFUNCTION("""COMPUTED_VALUE"""),0.0878959638974337)</f>
        <v>8.7895963897433704E-2</v>
      </c>
      <c r="T109" s="3">
        <f ca="1">IFERROR(__xludf.DUMMYFUNCTION("""COMPUTED_VALUE"""),-0.0243674284866338)</f>
        <v>-2.4367428486633799E-2</v>
      </c>
      <c r="U109" s="3">
        <f ca="1">IFERROR(__xludf.DUMMYFUNCTION("""COMPUTED_VALUE"""),-0.0143847787615888)</f>
        <v>-1.43847787615888E-2</v>
      </c>
      <c r="V109" s="3">
        <f ca="1">IFERROR(__xludf.DUMMYFUNCTION("""COMPUTED_VALUE"""),-0.0391496805612561)</f>
        <v>-3.9149680561256103E-2</v>
      </c>
      <c r="W109" s="3">
        <f ca="1">IFERROR(__xludf.DUMMYFUNCTION("""COMPUTED_VALUE"""),-0.0493021556526983)</f>
        <v>-4.9302155652698298E-2</v>
      </c>
      <c r="X109" s="3">
        <f ca="1">IFERROR(__xludf.DUMMYFUNCTION("""COMPUTED_VALUE"""),-0.0257213929012976)</f>
        <v>-2.5721392901297602E-2</v>
      </c>
      <c r="Y109" s="3">
        <f ca="1">IFERROR(__xludf.DUMMYFUNCTION("""COMPUTED_VALUE"""),0.0648024300758007)</f>
        <v>6.4802430075800693E-2</v>
      </c>
      <c r="Z109" s="3">
        <f ca="1">IFERROR(__xludf.DUMMYFUNCTION("""COMPUTED_VALUE"""),0.144717299400294)</f>
        <v>0.14471729940029401</v>
      </c>
      <c r="AA109" s="3">
        <f ca="1">IFERROR(__xludf.DUMMYFUNCTION("""COMPUTED_VALUE"""),0.136375356246659)</f>
        <v>0.136375356246659</v>
      </c>
      <c r="AB109" s="3">
        <f ca="1">IFERROR(__xludf.DUMMYFUNCTION("""COMPUTED_VALUE"""),0.0266376759245166)</f>
        <v>2.6637675924516602E-2</v>
      </c>
      <c r="AC109" s="3">
        <f ca="1">IFERROR(__xludf.DUMMYFUNCTION("""COMPUTED_VALUE"""),-0.118430432860638)</f>
        <v>-0.11843043286063799</v>
      </c>
      <c r="AD109" s="3">
        <f ca="1">IFERROR(__xludf.DUMMYFUNCTION("""COMPUTED_VALUE"""),0.0355199972781588)</f>
        <v>3.5519997278158799E-2</v>
      </c>
      <c r="AE109" s="3">
        <f ca="1">IFERROR(__xludf.DUMMYFUNCTION("""COMPUTED_VALUE"""),-0.0687102041173873)</f>
        <v>-6.8710204117387305E-2</v>
      </c>
      <c r="AF109" s="3">
        <f ca="1">IFERROR(__xludf.DUMMYFUNCTION("""COMPUTED_VALUE"""),0.0778598930696918)</f>
        <v>7.7859893069691793E-2</v>
      </c>
      <c r="AG109" s="3">
        <f ca="1">IFERROR(__xludf.DUMMYFUNCTION("""COMPUTED_VALUE"""),-0.0127870512419296)</f>
        <v>-1.27870512419296E-2</v>
      </c>
      <c r="AH109" s="3">
        <f ca="1">IFERROR(__xludf.DUMMYFUNCTION("""COMPUTED_VALUE"""),-0.110940020846336)</f>
        <v>-0.110940020846336</v>
      </c>
      <c r="AI109" s="3">
        <f ca="1">IFERROR(__xludf.DUMMYFUNCTION("""COMPUTED_VALUE"""),-0.0854473896705246)</f>
        <v>-8.5447389670524607E-2</v>
      </c>
      <c r="AJ109" s="3">
        <f ca="1">IFERROR(__xludf.DUMMYFUNCTION("""COMPUTED_VALUE"""),-0.118859750988554)</f>
        <v>-0.118859750988554</v>
      </c>
      <c r="AK109" s="3">
        <f ca="1">IFERROR(__xludf.DUMMYFUNCTION("""COMPUTED_VALUE"""),-0.176284808895372)</f>
        <v>-0.17628480889537201</v>
      </c>
      <c r="AL109" s="3">
        <f ca="1">IFERROR(__xludf.DUMMYFUNCTION("""COMPUTED_VALUE"""),-0.104439125319219)</f>
        <v>-0.10443912531921901</v>
      </c>
      <c r="AM109" s="3">
        <f ca="1">IFERROR(__xludf.DUMMYFUNCTION("""COMPUTED_VALUE"""),-0.0535350927444541)</f>
        <v>-5.3535092744454102E-2</v>
      </c>
      <c r="AN109" s="3">
        <f ca="1">IFERROR(__xludf.DUMMYFUNCTION("""COMPUTED_VALUE"""),-0.0361532272928639)</f>
        <v>-3.6153227292863903E-2</v>
      </c>
      <c r="AO109" s="3">
        <f ca="1">IFERROR(__xludf.DUMMYFUNCTION("""COMPUTED_VALUE"""),-0.166708960417613)</f>
        <v>-0.16670896041761299</v>
      </c>
      <c r="AP109" s="3">
        <f ca="1">IFERROR(__xludf.DUMMYFUNCTION("""COMPUTED_VALUE"""),-0.141345344390501)</f>
        <v>-0.141345344390501</v>
      </c>
      <c r="AQ109" s="3">
        <f ca="1">IFERROR(__xludf.DUMMYFUNCTION("""COMPUTED_VALUE"""),-0.158676782362756)</f>
        <v>-0.15867678236275601</v>
      </c>
      <c r="AR109" s="3">
        <f ca="1">IFERROR(__xludf.DUMMYFUNCTION("""COMPUTED_VALUE"""),-0.211237826387909)</f>
        <v>-0.211237826387909</v>
      </c>
      <c r="AS109" s="3">
        <f ca="1">IFERROR(__xludf.DUMMYFUNCTION("""COMPUTED_VALUE"""),-0.146441589580935)</f>
        <v>-0.14644158958093501</v>
      </c>
      <c r="AT109" s="3">
        <f ca="1">IFERROR(__xludf.DUMMYFUNCTION("""COMPUTED_VALUE"""),0.0228734387134448)</f>
        <v>2.2873438713444799E-2</v>
      </c>
      <c r="AU109" s="3">
        <f ca="1">IFERROR(__xludf.DUMMYFUNCTION("""COMPUTED_VALUE"""),-0.00809388609358341)</f>
        <v>-8.0938860935834099E-3</v>
      </c>
      <c r="AV109" s="3">
        <f ca="1">IFERROR(__xludf.DUMMYFUNCTION("""COMPUTED_VALUE"""),-0.161450181018326)</f>
        <v>-0.16145018101832601</v>
      </c>
      <c r="AW109" s="3">
        <f ca="1">IFERROR(__xludf.DUMMYFUNCTION("""COMPUTED_VALUE"""),-0.0847282654508878)</f>
        <v>-8.4728265450887796E-2</v>
      </c>
      <c r="AX109" s="3">
        <f ca="1">IFERROR(__xludf.DUMMYFUNCTION("""COMPUTED_VALUE"""),-0.22382028815991)</f>
        <v>-0.22382028815991001</v>
      </c>
      <c r="AY109" s="3">
        <f ca="1">IFERROR(__xludf.DUMMYFUNCTION("""COMPUTED_VALUE"""),-0.194741033863743)</f>
        <v>-0.194741033863743</v>
      </c>
      <c r="AZ109" s="3">
        <f ca="1">IFERROR(__xludf.DUMMYFUNCTION("""COMPUTED_VALUE"""),-0.0587790983232379)</f>
        <v>-5.8779098323237897E-2</v>
      </c>
      <c r="BA109" s="3">
        <f ca="1">IFERROR(__xludf.DUMMYFUNCTION("""COMPUTED_VALUE"""),-0.0473061652203472)</f>
        <v>-4.7306165220347203E-2</v>
      </c>
      <c r="BB109" s="3">
        <f ca="1">IFERROR(__xludf.DUMMYFUNCTION("""COMPUTED_VALUE"""),0.0414010529934529)</f>
        <v>4.1401052993452897E-2</v>
      </c>
      <c r="BC109" s="3">
        <f ca="1">IFERROR(__xludf.DUMMYFUNCTION("""COMPUTED_VALUE"""),-0.148968731385303)</f>
        <v>-0.148968731385303</v>
      </c>
      <c r="BD109" s="3">
        <f ca="1">IFERROR(__xludf.DUMMYFUNCTION("""COMPUTED_VALUE"""),-0.16463432448559)</f>
        <v>-0.16463432448559001</v>
      </c>
      <c r="BE109" s="3">
        <f ca="1">IFERROR(__xludf.DUMMYFUNCTION("""COMPUTED_VALUE"""),-0.305414973571581)</f>
        <v>-0.30541497357158098</v>
      </c>
      <c r="BF109" s="3">
        <f ca="1">IFERROR(__xludf.DUMMYFUNCTION("""COMPUTED_VALUE"""),-0.22362673486258)</f>
        <v>-0.22362673486258</v>
      </c>
      <c r="BG109" s="3">
        <f ca="1">IFERROR(__xludf.DUMMYFUNCTION("""COMPUTED_VALUE"""),-0.219434776943186)</f>
        <v>-0.219434776943186</v>
      </c>
      <c r="BH109" s="3">
        <f ca="1">IFERROR(__xludf.DUMMYFUNCTION("""COMPUTED_VALUE"""),0.105052229008315)</f>
        <v>0.105052229008315</v>
      </c>
      <c r="BI109" s="3">
        <f ca="1">IFERROR(__xludf.DUMMYFUNCTION("""COMPUTED_VALUE"""),-0.0425409998603323)</f>
        <v>-4.2540999860332301E-2</v>
      </c>
      <c r="BJ109" s="3">
        <f ca="1">IFERROR(__xludf.DUMMYFUNCTION("""COMPUTED_VALUE"""),-0.238058146744024)</f>
        <v>-0.23805814674402401</v>
      </c>
      <c r="BK109" s="3">
        <f ca="1">IFERROR(__xludf.DUMMYFUNCTION("""COMPUTED_VALUE"""),-0.255116323752637)</f>
        <v>-0.25511632375263699</v>
      </c>
      <c r="BL109" s="3">
        <f ca="1">IFERROR(__xludf.DUMMYFUNCTION("""COMPUTED_VALUE"""),-0.317215841387536)</f>
        <v>-0.317215841387536</v>
      </c>
      <c r="BM109" s="3">
        <f ca="1">IFERROR(__xludf.DUMMYFUNCTION("""COMPUTED_VALUE"""),-0.314273109444407)</f>
        <v>-0.31427310944440701</v>
      </c>
      <c r="BN109" s="3">
        <f ca="1">IFERROR(__xludf.DUMMYFUNCTION("""COMPUTED_VALUE"""),-0.317654906834424)</f>
        <v>-0.31765490683442399</v>
      </c>
      <c r="BO109" s="3">
        <f ca="1">IFERROR(__xludf.DUMMYFUNCTION("""COMPUTED_VALUE"""),-0.0909549575446375)</f>
        <v>-9.0954957544637505E-2</v>
      </c>
      <c r="BP109" s="3">
        <f ca="1">IFERROR(__xludf.DUMMYFUNCTION("""COMPUTED_VALUE"""),-0.241234455267375)</f>
        <v>-0.241234455267375</v>
      </c>
      <c r="BQ109" s="3">
        <f ca="1">IFERROR(__xludf.DUMMYFUNCTION("""COMPUTED_VALUE"""),-0.365908062869253)</f>
        <v>-0.36590806286925298</v>
      </c>
      <c r="BR109" s="3">
        <f ca="1">IFERROR(__xludf.DUMMYFUNCTION("""COMPUTED_VALUE"""),-0.29989761312956)</f>
        <v>-0.29989761312955998</v>
      </c>
      <c r="BS109" s="3">
        <f ca="1">IFERROR(__xludf.DUMMYFUNCTION("""COMPUTED_VALUE"""),-0.301497539904662)</f>
        <v>-0.30149753990466199</v>
      </c>
      <c r="BT109" s="3">
        <f ca="1">IFERROR(__xludf.DUMMYFUNCTION("""COMPUTED_VALUE"""),-0.308866423536486)</f>
        <v>-0.30886642353648602</v>
      </c>
      <c r="BU109" s="3">
        <f ca="1">IFERROR(__xludf.DUMMYFUNCTION("""COMPUTED_VALUE"""),-0.350922298212503)</f>
        <v>-0.35092229821250298</v>
      </c>
      <c r="BV109" s="3">
        <f ca="1">IFERROR(__xludf.DUMMYFUNCTION("""COMPUTED_VALUE"""),-0.019231123833048)</f>
        <v>-1.9231123833048001E-2</v>
      </c>
      <c r="BW109" s="3">
        <f ca="1">IFERROR(__xludf.DUMMYFUNCTION("""COMPUTED_VALUE"""),-0.1558502159662)</f>
        <v>-0.1558502159662</v>
      </c>
      <c r="BX109" s="3">
        <f ca="1">IFERROR(__xludf.DUMMYFUNCTION("""COMPUTED_VALUE"""),-0.333469639147208)</f>
        <v>-0.33346963914720801</v>
      </c>
      <c r="BY109" s="3">
        <f ca="1">IFERROR(__xludf.DUMMYFUNCTION("""COMPUTED_VALUE"""),-0.373338693840342)</f>
        <v>-0.37333869384034202</v>
      </c>
      <c r="BZ109" s="3">
        <f ca="1">IFERROR(__xludf.DUMMYFUNCTION("""COMPUTED_VALUE"""),-0.406012066179009)</f>
        <v>-0.40601206617900898</v>
      </c>
      <c r="CA109" s="3">
        <f ca="1">IFERROR(__xludf.DUMMYFUNCTION("""COMPUTED_VALUE"""),-0.407703668921421)</f>
        <v>-0.40770366892142101</v>
      </c>
      <c r="CB109" s="3">
        <f ca="1">IFERROR(__xludf.DUMMYFUNCTION("""COMPUTED_VALUE"""),-0.463002895058005)</f>
        <v>-0.46300289505800502</v>
      </c>
      <c r="CC109" s="3">
        <f ca="1">IFERROR(__xludf.DUMMYFUNCTION("""COMPUTED_VALUE"""),-0.286050818055514)</f>
        <v>-0.28605081805551402</v>
      </c>
      <c r="CD109" s="3">
        <f ca="1">IFERROR(__xludf.DUMMYFUNCTION("""COMPUTED_VALUE"""),-0.275474664435398)</f>
        <v>-0.27547466443539798</v>
      </c>
      <c r="CE109" s="3">
        <f ca="1">IFERROR(__xludf.DUMMYFUNCTION("""COMPUTED_VALUE"""),-0.350611551711735)</f>
        <v>-0.35061155171173503</v>
      </c>
      <c r="CF109" s="3">
        <f ca="1">IFERROR(__xludf.DUMMYFUNCTION("""COMPUTED_VALUE"""),-0.373326652253298)</f>
        <v>-0.37332665225329797</v>
      </c>
      <c r="CG109" s="3">
        <f ca="1">IFERROR(__xludf.DUMMYFUNCTION("""COMPUTED_VALUE"""),-0.43098390021272)</f>
        <v>-0.43098390021271998</v>
      </c>
      <c r="CH109" s="3">
        <f ca="1">IFERROR(__xludf.DUMMYFUNCTION("""COMPUTED_VALUE"""),-0.441931673250365)</f>
        <v>-0.44193167325036498</v>
      </c>
      <c r="CI109" s="3">
        <f ca="1">IFERROR(__xludf.DUMMYFUNCTION("""COMPUTED_VALUE"""),-0.422287531802351)</f>
        <v>-0.42228753180235101</v>
      </c>
      <c r="CJ109" s="3">
        <f ca="1">IFERROR(__xludf.DUMMYFUNCTION("""COMPUTED_VALUE"""),-0.196819428937425)</f>
        <v>-0.19681942893742499</v>
      </c>
      <c r="CK109" s="3">
        <f ca="1">IFERROR(__xludf.DUMMYFUNCTION("""COMPUTED_VALUE"""),-0.246181987780898)</f>
        <v>-0.246181987780898</v>
      </c>
      <c r="CL109" s="3">
        <f ca="1">IFERROR(__xludf.DUMMYFUNCTION("""COMPUTED_VALUE"""),-0.360471757641995)</f>
        <v>-0.36047175764199502</v>
      </c>
      <c r="CM109" s="3">
        <f ca="1">IFERROR(__xludf.DUMMYFUNCTION("""COMPUTED_VALUE"""),-0.360700267325427)</f>
        <v>-0.36070026732542698</v>
      </c>
      <c r="CN109" s="3">
        <f ca="1">IFERROR(__xludf.DUMMYFUNCTION("""COMPUTED_VALUE"""),-0.452524082652398)</f>
        <v>-0.45252408265239802</v>
      </c>
      <c r="CO109" s="3">
        <f ca="1">IFERROR(__xludf.DUMMYFUNCTION("""COMPUTED_VALUE"""),-0.394016564187269)</f>
        <v>-0.39401656418726899</v>
      </c>
      <c r="CP109" s="3">
        <f ca="1">IFERROR(__xludf.DUMMYFUNCTION("""COMPUTED_VALUE"""),-0.328476738251893)</f>
        <v>-0.328476738251893</v>
      </c>
      <c r="CQ109" s="3">
        <f ca="1">IFERROR(__xludf.DUMMYFUNCTION("""COMPUTED_VALUE"""),-0.136844145475029)</f>
        <v>-0.13684414547502899</v>
      </c>
      <c r="CR109" s="3">
        <f ca="1">IFERROR(__xludf.DUMMYFUNCTION("""COMPUTED_VALUE"""),-0.228915501479934)</f>
        <v>-0.228915501479934</v>
      </c>
      <c r="CS109" s="3">
        <f ca="1">IFERROR(__xludf.DUMMYFUNCTION("""COMPUTED_VALUE"""),-0.351219191346707)</f>
        <v>-0.35121919134670698</v>
      </c>
      <c r="CT109" s="3">
        <f ca="1">IFERROR(__xludf.DUMMYFUNCTION("""COMPUTED_VALUE"""),-0.387573536701783)</f>
        <v>-0.38757353670178302</v>
      </c>
      <c r="CU109" s="3">
        <f ca="1">IFERROR(__xludf.DUMMYFUNCTION("""COMPUTED_VALUE"""),-0.351154794812333)</f>
        <v>-0.35115479481233303</v>
      </c>
      <c r="CV109" s="3">
        <f ca="1">IFERROR(__xludf.DUMMYFUNCTION("""COMPUTED_VALUE"""),-0.343900626490763)</f>
        <v>-0.34390062649076297</v>
      </c>
      <c r="CW109" s="3">
        <f ca="1">IFERROR(__xludf.DUMMYFUNCTION("""COMPUTED_VALUE"""),-0.293985026746239)</f>
        <v>-0.293985026746239</v>
      </c>
      <c r="CX109" s="3">
        <f ca="1">IFERROR(__xludf.DUMMYFUNCTION("""COMPUTED_VALUE"""),-0.163749493696488)</f>
        <v>-0.163749493696488</v>
      </c>
      <c r="CY109" s="3">
        <f ca="1">IFERROR(__xludf.DUMMYFUNCTION("""COMPUTED_VALUE"""),-0.308924175871242)</f>
        <v>-0.30892417587124199</v>
      </c>
      <c r="CZ109" s="3">
        <f ca="1">IFERROR(__xludf.DUMMYFUNCTION("""COMPUTED_VALUE"""),-0.46382122934852)</f>
        <v>-0.46382122934851999</v>
      </c>
      <c r="DA109" s="3">
        <f ca="1">IFERROR(__xludf.DUMMYFUNCTION("""COMPUTED_VALUE"""),-0.322986228786584)</f>
        <v>-0.32298622878658401</v>
      </c>
      <c r="DB109" s="3">
        <f ca="1">IFERROR(__xludf.DUMMYFUNCTION("""COMPUTED_VALUE"""),-0.000380934308963354)</f>
        <v>-3.8093430896335401E-4</v>
      </c>
      <c r="DC109" s="3">
        <f ca="1">IFERROR(__xludf.DUMMYFUNCTION("""COMPUTED_VALUE"""),-0.286765772187519)</f>
        <v>-0.28676577218751897</v>
      </c>
      <c r="DD109" s="3">
        <f ca="1">IFERROR(__xludf.DUMMYFUNCTION("""COMPUTED_VALUE"""),-0.323846565473735)</f>
        <v>-0.32384656547373503</v>
      </c>
      <c r="DE109" s="3">
        <f ca="1">IFERROR(__xludf.DUMMYFUNCTION("""COMPUTED_VALUE"""),-0.154237996544172)</f>
        <v>-0.154237996544172</v>
      </c>
      <c r="DF109" s="3">
        <f ca="1">IFERROR(__xludf.DUMMYFUNCTION("""COMPUTED_VALUE"""),-0.38338326729401)</f>
        <v>-0.38338326729401001</v>
      </c>
      <c r="DG109" s="3">
        <f ca="1">IFERROR(__xludf.DUMMYFUNCTION("""COMPUTED_VALUE"""),-0.678671278077661)</f>
        <v>-0.67867127807766103</v>
      </c>
      <c r="DH109" s="3">
        <f ca="1">IFERROR(__xludf.DUMMYFUNCTION("""COMPUTED_VALUE"""),-0.401926975301109)</f>
        <v>-0.40192697530110899</v>
      </c>
      <c r="DI109" s="3">
        <f ca="1">IFERROR(__xludf.DUMMYFUNCTION("""COMPUTED_VALUE"""),-0.110953708662473)</f>
        <v>-0.11095370866247301</v>
      </c>
      <c r="DJ109" s="3">
        <f ca="1">IFERROR(__xludf.DUMMYFUNCTION("""COMPUTED_VALUE"""),-0.35612941331847)</f>
        <v>-0.35612941331846998</v>
      </c>
      <c r="DK109" s="3">
        <f ca="1">IFERROR(__xludf.DUMMYFUNCTION("""COMPUTED_VALUE"""),-0.346927516550763)</f>
        <v>-0.34692751655076298</v>
      </c>
      <c r="DL109" s="3">
        <f ca="1">IFERROR(__xludf.DUMMYFUNCTION("""COMPUTED_VALUE"""),-0.254071999327727)</f>
        <v>-0.25407199932772701</v>
      </c>
      <c r="DM109" s="3">
        <f ca="1">IFERROR(__xludf.DUMMYFUNCTION("""COMPUTED_VALUE"""),-0.36371180319315)</f>
        <v>-0.36371180319315</v>
      </c>
      <c r="DN109" s="3">
        <f ca="1">IFERROR(__xludf.DUMMYFUNCTION("""COMPUTED_VALUE"""),-0.384706715120989)</f>
        <v>-0.38470671512098897</v>
      </c>
      <c r="DO109" s="3">
        <f ca="1">IFERROR(__xludf.DUMMYFUNCTION("""COMPUTED_VALUE"""),-0.36470156426193)</f>
        <v>-0.36470156426193001</v>
      </c>
      <c r="DP109" s="3">
        <f ca="1">IFERROR(__xludf.DUMMYFUNCTION("""COMPUTED_VALUE"""),-0.28700861490123)</f>
        <v>-0.28700861490122997</v>
      </c>
      <c r="DQ109" s="3">
        <f ca="1">IFERROR(__xludf.DUMMYFUNCTION("""COMPUTED_VALUE"""),-0.463260789938105)</f>
        <v>-0.46326078993810499</v>
      </c>
      <c r="DR109" s="3">
        <f ca="1">IFERROR(__xludf.DUMMYFUNCTION("""COMPUTED_VALUE"""),-0.401205778197135)</f>
        <v>-0.40120577819713499</v>
      </c>
      <c r="DS109" s="3">
        <f ca="1">IFERROR(__xludf.DUMMYFUNCTION("""COMPUTED_VALUE"""),-0.298067739986046)</f>
        <v>-0.29806773998604602</v>
      </c>
      <c r="DT109" s="3">
        <f ca="1">IFERROR(__xludf.DUMMYFUNCTION("""COMPUTED_VALUE"""),-0.438381505258342)</f>
        <v>-0.43838150525834202</v>
      </c>
      <c r="DU109" s="3">
        <f ca="1">IFERROR(__xludf.DUMMYFUNCTION("""COMPUTED_VALUE"""),-0.515510957865155)</f>
        <v>-0.515510957865155</v>
      </c>
      <c r="DV109" s="3">
        <f ca="1">IFERROR(__xludf.DUMMYFUNCTION("""COMPUTED_VALUE"""),-0.470013988118909)</f>
        <v>-0.47001398811890899</v>
      </c>
      <c r="DW109" s="3">
        <f ca="1">IFERROR(__xludf.DUMMYFUNCTION("""COMPUTED_VALUE"""),-0.496524497557286)</f>
        <v>-0.496524497557286</v>
      </c>
      <c r="DX109" s="3">
        <f ca="1">IFERROR(__xludf.DUMMYFUNCTION("""COMPUTED_VALUE"""),-0.555782965818182)</f>
        <v>-0.55578296581818198</v>
      </c>
      <c r="DY109" s="3">
        <f ca="1">IFERROR(__xludf.DUMMYFUNCTION("""COMPUTED_VALUE"""),-0.482802125012788)</f>
        <v>-0.48280212501278802</v>
      </c>
      <c r="DZ109" s="3">
        <f ca="1">IFERROR(__xludf.DUMMYFUNCTION("""COMPUTED_VALUE"""),-0.335486682660795)</f>
        <v>-0.33548668266079501</v>
      </c>
      <c r="EA109" s="3">
        <f ca="1">IFERROR(__xludf.DUMMYFUNCTION("""COMPUTED_VALUE"""),-0.417280873173922)</f>
        <v>-0.41728087317392198</v>
      </c>
      <c r="EB109" s="3">
        <f ca="1">IFERROR(__xludf.DUMMYFUNCTION("""COMPUTED_VALUE"""),-0.40661076798747)</f>
        <v>-0.40661076798746998</v>
      </c>
      <c r="EC109" s="3">
        <f ca="1">IFERROR(__xludf.DUMMYFUNCTION("""COMPUTED_VALUE"""),-0.338080387508865)</f>
        <v>-0.33808038750886499</v>
      </c>
      <c r="ED109" s="3">
        <f ca="1">IFERROR(__xludf.DUMMYFUNCTION("""COMPUTED_VALUE"""),-0.457424349880665)</f>
        <v>-0.45742434988066499</v>
      </c>
      <c r="EE109" s="3">
        <f ca="1">IFERROR(__xludf.DUMMYFUNCTION("""COMPUTED_VALUE"""),-0.466389135137336)</f>
        <v>-0.46638913513733599</v>
      </c>
      <c r="EF109" s="3">
        <f ca="1">IFERROR(__xludf.DUMMYFUNCTION("""COMPUTED_VALUE"""),-0.470069409255017)</f>
        <v>-0.470069409255017</v>
      </c>
      <c r="EG109" s="3">
        <f ca="1">IFERROR(__xludf.DUMMYFUNCTION("""COMPUTED_VALUE"""),-0.276945376665911)</f>
        <v>-0.27694537666591101</v>
      </c>
      <c r="EH109" s="3">
        <f ca="1">IFERROR(__xludf.DUMMYFUNCTION("""COMPUTED_VALUE"""),-0.434385073800415)</f>
        <v>-0.43438507380041502</v>
      </c>
      <c r="EI109" s="3">
        <f ca="1">IFERROR(__xludf.DUMMYFUNCTION("""COMPUTED_VALUE"""),-0.520559837668715)</f>
        <v>-0.52055983766871505</v>
      </c>
      <c r="EJ109" s="3">
        <f ca="1">IFERROR(__xludf.DUMMYFUNCTION("""COMPUTED_VALUE"""),-0.558421199913188)</f>
        <v>-0.55842119991318795</v>
      </c>
      <c r="EK109" s="3">
        <f ca="1">IFERROR(__xludf.DUMMYFUNCTION("""COMPUTED_VALUE"""),-0.437947791923839)</f>
        <v>-0.43794779192383898</v>
      </c>
      <c r="EL109" s="3">
        <f ca="1">IFERROR(__xludf.DUMMYFUNCTION("""COMPUTED_VALUE"""),-0.490372999220505)</f>
        <v>-0.49037299922050498</v>
      </c>
      <c r="EM109" s="3">
        <f ca="1">IFERROR(__xludf.DUMMYFUNCTION("""COMPUTED_VALUE"""),-0.502799736037169)</f>
        <v>-0.50279973603716899</v>
      </c>
      <c r="EN109" s="3">
        <f ca="1">IFERROR(__xludf.DUMMYFUNCTION("""COMPUTED_VALUE"""),-0.367877442941086)</f>
        <v>-0.36787744294108599</v>
      </c>
      <c r="EO109" s="3">
        <f ca="1">IFERROR(__xludf.DUMMYFUNCTION("""COMPUTED_VALUE"""),-0.346725291242544)</f>
        <v>-0.34672529124254398</v>
      </c>
      <c r="EP109" s="3">
        <f ca="1">IFERROR(__xludf.DUMMYFUNCTION("""COMPUTED_VALUE"""),-0.37975938930669)</f>
        <v>-0.37975938930669001</v>
      </c>
      <c r="EQ109" s="3">
        <f ca="1">IFERROR(__xludf.DUMMYFUNCTION("""COMPUTED_VALUE"""),-0.350708290225897)</f>
        <v>-0.350708290225897</v>
      </c>
      <c r="ER109" s="3">
        <f ca="1">IFERROR(__xludf.DUMMYFUNCTION("""COMPUTED_VALUE"""),-0.377265365070847)</f>
        <v>-0.37726536507084701</v>
      </c>
      <c r="ES109" s="3">
        <f ca="1">IFERROR(__xludf.DUMMYFUNCTION("""COMPUTED_VALUE"""),-0.358967872711565)</f>
        <v>-0.35896787271156499</v>
      </c>
      <c r="ET109" s="3">
        <f ca="1">IFERROR(__xludf.DUMMYFUNCTION("""COMPUTED_VALUE"""),-0.432149140474278)</f>
        <v>-0.43214914047427799</v>
      </c>
      <c r="EU109" s="3">
        <f ca="1">IFERROR(__xludf.DUMMYFUNCTION("""COMPUTED_VALUE"""),-0.371562894122753)</f>
        <v>-0.37156289412275301</v>
      </c>
      <c r="EV109" s="3">
        <f ca="1">IFERROR(__xludf.DUMMYFUNCTION("""COMPUTED_VALUE"""),-0.3245181783815)</f>
        <v>-0.32451817838149999</v>
      </c>
      <c r="EW109" s="3">
        <f ca="1">IFERROR(__xludf.DUMMYFUNCTION("""COMPUTED_VALUE"""),-0.445010505898622)</f>
        <v>-0.44501050589862201</v>
      </c>
      <c r="EX109" s="3">
        <f ca="1">IFERROR(__xludf.DUMMYFUNCTION("""COMPUTED_VALUE"""),-0.473962659503593)</f>
        <v>-0.47396265950359301</v>
      </c>
      <c r="EY109" s="3">
        <f ca="1">IFERROR(__xludf.DUMMYFUNCTION("""COMPUTED_VALUE"""),-0.446738826788666)</f>
        <v>-0.446738826788666</v>
      </c>
      <c r="EZ109" s="3">
        <f ca="1">IFERROR(__xludf.DUMMYFUNCTION("""COMPUTED_VALUE"""),-0.435541909801512)</f>
        <v>-0.43554190980151197</v>
      </c>
      <c r="FA109" s="3">
        <f ca="1">IFERROR(__xludf.DUMMYFUNCTION("""COMPUTED_VALUE"""),-0.467809375197557)</f>
        <v>-0.467809375197557</v>
      </c>
      <c r="FB109" s="3">
        <f ca="1">IFERROR(__xludf.DUMMYFUNCTION("""COMPUTED_VALUE"""),-0.37115398259115)</f>
        <v>-0.37115398259115001</v>
      </c>
      <c r="FC109" s="3">
        <f ca="1">IFERROR(__xludf.DUMMYFUNCTION("""COMPUTED_VALUE"""),-0.384859933105818)</f>
        <v>-0.38485993310581801</v>
      </c>
      <c r="FD109" s="3">
        <f ca="1">IFERROR(__xludf.DUMMYFUNCTION("""COMPUTED_VALUE"""),-0.438691070345046)</f>
        <v>-0.43869107034504601</v>
      </c>
      <c r="FE109" s="3">
        <f ca="1">IFERROR(__xludf.DUMMYFUNCTION("""COMPUTED_VALUE"""),-0.469014612248308)</f>
        <v>-0.46901461224830798</v>
      </c>
      <c r="FF109" s="3">
        <f ca="1">IFERROR(__xludf.DUMMYFUNCTION("""COMPUTED_VALUE"""),-0.429199750705257)</f>
        <v>-0.42919975070525701</v>
      </c>
      <c r="FG109" s="3">
        <f ca="1">IFERROR(__xludf.DUMMYFUNCTION("""COMPUTED_VALUE"""),-0.445602116756113)</f>
        <v>-0.445602116756113</v>
      </c>
      <c r="FH109" s="3">
        <f ca="1">IFERROR(__xludf.DUMMYFUNCTION("""COMPUTED_VALUE"""),-0.402318186747514)</f>
        <v>-0.40231818674751402</v>
      </c>
      <c r="FI109" s="3">
        <f ca="1">IFERROR(__xludf.DUMMYFUNCTION("""COMPUTED_VALUE"""),-0.282604599232928)</f>
        <v>-0.28260459923292802</v>
      </c>
      <c r="FJ109" s="3">
        <f ca="1">IFERROR(__xludf.DUMMYFUNCTION("""COMPUTED_VALUE"""),-0.357112998509069)</f>
        <v>-0.35711299850906902</v>
      </c>
      <c r="FK109" s="3">
        <f ca="1">IFERROR(__xludf.DUMMYFUNCTION("""COMPUTED_VALUE"""),-0.453981440501767)</f>
        <v>-0.45398144050176698</v>
      </c>
      <c r="FL109" s="3">
        <f ca="1">IFERROR(__xludf.DUMMYFUNCTION("""COMPUTED_VALUE"""),-0.441069912941228)</f>
        <v>-0.44106991294122799</v>
      </c>
      <c r="FM109" s="3">
        <f ca="1">IFERROR(__xludf.DUMMYFUNCTION("""COMPUTED_VALUE"""),-0.410480629903257)</f>
        <v>-0.41048062990325701</v>
      </c>
      <c r="FN109" s="3">
        <f ca="1">IFERROR(__xludf.DUMMYFUNCTION("""COMPUTED_VALUE"""),-0.40537609475703)</f>
        <v>-0.40537609475703001</v>
      </c>
      <c r="FO109" s="3">
        <f ca="1">IFERROR(__xludf.DUMMYFUNCTION("""COMPUTED_VALUE"""),-0.397098328841002)</f>
        <v>-0.39709832884100199</v>
      </c>
      <c r="FP109" s="3">
        <f ca="1">IFERROR(__xludf.DUMMYFUNCTION("""COMPUTED_VALUE"""),-0.360666780072755)</f>
        <v>-0.36066678007275499</v>
      </c>
      <c r="FQ109" s="3">
        <f ca="1">IFERROR(__xludf.DUMMYFUNCTION("""COMPUTED_VALUE"""),-0.373900804859431)</f>
        <v>-0.373900804859431</v>
      </c>
      <c r="FR109" s="3">
        <f ca="1">IFERROR(__xludf.DUMMYFUNCTION("""COMPUTED_VALUE"""),-0.447776684031434)</f>
        <v>-0.447776684031434</v>
      </c>
      <c r="FS109" s="3">
        <f ca="1">IFERROR(__xludf.DUMMYFUNCTION("""COMPUTED_VALUE"""),-0.497575365397677)</f>
        <v>-0.49757536539767699</v>
      </c>
      <c r="FT109" s="3">
        <f ca="1">IFERROR(__xludf.DUMMYFUNCTION("""COMPUTED_VALUE"""),-0.456615209689156)</f>
        <v>-0.45661520968915598</v>
      </c>
      <c r="FU109" s="3">
        <f ca="1">IFERROR(__xludf.DUMMYFUNCTION("""COMPUTED_VALUE"""),-0.405428650410232)</f>
        <v>-0.40542865041023202</v>
      </c>
      <c r="FV109" s="3">
        <f ca="1">IFERROR(__xludf.DUMMYFUNCTION("""COMPUTED_VALUE"""),-0.442706253110955)</f>
        <v>-0.44270625311095502</v>
      </c>
      <c r="FW109" s="3">
        <f ca="1">IFERROR(__xludf.DUMMYFUNCTION("""COMPUTED_VALUE"""),-0.274878333093797)</f>
        <v>-0.274878333093797</v>
      </c>
      <c r="FX109" s="3">
        <f ca="1">IFERROR(__xludf.DUMMYFUNCTION("""COMPUTED_VALUE"""),-0.32567513234202)</f>
        <v>-0.32567513234202</v>
      </c>
      <c r="FY109" s="3">
        <f ca="1">IFERROR(__xludf.DUMMYFUNCTION("""COMPUTED_VALUE"""),-0.398459831493978)</f>
        <v>-0.39845983149397801</v>
      </c>
      <c r="FZ109" s="3">
        <f ca="1">IFERROR(__xludf.DUMMYFUNCTION("""COMPUTED_VALUE"""),-0.476390155977919)</f>
        <v>-0.47639015597791901</v>
      </c>
      <c r="GA109" s="3">
        <f ca="1">IFERROR(__xludf.DUMMYFUNCTION("""COMPUTED_VALUE"""),-0.494476221906725)</f>
        <v>-0.49447622190672502</v>
      </c>
      <c r="GB109" s="3">
        <f ca="1">IFERROR(__xludf.DUMMYFUNCTION("""COMPUTED_VALUE"""),-0.497695301664948)</f>
        <v>-0.49769530166494802</v>
      </c>
      <c r="GC109" s="3">
        <f ca="1">IFERROR(__xludf.DUMMYFUNCTION("""COMPUTED_VALUE"""),-0.428369658442693)</f>
        <v>-0.42836965844269298</v>
      </c>
      <c r="GD109" s="3">
        <f ca="1">IFERROR(__xludf.DUMMYFUNCTION("""COMPUTED_VALUE"""),-0.317745141248977)</f>
        <v>-0.31774514124897701</v>
      </c>
      <c r="GE109" s="3">
        <f ca="1">IFERROR(__xludf.DUMMYFUNCTION("""COMPUTED_VALUE"""),-0.446867787135418)</f>
        <v>-0.44686778713541803</v>
      </c>
      <c r="GF109" s="3">
        <f ca="1">IFERROR(__xludf.DUMMYFUNCTION("""COMPUTED_VALUE"""),-0.468468951429283)</f>
        <v>-0.46846895142928302</v>
      </c>
      <c r="GG109" s="3">
        <f ca="1">IFERROR(__xludf.DUMMYFUNCTION("""COMPUTED_VALUE"""),-0.515192485828102)</f>
        <v>-0.51519248582810195</v>
      </c>
      <c r="GH109" s="3">
        <f ca="1">IFERROR(__xludf.DUMMYFUNCTION("""COMPUTED_VALUE"""),-0.471935254470308)</f>
        <v>-0.47193525447030799</v>
      </c>
      <c r="GI109" s="3">
        <f ca="1">IFERROR(__xludf.DUMMYFUNCTION("""COMPUTED_VALUE"""),-0.49982870532296)</f>
        <v>-0.49982870532295998</v>
      </c>
      <c r="GJ109" s="3">
        <f ca="1">IFERROR(__xludf.DUMMYFUNCTION("""COMPUTED_VALUE"""),-0.403601129132893)</f>
        <v>-0.40360112913289298</v>
      </c>
      <c r="GK109" s="3">
        <f ca="1">IFERROR(__xludf.DUMMYFUNCTION("""COMPUTED_VALUE"""),-0.344144854199515)</f>
        <v>-0.34414485419951502</v>
      </c>
      <c r="GL109" s="3">
        <f ca="1">IFERROR(__xludf.DUMMYFUNCTION("""COMPUTED_VALUE"""),-0.400085171037782)</f>
        <v>-0.40008517103778202</v>
      </c>
      <c r="GM109" s="3">
        <f ca="1">IFERROR(__xludf.DUMMYFUNCTION("""COMPUTED_VALUE"""),-0.523983156424012)</f>
        <v>-0.52398315642401205</v>
      </c>
      <c r="GN109" s="3">
        <f ca="1">IFERROR(__xludf.DUMMYFUNCTION("""COMPUTED_VALUE"""),-0.517904308615406)</f>
        <v>-0.51790430861540604</v>
      </c>
      <c r="GO109" s="3">
        <f ca="1">IFERROR(__xludf.DUMMYFUNCTION("""COMPUTED_VALUE"""),-0.491739309417566)</f>
        <v>-0.491739309417566</v>
      </c>
      <c r="GP109" s="3">
        <f ca="1">IFERROR(__xludf.DUMMYFUNCTION("""COMPUTED_VALUE"""),-0.49933408139747)</f>
        <v>-0.49933408139746999</v>
      </c>
      <c r="GQ109" s="3">
        <f ca="1">IFERROR(__xludf.DUMMYFUNCTION("""COMPUTED_VALUE"""),-0.419066031882287)</f>
        <v>-0.41906603188228703</v>
      </c>
      <c r="GR109" s="3">
        <f ca="1">IFERROR(__xludf.DUMMYFUNCTION("""COMPUTED_VALUE"""),-0.354824980518173)</f>
        <v>-0.35482498051817302</v>
      </c>
      <c r="GS109" s="3">
        <f ca="1">IFERROR(__xludf.DUMMYFUNCTION("""COMPUTED_VALUE"""),-0.454713388582959)</f>
        <v>-0.45471338858295901</v>
      </c>
      <c r="GT109" s="3">
        <f ca="1">IFERROR(__xludf.DUMMYFUNCTION("""COMPUTED_VALUE"""),-0.53237557483488)</f>
        <v>-0.53237557483487996</v>
      </c>
      <c r="GU109" s="3">
        <f ca="1">IFERROR(__xludf.DUMMYFUNCTION("""COMPUTED_VALUE"""),-0.538904577182986)</f>
        <v>-0.53890457718298601</v>
      </c>
      <c r="GV109" s="3">
        <f ca="1">IFERROR(__xludf.DUMMYFUNCTION("""COMPUTED_VALUE"""),-0.514046584402817)</f>
        <v>-0.51404658440281703</v>
      </c>
      <c r="GW109" s="3">
        <f ca="1">IFERROR(__xludf.DUMMYFUNCTION("""COMPUTED_VALUE"""),-0.511375242211005)</f>
        <v>-0.51137524221100505</v>
      </c>
      <c r="GX109" s="3">
        <f ca="1">IFERROR(__xludf.DUMMYFUNCTION("""COMPUTED_VALUE"""),-0.458153776446545)</f>
        <v>-0.45815377644654498</v>
      </c>
      <c r="GY109" s="3">
        <f ca="1">IFERROR(__xludf.DUMMYFUNCTION("""COMPUTED_VALUE"""),-0.326426404690545)</f>
        <v>-0.32642640469054501</v>
      </c>
      <c r="GZ109" s="3">
        <f ca="1">IFERROR(__xludf.DUMMYFUNCTION("""COMPUTED_VALUE"""),-0.474194609519979)</f>
        <v>-0.47419460951997899</v>
      </c>
      <c r="HA109" s="3">
        <f ca="1">IFERROR(__xludf.DUMMYFUNCTION("""COMPUTED_VALUE"""),-0.588850751908942)</f>
        <v>-0.58885075190894198</v>
      </c>
      <c r="HB109" s="3">
        <f ca="1">IFERROR(__xludf.DUMMYFUNCTION("""COMPUTED_VALUE"""),-0.539173959194366)</f>
        <v>-0.53917395919436595</v>
      </c>
      <c r="HC109" s="3">
        <f ca="1">IFERROR(__xludf.DUMMYFUNCTION("""COMPUTED_VALUE"""),-0.551138130013821)</f>
        <v>-0.55113813001382095</v>
      </c>
      <c r="HD109" s="3">
        <f ca="1">IFERROR(__xludf.DUMMYFUNCTION("""COMPUTED_VALUE"""),-0.57086600208893)</f>
        <v>-0.57086600208893001</v>
      </c>
      <c r="HE109" s="3">
        <f ca="1">IFERROR(__xludf.DUMMYFUNCTION("""COMPUTED_VALUE"""),-0.56205135587285)</f>
        <v>-0.56205135587285004</v>
      </c>
      <c r="HF109" s="3">
        <f ca="1">IFERROR(__xludf.DUMMYFUNCTION("""COMPUTED_VALUE"""),-0.420516844437541)</f>
        <v>-0.420516844437541</v>
      </c>
      <c r="HG109" s="3">
        <f ca="1">IFERROR(__xludf.DUMMYFUNCTION("""COMPUTED_VALUE"""),-0.43674101259581)</f>
        <v>-0.43674101259581</v>
      </c>
      <c r="HH109" s="3">
        <f ca="1">IFERROR(__xludf.DUMMYFUNCTION("""COMPUTED_VALUE"""),-0.600846027275286)</f>
        <v>-0.60084602727528602</v>
      </c>
      <c r="HI109" s="3">
        <f ca="1">IFERROR(__xludf.DUMMYFUNCTION("""COMPUTED_VALUE"""),-0.584534154480427)</f>
        <v>-0.584534154480427</v>
      </c>
      <c r="HJ109" s="3">
        <f ca="1">IFERROR(__xludf.DUMMYFUNCTION("""COMPUTED_VALUE"""),-0.559468063511242)</f>
        <v>-0.55946806351124201</v>
      </c>
      <c r="HK109" s="3">
        <f ca="1">IFERROR(__xludf.DUMMYFUNCTION("""COMPUTED_VALUE"""),-0.594814090944968)</f>
        <v>-0.59481409094496795</v>
      </c>
      <c r="HL109" s="3">
        <f ca="1">IFERROR(__xludf.DUMMYFUNCTION("""COMPUTED_VALUE"""),-0.608679010934825)</f>
        <v>-0.60867901093482502</v>
      </c>
      <c r="HM109" s="3">
        <f ca="1">IFERROR(__xludf.DUMMYFUNCTION("""COMPUTED_VALUE"""),-0.443551940802139)</f>
        <v>-0.443551940802139</v>
      </c>
      <c r="HN109" s="3">
        <f ca="1">IFERROR(__xludf.DUMMYFUNCTION("""COMPUTED_VALUE"""),-0.474580347203595)</f>
        <v>-0.47458034720359499</v>
      </c>
      <c r="HO109" s="3">
        <f ca="1">IFERROR(__xludf.DUMMYFUNCTION("""COMPUTED_VALUE"""),-0.586232632383013)</f>
        <v>-0.58623263238301304</v>
      </c>
      <c r="HP109" s="3">
        <f ca="1">IFERROR(__xludf.DUMMYFUNCTION("""COMPUTED_VALUE"""),-0.618484419789335)</f>
        <v>-0.61848441978933499</v>
      </c>
      <c r="HQ109" s="3">
        <f ca="1">IFERROR(__xludf.DUMMYFUNCTION("""COMPUTED_VALUE"""),-0.639972169617372)</f>
        <v>-0.63997216961737202</v>
      </c>
      <c r="HR109" s="3">
        <f ca="1">IFERROR(__xludf.DUMMYFUNCTION("""COMPUTED_VALUE"""),-0.652592210548097)</f>
        <v>-0.65259221054809702</v>
      </c>
      <c r="HS109" s="3">
        <f ca="1">IFERROR(__xludf.DUMMYFUNCTION("""COMPUTED_VALUE"""),-0.608630175209517)</f>
        <v>-0.60863017520951701</v>
      </c>
      <c r="HT109" s="3">
        <f ca="1">IFERROR(__xludf.DUMMYFUNCTION("""COMPUTED_VALUE"""),-0.545141158572138)</f>
        <v>-0.54514115857213796</v>
      </c>
      <c r="HU109" s="3">
        <f ca="1">IFERROR(__xludf.DUMMYFUNCTION("""COMPUTED_VALUE"""),-0.545488752098095)</f>
        <v>-0.545488752098095</v>
      </c>
      <c r="HV109" s="3">
        <f ca="1">IFERROR(__xludf.DUMMYFUNCTION("""COMPUTED_VALUE"""),-0.616345242038679)</f>
        <v>-0.61634524203867902</v>
      </c>
      <c r="HW109" s="3">
        <f ca="1">IFERROR(__xludf.DUMMYFUNCTION("""COMPUTED_VALUE"""),-0.694444173150564)</f>
        <v>-0.69444417315056395</v>
      </c>
      <c r="HX109" s="3">
        <f ca="1">IFERROR(__xludf.DUMMYFUNCTION("""COMPUTED_VALUE"""),-0.649465839309366)</f>
        <v>-0.64946583930936597</v>
      </c>
      <c r="HY109" s="3">
        <f ca="1">IFERROR(__xludf.DUMMYFUNCTION("""COMPUTED_VALUE"""),-0.684176503415134)</f>
        <v>-0.68417650341513403</v>
      </c>
      <c r="HZ109" s="3">
        <f ca="1">IFERROR(__xludf.DUMMYFUNCTION("""COMPUTED_VALUE"""),-0.578490947577799)</f>
        <v>-0.57849094757779895</v>
      </c>
      <c r="IA109" s="3">
        <f ca="1">IFERROR(__xludf.DUMMYFUNCTION("""COMPUTED_VALUE"""),-0.488824306610774)</f>
        <v>-0.48882430661077397</v>
      </c>
      <c r="IB109" s="3">
        <f ca="1">IFERROR(__xludf.DUMMYFUNCTION("""COMPUTED_VALUE"""),-0.470324725823465)</f>
        <v>-0.47032472582346502</v>
      </c>
      <c r="IC109" s="3">
        <f ca="1">IFERROR(__xludf.DUMMYFUNCTION("""COMPUTED_VALUE"""),-0.607957128822149)</f>
        <v>-0.60795712882214903</v>
      </c>
      <c r="ID109" s="3">
        <f ca="1">IFERROR(__xludf.DUMMYFUNCTION("""COMPUTED_VALUE"""),-0.660652144936598)</f>
        <v>-0.66065214493659796</v>
      </c>
      <c r="IE109" s="3">
        <f ca="1">IFERROR(__xludf.DUMMYFUNCTION("""COMPUTED_VALUE"""),-0.630778336699791)</f>
        <v>-0.630778336699791</v>
      </c>
      <c r="IF109" s="3">
        <f ca="1">IFERROR(__xludf.DUMMYFUNCTION("""COMPUTED_VALUE"""),-0.662793746731083)</f>
        <v>-0.66279374673108304</v>
      </c>
      <c r="IG109" s="3">
        <f ca="1">IFERROR(__xludf.DUMMYFUNCTION("""COMPUTED_VALUE"""),-0.628306488366646)</f>
        <v>-0.62830648836664604</v>
      </c>
      <c r="IH109" s="3">
        <f ca="1">IFERROR(__xludf.DUMMYFUNCTION("""COMPUTED_VALUE"""),-0.492527647034716)</f>
        <v>-0.49252764703471602</v>
      </c>
      <c r="II109" s="3">
        <f ca="1">IFERROR(__xludf.DUMMYFUNCTION("""COMPUTED_VALUE"""),-0.488535189607131)</f>
        <v>-0.48853518960713099</v>
      </c>
      <c r="IJ109" s="3">
        <f ca="1">IFERROR(__xludf.DUMMYFUNCTION("""COMPUTED_VALUE"""),-0.575659240628687)</f>
        <v>-0.57565924062868701</v>
      </c>
      <c r="IK109" s="3">
        <f ca="1">IFERROR(__xludf.DUMMYFUNCTION("""COMPUTED_VALUE"""),-0.673755729667932)</f>
        <v>-0.67375572966793196</v>
      </c>
      <c r="IL109" s="3">
        <f ca="1">IFERROR(__xludf.DUMMYFUNCTION("""COMPUTED_VALUE"""),-0.652576089417809)</f>
        <v>-0.65257608941780898</v>
      </c>
      <c r="IM109" s="3">
        <f ca="1">IFERROR(__xludf.DUMMYFUNCTION("""COMPUTED_VALUE"""),-0.605672050292176)</f>
        <v>-0.60567205029217597</v>
      </c>
      <c r="IN109" s="3">
        <f ca="1">IFERROR(__xludf.DUMMYFUNCTION("""COMPUTED_VALUE"""),-0.659275664696303)</f>
        <v>-0.65927566469630305</v>
      </c>
      <c r="IO109" s="3">
        <f ca="1">IFERROR(__xludf.DUMMYFUNCTION("""COMPUTED_VALUE"""),-0.490818742795291)</f>
        <v>-0.49081874279529097</v>
      </c>
      <c r="IP109" s="3">
        <f ca="1">IFERROR(__xludf.DUMMYFUNCTION("""COMPUTED_VALUE"""),-0.474228745223234)</f>
        <v>-0.47422874522323399</v>
      </c>
      <c r="IQ109" s="3">
        <f ca="1">IFERROR(__xludf.DUMMYFUNCTION("""COMPUTED_VALUE"""),-0.604814521199474)</f>
        <v>-0.60481452119947399</v>
      </c>
      <c r="IR109" s="3">
        <f ca="1">IFERROR(__xludf.DUMMYFUNCTION("""COMPUTED_VALUE"""),-0.576687995118386)</f>
        <v>-0.57668799511838598</v>
      </c>
      <c r="IS109" s="3">
        <f ca="1">IFERROR(__xludf.DUMMYFUNCTION("""COMPUTED_VALUE"""),-0.628443065319612)</f>
        <v>-0.62844306531961203</v>
      </c>
      <c r="IT109" s="3">
        <f ca="1">IFERROR(__xludf.DUMMYFUNCTION("""COMPUTED_VALUE"""),-0.561431739021662)</f>
        <v>-0.56143173902166199</v>
      </c>
      <c r="IU109" s="3">
        <f ca="1">IFERROR(__xludf.DUMMYFUNCTION("""COMPUTED_VALUE"""),-0.550314455695759)</f>
        <v>-0.55031445569575899</v>
      </c>
      <c r="IV109" s="3">
        <f ca="1">IFERROR(__xludf.DUMMYFUNCTION("""COMPUTED_VALUE"""),-0.457184821106463)</f>
        <v>-0.45718482110646302</v>
      </c>
      <c r="IW109" s="3">
        <f ca="1">IFERROR(__xludf.DUMMYFUNCTION("""COMPUTED_VALUE"""),-0.436288974149609)</f>
        <v>-0.43628897414960899</v>
      </c>
      <c r="IX109" s="3">
        <f ca="1">IFERROR(__xludf.DUMMYFUNCTION("""COMPUTED_VALUE"""),-0.481416310650691)</f>
        <v>-0.48141631065069102</v>
      </c>
      <c r="IY109" s="3">
        <f ca="1">IFERROR(__xludf.DUMMYFUNCTION("""COMPUTED_VALUE"""),-0.54375652617613)</f>
        <v>-0.54375652617613002</v>
      </c>
      <c r="IZ109" s="3">
        <f ca="1">IFERROR(__xludf.DUMMYFUNCTION("""COMPUTED_VALUE"""),-0.480958821542134)</f>
        <v>-0.48095882154213399</v>
      </c>
      <c r="JA109" s="3">
        <f ca="1">IFERROR(__xludf.DUMMYFUNCTION("""COMPUTED_VALUE"""),-0.479140033534731)</f>
        <v>-0.479140033534731</v>
      </c>
      <c r="JB109" s="3">
        <f ca="1">IFERROR(__xludf.DUMMYFUNCTION("""COMPUTED_VALUE"""),-0.507532498279405)</f>
        <v>-0.50753249827940505</v>
      </c>
      <c r="JC109" s="3">
        <f ca="1">IFERROR(__xludf.DUMMYFUNCTION("""COMPUTED_VALUE"""),-0.35003553911864)</f>
        <v>-0.35003553911863999</v>
      </c>
      <c r="JD109" s="3">
        <f ca="1">IFERROR(__xludf.DUMMYFUNCTION("""COMPUTED_VALUE"""),-0.405438112538115)</f>
        <v>-0.40543811253811501</v>
      </c>
      <c r="JE109" s="3">
        <f ca="1">IFERROR(__xludf.DUMMYFUNCTION("""COMPUTED_VALUE"""),-0.456352526157815)</f>
        <v>-0.45635252615781502</v>
      </c>
      <c r="JF109" s="3">
        <f ca="1">IFERROR(__xludf.DUMMYFUNCTION("""COMPUTED_VALUE"""),-0.454722838551863)</f>
        <v>-0.45472283855186302</v>
      </c>
      <c r="JG109" s="3">
        <f ca="1">IFERROR(__xludf.DUMMYFUNCTION("""COMPUTED_VALUE"""),-0.471602480034917)</f>
        <v>-0.471602480034917</v>
      </c>
      <c r="JH109" s="3">
        <f ca="1">IFERROR(__xludf.DUMMYFUNCTION("""COMPUTED_VALUE"""),-0.450236859818566)</f>
        <v>-0.45023685981856598</v>
      </c>
      <c r="JI109" s="3">
        <f ca="1">IFERROR(__xludf.DUMMYFUNCTION("""COMPUTED_VALUE"""),-0.47821463364417)</f>
        <v>-0.47821463364417</v>
      </c>
      <c r="JJ109" s="3">
        <f ca="1">IFERROR(__xludf.DUMMYFUNCTION("""COMPUTED_VALUE"""),-0.340604024818266)</f>
        <v>-0.34060402481826602</v>
      </c>
      <c r="JK109" s="3">
        <f ca="1">IFERROR(__xludf.DUMMYFUNCTION("""COMPUTED_VALUE"""),-0.38911499976888)</f>
        <v>-0.38911499976887998</v>
      </c>
      <c r="JL109" s="3">
        <f ca="1">IFERROR(__xludf.DUMMYFUNCTION("""COMPUTED_VALUE"""),-0.49885431896953)</f>
        <v>-0.49885431896952998</v>
      </c>
      <c r="JM109" s="3">
        <f ca="1">IFERROR(__xludf.DUMMYFUNCTION("""COMPUTED_VALUE"""),-0.44453358905549)</f>
        <v>-0.44453358905549001</v>
      </c>
      <c r="JN109" s="3">
        <f ca="1">IFERROR(__xludf.DUMMYFUNCTION("""COMPUTED_VALUE"""),-0.489222814073417)</f>
        <v>-0.489222814073417</v>
      </c>
      <c r="JO109" s="3">
        <f ca="1">IFERROR(__xludf.DUMMYFUNCTION("""COMPUTED_VALUE"""),-0.525410191518208)</f>
        <v>-0.525410191518208</v>
      </c>
      <c r="JP109" s="3">
        <f ca="1">IFERROR(__xludf.DUMMYFUNCTION("""COMPUTED_VALUE"""),-0.478753295066319)</f>
        <v>-0.47875329506631897</v>
      </c>
      <c r="JQ109" s="3">
        <f ca="1">IFERROR(__xludf.DUMMYFUNCTION("""COMPUTED_VALUE"""),-0.425511506281009)</f>
        <v>-0.42551150628100898</v>
      </c>
      <c r="JR109" s="3">
        <f ca="1">IFERROR(__xludf.DUMMYFUNCTION("""COMPUTED_VALUE"""),-0.360459092688473)</f>
        <v>-0.36045909268847298</v>
      </c>
      <c r="JS109" s="3">
        <f ca="1">IFERROR(__xludf.DUMMYFUNCTION("""COMPUTED_VALUE"""),-0.459384240313226)</f>
        <v>-0.459384240313226</v>
      </c>
      <c r="JT109" s="3">
        <f ca="1">IFERROR(__xludf.DUMMYFUNCTION("""COMPUTED_VALUE"""),-0.431114024372697)</f>
        <v>-0.43111402437269702</v>
      </c>
      <c r="JU109" s="3">
        <f ca="1">IFERROR(__xludf.DUMMYFUNCTION("""COMPUTED_VALUE"""),-0.427637625805819)</f>
        <v>-0.42763762580581899</v>
      </c>
      <c r="JV109" s="3">
        <f ca="1">IFERROR(__xludf.DUMMYFUNCTION("""COMPUTED_VALUE"""),-0.48812780608791)</f>
        <v>-0.48812780608791001</v>
      </c>
      <c r="JW109" s="3">
        <f ca="1">IFERROR(__xludf.DUMMYFUNCTION("""COMPUTED_VALUE"""),-0.449270068547814)</f>
        <v>-0.44927006854781398</v>
      </c>
      <c r="JX109" s="3">
        <f ca="1">IFERROR(__xludf.DUMMYFUNCTION("""COMPUTED_VALUE"""),-0.412100927117547)</f>
        <v>-0.41210092711754698</v>
      </c>
      <c r="JY109" s="3">
        <f ca="1">IFERROR(__xludf.DUMMYFUNCTION("""COMPUTED_VALUE"""),-0.433690255386588)</f>
        <v>-0.43369025538658801</v>
      </c>
      <c r="JZ109" s="3">
        <f ca="1">IFERROR(__xludf.DUMMYFUNCTION("""COMPUTED_VALUE"""),-0.427379681445817)</f>
        <v>-0.42737968144581701</v>
      </c>
      <c r="KA109" s="3">
        <f ca="1">IFERROR(__xludf.DUMMYFUNCTION("""COMPUTED_VALUE"""),-0.425979107216982)</f>
        <v>-0.42597910721698201</v>
      </c>
      <c r="KB109" s="3">
        <f ca="1">IFERROR(__xludf.DUMMYFUNCTION("""COMPUTED_VALUE"""),-0.443210798239267)</f>
        <v>-0.44321079823926701</v>
      </c>
      <c r="KC109" s="3">
        <f ca="1">IFERROR(__xludf.DUMMYFUNCTION("""COMPUTED_VALUE"""),-0.473793341444551)</f>
        <v>-0.47379334144455099</v>
      </c>
      <c r="KD109" s="3">
        <f ca="1">IFERROR(__xludf.DUMMYFUNCTION("""COMPUTED_VALUE"""),-0.488949804825862)</f>
        <v>-0.48894980482586198</v>
      </c>
      <c r="KE109" s="3">
        <f ca="1">IFERROR(__xludf.DUMMYFUNCTION("""COMPUTED_VALUE"""),-0.388048152971279)</f>
        <v>-0.38804815297127898</v>
      </c>
      <c r="KF109" s="3">
        <f ca="1">IFERROR(__xludf.DUMMYFUNCTION("""COMPUTED_VALUE"""),-0.404034523980243)</f>
        <v>-0.40403452398024298</v>
      </c>
      <c r="KG109" s="3">
        <f ca="1">IFERROR(__xludf.DUMMYFUNCTION("""COMPUTED_VALUE"""),-0.382921359912106)</f>
        <v>-0.38292135991210602</v>
      </c>
      <c r="KH109" s="3">
        <f ca="1">IFERROR(__xludf.DUMMYFUNCTION("""COMPUTED_VALUE"""),-0.312657504091393)</f>
        <v>-0.31265750409139298</v>
      </c>
      <c r="KI109" s="3">
        <f ca="1">IFERROR(__xludf.DUMMYFUNCTION("""COMPUTED_VALUE"""),-0.411461929687599)</f>
        <v>-0.41146192968759898</v>
      </c>
      <c r="KJ109" s="3">
        <f ca="1">IFERROR(__xludf.DUMMYFUNCTION("""COMPUTED_VALUE"""),-0.398851464426445)</f>
        <v>-0.39885146442644498</v>
      </c>
      <c r="KK109" s="3">
        <f ca="1">IFERROR(__xludf.DUMMYFUNCTION("""COMPUTED_VALUE"""),-0.443540432685755)</f>
        <v>-0.44354043268575499</v>
      </c>
      <c r="KL109" s="3">
        <f ca="1">IFERROR(__xludf.DUMMYFUNCTION("""COMPUTED_VALUE"""),-0.37074856077215)</f>
        <v>-0.37074856077215002</v>
      </c>
      <c r="KM109" s="3">
        <f ca="1">IFERROR(__xludf.DUMMYFUNCTION("""COMPUTED_VALUE"""),-0.289238169069428)</f>
        <v>-0.28923816906942801</v>
      </c>
      <c r="KN109" s="3">
        <f ca="1">IFERROR(__xludf.DUMMYFUNCTION("""COMPUTED_VALUE"""),-0.376662284182)</f>
        <v>-0.37666228418199998</v>
      </c>
      <c r="KO109" s="3">
        <f ca="1">IFERROR(__xludf.DUMMYFUNCTION("""COMPUTED_VALUE"""),-0.3916408618513)</f>
        <v>-0.39164086185129998</v>
      </c>
      <c r="KP109" s="3">
        <f ca="1">IFERROR(__xludf.DUMMYFUNCTION("""COMPUTED_VALUE"""),-0.394997232924927)</f>
        <v>-0.394997232924927</v>
      </c>
      <c r="KQ109" s="3">
        <f ca="1">IFERROR(__xludf.DUMMYFUNCTION("""COMPUTED_VALUE"""),-0.458785688201144)</f>
        <v>-0.45878568820114402</v>
      </c>
      <c r="KR109" s="3">
        <f ca="1">IFERROR(__xludf.DUMMYFUNCTION("""COMPUTED_VALUE"""),-0.451069995680104)</f>
        <v>-0.45106999568010397</v>
      </c>
      <c r="KS109" s="3">
        <f ca="1">IFERROR(__xludf.DUMMYFUNCTION("""COMPUTED_VALUE"""),-0.390279099580172)</f>
        <v>-0.39027909958017198</v>
      </c>
      <c r="KT109" s="3">
        <f ca="1">IFERROR(__xludf.DUMMYFUNCTION("""COMPUTED_VALUE"""),-0.388775651970116)</f>
        <v>-0.38877565197011599</v>
      </c>
      <c r="KU109" s="3">
        <f ca="1">IFERROR(__xludf.DUMMYFUNCTION("""COMPUTED_VALUE"""),-0.448104232908451)</f>
        <v>-0.44810423290845097</v>
      </c>
      <c r="KV109" s="3">
        <f ca="1">IFERROR(__xludf.DUMMYFUNCTION("""COMPUTED_VALUE"""),-0.44820487171312)</f>
        <v>-0.44820487171312001</v>
      </c>
      <c r="KW109" s="3">
        <f ca="1">IFERROR(__xludf.DUMMYFUNCTION("""COMPUTED_VALUE"""),-0.41093298057445)</f>
        <v>-0.41093298057444999</v>
      </c>
      <c r="KX109" s="3">
        <f ca="1">IFERROR(__xludf.DUMMYFUNCTION("""COMPUTED_VALUE"""),-0.54183986111381)</f>
        <v>-0.54183986111381</v>
      </c>
      <c r="KY109" s="3">
        <f ca="1">IFERROR(__xludf.DUMMYFUNCTION("""COMPUTED_VALUE"""),-0.561691418950412)</f>
        <v>-0.56169141895041197</v>
      </c>
      <c r="KZ109" s="3">
        <f ca="1">IFERROR(__xludf.DUMMYFUNCTION("""COMPUTED_VALUE"""),-0.363194941327028)</f>
        <v>-0.36319494132702801</v>
      </c>
      <c r="LA109" s="3">
        <f ca="1">IFERROR(__xludf.DUMMYFUNCTION("""COMPUTED_VALUE"""),-0.457219916349684)</f>
        <v>-0.45721991634968401</v>
      </c>
      <c r="LB109" s="3">
        <f ca="1">IFERROR(__xludf.DUMMYFUNCTION("""COMPUTED_VALUE"""),-0.569158229897542)</f>
        <v>-0.56915822989754195</v>
      </c>
      <c r="LC109" s="3">
        <f ca="1">IFERROR(__xludf.DUMMYFUNCTION("""COMPUTED_VALUE"""),-0.505746833336218)</f>
        <v>-0.50574683333621795</v>
      </c>
      <c r="LD109" s="3">
        <f ca="1">IFERROR(__xludf.DUMMYFUNCTION("""COMPUTED_VALUE"""),-0.50242039309589)</f>
        <v>-0.50242039309589004</v>
      </c>
      <c r="LE109" s="3">
        <f ca="1">IFERROR(__xludf.DUMMYFUNCTION("""COMPUTED_VALUE"""),-0.531946307084423)</f>
        <v>-0.53194630708442303</v>
      </c>
      <c r="LF109" s="3">
        <f ca="1">IFERROR(__xludf.DUMMYFUNCTION("""COMPUTED_VALUE"""),-0.498463761321121)</f>
        <v>-0.49846376132112102</v>
      </c>
      <c r="LG109" s="3">
        <f ca="1">IFERROR(__xludf.DUMMYFUNCTION("""COMPUTED_VALUE"""),-0.520963493815937)</f>
        <v>-0.52096349381593698</v>
      </c>
      <c r="LH109" s="3">
        <f ca="1">IFERROR(__xludf.DUMMYFUNCTION("""COMPUTED_VALUE"""),-0.427593913709088)</f>
        <v>-0.427593913709088</v>
      </c>
      <c r="LI109" s="3">
        <f ca="1">IFERROR(__xludf.DUMMYFUNCTION("""COMPUTED_VALUE"""),-0.461686183342754)</f>
        <v>-0.46168618334275402</v>
      </c>
      <c r="LJ109" s="3">
        <f ca="1">IFERROR(__xludf.DUMMYFUNCTION("""COMPUTED_VALUE"""),-0.502708469717619)</f>
        <v>-0.50270846971761896</v>
      </c>
      <c r="LK109" s="3">
        <f ca="1">IFERROR(__xludf.DUMMYFUNCTION("""COMPUTED_VALUE"""),-0.559617760804476)</f>
        <v>-0.55961776080447601</v>
      </c>
      <c r="LL109" s="3">
        <f ca="1">IFERROR(__xludf.DUMMYFUNCTION("""COMPUTED_VALUE"""),-0.515475100071121)</f>
        <v>-0.51547510007112096</v>
      </c>
      <c r="LM109" s="3">
        <f ca="1">IFERROR(__xludf.DUMMYFUNCTION("""COMPUTED_VALUE"""),-0.570937499120394)</f>
        <v>-0.57093749912039404</v>
      </c>
      <c r="LN109" s="3">
        <f ca="1">IFERROR(__xludf.DUMMYFUNCTION("""COMPUTED_VALUE"""),-0.451766298442859)</f>
        <v>-0.45176629844285898</v>
      </c>
      <c r="LO109" s="3">
        <f ca="1">IFERROR(__xludf.DUMMYFUNCTION("""COMPUTED_VALUE"""),-0.395805806082481)</f>
        <v>-0.395805806082481</v>
      </c>
      <c r="LP109" s="3">
        <f ca="1">IFERROR(__xludf.DUMMYFUNCTION("""COMPUTED_VALUE"""),-0.459103705079807)</f>
        <v>-0.45910370507980702</v>
      </c>
      <c r="LQ109" s="3">
        <f ca="1">IFERROR(__xludf.DUMMYFUNCTION("""COMPUTED_VALUE"""),-0.507838308995392)</f>
        <v>-0.50783830899539195</v>
      </c>
      <c r="LR109" s="3">
        <f ca="1">IFERROR(__xludf.DUMMYFUNCTION("""COMPUTED_VALUE"""),-0.525827919440505)</f>
        <v>-0.525827919440505</v>
      </c>
      <c r="LS109" s="3">
        <f ca="1">IFERROR(__xludf.DUMMYFUNCTION("""COMPUTED_VALUE"""),-0.600805767788874)</f>
        <v>-0.60080576778887396</v>
      </c>
      <c r="LT109" s="3">
        <f ca="1">IFERROR(__xludf.DUMMYFUNCTION("""COMPUTED_VALUE"""),-0.509019997229705)</f>
        <v>-0.50901999722970503</v>
      </c>
      <c r="LU109" s="3">
        <f ca="1">IFERROR(__xludf.DUMMYFUNCTION("""COMPUTED_VALUE"""),-0.46330414095826)</f>
        <v>-0.46330414095826</v>
      </c>
      <c r="LV109" s="3">
        <f ca="1">IFERROR(__xludf.DUMMYFUNCTION("""COMPUTED_VALUE"""),-0.439896795685219)</f>
        <v>-0.439896795685219</v>
      </c>
      <c r="LW109" s="3">
        <f ca="1">IFERROR(__xludf.DUMMYFUNCTION("""COMPUTED_VALUE"""),-0.499271510940975)</f>
        <v>-0.49927151094097499</v>
      </c>
      <c r="LX109" s="3">
        <f ca="1">IFERROR(__xludf.DUMMYFUNCTION("""COMPUTED_VALUE"""),-0.610442886492184)</f>
        <v>-0.61044288649218403</v>
      </c>
      <c r="LY109" s="3">
        <f ca="1">IFERROR(__xludf.DUMMYFUNCTION("""COMPUTED_VALUE"""),-0.603477435956921)</f>
        <v>-0.60347743595692105</v>
      </c>
      <c r="LZ109" s="3">
        <f ca="1">IFERROR(__xludf.DUMMYFUNCTION("""COMPUTED_VALUE"""),-0.66386654180447)</f>
        <v>-0.66386654180447002</v>
      </c>
      <c r="MA109" s="3">
        <f ca="1">IFERROR(__xludf.DUMMYFUNCTION("""COMPUTED_VALUE"""),-0.623630398642952)</f>
        <v>-0.623630398642952</v>
      </c>
      <c r="MB109" s="3">
        <f ca="1">IFERROR(__xludf.DUMMYFUNCTION("""COMPUTED_VALUE"""),-0.471789857688741)</f>
        <v>-0.47178985768874099</v>
      </c>
      <c r="MC109" s="3">
        <f ca="1">IFERROR(__xludf.DUMMYFUNCTION("""COMPUTED_VALUE"""),-0.535196885926291)</f>
        <v>-0.535196885926291</v>
      </c>
      <c r="MD109" s="3">
        <f ca="1">IFERROR(__xludf.DUMMYFUNCTION("""COMPUTED_VALUE"""),-0.578166840295869)</f>
        <v>-0.57816684029586896</v>
      </c>
      <c r="ME109" s="3">
        <f ca="1">IFERROR(__xludf.DUMMYFUNCTION("""COMPUTED_VALUE"""),-0.590218113619163)</f>
        <v>-0.59021811361916299</v>
      </c>
      <c r="MF109" s="3">
        <f ca="1">IFERROR(__xludf.DUMMYFUNCTION("""COMPUTED_VALUE"""),-0.55369962994714)</f>
        <v>-0.55369962994713995</v>
      </c>
      <c r="MG109" s="3">
        <f ca="1">IFERROR(__xludf.DUMMYFUNCTION("""COMPUTED_VALUE"""),-0.619549974738595)</f>
        <v>-0.61954997473859497</v>
      </c>
      <c r="MH109" s="3">
        <f ca="1">IFERROR(__xludf.DUMMYFUNCTION("""COMPUTED_VALUE"""),-0.576621774216907)</f>
        <v>-0.57662177421690697</v>
      </c>
      <c r="MI109" s="3">
        <f ca="1">IFERROR(__xludf.DUMMYFUNCTION("""COMPUTED_VALUE"""),-0.543908455922791)</f>
        <v>-0.54390845592279102</v>
      </c>
      <c r="MJ109" s="3">
        <f ca="1">IFERROR(__xludf.DUMMYFUNCTION("""COMPUTED_VALUE"""),-0.526452936045006)</f>
        <v>-0.52645293604500598</v>
      </c>
      <c r="MK109" s="3">
        <f ca="1">IFERROR(__xludf.DUMMYFUNCTION("""COMPUTED_VALUE"""),-0.535808527264831)</f>
        <v>-0.53580852726483097</v>
      </c>
      <c r="ML109" s="3">
        <f ca="1">IFERROR(__xludf.DUMMYFUNCTION("""COMPUTED_VALUE"""),-0.661828744053635)</f>
        <v>-0.66182874405363501</v>
      </c>
      <c r="MM109" s="3">
        <f ca="1">IFERROR(__xludf.DUMMYFUNCTION("""COMPUTED_VALUE"""),-0.664106268563259)</f>
        <v>-0.66410626856325905</v>
      </c>
      <c r="MN109" s="3">
        <f ca="1">IFERROR(__xludf.DUMMYFUNCTION("""COMPUTED_VALUE"""),-0.610611638923126)</f>
        <v>-0.61061163892312598</v>
      </c>
      <c r="MO109" s="3">
        <f ca="1">IFERROR(__xludf.DUMMYFUNCTION("""COMPUTED_VALUE"""),-0.656385194283213)</f>
        <v>-0.65638519428321296</v>
      </c>
      <c r="MP109" s="3">
        <f ca="1">IFERROR(__xludf.DUMMYFUNCTION("""COMPUTED_VALUE"""),-0.513977421591606)</f>
        <v>-0.51397742159160598</v>
      </c>
      <c r="MQ109" s="3">
        <f ca="1">IFERROR(__xludf.DUMMYFUNCTION("""COMPUTED_VALUE"""),-0.600095806279576)</f>
        <v>-0.60009580627957604</v>
      </c>
      <c r="MR109" s="3">
        <f ca="1">IFERROR(__xludf.DUMMYFUNCTION("""COMPUTED_VALUE"""),-0.580175554130438)</f>
        <v>-0.58017555413043798</v>
      </c>
      <c r="MS109" s="3">
        <f ca="1">IFERROR(__xludf.DUMMYFUNCTION("""COMPUTED_VALUE"""),-0.557292378460747)</f>
        <v>-0.55729237846074697</v>
      </c>
      <c r="MT109" s="3">
        <f ca="1">IFERROR(__xludf.DUMMYFUNCTION("""COMPUTED_VALUE"""),-0.587169696432274)</f>
        <v>-0.58716969643227401</v>
      </c>
      <c r="MU109" s="3">
        <f ca="1">IFERROR(__xludf.DUMMYFUNCTION("""COMPUTED_VALUE"""),-0.627287032409107)</f>
        <v>-0.62728703240910699</v>
      </c>
      <c r="MV109" s="3">
        <f ca="1">IFERROR(__xludf.DUMMYFUNCTION("""COMPUTED_VALUE"""),-0.589007729709317)</f>
        <v>-0.58900772970931703</v>
      </c>
      <c r="MW109" s="3">
        <f ca="1">IFERROR(__xludf.DUMMYFUNCTION("""COMPUTED_VALUE"""),-0.582222853628753)</f>
        <v>-0.58222285362875303</v>
      </c>
      <c r="MX109" s="3">
        <f ca="1">IFERROR(__xludf.DUMMYFUNCTION("""COMPUTED_VALUE"""),-0.563197848239724)</f>
        <v>-0.56319784823972396</v>
      </c>
      <c r="MY109" s="3">
        <f ca="1">IFERROR(__xludf.DUMMYFUNCTION("""COMPUTED_VALUE"""),-0.567866622566206)</f>
        <v>-0.56786662256620601</v>
      </c>
      <c r="MZ109" s="3">
        <f ca="1">IFERROR(__xludf.DUMMYFUNCTION("""COMPUTED_VALUE"""),-0.648736514007664)</f>
        <v>-0.64873651400766397</v>
      </c>
      <c r="NA109" s="3">
        <f ca="1">IFERROR(__xludf.DUMMYFUNCTION("""COMPUTED_VALUE"""),-0.547073908849249)</f>
        <v>-0.547073908849249</v>
      </c>
      <c r="NB109" s="3">
        <f ca="1">IFERROR(__xludf.DUMMYFUNCTION("""COMPUTED_VALUE"""),-0.546246689320236)</f>
        <v>-0.54624668932023601</v>
      </c>
      <c r="NC109" s="3">
        <f ca="1">IFERROR(__xludf.DUMMYFUNCTION("""COMPUTED_VALUE"""),-0.572389546258148)</f>
        <v>-0.57238954625814797</v>
      </c>
      <c r="ND109" s="3">
        <f ca="1">IFERROR(__xludf.DUMMYFUNCTION("""COMPUTED_VALUE"""),-0.536987561254771)</f>
        <v>-0.53698756125477098</v>
      </c>
      <c r="NE109" s="3">
        <f ca="1">IFERROR(__xludf.DUMMYFUNCTION("""COMPUTED_VALUE"""),-0.607782729668559)</f>
        <v>-0.60778272966855895</v>
      </c>
      <c r="NF109" s="3">
        <f ca="1">IFERROR(__xludf.DUMMYFUNCTION("""COMPUTED_VALUE"""),-0.6311506206984)</f>
        <v>-0.6311506206984</v>
      </c>
      <c r="NG109" s="3">
        <f ca="1">IFERROR(__xludf.DUMMYFUNCTION("""COMPUTED_VALUE"""),-0.622988106650576)</f>
        <v>-0.62298810665057602</v>
      </c>
      <c r="NH109" s="3">
        <f ca="1">IFERROR(__xludf.DUMMYFUNCTION("""COMPUTED_VALUE"""),-0.66570066903588)</f>
        <v>-0.66570066903587999</v>
      </c>
      <c r="NI109" s="3">
        <f ca="1">IFERROR(__xludf.DUMMYFUNCTION("""COMPUTED_VALUE"""),-0.597045557876026)</f>
        <v>-0.59704555787602598</v>
      </c>
      <c r="NJ109" s="3">
        <f ca="1">IFERROR(__xludf.DUMMYFUNCTION("""COMPUTED_VALUE"""),-0.632793471968797)</f>
        <v>-0.63279347196879698</v>
      </c>
      <c r="NK109" s="3">
        <f ca="1">IFERROR(__xludf.DUMMYFUNCTION("""COMPUTED_VALUE"""),-0.527594329427372)</f>
        <v>-0.52759432942737206</v>
      </c>
      <c r="NL109" s="3">
        <f ca="1">IFERROR(__xludf.DUMMYFUNCTION("""COMPUTED_VALUE"""),-0.533255335517463)</f>
        <v>-0.53325533551746296</v>
      </c>
      <c r="NM109" s="3">
        <f ca="1">IFERROR(__xludf.DUMMYFUNCTION("""COMPUTED_VALUE"""),-0.563117585137611)</f>
        <v>-0.56311758513761101</v>
      </c>
      <c r="NN109" s="3">
        <f ca="1">IFERROR(__xludf.DUMMYFUNCTION("""COMPUTED_VALUE"""),-0.575344581891312)</f>
        <v>-0.57534458189131199</v>
      </c>
      <c r="NO109" s="3">
        <f ca="1">IFERROR(__xludf.DUMMYFUNCTION("""COMPUTED_VALUE"""),-0.634614958587237)</f>
        <v>-0.63461495858723704</v>
      </c>
      <c r="NP109" s="3">
        <f ca="1">IFERROR(__xludf.DUMMYFUNCTION("""COMPUTED_VALUE"""),-0.588832266147846)</f>
        <v>-0.58883226614784601</v>
      </c>
      <c r="NQ109" s="3">
        <f ca="1">IFERROR(__xludf.DUMMYFUNCTION("""COMPUTED_VALUE"""),-0.476536286881384)</f>
        <v>-0.476536286881384</v>
      </c>
      <c r="NR109" s="3">
        <f ca="1">IFERROR(__xludf.DUMMYFUNCTION("""COMPUTED_VALUE"""),-0.528629382615588)</f>
        <v>-0.52862938261558801</v>
      </c>
      <c r="NS109" s="3">
        <f ca="1">IFERROR(__xludf.DUMMYFUNCTION("""COMPUTED_VALUE"""),-0.539742096686969)</f>
        <v>-0.53974209668696904</v>
      </c>
      <c r="NT109" s="3">
        <f ca="1">IFERROR(__xludf.DUMMYFUNCTION("""COMPUTED_VALUE"""),-0.55008075808181)</f>
        <v>-0.55008075808181001</v>
      </c>
      <c r="NU109" s="3">
        <f ca="1">IFERROR(__xludf.DUMMYFUNCTION("""COMPUTED_VALUE"""),-0.512022038461419)</f>
        <v>-0.51202203846141903</v>
      </c>
      <c r="NV109" s="3">
        <f ca="1">IFERROR(__xludf.DUMMYFUNCTION("""COMPUTED_VALUE"""),-0.507895136235586)</f>
        <v>-0.50789513623558602</v>
      </c>
      <c r="NW109" s="3">
        <f ca="1">IFERROR(__xludf.DUMMYFUNCTION("""COMPUTED_VALUE"""),-0.550761378201169)</f>
        <v>-0.55076137820116899</v>
      </c>
      <c r="NX109" s="3">
        <f ca="1">IFERROR(__xludf.DUMMYFUNCTION("""COMPUTED_VALUE"""),-0.467036828018911)</f>
        <v>-0.467036828018911</v>
      </c>
      <c r="NY109" s="3">
        <f ca="1">IFERROR(__xludf.DUMMYFUNCTION("""COMPUTED_VALUE"""),-0.469116963423111)</f>
        <v>-0.46911696342311099</v>
      </c>
      <c r="NZ109" s="3">
        <f ca="1">IFERROR(__xludf.DUMMYFUNCTION("""COMPUTED_VALUE"""),-0.348334942339252)</f>
        <v>-0.348334942339252</v>
      </c>
      <c r="OA109" s="3">
        <f ca="1">IFERROR(__xludf.DUMMYFUNCTION("""COMPUTED_VALUE"""),-0.384272303787778)</f>
        <v>-0.38427230378777799</v>
      </c>
      <c r="OB109" s="3">
        <f ca="1">IFERROR(__xludf.DUMMYFUNCTION("""COMPUTED_VALUE"""),-0.479317094320139)</f>
        <v>-0.47931709432013903</v>
      </c>
      <c r="OC109" s="3">
        <f ca="1">IFERROR(__xludf.DUMMYFUNCTION("""COMPUTED_VALUE"""),-0.44222035788767)</f>
        <v>-0.44222035788767</v>
      </c>
      <c r="OD109" s="3">
        <f ca="1">IFERROR(__xludf.DUMMYFUNCTION("""COMPUTED_VALUE"""),-0.273535174959796)</f>
        <v>-0.27353517495979601</v>
      </c>
      <c r="OE109" s="3">
        <f ca="1">IFERROR(__xludf.DUMMYFUNCTION("""COMPUTED_VALUE"""),-0.256934509085267)</f>
        <v>-0.25693450908526699</v>
      </c>
      <c r="OF109" s="3">
        <f ca="1">IFERROR(__xludf.DUMMYFUNCTION("""COMPUTED_VALUE"""),-0.135036250278286)</f>
        <v>-0.135036250278286</v>
      </c>
      <c r="OG109" s="3">
        <f ca="1">IFERROR(__xludf.DUMMYFUNCTION("""COMPUTED_VALUE"""),0.000158074594862167)</f>
        <v>1.58074594862167E-4</v>
      </c>
      <c r="OH109" s="3">
        <f ca="1">IFERROR(__xludf.DUMMYFUNCTION("""COMPUTED_VALUE"""),-0.129927528865471)</f>
        <v>-0.12992752886547099</v>
      </c>
      <c r="OI109" s="3">
        <f ca="1">IFERROR(__xludf.DUMMYFUNCTION("""COMPUTED_VALUE"""),-0.145424431990111)</f>
        <v>-0.14542443199011101</v>
      </c>
      <c r="OJ109" s="3">
        <f ca="1">IFERROR(__xludf.DUMMYFUNCTION("""COMPUTED_VALUE"""),-0.195341771485979)</f>
        <v>-0.195341771485979</v>
      </c>
      <c r="OK109" s="3">
        <f ca="1">IFERROR(__xludf.DUMMYFUNCTION("""COMPUTED_VALUE"""),-0.0525304374538315)</f>
        <v>-5.2530437453831499E-2</v>
      </c>
      <c r="OL109" s="3">
        <f ca="1">IFERROR(__xludf.DUMMYFUNCTION("""COMPUTED_VALUE"""),-0.0485176802510773)</f>
        <v>-4.8517680251077298E-2</v>
      </c>
      <c r="OM109" s="3">
        <f ca="1">IFERROR(__xludf.DUMMYFUNCTION("""COMPUTED_VALUE"""),-0.0378569040078069)</f>
        <v>-3.7856904007806898E-2</v>
      </c>
      <c r="ON109" s="3">
        <f ca="1">IFERROR(__xludf.DUMMYFUNCTION("""COMPUTED_VALUE"""),0.0844507563850474)</f>
        <v>8.4450756385047399E-2</v>
      </c>
      <c r="OO109" s="3">
        <f ca="1">IFERROR(__xludf.DUMMYFUNCTION("""COMPUTED_VALUE"""),0.171434858839018)</f>
        <v>0.17143485883901799</v>
      </c>
      <c r="OP109" s="3">
        <f ca="1">IFERROR(__xludf.DUMMYFUNCTION("""COMPUTED_VALUE"""),0.169666248749479)</f>
        <v>0.169666248749479</v>
      </c>
      <c r="OQ109" s="3">
        <f ca="1">IFERROR(__xludf.DUMMYFUNCTION("""COMPUTED_VALUE"""),-0.00146763446786046)</f>
        <v>-1.46763446786046E-3</v>
      </c>
      <c r="OR109" s="3">
        <f ca="1">IFERROR(__xludf.DUMMYFUNCTION("""COMPUTED_VALUE"""),-0.00379612302818566)</f>
        <v>-3.7961230281856602E-3</v>
      </c>
      <c r="OS109" s="3">
        <f ca="1">IFERROR(__xludf.DUMMYFUNCTION("""COMPUTED_VALUE"""),0.0241074435611885)</f>
        <v>2.4107443561188501E-2</v>
      </c>
      <c r="OT109" s="3">
        <f ca="1">IFERROR(__xludf.DUMMYFUNCTION("""COMPUTED_VALUE"""),0.101886332384004)</f>
        <v>0.10188633238400401</v>
      </c>
      <c r="OU109" s="3">
        <f ca="1">IFERROR(__xludf.DUMMYFUNCTION("""COMPUTED_VALUE"""),0.083749272601455)</f>
        <v>8.3749272601454997E-2</v>
      </c>
      <c r="OV109" s="3">
        <f ca="1">IFERROR(__xludf.DUMMYFUNCTION("""COMPUTED_VALUE"""),-0.106379973153907)</f>
        <v>-0.106379973153907</v>
      </c>
      <c r="OW109" s="3">
        <f ca="1">IFERROR(__xludf.DUMMYFUNCTION("""COMPUTED_VALUE"""),0.0255982732238002)</f>
        <v>2.5598273223800198E-2</v>
      </c>
      <c r="OX109" s="3">
        <f ca="1">IFERROR(__xludf.DUMMYFUNCTION("""COMPUTED_VALUE"""),0.0899349631974135)</f>
        <v>8.9934963197413495E-2</v>
      </c>
      <c r="OY109" s="3">
        <f ca="1">IFERROR(__xludf.DUMMYFUNCTION("""COMPUTED_VALUE"""),0.014867442453696)</f>
        <v>1.4867442453696001E-2</v>
      </c>
      <c r="OZ109" s="3">
        <f ca="1">IFERROR(__xludf.DUMMYFUNCTION("""COMPUTED_VALUE"""),0.135085893816553)</f>
        <v>0.135085893816553</v>
      </c>
      <c r="PA109" s="3">
        <f ca="1">IFERROR(__xludf.DUMMYFUNCTION("""COMPUTED_VALUE"""),0.0981807317959646)</f>
        <v>9.8180731795964593E-2</v>
      </c>
      <c r="PB109" s="3">
        <f ca="1">IFERROR(__xludf.DUMMYFUNCTION("""COMPUTED_VALUE"""),-0.119193274791976)</f>
        <v>-0.119193274791976</v>
      </c>
      <c r="PC109" s="3">
        <f ca="1">IFERROR(__xludf.DUMMYFUNCTION("""COMPUTED_VALUE"""),0.0845901054281299)</f>
        <v>8.4590105428129905E-2</v>
      </c>
      <c r="PD109" s="3">
        <f ca="1">IFERROR(__xludf.DUMMYFUNCTION("""COMPUTED_VALUE"""),0.00902797100138341)</f>
        <v>9.02797100138341E-3</v>
      </c>
      <c r="PE109" s="3">
        <f ca="1">IFERROR(__xludf.DUMMYFUNCTION("""COMPUTED_VALUE"""),-0.100845157022424)</f>
        <v>-0.100845157022424</v>
      </c>
      <c r="PF109" s="3">
        <f ca="1">IFERROR(__xludf.DUMMYFUNCTION("""COMPUTED_VALUE"""),-0.00223216016951433)</f>
        <v>-2.2321601695143301E-3</v>
      </c>
      <c r="PG109" s="3">
        <f ca="1">IFERROR(__xludf.DUMMYFUNCTION("""COMPUTED_VALUE"""),-0.0575278933576891)</f>
        <v>-5.7527893357689097E-2</v>
      </c>
      <c r="PH109" s="3">
        <f ca="1">IFERROR(__xludf.DUMMYFUNCTION("""COMPUTED_VALUE"""),0.0380793666441752)</f>
        <v>3.8079366644175203E-2</v>
      </c>
      <c r="PI109" s="3">
        <f ca="1">IFERROR(__xludf.DUMMYFUNCTION("""COMPUTED_VALUE"""),0.030802726364796)</f>
        <v>3.0802726364796001E-2</v>
      </c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</row>
    <row r="110" spans="1:477" ht="13">
      <c r="A110" s="1" t="str">
        <f ca="1">IFERROR(__xludf.DUMMYFUNCTION("""COMPUTED_VALUE"""),"PAAC")</f>
        <v>PAAC</v>
      </c>
      <c r="B110" s="1" t="str">
        <f ca="1">IFERROR(__xludf.DUMMYFUNCTION("""COMPUTED_VALUE"""),"Pittsburgh")</f>
        <v>Pittsburgh</v>
      </c>
      <c r="C110" s="1" t="str">
        <f ca="1">IFERROR(__xludf.DUMMYFUNCTION("""COMPUTED_VALUE"""),"United States")</f>
        <v>United States</v>
      </c>
      <c r="D110" s="1" t="str">
        <f ca="1">IFERROR(__xludf.DUMMYFUNCTION("""COMPUTED_VALUE"""),"Pennsylvania")</f>
        <v>Pennsylvania</v>
      </c>
      <c r="E110" s="3">
        <f ca="1">IFERROR(__xludf.DUMMYFUNCTION("""COMPUTED_VALUE"""),-0.370917868638772)</f>
        <v>-0.37091786863877202</v>
      </c>
      <c r="F110" s="3">
        <f ca="1">IFERROR(__xludf.DUMMYFUNCTION("""COMPUTED_VALUE"""),-0.482484227066102)</f>
        <v>-0.482484227066102</v>
      </c>
      <c r="G110" s="3">
        <f ca="1">IFERROR(__xludf.DUMMYFUNCTION("""COMPUTED_VALUE"""),-0.521940203994335)</f>
        <v>-0.52194020399433505</v>
      </c>
      <c r="H110" s="3">
        <f ca="1">IFERROR(__xludf.DUMMYFUNCTION("""COMPUTED_VALUE"""),-0.535017940602546)</f>
        <v>-0.53501794060254604</v>
      </c>
      <c r="I110" s="3">
        <f ca="1">IFERROR(__xludf.DUMMYFUNCTION("""COMPUTED_VALUE"""),-0.541036941541775)</f>
        <v>-0.54103694154177495</v>
      </c>
      <c r="J110" s="3">
        <f ca="1">IFERROR(__xludf.DUMMYFUNCTION("""COMPUTED_VALUE"""),-0.550791425536221)</f>
        <v>-0.55079142553622096</v>
      </c>
      <c r="K110" s="3">
        <f ca="1">IFERROR(__xludf.DUMMYFUNCTION("""COMPUTED_VALUE"""),-0.533580656465944)</f>
        <v>-0.53358065646594399</v>
      </c>
      <c r="L110" s="3">
        <f ca="1">IFERROR(__xludf.DUMMYFUNCTION("""COMPUTED_VALUE"""),-0.475959755548394)</f>
        <v>-0.47595975554839398</v>
      </c>
      <c r="M110" s="3">
        <f ca="1">IFERROR(__xludf.DUMMYFUNCTION("""COMPUTED_VALUE"""),-0.568438599628312)</f>
        <v>-0.568438599628312</v>
      </c>
      <c r="N110" s="3">
        <f ca="1">IFERROR(__xludf.DUMMYFUNCTION("""COMPUTED_VALUE"""),-0.583046921610317)</f>
        <v>-0.58304692161031701</v>
      </c>
      <c r="O110" s="3">
        <f ca="1">IFERROR(__xludf.DUMMYFUNCTION("""COMPUTED_VALUE"""),-0.603647192440807)</f>
        <v>-0.603647192440807</v>
      </c>
      <c r="P110" s="3">
        <f ca="1">IFERROR(__xludf.DUMMYFUNCTION("""COMPUTED_VALUE"""),-0.56136327757852)</f>
        <v>-0.56136327757852</v>
      </c>
      <c r="Q110" s="3">
        <f ca="1">IFERROR(__xludf.DUMMYFUNCTION("""COMPUTED_VALUE"""),-0.578772368774296)</f>
        <v>-0.57877236877429605</v>
      </c>
      <c r="R110" s="3">
        <f ca="1">IFERROR(__xludf.DUMMYFUNCTION("""COMPUTED_VALUE"""),-0.517244953478009)</f>
        <v>-0.51724495347800903</v>
      </c>
      <c r="S110" s="3">
        <f ca="1">IFERROR(__xludf.DUMMYFUNCTION("""COMPUTED_VALUE"""),-0.453324665254613)</f>
        <v>-0.45332466525461301</v>
      </c>
      <c r="T110" s="3">
        <f ca="1">IFERROR(__xludf.DUMMYFUNCTION("""COMPUTED_VALUE"""),-0.582972642641057)</f>
        <v>-0.58297264264105697</v>
      </c>
      <c r="U110" s="3">
        <f ca="1">IFERROR(__xludf.DUMMYFUNCTION("""COMPUTED_VALUE"""),-0.584284570369752)</f>
        <v>-0.58428457036975201</v>
      </c>
      <c r="V110" s="3">
        <f ca="1">IFERROR(__xludf.DUMMYFUNCTION("""COMPUTED_VALUE"""),-0.557952407700123)</f>
        <v>-0.557952407700123</v>
      </c>
      <c r="W110" s="3">
        <f ca="1">IFERROR(__xludf.DUMMYFUNCTION("""COMPUTED_VALUE"""),-0.556864737717442)</f>
        <v>-0.55686473771744205</v>
      </c>
      <c r="X110" s="3">
        <f ca="1">IFERROR(__xludf.DUMMYFUNCTION("""COMPUTED_VALUE"""),-0.571638568925773)</f>
        <v>-0.57163856892577303</v>
      </c>
      <c r="Y110" s="3">
        <f ca="1">IFERROR(__xludf.DUMMYFUNCTION("""COMPUTED_VALUE"""),-0.42169162386084)</f>
        <v>-0.42169162386084003</v>
      </c>
      <c r="Z110" s="3">
        <f ca="1">IFERROR(__xludf.DUMMYFUNCTION("""COMPUTED_VALUE"""),-0.451008708970119)</f>
        <v>-0.45100870897011902</v>
      </c>
      <c r="AA110" s="3">
        <f ca="1">IFERROR(__xludf.DUMMYFUNCTION("""COMPUTED_VALUE"""),-0.538689067306382)</f>
        <v>-0.538689067306382</v>
      </c>
      <c r="AB110" s="3">
        <f ca="1">IFERROR(__xludf.DUMMYFUNCTION("""COMPUTED_VALUE"""),-0.594649608060402)</f>
        <v>-0.59464960806040201</v>
      </c>
      <c r="AC110" s="3">
        <f ca="1">IFERROR(__xludf.DUMMYFUNCTION("""COMPUTED_VALUE"""),-0.532330726567688)</f>
        <v>-0.53233072656768798</v>
      </c>
      <c r="AD110" s="3">
        <f ca="1">IFERROR(__xludf.DUMMYFUNCTION("""COMPUTED_VALUE"""),-0.575500833690026)</f>
        <v>-0.57550083369002603</v>
      </c>
      <c r="AE110" s="3">
        <f ca="1">IFERROR(__xludf.DUMMYFUNCTION("""COMPUTED_VALUE"""),-0.570975036186058)</f>
        <v>-0.57097503618605805</v>
      </c>
      <c r="AF110" s="3">
        <f ca="1">IFERROR(__xludf.DUMMYFUNCTION("""COMPUTED_VALUE"""),-0.44789963872124)</f>
        <v>-0.44789963872124</v>
      </c>
      <c r="AG110" s="3">
        <f ca="1">IFERROR(__xludf.DUMMYFUNCTION("""COMPUTED_VALUE"""),-0.435793580138448)</f>
        <v>-0.43579358013844799</v>
      </c>
      <c r="AH110" s="3">
        <f ca="1">IFERROR(__xludf.DUMMYFUNCTION("""COMPUTED_VALUE"""),-0.549280474856826)</f>
        <v>-0.54928047485682596</v>
      </c>
      <c r="AI110" s="3">
        <f ca="1">IFERROR(__xludf.DUMMYFUNCTION("""COMPUTED_VALUE"""),-0.592196474026377)</f>
        <v>-0.59219647402637698</v>
      </c>
      <c r="AJ110" s="3">
        <f ca="1">IFERROR(__xludf.DUMMYFUNCTION("""COMPUTED_VALUE"""),-0.539606792808386)</f>
        <v>-0.53960679280838597</v>
      </c>
      <c r="AK110" s="3">
        <f ca="1">IFERROR(__xludf.DUMMYFUNCTION("""COMPUTED_VALUE"""),-0.560574665354903)</f>
        <v>-0.56057466535490297</v>
      </c>
      <c r="AL110" s="3">
        <f ca="1">IFERROR(__xludf.DUMMYFUNCTION("""COMPUTED_VALUE"""),-0.57753212860518)</f>
        <v>-0.57753212860518</v>
      </c>
      <c r="AM110" s="3">
        <f ca="1">IFERROR(__xludf.DUMMYFUNCTION("""COMPUTED_VALUE"""),-0.474713675540694)</f>
        <v>-0.47471367554069399</v>
      </c>
      <c r="AN110" s="3">
        <f ca="1">IFERROR(__xludf.DUMMYFUNCTION("""COMPUTED_VALUE"""),-0.487136681060956)</f>
        <v>-0.48713668106095598</v>
      </c>
      <c r="AO110" s="3">
        <f ca="1">IFERROR(__xludf.DUMMYFUNCTION("""COMPUTED_VALUE"""),-0.567621918403003)</f>
        <v>-0.56762191840300302</v>
      </c>
      <c r="AP110" s="3">
        <f ca="1">IFERROR(__xludf.DUMMYFUNCTION("""COMPUTED_VALUE"""),-0.589039276542693)</f>
        <v>-0.58903927654269295</v>
      </c>
      <c r="AQ110" s="3">
        <f ca="1">IFERROR(__xludf.DUMMYFUNCTION("""COMPUTED_VALUE"""),-0.555114130695938)</f>
        <v>-0.55511413069593796</v>
      </c>
      <c r="AR110" s="3">
        <f ca="1">IFERROR(__xludf.DUMMYFUNCTION("""COMPUTED_VALUE"""),-0.588489409392002)</f>
        <v>-0.58848940939200201</v>
      </c>
      <c r="AS110" s="3">
        <f ca="1">IFERROR(__xludf.DUMMYFUNCTION("""COMPUTED_VALUE"""),-0.577511792163208)</f>
        <v>-0.57751179216320803</v>
      </c>
      <c r="AT110" s="3">
        <f ca="1">IFERROR(__xludf.DUMMYFUNCTION("""COMPUTED_VALUE"""),-0.517943480977582)</f>
        <v>-0.51794348097758203</v>
      </c>
      <c r="AU110" s="3">
        <f ca="1">IFERROR(__xludf.DUMMYFUNCTION("""COMPUTED_VALUE"""),-0.499354239375571)</f>
        <v>-0.499354239375571</v>
      </c>
      <c r="AV110" s="3">
        <f ca="1">IFERROR(__xludf.DUMMYFUNCTION("""COMPUTED_VALUE"""),-0.590422976325075)</f>
        <v>-0.59042297632507501</v>
      </c>
      <c r="AW110" s="3">
        <f ca="1">IFERROR(__xludf.DUMMYFUNCTION("""COMPUTED_VALUE"""),-0.599266089877955)</f>
        <v>-0.59926608987795504</v>
      </c>
      <c r="AX110" s="3">
        <f ca="1">IFERROR(__xludf.DUMMYFUNCTION("""COMPUTED_VALUE"""),-0.587525580454498)</f>
        <v>-0.58752558045449799</v>
      </c>
      <c r="AY110" s="3">
        <f ca="1">IFERROR(__xludf.DUMMYFUNCTION("""COMPUTED_VALUE"""),-0.5848661416837)</f>
        <v>-0.58486614168369999</v>
      </c>
      <c r="AZ110" s="3">
        <f ca="1">IFERROR(__xludf.DUMMYFUNCTION("""COMPUTED_VALUE"""),-0.606487518487926)</f>
        <v>-0.60648751848792604</v>
      </c>
      <c r="BA110" s="3">
        <f ca="1">IFERROR(__xludf.DUMMYFUNCTION("""COMPUTED_VALUE"""),-0.517657233142519)</f>
        <v>-0.51765723314251899</v>
      </c>
      <c r="BB110" s="3">
        <f ca="1">IFERROR(__xludf.DUMMYFUNCTION("""COMPUTED_VALUE"""),-0.537970947087864)</f>
        <v>-0.53797094708786397</v>
      </c>
      <c r="BC110" s="3">
        <f ca="1">IFERROR(__xludf.DUMMYFUNCTION("""COMPUTED_VALUE"""),-0.599947831312953)</f>
        <v>-0.59994783131295304</v>
      </c>
      <c r="BD110" s="3">
        <f ca="1">IFERROR(__xludf.DUMMYFUNCTION("""COMPUTED_VALUE"""),-0.607480449205271)</f>
        <v>-0.607480449205271</v>
      </c>
      <c r="BE110" s="3">
        <f ca="1">IFERROR(__xludf.DUMMYFUNCTION("""COMPUTED_VALUE"""),-0.617682709259607)</f>
        <v>-0.617682709259607</v>
      </c>
      <c r="BF110" s="3">
        <f ca="1">IFERROR(__xludf.DUMMYFUNCTION("""COMPUTED_VALUE"""),-0.626417626579443)</f>
        <v>-0.626417626579443</v>
      </c>
      <c r="BG110" s="3">
        <f ca="1">IFERROR(__xludf.DUMMYFUNCTION("""COMPUTED_VALUE"""),-0.620973922147777)</f>
        <v>-0.62097392214777702</v>
      </c>
      <c r="BH110" s="3">
        <f ca="1">IFERROR(__xludf.DUMMYFUNCTION("""COMPUTED_VALUE"""),-0.421520467654898)</f>
        <v>-0.42152046765489798</v>
      </c>
      <c r="BI110" s="3">
        <f ca="1">IFERROR(__xludf.DUMMYFUNCTION("""COMPUTED_VALUE"""),-0.505485807984777)</f>
        <v>-0.50548580798477705</v>
      </c>
      <c r="BJ110" s="3">
        <f ca="1">IFERROR(__xludf.DUMMYFUNCTION("""COMPUTED_VALUE"""),-0.588850894030635)</f>
        <v>-0.58885089403063495</v>
      </c>
      <c r="BK110" s="3">
        <f ca="1">IFERROR(__xludf.DUMMYFUNCTION("""COMPUTED_VALUE"""),-0.612889184804533)</f>
        <v>-0.61288918480453303</v>
      </c>
      <c r="BL110" s="3">
        <f ca="1">IFERROR(__xludf.DUMMYFUNCTION("""COMPUTED_VALUE"""),-0.601271892800771)</f>
        <v>-0.60127189280077098</v>
      </c>
      <c r="BM110" s="3">
        <f ca="1">IFERROR(__xludf.DUMMYFUNCTION("""COMPUTED_VALUE"""),-0.61425128545944)</f>
        <v>-0.61425128545943997</v>
      </c>
      <c r="BN110" s="3">
        <f ca="1">IFERROR(__xludf.DUMMYFUNCTION("""COMPUTED_VALUE"""),-0.617173509915588)</f>
        <v>-0.61717350991558795</v>
      </c>
      <c r="BO110" s="3">
        <f ca="1">IFERROR(__xludf.DUMMYFUNCTION("""COMPUTED_VALUE"""),-0.519952944490134)</f>
        <v>-0.51995294449013396</v>
      </c>
      <c r="BP110" s="3">
        <f ca="1">IFERROR(__xludf.DUMMYFUNCTION("""COMPUTED_VALUE"""),-0.529835345207733)</f>
        <v>-0.52983534520773301</v>
      </c>
      <c r="BQ110" s="3">
        <f ca="1">IFERROR(__xludf.DUMMYFUNCTION("""COMPUTED_VALUE"""),-0.630482838672617)</f>
        <v>-0.63048283867261701</v>
      </c>
      <c r="BR110" s="3">
        <f ca="1">IFERROR(__xludf.DUMMYFUNCTION("""COMPUTED_VALUE"""),-0.619496380442105)</f>
        <v>-0.61949638044210498</v>
      </c>
      <c r="BS110" s="3">
        <f ca="1">IFERROR(__xludf.DUMMYFUNCTION("""COMPUTED_VALUE"""),-0.617915001005284)</f>
        <v>-0.61791500100528396</v>
      </c>
      <c r="BT110" s="3">
        <f ca="1">IFERROR(__xludf.DUMMYFUNCTION("""COMPUTED_VALUE"""),-0.614705174533118)</f>
        <v>-0.61470517453311802</v>
      </c>
      <c r="BU110" s="3">
        <f ca="1">IFERROR(__xludf.DUMMYFUNCTION("""COMPUTED_VALUE"""),-0.606406239592088)</f>
        <v>-0.60640623959208795</v>
      </c>
      <c r="BV110" s="3">
        <f ca="1">IFERROR(__xludf.DUMMYFUNCTION("""COMPUTED_VALUE"""),-0.519247115053813)</f>
        <v>-0.51924711505381305</v>
      </c>
      <c r="BW110" s="3">
        <f ca="1">IFERROR(__xludf.DUMMYFUNCTION("""COMPUTED_VALUE"""),-0.538525645145886)</f>
        <v>-0.53852564514588597</v>
      </c>
      <c r="BX110" s="3">
        <f ca="1">IFERROR(__xludf.DUMMYFUNCTION("""COMPUTED_VALUE"""),-0.635335543886321)</f>
        <v>-0.63533554388632096</v>
      </c>
      <c r="BY110" s="3">
        <f ca="1">IFERROR(__xludf.DUMMYFUNCTION("""COMPUTED_VALUE"""),-0.658146505513823)</f>
        <v>-0.65814650551382303</v>
      </c>
      <c r="BZ110" s="3">
        <f ca="1">IFERROR(__xludf.DUMMYFUNCTION("""COMPUTED_VALUE"""),-0.640749671757093)</f>
        <v>-0.64074967175709296</v>
      </c>
      <c r="CA110" s="3">
        <f ca="1">IFERROR(__xludf.DUMMYFUNCTION("""COMPUTED_VALUE"""),-0.635130516373097)</f>
        <v>-0.63513051637309703</v>
      </c>
      <c r="CB110" s="3">
        <f ca="1">IFERROR(__xludf.DUMMYFUNCTION("""COMPUTED_VALUE"""),-0.59551788536577)</f>
        <v>-0.59551788536576999</v>
      </c>
      <c r="CC110" s="3">
        <f ca="1">IFERROR(__xludf.DUMMYFUNCTION("""COMPUTED_VALUE"""),-0.571598795558836)</f>
        <v>-0.57159879555883597</v>
      </c>
      <c r="CD110" s="3">
        <f ca="1">IFERROR(__xludf.DUMMYFUNCTION("""COMPUTED_VALUE"""),-0.568290205540244)</f>
        <v>-0.56829020554024401</v>
      </c>
      <c r="CE110" s="3">
        <f ca="1">IFERROR(__xludf.DUMMYFUNCTION("""COMPUTED_VALUE"""),-0.651425411756423)</f>
        <v>-0.65142541175642299</v>
      </c>
      <c r="CF110" s="3">
        <f ca="1">IFERROR(__xludf.DUMMYFUNCTION("""COMPUTED_VALUE"""),-0.651318984997213)</f>
        <v>-0.65131898499721297</v>
      </c>
      <c r="CG110" s="3">
        <f ca="1">IFERROR(__xludf.DUMMYFUNCTION("""COMPUTED_VALUE"""),-0.659645633134287)</f>
        <v>-0.65964563313428703</v>
      </c>
      <c r="CH110" s="3">
        <f ca="1">IFERROR(__xludf.DUMMYFUNCTION("""COMPUTED_VALUE"""),-0.647549907075999)</f>
        <v>-0.64754990707599902</v>
      </c>
      <c r="CI110" s="3">
        <f ca="1">IFERROR(__xludf.DUMMYFUNCTION("""COMPUTED_VALUE"""),-0.643024360128934)</f>
        <v>-0.64302436012893405</v>
      </c>
      <c r="CJ110" s="3">
        <f ca="1">IFERROR(__xludf.DUMMYFUNCTION("""COMPUTED_VALUE"""),-0.567752934626324)</f>
        <v>-0.56775293462632404</v>
      </c>
      <c r="CK110" s="3">
        <f ca="1">IFERROR(__xludf.DUMMYFUNCTION("""COMPUTED_VALUE"""),-0.576288357027809)</f>
        <v>-0.57628835702780901</v>
      </c>
      <c r="CL110" s="3">
        <f ca="1">IFERROR(__xludf.DUMMYFUNCTION("""COMPUTED_VALUE"""),-0.650673400381235)</f>
        <v>-0.650673400381235</v>
      </c>
      <c r="CM110" s="3">
        <f ca="1">IFERROR(__xludf.DUMMYFUNCTION("""COMPUTED_VALUE"""),-0.656934060973487)</f>
        <v>-0.65693406097348706</v>
      </c>
      <c r="CN110" s="3">
        <f ca="1">IFERROR(__xludf.DUMMYFUNCTION("""COMPUTED_VALUE"""),-0.651672492180441)</f>
        <v>-0.65167249218044099</v>
      </c>
      <c r="CO110" s="3">
        <f ca="1">IFERROR(__xludf.DUMMYFUNCTION("""COMPUTED_VALUE"""),-0.65522236013246)</f>
        <v>-0.65522236013246005</v>
      </c>
      <c r="CP110" s="3">
        <f ca="1">IFERROR(__xludf.DUMMYFUNCTION("""COMPUTED_VALUE"""),-0.603514320643545)</f>
        <v>-0.60351432064354504</v>
      </c>
      <c r="CQ110" s="3">
        <f ca="1">IFERROR(__xludf.DUMMYFUNCTION("""COMPUTED_VALUE"""),-0.556518968840739)</f>
        <v>-0.55651896884073904</v>
      </c>
      <c r="CR110" s="3">
        <f ca="1">IFERROR(__xludf.DUMMYFUNCTION("""COMPUTED_VALUE"""),-0.551256192540936)</f>
        <v>-0.55125619254093605</v>
      </c>
      <c r="CS110" s="3">
        <f ca="1">IFERROR(__xludf.DUMMYFUNCTION("""COMPUTED_VALUE"""),-0.634601087446375)</f>
        <v>-0.634601087446375</v>
      </c>
      <c r="CT110" s="3">
        <f ca="1">IFERROR(__xludf.DUMMYFUNCTION("""COMPUTED_VALUE"""),-0.630850037620523)</f>
        <v>-0.63085003762052305</v>
      </c>
      <c r="CU110" s="3">
        <f ca="1">IFERROR(__xludf.DUMMYFUNCTION("""COMPUTED_VALUE"""),-0.594419199200283)</f>
        <v>-0.59441919920028297</v>
      </c>
      <c r="CV110" s="3">
        <f ca="1">IFERROR(__xludf.DUMMYFUNCTION("""COMPUTED_VALUE"""),-0.62818493620547)</f>
        <v>-0.62818493620547</v>
      </c>
      <c r="CW110" s="3">
        <f ca="1">IFERROR(__xludf.DUMMYFUNCTION("""COMPUTED_VALUE"""),-0.608326175611306)</f>
        <v>-0.60832617561130597</v>
      </c>
      <c r="CX110" s="3">
        <f ca="1">IFERROR(__xludf.DUMMYFUNCTION("""COMPUTED_VALUE"""),-0.579834791569376)</f>
        <v>-0.57983479156937601</v>
      </c>
      <c r="CY110" s="3">
        <f ca="1">IFERROR(__xludf.DUMMYFUNCTION("""COMPUTED_VALUE"""),-0.575336410820464)</f>
        <v>-0.57533641082046405</v>
      </c>
      <c r="CZ110" s="3">
        <f ca="1">IFERROR(__xludf.DUMMYFUNCTION("""COMPUTED_VALUE"""),-0.751700271770981)</f>
        <v>-0.75170027177098098</v>
      </c>
      <c r="DA110" s="3">
        <f ca="1">IFERROR(__xludf.DUMMYFUNCTION("""COMPUTED_VALUE"""),-0.571902662310827)</f>
        <v>-0.57190266231082698</v>
      </c>
      <c r="DB110" s="3">
        <f ca="1">IFERROR(__xludf.DUMMYFUNCTION("""COMPUTED_VALUE"""),-0.41081213187437)</f>
        <v>-0.41081213187436999</v>
      </c>
      <c r="DC110" s="3">
        <f ca="1">IFERROR(__xludf.DUMMYFUNCTION("""COMPUTED_VALUE"""),-0.589230011058061)</f>
        <v>-0.58923001105806105</v>
      </c>
      <c r="DD110" s="3">
        <f ca="1">IFERROR(__xludf.DUMMYFUNCTION("""COMPUTED_VALUE"""),-0.61013578963889)</f>
        <v>-0.61013578963889004</v>
      </c>
      <c r="DE110" s="3">
        <f ca="1">IFERROR(__xludf.DUMMYFUNCTION("""COMPUTED_VALUE"""),-0.537634722971306)</f>
        <v>-0.53763472297130599</v>
      </c>
      <c r="DF110" s="3">
        <f ca="1">IFERROR(__xludf.DUMMYFUNCTION("""COMPUTED_VALUE"""),-0.548196216818454)</f>
        <v>-0.54819621681845399</v>
      </c>
      <c r="DG110" s="3">
        <f ca="1">IFERROR(__xludf.DUMMYFUNCTION("""COMPUTED_VALUE"""),-0.796795171026805)</f>
        <v>-0.79679517102680497</v>
      </c>
      <c r="DH110" s="3">
        <f ca="1">IFERROR(__xludf.DUMMYFUNCTION("""COMPUTED_VALUE"""),-0.61008437315659)</f>
        <v>-0.61008437315659003</v>
      </c>
      <c r="DI110" s="3">
        <f ca="1">IFERROR(__xludf.DUMMYFUNCTION("""COMPUTED_VALUE"""),-0.377518243093824)</f>
        <v>-0.37751824309382398</v>
      </c>
      <c r="DJ110" s="3">
        <f ca="1">IFERROR(__xludf.DUMMYFUNCTION("""COMPUTED_VALUE"""),-0.554127928263827)</f>
        <v>-0.55412792826382695</v>
      </c>
      <c r="DK110" s="3">
        <f ca="1">IFERROR(__xludf.DUMMYFUNCTION("""COMPUTED_VALUE"""),-0.584383974783874)</f>
        <v>-0.58438397478387405</v>
      </c>
      <c r="DL110" s="3">
        <f ca="1">IFERROR(__xludf.DUMMYFUNCTION("""COMPUTED_VALUE"""),-0.548643977910794)</f>
        <v>-0.548643977910794</v>
      </c>
      <c r="DM110" s="3">
        <f ca="1">IFERROR(__xludf.DUMMYFUNCTION("""COMPUTED_VALUE"""),-0.551819581714311)</f>
        <v>-0.551819581714311</v>
      </c>
      <c r="DN110" s="3">
        <f ca="1">IFERROR(__xludf.DUMMYFUNCTION("""COMPUTED_VALUE"""),-0.606445441484554)</f>
        <v>-0.60644544148455404</v>
      </c>
      <c r="DO110" s="3">
        <f ca="1">IFERROR(__xludf.DUMMYFUNCTION("""COMPUTED_VALUE"""),-0.576380975548868)</f>
        <v>-0.57638097554886802</v>
      </c>
      <c r="DP110" s="3">
        <f ca="1">IFERROR(__xludf.DUMMYFUNCTION("""COMPUTED_VALUE"""),-0.465392904306353)</f>
        <v>-0.46539290430635299</v>
      </c>
      <c r="DQ110" s="3">
        <f ca="1">IFERROR(__xludf.DUMMYFUNCTION("""COMPUTED_VALUE"""),-0.621448893303241)</f>
        <v>-0.62144889330324105</v>
      </c>
      <c r="DR110" s="3">
        <f ca="1">IFERROR(__xludf.DUMMYFUNCTION("""COMPUTED_VALUE"""),-0.633833368854428)</f>
        <v>-0.63383336885442798</v>
      </c>
      <c r="DS110" s="3">
        <f ca="1">IFERROR(__xludf.DUMMYFUNCTION("""COMPUTED_VALUE"""),-0.587604395332913)</f>
        <v>-0.58760439533291298</v>
      </c>
      <c r="DT110" s="3">
        <f ca="1">IFERROR(__xludf.DUMMYFUNCTION("""COMPUTED_VALUE"""),-0.589584541740939)</f>
        <v>-0.58958454174093899</v>
      </c>
      <c r="DU110" s="3">
        <f ca="1">IFERROR(__xludf.DUMMYFUNCTION("""COMPUTED_VALUE"""),-0.62948244428251)</f>
        <v>-0.62948244428250999</v>
      </c>
      <c r="DV110" s="3">
        <f ca="1">IFERROR(__xludf.DUMMYFUNCTION("""COMPUTED_VALUE"""),-0.636562478829064)</f>
        <v>-0.63656247882906403</v>
      </c>
      <c r="DW110" s="3">
        <f ca="1">IFERROR(__xludf.DUMMYFUNCTION("""COMPUTED_VALUE"""),-0.647446819097016)</f>
        <v>-0.64744681909701596</v>
      </c>
      <c r="DX110" s="3">
        <f ca="1">IFERROR(__xludf.DUMMYFUNCTION("""COMPUTED_VALUE"""),-0.65579312046788)</f>
        <v>-0.65579312046787996</v>
      </c>
      <c r="DY110" s="3">
        <f ca="1">IFERROR(__xludf.DUMMYFUNCTION("""COMPUTED_VALUE"""),-0.625825555611304)</f>
        <v>-0.62582555561130404</v>
      </c>
      <c r="DZ110" s="3">
        <f ca="1">IFERROR(__xludf.DUMMYFUNCTION("""COMPUTED_VALUE"""),-0.572448351866228)</f>
        <v>-0.572448351866228</v>
      </c>
      <c r="EA110" s="3">
        <f ca="1">IFERROR(__xludf.DUMMYFUNCTION("""COMPUTED_VALUE"""),-0.5502351682548)</f>
        <v>-0.55023516825480001</v>
      </c>
      <c r="EB110" s="3">
        <f ca="1">IFERROR(__xludf.DUMMYFUNCTION("""COMPUTED_VALUE"""),-0.605716864096397)</f>
        <v>-0.60571686409639702</v>
      </c>
      <c r="EC110" s="3">
        <f ca="1">IFERROR(__xludf.DUMMYFUNCTION("""COMPUTED_VALUE"""),-0.561789260523707)</f>
        <v>-0.56178926052370703</v>
      </c>
      <c r="ED110" s="3">
        <f ca="1">IFERROR(__xludf.DUMMYFUNCTION("""COMPUTED_VALUE"""),-0.650690116924757)</f>
        <v>-0.65069011692475698</v>
      </c>
      <c r="EE110" s="3">
        <f ca="1">IFERROR(__xludf.DUMMYFUNCTION("""COMPUTED_VALUE"""),-0.659619503546769)</f>
        <v>-0.65961950354676901</v>
      </c>
      <c r="EF110" s="3">
        <f ca="1">IFERROR(__xludf.DUMMYFUNCTION("""COMPUTED_VALUE"""),-0.64372892627531)</f>
        <v>-0.64372892627530998</v>
      </c>
      <c r="EG110" s="3">
        <f ca="1">IFERROR(__xludf.DUMMYFUNCTION("""COMPUTED_VALUE"""),-0.55796350053371)</f>
        <v>-0.55796350053371002</v>
      </c>
      <c r="EH110" s="3">
        <f ca="1">IFERROR(__xludf.DUMMYFUNCTION("""COMPUTED_VALUE"""),-0.548218155841805)</f>
        <v>-0.548218155841805</v>
      </c>
      <c r="EI110" s="3">
        <f ca="1">IFERROR(__xludf.DUMMYFUNCTION("""COMPUTED_VALUE"""),-0.670876334235359)</f>
        <v>-0.67087633423535897</v>
      </c>
      <c r="EJ110" s="3">
        <f ca="1">IFERROR(__xludf.DUMMYFUNCTION("""COMPUTED_VALUE"""),-0.777275330369158)</f>
        <v>-0.77727533036915797</v>
      </c>
      <c r="EK110" s="3">
        <f ca="1">IFERROR(__xludf.DUMMYFUNCTION("""COMPUTED_VALUE"""),-0.621348655974002)</f>
        <v>-0.62134865597400202</v>
      </c>
      <c r="EL110" s="3">
        <f ca="1">IFERROR(__xludf.DUMMYFUNCTION("""COMPUTED_VALUE"""),-0.629107295522994)</f>
        <v>-0.62910729552299405</v>
      </c>
      <c r="EM110" s="3">
        <f ca="1">IFERROR(__xludf.DUMMYFUNCTION("""COMPUTED_VALUE"""),-0.613745996123183)</f>
        <v>-0.61374599612318304</v>
      </c>
      <c r="EN110" s="3">
        <f ca="1">IFERROR(__xludf.DUMMYFUNCTION("""COMPUTED_VALUE"""),-0.557782859681305)</f>
        <v>-0.55778285968130503</v>
      </c>
      <c r="EO110" s="3">
        <f ca="1">IFERROR(__xludf.DUMMYFUNCTION("""COMPUTED_VALUE"""),-0.543227618239991)</f>
        <v>-0.54322761823999099</v>
      </c>
      <c r="EP110" s="3">
        <f ca="1">IFERROR(__xludf.DUMMYFUNCTION("""COMPUTED_VALUE"""),-0.577498603320701)</f>
        <v>-0.57749860332070102</v>
      </c>
      <c r="EQ110" s="3">
        <f ca="1">IFERROR(__xludf.DUMMYFUNCTION("""COMPUTED_VALUE"""),-0.54001557995664)</f>
        <v>-0.54001557995663996</v>
      </c>
      <c r="ER110" s="3">
        <f ca="1">IFERROR(__xludf.DUMMYFUNCTION("""COMPUTED_VALUE"""),-0.613476680699391)</f>
        <v>-0.61347668069939099</v>
      </c>
      <c r="ES110" s="3">
        <f ca="1">IFERROR(__xludf.DUMMYFUNCTION("""COMPUTED_VALUE"""),-0.638298079714513)</f>
        <v>-0.63829807971451302</v>
      </c>
      <c r="ET110" s="3">
        <f ca="1">IFERROR(__xludf.DUMMYFUNCTION("""COMPUTED_VALUE"""),-0.609105149968559)</f>
        <v>-0.60910514996855902</v>
      </c>
      <c r="EU110" s="3">
        <f ca="1">IFERROR(__xludf.DUMMYFUNCTION("""COMPUTED_VALUE"""),-0.568192548848889)</f>
        <v>-0.56819254884888903</v>
      </c>
      <c r="EV110" s="3">
        <f ca="1">IFERROR(__xludf.DUMMYFUNCTION("""COMPUTED_VALUE"""),-0.521816450565133)</f>
        <v>-0.52181645056513304</v>
      </c>
      <c r="EW110" s="3">
        <f ca="1">IFERROR(__xludf.DUMMYFUNCTION("""COMPUTED_VALUE"""),-0.632570458964423)</f>
        <v>-0.63257045896442299</v>
      </c>
      <c r="EX110" s="3">
        <f ca="1">IFERROR(__xludf.DUMMYFUNCTION("""COMPUTED_VALUE"""),-0.627420822227143)</f>
        <v>-0.62742082222714302</v>
      </c>
      <c r="EY110" s="3">
        <f ca="1">IFERROR(__xludf.DUMMYFUNCTION("""COMPUTED_VALUE"""),-0.649399017914833)</f>
        <v>-0.64939901791483301</v>
      </c>
      <c r="EZ110" s="3">
        <f ca="1">IFERROR(__xludf.DUMMYFUNCTION("""COMPUTED_VALUE"""),-0.61577097435197)</f>
        <v>-0.61577097435197004</v>
      </c>
      <c r="FA110" s="3">
        <f ca="1">IFERROR(__xludf.DUMMYFUNCTION("""COMPUTED_VALUE"""),-0.604127739622367)</f>
        <v>-0.60412773962236699</v>
      </c>
      <c r="FB110" s="3">
        <f ca="1">IFERROR(__xludf.DUMMYFUNCTION("""COMPUTED_VALUE"""),-0.555159810965856)</f>
        <v>-0.55515981096585598</v>
      </c>
      <c r="FC110" s="3">
        <f ca="1">IFERROR(__xludf.DUMMYFUNCTION("""COMPUTED_VALUE"""),-0.538824302178628)</f>
        <v>-0.53882430217862798</v>
      </c>
      <c r="FD110" s="3">
        <f ca="1">IFERROR(__xludf.DUMMYFUNCTION("""COMPUTED_VALUE"""),-0.611683466075441)</f>
        <v>-0.611683466075441</v>
      </c>
      <c r="FE110" s="3">
        <f ca="1">IFERROR(__xludf.DUMMYFUNCTION("""COMPUTED_VALUE"""),-0.63495845430543)</f>
        <v>-0.63495845430542996</v>
      </c>
      <c r="FF110" s="3">
        <f ca="1">IFERROR(__xludf.DUMMYFUNCTION("""COMPUTED_VALUE"""),-0.640167354741539)</f>
        <v>-0.64016735474153896</v>
      </c>
      <c r="FG110" s="3">
        <f ca="1">IFERROR(__xludf.DUMMYFUNCTION("""COMPUTED_VALUE"""),-0.609484343905876)</f>
        <v>-0.60948434390587602</v>
      </c>
      <c r="FH110" s="3">
        <f ca="1">IFERROR(__xludf.DUMMYFUNCTION("""COMPUTED_VALUE"""),-0.625788191607564)</f>
        <v>-0.62578819160756405</v>
      </c>
      <c r="FI110" s="3">
        <f ca="1">IFERROR(__xludf.DUMMYFUNCTION("""COMPUTED_VALUE"""),-0.570887406555615)</f>
        <v>-0.57088740655561498</v>
      </c>
      <c r="FJ110" s="3">
        <f ca="1">IFERROR(__xludf.DUMMYFUNCTION("""COMPUTED_VALUE"""),-0.524899662887669)</f>
        <v>-0.52489966288766898</v>
      </c>
      <c r="FK110" s="3">
        <f ca="1">IFERROR(__xludf.DUMMYFUNCTION("""COMPUTED_VALUE"""),-0.587965516551656)</f>
        <v>-0.58796551655165596</v>
      </c>
      <c r="FL110" s="3">
        <f ca="1">IFERROR(__xludf.DUMMYFUNCTION("""COMPUTED_VALUE"""),-0.644837054442741)</f>
        <v>-0.64483705444274098</v>
      </c>
      <c r="FM110" s="3">
        <f ca="1">IFERROR(__xludf.DUMMYFUNCTION("""COMPUTED_VALUE"""),-0.632494117711906)</f>
        <v>-0.632494117711906</v>
      </c>
      <c r="FN110" s="3">
        <f ca="1">IFERROR(__xludf.DUMMYFUNCTION("""COMPUTED_VALUE"""),-0.629637256003326)</f>
        <v>-0.62963725600332598</v>
      </c>
      <c r="FO110" s="3">
        <f ca="1">IFERROR(__xludf.DUMMYFUNCTION("""COMPUTED_VALUE"""),-0.633570626819977)</f>
        <v>-0.633570626819977</v>
      </c>
      <c r="FP110" s="3">
        <f ca="1">IFERROR(__xludf.DUMMYFUNCTION("""COMPUTED_VALUE"""),-0.566906525330122)</f>
        <v>-0.56690652533012198</v>
      </c>
      <c r="FQ110" s="3">
        <f ca="1">IFERROR(__xludf.DUMMYFUNCTION("""COMPUTED_VALUE"""),-0.553441304743341)</f>
        <v>-0.55344130474334097</v>
      </c>
      <c r="FR110" s="3">
        <f ca="1">IFERROR(__xludf.DUMMYFUNCTION("""COMPUTED_VALUE"""),-0.587740879356579)</f>
        <v>-0.58774087935657904</v>
      </c>
      <c r="FS110" s="3">
        <f ca="1">IFERROR(__xludf.DUMMYFUNCTION("""COMPUTED_VALUE"""),-0.621838086354038)</f>
        <v>-0.62183808635403803</v>
      </c>
      <c r="FT110" s="3">
        <f ca="1">IFERROR(__xludf.DUMMYFUNCTION("""COMPUTED_VALUE"""),-0.61890764571051)</f>
        <v>-0.61890764571051005</v>
      </c>
      <c r="FU110" s="3">
        <f ca="1">IFERROR(__xludf.DUMMYFUNCTION("""COMPUTED_VALUE"""),-0.634745872174776)</f>
        <v>-0.63474587217477596</v>
      </c>
      <c r="FV110" s="3">
        <f ca="1">IFERROR(__xludf.DUMMYFUNCTION("""COMPUTED_VALUE"""),-0.642926533544929)</f>
        <v>-0.64292653354492901</v>
      </c>
      <c r="FW110" s="3">
        <f ca="1">IFERROR(__xludf.DUMMYFUNCTION("""COMPUTED_VALUE"""),-0.541120577974693)</f>
        <v>-0.54112057797469304</v>
      </c>
      <c r="FX110" s="3">
        <f ca="1">IFERROR(__xludf.DUMMYFUNCTION("""COMPUTED_VALUE"""),-0.504062797730565)</f>
        <v>-0.50406279773056495</v>
      </c>
      <c r="FY110" s="3">
        <f ca="1">IFERROR(__xludf.DUMMYFUNCTION("""COMPUTED_VALUE"""),-0.607447961340096)</f>
        <v>-0.60744796134009604</v>
      </c>
      <c r="FZ110" s="3">
        <f ca="1">IFERROR(__xludf.DUMMYFUNCTION("""COMPUTED_VALUE"""),-0.628239990843501)</f>
        <v>-0.62823999084350102</v>
      </c>
      <c r="GA110" s="3">
        <f ca="1">IFERROR(__xludf.DUMMYFUNCTION("""COMPUTED_VALUE"""),-0.590731837032507)</f>
        <v>-0.59073183703250698</v>
      </c>
      <c r="GB110" s="3">
        <f ca="1">IFERROR(__xludf.DUMMYFUNCTION("""COMPUTED_VALUE"""),-0.616804418764968)</f>
        <v>-0.61680441876496805</v>
      </c>
      <c r="GC110" s="3">
        <f ca="1">IFERROR(__xludf.DUMMYFUNCTION("""COMPUTED_VALUE"""),-0.634043254059808)</f>
        <v>-0.63404325405980799</v>
      </c>
      <c r="GD110" s="3">
        <f ca="1">IFERROR(__xludf.DUMMYFUNCTION("""COMPUTED_VALUE"""),-0.561419356464439)</f>
        <v>-0.56141935646443897</v>
      </c>
      <c r="GE110" s="3">
        <f ca="1">IFERROR(__xludf.DUMMYFUNCTION("""COMPUTED_VALUE"""),-0.541086415208554)</f>
        <v>-0.54108641520855405</v>
      </c>
      <c r="GF110" s="3">
        <f ca="1">IFERROR(__xludf.DUMMYFUNCTION("""COMPUTED_VALUE"""),-0.607350133775019)</f>
        <v>-0.60735013377501901</v>
      </c>
      <c r="GG110" s="3">
        <f ca="1">IFERROR(__xludf.DUMMYFUNCTION("""COMPUTED_VALUE"""),-0.635604538072872)</f>
        <v>-0.63560453807287198</v>
      </c>
      <c r="GH110" s="3">
        <f ca="1">IFERROR(__xludf.DUMMYFUNCTION("""COMPUTED_VALUE"""),-0.611993200158074)</f>
        <v>-0.61199320015807401</v>
      </c>
      <c r="GI110" s="3">
        <f ca="1">IFERROR(__xludf.DUMMYFUNCTION("""COMPUTED_VALUE"""),-0.643537180810041)</f>
        <v>-0.64353718081004097</v>
      </c>
      <c r="GJ110" s="3">
        <f ca="1">IFERROR(__xludf.DUMMYFUNCTION("""COMPUTED_VALUE"""),-0.595448062929649)</f>
        <v>-0.59544806292964902</v>
      </c>
      <c r="GK110" s="3">
        <f ca="1">IFERROR(__xludf.DUMMYFUNCTION("""COMPUTED_VALUE"""),-0.549350875054164)</f>
        <v>-0.54935087505416402</v>
      </c>
      <c r="GL110" s="3">
        <f ca="1">IFERROR(__xludf.DUMMYFUNCTION("""COMPUTED_VALUE"""),-0.542254758014437)</f>
        <v>-0.54225475801443701</v>
      </c>
      <c r="GM110" s="3">
        <f ca="1">IFERROR(__xludf.DUMMYFUNCTION("""COMPUTED_VALUE"""),-0.606213173923868)</f>
        <v>-0.60621317392386798</v>
      </c>
      <c r="GN110" s="3">
        <f ca="1">IFERROR(__xludf.DUMMYFUNCTION("""COMPUTED_VALUE"""),-0.620053047874042)</f>
        <v>-0.62005304787404203</v>
      </c>
      <c r="GO110" s="3">
        <f ca="1">IFERROR(__xludf.DUMMYFUNCTION("""COMPUTED_VALUE"""),-0.616939202002024)</f>
        <v>-0.61693920200202401</v>
      </c>
      <c r="GP110" s="3">
        <f ca="1">IFERROR(__xludf.DUMMYFUNCTION("""COMPUTED_VALUE"""),-0.643616188925041)</f>
        <v>-0.64361618892504102</v>
      </c>
      <c r="GQ110" s="3">
        <f ca="1">IFERROR(__xludf.DUMMYFUNCTION("""COMPUTED_VALUE"""),-0.59929350141318)</f>
        <v>-0.59929350141318005</v>
      </c>
      <c r="GR110" s="3">
        <f ca="1">IFERROR(__xludf.DUMMYFUNCTION("""COMPUTED_VALUE"""),-0.52706240638667)</f>
        <v>-0.52706240638667001</v>
      </c>
      <c r="GS110" s="3">
        <f ca="1">IFERROR(__xludf.DUMMYFUNCTION("""COMPUTED_VALUE"""),-0.530236770435259)</f>
        <v>-0.53023677043525896</v>
      </c>
      <c r="GT110" s="3">
        <f ca="1">IFERROR(__xludf.DUMMYFUNCTION("""COMPUTED_VALUE"""),-0.611112394215838)</f>
        <v>-0.61111239421583796</v>
      </c>
      <c r="GU110" s="3">
        <f ca="1">IFERROR(__xludf.DUMMYFUNCTION("""COMPUTED_VALUE"""),-0.636099913794251)</f>
        <v>-0.63609991379425102</v>
      </c>
      <c r="GV110" s="3">
        <f ca="1">IFERROR(__xludf.DUMMYFUNCTION("""COMPUTED_VALUE"""),-0.612342263085718)</f>
        <v>-0.61234226308571804</v>
      </c>
      <c r="GW110" s="3">
        <f ca="1">IFERROR(__xludf.DUMMYFUNCTION("""COMPUTED_VALUE"""),-0.629199963451633)</f>
        <v>-0.62919996345163298</v>
      </c>
      <c r="GX110" s="3">
        <f ca="1">IFERROR(__xludf.DUMMYFUNCTION("""COMPUTED_VALUE"""),-0.594436051269742)</f>
        <v>-0.59443605126974197</v>
      </c>
      <c r="GY110" s="3">
        <f ca="1">IFERROR(__xludf.DUMMYFUNCTION("""COMPUTED_VALUE"""),-0.533566175940987)</f>
        <v>-0.53356617594098699</v>
      </c>
      <c r="GZ110" s="3">
        <f ca="1">IFERROR(__xludf.DUMMYFUNCTION("""COMPUTED_VALUE"""),-0.523949998287774)</f>
        <v>-0.523949998287774</v>
      </c>
      <c r="HA110" s="3">
        <f ca="1">IFERROR(__xludf.DUMMYFUNCTION("""COMPUTED_VALUE"""),-0.610991225300176)</f>
        <v>-0.61099122530017602</v>
      </c>
      <c r="HB110" s="3">
        <f ca="1">IFERROR(__xludf.DUMMYFUNCTION("""COMPUTED_VALUE"""),-0.620965828576878)</f>
        <v>-0.62096582857687799</v>
      </c>
      <c r="HC110" s="3">
        <f ca="1">IFERROR(__xludf.DUMMYFUNCTION("""COMPUTED_VALUE"""),-0.60791848664372)</f>
        <v>-0.60791848664371995</v>
      </c>
      <c r="HD110" s="3">
        <f ca="1">IFERROR(__xludf.DUMMYFUNCTION("""COMPUTED_VALUE"""),-0.615377683094337)</f>
        <v>-0.61537768309433705</v>
      </c>
      <c r="HE110" s="3">
        <f ca="1">IFERROR(__xludf.DUMMYFUNCTION("""COMPUTED_VALUE"""),-0.603390091582311)</f>
        <v>-0.60339009158231105</v>
      </c>
      <c r="HF110" s="3">
        <f ca="1">IFERROR(__xludf.DUMMYFUNCTION("""COMPUTED_VALUE"""),-0.571978217149268)</f>
        <v>-0.571978217149268</v>
      </c>
      <c r="HG110" s="3">
        <f ca="1">IFERROR(__xludf.DUMMYFUNCTION("""COMPUTED_VALUE"""),-0.529597847489456)</f>
        <v>-0.52959784748945604</v>
      </c>
      <c r="HH110" s="3">
        <f ca="1">IFERROR(__xludf.DUMMYFUNCTION("""COMPUTED_VALUE"""),-0.617798379344886)</f>
        <v>-0.61779837934488602</v>
      </c>
      <c r="HI110" s="3">
        <f ca="1">IFERROR(__xludf.DUMMYFUNCTION("""COMPUTED_VALUE"""),-0.615113830939376)</f>
        <v>-0.61511383093937599</v>
      </c>
      <c r="HJ110" s="3">
        <f ca="1">IFERROR(__xludf.DUMMYFUNCTION("""COMPUTED_VALUE"""),-0.609424302335128)</f>
        <v>-0.60942430233512801</v>
      </c>
      <c r="HK110" s="3">
        <f ca="1">IFERROR(__xludf.DUMMYFUNCTION("""COMPUTED_VALUE"""),-0.613209101056191)</f>
        <v>-0.61320910105619097</v>
      </c>
      <c r="HL110" s="3">
        <f ca="1">IFERROR(__xludf.DUMMYFUNCTION("""COMPUTED_VALUE"""),-0.581725287689567)</f>
        <v>-0.58172528768956699</v>
      </c>
      <c r="HM110" s="3">
        <f ca="1">IFERROR(__xludf.DUMMYFUNCTION("""COMPUTED_VALUE"""),-0.51751414954)</f>
        <v>-0.51751414953999997</v>
      </c>
      <c r="HN110" s="3">
        <f ca="1">IFERROR(__xludf.DUMMYFUNCTION("""COMPUTED_VALUE"""),-0.506024472789122)</f>
        <v>-0.50602447278912199</v>
      </c>
      <c r="HO110" s="3">
        <f ca="1">IFERROR(__xludf.DUMMYFUNCTION("""COMPUTED_VALUE"""),-0.596812048780779)</f>
        <v>-0.59681204878077898</v>
      </c>
      <c r="HP110" s="3">
        <f ca="1">IFERROR(__xludf.DUMMYFUNCTION("""COMPUTED_VALUE"""),-0.626579163230316)</f>
        <v>-0.62657916323031604</v>
      </c>
      <c r="HQ110" s="3">
        <f ca="1">IFERROR(__xludf.DUMMYFUNCTION("""COMPUTED_VALUE"""),-0.619813477230778)</f>
        <v>-0.61981347723077795</v>
      </c>
      <c r="HR110" s="3">
        <f ca="1">IFERROR(__xludf.DUMMYFUNCTION("""COMPUTED_VALUE"""),-0.605991745309862)</f>
        <v>-0.605991745309862</v>
      </c>
      <c r="HS110" s="3">
        <f ca="1">IFERROR(__xludf.DUMMYFUNCTION("""COMPUTED_VALUE"""),-0.564325880695413)</f>
        <v>-0.56432588069541301</v>
      </c>
      <c r="HT110" s="3">
        <f ca="1">IFERROR(__xludf.DUMMYFUNCTION("""COMPUTED_VALUE"""),-0.527862817005711)</f>
        <v>-0.52786281700571103</v>
      </c>
      <c r="HU110" s="3">
        <f ca="1">IFERROR(__xludf.DUMMYFUNCTION("""COMPUTED_VALUE"""),-0.525758650252108)</f>
        <v>-0.525758650252108</v>
      </c>
      <c r="HV110" s="3">
        <f ca="1">IFERROR(__xludf.DUMMYFUNCTION("""COMPUTED_VALUE"""),-0.63359255192739)</f>
        <v>-0.63359255192738995</v>
      </c>
      <c r="HW110" s="3">
        <f ca="1">IFERROR(__xludf.DUMMYFUNCTION("""COMPUTED_VALUE"""),-0.624142723624055)</f>
        <v>-0.62414272362405498</v>
      </c>
      <c r="HX110" s="3">
        <f ca="1">IFERROR(__xludf.DUMMYFUNCTION("""COMPUTED_VALUE"""),-0.592513157278727)</f>
        <v>-0.592513157278727</v>
      </c>
      <c r="HY110" s="3">
        <f ca="1">IFERROR(__xludf.DUMMYFUNCTION("""COMPUTED_VALUE"""),-0.628002549442756)</f>
        <v>-0.62800254944275602</v>
      </c>
      <c r="HZ110" s="3">
        <f ca="1">IFERROR(__xludf.DUMMYFUNCTION("""COMPUTED_VALUE"""),-0.534061366923544)</f>
        <v>-0.534061366923544</v>
      </c>
      <c r="IA110" s="3">
        <f ca="1">IFERROR(__xludf.DUMMYFUNCTION("""COMPUTED_VALUE"""),-0.519350498343075)</f>
        <v>-0.51935049834307501</v>
      </c>
      <c r="IB110" s="3">
        <f ca="1">IFERROR(__xludf.DUMMYFUNCTION("""COMPUTED_VALUE"""),-0.49629321569504)</f>
        <v>-0.49629321569503998</v>
      </c>
      <c r="IC110" s="3">
        <f ca="1">IFERROR(__xludf.DUMMYFUNCTION("""COMPUTED_VALUE"""),-0.54613652553712)</f>
        <v>-0.54613652553712</v>
      </c>
      <c r="ID110" s="3">
        <f ca="1">IFERROR(__xludf.DUMMYFUNCTION("""COMPUTED_VALUE"""),-0.564511372469036)</f>
        <v>-0.56451137246903604</v>
      </c>
      <c r="IE110" s="3">
        <f ca="1">IFERROR(__xludf.DUMMYFUNCTION("""COMPUTED_VALUE"""),-0.568674978680767)</f>
        <v>-0.568674978680767</v>
      </c>
      <c r="IF110" s="3">
        <f ca="1">IFERROR(__xludf.DUMMYFUNCTION("""COMPUTED_VALUE"""),-0.561655857578462)</f>
        <v>-0.56165585757846204</v>
      </c>
      <c r="IG110" s="3">
        <f ca="1">IFERROR(__xludf.DUMMYFUNCTION("""COMPUTED_VALUE"""),-0.559533686401168)</f>
        <v>-0.55953368640116796</v>
      </c>
      <c r="IH110" s="3">
        <f ca="1">IFERROR(__xludf.DUMMYFUNCTION("""COMPUTED_VALUE"""),-0.487575988840323)</f>
        <v>-0.48757598884032299</v>
      </c>
      <c r="II110" s="3">
        <f ca="1">IFERROR(__xludf.DUMMYFUNCTION("""COMPUTED_VALUE"""),-0.516358283697058)</f>
        <v>-0.51635828369705805</v>
      </c>
      <c r="IJ110" s="3">
        <f ca="1">IFERROR(__xludf.DUMMYFUNCTION("""COMPUTED_VALUE"""),-0.525706583962198)</f>
        <v>-0.52570658396219805</v>
      </c>
      <c r="IK110" s="3">
        <f ca="1">IFERROR(__xludf.DUMMYFUNCTION("""COMPUTED_VALUE"""),-0.543121873456387)</f>
        <v>-0.54312187345638696</v>
      </c>
      <c r="IL110" s="3">
        <f ca="1">IFERROR(__xludf.DUMMYFUNCTION("""COMPUTED_VALUE"""),-0.537655451720596)</f>
        <v>-0.53765545172059603</v>
      </c>
      <c r="IM110" s="3">
        <f ca="1">IFERROR(__xludf.DUMMYFUNCTION("""COMPUTED_VALUE"""),-0.556704662342793)</f>
        <v>-0.55670466234279303</v>
      </c>
      <c r="IN110" s="3">
        <f ca="1">IFERROR(__xludf.DUMMYFUNCTION("""COMPUTED_VALUE"""),-0.538993151751155)</f>
        <v>-0.53899315175115503</v>
      </c>
      <c r="IO110" s="3">
        <f ca="1">IFERROR(__xludf.DUMMYFUNCTION("""COMPUTED_VALUE"""),-0.473386168360271)</f>
        <v>-0.47338616836027098</v>
      </c>
      <c r="IP110" s="3">
        <f ca="1">IFERROR(__xludf.DUMMYFUNCTION("""COMPUTED_VALUE"""),-0.485247030716043)</f>
        <v>-0.48524703071604303</v>
      </c>
      <c r="IQ110" s="3">
        <f ca="1">IFERROR(__xludf.DUMMYFUNCTION("""COMPUTED_VALUE"""),-0.527841726771606)</f>
        <v>-0.52784172677160601</v>
      </c>
      <c r="IR110" s="3">
        <f ca="1">IFERROR(__xludf.DUMMYFUNCTION("""COMPUTED_VALUE"""),-0.54005167254891)</f>
        <v>-0.54005167254890996</v>
      </c>
      <c r="IS110" s="3">
        <f ca="1">IFERROR(__xludf.DUMMYFUNCTION("""COMPUTED_VALUE"""),-0.530831356498381)</f>
        <v>-0.53083135649838098</v>
      </c>
      <c r="IT110" s="3">
        <f ca="1">IFERROR(__xludf.DUMMYFUNCTION("""COMPUTED_VALUE"""),-0.529460790743547)</f>
        <v>-0.52946079074354702</v>
      </c>
      <c r="IU110" s="3">
        <f ca="1">IFERROR(__xludf.DUMMYFUNCTION("""COMPUTED_VALUE"""),-0.507029243962859)</f>
        <v>-0.50702924396285898</v>
      </c>
      <c r="IV110" s="3">
        <f ca="1">IFERROR(__xludf.DUMMYFUNCTION("""COMPUTED_VALUE"""),-0.483866538452872)</f>
        <v>-0.48386653845287197</v>
      </c>
      <c r="IW110" s="3">
        <f ca="1">IFERROR(__xludf.DUMMYFUNCTION("""COMPUTED_VALUE"""),-0.519867921164853)</f>
        <v>-0.51986792116485303</v>
      </c>
      <c r="IX110" s="3">
        <f ca="1">IFERROR(__xludf.DUMMYFUNCTION("""COMPUTED_VALUE"""),-0.510304133950828)</f>
        <v>-0.51030413395082797</v>
      </c>
      <c r="IY110" s="3">
        <f ca="1">IFERROR(__xludf.DUMMYFUNCTION("""COMPUTED_VALUE"""),-0.567689159950858)</f>
        <v>-0.567689159950858</v>
      </c>
      <c r="IZ110" s="3">
        <f ca="1">IFERROR(__xludf.DUMMYFUNCTION("""COMPUTED_VALUE"""),-0.541474684310498)</f>
        <v>-0.54147468431049794</v>
      </c>
      <c r="JA110" s="3">
        <f ca="1">IFERROR(__xludf.DUMMYFUNCTION("""COMPUTED_VALUE"""),-0.558126809943967)</f>
        <v>-0.55812680994396702</v>
      </c>
      <c r="JB110" s="3">
        <f ca="1">IFERROR(__xludf.DUMMYFUNCTION("""COMPUTED_VALUE"""),-0.529545090074183)</f>
        <v>-0.52954509007418304</v>
      </c>
      <c r="JC110" s="3">
        <f ca="1">IFERROR(__xludf.DUMMYFUNCTION("""COMPUTED_VALUE"""),-0.468155418314562)</f>
        <v>-0.46815541831456198</v>
      </c>
      <c r="JD110" s="3">
        <f ca="1">IFERROR(__xludf.DUMMYFUNCTION("""COMPUTED_VALUE"""),-0.492688467130574)</f>
        <v>-0.49268846713057401</v>
      </c>
      <c r="JE110" s="3">
        <f ca="1">IFERROR(__xludf.DUMMYFUNCTION("""COMPUTED_VALUE"""),-0.529414525480286)</f>
        <v>-0.529414525480286</v>
      </c>
      <c r="JF110" s="3">
        <f ca="1">IFERROR(__xludf.DUMMYFUNCTION("""COMPUTED_VALUE"""),-0.582673787620853)</f>
        <v>-0.58267378762085298</v>
      </c>
      <c r="JG110" s="3">
        <f ca="1">IFERROR(__xludf.DUMMYFUNCTION("""COMPUTED_VALUE"""),-0.556568477583717)</f>
        <v>-0.55656847758371697</v>
      </c>
      <c r="JH110" s="3">
        <f ca="1">IFERROR(__xludf.DUMMYFUNCTION("""COMPUTED_VALUE"""),-0.577768836080273)</f>
        <v>-0.57776883608027296</v>
      </c>
      <c r="JI110" s="3">
        <f ca="1">IFERROR(__xludf.DUMMYFUNCTION("""COMPUTED_VALUE"""),-0.526649742268762)</f>
        <v>-0.52664974226876204</v>
      </c>
      <c r="JJ110" s="3">
        <f ca="1">IFERROR(__xludf.DUMMYFUNCTION("""COMPUTED_VALUE"""),-0.474722224403431)</f>
        <v>-0.47472222440343098</v>
      </c>
      <c r="JK110" s="3">
        <f ca="1">IFERROR(__xludf.DUMMYFUNCTION("""COMPUTED_VALUE"""),-0.492477322479353)</f>
        <v>-0.492477322479353</v>
      </c>
      <c r="JL110" s="3">
        <f ca="1">IFERROR(__xludf.DUMMYFUNCTION("""COMPUTED_VALUE"""),-0.538127900665125)</f>
        <v>-0.53812790066512495</v>
      </c>
      <c r="JM110" s="3">
        <f ca="1">IFERROR(__xludf.DUMMYFUNCTION("""COMPUTED_VALUE"""),-0.558773835823194)</f>
        <v>-0.55877383582319395</v>
      </c>
      <c r="JN110" s="3">
        <f ca="1">IFERROR(__xludf.DUMMYFUNCTION("""COMPUTED_VALUE"""),-0.533175580609494)</f>
        <v>-0.53317558060949399</v>
      </c>
      <c r="JO110" s="3">
        <f ca="1">IFERROR(__xludf.DUMMYFUNCTION("""COMPUTED_VALUE"""),-0.55595206409391)</f>
        <v>-0.55595206409390996</v>
      </c>
      <c r="JP110" s="3">
        <f ca="1">IFERROR(__xludf.DUMMYFUNCTION("""COMPUTED_VALUE"""),-0.529471849804136)</f>
        <v>-0.52947184980413597</v>
      </c>
      <c r="JQ110" s="3">
        <f ca="1">IFERROR(__xludf.DUMMYFUNCTION("""COMPUTED_VALUE"""),-0.483155759787879)</f>
        <v>-0.483155759787879</v>
      </c>
      <c r="JR110" s="3">
        <f ca="1">IFERROR(__xludf.DUMMYFUNCTION("""COMPUTED_VALUE"""),-0.51548808781239)</f>
        <v>-0.51548808781238997</v>
      </c>
      <c r="JS110" s="3">
        <f ca="1">IFERROR(__xludf.DUMMYFUNCTION("""COMPUTED_VALUE"""),-0.53572368384014)</f>
        <v>-0.53572368384014002</v>
      </c>
      <c r="JT110" s="3">
        <f ca="1">IFERROR(__xludf.DUMMYFUNCTION("""COMPUTED_VALUE"""),-0.529034005343314)</f>
        <v>-0.52903400534331402</v>
      </c>
      <c r="JU110" s="3">
        <f ca="1">IFERROR(__xludf.DUMMYFUNCTION("""COMPUTED_VALUE"""),-0.555665576465046)</f>
        <v>-0.555665576465046</v>
      </c>
      <c r="JV110" s="3">
        <f ca="1">IFERROR(__xludf.DUMMYFUNCTION("""COMPUTED_VALUE"""),-0.58015215064384)</f>
        <v>-0.58015215064383996</v>
      </c>
      <c r="JW110" s="3">
        <f ca="1">IFERROR(__xludf.DUMMYFUNCTION("""COMPUTED_VALUE"""),-0.565157307073957)</f>
        <v>-0.56515730707395695</v>
      </c>
      <c r="JX110" s="3">
        <f ca="1">IFERROR(__xludf.DUMMYFUNCTION("""COMPUTED_VALUE"""),-0.497387536152663)</f>
        <v>-0.49738753615266301</v>
      </c>
      <c r="JY110" s="3">
        <f ca="1">IFERROR(__xludf.DUMMYFUNCTION("""COMPUTED_VALUE"""),-0.559178949603734)</f>
        <v>-0.55917894960373404</v>
      </c>
      <c r="JZ110" s="3">
        <f ca="1">IFERROR(__xludf.DUMMYFUNCTION("""COMPUTED_VALUE"""),-0.538114040011242)</f>
        <v>-0.53811404001124197</v>
      </c>
      <c r="KA110" s="3">
        <f ca="1">IFERROR(__xludf.DUMMYFUNCTION("""COMPUTED_VALUE"""),-0.457876240189985)</f>
        <v>-0.45787624018998502</v>
      </c>
      <c r="KB110" s="3">
        <f ca="1">IFERROR(__xludf.DUMMYFUNCTION("""COMPUTED_VALUE"""),-0.519225854464664)</f>
        <v>-0.51922585446466396</v>
      </c>
      <c r="KC110" s="3">
        <f ca="1">IFERROR(__xludf.DUMMYFUNCTION("""COMPUTED_VALUE"""),-0.536759535033138)</f>
        <v>-0.536759535033138</v>
      </c>
      <c r="KD110" s="3">
        <f ca="1">IFERROR(__xludf.DUMMYFUNCTION("""COMPUTED_VALUE"""),-0.530041890851471)</f>
        <v>-0.53004189085147102</v>
      </c>
      <c r="KE110" s="3">
        <f ca="1">IFERROR(__xludf.DUMMYFUNCTION("""COMPUTED_VALUE"""),-0.43724512119898)</f>
        <v>-0.43724512119898001</v>
      </c>
      <c r="KF110" s="3">
        <f ca="1">IFERROR(__xludf.DUMMYFUNCTION("""COMPUTED_VALUE"""),-0.479849647666917)</f>
        <v>-0.47984964766691701</v>
      </c>
      <c r="KG110" s="3">
        <f ca="1">IFERROR(__xludf.DUMMYFUNCTION("""COMPUTED_VALUE"""),-0.463571879702571)</f>
        <v>-0.46357187970257102</v>
      </c>
      <c r="KH110" s="3">
        <f ca="1">IFERROR(__xludf.DUMMYFUNCTION("""COMPUTED_VALUE"""),-0.463124396496785)</f>
        <v>-0.463124396496785</v>
      </c>
      <c r="KI110" s="3">
        <f ca="1">IFERROR(__xludf.DUMMYFUNCTION("""COMPUTED_VALUE"""),-0.526931868360813)</f>
        <v>-0.52693186836081296</v>
      </c>
      <c r="KJ110" s="3">
        <f ca="1">IFERROR(__xludf.DUMMYFUNCTION("""COMPUTED_VALUE"""),-0.541262055728117)</f>
        <v>-0.54126205572811703</v>
      </c>
      <c r="KK110" s="3">
        <f ca="1">IFERROR(__xludf.DUMMYFUNCTION("""COMPUTED_VALUE"""),-0.528207401715731)</f>
        <v>-0.528207401715731</v>
      </c>
      <c r="KL110" s="3">
        <f ca="1">IFERROR(__xludf.DUMMYFUNCTION("""COMPUTED_VALUE"""),-0.416982236492042)</f>
        <v>-0.41698223649204202</v>
      </c>
      <c r="KM110" s="3">
        <f ca="1">IFERROR(__xludf.DUMMYFUNCTION("""COMPUTED_VALUE"""),-0.405476859554977)</f>
        <v>-0.40547685955497698</v>
      </c>
      <c r="KN110" s="3">
        <f ca="1">IFERROR(__xludf.DUMMYFUNCTION("""COMPUTED_VALUE"""),-0.529134359745185)</f>
        <v>-0.52913435974518497</v>
      </c>
      <c r="KO110" s="3">
        <f ca="1">IFERROR(__xludf.DUMMYFUNCTION("""COMPUTED_VALUE"""),-0.52564029762869)</f>
        <v>-0.52564029762869002</v>
      </c>
      <c r="KP110" s="3">
        <f ca="1">IFERROR(__xludf.DUMMYFUNCTION("""COMPUTED_VALUE"""),-0.529050270680964)</f>
        <v>-0.529050270680964</v>
      </c>
      <c r="KQ110" s="3">
        <f ca="1">IFERROR(__xludf.DUMMYFUNCTION("""COMPUTED_VALUE"""),-0.518335454326521)</f>
        <v>-0.51833545432652095</v>
      </c>
      <c r="KR110" s="3">
        <f ca="1">IFERROR(__xludf.DUMMYFUNCTION("""COMPUTED_VALUE"""),-0.533600970659278)</f>
        <v>-0.53360097065927803</v>
      </c>
      <c r="KS110" s="3">
        <f ca="1">IFERROR(__xludf.DUMMYFUNCTION("""COMPUTED_VALUE"""),-0.47186077000967)</f>
        <v>-0.47186077000967003</v>
      </c>
      <c r="KT110" s="3">
        <f ca="1">IFERROR(__xludf.DUMMYFUNCTION("""COMPUTED_VALUE"""),-0.483199653803788)</f>
        <v>-0.48319965380378799</v>
      </c>
      <c r="KU110" s="3">
        <f ca="1">IFERROR(__xludf.DUMMYFUNCTION("""COMPUTED_VALUE"""),-0.535347120747886)</f>
        <v>-0.53534712074788604</v>
      </c>
      <c r="KV110" s="3">
        <f ca="1">IFERROR(__xludf.DUMMYFUNCTION("""COMPUTED_VALUE"""),-0.534987155330296)</f>
        <v>-0.53498715533029595</v>
      </c>
      <c r="KW110" s="3">
        <f ca="1">IFERROR(__xludf.DUMMYFUNCTION("""COMPUTED_VALUE"""),-0.523046983836561)</f>
        <v>-0.52304698383656101</v>
      </c>
      <c r="KX110" s="3">
        <f ca="1">IFERROR(__xludf.DUMMYFUNCTION("""COMPUTED_VALUE"""),-0.541986735784377)</f>
        <v>-0.54198673578437695</v>
      </c>
      <c r="KY110" s="3">
        <f ca="1">IFERROR(__xludf.DUMMYFUNCTION("""COMPUTED_VALUE"""),-0.522851410288208)</f>
        <v>-0.52285141028820803</v>
      </c>
      <c r="KZ110" s="3">
        <f ca="1">IFERROR(__xludf.DUMMYFUNCTION("""COMPUTED_VALUE"""),-0.30631251436258)</f>
        <v>-0.30631251436258</v>
      </c>
      <c r="LA110" s="3">
        <f ca="1">IFERROR(__xludf.DUMMYFUNCTION("""COMPUTED_VALUE"""),-0.382440652345469)</f>
        <v>-0.38244065234546898</v>
      </c>
      <c r="LB110" s="3">
        <f ca="1">IFERROR(__xludf.DUMMYFUNCTION("""COMPUTED_VALUE"""),-0.482593072466641)</f>
        <v>-0.48259307246664102</v>
      </c>
      <c r="LC110" s="3">
        <f ca="1">IFERROR(__xludf.DUMMYFUNCTION("""COMPUTED_VALUE"""),-0.509178554127215)</f>
        <v>-0.50917855412721502</v>
      </c>
      <c r="LD110" s="3">
        <f ca="1">IFERROR(__xludf.DUMMYFUNCTION("""COMPUTED_VALUE"""),-0.509375143983492)</f>
        <v>-0.50937514398349204</v>
      </c>
      <c r="LE110" s="3">
        <f ca="1">IFERROR(__xludf.DUMMYFUNCTION("""COMPUTED_VALUE"""),-0.526484670036638)</f>
        <v>-0.52648467003663801</v>
      </c>
      <c r="LF110" s="3">
        <f ca="1">IFERROR(__xludf.DUMMYFUNCTION("""COMPUTED_VALUE"""),-0.462334086135431)</f>
        <v>-0.46233408613543098</v>
      </c>
      <c r="LG110" s="3">
        <f ca="1">IFERROR(__xludf.DUMMYFUNCTION("""COMPUTED_VALUE"""),-0.467599364306912)</f>
        <v>-0.46759936430691201</v>
      </c>
      <c r="LH110" s="3">
        <f ca="1">IFERROR(__xludf.DUMMYFUNCTION("""COMPUTED_VALUE"""),-0.495200531298685)</f>
        <v>-0.49520053129868502</v>
      </c>
      <c r="LI110" s="3">
        <f ca="1">IFERROR(__xludf.DUMMYFUNCTION("""COMPUTED_VALUE"""),-0.559069413469867)</f>
        <v>-0.55906941346986705</v>
      </c>
      <c r="LJ110" s="3">
        <f ca="1">IFERROR(__xludf.DUMMYFUNCTION("""COMPUTED_VALUE"""),-0.537995819425597)</f>
        <v>-0.53799581942559704</v>
      </c>
      <c r="LK110" s="3">
        <f ca="1">IFERROR(__xludf.DUMMYFUNCTION("""COMPUTED_VALUE"""),-0.495375696887687)</f>
        <v>-0.49537569688768701</v>
      </c>
      <c r="LL110" s="3">
        <f ca="1">IFERROR(__xludf.DUMMYFUNCTION("""COMPUTED_VALUE"""),-0.489819449438167)</f>
        <v>-0.48981944943816702</v>
      </c>
      <c r="LM110" s="3">
        <f ca="1">IFERROR(__xludf.DUMMYFUNCTION("""COMPUTED_VALUE"""),-0.556187434581959)</f>
        <v>-0.55618743458195896</v>
      </c>
      <c r="LN110" s="3">
        <f ca="1">IFERROR(__xludf.DUMMYFUNCTION("""COMPUTED_VALUE"""),-0.381254409607143)</f>
        <v>-0.38125440960714302</v>
      </c>
      <c r="LO110" s="3">
        <f ca="1">IFERROR(__xludf.DUMMYFUNCTION("""COMPUTED_VALUE"""),-0.427806240915959)</f>
        <v>-0.42780624091595898</v>
      </c>
      <c r="LP110" s="3">
        <f ca="1">IFERROR(__xludf.DUMMYFUNCTION("""COMPUTED_VALUE"""),-0.582446095164487)</f>
        <v>-0.58244609516448698</v>
      </c>
      <c r="LQ110" s="3">
        <f ca="1">IFERROR(__xludf.DUMMYFUNCTION("""COMPUTED_VALUE"""),-0.563605224871605)</f>
        <v>-0.56360522487160503</v>
      </c>
      <c r="LR110" s="3">
        <f ca="1">IFERROR(__xludf.DUMMYFUNCTION("""COMPUTED_VALUE"""),-0.554870868285053)</f>
        <v>-0.55487086828505305</v>
      </c>
      <c r="LS110" s="3">
        <f ca="1">IFERROR(__xludf.DUMMYFUNCTION("""COMPUTED_VALUE"""),-0.579551783771286)</f>
        <v>-0.57955178377128602</v>
      </c>
      <c r="LT110" s="3">
        <f ca="1">IFERROR(__xludf.DUMMYFUNCTION("""COMPUTED_VALUE"""),-0.498436553210872)</f>
        <v>-0.49843655321087199</v>
      </c>
      <c r="LU110" s="3">
        <f ca="1">IFERROR(__xludf.DUMMYFUNCTION("""COMPUTED_VALUE"""),-0.436412209323122)</f>
        <v>-0.43641220932312202</v>
      </c>
      <c r="LV110" s="3">
        <f ca="1">IFERROR(__xludf.DUMMYFUNCTION("""COMPUTED_VALUE"""),-0.499322619687053)</f>
        <v>-0.49932261968705299</v>
      </c>
      <c r="LW110" s="3">
        <f ca="1">IFERROR(__xludf.DUMMYFUNCTION("""COMPUTED_VALUE"""),-0.566798625608163)</f>
        <v>-0.56679862560816296</v>
      </c>
      <c r="LX110" s="3">
        <f ca="1">IFERROR(__xludf.DUMMYFUNCTION("""COMPUTED_VALUE"""),-0.614745057677531)</f>
        <v>-0.61474505767753096</v>
      </c>
      <c r="LY110" s="3">
        <f ca="1">IFERROR(__xludf.DUMMYFUNCTION("""COMPUTED_VALUE"""),-0.58451804601766)</f>
        <v>-0.58451804601766</v>
      </c>
      <c r="LZ110" s="3">
        <f ca="1">IFERROR(__xludf.DUMMYFUNCTION("""COMPUTED_VALUE"""),-0.605947482837469)</f>
        <v>-0.60594748283746902</v>
      </c>
      <c r="MA110" s="3">
        <f ca="1">IFERROR(__xludf.DUMMYFUNCTION("""COMPUTED_VALUE"""),-0.624301785785673)</f>
        <v>-0.62430178578567297</v>
      </c>
      <c r="MB110" s="3">
        <f ca="1">IFERROR(__xludf.DUMMYFUNCTION("""COMPUTED_VALUE"""),-0.494320580369523)</f>
        <v>-0.49432058036952298</v>
      </c>
      <c r="MC110" s="3">
        <f ca="1">IFERROR(__xludf.DUMMYFUNCTION("""COMPUTED_VALUE"""),-0.57216129226084)</f>
        <v>-0.57216129226084</v>
      </c>
      <c r="MD110" s="3">
        <f ca="1">IFERROR(__xludf.DUMMYFUNCTION("""COMPUTED_VALUE"""),-0.636854896854297)</f>
        <v>-0.63685489685429697</v>
      </c>
      <c r="ME110" s="3">
        <f ca="1">IFERROR(__xludf.DUMMYFUNCTION("""COMPUTED_VALUE"""),-0.619274997067517)</f>
        <v>-0.61927499706751699</v>
      </c>
      <c r="MF110" s="3">
        <f ca="1">IFERROR(__xludf.DUMMYFUNCTION("""COMPUTED_VALUE"""),-0.640344011578743)</f>
        <v>-0.64034401157874299</v>
      </c>
      <c r="MG110" s="3">
        <f ca="1">IFERROR(__xludf.DUMMYFUNCTION("""COMPUTED_VALUE"""),-0.624242419644315)</f>
        <v>-0.62424241964431504</v>
      </c>
      <c r="MH110" s="3">
        <f ca="1">IFERROR(__xludf.DUMMYFUNCTION("""COMPUTED_VALUE"""),-0.60053592796689)</f>
        <v>-0.60053592796689004</v>
      </c>
      <c r="MI110" s="3">
        <f ca="1">IFERROR(__xludf.DUMMYFUNCTION("""COMPUTED_VALUE"""),-0.517503185425372)</f>
        <v>-0.51750318542537199</v>
      </c>
      <c r="MJ110" s="3">
        <f ca="1">IFERROR(__xludf.DUMMYFUNCTION("""COMPUTED_VALUE"""),-0.580696681920742)</f>
        <v>-0.58069668192074197</v>
      </c>
      <c r="MK110" s="3">
        <f ca="1">IFERROR(__xludf.DUMMYFUNCTION("""COMPUTED_VALUE"""),-0.6345944372622)</f>
        <v>-0.6345944372622</v>
      </c>
      <c r="ML110" s="3">
        <f ca="1">IFERROR(__xludf.DUMMYFUNCTION("""COMPUTED_VALUE"""),-0.654941260135506)</f>
        <v>-0.65494126013550602</v>
      </c>
      <c r="MM110" s="3">
        <f ca="1">IFERROR(__xludf.DUMMYFUNCTION("""COMPUTED_VALUE"""),-0.652449456388599)</f>
        <v>-0.65244945638859897</v>
      </c>
      <c r="MN110" s="3">
        <f ca="1">IFERROR(__xludf.DUMMYFUNCTION("""COMPUTED_VALUE"""),-0.643101522230867)</f>
        <v>-0.64310152223086703</v>
      </c>
      <c r="MO110" s="3">
        <f ca="1">IFERROR(__xludf.DUMMYFUNCTION("""COMPUTED_VALUE"""),-0.617708986658667)</f>
        <v>-0.61770898665866703</v>
      </c>
      <c r="MP110" s="3">
        <f ca="1">IFERROR(__xludf.DUMMYFUNCTION("""COMPUTED_VALUE"""),-0.569642163730312)</f>
        <v>-0.56964216373031196</v>
      </c>
      <c r="MQ110" s="3">
        <f ca="1">IFERROR(__xludf.DUMMYFUNCTION("""COMPUTED_VALUE"""),-0.579007231089944)</f>
        <v>-0.57900723108994401</v>
      </c>
      <c r="MR110" s="3">
        <f ca="1">IFERROR(__xludf.DUMMYFUNCTION("""COMPUTED_VALUE"""),-0.632539035965677)</f>
        <v>-0.63253903596567695</v>
      </c>
      <c r="MS110" s="3">
        <f ca="1">IFERROR(__xludf.DUMMYFUNCTION("""COMPUTED_VALUE"""),-0.670207283006639)</f>
        <v>-0.67020728300663901</v>
      </c>
      <c r="MT110" s="3">
        <f ca="1">IFERROR(__xludf.DUMMYFUNCTION("""COMPUTED_VALUE"""),-0.664656296031458)</f>
        <v>-0.66465629603145804</v>
      </c>
      <c r="MU110" s="3">
        <f ca="1">IFERROR(__xludf.DUMMYFUNCTION("""COMPUTED_VALUE"""),-0.647999782404561)</f>
        <v>-0.64799978240456102</v>
      </c>
      <c r="MV110" s="3">
        <f ca="1">IFERROR(__xludf.DUMMYFUNCTION("""COMPUTED_VALUE"""),-0.603849703164455)</f>
        <v>-0.60384970316445497</v>
      </c>
      <c r="MW110" s="3">
        <f ca="1">IFERROR(__xludf.DUMMYFUNCTION("""COMPUTED_VALUE"""),-0.524519564928584)</f>
        <v>-0.52451956492858398</v>
      </c>
      <c r="MX110" s="3">
        <f ca="1">IFERROR(__xludf.DUMMYFUNCTION("""COMPUTED_VALUE"""),-0.608306487392484)</f>
        <v>-0.60830648739248405</v>
      </c>
      <c r="MY110" s="3">
        <f ca="1">IFERROR(__xludf.DUMMYFUNCTION("""COMPUTED_VALUE"""),-0.671987702820868)</f>
        <v>-0.67198770282086795</v>
      </c>
      <c r="MZ110" s="3">
        <f ca="1">IFERROR(__xludf.DUMMYFUNCTION("""COMPUTED_VALUE"""),-0.684971031377373)</f>
        <v>-0.68497103137737303</v>
      </c>
      <c r="NA110" s="3">
        <f ca="1">IFERROR(__xludf.DUMMYFUNCTION("""COMPUTED_VALUE"""),-0.651996949106292)</f>
        <v>-0.65199694910629202</v>
      </c>
      <c r="NB110" s="3">
        <f ca="1">IFERROR(__xludf.DUMMYFUNCTION("""COMPUTED_VALUE"""),-0.644125743339861)</f>
        <v>-0.64412574333986095</v>
      </c>
      <c r="NC110" s="3">
        <f ca="1">IFERROR(__xludf.DUMMYFUNCTION("""COMPUTED_VALUE"""),-0.647628751020058)</f>
        <v>-0.64762875102005801</v>
      </c>
      <c r="ND110" s="3">
        <f ca="1">IFERROR(__xludf.DUMMYFUNCTION("""COMPUTED_VALUE"""),-0.608189556922419)</f>
        <v>-0.60818955692241905</v>
      </c>
      <c r="NE110" s="3">
        <f ca="1">IFERROR(__xludf.DUMMYFUNCTION("""COMPUTED_VALUE"""),-0.583310247084961)</f>
        <v>-0.58331024708496104</v>
      </c>
      <c r="NF110" s="3">
        <f ca="1">IFERROR(__xludf.DUMMYFUNCTION("""COMPUTED_VALUE"""),-0.649000530351841)</f>
        <v>-0.64900053035184102</v>
      </c>
      <c r="NG110" s="3">
        <f ca="1">IFERROR(__xludf.DUMMYFUNCTION("""COMPUTED_VALUE"""),-0.665021996823542)</f>
        <v>-0.66502199682354202</v>
      </c>
      <c r="NH110" s="3">
        <f ca="1">IFERROR(__xludf.DUMMYFUNCTION("""COMPUTED_VALUE"""),-0.638258695899788)</f>
        <v>-0.63825869589978801</v>
      </c>
      <c r="NI110" s="3">
        <f ca="1">IFERROR(__xludf.DUMMYFUNCTION("""COMPUTED_VALUE"""),-0.649969704903885)</f>
        <v>-0.64996970490388495</v>
      </c>
      <c r="NJ110" s="3">
        <f ca="1">IFERROR(__xludf.DUMMYFUNCTION("""COMPUTED_VALUE"""),-0.624756926406412)</f>
        <v>-0.62475692640641201</v>
      </c>
      <c r="NK110" s="3">
        <f ca="1">IFERROR(__xludf.DUMMYFUNCTION("""COMPUTED_VALUE"""),-0.549491717415338)</f>
        <v>-0.54949171741533798</v>
      </c>
      <c r="NL110" s="3">
        <f ca="1">IFERROR(__xludf.DUMMYFUNCTION("""COMPUTED_VALUE"""),-0.603535389634275)</f>
        <v>-0.603535389634275</v>
      </c>
      <c r="NM110" s="3">
        <f ca="1">IFERROR(__xludf.DUMMYFUNCTION("""COMPUTED_VALUE"""),-0.631528896424684)</f>
        <v>-0.63152889642468402</v>
      </c>
      <c r="NN110" s="3">
        <f ca="1">IFERROR(__xludf.DUMMYFUNCTION("""COMPUTED_VALUE"""),-0.642735106958489)</f>
        <v>-0.64273510695848901</v>
      </c>
      <c r="NO110" s="3">
        <f ca="1">IFERROR(__xludf.DUMMYFUNCTION("""COMPUTED_VALUE"""),-0.647871626981775)</f>
        <v>-0.64787162698177503</v>
      </c>
      <c r="NP110" s="3">
        <f ca="1">IFERROR(__xludf.DUMMYFUNCTION("""COMPUTED_VALUE"""),-0.658158774853964)</f>
        <v>-0.65815877485396401</v>
      </c>
      <c r="NQ110" s="3">
        <f ca="1">IFERROR(__xludf.DUMMYFUNCTION("""COMPUTED_VALUE"""),-0.651809882778464)</f>
        <v>-0.65180988277846397</v>
      </c>
      <c r="NR110" s="3">
        <f ca="1">IFERROR(__xludf.DUMMYFUNCTION("""COMPUTED_VALUE"""),-0.532581163489534)</f>
        <v>-0.53258116348953399</v>
      </c>
      <c r="NS110" s="3">
        <f ca="1">IFERROR(__xludf.DUMMYFUNCTION("""COMPUTED_VALUE"""),-0.656910086884961)</f>
        <v>-0.656910086884961</v>
      </c>
      <c r="NT110" s="3">
        <f ca="1">IFERROR(__xludf.DUMMYFUNCTION("""COMPUTED_VALUE"""),-0.667464504517479)</f>
        <v>-0.66746450451747896</v>
      </c>
      <c r="NU110" s="3">
        <f ca="1">IFERROR(__xludf.DUMMYFUNCTION("""COMPUTED_VALUE"""),-0.64818191837379)</f>
        <v>-0.64818191837379002</v>
      </c>
      <c r="NV110" s="3">
        <f ca="1">IFERROR(__xludf.DUMMYFUNCTION("""COMPUTED_VALUE"""),-0.669938226428915)</f>
        <v>-0.66993822642891498</v>
      </c>
      <c r="NW110" s="3">
        <f ca="1">IFERROR(__xludf.DUMMYFUNCTION("""COMPUTED_VALUE"""),-0.683905161179669)</f>
        <v>-0.68390516117966904</v>
      </c>
      <c r="NX110" s="3">
        <f ca="1">IFERROR(__xludf.DUMMYFUNCTION("""COMPUTED_VALUE"""),-0.723317935774452)</f>
        <v>-0.72331793577445203</v>
      </c>
      <c r="NY110" s="3">
        <f ca="1">IFERROR(__xludf.DUMMYFUNCTION("""COMPUTED_VALUE"""),-0.601399348943574)</f>
        <v>-0.60139934894357405</v>
      </c>
      <c r="NZ110" s="3">
        <f ca="1">IFERROR(__xludf.DUMMYFUNCTION("""COMPUTED_VALUE"""),-0.624535759956819)</f>
        <v>-0.62453575995681898</v>
      </c>
      <c r="OA110" s="3">
        <f ca="1">IFERROR(__xludf.DUMMYFUNCTION("""COMPUTED_VALUE"""),-0.653087787802053)</f>
        <v>-0.65308778780205301</v>
      </c>
      <c r="OB110" s="3">
        <f ca="1">IFERROR(__xludf.DUMMYFUNCTION("""COMPUTED_VALUE"""),-0.610581358766153)</f>
        <v>-0.61058135876615305</v>
      </c>
      <c r="OC110" s="3">
        <f ca="1">IFERROR(__xludf.DUMMYFUNCTION("""COMPUTED_VALUE"""),-0.597520785006848)</f>
        <v>-0.59752078500684802</v>
      </c>
      <c r="OD110" s="3">
        <f ca="1">IFERROR(__xludf.DUMMYFUNCTION("""COMPUTED_VALUE"""),-0.532811577855327)</f>
        <v>-0.53281157785532696</v>
      </c>
      <c r="OE110" s="3">
        <f ca="1">IFERROR(__xludf.DUMMYFUNCTION("""COMPUTED_VALUE"""),-0.437893005345354)</f>
        <v>-0.43789300534535402</v>
      </c>
      <c r="OF110" s="3">
        <f ca="1">IFERROR(__xludf.DUMMYFUNCTION("""COMPUTED_VALUE"""),-0.2761572632304)</f>
        <v>-0.27615726323040002</v>
      </c>
      <c r="OG110" s="3">
        <f ca="1">IFERROR(__xludf.DUMMYFUNCTION("""COMPUTED_VALUE"""),-0.236945994232428)</f>
        <v>-0.23694599423242799</v>
      </c>
      <c r="OH110" s="3">
        <f ca="1">IFERROR(__xludf.DUMMYFUNCTION("""COMPUTED_VALUE"""),-0.220878876204619)</f>
        <v>-0.22087887620461899</v>
      </c>
      <c r="OI110" s="3">
        <f ca="1">IFERROR(__xludf.DUMMYFUNCTION("""COMPUTED_VALUE"""),-0.154176908802541)</f>
        <v>-0.15417690880254101</v>
      </c>
      <c r="OJ110" s="3">
        <f ca="1">IFERROR(__xludf.DUMMYFUNCTION("""COMPUTED_VALUE"""),-0.0938249711335513)</f>
        <v>-9.3824971133551302E-2</v>
      </c>
      <c r="OK110" s="3">
        <f ca="1">IFERROR(__xludf.DUMMYFUNCTION("""COMPUTED_VALUE"""),-0.0900680138070129)</f>
        <v>-9.0068013807012903E-2</v>
      </c>
      <c r="OL110" s="3">
        <f ca="1">IFERROR(__xludf.DUMMYFUNCTION("""COMPUTED_VALUE"""),-0.0605397281487635)</f>
        <v>-6.0539728148763503E-2</v>
      </c>
      <c r="OM110" s="3">
        <f ca="1">IFERROR(__xludf.DUMMYFUNCTION("""COMPUTED_VALUE"""),-0.0176584155627654)</f>
        <v>-1.76584155627654E-2</v>
      </c>
      <c r="ON110" s="3">
        <f ca="1">IFERROR(__xludf.DUMMYFUNCTION("""COMPUTED_VALUE"""),-0.025210508139522)</f>
        <v>-2.5210508139522001E-2</v>
      </c>
      <c r="OO110" s="3">
        <f ca="1">IFERROR(__xludf.DUMMYFUNCTION("""COMPUTED_VALUE"""),-0.0252056312280805)</f>
        <v>-2.5205631228080502E-2</v>
      </c>
      <c r="OP110" s="3">
        <f ca="1">IFERROR(__xludf.DUMMYFUNCTION("""COMPUTED_VALUE"""),0.0309993614507744)</f>
        <v>3.09993614507744E-2</v>
      </c>
      <c r="OQ110" s="3">
        <f ca="1">IFERROR(__xludf.DUMMYFUNCTION("""COMPUTED_VALUE"""),0.0608561145529749)</f>
        <v>6.0856114552974898E-2</v>
      </c>
      <c r="OR110" s="3">
        <f ca="1">IFERROR(__xludf.DUMMYFUNCTION("""COMPUTED_VALUE"""),0.0471891281174423)</f>
        <v>4.7189128117442303E-2</v>
      </c>
      <c r="OS110" s="3">
        <f ca="1">IFERROR(__xludf.DUMMYFUNCTION("""COMPUTED_VALUE"""),-0.000978423192676269)</f>
        <v>-9.78423192676269E-4</v>
      </c>
      <c r="OT110" s="3">
        <f ca="1">IFERROR(__xludf.DUMMYFUNCTION("""COMPUTED_VALUE"""),0.059382486318809)</f>
        <v>5.9382486318808998E-2</v>
      </c>
      <c r="OU110" s="3">
        <f ca="1">IFERROR(__xludf.DUMMYFUNCTION("""COMPUTED_VALUE"""),-0.000549877651956132)</f>
        <v>-5.4987765195613203E-4</v>
      </c>
      <c r="OV110" s="3">
        <f ca="1">IFERROR(__xludf.DUMMYFUNCTION("""COMPUTED_VALUE"""),-0.00257775671923499)</f>
        <v>-2.5777567192349902E-3</v>
      </c>
      <c r="OW110" s="3">
        <f ca="1">IFERROR(__xludf.DUMMYFUNCTION("""COMPUTED_VALUE"""),0.0123091163664048)</f>
        <v>1.2309116366404801E-2</v>
      </c>
      <c r="OX110" s="3">
        <f ca="1">IFERROR(__xludf.DUMMYFUNCTION("""COMPUTED_VALUE"""),0.0287746899527867)</f>
        <v>2.8774689952786699E-2</v>
      </c>
      <c r="OY110" s="3">
        <f ca="1">IFERROR(__xludf.DUMMYFUNCTION("""COMPUTED_VALUE"""),0.0205203561814479)</f>
        <v>2.0520356181447898E-2</v>
      </c>
      <c r="OZ110" s="3">
        <f ca="1">IFERROR(__xludf.DUMMYFUNCTION("""COMPUTED_VALUE"""),0.0230104247508546)</f>
        <v>2.3010424750854599E-2</v>
      </c>
      <c r="PA110" s="3">
        <f ca="1">IFERROR(__xludf.DUMMYFUNCTION("""COMPUTED_VALUE"""),0.0264590668191579)</f>
        <v>2.6459066819157901E-2</v>
      </c>
      <c r="PB110" s="3">
        <f ca="1">IFERROR(__xludf.DUMMYFUNCTION("""COMPUTED_VALUE"""),0.0240721025560004)</f>
        <v>2.40721025560004E-2</v>
      </c>
      <c r="PC110" s="3">
        <f ca="1">IFERROR(__xludf.DUMMYFUNCTION("""COMPUTED_VALUE"""),0.00245448095088685)</f>
        <v>2.4544809508868499E-3</v>
      </c>
      <c r="PD110" s="3">
        <f ca="1">IFERROR(__xludf.DUMMYFUNCTION("""COMPUTED_VALUE"""),-0.0176944556295416)</f>
        <v>-1.7694455629541601E-2</v>
      </c>
      <c r="PE110" s="3">
        <f ca="1">IFERROR(__xludf.DUMMYFUNCTION("""COMPUTED_VALUE"""),0.00841731375307164)</f>
        <v>8.4173137530716407E-3</v>
      </c>
      <c r="PF110" s="3">
        <f ca="1">IFERROR(__xludf.DUMMYFUNCTION("""COMPUTED_VALUE"""),0.0210947115707658)</f>
        <v>2.1094711570765801E-2</v>
      </c>
      <c r="PG110" s="3">
        <f ca="1">IFERROR(__xludf.DUMMYFUNCTION("""COMPUTED_VALUE"""),-0.0680619894260524)</f>
        <v>-6.8061989426052405E-2</v>
      </c>
      <c r="PH110" s="3">
        <f ca="1">IFERROR(__xludf.DUMMYFUNCTION("""COMPUTED_VALUE"""),0.00694290423050647)</f>
        <v>6.9429042305064704E-3</v>
      </c>
      <c r="PI110" s="3">
        <f ca="1">IFERROR(__xludf.DUMMYFUNCTION("""COMPUTED_VALUE"""),-0.00462040895227655)</f>
        <v>-4.6204089522765496E-3</v>
      </c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</row>
    <row r="111" spans="1:477" ht="13">
      <c r="A111" s="1" t="str">
        <f ca="1">IFERROR(__xludf.DUMMYFUNCTION("""COMPUTED_VALUE"""),"Greater Portland Metro Bus")</f>
        <v>Greater Portland Metro Bus</v>
      </c>
      <c r="B111" s="1" t="str">
        <f ca="1">IFERROR(__xludf.DUMMYFUNCTION("""COMPUTED_VALUE"""),"Portland")</f>
        <v>Portland</v>
      </c>
      <c r="C111" s="1" t="str">
        <f ca="1">IFERROR(__xludf.DUMMYFUNCTION("""COMPUTED_VALUE"""),"United States")</f>
        <v>United States</v>
      </c>
      <c r="D111" s="1" t="str">
        <f ca="1">IFERROR(__xludf.DUMMYFUNCTION("""COMPUTED_VALUE"""),"Maine")</f>
        <v>Maine</v>
      </c>
      <c r="E111" s="3">
        <f ca="1">IFERROR(__xludf.DUMMYFUNCTION("""COMPUTED_VALUE"""),-0.443116081485386)</f>
        <v>-0.443116081485386</v>
      </c>
      <c r="F111" s="3">
        <f ca="1">IFERROR(__xludf.DUMMYFUNCTION("""COMPUTED_VALUE"""),-0.526182483416542)</f>
        <v>-0.52618248341654195</v>
      </c>
      <c r="G111" s="3">
        <f ca="1">IFERROR(__xludf.DUMMYFUNCTION("""COMPUTED_VALUE"""),-0.543880012444743)</f>
        <v>-0.54388001244474304</v>
      </c>
      <c r="H111" s="3">
        <f ca="1">IFERROR(__xludf.DUMMYFUNCTION("""COMPUTED_VALUE"""),-0.676577106906051)</f>
        <v>-0.676577106906051</v>
      </c>
      <c r="I111" s="3">
        <f ca="1">IFERROR(__xludf.DUMMYFUNCTION("""COMPUTED_VALUE"""),-0.51163480886865)</f>
        <v>-0.51163480886864998</v>
      </c>
      <c r="J111" s="3">
        <f ca="1">IFERROR(__xludf.DUMMYFUNCTION("""COMPUTED_VALUE"""),-0.514631083899686)</f>
        <v>-0.51463108389968604</v>
      </c>
      <c r="K111" s="3">
        <f ca="1">IFERROR(__xludf.DUMMYFUNCTION("""COMPUTED_VALUE"""),-0.87637495252707)</f>
        <v>-0.87637495252706998</v>
      </c>
      <c r="L111" s="3">
        <f ca="1">IFERROR(__xludf.DUMMYFUNCTION("""COMPUTED_VALUE"""),-0.548841087248984)</f>
        <v>-0.54884108724898395</v>
      </c>
      <c r="M111" s="3">
        <f ca="1">IFERROR(__xludf.DUMMYFUNCTION("""COMPUTED_VALUE"""),-0.578987175503613)</f>
        <v>-0.57898717550361301</v>
      </c>
      <c r="N111" s="3">
        <f ca="1">IFERROR(__xludf.DUMMYFUNCTION("""COMPUTED_VALUE"""),-0.665937883277693)</f>
        <v>-0.66593788327769299</v>
      </c>
      <c r="O111" s="3">
        <f ca="1">IFERROR(__xludf.DUMMYFUNCTION("""COMPUTED_VALUE"""),-0.686894459640426)</f>
        <v>-0.68689445964042595</v>
      </c>
      <c r="P111" s="3">
        <f ca="1">IFERROR(__xludf.DUMMYFUNCTION("""COMPUTED_VALUE"""),-0.610925417140063)</f>
        <v>-0.61092541714006299</v>
      </c>
      <c r="Q111" s="3">
        <f ca="1">IFERROR(__xludf.DUMMYFUNCTION("""COMPUTED_VALUE"""),-0.633558251157482)</f>
        <v>-0.63355825115748199</v>
      </c>
      <c r="R111" s="3">
        <f ca="1">IFERROR(__xludf.DUMMYFUNCTION("""COMPUTED_VALUE"""),-0.603062850825351)</f>
        <v>-0.60306285082535105</v>
      </c>
      <c r="S111" s="3">
        <f ca="1">IFERROR(__xludf.DUMMYFUNCTION("""COMPUTED_VALUE"""),-0.578157522080714)</f>
        <v>-0.57815752208071403</v>
      </c>
      <c r="T111" s="3">
        <f ca="1">IFERROR(__xludf.DUMMYFUNCTION("""COMPUTED_VALUE"""),-0.646556122072243)</f>
        <v>-0.646556122072243</v>
      </c>
      <c r="U111" s="3">
        <f ca="1">IFERROR(__xludf.DUMMYFUNCTION("""COMPUTED_VALUE"""),-0.656003278258551)</f>
        <v>-0.65600327825855098</v>
      </c>
      <c r="V111" s="3">
        <f ca="1">IFERROR(__xludf.DUMMYFUNCTION("""COMPUTED_VALUE"""),-0.609267277998213)</f>
        <v>-0.60926727799821301</v>
      </c>
      <c r="W111" s="3">
        <f ca="1">IFERROR(__xludf.DUMMYFUNCTION("""COMPUTED_VALUE"""),-0.577664180776614)</f>
        <v>-0.57766418077661397</v>
      </c>
      <c r="X111" s="3">
        <f ca="1">IFERROR(__xludf.DUMMYFUNCTION("""COMPUTED_VALUE"""),-0.598665255962359)</f>
        <v>-0.59866525596235898</v>
      </c>
      <c r="Y111" s="3">
        <f ca="1">IFERROR(__xludf.DUMMYFUNCTION("""COMPUTED_VALUE"""),-0.431161552680054)</f>
        <v>-0.43116155268005402</v>
      </c>
      <c r="Z111" s="3">
        <f ca="1">IFERROR(__xludf.DUMMYFUNCTION("""COMPUTED_VALUE"""),-0.447728284669414)</f>
        <v>-0.447728284669414</v>
      </c>
      <c r="AA111" s="3">
        <f ca="1">IFERROR(__xludf.DUMMYFUNCTION("""COMPUTED_VALUE"""),-0.589023515417499)</f>
        <v>-0.58902351541749898</v>
      </c>
      <c r="AB111" s="3">
        <f ca="1">IFERROR(__xludf.DUMMYFUNCTION("""COMPUTED_VALUE"""),-0.640467063471025)</f>
        <v>-0.640467063471025</v>
      </c>
      <c r="AC111" s="3">
        <f ca="1">IFERROR(__xludf.DUMMYFUNCTION("""COMPUTED_VALUE"""),-0.640833651767646)</f>
        <v>-0.64083365176764595</v>
      </c>
      <c r="AD111" s="3">
        <f ca="1">IFERROR(__xludf.DUMMYFUNCTION("""COMPUTED_VALUE"""),-0.604126009594942)</f>
        <v>-0.604126009594942</v>
      </c>
      <c r="AE111" s="3">
        <f ca="1">IFERROR(__xludf.DUMMYFUNCTION("""COMPUTED_VALUE"""),-0.604402121984378)</f>
        <v>-0.60440212198437804</v>
      </c>
      <c r="AF111" s="3">
        <f ca="1">IFERROR(__xludf.DUMMYFUNCTION("""COMPUTED_VALUE"""),-0.571248899310573)</f>
        <v>-0.57124889931057299</v>
      </c>
      <c r="AG111" s="3">
        <f ca="1">IFERROR(__xludf.DUMMYFUNCTION("""COMPUTED_VALUE"""),-0.493144011251748)</f>
        <v>-0.493144011251748</v>
      </c>
      <c r="AH111" s="3">
        <f ca="1">IFERROR(__xludf.DUMMYFUNCTION("""COMPUTED_VALUE"""),-0.558276226063851)</f>
        <v>-0.55827622606385097</v>
      </c>
      <c r="AI111" s="3">
        <f ca="1">IFERROR(__xludf.DUMMYFUNCTION("""COMPUTED_VALUE"""),-0.587042299182154)</f>
        <v>-0.587042299182154</v>
      </c>
      <c r="AJ111" s="3">
        <f ca="1">IFERROR(__xludf.DUMMYFUNCTION("""COMPUTED_VALUE"""),-0.690402073691883)</f>
        <v>-0.690402073691883</v>
      </c>
      <c r="AK111" s="3">
        <f ca="1">IFERROR(__xludf.DUMMYFUNCTION("""COMPUTED_VALUE"""),-0.60704210276759)</f>
        <v>-0.60704210276758996</v>
      </c>
      <c r="AL111" s="3">
        <f ca="1">IFERROR(__xludf.DUMMYFUNCTION("""COMPUTED_VALUE"""),-0.54574835779555)</f>
        <v>-0.54574835779554998</v>
      </c>
      <c r="AM111" s="3">
        <f ca="1">IFERROR(__xludf.DUMMYFUNCTION("""COMPUTED_VALUE"""),-0.48144232883801)</f>
        <v>-0.48144232883801003</v>
      </c>
      <c r="AN111" s="3">
        <f ca="1">IFERROR(__xludf.DUMMYFUNCTION("""COMPUTED_VALUE"""),-0.459391285486809)</f>
        <v>-0.45939128548680902</v>
      </c>
      <c r="AO111" s="3">
        <f ca="1">IFERROR(__xludf.DUMMYFUNCTION("""COMPUTED_VALUE"""),-0.645770764260975)</f>
        <v>-0.64577076426097502</v>
      </c>
      <c r="AP111" s="3">
        <f ca="1">IFERROR(__xludf.DUMMYFUNCTION("""COMPUTED_VALUE"""),-0.581137793593081)</f>
        <v>-0.58113779359308104</v>
      </c>
      <c r="AQ111" s="3">
        <f ca="1">IFERROR(__xludf.DUMMYFUNCTION("""COMPUTED_VALUE"""),-0.700809565293279)</f>
        <v>-0.70080956529327898</v>
      </c>
      <c r="AR111" s="3">
        <f ca="1">IFERROR(__xludf.DUMMYFUNCTION("""COMPUTED_VALUE"""),-0.664842984360257)</f>
        <v>-0.66484298436025702</v>
      </c>
      <c r="AS111" s="3">
        <f ca="1">IFERROR(__xludf.DUMMYFUNCTION("""COMPUTED_VALUE"""),-0.560405071561902)</f>
        <v>-0.560405071561902</v>
      </c>
      <c r="AT111" s="3">
        <f ca="1">IFERROR(__xludf.DUMMYFUNCTION("""COMPUTED_VALUE"""),-0.437708052295447)</f>
        <v>-0.43770805229544701</v>
      </c>
      <c r="AU111" s="3">
        <f ca="1">IFERROR(__xludf.DUMMYFUNCTION("""COMPUTED_VALUE"""),-0.536604058683407)</f>
        <v>-0.53660405868340699</v>
      </c>
      <c r="AV111" s="3">
        <f ca="1">IFERROR(__xludf.DUMMYFUNCTION("""COMPUTED_VALUE"""),-0.579960453821903)</f>
        <v>-0.57996045382190298</v>
      </c>
      <c r="AW111" s="3">
        <f ca="1">IFERROR(__xludf.DUMMYFUNCTION("""COMPUTED_VALUE"""),-0.63614799734037)</f>
        <v>-0.63614799734036998</v>
      </c>
      <c r="AX111" s="3">
        <f ca="1">IFERROR(__xludf.DUMMYFUNCTION("""COMPUTED_VALUE"""),-0.674756818938282)</f>
        <v>-0.67475681893828199</v>
      </c>
      <c r="AY111" s="3">
        <f ca="1">IFERROR(__xludf.DUMMYFUNCTION("""COMPUTED_VALUE"""),-0.615743104502319)</f>
        <v>-0.61574310450231895</v>
      </c>
      <c r="AZ111" s="3">
        <f ca="1">IFERROR(__xludf.DUMMYFUNCTION("""COMPUTED_VALUE"""),-0.527377601731892)</f>
        <v>-0.52737760173189197</v>
      </c>
      <c r="BA111" s="3">
        <f ca="1">IFERROR(__xludf.DUMMYFUNCTION("""COMPUTED_VALUE"""),-0.518948186912642)</f>
        <v>-0.518948186912642</v>
      </c>
      <c r="BB111" s="3">
        <f ca="1">IFERROR(__xludf.DUMMYFUNCTION("""COMPUTED_VALUE"""),-0.58119883646648)</f>
        <v>-0.58119883646647996</v>
      </c>
      <c r="BC111" s="3">
        <f ca="1">IFERROR(__xludf.DUMMYFUNCTION("""COMPUTED_VALUE"""),-0.706595285240527)</f>
        <v>-0.70659528524052695</v>
      </c>
      <c r="BD111" s="3">
        <f ca="1">IFERROR(__xludf.DUMMYFUNCTION("""COMPUTED_VALUE"""),-0.68384661348881)</f>
        <v>-0.68384661348881004</v>
      </c>
      <c r="BE111" s="3">
        <f ca="1">IFERROR(__xludf.DUMMYFUNCTION("""COMPUTED_VALUE"""),-0.602783376913898)</f>
        <v>-0.60278337691389805</v>
      </c>
      <c r="BF111" s="3">
        <f ca="1">IFERROR(__xludf.DUMMYFUNCTION("""COMPUTED_VALUE"""),-0.745297889024032)</f>
        <v>-0.74529788902403205</v>
      </c>
      <c r="BG111" s="3">
        <f ca="1">IFERROR(__xludf.DUMMYFUNCTION("""COMPUTED_VALUE"""),-0.71642217467469)</f>
        <v>-0.71642217467469005</v>
      </c>
      <c r="BH111" s="3">
        <f ca="1">IFERROR(__xludf.DUMMYFUNCTION("""COMPUTED_VALUE"""),-0.533385375385122)</f>
        <v>-0.53338537538512198</v>
      </c>
      <c r="BI111" s="3">
        <f ca="1">IFERROR(__xludf.DUMMYFUNCTION("""COMPUTED_VALUE"""),-0.521933969747018)</f>
        <v>-0.521933969747018</v>
      </c>
      <c r="BJ111" s="3">
        <f ca="1">IFERROR(__xludf.DUMMYFUNCTION("""COMPUTED_VALUE"""),-0.5707911157227)</f>
        <v>-0.57079111572270003</v>
      </c>
      <c r="BK111" s="3">
        <f ca="1">IFERROR(__xludf.DUMMYFUNCTION("""COMPUTED_VALUE"""),-0.563393505453122)</f>
        <v>-0.56339350545312195</v>
      </c>
      <c r="BL111" s="3">
        <f ca="1">IFERROR(__xludf.DUMMYFUNCTION("""COMPUTED_VALUE"""),-0.691605489651812)</f>
        <v>-0.69160548965181201</v>
      </c>
      <c r="BM111" s="3">
        <f ca="1">IFERROR(__xludf.DUMMYFUNCTION("""COMPUTED_VALUE"""),-0.651679578263212)</f>
        <v>-0.65167957826321199</v>
      </c>
      <c r="BN111" s="3">
        <f ca="1">IFERROR(__xludf.DUMMYFUNCTION("""COMPUTED_VALUE"""),-0.572294308603019)</f>
        <v>-0.572294308603019</v>
      </c>
      <c r="BO111" s="3">
        <f ca="1">IFERROR(__xludf.DUMMYFUNCTION("""COMPUTED_VALUE"""),-0.570932120378844)</f>
        <v>-0.570932120378844</v>
      </c>
      <c r="BP111" s="3">
        <f ca="1">IFERROR(__xludf.DUMMYFUNCTION("""COMPUTED_VALUE"""),-0.466807921448964)</f>
        <v>-0.46680792144896399</v>
      </c>
      <c r="BQ111" s="3">
        <f ca="1">IFERROR(__xludf.DUMMYFUNCTION("""COMPUTED_VALUE"""),-0.594472189695995)</f>
        <v>-0.59447218969599502</v>
      </c>
      <c r="BR111" s="3">
        <f ca="1">IFERROR(__xludf.DUMMYFUNCTION("""COMPUTED_VALUE"""),-0.603333634917727)</f>
        <v>-0.60333363491772696</v>
      </c>
      <c r="BS111" s="3">
        <f ca="1">IFERROR(__xludf.DUMMYFUNCTION("""COMPUTED_VALUE"""),-0.70118187439652)</f>
        <v>-0.70118187439652002</v>
      </c>
      <c r="BT111" s="3">
        <f ca="1">IFERROR(__xludf.DUMMYFUNCTION("""COMPUTED_VALUE"""),-0.837207356558472)</f>
        <v>-0.837207356558472</v>
      </c>
      <c r="BU111" s="3">
        <f ca="1">IFERROR(__xludf.DUMMYFUNCTION("""COMPUTED_VALUE"""),-0.633095961588298)</f>
        <v>-0.63309596158829795</v>
      </c>
      <c r="BV111" s="3">
        <f ca="1">IFERROR(__xludf.DUMMYFUNCTION("""COMPUTED_VALUE"""),-0.554089411189952)</f>
        <v>-0.55408941118995203</v>
      </c>
      <c r="BW111" s="3">
        <f ca="1">IFERROR(__xludf.DUMMYFUNCTION("""COMPUTED_VALUE"""),-0.601869791993804)</f>
        <v>-0.60186979199380397</v>
      </c>
      <c r="BX111" s="3">
        <f ca="1">IFERROR(__xludf.DUMMYFUNCTION("""COMPUTED_VALUE"""),-0.655259775769435)</f>
        <v>-0.65525977576943495</v>
      </c>
      <c r="BY111" s="3">
        <f ca="1">IFERROR(__xludf.DUMMYFUNCTION("""COMPUTED_VALUE"""),-0.673370639697242)</f>
        <v>-0.67337063969724198</v>
      </c>
      <c r="BZ111" s="3">
        <f ca="1">IFERROR(__xludf.DUMMYFUNCTION("""COMPUTED_VALUE"""),-0.770577967588375)</f>
        <v>-0.77057796758837505</v>
      </c>
      <c r="CA111" s="3">
        <f ca="1">IFERROR(__xludf.DUMMYFUNCTION("""COMPUTED_VALUE"""),-0.706922826382535)</f>
        <v>-0.70692282638253501</v>
      </c>
      <c r="CB111" s="3">
        <f ca="1">IFERROR(__xludf.DUMMYFUNCTION("""COMPUTED_VALUE"""),-0.569186995777734)</f>
        <v>-0.56918699577773402</v>
      </c>
      <c r="CC111" s="3">
        <f ca="1">IFERROR(__xludf.DUMMYFUNCTION("""COMPUTED_VALUE"""),-0.574928270493374)</f>
        <v>-0.57492827049337403</v>
      </c>
      <c r="CD111" s="3">
        <f ca="1">IFERROR(__xludf.DUMMYFUNCTION("""COMPUTED_VALUE"""),-0.525603052368453)</f>
        <v>-0.52560305236845295</v>
      </c>
      <c r="CE111" s="3">
        <f ca="1">IFERROR(__xludf.DUMMYFUNCTION("""COMPUTED_VALUE"""),-0.67195734635464)</f>
        <v>-0.67195734635463999</v>
      </c>
      <c r="CF111" s="3">
        <f ca="1">IFERROR(__xludf.DUMMYFUNCTION("""COMPUTED_VALUE"""),-0.606442405959982)</f>
        <v>-0.606442405959982</v>
      </c>
      <c r="CG111" s="3">
        <f ca="1">IFERROR(__xludf.DUMMYFUNCTION("""COMPUTED_VALUE"""),-0.763899596388871)</f>
        <v>-0.76389959638887095</v>
      </c>
      <c r="CH111" s="3">
        <f ca="1">IFERROR(__xludf.DUMMYFUNCTION("""COMPUTED_VALUE"""),-0.694476770303832)</f>
        <v>-0.69447677030383204</v>
      </c>
      <c r="CI111" s="3">
        <f ca="1">IFERROR(__xludf.DUMMYFUNCTION("""COMPUTED_VALUE"""),-0.719306496343175)</f>
        <v>-0.71930649634317501</v>
      </c>
      <c r="CJ111" s="3">
        <f ca="1">IFERROR(__xludf.DUMMYFUNCTION("""COMPUTED_VALUE"""),-0.531101803497097)</f>
        <v>-0.53110180349709701</v>
      </c>
      <c r="CK111" s="3">
        <f ca="1">IFERROR(__xludf.DUMMYFUNCTION("""COMPUTED_VALUE"""),-0.677466691469452)</f>
        <v>-0.67746669146945204</v>
      </c>
      <c r="CL111" s="3">
        <f ca="1">IFERROR(__xludf.DUMMYFUNCTION("""COMPUTED_VALUE"""),-0.693318943413606)</f>
        <v>-0.693318943413606</v>
      </c>
      <c r="CM111" s="3">
        <f ca="1">IFERROR(__xludf.DUMMYFUNCTION("""COMPUTED_VALUE"""),-0.595779912080271)</f>
        <v>-0.59577991208027103</v>
      </c>
      <c r="CN111" s="3">
        <f ca="1">IFERROR(__xludf.DUMMYFUNCTION("""COMPUTED_VALUE"""),-0.734827116076669)</f>
        <v>-0.73482711607666895</v>
      </c>
      <c r="CO111" s="3">
        <f ca="1">IFERROR(__xludf.DUMMYFUNCTION("""COMPUTED_VALUE"""),-0.721993660421728)</f>
        <v>-0.72199366042172797</v>
      </c>
      <c r="CP111" s="3">
        <f ca="1">IFERROR(__xludf.DUMMYFUNCTION("""COMPUTED_VALUE"""),-0.620706592962008)</f>
        <v>-0.62070659296200803</v>
      </c>
      <c r="CQ111" s="3">
        <f ca="1">IFERROR(__xludf.DUMMYFUNCTION("""COMPUTED_VALUE"""),-0.504286712603263)</f>
        <v>-0.50428671260326297</v>
      </c>
      <c r="CR111" s="3">
        <f ca="1">IFERROR(__xludf.DUMMYFUNCTION("""COMPUTED_VALUE"""),-0.564512826001861)</f>
        <v>-0.56451282600186103</v>
      </c>
      <c r="CS111" s="3">
        <f ca="1">IFERROR(__xludf.DUMMYFUNCTION("""COMPUTED_VALUE"""),-0.692458446619988)</f>
        <v>-0.69245844661998801</v>
      </c>
      <c r="CT111" s="3">
        <f ca="1">IFERROR(__xludf.DUMMYFUNCTION("""COMPUTED_VALUE"""),-0.580274820929714)</f>
        <v>-0.58027482092971405</v>
      </c>
      <c r="CU111" s="3">
        <f ca="1">IFERROR(__xludf.DUMMYFUNCTION("""COMPUTED_VALUE"""),-0.589215037574904)</f>
        <v>-0.58921503757490401</v>
      </c>
      <c r="CV111" s="3">
        <f ca="1">IFERROR(__xludf.DUMMYFUNCTION("""COMPUTED_VALUE"""),-0.657556548107535)</f>
        <v>-0.65755654810753505</v>
      </c>
      <c r="CW111" s="3">
        <f ca="1">IFERROR(__xludf.DUMMYFUNCTION("""COMPUTED_VALUE"""),-0.583774224032016)</f>
        <v>-0.58377422403201595</v>
      </c>
      <c r="CX111" s="3">
        <f ca="1">IFERROR(__xludf.DUMMYFUNCTION("""COMPUTED_VALUE"""),-0.592841856033054)</f>
        <v>-0.59284185603305395</v>
      </c>
      <c r="CY111" s="3">
        <f ca="1">IFERROR(__xludf.DUMMYFUNCTION("""COMPUTED_VALUE"""),-0.647561763562533)</f>
        <v>-0.64756176356253303</v>
      </c>
      <c r="CZ111" s="3">
        <f ca="1">IFERROR(__xludf.DUMMYFUNCTION("""COMPUTED_VALUE"""),-0.961542568444354)</f>
        <v>-0.96154256844435404</v>
      </c>
      <c r="DA111" s="3">
        <f ca="1">IFERROR(__xludf.DUMMYFUNCTION("""COMPUTED_VALUE"""),-0.660323108979642)</f>
        <v>-0.66032310897964197</v>
      </c>
      <c r="DB111" s="3">
        <f ca="1">IFERROR(__xludf.DUMMYFUNCTION("""COMPUTED_VALUE"""),-0.205794870493777)</f>
        <v>-0.20579487049377701</v>
      </c>
      <c r="DC111" s="3">
        <f ca="1">IFERROR(__xludf.DUMMYFUNCTION("""COMPUTED_VALUE"""),-0.603125198377656)</f>
        <v>-0.60312519837765599</v>
      </c>
      <c r="DD111" s="3">
        <f ca="1">IFERROR(__xludf.DUMMYFUNCTION("""COMPUTED_VALUE"""),-0.623623160401699)</f>
        <v>-0.62362316040169896</v>
      </c>
      <c r="DE111" s="3">
        <f ca="1">IFERROR(__xludf.DUMMYFUNCTION("""COMPUTED_VALUE"""),-0.554694748101298)</f>
        <v>-0.55469474810129804</v>
      </c>
      <c r="DF111" s="3">
        <f ca="1">IFERROR(__xludf.DUMMYFUNCTION("""COMPUTED_VALUE"""),-0.625365681257887)</f>
        <v>-0.62536568125788705</v>
      </c>
      <c r="DG111" s="3">
        <f ca="1">IFERROR(__xludf.DUMMYFUNCTION("""COMPUTED_VALUE"""),-0.977834045663697)</f>
        <v>-0.97783404566369703</v>
      </c>
      <c r="DH111" s="3">
        <f ca="1">IFERROR(__xludf.DUMMYFUNCTION("""COMPUTED_VALUE"""),-0.695524669057217)</f>
        <v>-0.69552466905721699</v>
      </c>
      <c r="DI111" s="3">
        <f ca="1">IFERROR(__xludf.DUMMYFUNCTION("""COMPUTED_VALUE"""),-0.227666994642497)</f>
        <v>-0.22766699464249701</v>
      </c>
      <c r="DJ111" s="3">
        <f ca="1">IFERROR(__xludf.DUMMYFUNCTION("""COMPUTED_VALUE"""),-0.506228465613167)</f>
        <v>-0.50622846561316703</v>
      </c>
      <c r="DK111" s="3">
        <f ca="1">IFERROR(__xludf.DUMMYFUNCTION("""COMPUTED_VALUE"""),-0.596190488892165)</f>
        <v>-0.59619048889216497</v>
      </c>
      <c r="DL111" s="3">
        <f ca="1">IFERROR(__xludf.DUMMYFUNCTION("""COMPUTED_VALUE"""),-0.626680907084813)</f>
        <v>-0.62668090708481305</v>
      </c>
      <c r="DM111" s="3">
        <f ca="1">IFERROR(__xludf.DUMMYFUNCTION("""COMPUTED_VALUE"""),-0.546067770313853)</f>
        <v>-0.54606777031385301</v>
      </c>
      <c r="DN111" s="3">
        <f ca="1">IFERROR(__xludf.DUMMYFUNCTION("""COMPUTED_VALUE"""),-0.667802087316512)</f>
        <v>-0.66780208731651203</v>
      </c>
      <c r="DO111" s="3">
        <f ca="1">IFERROR(__xludf.DUMMYFUNCTION("""COMPUTED_VALUE"""),-0.761193325158267)</f>
        <v>-0.76119332515826699</v>
      </c>
      <c r="DP111" s="3">
        <f ca="1">IFERROR(__xludf.DUMMYFUNCTION("""COMPUTED_VALUE"""),-0.6246394250832)</f>
        <v>-0.62463942508320003</v>
      </c>
      <c r="DQ111" s="3">
        <f ca="1">IFERROR(__xludf.DUMMYFUNCTION("""COMPUTED_VALUE"""),-0.627510705440752)</f>
        <v>-0.62751070544075205</v>
      </c>
      <c r="DR111" s="3">
        <f ca="1">IFERROR(__xludf.DUMMYFUNCTION("""COMPUTED_VALUE"""),-0.678326744178709)</f>
        <v>-0.67832674417870897</v>
      </c>
      <c r="DS111" s="3">
        <f ca="1">IFERROR(__xludf.DUMMYFUNCTION("""COMPUTED_VALUE"""),-0.648317190682872)</f>
        <v>-0.64831719068287197</v>
      </c>
      <c r="DT111" s="3">
        <f ca="1">IFERROR(__xludf.DUMMYFUNCTION("""COMPUTED_VALUE"""),-0.629849779118633)</f>
        <v>-0.62984977911863305</v>
      </c>
      <c r="DU111" s="3">
        <f ca="1">IFERROR(__xludf.DUMMYFUNCTION("""COMPUTED_VALUE"""),-0.709557660589933)</f>
        <v>-0.70955766058993297</v>
      </c>
      <c r="DV111" s="3">
        <f ca="1">IFERROR(__xludf.DUMMYFUNCTION("""COMPUTED_VALUE"""),-0.719102433300401)</f>
        <v>-0.71910243330040102</v>
      </c>
      <c r="DW111" s="3">
        <f ca="1">IFERROR(__xludf.DUMMYFUNCTION("""COMPUTED_VALUE"""),-0.744977782251415)</f>
        <v>-0.74497778225141498</v>
      </c>
      <c r="DX111" s="3">
        <f ca="1">IFERROR(__xludf.DUMMYFUNCTION("""COMPUTED_VALUE"""),-0.632212526390931)</f>
        <v>-0.63221252639093095</v>
      </c>
      <c r="DY111" s="3">
        <f ca="1">IFERROR(__xludf.DUMMYFUNCTION("""COMPUTED_VALUE"""),-0.678059681799428)</f>
        <v>-0.67805968179942799</v>
      </c>
      <c r="DZ111" s="3">
        <f ca="1">IFERROR(__xludf.DUMMYFUNCTION("""COMPUTED_VALUE"""),-0.596649930730153)</f>
        <v>-0.59664993073015304</v>
      </c>
      <c r="EA111" s="3">
        <f ca="1">IFERROR(__xludf.DUMMYFUNCTION("""COMPUTED_VALUE"""),-0.696664409801169)</f>
        <v>-0.69666440980116895</v>
      </c>
      <c r="EB111" s="3">
        <f ca="1">IFERROR(__xludf.DUMMYFUNCTION("""COMPUTED_VALUE"""),-0.602923868853766)</f>
        <v>-0.60292386885376603</v>
      </c>
      <c r="EC111" s="3">
        <f ca="1">IFERROR(__xludf.DUMMYFUNCTION("""COMPUTED_VALUE"""),-0.543167464148797)</f>
        <v>-0.54316746414879702</v>
      </c>
      <c r="ED111" s="3">
        <f ca="1">IFERROR(__xludf.DUMMYFUNCTION("""COMPUTED_VALUE"""),-0.715046210002023)</f>
        <v>-0.71504621000202295</v>
      </c>
      <c r="EE111" s="3">
        <f ca="1">IFERROR(__xludf.DUMMYFUNCTION("""COMPUTED_VALUE"""),-0.600803035368569)</f>
        <v>-0.60080303536856905</v>
      </c>
      <c r="EF111" s="3">
        <f ca="1">IFERROR(__xludf.DUMMYFUNCTION("""COMPUTED_VALUE"""),-0.664109181793512)</f>
        <v>-0.66410918179351197</v>
      </c>
      <c r="EG111" s="3">
        <f ca="1">IFERROR(__xludf.DUMMYFUNCTION("""COMPUTED_VALUE"""),-0.54954189184565)</f>
        <v>-0.54954189184565005</v>
      </c>
      <c r="EH111" s="3">
        <f ca="1">IFERROR(__xludf.DUMMYFUNCTION("""COMPUTED_VALUE"""),-0.593325025420634)</f>
        <v>-0.59332502542063403</v>
      </c>
      <c r="EI111" s="3">
        <f ca="1">IFERROR(__xludf.DUMMYFUNCTION("""COMPUTED_VALUE"""),-0.681636463224518)</f>
        <v>-0.68163646322451799</v>
      </c>
      <c r="EJ111" s="3">
        <f ca="1">IFERROR(__xludf.DUMMYFUNCTION("""COMPUTED_VALUE"""),-0.950643048902804)</f>
        <v>-0.95064304890280404</v>
      </c>
      <c r="EK111" s="3">
        <f ca="1">IFERROR(__xludf.DUMMYFUNCTION("""COMPUTED_VALUE"""),-0.719706424697223)</f>
        <v>-0.71970642469722301</v>
      </c>
      <c r="EL111" s="3">
        <f ca="1">IFERROR(__xludf.DUMMYFUNCTION("""COMPUTED_VALUE"""),-0.541848618436713)</f>
        <v>-0.54184861843671295</v>
      </c>
      <c r="EM111" s="3">
        <f ca="1">IFERROR(__xludf.DUMMYFUNCTION("""COMPUTED_VALUE"""),-0.693657264148409)</f>
        <v>-0.693657264148409</v>
      </c>
      <c r="EN111" s="3">
        <f ca="1">IFERROR(__xludf.DUMMYFUNCTION("""COMPUTED_VALUE"""),-0.43140987446238)</f>
        <v>-0.43140987446237999</v>
      </c>
      <c r="EO111" s="3">
        <f ca="1">IFERROR(__xludf.DUMMYFUNCTION("""COMPUTED_VALUE"""),-0.512251846724648)</f>
        <v>-0.51225184672464796</v>
      </c>
      <c r="EP111" s="3">
        <f ca="1">IFERROR(__xludf.DUMMYFUNCTION("""COMPUTED_VALUE"""),-0.58365637496981)</f>
        <v>-0.58365637496981004</v>
      </c>
      <c r="EQ111" s="3">
        <f ca="1">IFERROR(__xludf.DUMMYFUNCTION("""COMPUTED_VALUE"""),-0.475521247253271)</f>
        <v>-0.475521247253271</v>
      </c>
      <c r="ER111" s="3">
        <f ca="1">IFERROR(__xludf.DUMMYFUNCTION("""COMPUTED_VALUE"""),-0.65881540718539)</f>
        <v>-0.65881540718539</v>
      </c>
      <c r="ES111" s="3">
        <f ca="1">IFERROR(__xludf.DUMMYFUNCTION("""COMPUTED_VALUE"""),-0.579421131344634)</f>
        <v>-0.57942113134463402</v>
      </c>
      <c r="ET111" s="3">
        <f ca="1">IFERROR(__xludf.DUMMYFUNCTION("""COMPUTED_VALUE"""),-0.571184986312987)</f>
        <v>-0.57118498631298698</v>
      </c>
      <c r="EU111" s="3">
        <f ca="1">IFERROR(__xludf.DUMMYFUNCTION("""COMPUTED_VALUE"""),-0.600940156115589)</f>
        <v>-0.60094015611558904</v>
      </c>
      <c r="EV111" s="3">
        <f ca="1">IFERROR(__xludf.DUMMYFUNCTION("""COMPUTED_VALUE"""),-0.488182195951799)</f>
        <v>-0.48818219595179901</v>
      </c>
      <c r="EW111" s="3">
        <f ca="1">IFERROR(__xludf.DUMMYFUNCTION("""COMPUTED_VALUE"""),-0.670796074058033)</f>
        <v>-0.67079607405803299</v>
      </c>
      <c r="EX111" s="3">
        <f ca="1">IFERROR(__xludf.DUMMYFUNCTION("""COMPUTED_VALUE"""),-0.664509725878225)</f>
        <v>-0.66450972587822499</v>
      </c>
      <c r="EY111" s="3">
        <f ca="1">IFERROR(__xludf.DUMMYFUNCTION("""COMPUTED_VALUE"""),-0.739779687350845)</f>
        <v>-0.73977968735084498</v>
      </c>
      <c r="EZ111" s="3">
        <f ca="1">IFERROR(__xludf.DUMMYFUNCTION("""COMPUTED_VALUE"""),-0.52762631096082)</f>
        <v>-0.52762631096082002</v>
      </c>
      <c r="FA111" s="3">
        <f ca="1">IFERROR(__xludf.DUMMYFUNCTION("""COMPUTED_VALUE"""),-0.556243024681354)</f>
        <v>-0.556243024681354</v>
      </c>
      <c r="FB111" s="3">
        <f ca="1">IFERROR(__xludf.DUMMYFUNCTION("""COMPUTED_VALUE"""),-0.442324836337725)</f>
        <v>-0.44232483633772501</v>
      </c>
      <c r="FC111" s="3">
        <f ca="1">IFERROR(__xludf.DUMMYFUNCTION("""COMPUTED_VALUE"""),-0.388630366474564)</f>
        <v>-0.388630366474564</v>
      </c>
      <c r="FD111" s="3">
        <f ca="1">IFERROR(__xludf.DUMMYFUNCTION("""COMPUTED_VALUE"""),-0.659103373602232)</f>
        <v>-0.65910337360223203</v>
      </c>
      <c r="FE111" s="3">
        <f ca="1">IFERROR(__xludf.DUMMYFUNCTION("""COMPUTED_VALUE"""),-0.586737999115213)</f>
        <v>-0.58673799911521296</v>
      </c>
      <c r="FF111" s="3">
        <f ca="1">IFERROR(__xludf.DUMMYFUNCTION("""COMPUTED_VALUE"""),-0.642634733121204)</f>
        <v>-0.642634733121204</v>
      </c>
      <c r="FG111" s="3">
        <f ca="1">IFERROR(__xludf.DUMMYFUNCTION("""COMPUTED_VALUE"""),-0.545574472558551)</f>
        <v>-0.54557447255855096</v>
      </c>
      <c r="FH111" s="3">
        <f ca="1">IFERROR(__xludf.DUMMYFUNCTION("""COMPUTED_VALUE"""),-0.508751245425647)</f>
        <v>-0.50875124542564698</v>
      </c>
      <c r="FI111" s="3">
        <f ca="1">IFERROR(__xludf.DUMMYFUNCTION("""COMPUTED_VALUE"""),-0.454318736086971)</f>
        <v>-0.45431873608697099</v>
      </c>
      <c r="FJ111" s="3">
        <f ca="1">IFERROR(__xludf.DUMMYFUNCTION("""COMPUTED_VALUE"""),-0.491622437136941)</f>
        <v>-0.49162243713694098</v>
      </c>
      <c r="FK111" s="3">
        <f ca="1">IFERROR(__xludf.DUMMYFUNCTION("""COMPUTED_VALUE"""),-0.669171515863024)</f>
        <v>-0.66917151586302404</v>
      </c>
      <c r="FL111" s="3">
        <f ca="1">IFERROR(__xludf.DUMMYFUNCTION("""COMPUTED_VALUE"""),-0.568032769563832)</f>
        <v>-0.56803276956383197</v>
      </c>
      <c r="FM111" s="3">
        <f ca="1">IFERROR(__xludf.DUMMYFUNCTION("""COMPUTED_VALUE"""),-0.682802117635984)</f>
        <v>-0.68280211763598397</v>
      </c>
      <c r="FN111" s="3">
        <f ca="1">IFERROR(__xludf.DUMMYFUNCTION("""COMPUTED_VALUE"""),-0.595834637880936)</f>
        <v>-0.59583463788093605</v>
      </c>
      <c r="FO111" s="3">
        <f ca="1">IFERROR(__xludf.DUMMYFUNCTION("""COMPUTED_VALUE"""),-0.620209563085912)</f>
        <v>-0.62020956308591202</v>
      </c>
      <c r="FP111" s="3">
        <f ca="1">IFERROR(__xludf.DUMMYFUNCTION("""COMPUTED_VALUE"""),-0.471272401104709)</f>
        <v>-0.47127240110470903</v>
      </c>
      <c r="FQ111" s="3">
        <f ca="1">IFERROR(__xludf.DUMMYFUNCTION("""COMPUTED_VALUE"""),-0.472563234737499)</f>
        <v>-0.472563234737499</v>
      </c>
      <c r="FR111" s="3">
        <f ca="1">IFERROR(__xludf.DUMMYFUNCTION("""COMPUTED_VALUE"""),-0.615240965315249)</f>
        <v>-0.61524096531524897</v>
      </c>
      <c r="FS111" s="3">
        <f ca="1">IFERROR(__xludf.DUMMYFUNCTION("""COMPUTED_VALUE"""),-0.5923955999368)</f>
        <v>-0.59239559993680002</v>
      </c>
      <c r="FT111" s="3">
        <f ca="1">IFERROR(__xludf.DUMMYFUNCTION("""COMPUTED_VALUE"""),-0.684652100635481)</f>
        <v>-0.68465210063548099</v>
      </c>
      <c r="FU111" s="3">
        <f ca="1">IFERROR(__xludf.DUMMYFUNCTION("""COMPUTED_VALUE"""),-0.602743356892977)</f>
        <v>-0.60274335689297698</v>
      </c>
      <c r="FV111" s="3">
        <f ca="1">IFERROR(__xludf.DUMMYFUNCTION("""COMPUTED_VALUE"""),-0.461992871788737)</f>
        <v>-0.46199287178873699</v>
      </c>
      <c r="FW111" s="3">
        <f ca="1">IFERROR(__xludf.DUMMYFUNCTION("""COMPUTED_VALUE"""),-0.385550552967212)</f>
        <v>-0.38555055296721202</v>
      </c>
      <c r="FX111" s="3">
        <f ca="1">IFERROR(__xludf.DUMMYFUNCTION("""COMPUTED_VALUE"""),-0.496277436530728)</f>
        <v>-0.49627743653072798</v>
      </c>
      <c r="FY111" s="3">
        <f ca="1">IFERROR(__xludf.DUMMYFUNCTION("""COMPUTED_VALUE"""),-0.61721899720608)</f>
        <v>-0.61721899720607998</v>
      </c>
      <c r="FZ111" s="3">
        <f ca="1">IFERROR(__xludf.DUMMYFUNCTION("""COMPUTED_VALUE"""),-0.591173069153332)</f>
        <v>-0.59117306915333201</v>
      </c>
      <c r="GA111" s="3">
        <f ca="1">IFERROR(__xludf.DUMMYFUNCTION("""COMPUTED_VALUE"""),-0.621109939185589)</f>
        <v>-0.62110993918558899</v>
      </c>
      <c r="GB111" s="3">
        <f ca="1">IFERROR(__xludf.DUMMYFUNCTION("""COMPUTED_VALUE"""),-0.64393558012308)</f>
        <v>-0.64393558012308005</v>
      </c>
      <c r="GC111" s="3">
        <f ca="1">IFERROR(__xludf.DUMMYFUNCTION("""COMPUTED_VALUE"""),-0.61262844515309)</f>
        <v>-0.61262844515309001</v>
      </c>
      <c r="GD111" s="3">
        <f ca="1">IFERROR(__xludf.DUMMYFUNCTION("""COMPUTED_VALUE"""),-0.479382340320867)</f>
        <v>-0.47938234032086702</v>
      </c>
      <c r="GE111" s="3">
        <f ca="1">IFERROR(__xludf.DUMMYFUNCTION("""COMPUTED_VALUE"""),-0.442730006944994)</f>
        <v>-0.44273000694499398</v>
      </c>
      <c r="GF111" s="3">
        <f ca="1">IFERROR(__xludf.DUMMYFUNCTION("""COMPUTED_VALUE"""),-0.649393397062479)</f>
        <v>-0.64939339706247901</v>
      </c>
      <c r="GG111" s="3">
        <f ca="1">IFERROR(__xludf.DUMMYFUNCTION("""COMPUTED_VALUE"""),-0.546633940673503)</f>
        <v>-0.54663394067350302</v>
      </c>
      <c r="GH111" s="3">
        <f ca="1">IFERROR(__xludf.DUMMYFUNCTION("""COMPUTED_VALUE"""),-0.67051386287673)</f>
        <v>-0.67051386287672998</v>
      </c>
      <c r="GI111" s="3">
        <f ca="1">IFERROR(__xludf.DUMMYFUNCTION("""COMPUTED_VALUE"""),-0.55092625405932)</f>
        <v>-0.55092625405932005</v>
      </c>
      <c r="GJ111" s="3">
        <f ca="1">IFERROR(__xludf.DUMMYFUNCTION("""COMPUTED_VALUE"""),-0.511165331499169)</f>
        <v>-0.51116533149916898</v>
      </c>
      <c r="GK111" s="3">
        <f ca="1">IFERROR(__xludf.DUMMYFUNCTION("""COMPUTED_VALUE"""),-0.455117322889874)</f>
        <v>-0.455117322889874</v>
      </c>
      <c r="GL111" s="3">
        <f ca="1">IFERROR(__xludf.DUMMYFUNCTION("""COMPUTED_VALUE"""),-0.443266432465524)</f>
        <v>-0.443266432465524</v>
      </c>
      <c r="GM111" s="3">
        <f ca="1">IFERROR(__xludf.DUMMYFUNCTION("""COMPUTED_VALUE"""),-0.570617108560858)</f>
        <v>-0.57061710856085801</v>
      </c>
      <c r="GN111" s="3">
        <f ca="1">IFERROR(__xludf.DUMMYFUNCTION("""COMPUTED_VALUE"""),-0.527922584560729)</f>
        <v>-0.52792258456072905</v>
      </c>
      <c r="GO111" s="3">
        <f ca="1">IFERROR(__xludf.DUMMYFUNCTION("""COMPUTED_VALUE"""),-0.603526061089714)</f>
        <v>-0.60352606108971396</v>
      </c>
      <c r="GP111" s="3">
        <f ca="1">IFERROR(__xludf.DUMMYFUNCTION("""COMPUTED_VALUE"""),-0.487169709450833)</f>
        <v>-0.48716970945083299</v>
      </c>
      <c r="GQ111" s="3">
        <f ca="1">IFERROR(__xludf.DUMMYFUNCTION("""COMPUTED_VALUE"""),-0.435807739631872)</f>
        <v>-0.43580773963187203</v>
      </c>
      <c r="GR111" s="3">
        <f ca="1">IFERROR(__xludf.DUMMYFUNCTION("""COMPUTED_VALUE"""),-0.333964312309632)</f>
        <v>-0.33396431230963203</v>
      </c>
      <c r="GS111" s="3">
        <f ca="1">IFERROR(__xludf.DUMMYFUNCTION("""COMPUTED_VALUE"""),-0.317501309249888)</f>
        <v>-0.31750130924988801</v>
      </c>
      <c r="GT111" s="3">
        <f ca="1">IFERROR(__xludf.DUMMYFUNCTION("""COMPUTED_VALUE"""),-0.443117287588226)</f>
        <v>-0.44311728758822599</v>
      </c>
      <c r="GU111" s="3">
        <f ca="1">IFERROR(__xludf.DUMMYFUNCTION("""COMPUTED_VALUE"""),-0.454940903296295)</f>
        <v>-0.454940903296295</v>
      </c>
      <c r="GV111" s="3">
        <f ca="1">IFERROR(__xludf.DUMMYFUNCTION("""COMPUTED_VALUE"""),-0.561806759404262)</f>
        <v>-0.56180675940426195</v>
      </c>
      <c r="GW111" s="3">
        <f ca="1">IFERROR(__xludf.DUMMYFUNCTION("""COMPUTED_VALUE"""),-0.475163359903683)</f>
        <v>-0.47516335990368302</v>
      </c>
      <c r="GX111" s="3">
        <f ca="1">IFERROR(__xludf.DUMMYFUNCTION("""COMPUTED_VALUE"""),-0.484194622248879)</f>
        <v>-0.48419462224887899</v>
      </c>
      <c r="GY111" s="3">
        <f ca="1">IFERROR(__xludf.DUMMYFUNCTION("""COMPUTED_VALUE"""),-0.234696693821541)</f>
        <v>-0.23469669382154101</v>
      </c>
      <c r="GZ111" s="3">
        <f ca="1">IFERROR(__xludf.DUMMYFUNCTION("""COMPUTED_VALUE"""),-0.355954195216983)</f>
        <v>-0.35595419521698302</v>
      </c>
      <c r="HA111" s="3">
        <f ca="1">IFERROR(__xludf.DUMMYFUNCTION("""COMPUTED_VALUE"""),-0.493505097830557)</f>
        <v>-0.49350509783055702</v>
      </c>
      <c r="HB111" s="3">
        <f ca="1">IFERROR(__xludf.DUMMYFUNCTION("""COMPUTED_VALUE"""),-0.517111061631576)</f>
        <v>-0.51711106163157605</v>
      </c>
      <c r="HC111" s="3">
        <f ca="1">IFERROR(__xludf.DUMMYFUNCTION("""COMPUTED_VALUE"""),-0.607588870566221)</f>
        <v>-0.60758887056622102</v>
      </c>
      <c r="HD111" s="3">
        <f ca="1">IFERROR(__xludf.DUMMYFUNCTION("""COMPUTED_VALUE"""),-0.491380928891796)</f>
        <v>-0.49138092889179602</v>
      </c>
      <c r="HE111" s="3">
        <f ca="1">IFERROR(__xludf.DUMMYFUNCTION("""COMPUTED_VALUE"""),-0.499521509544292)</f>
        <v>-0.49952150954429198</v>
      </c>
      <c r="HF111" s="3">
        <f ca="1">IFERROR(__xludf.DUMMYFUNCTION("""COMPUTED_VALUE"""),-0.262584762756693)</f>
        <v>-0.26258476275669301</v>
      </c>
      <c r="HG111" s="3">
        <f ca="1">IFERROR(__xludf.DUMMYFUNCTION("""COMPUTED_VALUE"""),-0.289814889831239)</f>
        <v>-0.28981488983123899</v>
      </c>
      <c r="HH111" s="3">
        <f ca="1">IFERROR(__xludf.DUMMYFUNCTION("""COMPUTED_VALUE"""),-0.588095235978672)</f>
        <v>-0.58809523597867197</v>
      </c>
      <c r="HI111" s="3">
        <f ca="1">IFERROR(__xludf.DUMMYFUNCTION("""COMPUTED_VALUE"""),-0.595793132161103)</f>
        <v>-0.59579313216110297</v>
      </c>
      <c r="HJ111" s="3">
        <f ca="1">IFERROR(__xludf.DUMMYFUNCTION("""COMPUTED_VALUE"""),-0.587682691021957)</f>
        <v>-0.58768269102195703</v>
      </c>
      <c r="HK111" s="3">
        <f ca="1">IFERROR(__xludf.DUMMYFUNCTION("""COMPUTED_VALUE"""),-0.622861188834097)</f>
        <v>-0.62286118883409702</v>
      </c>
      <c r="HL111" s="3">
        <f ca="1">IFERROR(__xludf.DUMMYFUNCTION("""COMPUTED_VALUE"""),-0.880402433881014)</f>
        <v>-0.88040243388101402</v>
      </c>
      <c r="HM111" s="3">
        <f ca="1">IFERROR(__xludf.DUMMYFUNCTION("""COMPUTED_VALUE"""),-0.261138391846797)</f>
        <v>-0.26113839184679699</v>
      </c>
      <c r="HN111" s="3">
        <f ca="1">IFERROR(__xludf.DUMMYFUNCTION("""COMPUTED_VALUE"""),-0.279115901913518)</f>
        <v>-0.27911590191351798</v>
      </c>
      <c r="HO111" s="3">
        <f ca="1">IFERROR(__xludf.DUMMYFUNCTION("""COMPUTED_VALUE"""),-0.633229908192281)</f>
        <v>-0.63322990819228098</v>
      </c>
      <c r="HP111" s="3">
        <f ca="1">IFERROR(__xludf.DUMMYFUNCTION("""COMPUTED_VALUE"""),-0.593512657563981)</f>
        <v>-0.59351265756398097</v>
      </c>
      <c r="HQ111" s="3">
        <f ca="1">IFERROR(__xludf.DUMMYFUNCTION("""COMPUTED_VALUE"""),-0.652122275292847)</f>
        <v>-0.65212227529284705</v>
      </c>
      <c r="HR111" s="3">
        <f ca="1">IFERROR(__xludf.DUMMYFUNCTION("""COMPUTED_VALUE"""),-0.598902947533194)</f>
        <v>-0.59890294753319395</v>
      </c>
      <c r="HS111" s="3">
        <f ca="1">IFERROR(__xludf.DUMMYFUNCTION("""COMPUTED_VALUE"""),-0.405148543558316)</f>
        <v>-0.40514854355831598</v>
      </c>
      <c r="HT111" s="3">
        <f ca="1">IFERROR(__xludf.DUMMYFUNCTION("""COMPUTED_VALUE"""),-0.255452740428725)</f>
        <v>-0.25545274042872501</v>
      </c>
      <c r="HU111" s="3">
        <f ca="1">IFERROR(__xludf.DUMMYFUNCTION("""COMPUTED_VALUE"""),-0.538611923473609)</f>
        <v>-0.53861192347360898</v>
      </c>
      <c r="HV111" s="3">
        <f ca="1">IFERROR(__xludf.DUMMYFUNCTION("""COMPUTED_VALUE"""),-0.573231410419969)</f>
        <v>-0.57323141041996895</v>
      </c>
      <c r="HW111" s="3">
        <f ca="1">IFERROR(__xludf.DUMMYFUNCTION("""COMPUTED_VALUE"""),-0.642478494365369)</f>
        <v>-0.64247849436536897</v>
      </c>
      <c r="HX111" s="3">
        <f ca="1">IFERROR(__xludf.DUMMYFUNCTION("""COMPUTED_VALUE"""),-0.586455161458961)</f>
        <v>-0.58645516145896104</v>
      </c>
      <c r="HY111" s="3">
        <f ca="1">IFERROR(__xludf.DUMMYFUNCTION("""COMPUTED_VALUE"""),-0.663280411293971)</f>
        <v>-0.66328041129397097</v>
      </c>
      <c r="HZ111" s="3">
        <f ca="1">IFERROR(__xludf.DUMMYFUNCTION("""COMPUTED_VALUE"""),-0.302882556278634)</f>
        <v>-0.30288255627863397</v>
      </c>
      <c r="IA111" s="3">
        <f ca="1">IFERROR(__xludf.DUMMYFUNCTION("""COMPUTED_VALUE"""),-0.290321824766921)</f>
        <v>-0.29032182476692098</v>
      </c>
      <c r="IB111" s="3">
        <f ca="1">IFERROR(__xludf.DUMMYFUNCTION("""COMPUTED_VALUE"""),-0.364132814257718)</f>
        <v>-0.36413281425771798</v>
      </c>
      <c r="IC111" s="3">
        <f ca="1">IFERROR(__xludf.DUMMYFUNCTION("""COMPUTED_VALUE"""),-0.44558525057527)</f>
        <v>-0.44558525057526999</v>
      </c>
      <c r="ID111" s="3">
        <f ca="1">IFERROR(__xludf.DUMMYFUNCTION("""COMPUTED_VALUE"""),-0.519036310726902)</f>
        <v>-0.51903631072690204</v>
      </c>
      <c r="IE111" s="3">
        <f ca="1">IFERROR(__xludf.DUMMYFUNCTION("""COMPUTED_VALUE"""),-0.552328919338315)</f>
        <v>-0.55232891933831496</v>
      </c>
      <c r="IF111" s="3">
        <f ca="1">IFERROR(__xludf.DUMMYFUNCTION("""COMPUTED_VALUE"""),-0.548569795683086)</f>
        <v>-0.54856979568308595</v>
      </c>
      <c r="IG111" s="3">
        <f ca="1">IFERROR(__xludf.DUMMYFUNCTION("""COMPUTED_VALUE"""),-0.509503356011268)</f>
        <v>-0.50950335601126795</v>
      </c>
      <c r="IH111" s="3">
        <f ca="1">IFERROR(__xludf.DUMMYFUNCTION("""COMPUTED_VALUE"""),-0.350108681290708)</f>
        <v>-0.35010868129070799</v>
      </c>
      <c r="II111" s="3">
        <f ca="1">IFERROR(__xludf.DUMMYFUNCTION("""COMPUTED_VALUE"""),-0.411017552852115)</f>
        <v>-0.411017552852115</v>
      </c>
      <c r="IJ111" s="3">
        <f ca="1">IFERROR(__xludf.DUMMYFUNCTION("""COMPUTED_VALUE"""),-0.430192038200736)</f>
        <v>-0.43019203820073598</v>
      </c>
      <c r="IK111" s="3">
        <f ca="1">IFERROR(__xludf.DUMMYFUNCTION("""COMPUTED_VALUE"""),-0.464548450791286)</f>
        <v>-0.46454845079128598</v>
      </c>
      <c r="IL111" s="3">
        <f ca="1">IFERROR(__xludf.DUMMYFUNCTION("""COMPUTED_VALUE"""),-0.472808564052012)</f>
        <v>-0.47280856405201199</v>
      </c>
      <c r="IM111" s="3">
        <f ca="1">IFERROR(__xludf.DUMMYFUNCTION("""COMPUTED_VALUE"""),-0.538365487163662)</f>
        <v>-0.53836548716366195</v>
      </c>
      <c r="IN111" s="3">
        <f ca="1">IFERROR(__xludf.DUMMYFUNCTION("""COMPUTED_VALUE"""),-0.473007604951834)</f>
        <v>-0.47300760495183403</v>
      </c>
      <c r="IO111" s="3">
        <f ca="1">IFERROR(__xludf.DUMMYFUNCTION("""COMPUTED_VALUE"""),-0.235893020692302)</f>
        <v>-0.235893020692302</v>
      </c>
      <c r="IP111" s="3">
        <f ca="1">IFERROR(__xludf.DUMMYFUNCTION("""COMPUTED_VALUE"""),-0.34630962188689)</f>
        <v>-0.34630962188689002</v>
      </c>
      <c r="IQ111" s="3">
        <f ca="1">IFERROR(__xludf.DUMMYFUNCTION("""COMPUTED_VALUE"""),-0.465483491824427)</f>
        <v>-0.465483491824427</v>
      </c>
      <c r="IR111" s="3">
        <f ca="1">IFERROR(__xludf.DUMMYFUNCTION("""COMPUTED_VALUE"""),-0.508098209566877)</f>
        <v>-0.50809820956687701</v>
      </c>
      <c r="IS111" s="3">
        <f ca="1">IFERROR(__xludf.DUMMYFUNCTION("""COMPUTED_VALUE"""),-0.526133412606717)</f>
        <v>-0.52613341260671698</v>
      </c>
      <c r="IT111" s="3">
        <f ca="1">IFERROR(__xludf.DUMMYFUNCTION("""COMPUTED_VALUE"""),-0.530738364623059)</f>
        <v>-0.53073836462305901</v>
      </c>
      <c r="IU111" s="3">
        <f ca="1">IFERROR(__xludf.DUMMYFUNCTION("""COMPUTED_VALUE"""),-0.447092746034259)</f>
        <v>-0.44709274603425903</v>
      </c>
      <c r="IV111" s="3">
        <f ca="1">IFERROR(__xludf.DUMMYFUNCTION("""COMPUTED_VALUE"""),-0.43813127420709)</f>
        <v>-0.43813127420709003</v>
      </c>
      <c r="IW111" s="3">
        <f ca="1">IFERROR(__xludf.DUMMYFUNCTION("""COMPUTED_VALUE"""),-0.426642598555706)</f>
        <v>-0.42664259855570602</v>
      </c>
      <c r="IX111" s="3">
        <f ca="1">IFERROR(__xludf.DUMMYFUNCTION("""COMPUTED_VALUE"""),-0.542477122583782)</f>
        <v>-0.542477122583782</v>
      </c>
      <c r="IY111" s="3">
        <f ca="1">IFERROR(__xludf.DUMMYFUNCTION("""COMPUTED_VALUE"""),-0.603766898173066)</f>
        <v>-0.60376689817306595</v>
      </c>
      <c r="IZ111" s="3">
        <f ca="1">IFERROR(__xludf.DUMMYFUNCTION("""COMPUTED_VALUE"""),-0.567080160018472)</f>
        <v>-0.56708016001847195</v>
      </c>
      <c r="JA111" s="3">
        <f ca="1">IFERROR(__xludf.DUMMYFUNCTION("""COMPUTED_VALUE"""),-0.554606594885334)</f>
        <v>-0.55460659488533404</v>
      </c>
      <c r="JB111" s="3">
        <f ca="1">IFERROR(__xludf.DUMMYFUNCTION("""COMPUTED_VALUE"""),-0.580992285673029)</f>
        <v>-0.58099228567302896</v>
      </c>
      <c r="JC111" s="3">
        <f ca="1">IFERROR(__xludf.DUMMYFUNCTION("""COMPUTED_VALUE"""),-0.379910146125723)</f>
        <v>-0.37991014612572299</v>
      </c>
      <c r="JD111" s="3">
        <f ca="1">IFERROR(__xludf.DUMMYFUNCTION("""COMPUTED_VALUE"""),-0.457198077361103)</f>
        <v>-0.45719807736110302</v>
      </c>
      <c r="JE111" s="3">
        <f ca="1">IFERROR(__xludf.DUMMYFUNCTION("""COMPUTED_VALUE"""),-0.587227634415563)</f>
        <v>-0.58722763441556303</v>
      </c>
      <c r="JF111" s="3">
        <f ca="1">IFERROR(__xludf.DUMMYFUNCTION("""COMPUTED_VALUE"""),-0.632793630938056)</f>
        <v>-0.63279363093805596</v>
      </c>
      <c r="JG111" s="3">
        <f ca="1">IFERROR(__xludf.DUMMYFUNCTION("""COMPUTED_VALUE"""),-0.67025770424776)</f>
        <v>-0.67025770424775999</v>
      </c>
      <c r="JH111" s="3">
        <f ca="1">IFERROR(__xludf.DUMMYFUNCTION("""COMPUTED_VALUE"""),-0.588546146305934)</f>
        <v>-0.58854614630593405</v>
      </c>
      <c r="JI111" s="3">
        <f ca="1">IFERROR(__xludf.DUMMYFUNCTION("""COMPUTED_VALUE"""),-0.571844338035906)</f>
        <v>-0.57184433803590595</v>
      </c>
      <c r="JJ111" s="3">
        <f ca="1">IFERROR(__xludf.DUMMYFUNCTION("""COMPUTED_VALUE"""),-0.416602568321935)</f>
        <v>-0.41660256832193499</v>
      </c>
      <c r="JK111" s="3">
        <f ca="1">IFERROR(__xludf.DUMMYFUNCTION("""COMPUTED_VALUE"""),-0.430065554088267)</f>
        <v>-0.43006555408826702</v>
      </c>
      <c r="JL111" s="3">
        <f ca="1">IFERROR(__xludf.DUMMYFUNCTION("""COMPUTED_VALUE"""),-0.620200903422186)</f>
        <v>-0.62020090342218603</v>
      </c>
      <c r="JM111" s="3">
        <f ca="1">IFERROR(__xludf.DUMMYFUNCTION("""COMPUTED_VALUE"""),-0.633288929754688)</f>
        <v>-0.63328892975468798</v>
      </c>
      <c r="JN111" s="3">
        <f ca="1">IFERROR(__xludf.DUMMYFUNCTION("""COMPUTED_VALUE"""),-0.621024255356506)</f>
        <v>-0.62102425535650596</v>
      </c>
      <c r="JO111" s="3">
        <f ca="1">IFERROR(__xludf.DUMMYFUNCTION("""COMPUTED_VALUE"""),-0.655918911625442)</f>
        <v>-0.65591891162544202</v>
      </c>
      <c r="JP111" s="3">
        <f ca="1">IFERROR(__xludf.DUMMYFUNCTION("""COMPUTED_VALUE"""),-0.599647594075228)</f>
        <v>-0.59964759407522805</v>
      </c>
      <c r="JQ111" s="3">
        <f ca="1">IFERROR(__xludf.DUMMYFUNCTION("""COMPUTED_VALUE"""),-0.394585412451331)</f>
        <v>-0.394585412451331</v>
      </c>
      <c r="JR111" s="3">
        <f ca="1">IFERROR(__xludf.DUMMYFUNCTION("""COMPUTED_VALUE"""),-0.493455906810444)</f>
        <v>-0.49345590681044399</v>
      </c>
      <c r="JS111" s="3">
        <f ca="1">IFERROR(__xludf.DUMMYFUNCTION("""COMPUTED_VALUE"""),-0.551109465007375)</f>
        <v>-0.55110946500737501</v>
      </c>
      <c r="JT111" s="3">
        <f ca="1">IFERROR(__xludf.DUMMYFUNCTION("""COMPUTED_VALUE"""),-0.537117178177189)</f>
        <v>-0.53711717817718896</v>
      </c>
      <c r="JU111" s="3">
        <f ca="1">IFERROR(__xludf.DUMMYFUNCTION("""COMPUTED_VALUE"""),-0.637484952177999)</f>
        <v>-0.63748495217799905</v>
      </c>
      <c r="JV111" s="3">
        <f ca="1">IFERROR(__xludf.DUMMYFUNCTION("""COMPUTED_VALUE"""),-0.675320750966815)</f>
        <v>-0.67532075096681499</v>
      </c>
      <c r="JW111" s="3">
        <f ca="1">IFERROR(__xludf.DUMMYFUNCTION("""COMPUTED_VALUE"""),-0.596533975360616)</f>
        <v>-0.59653397536061603</v>
      </c>
      <c r="JX111" s="3">
        <f ca="1">IFERROR(__xludf.DUMMYFUNCTION("""COMPUTED_VALUE"""),-0.468550561664758)</f>
        <v>-0.468550561664758</v>
      </c>
      <c r="JY111" s="3">
        <f ca="1">IFERROR(__xludf.DUMMYFUNCTION("""COMPUTED_VALUE"""),-0.732167701767627)</f>
        <v>-0.73216770176762702</v>
      </c>
      <c r="JZ111" s="3">
        <f ca="1">IFERROR(__xludf.DUMMYFUNCTION("""COMPUTED_VALUE"""),-0.620333067212318)</f>
        <v>-0.62033306721231796</v>
      </c>
      <c r="KA111" s="3">
        <f ca="1">IFERROR(__xludf.DUMMYFUNCTION("""COMPUTED_VALUE"""),-0.538366731672935)</f>
        <v>-0.53836673167293503</v>
      </c>
      <c r="KB111" s="3">
        <f ca="1">IFERROR(__xludf.DUMMYFUNCTION("""COMPUTED_VALUE"""),-0.665532827685335)</f>
        <v>-0.66553282768533495</v>
      </c>
      <c r="KC111" s="3">
        <f ca="1">IFERROR(__xludf.DUMMYFUNCTION("""COMPUTED_VALUE"""),-0.663308874963066)</f>
        <v>-0.66330887496306601</v>
      </c>
      <c r="KD111" s="3">
        <f ca="1">IFERROR(__xludf.DUMMYFUNCTION("""COMPUTED_VALUE"""),-0.746044926820204)</f>
        <v>-0.74604492682020396</v>
      </c>
      <c r="KE111" s="3">
        <f ca="1">IFERROR(__xludf.DUMMYFUNCTION("""COMPUTED_VALUE"""),-0.527905253139251)</f>
        <v>-0.52790525313925096</v>
      </c>
      <c r="KF111" s="3">
        <f ca="1">IFERROR(__xludf.DUMMYFUNCTION("""COMPUTED_VALUE"""),-0.489542969144699)</f>
        <v>-0.48954296914469903</v>
      </c>
      <c r="KG111" s="3">
        <f ca="1">IFERROR(__xludf.DUMMYFUNCTION("""COMPUTED_VALUE"""),-0.640498711453734)</f>
        <v>-0.64049871145373405</v>
      </c>
      <c r="KH111" s="3">
        <f ca="1">IFERROR(__xludf.DUMMYFUNCTION("""COMPUTED_VALUE"""),-0.517472115734682)</f>
        <v>-0.51747211573468199</v>
      </c>
      <c r="KI111" s="3">
        <f ca="1">IFERROR(__xludf.DUMMYFUNCTION("""COMPUTED_VALUE"""),-0.749668564181236)</f>
        <v>-0.74966856418123595</v>
      </c>
      <c r="KJ111" s="3">
        <f ca="1">IFERROR(__xludf.DUMMYFUNCTION("""COMPUTED_VALUE"""),-0.669959231745521)</f>
        <v>-0.66995923174552097</v>
      </c>
      <c r="KK111" s="3">
        <f ca="1">IFERROR(__xludf.DUMMYFUNCTION("""COMPUTED_VALUE"""),-0.668628507041195)</f>
        <v>-0.66862850704119503</v>
      </c>
      <c r="KL111" s="3">
        <f ca="1">IFERROR(__xludf.DUMMYFUNCTION("""COMPUTED_VALUE"""),-0.589740900366635)</f>
        <v>-0.58974090036663496</v>
      </c>
      <c r="KM111" s="3">
        <f ca="1">IFERROR(__xludf.DUMMYFUNCTION("""COMPUTED_VALUE"""),-0.651169278080742)</f>
        <v>-0.65116927808074199</v>
      </c>
      <c r="KN111" s="3">
        <f ca="1">IFERROR(__xludf.DUMMYFUNCTION("""COMPUTED_VALUE"""),-0.713063340798797)</f>
        <v>-0.71306334079879696</v>
      </c>
      <c r="KO111" s="3">
        <f ca="1">IFERROR(__xludf.DUMMYFUNCTION("""COMPUTED_VALUE"""),-0.674572121148085)</f>
        <v>-0.67457212114808496</v>
      </c>
      <c r="KP111" s="3">
        <f ca="1">IFERROR(__xludf.DUMMYFUNCTION("""COMPUTED_VALUE"""),-0.74773056649)</f>
        <v>-0.74773056649000003</v>
      </c>
      <c r="KQ111" s="3">
        <f ca="1">IFERROR(__xludf.DUMMYFUNCTION("""COMPUTED_VALUE"""),-0.730748680031292)</f>
        <v>-0.73074868003129201</v>
      </c>
      <c r="KR111" s="3">
        <f ca="1">IFERROR(__xludf.DUMMYFUNCTION("""COMPUTED_VALUE"""),-0.698045974771413)</f>
        <v>-0.69804597477141295</v>
      </c>
      <c r="KS111" s="3">
        <f ca="1">IFERROR(__xludf.DUMMYFUNCTION("""COMPUTED_VALUE"""),-0.629575891489032)</f>
        <v>-0.62957589148903204</v>
      </c>
      <c r="KT111" s="3">
        <f ca="1">IFERROR(__xludf.DUMMYFUNCTION("""COMPUTED_VALUE"""),-0.697972504552211)</f>
        <v>-0.69797250455221105</v>
      </c>
      <c r="KU111" s="3">
        <f ca="1">IFERROR(__xludf.DUMMYFUNCTION("""COMPUTED_VALUE"""),-0.785956921959412)</f>
        <v>-0.78595692195941202</v>
      </c>
      <c r="KV111" s="3">
        <f ca="1">IFERROR(__xludf.DUMMYFUNCTION("""COMPUTED_VALUE"""),-0.807678404502309)</f>
        <v>-0.80767840450230899</v>
      </c>
      <c r="KW111" s="3">
        <f ca="1">IFERROR(__xludf.DUMMYFUNCTION("""COMPUTED_VALUE"""),-0.788583078725475)</f>
        <v>-0.78858307872547495</v>
      </c>
      <c r="KX111" s="3">
        <f ca="1">IFERROR(__xludf.DUMMYFUNCTION("""COMPUTED_VALUE"""),-0.765364619076525)</f>
        <v>-0.76536461907652498</v>
      </c>
      <c r="KY111" s="3">
        <f ca="1">IFERROR(__xludf.DUMMYFUNCTION("""COMPUTED_VALUE"""),-0.71877959196595)</f>
        <v>-0.71877959196594998</v>
      </c>
      <c r="KZ111" s="3">
        <f ca="1">IFERROR(__xludf.DUMMYFUNCTION("""COMPUTED_VALUE"""),-0.70712256162717)</f>
        <v>-0.70712256162717002</v>
      </c>
      <c r="LA111" s="3">
        <f ca="1">IFERROR(__xludf.DUMMYFUNCTION("""COMPUTED_VALUE"""),-0.7304666924789)</f>
        <v>-0.73046669247889995</v>
      </c>
      <c r="LB111" s="3">
        <f ca="1">IFERROR(__xludf.DUMMYFUNCTION("""COMPUTED_VALUE"""),-0.809494903596548)</f>
        <v>-0.80949490359654797</v>
      </c>
      <c r="LC111" s="3">
        <f ca="1">IFERROR(__xludf.DUMMYFUNCTION("""COMPUTED_VALUE"""),-0.814710143746831)</f>
        <v>-0.81471014374683104</v>
      </c>
      <c r="LD111" s="3">
        <f ca="1">IFERROR(__xludf.DUMMYFUNCTION("""COMPUTED_VALUE"""),-0.795020924781036)</f>
        <v>-0.79502092478103603</v>
      </c>
      <c r="LE111" s="3">
        <f ca="1">IFERROR(__xludf.DUMMYFUNCTION("""COMPUTED_VALUE"""),-0.792299482198351)</f>
        <v>-0.792299482198351</v>
      </c>
      <c r="LF111" s="3">
        <f ca="1">IFERROR(__xludf.DUMMYFUNCTION("""COMPUTED_VALUE"""),-0.673042177292094)</f>
        <v>-0.67304217729209403</v>
      </c>
      <c r="LG111" s="3">
        <f ca="1">IFERROR(__xludf.DUMMYFUNCTION("""COMPUTED_VALUE"""),-0.716758869869957)</f>
        <v>-0.71675886986995696</v>
      </c>
      <c r="LH111" s="3">
        <f ca="1">IFERROR(__xludf.DUMMYFUNCTION("""COMPUTED_VALUE"""),-0.724777876137779)</f>
        <v>-0.724777876137779</v>
      </c>
      <c r="LI111" s="3">
        <f ca="1">IFERROR(__xludf.DUMMYFUNCTION("""COMPUTED_VALUE"""),-0.820784766542817)</f>
        <v>-0.82078476654281696</v>
      </c>
      <c r="LJ111" s="3">
        <f ca="1">IFERROR(__xludf.DUMMYFUNCTION("""COMPUTED_VALUE"""),-0.818618285119699)</f>
        <v>-0.81861828511969903</v>
      </c>
      <c r="LK111" s="3">
        <f ca="1">IFERROR(__xludf.DUMMYFUNCTION("""COMPUTED_VALUE"""),-0.829870198013753)</f>
        <v>-0.82987019801375295</v>
      </c>
      <c r="LL111" s="3">
        <f ca="1">IFERROR(__xludf.DUMMYFUNCTION("""COMPUTED_VALUE"""),-0.763127185732459)</f>
        <v>-0.76312718573245897</v>
      </c>
      <c r="LM111" s="3">
        <f ca="1">IFERROR(__xludf.DUMMYFUNCTION("""COMPUTED_VALUE"""),-0.872216299043161)</f>
        <v>-0.872216299043161</v>
      </c>
      <c r="LN111" s="3">
        <f ca="1">IFERROR(__xludf.DUMMYFUNCTION("""COMPUTED_VALUE"""),-0.721628100886414)</f>
        <v>-0.72162810088641405</v>
      </c>
      <c r="LO111" s="3">
        <f ca="1">IFERROR(__xludf.DUMMYFUNCTION("""COMPUTED_VALUE"""),-0.787815700472647)</f>
        <v>-0.78781570047264704</v>
      </c>
      <c r="LP111" s="3">
        <f ca="1">IFERROR(__xludf.DUMMYFUNCTION("""COMPUTED_VALUE"""),-0.790570475962806)</f>
        <v>-0.79057047596280605</v>
      </c>
      <c r="LQ111" s="3">
        <f ca="1">IFERROR(__xludf.DUMMYFUNCTION("""COMPUTED_VALUE"""),-0.859904927151273)</f>
        <v>-0.85990492715127298</v>
      </c>
      <c r="LR111" s="3">
        <f ca="1">IFERROR(__xludf.DUMMYFUNCTION("""COMPUTED_VALUE"""),-0.848641490637616)</f>
        <v>-0.84864149063761596</v>
      </c>
      <c r="LS111" s="3">
        <f ca="1">IFERROR(__xludf.DUMMYFUNCTION("""COMPUTED_VALUE"""),-0.864489033380079)</f>
        <v>-0.86448903338007899</v>
      </c>
      <c r="LT111" s="3">
        <f ca="1">IFERROR(__xludf.DUMMYFUNCTION("""COMPUTED_VALUE"""),-0.730542255573084)</f>
        <v>-0.73054225557308405</v>
      </c>
      <c r="LU111" s="3">
        <f ca="1">IFERROR(__xludf.DUMMYFUNCTION("""COMPUTED_VALUE"""),-0.761633701379873)</f>
        <v>-0.76163370137987296</v>
      </c>
      <c r="LV111" s="3">
        <f ca="1">IFERROR(__xludf.DUMMYFUNCTION("""COMPUTED_VALUE"""),-0.796939180772416)</f>
        <v>-0.79693918077241599</v>
      </c>
      <c r="LW111" s="3">
        <f ca="1">IFERROR(__xludf.DUMMYFUNCTION("""COMPUTED_VALUE"""),-0.848098700477221)</f>
        <v>-0.84809870047722102</v>
      </c>
      <c r="LX111" s="3">
        <f ca="1">IFERROR(__xludf.DUMMYFUNCTION("""COMPUTED_VALUE"""),-0.868816557818418)</f>
        <v>-0.86881655781841804</v>
      </c>
      <c r="LY111" s="3">
        <f ca="1">IFERROR(__xludf.DUMMYFUNCTION("""COMPUTED_VALUE"""),-0.858566808445434)</f>
        <v>-0.85856680844543398</v>
      </c>
      <c r="LZ111" s="3">
        <f ca="1">IFERROR(__xludf.DUMMYFUNCTION("""COMPUTED_VALUE"""),-0.846876094555397)</f>
        <v>-0.84687609455539703</v>
      </c>
      <c r="MA111" s="3">
        <f ca="1">IFERROR(__xludf.DUMMYFUNCTION("""COMPUTED_VALUE"""),-0.852453063768955)</f>
        <v>-0.85245306376895502</v>
      </c>
      <c r="MB111" s="3">
        <f ca="1">IFERROR(__xludf.DUMMYFUNCTION("""COMPUTED_VALUE"""),-0.797939748069793)</f>
        <v>-0.79793974806979295</v>
      </c>
      <c r="MC111" s="3">
        <f ca="1">IFERROR(__xludf.DUMMYFUNCTION("""COMPUTED_VALUE"""),-0.8236053032948)</f>
        <v>-0.82360530329479997</v>
      </c>
      <c r="MD111" s="3">
        <f ca="1">IFERROR(__xludf.DUMMYFUNCTION("""COMPUTED_VALUE"""),-0.825556437652303)</f>
        <v>-0.82555643765230302</v>
      </c>
      <c r="ME111" s="3">
        <f ca="1">IFERROR(__xludf.DUMMYFUNCTION("""COMPUTED_VALUE"""),-0.847703232687541)</f>
        <v>-0.847703232687541</v>
      </c>
      <c r="MF111" s="3">
        <f ca="1">IFERROR(__xludf.DUMMYFUNCTION("""COMPUTED_VALUE"""),-0.852040809652887)</f>
        <v>-0.85204080965288698</v>
      </c>
      <c r="MG111" s="3">
        <f ca="1">IFERROR(__xludf.DUMMYFUNCTION("""COMPUTED_VALUE"""),-0.883406694744439)</f>
        <v>-0.883406694744439</v>
      </c>
      <c r="MH111" s="3">
        <f ca="1">IFERROR(__xludf.DUMMYFUNCTION("""COMPUTED_VALUE"""),-0.853547344090694)</f>
        <v>-0.85354734409069399</v>
      </c>
      <c r="MI111" s="3">
        <f ca="1">IFERROR(__xludf.DUMMYFUNCTION("""COMPUTED_VALUE"""),-0.760821729073145)</f>
        <v>-0.76082172907314505</v>
      </c>
      <c r="MJ111" s="3">
        <f ca="1">IFERROR(__xludf.DUMMYFUNCTION("""COMPUTED_VALUE"""),-0.790017313447554)</f>
        <v>-0.79001731344755399</v>
      </c>
      <c r="MK111" s="3">
        <f ca="1">IFERROR(__xludf.DUMMYFUNCTION("""COMPUTED_VALUE"""),-0.900045444570801)</f>
        <v>-0.90004544457080105</v>
      </c>
      <c r="ML111" s="3">
        <f ca="1">IFERROR(__xludf.DUMMYFUNCTION("""COMPUTED_VALUE"""),-0.887020679686148)</f>
        <v>-0.88702067968614795</v>
      </c>
      <c r="MM111" s="3">
        <f ca="1">IFERROR(__xludf.DUMMYFUNCTION("""COMPUTED_VALUE"""),-0.892421188187654)</f>
        <v>-0.89242118818765404</v>
      </c>
      <c r="MN111" s="3">
        <f ca="1">IFERROR(__xludf.DUMMYFUNCTION("""COMPUTED_VALUE"""),-0.862843670286268)</f>
        <v>-0.86284367028626796</v>
      </c>
      <c r="MO111" s="3">
        <f ca="1">IFERROR(__xludf.DUMMYFUNCTION("""COMPUTED_VALUE"""),-0.878699133190152)</f>
        <v>-0.87869913319015203</v>
      </c>
      <c r="MP111" s="3">
        <f ca="1">IFERROR(__xludf.DUMMYFUNCTION("""COMPUTED_VALUE"""),-0.762286420395232)</f>
        <v>-0.76228642039523198</v>
      </c>
      <c r="MQ111" s="3">
        <f ca="1">IFERROR(__xludf.DUMMYFUNCTION("""COMPUTED_VALUE"""),-0.847434224480039)</f>
        <v>-0.84743422448003902</v>
      </c>
      <c r="MR111" s="3">
        <f ca="1">IFERROR(__xludf.DUMMYFUNCTION("""COMPUTED_VALUE"""),-0.891047609239655)</f>
        <v>-0.89104760923965498</v>
      </c>
      <c r="MS111" s="3">
        <f ca="1">IFERROR(__xludf.DUMMYFUNCTION("""COMPUTED_VALUE"""),-0.879737413522575)</f>
        <v>-0.87973741352257495</v>
      </c>
      <c r="MT111" s="3">
        <f ca="1">IFERROR(__xludf.DUMMYFUNCTION("""COMPUTED_VALUE"""),-0.874331981778052)</f>
        <v>-0.87433198177805205</v>
      </c>
      <c r="MU111" s="3">
        <f ca="1">IFERROR(__xludf.DUMMYFUNCTION("""COMPUTED_VALUE"""),-0.872085820289476)</f>
        <v>-0.87208582028947601</v>
      </c>
      <c r="MV111" s="3">
        <f ca="1">IFERROR(__xludf.DUMMYFUNCTION("""COMPUTED_VALUE"""),-0.868026985059301)</f>
        <v>-0.86802698505930098</v>
      </c>
      <c r="MW111" s="3">
        <f ca="1">IFERROR(__xludf.DUMMYFUNCTION("""COMPUTED_VALUE"""),-0.74341730152457)</f>
        <v>-0.74341730152456997</v>
      </c>
      <c r="MX111" s="3">
        <f ca="1">IFERROR(__xludf.DUMMYFUNCTION("""COMPUTED_VALUE"""),-0.803889446237554)</f>
        <v>-0.80388944623755398</v>
      </c>
      <c r="MY111" s="3">
        <f ca="1">IFERROR(__xludf.DUMMYFUNCTION("""COMPUTED_VALUE"""),-0.854996581318047)</f>
        <v>-0.85499658131804701</v>
      </c>
      <c r="MZ111" s="3">
        <f ca="1">IFERROR(__xludf.DUMMYFUNCTION("""COMPUTED_VALUE"""),-0.871254399097882)</f>
        <v>-0.87125439909788205</v>
      </c>
      <c r="NA111" s="3">
        <f ca="1">IFERROR(__xludf.DUMMYFUNCTION("""COMPUTED_VALUE"""),-0.889845934380568)</f>
        <v>-0.88984593438056803</v>
      </c>
      <c r="NB111" s="3">
        <f ca="1">IFERROR(__xludf.DUMMYFUNCTION("""COMPUTED_VALUE"""),-0.850746376010798)</f>
        <v>-0.85074637601079806</v>
      </c>
      <c r="NC111" s="3">
        <f ca="1">IFERROR(__xludf.DUMMYFUNCTION("""COMPUTED_VALUE"""),-0.917631373079176)</f>
        <v>-0.91763137307917597</v>
      </c>
      <c r="ND111" s="3">
        <f ca="1">IFERROR(__xludf.DUMMYFUNCTION("""COMPUTED_VALUE"""),-0.915881043969857)</f>
        <v>-0.91588104396985703</v>
      </c>
      <c r="NE111" s="3">
        <f ca="1">IFERROR(__xludf.DUMMYFUNCTION("""COMPUTED_VALUE"""),-0.819533113785504)</f>
        <v>-0.81953311378550397</v>
      </c>
      <c r="NF111" s="3">
        <f ca="1">IFERROR(__xludf.DUMMYFUNCTION("""COMPUTED_VALUE"""),-0.862304705039237)</f>
        <v>-0.86230470503923695</v>
      </c>
      <c r="NG111" s="3">
        <f ca="1">IFERROR(__xludf.DUMMYFUNCTION("""COMPUTED_VALUE"""),-0.881452296256387)</f>
        <v>-0.88145229625638699</v>
      </c>
      <c r="NH111" s="3">
        <f ca="1">IFERROR(__xludf.DUMMYFUNCTION("""COMPUTED_VALUE"""),-0.881515767827901)</f>
        <v>-0.88151576782790098</v>
      </c>
      <c r="NI111" s="3">
        <f ca="1">IFERROR(__xludf.DUMMYFUNCTION("""COMPUTED_VALUE"""),-0.827055293311342)</f>
        <v>-0.82705529331134198</v>
      </c>
      <c r="NJ111" s="3">
        <f ca="1">IFERROR(__xludf.DUMMYFUNCTION("""COMPUTED_VALUE"""),-0.8083038932065)</f>
        <v>-0.80830389320649998</v>
      </c>
      <c r="NK111" s="3">
        <f ca="1">IFERROR(__xludf.DUMMYFUNCTION("""COMPUTED_VALUE"""),-0.761878336829567)</f>
        <v>-0.76187833682956696</v>
      </c>
      <c r="NL111" s="3">
        <f ca="1">IFERROR(__xludf.DUMMYFUNCTION("""COMPUTED_VALUE"""),-0.820568310430663)</f>
        <v>-0.82056831043066303</v>
      </c>
      <c r="NM111" s="3">
        <f ca="1">IFERROR(__xludf.DUMMYFUNCTION("""COMPUTED_VALUE"""),-0.866293007598094)</f>
        <v>-0.86629300759809402</v>
      </c>
      <c r="NN111" s="3">
        <f ca="1">IFERROR(__xludf.DUMMYFUNCTION("""COMPUTED_VALUE"""),-0.878760306188297)</f>
        <v>-0.87876030618829704</v>
      </c>
      <c r="NO111" s="3">
        <f ca="1">IFERROR(__xludf.DUMMYFUNCTION("""COMPUTED_VALUE"""),-0.877267281552258)</f>
        <v>-0.87726728155225797</v>
      </c>
      <c r="NP111" s="3">
        <f ca="1">IFERROR(__xludf.DUMMYFUNCTION("""COMPUTED_VALUE"""),-0.84166308710603)</f>
        <v>-0.84166308710602999</v>
      </c>
      <c r="NQ111" s="3">
        <f ca="1">IFERROR(__xludf.DUMMYFUNCTION("""COMPUTED_VALUE"""),-0.85447132754197)</f>
        <v>-0.85447132754196997</v>
      </c>
      <c r="NR111" s="3">
        <f ca="1">IFERROR(__xludf.DUMMYFUNCTION("""COMPUTED_VALUE"""),-0.75235457041254)</f>
        <v>-0.75235457041253995</v>
      </c>
      <c r="NS111" s="3">
        <f ca="1">IFERROR(__xludf.DUMMYFUNCTION("""COMPUTED_VALUE"""),-0.807733706568884)</f>
        <v>-0.80773370656888399</v>
      </c>
      <c r="NT111" s="3">
        <f ca="1">IFERROR(__xludf.DUMMYFUNCTION("""COMPUTED_VALUE"""),-0.84260062961334)</f>
        <v>-0.84260062961334004</v>
      </c>
      <c r="NU111" s="3">
        <f ca="1">IFERROR(__xludf.DUMMYFUNCTION("""COMPUTED_VALUE"""),-0.828045149971894)</f>
        <v>-0.82804514997189405</v>
      </c>
      <c r="NV111" s="3">
        <f ca="1">IFERROR(__xludf.DUMMYFUNCTION("""COMPUTED_VALUE"""),-0.816012071087982)</f>
        <v>-0.81601207108798202</v>
      </c>
      <c r="NW111" s="3">
        <f ca="1">IFERROR(__xludf.DUMMYFUNCTION("""COMPUTED_VALUE"""),-0.766832450539495)</f>
        <v>-0.766832450539495</v>
      </c>
      <c r="NX111" s="3">
        <f ca="1">IFERROR(__xludf.DUMMYFUNCTION("""COMPUTED_VALUE"""),-0.764649378496445)</f>
        <v>-0.76464937849644499</v>
      </c>
      <c r="NY111" s="3">
        <f ca="1">IFERROR(__xludf.DUMMYFUNCTION("""COMPUTED_VALUE"""),-0.609837079656796)</f>
        <v>-0.60983707965679601</v>
      </c>
      <c r="NZ111" s="3">
        <f ca="1">IFERROR(__xludf.DUMMYFUNCTION("""COMPUTED_VALUE"""),-0.622905221918373)</f>
        <v>-0.62290522191837305</v>
      </c>
      <c r="OA111" s="3">
        <f ca="1">IFERROR(__xludf.DUMMYFUNCTION("""COMPUTED_VALUE"""),-0.703925185306452)</f>
        <v>-0.70392518530645198</v>
      </c>
      <c r="OB111" s="3">
        <f ca="1">IFERROR(__xludf.DUMMYFUNCTION("""COMPUTED_VALUE"""),-0.736973751929043)</f>
        <v>-0.73697375192904302</v>
      </c>
      <c r="OC111" s="3">
        <f ca="1">IFERROR(__xludf.DUMMYFUNCTION("""COMPUTED_VALUE"""),-0.67069868728806)</f>
        <v>-0.67069868728806004</v>
      </c>
      <c r="OD111" s="3">
        <f ca="1">IFERROR(__xludf.DUMMYFUNCTION("""COMPUTED_VALUE"""),-0.685880532769154)</f>
        <v>-0.68588053276915395</v>
      </c>
      <c r="OE111" s="3">
        <f ca="1">IFERROR(__xludf.DUMMYFUNCTION("""COMPUTED_VALUE"""),-0.595767482654025)</f>
        <v>-0.59576748265402502</v>
      </c>
      <c r="OF111" s="3">
        <f ca="1">IFERROR(__xludf.DUMMYFUNCTION("""COMPUTED_VALUE"""),-0.152534400831873)</f>
        <v>-0.152534400831873</v>
      </c>
      <c r="OG111" s="3">
        <f ca="1">IFERROR(__xludf.DUMMYFUNCTION("""COMPUTED_VALUE"""),-0.132923439282278)</f>
        <v>-0.13292343928227801</v>
      </c>
      <c r="OH111" s="3">
        <f ca="1">IFERROR(__xludf.DUMMYFUNCTION("""COMPUTED_VALUE"""),-0.220500656414033)</f>
        <v>-0.22050065641403299</v>
      </c>
      <c r="OI111" s="3">
        <f ca="1">IFERROR(__xludf.DUMMYFUNCTION("""COMPUTED_VALUE"""),-0.0743215866655928)</f>
        <v>-7.4321586665592798E-2</v>
      </c>
      <c r="OJ111" s="3">
        <f ca="1">IFERROR(__xludf.DUMMYFUNCTION("""COMPUTED_VALUE"""),0.076249770048006)</f>
        <v>7.6249770048005996E-2</v>
      </c>
      <c r="OK111" s="3">
        <f ca="1">IFERROR(__xludf.DUMMYFUNCTION("""COMPUTED_VALUE"""),-0.0621378494734909)</f>
        <v>-6.2137849473490901E-2</v>
      </c>
      <c r="OL111" s="3">
        <f ca="1">IFERROR(__xludf.DUMMYFUNCTION("""COMPUTED_VALUE"""),0.0607475309299612)</f>
        <v>6.0747530929961199E-2</v>
      </c>
      <c r="OM111" s="3">
        <f ca="1">IFERROR(__xludf.DUMMYFUNCTION("""COMPUTED_VALUE"""),-0.0836621230074143)</f>
        <v>-8.3662123007414296E-2</v>
      </c>
      <c r="ON111" s="3">
        <f ca="1">IFERROR(__xludf.DUMMYFUNCTION("""COMPUTED_VALUE"""),0.0238439204741287)</f>
        <v>2.3843920474128699E-2</v>
      </c>
      <c r="OO111" s="3">
        <f ca="1">IFERROR(__xludf.DUMMYFUNCTION("""COMPUTED_VALUE"""),-0.0700905866689541)</f>
        <v>-7.0090586668954097E-2</v>
      </c>
      <c r="OP111" s="3">
        <f ca="1">IFERROR(__xludf.DUMMYFUNCTION("""COMPUTED_VALUE"""),0.0281987812535358)</f>
        <v>2.8198781253535799E-2</v>
      </c>
      <c r="OQ111" s="3">
        <f ca="1">IFERROR(__xludf.DUMMYFUNCTION("""COMPUTED_VALUE"""),-0.0623128395573113)</f>
        <v>-6.2312839557311303E-2</v>
      </c>
      <c r="OR111" s="3">
        <f ca="1">IFERROR(__xludf.DUMMYFUNCTION("""COMPUTED_VALUE"""),0.0800008166484342)</f>
        <v>8.0000816648434198E-2</v>
      </c>
      <c r="OS111" s="3">
        <f ca="1">IFERROR(__xludf.DUMMYFUNCTION("""COMPUTED_VALUE"""),0.168601048888108)</f>
        <v>0.16860104888810801</v>
      </c>
      <c r="OT111" s="3">
        <f ca="1">IFERROR(__xludf.DUMMYFUNCTION("""COMPUTED_VALUE"""),0.0915254175514752)</f>
        <v>9.1525417551475197E-2</v>
      </c>
      <c r="OU111" s="3">
        <f ca="1">IFERROR(__xludf.DUMMYFUNCTION("""COMPUTED_VALUE"""),-0.00833946037695609)</f>
        <v>-8.3394603769560895E-3</v>
      </c>
      <c r="OV111" s="3">
        <f ca="1">IFERROR(__xludf.DUMMYFUNCTION("""COMPUTED_VALUE"""),0.0402857564873473)</f>
        <v>4.02857564873473E-2</v>
      </c>
      <c r="OW111" s="3">
        <f ca="1">IFERROR(__xludf.DUMMYFUNCTION("""COMPUTED_VALUE"""),-0.038264747513183)</f>
        <v>-3.8264747513182998E-2</v>
      </c>
      <c r="OX111" s="3">
        <f ca="1">IFERROR(__xludf.DUMMYFUNCTION("""COMPUTED_VALUE"""),0.106737860934943)</f>
        <v>0.106737860934943</v>
      </c>
      <c r="OY111" s="3">
        <f ca="1">IFERROR(__xludf.DUMMYFUNCTION("""COMPUTED_VALUE"""),0.145938692795439)</f>
        <v>0.145938692795439</v>
      </c>
      <c r="OZ111" s="3">
        <f ca="1">IFERROR(__xludf.DUMMYFUNCTION("""COMPUTED_VALUE"""),0.419696809887875)</f>
        <v>0.419696809887875</v>
      </c>
      <c r="PA111" s="3">
        <f ca="1">IFERROR(__xludf.DUMMYFUNCTION("""COMPUTED_VALUE"""),-0.054052208227191)</f>
        <v>-5.4052208227191E-2</v>
      </c>
      <c r="PB111" s="3">
        <f ca="1">IFERROR(__xludf.DUMMYFUNCTION("""COMPUTED_VALUE"""),0.129149018337197)</f>
        <v>0.129149018337197</v>
      </c>
      <c r="PC111" s="3">
        <f ca="1">IFERROR(__xludf.DUMMYFUNCTION("""COMPUTED_VALUE"""),-0.150601613370176)</f>
        <v>-0.150601613370176</v>
      </c>
      <c r="PD111" s="3">
        <f ca="1">IFERROR(__xludf.DUMMYFUNCTION("""COMPUTED_VALUE"""),-0.134694383249407)</f>
        <v>-0.134694383249407</v>
      </c>
      <c r="PE111" s="3">
        <f ca="1">IFERROR(__xludf.DUMMYFUNCTION("""COMPUTED_VALUE"""),0.0587890884433641)</f>
        <v>5.8789088443364099E-2</v>
      </c>
      <c r="PF111" s="3">
        <f ca="1">IFERROR(__xludf.DUMMYFUNCTION("""COMPUTED_VALUE"""),-0.162183508795505)</f>
        <v>-0.162183508795505</v>
      </c>
      <c r="PG111" s="3">
        <f ca="1">IFERROR(__xludf.DUMMYFUNCTION("""COMPUTED_VALUE"""),-0.230770139620726)</f>
        <v>-0.23077013962072601</v>
      </c>
      <c r="PH111" s="3">
        <f ca="1">IFERROR(__xludf.DUMMYFUNCTION("""COMPUTED_VALUE"""),0.164431776623942)</f>
        <v>0.16443177662394201</v>
      </c>
      <c r="PI111" s="3">
        <f ca="1">IFERROR(__xludf.DUMMYFUNCTION("""COMPUTED_VALUE"""),-0.0145175512155956)</f>
        <v>-1.45175512155956E-2</v>
      </c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</row>
    <row r="112" spans="1:477" ht="13">
      <c r="A112" s="1" t="str">
        <f ca="1">IFERROR(__xludf.DUMMYFUNCTION("""COMPUTED_VALUE"""),"South Portland Bus Service")</f>
        <v>South Portland Bus Service</v>
      </c>
      <c r="B112" s="1" t="str">
        <f ca="1">IFERROR(__xludf.DUMMYFUNCTION("""COMPUTED_VALUE"""),"Portland")</f>
        <v>Portland</v>
      </c>
      <c r="C112" s="1" t="str">
        <f ca="1">IFERROR(__xludf.DUMMYFUNCTION("""COMPUTED_VALUE"""),"United States")</f>
        <v>United States</v>
      </c>
      <c r="D112" s="1" t="str">
        <f ca="1">IFERROR(__xludf.DUMMYFUNCTION("""COMPUTED_VALUE"""),"Maine")</f>
        <v>Maine</v>
      </c>
      <c r="E112" s="3">
        <f ca="1">IFERROR(__xludf.DUMMYFUNCTION("""COMPUTED_VALUE"""),-0.384435181901391)</f>
        <v>-0.38443518190139098</v>
      </c>
      <c r="F112" s="3">
        <f ca="1">IFERROR(__xludf.DUMMYFUNCTION("""COMPUTED_VALUE"""),-0.572142632063414)</f>
        <v>-0.57214263206341398</v>
      </c>
      <c r="G112" s="3">
        <f ca="1">IFERROR(__xludf.DUMMYFUNCTION("""COMPUTED_VALUE"""),-0.607510419579555)</f>
        <v>-0.60751041957955498</v>
      </c>
      <c r="H112" s="3">
        <f ca="1">IFERROR(__xludf.DUMMYFUNCTION("""COMPUTED_VALUE"""),-0.684004730384356)</f>
        <v>-0.68400473038435605</v>
      </c>
      <c r="I112" s="3">
        <f ca="1">IFERROR(__xludf.DUMMYFUNCTION("""COMPUTED_VALUE"""),-0.507151619290195)</f>
        <v>-0.50715161929019503</v>
      </c>
      <c r="J112" s="3">
        <f ca="1">IFERROR(__xludf.DUMMYFUNCTION("""COMPUTED_VALUE"""),-0.568678087548844)</f>
        <v>-0.56867808754884397</v>
      </c>
      <c r="K112" s="3">
        <f ca="1">IFERROR(__xludf.DUMMYFUNCTION("""COMPUTED_VALUE"""),-0.874004274941368)</f>
        <v>-0.87400427494136801</v>
      </c>
      <c r="L112" s="3">
        <f ca="1">IFERROR(__xludf.DUMMYFUNCTION("""COMPUTED_VALUE"""),-0.557297914492644)</f>
        <v>-0.55729791449264399</v>
      </c>
      <c r="M112" s="3">
        <f ca="1">IFERROR(__xludf.DUMMYFUNCTION("""COMPUTED_VALUE"""),-0.583978123083309)</f>
        <v>-0.58397812308330899</v>
      </c>
      <c r="N112" s="3">
        <f ca="1">IFERROR(__xludf.DUMMYFUNCTION("""COMPUTED_VALUE"""),-0.700855543669567)</f>
        <v>-0.70085554366956704</v>
      </c>
      <c r="O112" s="3">
        <f ca="1">IFERROR(__xludf.DUMMYFUNCTION("""COMPUTED_VALUE"""),-0.693667710257364)</f>
        <v>-0.69366771025736396</v>
      </c>
      <c r="P112" s="3">
        <f ca="1">IFERROR(__xludf.DUMMYFUNCTION("""COMPUTED_VALUE"""),-0.643962829359317)</f>
        <v>-0.64396282935931703</v>
      </c>
      <c r="Q112" s="3">
        <f ca="1">IFERROR(__xludf.DUMMYFUNCTION("""COMPUTED_VALUE"""),-0.662664346335434)</f>
        <v>-0.66266434633543403</v>
      </c>
      <c r="R112" s="3">
        <f ca="1">IFERROR(__xludf.DUMMYFUNCTION("""COMPUTED_VALUE"""),-0.599299244599564)</f>
        <v>-0.59929924459956396</v>
      </c>
      <c r="S112" s="3">
        <f ca="1">IFERROR(__xludf.DUMMYFUNCTION("""COMPUTED_VALUE"""),-0.608260532454501)</f>
        <v>-0.60826053245450096</v>
      </c>
      <c r="T112" s="3">
        <f ca="1">IFERROR(__xludf.DUMMYFUNCTION("""COMPUTED_VALUE"""),-0.666649864005)</f>
        <v>-0.66664986400500004</v>
      </c>
      <c r="U112" s="3">
        <f ca="1">IFERROR(__xludf.DUMMYFUNCTION("""COMPUTED_VALUE"""),-0.665716069935711)</f>
        <v>-0.66571606993571097</v>
      </c>
      <c r="V112" s="3">
        <f ca="1">IFERROR(__xludf.DUMMYFUNCTION("""COMPUTED_VALUE"""),-0.62694295478362)</f>
        <v>-0.62694295478362005</v>
      </c>
      <c r="W112" s="3">
        <f ca="1">IFERROR(__xludf.DUMMYFUNCTION("""COMPUTED_VALUE"""),-0.608283568842917)</f>
        <v>-0.60828356884291701</v>
      </c>
      <c r="X112" s="3">
        <f ca="1">IFERROR(__xludf.DUMMYFUNCTION("""COMPUTED_VALUE"""),-0.596436945597388)</f>
        <v>-0.59643694559738802</v>
      </c>
      <c r="Y112" s="3">
        <f ca="1">IFERROR(__xludf.DUMMYFUNCTION("""COMPUTED_VALUE"""),-0.424888756487472)</f>
        <v>-0.42488875648747199</v>
      </c>
      <c r="Z112" s="3">
        <f ca="1">IFERROR(__xludf.DUMMYFUNCTION("""COMPUTED_VALUE"""),-0.444804830582332)</f>
        <v>-0.444804830582332</v>
      </c>
      <c r="AA112" s="3">
        <f ca="1">IFERROR(__xludf.DUMMYFUNCTION("""COMPUTED_VALUE"""),-0.604700256566984)</f>
        <v>-0.60470025656698401</v>
      </c>
      <c r="AB112" s="3">
        <f ca="1">IFERROR(__xludf.DUMMYFUNCTION("""COMPUTED_VALUE"""),-0.662906795383165)</f>
        <v>-0.66290679538316499</v>
      </c>
      <c r="AC112" s="3">
        <f ca="1">IFERROR(__xludf.DUMMYFUNCTION("""COMPUTED_VALUE"""),-0.647785881346574)</f>
        <v>-0.647785881346574</v>
      </c>
      <c r="AD112" s="3">
        <f ca="1">IFERROR(__xludf.DUMMYFUNCTION("""COMPUTED_VALUE"""),-0.619354552073753)</f>
        <v>-0.61935455207375301</v>
      </c>
      <c r="AE112" s="3">
        <f ca="1">IFERROR(__xludf.DUMMYFUNCTION("""COMPUTED_VALUE"""),-0.642485110967911)</f>
        <v>-0.64248511096791106</v>
      </c>
      <c r="AF112" s="3">
        <f ca="1">IFERROR(__xludf.DUMMYFUNCTION("""COMPUTED_VALUE"""),-0.546157581778009)</f>
        <v>-0.54615758177800899</v>
      </c>
      <c r="AG112" s="3">
        <f ca="1">IFERROR(__xludf.DUMMYFUNCTION("""COMPUTED_VALUE"""),-0.533630942700212)</f>
        <v>-0.53363094270021205</v>
      </c>
      <c r="AH112" s="3">
        <f ca="1">IFERROR(__xludf.DUMMYFUNCTION("""COMPUTED_VALUE"""),-0.5861761393983)</f>
        <v>-0.58617613939830004</v>
      </c>
      <c r="AI112" s="3">
        <f ca="1">IFERROR(__xludf.DUMMYFUNCTION("""COMPUTED_VALUE"""),-0.609440167373622)</f>
        <v>-0.60944016737362205</v>
      </c>
      <c r="AJ112" s="3">
        <f ca="1">IFERROR(__xludf.DUMMYFUNCTION("""COMPUTED_VALUE"""),-0.724128374091357)</f>
        <v>-0.724128374091357</v>
      </c>
      <c r="AK112" s="3">
        <f ca="1">IFERROR(__xludf.DUMMYFUNCTION("""COMPUTED_VALUE"""),-0.625216390499933)</f>
        <v>-0.62521639049993305</v>
      </c>
      <c r="AL112" s="3">
        <f ca="1">IFERROR(__xludf.DUMMYFUNCTION("""COMPUTED_VALUE"""),-0.591117499207648)</f>
        <v>-0.591117499207648</v>
      </c>
      <c r="AM112" s="3">
        <f ca="1">IFERROR(__xludf.DUMMYFUNCTION("""COMPUTED_VALUE"""),-0.454759478263016)</f>
        <v>-0.45475947826301599</v>
      </c>
      <c r="AN112" s="3">
        <f ca="1">IFERROR(__xludf.DUMMYFUNCTION("""COMPUTED_VALUE"""),-0.488868970042982)</f>
        <v>-0.48886897004298202</v>
      </c>
      <c r="AO112" s="3">
        <f ca="1">IFERROR(__xludf.DUMMYFUNCTION("""COMPUTED_VALUE"""),-0.663112303184841)</f>
        <v>-0.66311230318484105</v>
      </c>
      <c r="AP112" s="3">
        <f ca="1">IFERROR(__xludf.DUMMYFUNCTION("""COMPUTED_VALUE"""),-0.60655650708178)</f>
        <v>-0.60655650708177999</v>
      </c>
      <c r="AQ112" s="3">
        <f ca="1">IFERROR(__xludf.DUMMYFUNCTION("""COMPUTED_VALUE"""),-0.713273350477462)</f>
        <v>-0.71327335047746199</v>
      </c>
      <c r="AR112" s="3">
        <f ca="1">IFERROR(__xludf.DUMMYFUNCTION("""COMPUTED_VALUE"""),-0.696705630673832)</f>
        <v>-0.69670563067383195</v>
      </c>
      <c r="AS112" s="3">
        <f ca="1">IFERROR(__xludf.DUMMYFUNCTION("""COMPUTED_VALUE"""),-0.559393557491098)</f>
        <v>-0.55939355749109798</v>
      </c>
      <c r="AT112" s="3">
        <f ca="1">IFERROR(__xludf.DUMMYFUNCTION("""COMPUTED_VALUE"""),-0.400668340418413)</f>
        <v>-0.40066834041841298</v>
      </c>
      <c r="AU112" s="3">
        <f ca="1">IFERROR(__xludf.DUMMYFUNCTION("""COMPUTED_VALUE"""),-0.536899159665349)</f>
        <v>-0.53689915966534896</v>
      </c>
      <c r="AV112" s="3">
        <f ca="1">IFERROR(__xludf.DUMMYFUNCTION("""COMPUTED_VALUE"""),-0.614797132929073)</f>
        <v>-0.61479713292907301</v>
      </c>
      <c r="AW112" s="3">
        <f ca="1">IFERROR(__xludf.DUMMYFUNCTION("""COMPUTED_VALUE"""),-0.670901250140819)</f>
        <v>-0.67090125014081903</v>
      </c>
      <c r="AX112" s="3">
        <f ca="1">IFERROR(__xludf.DUMMYFUNCTION("""COMPUTED_VALUE"""),-0.705634482795371)</f>
        <v>-0.705634482795371</v>
      </c>
      <c r="AY112" s="3">
        <f ca="1">IFERROR(__xludf.DUMMYFUNCTION("""COMPUTED_VALUE"""),-0.616793222094955)</f>
        <v>-0.61679322209495502</v>
      </c>
      <c r="AZ112" s="3">
        <f ca="1">IFERROR(__xludf.DUMMYFUNCTION("""COMPUTED_VALUE"""),-0.588763762392724)</f>
        <v>-0.58876376239272399</v>
      </c>
      <c r="BA112" s="3">
        <f ca="1">IFERROR(__xludf.DUMMYFUNCTION("""COMPUTED_VALUE"""),-0.562372247812506)</f>
        <v>-0.56237224781250605</v>
      </c>
      <c r="BB112" s="3">
        <f ca="1">IFERROR(__xludf.DUMMYFUNCTION("""COMPUTED_VALUE"""),-0.57127128528996)</f>
        <v>-0.57127128528995996</v>
      </c>
      <c r="BC112" s="3">
        <f ca="1">IFERROR(__xludf.DUMMYFUNCTION("""COMPUTED_VALUE"""),-0.732522075153337)</f>
        <v>-0.732522075153337</v>
      </c>
      <c r="BD112" s="3">
        <f ca="1">IFERROR(__xludf.DUMMYFUNCTION("""COMPUTED_VALUE"""),-0.711528681782095)</f>
        <v>-0.71152868178209505</v>
      </c>
      <c r="BE112" s="3">
        <f ca="1">IFERROR(__xludf.DUMMYFUNCTION("""COMPUTED_VALUE"""),-0.718346849270586)</f>
        <v>-0.71834684927058601</v>
      </c>
      <c r="BF112" s="3">
        <f ca="1">IFERROR(__xludf.DUMMYFUNCTION("""COMPUTED_VALUE"""),-0.764475410388261)</f>
        <v>-0.76447541038826095</v>
      </c>
      <c r="BG112" s="3">
        <f ca="1">IFERROR(__xludf.DUMMYFUNCTION("""COMPUTED_VALUE"""),-0.702329449019863)</f>
        <v>-0.70232944901986305</v>
      </c>
      <c r="BH112" s="3">
        <f ca="1">IFERROR(__xludf.DUMMYFUNCTION("""COMPUTED_VALUE"""),-0.593255865863004)</f>
        <v>-0.59325586586300405</v>
      </c>
      <c r="BI112" s="3">
        <f ca="1">IFERROR(__xludf.DUMMYFUNCTION("""COMPUTED_VALUE"""),-0.552343116315097)</f>
        <v>-0.55234311631509703</v>
      </c>
      <c r="BJ112" s="3">
        <f ca="1">IFERROR(__xludf.DUMMYFUNCTION("""COMPUTED_VALUE"""),-0.578643925832553)</f>
        <v>-0.57864392583255297</v>
      </c>
      <c r="BK112" s="3">
        <f ca="1">IFERROR(__xludf.DUMMYFUNCTION("""COMPUTED_VALUE"""),-0.624754165577877)</f>
        <v>-0.624754165577877</v>
      </c>
      <c r="BL112" s="3">
        <f ca="1">IFERROR(__xludf.DUMMYFUNCTION("""COMPUTED_VALUE"""),-0.715612463578048)</f>
        <v>-0.71561246357804797</v>
      </c>
      <c r="BM112" s="3">
        <f ca="1">IFERROR(__xludf.DUMMYFUNCTION("""COMPUTED_VALUE"""),-0.657291561501128)</f>
        <v>-0.657291561501128</v>
      </c>
      <c r="BN112" s="3">
        <f ca="1">IFERROR(__xludf.DUMMYFUNCTION("""COMPUTED_VALUE"""),-0.604343152787868)</f>
        <v>-0.60434315278786799</v>
      </c>
      <c r="BO112" s="3">
        <f ca="1">IFERROR(__xludf.DUMMYFUNCTION("""COMPUTED_VALUE"""),-0.588638781370551)</f>
        <v>-0.58863878137055103</v>
      </c>
      <c r="BP112" s="3">
        <f ca="1">IFERROR(__xludf.DUMMYFUNCTION("""COMPUTED_VALUE"""),-0.473779576967686)</f>
        <v>-0.47377957696768602</v>
      </c>
      <c r="BQ112" s="3">
        <f ca="1">IFERROR(__xludf.DUMMYFUNCTION("""COMPUTED_VALUE"""),-0.568440808830764)</f>
        <v>-0.56844080883076398</v>
      </c>
      <c r="BR112" s="3">
        <f ca="1">IFERROR(__xludf.DUMMYFUNCTION("""COMPUTED_VALUE"""),-0.664291467316928)</f>
        <v>-0.66429146731692801</v>
      </c>
      <c r="BS112" s="3">
        <f ca="1">IFERROR(__xludf.DUMMYFUNCTION("""COMPUTED_VALUE"""),-0.689239305756114)</f>
        <v>-0.68923930575611403</v>
      </c>
      <c r="BT112" s="3">
        <f ca="1">IFERROR(__xludf.DUMMYFUNCTION("""COMPUTED_VALUE"""),-0.822932488054711)</f>
        <v>-0.82293248805471098</v>
      </c>
      <c r="BU112" s="3">
        <f ca="1">IFERROR(__xludf.DUMMYFUNCTION("""COMPUTED_VALUE"""),-0.662199604107351)</f>
        <v>-0.66219960410735101</v>
      </c>
      <c r="BV112" s="3">
        <f ca="1">IFERROR(__xludf.DUMMYFUNCTION("""COMPUTED_VALUE"""),-0.582381706953953)</f>
        <v>-0.58238170695395297</v>
      </c>
      <c r="BW112" s="3">
        <f ca="1">IFERROR(__xludf.DUMMYFUNCTION("""COMPUTED_VALUE"""),-0.620055132085351)</f>
        <v>-0.62005513208535101</v>
      </c>
      <c r="BX112" s="3">
        <f ca="1">IFERROR(__xludf.DUMMYFUNCTION("""COMPUTED_VALUE"""),-0.677323761839073)</f>
        <v>-0.67732376183907295</v>
      </c>
      <c r="BY112" s="3">
        <f ca="1">IFERROR(__xludf.DUMMYFUNCTION("""COMPUTED_VALUE"""),-0.703833229706921)</f>
        <v>-0.70383322970692097</v>
      </c>
      <c r="BZ112" s="3">
        <f ca="1">IFERROR(__xludf.DUMMYFUNCTION("""COMPUTED_VALUE"""),-0.777384384513633)</f>
        <v>-0.77738438451363301</v>
      </c>
      <c r="CA112" s="3">
        <f ca="1">IFERROR(__xludf.DUMMYFUNCTION("""COMPUTED_VALUE"""),-0.678392642467176)</f>
        <v>-0.67839264246717601</v>
      </c>
      <c r="CB112" s="3">
        <f ca="1">IFERROR(__xludf.DUMMYFUNCTION("""COMPUTED_VALUE"""),-0.550792286744898)</f>
        <v>-0.550792286744898</v>
      </c>
      <c r="CC112" s="3">
        <f ca="1">IFERROR(__xludf.DUMMYFUNCTION("""COMPUTED_VALUE"""),-0.553201065206913)</f>
        <v>-0.55320106520691303</v>
      </c>
      <c r="CD112" s="3">
        <f ca="1">IFERROR(__xludf.DUMMYFUNCTION("""COMPUTED_VALUE"""),-0.548661934708099)</f>
        <v>-0.54866193470809899</v>
      </c>
      <c r="CE112" s="3">
        <f ca="1">IFERROR(__xludf.DUMMYFUNCTION("""COMPUTED_VALUE"""),-0.682629009433224)</f>
        <v>-0.68262900943322402</v>
      </c>
      <c r="CF112" s="3">
        <f ca="1">IFERROR(__xludf.DUMMYFUNCTION("""COMPUTED_VALUE"""),-0.65357304444119)</f>
        <v>-0.65357304444119002</v>
      </c>
      <c r="CG112" s="3">
        <f ca="1">IFERROR(__xludf.DUMMYFUNCTION("""COMPUTED_VALUE"""),-0.780591338961154)</f>
        <v>-0.78059133896115396</v>
      </c>
      <c r="CH112" s="3">
        <f ca="1">IFERROR(__xludf.DUMMYFUNCTION("""COMPUTED_VALUE"""),-0.694800625456106)</f>
        <v>-0.69480062545610599</v>
      </c>
      <c r="CI112" s="3">
        <f ca="1">IFERROR(__xludf.DUMMYFUNCTION("""COMPUTED_VALUE"""),-0.681397472294098)</f>
        <v>-0.68139747229409797</v>
      </c>
      <c r="CJ112" s="3">
        <f ca="1">IFERROR(__xludf.DUMMYFUNCTION("""COMPUTED_VALUE"""),-0.50005438602581)</f>
        <v>-0.50005438602580998</v>
      </c>
      <c r="CK112" s="3">
        <f ca="1">IFERROR(__xludf.DUMMYFUNCTION("""COMPUTED_VALUE"""),-0.709148648775535)</f>
        <v>-0.70914864877553496</v>
      </c>
      <c r="CL112" s="3">
        <f ca="1">IFERROR(__xludf.DUMMYFUNCTION("""COMPUTED_VALUE"""),-0.670391983324214)</f>
        <v>-0.67039198332421401</v>
      </c>
      <c r="CM112" s="3">
        <f ca="1">IFERROR(__xludf.DUMMYFUNCTION("""COMPUTED_VALUE"""),-0.589746241658126)</f>
        <v>-0.58974624165812595</v>
      </c>
      <c r="CN112" s="3">
        <f ca="1">IFERROR(__xludf.DUMMYFUNCTION("""COMPUTED_VALUE"""),-0.781594312756605)</f>
        <v>-0.78159431275660496</v>
      </c>
      <c r="CO112" s="3">
        <f ca="1">IFERROR(__xludf.DUMMYFUNCTION("""COMPUTED_VALUE"""),-0.755397904318896)</f>
        <v>-0.75539790431889597</v>
      </c>
      <c r="CP112" s="3">
        <f ca="1">IFERROR(__xludf.DUMMYFUNCTION("""COMPUTED_VALUE"""),-0.600291669958256)</f>
        <v>-0.600291669958256</v>
      </c>
      <c r="CQ112" s="3">
        <f ca="1">IFERROR(__xludf.DUMMYFUNCTION("""COMPUTED_VALUE"""),-0.422426811049124)</f>
        <v>-0.422426811049124</v>
      </c>
      <c r="CR112" s="3">
        <f ca="1">IFERROR(__xludf.DUMMYFUNCTION("""COMPUTED_VALUE"""),-0.604791739147019)</f>
        <v>-0.604791739147019</v>
      </c>
      <c r="CS112" s="3">
        <f ca="1">IFERROR(__xludf.DUMMYFUNCTION("""COMPUTED_VALUE"""),-0.661992656884823)</f>
        <v>-0.66199265688482301</v>
      </c>
      <c r="CT112" s="3">
        <f ca="1">IFERROR(__xludf.DUMMYFUNCTION("""COMPUTED_VALUE"""),-0.56698953295089)</f>
        <v>-0.56698953295089005</v>
      </c>
      <c r="CU112" s="3">
        <f ca="1">IFERROR(__xludf.DUMMYFUNCTION("""COMPUTED_VALUE"""),-0.573673052716956)</f>
        <v>-0.57367305271695601</v>
      </c>
      <c r="CV112" s="3">
        <f ca="1">IFERROR(__xludf.DUMMYFUNCTION("""COMPUTED_VALUE"""),-0.622682857797568)</f>
        <v>-0.62268285779756805</v>
      </c>
      <c r="CW112" s="3">
        <f ca="1">IFERROR(__xludf.DUMMYFUNCTION("""COMPUTED_VALUE"""),-0.518943084026074)</f>
        <v>-0.51894308402607403</v>
      </c>
      <c r="CX112" s="3">
        <f ca="1">IFERROR(__xludf.DUMMYFUNCTION("""COMPUTED_VALUE"""),-0.57245319645678)</f>
        <v>-0.57245319645677994</v>
      </c>
      <c r="CY112" s="3">
        <f ca="1">IFERROR(__xludf.DUMMYFUNCTION("""COMPUTED_VALUE"""),-0.658131718955937)</f>
        <v>-0.65813171895593703</v>
      </c>
      <c r="CZ112" s="3">
        <f ca="1">IFERROR(__xludf.DUMMYFUNCTION("""COMPUTED_VALUE"""),-0.956260623656711)</f>
        <v>-0.95626062365671105</v>
      </c>
      <c r="DA112" s="3">
        <f ca="1">IFERROR(__xludf.DUMMYFUNCTION("""COMPUTED_VALUE"""),-0.556300957481416)</f>
        <v>-0.55630095748141595</v>
      </c>
      <c r="DB112" s="3">
        <f ca="1">IFERROR(__xludf.DUMMYFUNCTION("""COMPUTED_VALUE"""),-0.167989780243736)</f>
        <v>-0.16798978024373601</v>
      </c>
      <c r="DC112" s="3">
        <f ca="1">IFERROR(__xludf.DUMMYFUNCTION("""COMPUTED_VALUE"""),-0.56168721461406)</f>
        <v>-0.56168721461406002</v>
      </c>
      <c r="DD112" s="3">
        <f ca="1">IFERROR(__xludf.DUMMYFUNCTION("""COMPUTED_VALUE"""),-0.525142100260229)</f>
        <v>-0.52514210026022901</v>
      </c>
      <c r="DE112" s="3">
        <f ca="1">IFERROR(__xludf.DUMMYFUNCTION("""COMPUTED_VALUE"""),-0.647321188374019)</f>
        <v>-0.64732118837401897</v>
      </c>
      <c r="DF112" s="3">
        <f ca="1">IFERROR(__xludf.DUMMYFUNCTION("""COMPUTED_VALUE"""),-0.693207843098819)</f>
        <v>-0.693207843098819</v>
      </c>
      <c r="DG112" s="3">
        <f ca="1">IFERROR(__xludf.DUMMYFUNCTION("""COMPUTED_VALUE"""),-0.973554303334099)</f>
        <v>-0.97355430333409898</v>
      </c>
      <c r="DH112" s="3">
        <f ca="1">IFERROR(__xludf.DUMMYFUNCTION("""COMPUTED_VALUE"""),-0.593685317271818)</f>
        <v>-0.59368531727181795</v>
      </c>
      <c r="DI112" s="3">
        <f ca="1">IFERROR(__xludf.DUMMYFUNCTION("""COMPUTED_VALUE"""),-0.110996259428963)</f>
        <v>-0.110996259428963</v>
      </c>
      <c r="DJ112" s="3">
        <f ca="1">IFERROR(__xludf.DUMMYFUNCTION("""COMPUTED_VALUE"""),-0.410530230455672)</f>
        <v>-0.410530230455672</v>
      </c>
      <c r="DK112" s="3">
        <f ca="1">IFERROR(__xludf.DUMMYFUNCTION("""COMPUTED_VALUE"""),-0.49797595695155)</f>
        <v>-0.49797595695155</v>
      </c>
      <c r="DL112" s="3">
        <f ca="1">IFERROR(__xludf.DUMMYFUNCTION("""COMPUTED_VALUE"""),-0.604110471673714)</f>
        <v>-0.60411047167371401</v>
      </c>
      <c r="DM112" s="3">
        <f ca="1">IFERROR(__xludf.DUMMYFUNCTION("""COMPUTED_VALUE"""),-0.538247596373923)</f>
        <v>-0.53824759637392305</v>
      </c>
      <c r="DN112" s="3">
        <f ca="1">IFERROR(__xludf.DUMMYFUNCTION("""COMPUTED_VALUE"""),-0.668713440187377)</f>
        <v>-0.668713440187377</v>
      </c>
      <c r="DO112" s="3">
        <f ca="1">IFERROR(__xludf.DUMMYFUNCTION("""COMPUTED_VALUE"""),-0.731745146119168)</f>
        <v>-0.73174514611916797</v>
      </c>
      <c r="DP112" s="3">
        <f ca="1">IFERROR(__xludf.DUMMYFUNCTION("""COMPUTED_VALUE"""),-0.61477237342143)</f>
        <v>-0.61477237342142999</v>
      </c>
      <c r="DQ112" s="3">
        <f ca="1">IFERROR(__xludf.DUMMYFUNCTION("""COMPUTED_VALUE"""),-0.689750329584728)</f>
        <v>-0.68975032958472804</v>
      </c>
      <c r="DR112" s="3">
        <f ca="1">IFERROR(__xludf.DUMMYFUNCTION("""COMPUTED_VALUE"""),-0.651965982015272)</f>
        <v>-0.65196598201527201</v>
      </c>
      <c r="DS112" s="3">
        <f ca="1">IFERROR(__xludf.DUMMYFUNCTION("""COMPUTED_VALUE"""),-0.65872965476928)</f>
        <v>-0.65872965476928003</v>
      </c>
      <c r="DT112" s="3">
        <f ca="1">IFERROR(__xludf.DUMMYFUNCTION("""COMPUTED_VALUE"""),-0.657535325865669)</f>
        <v>-0.65753532586566898</v>
      </c>
      <c r="DU112" s="3">
        <f ca="1">IFERROR(__xludf.DUMMYFUNCTION("""COMPUTED_VALUE"""),-0.727048101662381)</f>
        <v>-0.72704810166238099</v>
      </c>
      <c r="DV112" s="3">
        <f ca="1">IFERROR(__xludf.DUMMYFUNCTION("""COMPUTED_VALUE"""),-0.727535145647855)</f>
        <v>-0.72753514564785504</v>
      </c>
      <c r="DW112" s="3">
        <f ca="1">IFERROR(__xludf.DUMMYFUNCTION("""COMPUTED_VALUE"""),-0.726927368219353)</f>
        <v>-0.726927368219353</v>
      </c>
      <c r="DX112" s="3">
        <f ca="1">IFERROR(__xludf.DUMMYFUNCTION("""COMPUTED_VALUE"""),-0.617681858938266)</f>
        <v>-0.61768185893826599</v>
      </c>
      <c r="DY112" s="3">
        <f ca="1">IFERROR(__xludf.DUMMYFUNCTION("""COMPUTED_VALUE"""),-0.608184422157299)</f>
        <v>-0.60818442215729895</v>
      </c>
      <c r="DZ112" s="3">
        <f ca="1">IFERROR(__xludf.DUMMYFUNCTION("""COMPUTED_VALUE"""),-0.646508098129389)</f>
        <v>-0.64650809812938903</v>
      </c>
      <c r="EA112" s="3">
        <f ca="1">IFERROR(__xludf.DUMMYFUNCTION("""COMPUTED_VALUE"""),-0.687142273970255)</f>
        <v>-0.68714227397025496</v>
      </c>
      <c r="EB112" s="3">
        <f ca="1">IFERROR(__xludf.DUMMYFUNCTION("""COMPUTED_VALUE"""),-0.58651244543943)</f>
        <v>-0.58651244543943004</v>
      </c>
      <c r="EC112" s="3">
        <f ca="1">IFERROR(__xludf.DUMMYFUNCTION("""COMPUTED_VALUE"""),-0.533444542727344)</f>
        <v>-0.53344454272734398</v>
      </c>
      <c r="ED112" s="3">
        <f ca="1">IFERROR(__xludf.DUMMYFUNCTION("""COMPUTED_VALUE"""),-0.706460986285041)</f>
        <v>-0.70646098628504095</v>
      </c>
      <c r="EE112" s="3">
        <f ca="1">IFERROR(__xludf.DUMMYFUNCTION("""COMPUTED_VALUE"""),-0.590421585935942)</f>
        <v>-0.59042158593594196</v>
      </c>
      <c r="EF112" s="3">
        <f ca="1">IFERROR(__xludf.DUMMYFUNCTION("""COMPUTED_VALUE"""),-0.626210173109083)</f>
        <v>-0.626210173109083</v>
      </c>
      <c r="EG112" s="3">
        <f ca="1">IFERROR(__xludf.DUMMYFUNCTION("""COMPUTED_VALUE"""),-0.606262826523521)</f>
        <v>-0.60626282652352104</v>
      </c>
      <c r="EH112" s="3">
        <f ca="1">IFERROR(__xludf.DUMMYFUNCTION("""COMPUTED_VALUE"""),-0.555948187710663)</f>
        <v>-0.55594818771066301</v>
      </c>
      <c r="EI112" s="3">
        <f ca="1">IFERROR(__xludf.DUMMYFUNCTION("""COMPUTED_VALUE"""),-0.672949978513828)</f>
        <v>-0.67294997851382798</v>
      </c>
      <c r="EJ112" s="3">
        <f ca="1">IFERROR(__xludf.DUMMYFUNCTION("""COMPUTED_VALUE"""),-0.936830654434728)</f>
        <v>-0.93683065443472802</v>
      </c>
      <c r="EK112" s="3">
        <f ca="1">IFERROR(__xludf.DUMMYFUNCTION("""COMPUTED_VALUE"""),-0.706987339249539)</f>
        <v>-0.70698733924953905</v>
      </c>
      <c r="EL112" s="3">
        <f ca="1">IFERROR(__xludf.DUMMYFUNCTION("""COMPUTED_VALUE"""),-0.532510879250286)</f>
        <v>-0.53251087925028595</v>
      </c>
      <c r="EM112" s="3">
        <f ca="1">IFERROR(__xludf.DUMMYFUNCTION("""COMPUTED_VALUE"""),-0.656007436891969)</f>
        <v>-0.65600743689196905</v>
      </c>
      <c r="EN112" s="3">
        <f ca="1">IFERROR(__xludf.DUMMYFUNCTION("""COMPUTED_VALUE"""),-0.430888210045138)</f>
        <v>-0.430888210045138</v>
      </c>
      <c r="EO112" s="3">
        <f ca="1">IFERROR(__xludf.DUMMYFUNCTION("""COMPUTED_VALUE"""),-0.494372885033026)</f>
        <v>-0.49437288503302601</v>
      </c>
      <c r="EP112" s="3">
        <f ca="1">IFERROR(__xludf.DUMMYFUNCTION("""COMPUTED_VALUE"""),-0.602528546087445)</f>
        <v>-0.60252854608744499</v>
      </c>
      <c r="EQ112" s="3">
        <f ca="1">IFERROR(__xludf.DUMMYFUNCTION("""COMPUTED_VALUE"""),-0.51791086719058)</f>
        <v>-0.51791086719057999</v>
      </c>
      <c r="ER112" s="3">
        <f ca="1">IFERROR(__xludf.DUMMYFUNCTION("""COMPUTED_VALUE"""),-0.638062414811965)</f>
        <v>-0.63806241481196502</v>
      </c>
      <c r="ES112" s="3">
        <f ca="1">IFERROR(__xludf.DUMMYFUNCTION("""COMPUTED_VALUE"""),-0.560775012566836)</f>
        <v>-0.56077501256683604</v>
      </c>
      <c r="ET112" s="3">
        <f ca="1">IFERROR(__xludf.DUMMYFUNCTION("""COMPUTED_VALUE"""),-0.513629470742697)</f>
        <v>-0.51362947074269705</v>
      </c>
      <c r="EU112" s="3">
        <f ca="1">IFERROR(__xludf.DUMMYFUNCTION("""COMPUTED_VALUE"""),-0.601358678329174)</f>
        <v>-0.601358678329174</v>
      </c>
      <c r="EV112" s="3">
        <f ca="1">IFERROR(__xludf.DUMMYFUNCTION("""COMPUTED_VALUE"""),-0.479914676236632)</f>
        <v>-0.47991467623663198</v>
      </c>
      <c r="EW112" s="3">
        <f ca="1">IFERROR(__xludf.DUMMYFUNCTION("""COMPUTED_VALUE"""),-0.699493095073681)</f>
        <v>-0.69949309507368096</v>
      </c>
      <c r="EX112" s="3">
        <f ca="1">IFERROR(__xludf.DUMMYFUNCTION("""COMPUTED_VALUE"""),-0.657903907438031)</f>
        <v>-0.65790390743803095</v>
      </c>
      <c r="EY112" s="3">
        <f ca="1">IFERROR(__xludf.DUMMYFUNCTION("""COMPUTED_VALUE"""),-0.705013681135652)</f>
        <v>-0.70501368113565199</v>
      </c>
      <c r="EZ112" s="3">
        <f ca="1">IFERROR(__xludf.DUMMYFUNCTION("""COMPUTED_VALUE"""),-0.464077213924148)</f>
        <v>-0.46407721392414802</v>
      </c>
      <c r="FA112" s="3">
        <f ca="1">IFERROR(__xludf.DUMMYFUNCTION("""COMPUTED_VALUE"""),-0.466661314476164)</f>
        <v>-0.46666131447616399</v>
      </c>
      <c r="FB112" s="3">
        <f ca="1">IFERROR(__xludf.DUMMYFUNCTION("""COMPUTED_VALUE"""),-0.413083320971732)</f>
        <v>-0.413083320971732</v>
      </c>
      <c r="FC112" s="3">
        <f ca="1">IFERROR(__xludf.DUMMYFUNCTION("""COMPUTED_VALUE"""),-0.348770359652326)</f>
        <v>-0.348770359652326</v>
      </c>
      <c r="FD112" s="3">
        <f ca="1">IFERROR(__xludf.DUMMYFUNCTION("""COMPUTED_VALUE"""),-0.676241239531486)</f>
        <v>-0.67624123953148596</v>
      </c>
      <c r="FE112" s="3">
        <f ca="1">IFERROR(__xludf.DUMMYFUNCTION("""COMPUTED_VALUE"""),-0.6365323658664)</f>
        <v>-0.63653236586640005</v>
      </c>
      <c r="FF112" s="3">
        <f ca="1">IFERROR(__xludf.DUMMYFUNCTION("""COMPUTED_VALUE"""),-0.625576581904843)</f>
        <v>-0.625576581904843</v>
      </c>
      <c r="FG112" s="3">
        <f ca="1">IFERROR(__xludf.DUMMYFUNCTION("""COMPUTED_VALUE"""),-0.501709663236849)</f>
        <v>-0.50170966323684896</v>
      </c>
      <c r="FH112" s="3">
        <f ca="1">IFERROR(__xludf.DUMMYFUNCTION("""COMPUTED_VALUE"""),-0.490340559632908)</f>
        <v>-0.49034055963290801</v>
      </c>
      <c r="FI112" s="3">
        <f ca="1">IFERROR(__xludf.DUMMYFUNCTION("""COMPUTED_VALUE"""),-0.424669603594506)</f>
        <v>-0.42466960359450601</v>
      </c>
      <c r="FJ112" s="3">
        <f ca="1">IFERROR(__xludf.DUMMYFUNCTION("""COMPUTED_VALUE"""),-0.449584632446815)</f>
        <v>-0.44958463244681501</v>
      </c>
      <c r="FK112" s="3">
        <f ca="1">IFERROR(__xludf.DUMMYFUNCTION("""COMPUTED_VALUE"""),-0.690945924587658)</f>
        <v>-0.69094592458765802</v>
      </c>
      <c r="FL112" s="3">
        <f ca="1">IFERROR(__xludf.DUMMYFUNCTION("""COMPUTED_VALUE"""),-0.578244049490987)</f>
        <v>-0.57824404949098696</v>
      </c>
      <c r="FM112" s="3">
        <f ca="1">IFERROR(__xludf.DUMMYFUNCTION("""COMPUTED_VALUE"""),-0.703017444106297)</f>
        <v>-0.70301744410629696</v>
      </c>
      <c r="FN112" s="3">
        <f ca="1">IFERROR(__xludf.DUMMYFUNCTION("""COMPUTED_VALUE"""),-0.627165332254048)</f>
        <v>-0.62716533225404802</v>
      </c>
      <c r="FO112" s="3">
        <f ca="1">IFERROR(__xludf.DUMMYFUNCTION("""COMPUTED_VALUE"""),-0.552499138532363)</f>
        <v>-0.55249913853236299</v>
      </c>
      <c r="FP112" s="3">
        <f ca="1">IFERROR(__xludf.DUMMYFUNCTION("""COMPUTED_VALUE"""),-0.446240211764299)</f>
        <v>-0.44624021176429901</v>
      </c>
      <c r="FQ112" s="3">
        <f ca="1">IFERROR(__xludf.DUMMYFUNCTION("""COMPUTED_VALUE"""),-0.486990111439908)</f>
        <v>-0.486990111439908</v>
      </c>
      <c r="FR112" s="3">
        <f ca="1">IFERROR(__xludf.DUMMYFUNCTION("""COMPUTED_VALUE"""),-0.615713517278248)</f>
        <v>-0.61571351727824797</v>
      </c>
      <c r="FS112" s="3">
        <f ca="1">IFERROR(__xludf.DUMMYFUNCTION("""COMPUTED_VALUE"""),-0.616463544267411)</f>
        <v>-0.61646354426741101</v>
      </c>
      <c r="FT112" s="3">
        <f ca="1">IFERROR(__xludf.DUMMYFUNCTION("""COMPUTED_VALUE"""),-0.665628363389)</f>
        <v>-0.665628363389</v>
      </c>
      <c r="FU112" s="3">
        <f ca="1">IFERROR(__xludf.DUMMYFUNCTION("""COMPUTED_VALUE"""),-0.619429245147219)</f>
        <v>-0.61942924514721898</v>
      </c>
      <c r="FV112" s="3">
        <f ca="1">IFERROR(__xludf.DUMMYFUNCTION("""COMPUTED_VALUE"""),-0.419930901125186)</f>
        <v>-0.419930901125186</v>
      </c>
      <c r="FW112" s="3">
        <f ca="1">IFERROR(__xludf.DUMMYFUNCTION("""COMPUTED_VALUE"""),-0.421416200911029)</f>
        <v>-0.42141620091102899</v>
      </c>
      <c r="FX112" s="3">
        <f ca="1">IFERROR(__xludf.DUMMYFUNCTION("""COMPUTED_VALUE"""),-0.525818223657003)</f>
        <v>-0.52581822365700304</v>
      </c>
      <c r="FY112" s="3">
        <f ca="1">IFERROR(__xludf.DUMMYFUNCTION("""COMPUTED_VALUE"""),-0.605907917049293)</f>
        <v>-0.60590791704929303</v>
      </c>
      <c r="FZ112" s="3">
        <f ca="1">IFERROR(__xludf.DUMMYFUNCTION("""COMPUTED_VALUE"""),-0.612390323743433)</f>
        <v>-0.61239032374343305</v>
      </c>
      <c r="GA112" s="3">
        <f ca="1">IFERROR(__xludf.DUMMYFUNCTION("""COMPUTED_VALUE"""),-0.652210563075087)</f>
        <v>-0.65221056307508696</v>
      </c>
      <c r="GB112" s="3">
        <f ca="1">IFERROR(__xludf.DUMMYFUNCTION("""COMPUTED_VALUE"""),-0.624734902551407)</f>
        <v>-0.62473490255140696</v>
      </c>
      <c r="GC112" s="3">
        <f ca="1">IFERROR(__xludf.DUMMYFUNCTION("""COMPUTED_VALUE"""),-0.531347709695093)</f>
        <v>-0.53134770969509304</v>
      </c>
      <c r="GD112" s="3">
        <f ca="1">IFERROR(__xludf.DUMMYFUNCTION("""COMPUTED_VALUE"""),-0.496652871667736)</f>
        <v>-0.49665287166773597</v>
      </c>
      <c r="GE112" s="3">
        <f ca="1">IFERROR(__xludf.DUMMYFUNCTION("""COMPUTED_VALUE"""),-0.450802875321872)</f>
        <v>-0.45080287532187202</v>
      </c>
      <c r="GF112" s="3">
        <f ca="1">IFERROR(__xludf.DUMMYFUNCTION("""COMPUTED_VALUE"""),-0.662438984621545)</f>
        <v>-0.66243898462154505</v>
      </c>
      <c r="GG112" s="3">
        <f ca="1">IFERROR(__xludf.DUMMYFUNCTION("""COMPUTED_VALUE"""),-0.600773701167526)</f>
        <v>-0.60077370116752604</v>
      </c>
      <c r="GH112" s="3">
        <f ca="1">IFERROR(__xludf.DUMMYFUNCTION("""COMPUTED_VALUE"""),-0.653057254784451)</f>
        <v>-0.65305725478445098</v>
      </c>
      <c r="GI112" s="3">
        <f ca="1">IFERROR(__xludf.DUMMYFUNCTION("""COMPUTED_VALUE"""),-0.480643540907576)</f>
        <v>-0.48064354090757599</v>
      </c>
      <c r="GJ112" s="3">
        <f ca="1">IFERROR(__xludf.DUMMYFUNCTION("""COMPUTED_VALUE"""),-0.501045691314649)</f>
        <v>-0.50104569131464904</v>
      </c>
      <c r="GK112" s="3">
        <f ca="1">IFERROR(__xludf.DUMMYFUNCTION("""COMPUTED_VALUE"""),-0.509601235367229)</f>
        <v>-0.50960123536722901</v>
      </c>
      <c r="GL112" s="3">
        <f ca="1">IFERROR(__xludf.DUMMYFUNCTION("""COMPUTED_VALUE"""),-0.443769418003884)</f>
        <v>-0.44376941800388398</v>
      </c>
      <c r="GM112" s="3">
        <f ca="1">IFERROR(__xludf.DUMMYFUNCTION("""COMPUTED_VALUE"""),-0.578994700201533)</f>
        <v>-0.57899470020153299</v>
      </c>
      <c r="GN112" s="3">
        <f ca="1">IFERROR(__xludf.DUMMYFUNCTION("""COMPUTED_VALUE"""),-0.549113684754986)</f>
        <v>-0.54911368475498601</v>
      </c>
      <c r="GO112" s="3">
        <f ca="1">IFERROR(__xludf.DUMMYFUNCTION("""COMPUTED_VALUE"""),-0.562214130872199)</f>
        <v>-0.56221413087219896</v>
      </c>
      <c r="GP112" s="3">
        <f ca="1">IFERROR(__xludf.DUMMYFUNCTION("""COMPUTED_VALUE"""),-0.410408460969418)</f>
        <v>-0.41040846096941802</v>
      </c>
      <c r="GQ112" s="3">
        <f ca="1">IFERROR(__xludf.DUMMYFUNCTION("""COMPUTED_VALUE"""),-0.354229571827999)</f>
        <v>-0.35422957182799902</v>
      </c>
      <c r="GR112" s="3">
        <f ca="1">IFERROR(__xludf.DUMMYFUNCTION("""COMPUTED_VALUE"""),-0.296837387546542)</f>
        <v>-0.29683738754654199</v>
      </c>
      <c r="GS112" s="3">
        <f ca="1">IFERROR(__xludf.DUMMYFUNCTION("""COMPUTED_VALUE"""),-0.324795137879843)</f>
        <v>-0.32479513787984299</v>
      </c>
      <c r="GT112" s="3">
        <f ca="1">IFERROR(__xludf.DUMMYFUNCTION("""COMPUTED_VALUE"""),-0.431592114606992)</f>
        <v>-0.43159211460699198</v>
      </c>
      <c r="GU112" s="3">
        <f ca="1">IFERROR(__xludf.DUMMYFUNCTION("""COMPUTED_VALUE"""),-0.449591671153809)</f>
        <v>-0.44959167115380899</v>
      </c>
      <c r="GV112" s="3">
        <f ca="1">IFERROR(__xludf.DUMMYFUNCTION("""COMPUTED_VALUE"""),-0.530517760885981)</f>
        <v>-0.53051776088598102</v>
      </c>
      <c r="GW112" s="3">
        <f ca="1">IFERROR(__xludf.DUMMYFUNCTION("""COMPUTED_VALUE"""),-0.411602301206251)</f>
        <v>-0.41160230120625102</v>
      </c>
      <c r="GX112" s="3">
        <f ca="1">IFERROR(__xludf.DUMMYFUNCTION("""COMPUTED_VALUE"""),-0.379927074249282)</f>
        <v>-0.37992707424928202</v>
      </c>
      <c r="GY112" s="3">
        <f ca="1">IFERROR(__xludf.DUMMYFUNCTION("""COMPUTED_VALUE"""),-0.242498553956217)</f>
        <v>-0.242498553956217</v>
      </c>
      <c r="GZ112" s="3">
        <f ca="1">IFERROR(__xludf.DUMMYFUNCTION("""COMPUTED_VALUE"""),-0.297580566038278)</f>
        <v>-0.29758056603827798</v>
      </c>
      <c r="HA112" s="3">
        <f ca="1">IFERROR(__xludf.DUMMYFUNCTION("""COMPUTED_VALUE"""),-0.459008748858818)</f>
        <v>-0.45900874885881798</v>
      </c>
      <c r="HB112" s="3">
        <f ca="1">IFERROR(__xludf.DUMMYFUNCTION("""COMPUTED_VALUE"""),-0.494430143020532)</f>
        <v>-0.49443014302053201</v>
      </c>
      <c r="HC112" s="3">
        <f ca="1">IFERROR(__xludf.DUMMYFUNCTION("""COMPUTED_VALUE"""),-0.584875185677875)</f>
        <v>-0.584875185677875</v>
      </c>
      <c r="HD112" s="3">
        <f ca="1">IFERROR(__xludf.DUMMYFUNCTION("""COMPUTED_VALUE"""),-0.481828608042358)</f>
        <v>-0.481828608042358</v>
      </c>
      <c r="HE112" s="3">
        <f ca="1">IFERROR(__xludf.DUMMYFUNCTION("""COMPUTED_VALUE"""),-0.407686347396605)</f>
        <v>-0.40768634739660498</v>
      </c>
      <c r="HF112" s="3">
        <f ca="1">IFERROR(__xludf.DUMMYFUNCTION("""COMPUTED_VALUE"""),-0.223742625433744)</f>
        <v>-0.22374262543374401</v>
      </c>
      <c r="HG112" s="3">
        <f ca="1">IFERROR(__xludf.DUMMYFUNCTION("""COMPUTED_VALUE"""),-0.191957187593202)</f>
        <v>-0.19195718759320199</v>
      </c>
      <c r="HH112" s="3">
        <f ca="1">IFERROR(__xludf.DUMMYFUNCTION("""COMPUTED_VALUE"""),-0.591494221643414)</f>
        <v>-0.59149422164341403</v>
      </c>
      <c r="HI112" s="3">
        <f ca="1">IFERROR(__xludf.DUMMYFUNCTION("""COMPUTED_VALUE"""),-0.572922736765436)</f>
        <v>-0.57292273676543604</v>
      </c>
      <c r="HJ112" s="3">
        <f ca="1">IFERROR(__xludf.DUMMYFUNCTION("""COMPUTED_VALUE"""),-0.576782272929476)</f>
        <v>-0.57678227292947604</v>
      </c>
      <c r="HK112" s="3">
        <f ca="1">IFERROR(__xludf.DUMMYFUNCTION("""COMPUTED_VALUE"""),-0.602430636075046)</f>
        <v>-0.60243063607504599</v>
      </c>
      <c r="HL112" s="3">
        <f ca="1">IFERROR(__xludf.DUMMYFUNCTION("""COMPUTED_VALUE"""),-0.830093754758212)</f>
        <v>-0.83009375475821201</v>
      </c>
      <c r="HM112" s="3">
        <f ca="1">IFERROR(__xludf.DUMMYFUNCTION("""COMPUTED_VALUE"""),-0.214647195603266)</f>
        <v>-0.21464719560326601</v>
      </c>
      <c r="HN112" s="3">
        <f ca="1">IFERROR(__xludf.DUMMYFUNCTION("""COMPUTED_VALUE"""),-0.235837242908408)</f>
        <v>-0.23583724290840799</v>
      </c>
      <c r="HO112" s="3">
        <f ca="1">IFERROR(__xludf.DUMMYFUNCTION("""COMPUTED_VALUE"""),-0.632010183867188)</f>
        <v>-0.63201018386718799</v>
      </c>
      <c r="HP112" s="3">
        <f ca="1">IFERROR(__xludf.DUMMYFUNCTION("""COMPUTED_VALUE"""),-0.582988370668567)</f>
        <v>-0.58298837066856701</v>
      </c>
      <c r="HQ112" s="3">
        <f ca="1">IFERROR(__xludf.DUMMYFUNCTION("""COMPUTED_VALUE"""),-0.622483750394368)</f>
        <v>-0.62248375039436799</v>
      </c>
      <c r="HR112" s="3">
        <f ca="1">IFERROR(__xludf.DUMMYFUNCTION("""COMPUTED_VALUE"""),-0.53305730699765)</f>
        <v>-0.53305730699764997</v>
      </c>
      <c r="HS112" s="3">
        <f ca="1">IFERROR(__xludf.DUMMYFUNCTION("""COMPUTED_VALUE"""),-0.2797403502284)</f>
        <v>-0.27974035022839999</v>
      </c>
      <c r="HT112" s="3">
        <f ca="1">IFERROR(__xludf.DUMMYFUNCTION("""COMPUTED_VALUE"""),-0.182058792265986)</f>
        <v>-0.18205879226598601</v>
      </c>
      <c r="HU112" s="3">
        <f ca="1">IFERROR(__xludf.DUMMYFUNCTION("""COMPUTED_VALUE"""),-0.555964533988393)</f>
        <v>-0.55596453398839296</v>
      </c>
      <c r="HV112" s="3">
        <f ca="1">IFERROR(__xludf.DUMMYFUNCTION("""COMPUTED_VALUE"""),-0.538109252537012)</f>
        <v>-0.53810925253701203</v>
      </c>
      <c r="HW112" s="3">
        <f ca="1">IFERROR(__xludf.DUMMYFUNCTION("""COMPUTED_VALUE"""),-0.62930899356677)</f>
        <v>-0.62930899356676995</v>
      </c>
      <c r="HX112" s="3">
        <f ca="1">IFERROR(__xludf.DUMMYFUNCTION("""COMPUTED_VALUE"""),-0.581422887120863)</f>
        <v>-0.58142288712086299</v>
      </c>
      <c r="HY112" s="3">
        <f ca="1">IFERROR(__xludf.DUMMYFUNCTION("""COMPUTED_VALUE"""),-0.638511795551247)</f>
        <v>-0.63851179555124704</v>
      </c>
      <c r="HZ112" s="3">
        <f ca="1">IFERROR(__xludf.DUMMYFUNCTION("""COMPUTED_VALUE"""),-0.223256348049445)</f>
        <v>-0.223256348049445</v>
      </c>
      <c r="IA112" s="3">
        <f ca="1">IFERROR(__xludf.DUMMYFUNCTION("""COMPUTED_VALUE"""),-0.218527670876285)</f>
        <v>-0.218527670876285</v>
      </c>
      <c r="IB112" s="3">
        <f ca="1">IFERROR(__xludf.DUMMYFUNCTION("""COMPUTED_VALUE"""),-0.306423324398848)</f>
        <v>-0.30642332439884801</v>
      </c>
      <c r="IC112" s="3">
        <f ca="1">IFERROR(__xludf.DUMMYFUNCTION("""COMPUTED_VALUE"""),-0.395790788067704)</f>
        <v>-0.39579078806770401</v>
      </c>
      <c r="ID112" s="3">
        <f ca="1">IFERROR(__xludf.DUMMYFUNCTION("""COMPUTED_VALUE"""),-0.491587403054167)</f>
        <v>-0.49158740305416698</v>
      </c>
      <c r="IE112" s="3">
        <f ca="1">IFERROR(__xludf.DUMMYFUNCTION("""COMPUTED_VALUE"""),-0.473859625621936)</f>
        <v>-0.47385962562193601</v>
      </c>
      <c r="IF112" s="3">
        <f ca="1">IFERROR(__xludf.DUMMYFUNCTION("""COMPUTED_VALUE"""),-0.481703518404891)</f>
        <v>-0.48170351840489101</v>
      </c>
      <c r="IG112" s="3">
        <f ca="1">IFERROR(__xludf.DUMMYFUNCTION("""COMPUTED_VALUE"""),-0.402024355651674)</f>
        <v>-0.40202435565167399</v>
      </c>
      <c r="IH112" s="3">
        <f ca="1">IFERROR(__xludf.DUMMYFUNCTION("""COMPUTED_VALUE"""),-0.3133153401703)</f>
        <v>-0.31331534017029999</v>
      </c>
      <c r="II112" s="3">
        <f ca="1">IFERROR(__xludf.DUMMYFUNCTION("""COMPUTED_VALUE"""),-0.397016420838929)</f>
        <v>-0.39701642083892902</v>
      </c>
      <c r="IJ112" s="3">
        <f ca="1">IFERROR(__xludf.DUMMYFUNCTION("""COMPUTED_VALUE"""),-0.340909247636342)</f>
        <v>-0.34090924763634201</v>
      </c>
      <c r="IK112" s="3">
        <f ca="1">IFERROR(__xludf.DUMMYFUNCTION("""COMPUTED_VALUE"""),-0.430471261829253)</f>
        <v>-0.43047126182925299</v>
      </c>
      <c r="IL112" s="3">
        <f ca="1">IFERROR(__xludf.DUMMYFUNCTION("""COMPUTED_VALUE"""),-0.387033731398974)</f>
        <v>-0.38703373139897401</v>
      </c>
      <c r="IM112" s="3">
        <f ca="1">IFERROR(__xludf.DUMMYFUNCTION("""COMPUTED_VALUE"""),-0.481993101872604)</f>
        <v>-0.48199310187260402</v>
      </c>
      <c r="IN112" s="3">
        <f ca="1">IFERROR(__xludf.DUMMYFUNCTION("""COMPUTED_VALUE"""),-0.327093162165613)</f>
        <v>-0.32709316216561302</v>
      </c>
      <c r="IO112" s="3">
        <f ca="1">IFERROR(__xludf.DUMMYFUNCTION("""COMPUTED_VALUE"""),-0.179489430773076)</f>
        <v>-0.179489430773076</v>
      </c>
      <c r="IP112" s="3">
        <f ca="1">IFERROR(__xludf.DUMMYFUNCTION("""COMPUTED_VALUE"""),-0.334284363325547)</f>
        <v>-0.33428436332554701</v>
      </c>
      <c r="IQ112" s="3">
        <f ca="1">IFERROR(__xludf.DUMMYFUNCTION("""COMPUTED_VALUE"""),-0.428845137471519)</f>
        <v>-0.42884513747151898</v>
      </c>
      <c r="IR112" s="3">
        <f ca="1">IFERROR(__xludf.DUMMYFUNCTION("""COMPUTED_VALUE"""),-0.436975606411601)</f>
        <v>-0.43697560641160099</v>
      </c>
      <c r="IS112" s="3">
        <f ca="1">IFERROR(__xludf.DUMMYFUNCTION("""COMPUTED_VALUE"""),-0.426828042561942)</f>
        <v>-0.42682804256194201</v>
      </c>
      <c r="IT112" s="3">
        <f ca="1">IFERROR(__xludf.DUMMYFUNCTION("""COMPUTED_VALUE"""),-0.462653982883528)</f>
        <v>-0.46265398288352799</v>
      </c>
      <c r="IU112" s="3">
        <f ca="1">IFERROR(__xludf.DUMMYFUNCTION("""COMPUTED_VALUE"""),-0.259938081363173)</f>
        <v>-0.25993808136317298</v>
      </c>
      <c r="IV112" s="3">
        <f ca="1">IFERROR(__xludf.DUMMYFUNCTION("""COMPUTED_VALUE"""),-0.343803208096549)</f>
        <v>-0.34380320809654902</v>
      </c>
      <c r="IW112" s="3">
        <f ca="1">IFERROR(__xludf.DUMMYFUNCTION("""COMPUTED_VALUE"""),-0.434311274910796)</f>
        <v>-0.43431127491079602</v>
      </c>
      <c r="IX112" s="3">
        <f ca="1">IFERROR(__xludf.DUMMYFUNCTION("""COMPUTED_VALUE"""),-0.560673329205256)</f>
        <v>-0.56067332920525603</v>
      </c>
      <c r="IY112" s="3">
        <f ca="1">IFERROR(__xludf.DUMMYFUNCTION("""COMPUTED_VALUE"""),-0.603807364891301)</f>
        <v>-0.60380736489130105</v>
      </c>
      <c r="IZ112" s="3">
        <f ca="1">IFERROR(__xludf.DUMMYFUNCTION("""COMPUTED_VALUE"""),-0.545721543306246)</f>
        <v>-0.545721543306246</v>
      </c>
      <c r="JA112" s="3">
        <f ca="1">IFERROR(__xludf.DUMMYFUNCTION("""COMPUTED_VALUE"""),-0.552878896293261)</f>
        <v>-0.55287889629326104</v>
      </c>
      <c r="JB112" s="3">
        <f ca="1">IFERROR(__xludf.DUMMYFUNCTION("""COMPUTED_VALUE"""),-0.515936322096846)</f>
        <v>-0.51593632209684603</v>
      </c>
      <c r="JC112" s="3">
        <f ca="1">IFERROR(__xludf.DUMMYFUNCTION("""COMPUTED_VALUE"""),-0.289297756567424)</f>
        <v>-0.28929775656742401</v>
      </c>
      <c r="JD112" s="3">
        <f ca="1">IFERROR(__xludf.DUMMYFUNCTION("""COMPUTED_VALUE"""),-0.474281408852635)</f>
        <v>-0.47428140885263498</v>
      </c>
      <c r="JE112" s="3">
        <f ca="1">IFERROR(__xludf.DUMMYFUNCTION("""COMPUTED_VALUE"""),-0.641985395483073)</f>
        <v>-0.64198539548307298</v>
      </c>
      <c r="JF112" s="3">
        <f ca="1">IFERROR(__xludf.DUMMYFUNCTION("""COMPUTED_VALUE"""),-0.588066609494889)</f>
        <v>-0.58806660949488898</v>
      </c>
      <c r="JG112" s="3">
        <f ca="1">IFERROR(__xludf.DUMMYFUNCTION("""COMPUTED_VALUE"""),-0.675897663660834)</f>
        <v>-0.67589766366083404</v>
      </c>
      <c r="JH112" s="3">
        <f ca="1">IFERROR(__xludf.DUMMYFUNCTION("""COMPUTED_VALUE"""),-0.5841089500438)</f>
        <v>-0.58410895004380003</v>
      </c>
      <c r="JI112" s="3">
        <f ca="1">IFERROR(__xludf.DUMMYFUNCTION("""COMPUTED_VALUE"""),-0.479691122202951)</f>
        <v>-0.47969112220295101</v>
      </c>
      <c r="JJ112" s="3">
        <f ca="1">IFERROR(__xludf.DUMMYFUNCTION("""COMPUTED_VALUE"""),-0.367381221624452)</f>
        <v>-0.36738122162445203</v>
      </c>
      <c r="JK112" s="3">
        <f ca="1">IFERROR(__xludf.DUMMYFUNCTION("""COMPUTED_VALUE"""),-0.445263433633028)</f>
        <v>-0.44526343363302801</v>
      </c>
      <c r="JL112" s="3">
        <f ca="1">IFERROR(__xludf.DUMMYFUNCTION("""COMPUTED_VALUE"""),-0.636873221492989)</f>
        <v>-0.63687322149298897</v>
      </c>
      <c r="JM112" s="3">
        <f ca="1">IFERROR(__xludf.DUMMYFUNCTION("""COMPUTED_VALUE"""),-0.642861523094129)</f>
        <v>-0.64286152309412903</v>
      </c>
      <c r="JN112" s="3">
        <f ca="1">IFERROR(__xludf.DUMMYFUNCTION("""COMPUTED_VALUE"""),-0.604170076559292)</f>
        <v>-0.604170076559292</v>
      </c>
      <c r="JO112" s="3">
        <f ca="1">IFERROR(__xludf.DUMMYFUNCTION("""COMPUTED_VALUE"""),-0.614661733738466)</f>
        <v>-0.614661733738466</v>
      </c>
      <c r="JP112" s="3">
        <f ca="1">IFERROR(__xludf.DUMMYFUNCTION("""COMPUTED_VALUE"""),-0.555174303194195)</f>
        <v>-0.55517430319419503</v>
      </c>
      <c r="JQ112" s="3">
        <f ca="1">IFERROR(__xludf.DUMMYFUNCTION("""COMPUTED_VALUE"""),-0.285392296323177)</f>
        <v>-0.28539229632317697</v>
      </c>
      <c r="JR112" s="3">
        <f ca="1">IFERROR(__xludf.DUMMYFUNCTION("""COMPUTED_VALUE"""),-0.432208861455128)</f>
        <v>-0.43220886145512799</v>
      </c>
      <c r="JS112" s="3">
        <f ca="1">IFERROR(__xludf.DUMMYFUNCTION("""COMPUTED_VALUE"""),-0.539910009509522)</f>
        <v>-0.53991000950952195</v>
      </c>
      <c r="JT112" s="3">
        <f ca="1">IFERROR(__xludf.DUMMYFUNCTION("""COMPUTED_VALUE"""),-0.484289840007209)</f>
        <v>-0.48428984000720898</v>
      </c>
      <c r="JU112" s="3">
        <f ca="1">IFERROR(__xludf.DUMMYFUNCTION("""COMPUTED_VALUE"""),-0.624128360519971)</f>
        <v>-0.624128360519971</v>
      </c>
      <c r="JV112" s="3">
        <f ca="1">IFERROR(__xludf.DUMMYFUNCTION("""COMPUTED_VALUE"""),-0.672964597778766)</f>
        <v>-0.67296459777876605</v>
      </c>
      <c r="JW112" s="3">
        <f ca="1">IFERROR(__xludf.DUMMYFUNCTION("""COMPUTED_VALUE"""),-0.558485858487112)</f>
        <v>-0.55848585848711196</v>
      </c>
      <c r="JX112" s="3">
        <f ca="1">IFERROR(__xludf.DUMMYFUNCTION("""COMPUTED_VALUE"""),-0.434749912136523)</f>
        <v>-0.43474991213652298</v>
      </c>
      <c r="JY112" s="3">
        <f ca="1">IFERROR(__xludf.DUMMYFUNCTION("""COMPUTED_VALUE"""),-0.70921627160308)</f>
        <v>-0.70921627160307998</v>
      </c>
      <c r="JZ112" s="3">
        <f ca="1">IFERROR(__xludf.DUMMYFUNCTION("""COMPUTED_VALUE"""),-0.58947814330927)</f>
        <v>-0.58947814330926995</v>
      </c>
      <c r="KA112" s="3">
        <f ca="1">IFERROR(__xludf.DUMMYFUNCTION("""COMPUTED_VALUE"""),-0.529201862159831)</f>
        <v>-0.529201862159831</v>
      </c>
      <c r="KB112" s="3">
        <f ca="1">IFERROR(__xludf.DUMMYFUNCTION("""COMPUTED_VALUE"""),-0.687052597188682)</f>
        <v>-0.68705259718868195</v>
      </c>
      <c r="KC112" s="3">
        <f ca="1">IFERROR(__xludf.DUMMYFUNCTION("""COMPUTED_VALUE"""),-0.65089441723248)</f>
        <v>-0.65089441723247998</v>
      </c>
      <c r="KD112" s="3">
        <f ca="1">IFERROR(__xludf.DUMMYFUNCTION("""COMPUTED_VALUE"""),-0.686746979540805)</f>
        <v>-0.68674697954080499</v>
      </c>
      <c r="KE112" s="3">
        <f ca="1">IFERROR(__xludf.DUMMYFUNCTION("""COMPUTED_VALUE"""),-0.393330946405643)</f>
        <v>-0.39333094640564298</v>
      </c>
      <c r="KF112" s="3">
        <f ca="1">IFERROR(__xludf.DUMMYFUNCTION("""COMPUTED_VALUE"""),-0.401292473211428)</f>
        <v>-0.40129247321142802</v>
      </c>
      <c r="KG112" s="3">
        <f ca="1">IFERROR(__xludf.DUMMYFUNCTION("""COMPUTED_VALUE"""),-0.612055881614951)</f>
        <v>-0.61205588161495095</v>
      </c>
      <c r="KH112" s="3">
        <f ca="1">IFERROR(__xludf.DUMMYFUNCTION("""COMPUTED_VALUE"""),-0.506735963173071)</f>
        <v>-0.50673596317307101</v>
      </c>
      <c r="KI112" s="3">
        <f ca="1">IFERROR(__xludf.DUMMYFUNCTION("""COMPUTED_VALUE"""),-0.713550148035203)</f>
        <v>-0.713550148035203</v>
      </c>
      <c r="KJ112" s="3">
        <f ca="1">IFERROR(__xludf.DUMMYFUNCTION("""COMPUTED_VALUE"""),-0.7519994551074)</f>
        <v>-0.75199945510739996</v>
      </c>
      <c r="KK112" s="3">
        <f ca="1">IFERROR(__xludf.DUMMYFUNCTION("""COMPUTED_VALUE"""),-0.615322798424861)</f>
        <v>-0.61532279842486104</v>
      </c>
      <c r="KL112" s="3">
        <f ca="1">IFERROR(__xludf.DUMMYFUNCTION("""COMPUTED_VALUE"""),-0.499536311153052)</f>
        <v>-0.49953631115305203</v>
      </c>
      <c r="KM112" s="3">
        <f ca="1">IFERROR(__xludf.DUMMYFUNCTION("""COMPUTED_VALUE"""),-0.651334439247406)</f>
        <v>-0.65133443924740597</v>
      </c>
      <c r="KN112" s="3">
        <f ca="1">IFERROR(__xludf.DUMMYFUNCTION("""COMPUTED_VALUE"""),-0.70989050758234)</f>
        <v>-0.70989050758233996</v>
      </c>
      <c r="KO112" s="3">
        <f ca="1">IFERROR(__xludf.DUMMYFUNCTION("""COMPUTED_VALUE"""),-0.669499630026584)</f>
        <v>-0.66949963002658397</v>
      </c>
      <c r="KP112" s="3">
        <f ca="1">IFERROR(__xludf.DUMMYFUNCTION("""COMPUTED_VALUE"""),-0.752094945287558)</f>
        <v>-0.75209494528755805</v>
      </c>
      <c r="KQ112" s="3">
        <f ca="1">IFERROR(__xludf.DUMMYFUNCTION("""COMPUTED_VALUE"""),-0.72829007059694)</f>
        <v>-0.72829007059693995</v>
      </c>
      <c r="KR112" s="3">
        <f ca="1">IFERROR(__xludf.DUMMYFUNCTION("""COMPUTED_VALUE"""),-0.643346562593929)</f>
        <v>-0.64334656259392897</v>
      </c>
      <c r="KS112" s="3">
        <f ca="1">IFERROR(__xludf.DUMMYFUNCTION("""COMPUTED_VALUE"""),-0.617088085155982)</f>
        <v>-0.61708808515598201</v>
      </c>
      <c r="KT112" s="3">
        <f ca="1">IFERROR(__xludf.DUMMYFUNCTION("""COMPUTED_VALUE"""),-0.708821665337036)</f>
        <v>-0.70882166533703606</v>
      </c>
      <c r="KU112" s="3">
        <f ca="1">IFERROR(__xludf.DUMMYFUNCTION("""COMPUTED_VALUE"""),-0.804706988176661)</f>
        <v>-0.80470698817666098</v>
      </c>
      <c r="KV112" s="3">
        <f ca="1">IFERROR(__xludf.DUMMYFUNCTION("""COMPUTED_VALUE"""),-0.797386287045416)</f>
        <v>-0.79738628704541603</v>
      </c>
      <c r="KW112" s="3">
        <f ca="1">IFERROR(__xludf.DUMMYFUNCTION("""COMPUTED_VALUE"""),-0.788395601299247)</f>
        <v>-0.78839560129924702</v>
      </c>
      <c r="KX112" s="3">
        <f ca="1">IFERROR(__xludf.DUMMYFUNCTION("""COMPUTED_VALUE"""),-0.771775042170216)</f>
        <v>-0.77177504217021597</v>
      </c>
      <c r="KY112" s="3">
        <f ca="1">IFERROR(__xludf.DUMMYFUNCTION("""COMPUTED_VALUE"""),-0.64098933374288)</f>
        <v>-0.64098933374288003</v>
      </c>
      <c r="KZ112" s="3">
        <f ca="1">IFERROR(__xludf.DUMMYFUNCTION("""COMPUTED_VALUE"""),-0.636989088803548)</f>
        <v>-0.63698908880354799</v>
      </c>
      <c r="LA112" s="3">
        <f ca="1">IFERROR(__xludf.DUMMYFUNCTION("""COMPUTED_VALUE"""),-0.685023283963181)</f>
        <v>-0.68502328396318102</v>
      </c>
      <c r="LB112" s="3">
        <f ca="1">IFERROR(__xludf.DUMMYFUNCTION("""COMPUTED_VALUE"""),-0.83102636895103)</f>
        <v>-0.83102636895102999</v>
      </c>
      <c r="LC112" s="3">
        <f ca="1">IFERROR(__xludf.DUMMYFUNCTION("""COMPUTED_VALUE"""),-0.829325415364953)</f>
        <v>-0.82932541536495297</v>
      </c>
      <c r="LD112" s="3">
        <f ca="1">IFERROR(__xludf.DUMMYFUNCTION("""COMPUTED_VALUE"""),-0.767112197207228)</f>
        <v>-0.76711219720722801</v>
      </c>
      <c r="LE112" s="3">
        <f ca="1">IFERROR(__xludf.DUMMYFUNCTION("""COMPUTED_VALUE"""),-0.756598261713302)</f>
        <v>-0.75659826171330202</v>
      </c>
      <c r="LF112" s="3">
        <f ca="1">IFERROR(__xludf.DUMMYFUNCTION("""COMPUTED_VALUE"""),-0.624218183775475)</f>
        <v>-0.624218183775475</v>
      </c>
      <c r="LG112" s="3">
        <f ca="1">IFERROR(__xludf.DUMMYFUNCTION("""COMPUTED_VALUE"""),-0.728952738080619)</f>
        <v>-0.728952738080619</v>
      </c>
      <c r="LH112" s="3">
        <f ca="1">IFERROR(__xludf.DUMMYFUNCTION("""COMPUTED_VALUE"""),-0.714296034680774)</f>
        <v>-0.71429603468077396</v>
      </c>
      <c r="LI112" s="3">
        <f ca="1">IFERROR(__xludf.DUMMYFUNCTION("""COMPUTED_VALUE"""),-0.847218236144486)</f>
        <v>-0.84721823614448599</v>
      </c>
      <c r="LJ112" s="3">
        <f ca="1">IFERROR(__xludf.DUMMYFUNCTION("""COMPUTED_VALUE"""),-0.823720548921957)</f>
        <v>-0.82372054892195701</v>
      </c>
      <c r="LK112" s="3">
        <f ca="1">IFERROR(__xludf.DUMMYFUNCTION("""COMPUTED_VALUE"""),-0.829374801964348)</f>
        <v>-0.82937480196434799</v>
      </c>
      <c r="LL112" s="3">
        <f ca="1">IFERROR(__xludf.DUMMYFUNCTION("""COMPUTED_VALUE"""),-0.71351687115996)</f>
        <v>-0.71351687115995999</v>
      </c>
      <c r="LM112" s="3">
        <f ca="1">IFERROR(__xludf.DUMMYFUNCTION("""COMPUTED_VALUE"""),-0.851444772706684)</f>
        <v>-0.85144477270668395</v>
      </c>
      <c r="LN112" s="3">
        <f ca="1">IFERROR(__xludf.DUMMYFUNCTION("""COMPUTED_VALUE"""),-0.709880291895586)</f>
        <v>-0.70988029189558599</v>
      </c>
      <c r="LO112" s="3">
        <f ca="1">IFERROR(__xludf.DUMMYFUNCTION("""COMPUTED_VALUE"""),-0.76619848395242)</f>
        <v>-0.76619848395241996</v>
      </c>
      <c r="LP112" s="3">
        <f ca="1">IFERROR(__xludf.DUMMYFUNCTION("""COMPUTED_VALUE"""),-0.805299871673943)</f>
        <v>-0.80529987167394301</v>
      </c>
      <c r="LQ112" s="3">
        <f ca="1">IFERROR(__xludf.DUMMYFUNCTION("""COMPUTED_VALUE"""),-0.780730971257806)</f>
        <v>-0.78073097125780599</v>
      </c>
      <c r="LR112" s="3">
        <f ca="1">IFERROR(__xludf.DUMMYFUNCTION("""COMPUTED_VALUE"""),-0.85339859680462)</f>
        <v>-0.85339859680462005</v>
      </c>
      <c r="LS112" s="3">
        <f ca="1">IFERROR(__xludf.DUMMYFUNCTION("""COMPUTED_VALUE"""),-0.857065469856771)</f>
        <v>-0.85706546985677101</v>
      </c>
      <c r="LT112" s="3">
        <f ca="1">IFERROR(__xludf.DUMMYFUNCTION("""COMPUTED_VALUE"""),-0.698397471386695)</f>
        <v>-0.69839747138669495</v>
      </c>
      <c r="LU112" s="3">
        <f ca="1">IFERROR(__xludf.DUMMYFUNCTION("""COMPUTED_VALUE"""),-0.794349943341057)</f>
        <v>-0.79434994334105702</v>
      </c>
      <c r="LV112" s="3">
        <f ca="1">IFERROR(__xludf.DUMMYFUNCTION("""COMPUTED_VALUE"""),-0.802768868024197)</f>
        <v>-0.802768868024197</v>
      </c>
      <c r="LW112" s="3">
        <f ca="1">IFERROR(__xludf.DUMMYFUNCTION("""COMPUTED_VALUE"""),-0.85607968534215)</f>
        <v>-0.85607968534214995</v>
      </c>
      <c r="LX112" s="3">
        <f ca="1">IFERROR(__xludf.DUMMYFUNCTION("""COMPUTED_VALUE"""),-0.864195879528323)</f>
        <v>-0.864195879528323</v>
      </c>
      <c r="LY112" s="3">
        <f ca="1">IFERROR(__xludf.DUMMYFUNCTION("""COMPUTED_VALUE"""),-0.867350973615236)</f>
        <v>-0.86735097361523605</v>
      </c>
      <c r="LZ112" s="3">
        <f ca="1">IFERROR(__xludf.DUMMYFUNCTION("""COMPUTED_VALUE"""),-0.793419049688434)</f>
        <v>-0.79341904968843402</v>
      </c>
      <c r="MA112" s="3">
        <f ca="1">IFERROR(__xludf.DUMMYFUNCTION("""COMPUTED_VALUE"""),-0.814207419850704)</f>
        <v>-0.814207419850704</v>
      </c>
      <c r="MB112" s="3">
        <f ca="1">IFERROR(__xludf.DUMMYFUNCTION("""COMPUTED_VALUE"""),-0.811240538777263)</f>
        <v>-0.81124053877726299</v>
      </c>
      <c r="MC112" s="3">
        <f ca="1">IFERROR(__xludf.DUMMYFUNCTION("""COMPUTED_VALUE"""),-0.845791073192489)</f>
        <v>-0.84579107319248903</v>
      </c>
      <c r="MD112" s="3">
        <f ca="1">IFERROR(__xludf.DUMMYFUNCTION("""COMPUTED_VALUE"""),-0.823887966031419)</f>
        <v>-0.82388796603141901</v>
      </c>
      <c r="ME112" s="3">
        <f ca="1">IFERROR(__xludf.DUMMYFUNCTION("""COMPUTED_VALUE"""),-0.788915222369666)</f>
        <v>-0.78891522236966605</v>
      </c>
      <c r="MF112" s="3">
        <f ca="1">IFERROR(__xludf.DUMMYFUNCTION("""COMPUTED_VALUE"""),-0.841542927683768)</f>
        <v>-0.84154292768376804</v>
      </c>
      <c r="MG112" s="3">
        <f ca="1">IFERROR(__xludf.DUMMYFUNCTION("""COMPUTED_VALUE"""),-0.849549555886313)</f>
        <v>-0.84954955588631298</v>
      </c>
      <c r="MH112" s="3">
        <f ca="1">IFERROR(__xludf.DUMMYFUNCTION("""COMPUTED_VALUE"""),-0.799322628540001)</f>
        <v>-0.79932262854000102</v>
      </c>
      <c r="MI112" s="3">
        <f ca="1">IFERROR(__xludf.DUMMYFUNCTION("""COMPUTED_VALUE"""),-0.713322680936867)</f>
        <v>-0.71332268093686702</v>
      </c>
      <c r="MJ112" s="3">
        <f ca="1">IFERROR(__xludf.DUMMYFUNCTION("""COMPUTED_VALUE"""),-0.820037432362462)</f>
        <v>-0.82003743236246196</v>
      </c>
      <c r="MK112" s="3">
        <f ca="1">IFERROR(__xludf.DUMMYFUNCTION("""COMPUTED_VALUE"""),-0.874541367440643)</f>
        <v>-0.87454136744064304</v>
      </c>
      <c r="ML112" s="3">
        <f ca="1">IFERROR(__xludf.DUMMYFUNCTION("""COMPUTED_VALUE"""),-0.908607802455245)</f>
        <v>-0.90860780245524497</v>
      </c>
      <c r="MM112" s="3">
        <f ca="1">IFERROR(__xludf.DUMMYFUNCTION("""COMPUTED_VALUE"""),-0.872017992819726)</f>
        <v>-0.87201799281972603</v>
      </c>
      <c r="MN112" s="3">
        <f ca="1">IFERROR(__xludf.DUMMYFUNCTION("""COMPUTED_VALUE"""),-0.826479939060522)</f>
        <v>-0.82647993906052197</v>
      </c>
      <c r="MO112" s="3">
        <f ca="1">IFERROR(__xludf.DUMMYFUNCTION("""COMPUTED_VALUE"""),-0.80997179633688)</f>
        <v>-0.80997179633687999</v>
      </c>
      <c r="MP112" s="3">
        <f ca="1">IFERROR(__xludf.DUMMYFUNCTION("""COMPUTED_VALUE"""),-0.769466523648309)</f>
        <v>-0.76946652364830903</v>
      </c>
      <c r="MQ112" s="3">
        <f ca="1">IFERROR(__xludf.DUMMYFUNCTION("""COMPUTED_VALUE"""),-0.837078333920303)</f>
        <v>-0.83707833392030295</v>
      </c>
      <c r="MR112" s="3">
        <f ca="1">IFERROR(__xludf.DUMMYFUNCTION("""COMPUTED_VALUE"""),-0.895927222299754)</f>
        <v>-0.89592722229975397</v>
      </c>
      <c r="MS112" s="3">
        <f ca="1">IFERROR(__xludf.DUMMYFUNCTION("""COMPUTED_VALUE"""),-0.860541604295849)</f>
        <v>-0.86054160429584903</v>
      </c>
      <c r="MT112" s="3">
        <f ca="1">IFERROR(__xludf.DUMMYFUNCTION("""COMPUTED_VALUE"""),-0.863049850134296)</f>
        <v>-0.86304985013429603</v>
      </c>
      <c r="MU112" s="3">
        <f ca="1">IFERROR(__xludf.DUMMYFUNCTION("""COMPUTED_VALUE"""),-0.894654384297619)</f>
        <v>-0.89465438429761901</v>
      </c>
      <c r="MV112" s="3">
        <f ca="1">IFERROR(__xludf.DUMMYFUNCTION("""COMPUTED_VALUE"""),-0.848311630639015)</f>
        <v>-0.84831163063901505</v>
      </c>
      <c r="MW112" s="3">
        <f ca="1">IFERROR(__xludf.DUMMYFUNCTION("""COMPUTED_VALUE"""),-0.717006959661048)</f>
        <v>-0.71700695966104799</v>
      </c>
      <c r="MX112" s="3">
        <f ca="1">IFERROR(__xludf.DUMMYFUNCTION("""COMPUTED_VALUE"""),-0.826362639413637)</f>
        <v>-0.82636263941363697</v>
      </c>
      <c r="MY112" s="3">
        <f ca="1">IFERROR(__xludf.DUMMYFUNCTION("""COMPUTED_VALUE"""),-0.866653515763037)</f>
        <v>-0.86665351576303695</v>
      </c>
      <c r="MZ112" s="3">
        <f ca="1">IFERROR(__xludf.DUMMYFUNCTION("""COMPUTED_VALUE"""),-0.868378280941871)</f>
        <v>-0.86837828094187097</v>
      </c>
      <c r="NA112" s="3">
        <f ca="1">IFERROR(__xludf.DUMMYFUNCTION("""COMPUTED_VALUE"""),-0.882788043443706)</f>
        <v>-0.88278804344370598</v>
      </c>
      <c r="NB112" s="3">
        <f ca="1">IFERROR(__xludf.DUMMYFUNCTION("""COMPUTED_VALUE"""),-0.844719098089358)</f>
        <v>-0.84471909808935797</v>
      </c>
      <c r="NC112" s="3">
        <f ca="1">IFERROR(__xludf.DUMMYFUNCTION("""COMPUTED_VALUE"""),-0.900465310823979)</f>
        <v>-0.90046531082397896</v>
      </c>
      <c r="ND112" s="3">
        <f ca="1">IFERROR(__xludf.DUMMYFUNCTION("""COMPUTED_VALUE"""),-0.841576703503784)</f>
        <v>-0.841576703503784</v>
      </c>
      <c r="NE112" s="3">
        <f ca="1">IFERROR(__xludf.DUMMYFUNCTION("""COMPUTED_VALUE"""),-0.79703157963973)</f>
        <v>-0.79703157963973004</v>
      </c>
      <c r="NF112" s="3">
        <f ca="1">IFERROR(__xludf.DUMMYFUNCTION("""COMPUTED_VALUE"""),-0.835894949379561)</f>
        <v>-0.83589494937956099</v>
      </c>
      <c r="NG112" s="3">
        <f ca="1">IFERROR(__xludf.DUMMYFUNCTION("""COMPUTED_VALUE"""),-0.858532269182714)</f>
        <v>-0.85853226918271397</v>
      </c>
      <c r="NH112" s="3">
        <f ca="1">IFERROR(__xludf.DUMMYFUNCTION("""COMPUTED_VALUE"""),-0.917340549801588)</f>
        <v>-0.91734054980158797</v>
      </c>
      <c r="NI112" s="3">
        <f ca="1">IFERROR(__xludf.DUMMYFUNCTION("""COMPUTED_VALUE"""),-0.803535053134406)</f>
        <v>-0.80353505313440599</v>
      </c>
      <c r="NJ112" s="3">
        <f ca="1">IFERROR(__xludf.DUMMYFUNCTION("""COMPUTED_VALUE"""),-0.744788764605025)</f>
        <v>-0.74478876460502497</v>
      </c>
      <c r="NK112" s="3">
        <f ca="1">IFERROR(__xludf.DUMMYFUNCTION("""COMPUTED_VALUE"""),-0.779829995801981)</f>
        <v>-0.77982999580198098</v>
      </c>
      <c r="NL112" s="3">
        <f ca="1">IFERROR(__xludf.DUMMYFUNCTION("""COMPUTED_VALUE"""),-0.851319891236218)</f>
        <v>-0.85131989123621798</v>
      </c>
      <c r="NM112" s="3">
        <f ca="1">IFERROR(__xludf.DUMMYFUNCTION("""COMPUTED_VALUE"""),-0.860387562802241)</f>
        <v>-0.86038756280224105</v>
      </c>
      <c r="NN112" s="3">
        <f ca="1">IFERROR(__xludf.DUMMYFUNCTION("""COMPUTED_VALUE"""),-0.882283925906482)</f>
        <v>-0.88228392590648197</v>
      </c>
      <c r="NO112" s="3">
        <f ca="1">IFERROR(__xludf.DUMMYFUNCTION("""COMPUTED_VALUE"""),-0.865856468865792)</f>
        <v>-0.86585646886579204</v>
      </c>
      <c r="NP112" s="3">
        <f ca="1">IFERROR(__xludf.DUMMYFUNCTION("""COMPUTED_VALUE"""),-0.846498944394436)</f>
        <v>-0.84649894439443596</v>
      </c>
      <c r="NQ112" s="3">
        <f ca="1">IFERROR(__xludf.DUMMYFUNCTION("""COMPUTED_VALUE"""),-0.804012736427277)</f>
        <v>-0.804012736427277</v>
      </c>
      <c r="NR112" s="3">
        <f ca="1">IFERROR(__xludf.DUMMYFUNCTION("""COMPUTED_VALUE"""),-0.691626607595056)</f>
        <v>-0.69162660759505601</v>
      </c>
      <c r="NS112" s="3">
        <f ca="1">IFERROR(__xludf.DUMMYFUNCTION("""COMPUTED_VALUE"""),-0.801341612390486)</f>
        <v>-0.80134161239048596</v>
      </c>
      <c r="NT112" s="3">
        <f ca="1">IFERROR(__xludf.DUMMYFUNCTION("""COMPUTED_VALUE"""),-0.819594993450982)</f>
        <v>-0.81959499345098197</v>
      </c>
      <c r="NU112" s="3">
        <f ca="1">IFERROR(__xludf.DUMMYFUNCTION("""COMPUTED_VALUE"""),-0.793930331466839)</f>
        <v>-0.793930331466839</v>
      </c>
      <c r="NV112" s="3">
        <f ca="1">IFERROR(__xludf.DUMMYFUNCTION("""COMPUTED_VALUE"""),-0.799884347113403)</f>
        <v>-0.79988434711340295</v>
      </c>
      <c r="NW112" s="3">
        <f ca="1">IFERROR(__xludf.DUMMYFUNCTION("""COMPUTED_VALUE"""),-0.759262794744207)</f>
        <v>-0.75926279474420699</v>
      </c>
      <c r="NX112" s="3">
        <f ca="1">IFERROR(__xludf.DUMMYFUNCTION("""COMPUTED_VALUE"""),-0.712080136849167)</f>
        <v>-0.71208013684916704</v>
      </c>
      <c r="NY112" s="3">
        <f ca="1">IFERROR(__xludf.DUMMYFUNCTION("""COMPUTED_VALUE"""),-0.631482115807506)</f>
        <v>-0.63148211580750602</v>
      </c>
      <c r="NZ112" s="3">
        <f ca="1">IFERROR(__xludf.DUMMYFUNCTION("""COMPUTED_VALUE"""),-0.674861096650086)</f>
        <v>-0.67486109665008598</v>
      </c>
      <c r="OA112" s="3">
        <f ca="1">IFERROR(__xludf.DUMMYFUNCTION("""COMPUTED_VALUE"""),-0.663317007737811)</f>
        <v>-0.66331700773781099</v>
      </c>
      <c r="OB112" s="3">
        <f ca="1">IFERROR(__xludf.DUMMYFUNCTION("""COMPUTED_VALUE"""),-0.699983809723825)</f>
        <v>-0.69998380972382501</v>
      </c>
      <c r="OC112" s="3">
        <f ca="1">IFERROR(__xludf.DUMMYFUNCTION("""COMPUTED_VALUE"""),-0.694393255839789)</f>
        <v>-0.69439325583978895</v>
      </c>
      <c r="OD112" s="3">
        <f ca="1">IFERROR(__xludf.DUMMYFUNCTION("""COMPUTED_VALUE"""),-0.64678243144981)</f>
        <v>-0.64678243144980996</v>
      </c>
      <c r="OE112" s="3">
        <f ca="1">IFERROR(__xludf.DUMMYFUNCTION("""COMPUTED_VALUE"""),-0.510821836251498)</f>
        <v>-0.51082183625149802</v>
      </c>
      <c r="OF112" s="3">
        <f ca="1">IFERROR(__xludf.DUMMYFUNCTION("""COMPUTED_VALUE"""),-0.114924567136944)</f>
        <v>-0.114924567136944</v>
      </c>
      <c r="OG112" s="3">
        <f ca="1">IFERROR(__xludf.DUMMYFUNCTION("""COMPUTED_VALUE"""),-0.072347372234354)</f>
        <v>-7.2347372234354002E-2</v>
      </c>
      <c r="OH112" s="3">
        <f ca="1">IFERROR(__xludf.DUMMYFUNCTION("""COMPUTED_VALUE"""),-0.359570550809878)</f>
        <v>-0.35957055080987799</v>
      </c>
      <c r="OI112" s="3">
        <f ca="1">IFERROR(__xludf.DUMMYFUNCTION("""COMPUTED_VALUE"""),-0.191961213223251)</f>
        <v>-0.19196121322325099</v>
      </c>
      <c r="OJ112" s="3">
        <f ca="1">IFERROR(__xludf.DUMMYFUNCTION("""COMPUTED_VALUE"""),0.0149784619679247)</f>
        <v>1.4978461967924701E-2</v>
      </c>
      <c r="OK112" s="3">
        <f ca="1">IFERROR(__xludf.DUMMYFUNCTION("""COMPUTED_VALUE"""),-0.0458345080542655)</f>
        <v>-4.5834508054265498E-2</v>
      </c>
      <c r="OL112" s="3">
        <f ca="1">IFERROR(__xludf.DUMMYFUNCTION("""COMPUTED_VALUE"""),-0.113549647471353)</f>
        <v>-0.113549647471353</v>
      </c>
      <c r="OM112" s="3">
        <f ca="1">IFERROR(__xludf.DUMMYFUNCTION("""COMPUTED_VALUE"""),-0.0194457207355437)</f>
        <v>-1.9445720735543699E-2</v>
      </c>
      <c r="ON112" s="3">
        <f ca="1">IFERROR(__xludf.DUMMYFUNCTION("""COMPUTED_VALUE"""),-0.0452187221308513)</f>
        <v>-4.5218722130851298E-2</v>
      </c>
      <c r="OO112" s="3">
        <f ca="1">IFERROR(__xludf.DUMMYFUNCTION("""COMPUTED_VALUE"""),-0.0370873651148341)</f>
        <v>-3.7087365114834098E-2</v>
      </c>
      <c r="OP112" s="3">
        <f ca="1">IFERROR(__xludf.DUMMYFUNCTION("""COMPUTED_VALUE"""),-0.0485107718001851)</f>
        <v>-4.85107718001851E-2</v>
      </c>
      <c r="OQ112" s="3">
        <f ca="1">IFERROR(__xludf.DUMMYFUNCTION("""COMPUTED_VALUE"""),-0.055022169977848)</f>
        <v>-5.5022169977848E-2</v>
      </c>
      <c r="OR112" s="3">
        <f ca="1">IFERROR(__xludf.DUMMYFUNCTION("""COMPUTED_VALUE"""),0.148442710729126)</f>
        <v>0.14844271072912599</v>
      </c>
      <c r="OS112" s="3">
        <f ca="1">IFERROR(__xludf.DUMMYFUNCTION("""COMPUTED_VALUE"""),0.189787919180943)</f>
        <v>0.18978791918094301</v>
      </c>
      <c r="OT112" s="3">
        <f ca="1">IFERROR(__xludf.DUMMYFUNCTION("""COMPUTED_VALUE"""),0.0231740832240447)</f>
        <v>2.3174083224044701E-2</v>
      </c>
      <c r="OU112" s="3">
        <f ca="1">IFERROR(__xludf.DUMMYFUNCTION("""COMPUTED_VALUE"""),-0.0655641535614136)</f>
        <v>-6.5564153561413596E-2</v>
      </c>
      <c r="OV112" s="3">
        <f ca="1">IFERROR(__xludf.DUMMYFUNCTION("""COMPUTED_VALUE"""),-0.0505563135575759)</f>
        <v>-5.0556313557575901E-2</v>
      </c>
      <c r="OW112" s="3">
        <f ca="1">IFERROR(__xludf.DUMMYFUNCTION("""COMPUTED_VALUE"""),-0.126395392322963)</f>
        <v>-0.12639539232296301</v>
      </c>
      <c r="OX112" s="3">
        <f ca="1">IFERROR(__xludf.DUMMYFUNCTION("""COMPUTED_VALUE"""),0.0261797358367799)</f>
        <v>2.6179735836779901E-2</v>
      </c>
      <c r="OY112" s="3">
        <f ca="1">IFERROR(__xludf.DUMMYFUNCTION("""COMPUTED_VALUE"""),0.185914906026434)</f>
        <v>0.18591490602643401</v>
      </c>
      <c r="OZ112" s="3">
        <f ca="1">IFERROR(__xludf.DUMMYFUNCTION("""COMPUTED_VALUE"""),0.294433746942495)</f>
        <v>0.29443374694249502</v>
      </c>
      <c r="PA112" s="3">
        <f ca="1">IFERROR(__xludf.DUMMYFUNCTION("""COMPUTED_VALUE"""),-0.109232223232877)</f>
        <v>-0.109232223232877</v>
      </c>
      <c r="PB112" s="3">
        <f ca="1">IFERROR(__xludf.DUMMYFUNCTION("""COMPUTED_VALUE"""),0.223705052720214)</f>
        <v>0.22370505272021399</v>
      </c>
      <c r="PC112" s="3">
        <f ca="1">IFERROR(__xludf.DUMMYFUNCTION("""COMPUTED_VALUE"""),-0.125664455349691)</f>
        <v>-0.12566445534969101</v>
      </c>
      <c r="PD112" s="3">
        <f ca="1">IFERROR(__xludf.DUMMYFUNCTION("""COMPUTED_VALUE"""),-0.00139663647846555)</f>
        <v>-1.3966364784655501E-3</v>
      </c>
      <c r="PE112" s="3">
        <f ca="1">IFERROR(__xludf.DUMMYFUNCTION("""COMPUTED_VALUE"""),0.10106942015382)</f>
        <v>0.10106942015382001</v>
      </c>
      <c r="PF112" s="3">
        <f ca="1">IFERROR(__xludf.DUMMYFUNCTION("""COMPUTED_VALUE"""),-0.14053250919698)</f>
        <v>-0.14053250919697999</v>
      </c>
      <c r="PG112" s="3">
        <f ca="1">IFERROR(__xludf.DUMMYFUNCTION("""COMPUTED_VALUE"""),-0.0708675053470869)</f>
        <v>-7.0867505347086898E-2</v>
      </c>
      <c r="PH112" s="3">
        <f ca="1">IFERROR(__xludf.DUMMYFUNCTION("""COMPUTED_VALUE"""),0.131014683615268)</f>
        <v>0.131014683615268</v>
      </c>
      <c r="PI112" s="3">
        <f ca="1">IFERROR(__xludf.DUMMYFUNCTION("""COMPUTED_VALUE"""),0.0381190190490048)</f>
        <v>3.8119019049004797E-2</v>
      </c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</row>
    <row r="113" spans="1:477" ht="13">
      <c r="A113" s="1" t="str">
        <f ca="1">IFERROR(__xludf.DUMMYFUNCTION("""COMPUTED_VALUE"""),"TriMet")</f>
        <v>TriMet</v>
      </c>
      <c r="B113" s="1" t="str">
        <f ca="1">IFERROR(__xludf.DUMMYFUNCTION("""COMPUTED_VALUE"""),"Portland")</f>
        <v>Portland</v>
      </c>
      <c r="C113" s="1" t="str">
        <f ca="1">IFERROR(__xludf.DUMMYFUNCTION("""COMPUTED_VALUE"""),"United States")</f>
        <v>United States</v>
      </c>
      <c r="D113" s="1" t="str">
        <f ca="1">IFERROR(__xludf.DUMMYFUNCTION("""COMPUTED_VALUE"""),"Oregon")</f>
        <v>Oregon</v>
      </c>
      <c r="E113" s="3">
        <f ca="1">IFERROR(__xludf.DUMMYFUNCTION("""COMPUTED_VALUE"""),-0.643189720105594)</f>
        <v>-0.64318972010559405</v>
      </c>
      <c r="F113" s="3">
        <f ca="1">IFERROR(__xludf.DUMMYFUNCTION("""COMPUTED_VALUE"""),-0.679510234887651)</f>
        <v>-0.67951023488765105</v>
      </c>
      <c r="G113" s="3">
        <f ca="1">IFERROR(__xludf.DUMMYFUNCTION("""COMPUTED_VALUE"""),-0.716970002220669)</f>
        <v>-0.71697000222066898</v>
      </c>
      <c r="H113" s="3">
        <f ca="1">IFERROR(__xludf.DUMMYFUNCTION("""COMPUTED_VALUE"""),-0.716854771748727)</f>
        <v>-0.71685477174872703</v>
      </c>
      <c r="I113" s="3">
        <f ca="1">IFERROR(__xludf.DUMMYFUNCTION("""COMPUTED_VALUE"""),-0.71084608038658)</f>
        <v>-0.71084608038658004</v>
      </c>
      <c r="J113" s="3">
        <f ca="1">IFERROR(__xludf.DUMMYFUNCTION("""COMPUTED_VALUE"""),-0.674799603002075)</f>
        <v>-0.67479960300207498</v>
      </c>
      <c r="K113" s="3">
        <f ca="1">IFERROR(__xludf.DUMMYFUNCTION("""COMPUTED_VALUE"""),-0.623061465013965)</f>
        <v>-0.62306146501396498</v>
      </c>
      <c r="L113" s="3">
        <f ca="1">IFERROR(__xludf.DUMMYFUNCTION("""COMPUTED_VALUE"""),-0.588352598056412)</f>
        <v>-0.58835259805641205</v>
      </c>
      <c r="M113" s="3">
        <f ca="1">IFERROR(__xludf.DUMMYFUNCTION("""COMPUTED_VALUE"""),-0.64212594285637)</f>
        <v>-0.64212594285637004</v>
      </c>
      <c r="N113" s="3">
        <f ca="1">IFERROR(__xludf.DUMMYFUNCTION("""COMPUTED_VALUE"""),-0.680825641467204)</f>
        <v>-0.68082564146720403</v>
      </c>
      <c r="O113" s="3">
        <f ca="1">IFERROR(__xludf.DUMMYFUNCTION("""COMPUTED_VALUE"""),-0.665836794886177)</f>
        <v>-0.66583679488617697</v>
      </c>
      <c r="P113" s="3">
        <f ca="1">IFERROR(__xludf.DUMMYFUNCTION("""COMPUTED_VALUE"""),-0.674512456132933)</f>
        <v>-0.67451245613293298</v>
      </c>
      <c r="Q113" s="3">
        <f ca="1">IFERROR(__xludf.DUMMYFUNCTION("""COMPUTED_VALUE"""),-0.675448977737868)</f>
        <v>-0.67544897773786805</v>
      </c>
      <c r="R113" s="3">
        <f ca="1">IFERROR(__xludf.DUMMYFUNCTION("""COMPUTED_VALUE"""),-0.60392923674242)</f>
        <v>-0.60392923674242005</v>
      </c>
      <c r="S113" s="3">
        <f ca="1">IFERROR(__xludf.DUMMYFUNCTION("""COMPUTED_VALUE"""),-0.584432277904765)</f>
        <v>-0.58443227790476504</v>
      </c>
      <c r="T113" s="3">
        <f ca="1">IFERROR(__xludf.DUMMYFUNCTION("""COMPUTED_VALUE"""),-0.680117378155987)</f>
        <v>-0.68011737815598705</v>
      </c>
      <c r="U113" s="3">
        <f ca="1">IFERROR(__xludf.DUMMYFUNCTION("""COMPUTED_VALUE"""),-0.684091567768292)</f>
        <v>-0.68409156776829205</v>
      </c>
      <c r="V113" s="3">
        <f ca="1">IFERROR(__xludf.DUMMYFUNCTION("""COMPUTED_VALUE"""),-0.702291575246618)</f>
        <v>-0.70229157524661801</v>
      </c>
      <c r="W113" s="3">
        <f ca="1">IFERROR(__xludf.DUMMYFUNCTION("""COMPUTED_VALUE"""),-0.711423487051643)</f>
        <v>-0.71142348705164304</v>
      </c>
      <c r="X113" s="3">
        <f ca="1">IFERROR(__xludf.DUMMYFUNCTION("""COMPUTED_VALUE"""),-0.696773280357044)</f>
        <v>-0.696773280357044</v>
      </c>
      <c r="Y113" s="3">
        <f ca="1">IFERROR(__xludf.DUMMYFUNCTION("""COMPUTED_VALUE"""),-0.602450443374377)</f>
        <v>-0.60245044337437703</v>
      </c>
      <c r="Z113" s="3">
        <f ca="1">IFERROR(__xludf.DUMMYFUNCTION("""COMPUTED_VALUE"""),-0.63234843525426)</f>
        <v>-0.63234843525425999</v>
      </c>
      <c r="AA113" s="3">
        <f ca="1">IFERROR(__xludf.DUMMYFUNCTION("""COMPUTED_VALUE"""),-0.681354756654352)</f>
        <v>-0.68135475665435197</v>
      </c>
      <c r="AB113" s="3">
        <f ca="1">IFERROR(__xludf.DUMMYFUNCTION("""COMPUTED_VALUE"""),-0.693972282545644)</f>
        <v>-0.69397228254564403</v>
      </c>
      <c r="AC113" s="3">
        <f ca="1">IFERROR(__xludf.DUMMYFUNCTION("""COMPUTED_VALUE"""),-0.684163595177476)</f>
        <v>-0.68416359517747605</v>
      </c>
      <c r="AD113" s="3">
        <f ca="1">IFERROR(__xludf.DUMMYFUNCTION("""COMPUTED_VALUE"""),-0.701449831350711)</f>
        <v>-0.70144983135071104</v>
      </c>
      <c r="AE113" s="3">
        <f ca="1">IFERROR(__xludf.DUMMYFUNCTION("""COMPUTED_VALUE"""),-0.697928864945523)</f>
        <v>-0.69792886494552298</v>
      </c>
      <c r="AF113" s="3">
        <f ca="1">IFERROR(__xludf.DUMMYFUNCTION("""COMPUTED_VALUE"""),-0.649662973741075)</f>
        <v>-0.64966297374107496</v>
      </c>
      <c r="AG113" s="3">
        <f ca="1">IFERROR(__xludf.DUMMYFUNCTION("""COMPUTED_VALUE"""),-0.609865735450113)</f>
        <v>-0.60986573545011302</v>
      </c>
      <c r="AH113" s="3">
        <f ca="1">IFERROR(__xludf.DUMMYFUNCTION("""COMPUTED_VALUE"""),-0.70307241966447)</f>
        <v>-0.70307241966446998</v>
      </c>
      <c r="AI113" s="3">
        <f ca="1">IFERROR(__xludf.DUMMYFUNCTION("""COMPUTED_VALUE"""),-0.713474001653082)</f>
        <v>-0.71347400165308195</v>
      </c>
      <c r="AJ113" s="3">
        <f ca="1">IFERROR(__xludf.DUMMYFUNCTION("""COMPUTED_VALUE"""),-0.723917599300712)</f>
        <v>-0.72391759930071198</v>
      </c>
      <c r="AK113" s="3">
        <f ca="1">IFERROR(__xludf.DUMMYFUNCTION("""COMPUTED_VALUE"""),-0.729906914550522)</f>
        <v>-0.72990691455052203</v>
      </c>
      <c r="AL113" s="3">
        <f ca="1">IFERROR(__xludf.DUMMYFUNCTION("""COMPUTED_VALUE"""),-0.700206020479888)</f>
        <v>-0.700206020479888</v>
      </c>
      <c r="AM113" s="3">
        <f ca="1">IFERROR(__xludf.DUMMYFUNCTION("""COMPUTED_VALUE"""),-0.657690464241247)</f>
        <v>-0.657690464241247</v>
      </c>
      <c r="AN113" s="3">
        <f ca="1">IFERROR(__xludf.DUMMYFUNCTION("""COMPUTED_VALUE"""),-0.618197977094766)</f>
        <v>-0.61819797709476598</v>
      </c>
      <c r="AO113" s="3">
        <f ca="1">IFERROR(__xludf.DUMMYFUNCTION("""COMPUTED_VALUE"""),-0.736446312731471)</f>
        <v>-0.73644631273147099</v>
      </c>
      <c r="AP113" s="3">
        <f ca="1">IFERROR(__xludf.DUMMYFUNCTION("""COMPUTED_VALUE"""),-0.717017201891458)</f>
        <v>-0.71701720189145801</v>
      </c>
      <c r="AQ113" s="3">
        <f ca="1">IFERROR(__xludf.DUMMYFUNCTION("""COMPUTED_VALUE"""),-0.705254917219046)</f>
        <v>-0.70525491721904598</v>
      </c>
      <c r="AR113" s="3">
        <f ca="1">IFERROR(__xludf.DUMMYFUNCTION("""COMPUTED_VALUE"""),-0.745481514678836)</f>
        <v>-0.74548151467883605</v>
      </c>
      <c r="AS113" s="3">
        <f ca="1">IFERROR(__xludf.DUMMYFUNCTION("""COMPUTED_VALUE"""),-0.698984288221932)</f>
        <v>-0.69898428822193204</v>
      </c>
      <c r="AT113" s="3">
        <f ca="1">IFERROR(__xludf.DUMMYFUNCTION("""COMPUTED_VALUE"""),-0.616605705869052)</f>
        <v>-0.61660570586905195</v>
      </c>
      <c r="AU113" s="3">
        <f ca="1">IFERROR(__xludf.DUMMYFUNCTION("""COMPUTED_VALUE"""),-0.66460859950745)</f>
        <v>-0.66460859950744999</v>
      </c>
      <c r="AV113" s="3">
        <f ca="1">IFERROR(__xludf.DUMMYFUNCTION("""COMPUTED_VALUE"""),-0.720684832954182)</f>
        <v>-0.72068483295418195</v>
      </c>
      <c r="AW113" s="3">
        <f ca="1">IFERROR(__xludf.DUMMYFUNCTION("""COMPUTED_VALUE"""),-0.736238197236876)</f>
        <v>-0.736238197236876</v>
      </c>
      <c r="AX113" s="3">
        <f ca="1">IFERROR(__xludf.DUMMYFUNCTION("""COMPUTED_VALUE"""),-0.72959227545853)</f>
        <v>-0.72959227545853</v>
      </c>
      <c r="AY113" s="3">
        <f ca="1">IFERROR(__xludf.DUMMYFUNCTION("""COMPUTED_VALUE"""),-0.726853676176913)</f>
        <v>-0.72685367617691299</v>
      </c>
      <c r="AZ113" s="3">
        <f ca="1">IFERROR(__xludf.DUMMYFUNCTION("""COMPUTED_VALUE"""),-0.705536276188909)</f>
        <v>-0.70553627618890902</v>
      </c>
      <c r="BA113" s="3">
        <f ca="1">IFERROR(__xludf.DUMMYFUNCTION("""COMPUTED_VALUE"""),-0.632593079476645)</f>
        <v>-0.632593079476645</v>
      </c>
      <c r="BB113" s="3">
        <f ca="1">IFERROR(__xludf.DUMMYFUNCTION("""COMPUTED_VALUE"""),-0.641394854397125)</f>
        <v>-0.64139485439712496</v>
      </c>
      <c r="BC113" s="3">
        <f ca="1">IFERROR(__xludf.DUMMYFUNCTION("""COMPUTED_VALUE"""),-0.704776720924929)</f>
        <v>-0.70477672092492905</v>
      </c>
      <c r="BD113" s="3">
        <f ca="1">IFERROR(__xludf.DUMMYFUNCTION("""COMPUTED_VALUE"""),-0.718291361996308)</f>
        <v>-0.71829136199630805</v>
      </c>
      <c r="BE113" s="3">
        <f ca="1">IFERROR(__xludf.DUMMYFUNCTION("""COMPUTED_VALUE"""),-0.709178064280725)</f>
        <v>-0.70917806428072505</v>
      </c>
      <c r="BF113" s="3">
        <f ca="1">IFERROR(__xludf.DUMMYFUNCTION("""COMPUTED_VALUE"""),-0.667613278917799)</f>
        <v>-0.66761327891779898</v>
      </c>
      <c r="BG113" s="3">
        <f ca="1">IFERROR(__xludf.DUMMYFUNCTION("""COMPUTED_VALUE"""),-0.545350746940333)</f>
        <v>-0.54535074694033303</v>
      </c>
      <c r="BH113" s="3">
        <f ca="1">IFERROR(__xludf.DUMMYFUNCTION("""COMPUTED_VALUE"""),-0.437830072482807)</f>
        <v>-0.43783007248280698</v>
      </c>
      <c r="BI113" s="3">
        <f ca="1">IFERROR(__xludf.DUMMYFUNCTION("""COMPUTED_VALUE"""),-0.688713694063863)</f>
        <v>-0.68871369406386296</v>
      </c>
      <c r="BJ113" s="3">
        <f ca="1">IFERROR(__xludf.DUMMYFUNCTION("""COMPUTED_VALUE"""),-0.678677842106056)</f>
        <v>-0.67867784210605597</v>
      </c>
      <c r="BK113" s="3">
        <f ca="1">IFERROR(__xludf.DUMMYFUNCTION("""COMPUTED_VALUE"""),-0.759594495316878)</f>
        <v>-0.75959449531687795</v>
      </c>
      <c r="BL113" s="3">
        <f ca="1">IFERROR(__xludf.DUMMYFUNCTION("""COMPUTED_VALUE"""),-0.729276228325813)</f>
        <v>-0.72927622832581296</v>
      </c>
      <c r="BM113" s="3">
        <f ca="1">IFERROR(__xludf.DUMMYFUNCTION("""COMPUTED_VALUE"""),-0.756366043880984)</f>
        <v>-0.75636604388098405</v>
      </c>
      <c r="BN113" s="3">
        <f ca="1">IFERROR(__xludf.DUMMYFUNCTION("""COMPUTED_VALUE"""),-0.738388476361645)</f>
        <v>-0.73838847636164495</v>
      </c>
      <c r="BO113" s="3">
        <f ca="1">IFERROR(__xludf.DUMMYFUNCTION("""COMPUTED_VALUE"""),-0.678900388562813)</f>
        <v>-0.67890038856281298</v>
      </c>
      <c r="BP113" s="3">
        <f ca="1">IFERROR(__xludf.DUMMYFUNCTION("""COMPUTED_VALUE"""),-0.668633958062132)</f>
        <v>-0.66863395806213199</v>
      </c>
      <c r="BQ113" s="3">
        <f ca="1">IFERROR(__xludf.DUMMYFUNCTION("""COMPUTED_VALUE"""),-0.755388187652574)</f>
        <v>-0.75538818765257398</v>
      </c>
      <c r="BR113" s="3">
        <f ca="1">IFERROR(__xludf.DUMMYFUNCTION("""COMPUTED_VALUE"""),-0.780382054132412)</f>
        <v>-0.78038205413241202</v>
      </c>
      <c r="BS113" s="3">
        <f ca="1">IFERROR(__xludf.DUMMYFUNCTION("""COMPUTED_VALUE"""),-0.747514968659715)</f>
        <v>-0.74751496865971501</v>
      </c>
      <c r="BT113" s="3">
        <f ca="1">IFERROR(__xludf.DUMMYFUNCTION("""COMPUTED_VALUE"""),-0.770592800766693)</f>
        <v>-0.77059280076669301</v>
      </c>
      <c r="BU113" s="3">
        <f ca="1">IFERROR(__xludf.DUMMYFUNCTION("""COMPUTED_VALUE"""),-0.767385150910945)</f>
        <v>-0.76738515091094495</v>
      </c>
      <c r="BV113" s="3">
        <f ca="1">IFERROR(__xludf.DUMMYFUNCTION("""COMPUTED_VALUE"""),-0.668258246045973)</f>
        <v>-0.66825824604597295</v>
      </c>
      <c r="BW113" s="3">
        <f ca="1">IFERROR(__xludf.DUMMYFUNCTION("""COMPUTED_VALUE"""),-0.69692748230375)</f>
        <v>-0.69692748230375001</v>
      </c>
      <c r="BX113" s="3">
        <f ca="1">IFERROR(__xludf.DUMMYFUNCTION("""COMPUTED_VALUE"""),-0.755187577953219)</f>
        <v>-0.755187577953219</v>
      </c>
      <c r="BY113" s="3">
        <f ca="1">IFERROR(__xludf.DUMMYFUNCTION("""COMPUTED_VALUE"""),-0.782501003489256)</f>
        <v>-0.782501003489256</v>
      </c>
      <c r="BZ113" s="3">
        <f ca="1">IFERROR(__xludf.DUMMYFUNCTION("""COMPUTED_VALUE"""),-0.760805216862397)</f>
        <v>-0.76080521686239699</v>
      </c>
      <c r="CA113" s="3">
        <f ca="1">IFERROR(__xludf.DUMMYFUNCTION("""COMPUTED_VALUE"""),-0.778589487366631)</f>
        <v>-0.77858948736663103</v>
      </c>
      <c r="CB113" s="3">
        <f ca="1">IFERROR(__xludf.DUMMYFUNCTION("""COMPUTED_VALUE"""),-0.732066040611903)</f>
        <v>-0.73206604061190295</v>
      </c>
      <c r="CC113" s="3">
        <f ca="1">IFERROR(__xludf.DUMMYFUNCTION("""COMPUTED_VALUE"""),-0.701168394603339)</f>
        <v>-0.70116839460333902</v>
      </c>
      <c r="CD113" s="3">
        <f ca="1">IFERROR(__xludf.DUMMYFUNCTION("""COMPUTED_VALUE"""),-0.700312113287042)</f>
        <v>-0.70031211328704202</v>
      </c>
      <c r="CE113" s="3">
        <f ca="1">IFERROR(__xludf.DUMMYFUNCTION("""COMPUTED_VALUE"""),-0.739099783785143)</f>
        <v>-0.73909978378514296</v>
      </c>
      <c r="CF113" s="3">
        <f ca="1">IFERROR(__xludf.DUMMYFUNCTION("""COMPUTED_VALUE"""),-0.769697789588821)</f>
        <v>-0.76969778958882096</v>
      </c>
      <c r="CG113" s="3">
        <f ca="1">IFERROR(__xludf.DUMMYFUNCTION("""COMPUTED_VALUE"""),-0.770110693960872)</f>
        <v>-0.77011069396087195</v>
      </c>
      <c r="CH113" s="3">
        <f ca="1">IFERROR(__xludf.DUMMYFUNCTION("""COMPUTED_VALUE"""),-0.766475481650115)</f>
        <v>-0.76647548165011503</v>
      </c>
      <c r="CI113" s="3">
        <f ca="1">IFERROR(__xludf.DUMMYFUNCTION("""COMPUTED_VALUE"""),-0.721488125214126)</f>
        <v>-0.72148812521412597</v>
      </c>
      <c r="CJ113" s="3">
        <f ca="1">IFERROR(__xludf.DUMMYFUNCTION("""COMPUTED_VALUE"""),-0.669961734952728)</f>
        <v>-0.66996173495272804</v>
      </c>
      <c r="CK113" s="3">
        <f ca="1">IFERROR(__xludf.DUMMYFUNCTION("""COMPUTED_VALUE"""),-0.668042081062612)</f>
        <v>-0.66804208106261198</v>
      </c>
      <c r="CL113" s="3">
        <f ca="1">IFERROR(__xludf.DUMMYFUNCTION("""COMPUTED_VALUE"""),-0.754026090485045)</f>
        <v>-0.75402609048504499</v>
      </c>
      <c r="CM113" s="3">
        <f ca="1">IFERROR(__xludf.DUMMYFUNCTION("""COMPUTED_VALUE"""),-0.774638411851194)</f>
        <v>-0.77463841185119398</v>
      </c>
      <c r="CN113" s="3">
        <f ca="1">IFERROR(__xludf.DUMMYFUNCTION("""COMPUTED_VALUE"""),-0.752967442967275)</f>
        <v>-0.75296744296727502</v>
      </c>
      <c r="CO113" s="3">
        <f ca="1">IFERROR(__xludf.DUMMYFUNCTION("""COMPUTED_VALUE"""),-0.787548274006769)</f>
        <v>-0.78754827400676897</v>
      </c>
      <c r="CP113" s="3">
        <f ca="1">IFERROR(__xludf.DUMMYFUNCTION("""COMPUTED_VALUE"""),-0.733899612184929)</f>
        <v>-0.73389961218492905</v>
      </c>
      <c r="CQ113" s="3">
        <f ca="1">IFERROR(__xludf.DUMMYFUNCTION("""COMPUTED_VALUE"""),-0.673347604299264)</f>
        <v>-0.67334760429926399</v>
      </c>
      <c r="CR113" s="3">
        <f ca="1">IFERROR(__xludf.DUMMYFUNCTION("""COMPUTED_VALUE"""),-0.657466095795123)</f>
        <v>-0.65746609579512305</v>
      </c>
      <c r="CS113" s="3">
        <f ca="1">IFERROR(__xludf.DUMMYFUNCTION("""COMPUTED_VALUE"""),-0.738802879079282)</f>
        <v>-0.73880287907928199</v>
      </c>
      <c r="CT113" s="3">
        <f ca="1">IFERROR(__xludf.DUMMYFUNCTION("""COMPUTED_VALUE"""),-0.738492787836715)</f>
        <v>-0.73849278783671501</v>
      </c>
      <c r="CU113" s="3">
        <f ca="1">IFERROR(__xludf.DUMMYFUNCTION("""COMPUTED_VALUE"""),-0.730089860564587)</f>
        <v>-0.73008986056458702</v>
      </c>
      <c r="CV113" s="3">
        <f ca="1">IFERROR(__xludf.DUMMYFUNCTION("""COMPUTED_VALUE"""),-0.733268059940828)</f>
        <v>-0.733268059940828</v>
      </c>
      <c r="CW113" s="3">
        <f ca="1">IFERROR(__xludf.DUMMYFUNCTION("""COMPUTED_VALUE"""),-0.739072797870401)</f>
        <v>-0.73907279787040103</v>
      </c>
      <c r="CX113" s="3">
        <f ca="1">IFERROR(__xludf.DUMMYFUNCTION("""COMPUTED_VALUE"""),-0.656891219516901)</f>
        <v>-0.65689121951690099</v>
      </c>
      <c r="CY113" s="3">
        <f ca="1">IFERROR(__xludf.DUMMYFUNCTION("""COMPUTED_VALUE"""),-0.675329762633755)</f>
        <v>-0.67532976263375499</v>
      </c>
      <c r="CZ113" s="3">
        <f ca="1">IFERROR(__xludf.DUMMYFUNCTION("""COMPUTED_VALUE"""),-0.788921119935702)</f>
        <v>-0.78892111993570202</v>
      </c>
      <c r="DA113" s="3">
        <f ca="1">IFERROR(__xludf.DUMMYFUNCTION("""COMPUTED_VALUE"""),-0.683703841992443)</f>
        <v>-0.68370384199244305</v>
      </c>
      <c r="DB113" s="3">
        <f ca="1">IFERROR(__xludf.DUMMYFUNCTION("""COMPUTED_VALUE"""),-0.61467505147672)</f>
        <v>-0.61467505147671997</v>
      </c>
      <c r="DC113" s="3">
        <f ca="1">IFERROR(__xludf.DUMMYFUNCTION("""COMPUTED_VALUE"""),-0.708622286409857)</f>
        <v>-0.70862228640985703</v>
      </c>
      <c r="DD113" s="3">
        <f ca="1">IFERROR(__xludf.DUMMYFUNCTION("""COMPUTED_VALUE"""),-0.716370699224682)</f>
        <v>-0.71637069922468199</v>
      </c>
      <c r="DE113" s="3">
        <f ca="1">IFERROR(__xludf.DUMMYFUNCTION("""COMPUTED_VALUE"""),-0.675268434986449)</f>
        <v>-0.67526843498644895</v>
      </c>
      <c r="DF113" s="3">
        <f ca="1">IFERROR(__xludf.DUMMYFUNCTION("""COMPUTED_VALUE"""),-0.690360185399102)</f>
        <v>-0.69036018539910204</v>
      </c>
      <c r="DG113" s="3">
        <f ca="1">IFERROR(__xludf.DUMMYFUNCTION("""COMPUTED_VALUE"""),-0.882594370333677)</f>
        <v>-0.88259437033367705</v>
      </c>
      <c r="DH113" s="3">
        <f ca="1">IFERROR(__xludf.DUMMYFUNCTION("""COMPUTED_VALUE"""),-0.704339786857835)</f>
        <v>-0.70433978685783505</v>
      </c>
      <c r="DI113" s="3">
        <f ca="1">IFERROR(__xludf.DUMMYFUNCTION("""COMPUTED_VALUE"""),-0.537376037449993)</f>
        <v>-0.53737603744999296</v>
      </c>
      <c r="DJ113" s="3">
        <f ca="1">IFERROR(__xludf.DUMMYFUNCTION("""COMPUTED_VALUE"""),-0.65917928446712)</f>
        <v>-0.65917928446712004</v>
      </c>
      <c r="DK113" s="3">
        <f ca="1">IFERROR(__xludf.DUMMYFUNCTION("""COMPUTED_VALUE"""),-0.694519056601341)</f>
        <v>-0.69451905660134095</v>
      </c>
      <c r="DL113" s="3">
        <f ca="1">IFERROR(__xludf.DUMMYFUNCTION("""COMPUTED_VALUE"""),-0.668471514893215)</f>
        <v>-0.66847151489321499</v>
      </c>
      <c r="DM113" s="3">
        <f ca="1">IFERROR(__xludf.DUMMYFUNCTION("""COMPUTED_VALUE"""),-0.650982286013242)</f>
        <v>-0.65098228601324204</v>
      </c>
      <c r="DN113" s="3">
        <f ca="1">IFERROR(__xludf.DUMMYFUNCTION("""COMPUTED_VALUE"""),-0.692730046461708)</f>
        <v>-0.69273004646170799</v>
      </c>
      <c r="DO113" s="3">
        <f ca="1">IFERROR(__xludf.DUMMYFUNCTION("""COMPUTED_VALUE"""),-0.70874813569884)</f>
        <v>-0.70874813569883999</v>
      </c>
      <c r="DP113" s="3">
        <f ca="1">IFERROR(__xludf.DUMMYFUNCTION("""COMPUTED_VALUE"""),-0.665864848949571)</f>
        <v>-0.66586484894957099</v>
      </c>
      <c r="DQ113" s="3">
        <f ca="1">IFERROR(__xludf.DUMMYFUNCTION("""COMPUTED_VALUE"""),-0.738578462116305)</f>
        <v>-0.73857846211630496</v>
      </c>
      <c r="DR113" s="3">
        <f ca="1">IFERROR(__xludf.DUMMYFUNCTION("""COMPUTED_VALUE"""),-0.731944785139097)</f>
        <v>-0.731944785139097</v>
      </c>
      <c r="DS113" s="3">
        <f ca="1">IFERROR(__xludf.DUMMYFUNCTION("""COMPUTED_VALUE"""),-0.668910558198467)</f>
        <v>-0.66891055819846701</v>
      </c>
      <c r="DT113" s="3">
        <f ca="1">IFERROR(__xludf.DUMMYFUNCTION("""COMPUTED_VALUE"""),-0.667014841897089)</f>
        <v>-0.66701484189708904</v>
      </c>
      <c r="DU113" s="3">
        <f ca="1">IFERROR(__xludf.DUMMYFUNCTION("""COMPUTED_VALUE"""),-0.766130786521644)</f>
        <v>-0.76613078652164401</v>
      </c>
      <c r="DV113" s="3">
        <f ca="1">IFERROR(__xludf.DUMMYFUNCTION("""COMPUTED_VALUE"""),-0.758387388507283)</f>
        <v>-0.75838738850728304</v>
      </c>
      <c r="DW113" s="3">
        <f ca="1">IFERROR(__xludf.DUMMYFUNCTION("""COMPUTED_VALUE"""),-0.741468403922872)</f>
        <v>-0.74146840392287205</v>
      </c>
      <c r="DX113" s="3">
        <f ca="1">IFERROR(__xludf.DUMMYFUNCTION("""COMPUTED_VALUE"""),-0.754013347950888)</f>
        <v>-0.75401334795088804</v>
      </c>
      <c r="DY113" s="3">
        <f ca="1">IFERROR(__xludf.DUMMYFUNCTION("""COMPUTED_VALUE"""),-0.740513301315221)</f>
        <v>-0.74051330131522097</v>
      </c>
      <c r="DZ113" s="3">
        <f ca="1">IFERROR(__xludf.DUMMYFUNCTION("""COMPUTED_VALUE"""),-0.635882707922726)</f>
        <v>-0.63588270792272605</v>
      </c>
      <c r="EA113" s="3">
        <f ca="1">IFERROR(__xludf.DUMMYFUNCTION("""COMPUTED_VALUE"""),-0.669375672362658)</f>
        <v>-0.66937567236265805</v>
      </c>
      <c r="EB113" s="3">
        <f ca="1">IFERROR(__xludf.DUMMYFUNCTION("""COMPUTED_VALUE"""),-0.718748746068095)</f>
        <v>-0.71874874606809502</v>
      </c>
      <c r="EC113" s="3">
        <f ca="1">IFERROR(__xludf.DUMMYFUNCTION("""COMPUTED_VALUE"""),-0.716507043739141)</f>
        <v>-0.71650704373914098</v>
      </c>
      <c r="ED113" s="3">
        <f ca="1">IFERROR(__xludf.DUMMYFUNCTION("""COMPUTED_VALUE"""),-0.738162277563718)</f>
        <v>-0.73816227756371799</v>
      </c>
      <c r="EE113" s="3">
        <f ca="1">IFERROR(__xludf.DUMMYFUNCTION("""COMPUTED_VALUE"""),-0.749951540924584)</f>
        <v>-0.74995154092458405</v>
      </c>
      <c r="EF113" s="3">
        <f ca="1">IFERROR(__xludf.DUMMYFUNCTION("""COMPUTED_VALUE"""),-0.740802303777252)</f>
        <v>-0.74080230377725198</v>
      </c>
      <c r="EG113" s="3">
        <f ca="1">IFERROR(__xludf.DUMMYFUNCTION("""COMPUTED_VALUE"""),-0.650917495588535)</f>
        <v>-0.65091749558853496</v>
      </c>
      <c r="EH113" s="3">
        <f ca="1">IFERROR(__xludf.DUMMYFUNCTION("""COMPUTED_VALUE"""),-0.693009855843919)</f>
        <v>-0.69300985584391905</v>
      </c>
      <c r="EI113" s="3">
        <f ca="1">IFERROR(__xludf.DUMMYFUNCTION("""COMPUTED_VALUE"""),-0.758756655798117)</f>
        <v>-0.75875665579811702</v>
      </c>
      <c r="EJ113" s="3">
        <f ca="1">IFERROR(__xludf.DUMMYFUNCTION("""COMPUTED_VALUE"""),-0.82276451165969)</f>
        <v>-0.82276451165969</v>
      </c>
      <c r="EK113" s="3">
        <f ca="1">IFERROR(__xludf.DUMMYFUNCTION("""COMPUTED_VALUE"""),-0.751514281615521)</f>
        <v>-0.75151428161552103</v>
      </c>
      <c r="EL113" s="3">
        <f ca="1">IFERROR(__xludf.DUMMYFUNCTION("""COMPUTED_VALUE"""),-0.756511576154865)</f>
        <v>-0.75651157615486497</v>
      </c>
      <c r="EM113" s="3">
        <f ca="1">IFERROR(__xludf.DUMMYFUNCTION("""COMPUTED_VALUE"""),-0.754910690801009)</f>
        <v>-0.75491069080100903</v>
      </c>
      <c r="EN113" s="3">
        <f ca="1">IFERROR(__xludf.DUMMYFUNCTION("""COMPUTED_VALUE"""),-0.644087231064191)</f>
        <v>-0.64408723106419097</v>
      </c>
      <c r="EO113" s="3">
        <f ca="1">IFERROR(__xludf.DUMMYFUNCTION("""COMPUTED_VALUE"""),-0.656108862794617)</f>
        <v>-0.656108862794617</v>
      </c>
      <c r="EP113" s="3">
        <f ca="1">IFERROR(__xludf.DUMMYFUNCTION("""COMPUTED_VALUE"""),-0.7046368340909)</f>
        <v>-0.70463683409090005</v>
      </c>
      <c r="EQ113" s="3">
        <f ca="1">IFERROR(__xludf.DUMMYFUNCTION("""COMPUTED_VALUE"""),-0.718447667316343)</f>
        <v>-0.71844766731634302</v>
      </c>
      <c r="ER113" s="3">
        <f ca="1">IFERROR(__xludf.DUMMYFUNCTION("""COMPUTED_VALUE"""),-0.742171823194336)</f>
        <v>-0.74217182319433594</v>
      </c>
      <c r="ES113" s="3">
        <f ca="1">IFERROR(__xludf.DUMMYFUNCTION("""COMPUTED_VALUE"""),-0.754223246794346)</f>
        <v>-0.75422324679434605</v>
      </c>
      <c r="ET113" s="3">
        <f ca="1">IFERROR(__xludf.DUMMYFUNCTION("""COMPUTED_VALUE"""),-0.72550107228281)</f>
        <v>-0.72550107228281002</v>
      </c>
      <c r="EU113" s="3">
        <f ca="1">IFERROR(__xludf.DUMMYFUNCTION("""COMPUTED_VALUE"""),-0.661222954300321)</f>
        <v>-0.66122295430032096</v>
      </c>
      <c r="EV113" s="3">
        <f ca="1">IFERROR(__xludf.DUMMYFUNCTION("""COMPUTED_VALUE"""),-0.676330212665607)</f>
        <v>-0.676330212665607</v>
      </c>
      <c r="EW113" s="3">
        <f ca="1">IFERROR(__xludf.DUMMYFUNCTION("""COMPUTED_VALUE"""),-0.725430903678575)</f>
        <v>-0.72543090367857499</v>
      </c>
      <c r="EX113" s="3">
        <f ca="1">IFERROR(__xludf.DUMMYFUNCTION("""COMPUTED_VALUE"""),-0.746631594743559)</f>
        <v>-0.746631594743559</v>
      </c>
      <c r="EY113" s="3">
        <f ca="1">IFERROR(__xludf.DUMMYFUNCTION("""COMPUTED_VALUE"""),-0.747353409627401)</f>
        <v>-0.74735340962740104</v>
      </c>
      <c r="EZ113" s="3">
        <f ca="1">IFERROR(__xludf.DUMMYFUNCTION("""COMPUTED_VALUE"""),-0.762050330832215)</f>
        <v>-0.76205033083221496</v>
      </c>
      <c r="FA113" s="3">
        <f ca="1">IFERROR(__xludf.DUMMYFUNCTION("""COMPUTED_VALUE"""),-0.719554068204443)</f>
        <v>-0.71955406820444301</v>
      </c>
      <c r="FB113" s="3">
        <f ca="1">IFERROR(__xludf.DUMMYFUNCTION("""COMPUTED_VALUE"""),-0.640288935946325)</f>
        <v>-0.64028893594632497</v>
      </c>
      <c r="FC113" s="3">
        <f ca="1">IFERROR(__xludf.DUMMYFUNCTION("""COMPUTED_VALUE"""),-0.649704100266898)</f>
        <v>-0.64970410026689795</v>
      </c>
      <c r="FD113" s="3">
        <f ca="1">IFERROR(__xludf.DUMMYFUNCTION("""COMPUTED_VALUE"""),-0.717836156826379)</f>
        <v>-0.71783615682637902</v>
      </c>
      <c r="FE113" s="3">
        <f ca="1">IFERROR(__xludf.DUMMYFUNCTION("""COMPUTED_VALUE"""),-0.74289993067374)</f>
        <v>-0.74289993067374005</v>
      </c>
      <c r="FF113" s="3">
        <f ca="1">IFERROR(__xludf.DUMMYFUNCTION("""COMPUTED_VALUE"""),-0.733544228968333)</f>
        <v>-0.73354422896833305</v>
      </c>
      <c r="FG113" s="3">
        <f ca="1">IFERROR(__xludf.DUMMYFUNCTION("""COMPUTED_VALUE"""),-0.76515391097453)</f>
        <v>-0.76515391097453</v>
      </c>
      <c r="FH113" s="3">
        <f ca="1">IFERROR(__xludf.DUMMYFUNCTION("""COMPUTED_VALUE"""),-0.709456786596682)</f>
        <v>-0.70945678659668199</v>
      </c>
      <c r="FI113" s="3">
        <f ca="1">IFERROR(__xludf.DUMMYFUNCTION("""COMPUTED_VALUE"""),-0.603318195189973)</f>
        <v>-0.60331819518997298</v>
      </c>
      <c r="FJ113" s="3">
        <f ca="1">IFERROR(__xludf.DUMMYFUNCTION("""COMPUTED_VALUE"""),-0.614913336518047)</f>
        <v>-0.61491333651804703</v>
      </c>
      <c r="FK113" s="3">
        <f ca="1">IFERROR(__xludf.DUMMYFUNCTION("""COMPUTED_VALUE"""),-0.698983224356355)</f>
        <v>-0.69898322435635496</v>
      </c>
      <c r="FL113" s="3">
        <f ca="1">IFERROR(__xludf.DUMMYFUNCTION("""COMPUTED_VALUE"""),-0.732264419912095)</f>
        <v>-0.73226441991209501</v>
      </c>
      <c r="FM113" s="3">
        <f ca="1">IFERROR(__xludf.DUMMYFUNCTION("""COMPUTED_VALUE"""),-0.718515434248797)</f>
        <v>-0.71851543424879705</v>
      </c>
      <c r="FN113" s="3">
        <f ca="1">IFERROR(__xludf.DUMMYFUNCTION("""COMPUTED_VALUE"""),-0.735220295958968)</f>
        <v>-0.73522029595896798</v>
      </c>
      <c r="FO113" s="3">
        <f ca="1">IFERROR(__xludf.DUMMYFUNCTION("""COMPUTED_VALUE"""),-0.731938197383652)</f>
        <v>-0.73193819738365196</v>
      </c>
      <c r="FP113" s="3">
        <f ca="1">IFERROR(__xludf.DUMMYFUNCTION("""COMPUTED_VALUE"""),-0.642197601461331)</f>
        <v>-0.64219760146133098</v>
      </c>
      <c r="FQ113" s="3">
        <f ca="1">IFERROR(__xludf.DUMMYFUNCTION("""COMPUTED_VALUE"""),-0.634954382418551)</f>
        <v>-0.63495438241855096</v>
      </c>
      <c r="FR113" s="3">
        <f ca="1">IFERROR(__xludf.DUMMYFUNCTION("""COMPUTED_VALUE"""),-0.721147979437802)</f>
        <v>-0.72114797943780196</v>
      </c>
      <c r="FS113" s="3">
        <f ca="1">IFERROR(__xludf.DUMMYFUNCTION("""COMPUTED_VALUE"""),-0.743872485924344)</f>
        <v>-0.74387248592434396</v>
      </c>
      <c r="FT113" s="3">
        <f ca="1">IFERROR(__xludf.DUMMYFUNCTION("""COMPUTED_VALUE"""),-0.723202079389596)</f>
        <v>-0.72320207938959602</v>
      </c>
      <c r="FU113" s="3">
        <f ca="1">IFERROR(__xludf.DUMMYFUNCTION("""COMPUTED_VALUE"""),-0.737642631686828)</f>
        <v>-0.73764263168682798</v>
      </c>
      <c r="FV113" s="3">
        <f ca="1">IFERROR(__xludf.DUMMYFUNCTION("""COMPUTED_VALUE"""),-0.733704425165767)</f>
        <v>-0.73370442516576695</v>
      </c>
      <c r="FW113" s="3">
        <f ca="1">IFERROR(__xludf.DUMMYFUNCTION("""COMPUTED_VALUE"""),-0.593998490469675)</f>
        <v>-0.59399849046967501</v>
      </c>
      <c r="FX113" s="3">
        <f ca="1">IFERROR(__xludf.DUMMYFUNCTION("""COMPUTED_VALUE"""),-0.619291937215467)</f>
        <v>-0.61929193721546705</v>
      </c>
      <c r="FY113" s="3">
        <f ca="1">IFERROR(__xludf.DUMMYFUNCTION("""COMPUTED_VALUE"""),-0.700115944273701)</f>
        <v>-0.70011594427370105</v>
      </c>
      <c r="FZ113" s="3">
        <f ca="1">IFERROR(__xludf.DUMMYFUNCTION("""COMPUTED_VALUE"""),-0.71569087741539)</f>
        <v>-0.71569087741538995</v>
      </c>
      <c r="GA113" s="3">
        <f ca="1">IFERROR(__xludf.DUMMYFUNCTION("""COMPUTED_VALUE"""),-0.723979153873687)</f>
        <v>-0.72397915387368705</v>
      </c>
      <c r="GB113" s="3">
        <f ca="1">IFERROR(__xludf.DUMMYFUNCTION("""COMPUTED_VALUE"""),-0.748943102566243)</f>
        <v>-0.74894310256624297</v>
      </c>
      <c r="GC113" s="3">
        <f ca="1">IFERROR(__xludf.DUMMYFUNCTION("""COMPUTED_VALUE"""),-0.721997554646835)</f>
        <v>-0.72199755464683502</v>
      </c>
      <c r="GD113" s="3">
        <f ca="1">IFERROR(__xludf.DUMMYFUNCTION("""COMPUTED_VALUE"""),-0.607457890629134)</f>
        <v>-0.60745789062913402</v>
      </c>
      <c r="GE113" s="3">
        <f ca="1">IFERROR(__xludf.DUMMYFUNCTION("""COMPUTED_VALUE"""),-0.637398292545605)</f>
        <v>-0.63739829254560498</v>
      </c>
      <c r="GF113" s="3">
        <f ca="1">IFERROR(__xludf.DUMMYFUNCTION("""COMPUTED_VALUE"""),-0.676495406988212)</f>
        <v>-0.67649540698821198</v>
      </c>
      <c r="GG113" s="3">
        <f ca="1">IFERROR(__xludf.DUMMYFUNCTION("""COMPUTED_VALUE"""),-0.741879652403792)</f>
        <v>-0.74187965240379194</v>
      </c>
      <c r="GH113" s="3">
        <f ca="1">IFERROR(__xludf.DUMMYFUNCTION("""COMPUTED_VALUE"""),-0.717282470531363)</f>
        <v>-0.71728247053136296</v>
      </c>
      <c r="GI113" s="3">
        <f ca="1">IFERROR(__xludf.DUMMYFUNCTION("""COMPUTED_VALUE"""),-0.711066635532126)</f>
        <v>-0.71106663553212601</v>
      </c>
      <c r="GJ113" s="3">
        <f ca="1">IFERROR(__xludf.DUMMYFUNCTION("""COMPUTED_VALUE"""),-0.702637434686295)</f>
        <v>-0.70263743468629503</v>
      </c>
      <c r="GK113" s="3">
        <f ca="1">IFERROR(__xludf.DUMMYFUNCTION("""COMPUTED_VALUE"""),-0.601884101612669)</f>
        <v>-0.60188410161266903</v>
      </c>
      <c r="GL113" s="3">
        <f ca="1">IFERROR(__xludf.DUMMYFUNCTION("""COMPUTED_VALUE"""),-0.601447086126089)</f>
        <v>-0.60144708612608899</v>
      </c>
      <c r="GM113" s="3">
        <f ca="1">IFERROR(__xludf.DUMMYFUNCTION("""COMPUTED_VALUE"""),-0.660286392653122)</f>
        <v>-0.66028639265312195</v>
      </c>
      <c r="GN113" s="3">
        <f ca="1">IFERROR(__xludf.DUMMYFUNCTION("""COMPUTED_VALUE"""),-0.703562199147438)</f>
        <v>-0.70356219914743801</v>
      </c>
      <c r="GO113" s="3">
        <f ca="1">IFERROR(__xludf.DUMMYFUNCTION("""COMPUTED_VALUE"""),-0.728645201809507)</f>
        <v>-0.72864520180950698</v>
      </c>
      <c r="GP113" s="3">
        <f ca="1">IFERROR(__xludf.DUMMYFUNCTION("""COMPUTED_VALUE"""),-0.737611476929286)</f>
        <v>-0.73761147692928597</v>
      </c>
      <c r="GQ113" s="3">
        <f ca="1">IFERROR(__xludf.DUMMYFUNCTION("""COMPUTED_VALUE"""),-0.720724552512539)</f>
        <v>-0.72072455251253897</v>
      </c>
      <c r="GR113" s="3">
        <f ca="1">IFERROR(__xludf.DUMMYFUNCTION("""COMPUTED_VALUE"""),-0.598460501723741)</f>
        <v>-0.59846050172374099</v>
      </c>
      <c r="GS113" s="3">
        <f ca="1">IFERROR(__xludf.DUMMYFUNCTION("""COMPUTED_VALUE"""),-0.639892174070088)</f>
        <v>-0.63989217407008803</v>
      </c>
      <c r="GT113" s="3">
        <f ca="1">IFERROR(__xludf.DUMMYFUNCTION("""COMPUTED_VALUE"""),-0.728273592343797)</f>
        <v>-0.72827359234379696</v>
      </c>
      <c r="GU113" s="3">
        <f ca="1">IFERROR(__xludf.DUMMYFUNCTION("""COMPUTED_VALUE"""),-0.708390658605647)</f>
        <v>-0.70839065860564698</v>
      </c>
      <c r="GV113" s="3">
        <f ca="1">IFERROR(__xludf.DUMMYFUNCTION("""COMPUTED_VALUE"""),-0.71826783976753)</f>
        <v>-0.71826783976752995</v>
      </c>
      <c r="GW113" s="3">
        <f ca="1">IFERROR(__xludf.DUMMYFUNCTION("""COMPUTED_VALUE"""),-0.726663302096372)</f>
        <v>-0.72666330209637198</v>
      </c>
      <c r="GX113" s="3">
        <f ca="1">IFERROR(__xludf.DUMMYFUNCTION("""COMPUTED_VALUE"""),-0.728214404810982)</f>
        <v>-0.72821440481098199</v>
      </c>
      <c r="GY113" s="3">
        <f ca="1">IFERROR(__xludf.DUMMYFUNCTION("""COMPUTED_VALUE"""),-0.571406194166379)</f>
        <v>-0.57140619416637894</v>
      </c>
      <c r="GZ113" s="3">
        <f ca="1">IFERROR(__xludf.DUMMYFUNCTION("""COMPUTED_VALUE"""),-0.624686497836294)</f>
        <v>-0.62468649783629404</v>
      </c>
      <c r="HA113" s="3">
        <f ca="1">IFERROR(__xludf.DUMMYFUNCTION("""COMPUTED_VALUE"""),-0.737309311302768)</f>
        <v>-0.737309311302768</v>
      </c>
      <c r="HB113" s="3">
        <f ca="1">IFERROR(__xludf.DUMMYFUNCTION("""COMPUTED_VALUE"""),-0.751231459581268)</f>
        <v>-0.75123145958126802</v>
      </c>
      <c r="HC113" s="3">
        <f ca="1">IFERROR(__xludf.DUMMYFUNCTION("""COMPUTED_VALUE"""),-0.746679006756086)</f>
        <v>-0.74667900675608601</v>
      </c>
      <c r="HD113" s="3">
        <f ca="1">IFERROR(__xludf.DUMMYFUNCTION("""COMPUTED_VALUE"""),-0.758868801434622)</f>
        <v>-0.75886880143462199</v>
      </c>
      <c r="HE113" s="3">
        <f ca="1">IFERROR(__xludf.DUMMYFUNCTION("""COMPUTED_VALUE"""),-0.777331845101966)</f>
        <v>-0.77733184510196596</v>
      </c>
      <c r="HF113" s="3">
        <f ca="1">IFERROR(__xludf.DUMMYFUNCTION("""COMPUTED_VALUE"""),-0.679234806679706)</f>
        <v>-0.67923480667970604</v>
      </c>
      <c r="HG113" s="3">
        <f ca="1">IFERROR(__xludf.DUMMYFUNCTION("""COMPUTED_VALUE"""),-0.705623479304627)</f>
        <v>-0.70562347930462699</v>
      </c>
      <c r="HH113" s="3">
        <f ca="1">IFERROR(__xludf.DUMMYFUNCTION("""COMPUTED_VALUE"""),-0.769723843643437)</f>
        <v>-0.76972384364343704</v>
      </c>
      <c r="HI113" s="3">
        <f ca="1">IFERROR(__xludf.DUMMYFUNCTION("""COMPUTED_VALUE"""),-0.731139523339493)</f>
        <v>-0.73113952333949295</v>
      </c>
      <c r="HJ113" s="3">
        <f ca="1">IFERROR(__xludf.DUMMYFUNCTION("""COMPUTED_VALUE"""),-0.707686499612172)</f>
        <v>-0.707686499612172</v>
      </c>
      <c r="HK113" s="3">
        <f ca="1">IFERROR(__xludf.DUMMYFUNCTION("""COMPUTED_VALUE"""),-0.691032449462123)</f>
        <v>-0.69103244946212306</v>
      </c>
      <c r="HL113" s="3">
        <f ca="1">IFERROR(__xludf.DUMMYFUNCTION("""COMPUTED_VALUE"""),-0.659419484223114)</f>
        <v>-0.65941948422311403</v>
      </c>
      <c r="HM113" s="3">
        <f ca="1">IFERROR(__xludf.DUMMYFUNCTION("""COMPUTED_VALUE"""),-0.583310213971752)</f>
        <v>-0.58331021397175198</v>
      </c>
      <c r="HN113" s="3">
        <f ca="1">IFERROR(__xludf.DUMMYFUNCTION("""COMPUTED_VALUE"""),-0.601398445317747)</f>
        <v>-0.601398445317747</v>
      </c>
      <c r="HO113" s="3">
        <f ca="1">IFERROR(__xludf.DUMMYFUNCTION("""COMPUTED_VALUE"""),-0.657715476253489)</f>
        <v>-0.65771547625348903</v>
      </c>
      <c r="HP113" s="3">
        <f ca="1">IFERROR(__xludf.DUMMYFUNCTION("""COMPUTED_VALUE"""),-0.684845168400341)</f>
        <v>-0.68484516840034104</v>
      </c>
      <c r="HQ113" s="3">
        <f ca="1">IFERROR(__xludf.DUMMYFUNCTION("""COMPUTED_VALUE"""),-0.670839707667051)</f>
        <v>-0.67083970766705103</v>
      </c>
      <c r="HR113" s="3">
        <f ca="1">IFERROR(__xludf.DUMMYFUNCTION("""COMPUTED_VALUE"""),-0.683720145637886)</f>
        <v>-0.68372014563788597</v>
      </c>
      <c r="HS113" s="3">
        <f ca="1">IFERROR(__xludf.DUMMYFUNCTION("""COMPUTED_VALUE"""),-0.626566697305629)</f>
        <v>-0.62656669730562897</v>
      </c>
      <c r="HT113" s="3">
        <f ca="1">IFERROR(__xludf.DUMMYFUNCTION("""COMPUTED_VALUE"""),-0.570514757876629)</f>
        <v>-0.57051475787662898</v>
      </c>
      <c r="HU113" s="3">
        <f ca="1">IFERROR(__xludf.DUMMYFUNCTION("""COMPUTED_VALUE"""),-0.591590720656487)</f>
        <v>-0.59159072065648699</v>
      </c>
      <c r="HV113" s="3">
        <f ca="1">IFERROR(__xludf.DUMMYFUNCTION("""COMPUTED_VALUE"""),-0.694211631694782)</f>
        <v>-0.69421163169478195</v>
      </c>
      <c r="HW113" s="3">
        <f ca="1">IFERROR(__xludf.DUMMYFUNCTION("""COMPUTED_VALUE"""),-0.700641934972243)</f>
        <v>-0.70064193497224303</v>
      </c>
      <c r="HX113" s="3">
        <f ca="1">IFERROR(__xludf.DUMMYFUNCTION("""COMPUTED_VALUE"""),-0.677733392012651)</f>
        <v>-0.67773339201265104</v>
      </c>
      <c r="HY113" s="3">
        <f ca="1">IFERROR(__xludf.DUMMYFUNCTION("""COMPUTED_VALUE"""),-0.697732224907453)</f>
        <v>-0.69773222490745301</v>
      </c>
      <c r="HZ113" s="3">
        <f ca="1">IFERROR(__xludf.DUMMYFUNCTION("""COMPUTED_VALUE"""),-0.603371600637746)</f>
        <v>-0.60337160063774598</v>
      </c>
      <c r="IA113" s="3">
        <f ca="1">IFERROR(__xludf.DUMMYFUNCTION("""COMPUTED_VALUE"""),-0.581697436338992)</f>
        <v>-0.58169743633899196</v>
      </c>
      <c r="IB113" s="3">
        <f ca="1">IFERROR(__xludf.DUMMYFUNCTION("""COMPUTED_VALUE"""),-0.585106774695434)</f>
        <v>-0.58510677469543404</v>
      </c>
      <c r="IC113" s="3">
        <f ca="1">IFERROR(__xludf.DUMMYFUNCTION("""COMPUTED_VALUE"""),-0.676380090127152)</f>
        <v>-0.67638009012715195</v>
      </c>
      <c r="ID113" s="3">
        <f ca="1">IFERROR(__xludf.DUMMYFUNCTION("""COMPUTED_VALUE"""),-0.695508859082353)</f>
        <v>-0.69550885908235305</v>
      </c>
      <c r="IE113" s="3">
        <f ca="1">IFERROR(__xludf.DUMMYFUNCTION("""COMPUTED_VALUE"""),-0.666173088700802)</f>
        <v>-0.66617308870080205</v>
      </c>
      <c r="IF113" s="3">
        <f ca="1">IFERROR(__xludf.DUMMYFUNCTION("""COMPUTED_VALUE"""),-0.666078420060845)</f>
        <v>-0.66607842006084494</v>
      </c>
      <c r="IG113" s="3">
        <f ca="1">IFERROR(__xludf.DUMMYFUNCTION("""COMPUTED_VALUE"""),-0.659744804373205)</f>
        <v>-0.65974480437320504</v>
      </c>
      <c r="IH113" s="3">
        <f ca="1">IFERROR(__xludf.DUMMYFUNCTION("""COMPUTED_VALUE"""),-0.617495849813112)</f>
        <v>-0.61749584981311201</v>
      </c>
      <c r="II113" s="3">
        <f ca="1">IFERROR(__xludf.DUMMYFUNCTION("""COMPUTED_VALUE"""),-0.588314624434581)</f>
        <v>-0.58831462443458105</v>
      </c>
      <c r="IJ113" s="3">
        <f ca="1">IFERROR(__xludf.DUMMYFUNCTION("""COMPUTED_VALUE"""),-0.674937206776999)</f>
        <v>-0.67493720677699898</v>
      </c>
      <c r="IK113" s="3">
        <f ca="1">IFERROR(__xludf.DUMMYFUNCTION("""COMPUTED_VALUE"""),-0.689368598129217)</f>
        <v>-0.68936859812921703</v>
      </c>
      <c r="IL113" s="3">
        <f ca="1">IFERROR(__xludf.DUMMYFUNCTION("""COMPUTED_VALUE"""),-0.671305941373137)</f>
        <v>-0.67130594137313704</v>
      </c>
      <c r="IM113" s="3">
        <f ca="1">IFERROR(__xludf.DUMMYFUNCTION("""COMPUTED_VALUE"""),-0.700319220633151)</f>
        <v>-0.700319220633151</v>
      </c>
      <c r="IN113" s="3">
        <f ca="1">IFERROR(__xludf.DUMMYFUNCTION("""COMPUTED_VALUE"""),-0.67602286143024)</f>
        <v>-0.67602286143024004</v>
      </c>
      <c r="IO113" s="3">
        <f ca="1">IFERROR(__xludf.DUMMYFUNCTION("""COMPUTED_VALUE"""),-0.618070082871818)</f>
        <v>-0.61807008287181797</v>
      </c>
      <c r="IP113" s="3">
        <f ca="1">IFERROR(__xludf.DUMMYFUNCTION("""COMPUTED_VALUE"""),-0.603776340124136)</f>
        <v>-0.60377634012413595</v>
      </c>
      <c r="IQ113" s="3">
        <f ca="1">IFERROR(__xludf.DUMMYFUNCTION("""COMPUTED_VALUE"""),-0.690202404369539)</f>
        <v>-0.69020240436953895</v>
      </c>
      <c r="IR113" s="3">
        <f ca="1">IFERROR(__xludf.DUMMYFUNCTION("""COMPUTED_VALUE"""),-0.697061429356671)</f>
        <v>-0.69706142935667104</v>
      </c>
      <c r="IS113" s="3">
        <f ca="1">IFERROR(__xludf.DUMMYFUNCTION("""COMPUTED_VALUE"""),-0.675277391004551)</f>
        <v>-0.67527739100455098</v>
      </c>
      <c r="IT113" s="3">
        <f ca="1">IFERROR(__xludf.DUMMYFUNCTION("""COMPUTED_VALUE"""),-0.693349537628504)</f>
        <v>-0.69334953762850404</v>
      </c>
      <c r="IU113" s="3">
        <f ca="1">IFERROR(__xludf.DUMMYFUNCTION("""COMPUTED_VALUE"""),-0.68223914180784)</f>
        <v>-0.68223914180783995</v>
      </c>
      <c r="IV113" s="3">
        <f ca="1">IFERROR(__xludf.DUMMYFUNCTION("""COMPUTED_VALUE"""),-0.577760429881838)</f>
        <v>-0.57776042988183796</v>
      </c>
      <c r="IW113" s="3">
        <f ca="1">IFERROR(__xludf.DUMMYFUNCTION("""COMPUTED_VALUE"""),-0.615520011904001)</f>
        <v>-0.61552001190400096</v>
      </c>
      <c r="IX113" s="3">
        <f ca="1">IFERROR(__xludf.DUMMYFUNCTION("""COMPUTED_VALUE"""),-0.678433440343734)</f>
        <v>-0.67843344034373398</v>
      </c>
      <c r="IY113" s="3">
        <f ca="1">IFERROR(__xludf.DUMMYFUNCTION("""COMPUTED_VALUE"""),-0.695772249189623)</f>
        <v>-0.69577224918962299</v>
      </c>
      <c r="IZ113" s="3">
        <f ca="1">IFERROR(__xludf.DUMMYFUNCTION("""COMPUTED_VALUE"""),-0.696517973383694)</f>
        <v>-0.69651797338369403</v>
      </c>
      <c r="JA113" s="3">
        <f ca="1">IFERROR(__xludf.DUMMYFUNCTION("""COMPUTED_VALUE"""),-0.705865571586106)</f>
        <v>-0.70586557158610597</v>
      </c>
      <c r="JB113" s="3">
        <f ca="1">IFERROR(__xludf.DUMMYFUNCTION("""COMPUTED_VALUE"""),-0.704381705837227)</f>
        <v>-0.70438170583722703</v>
      </c>
      <c r="JC113" s="3">
        <f ca="1">IFERROR(__xludf.DUMMYFUNCTION("""COMPUTED_VALUE"""),-0.62482021964786)</f>
        <v>-0.62482021964786005</v>
      </c>
      <c r="JD113" s="3">
        <f ca="1">IFERROR(__xludf.DUMMYFUNCTION("""COMPUTED_VALUE"""),-0.612940626759344)</f>
        <v>-0.61294062675934402</v>
      </c>
      <c r="JE113" s="3">
        <f ca="1">IFERROR(__xludf.DUMMYFUNCTION("""COMPUTED_VALUE"""),-0.697984356842233)</f>
        <v>-0.69798435684223303</v>
      </c>
      <c r="JF113" s="3">
        <f ca="1">IFERROR(__xludf.DUMMYFUNCTION("""COMPUTED_VALUE"""),-0.726802275268527)</f>
        <v>-0.72680227526852703</v>
      </c>
      <c r="JG113" s="3">
        <f ca="1">IFERROR(__xludf.DUMMYFUNCTION("""COMPUTED_VALUE"""),-0.715033760288958)</f>
        <v>-0.71503376028895804</v>
      </c>
      <c r="JH113" s="3">
        <f ca="1">IFERROR(__xludf.DUMMYFUNCTION("""COMPUTED_VALUE"""),-0.709640507025717)</f>
        <v>-0.70964050702571702</v>
      </c>
      <c r="JI113" s="3">
        <f ca="1">IFERROR(__xludf.DUMMYFUNCTION("""COMPUTED_VALUE"""),-0.706980167804622)</f>
        <v>-0.70698016780462203</v>
      </c>
      <c r="JJ113" s="3">
        <f ca="1">IFERROR(__xludf.DUMMYFUNCTION("""COMPUTED_VALUE"""),-0.621081166309964)</f>
        <v>-0.62108116630996402</v>
      </c>
      <c r="JK113" s="3">
        <f ca="1">IFERROR(__xludf.DUMMYFUNCTION("""COMPUTED_VALUE"""),-0.626235786976052)</f>
        <v>-0.62623578697605198</v>
      </c>
      <c r="JL113" s="3">
        <f ca="1">IFERROR(__xludf.DUMMYFUNCTION("""COMPUTED_VALUE"""),-0.725256700957174)</f>
        <v>-0.72525670095717398</v>
      </c>
      <c r="JM113" s="3">
        <f ca="1">IFERROR(__xludf.DUMMYFUNCTION("""COMPUTED_VALUE"""),-0.723382699709009)</f>
        <v>-0.72338269970900904</v>
      </c>
      <c r="JN113" s="3">
        <f ca="1">IFERROR(__xludf.DUMMYFUNCTION("""COMPUTED_VALUE"""),-0.712883443183014)</f>
        <v>-0.712883443183014</v>
      </c>
      <c r="JO113" s="3">
        <f ca="1">IFERROR(__xludf.DUMMYFUNCTION("""COMPUTED_VALUE"""),-0.72152883096025)</f>
        <v>-0.72152883096025</v>
      </c>
      <c r="JP113" s="3">
        <f ca="1">IFERROR(__xludf.DUMMYFUNCTION("""COMPUTED_VALUE"""),-0.720231805434379)</f>
        <v>-0.72023180543437904</v>
      </c>
      <c r="JQ113" s="3">
        <f ca="1">IFERROR(__xludf.DUMMYFUNCTION("""COMPUTED_VALUE"""),-0.645721932015495)</f>
        <v>-0.64572193201549499</v>
      </c>
      <c r="JR113" s="3">
        <f ca="1">IFERROR(__xludf.DUMMYFUNCTION("""COMPUTED_VALUE"""),-0.636197512855269)</f>
        <v>-0.63619751285526904</v>
      </c>
      <c r="JS113" s="3">
        <f ca="1">IFERROR(__xludf.DUMMYFUNCTION("""COMPUTED_VALUE"""),-0.694728926213952)</f>
        <v>-0.69472892621395199</v>
      </c>
      <c r="JT113" s="3">
        <f ca="1">IFERROR(__xludf.DUMMYFUNCTION("""COMPUTED_VALUE"""),-0.666300349508427)</f>
        <v>-0.66630034950842698</v>
      </c>
      <c r="JU113" s="3">
        <f ca="1">IFERROR(__xludf.DUMMYFUNCTION("""COMPUTED_VALUE"""),-0.693084540606408)</f>
        <v>-0.69308454060640801</v>
      </c>
      <c r="JV113" s="3">
        <f ca="1">IFERROR(__xludf.DUMMYFUNCTION("""COMPUTED_VALUE"""),-0.734867343440047)</f>
        <v>-0.73486734344004701</v>
      </c>
      <c r="JW113" s="3">
        <f ca="1">IFERROR(__xludf.DUMMYFUNCTION("""COMPUTED_VALUE"""),-0.72606642033742)</f>
        <v>-0.72606642033741997</v>
      </c>
      <c r="JX113" s="3">
        <f ca="1">IFERROR(__xludf.DUMMYFUNCTION("""COMPUTED_VALUE"""),-0.627494111880603)</f>
        <v>-0.627494111880603</v>
      </c>
      <c r="JY113" s="3">
        <f ca="1">IFERROR(__xludf.DUMMYFUNCTION("""COMPUTED_VALUE"""),-0.6647182022238)</f>
        <v>-0.66471820222379996</v>
      </c>
      <c r="JZ113" s="3">
        <f ca="1">IFERROR(__xludf.DUMMYFUNCTION("""COMPUTED_VALUE"""),-0.703987683431861)</f>
        <v>-0.70398768343186102</v>
      </c>
      <c r="KA113" s="3">
        <f ca="1">IFERROR(__xludf.DUMMYFUNCTION("""COMPUTED_VALUE"""),-0.66492026543949)</f>
        <v>-0.66492026543949001</v>
      </c>
      <c r="KB113" s="3">
        <f ca="1">IFERROR(__xludf.DUMMYFUNCTION("""COMPUTED_VALUE"""),-0.715398691110814)</f>
        <v>-0.715398691110814</v>
      </c>
      <c r="KC113" s="3">
        <f ca="1">IFERROR(__xludf.DUMMYFUNCTION("""COMPUTED_VALUE"""),-0.744100176916876)</f>
        <v>-0.74410017691687602</v>
      </c>
      <c r="KD113" s="3">
        <f ca="1">IFERROR(__xludf.DUMMYFUNCTION("""COMPUTED_VALUE"""),-0.73776722503541)</f>
        <v>-0.73776722503541003</v>
      </c>
      <c r="KE113" s="3">
        <f ca="1">IFERROR(__xludf.DUMMYFUNCTION("""COMPUTED_VALUE"""),-0.634865111737037)</f>
        <v>-0.63486511173703697</v>
      </c>
      <c r="KF113" s="3">
        <f ca="1">IFERROR(__xludf.DUMMYFUNCTION("""COMPUTED_VALUE"""),-0.65339402560085)</f>
        <v>-0.65339402560085003</v>
      </c>
      <c r="KG113" s="3">
        <f ca="1">IFERROR(__xludf.DUMMYFUNCTION("""COMPUTED_VALUE"""),-0.652951293443553)</f>
        <v>-0.65295129344355296</v>
      </c>
      <c r="KH113" s="3">
        <f ca="1">IFERROR(__xludf.DUMMYFUNCTION("""COMPUTED_VALUE"""),-0.627492435390452)</f>
        <v>-0.62749243539045196</v>
      </c>
      <c r="KI113" s="3">
        <f ca="1">IFERROR(__xludf.DUMMYFUNCTION("""COMPUTED_VALUE"""),-0.686292574897985)</f>
        <v>-0.68629257489798501</v>
      </c>
      <c r="KJ113" s="3">
        <f ca="1">IFERROR(__xludf.DUMMYFUNCTION("""COMPUTED_VALUE"""),-0.68556823248683)</f>
        <v>-0.68556823248682996</v>
      </c>
      <c r="KK113" s="3">
        <f ca="1">IFERROR(__xludf.DUMMYFUNCTION("""COMPUTED_VALUE"""),-0.69620478756994)</f>
        <v>-0.69620478756993998</v>
      </c>
      <c r="KL113" s="3">
        <f ca="1">IFERROR(__xludf.DUMMYFUNCTION("""COMPUTED_VALUE"""),-0.665262609211603)</f>
        <v>-0.66526260921160296</v>
      </c>
      <c r="KM113" s="3">
        <f ca="1">IFERROR(__xludf.DUMMYFUNCTION("""COMPUTED_VALUE"""),-0.67911862294447)</f>
        <v>-0.67911862294447001</v>
      </c>
      <c r="KN113" s="3">
        <f ca="1">IFERROR(__xludf.DUMMYFUNCTION("""COMPUTED_VALUE"""),-0.686437762174239)</f>
        <v>-0.68643776217423902</v>
      </c>
      <c r="KO113" s="3">
        <f ca="1">IFERROR(__xludf.DUMMYFUNCTION("""COMPUTED_VALUE"""),-0.705644492685598)</f>
        <v>-0.70564449268559803</v>
      </c>
      <c r="KP113" s="3">
        <f ca="1">IFERROR(__xludf.DUMMYFUNCTION("""COMPUTED_VALUE"""),-0.724478493756372)</f>
        <v>-0.72447849375637197</v>
      </c>
      <c r="KQ113" s="3">
        <f ca="1">IFERROR(__xludf.DUMMYFUNCTION("""COMPUTED_VALUE"""),-0.747463113867419)</f>
        <v>-0.74746311386741904</v>
      </c>
      <c r="KR113" s="3">
        <f ca="1">IFERROR(__xludf.DUMMYFUNCTION("""COMPUTED_VALUE"""),-0.72825673658486)</f>
        <v>-0.72825673658486001</v>
      </c>
      <c r="KS113" s="3">
        <f ca="1">IFERROR(__xludf.DUMMYFUNCTION("""COMPUTED_VALUE"""),-0.672309822763705)</f>
        <v>-0.67230982276370499</v>
      </c>
      <c r="KT113" s="3">
        <f ca="1">IFERROR(__xludf.DUMMYFUNCTION("""COMPUTED_VALUE"""),-0.672221905649797)</f>
        <v>-0.672221905649797</v>
      </c>
      <c r="KU113" s="3">
        <f ca="1">IFERROR(__xludf.DUMMYFUNCTION("""COMPUTED_VALUE"""),-0.745652248591131)</f>
        <v>-0.74565224859113099</v>
      </c>
      <c r="KV113" s="3">
        <f ca="1">IFERROR(__xludf.DUMMYFUNCTION("""COMPUTED_VALUE"""),-0.733956983870634)</f>
        <v>-0.73395698387063402</v>
      </c>
      <c r="KW113" s="3">
        <f ca="1">IFERROR(__xludf.DUMMYFUNCTION("""COMPUTED_VALUE"""),-0.74704139628423)</f>
        <v>-0.74704139628423005</v>
      </c>
      <c r="KX113" s="3">
        <f ca="1">IFERROR(__xludf.DUMMYFUNCTION("""COMPUTED_VALUE"""),-0.761940281175216)</f>
        <v>-0.76194028117521595</v>
      </c>
      <c r="KY113" s="3">
        <f ca="1">IFERROR(__xludf.DUMMYFUNCTION("""COMPUTED_VALUE"""),-0.749016415971003)</f>
        <v>-0.74901641597100299</v>
      </c>
      <c r="KZ113" s="3">
        <f ca="1">IFERROR(__xludf.DUMMYFUNCTION("""COMPUTED_VALUE"""),-0.692744156736832)</f>
        <v>-0.69274415673683198</v>
      </c>
      <c r="LA113" s="3">
        <f ca="1">IFERROR(__xludf.DUMMYFUNCTION("""COMPUTED_VALUE"""),-0.733591584783238)</f>
        <v>-0.73359158478323805</v>
      </c>
      <c r="LB113" s="3">
        <f ca="1">IFERROR(__xludf.DUMMYFUNCTION("""COMPUTED_VALUE"""),-0.741615166981162)</f>
        <v>-0.74161516698116203</v>
      </c>
      <c r="LC113" s="3">
        <f ca="1">IFERROR(__xludf.DUMMYFUNCTION("""COMPUTED_VALUE"""),-0.739690983334698)</f>
        <v>-0.73969098333469796</v>
      </c>
      <c r="LD113" s="3">
        <f ca="1">IFERROR(__xludf.DUMMYFUNCTION("""COMPUTED_VALUE"""),-0.746391699979488)</f>
        <v>-0.74639169997948795</v>
      </c>
      <c r="LE113" s="3">
        <f ca="1">IFERROR(__xludf.DUMMYFUNCTION("""COMPUTED_VALUE"""),-0.754171419866396)</f>
        <v>-0.75417141986639602</v>
      </c>
      <c r="LF113" s="3">
        <f ca="1">IFERROR(__xludf.DUMMYFUNCTION("""COMPUTED_VALUE"""),-0.723151978194447)</f>
        <v>-0.72315197819444699</v>
      </c>
      <c r="LG113" s="3">
        <f ca="1">IFERROR(__xludf.DUMMYFUNCTION("""COMPUTED_VALUE"""),-0.673058581092606)</f>
        <v>-0.67305858109260597</v>
      </c>
      <c r="LH113" s="3">
        <f ca="1">IFERROR(__xludf.DUMMYFUNCTION("""COMPUTED_VALUE"""),-0.731526460895805)</f>
        <v>-0.73152646089580498</v>
      </c>
      <c r="LI113" s="3">
        <f ca="1">IFERROR(__xludf.DUMMYFUNCTION("""COMPUTED_VALUE"""),-0.746799411169346)</f>
        <v>-0.74679941116934601</v>
      </c>
      <c r="LJ113" s="3">
        <f ca="1">IFERROR(__xludf.DUMMYFUNCTION("""COMPUTED_VALUE"""),-0.74570981162577)</f>
        <v>-0.74570981162576999</v>
      </c>
      <c r="LK113" s="3">
        <f ca="1">IFERROR(__xludf.DUMMYFUNCTION("""COMPUTED_VALUE"""),-0.767877837033559)</f>
        <v>-0.76787783703355905</v>
      </c>
      <c r="LL113" s="3">
        <f ca="1">IFERROR(__xludf.DUMMYFUNCTION("""COMPUTED_VALUE"""),-0.753322215478845)</f>
        <v>-0.75332221547884504</v>
      </c>
      <c r="LM113" s="3">
        <f ca="1">IFERROR(__xludf.DUMMYFUNCTION("""COMPUTED_VALUE"""),-0.787172154324076)</f>
        <v>-0.78717215432407595</v>
      </c>
      <c r="LN113" s="3">
        <f ca="1">IFERROR(__xludf.DUMMYFUNCTION("""COMPUTED_VALUE"""),-0.703682585446025)</f>
        <v>-0.70368258544602502</v>
      </c>
      <c r="LO113" s="3">
        <f ca="1">IFERROR(__xludf.DUMMYFUNCTION("""COMPUTED_VALUE"""),-0.759228936567127)</f>
        <v>-0.75922893656712698</v>
      </c>
      <c r="LP113" s="3">
        <f ca="1">IFERROR(__xludf.DUMMYFUNCTION("""COMPUTED_VALUE"""),-0.783581248690149)</f>
        <v>-0.783581248690149</v>
      </c>
      <c r="LQ113" s="3">
        <f ca="1">IFERROR(__xludf.DUMMYFUNCTION("""COMPUTED_VALUE"""),-0.800725640106337)</f>
        <v>-0.80072564010633696</v>
      </c>
      <c r="LR113" s="3">
        <f ca="1">IFERROR(__xludf.DUMMYFUNCTION("""COMPUTED_VALUE"""),-0.777979427803623)</f>
        <v>-0.77797942780362295</v>
      </c>
      <c r="LS113" s="3">
        <f ca="1">IFERROR(__xludf.DUMMYFUNCTION("""COMPUTED_VALUE"""),-0.796565610589533)</f>
        <v>-0.79656561058953301</v>
      </c>
      <c r="LT113" s="3">
        <f ca="1">IFERROR(__xludf.DUMMYFUNCTION("""COMPUTED_VALUE"""),-0.773733571155849)</f>
        <v>-0.77373357115584895</v>
      </c>
      <c r="LU113" s="3">
        <f ca="1">IFERROR(__xludf.DUMMYFUNCTION("""COMPUTED_VALUE"""),-0.761512638466494)</f>
        <v>-0.76151263846649397</v>
      </c>
      <c r="LV113" s="3">
        <f ca="1">IFERROR(__xludf.DUMMYFUNCTION("""COMPUTED_VALUE"""),-0.7276111693866)</f>
        <v>-0.72761116938659998</v>
      </c>
      <c r="LW113" s="3">
        <f ca="1">IFERROR(__xludf.DUMMYFUNCTION("""COMPUTED_VALUE"""),-0.776989442758694)</f>
        <v>-0.77698944275869397</v>
      </c>
      <c r="LX113" s="3">
        <f ca="1">IFERROR(__xludf.DUMMYFUNCTION("""COMPUTED_VALUE"""),-0.80473907058465)</f>
        <v>-0.80473907058465</v>
      </c>
      <c r="LY113" s="3">
        <f ca="1">IFERROR(__xludf.DUMMYFUNCTION("""COMPUTED_VALUE"""),-0.80649087056831)</f>
        <v>-0.80649087056831004</v>
      </c>
      <c r="LZ113" s="3">
        <f ca="1">IFERROR(__xludf.DUMMYFUNCTION("""COMPUTED_VALUE"""),-0.804661853752293)</f>
        <v>-0.80466185375229304</v>
      </c>
      <c r="MA113" s="3">
        <f ca="1">IFERROR(__xludf.DUMMYFUNCTION("""COMPUTED_VALUE"""),-0.767111194005265)</f>
        <v>-0.76711119400526495</v>
      </c>
      <c r="MB113" s="3">
        <f ca="1">IFERROR(__xludf.DUMMYFUNCTION("""COMPUTED_VALUE"""),-0.738048716004346)</f>
        <v>-0.73804871600434596</v>
      </c>
      <c r="MC113" s="3">
        <f ca="1">IFERROR(__xludf.DUMMYFUNCTION("""COMPUTED_VALUE"""),-0.743939889743978)</f>
        <v>-0.74393988974397796</v>
      </c>
      <c r="MD113" s="3">
        <f ca="1">IFERROR(__xludf.DUMMYFUNCTION("""COMPUTED_VALUE"""),-0.742553895336765)</f>
        <v>-0.74255389533676497</v>
      </c>
      <c r="ME113" s="3">
        <f ca="1">IFERROR(__xludf.DUMMYFUNCTION("""COMPUTED_VALUE"""),-0.799213551001299)</f>
        <v>-0.79921355100129898</v>
      </c>
      <c r="MF113" s="3">
        <f ca="1">IFERROR(__xludf.DUMMYFUNCTION("""COMPUTED_VALUE"""),-0.792527188862081)</f>
        <v>-0.79252718886208096</v>
      </c>
      <c r="MG113" s="3">
        <f ca="1">IFERROR(__xludf.DUMMYFUNCTION("""COMPUTED_VALUE"""),-0.776996119653906)</f>
        <v>-0.77699611965390603</v>
      </c>
      <c r="MH113" s="3">
        <f ca="1">IFERROR(__xludf.DUMMYFUNCTION("""COMPUTED_VALUE"""),-0.79826588468781)</f>
        <v>-0.79826588468781001</v>
      </c>
      <c r="MI113" s="3">
        <f ca="1">IFERROR(__xludf.DUMMYFUNCTION("""COMPUTED_VALUE"""),-0.734066532438456)</f>
        <v>-0.73406653243845599</v>
      </c>
      <c r="MJ113" s="3">
        <f ca="1">IFERROR(__xludf.DUMMYFUNCTION("""COMPUTED_VALUE"""),-0.766921923738846)</f>
        <v>-0.76692192373884605</v>
      </c>
      <c r="MK113" s="3">
        <f ca="1">IFERROR(__xludf.DUMMYFUNCTION("""COMPUTED_VALUE"""),-0.801331867090608)</f>
        <v>-0.801331867090608</v>
      </c>
      <c r="ML113" s="3">
        <f ca="1">IFERROR(__xludf.DUMMYFUNCTION("""COMPUTED_VALUE"""),-0.798257376299265)</f>
        <v>-0.79825737629926496</v>
      </c>
      <c r="MM113" s="3">
        <f ca="1">IFERROR(__xludf.DUMMYFUNCTION("""COMPUTED_VALUE"""),-0.783818514366816)</f>
        <v>-0.78381851436681604</v>
      </c>
      <c r="MN113" s="3">
        <f ca="1">IFERROR(__xludf.DUMMYFUNCTION("""COMPUTED_VALUE"""),-0.803129916203607)</f>
        <v>-0.80312991620360696</v>
      </c>
      <c r="MO113" s="3">
        <f ca="1">IFERROR(__xludf.DUMMYFUNCTION("""COMPUTED_VALUE"""),-0.807585413971968)</f>
        <v>-0.80758541397196804</v>
      </c>
      <c r="MP113" s="3">
        <f ca="1">IFERROR(__xludf.DUMMYFUNCTION("""COMPUTED_VALUE"""),-0.738117046855032)</f>
        <v>-0.73811704685503199</v>
      </c>
      <c r="MQ113" s="3">
        <f ca="1">IFERROR(__xludf.DUMMYFUNCTION("""COMPUTED_VALUE"""),-0.77340527848468)</f>
        <v>-0.77340527848467999</v>
      </c>
      <c r="MR113" s="3">
        <f ca="1">IFERROR(__xludf.DUMMYFUNCTION("""COMPUTED_VALUE"""),-0.807767278275717)</f>
        <v>-0.80776727827571704</v>
      </c>
      <c r="MS113" s="3">
        <f ca="1">IFERROR(__xludf.DUMMYFUNCTION("""COMPUTED_VALUE"""),-0.821045951616421)</f>
        <v>-0.82104595161642102</v>
      </c>
      <c r="MT113" s="3">
        <f ca="1">IFERROR(__xludf.DUMMYFUNCTION("""COMPUTED_VALUE"""),-0.825276356529791)</f>
        <v>-0.82527635652979103</v>
      </c>
      <c r="MU113" s="3">
        <f ca="1">IFERROR(__xludf.DUMMYFUNCTION("""COMPUTED_VALUE"""),-0.786385881445876)</f>
        <v>-0.78638588144587596</v>
      </c>
      <c r="MV113" s="3">
        <f ca="1">IFERROR(__xludf.DUMMYFUNCTION("""COMPUTED_VALUE"""),-0.764570188988131)</f>
        <v>-0.76457018898813101</v>
      </c>
      <c r="MW113" s="3">
        <f ca="1">IFERROR(__xludf.DUMMYFUNCTION("""COMPUTED_VALUE"""),-0.715321653517574)</f>
        <v>-0.71532165351757404</v>
      </c>
      <c r="MX113" s="3">
        <f ca="1">IFERROR(__xludf.DUMMYFUNCTION("""COMPUTED_VALUE"""),-0.762602601016381)</f>
        <v>-0.762602601016381</v>
      </c>
      <c r="MY113" s="3">
        <f ca="1">IFERROR(__xludf.DUMMYFUNCTION("""COMPUTED_VALUE"""),-0.779021291608786)</f>
        <v>-0.77902129160878597</v>
      </c>
      <c r="MZ113" s="3">
        <f ca="1">IFERROR(__xludf.DUMMYFUNCTION("""COMPUTED_VALUE"""),-0.796861259547824)</f>
        <v>-0.79686125954782405</v>
      </c>
      <c r="NA113" s="3">
        <f ca="1">IFERROR(__xludf.DUMMYFUNCTION("""COMPUTED_VALUE"""),-0.807198787931706)</f>
        <v>-0.80719878793170596</v>
      </c>
      <c r="NB113" s="3">
        <f ca="1">IFERROR(__xludf.DUMMYFUNCTION("""COMPUTED_VALUE"""),-0.817170854000311)</f>
        <v>-0.81717085400031098</v>
      </c>
      <c r="NC113" s="3">
        <f ca="1">IFERROR(__xludf.DUMMYFUNCTION("""COMPUTED_VALUE"""),-0.793599254775406)</f>
        <v>-0.79359925477540605</v>
      </c>
      <c r="ND113" s="3">
        <f ca="1">IFERROR(__xludf.DUMMYFUNCTION("""COMPUTED_VALUE"""),-0.727957294878378)</f>
        <v>-0.72795729487837801</v>
      </c>
      <c r="NE113" s="3">
        <f ca="1">IFERROR(__xludf.DUMMYFUNCTION("""COMPUTED_VALUE"""),-0.73867173441302)</f>
        <v>-0.73867173441302003</v>
      </c>
      <c r="NF113" s="3">
        <f ca="1">IFERROR(__xludf.DUMMYFUNCTION("""COMPUTED_VALUE"""),-0.764788880730611)</f>
        <v>-0.76478888073061102</v>
      </c>
      <c r="NG113" s="3">
        <f ca="1">IFERROR(__xludf.DUMMYFUNCTION("""COMPUTED_VALUE"""),-0.790728943175826)</f>
        <v>-0.79072894317582598</v>
      </c>
      <c r="NH113" s="3">
        <f ca="1">IFERROR(__xludf.DUMMYFUNCTION("""COMPUTED_VALUE"""),-0.789530321532699)</f>
        <v>-0.78953032153269898</v>
      </c>
      <c r="NI113" s="3">
        <f ca="1">IFERROR(__xludf.DUMMYFUNCTION("""COMPUTED_VALUE"""),-0.779943374121362)</f>
        <v>-0.77994337412136205</v>
      </c>
      <c r="NJ113" s="3">
        <f ca="1">IFERROR(__xludf.DUMMYFUNCTION("""COMPUTED_VALUE"""),-0.774908042220403)</f>
        <v>-0.77490804222040299</v>
      </c>
      <c r="NK113" s="3">
        <f ca="1">IFERROR(__xludf.DUMMYFUNCTION("""COMPUTED_VALUE"""),-0.692055531037991)</f>
        <v>-0.692055531037991</v>
      </c>
      <c r="NL113" s="3">
        <f ca="1">IFERROR(__xludf.DUMMYFUNCTION("""COMPUTED_VALUE"""),-0.739900802670694)</f>
        <v>-0.73990080267069402</v>
      </c>
      <c r="NM113" s="3">
        <f ca="1">IFERROR(__xludf.DUMMYFUNCTION("""COMPUTED_VALUE"""),-0.767945534627776)</f>
        <v>-0.76794553462777604</v>
      </c>
      <c r="NN113" s="3">
        <f ca="1">IFERROR(__xludf.DUMMYFUNCTION("""COMPUTED_VALUE"""),-0.754361878611265)</f>
        <v>-0.75436187861126502</v>
      </c>
      <c r="NO113" s="3">
        <f ca="1">IFERROR(__xludf.DUMMYFUNCTION("""COMPUTED_VALUE"""),-0.766060783665645)</f>
        <v>-0.76606078366564501</v>
      </c>
      <c r="NP113" s="3">
        <f ca="1">IFERROR(__xludf.DUMMYFUNCTION("""COMPUTED_VALUE"""),-0.793482419271598)</f>
        <v>-0.79348241927159802</v>
      </c>
      <c r="NQ113" s="3">
        <f ca="1">IFERROR(__xludf.DUMMYFUNCTION("""COMPUTED_VALUE"""),-0.786102505516674)</f>
        <v>-0.78610250551667404</v>
      </c>
      <c r="NR113" s="3">
        <f ca="1">IFERROR(__xludf.DUMMYFUNCTION("""COMPUTED_VALUE"""),-0.709752643672055)</f>
        <v>-0.70975264367205504</v>
      </c>
      <c r="NS113" s="3">
        <f ca="1">IFERROR(__xludf.DUMMYFUNCTION("""COMPUTED_VALUE"""),-0.742228966300471)</f>
        <v>-0.74222896630047097</v>
      </c>
      <c r="NT113" s="3">
        <f ca="1">IFERROR(__xludf.DUMMYFUNCTION("""COMPUTED_VALUE"""),-0.761992794556882)</f>
        <v>-0.76199279455688196</v>
      </c>
      <c r="NU113" s="3">
        <f ca="1">IFERROR(__xludf.DUMMYFUNCTION("""COMPUTED_VALUE"""),-0.771497062852164)</f>
        <v>-0.77149706285216402</v>
      </c>
      <c r="NV113" s="3">
        <f ca="1">IFERROR(__xludf.DUMMYFUNCTION("""COMPUTED_VALUE"""),-0.792839873492363)</f>
        <v>-0.79283987349236296</v>
      </c>
      <c r="NW113" s="3">
        <f ca="1">IFERROR(__xludf.DUMMYFUNCTION("""COMPUTED_VALUE"""),-0.752040198425576)</f>
        <v>-0.75204019842557601</v>
      </c>
      <c r="NX113" s="3">
        <f ca="1">IFERROR(__xludf.DUMMYFUNCTION("""COMPUTED_VALUE"""),-0.721219746258387)</f>
        <v>-0.72121974625838703</v>
      </c>
      <c r="NY113" s="3">
        <f ca="1">IFERROR(__xludf.DUMMYFUNCTION("""COMPUTED_VALUE"""),-0.630721658944157)</f>
        <v>-0.63072165894415699</v>
      </c>
      <c r="NZ113" s="3">
        <f ca="1">IFERROR(__xludf.DUMMYFUNCTION("""COMPUTED_VALUE"""),-0.605682535743656)</f>
        <v>-0.60568253574365605</v>
      </c>
      <c r="OA113" s="3">
        <f ca="1">IFERROR(__xludf.DUMMYFUNCTION("""COMPUTED_VALUE"""),-0.633349499971789)</f>
        <v>-0.63334949997178902</v>
      </c>
      <c r="OB113" s="3">
        <f ca="1">IFERROR(__xludf.DUMMYFUNCTION("""COMPUTED_VALUE"""),-0.635108506265143)</f>
        <v>-0.63510850626514304</v>
      </c>
      <c r="OC113" s="3">
        <f ca="1">IFERROR(__xludf.DUMMYFUNCTION("""COMPUTED_VALUE"""),-0.619400332380091)</f>
        <v>-0.61940033238009096</v>
      </c>
      <c r="OD113" s="3">
        <f ca="1">IFERROR(__xludf.DUMMYFUNCTION("""COMPUTED_VALUE"""),-0.554223700551475)</f>
        <v>-0.55422370055147496</v>
      </c>
      <c r="OE113" s="3">
        <f ca="1">IFERROR(__xludf.DUMMYFUNCTION("""COMPUTED_VALUE"""),-0.469705258926777)</f>
        <v>-0.469705258926777</v>
      </c>
      <c r="OF113" s="3">
        <f ca="1">IFERROR(__xludf.DUMMYFUNCTION("""COMPUTED_VALUE"""),-0.334323983319928)</f>
        <v>-0.33432398331992802</v>
      </c>
      <c r="OG113" s="3">
        <f ca="1">IFERROR(__xludf.DUMMYFUNCTION("""COMPUTED_VALUE"""),-0.352766664893486)</f>
        <v>-0.35276666489348601</v>
      </c>
      <c r="OH113" s="3">
        <f ca="1">IFERROR(__xludf.DUMMYFUNCTION("""COMPUTED_VALUE"""),-0.263971861174407)</f>
        <v>-0.26397186117440702</v>
      </c>
      <c r="OI113" s="3">
        <f ca="1">IFERROR(__xludf.DUMMYFUNCTION("""COMPUTED_VALUE"""),-0.142909056095785)</f>
        <v>-0.142909056095785</v>
      </c>
      <c r="OJ113" s="3">
        <f ca="1">IFERROR(__xludf.DUMMYFUNCTION("""COMPUTED_VALUE"""),-0.117959332269694)</f>
        <v>-0.117959332269694</v>
      </c>
      <c r="OK113" s="3">
        <f ca="1">IFERROR(__xludf.DUMMYFUNCTION("""COMPUTED_VALUE"""),-0.0733636331731798)</f>
        <v>-7.3363633173179801E-2</v>
      </c>
      <c r="OL113" s="3">
        <f ca="1">IFERROR(__xludf.DUMMYFUNCTION("""COMPUTED_VALUE"""),-0.0840938995728308)</f>
        <v>-8.4093899572830796E-2</v>
      </c>
      <c r="OM113" s="3">
        <f ca="1">IFERROR(__xludf.DUMMYFUNCTION("""COMPUTED_VALUE"""),-0.100479268117651)</f>
        <v>-0.100479268117651</v>
      </c>
      <c r="ON113" s="3">
        <f ca="1">IFERROR(__xludf.DUMMYFUNCTION("""COMPUTED_VALUE"""),-0.0454760210388844)</f>
        <v>-4.5476021038884401E-2</v>
      </c>
      <c r="OO113" s="3">
        <f ca="1">IFERROR(__xludf.DUMMYFUNCTION("""COMPUTED_VALUE"""),-0.0351934044258017)</f>
        <v>-3.5193404425801697E-2</v>
      </c>
      <c r="OP113" s="3">
        <f ca="1">IFERROR(__xludf.DUMMYFUNCTION("""COMPUTED_VALUE"""),-0.0120052120132299)</f>
        <v>-1.2005212013229899E-2</v>
      </c>
      <c r="OQ113" s="3">
        <f ca="1">IFERROR(__xludf.DUMMYFUNCTION("""COMPUTED_VALUE"""),-0.0121029087588717)</f>
        <v>-1.2102908758871701E-2</v>
      </c>
      <c r="OR113" s="3">
        <f ca="1">IFERROR(__xludf.DUMMYFUNCTION("""COMPUTED_VALUE"""),-0.0713423530179582)</f>
        <v>-7.1342353017958202E-2</v>
      </c>
      <c r="OS113" s="3">
        <f ca="1">IFERROR(__xludf.DUMMYFUNCTION("""COMPUTED_VALUE"""),-0.0163716541483871)</f>
        <v>-1.6371654148387101E-2</v>
      </c>
      <c r="OT113" s="3">
        <f ca="1">IFERROR(__xludf.DUMMYFUNCTION("""COMPUTED_VALUE"""),-0.0394530050267664)</f>
        <v>-3.9453005026766401E-2</v>
      </c>
      <c r="OU113" s="3">
        <f ca="1">IFERROR(__xludf.DUMMYFUNCTION("""COMPUTED_VALUE"""),-0.0692115931936363)</f>
        <v>-6.9211593193636303E-2</v>
      </c>
      <c r="OV113" s="3">
        <f ca="1">IFERROR(__xludf.DUMMYFUNCTION("""COMPUTED_VALUE"""),0.0190390607645114)</f>
        <v>1.9039060764511399E-2</v>
      </c>
      <c r="OW113" s="3">
        <f ca="1">IFERROR(__xludf.DUMMYFUNCTION("""COMPUTED_VALUE"""),-0.0399882514845791)</f>
        <v>-3.9988251484579102E-2</v>
      </c>
      <c r="OX113" s="3">
        <f ca="1">IFERROR(__xludf.DUMMYFUNCTION("""COMPUTED_VALUE"""),-0.0095357439803998)</f>
        <v>-9.5357439803998006E-3</v>
      </c>
      <c r="OY113" s="3">
        <f ca="1">IFERROR(__xludf.DUMMYFUNCTION("""COMPUTED_VALUE"""),-0.0318282549426612)</f>
        <v>-3.1828254942661199E-2</v>
      </c>
      <c r="OZ113" s="3">
        <f ca="1">IFERROR(__xludf.DUMMYFUNCTION("""COMPUTED_VALUE"""),0.00434985453915293)</f>
        <v>4.34985453915293E-3</v>
      </c>
      <c r="PA113" s="3">
        <f ca="1">IFERROR(__xludf.DUMMYFUNCTION("""COMPUTED_VALUE"""),0.018810520069922)</f>
        <v>1.8810520069921999E-2</v>
      </c>
      <c r="PB113" s="3">
        <f ca="1">IFERROR(__xludf.DUMMYFUNCTION("""COMPUTED_VALUE"""),0.00129800407244751)</f>
        <v>1.29800407244751E-3</v>
      </c>
      <c r="PC113" s="3">
        <f ca="1">IFERROR(__xludf.DUMMYFUNCTION("""COMPUTED_VALUE"""),0.0262749420671337)</f>
        <v>2.62749420671337E-2</v>
      </c>
      <c r="PD113" s="3">
        <f ca="1">IFERROR(__xludf.DUMMYFUNCTION("""COMPUTED_VALUE"""),0.0216774008541063)</f>
        <v>2.1677400854106299E-2</v>
      </c>
      <c r="PE113" s="3">
        <f ca="1">IFERROR(__xludf.DUMMYFUNCTION("""COMPUTED_VALUE"""),0.0390764791029285)</f>
        <v>3.9076479102928503E-2</v>
      </c>
      <c r="PF113" s="3">
        <f ca="1">IFERROR(__xludf.DUMMYFUNCTION("""COMPUTED_VALUE"""),-0.0546471273517755)</f>
        <v>-5.4647127351775501E-2</v>
      </c>
      <c r="PG113" s="3">
        <f ca="1">IFERROR(__xludf.DUMMYFUNCTION("""COMPUTED_VALUE"""),-0.0870007193361463)</f>
        <v>-8.7000719336146295E-2</v>
      </c>
      <c r="PH113" s="3">
        <f ca="1">IFERROR(__xludf.DUMMYFUNCTION("""COMPUTED_VALUE"""),0.0942987799424179)</f>
        <v>9.4298779942417907E-2</v>
      </c>
      <c r="PI113" s="3">
        <f ca="1">IFERROR(__xludf.DUMMYFUNCTION("""COMPUTED_VALUE"""),-0.0530423018491472)</f>
        <v>-5.3042301849147197E-2</v>
      </c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</row>
    <row r="114" spans="1:477" ht="13">
      <c r="A114" s="1" t="str">
        <f ca="1">IFERROR(__xludf.DUMMYFUNCTION("""COMPUTED_VALUE"""),"RIPTA")</f>
        <v>RIPTA</v>
      </c>
      <c r="B114" s="1" t="str">
        <f ca="1">IFERROR(__xludf.DUMMYFUNCTION("""COMPUTED_VALUE"""),"Providence")</f>
        <v>Providence</v>
      </c>
      <c r="C114" s="1" t="str">
        <f ca="1">IFERROR(__xludf.DUMMYFUNCTION("""COMPUTED_VALUE"""),"United States")</f>
        <v>United States</v>
      </c>
      <c r="D114" s="1" t="str">
        <f ca="1">IFERROR(__xludf.DUMMYFUNCTION("""COMPUTED_VALUE"""),"Rhode Island")</f>
        <v>Rhode Island</v>
      </c>
      <c r="E114" s="3">
        <f ca="1">IFERROR(__xludf.DUMMYFUNCTION("""COMPUTED_VALUE"""),-0.42983161774997)</f>
        <v>-0.42983161774996997</v>
      </c>
      <c r="F114" s="3">
        <f ca="1">IFERROR(__xludf.DUMMYFUNCTION("""COMPUTED_VALUE"""),-0.53451589604893)</f>
        <v>-0.53451589604893002</v>
      </c>
      <c r="G114" s="3">
        <f ca="1">IFERROR(__xludf.DUMMYFUNCTION("""COMPUTED_VALUE"""),-0.564872619733126)</f>
        <v>-0.56487261973312597</v>
      </c>
      <c r="H114" s="3">
        <f ca="1">IFERROR(__xludf.DUMMYFUNCTION("""COMPUTED_VALUE"""),-0.574090662960661)</f>
        <v>-0.57409066296066102</v>
      </c>
      <c r="I114" s="3">
        <f ca="1">IFERROR(__xludf.DUMMYFUNCTION("""COMPUTED_VALUE"""),-0.58346329100286)</f>
        <v>-0.58346329100285999</v>
      </c>
      <c r="J114" s="3">
        <f ca="1">IFERROR(__xludf.DUMMYFUNCTION("""COMPUTED_VALUE"""),-0.593914131638098)</f>
        <v>-0.59391413163809803</v>
      </c>
      <c r="K114" s="3">
        <f ca="1">IFERROR(__xludf.DUMMYFUNCTION("""COMPUTED_VALUE"""),-0.540216522446725)</f>
        <v>-0.54021652244672502</v>
      </c>
      <c r="L114" s="3">
        <f ca="1">IFERROR(__xludf.DUMMYFUNCTION("""COMPUTED_VALUE"""),-0.544718749937059)</f>
        <v>-0.54471874993705904</v>
      </c>
      <c r="M114" s="3">
        <f ca="1">IFERROR(__xludf.DUMMYFUNCTION("""COMPUTED_VALUE"""),-0.651256340931969)</f>
        <v>-0.65125634093196905</v>
      </c>
      <c r="N114" s="3">
        <f ca="1">IFERROR(__xludf.DUMMYFUNCTION("""COMPUTED_VALUE"""),-0.605377895793272)</f>
        <v>-0.60537789579327195</v>
      </c>
      <c r="O114" s="3">
        <f ca="1">IFERROR(__xludf.DUMMYFUNCTION("""COMPUTED_VALUE"""),-0.58813565009767)</f>
        <v>-0.58813565009766999</v>
      </c>
      <c r="P114" s="3">
        <f ca="1">IFERROR(__xludf.DUMMYFUNCTION("""COMPUTED_VALUE"""),-0.614847702257601)</f>
        <v>-0.61484770225760099</v>
      </c>
      <c r="Q114" s="3">
        <f ca="1">IFERROR(__xludf.DUMMYFUNCTION("""COMPUTED_VALUE"""),-0.603680306343637)</f>
        <v>-0.60368030634363701</v>
      </c>
      <c r="R114" s="3">
        <f ca="1">IFERROR(__xludf.DUMMYFUNCTION("""COMPUTED_VALUE"""),-0.56713816587227)</f>
        <v>-0.56713816587226995</v>
      </c>
      <c r="S114" s="3">
        <f ca="1">IFERROR(__xludf.DUMMYFUNCTION("""COMPUTED_VALUE"""),-0.520139307204787)</f>
        <v>-0.52013930720478696</v>
      </c>
      <c r="T114" s="3">
        <f ca="1">IFERROR(__xludf.DUMMYFUNCTION("""COMPUTED_VALUE"""),-0.577099606716058)</f>
        <v>-0.57709960671605798</v>
      </c>
      <c r="U114" s="3">
        <f ca="1">IFERROR(__xludf.DUMMYFUNCTION("""COMPUTED_VALUE"""),-0.581829547059996)</f>
        <v>-0.58182954705999601</v>
      </c>
      <c r="V114" s="3">
        <f ca="1">IFERROR(__xludf.DUMMYFUNCTION("""COMPUTED_VALUE"""),-0.586929163173584)</f>
        <v>-0.58692916317358401</v>
      </c>
      <c r="W114" s="3">
        <f ca="1">IFERROR(__xludf.DUMMYFUNCTION("""COMPUTED_VALUE"""),-0.598492844084515)</f>
        <v>-0.59849284408451497</v>
      </c>
      <c r="X114" s="3">
        <f ca="1">IFERROR(__xludf.DUMMYFUNCTION("""COMPUTED_VALUE"""),-0.575072449735053)</f>
        <v>-0.575072449735053</v>
      </c>
      <c r="Y114" s="3">
        <f ca="1">IFERROR(__xludf.DUMMYFUNCTION("""COMPUTED_VALUE"""),-0.445100793864386)</f>
        <v>-0.445100793864386</v>
      </c>
      <c r="Z114" s="3">
        <f ca="1">IFERROR(__xludf.DUMMYFUNCTION("""COMPUTED_VALUE"""),-0.517057684032114)</f>
        <v>-0.51705768403211405</v>
      </c>
      <c r="AA114" s="3">
        <f ca="1">IFERROR(__xludf.DUMMYFUNCTION("""COMPUTED_VALUE"""),-0.564679084677564)</f>
        <v>-0.564679084677564</v>
      </c>
      <c r="AB114" s="3">
        <f ca="1">IFERROR(__xludf.DUMMYFUNCTION("""COMPUTED_VALUE"""),-0.607767776435774)</f>
        <v>-0.60776777643577395</v>
      </c>
      <c r="AC114" s="3">
        <f ca="1">IFERROR(__xludf.DUMMYFUNCTION("""COMPUTED_VALUE"""),-0.574575932932087)</f>
        <v>-0.57457593293208697</v>
      </c>
      <c r="AD114" s="3">
        <f ca="1">IFERROR(__xludf.DUMMYFUNCTION("""COMPUTED_VALUE"""),-0.62325430773417)</f>
        <v>-0.62325430773417001</v>
      </c>
      <c r="AE114" s="3">
        <f ca="1">IFERROR(__xludf.DUMMYFUNCTION("""COMPUTED_VALUE"""),-0.650231269487269)</f>
        <v>-0.65023126948726895</v>
      </c>
      <c r="AF114" s="3">
        <f ca="1">IFERROR(__xludf.DUMMYFUNCTION("""COMPUTED_VALUE"""),-0.488739450567958)</f>
        <v>-0.48873945056795798</v>
      </c>
      <c r="AG114" s="3">
        <f ca="1">IFERROR(__xludf.DUMMYFUNCTION("""COMPUTED_VALUE"""),-0.551612397660668)</f>
        <v>-0.55161239766066805</v>
      </c>
      <c r="AH114" s="3">
        <f ca="1">IFERROR(__xludf.DUMMYFUNCTION("""COMPUTED_VALUE"""),-0.565471933690123)</f>
        <v>-0.56547193369012305</v>
      </c>
      <c r="AI114" s="3">
        <f ca="1">IFERROR(__xludf.DUMMYFUNCTION("""COMPUTED_VALUE"""),-0.58127678825291)</f>
        <v>-0.58127678825290996</v>
      </c>
      <c r="AJ114" s="3">
        <f ca="1">IFERROR(__xludf.DUMMYFUNCTION("""COMPUTED_VALUE"""),-0.59421588401264)</f>
        <v>-0.59421588401264003</v>
      </c>
      <c r="AK114" s="3">
        <f ca="1">IFERROR(__xludf.DUMMYFUNCTION("""COMPUTED_VALUE"""),-0.611256657875852)</f>
        <v>-0.61125665787585204</v>
      </c>
      <c r="AL114" s="3">
        <f ca="1">IFERROR(__xludf.DUMMYFUNCTION("""COMPUTED_VALUE"""),-0.506799130860295)</f>
        <v>-0.50679913086029504</v>
      </c>
      <c r="AM114" s="3">
        <f ca="1">IFERROR(__xludf.DUMMYFUNCTION("""COMPUTED_VALUE"""),-0.47572426664152)</f>
        <v>-0.47572426664152001</v>
      </c>
      <c r="AN114" s="3">
        <f ca="1">IFERROR(__xludf.DUMMYFUNCTION("""COMPUTED_VALUE"""),-0.513320949265448)</f>
        <v>-0.51332094926544802</v>
      </c>
      <c r="AO114" s="3">
        <f ca="1">IFERROR(__xludf.DUMMYFUNCTION("""COMPUTED_VALUE"""),-0.596900146725799)</f>
        <v>-0.59690014672579905</v>
      </c>
      <c r="AP114" s="3">
        <f ca="1">IFERROR(__xludf.DUMMYFUNCTION("""COMPUTED_VALUE"""),-0.580452585001383)</f>
        <v>-0.58045258500138297</v>
      </c>
      <c r="AQ114" s="3">
        <f ca="1">IFERROR(__xludf.DUMMYFUNCTION("""COMPUTED_VALUE"""),-0.601182613988154)</f>
        <v>-0.60118261398815398</v>
      </c>
      <c r="AR114" s="3">
        <f ca="1">IFERROR(__xludf.DUMMYFUNCTION("""COMPUTED_VALUE"""),-0.673774307634761)</f>
        <v>-0.67377430763476098</v>
      </c>
      <c r="AS114" s="3">
        <f ca="1">IFERROR(__xludf.DUMMYFUNCTION("""COMPUTED_VALUE"""),-0.531011567102846)</f>
        <v>-0.53101156710284603</v>
      </c>
      <c r="AT114" s="3">
        <f ca="1">IFERROR(__xludf.DUMMYFUNCTION("""COMPUTED_VALUE"""),-0.426018128133172)</f>
        <v>-0.42601812813317202</v>
      </c>
      <c r="AU114" s="3">
        <f ca="1">IFERROR(__xludf.DUMMYFUNCTION("""COMPUTED_VALUE"""),-0.522303486502623)</f>
        <v>-0.52230348650262304</v>
      </c>
      <c r="AV114" s="3">
        <f ca="1">IFERROR(__xludf.DUMMYFUNCTION("""COMPUTED_VALUE"""),-0.621986667191632)</f>
        <v>-0.62198666719163198</v>
      </c>
      <c r="AW114" s="3">
        <f ca="1">IFERROR(__xludf.DUMMYFUNCTION("""COMPUTED_VALUE"""),-0.597326669562231)</f>
        <v>-0.59732666956223102</v>
      </c>
      <c r="AX114" s="3">
        <f ca="1">IFERROR(__xludf.DUMMYFUNCTION("""COMPUTED_VALUE"""),-0.621538125145669)</f>
        <v>-0.62153812514566897</v>
      </c>
      <c r="AY114" s="3">
        <f ca="1">IFERROR(__xludf.DUMMYFUNCTION("""COMPUTED_VALUE"""),-0.632274790517086)</f>
        <v>-0.63227479051708602</v>
      </c>
      <c r="AZ114" s="3">
        <f ca="1">IFERROR(__xludf.DUMMYFUNCTION("""COMPUTED_VALUE"""),-0.546052914566807)</f>
        <v>-0.54605291456680705</v>
      </c>
      <c r="BA114" s="3">
        <f ca="1">IFERROR(__xludf.DUMMYFUNCTION("""COMPUTED_VALUE"""),-0.529469218947947)</f>
        <v>-0.52946921894794696</v>
      </c>
      <c r="BB114" s="3">
        <f ca="1">IFERROR(__xludf.DUMMYFUNCTION("""COMPUTED_VALUE"""),-0.533847142407416)</f>
        <v>-0.53384714240741604</v>
      </c>
      <c r="BC114" s="3">
        <f ca="1">IFERROR(__xludf.DUMMYFUNCTION("""COMPUTED_VALUE"""),-0.699159157319876)</f>
        <v>-0.69915915731987599</v>
      </c>
      <c r="BD114" s="3">
        <f ca="1">IFERROR(__xludf.DUMMYFUNCTION("""COMPUTED_VALUE"""),-0.699800507206005)</f>
        <v>-0.69980050720600495</v>
      </c>
      <c r="BE114" s="3">
        <f ca="1">IFERROR(__xludf.DUMMYFUNCTION("""COMPUTED_VALUE"""),-0.650999474064466)</f>
        <v>-0.65099947406446601</v>
      </c>
      <c r="BF114" s="3">
        <f ca="1">IFERROR(__xludf.DUMMYFUNCTION("""COMPUTED_VALUE"""),-0.674829097926777)</f>
        <v>-0.67482909792677703</v>
      </c>
      <c r="BG114" s="3">
        <f ca="1">IFERROR(__xludf.DUMMYFUNCTION("""COMPUTED_VALUE"""),-0.673286964145827)</f>
        <v>-0.673286964145827</v>
      </c>
      <c r="BH114" s="3">
        <f ca="1">IFERROR(__xludf.DUMMYFUNCTION("""COMPUTED_VALUE"""),-0.505995964425084)</f>
        <v>-0.50599596442508399</v>
      </c>
      <c r="BI114" s="3">
        <f ca="1">IFERROR(__xludf.DUMMYFUNCTION("""COMPUTED_VALUE"""),-0.581496501509886)</f>
        <v>-0.58149650150988597</v>
      </c>
      <c r="BJ114" s="3">
        <f ca="1">IFERROR(__xludf.DUMMYFUNCTION("""COMPUTED_VALUE"""),-0.650765088924826)</f>
        <v>-0.65076508892482599</v>
      </c>
      <c r="BK114" s="3">
        <f ca="1">IFERROR(__xludf.DUMMYFUNCTION("""COMPUTED_VALUE"""),-0.633851959717558)</f>
        <v>-0.63385195971755803</v>
      </c>
      <c r="BL114" s="3">
        <f ca="1">IFERROR(__xludf.DUMMYFUNCTION("""COMPUTED_VALUE"""),-0.667072086011271)</f>
        <v>-0.66707208601127099</v>
      </c>
      <c r="BM114" s="3">
        <f ca="1">IFERROR(__xludf.DUMMYFUNCTION("""COMPUTED_VALUE"""),-0.708066311174157)</f>
        <v>-0.70806631117415697</v>
      </c>
      <c r="BN114" s="3">
        <f ca="1">IFERROR(__xludf.DUMMYFUNCTION("""COMPUTED_VALUE"""),-0.696303938358111)</f>
        <v>-0.696303938358111</v>
      </c>
      <c r="BO114" s="3">
        <f ca="1">IFERROR(__xludf.DUMMYFUNCTION("""COMPUTED_VALUE"""),-0.633052312446287)</f>
        <v>-0.63305231244628701</v>
      </c>
      <c r="BP114" s="3">
        <f ca="1">IFERROR(__xludf.DUMMYFUNCTION("""COMPUTED_VALUE"""),-0.565215572289985)</f>
        <v>-0.56521557228998498</v>
      </c>
      <c r="BQ114" s="3">
        <f ca="1">IFERROR(__xludf.DUMMYFUNCTION("""COMPUTED_VALUE"""),-0.667180444557706)</f>
        <v>-0.66718044455770598</v>
      </c>
      <c r="BR114" s="3">
        <f ca="1">IFERROR(__xludf.DUMMYFUNCTION("""COMPUTED_VALUE"""),-0.657995132852375)</f>
        <v>-0.65799513285237499</v>
      </c>
      <c r="BS114" s="3">
        <f ca="1">IFERROR(__xludf.DUMMYFUNCTION("""COMPUTED_VALUE"""),-0.652293737969169)</f>
        <v>-0.65229373796916901</v>
      </c>
      <c r="BT114" s="3">
        <f ca="1">IFERROR(__xludf.DUMMYFUNCTION("""COMPUTED_VALUE"""),-0.752940978629883)</f>
        <v>-0.75294097862988296</v>
      </c>
      <c r="BU114" s="3">
        <f ca="1">IFERROR(__xludf.DUMMYFUNCTION("""COMPUTED_VALUE"""),-0.778238281505404)</f>
        <v>-0.77823828150540397</v>
      </c>
      <c r="BV114" s="3">
        <f ca="1">IFERROR(__xludf.DUMMYFUNCTION("""COMPUTED_VALUE"""),-0.566741492258365)</f>
        <v>-0.56674149225836501</v>
      </c>
      <c r="BW114" s="3">
        <f ca="1">IFERROR(__xludf.DUMMYFUNCTION("""COMPUTED_VALUE"""),-0.624711878812768)</f>
        <v>-0.62471187881276802</v>
      </c>
      <c r="BX114" s="3">
        <f ca="1">IFERROR(__xludf.DUMMYFUNCTION("""COMPUTED_VALUE"""),-0.716747406327585)</f>
        <v>-0.71674740632758505</v>
      </c>
      <c r="BY114" s="3">
        <f ca="1">IFERROR(__xludf.DUMMYFUNCTION("""COMPUTED_VALUE"""),-0.673095556171264)</f>
        <v>-0.67309555617126404</v>
      </c>
      <c r="BZ114" s="3">
        <f ca="1">IFERROR(__xludf.DUMMYFUNCTION("""COMPUTED_VALUE"""),-0.691929584025566)</f>
        <v>-0.69192958402556604</v>
      </c>
      <c r="CA114" s="3">
        <f ca="1">IFERROR(__xludf.DUMMYFUNCTION("""COMPUTED_VALUE"""),-0.676245304378838)</f>
        <v>-0.67624530437883801</v>
      </c>
      <c r="CB114" s="3">
        <f ca="1">IFERROR(__xludf.DUMMYFUNCTION("""COMPUTED_VALUE"""),-0.663799685562393)</f>
        <v>-0.66379968556239299</v>
      </c>
      <c r="CC114" s="3">
        <f ca="1">IFERROR(__xludf.DUMMYFUNCTION("""COMPUTED_VALUE"""),-0.537683589980684)</f>
        <v>-0.537683589980684</v>
      </c>
      <c r="CD114" s="3">
        <f ca="1">IFERROR(__xludf.DUMMYFUNCTION("""COMPUTED_VALUE"""),-0.58802176200682)</f>
        <v>-0.58802176200681999</v>
      </c>
      <c r="CE114" s="3">
        <f ca="1">IFERROR(__xludf.DUMMYFUNCTION("""COMPUTED_VALUE"""),-0.649782322567205)</f>
        <v>-0.64978232256720503</v>
      </c>
      <c r="CF114" s="3">
        <f ca="1">IFERROR(__xludf.DUMMYFUNCTION("""COMPUTED_VALUE"""),-0.658352264617107)</f>
        <v>-0.65835226461710705</v>
      </c>
      <c r="CG114" s="3">
        <f ca="1">IFERROR(__xludf.DUMMYFUNCTION("""COMPUTED_VALUE"""),-0.672911450977199)</f>
        <v>-0.67291145097719895</v>
      </c>
      <c r="CH114" s="3">
        <f ca="1">IFERROR(__xludf.DUMMYFUNCTION("""COMPUTED_VALUE"""),-0.669001760516828)</f>
        <v>-0.66900176051682803</v>
      </c>
      <c r="CI114" s="3">
        <f ca="1">IFERROR(__xludf.DUMMYFUNCTION("""COMPUTED_VALUE"""),-0.605380017103559)</f>
        <v>-0.60538001710355904</v>
      </c>
      <c r="CJ114" s="3">
        <f ca="1">IFERROR(__xludf.DUMMYFUNCTION("""COMPUTED_VALUE"""),-0.528712061364823)</f>
        <v>-0.52871206136482296</v>
      </c>
      <c r="CK114" s="3">
        <f ca="1">IFERROR(__xludf.DUMMYFUNCTION("""COMPUTED_VALUE"""),-0.599453473110949)</f>
        <v>-0.59945347311094899</v>
      </c>
      <c r="CL114" s="3">
        <f ca="1">IFERROR(__xludf.DUMMYFUNCTION("""COMPUTED_VALUE"""),-0.654541522638033)</f>
        <v>-0.654541522638033</v>
      </c>
      <c r="CM114" s="3">
        <f ca="1">IFERROR(__xludf.DUMMYFUNCTION("""COMPUTED_VALUE"""),-0.669146924749497)</f>
        <v>-0.669146924749497</v>
      </c>
      <c r="CN114" s="3">
        <f ca="1">IFERROR(__xludf.DUMMYFUNCTION("""COMPUTED_VALUE"""),-0.686431832432463)</f>
        <v>-0.68643183243246297</v>
      </c>
      <c r="CO114" s="3">
        <f ca="1">IFERROR(__xludf.DUMMYFUNCTION("""COMPUTED_VALUE"""),-0.710213632769578)</f>
        <v>-0.71021363276957805</v>
      </c>
      <c r="CP114" s="3">
        <f ca="1">IFERROR(__xludf.DUMMYFUNCTION("""COMPUTED_VALUE"""),-0.656393427622984)</f>
        <v>-0.65639342762298403</v>
      </c>
      <c r="CQ114" s="3">
        <f ca="1">IFERROR(__xludf.DUMMYFUNCTION("""COMPUTED_VALUE"""),-0.583437681106087)</f>
        <v>-0.58343768110608696</v>
      </c>
      <c r="CR114" s="3">
        <f ca="1">IFERROR(__xludf.DUMMYFUNCTION("""COMPUTED_VALUE"""),-0.576587335690624)</f>
        <v>-0.57658733569062404</v>
      </c>
      <c r="CS114" s="3">
        <f ca="1">IFERROR(__xludf.DUMMYFUNCTION("""COMPUTED_VALUE"""),-0.6881532987355)</f>
        <v>-0.68815329873550002</v>
      </c>
      <c r="CT114" s="3">
        <f ca="1">IFERROR(__xludf.DUMMYFUNCTION("""COMPUTED_VALUE"""),-0.668265202793494)</f>
        <v>-0.668265202793494</v>
      </c>
      <c r="CU114" s="3">
        <f ca="1">IFERROR(__xludf.DUMMYFUNCTION("""COMPUTED_VALUE"""),-0.641560669602031)</f>
        <v>-0.64156066960203095</v>
      </c>
      <c r="CV114" s="3">
        <f ca="1">IFERROR(__xludf.DUMMYFUNCTION("""COMPUTED_VALUE"""),-0.685467362656202)</f>
        <v>-0.68546736265620201</v>
      </c>
      <c r="CW114" s="3">
        <f ca="1">IFERROR(__xludf.DUMMYFUNCTION("""COMPUTED_VALUE"""),-0.673995400313913)</f>
        <v>-0.67399540031391303</v>
      </c>
      <c r="CX114" s="3">
        <f ca="1">IFERROR(__xludf.DUMMYFUNCTION("""COMPUTED_VALUE"""),-0.58073177860513)</f>
        <v>-0.58073177860513003</v>
      </c>
      <c r="CY114" s="3">
        <f ca="1">IFERROR(__xludf.DUMMYFUNCTION("""COMPUTED_VALUE"""),-0.586158748326729)</f>
        <v>-0.58615874832672898</v>
      </c>
      <c r="CZ114" s="3">
        <f ca="1">IFERROR(__xludf.DUMMYFUNCTION("""COMPUTED_VALUE"""),-0.742961208788027)</f>
        <v>-0.74296120878802696</v>
      </c>
      <c r="DA114" s="3">
        <f ca="1">IFERROR(__xludf.DUMMYFUNCTION("""COMPUTED_VALUE"""),-0.661883324400355)</f>
        <v>-0.66188332440035502</v>
      </c>
      <c r="DB114" s="3">
        <f ca="1">IFERROR(__xludf.DUMMYFUNCTION("""COMPUTED_VALUE"""),-0.474365657043665)</f>
        <v>-0.47436565704366501</v>
      </c>
      <c r="DC114" s="3">
        <f ca="1">IFERROR(__xludf.DUMMYFUNCTION("""COMPUTED_VALUE"""),-0.666668246267024)</f>
        <v>-0.66666824626702403</v>
      </c>
      <c r="DD114" s="3">
        <f ca="1">IFERROR(__xludf.DUMMYFUNCTION("""COMPUTED_VALUE"""),-0.640858111378511)</f>
        <v>-0.64085811137851101</v>
      </c>
      <c r="DE114" s="3">
        <f ca="1">IFERROR(__xludf.DUMMYFUNCTION("""COMPUTED_VALUE"""),-0.566221784003707)</f>
        <v>-0.56622178400370704</v>
      </c>
      <c r="DF114" s="3">
        <f ca="1">IFERROR(__xludf.DUMMYFUNCTION("""COMPUTED_VALUE"""),-0.612177481851071)</f>
        <v>-0.61217748185107101</v>
      </c>
      <c r="DG114" s="3">
        <f ca="1">IFERROR(__xludf.DUMMYFUNCTION("""COMPUTED_VALUE"""),-0.900266746993287)</f>
        <v>-0.90026674699328701</v>
      </c>
      <c r="DH114" s="3">
        <f ca="1">IFERROR(__xludf.DUMMYFUNCTION("""COMPUTED_VALUE"""),-0.685251841337281)</f>
        <v>-0.68525184133728101</v>
      </c>
      <c r="DI114" s="3">
        <f ca="1">IFERROR(__xludf.DUMMYFUNCTION("""COMPUTED_VALUE"""),-0.486659870850341)</f>
        <v>-0.48665987085034101</v>
      </c>
      <c r="DJ114" s="3">
        <f ca="1">IFERROR(__xludf.DUMMYFUNCTION("""COMPUTED_VALUE"""),-0.593475494088016)</f>
        <v>-0.59347549408801603</v>
      </c>
      <c r="DK114" s="3">
        <f ca="1">IFERROR(__xludf.DUMMYFUNCTION("""COMPUTED_VALUE"""),-0.643427407983477)</f>
        <v>-0.64342740798347697</v>
      </c>
      <c r="DL114" s="3">
        <f ca="1">IFERROR(__xludf.DUMMYFUNCTION("""COMPUTED_VALUE"""),-0.597778101651752)</f>
        <v>-0.59777810165175205</v>
      </c>
      <c r="DM114" s="3">
        <f ca="1">IFERROR(__xludf.DUMMYFUNCTION("""COMPUTED_VALUE"""),-0.601367573622996)</f>
        <v>-0.60136757362299598</v>
      </c>
      <c r="DN114" s="3">
        <f ca="1">IFERROR(__xludf.DUMMYFUNCTION("""COMPUTED_VALUE"""),-0.694083817849867)</f>
        <v>-0.69408381784986695</v>
      </c>
      <c r="DO114" s="3">
        <f ca="1">IFERROR(__xludf.DUMMYFUNCTION("""COMPUTED_VALUE"""),-0.80324656324481)</f>
        <v>-0.80324656324481003</v>
      </c>
      <c r="DP114" s="3">
        <f ca="1">IFERROR(__xludf.DUMMYFUNCTION("""COMPUTED_VALUE"""),-0.631731734001366)</f>
        <v>-0.63173173400136595</v>
      </c>
      <c r="DQ114" s="3">
        <f ca="1">IFERROR(__xludf.DUMMYFUNCTION("""COMPUTED_VALUE"""),-0.656067720046016)</f>
        <v>-0.65606772004601599</v>
      </c>
      <c r="DR114" s="3">
        <f ca="1">IFERROR(__xludf.DUMMYFUNCTION("""COMPUTED_VALUE"""),-0.716797004641617)</f>
        <v>-0.716797004641617</v>
      </c>
      <c r="DS114" s="3">
        <f ca="1">IFERROR(__xludf.DUMMYFUNCTION("""COMPUTED_VALUE"""),-0.577208221097354)</f>
        <v>-0.57720822109735404</v>
      </c>
      <c r="DT114" s="3">
        <f ca="1">IFERROR(__xludf.DUMMYFUNCTION("""COMPUTED_VALUE"""),-0.682602057086625)</f>
        <v>-0.68260205708662502</v>
      </c>
      <c r="DU114" s="3">
        <f ca="1">IFERROR(__xludf.DUMMYFUNCTION("""COMPUTED_VALUE"""),-0.729461679203797)</f>
        <v>-0.72946167920379701</v>
      </c>
      <c r="DV114" s="3">
        <f ca="1">IFERROR(__xludf.DUMMYFUNCTION("""COMPUTED_VALUE"""),-0.733323299932546)</f>
        <v>-0.73332329993254597</v>
      </c>
      <c r="DW114" s="3">
        <f ca="1">IFERROR(__xludf.DUMMYFUNCTION("""COMPUTED_VALUE"""),-0.735917630610115)</f>
        <v>-0.73591763061011495</v>
      </c>
      <c r="DX114" s="3">
        <f ca="1">IFERROR(__xludf.DUMMYFUNCTION("""COMPUTED_VALUE"""),-0.716873948339166)</f>
        <v>-0.71687394833916596</v>
      </c>
      <c r="DY114" s="3">
        <f ca="1">IFERROR(__xludf.DUMMYFUNCTION("""COMPUTED_VALUE"""),-0.733974345583354)</f>
        <v>-0.73397434558335395</v>
      </c>
      <c r="DZ114" s="3">
        <f ca="1">IFERROR(__xludf.DUMMYFUNCTION("""COMPUTED_VALUE"""),-0.586066764395831)</f>
        <v>-0.58606676439583105</v>
      </c>
      <c r="EA114" s="3">
        <f ca="1">IFERROR(__xludf.DUMMYFUNCTION("""COMPUTED_VALUE"""),-0.729300036908551)</f>
        <v>-0.72930003690855105</v>
      </c>
      <c r="EB114" s="3">
        <f ca="1">IFERROR(__xludf.DUMMYFUNCTION("""COMPUTED_VALUE"""),-0.673728019540601)</f>
        <v>-0.67372801954060102</v>
      </c>
      <c r="EC114" s="3">
        <f ca="1">IFERROR(__xludf.DUMMYFUNCTION("""COMPUTED_VALUE"""),-0.654092954014276)</f>
        <v>-0.65409295401427603</v>
      </c>
      <c r="ED114" s="3">
        <f ca="1">IFERROR(__xludf.DUMMYFUNCTION("""COMPUTED_VALUE"""),-0.719536599349871)</f>
        <v>-0.71953659934987102</v>
      </c>
      <c r="EE114" s="3">
        <f ca="1">IFERROR(__xludf.DUMMYFUNCTION("""COMPUTED_VALUE"""),-0.723815212014195)</f>
        <v>-0.72381521201419496</v>
      </c>
      <c r="EF114" s="3">
        <f ca="1">IFERROR(__xludf.DUMMYFUNCTION("""COMPUTED_VALUE"""),-0.773594040810511)</f>
        <v>-0.77359404081051097</v>
      </c>
      <c r="EG114" s="3">
        <f ca="1">IFERROR(__xludf.DUMMYFUNCTION("""COMPUTED_VALUE"""),-0.518066333652188)</f>
        <v>-0.51806633365218802</v>
      </c>
      <c r="EH114" s="3">
        <f ca="1">IFERROR(__xludf.DUMMYFUNCTION("""COMPUTED_VALUE"""),-0.621017051184841)</f>
        <v>-0.62101705118484096</v>
      </c>
      <c r="EI114" s="3">
        <f ca="1">IFERROR(__xludf.DUMMYFUNCTION("""COMPUTED_VALUE"""),-0.693312636922674)</f>
        <v>-0.69331263692267397</v>
      </c>
      <c r="EJ114" s="3">
        <f ca="1">IFERROR(__xludf.DUMMYFUNCTION("""COMPUTED_VALUE"""),-0.858319746096332)</f>
        <v>-0.85831974609633199</v>
      </c>
      <c r="EK114" s="3">
        <f ca="1">IFERROR(__xludf.DUMMYFUNCTION("""COMPUTED_VALUE"""),-0.730758357642166)</f>
        <v>-0.73075835764216601</v>
      </c>
      <c r="EL114" s="3">
        <f ca="1">IFERROR(__xludf.DUMMYFUNCTION("""COMPUTED_VALUE"""),-0.668575151655748)</f>
        <v>-0.66857515165574799</v>
      </c>
      <c r="EM114" s="3">
        <f ca="1">IFERROR(__xludf.DUMMYFUNCTION("""COMPUTED_VALUE"""),-0.725526156028855)</f>
        <v>-0.72552615602885495</v>
      </c>
      <c r="EN114" s="3">
        <f ca="1">IFERROR(__xludf.DUMMYFUNCTION("""COMPUTED_VALUE"""),-0.540348468243864)</f>
        <v>-0.54034846824386396</v>
      </c>
      <c r="EO114" s="3">
        <f ca="1">IFERROR(__xludf.DUMMYFUNCTION("""COMPUTED_VALUE"""),-0.555691926367591)</f>
        <v>-0.55569192636759102</v>
      </c>
      <c r="EP114" s="3">
        <f ca="1">IFERROR(__xludf.DUMMYFUNCTION("""COMPUTED_VALUE"""),-0.615222900017702)</f>
        <v>-0.61522290001770197</v>
      </c>
      <c r="EQ114" s="3">
        <f ca="1">IFERROR(__xludf.DUMMYFUNCTION("""COMPUTED_VALUE"""),-0.581817509241505)</f>
        <v>-0.58181750924150499</v>
      </c>
      <c r="ER114" s="3">
        <f ca="1">IFERROR(__xludf.DUMMYFUNCTION("""COMPUTED_VALUE"""),-0.69040174927161)</f>
        <v>-0.69040174927161002</v>
      </c>
      <c r="ES114" s="3">
        <f ca="1">IFERROR(__xludf.DUMMYFUNCTION("""COMPUTED_VALUE"""),-0.681003983855114)</f>
        <v>-0.68100398385511396</v>
      </c>
      <c r="ET114" s="3">
        <f ca="1">IFERROR(__xludf.DUMMYFUNCTION("""COMPUTED_VALUE"""),-0.673965946122146)</f>
        <v>-0.673965946122146</v>
      </c>
      <c r="EU114" s="3">
        <f ca="1">IFERROR(__xludf.DUMMYFUNCTION("""COMPUTED_VALUE"""),-0.489479682348089)</f>
        <v>-0.48947968234808897</v>
      </c>
      <c r="EV114" s="3">
        <f ca="1">IFERROR(__xludf.DUMMYFUNCTION("""COMPUTED_VALUE"""),-0.525113016285253)</f>
        <v>-0.52511301628525298</v>
      </c>
      <c r="EW114" s="3">
        <f ca="1">IFERROR(__xludf.DUMMYFUNCTION("""COMPUTED_VALUE"""),-0.649579100189869)</f>
        <v>-0.64957910018986897</v>
      </c>
      <c r="EX114" s="3">
        <f ca="1">IFERROR(__xludf.DUMMYFUNCTION("""COMPUTED_VALUE"""),-0.672879685125129)</f>
        <v>-0.67287968512512897</v>
      </c>
      <c r="EY114" s="3">
        <f ca="1">IFERROR(__xludf.DUMMYFUNCTION("""COMPUTED_VALUE"""),-0.682504336135245)</f>
        <v>-0.68250433613524497</v>
      </c>
      <c r="EZ114" s="3">
        <f ca="1">IFERROR(__xludf.DUMMYFUNCTION("""COMPUTED_VALUE"""),-0.66237225536237)</f>
        <v>-0.66237225536236999</v>
      </c>
      <c r="FA114" s="3">
        <f ca="1">IFERROR(__xludf.DUMMYFUNCTION("""COMPUTED_VALUE"""),-0.635162830658179)</f>
        <v>-0.63516283065817902</v>
      </c>
      <c r="FB114" s="3">
        <f ca="1">IFERROR(__xludf.DUMMYFUNCTION("""COMPUTED_VALUE"""),-0.554459926693548)</f>
        <v>-0.55445992669354804</v>
      </c>
      <c r="FC114" s="3">
        <f ca="1">IFERROR(__xludf.DUMMYFUNCTION("""COMPUTED_VALUE"""),-0.556054637731219)</f>
        <v>-0.55605463773121899</v>
      </c>
      <c r="FD114" s="3">
        <f ca="1">IFERROR(__xludf.DUMMYFUNCTION("""COMPUTED_VALUE"""),-0.638696063170158)</f>
        <v>-0.63869606317015803</v>
      </c>
      <c r="FE114" s="3">
        <f ca="1">IFERROR(__xludf.DUMMYFUNCTION("""COMPUTED_VALUE"""),-0.677387803010472)</f>
        <v>-0.67738780301047197</v>
      </c>
      <c r="FF114" s="3">
        <f ca="1">IFERROR(__xludf.DUMMYFUNCTION("""COMPUTED_VALUE"""),-0.689684334575246)</f>
        <v>-0.68968433457524603</v>
      </c>
      <c r="FG114" s="3">
        <f ca="1">IFERROR(__xludf.DUMMYFUNCTION("""COMPUTED_VALUE"""),-0.693856975532214)</f>
        <v>-0.69385697553221404</v>
      </c>
      <c r="FH114" s="3">
        <f ca="1">IFERROR(__xludf.DUMMYFUNCTION("""COMPUTED_VALUE"""),-0.62623104109833)</f>
        <v>-0.62623104109833005</v>
      </c>
      <c r="FI114" s="3">
        <f ca="1">IFERROR(__xludf.DUMMYFUNCTION("""COMPUTED_VALUE"""),-0.544249036094282)</f>
        <v>-0.54424903609428199</v>
      </c>
      <c r="FJ114" s="3">
        <f ca="1">IFERROR(__xludf.DUMMYFUNCTION("""COMPUTED_VALUE"""),-0.545164402789987)</f>
        <v>-0.54516440278998701</v>
      </c>
      <c r="FK114" s="3">
        <f ca="1">IFERROR(__xludf.DUMMYFUNCTION("""COMPUTED_VALUE"""),-0.720262982809476)</f>
        <v>-0.72026298280947598</v>
      </c>
      <c r="FL114" s="3">
        <f ca="1">IFERROR(__xludf.DUMMYFUNCTION("""COMPUTED_VALUE"""),-0.710416849448006)</f>
        <v>-0.71041684944800598</v>
      </c>
      <c r="FM114" s="3">
        <f ca="1">IFERROR(__xludf.DUMMYFUNCTION("""COMPUTED_VALUE"""),-0.691244339845767)</f>
        <v>-0.69124433984576705</v>
      </c>
      <c r="FN114" s="3">
        <f ca="1">IFERROR(__xludf.DUMMYFUNCTION("""COMPUTED_VALUE"""),-0.657001433451306)</f>
        <v>-0.65700143345130602</v>
      </c>
      <c r="FO114" s="3">
        <f ca="1">IFERROR(__xludf.DUMMYFUNCTION("""COMPUTED_VALUE"""),-0.675137741209753)</f>
        <v>-0.67513774120975301</v>
      </c>
      <c r="FP114" s="3">
        <f ca="1">IFERROR(__xludf.DUMMYFUNCTION("""COMPUTED_VALUE"""),-0.533406093847665)</f>
        <v>-0.53340609384766502</v>
      </c>
      <c r="FQ114" s="3">
        <f ca="1">IFERROR(__xludf.DUMMYFUNCTION("""COMPUTED_VALUE"""),-0.575450128133029)</f>
        <v>-0.57545012813302898</v>
      </c>
      <c r="FR114" s="3">
        <f ca="1">IFERROR(__xludf.DUMMYFUNCTION("""COMPUTED_VALUE"""),-0.659066179677115)</f>
        <v>-0.659066179677115</v>
      </c>
      <c r="FS114" s="3">
        <f ca="1">IFERROR(__xludf.DUMMYFUNCTION("""COMPUTED_VALUE"""),-0.664962080994347)</f>
        <v>-0.66496208099434695</v>
      </c>
      <c r="FT114" s="3">
        <f ca="1">IFERROR(__xludf.DUMMYFUNCTION("""COMPUTED_VALUE"""),-0.67110166523526)</f>
        <v>-0.67110166523526005</v>
      </c>
      <c r="FU114" s="3">
        <f ca="1">IFERROR(__xludf.DUMMYFUNCTION("""COMPUTED_VALUE"""),-0.676143883380147)</f>
        <v>-0.67614388338014697</v>
      </c>
      <c r="FV114" s="3">
        <f ca="1">IFERROR(__xludf.DUMMYFUNCTION("""COMPUTED_VALUE"""),-0.647333053177588)</f>
        <v>-0.64733305317758805</v>
      </c>
      <c r="FW114" s="3">
        <f ca="1">IFERROR(__xludf.DUMMYFUNCTION("""COMPUTED_VALUE"""),-0.519885904018169)</f>
        <v>-0.51988590401816903</v>
      </c>
      <c r="FX114" s="3">
        <f ca="1">IFERROR(__xludf.DUMMYFUNCTION("""COMPUTED_VALUE"""),-0.582924603865623)</f>
        <v>-0.58292460386562295</v>
      </c>
      <c r="FY114" s="3">
        <f ca="1">IFERROR(__xludf.DUMMYFUNCTION("""COMPUTED_VALUE"""),-0.667389246415408)</f>
        <v>-0.66738924641540798</v>
      </c>
      <c r="FZ114" s="3">
        <f ca="1">IFERROR(__xludf.DUMMYFUNCTION("""COMPUTED_VALUE"""),-0.657926889428239)</f>
        <v>-0.65792688942823896</v>
      </c>
      <c r="GA114" s="3">
        <f ca="1">IFERROR(__xludf.DUMMYFUNCTION("""COMPUTED_VALUE"""),-0.63201303475408)</f>
        <v>-0.63201303475407999</v>
      </c>
      <c r="GB114" s="3">
        <f ca="1">IFERROR(__xludf.DUMMYFUNCTION("""COMPUTED_VALUE"""),-0.704281359661774)</f>
        <v>-0.70428135966177396</v>
      </c>
      <c r="GC114" s="3">
        <f ca="1">IFERROR(__xludf.DUMMYFUNCTION("""COMPUTED_VALUE"""),-0.706632044137438)</f>
        <v>-0.70663204413743796</v>
      </c>
      <c r="GD114" s="3">
        <f ca="1">IFERROR(__xludf.DUMMYFUNCTION("""COMPUTED_VALUE"""),-0.503906409329598)</f>
        <v>-0.50390640932959796</v>
      </c>
      <c r="GE114" s="3">
        <f ca="1">IFERROR(__xludf.DUMMYFUNCTION("""COMPUTED_VALUE"""),-0.583689903781728)</f>
        <v>-0.58368990378172803</v>
      </c>
      <c r="GF114" s="3">
        <f ca="1">IFERROR(__xludf.DUMMYFUNCTION("""COMPUTED_VALUE"""),-0.656268793510839)</f>
        <v>-0.656268793510839</v>
      </c>
      <c r="GG114" s="3">
        <f ca="1">IFERROR(__xludf.DUMMYFUNCTION("""COMPUTED_VALUE"""),-0.677975429519301)</f>
        <v>-0.67797542951930101</v>
      </c>
      <c r="GH114" s="3">
        <f ca="1">IFERROR(__xludf.DUMMYFUNCTION("""COMPUTED_VALUE"""),-0.684504217024877)</f>
        <v>-0.68450421702487696</v>
      </c>
      <c r="GI114" s="3">
        <f ca="1">IFERROR(__xludf.DUMMYFUNCTION("""COMPUTED_VALUE"""),-0.679774013201781)</f>
        <v>-0.67977401320178099</v>
      </c>
      <c r="GJ114" s="3">
        <f ca="1">IFERROR(__xludf.DUMMYFUNCTION("""COMPUTED_VALUE"""),-0.645653723257588)</f>
        <v>-0.64565372325758796</v>
      </c>
      <c r="GK114" s="3">
        <f ca="1">IFERROR(__xludf.DUMMYFUNCTION("""COMPUTED_VALUE"""),-0.507254880402591)</f>
        <v>-0.50725488040259104</v>
      </c>
      <c r="GL114" s="3">
        <f ca="1">IFERROR(__xludf.DUMMYFUNCTION("""COMPUTED_VALUE"""),-0.579673120961553)</f>
        <v>-0.57967312096155299</v>
      </c>
      <c r="GM114" s="3">
        <f ca="1">IFERROR(__xludf.DUMMYFUNCTION("""COMPUTED_VALUE"""),-0.662395836131473)</f>
        <v>-0.66239583613147301</v>
      </c>
      <c r="GN114" s="3">
        <f ca="1">IFERROR(__xludf.DUMMYFUNCTION("""COMPUTED_VALUE"""),-0.648478343055272)</f>
        <v>-0.64847834305527197</v>
      </c>
      <c r="GO114" s="3">
        <f ca="1">IFERROR(__xludf.DUMMYFUNCTION("""COMPUTED_VALUE"""),-0.687398309097743)</f>
        <v>-0.68739830909774302</v>
      </c>
      <c r="GP114" s="3">
        <f ca="1">IFERROR(__xludf.DUMMYFUNCTION("""COMPUTED_VALUE"""),-0.686661109793346)</f>
        <v>-0.68666110979334605</v>
      </c>
      <c r="GQ114" s="3">
        <f ca="1">IFERROR(__xludf.DUMMYFUNCTION("""COMPUTED_VALUE"""),-0.704203368127754)</f>
        <v>-0.70420336812775397</v>
      </c>
      <c r="GR114" s="3">
        <f ca="1">IFERROR(__xludf.DUMMYFUNCTION("""COMPUTED_VALUE"""),-0.531583493461382)</f>
        <v>-0.53158349346138201</v>
      </c>
      <c r="GS114" s="3">
        <f ca="1">IFERROR(__xludf.DUMMYFUNCTION("""COMPUTED_VALUE"""),-0.595065946689298)</f>
        <v>-0.59506594668929802</v>
      </c>
      <c r="GT114" s="3">
        <f ca="1">IFERROR(__xludf.DUMMYFUNCTION("""COMPUTED_VALUE"""),-0.665023397522764)</f>
        <v>-0.66502339752276396</v>
      </c>
      <c r="GU114" s="3">
        <f ca="1">IFERROR(__xludf.DUMMYFUNCTION("""COMPUTED_VALUE"""),-0.673317320766229)</f>
        <v>-0.67331732076622897</v>
      </c>
      <c r="GV114" s="3">
        <f ca="1">IFERROR(__xludf.DUMMYFUNCTION("""COMPUTED_VALUE"""),-0.687877073066133)</f>
        <v>-0.68787707306613299</v>
      </c>
      <c r="GW114" s="3">
        <f ca="1">IFERROR(__xludf.DUMMYFUNCTION("""COMPUTED_VALUE"""),-0.686389010686271)</f>
        <v>-0.68638901068627101</v>
      </c>
      <c r="GX114" s="3">
        <f ca="1">IFERROR(__xludf.DUMMYFUNCTION("""COMPUTED_VALUE"""),-0.675407760996845)</f>
        <v>-0.67540776099684496</v>
      </c>
      <c r="GY114" s="3">
        <f ca="1">IFERROR(__xludf.DUMMYFUNCTION("""COMPUTED_VALUE"""),-0.540879053840783)</f>
        <v>-0.54087905384078305</v>
      </c>
      <c r="GZ114" s="3">
        <f ca="1">IFERROR(__xludf.DUMMYFUNCTION("""COMPUTED_VALUE"""),-0.57859585431027)</f>
        <v>-0.57859585431027005</v>
      </c>
      <c r="HA114" s="3">
        <f ca="1">IFERROR(__xludf.DUMMYFUNCTION("""COMPUTED_VALUE"""),-0.668522691362822)</f>
        <v>-0.66852269136282205</v>
      </c>
      <c r="HB114" s="3">
        <f ca="1">IFERROR(__xludf.DUMMYFUNCTION("""COMPUTED_VALUE"""),-0.654716723501893)</f>
        <v>-0.65471672350189303</v>
      </c>
      <c r="HC114" s="3">
        <f ca="1">IFERROR(__xludf.DUMMYFUNCTION("""COMPUTED_VALUE"""),-0.66959598403135)</f>
        <v>-0.66959598403135001</v>
      </c>
      <c r="HD114" s="3">
        <f ca="1">IFERROR(__xludf.DUMMYFUNCTION("""COMPUTED_VALUE"""),-0.678166518254742)</f>
        <v>-0.67816651825474195</v>
      </c>
      <c r="HE114" s="3">
        <f ca="1">IFERROR(__xludf.DUMMYFUNCTION("""COMPUTED_VALUE"""),-0.667434021796111)</f>
        <v>-0.667434021796111</v>
      </c>
      <c r="HF114" s="3">
        <f ca="1">IFERROR(__xludf.DUMMYFUNCTION("""COMPUTED_VALUE"""),-0.509742323684432)</f>
        <v>-0.50974232368443195</v>
      </c>
      <c r="HG114" s="3">
        <f ca="1">IFERROR(__xludf.DUMMYFUNCTION("""COMPUTED_VALUE"""),-0.528259358704603)</f>
        <v>-0.52825935870460305</v>
      </c>
      <c r="HH114" s="3">
        <f ca="1">IFERROR(__xludf.DUMMYFUNCTION("""COMPUTED_VALUE"""),-0.67029089604152)</f>
        <v>-0.67029089604152003</v>
      </c>
      <c r="HI114" s="3">
        <f ca="1">IFERROR(__xludf.DUMMYFUNCTION("""COMPUTED_VALUE"""),-0.721486281624732)</f>
        <v>-0.72148628162473205</v>
      </c>
      <c r="HJ114" s="3">
        <f ca="1">IFERROR(__xludf.DUMMYFUNCTION("""COMPUTED_VALUE"""),-0.667252595649531)</f>
        <v>-0.66725259564953099</v>
      </c>
      <c r="HK114" s="3">
        <f ca="1">IFERROR(__xludf.DUMMYFUNCTION("""COMPUTED_VALUE"""),-0.687583303928997)</f>
        <v>-0.68758330392899702</v>
      </c>
      <c r="HL114" s="3">
        <f ca="1">IFERROR(__xludf.DUMMYFUNCTION("""COMPUTED_VALUE"""),-0.673470257534539)</f>
        <v>-0.67347025753453904</v>
      </c>
      <c r="HM114" s="3">
        <f ca="1">IFERROR(__xludf.DUMMYFUNCTION("""COMPUTED_VALUE"""),-0.4678198884621)</f>
        <v>-0.46781988846209999</v>
      </c>
      <c r="HN114" s="3">
        <f ca="1">IFERROR(__xludf.DUMMYFUNCTION("""COMPUTED_VALUE"""),-0.498640727947278)</f>
        <v>-0.49864072794727798</v>
      </c>
      <c r="HO114" s="3">
        <f ca="1">IFERROR(__xludf.DUMMYFUNCTION("""COMPUTED_VALUE"""),-0.645238353829268)</f>
        <v>-0.64523835382926797</v>
      </c>
      <c r="HP114" s="3">
        <f ca="1">IFERROR(__xludf.DUMMYFUNCTION("""COMPUTED_VALUE"""),-0.681636394132585)</f>
        <v>-0.68163639413258503</v>
      </c>
      <c r="HQ114" s="3">
        <f ca="1">IFERROR(__xludf.DUMMYFUNCTION("""COMPUTED_VALUE"""),-0.717397513845554)</f>
        <v>-0.71739751384555395</v>
      </c>
      <c r="HR114" s="3">
        <f ca="1">IFERROR(__xludf.DUMMYFUNCTION("""COMPUTED_VALUE"""),-0.649252918618566)</f>
        <v>-0.64925291861856604</v>
      </c>
      <c r="HS114" s="3">
        <f ca="1">IFERROR(__xludf.DUMMYFUNCTION("""COMPUTED_VALUE"""),-0.611580764221844)</f>
        <v>-0.61158076422184404</v>
      </c>
      <c r="HT114" s="3">
        <f ca="1">IFERROR(__xludf.DUMMYFUNCTION("""COMPUTED_VALUE"""),-0.446145940572872)</f>
        <v>-0.44614594057287199</v>
      </c>
      <c r="HU114" s="3">
        <f ca="1">IFERROR(__xludf.DUMMYFUNCTION("""COMPUTED_VALUE"""),-0.568142185038479)</f>
        <v>-0.56814218503847902</v>
      </c>
      <c r="HV114" s="3">
        <f ca="1">IFERROR(__xludf.DUMMYFUNCTION("""COMPUTED_VALUE"""),-0.611134847339163)</f>
        <v>-0.61113484733916301</v>
      </c>
      <c r="HW114" s="3">
        <f ca="1">IFERROR(__xludf.DUMMYFUNCTION("""COMPUTED_VALUE"""),-0.706984132126007)</f>
        <v>-0.70698413212600697</v>
      </c>
      <c r="HX114" s="3">
        <f ca="1">IFERROR(__xludf.DUMMYFUNCTION("""COMPUTED_VALUE"""),-0.635643195778686)</f>
        <v>-0.635643195778686</v>
      </c>
      <c r="HY114" s="3">
        <f ca="1">IFERROR(__xludf.DUMMYFUNCTION("""COMPUTED_VALUE"""),-0.666940717554378)</f>
        <v>-0.666940717554378</v>
      </c>
      <c r="HZ114" s="3">
        <f ca="1">IFERROR(__xludf.DUMMYFUNCTION("""COMPUTED_VALUE"""),-0.551316081819999)</f>
        <v>-0.55131608181999903</v>
      </c>
      <c r="IA114" s="3">
        <f ca="1">IFERROR(__xludf.DUMMYFUNCTION("""COMPUTED_VALUE"""),-0.451629479293255)</f>
        <v>-0.45162947929325498</v>
      </c>
      <c r="IB114" s="3">
        <f ca="1">IFERROR(__xludf.DUMMYFUNCTION("""COMPUTED_VALUE"""),-0.498954470947768)</f>
        <v>-0.49895447094776801</v>
      </c>
      <c r="IC114" s="3">
        <f ca="1">IFERROR(__xludf.DUMMYFUNCTION("""COMPUTED_VALUE"""),-0.583013628651901)</f>
        <v>-0.58301362865190098</v>
      </c>
      <c r="ID114" s="3">
        <f ca="1">IFERROR(__xludf.DUMMYFUNCTION("""COMPUTED_VALUE"""),-0.565544163335676)</f>
        <v>-0.56554416333567603</v>
      </c>
      <c r="IE114" s="3">
        <f ca="1">IFERROR(__xludf.DUMMYFUNCTION("""COMPUTED_VALUE"""),-0.604824039092321)</f>
        <v>-0.60482403909232096</v>
      </c>
      <c r="IF114" s="3">
        <f ca="1">IFERROR(__xludf.DUMMYFUNCTION("""COMPUTED_VALUE"""),-0.547761187147972)</f>
        <v>-0.54776118714797195</v>
      </c>
      <c r="IG114" s="3">
        <f ca="1">IFERROR(__xludf.DUMMYFUNCTION("""COMPUTED_VALUE"""),-0.58177592278891)</f>
        <v>-0.58177592278890999</v>
      </c>
      <c r="IH114" s="3">
        <f ca="1">IFERROR(__xludf.DUMMYFUNCTION("""COMPUTED_VALUE"""),-0.497643114979566)</f>
        <v>-0.49764311497956598</v>
      </c>
      <c r="II114" s="3">
        <f ca="1">IFERROR(__xludf.DUMMYFUNCTION("""COMPUTED_VALUE"""),-0.489423644476775)</f>
        <v>-0.489423644476775</v>
      </c>
      <c r="IJ114" s="3">
        <f ca="1">IFERROR(__xludf.DUMMYFUNCTION("""COMPUTED_VALUE"""),-0.557609731609445)</f>
        <v>-0.55760973160944505</v>
      </c>
      <c r="IK114" s="3">
        <f ca="1">IFERROR(__xludf.DUMMYFUNCTION("""COMPUTED_VALUE"""),-0.558121152153782)</f>
        <v>-0.558121152153782</v>
      </c>
      <c r="IL114" s="3">
        <f ca="1">IFERROR(__xludf.DUMMYFUNCTION("""COMPUTED_VALUE"""),-0.580730007012535)</f>
        <v>-0.58073000701253497</v>
      </c>
      <c r="IM114" s="3">
        <f ca="1">IFERROR(__xludf.DUMMYFUNCTION("""COMPUTED_VALUE"""),-0.550866162405999)</f>
        <v>-0.55086616240599895</v>
      </c>
      <c r="IN114" s="3">
        <f ca="1">IFERROR(__xludf.DUMMYFUNCTION("""COMPUTED_VALUE"""),-0.51627966450994)</f>
        <v>-0.51627966450994001</v>
      </c>
      <c r="IO114" s="3">
        <f ca="1">IFERROR(__xludf.DUMMYFUNCTION("""COMPUTED_VALUE"""),-0.428253156424096)</f>
        <v>-0.428253156424096</v>
      </c>
      <c r="IP114" s="3">
        <f ca="1">IFERROR(__xludf.DUMMYFUNCTION("""COMPUTED_VALUE"""),-0.471092376213434)</f>
        <v>-0.47109237621343403</v>
      </c>
      <c r="IQ114" s="3">
        <f ca="1">IFERROR(__xludf.DUMMYFUNCTION("""COMPUTED_VALUE"""),-0.605248902773064)</f>
        <v>-0.60524890277306398</v>
      </c>
      <c r="IR114" s="3">
        <f ca="1">IFERROR(__xludf.DUMMYFUNCTION("""COMPUTED_VALUE"""),-0.568216668392053)</f>
        <v>-0.56821666839205298</v>
      </c>
      <c r="IS114" s="3">
        <f ca="1">IFERROR(__xludf.DUMMYFUNCTION("""COMPUTED_VALUE"""),-0.559079530611805)</f>
        <v>-0.55907953061180504</v>
      </c>
      <c r="IT114" s="3">
        <f ca="1">IFERROR(__xludf.DUMMYFUNCTION("""COMPUTED_VALUE"""),-0.59571388451802)</f>
        <v>-0.59571388451801999</v>
      </c>
      <c r="IU114" s="3">
        <f ca="1">IFERROR(__xludf.DUMMYFUNCTION("""COMPUTED_VALUE"""),-0.540958899185558)</f>
        <v>-0.54095889918555795</v>
      </c>
      <c r="IV114" s="3">
        <f ca="1">IFERROR(__xludf.DUMMYFUNCTION("""COMPUTED_VALUE"""),-0.399602445303619)</f>
        <v>-0.39960244530361899</v>
      </c>
      <c r="IW114" s="3">
        <f ca="1">IFERROR(__xludf.DUMMYFUNCTION("""COMPUTED_VALUE"""),-0.449720600734474)</f>
        <v>-0.44972060073447401</v>
      </c>
      <c r="IX114" s="3">
        <f ca="1">IFERROR(__xludf.DUMMYFUNCTION("""COMPUTED_VALUE"""),-0.568330168061373)</f>
        <v>-0.56833016806137304</v>
      </c>
      <c r="IY114" s="3">
        <f ca="1">IFERROR(__xludf.DUMMYFUNCTION("""COMPUTED_VALUE"""),-0.604296113456117)</f>
        <v>-0.604296113456117</v>
      </c>
      <c r="IZ114" s="3">
        <f ca="1">IFERROR(__xludf.DUMMYFUNCTION("""COMPUTED_VALUE"""),-0.5561533775406)</f>
        <v>-0.55615337754060001</v>
      </c>
      <c r="JA114" s="3">
        <f ca="1">IFERROR(__xludf.DUMMYFUNCTION("""COMPUTED_VALUE"""),-0.588667996685332)</f>
        <v>-0.58866799668533198</v>
      </c>
      <c r="JB114" s="3">
        <f ca="1">IFERROR(__xludf.DUMMYFUNCTION("""COMPUTED_VALUE"""),-0.552651641680493)</f>
        <v>-0.55265164168049297</v>
      </c>
      <c r="JC114" s="3">
        <f ca="1">IFERROR(__xludf.DUMMYFUNCTION("""COMPUTED_VALUE"""),-0.444402758027358)</f>
        <v>-0.44440275802735801</v>
      </c>
      <c r="JD114" s="3">
        <f ca="1">IFERROR(__xludf.DUMMYFUNCTION("""COMPUTED_VALUE"""),-0.480019632257717)</f>
        <v>-0.48001963225771699</v>
      </c>
      <c r="JE114" s="3">
        <f ca="1">IFERROR(__xludf.DUMMYFUNCTION("""COMPUTED_VALUE"""),-0.582117009800359)</f>
        <v>-0.58211700980035896</v>
      </c>
      <c r="JF114" s="3">
        <f ca="1">IFERROR(__xludf.DUMMYFUNCTION("""COMPUTED_VALUE"""),-0.628013732185606)</f>
        <v>-0.62801373218560597</v>
      </c>
      <c r="JG114" s="3">
        <f ca="1">IFERROR(__xludf.DUMMYFUNCTION("""COMPUTED_VALUE"""),-0.609821258087281)</f>
        <v>-0.60982125808728105</v>
      </c>
      <c r="JH114" s="3">
        <f ca="1">IFERROR(__xludf.DUMMYFUNCTION("""COMPUTED_VALUE"""),-0.586918605488754)</f>
        <v>-0.58691860548875396</v>
      </c>
      <c r="JI114" s="3">
        <f ca="1">IFERROR(__xludf.DUMMYFUNCTION("""COMPUTED_VALUE"""),-0.583682797276835)</f>
        <v>-0.58368279727683503</v>
      </c>
      <c r="JJ114" s="3">
        <f ca="1">IFERROR(__xludf.DUMMYFUNCTION("""COMPUTED_VALUE"""),-0.474366764523279)</f>
        <v>-0.47436676452327903</v>
      </c>
      <c r="JK114" s="3">
        <f ca="1">IFERROR(__xludf.DUMMYFUNCTION("""COMPUTED_VALUE"""),-0.487152485007529)</f>
        <v>-0.487152485007529</v>
      </c>
      <c r="JL114" s="3">
        <f ca="1">IFERROR(__xludf.DUMMYFUNCTION("""COMPUTED_VALUE"""),-0.613420210182588)</f>
        <v>-0.61342021018258797</v>
      </c>
      <c r="JM114" s="3">
        <f ca="1">IFERROR(__xludf.DUMMYFUNCTION("""COMPUTED_VALUE"""),-0.585432816382189)</f>
        <v>-0.58543281638218903</v>
      </c>
      <c r="JN114" s="3">
        <f ca="1">IFERROR(__xludf.DUMMYFUNCTION("""COMPUTED_VALUE"""),-0.609280778383464)</f>
        <v>-0.60928077838346395</v>
      </c>
      <c r="JO114" s="3">
        <f ca="1">IFERROR(__xludf.DUMMYFUNCTION("""COMPUTED_VALUE"""),-0.620148551114605)</f>
        <v>-0.62014855111460498</v>
      </c>
      <c r="JP114" s="3">
        <f ca="1">IFERROR(__xludf.DUMMYFUNCTION("""COMPUTED_VALUE"""),-0.605692524397794)</f>
        <v>-0.60569252439779397</v>
      </c>
      <c r="JQ114" s="3">
        <f ca="1">IFERROR(__xludf.DUMMYFUNCTION("""COMPUTED_VALUE"""),-0.435626667586416)</f>
        <v>-0.43562666758641599</v>
      </c>
      <c r="JR114" s="3">
        <f ca="1">IFERROR(__xludf.DUMMYFUNCTION("""COMPUTED_VALUE"""),-0.482222215373591)</f>
        <v>-0.482222215373591</v>
      </c>
      <c r="JS114" s="3">
        <f ca="1">IFERROR(__xludf.DUMMYFUNCTION("""COMPUTED_VALUE"""),-0.56261214301497)</f>
        <v>-0.56261214301496998</v>
      </c>
      <c r="JT114" s="3">
        <f ca="1">IFERROR(__xludf.DUMMYFUNCTION("""COMPUTED_VALUE"""),-0.513367426670698)</f>
        <v>-0.51336742667069801</v>
      </c>
      <c r="JU114" s="3">
        <f ca="1">IFERROR(__xludf.DUMMYFUNCTION("""COMPUTED_VALUE"""),-0.612803296495956)</f>
        <v>-0.612803296495956</v>
      </c>
      <c r="JV114" s="3">
        <f ca="1">IFERROR(__xludf.DUMMYFUNCTION("""COMPUTED_VALUE"""),-0.607081727483297)</f>
        <v>-0.60708172748329703</v>
      </c>
      <c r="JW114" s="3">
        <f ca="1">IFERROR(__xludf.DUMMYFUNCTION("""COMPUTED_VALUE"""),-0.611684026637826)</f>
        <v>-0.61168402663782595</v>
      </c>
      <c r="JX114" s="3">
        <f ca="1">IFERROR(__xludf.DUMMYFUNCTION("""COMPUTED_VALUE"""),-0.477668067385019)</f>
        <v>-0.47766806738501899</v>
      </c>
      <c r="JY114" s="3">
        <f ca="1">IFERROR(__xludf.DUMMYFUNCTION("""COMPUTED_VALUE"""),-0.511289448123014)</f>
        <v>-0.51128944812301402</v>
      </c>
      <c r="JZ114" s="3">
        <f ca="1">IFERROR(__xludf.DUMMYFUNCTION("""COMPUTED_VALUE"""),-0.596096426236888)</f>
        <v>-0.59609642623688797</v>
      </c>
      <c r="KA114" s="3">
        <f ca="1">IFERROR(__xludf.DUMMYFUNCTION("""COMPUTED_VALUE"""),-0.509509371210379)</f>
        <v>-0.50950937121037898</v>
      </c>
      <c r="KB114" s="3">
        <f ca="1">IFERROR(__xludf.DUMMYFUNCTION("""COMPUTED_VALUE"""),-0.622600553946542)</f>
        <v>-0.62260055394654201</v>
      </c>
      <c r="KC114" s="3">
        <f ca="1">IFERROR(__xludf.DUMMYFUNCTION("""COMPUTED_VALUE"""),-0.606364215325923)</f>
        <v>-0.60636421532592299</v>
      </c>
      <c r="KD114" s="3">
        <f ca="1">IFERROR(__xludf.DUMMYFUNCTION("""COMPUTED_VALUE"""),-0.652726343670655)</f>
        <v>-0.65272634367065496</v>
      </c>
      <c r="KE114" s="3">
        <f ca="1">IFERROR(__xludf.DUMMYFUNCTION("""COMPUTED_VALUE"""),-0.473643736532343)</f>
        <v>-0.47364373653234298</v>
      </c>
      <c r="KF114" s="3">
        <f ca="1">IFERROR(__xludf.DUMMYFUNCTION("""COMPUTED_VALUE"""),-0.524863460779532)</f>
        <v>-0.52486346077953205</v>
      </c>
      <c r="KG114" s="3">
        <f ca="1">IFERROR(__xludf.DUMMYFUNCTION("""COMPUTED_VALUE"""),-0.576614559916822)</f>
        <v>-0.57661455991682198</v>
      </c>
      <c r="KH114" s="3">
        <f ca="1">IFERROR(__xludf.DUMMYFUNCTION("""COMPUTED_VALUE"""),-0.565847192631686)</f>
        <v>-0.56584719263168604</v>
      </c>
      <c r="KI114" s="3">
        <f ca="1">IFERROR(__xludf.DUMMYFUNCTION("""COMPUTED_VALUE"""),-0.668974919061281)</f>
        <v>-0.66897491906128104</v>
      </c>
      <c r="KJ114" s="3">
        <f ca="1">IFERROR(__xludf.DUMMYFUNCTION("""COMPUTED_VALUE"""),-0.580572713906839)</f>
        <v>-0.58057271390683896</v>
      </c>
      <c r="KK114" s="3">
        <f ca="1">IFERROR(__xludf.DUMMYFUNCTION("""COMPUTED_VALUE"""),-0.652231274256954)</f>
        <v>-0.65223127425695404</v>
      </c>
      <c r="KL114" s="3">
        <f ca="1">IFERROR(__xludf.DUMMYFUNCTION("""COMPUTED_VALUE"""),-0.487409234342612)</f>
        <v>-0.48740923434261202</v>
      </c>
      <c r="KM114" s="3">
        <f ca="1">IFERROR(__xludf.DUMMYFUNCTION("""COMPUTED_VALUE"""),-0.577194798841968)</f>
        <v>-0.577194798841968</v>
      </c>
      <c r="KN114" s="3">
        <f ca="1">IFERROR(__xludf.DUMMYFUNCTION("""COMPUTED_VALUE"""),-0.637955464320658)</f>
        <v>-0.63795546432065797</v>
      </c>
      <c r="KO114" s="3">
        <f ca="1">IFERROR(__xludf.DUMMYFUNCTION("""COMPUTED_VALUE"""),-0.654394879173642)</f>
        <v>-0.65439487917364203</v>
      </c>
      <c r="KP114" s="3">
        <f ca="1">IFERROR(__xludf.DUMMYFUNCTION("""COMPUTED_VALUE"""),-0.658783017513631)</f>
        <v>-0.658783017513631</v>
      </c>
      <c r="KQ114" s="3">
        <f ca="1">IFERROR(__xludf.DUMMYFUNCTION("""COMPUTED_VALUE"""),-0.648661015067119)</f>
        <v>-0.64866101506711904</v>
      </c>
      <c r="KR114" s="3">
        <f ca="1">IFERROR(__xludf.DUMMYFUNCTION("""COMPUTED_VALUE"""),-0.687635835251817)</f>
        <v>-0.68763583525181704</v>
      </c>
      <c r="KS114" s="3">
        <f ca="1">IFERROR(__xludf.DUMMYFUNCTION("""COMPUTED_VALUE"""),-0.547070352667148)</f>
        <v>-0.54707035266714799</v>
      </c>
      <c r="KT114" s="3">
        <f ca="1">IFERROR(__xludf.DUMMYFUNCTION("""COMPUTED_VALUE"""),-0.666627860021952)</f>
        <v>-0.66662786002195196</v>
      </c>
      <c r="KU114" s="3">
        <f ca="1">IFERROR(__xludf.DUMMYFUNCTION("""COMPUTED_VALUE"""),-0.675977100182846)</f>
        <v>-0.67597710018284596</v>
      </c>
      <c r="KV114" s="3">
        <f ca="1">IFERROR(__xludf.DUMMYFUNCTION("""COMPUTED_VALUE"""),-0.716232748751378)</f>
        <v>-0.71623274875137799</v>
      </c>
      <c r="KW114" s="3">
        <f ca="1">IFERROR(__xludf.DUMMYFUNCTION("""COMPUTED_VALUE"""),-0.708861368938703)</f>
        <v>-0.708861368938703</v>
      </c>
      <c r="KX114" s="3">
        <f ca="1">IFERROR(__xludf.DUMMYFUNCTION("""COMPUTED_VALUE"""),-0.71374678581436)</f>
        <v>-0.71374678581436002</v>
      </c>
      <c r="KY114" s="3">
        <f ca="1">IFERROR(__xludf.DUMMYFUNCTION("""COMPUTED_VALUE"""),-0.688627945106601)</f>
        <v>-0.68862794510660097</v>
      </c>
      <c r="KZ114" s="3">
        <f ca="1">IFERROR(__xludf.DUMMYFUNCTION("""COMPUTED_VALUE"""),-0.599578324518516)</f>
        <v>-0.599578324518516</v>
      </c>
      <c r="LA114" s="3">
        <f ca="1">IFERROR(__xludf.DUMMYFUNCTION("""COMPUTED_VALUE"""),-0.706956429460649)</f>
        <v>-0.70695642946064896</v>
      </c>
      <c r="LB114" s="3">
        <f ca="1">IFERROR(__xludf.DUMMYFUNCTION("""COMPUTED_VALUE"""),-0.745297648497749)</f>
        <v>-0.74529764849774904</v>
      </c>
      <c r="LC114" s="3">
        <f ca="1">IFERROR(__xludf.DUMMYFUNCTION("""COMPUTED_VALUE"""),-0.707090144673943)</f>
        <v>-0.70709014467394304</v>
      </c>
      <c r="LD114" s="3">
        <f ca="1">IFERROR(__xludf.DUMMYFUNCTION("""COMPUTED_VALUE"""),-0.751037799848009)</f>
        <v>-0.751037799848009</v>
      </c>
      <c r="LE114" s="3">
        <f ca="1">IFERROR(__xludf.DUMMYFUNCTION("""COMPUTED_VALUE"""),-0.70967684847851)</f>
        <v>-0.70967684847850998</v>
      </c>
      <c r="LF114" s="3">
        <f ca="1">IFERROR(__xludf.DUMMYFUNCTION("""COMPUTED_VALUE"""),-0.679659284338628)</f>
        <v>-0.67965928433862799</v>
      </c>
      <c r="LG114" s="3">
        <f ca="1">IFERROR(__xludf.DUMMYFUNCTION("""COMPUTED_VALUE"""),-0.719893528009952)</f>
        <v>-0.71989352800995199</v>
      </c>
      <c r="LH114" s="3">
        <f ca="1">IFERROR(__xludf.DUMMYFUNCTION("""COMPUTED_VALUE"""),-0.67236741083105)</f>
        <v>-0.67236741083105001</v>
      </c>
      <c r="LI114" s="3">
        <f ca="1">IFERROR(__xludf.DUMMYFUNCTION("""COMPUTED_VALUE"""),-0.780616529952876)</f>
        <v>-0.780616529952876</v>
      </c>
      <c r="LJ114" s="3">
        <f ca="1">IFERROR(__xludf.DUMMYFUNCTION("""COMPUTED_VALUE"""),-0.766510885262486)</f>
        <v>-0.76651088526248601</v>
      </c>
      <c r="LK114" s="3">
        <f ca="1">IFERROR(__xludf.DUMMYFUNCTION("""COMPUTED_VALUE"""),-0.750276922482477)</f>
        <v>-0.75027692248247702</v>
      </c>
      <c r="LL114" s="3">
        <f ca="1">IFERROR(__xludf.DUMMYFUNCTION("""COMPUTED_VALUE"""),-0.764259073501405)</f>
        <v>-0.76425907350140498</v>
      </c>
      <c r="LM114" s="3">
        <f ca="1">IFERROR(__xludf.DUMMYFUNCTION("""COMPUTED_VALUE"""),-0.798530454127185)</f>
        <v>-0.79853045412718504</v>
      </c>
      <c r="LN114" s="3">
        <f ca="1">IFERROR(__xludf.DUMMYFUNCTION("""COMPUTED_VALUE"""),-0.679004897611134)</f>
        <v>-0.67900489761113403</v>
      </c>
      <c r="LO114" s="3">
        <f ca="1">IFERROR(__xludf.DUMMYFUNCTION("""COMPUTED_VALUE"""),-0.716880728700645)</f>
        <v>-0.71688072870064501</v>
      </c>
      <c r="LP114" s="3">
        <f ca="1">IFERROR(__xludf.DUMMYFUNCTION("""COMPUTED_VALUE"""),-0.740090516845851)</f>
        <v>-0.74009051684585103</v>
      </c>
      <c r="LQ114" s="3">
        <f ca="1">IFERROR(__xludf.DUMMYFUNCTION("""COMPUTED_VALUE"""),-0.787266738277215)</f>
        <v>-0.78726673827721505</v>
      </c>
      <c r="LR114" s="3">
        <f ca="1">IFERROR(__xludf.DUMMYFUNCTION("""COMPUTED_VALUE"""),-0.790530213883863)</f>
        <v>-0.79053021388386302</v>
      </c>
      <c r="LS114" s="3">
        <f ca="1">IFERROR(__xludf.DUMMYFUNCTION("""COMPUTED_VALUE"""),-0.802706095676198)</f>
        <v>-0.80270609567619799</v>
      </c>
      <c r="LT114" s="3">
        <f ca="1">IFERROR(__xludf.DUMMYFUNCTION("""COMPUTED_VALUE"""),-0.752550174046437)</f>
        <v>-0.75255017404643698</v>
      </c>
      <c r="LU114" s="3">
        <f ca="1">IFERROR(__xludf.DUMMYFUNCTION("""COMPUTED_VALUE"""),-0.688866875652566)</f>
        <v>-0.68886687565256599</v>
      </c>
      <c r="LV114" s="3">
        <f ca="1">IFERROR(__xludf.DUMMYFUNCTION("""COMPUTED_VALUE"""),-0.695540099819488)</f>
        <v>-0.69554009981948794</v>
      </c>
      <c r="LW114" s="3">
        <f ca="1">IFERROR(__xludf.DUMMYFUNCTION("""COMPUTED_VALUE"""),-0.787662212573414)</f>
        <v>-0.78766221257341396</v>
      </c>
      <c r="LX114" s="3">
        <f ca="1">IFERROR(__xludf.DUMMYFUNCTION("""COMPUTED_VALUE"""),-0.800183373658859)</f>
        <v>-0.80018337365885905</v>
      </c>
      <c r="LY114" s="3">
        <f ca="1">IFERROR(__xludf.DUMMYFUNCTION("""COMPUTED_VALUE"""),-0.810540123140015)</f>
        <v>-0.810540123140015</v>
      </c>
      <c r="LZ114" s="3">
        <f ca="1">IFERROR(__xludf.DUMMYFUNCTION("""COMPUTED_VALUE"""),-0.794985500885941)</f>
        <v>-0.794985500885941</v>
      </c>
      <c r="MA114" s="3">
        <f ca="1">IFERROR(__xludf.DUMMYFUNCTION("""COMPUTED_VALUE"""),-0.805005938767052)</f>
        <v>-0.80500593876705195</v>
      </c>
      <c r="MB114" s="3">
        <f ca="1">IFERROR(__xludf.DUMMYFUNCTION("""COMPUTED_VALUE"""),-0.684997829902802)</f>
        <v>-0.684997829902802</v>
      </c>
      <c r="MC114" s="3">
        <f ca="1">IFERROR(__xludf.DUMMYFUNCTION("""COMPUTED_VALUE"""),-0.737757340658186)</f>
        <v>-0.73775734065818599</v>
      </c>
      <c r="MD114" s="3">
        <f ca="1">IFERROR(__xludf.DUMMYFUNCTION("""COMPUTED_VALUE"""),-0.806145101571756)</f>
        <v>-0.80614510157175601</v>
      </c>
      <c r="ME114" s="3">
        <f ca="1">IFERROR(__xludf.DUMMYFUNCTION("""COMPUTED_VALUE"""),-0.823851009001864)</f>
        <v>-0.82385100900186403</v>
      </c>
      <c r="MF114" s="3">
        <f ca="1">IFERROR(__xludf.DUMMYFUNCTION("""COMPUTED_VALUE"""),-0.834168527324914)</f>
        <v>-0.83416852732491398</v>
      </c>
      <c r="MG114" s="3">
        <f ca="1">IFERROR(__xludf.DUMMYFUNCTION("""COMPUTED_VALUE"""),-0.822574798637362)</f>
        <v>-0.82257479863736205</v>
      </c>
      <c r="MH114" s="3">
        <f ca="1">IFERROR(__xludf.DUMMYFUNCTION("""COMPUTED_VALUE"""),-0.812476699310607)</f>
        <v>-0.81247669931060695</v>
      </c>
      <c r="MI114" s="3">
        <f ca="1">IFERROR(__xludf.DUMMYFUNCTION("""COMPUTED_VALUE"""),-0.664896987932675)</f>
        <v>-0.66489698793267504</v>
      </c>
      <c r="MJ114" s="3">
        <f ca="1">IFERROR(__xludf.DUMMYFUNCTION("""COMPUTED_VALUE"""),-0.752521262847682)</f>
        <v>-0.75252126284768195</v>
      </c>
      <c r="MK114" s="3">
        <f ca="1">IFERROR(__xludf.DUMMYFUNCTION("""COMPUTED_VALUE"""),-0.812750852407138)</f>
        <v>-0.81275085240713796</v>
      </c>
      <c r="ML114" s="3">
        <f ca="1">IFERROR(__xludf.DUMMYFUNCTION("""COMPUTED_VALUE"""),-0.868744937799738)</f>
        <v>-0.86874493779973805</v>
      </c>
      <c r="MM114" s="3">
        <f ca="1">IFERROR(__xludf.DUMMYFUNCTION("""COMPUTED_VALUE"""),-0.829829184164509)</f>
        <v>-0.82982918416450901</v>
      </c>
      <c r="MN114" s="3">
        <f ca="1">IFERROR(__xludf.DUMMYFUNCTION("""COMPUTED_VALUE"""),-0.844255155854207)</f>
        <v>-0.84425515585420696</v>
      </c>
      <c r="MO114" s="3">
        <f ca="1">IFERROR(__xludf.DUMMYFUNCTION("""COMPUTED_VALUE"""),-0.865454699731859)</f>
        <v>-0.86545469973185896</v>
      </c>
      <c r="MP114" s="3">
        <f ca="1">IFERROR(__xludf.DUMMYFUNCTION("""COMPUTED_VALUE"""),-0.738369140206462)</f>
        <v>-0.73836914020646205</v>
      </c>
      <c r="MQ114" s="3">
        <f ca="1">IFERROR(__xludf.DUMMYFUNCTION("""COMPUTED_VALUE"""),-0.743791444796213)</f>
        <v>-0.74379144479621295</v>
      </c>
      <c r="MR114" s="3">
        <f ca="1">IFERROR(__xludf.DUMMYFUNCTION("""COMPUTED_VALUE"""),-0.836810186584321)</f>
        <v>-0.83681018658432105</v>
      </c>
      <c r="MS114" s="3">
        <f ca="1">IFERROR(__xludf.DUMMYFUNCTION("""COMPUTED_VALUE"""),-0.84045128507116)</f>
        <v>-0.84045128507115996</v>
      </c>
      <c r="MT114" s="3">
        <f ca="1">IFERROR(__xludf.DUMMYFUNCTION("""COMPUTED_VALUE"""),-0.848130274346606)</f>
        <v>-0.84813027434660604</v>
      </c>
      <c r="MU114" s="3">
        <f ca="1">IFERROR(__xludf.DUMMYFUNCTION("""COMPUTED_VALUE"""),-0.857337389349876)</f>
        <v>-0.85733738934987602</v>
      </c>
      <c r="MV114" s="3">
        <f ca="1">IFERROR(__xludf.DUMMYFUNCTION("""COMPUTED_VALUE"""),-0.856065134235474)</f>
        <v>-0.85606513423547403</v>
      </c>
      <c r="MW114" s="3">
        <f ca="1">IFERROR(__xludf.DUMMYFUNCTION("""COMPUTED_VALUE"""),-0.73877245095876)</f>
        <v>-0.73877245095875999</v>
      </c>
      <c r="MX114" s="3">
        <f ca="1">IFERROR(__xludf.DUMMYFUNCTION("""COMPUTED_VALUE"""),-0.788243909071248)</f>
        <v>-0.78824390907124797</v>
      </c>
      <c r="MY114" s="3">
        <f ca="1">IFERROR(__xludf.DUMMYFUNCTION("""COMPUTED_VALUE"""),-0.821020940794332)</f>
        <v>-0.82102094079433197</v>
      </c>
      <c r="MZ114" s="3">
        <f ca="1">IFERROR(__xludf.DUMMYFUNCTION("""COMPUTED_VALUE"""),-0.846400012443242)</f>
        <v>-0.84640001244324203</v>
      </c>
      <c r="NA114" s="3">
        <f ca="1">IFERROR(__xludf.DUMMYFUNCTION("""COMPUTED_VALUE"""),-0.86169400387284)</f>
        <v>-0.86169400387284001</v>
      </c>
      <c r="NB114" s="3">
        <f ca="1">IFERROR(__xludf.DUMMYFUNCTION("""COMPUTED_VALUE"""),-0.833564212365689)</f>
        <v>-0.83356421236568901</v>
      </c>
      <c r="NC114" s="3">
        <f ca="1">IFERROR(__xludf.DUMMYFUNCTION("""COMPUTED_VALUE"""),-0.881434138486672)</f>
        <v>-0.88143413848667196</v>
      </c>
      <c r="ND114" s="3">
        <f ca="1">IFERROR(__xludf.DUMMYFUNCTION("""COMPUTED_VALUE"""),-0.806571370567344)</f>
        <v>-0.80657137056734396</v>
      </c>
      <c r="NE114" s="3">
        <f ca="1">IFERROR(__xludf.DUMMYFUNCTION("""COMPUTED_VALUE"""),-0.792679757888693)</f>
        <v>-0.79267975788869305</v>
      </c>
      <c r="NF114" s="3">
        <f ca="1">IFERROR(__xludf.DUMMYFUNCTION("""COMPUTED_VALUE"""),-0.804329268672263)</f>
        <v>-0.80432926867226295</v>
      </c>
      <c r="NG114" s="3">
        <f ca="1">IFERROR(__xludf.DUMMYFUNCTION("""COMPUTED_VALUE"""),-0.85436763507778)</f>
        <v>-0.85436763507778002</v>
      </c>
      <c r="NH114" s="3">
        <f ca="1">IFERROR(__xludf.DUMMYFUNCTION("""COMPUTED_VALUE"""),-0.837240289695969)</f>
        <v>-0.83724028969596898</v>
      </c>
      <c r="NI114" s="3">
        <f ca="1">IFERROR(__xludf.DUMMYFUNCTION("""COMPUTED_VALUE"""),-0.841380523914188)</f>
        <v>-0.84138052391418805</v>
      </c>
      <c r="NJ114" s="3">
        <f ca="1">IFERROR(__xludf.DUMMYFUNCTION("""COMPUTED_VALUE"""),-0.809641314062463)</f>
        <v>-0.80964131406246298</v>
      </c>
      <c r="NK114" s="3">
        <f ca="1">IFERROR(__xludf.DUMMYFUNCTION("""COMPUTED_VALUE"""),-0.780273986627945)</f>
        <v>-0.780273986627945</v>
      </c>
      <c r="NL114" s="3">
        <f ca="1">IFERROR(__xludf.DUMMYFUNCTION("""COMPUTED_VALUE"""),-0.812400117676513)</f>
        <v>-0.81240011767651299</v>
      </c>
      <c r="NM114" s="3">
        <f ca="1">IFERROR(__xludf.DUMMYFUNCTION("""COMPUTED_VALUE"""),-0.83806116577576)</f>
        <v>-0.83806116577575995</v>
      </c>
      <c r="NN114" s="3">
        <f ca="1">IFERROR(__xludf.DUMMYFUNCTION("""COMPUTED_VALUE"""),-0.835744987800406)</f>
        <v>-0.83574498780040596</v>
      </c>
      <c r="NO114" s="3">
        <f ca="1">IFERROR(__xludf.DUMMYFUNCTION("""COMPUTED_VALUE"""),-0.832812505356465)</f>
        <v>-0.832812505356465</v>
      </c>
      <c r="NP114" s="3">
        <f ca="1">IFERROR(__xludf.DUMMYFUNCTION("""COMPUTED_VALUE"""),-0.792724244171746)</f>
        <v>-0.79272424417174603</v>
      </c>
      <c r="NQ114" s="3">
        <f ca="1">IFERROR(__xludf.DUMMYFUNCTION("""COMPUTED_VALUE"""),-0.81074355782056)</f>
        <v>-0.81074355782055996</v>
      </c>
      <c r="NR114" s="3">
        <f ca="1">IFERROR(__xludf.DUMMYFUNCTION("""COMPUTED_VALUE"""),-0.746909688165856)</f>
        <v>-0.74690968816585601</v>
      </c>
      <c r="NS114" s="3">
        <f ca="1">IFERROR(__xludf.DUMMYFUNCTION("""COMPUTED_VALUE"""),-0.742971873120964)</f>
        <v>-0.74297187312096402</v>
      </c>
      <c r="NT114" s="3">
        <f ca="1">IFERROR(__xludf.DUMMYFUNCTION("""COMPUTED_VALUE"""),-0.757588253773158)</f>
        <v>-0.75758825377315797</v>
      </c>
      <c r="NU114" s="3">
        <f ca="1">IFERROR(__xludf.DUMMYFUNCTION("""COMPUTED_VALUE"""),-0.777411856414855)</f>
        <v>-0.777411856414855</v>
      </c>
      <c r="NV114" s="3">
        <f ca="1">IFERROR(__xludf.DUMMYFUNCTION("""COMPUTED_VALUE"""),-0.802851392553683)</f>
        <v>-0.80285139255368299</v>
      </c>
      <c r="NW114" s="3">
        <f ca="1">IFERROR(__xludf.DUMMYFUNCTION("""COMPUTED_VALUE"""),-0.779803723485243)</f>
        <v>-0.77980372348524296</v>
      </c>
      <c r="NX114" s="3">
        <f ca="1">IFERROR(__xludf.DUMMYFUNCTION("""COMPUTED_VALUE"""),-0.777040038620549)</f>
        <v>-0.77704003862054905</v>
      </c>
      <c r="NY114" s="3">
        <f ca="1">IFERROR(__xludf.DUMMYFUNCTION("""COMPUTED_VALUE"""),-0.64715957325741)</f>
        <v>-0.64715957325741003</v>
      </c>
      <c r="NZ114" s="3">
        <f ca="1">IFERROR(__xludf.DUMMYFUNCTION("""COMPUTED_VALUE"""),-0.655181715628399)</f>
        <v>-0.655181715628399</v>
      </c>
      <c r="OA114" s="3">
        <f ca="1">IFERROR(__xludf.DUMMYFUNCTION("""COMPUTED_VALUE"""),-0.696749820624871)</f>
        <v>-0.69674982062487101</v>
      </c>
      <c r="OB114" s="3">
        <f ca="1">IFERROR(__xludf.DUMMYFUNCTION("""COMPUTED_VALUE"""),-0.741342817624907)</f>
        <v>-0.74134281762490695</v>
      </c>
      <c r="OC114" s="3">
        <f ca="1">IFERROR(__xludf.DUMMYFUNCTION("""COMPUTED_VALUE"""),-0.680157926633905)</f>
        <v>-0.68015792663390495</v>
      </c>
      <c r="OD114" s="3">
        <f ca="1">IFERROR(__xludf.DUMMYFUNCTION("""COMPUTED_VALUE"""),-0.668566544446305)</f>
        <v>-0.66856654444630503</v>
      </c>
      <c r="OE114" s="3">
        <f ca="1">IFERROR(__xludf.DUMMYFUNCTION("""COMPUTED_VALUE"""),-0.550781181498173)</f>
        <v>-0.55078118149817301</v>
      </c>
      <c r="OF114" s="3">
        <f ca="1">IFERROR(__xludf.DUMMYFUNCTION("""COMPUTED_VALUE"""),-0.305025405629566)</f>
        <v>-0.30502540562956598</v>
      </c>
      <c r="OG114" s="3">
        <f ca="1">IFERROR(__xludf.DUMMYFUNCTION("""COMPUTED_VALUE"""),-0.341087138378085)</f>
        <v>-0.34108713837808502</v>
      </c>
      <c r="OH114" s="3">
        <f ca="1">IFERROR(__xludf.DUMMYFUNCTION("""COMPUTED_VALUE"""),-0.25168796359903)</f>
        <v>-0.25168796359903001</v>
      </c>
      <c r="OI114" s="3">
        <f ca="1">IFERROR(__xludf.DUMMYFUNCTION("""COMPUTED_VALUE"""),-0.11959220632683)</f>
        <v>-0.11959220632683</v>
      </c>
      <c r="OJ114" s="3">
        <f ca="1">IFERROR(__xludf.DUMMYFUNCTION("""COMPUTED_VALUE"""),-0.207397519840522)</f>
        <v>-0.20739751984052199</v>
      </c>
      <c r="OK114" s="3">
        <f ca="1">IFERROR(__xludf.DUMMYFUNCTION("""COMPUTED_VALUE"""),-0.104711102627892)</f>
        <v>-0.104711102627892</v>
      </c>
      <c r="OL114" s="3">
        <f ca="1">IFERROR(__xludf.DUMMYFUNCTION("""COMPUTED_VALUE"""),0.126617179310834)</f>
        <v>0.12661717931083399</v>
      </c>
      <c r="OM114" s="3">
        <f ca="1">IFERROR(__xludf.DUMMYFUNCTION("""COMPUTED_VALUE"""),-0.115293989990263)</f>
        <v>-0.115293989990263</v>
      </c>
      <c r="ON114" s="3">
        <f ca="1">IFERROR(__xludf.DUMMYFUNCTION("""COMPUTED_VALUE"""),0.0216292573164169)</f>
        <v>2.1629257316416899E-2</v>
      </c>
      <c r="OO114" s="3">
        <f ca="1">IFERROR(__xludf.DUMMYFUNCTION("""COMPUTED_VALUE"""),0.0110524662624453)</f>
        <v>1.10524662624453E-2</v>
      </c>
      <c r="OP114" s="3">
        <f ca="1">IFERROR(__xludf.DUMMYFUNCTION("""COMPUTED_VALUE"""),-0.0147840424773131)</f>
        <v>-1.4784042477313099E-2</v>
      </c>
      <c r="OQ114" s="3">
        <f ca="1">IFERROR(__xludf.DUMMYFUNCTION("""COMPUTED_VALUE"""),-0.0523388297651383)</f>
        <v>-5.2338829765138303E-2</v>
      </c>
      <c r="OR114" s="3">
        <f ca="1">IFERROR(__xludf.DUMMYFUNCTION("""COMPUTED_VALUE"""),-0.0603619290500124)</f>
        <v>-6.0361929050012399E-2</v>
      </c>
      <c r="OS114" s="3">
        <f ca="1">IFERROR(__xludf.DUMMYFUNCTION("""COMPUTED_VALUE"""),0.160870115070295)</f>
        <v>0.160870115070295</v>
      </c>
      <c r="OT114" s="3">
        <f ca="1">IFERROR(__xludf.DUMMYFUNCTION("""COMPUTED_VALUE"""),0.0185648078845841)</f>
        <v>1.85648078845841E-2</v>
      </c>
      <c r="OU114" s="3">
        <f ca="1">IFERROR(__xludf.DUMMYFUNCTION("""COMPUTED_VALUE"""),0.087237427742473)</f>
        <v>8.7237427742473006E-2</v>
      </c>
      <c r="OV114" s="3">
        <f ca="1">IFERROR(__xludf.DUMMYFUNCTION("""COMPUTED_VALUE"""),0.0115335804694982)</f>
        <v>1.1533580469498201E-2</v>
      </c>
      <c r="OW114" s="3">
        <f ca="1">IFERROR(__xludf.DUMMYFUNCTION("""COMPUTED_VALUE"""),0.00425124753970496)</f>
        <v>4.2512475397049601E-3</v>
      </c>
      <c r="OX114" s="3">
        <f ca="1">IFERROR(__xludf.DUMMYFUNCTION("""COMPUTED_VALUE"""),-0.0723652429593451)</f>
        <v>-7.23652429593451E-2</v>
      </c>
      <c r="OY114" s="3">
        <f ca="1">IFERROR(__xludf.DUMMYFUNCTION("""COMPUTED_VALUE"""),-0.0502914776418901)</f>
        <v>-5.0291477641890098E-2</v>
      </c>
      <c r="OZ114" s="3">
        <f ca="1">IFERROR(__xludf.DUMMYFUNCTION("""COMPUTED_VALUE"""),0.360343765181649)</f>
        <v>0.36034376518164901</v>
      </c>
      <c r="PA114" s="3">
        <f ca="1">IFERROR(__xludf.DUMMYFUNCTION("""COMPUTED_VALUE"""),0.0110433551433903)</f>
        <v>1.1043355143390301E-2</v>
      </c>
      <c r="PB114" s="3">
        <f ca="1">IFERROR(__xludf.DUMMYFUNCTION("""COMPUTED_VALUE"""),0.0409046837985769)</f>
        <v>4.0904683798576903E-2</v>
      </c>
      <c r="PC114" s="3">
        <f ca="1">IFERROR(__xludf.DUMMYFUNCTION("""COMPUTED_VALUE"""),-0.0120795652612121)</f>
        <v>-1.2079565261212099E-2</v>
      </c>
      <c r="PD114" s="3">
        <f ca="1">IFERROR(__xludf.DUMMYFUNCTION("""COMPUTED_VALUE"""),-0.0335142215270022)</f>
        <v>-3.3514221527002203E-2</v>
      </c>
      <c r="PE114" s="3">
        <f ca="1">IFERROR(__xludf.DUMMYFUNCTION("""COMPUTED_VALUE"""),0.00914686099618666)</f>
        <v>9.1468609961866607E-3</v>
      </c>
      <c r="PF114" s="3">
        <f ca="1">IFERROR(__xludf.DUMMYFUNCTION("""COMPUTED_VALUE"""),-0.143082217802704)</f>
        <v>-0.143082217802704</v>
      </c>
      <c r="PG114" s="3">
        <f ca="1">IFERROR(__xludf.DUMMYFUNCTION("""COMPUTED_VALUE"""),-0.129394566588609)</f>
        <v>-0.12939456658860901</v>
      </c>
      <c r="PH114" s="3">
        <f ca="1">IFERROR(__xludf.DUMMYFUNCTION("""COMPUTED_VALUE"""),-0.0171908069675053)</f>
        <v>-1.7190806967505301E-2</v>
      </c>
      <c r="PI114" s="3">
        <f ca="1">IFERROR(__xludf.DUMMYFUNCTION("""COMPUTED_VALUE"""),-0.0776743195080055)</f>
        <v>-7.7674319508005504E-2</v>
      </c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</row>
    <row r="115" spans="1:477" ht="13">
      <c r="A115" s="1" t="str">
        <f ca="1">IFERROR(__xludf.DUMMYFUNCTION("""COMPUTED_VALUE"""),"RTC")</f>
        <v>RTC</v>
      </c>
      <c r="B115" s="1" t="str">
        <f ca="1">IFERROR(__xludf.DUMMYFUNCTION("""COMPUTED_VALUE"""),"Québec")</f>
        <v>Québec</v>
      </c>
      <c r="C115" s="1" t="str">
        <f ca="1">IFERROR(__xludf.DUMMYFUNCTION("""COMPUTED_VALUE"""),"Canada")</f>
        <v>Canada</v>
      </c>
      <c r="D115" s="1" t="str">
        <f ca="1">IFERROR(__xludf.DUMMYFUNCTION("""COMPUTED_VALUE"""),"Quebec")</f>
        <v>Quebec</v>
      </c>
      <c r="E115" s="3">
        <f ca="1">IFERROR(__xludf.DUMMYFUNCTION("""COMPUTED_VALUE"""),-0.628513844278032)</f>
        <v>-0.62851384427803203</v>
      </c>
      <c r="F115" s="3">
        <f ca="1">IFERROR(__xludf.DUMMYFUNCTION("""COMPUTED_VALUE"""),-0.70396563246381)</f>
        <v>-0.70396563246381005</v>
      </c>
      <c r="G115" s="3">
        <f ca="1">IFERROR(__xludf.DUMMYFUNCTION("""COMPUTED_VALUE"""),-0.767605727683331)</f>
        <v>-0.76760572768333102</v>
      </c>
      <c r="H115" s="3">
        <f ca="1">IFERROR(__xludf.DUMMYFUNCTION("""COMPUTED_VALUE"""),-0.732353718977649)</f>
        <v>-0.732353718977649</v>
      </c>
      <c r="I115" s="3">
        <f ca="1">IFERROR(__xludf.DUMMYFUNCTION("""COMPUTED_VALUE"""),-0.744035968545322)</f>
        <v>-0.74403596854532195</v>
      </c>
      <c r="J115" s="3">
        <f ca="1">IFERROR(__xludf.DUMMYFUNCTION("""COMPUTED_VALUE"""),-0.756987654925723)</f>
        <v>-0.75698765492572295</v>
      </c>
      <c r="K115" s="3">
        <f ca="1">IFERROR(__xludf.DUMMYFUNCTION("""COMPUTED_VALUE"""),-0.626438805196501)</f>
        <v>-0.62643880519650097</v>
      </c>
      <c r="L115" s="3">
        <f ca="1">IFERROR(__xludf.DUMMYFUNCTION("""COMPUTED_VALUE"""),-0.655584789575386)</f>
        <v>-0.65558478957538602</v>
      </c>
      <c r="M115" s="3">
        <f ca="1">IFERROR(__xludf.DUMMYFUNCTION("""COMPUTED_VALUE"""),-0.734223904917236)</f>
        <v>-0.73422390491723599</v>
      </c>
      <c r="N115" s="3">
        <f ca="1">IFERROR(__xludf.DUMMYFUNCTION("""COMPUTED_VALUE"""),-0.576698434279829)</f>
        <v>-0.57669843427982903</v>
      </c>
      <c r="O115" s="3">
        <f ca="1">IFERROR(__xludf.DUMMYFUNCTION("""COMPUTED_VALUE"""),-0.598324110610528)</f>
        <v>-0.59832411061052804</v>
      </c>
      <c r="P115" s="3">
        <f ca="1">IFERROR(__xludf.DUMMYFUNCTION("""COMPUTED_VALUE"""),-0.599030495135022)</f>
        <v>-0.59903049513502205</v>
      </c>
      <c r="Q115" s="3">
        <f ca="1">IFERROR(__xludf.DUMMYFUNCTION("""COMPUTED_VALUE"""),-0.593197288276784)</f>
        <v>-0.59319728827678397</v>
      </c>
      <c r="R115" s="3">
        <f ca="1">IFERROR(__xludf.DUMMYFUNCTION("""COMPUTED_VALUE"""),-0.464392707643331)</f>
        <v>-0.46439270764333102</v>
      </c>
      <c r="S115" s="3">
        <f ca="1">IFERROR(__xludf.DUMMYFUNCTION("""COMPUTED_VALUE"""),-0.450685203412672)</f>
        <v>-0.45068520341267199</v>
      </c>
      <c r="T115" s="3">
        <f ca="1">IFERROR(__xludf.DUMMYFUNCTION("""COMPUTED_VALUE"""),-0.582152109264761)</f>
        <v>-0.58215210926476102</v>
      </c>
      <c r="U115" s="3">
        <f ca="1">IFERROR(__xludf.DUMMYFUNCTION("""COMPUTED_VALUE"""),-0.587073831075761)</f>
        <v>-0.58707383107576105</v>
      </c>
      <c r="V115" s="3">
        <f ca="1">IFERROR(__xludf.DUMMYFUNCTION("""COMPUTED_VALUE"""),-0.599584866614743)</f>
        <v>-0.59958486661474297</v>
      </c>
      <c r="W115" s="3">
        <f ca="1">IFERROR(__xludf.DUMMYFUNCTION("""COMPUTED_VALUE"""),-0.561105002000317)</f>
        <v>-0.56110500200031699</v>
      </c>
      <c r="X115" s="3">
        <f ca="1">IFERROR(__xludf.DUMMYFUNCTION("""COMPUTED_VALUE"""),-0.529038091315925)</f>
        <v>-0.52903809131592505</v>
      </c>
      <c r="Y115" s="3">
        <f ca="1">IFERROR(__xludf.DUMMYFUNCTION("""COMPUTED_VALUE"""),-0.366861016630899)</f>
        <v>-0.36686101663089898</v>
      </c>
      <c r="Z115" s="3">
        <f ca="1">IFERROR(__xludf.DUMMYFUNCTION("""COMPUTED_VALUE"""),-0.39503972219726)</f>
        <v>-0.39503972219726002</v>
      </c>
      <c r="AA115" s="3">
        <f ca="1">IFERROR(__xludf.DUMMYFUNCTION("""COMPUTED_VALUE"""),-0.554319630666608)</f>
        <v>-0.55431963066660805</v>
      </c>
      <c r="AB115" s="3">
        <f ca="1">IFERROR(__xludf.DUMMYFUNCTION("""COMPUTED_VALUE"""),-0.601963907576135)</f>
        <v>-0.60196390757613505</v>
      </c>
      <c r="AC115" s="3">
        <f ca="1">IFERROR(__xludf.DUMMYFUNCTION("""COMPUTED_VALUE"""),-0.59687748585785)</f>
        <v>-0.59687748585785005</v>
      </c>
      <c r="AD115" s="3">
        <f ca="1">IFERROR(__xludf.DUMMYFUNCTION("""COMPUTED_VALUE"""),-0.597027066377325)</f>
        <v>-0.59702706637732506</v>
      </c>
      <c r="AE115" s="3">
        <f ca="1">IFERROR(__xludf.DUMMYFUNCTION("""COMPUTED_VALUE"""),-0.596512004129446)</f>
        <v>-0.59651200412944605</v>
      </c>
      <c r="AF115" s="3">
        <f ca="1">IFERROR(__xludf.DUMMYFUNCTION("""COMPUTED_VALUE"""),-0.390524777246335)</f>
        <v>-0.390524777246335</v>
      </c>
      <c r="AG115" s="3">
        <f ca="1">IFERROR(__xludf.DUMMYFUNCTION("""COMPUTED_VALUE"""),-0.421698642560347)</f>
        <v>-0.421698642560347</v>
      </c>
      <c r="AH115" s="3">
        <f ca="1">IFERROR(__xludf.DUMMYFUNCTION("""COMPUTED_VALUE"""),-0.587814720594342)</f>
        <v>-0.58781472059434203</v>
      </c>
      <c r="AI115" s="3">
        <f ca="1">IFERROR(__xludf.DUMMYFUNCTION("""COMPUTED_VALUE"""),-0.575437466612314)</f>
        <v>-0.57543746661231399</v>
      </c>
      <c r="AJ115" s="3">
        <f ca="1">IFERROR(__xludf.DUMMYFUNCTION("""COMPUTED_VALUE"""),-0.611250373429122)</f>
        <v>-0.61125037342912203</v>
      </c>
      <c r="AK115" s="3">
        <f ca="1">IFERROR(__xludf.DUMMYFUNCTION("""COMPUTED_VALUE"""),-0.608507303205502)</f>
        <v>-0.60850730320550195</v>
      </c>
      <c r="AL115" s="3">
        <f ca="1">IFERROR(__xludf.DUMMYFUNCTION("""COMPUTED_VALUE"""),-0.562150653010472)</f>
        <v>-0.56215065301047196</v>
      </c>
      <c r="AM115" s="3">
        <f ca="1">IFERROR(__xludf.DUMMYFUNCTION("""COMPUTED_VALUE"""),-0.464707574521533)</f>
        <v>-0.464707574521533</v>
      </c>
      <c r="AN115" s="3">
        <f ca="1">IFERROR(__xludf.DUMMYFUNCTION("""COMPUTED_VALUE"""),-0.54543275329075)</f>
        <v>-0.54543275329075003</v>
      </c>
      <c r="AO115" s="3">
        <f ca="1">IFERROR(__xludf.DUMMYFUNCTION("""COMPUTED_VALUE"""),-0.651320657266492)</f>
        <v>-0.65132065726649202</v>
      </c>
      <c r="AP115" s="3">
        <f ca="1">IFERROR(__xludf.DUMMYFUNCTION("""COMPUTED_VALUE"""),-0.656373773896556)</f>
        <v>-0.65637377389655605</v>
      </c>
      <c r="AQ115" s="3">
        <f ca="1">IFERROR(__xludf.DUMMYFUNCTION("""COMPUTED_VALUE"""),-0.634519289982475)</f>
        <v>-0.63451928998247498</v>
      </c>
      <c r="AR115" s="3">
        <f ca="1">IFERROR(__xludf.DUMMYFUNCTION("""COMPUTED_VALUE"""),-0.689492199370818)</f>
        <v>-0.68949219937081796</v>
      </c>
      <c r="AS115" s="3">
        <f ca="1">IFERROR(__xludf.DUMMYFUNCTION("""COMPUTED_VALUE"""),-0.61129805992782)</f>
        <v>-0.61129805992782005</v>
      </c>
      <c r="AT115" s="3">
        <f ca="1">IFERROR(__xludf.DUMMYFUNCTION("""COMPUTED_VALUE"""),-0.36522129540891)</f>
        <v>-0.36522129540891002</v>
      </c>
      <c r="AU115" s="3">
        <f ca="1">IFERROR(__xludf.DUMMYFUNCTION("""COMPUTED_VALUE"""),-0.463213034327094)</f>
        <v>-0.46321303432709399</v>
      </c>
      <c r="AV115" s="3">
        <f ca="1">IFERROR(__xludf.DUMMYFUNCTION("""COMPUTED_VALUE"""),-0.666691044934544)</f>
        <v>-0.66669104493454401</v>
      </c>
      <c r="AW115" s="3">
        <f ca="1">IFERROR(__xludf.DUMMYFUNCTION("""COMPUTED_VALUE"""),-0.671913338139446)</f>
        <v>-0.67191333813944598</v>
      </c>
      <c r="AX115" s="3">
        <f ca="1">IFERROR(__xludf.DUMMYFUNCTION("""COMPUTED_VALUE"""),-0.65956313195686)</f>
        <v>-0.65956313195686</v>
      </c>
      <c r="AY115" s="3">
        <f ca="1">IFERROR(__xludf.DUMMYFUNCTION("""COMPUTED_VALUE"""),-0.667576094082274)</f>
        <v>-0.66757609408227403</v>
      </c>
      <c r="AZ115" s="3">
        <f ca="1">IFERROR(__xludf.DUMMYFUNCTION("""COMPUTED_VALUE"""),-0.637432951990419)</f>
        <v>-0.63743295199041905</v>
      </c>
      <c r="BA115" s="3">
        <f ca="1">IFERROR(__xludf.DUMMYFUNCTION("""COMPUTED_VALUE"""),-0.434001526841586)</f>
        <v>-0.43400152684158599</v>
      </c>
      <c r="BB115" s="3">
        <f ca="1">IFERROR(__xludf.DUMMYFUNCTION("""COMPUTED_VALUE"""),-0.506010006792696)</f>
        <v>-0.50601000679269603</v>
      </c>
      <c r="BC115" s="3">
        <f ca="1">IFERROR(__xludf.DUMMYFUNCTION("""COMPUTED_VALUE"""),-0.675148511693101)</f>
        <v>-0.67514851169310097</v>
      </c>
      <c r="BD115" s="3">
        <f ca="1">IFERROR(__xludf.DUMMYFUNCTION("""COMPUTED_VALUE"""),-0.694894480602724)</f>
        <v>-0.69489448060272396</v>
      </c>
      <c r="BE115" s="3">
        <f ca="1">IFERROR(__xludf.DUMMYFUNCTION("""COMPUTED_VALUE"""),-0.613913938378239)</f>
        <v>-0.61391393837823904</v>
      </c>
      <c r="BF115" s="3">
        <f ca="1">IFERROR(__xludf.DUMMYFUNCTION("""COMPUTED_VALUE"""),-0.684231529615298)</f>
        <v>-0.68423152961529798</v>
      </c>
      <c r="BG115" s="3">
        <f ca="1">IFERROR(__xludf.DUMMYFUNCTION("""COMPUTED_VALUE"""),-0.666341724798714)</f>
        <v>-0.66634172479871401</v>
      </c>
      <c r="BH115" s="3">
        <f ca="1">IFERROR(__xludf.DUMMYFUNCTION("""COMPUTED_VALUE"""),-0.458583699476487)</f>
        <v>-0.45858369947648697</v>
      </c>
      <c r="BI115" s="3">
        <f ca="1">IFERROR(__xludf.DUMMYFUNCTION("""COMPUTED_VALUE"""),-0.54151764606286)</f>
        <v>-0.54151764606286001</v>
      </c>
      <c r="BJ115" s="3">
        <f ca="1">IFERROR(__xludf.DUMMYFUNCTION("""COMPUTED_VALUE"""),-0.673637702532707)</f>
        <v>-0.67363770253270705</v>
      </c>
      <c r="BK115" s="3">
        <f ca="1">IFERROR(__xludf.DUMMYFUNCTION("""COMPUTED_VALUE"""),-0.70323856672932)</f>
        <v>-0.70323856672931995</v>
      </c>
      <c r="BL115" s="3">
        <f ca="1">IFERROR(__xludf.DUMMYFUNCTION("""COMPUTED_VALUE"""),-0.698414313880193)</f>
        <v>-0.69841431388019304</v>
      </c>
      <c r="BM115" s="3">
        <f ca="1">IFERROR(__xludf.DUMMYFUNCTION("""COMPUTED_VALUE"""),-0.683286382216792)</f>
        <v>-0.68328638221679205</v>
      </c>
      <c r="BN115" s="3">
        <f ca="1">IFERROR(__xludf.DUMMYFUNCTION("""COMPUTED_VALUE"""),-0.671566494854518)</f>
        <v>-0.67156649485451803</v>
      </c>
      <c r="BO115" s="3">
        <f ca="1">IFERROR(__xludf.DUMMYFUNCTION("""COMPUTED_VALUE"""),-0.618981533411816)</f>
        <v>-0.61898153341181605</v>
      </c>
      <c r="BP115" s="3">
        <f ca="1">IFERROR(__xludf.DUMMYFUNCTION("""COMPUTED_VALUE"""),-0.630749767892888)</f>
        <v>-0.63074976789288795</v>
      </c>
      <c r="BQ115" s="3">
        <f ca="1">IFERROR(__xludf.DUMMYFUNCTION("""COMPUTED_VALUE"""),-0.734014715281858)</f>
        <v>-0.73401471528185802</v>
      </c>
      <c r="BR115" s="3">
        <f ca="1">IFERROR(__xludf.DUMMYFUNCTION("""COMPUTED_VALUE"""),-0.754674221751519)</f>
        <v>-0.75467422175151899</v>
      </c>
      <c r="BS115" s="3">
        <f ca="1">IFERROR(__xludf.DUMMYFUNCTION("""COMPUTED_VALUE"""),-0.734925387373586)</f>
        <v>-0.73492538737358604</v>
      </c>
      <c r="BT115" s="3">
        <f ca="1">IFERROR(__xludf.DUMMYFUNCTION("""COMPUTED_VALUE"""),-0.746501694800939)</f>
        <v>-0.74650169480093898</v>
      </c>
      <c r="BU115" s="3">
        <f ca="1">IFERROR(__xludf.DUMMYFUNCTION("""COMPUTED_VALUE"""),-0.728655509887769)</f>
        <v>-0.72865550988776895</v>
      </c>
      <c r="BV115" s="3">
        <f ca="1">IFERROR(__xludf.DUMMYFUNCTION("""COMPUTED_VALUE"""),-0.657934526975796)</f>
        <v>-0.65793452697579602</v>
      </c>
      <c r="BW115" s="3">
        <f ca="1">IFERROR(__xludf.DUMMYFUNCTION("""COMPUTED_VALUE"""),-0.702596587025483)</f>
        <v>-0.702596587025483</v>
      </c>
      <c r="BX115" s="3">
        <f ca="1">IFERROR(__xludf.DUMMYFUNCTION("""COMPUTED_VALUE"""),-0.765975637242154)</f>
        <v>-0.76597563724215401</v>
      </c>
      <c r="BY115" s="3">
        <f ca="1">IFERROR(__xludf.DUMMYFUNCTION("""COMPUTED_VALUE"""),-0.765027962191622)</f>
        <v>-0.76502796219162195</v>
      </c>
      <c r="BZ115" s="3">
        <f ca="1">IFERROR(__xludf.DUMMYFUNCTION("""COMPUTED_VALUE"""),-0.744052341731532)</f>
        <v>-0.74405234173153201</v>
      </c>
      <c r="CA115" s="3">
        <f ca="1">IFERROR(__xludf.DUMMYFUNCTION("""COMPUTED_VALUE"""),-0.731528923724862)</f>
        <v>-0.731528923724862</v>
      </c>
      <c r="CB115" s="3">
        <f ca="1">IFERROR(__xludf.DUMMYFUNCTION("""COMPUTED_VALUE"""),-0.682601209800332)</f>
        <v>-0.68260120980033201</v>
      </c>
      <c r="CC115" s="3">
        <f ca="1">IFERROR(__xludf.DUMMYFUNCTION("""COMPUTED_VALUE"""),-0.653864891272761)</f>
        <v>-0.65386489127276104</v>
      </c>
      <c r="CD115" s="3">
        <f ca="1">IFERROR(__xludf.DUMMYFUNCTION("""COMPUTED_VALUE"""),-0.648682988883553)</f>
        <v>-0.64868298888355302</v>
      </c>
      <c r="CE115" s="3">
        <f ca="1">IFERROR(__xludf.DUMMYFUNCTION("""COMPUTED_VALUE"""),-0.724785885374412)</f>
        <v>-0.72478588537441202</v>
      </c>
      <c r="CF115" s="3">
        <f ca="1">IFERROR(__xludf.DUMMYFUNCTION("""COMPUTED_VALUE"""),-0.767014203736287)</f>
        <v>-0.76701420373628704</v>
      </c>
      <c r="CG115" s="3">
        <f ca="1">IFERROR(__xludf.DUMMYFUNCTION("""COMPUTED_VALUE"""),-0.773362847127162)</f>
        <v>-0.77336284712716197</v>
      </c>
      <c r="CH115" s="3">
        <f ca="1">IFERROR(__xludf.DUMMYFUNCTION("""COMPUTED_VALUE"""),-0.776833309084251)</f>
        <v>-0.77683330908425097</v>
      </c>
      <c r="CI115" s="3">
        <f ca="1">IFERROR(__xludf.DUMMYFUNCTION("""COMPUTED_VALUE"""),-0.761923126993881)</f>
        <v>-0.76192312699388098</v>
      </c>
      <c r="CJ115" s="3">
        <f ca="1">IFERROR(__xludf.DUMMYFUNCTION("""COMPUTED_VALUE"""),-0.657288439616648)</f>
        <v>-0.65728843961664796</v>
      </c>
      <c r="CK115" s="3">
        <f ca="1">IFERROR(__xludf.DUMMYFUNCTION("""COMPUTED_VALUE"""),-0.699267208263876)</f>
        <v>-0.69926720826387601</v>
      </c>
      <c r="CL115" s="3">
        <f ca="1">IFERROR(__xludf.DUMMYFUNCTION("""COMPUTED_VALUE"""),-0.760115722736344)</f>
        <v>-0.76011572273634398</v>
      </c>
      <c r="CM115" s="3">
        <f ca="1">IFERROR(__xludf.DUMMYFUNCTION("""COMPUTED_VALUE"""),-0.787077717793773)</f>
        <v>-0.787077717793773</v>
      </c>
      <c r="CN115" s="3">
        <f ca="1">IFERROR(__xludf.DUMMYFUNCTION("""COMPUTED_VALUE"""),-0.785679675600842)</f>
        <v>-0.78567967560084195</v>
      </c>
      <c r="CO115" s="3">
        <f ca="1">IFERROR(__xludf.DUMMYFUNCTION("""COMPUTED_VALUE"""),-0.775699362729002)</f>
        <v>-0.77569936272900197</v>
      </c>
      <c r="CP115" s="3">
        <f ca="1">IFERROR(__xludf.DUMMYFUNCTION("""COMPUTED_VALUE"""),-0.78622649719062)</f>
        <v>-0.78622649719061999</v>
      </c>
      <c r="CQ115" s="3">
        <f ca="1">IFERROR(__xludf.DUMMYFUNCTION("""COMPUTED_VALUE"""),-0.717256159339331)</f>
        <v>-0.71725615933933096</v>
      </c>
      <c r="CR115" s="3">
        <f ca="1">IFERROR(__xludf.DUMMYFUNCTION("""COMPUTED_VALUE"""),-0.693233514332512)</f>
        <v>-0.69323351433251201</v>
      </c>
      <c r="CS115" s="3">
        <f ca="1">IFERROR(__xludf.DUMMYFUNCTION("""COMPUTED_VALUE"""),-0.718266494977875)</f>
        <v>-0.71826649497787498</v>
      </c>
      <c r="CT115" s="3">
        <f ca="1">IFERROR(__xludf.DUMMYFUNCTION("""COMPUTED_VALUE"""),-0.73487571938939)</f>
        <v>-0.73487571938939</v>
      </c>
      <c r="CU115" s="3">
        <f ca="1">IFERROR(__xludf.DUMMYFUNCTION("""COMPUTED_VALUE"""),-0.70067459173569)</f>
        <v>-0.70067459173569002</v>
      </c>
      <c r="CV115" s="3">
        <f ca="1">IFERROR(__xludf.DUMMYFUNCTION("""COMPUTED_VALUE"""),-0.718502636543078)</f>
        <v>-0.718502636543078</v>
      </c>
      <c r="CW115" s="3">
        <f ca="1">IFERROR(__xludf.DUMMYFUNCTION("""COMPUTED_VALUE"""),-0.702532832388395)</f>
        <v>-0.70253283238839503</v>
      </c>
      <c r="CX115" s="3">
        <f ca="1">IFERROR(__xludf.DUMMYFUNCTION("""COMPUTED_VALUE"""),-0.609290947046415)</f>
        <v>-0.60929094704641495</v>
      </c>
      <c r="CY115" s="3">
        <f ca="1">IFERROR(__xludf.DUMMYFUNCTION("""COMPUTED_VALUE"""),-0.690266125808674)</f>
        <v>-0.69026612580867397</v>
      </c>
      <c r="CZ115" s="3">
        <f ca="1">IFERROR(__xludf.DUMMYFUNCTION("""COMPUTED_VALUE"""),-0.826304492784005)</f>
        <v>-0.82630449278400497</v>
      </c>
      <c r="DA115" s="3">
        <f ca="1">IFERROR(__xludf.DUMMYFUNCTION("""COMPUTED_VALUE"""),-0.681195342911847)</f>
        <v>-0.68119534291184702</v>
      </c>
      <c r="DB115" s="3">
        <f ca="1">IFERROR(__xludf.DUMMYFUNCTION("""COMPUTED_VALUE"""),-0.551641967480205)</f>
        <v>-0.551641967480205</v>
      </c>
      <c r="DC115" s="3">
        <f ca="1">IFERROR(__xludf.DUMMYFUNCTION("""COMPUTED_VALUE"""),-0.640290212534295)</f>
        <v>-0.64029021253429497</v>
      </c>
      <c r="DD115" s="3">
        <f ca="1">IFERROR(__xludf.DUMMYFUNCTION("""COMPUTED_VALUE"""),-0.720466231830992)</f>
        <v>-0.72046623183099201</v>
      </c>
      <c r="DE115" s="3">
        <f ca="1">IFERROR(__xludf.DUMMYFUNCTION("""COMPUTED_VALUE"""),-0.627261217055745)</f>
        <v>-0.627261217055745</v>
      </c>
      <c r="DF115" s="3">
        <f ca="1">IFERROR(__xludf.DUMMYFUNCTION("""COMPUTED_VALUE"""),-0.644715542876604)</f>
        <v>-0.64471554287660404</v>
      </c>
      <c r="DG115" s="3">
        <f ca="1">IFERROR(__xludf.DUMMYFUNCTION("""COMPUTED_VALUE"""),-0.812171615634062)</f>
        <v>-0.81217161563406204</v>
      </c>
      <c r="DH115" s="3">
        <f ca="1">IFERROR(__xludf.DUMMYFUNCTION("""COMPUTED_VALUE"""),-0.608168217902965)</f>
        <v>-0.60816821790296505</v>
      </c>
      <c r="DI115" s="3">
        <f ca="1">IFERROR(__xludf.DUMMYFUNCTION("""COMPUTED_VALUE"""),-0.405377478429276)</f>
        <v>-0.40537747842927602</v>
      </c>
      <c r="DJ115" s="3">
        <f ca="1">IFERROR(__xludf.DUMMYFUNCTION("""COMPUTED_VALUE"""),-0.550008320551981)</f>
        <v>-0.55000832055198101</v>
      </c>
      <c r="DK115" s="3">
        <f ca="1">IFERROR(__xludf.DUMMYFUNCTION("""COMPUTED_VALUE"""),-0.587379965852611)</f>
        <v>-0.58737996585261099</v>
      </c>
      <c r="DL115" s="3">
        <f ca="1">IFERROR(__xludf.DUMMYFUNCTION("""COMPUTED_VALUE"""),-0.516137655887661)</f>
        <v>-0.51613765588766103</v>
      </c>
      <c r="DM115" s="3">
        <f ca="1">IFERROR(__xludf.DUMMYFUNCTION("""COMPUTED_VALUE"""),-0.51732239746259)</f>
        <v>-0.51732239746259001</v>
      </c>
      <c r="DN115" s="3">
        <f ca="1">IFERROR(__xludf.DUMMYFUNCTION("""COMPUTED_VALUE"""),-0.6116327133493)</f>
        <v>-0.61163271334930003</v>
      </c>
      <c r="DO115" s="3">
        <f ca="1">IFERROR(__xludf.DUMMYFUNCTION("""COMPUTED_VALUE"""),-0.625002146078869)</f>
        <v>-0.62500214607886895</v>
      </c>
      <c r="DP115" s="3">
        <f ca="1">IFERROR(__xludf.DUMMYFUNCTION("""COMPUTED_VALUE"""),-0.521197459715723)</f>
        <v>-0.52119745971572295</v>
      </c>
      <c r="DQ115" s="3">
        <f ca="1">IFERROR(__xludf.DUMMYFUNCTION("""COMPUTED_VALUE"""),-0.493787811752974)</f>
        <v>-0.49378781175297398</v>
      </c>
      <c r="DR115" s="3">
        <f ca="1">IFERROR(__xludf.DUMMYFUNCTION("""COMPUTED_VALUE"""),-0.533275611852179)</f>
        <v>-0.53327561185217898</v>
      </c>
      <c r="DS115" s="3">
        <f ca="1">IFERROR(__xludf.DUMMYFUNCTION("""COMPUTED_VALUE"""),-0.516709161537167)</f>
        <v>-0.51670916153716695</v>
      </c>
      <c r="DT115" s="3">
        <f ca="1">IFERROR(__xludf.DUMMYFUNCTION("""COMPUTED_VALUE"""),-0.483759419231277)</f>
        <v>-0.48375941923127702</v>
      </c>
      <c r="DU115" s="3">
        <f ca="1">IFERROR(__xludf.DUMMYFUNCTION("""COMPUTED_VALUE"""),-0.581763951278081)</f>
        <v>-0.581763951278081</v>
      </c>
      <c r="DV115" s="3">
        <f ca="1">IFERROR(__xludf.DUMMYFUNCTION("""COMPUTED_VALUE"""),-0.626675851165535)</f>
        <v>-0.62667585116553504</v>
      </c>
      <c r="DW115" s="3">
        <f ca="1">IFERROR(__xludf.DUMMYFUNCTION("""COMPUTED_VALUE"""),-0.672654030180752)</f>
        <v>-0.67265403018075198</v>
      </c>
      <c r="DX115" s="3">
        <f ca="1">IFERROR(__xludf.DUMMYFUNCTION("""COMPUTED_VALUE"""),-0.654267531937205)</f>
        <v>-0.65426753193720499</v>
      </c>
      <c r="DY115" s="3">
        <f ca="1">IFERROR(__xludf.DUMMYFUNCTION("""COMPUTED_VALUE"""),-0.603369648758181)</f>
        <v>-0.603369648758181</v>
      </c>
      <c r="DZ115" s="3">
        <f ca="1">IFERROR(__xludf.DUMMYFUNCTION("""COMPUTED_VALUE"""),-0.53545424736897)</f>
        <v>-0.53545424736896996</v>
      </c>
      <c r="EA115" s="3">
        <f ca="1">IFERROR(__xludf.DUMMYFUNCTION("""COMPUTED_VALUE"""),-0.530263970039276)</f>
        <v>-0.53026397003927594</v>
      </c>
      <c r="EB115" s="3">
        <f ca="1">IFERROR(__xludf.DUMMYFUNCTION("""COMPUTED_VALUE"""),-0.637592057919837)</f>
        <v>-0.63759205791983697</v>
      </c>
      <c r="EC115" s="3">
        <f ca="1">IFERROR(__xludf.DUMMYFUNCTION("""COMPUTED_VALUE"""),-0.67463600710571)</f>
        <v>-0.67463600710571003</v>
      </c>
      <c r="ED115" s="3">
        <f ca="1">IFERROR(__xludf.DUMMYFUNCTION("""COMPUTED_VALUE"""),-0.699734302115749)</f>
        <v>-0.69973430211574905</v>
      </c>
      <c r="EE115" s="3">
        <f ca="1">IFERROR(__xludf.DUMMYFUNCTION("""COMPUTED_VALUE"""),-0.659305904019494)</f>
        <v>-0.65930590401949396</v>
      </c>
      <c r="EF115" s="3">
        <f ca="1">IFERROR(__xludf.DUMMYFUNCTION("""COMPUTED_VALUE"""),-0.639805341484949)</f>
        <v>-0.63980534148494905</v>
      </c>
      <c r="EG115" s="3">
        <f ca="1">IFERROR(__xludf.DUMMYFUNCTION("""COMPUTED_VALUE"""),-0.53348388527082)</f>
        <v>-0.53348388527082002</v>
      </c>
      <c r="EH115" s="3">
        <f ca="1">IFERROR(__xludf.DUMMYFUNCTION("""COMPUTED_VALUE"""),-0.488338401653287)</f>
        <v>-0.48833840165328701</v>
      </c>
      <c r="EI115" s="3">
        <f ca="1">IFERROR(__xludf.DUMMYFUNCTION("""COMPUTED_VALUE"""),-0.611567888270176)</f>
        <v>-0.61156788827017605</v>
      </c>
      <c r="EJ115" s="3">
        <f ca="1">IFERROR(__xludf.DUMMYFUNCTION("""COMPUTED_VALUE"""),-0.660389957520401)</f>
        <v>-0.66038995752040097</v>
      </c>
      <c r="EK115" s="3">
        <f ca="1">IFERROR(__xludf.DUMMYFUNCTION("""COMPUTED_VALUE"""),-0.682916144236929)</f>
        <v>-0.68291614423692903</v>
      </c>
      <c r="EL115" s="3">
        <f ca="1">IFERROR(__xludf.DUMMYFUNCTION("""COMPUTED_VALUE"""),-0.670577923717571)</f>
        <v>-0.67057792371757097</v>
      </c>
      <c r="EM115" s="3">
        <f ca="1">IFERROR(__xludf.DUMMYFUNCTION("""COMPUTED_VALUE"""),-0.665261299238678)</f>
        <v>-0.66526129923867805</v>
      </c>
      <c r="EN115" s="3">
        <f ca="1">IFERROR(__xludf.DUMMYFUNCTION("""COMPUTED_VALUE"""),-0.5515414054844)</f>
        <v>-0.5515414054844</v>
      </c>
      <c r="EO115" s="3">
        <f ca="1">IFERROR(__xludf.DUMMYFUNCTION("""COMPUTED_VALUE"""),-0.521465256147579)</f>
        <v>-0.52146525614757899</v>
      </c>
      <c r="EP115" s="3">
        <f ca="1">IFERROR(__xludf.DUMMYFUNCTION("""COMPUTED_VALUE"""),-0.712492370600974)</f>
        <v>-0.71249237060097403</v>
      </c>
      <c r="EQ115" s="3">
        <f ca="1">IFERROR(__xludf.DUMMYFUNCTION("""COMPUTED_VALUE"""),-0.716697276340184)</f>
        <v>-0.71669727634018399</v>
      </c>
      <c r="ER115" s="3">
        <f ca="1">IFERROR(__xludf.DUMMYFUNCTION("""COMPUTED_VALUE"""),-0.732061779287677)</f>
        <v>-0.73206177928767702</v>
      </c>
      <c r="ES115" s="3">
        <f ca="1">IFERROR(__xludf.DUMMYFUNCTION("""COMPUTED_VALUE"""),-0.738976961322333)</f>
        <v>-0.73897696132233304</v>
      </c>
      <c r="ET115" s="3">
        <f ca="1">IFERROR(__xludf.DUMMYFUNCTION("""COMPUTED_VALUE"""),-0.690829481676229)</f>
        <v>-0.69082948167622904</v>
      </c>
      <c r="EU115" s="3">
        <f ca="1">IFERROR(__xludf.DUMMYFUNCTION("""COMPUTED_VALUE"""),-0.547231911216859)</f>
        <v>-0.54723191121685899</v>
      </c>
      <c r="EV115" s="3">
        <f ca="1">IFERROR(__xludf.DUMMYFUNCTION("""COMPUTED_VALUE"""),-0.559055366202879)</f>
        <v>-0.55905536620287899</v>
      </c>
      <c r="EW115" s="3">
        <f ca="1">IFERROR(__xludf.DUMMYFUNCTION("""COMPUTED_VALUE"""),-0.694863716953532)</f>
        <v>-0.694863716953532</v>
      </c>
      <c r="EX115" s="3">
        <f ca="1">IFERROR(__xludf.DUMMYFUNCTION("""COMPUTED_VALUE"""),-0.722055777868493)</f>
        <v>-0.72205577786849295</v>
      </c>
      <c r="EY115" s="3">
        <f ca="1">IFERROR(__xludf.DUMMYFUNCTION("""COMPUTED_VALUE"""),-0.739098441710019)</f>
        <v>-0.73909844171001904</v>
      </c>
      <c r="EZ115" s="3">
        <f ca="1">IFERROR(__xludf.DUMMYFUNCTION("""COMPUTED_VALUE"""),-0.719478961304095)</f>
        <v>-0.71947896130409505</v>
      </c>
      <c r="FA115" s="3">
        <f ca="1">IFERROR(__xludf.DUMMYFUNCTION("""COMPUTED_VALUE"""),-0.695617678994813)</f>
        <v>-0.69561767899481297</v>
      </c>
      <c r="FB115" s="3">
        <f ca="1">IFERROR(__xludf.DUMMYFUNCTION("""COMPUTED_VALUE"""),-0.558569121706763)</f>
        <v>-0.55856912170676298</v>
      </c>
      <c r="FC115" s="3">
        <f ca="1">IFERROR(__xludf.DUMMYFUNCTION("""COMPUTED_VALUE"""),-0.546684711433636)</f>
        <v>-0.54668471143363595</v>
      </c>
      <c r="FD115" s="3">
        <f ca="1">IFERROR(__xludf.DUMMYFUNCTION("""COMPUTED_VALUE"""),-0.692359325420084)</f>
        <v>-0.69235932542008405</v>
      </c>
      <c r="FE115" s="3">
        <f ca="1">IFERROR(__xludf.DUMMYFUNCTION("""COMPUTED_VALUE"""),-0.700072616937602)</f>
        <v>-0.70007261693760203</v>
      </c>
      <c r="FF115" s="3">
        <f ca="1">IFERROR(__xludf.DUMMYFUNCTION("""COMPUTED_VALUE"""),-0.738312816404046)</f>
        <v>-0.738312816404046</v>
      </c>
      <c r="FG115" s="3">
        <f ca="1">IFERROR(__xludf.DUMMYFUNCTION("""COMPUTED_VALUE"""),-0.730221725440065)</f>
        <v>-0.73022172544006503</v>
      </c>
      <c r="FH115" s="3">
        <f ca="1">IFERROR(__xludf.DUMMYFUNCTION("""COMPUTED_VALUE"""),-0.676194192234967)</f>
        <v>-0.67619419223496702</v>
      </c>
      <c r="FI115" s="3">
        <f ca="1">IFERROR(__xludf.DUMMYFUNCTION("""COMPUTED_VALUE"""),-0.575474790110631)</f>
        <v>-0.57547479011063096</v>
      </c>
      <c r="FJ115" s="3">
        <f ca="1">IFERROR(__xludf.DUMMYFUNCTION("""COMPUTED_VALUE"""),-0.606881486770643)</f>
        <v>-0.60688148677064302</v>
      </c>
      <c r="FK115" s="3">
        <f ca="1">IFERROR(__xludf.DUMMYFUNCTION("""COMPUTED_VALUE"""),-0.71488370816764)</f>
        <v>-0.71488370816764002</v>
      </c>
      <c r="FL115" s="3">
        <f ca="1">IFERROR(__xludf.DUMMYFUNCTION("""COMPUTED_VALUE"""),-0.729224655342672)</f>
        <v>-0.729224655342672</v>
      </c>
      <c r="FM115" s="3">
        <f ca="1">IFERROR(__xludf.DUMMYFUNCTION("""COMPUTED_VALUE"""),-0.742057217095425)</f>
        <v>-0.74205721709542505</v>
      </c>
      <c r="FN115" s="3">
        <f ca="1">IFERROR(__xludf.DUMMYFUNCTION("""COMPUTED_VALUE"""),-0.696188423835782)</f>
        <v>-0.69618842383578206</v>
      </c>
      <c r="FO115" s="3">
        <f ca="1">IFERROR(__xludf.DUMMYFUNCTION("""COMPUTED_VALUE"""),-0.682686293283319)</f>
        <v>-0.68268629328331898</v>
      </c>
      <c r="FP115" s="3">
        <f ca="1">IFERROR(__xludf.DUMMYFUNCTION("""COMPUTED_VALUE"""),-0.549794978432976)</f>
        <v>-0.54979497843297598</v>
      </c>
      <c r="FQ115" s="3">
        <f ca="1">IFERROR(__xludf.DUMMYFUNCTION("""COMPUTED_VALUE"""),-0.570878636223979)</f>
        <v>-0.57087863622397905</v>
      </c>
      <c r="FR115" s="3">
        <f ca="1">IFERROR(__xludf.DUMMYFUNCTION("""COMPUTED_VALUE"""),-0.677274414386259)</f>
        <v>-0.67727441438625902</v>
      </c>
      <c r="FS115" s="3">
        <f ca="1">IFERROR(__xludf.DUMMYFUNCTION("""COMPUTED_VALUE"""),-0.69888774486153)</f>
        <v>-0.69888774486153005</v>
      </c>
      <c r="FT115" s="3">
        <f ca="1">IFERROR(__xludf.DUMMYFUNCTION("""COMPUTED_VALUE"""),-0.710193954273041)</f>
        <v>-0.71019395427304099</v>
      </c>
      <c r="FU115" s="3">
        <f ca="1">IFERROR(__xludf.DUMMYFUNCTION("""COMPUTED_VALUE"""),-0.663918502440634)</f>
        <v>-0.663918502440634</v>
      </c>
      <c r="FV115" s="3">
        <f ca="1">IFERROR(__xludf.DUMMYFUNCTION("""COMPUTED_VALUE"""),-0.598694209222932)</f>
        <v>-0.59869420922293204</v>
      </c>
      <c r="FW115" s="3">
        <f ca="1">IFERROR(__xludf.DUMMYFUNCTION("""COMPUTED_VALUE"""),-0.612446686063933)</f>
        <v>-0.61244668606393304</v>
      </c>
      <c r="FX115" s="3">
        <f ca="1">IFERROR(__xludf.DUMMYFUNCTION("""COMPUTED_VALUE"""),-0.614154527604289)</f>
        <v>-0.61415452760428901</v>
      </c>
      <c r="FY115" s="3">
        <f ca="1">IFERROR(__xludf.DUMMYFUNCTION("""COMPUTED_VALUE"""),-0.699717874613524)</f>
        <v>-0.69971787461352397</v>
      </c>
      <c r="FZ115" s="3">
        <f ca="1">IFERROR(__xludf.DUMMYFUNCTION("""COMPUTED_VALUE"""),-0.715096791314937)</f>
        <v>-0.71509679131493697</v>
      </c>
      <c r="GA115" s="3">
        <f ca="1">IFERROR(__xludf.DUMMYFUNCTION("""COMPUTED_VALUE"""),-0.740678112005749)</f>
        <v>-0.74067811200574896</v>
      </c>
      <c r="GB115" s="3">
        <f ca="1">IFERROR(__xludf.DUMMYFUNCTION("""COMPUTED_VALUE"""),-0.721846363406288)</f>
        <v>-0.72184636340628805</v>
      </c>
      <c r="GC115" s="3">
        <f ca="1">IFERROR(__xludf.DUMMYFUNCTION("""COMPUTED_VALUE"""),-0.748298660693128)</f>
        <v>-0.748298660693128</v>
      </c>
      <c r="GD115" s="3">
        <f ca="1">IFERROR(__xludf.DUMMYFUNCTION("""COMPUTED_VALUE"""),-0.57461718138215)</f>
        <v>-0.57461718138215001</v>
      </c>
      <c r="GE115" s="3">
        <f ca="1">IFERROR(__xludf.DUMMYFUNCTION("""COMPUTED_VALUE"""),-0.623235309683758)</f>
        <v>-0.62323530968375795</v>
      </c>
      <c r="GF115" s="3">
        <f ca="1">IFERROR(__xludf.DUMMYFUNCTION("""COMPUTED_VALUE"""),-0.688062721453737)</f>
        <v>-0.68806272145373704</v>
      </c>
      <c r="GG115" s="3">
        <f ca="1">IFERROR(__xludf.DUMMYFUNCTION("""COMPUTED_VALUE"""),-0.722434942033289)</f>
        <v>-0.72243494203328895</v>
      </c>
      <c r="GH115" s="3">
        <f ca="1">IFERROR(__xludf.DUMMYFUNCTION("""COMPUTED_VALUE"""),-0.686294955704743)</f>
        <v>-0.68629495570474297</v>
      </c>
      <c r="GI115" s="3">
        <f ca="1">IFERROR(__xludf.DUMMYFUNCTION("""COMPUTED_VALUE"""),-0.680149866942264)</f>
        <v>-0.68014986694226398</v>
      </c>
      <c r="GJ115" s="3">
        <f ca="1">IFERROR(__xludf.DUMMYFUNCTION("""COMPUTED_VALUE"""),-0.618856918971783)</f>
        <v>-0.61885691897178297</v>
      </c>
      <c r="GK115" s="3">
        <f ca="1">IFERROR(__xludf.DUMMYFUNCTION("""COMPUTED_VALUE"""),-0.579781057170488)</f>
        <v>-0.579781057170488</v>
      </c>
      <c r="GL115" s="3">
        <f ca="1">IFERROR(__xludf.DUMMYFUNCTION("""COMPUTED_VALUE"""),-0.514696482367747)</f>
        <v>-0.51469648236774701</v>
      </c>
      <c r="GM115" s="3">
        <f ca="1">IFERROR(__xludf.DUMMYFUNCTION("""COMPUTED_VALUE"""),-0.681663442607209)</f>
        <v>-0.68166344260720901</v>
      </c>
      <c r="GN115" s="3">
        <f ca="1">IFERROR(__xludf.DUMMYFUNCTION("""COMPUTED_VALUE"""),-0.673940309611542)</f>
        <v>-0.67394030961154205</v>
      </c>
      <c r="GO115" s="3">
        <f ca="1">IFERROR(__xludf.DUMMYFUNCTION("""COMPUTED_VALUE"""),-0.644101121918825)</f>
        <v>-0.64410112191882496</v>
      </c>
      <c r="GP115" s="3">
        <f ca="1">IFERROR(__xludf.DUMMYFUNCTION("""COMPUTED_VALUE"""),-0.655466829849957)</f>
        <v>-0.65546682984995697</v>
      </c>
      <c r="GQ115" s="3">
        <f ca="1">IFERROR(__xludf.DUMMYFUNCTION("""COMPUTED_VALUE"""),-0.60680577581961)</f>
        <v>-0.60680577581961004</v>
      </c>
      <c r="GR115" s="3">
        <f ca="1">IFERROR(__xludf.DUMMYFUNCTION("""COMPUTED_VALUE"""),-0.450185439792234)</f>
        <v>-0.45018543979223402</v>
      </c>
      <c r="GS115" s="3">
        <f ca="1">IFERROR(__xludf.DUMMYFUNCTION("""COMPUTED_VALUE"""),-0.420675660504784)</f>
        <v>-0.420675660504784</v>
      </c>
      <c r="GT115" s="3">
        <f ca="1">IFERROR(__xludf.DUMMYFUNCTION("""COMPUTED_VALUE"""),-0.539909280847369)</f>
        <v>-0.539909280847369</v>
      </c>
      <c r="GU115" s="3">
        <f ca="1">IFERROR(__xludf.DUMMYFUNCTION("""COMPUTED_VALUE"""),-0.589992645222904)</f>
        <v>-0.58999264522290396</v>
      </c>
      <c r="GV115" s="3">
        <f ca="1">IFERROR(__xludf.DUMMYFUNCTION("""COMPUTED_VALUE"""),-0.588146535031569)</f>
        <v>-0.588146535031569</v>
      </c>
      <c r="GW115" s="3">
        <f ca="1">IFERROR(__xludf.DUMMYFUNCTION("""COMPUTED_VALUE"""),-0.59930543732079)</f>
        <v>-0.59930543732079</v>
      </c>
      <c r="GX115" s="3">
        <f ca="1">IFERROR(__xludf.DUMMYFUNCTION("""COMPUTED_VALUE"""),-0.571649573498035)</f>
        <v>-0.57164957349803502</v>
      </c>
      <c r="GY115" s="3">
        <f ca="1">IFERROR(__xludf.DUMMYFUNCTION("""COMPUTED_VALUE"""),-0.434000675630222)</f>
        <v>-0.43400067563022199</v>
      </c>
      <c r="GZ115" s="3">
        <f ca="1">IFERROR(__xludf.DUMMYFUNCTION("""COMPUTED_VALUE"""),-0.367878978296983)</f>
        <v>-0.36787897829698302</v>
      </c>
      <c r="HA115" s="3">
        <f ca="1">IFERROR(__xludf.DUMMYFUNCTION("""COMPUTED_VALUE"""),-0.578401972965798)</f>
        <v>-0.57840197296579798</v>
      </c>
      <c r="HB115" s="3">
        <f ca="1">IFERROR(__xludf.DUMMYFUNCTION("""COMPUTED_VALUE"""),-0.578356273973377)</f>
        <v>-0.57835627397337697</v>
      </c>
      <c r="HC115" s="3">
        <f ca="1">IFERROR(__xludf.DUMMYFUNCTION("""COMPUTED_VALUE"""),-0.59939005821555)</f>
        <v>-0.59939005821555003</v>
      </c>
      <c r="HD115" s="3">
        <f ca="1">IFERROR(__xludf.DUMMYFUNCTION("""COMPUTED_VALUE"""),-0.591701626794067)</f>
        <v>-0.59170162679406701</v>
      </c>
      <c r="HE115" s="3">
        <f ca="1">IFERROR(__xludf.DUMMYFUNCTION("""COMPUTED_VALUE"""),-0.540755185657093)</f>
        <v>-0.54075518565709302</v>
      </c>
      <c r="HF115" s="3">
        <f ca="1">IFERROR(__xludf.DUMMYFUNCTION("""COMPUTED_VALUE"""),-0.426609185995099)</f>
        <v>-0.42660918599509901</v>
      </c>
      <c r="HG115" s="3">
        <f ca="1">IFERROR(__xludf.DUMMYFUNCTION("""COMPUTED_VALUE"""),-0.289284995617473)</f>
        <v>-0.28928499561747301</v>
      </c>
      <c r="HH115" s="3">
        <f ca="1">IFERROR(__xludf.DUMMYFUNCTION("""COMPUTED_VALUE"""),-0.505712024220601)</f>
        <v>-0.50571202422060102</v>
      </c>
      <c r="HI115" s="3">
        <f ca="1">IFERROR(__xludf.DUMMYFUNCTION("""COMPUTED_VALUE"""),-0.56577290123021)</f>
        <v>-0.56577290123020996</v>
      </c>
      <c r="HJ115" s="3">
        <f ca="1">IFERROR(__xludf.DUMMYFUNCTION("""COMPUTED_VALUE"""),-0.555491103005113)</f>
        <v>-0.55549110300511295</v>
      </c>
      <c r="HK115" s="3">
        <f ca="1">IFERROR(__xludf.DUMMYFUNCTION("""COMPUTED_VALUE"""),-0.543108381061959)</f>
        <v>-0.54310838106195902</v>
      </c>
      <c r="HL115" s="3">
        <f ca="1">IFERROR(__xludf.DUMMYFUNCTION("""COMPUTED_VALUE"""),-0.659000635643066)</f>
        <v>-0.65900063564306599</v>
      </c>
      <c r="HM115" s="3">
        <f ca="1">IFERROR(__xludf.DUMMYFUNCTION("""COMPUTED_VALUE"""),-0.233117643196711)</f>
        <v>-0.23311764319671099</v>
      </c>
      <c r="HN115" s="3">
        <f ca="1">IFERROR(__xludf.DUMMYFUNCTION("""COMPUTED_VALUE"""),-0.207258513323685)</f>
        <v>-0.207258513323685</v>
      </c>
      <c r="HO115" s="3">
        <f ca="1">IFERROR(__xludf.DUMMYFUNCTION("""COMPUTED_VALUE"""),-0.421637843797392)</f>
        <v>-0.421637843797392</v>
      </c>
      <c r="HP115" s="3">
        <f ca="1">IFERROR(__xludf.DUMMYFUNCTION("""COMPUTED_VALUE"""),-0.471298508704719)</f>
        <v>-0.47129850870471901</v>
      </c>
      <c r="HQ115" s="3">
        <f ca="1">IFERROR(__xludf.DUMMYFUNCTION("""COMPUTED_VALUE"""),-0.529330026791028)</f>
        <v>-0.52933002679102803</v>
      </c>
      <c r="HR115" s="3">
        <f ca="1">IFERROR(__xludf.DUMMYFUNCTION("""COMPUTED_VALUE"""),-0.464105961840822)</f>
        <v>-0.46410596184082198</v>
      </c>
      <c r="HS115" s="3">
        <f ca="1">IFERROR(__xludf.DUMMYFUNCTION("""COMPUTED_VALUE"""),-0.319810958730976)</f>
        <v>-0.31981095873097598</v>
      </c>
      <c r="HT115" s="3">
        <f ca="1">IFERROR(__xludf.DUMMYFUNCTION("""COMPUTED_VALUE"""),-0.423282809318281)</f>
        <v>-0.42328280931828099</v>
      </c>
      <c r="HU115" s="3">
        <f ca="1">IFERROR(__xludf.DUMMYFUNCTION("""COMPUTED_VALUE"""),-0.379578248245117)</f>
        <v>-0.37957824824511699</v>
      </c>
      <c r="HV115" s="3">
        <f ca="1">IFERROR(__xludf.DUMMYFUNCTION("""COMPUTED_VALUE"""),-0.534163072581127)</f>
        <v>-0.53416307258112705</v>
      </c>
      <c r="HW115" s="3">
        <f ca="1">IFERROR(__xludf.DUMMYFUNCTION("""COMPUTED_VALUE"""),-0.507037263171774)</f>
        <v>-0.507037263171774</v>
      </c>
      <c r="HX115" s="3">
        <f ca="1">IFERROR(__xludf.DUMMYFUNCTION("""COMPUTED_VALUE"""),-0.475617666169625)</f>
        <v>-0.47561766616962498</v>
      </c>
      <c r="HY115" s="3">
        <f ca="1">IFERROR(__xludf.DUMMYFUNCTION("""COMPUTED_VALUE"""),-0.474350253027741)</f>
        <v>-0.47435025302774098</v>
      </c>
      <c r="HZ115" s="3">
        <f ca="1">IFERROR(__xludf.DUMMYFUNCTION("""COMPUTED_VALUE"""),-0.382674279814405)</f>
        <v>-0.38267427981440499</v>
      </c>
      <c r="IA115" s="3">
        <f ca="1">IFERROR(__xludf.DUMMYFUNCTION("""COMPUTED_VALUE"""),-0.377784596128389)</f>
        <v>-0.37778459612838899</v>
      </c>
      <c r="IB115" s="3">
        <f ca="1">IFERROR(__xludf.DUMMYFUNCTION("""COMPUTED_VALUE"""),-0.315804952713741)</f>
        <v>-0.31580495271374098</v>
      </c>
      <c r="IC115" s="3">
        <f ca="1">IFERROR(__xludf.DUMMYFUNCTION("""COMPUTED_VALUE"""),-0.414910866989009)</f>
        <v>-0.41491086698900898</v>
      </c>
      <c r="ID115" s="3">
        <f ca="1">IFERROR(__xludf.DUMMYFUNCTION("""COMPUTED_VALUE"""),-0.479968252383553)</f>
        <v>-0.47996825238355301</v>
      </c>
      <c r="IE115" s="3">
        <f ca="1">IFERROR(__xludf.DUMMYFUNCTION("""COMPUTED_VALUE"""),-0.446164767264026)</f>
        <v>-0.44616476726402599</v>
      </c>
      <c r="IF115" s="3">
        <f ca="1">IFERROR(__xludf.DUMMYFUNCTION("""COMPUTED_VALUE"""),-0.504217940973571)</f>
        <v>-0.50421794097357098</v>
      </c>
      <c r="IG115" s="3">
        <f ca="1">IFERROR(__xludf.DUMMYFUNCTION("""COMPUTED_VALUE"""),-0.494988998947152)</f>
        <v>-0.49498899894715198</v>
      </c>
      <c r="IH115" s="3">
        <f ca="1">IFERROR(__xludf.DUMMYFUNCTION("""COMPUTED_VALUE"""),-0.292431128811551)</f>
        <v>-0.29243112881155098</v>
      </c>
      <c r="II115" s="3">
        <f ca="1">IFERROR(__xludf.DUMMYFUNCTION("""COMPUTED_VALUE"""),-0.30957410406944)</f>
        <v>-0.30957410406944003</v>
      </c>
      <c r="IJ115" s="3">
        <f ca="1">IFERROR(__xludf.DUMMYFUNCTION("""COMPUTED_VALUE"""),-0.451893222057504)</f>
        <v>-0.45189322205750398</v>
      </c>
      <c r="IK115" s="3">
        <f ca="1">IFERROR(__xludf.DUMMYFUNCTION("""COMPUTED_VALUE"""),-0.436369742147772)</f>
        <v>-0.43636974214777202</v>
      </c>
      <c r="IL115" s="3">
        <f ca="1">IFERROR(__xludf.DUMMYFUNCTION("""COMPUTED_VALUE"""),-0.437084046739067)</f>
        <v>-0.43708404673906698</v>
      </c>
      <c r="IM115" s="3">
        <f ca="1">IFERROR(__xludf.DUMMYFUNCTION("""COMPUTED_VALUE"""),-0.48911290532536)</f>
        <v>-0.48911290532536</v>
      </c>
      <c r="IN115" s="3">
        <f ca="1">IFERROR(__xludf.DUMMYFUNCTION("""COMPUTED_VALUE"""),-0.461472408050839)</f>
        <v>-0.461472408050839</v>
      </c>
      <c r="IO115" s="3">
        <f ca="1">IFERROR(__xludf.DUMMYFUNCTION("""COMPUTED_VALUE"""),-0.338712419171241)</f>
        <v>-0.33871241917124101</v>
      </c>
      <c r="IP115" s="3">
        <f ca="1">IFERROR(__xludf.DUMMYFUNCTION("""COMPUTED_VALUE"""),-0.267423073391103)</f>
        <v>-0.26742307339110299</v>
      </c>
      <c r="IQ115" s="3">
        <f ca="1">IFERROR(__xludf.DUMMYFUNCTION("""COMPUTED_VALUE"""),-0.355820713508233)</f>
        <v>-0.35582071350823302</v>
      </c>
      <c r="IR115" s="3">
        <f ca="1">IFERROR(__xludf.DUMMYFUNCTION("""COMPUTED_VALUE"""),-0.380451017899726)</f>
        <v>-0.38045101789972602</v>
      </c>
      <c r="IS115" s="3">
        <f ca="1">IFERROR(__xludf.DUMMYFUNCTION("""COMPUTED_VALUE"""),-0.40287487654335)</f>
        <v>-0.40287487654335002</v>
      </c>
      <c r="IT115" s="3">
        <f ca="1">IFERROR(__xludf.DUMMYFUNCTION("""COMPUTED_VALUE"""),-0.40017649460199)</f>
        <v>-0.40017649460199001</v>
      </c>
      <c r="IU115" s="3">
        <f ca="1">IFERROR(__xludf.DUMMYFUNCTION("""COMPUTED_VALUE"""),-0.410415617972504)</f>
        <v>-0.41041561797250398</v>
      </c>
      <c r="IV115" s="3">
        <f ca="1">IFERROR(__xludf.DUMMYFUNCTION("""COMPUTED_VALUE"""),-0.408310781840045)</f>
        <v>-0.40831078184004499</v>
      </c>
      <c r="IW115" s="3">
        <f ca="1">IFERROR(__xludf.DUMMYFUNCTION("""COMPUTED_VALUE"""),-0.26385483537243)</f>
        <v>-0.26385483537242999</v>
      </c>
      <c r="IX115" s="3">
        <f ca="1">IFERROR(__xludf.DUMMYFUNCTION("""COMPUTED_VALUE"""),-0.407678278513362)</f>
        <v>-0.40767827851336202</v>
      </c>
      <c r="IY115" s="3">
        <f ca="1">IFERROR(__xludf.DUMMYFUNCTION("""COMPUTED_VALUE"""),-0.429444469437955)</f>
        <v>-0.429444469437955</v>
      </c>
      <c r="IZ115" s="3">
        <f ca="1">IFERROR(__xludf.DUMMYFUNCTION("""COMPUTED_VALUE"""),-0.399596015636064)</f>
        <v>-0.39959601563606401</v>
      </c>
      <c r="JA115" s="3">
        <f ca="1">IFERROR(__xludf.DUMMYFUNCTION("""COMPUTED_VALUE"""),-0.40264894243123)</f>
        <v>-0.40264894243123001</v>
      </c>
      <c r="JB115" s="3">
        <f ca="1">IFERROR(__xludf.DUMMYFUNCTION("""COMPUTED_VALUE"""),-0.40294473806068)</f>
        <v>-0.40294473806067999</v>
      </c>
      <c r="JC115" s="3">
        <f ca="1">IFERROR(__xludf.DUMMYFUNCTION("""COMPUTED_VALUE"""),-0.447367674316846)</f>
        <v>-0.44736767431684599</v>
      </c>
      <c r="JD115" s="3">
        <f ca="1">IFERROR(__xludf.DUMMYFUNCTION("""COMPUTED_VALUE"""),-0.342293296319013)</f>
        <v>-0.34229329631901301</v>
      </c>
      <c r="JE115" s="3">
        <f ca="1">IFERROR(__xludf.DUMMYFUNCTION("""COMPUTED_VALUE"""),-0.417308972687299)</f>
        <v>-0.417308972687299</v>
      </c>
      <c r="JF115" s="3">
        <f ca="1">IFERROR(__xludf.DUMMYFUNCTION("""COMPUTED_VALUE"""),-0.430128778347635)</f>
        <v>-0.43012877834763502</v>
      </c>
      <c r="JG115" s="3">
        <f ca="1">IFERROR(__xludf.DUMMYFUNCTION("""COMPUTED_VALUE"""),-0.417166845635477)</f>
        <v>-0.41716684563547701</v>
      </c>
      <c r="JH115" s="3">
        <f ca="1">IFERROR(__xludf.DUMMYFUNCTION("""COMPUTED_VALUE"""),-0.408996952992747)</f>
        <v>-0.40899695299274702</v>
      </c>
      <c r="JI115" s="3">
        <f ca="1">IFERROR(__xludf.DUMMYFUNCTION("""COMPUTED_VALUE"""),-0.446738568725874)</f>
        <v>-0.44673856872587397</v>
      </c>
      <c r="JJ115" s="3">
        <f ca="1">IFERROR(__xludf.DUMMYFUNCTION("""COMPUTED_VALUE"""),-0.445962133490619)</f>
        <v>-0.44596213349061897</v>
      </c>
      <c r="JK115" s="3">
        <f ca="1">IFERROR(__xludf.DUMMYFUNCTION("""COMPUTED_VALUE"""),-0.471679334153565)</f>
        <v>-0.471679334153565</v>
      </c>
      <c r="JL115" s="3">
        <f ca="1">IFERROR(__xludf.DUMMYFUNCTION("""COMPUTED_VALUE"""),-0.486661190765485)</f>
        <v>-0.48666119076548497</v>
      </c>
      <c r="JM115" s="3">
        <f ca="1">IFERROR(__xludf.DUMMYFUNCTION("""COMPUTED_VALUE"""),-0.471594856053832)</f>
        <v>-0.471594856053832</v>
      </c>
      <c r="JN115" s="3">
        <f ca="1">IFERROR(__xludf.DUMMYFUNCTION("""COMPUTED_VALUE"""),-0.463889115542801)</f>
        <v>-0.46388911554280099</v>
      </c>
      <c r="JO115" s="3">
        <f ca="1">IFERROR(__xludf.DUMMYFUNCTION("""COMPUTED_VALUE"""),-0.414629091741077)</f>
        <v>-0.41462909174107698</v>
      </c>
      <c r="JP115" s="3">
        <f ca="1">IFERROR(__xludf.DUMMYFUNCTION("""COMPUTED_VALUE"""),-0.441411494109468)</f>
        <v>-0.44141149410946801</v>
      </c>
      <c r="JQ115" s="3">
        <f ca="1">IFERROR(__xludf.DUMMYFUNCTION("""COMPUTED_VALUE"""),-0.519489581043394)</f>
        <v>-0.51948958104339404</v>
      </c>
      <c r="JR115" s="3">
        <f ca="1">IFERROR(__xludf.DUMMYFUNCTION("""COMPUTED_VALUE"""),-0.580818172898912)</f>
        <v>-0.58081817289891202</v>
      </c>
      <c r="JS115" s="3">
        <f ca="1">IFERROR(__xludf.DUMMYFUNCTION("""COMPUTED_VALUE"""),-0.499249723444063)</f>
        <v>-0.49924972344406299</v>
      </c>
      <c r="JT115" s="3">
        <f ca="1">IFERROR(__xludf.DUMMYFUNCTION("""COMPUTED_VALUE"""),-0.519267346421912)</f>
        <v>-0.51926734642191197</v>
      </c>
      <c r="JU115" s="3">
        <f ca="1">IFERROR(__xludf.DUMMYFUNCTION("""COMPUTED_VALUE"""),-0.506781958300362)</f>
        <v>-0.50678195830036199</v>
      </c>
      <c r="JV115" s="3">
        <f ca="1">IFERROR(__xludf.DUMMYFUNCTION("""COMPUTED_VALUE"""),-0.468702644454676)</f>
        <v>-0.46870264445467602</v>
      </c>
      <c r="JW115" s="3">
        <f ca="1">IFERROR(__xludf.DUMMYFUNCTION("""COMPUTED_VALUE"""),-0.433062817108824)</f>
        <v>-0.43306281710882399</v>
      </c>
      <c r="JX115" s="3">
        <f ca="1">IFERROR(__xludf.DUMMYFUNCTION("""COMPUTED_VALUE"""),-0.561163753772145)</f>
        <v>-0.561163753772145</v>
      </c>
      <c r="JY115" s="3">
        <f ca="1">IFERROR(__xludf.DUMMYFUNCTION("""COMPUTED_VALUE"""),-0.475579290959801)</f>
        <v>-0.475579290959801</v>
      </c>
      <c r="JZ115" s="3">
        <f ca="1">IFERROR(__xludf.DUMMYFUNCTION("""COMPUTED_VALUE"""),-0.507260220736748)</f>
        <v>-0.50726022073674804</v>
      </c>
      <c r="KA115" s="3">
        <f ca="1">IFERROR(__xludf.DUMMYFUNCTION("""COMPUTED_VALUE"""),-0.481473033393687)</f>
        <v>-0.48147303339368702</v>
      </c>
      <c r="KB115" s="3">
        <f ca="1">IFERROR(__xludf.DUMMYFUNCTION("""COMPUTED_VALUE"""),-0.664526251955267)</f>
        <v>-0.66452625195526704</v>
      </c>
      <c r="KC115" s="3">
        <f ca="1">IFERROR(__xludf.DUMMYFUNCTION("""COMPUTED_VALUE"""),-0.546790214310091)</f>
        <v>-0.54679021431009101</v>
      </c>
      <c r="KD115" s="3">
        <f ca="1">IFERROR(__xludf.DUMMYFUNCTION("""COMPUTED_VALUE"""),-0.392612195869292)</f>
        <v>-0.39261219586929202</v>
      </c>
      <c r="KE115" s="3">
        <f ca="1">IFERROR(__xludf.DUMMYFUNCTION("""COMPUTED_VALUE"""),-0.5808866401808)</f>
        <v>-0.58088664018080005</v>
      </c>
      <c r="KF115" s="3">
        <f ca="1">IFERROR(__xludf.DUMMYFUNCTION("""COMPUTED_VALUE"""),-0.511741646272173)</f>
        <v>-0.511741646272173</v>
      </c>
      <c r="KG115" s="3">
        <f ca="1">IFERROR(__xludf.DUMMYFUNCTION("""COMPUTED_VALUE"""),-0.541784999675131)</f>
        <v>-0.54178499967513105</v>
      </c>
      <c r="KH115" s="3">
        <f ca="1">IFERROR(__xludf.DUMMYFUNCTION("""COMPUTED_VALUE"""),-0.57158602861452)</f>
        <v>-0.57158602861452001</v>
      </c>
      <c r="KI115" s="3">
        <f ca="1">IFERROR(__xludf.DUMMYFUNCTION("""COMPUTED_VALUE"""),-0.775518006912937)</f>
        <v>-0.77551800691293704</v>
      </c>
      <c r="KJ115" s="3">
        <f ca="1">IFERROR(__xludf.DUMMYFUNCTION("""COMPUTED_VALUE"""),-0.527971363912092)</f>
        <v>-0.52797136391209198</v>
      </c>
      <c r="KK115" s="3">
        <f ca="1">IFERROR(__xludf.DUMMYFUNCTION("""COMPUTED_VALUE"""),-0.413275015987933)</f>
        <v>-0.41327501598793298</v>
      </c>
      <c r="KL115" s="3">
        <f ca="1">IFERROR(__xludf.DUMMYFUNCTION("""COMPUTED_VALUE"""),-0.561723524353485)</f>
        <v>-0.56172352435348505</v>
      </c>
      <c r="KM115" s="3">
        <f ca="1">IFERROR(__xludf.DUMMYFUNCTION("""COMPUTED_VALUE"""),-0.383141854625378)</f>
        <v>-0.38314185462537798</v>
      </c>
      <c r="KN115" s="3">
        <f ca="1">IFERROR(__xludf.DUMMYFUNCTION("""COMPUTED_VALUE"""),-0.533065937283655)</f>
        <v>-0.53306593728365503</v>
      </c>
      <c r="KO115" s="3">
        <f ca="1">IFERROR(__xludf.DUMMYFUNCTION("""COMPUTED_VALUE"""),-0.574308415883048)</f>
        <v>-0.57430841588304804</v>
      </c>
      <c r="KP115" s="3">
        <f ca="1">IFERROR(__xludf.DUMMYFUNCTION("""COMPUTED_VALUE"""),-0.566853535403789)</f>
        <v>-0.56685353540378902</v>
      </c>
      <c r="KQ115" s="3">
        <f ca="1">IFERROR(__xludf.DUMMYFUNCTION("""COMPUTED_VALUE"""),-0.527808643602365)</f>
        <v>-0.52780864360236501</v>
      </c>
      <c r="KR115" s="3">
        <f ca="1">IFERROR(__xludf.DUMMYFUNCTION("""COMPUTED_VALUE"""),-0.459597535554407)</f>
        <v>-0.45959753555440702</v>
      </c>
      <c r="KS115" s="3">
        <f ca="1">IFERROR(__xludf.DUMMYFUNCTION("""COMPUTED_VALUE"""),-0.570189528953088)</f>
        <v>-0.57018952895308805</v>
      </c>
      <c r="KT115" s="3">
        <f ca="1">IFERROR(__xludf.DUMMYFUNCTION("""COMPUTED_VALUE"""),-0.555637244120583)</f>
        <v>-0.55563724412058302</v>
      </c>
      <c r="KU115" s="3">
        <f ca="1">IFERROR(__xludf.DUMMYFUNCTION("""COMPUTED_VALUE"""),-0.649548957911894)</f>
        <v>-0.64954895791189404</v>
      </c>
      <c r="KV115" s="3">
        <f ca="1">IFERROR(__xludf.DUMMYFUNCTION("""COMPUTED_VALUE"""),-0.649792460290329)</f>
        <v>-0.649792460290329</v>
      </c>
      <c r="KW115" s="3">
        <f ca="1">IFERROR(__xludf.DUMMYFUNCTION("""COMPUTED_VALUE"""),-0.675081435110856)</f>
        <v>-0.67508143511085605</v>
      </c>
      <c r="KX115" s="3">
        <f ca="1">IFERROR(__xludf.DUMMYFUNCTION("""COMPUTED_VALUE"""),-0.593367202618341)</f>
        <v>-0.59336720261834097</v>
      </c>
      <c r="KY115" s="3">
        <f ca="1">IFERROR(__xludf.DUMMYFUNCTION("""COMPUTED_VALUE"""),-0.633892573535481)</f>
        <v>-0.63389257353548101</v>
      </c>
      <c r="KZ115" s="3">
        <f ca="1">IFERROR(__xludf.DUMMYFUNCTION("""COMPUTED_VALUE"""),-0.475490961987955)</f>
        <v>-0.47549096198795499</v>
      </c>
      <c r="LA115" s="3">
        <f ca="1">IFERROR(__xludf.DUMMYFUNCTION("""COMPUTED_VALUE"""),-0.643540644914711)</f>
        <v>-0.64354064491471097</v>
      </c>
      <c r="LB115" s="3">
        <f ca="1">IFERROR(__xludf.DUMMYFUNCTION("""COMPUTED_VALUE"""),-0.636690055142107)</f>
        <v>-0.63669005514210697</v>
      </c>
      <c r="LC115" s="3">
        <f ca="1">IFERROR(__xludf.DUMMYFUNCTION("""COMPUTED_VALUE"""),-0.596456995097405)</f>
        <v>-0.59645699509740502</v>
      </c>
      <c r="LD115" s="3">
        <f ca="1">IFERROR(__xludf.DUMMYFUNCTION("""COMPUTED_VALUE"""),-0.627638418687566)</f>
        <v>-0.62763841868756598</v>
      </c>
      <c r="LE115" s="3">
        <f ca="1">IFERROR(__xludf.DUMMYFUNCTION("""COMPUTED_VALUE"""),-0.633455989763094)</f>
        <v>-0.63345598976309403</v>
      </c>
      <c r="LF115" s="3">
        <f ca="1">IFERROR(__xludf.DUMMYFUNCTION("""COMPUTED_VALUE"""),-0.597379202254517)</f>
        <v>-0.59737920225451702</v>
      </c>
      <c r="LG115" s="3">
        <f ca="1">IFERROR(__xludf.DUMMYFUNCTION("""COMPUTED_VALUE"""),-0.609077451073419)</f>
        <v>-0.60907745107341904</v>
      </c>
      <c r="LH115" s="3">
        <f ca="1">IFERROR(__xludf.DUMMYFUNCTION("""COMPUTED_VALUE"""),-0.68382067550664)</f>
        <v>-0.68382067550664005</v>
      </c>
      <c r="LI115" s="3">
        <f ca="1">IFERROR(__xludf.DUMMYFUNCTION("""COMPUTED_VALUE"""),-0.721747881634682)</f>
        <v>-0.72174788163468195</v>
      </c>
      <c r="LJ115" s="3">
        <f ca="1">IFERROR(__xludf.DUMMYFUNCTION("""COMPUTED_VALUE"""),-0.685802213117408)</f>
        <v>-0.68580221311740797</v>
      </c>
      <c r="LK115" s="3">
        <f ca="1">IFERROR(__xludf.DUMMYFUNCTION("""COMPUTED_VALUE"""),-0.68627068643932)</f>
        <v>-0.68627068643931999</v>
      </c>
      <c r="LL115" s="3">
        <f ca="1">IFERROR(__xludf.DUMMYFUNCTION("""COMPUTED_VALUE"""),-0.698384344958279)</f>
        <v>-0.69838434495827895</v>
      </c>
      <c r="LM115" s="3">
        <f ca="1">IFERROR(__xludf.DUMMYFUNCTION("""COMPUTED_VALUE"""),-0.607532109541454)</f>
        <v>-0.60753210954145398</v>
      </c>
      <c r="LN115" s="3">
        <f ca="1">IFERROR(__xludf.DUMMYFUNCTION("""COMPUTED_VALUE"""),-0.623870823275435)</f>
        <v>-0.62387082327543497</v>
      </c>
      <c r="LO115" s="3">
        <f ca="1">IFERROR(__xludf.DUMMYFUNCTION("""COMPUTED_VALUE"""),-0.662691581843963)</f>
        <v>-0.66269158184396304</v>
      </c>
      <c r="LP115" s="3">
        <f ca="1">IFERROR(__xludf.DUMMYFUNCTION("""COMPUTED_VALUE"""),-0.740503455737066)</f>
        <v>-0.740503455737066</v>
      </c>
      <c r="LQ115" s="3">
        <f ca="1">IFERROR(__xludf.DUMMYFUNCTION("""COMPUTED_VALUE"""),-0.682017630998374)</f>
        <v>-0.68201763099837398</v>
      </c>
      <c r="LR115" s="3">
        <f ca="1">IFERROR(__xludf.DUMMYFUNCTION("""COMPUTED_VALUE"""),-0.697080357939082)</f>
        <v>-0.69708035793908196</v>
      </c>
      <c r="LS115" s="3">
        <f ca="1">IFERROR(__xludf.DUMMYFUNCTION("""COMPUTED_VALUE"""),-0.72670583143972)</f>
        <v>-0.72670583143972001</v>
      </c>
      <c r="LT115" s="3">
        <f ca="1">IFERROR(__xludf.DUMMYFUNCTION("""COMPUTED_VALUE"""),-0.71543126649368)</f>
        <v>-0.71543126649368005</v>
      </c>
      <c r="LU115" s="3">
        <f ca="1">IFERROR(__xludf.DUMMYFUNCTION("""COMPUTED_VALUE"""),-0.668309966003389)</f>
        <v>-0.66830996600338899</v>
      </c>
      <c r="LV115" s="3">
        <f ca="1">IFERROR(__xludf.DUMMYFUNCTION("""COMPUTED_VALUE"""),-0.717057701828162)</f>
        <v>-0.71705770182816198</v>
      </c>
      <c r="LW115" s="3">
        <f ca="1">IFERROR(__xludf.DUMMYFUNCTION("""COMPUTED_VALUE"""),-0.825803710948851)</f>
        <v>-0.82580371094885097</v>
      </c>
      <c r="LX115" s="3">
        <f ca="1">IFERROR(__xludf.DUMMYFUNCTION("""COMPUTED_VALUE"""),-0.768892241211795)</f>
        <v>-0.768892241211795</v>
      </c>
      <c r="LY115" s="3">
        <f ca="1">IFERROR(__xludf.DUMMYFUNCTION("""COMPUTED_VALUE"""),-0.786869610606178)</f>
        <v>-0.78686961060617799</v>
      </c>
      <c r="LZ115" s="3">
        <f ca="1">IFERROR(__xludf.DUMMYFUNCTION("""COMPUTED_VALUE"""),-0.792977353349444)</f>
        <v>-0.79297735334944397</v>
      </c>
      <c r="MA115" s="3">
        <f ca="1">IFERROR(__xludf.DUMMYFUNCTION("""COMPUTED_VALUE"""),-0.745977544389069)</f>
        <v>-0.74597754438906905</v>
      </c>
      <c r="MB115" s="3">
        <f ca="1">IFERROR(__xludf.DUMMYFUNCTION("""COMPUTED_VALUE"""),-0.832754542029198)</f>
        <v>-0.83275454202919796</v>
      </c>
      <c r="MC115" s="3">
        <f ca="1">IFERROR(__xludf.DUMMYFUNCTION("""COMPUTED_VALUE"""),-0.816497921842495)</f>
        <v>-0.81649792184249503</v>
      </c>
      <c r="MD115" s="3">
        <f ca="1">IFERROR(__xludf.DUMMYFUNCTION("""COMPUTED_VALUE"""),-0.820693067853133)</f>
        <v>-0.82069306785313301</v>
      </c>
      <c r="ME115" s="3">
        <f ca="1">IFERROR(__xludf.DUMMYFUNCTION("""COMPUTED_VALUE"""),-0.828221975605546)</f>
        <v>-0.828221975605546</v>
      </c>
      <c r="MF115" s="3">
        <f ca="1">IFERROR(__xludf.DUMMYFUNCTION("""COMPUTED_VALUE"""),-0.802302773383949)</f>
        <v>-0.80230277338394895</v>
      </c>
      <c r="MG115" s="3">
        <f ca="1">IFERROR(__xludf.DUMMYFUNCTION("""COMPUTED_VALUE"""),-0.82177034744801)</f>
        <v>-0.82177034744801003</v>
      </c>
      <c r="MH115" s="3">
        <f ca="1">IFERROR(__xludf.DUMMYFUNCTION("""COMPUTED_VALUE"""),-0.821411467133038)</f>
        <v>-0.82141146713303803</v>
      </c>
      <c r="MI115" s="3">
        <f ca="1">IFERROR(__xludf.DUMMYFUNCTION("""COMPUTED_VALUE"""),-0.815418447606436)</f>
        <v>-0.815418447606436</v>
      </c>
      <c r="MJ115" s="3">
        <f ca="1">IFERROR(__xludf.DUMMYFUNCTION("""COMPUTED_VALUE"""),-0.793427890701118)</f>
        <v>-0.79342789070111797</v>
      </c>
      <c r="MK115" s="3">
        <f ca="1">IFERROR(__xludf.DUMMYFUNCTION("""COMPUTED_VALUE"""),-0.874324064009726)</f>
        <v>-0.87432406400972595</v>
      </c>
      <c r="ML115" s="3">
        <f ca="1">IFERROR(__xludf.DUMMYFUNCTION("""COMPUTED_VALUE"""),-0.879162688368383)</f>
        <v>-0.87916268836838296</v>
      </c>
      <c r="MM115" s="3">
        <f ca="1">IFERROR(__xludf.DUMMYFUNCTION("""COMPUTED_VALUE"""),-0.856429596003011)</f>
        <v>-0.85642959600301105</v>
      </c>
      <c r="MN115" s="3">
        <f ca="1">IFERROR(__xludf.DUMMYFUNCTION("""COMPUTED_VALUE"""),-0.853810710620172)</f>
        <v>-0.853810710620172</v>
      </c>
      <c r="MO115" s="3">
        <f ca="1">IFERROR(__xludf.DUMMYFUNCTION("""COMPUTED_VALUE"""),-0.824547779062657)</f>
        <v>-0.82454777906265697</v>
      </c>
      <c r="MP115" s="3">
        <f ca="1">IFERROR(__xludf.DUMMYFUNCTION("""COMPUTED_VALUE"""),-0.849173110794319)</f>
        <v>-0.84917311079431901</v>
      </c>
      <c r="MQ115" s="3">
        <f ca="1">IFERROR(__xludf.DUMMYFUNCTION("""COMPUTED_VALUE"""),-0.845870775737583)</f>
        <v>-0.84587077573758296</v>
      </c>
      <c r="MR115" s="3">
        <f ca="1">IFERROR(__xludf.DUMMYFUNCTION("""COMPUTED_VALUE"""),-0.864960437200711)</f>
        <v>-0.86496043720071103</v>
      </c>
      <c r="MS115" s="3">
        <f ca="1">IFERROR(__xludf.DUMMYFUNCTION("""COMPUTED_VALUE"""),-0.897456221505728)</f>
        <v>-0.89745622150572801</v>
      </c>
      <c r="MT115" s="3">
        <f ca="1">IFERROR(__xludf.DUMMYFUNCTION("""COMPUTED_VALUE"""),-0.877236787073572)</f>
        <v>-0.877236787073572</v>
      </c>
      <c r="MU115" s="3">
        <f ca="1">IFERROR(__xludf.DUMMYFUNCTION("""COMPUTED_VALUE"""),-0.890247467197134)</f>
        <v>-0.89024746719713399</v>
      </c>
      <c r="MV115" s="3">
        <f ca="1">IFERROR(__xludf.DUMMYFUNCTION("""COMPUTED_VALUE"""),-0.853072535376346)</f>
        <v>-0.85307253537634598</v>
      </c>
      <c r="MW115" s="3">
        <f ca="1">IFERROR(__xludf.DUMMYFUNCTION("""COMPUTED_VALUE"""),-0.868670573937131)</f>
        <v>-0.86867057393713099</v>
      </c>
      <c r="MX115" s="3">
        <f ca="1">IFERROR(__xludf.DUMMYFUNCTION("""COMPUTED_VALUE"""),-0.856303198155623)</f>
        <v>-0.85630319815562295</v>
      </c>
      <c r="MY115" s="3">
        <f ca="1">IFERROR(__xludf.DUMMYFUNCTION("""COMPUTED_VALUE"""),-0.881729614601268)</f>
        <v>-0.88172961460126797</v>
      </c>
      <c r="MZ115" s="3">
        <f ca="1">IFERROR(__xludf.DUMMYFUNCTION("""COMPUTED_VALUE"""),-0.904353455638894)</f>
        <v>-0.90435345563889402</v>
      </c>
      <c r="NA115" s="3">
        <f ca="1">IFERROR(__xludf.DUMMYFUNCTION("""COMPUTED_VALUE"""),-0.882214742643082)</f>
        <v>-0.88221474264308197</v>
      </c>
      <c r="NB115" s="3">
        <f ca="1">IFERROR(__xludf.DUMMYFUNCTION("""COMPUTED_VALUE"""),-0.888219356777402)</f>
        <v>-0.88821935677740205</v>
      </c>
      <c r="NC115" s="3">
        <f ca="1">IFERROR(__xludf.DUMMYFUNCTION("""COMPUTED_VALUE"""),-0.898185263040955)</f>
        <v>-0.89818526304095503</v>
      </c>
      <c r="ND115" s="3">
        <f ca="1">IFERROR(__xludf.DUMMYFUNCTION("""COMPUTED_VALUE"""),-0.847941674630108)</f>
        <v>-0.84794167463010806</v>
      </c>
      <c r="NE115" s="3">
        <f ca="1">IFERROR(__xludf.DUMMYFUNCTION("""COMPUTED_VALUE"""),-0.862049009569446)</f>
        <v>-0.86204900956944597</v>
      </c>
      <c r="NF115" s="3">
        <f ca="1">IFERROR(__xludf.DUMMYFUNCTION("""COMPUTED_VALUE"""),-0.889133315429717)</f>
        <v>-0.88913331542971696</v>
      </c>
      <c r="NG115" s="3">
        <f ca="1">IFERROR(__xludf.DUMMYFUNCTION("""COMPUTED_VALUE"""),-0.903322477522349)</f>
        <v>-0.90332247752234895</v>
      </c>
      <c r="NH115" s="3">
        <f ca="1">IFERROR(__xludf.DUMMYFUNCTION("""COMPUTED_VALUE"""),-0.878173575029191)</f>
        <v>-0.87817357502919102</v>
      </c>
      <c r="NI115" s="3">
        <f ca="1">IFERROR(__xludf.DUMMYFUNCTION("""COMPUTED_VALUE"""),-0.88520882284642)</f>
        <v>-0.88520882284642</v>
      </c>
      <c r="NJ115" s="3">
        <f ca="1">IFERROR(__xludf.DUMMYFUNCTION("""COMPUTED_VALUE"""),-0.87805814795974)</f>
        <v>-0.87805814795974002</v>
      </c>
      <c r="NK115" s="3">
        <f ca="1">IFERROR(__xludf.DUMMYFUNCTION("""COMPUTED_VALUE"""),-0.86861135626897)</f>
        <v>-0.86861135626897001</v>
      </c>
      <c r="NL115" s="3">
        <f ca="1">IFERROR(__xludf.DUMMYFUNCTION("""COMPUTED_VALUE"""),-0.860457451653791)</f>
        <v>-0.86045745165379095</v>
      </c>
      <c r="NM115" s="3">
        <f ca="1">IFERROR(__xludf.DUMMYFUNCTION("""COMPUTED_VALUE"""),-0.880655622544068)</f>
        <v>-0.88065562254406804</v>
      </c>
      <c r="NN115" s="3">
        <f ca="1">IFERROR(__xludf.DUMMYFUNCTION("""COMPUTED_VALUE"""),-0.87560151769566)</f>
        <v>-0.87560151769565997</v>
      </c>
      <c r="NO115" s="3">
        <f ca="1">IFERROR(__xludf.DUMMYFUNCTION("""COMPUTED_VALUE"""),-0.860936918695312)</f>
        <v>-0.86093691869531197</v>
      </c>
      <c r="NP115" s="3">
        <f ca="1">IFERROR(__xludf.DUMMYFUNCTION("""COMPUTED_VALUE"""),-0.866740989832977)</f>
        <v>-0.86674098983297698</v>
      </c>
      <c r="NQ115" s="3">
        <f ca="1">IFERROR(__xludf.DUMMYFUNCTION("""COMPUTED_VALUE"""),-0.839108200570792)</f>
        <v>-0.83910820057079205</v>
      </c>
      <c r="NR115" s="3">
        <f ca="1">IFERROR(__xludf.DUMMYFUNCTION("""COMPUTED_VALUE"""),-0.794051612366075)</f>
        <v>-0.79405161236607502</v>
      </c>
      <c r="NS115" s="3">
        <f ca="1">IFERROR(__xludf.DUMMYFUNCTION("""COMPUTED_VALUE"""),-0.815675384658873)</f>
        <v>-0.81567538465887302</v>
      </c>
      <c r="NT115" s="3">
        <f ca="1">IFERROR(__xludf.DUMMYFUNCTION("""COMPUTED_VALUE"""),-0.899856010288812)</f>
        <v>-0.89985601028881201</v>
      </c>
      <c r="NU115" s="3">
        <f ca="1">IFERROR(__xludf.DUMMYFUNCTION("""COMPUTED_VALUE"""),-0.904896760280317)</f>
        <v>-0.90489676028031696</v>
      </c>
      <c r="NV115" s="3">
        <f ca="1">IFERROR(__xludf.DUMMYFUNCTION("""COMPUTED_VALUE"""),-0.902666315921543)</f>
        <v>-0.90266631592154301</v>
      </c>
      <c r="NW115" s="3">
        <f ca="1">IFERROR(__xludf.DUMMYFUNCTION("""COMPUTED_VALUE"""),-0.887895611821983)</f>
        <v>-0.88789561182198296</v>
      </c>
      <c r="NX115" s="3">
        <f ca="1">IFERROR(__xludf.DUMMYFUNCTION("""COMPUTED_VALUE"""),-0.870522078369031)</f>
        <v>-0.87052207836903095</v>
      </c>
      <c r="NY115" s="3">
        <f ca="1">IFERROR(__xludf.DUMMYFUNCTION("""COMPUTED_VALUE"""),-0.78865157325841)</f>
        <v>-0.78865157325840995</v>
      </c>
      <c r="NZ115" s="3">
        <f ca="1">IFERROR(__xludf.DUMMYFUNCTION("""COMPUTED_VALUE"""),-0.791679429820783)</f>
        <v>-0.79167942982078299</v>
      </c>
      <c r="OA115" s="3">
        <f ca="1">IFERROR(__xludf.DUMMYFUNCTION("""COMPUTED_VALUE"""),-0.841323586259716)</f>
        <v>-0.84132358625971604</v>
      </c>
      <c r="OB115" s="3">
        <f ca="1">IFERROR(__xludf.DUMMYFUNCTION("""COMPUTED_VALUE"""),-0.813133781545671)</f>
        <v>-0.81313378154567095</v>
      </c>
      <c r="OC115" s="3">
        <f ca="1">IFERROR(__xludf.DUMMYFUNCTION("""COMPUTED_VALUE"""),-0.769199309293519)</f>
        <v>-0.76919930929351898</v>
      </c>
      <c r="OD115" s="3">
        <f ca="1">IFERROR(__xludf.DUMMYFUNCTION("""COMPUTED_VALUE"""),-0.691499225244979)</f>
        <v>-0.69149922524497898</v>
      </c>
      <c r="OE115" s="3">
        <f ca="1">IFERROR(__xludf.DUMMYFUNCTION("""COMPUTED_VALUE"""),-0.607343264522797)</f>
        <v>-0.60734326452279697</v>
      </c>
      <c r="OF115" s="3">
        <f ca="1">IFERROR(__xludf.DUMMYFUNCTION("""COMPUTED_VALUE"""),-0.284999458597003)</f>
        <v>-0.28499945859700299</v>
      </c>
      <c r="OG115" s="3">
        <f ca="1">IFERROR(__xludf.DUMMYFUNCTION("""COMPUTED_VALUE"""),-0.177615776967968)</f>
        <v>-0.17761577696796799</v>
      </c>
      <c r="OH115" s="3">
        <f ca="1">IFERROR(__xludf.DUMMYFUNCTION("""COMPUTED_VALUE"""),-0.234852787147121)</f>
        <v>-0.23485278714712099</v>
      </c>
      <c r="OI115" s="3">
        <f ca="1">IFERROR(__xludf.DUMMYFUNCTION("""COMPUTED_VALUE"""),-0.0177611372183332)</f>
        <v>-1.7761137218333199E-2</v>
      </c>
      <c r="OJ115" s="3">
        <f ca="1">IFERROR(__xludf.DUMMYFUNCTION("""COMPUTED_VALUE"""),0.0273227466758025)</f>
        <v>2.7322746675802499E-2</v>
      </c>
      <c r="OK115" s="3">
        <f ca="1">IFERROR(__xludf.DUMMYFUNCTION("""COMPUTED_VALUE"""),0.0549361914800345)</f>
        <v>5.4936191480034501E-2</v>
      </c>
      <c r="OL115" s="3">
        <f ca="1">IFERROR(__xludf.DUMMYFUNCTION("""COMPUTED_VALUE"""),0.0358343124672093)</f>
        <v>3.5834312467209299E-2</v>
      </c>
      <c r="OM115" s="3">
        <f ca="1">IFERROR(__xludf.DUMMYFUNCTION("""COMPUTED_VALUE"""),0.0323940570813372)</f>
        <v>3.2394057081337198E-2</v>
      </c>
      <c r="ON115" s="3">
        <f ca="1">IFERROR(__xludf.DUMMYFUNCTION("""COMPUTED_VALUE"""),0.111485685165408)</f>
        <v>0.11148568516540799</v>
      </c>
      <c r="OO115" s="3">
        <f ca="1">IFERROR(__xludf.DUMMYFUNCTION("""COMPUTED_VALUE"""),0.00551375910377216)</f>
        <v>5.5137591037721602E-3</v>
      </c>
      <c r="OP115" s="3">
        <f ca="1">IFERROR(__xludf.DUMMYFUNCTION("""COMPUTED_VALUE"""),0.0348870883643352)</f>
        <v>3.4887088364335198E-2</v>
      </c>
      <c r="OQ115" s="3">
        <f ca="1">IFERROR(__xludf.DUMMYFUNCTION("""COMPUTED_VALUE"""),0.0933466832660732)</f>
        <v>9.3346683266073205E-2</v>
      </c>
      <c r="OR115" s="3">
        <f ca="1">IFERROR(__xludf.DUMMYFUNCTION("""COMPUTED_VALUE"""),0.0512382926374197)</f>
        <v>5.1238292637419698E-2</v>
      </c>
      <c r="OS115" s="3">
        <f ca="1">IFERROR(__xludf.DUMMYFUNCTION("""COMPUTED_VALUE"""),-0.0462365958523361)</f>
        <v>-4.6236595852336103E-2</v>
      </c>
      <c r="OT115" s="3">
        <f ca="1">IFERROR(__xludf.DUMMYFUNCTION("""COMPUTED_VALUE"""),0.17546758467838)</f>
        <v>0.17546758467838</v>
      </c>
      <c r="OU115" s="3">
        <f ca="1">IFERROR(__xludf.DUMMYFUNCTION("""COMPUTED_VALUE"""),0.11825430498641)</f>
        <v>0.11825430498641</v>
      </c>
      <c r="OV115" s="3">
        <f ca="1">IFERROR(__xludf.DUMMYFUNCTION("""COMPUTED_VALUE"""),0.181540878507624)</f>
        <v>0.18154087850762399</v>
      </c>
      <c r="OW115" s="3">
        <f ca="1">IFERROR(__xludf.DUMMYFUNCTION("""COMPUTED_VALUE"""),-0.00717913496516076)</f>
        <v>-7.1791349651607597E-3</v>
      </c>
      <c r="OX115" s="3">
        <f ca="1">IFERROR(__xludf.DUMMYFUNCTION("""COMPUTED_VALUE"""),0.0287507240419762)</f>
        <v>2.8750724041976199E-2</v>
      </c>
      <c r="OY115" s="3">
        <f ca="1">IFERROR(__xludf.DUMMYFUNCTION("""COMPUTED_VALUE"""),0.00827706363117331)</f>
        <v>8.2770636311733092E-3</v>
      </c>
      <c r="OZ115" s="3">
        <f ca="1">IFERROR(__xludf.DUMMYFUNCTION("""COMPUTED_VALUE"""),-0.0963027179161896)</f>
        <v>-9.6302717916189606E-2</v>
      </c>
      <c r="PA115" s="3">
        <f ca="1">IFERROR(__xludf.DUMMYFUNCTION("""COMPUTED_VALUE"""),0.0693097657362238)</f>
        <v>6.93097657362238E-2</v>
      </c>
      <c r="PB115" s="3">
        <f ca="1">IFERROR(__xludf.DUMMYFUNCTION("""COMPUTED_VALUE"""),0.0311609209659293)</f>
        <v>3.11609209659293E-2</v>
      </c>
      <c r="PC115" s="3">
        <f ca="1">IFERROR(__xludf.DUMMYFUNCTION("""COMPUTED_VALUE"""),-0.110490186825919)</f>
        <v>-0.110490186825919</v>
      </c>
      <c r="PD115" s="3">
        <f ca="1">IFERROR(__xludf.DUMMYFUNCTION("""COMPUTED_VALUE"""),-0.0403979599966121)</f>
        <v>-4.0397959996612103E-2</v>
      </c>
      <c r="PE115" s="3">
        <f ca="1">IFERROR(__xludf.DUMMYFUNCTION("""COMPUTED_VALUE"""),0.2318711574935)</f>
        <v>0.23187115749350001</v>
      </c>
      <c r="PF115" s="3">
        <f ca="1">IFERROR(__xludf.DUMMYFUNCTION("""COMPUTED_VALUE"""),0.0421587047969371)</f>
        <v>4.2158704796937098E-2</v>
      </c>
      <c r="PG115" s="3">
        <f ca="1">IFERROR(__xludf.DUMMYFUNCTION("""COMPUTED_VALUE"""),0.0274435217296655)</f>
        <v>2.74435217296655E-2</v>
      </c>
      <c r="PH115" s="3">
        <f ca="1">IFERROR(__xludf.DUMMYFUNCTION("""COMPUTED_VALUE"""),0.0650195531614039)</f>
        <v>6.5019553161403898E-2</v>
      </c>
      <c r="PI115" s="3">
        <f ca="1">IFERROR(__xludf.DUMMYFUNCTION("""COMPUTED_VALUE"""),-0.00244384823861787)</f>
        <v>-2.44384823861787E-3</v>
      </c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</row>
    <row r="116" spans="1:477" ht="13">
      <c r="A116" s="1" t="str">
        <f ca="1">IFERROR(__xludf.DUMMYFUNCTION("""COMPUTED_VALUE"""),"STL Lévis")</f>
        <v>STL Lévis</v>
      </c>
      <c r="B116" s="1" t="str">
        <f ca="1">IFERROR(__xludf.DUMMYFUNCTION("""COMPUTED_VALUE"""),"Québec")</f>
        <v>Québec</v>
      </c>
      <c r="C116" s="1" t="str">
        <f ca="1">IFERROR(__xludf.DUMMYFUNCTION("""COMPUTED_VALUE"""),"Canada")</f>
        <v>Canada</v>
      </c>
      <c r="D116" s="1" t="str">
        <f ca="1">IFERROR(__xludf.DUMMYFUNCTION("""COMPUTED_VALUE"""),"Quebec")</f>
        <v>Quebec</v>
      </c>
      <c r="E116" s="3">
        <f ca="1">IFERROR(__xludf.DUMMYFUNCTION("""COMPUTED_VALUE"""),-0.585406496923533)</f>
        <v>-0.58540649692353297</v>
      </c>
      <c r="F116" s="3">
        <f ca="1">IFERROR(__xludf.DUMMYFUNCTION("""COMPUTED_VALUE"""),-0.677979319393132)</f>
        <v>-0.67797931939313205</v>
      </c>
      <c r="G116" s="3">
        <f ca="1">IFERROR(__xludf.DUMMYFUNCTION("""COMPUTED_VALUE"""),-0.774487447124255)</f>
        <v>-0.77448744712425499</v>
      </c>
      <c r="H116" s="3">
        <f ca="1">IFERROR(__xludf.DUMMYFUNCTION("""COMPUTED_VALUE"""),-0.718540167975215)</f>
        <v>-0.71854016797521503</v>
      </c>
      <c r="I116" s="3">
        <f ca="1">IFERROR(__xludf.DUMMYFUNCTION("""COMPUTED_VALUE"""),-0.710156401718056)</f>
        <v>-0.71015640171805605</v>
      </c>
      <c r="J116" s="3">
        <f ca="1">IFERROR(__xludf.DUMMYFUNCTION("""COMPUTED_VALUE"""),-0.772947580218932)</f>
        <v>-0.77294758021893195</v>
      </c>
      <c r="K116" s="3">
        <f ca="1">IFERROR(__xludf.DUMMYFUNCTION("""COMPUTED_VALUE"""),-0.6037772610583)</f>
        <v>-0.60377726105829999</v>
      </c>
      <c r="L116" s="3">
        <f ca="1">IFERROR(__xludf.DUMMYFUNCTION("""COMPUTED_VALUE"""),-0.611800896959322)</f>
        <v>-0.61180089695932205</v>
      </c>
      <c r="M116" s="3">
        <f ca="1">IFERROR(__xludf.DUMMYFUNCTION("""COMPUTED_VALUE"""),-0.74984514361682)</f>
        <v>-0.74984514361681998</v>
      </c>
      <c r="N116" s="3">
        <f ca="1">IFERROR(__xludf.DUMMYFUNCTION("""COMPUTED_VALUE"""),-0.512104173550854)</f>
        <v>-0.51210417355085402</v>
      </c>
      <c r="O116" s="3">
        <f ca="1">IFERROR(__xludf.DUMMYFUNCTION("""COMPUTED_VALUE"""),-0.524682269488502)</f>
        <v>-0.52468226948850205</v>
      </c>
      <c r="P116" s="3">
        <f ca="1">IFERROR(__xludf.DUMMYFUNCTION("""COMPUTED_VALUE"""),-0.554570064086023)</f>
        <v>-0.55457006408602305</v>
      </c>
      <c r="Q116" s="3">
        <f ca="1">IFERROR(__xludf.DUMMYFUNCTION("""COMPUTED_VALUE"""),-0.535881484996839)</f>
        <v>-0.53588148499683896</v>
      </c>
      <c r="R116" s="3">
        <f ca="1">IFERROR(__xludf.DUMMYFUNCTION("""COMPUTED_VALUE"""),-0.319226810702228)</f>
        <v>-0.31922681070222803</v>
      </c>
      <c r="S116" s="3">
        <f ca="1">IFERROR(__xludf.DUMMYFUNCTION("""COMPUTED_VALUE"""),-0.408213955727207)</f>
        <v>-0.40821395572720698</v>
      </c>
      <c r="T116" s="3">
        <f ca="1">IFERROR(__xludf.DUMMYFUNCTION("""COMPUTED_VALUE"""),-0.535914002379511)</f>
        <v>-0.53591400237951103</v>
      </c>
      <c r="U116" s="3">
        <f ca="1">IFERROR(__xludf.DUMMYFUNCTION("""COMPUTED_VALUE"""),-0.534441442653352)</f>
        <v>-0.53444144265335203</v>
      </c>
      <c r="V116" s="3">
        <f ca="1">IFERROR(__xludf.DUMMYFUNCTION("""COMPUTED_VALUE"""),-0.53800387180186)</f>
        <v>-0.53800387180186005</v>
      </c>
      <c r="W116" s="3">
        <f ca="1">IFERROR(__xludf.DUMMYFUNCTION("""COMPUTED_VALUE"""),-0.518800335608665)</f>
        <v>-0.51880033560866501</v>
      </c>
      <c r="X116" s="3">
        <f ca="1">IFERROR(__xludf.DUMMYFUNCTION("""COMPUTED_VALUE"""),-0.47939645844559)</f>
        <v>-0.47939645844558998</v>
      </c>
      <c r="Y116" s="3">
        <f ca="1">IFERROR(__xludf.DUMMYFUNCTION("""COMPUTED_VALUE"""),-0.250625551063969)</f>
        <v>-0.250625551063969</v>
      </c>
      <c r="Z116" s="3">
        <f ca="1">IFERROR(__xludf.DUMMYFUNCTION("""COMPUTED_VALUE"""),-0.2831936626667)</f>
        <v>-0.28319366266669999</v>
      </c>
      <c r="AA116" s="3">
        <f ca="1">IFERROR(__xludf.DUMMYFUNCTION("""COMPUTED_VALUE"""),-0.51153313887625)</f>
        <v>-0.51153313887624996</v>
      </c>
      <c r="AB116" s="3">
        <f ca="1">IFERROR(__xludf.DUMMYFUNCTION("""COMPUTED_VALUE"""),-0.579168674386914)</f>
        <v>-0.579168674386914</v>
      </c>
      <c r="AC116" s="3">
        <f ca="1">IFERROR(__xludf.DUMMYFUNCTION("""COMPUTED_VALUE"""),-0.571472108003388)</f>
        <v>-0.57147210800338799</v>
      </c>
      <c r="AD116" s="3">
        <f ca="1">IFERROR(__xludf.DUMMYFUNCTION("""COMPUTED_VALUE"""),-0.552193608641245)</f>
        <v>-0.552193608641245</v>
      </c>
      <c r="AE116" s="3">
        <f ca="1">IFERROR(__xludf.DUMMYFUNCTION("""COMPUTED_VALUE"""),-0.555802926970326)</f>
        <v>-0.55580292697032596</v>
      </c>
      <c r="AF116" s="3">
        <f ca="1">IFERROR(__xludf.DUMMYFUNCTION("""COMPUTED_VALUE"""),-0.296925731996358)</f>
        <v>-0.29692573199635802</v>
      </c>
      <c r="AG116" s="3">
        <f ca="1">IFERROR(__xludf.DUMMYFUNCTION("""COMPUTED_VALUE"""),-0.362743295638754)</f>
        <v>-0.36274329563875402</v>
      </c>
      <c r="AH116" s="3">
        <f ca="1">IFERROR(__xludf.DUMMYFUNCTION("""COMPUTED_VALUE"""),-0.510540681676634)</f>
        <v>-0.51054068167663402</v>
      </c>
      <c r="AI116" s="3">
        <f ca="1">IFERROR(__xludf.DUMMYFUNCTION("""COMPUTED_VALUE"""),-0.53502279528977)</f>
        <v>-0.53502279528977004</v>
      </c>
      <c r="AJ116" s="3">
        <f ca="1">IFERROR(__xludf.DUMMYFUNCTION("""COMPUTED_VALUE"""),-0.563618934400713)</f>
        <v>-0.56361893440071298</v>
      </c>
      <c r="AK116" s="3">
        <f ca="1">IFERROR(__xludf.DUMMYFUNCTION("""COMPUTED_VALUE"""),-0.572084968331554)</f>
        <v>-0.57208496833155398</v>
      </c>
      <c r="AL116" s="3">
        <f ca="1">IFERROR(__xludf.DUMMYFUNCTION("""COMPUTED_VALUE"""),-0.513371638213621)</f>
        <v>-0.51337163821362097</v>
      </c>
      <c r="AM116" s="3">
        <f ca="1">IFERROR(__xludf.DUMMYFUNCTION("""COMPUTED_VALUE"""),-0.373156728331442)</f>
        <v>-0.37315672833144198</v>
      </c>
      <c r="AN116" s="3">
        <f ca="1">IFERROR(__xludf.DUMMYFUNCTION("""COMPUTED_VALUE"""),-0.502201327089463)</f>
        <v>-0.50220132708946297</v>
      </c>
      <c r="AO116" s="3">
        <f ca="1">IFERROR(__xludf.DUMMYFUNCTION("""COMPUTED_VALUE"""),-0.624729135475215)</f>
        <v>-0.62472913547521502</v>
      </c>
      <c r="AP116" s="3">
        <f ca="1">IFERROR(__xludf.DUMMYFUNCTION("""COMPUTED_VALUE"""),-0.598309103545025)</f>
        <v>-0.59830910354502498</v>
      </c>
      <c r="AQ116" s="3">
        <f ca="1">IFERROR(__xludf.DUMMYFUNCTION("""COMPUTED_VALUE"""),-0.588217441144756)</f>
        <v>-0.58821744114475605</v>
      </c>
      <c r="AR116" s="3">
        <f ca="1">IFERROR(__xludf.DUMMYFUNCTION("""COMPUTED_VALUE"""),-0.634572258095238)</f>
        <v>-0.63457225809523798</v>
      </c>
      <c r="AS116" s="3">
        <f ca="1">IFERROR(__xludf.DUMMYFUNCTION("""COMPUTED_VALUE"""),-0.571021086613981)</f>
        <v>-0.57102108661398099</v>
      </c>
      <c r="AT116" s="3">
        <f ca="1">IFERROR(__xludf.DUMMYFUNCTION("""COMPUTED_VALUE"""),-0.315933656235318)</f>
        <v>-0.31593365623531799</v>
      </c>
      <c r="AU116" s="3">
        <f ca="1">IFERROR(__xludf.DUMMYFUNCTION("""COMPUTED_VALUE"""),-0.416131891399371)</f>
        <v>-0.41613189139937101</v>
      </c>
      <c r="AV116" s="3">
        <f ca="1">IFERROR(__xludf.DUMMYFUNCTION("""COMPUTED_VALUE"""),-0.645805287455079)</f>
        <v>-0.64580528745507904</v>
      </c>
      <c r="AW116" s="3">
        <f ca="1">IFERROR(__xludf.DUMMYFUNCTION("""COMPUTED_VALUE"""),-0.650269985039007)</f>
        <v>-0.65026998503900701</v>
      </c>
      <c r="AX116" s="3">
        <f ca="1">IFERROR(__xludf.DUMMYFUNCTION("""COMPUTED_VALUE"""),-0.673787994974772)</f>
        <v>-0.67378799497477204</v>
      </c>
      <c r="AY116" s="3">
        <f ca="1">IFERROR(__xludf.DUMMYFUNCTION("""COMPUTED_VALUE"""),-0.663968678869959)</f>
        <v>-0.66396867886995903</v>
      </c>
      <c r="AZ116" s="3">
        <f ca="1">IFERROR(__xludf.DUMMYFUNCTION("""COMPUTED_VALUE"""),-0.637608093046429)</f>
        <v>-0.63760809304642896</v>
      </c>
      <c r="BA116" s="3">
        <f ca="1">IFERROR(__xludf.DUMMYFUNCTION("""COMPUTED_VALUE"""),-0.394026800845639)</f>
        <v>-0.39402680084563901</v>
      </c>
      <c r="BB116" s="3">
        <f ca="1">IFERROR(__xludf.DUMMYFUNCTION("""COMPUTED_VALUE"""),-0.446564094450907)</f>
        <v>-0.446564094450907</v>
      </c>
      <c r="BC116" s="3">
        <f ca="1">IFERROR(__xludf.DUMMYFUNCTION("""COMPUTED_VALUE"""),-0.643761428736662)</f>
        <v>-0.64376142873666198</v>
      </c>
      <c r="BD116" s="3">
        <f ca="1">IFERROR(__xludf.DUMMYFUNCTION("""COMPUTED_VALUE"""),-0.669797749247719)</f>
        <v>-0.66979774924771895</v>
      </c>
      <c r="BE116" s="3">
        <f ca="1">IFERROR(__xludf.DUMMYFUNCTION("""COMPUTED_VALUE"""),-0.578950322970814)</f>
        <v>-0.57895032297081395</v>
      </c>
      <c r="BF116" s="3">
        <f ca="1">IFERROR(__xludf.DUMMYFUNCTION("""COMPUTED_VALUE"""),-0.649443528485465)</f>
        <v>-0.64944352848546505</v>
      </c>
      <c r="BG116" s="3">
        <f ca="1">IFERROR(__xludf.DUMMYFUNCTION("""COMPUTED_VALUE"""),-0.656154899436361)</f>
        <v>-0.65615489943636096</v>
      </c>
      <c r="BH116" s="3">
        <f ca="1">IFERROR(__xludf.DUMMYFUNCTION("""COMPUTED_VALUE"""),-0.437915254671947)</f>
        <v>-0.43791525467194697</v>
      </c>
      <c r="BI116" s="3">
        <f ca="1">IFERROR(__xludf.DUMMYFUNCTION("""COMPUTED_VALUE"""),-0.486663008362827)</f>
        <v>-0.486663008362827</v>
      </c>
      <c r="BJ116" s="3">
        <f ca="1">IFERROR(__xludf.DUMMYFUNCTION("""COMPUTED_VALUE"""),-0.634130826547949)</f>
        <v>-0.63413082654794894</v>
      </c>
      <c r="BK116" s="3">
        <f ca="1">IFERROR(__xludf.DUMMYFUNCTION("""COMPUTED_VALUE"""),-0.694414110820371)</f>
        <v>-0.69441411082037097</v>
      </c>
      <c r="BL116" s="3">
        <f ca="1">IFERROR(__xludf.DUMMYFUNCTION("""COMPUTED_VALUE"""),-0.66749262917091)</f>
        <v>-0.66749262917091001</v>
      </c>
      <c r="BM116" s="3">
        <f ca="1">IFERROR(__xludf.DUMMYFUNCTION("""COMPUTED_VALUE"""),-0.67220659911377)</f>
        <v>-0.67220659911377001</v>
      </c>
      <c r="BN116" s="3">
        <f ca="1">IFERROR(__xludf.DUMMYFUNCTION("""COMPUTED_VALUE"""),-0.702818682971853)</f>
        <v>-0.70281868297185301</v>
      </c>
      <c r="BO116" s="3">
        <f ca="1">IFERROR(__xludf.DUMMYFUNCTION("""COMPUTED_VALUE"""),-0.647379204232734)</f>
        <v>-0.64737920423273398</v>
      </c>
      <c r="BP116" s="3">
        <f ca="1">IFERROR(__xludf.DUMMYFUNCTION("""COMPUTED_VALUE"""),-0.668508552651356)</f>
        <v>-0.668508552651356</v>
      </c>
      <c r="BQ116" s="3">
        <f ca="1">IFERROR(__xludf.DUMMYFUNCTION("""COMPUTED_VALUE"""),-0.71726196948742)</f>
        <v>-0.71726196948742005</v>
      </c>
      <c r="BR116" s="3">
        <f ca="1">IFERROR(__xludf.DUMMYFUNCTION("""COMPUTED_VALUE"""),-0.746786506755178)</f>
        <v>-0.74678650675517799</v>
      </c>
      <c r="BS116" s="3">
        <f ca="1">IFERROR(__xludf.DUMMYFUNCTION("""COMPUTED_VALUE"""),-0.747884673446247)</f>
        <v>-0.74788467344624698</v>
      </c>
      <c r="BT116" s="3">
        <f ca="1">IFERROR(__xludf.DUMMYFUNCTION("""COMPUTED_VALUE"""),-0.750591888572966)</f>
        <v>-0.75059188857296599</v>
      </c>
      <c r="BU116" s="3">
        <f ca="1">IFERROR(__xludf.DUMMYFUNCTION("""COMPUTED_VALUE"""),-0.721407359506815)</f>
        <v>-0.721407359506815</v>
      </c>
      <c r="BV116" s="3">
        <f ca="1">IFERROR(__xludf.DUMMYFUNCTION("""COMPUTED_VALUE"""),-0.674939983148197)</f>
        <v>-0.67493998314819703</v>
      </c>
      <c r="BW116" s="3">
        <f ca="1">IFERROR(__xludf.DUMMYFUNCTION("""COMPUTED_VALUE"""),-0.738013779999353)</f>
        <v>-0.73801377999935303</v>
      </c>
      <c r="BX116" s="3">
        <f ca="1">IFERROR(__xludf.DUMMYFUNCTION("""COMPUTED_VALUE"""),-0.7465684805096)</f>
        <v>-0.74656848050960001</v>
      </c>
      <c r="BY116" s="3">
        <f ca="1">IFERROR(__xludf.DUMMYFUNCTION("""COMPUTED_VALUE"""),-0.75818237012113)</f>
        <v>-0.75818237012112999</v>
      </c>
      <c r="BZ116" s="3">
        <f ca="1">IFERROR(__xludf.DUMMYFUNCTION("""COMPUTED_VALUE"""),-0.742476974488012)</f>
        <v>-0.74247697448801198</v>
      </c>
      <c r="CA116" s="3">
        <f ca="1">IFERROR(__xludf.DUMMYFUNCTION("""COMPUTED_VALUE"""),-0.737208576017286)</f>
        <v>-0.73720857601728595</v>
      </c>
      <c r="CB116" s="3">
        <f ca="1">IFERROR(__xludf.DUMMYFUNCTION("""COMPUTED_VALUE"""),-0.724751374065325)</f>
        <v>-0.72475137406532497</v>
      </c>
      <c r="CC116" s="3">
        <f ca="1">IFERROR(__xludf.DUMMYFUNCTION("""COMPUTED_VALUE"""),-0.669862131544535)</f>
        <v>-0.669862131544535</v>
      </c>
      <c r="CD116" s="3">
        <f ca="1">IFERROR(__xludf.DUMMYFUNCTION("""COMPUTED_VALUE"""),-0.686274648730948)</f>
        <v>-0.68627464873094801</v>
      </c>
      <c r="CE116" s="3">
        <f ca="1">IFERROR(__xludf.DUMMYFUNCTION("""COMPUTED_VALUE"""),-0.744605086972801)</f>
        <v>-0.74460508697280103</v>
      </c>
      <c r="CF116" s="3">
        <f ca="1">IFERROR(__xludf.DUMMYFUNCTION("""COMPUTED_VALUE"""),-0.773169522707276)</f>
        <v>-0.77316952270727601</v>
      </c>
      <c r="CG116" s="3">
        <f ca="1">IFERROR(__xludf.DUMMYFUNCTION("""COMPUTED_VALUE"""),-0.761096428503025)</f>
        <v>-0.76109642850302495</v>
      </c>
      <c r="CH116" s="3">
        <f ca="1">IFERROR(__xludf.DUMMYFUNCTION("""COMPUTED_VALUE"""),-0.739393681358736)</f>
        <v>-0.73939368135873595</v>
      </c>
      <c r="CI116" s="3">
        <f ca="1">IFERROR(__xludf.DUMMYFUNCTION("""COMPUTED_VALUE"""),-0.718623960947189)</f>
        <v>-0.71862396094718894</v>
      </c>
      <c r="CJ116" s="3">
        <f ca="1">IFERROR(__xludf.DUMMYFUNCTION("""COMPUTED_VALUE"""),-0.62435136551721)</f>
        <v>-0.62435136551721004</v>
      </c>
      <c r="CK116" s="3">
        <f ca="1">IFERROR(__xludf.DUMMYFUNCTION("""COMPUTED_VALUE"""),-0.673026725246673)</f>
        <v>-0.67302672524667295</v>
      </c>
      <c r="CL116" s="3">
        <f ca="1">IFERROR(__xludf.DUMMYFUNCTION("""COMPUTED_VALUE"""),-0.778972059399569)</f>
        <v>-0.77897205939956904</v>
      </c>
      <c r="CM116" s="3">
        <f ca="1">IFERROR(__xludf.DUMMYFUNCTION("""COMPUTED_VALUE"""),-0.821205563822292)</f>
        <v>-0.82120556382229204</v>
      </c>
      <c r="CN116" s="3">
        <f ca="1">IFERROR(__xludf.DUMMYFUNCTION("""COMPUTED_VALUE"""),-0.801948677994496)</f>
        <v>-0.80194867799449598</v>
      </c>
      <c r="CO116" s="3">
        <f ca="1">IFERROR(__xludf.DUMMYFUNCTION("""COMPUTED_VALUE"""),-0.806415811161882)</f>
        <v>-0.80641581116188199</v>
      </c>
      <c r="CP116" s="3">
        <f ca="1">IFERROR(__xludf.DUMMYFUNCTION("""COMPUTED_VALUE"""),-0.789142469080169)</f>
        <v>-0.78914246908016905</v>
      </c>
      <c r="CQ116" s="3">
        <f ca="1">IFERROR(__xludf.DUMMYFUNCTION("""COMPUTED_VALUE"""),-0.651589299925009)</f>
        <v>-0.65158929992500902</v>
      </c>
      <c r="CR116" s="3">
        <f ca="1">IFERROR(__xludf.DUMMYFUNCTION("""COMPUTED_VALUE"""),-0.67891900602074)</f>
        <v>-0.67891900602073996</v>
      </c>
      <c r="CS116" s="3">
        <f ca="1">IFERROR(__xludf.DUMMYFUNCTION("""COMPUTED_VALUE"""),-0.700672983189917)</f>
        <v>-0.700672983189917</v>
      </c>
      <c r="CT116" s="3">
        <f ca="1">IFERROR(__xludf.DUMMYFUNCTION("""COMPUTED_VALUE"""),-0.726181756137591)</f>
        <v>-0.72618175613759095</v>
      </c>
      <c r="CU116" s="3">
        <f ca="1">IFERROR(__xludf.DUMMYFUNCTION("""COMPUTED_VALUE"""),-0.647523249053719)</f>
        <v>-0.64752324905371905</v>
      </c>
      <c r="CV116" s="3">
        <f ca="1">IFERROR(__xludf.DUMMYFUNCTION("""COMPUTED_VALUE"""),-0.685778766129131)</f>
        <v>-0.68577876612913102</v>
      </c>
      <c r="CW116" s="3">
        <f ca="1">IFERROR(__xludf.DUMMYFUNCTION("""COMPUTED_VALUE"""),-0.729873139597876)</f>
        <v>-0.72987313959787603</v>
      </c>
      <c r="CX116" s="3">
        <f ca="1">IFERROR(__xludf.DUMMYFUNCTION("""COMPUTED_VALUE"""),-0.591972826539576)</f>
        <v>-0.59197282653957595</v>
      </c>
      <c r="CY116" s="3">
        <f ca="1">IFERROR(__xludf.DUMMYFUNCTION("""COMPUTED_VALUE"""),-0.687315910159164)</f>
        <v>-0.68731591015916405</v>
      </c>
      <c r="CZ116" s="3">
        <f ca="1">IFERROR(__xludf.DUMMYFUNCTION("""COMPUTED_VALUE"""),-0.884158672649196)</f>
        <v>-0.88415867264919601</v>
      </c>
      <c r="DA116" s="3">
        <f ca="1">IFERROR(__xludf.DUMMYFUNCTION("""COMPUTED_VALUE"""),-0.659097897207203)</f>
        <v>-0.65909789720720302</v>
      </c>
      <c r="DB116" s="3">
        <f ca="1">IFERROR(__xludf.DUMMYFUNCTION("""COMPUTED_VALUE"""),-0.348514073477544)</f>
        <v>-0.34851407347754398</v>
      </c>
      <c r="DC116" s="3">
        <f ca="1">IFERROR(__xludf.DUMMYFUNCTION("""COMPUTED_VALUE"""),-0.570406318771799)</f>
        <v>-0.57040631877179904</v>
      </c>
      <c r="DD116" s="3">
        <f ca="1">IFERROR(__xludf.DUMMYFUNCTION("""COMPUTED_VALUE"""),-0.703068012891851)</f>
        <v>-0.70306801289185095</v>
      </c>
      <c r="DE116" s="3">
        <f ca="1">IFERROR(__xludf.DUMMYFUNCTION("""COMPUTED_VALUE"""),-0.615384557971258)</f>
        <v>-0.61538455797125802</v>
      </c>
      <c r="DF116" s="3">
        <f ca="1">IFERROR(__xludf.DUMMYFUNCTION("""COMPUTED_VALUE"""),-0.669694083938633)</f>
        <v>-0.66969408393863294</v>
      </c>
      <c r="DG116" s="3">
        <f ca="1">IFERROR(__xludf.DUMMYFUNCTION("""COMPUTED_VALUE"""),-0.894516462467962)</f>
        <v>-0.89451646246796201</v>
      </c>
      <c r="DH116" s="3">
        <f ca="1">IFERROR(__xludf.DUMMYFUNCTION("""COMPUTED_VALUE"""),-0.638631952327282)</f>
        <v>-0.63863195232728198</v>
      </c>
      <c r="DI116" s="3">
        <f ca="1">IFERROR(__xludf.DUMMYFUNCTION("""COMPUTED_VALUE"""),-0.204982201739761)</f>
        <v>-0.20498220173976101</v>
      </c>
      <c r="DJ116" s="3">
        <f ca="1">IFERROR(__xludf.DUMMYFUNCTION("""COMPUTED_VALUE"""),-0.424103405788872)</f>
        <v>-0.42410340578887201</v>
      </c>
      <c r="DK116" s="3">
        <f ca="1">IFERROR(__xludf.DUMMYFUNCTION("""COMPUTED_VALUE"""),-0.597616415450745)</f>
        <v>-0.59761641545074495</v>
      </c>
      <c r="DL116" s="3">
        <f ca="1">IFERROR(__xludf.DUMMYFUNCTION("""COMPUTED_VALUE"""),-0.459868821192092)</f>
        <v>-0.45986882119209199</v>
      </c>
      <c r="DM116" s="3">
        <f ca="1">IFERROR(__xludf.DUMMYFUNCTION("""COMPUTED_VALUE"""),-0.457114234623894)</f>
        <v>-0.457114234623894</v>
      </c>
      <c r="DN116" s="3">
        <f ca="1">IFERROR(__xludf.DUMMYFUNCTION("""COMPUTED_VALUE"""),-0.613567192656572)</f>
        <v>-0.613567192656572</v>
      </c>
      <c r="DO116" s="3">
        <f ca="1">IFERROR(__xludf.DUMMYFUNCTION("""COMPUTED_VALUE"""),-0.563770165015881)</f>
        <v>-0.56377016501588095</v>
      </c>
      <c r="DP116" s="3">
        <f ca="1">IFERROR(__xludf.DUMMYFUNCTION("""COMPUTED_VALUE"""),-0.440900874359894)</f>
        <v>-0.440900874359894</v>
      </c>
      <c r="DQ116" s="3">
        <f ca="1">IFERROR(__xludf.DUMMYFUNCTION("""COMPUTED_VALUE"""),-0.41739553521828)</f>
        <v>-0.41739553521827999</v>
      </c>
      <c r="DR116" s="3">
        <f ca="1">IFERROR(__xludf.DUMMYFUNCTION("""COMPUTED_VALUE"""),-0.485586723870148)</f>
        <v>-0.48558672387014801</v>
      </c>
      <c r="DS116" s="3">
        <f ca="1">IFERROR(__xludf.DUMMYFUNCTION("""COMPUTED_VALUE"""),-0.530925020094824)</f>
        <v>-0.53092502009482401</v>
      </c>
      <c r="DT116" s="3">
        <f ca="1">IFERROR(__xludf.DUMMYFUNCTION("""COMPUTED_VALUE"""),-0.472740003792124)</f>
        <v>-0.472740003792124</v>
      </c>
      <c r="DU116" s="3">
        <f ca="1">IFERROR(__xludf.DUMMYFUNCTION("""COMPUTED_VALUE"""),-0.560598137708673)</f>
        <v>-0.56059813770867295</v>
      </c>
      <c r="DV116" s="3">
        <f ca="1">IFERROR(__xludf.DUMMYFUNCTION("""COMPUTED_VALUE"""),-0.599457357538985)</f>
        <v>-0.59945735753898499</v>
      </c>
      <c r="DW116" s="3">
        <f ca="1">IFERROR(__xludf.DUMMYFUNCTION("""COMPUTED_VALUE"""),-0.654309516929058)</f>
        <v>-0.65430951692905803</v>
      </c>
      <c r="DX116" s="3">
        <f ca="1">IFERROR(__xludf.DUMMYFUNCTION("""COMPUTED_VALUE"""),-0.6455111591162)</f>
        <v>-0.64551115911620005</v>
      </c>
      <c r="DY116" s="3">
        <f ca="1">IFERROR(__xludf.DUMMYFUNCTION("""COMPUTED_VALUE"""),-0.585460453443353)</f>
        <v>-0.58546045344335296</v>
      </c>
      <c r="DZ116" s="3">
        <f ca="1">IFERROR(__xludf.DUMMYFUNCTION("""COMPUTED_VALUE"""),-0.535093466053335)</f>
        <v>-0.53509346605333497</v>
      </c>
      <c r="EA116" s="3">
        <f ca="1">IFERROR(__xludf.DUMMYFUNCTION("""COMPUTED_VALUE"""),-0.512478057931198)</f>
        <v>-0.51247805793119805</v>
      </c>
      <c r="EB116" s="3">
        <f ca="1">IFERROR(__xludf.DUMMYFUNCTION("""COMPUTED_VALUE"""),-0.6146377490547)</f>
        <v>-0.61463774905470003</v>
      </c>
      <c r="EC116" s="3">
        <f ca="1">IFERROR(__xludf.DUMMYFUNCTION("""COMPUTED_VALUE"""),-0.633750971134236)</f>
        <v>-0.63375097113423595</v>
      </c>
      <c r="ED116" s="3">
        <f ca="1">IFERROR(__xludf.DUMMYFUNCTION("""COMPUTED_VALUE"""),-0.704238742366088)</f>
        <v>-0.70423874236608797</v>
      </c>
      <c r="EE116" s="3">
        <f ca="1">IFERROR(__xludf.DUMMYFUNCTION("""COMPUTED_VALUE"""),-0.647625915094674)</f>
        <v>-0.64762591509467404</v>
      </c>
      <c r="EF116" s="3">
        <f ca="1">IFERROR(__xludf.DUMMYFUNCTION("""COMPUTED_VALUE"""),-0.633538920828961)</f>
        <v>-0.63353892082896102</v>
      </c>
      <c r="EG116" s="3">
        <f ca="1">IFERROR(__xludf.DUMMYFUNCTION("""COMPUTED_VALUE"""),-0.460362050674782)</f>
        <v>-0.46036205067478198</v>
      </c>
      <c r="EH116" s="3">
        <f ca="1">IFERROR(__xludf.DUMMYFUNCTION("""COMPUTED_VALUE"""),-0.42221440018266)</f>
        <v>-0.42221440018265999</v>
      </c>
      <c r="EI116" s="3">
        <f ca="1">IFERROR(__xludf.DUMMYFUNCTION("""COMPUTED_VALUE"""),-0.514584713095457)</f>
        <v>-0.51458471309545695</v>
      </c>
      <c r="EJ116" s="3">
        <f ca="1">IFERROR(__xludf.DUMMYFUNCTION("""COMPUTED_VALUE"""),-0.62759234547907)</f>
        <v>-0.62759234547906995</v>
      </c>
      <c r="EK116" s="3">
        <f ca="1">IFERROR(__xludf.DUMMYFUNCTION("""COMPUTED_VALUE"""),-0.64105949339025)</f>
        <v>-0.64105949339025003</v>
      </c>
      <c r="EL116" s="3">
        <f ca="1">IFERROR(__xludf.DUMMYFUNCTION("""COMPUTED_VALUE"""),-0.637050866188566)</f>
        <v>-0.63705086618856599</v>
      </c>
      <c r="EM116" s="3">
        <f ca="1">IFERROR(__xludf.DUMMYFUNCTION("""COMPUTED_VALUE"""),-0.662084309407806)</f>
        <v>-0.66208430940780605</v>
      </c>
      <c r="EN116" s="3">
        <f ca="1">IFERROR(__xludf.DUMMYFUNCTION("""COMPUTED_VALUE"""),-0.477485470825216)</f>
        <v>-0.47748547082521597</v>
      </c>
      <c r="EO116" s="3">
        <f ca="1">IFERROR(__xludf.DUMMYFUNCTION("""COMPUTED_VALUE"""),-0.455855560388761)</f>
        <v>-0.45585556038876102</v>
      </c>
      <c r="EP116" s="3">
        <f ca="1">IFERROR(__xludf.DUMMYFUNCTION("""COMPUTED_VALUE"""),-0.686200407342034)</f>
        <v>-0.68620040734203402</v>
      </c>
      <c r="EQ116" s="3">
        <f ca="1">IFERROR(__xludf.DUMMYFUNCTION("""COMPUTED_VALUE"""),-0.690028344488259)</f>
        <v>-0.690028344488259</v>
      </c>
      <c r="ER116" s="3">
        <f ca="1">IFERROR(__xludf.DUMMYFUNCTION("""COMPUTED_VALUE"""),-0.689075456977164)</f>
        <v>-0.68907545697716399</v>
      </c>
      <c r="ES116" s="3">
        <f ca="1">IFERROR(__xludf.DUMMYFUNCTION("""COMPUTED_VALUE"""),-0.695450831612672)</f>
        <v>-0.69545083161267196</v>
      </c>
      <c r="ET116" s="3">
        <f ca="1">IFERROR(__xludf.DUMMYFUNCTION("""COMPUTED_VALUE"""),-0.638731161169937)</f>
        <v>-0.638731161169937</v>
      </c>
      <c r="EU116" s="3">
        <f ca="1">IFERROR(__xludf.DUMMYFUNCTION("""COMPUTED_VALUE"""),-0.481010722406755)</f>
        <v>-0.48101072240675502</v>
      </c>
      <c r="EV116" s="3">
        <f ca="1">IFERROR(__xludf.DUMMYFUNCTION("""COMPUTED_VALUE"""),-0.502391058801003)</f>
        <v>-0.50239105880100299</v>
      </c>
      <c r="EW116" s="3">
        <f ca="1">IFERROR(__xludf.DUMMYFUNCTION("""COMPUTED_VALUE"""),-0.656618838107007)</f>
        <v>-0.65661883810700705</v>
      </c>
      <c r="EX116" s="3">
        <f ca="1">IFERROR(__xludf.DUMMYFUNCTION("""COMPUTED_VALUE"""),-0.671067289005295)</f>
        <v>-0.671067289005295</v>
      </c>
      <c r="EY116" s="3">
        <f ca="1">IFERROR(__xludf.DUMMYFUNCTION("""COMPUTED_VALUE"""),-0.692788693963652)</f>
        <v>-0.69278869396365195</v>
      </c>
      <c r="EZ116" s="3">
        <f ca="1">IFERROR(__xludf.DUMMYFUNCTION("""COMPUTED_VALUE"""),-0.691237280331814)</f>
        <v>-0.69123728033181397</v>
      </c>
      <c r="FA116" s="3">
        <f ca="1">IFERROR(__xludf.DUMMYFUNCTION("""COMPUTED_VALUE"""),-0.671535616724809)</f>
        <v>-0.67153561672480899</v>
      </c>
      <c r="FB116" s="3">
        <f ca="1">IFERROR(__xludf.DUMMYFUNCTION("""COMPUTED_VALUE"""),-0.503196608550326)</f>
        <v>-0.503196608550326</v>
      </c>
      <c r="FC116" s="3">
        <f ca="1">IFERROR(__xludf.DUMMYFUNCTION("""COMPUTED_VALUE"""),-0.502417435501966)</f>
        <v>-0.50241743550196605</v>
      </c>
      <c r="FD116" s="3">
        <f ca="1">IFERROR(__xludf.DUMMYFUNCTION("""COMPUTED_VALUE"""),-0.63275656018797)</f>
        <v>-0.63275656018797</v>
      </c>
      <c r="FE116" s="3">
        <f ca="1">IFERROR(__xludf.DUMMYFUNCTION("""COMPUTED_VALUE"""),-0.675979365617371)</f>
        <v>-0.67597936561737104</v>
      </c>
      <c r="FF116" s="3">
        <f ca="1">IFERROR(__xludf.DUMMYFUNCTION("""COMPUTED_VALUE"""),-0.684475146881371)</f>
        <v>-0.68447514688137101</v>
      </c>
      <c r="FG116" s="3">
        <f ca="1">IFERROR(__xludf.DUMMYFUNCTION("""COMPUTED_VALUE"""),-0.693315374928965)</f>
        <v>-0.693315374928965</v>
      </c>
      <c r="FH116" s="3">
        <f ca="1">IFERROR(__xludf.DUMMYFUNCTION("""COMPUTED_VALUE"""),-0.603304887287453)</f>
        <v>-0.60330488728745302</v>
      </c>
      <c r="FI116" s="3">
        <f ca="1">IFERROR(__xludf.DUMMYFUNCTION("""COMPUTED_VALUE"""),-0.483221302483943)</f>
        <v>-0.48322130248394302</v>
      </c>
      <c r="FJ116" s="3">
        <f ca="1">IFERROR(__xludf.DUMMYFUNCTION("""COMPUTED_VALUE"""),-0.596430512918264)</f>
        <v>-0.59643051291826399</v>
      </c>
      <c r="FK116" s="3">
        <f ca="1">IFERROR(__xludf.DUMMYFUNCTION("""COMPUTED_VALUE"""),-0.65557088670672)</f>
        <v>-0.65557088670672004</v>
      </c>
      <c r="FL116" s="3">
        <f ca="1">IFERROR(__xludf.DUMMYFUNCTION("""COMPUTED_VALUE"""),-0.679027769467211)</f>
        <v>-0.679027769467211</v>
      </c>
      <c r="FM116" s="3">
        <f ca="1">IFERROR(__xludf.DUMMYFUNCTION("""COMPUTED_VALUE"""),-0.697580253960537)</f>
        <v>-0.69758025396053702</v>
      </c>
      <c r="FN116" s="3">
        <f ca="1">IFERROR(__xludf.DUMMYFUNCTION("""COMPUTED_VALUE"""),-0.669135605400284)</f>
        <v>-0.66913560540028405</v>
      </c>
      <c r="FO116" s="3">
        <f ca="1">IFERROR(__xludf.DUMMYFUNCTION("""COMPUTED_VALUE"""),-0.656628517641973)</f>
        <v>-0.65662851764197305</v>
      </c>
      <c r="FP116" s="3">
        <f ca="1">IFERROR(__xludf.DUMMYFUNCTION("""COMPUTED_VALUE"""),-0.479735810644678)</f>
        <v>-0.47973581064467802</v>
      </c>
      <c r="FQ116" s="3">
        <f ca="1">IFERROR(__xludf.DUMMYFUNCTION("""COMPUTED_VALUE"""),-0.542981121228498)</f>
        <v>-0.54298112122849795</v>
      </c>
      <c r="FR116" s="3">
        <f ca="1">IFERROR(__xludf.DUMMYFUNCTION("""COMPUTED_VALUE"""),-0.628073328548397)</f>
        <v>-0.62807332854839704</v>
      </c>
      <c r="FS116" s="3">
        <f ca="1">IFERROR(__xludf.DUMMYFUNCTION("""COMPUTED_VALUE"""),-0.637925160540276)</f>
        <v>-0.63792516054027604</v>
      </c>
      <c r="FT116" s="3">
        <f ca="1">IFERROR(__xludf.DUMMYFUNCTION("""COMPUTED_VALUE"""),-0.65440686395073)</f>
        <v>-0.65440686395073</v>
      </c>
      <c r="FU116" s="3">
        <f ca="1">IFERROR(__xludf.DUMMYFUNCTION("""COMPUTED_VALUE"""),-0.625904514211952)</f>
        <v>-0.62590451421195203</v>
      </c>
      <c r="FV116" s="3">
        <f ca="1">IFERROR(__xludf.DUMMYFUNCTION("""COMPUTED_VALUE"""),-0.556694592656821)</f>
        <v>-0.55669459265682097</v>
      </c>
      <c r="FW116" s="3">
        <f ca="1">IFERROR(__xludf.DUMMYFUNCTION("""COMPUTED_VALUE"""),-0.519566458646853)</f>
        <v>-0.51956645864685302</v>
      </c>
      <c r="FX116" s="3">
        <f ca="1">IFERROR(__xludf.DUMMYFUNCTION("""COMPUTED_VALUE"""),-0.5772481796891)</f>
        <v>-0.57724817968910003</v>
      </c>
      <c r="FY116" s="3">
        <f ca="1">IFERROR(__xludf.DUMMYFUNCTION("""COMPUTED_VALUE"""),-0.643313883614721)</f>
        <v>-0.64331388361472097</v>
      </c>
      <c r="FZ116" s="3">
        <f ca="1">IFERROR(__xludf.DUMMYFUNCTION("""COMPUTED_VALUE"""),-0.678308799125718)</f>
        <v>-0.67830879912571795</v>
      </c>
      <c r="GA116" s="3">
        <f ca="1">IFERROR(__xludf.DUMMYFUNCTION("""COMPUTED_VALUE"""),-0.696058400970182)</f>
        <v>-0.69605840097018201</v>
      </c>
      <c r="GB116" s="3">
        <f ca="1">IFERROR(__xludf.DUMMYFUNCTION("""COMPUTED_VALUE"""),-0.675687894054339)</f>
        <v>-0.67568789405433904</v>
      </c>
      <c r="GC116" s="3">
        <f ca="1">IFERROR(__xludf.DUMMYFUNCTION("""COMPUTED_VALUE"""),-0.757189540587024)</f>
        <v>-0.75718954058702403</v>
      </c>
      <c r="GD116" s="3">
        <f ca="1">IFERROR(__xludf.DUMMYFUNCTION("""COMPUTED_VALUE"""),-0.501860775513097)</f>
        <v>-0.50186077551309705</v>
      </c>
      <c r="GE116" s="3">
        <f ca="1">IFERROR(__xludf.DUMMYFUNCTION("""COMPUTED_VALUE"""),-0.5973055107277)</f>
        <v>-0.5973055107277</v>
      </c>
      <c r="GF116" s="3">
        <f ca="1">IFERROR(__xludf.DUMMYFUNCTION("""COMPUTED_VALUE"""),-0.636735455494868)</f>
        <v>-0.63673545549486799</v>
      </c>
      <c r="GG116" s="3">
        <f ca="1">IFERROR(__xludf.DUMMYFUNCTION("""COMPUTED_VALUE"""),-0.652736888940621)</f>
        <v>-0.65273688894062099</v>
      </c>
      <c r="GH116" s="3">
        <f ca="1">IFERROR(__xludf.DUMMYFUNCTION("""COMPUTED_VALUE"""),-0.605009144434346)</f>
        <v>-0.60500914443434595</v>
      </c>
      <c r="GI116" s="3">
        <f ca="1">IFERROR(__xludf.DUMMYFUNCTION("""COMPUTED_VALUE"""),-0.563432487134693)</f>
        <v>-0.56343248713469296</v>
      </c>
      <c r="GJ116" s="3">
        <f ca="1">IFERROR(__xludf.DUMMYFUNCTION("""COMPUTED_VALUE"""),-0.471575406817401)</f>
        <v>-0.47157540681740101</v>
      </c>
      <c r="GK116" s="3">
        <f ca="1">IFERROR(__xludf.DUMMYFUNCTION("""COMPUTED_VALUE"""),-0.474224401954939)</f>
        <v>-0.47422440195493898</v>
      </c>
      <c r="GL116" s="3">
        <f ca="1">IFERROR(__xludf.DUMMYFUNCTION("""COMPUTED_VALUE"""),-0.485727395834294)</f>
        <v>-0.48572739583429397</v>
      </c>
      <c r="GM116" s="3">
        <f ca="1">IFERROR(__xludf.DUMMYFUNCTION("""COMPUTED_VALUE"""),-0.615429572786215)</f>
        <v>-0.61542957278621502</v>
      </c>
      <c r="GN116" s="3">
        <f ca="1">IFERROR(__xludf.DUMMYFUNCTION("""COMPUTED_VALUE"""),-0.586389008606155)</f>
        <v>-0.58638900860615495</v>
      </c>
      <c r="GO116" s="3">
        <f ca="1">IFERROR(__xludf.DUMMYFUNCTION("""COMPUTED_VALUE"""),-0.579890840422894)</f>
        <v>-0.57989084042289396</v>
      </c>
      <c r="GP116" s="3">
        <f ca="1">IFERROR(__xludf.DUMMYFUNCTION("""COMPUTED_VALUE"""),-0.54633999201338)</f>
        <v>-0.54633999201338002</v>
      </c>
      <c r="GQ116" s="3">
        <f ca="1">IFERROR(__xludf.DUMMYFUNCTION("""COMPUTED_VALUE"""),-0.530770592126271)</f>
        <v>-0.53077059212627098</v>
      </c>
      <c r="GR116" s="3">
        <f ca="1">IFERROR(__xludf.DUMMYFUNCTION("""COMPUTED_VALUE"""),-0.376597773715195)</f>
        <v>-0.37659777371519498</v>
      </c>
      <c r="GS116" s="3">
        <f ca="1">IFERROR(__xludf.DUMMYFUNCTION("""COMPUTED_VALUE"""),-0.354846202865486)</f>
        <v>-0.35484620286548602</v>
      </c>
      <c r="GT116" s="3">
        <f ca="1">IFERROR(__xludf.DUMMYFUNCTION("""COMPUTED_VALUE"""),-0.50620217787306)</f>
        <v>-0.50620217787305999</v>
      </c>
      <c r="GU116" s="3">
        <f ca="1">IFERROR(__xludf.DUMMYFUNCTION("""COMPUTED_VALUE"""),-0.502984476625606)</f>
        <v>-0.50298447662560597</v>
      </c>
      <c r="GV116" s="3">
        <f ca="1">IFERROR(__xludf.DUMMYFUNCTION("""COMPUTED_VALUE"""),-0.50187985824015)</f>
        <v>-0.50187985824015002</v>
      </c>
      <c r="GW116" s="3">
        <f ca="1">IFERROR(__xludf.DUMMYFUNCTION("""COMPUTED_VALUE"""),-0.541503886368732)</f>
        <v>-0.54150388636873203</v>
      </c>
      <c r="GX116" s="3">
        <f ca="1">IFERROR(__xludf.DUMMYFUNCTION("""COMPUTED_VALUE"""),-0.490425841417438)</f>
        <v>-0.490425841417438</v>
      </c>
      <c r="GY116" s="3">
        <f ca="1">IFERROR(__xludf.DUMMYFUNCTION("""COMPUTED_VALUE"""),-0.362454436799819)</f>
        <v>-0.36245443679981898</v>
      </c>
      <c r="GZ116" s="3">
        <f ca="1">IFERROR(__xludf.DUMMYFUNCTION("""COMPUTED_VALUE"""),-0.324872472415656)</f>
        <v>-0.32487247241565598</v>
      </c>
      <c r="HA116" s="3">
        <f ca="1">IFERROR(__xludf.DUMMYFUNCTION("""COMPUTED_VALUE"""),-0.512169309291494)</f>
        <v>-0.51216930929149396</v>
      </c>
      <c r="HB116" s="3">
        <f ca="1">IFERROR(__xludf.DUMMYFUNCTION("""COMPUTED_VALUE"""),-0.497864177054739)</f>
        <v>-0.49786417705473901</v>
      </c>
      <c r="HC116" s="3">
        <f ca="1">IFERROR(__xludf.DUMMYFUNCTION("""COMPUTED_VALUE"""),-0.534352395545365)</f>
        <v>-0.53435239554536496</v>
      </c>
      <c r="HD116" s="3">
        <f ca="1">IFERROR(__xludf.DUMMYFUNCTION("""COMPUTED_VALUE"""),-0.486799165108209)</f>
        <v>-0.48679916510820898</v>
      </c>
      <c r="HE116" s="3">
        <f ca="1">IFERROR(__xludf.DUMMYFUNCTION("""COMPUTED_VALUE"""),-0.44777792531315)</f>
        <v>-0.44777792531315003</v>
      </c>
      <c r="HF116" s="3">
        <f ca="1">IFERROR(__xludf.DUMMYFUNCTION("""COMPUTED_VALUE"""),-0.342829592378206)</f>
        <v>-0.34282959237820598</v>
      </c>
      <c r="HG116" s="3">
        <f ca="1">IFERROR(__xludf.DUMMYFUNCTION("""COMPUTED_VALUE"""),-0.2660348550286)</f>
        <v>-0.26603485502860003</v>
      </c>
      <c r="HH116" s="3">
        <f ca="1">IFERROR(__xludf.DUMMYFUNCTION("""COMPUTED_VALUE"""),-0.447509116561446)</f>
        <v>-0.44750911656144599</v>
      </c>
      <c r="HI116" s="3">
        <f ca="1">IFERROR(__xludf.DUMMYFUNCTION("""COMPUTED_VALUE"""),-0.439933568328762)</f>
        <v>-0.43993356832876201</v>
      </c>
      <c r="HJ116" s="3">
        <f ca="1">IFERROR(__xludf.DUMMYFUNCTION("""COMPUTED_VALUE"""),-0.426531927619206)</f>
        <v>-0.426531927619206</v>
      </c>
      <c r="HK116" s="3">
        <f ca="1">IFERROR(__xludf.DUMMYFUNCTION("""COMPUTED_VALUE"""),-0.457468980248268)</f>
        <v>-0.45746898024826799</v>
      </c>
      <c r="HL116" s="3">
        <f ca="1">IFERROR(__xludf.DUMMYFUNCTION("""COMPUTED_VALUE"""),-0.691630239272112)</f>
        <v>-0.69163023927211198</v>
      </c>
      <c r="HM116" s="3">
        <f ca="1">IFERROR(__xludf.DUMMYFUNCTION("""COMPUTED_VALUE"""),-0.111117148201987)</f>
        <v>-0.111117148201987</v>
      </c>
      <c r="HN116" s="3">
        <f ca="1">IFERROR(__xludf.DUMMYFUNCTION("""COMPUTED_VALUE"""),-0.13900099572891)</f>
        <v>-0.13900099572891</v>
      </c>
      <c r="HO116" s="3">
        <f ca="1">IFERROR(__xludf.DUMMYFUNCTION("""COMPUTED_VALUE"""),-0.351486746243357)</f>
        <v>-0.35148674624335702</v>
      </c>
      <c r="HP116" s="3">
        <f ca="1">IFERROR(__xludf.DUMMYFUNCTION("""COMPUTED_VALUE"""),-0.33758850184947)</f>
        <v>-0.33758850184946998</v>
      </c>
      <c r="HQ116" s="3">
        <f ca="1">IFERROR(__xludf.DUMMYFUNCTION("""COMPUTED_VALUE"""),-0.408739029430884)</f>
        <v>-0.40873902943088403</v>
      </c>
      <c r="HR116" s="3">
        <f ca="1">IFERROR(__xludf.DUMMYFUNCTION("""COMPUTED_VALUE"""),-0.343441644326411)</f>
        <v>-0.343441644326411</v>
      </c>
      <c r="HS116" s="3">
        <f ca="1">IFERROR(__xludf.DUMMYFUNCTION("""COMPUTED_VALUE"""),-0.0949335919110244)</f>
        <v>-9.4933591911024406E-2</v>
      </c>
      <c r="HT116" s="3">
        <f ca="1">IFERROR(__xludf.DUMMYFUNCTION("""COMPUTED_VALUE"""),-0.319730678686053)</f>
        <v>-0.31973067868605298</v>
      </c>
      <c r="HU116" s="3">
        <f ca="1">IFERROR(__xludf.DUMMYFUNCTION("""COMPUTED_VALUE"""),-0.312270556723151)</f>
        <v>-0.31227055672315102</v>
      </c>
      <c r="HV116" s="3">
        <f ca="1">IFERROR(__xludf.DUMMYFUNCTION("""COMPUTED_VALUE"""),-0.457595105717496)</f>
        <v>-0.45759510571749601</v>
      </c>
      <c r="HW116" s="3">
        <f ca="1">IFERROR(__xludf.DUMMYFUNCTION("""COMPUTED_VALUE"""),-0.428806244747923)</f>
        <v>-0.428806244747923</v>
      </c>
      <c r="HX116" s="3">
        <f ca="1">IFERROR(__xludf.DUMMYFUNCTION("""COMPUTED_VALUE"""),-0.417363691359993)</f>
        <v>-0.41736369135999302</v>
      </c>
      <c r="HY116" s="3">
        <f ca="1">IFERROR(__xludf.DUMMYFUNCTION("""COMPUTED_VALUE"""),-0.430128348515582)</f>
        <v>-0.43012834851558202</v>
      </c>
      <c r="HZ116" s="3">
        <f ca="1">IFERROR(__xludf.DUMMYFUNCTION("""COMPUTED_VALUE"""),-0.303586544821682)</f>
        <v>-0.30358654482168201</v>
      </c>
      <c r="IA116" s="3">
        <f ca="1">IFERROR(__xludf.DUMMYFUNCTION("""COMPUTED_VALUE"""),-0.294028296234168)</f>
        <v>-0.29402829623416799</v>
      </c>
      <c r="IB116" s="3">
        <f ca="1">IFERROR(__xludf.DUMMYFUNCTION("""COMPUTED_VALUE"""),-0.249360993749248)</f>
        <v>-0.249360993749248</v>
      </c>
      <c r="IC116" s="3">
        <f ca="1">IFERROR(__xludf.DUMMYFUNCTION("""COMPUTED_VALUE"""),-0.455710778905629)</f>
        <v>-0.455710778905629</v>
      </c>
      <c r="ID116" s="3">
        <f ca="1">IFERROR(__xludf.DUMMYFUNCTION("""COMPUTED_VALUE"""),-0.480783274288193)</f>
        <v>-0.48078327428819301</v>
      </c>
      <c r="IE116" s="3">
        <f ca="1">IFERROR(__xludf.DUMMYFUNCTION("""COMPUTED_VALUE"""),-0.480330495794624)</f>
        <v>-0.480330495794624</v>
      </c>
      <c r="IF116" s="3">
        <f ca="1">IFERROR(__xludf.DUMMYFUNCTION("""COMPUTED_VALUE"""),-0.537104493882818)</f>
        <v>-0.537104493882818</v>
      </c>
      <c r="IG116" s="3">
        <f ca="1">IFERROR(__xludf.DUMMYFUNCTION("""COMPUTED_VALUE"""),-0.511643223065668)</f>
        <v>-0.51164322306566801</v>
      </c>
      <c r="IH116" s="3">
        <f ca="1">IFERROR(__xludf.DUMMYFUNCTION("""COMPUTED_VALUE"""),-0.319028723107563)</f>
        <v>-0.31902872310756297</v>
      </c>
      <c r="II116" s="3">
        <f ca="1">IFERROR(__xludf.DUMMYFUNCTION("""COMPUTED_VALUE"""),-0.251125686079463)</f>
        <v>-0.25112568607946301</v>
      </c>
      <c r="IJ116" s="3">
        <f ca="1">IFERROR(__xludf.DUMMYFUNCTION("""COMPUTED_VALUE"""),-0.456469943443333)</f>
        <v>-0.45646994344333303</v>
      </c>
      <c r="IK116" s="3">
        <f ca="1">IFERROR(__xludf.DUMMYFUNCTION("""COMPUTED_VALUE"""),-0.416053955498732)</f>
        <v>-0.41605395549873198</v>
      </c>
      <c r="IL116" s="3">
        <f ca="1">IFERROR(__xludf.DUMMYFUNCTION("""COMPUTED_VALUE"""),-0.436741496617532)</f>
        <v>-0.43674149661753198</v>
      </c>
      <c r="IM116" s="3">
        <f ca="1">IFERROR(__xludf.DUMMYFUNCTION("""COMPUTED_VALUE"""),-0.499265709542102)</f>
        <v>-0.49926570954210198</v>
      </c>
      <c r="IN116" s="3">
        <f ca="1">IFERROR(__xludf.DUMMYFUNCTION("""COMPUTED_VALUE"""),-0.441701316776766)</f>
        <v>-0.441701316776766</v>
      </c>
      <c r="IO116" s="3">
        <f ca="1">IFERROR(__xludf.DUMMYFUNCTION("""COMPUTED_VALUE"""),-0.369751273243642)</f>
        <v>-0.36975127324364199</v>
      </c>
      <c r="IP116" s="3">
        <f ca="1">IFERROR(__xludf.DUMMYFUNCTION("""COMPUTED_VALUE"""),-0.189806027788545)</f>
        <v>-0.189806027788545</v>
      </c>
      <c r="IQ116" s="3">
        <f ca="1">IFERROR(__xludf.DUMMYFUNCTION("""COMPUTED_VALUE"""),-0.373366721667237)</f>
        <v>-0.373366721667237</v>
      </c>
      <c r="IR116" s="3">
        <f ca="1">IFERROR(__xludf.DUMMYFUNCTION("""COMPUTED_VALUE"""),-0.392006404959242)</f>
        <v>-0.39200640495924199</v>
      </c>
      <c r="IS116" s="3">
        <f ca="1">IFERROR(__xludf.DUMMYFUNCTION("""COMPUTED_VALUE"""),-0.439079909199114)</f>
        <v>-0.43907990919911399</v>
      </c>
      <c r="IT116" s="3">
        <f ca="1">IFERROR(__xludf.DUMMYFUNCTION("""COMPUTED_VALUE"""),-0.431325441480597)</f>
        <v>-0.43132544148059698</v>
      </c>
      <c r="IU116" s="3">
        <f ca="1">IFERROR(__xludf.DUMMYFUNCTION("""COMPUTED_VALUE"""),-0.442272253977662)</f>
        <v>-0.44227225397766201</v>
      </c>
      <c r="IV116" s="3">
        <f ca="1">IFERROR(__xludf.DUMMYFUNCTION("""COMPUTED_VALUE"""),-0.422836344449475)</f>
        <v>-0.42283634444947499</v>
      </c>
      <c r="IW116" s="3">
        <f ca="1">IFERROR(__xludf.DUMMYFUNCTION("""COMPUTED_VALUE"""),-0.205539840499556)</f>
        <v>-0.20553984049955601</v>
      </c>
      <c r="IX116" s="3">
        <f ca="1">IFERROR(__xludf.DUMMYFUNCTION("""COMPUTED_VALUE"""),-0.45247433188097)</f>
        <v>-0.45247433188097003</v>
      </c>
      <c r="IY116" s="3">
        <f ca="1">IFERROR(__xludf.DUMMYFUNCTION("""COMPUTED_VALUE"""),-0.455142393975849)</f>
        <v>-0.45514239397584899</v>
      </c>
      <c r="IZ116" s="3">
        <f ca="1">IFERROR(__xludf.DUMMYFUNCTION("""COMPUTED_VALUE"""),-0.409436274070766)</f>
        <v>-0.40943627407076599</v>
      </c>
      <c r="JA116" s="3">
        <f ca="1">IFERROR(__xludf.DUMMYFUNCTION("""COMPUTED_VALUE"""),-0.413478140988285)</f>
        <v>-0.413478140988285</v>
      </c>
      <c r="JB116" s="3">
        <f ca="1">IFERROR(__xludf.DUMMYFUNCTION("""COMPUTED_VALUE"""),-0.418575534080555)</f>
        <v>-0.41857553408055498</v>
      </c>
      <c r="JC116" s="3">
        <f ca="1">IFERROR(__xludf.DUMMYFUNCTION("""COMPUTED_VALUE"""),-0.452403881021159)</f>
        <v>-0.45240388102115903</v>
      </c>
      <c r="JD116" s="3">
        <f ca="1">IFERROR(__xludf.DUMMYFUNCTION("""COMPUTED_VALUE"""),-0.304087574389606)</f>
        <v>-0.30408757438960599</v>
      </c>
      <c r="JE116" s="3">
        <f ca="1">IFERROR(__xludf.DUMMYFUNCTION("""COMPUTED_VALUE"""),-0.443639628820078)</f>
        <v>-0.44363962882007801</v>
      </c>
      <c r="JF116" s="3">
        <f ca="1">IFERROR(__xludf.DUMMYFUNCTION("""COMPUTED_VALUE"""),-0.486283992354495)</f>
        <v>-0.48628399235449499</v>
      </c>
      <c r="JG116" s="3">
        <f ca="1">IFERROR(__xludf.DUMMYFUNCTION("""COMPUTED_VALUE"""),-0.455999760617232)</f>
        <v>-0.45599976061723202</v>
      </c>
      <c r="JH116" s="3">
        <f ca="1">IFERROR(__xludf.DUMMYFUNCTION("""COMPUTED_VALUE"""),-0.444592460007721)</f>
        <v>-0.44459246000772101</v>
      </c>
      <c r="JI116" s="3">
        <f ca="1">IFERROR(__xludf.DUMMYFUNCTION("""COMPUTED_VALUE"""),-0.428579499409424)</f>
        <v>-0.42857949940942403</v>
      </c>
      <c r="JJ116" s="3">
        <f ca="1">IFERROR(__xludf.DUMMYFUNCTION("""COMPUTED_VALUE"""),-0.413414688060449)</f>
        <v>-0.41341468806044901</v>
      </c>
      <c r="JK116" s="3">
        <f ca="1">IFERROR(__xludf.DUMMYFUNCTION("""COMPUTED_VALUE"""),-0.407683832144952)</f>
        <v>-0.40768383214495202</v>
      </c>
      <c r="JL116" s="3">
        <f ca="1">IFERROR(__xludf.DUMMYFUNCTION("""COMPUTED_VALUE"""),-0.505861482750887)</f>
        <v>-0.50586148275088705</v>
      </c>
      <c r="JM116" s="3">
        <f ca="1">IFERROR(__xludf.DUMMYFUNCTION("""COMPUTED_VALUE"""),-0.447581569935174)</f>
        <v>-0.44758156993517401</v>
      </c>
      <c r="JN116" s="3">
        <f ca="1">IFERROR(__xludf.DUMMYFUNCTION("""COMPUTED_VALUE"""),-0.455444371533436)</f>
        <v>-0.45544437153343598</v>
      </c>
      <c r="JO116" s="3">
        <f ca="1">IFERROR(__xludf.DUMMYFUNCTION("""COMPUTED_VALUE"""),-0.438052193432495)</f>
        <v>-0.43805219343249502</v>
      </c>
      <c r="JP116" s="3">
        <f ca="1">IFERROR(__xludf.DUMMYFUNCTION("""COMPUTED_VALUE"""),-0.438331281906239)</f>
        <v>-0.43833128190623899</v>
      </c>
      <c r="JQ116" s="3">
        <f ca="1">IFERROR(__xludf.DUMMYFUNCTION("""COMPUTED_VALUE"""),-0.491387279135634)</f>
        <v>-0.49138727913563401</v>
      </c>
      <c r="JR116" s="3">
        <f ca="1">IFERROR(__xludf.DUMMYFUNCTION("""COMPUTED_VALUE"""),-0.527387769111998)</f>
        <v>-0.52738776911199803</v>
      </c>
      <c r="JS116" s="3">
        <f ca="1">IFERROR(__xludf.DUMMYFUNCTION("""COMPUTED_VALUE"""),-0.517705317994239)</f>
        <v>-0.51770531799423902</v>
      </c>
      <c r="JT116" s="3">
        <f ca="1">IFERROR(__xludf.DUMMYFUNCTION("""COMPUTED_VALUE"""),-0.52945858846476)</f>
        <v>-0.52945858846476002</v>
      </c>
      <c r="JU116" s="3">
        <f ca="1">IFERROR(__xludf.DUMMYFUNCTION("""COMPUTED_VALUE"""),-0.528847217273742)</f>
        <v>-0.52884721727374195</v>
      </c>
      <c r="JV116" s="3">
        <f ca="1">IFERROR(__xludf.DUMMYFUNCTION("""COMPUTED_VALUE"""),-0.479722665960744)</f>
        <v>-0.47972266596074398</v>
      </c>
      <c r="JW116" s="3">
        <f ca="1">IFERROR(__xludf.DUMMYFUNCTION("""COMPUTED_VALUE"""),-0.362753135700835)</f>
        <v>-0.36275313570083501</v>
      </c>
      <c r="JX116" s="3">
        <f ca="1">IFERROR(__xludf.DUMMYFUNCTION("""COMPUTED_VALUE"""),-0.490101741302375)</f>
        <v>-0.49010174130237499</v>
      </c>
      <c r="JY116" s="3">
        <f ca="1">IFERROR(__xludf.DUMMYFUNCTION("""COMPUTED_VALUE"""),-0.414812894530375)</f>
        <v>-0.41481289453037501</v>
      </c>
      <c r="JZ116" s="3">
        <f ca="1">IFERROR(__xludf.DUMMYFUNCTION("""COMPUTED_VALUE"""),-0.543092264703989)</f>
        <v>-0.54309226470398897</v>
      </c>
      <c r="KA116" s="3">
        <f ca="1">IFERROR(__xludf.DUMMYFUNCTION("""COMPUTED_VALUE"""),-0.527537449369995)</f>
        <v>-0.52753744936999503</v>
      </c>
      <c r="KB116" s="3">
        <f ca="1">IFERROR(__xludf.DUMMYFUNCTION("""COMPUTED_VALUE"""),-0.728206626562243)</f>
        <v>-0.728206626562243</v>
      </c>
      <c r="KC116" s="3">
        <f ca="1">IFERROR(__xludf.DUMMYFUNCTION("""COMPUTED_VALUE"""),-0.534260579542906)</f>
        <v>-0.53426057954290596</v>
      </c>
      <c r="KD116" s="3">
        <f ca="1">IFERROR(__xludf.DUMMYFUNCTION("""COMPUTED_VALUE"""),-0.306265763834522)</f>
        <v>-0.30626576383452198</v>
      </c>
      <c r="KE116" s="3">
        <f ca="1">IFERROR(__xludf.DUMMYFUNCTION("""COMPUTED_VALUE"""),-0.533381576569945)</f>
        <v>-0.533381576569945</v>
      </c>
      <c r="KF116" s="3">
        <f ca="1">IFERROR(__xludf.DUMMYFUNCTION("""COMPUTED_VALUE"""),-0.467737473699524)</f>
        <v>-0.46773747369952401</v>
      </c>
      <c r="KG116" s="3">
        <f ca="1">IFERROR(__xludf.DUMMYFUNCTION("""COMPUTED_VALUE"""),-0.564708303048034)</f>
        <v>-0.56470830304803399</v>
      </c>
      <c r="KH116" s="3">
        <f ca="1">IFERROR(__xludf.DUMMYFUNCTION("""COMPUTED_VALUE"""),-0.630915647995863)</f>
        <v>-0.63091564799586297</v>
      </c>
      <c r="KI116" s="3">
        <f ca="1">IFERROR(__xludf.DUMMYFUNCTION("""COMPUTED_VALUE"""),-0.818915043090317)</f>
        <v>-0.81891504309031704</v>
      </c>
      <c r="KJ116" s="3">
        <f ca="1">IFERROR(__xludf.DUMMYFUNCTION("""COMPUTED_VALUE"""),-0.568702041058084)</f>
        <v>-0.56870204105808397</v>
      </c>
      <c r="KK116" s="3">
        <f ca="1">IFERROR(__xludf.DUMMYFUNCTION("""COMPUTED_VALUE"""),-0.34836646527086)</f>
        <v>-0.34836646527086002</v>
      </c>
      <c r="KL116" s="3">
        <f ca="1">IFERROR(__xludf.DUMMYFUNCTION("""COMPUTED_VALUE"""),-0.459661453307114)</f>
        <v>-0.459661453307114</v>
      </c>
      <c r="KM116" s="3">
        <f ca="1">IFERROR(__xludf.DUMMYFUNCTION("""COMPUTED_VALUE"""),-0.375670919446482)</f>
        <v>-0.37567091944648201</v>
      </c>
      <c r="KN116" s="3">
        <f ca="1">IFERROR(__xludf.DUMMYFUNCTION("""COMPUTED_VALUE"""),-0.584515464659682)</f>
        <v>-0.58451546465968196</v>
      </c>
      <c r="KO116" s="3">
        <f ca="1">IFERROR(__xludf.DUMMYFUNCTION("""COMPUTED_VALUE"""),-0.583825940785423)</f>
        <v>-0.58382594078542305</v>
      </c>
      <c r="KP116" s="3">
        <f ca="1">IFERROR(__xludf.DUMMYFUNCTION("""COMPUTED_VALUE"""),-0.617679020535221)</f>
        <v>-0.61767902053522095</v>
      </c>
      <c r="KQ116" s="3">
        <f ca="1">IFERROR(__xludf.DUMMYFUNCTION("""COMPUTED_VALUE"""),-0.593354746425833)</f>
        <v>-0.59335474642583297</v>
      </c>
      <c r="KR116" s="3">
        <f ca="1">IFERROR(__xludf.DUMMYFUNCTION("""COMPUTED_VALUE"""),-0.436488257189566)</f>
        <v>-0.43648825718956602</v>
      </c>
      <c r="KS116" s="3">
        <f ca="1">IFERROR(__xludf.DUMMYFUNCTION("""COMPUTED_VALUE"""),-0.499026432241223)</f>
        <v>-0.49902643224122301</v>
      </c>
      <c r="KT116" s="3">
        <f ca="1">IFERROR(__xludf.DUMMYFUNCTION("""COMPUTED_VALUE"""),-0.487771026231514)</f>
        <v>-0.48777102623151403</v>
      </c>
      <c r="KU116" s="3">
        <f ca="1">IFERROR(__xludf.DUMMYFUNCTION("""COMPUTED_VALUE"""),-0.672020523364509)</f>
        <v>-0.67202052336450901</v>
      </c>
      <c r="KV116" s="3">
        <f ca="1">IFERROR(__xludf.DUMMYFUNCTION("""COMPUTED_VALUE"""),-0.706149969721703)</f>
        <v>-0.70614996972170296</v>
      </c>
      <c r="KW116" s="3">
        <f ca="1">IFERROR(__xludf.DUMMYFUNCTION("""COMPUTED_VALUE"""),-0.702251816745316)</f>
        <v>-0.702251816745316</v>
      </c>
      <c r="KX116" s="3">
        <f ca="1">IFERROR(__xludf.DUMMYFUNCTION("""COMPUTED_VALUE"""),-0.663817906318592)</f>
        <v>-0.66381790631859205</v>
      </c>
      <c r="KY116" s="3">
        <f ca="1">IFERROR(__xludf.DUMMYFUNCTION("""COMPUTED_VALUE"""),-0.679294586659753)</f>
        <v>-0.67929458665975295</v>
      </c>
      <c r="KZ116" s="3">
        <f ca="1">IFERROR(__xludf.DUMMYFUNCTION("""COMPUTED_VALUE"""),-0.471211777309311)</f>
        <v>-0.47121177730931102</v>
      </c>
      <c r="LA116" s="3">
        <f ca="1">IFERROR(__xludf.DUMMYFUNCTION("""COMPUTED_VALUE"""),-0.623385289028339)</f>
        <v>-0.62338528902833901</v>
      </c>
      <c r="LB116" s="3">
        <f ca="1">IFERROR(__xludf.DUMMYFUNCTION("""COMPUTED_VALUE"""),-0.67478840234332)</f>
        <v>-0.67478840234332005</v>
      </c>
      <c r="LC116" s="3">
        <f ca="1">IFERROR(__xludf.DUMMYFUNCTION("""COMPUTED_VALUE"""),-0.667694246501068)</f>
        <v>-0.66769424650106801</v>
      </c>
      <c r="LD116" s="3">
        <f ca="1">IFERROR(__xludf.DUMMYFUNCTION("""COMPUTED_VALUE"""),-0.647804306911746)</f>
        <v>-0.64780430691174595</v>
      </c>
      <c r="LE116" s="3">
        <f ca="1">IFERROR(__xludf.DUMMYFUNCTION("""COMPUTED_VALUE"""),-0.690399135811143)</f>
        <v>-0.69039913581114298</v>
      </c>
      <c r="LF116" s="3">
        <f ca="1">IFERROR(__xludf.DUMMYFUNCTION("""COMPUTED_VALUE"""),-0.65878933273161)</f>
        <v>-0.65878933273161</v>
      </c>
      <c r="LG116" s="3">
        <f ca="1">IFERROR(__xludf.DUMMYFUNCTION("""COMPUTED_VALUE"""),-0.602890427212814)</f>
        <v>-0.60289042721281405</v>
      </c>
      <c r="LH116" s="3">
        <f ca="1">IFERROR(__xludf.DUMMYFUNCTION("""COMPUTED_VALUE"""),-0.658569313094097)</f>
        <v>-0.65856931309409705</v>
      </c>
      <c r="LI116" s="3">
        <f ca="1">IFERROR(__xludf.DUMMYFUNCTION("""COMPUTED_VALUE"""),-0.767199437101649)</f>
        <v>-0.76719943710164895</v>
      </c>
      <c r="LJ116" s="3">
        <f ca="1">IFERROR(__xludf.DUMMYFUNCTION("""COMPUTED_VALUE"""),-0.731887653157623)</f>
        <v>-0.73188765315762305</v>
      </c>
      <c r="LK116" s="3">
        <f ca="1">IFERROR(__xludf.DUMMYFUNCTION("""COMPUTED_VALUE"""),-0.734333579328614)</f>
        <v>-0.73433357932861398</v>
      </c>
      <c r="LL116" s="3">
        <f ca="1">IFERROR(__xludf.DUMMYFUNCTION("""COMPUTED_VALUE"""),-0.767413702606785)</f>
        <v>-0.76741370260678499</v>
      </c>
      <c r="LM116" s="3">
        <f ca="1">IFERROR(__xludf.DUMMYFUNCTION("""COMPUTED_VALUE"""),-0.658919671235781)</f>
        <v>-0.65891967123578099</v>
      </c>
      <c r="LN116" s="3">
        <f ca="1">IFERROR(__xludf.DUMMYFUNCTION("""COMPUTED_VALUE"""),-0.655557337788873)</f>
        <v>-0.65555733778887304</v>
      </c>
      <c r="LO116" s="3">
        <f ca="1">IFERROR(__xludf.DUMMYFUNCTION("""COMPUTED_VALUE"""),-0.697739511334635)</f>
        <v>-0.69773951133463497</v>
      </c>
      <c r="LP116" s="3">
        <f ca="1">IFERROR(__xludf.DUMMYFUNCTION("""COMPUTED_VALUE"""),-0.800483816525966)</f>
        <v>-0.80048381652596601</v>
      </c>
      <c r="LQ116" s="3">
        <f ca="1">IFERROR(__xludf.DUMMYFUNCTION("""COMPUTED_VALUE"""),-0.731982264484445)</f>
        <v>-0.73198226448444503</v>
      </c>
      <c r="LR116" s="3">
        <f ca="1">IFERROR(__xludf.DUMMYFUNCTION("""COMPUTED_VALUE"""),-0.728073112975273)</f>
        <v>-0.728073112975273</v>
      </c>
      <c r="LS116" s="3">
        <f ca="1">IFERROR(__xludf.DUMMYFUNCTION("""COMPUTED_VALUE"""),-0.76746933586646)</f>
        <v>-0.76746933586646005</v>
      </c>
      <c r="LT116" s="3">
        <f ca="1">IFERROR(__xludf.DUMMYFUNCTION("""COMPUTED_VALUE"""),-0.774339649472135)</f>
        <v>-0.77433964947213496</v>
      </c>
      <c r="LU116" s="3">
        <f ca="1">IFERROR(__xludf.DUMMYFUNCTION("""COMPUTED_VALUE"""),-0.706849152646421)</f>
        <v>-0.70684915264642101</v>
      </c>
      <c r="LV116" s="3">
        <f ca="1">IFERROR(__xludf.DUMMYFUNCTION("""COMPUTED_VALUE"""),-0.756803386789854)</f>
        <v>-0.75680338678985404</v>
      </c>
      <c r="LW116" s="3">
        <f ca="1">IFERROR(__xludf.DUMMYFUNCTION("""COMPUTED_VALUE"""),-0.865733591739471)</f>
        <v>-0.86573359173947095</v>
      </c>
      <c r="LX116" s="3">
        <f ca="1">IFERROR(__xludf.DUMMYFUNCTION("""COMPUTED_VALUE"""),-0.804853054454339)</f>
        <v>-0.80485305445433897</v>
      </c>
      <c r="LY116" s="3">
        <f ca="1">IFERROR(__xludf.DUMMYFUNCTION("""COMPUTED_VALUE"""),-0.796110671938523)</f>
        <v>-0.79611067193852303</v>
      </c>
      <c r="LZ116" s="3">
        <f ca="1">IFERROR(__xludf.DUMMYFUNCTION("""COMPUTED_VALUE"""),-0.83621786691281)</f>
        <v>-0.83621786691280997</v>
      </c>
      <c r="MA116" s="3">
        <f ca="1">IFERROR(__xludf.DUMMYFUNCTION("""COMPUTED_VALUE"""),-0.796584151082492)</f>
        <v>-0.79658415108249203</v>
      </c>
      <c r="MB116" s="3">
        <f ca="1">IFERROR(__xludf.DUMMYFUNCTION("""COMPUTED_VALUE"""),-0.862454156130289)</f>
        <v>-0.86245415613028897</v>
      </c>
      <c r="MC116" s="3">
        <f ca="1">IFERROR(__xludf.DUMMYFUNCTION("""COMPUTED_VALUE"""),-0.834696885109378)</f>
        <v>-0.83469688510937801</v>
      </c>
      <c r="MD116" s="3">
        <f ca="1">IFERROR(__xludf.DUMMYFUNCTION("""COMPUTED_VALUE"""),-0.863334725009076)</f>
        <v>-0.86333472500907604</v>
      </c>
      <c r="ME116" s="3">
        <f ca="1">IFERROR(__xludf.DUMMYFUNCTION("""COMPUTED_VALUE"""),-0.847008266666409)</f>
        <v>-0.84700826666640905</v>
      </c>
      <c r="MF116" s="3">
        <f ca="1">IFERROR(__xludf.DUMMYFUNCTION("""COMPUTED_VALUE"""),-0.831390638681461)</f>
        <v>-0.83139063868146101</v>
      </c>
      <c r="MG116" s="3">
        <f ca="1">IFERROR(__xludf.DUMMYFUNCTION("""COMPUTED_VALUE"""),-0.846172752546044)</f>
        <v>-0.84617275254604396</v>
      </c>
      <c r="MH116" s="3">
        <f ca="1">IFERROR(__xludf.DUMMYFUNCTION("""COMPUTED_VALUE"""),-0.862874179458916)</f>
        <v>-0.86287417945891598</v>
      </c>
      <c r="MI116" s="3">
        <f ca="1">IFERROR(__xludf.DUMMYFUNCTION("""COMPUTED_VALUE"""),-0.826254811102732)</f>
        <v>-0.82625481110273202</v>
      </c>
      <c r="MJ116" s="3">
        <f ca="1">IFERROR(__xludf.DUMMYFUNCTION("""COMPUTED_VALUE"""),-0.840579570865873)</f>
        <v>-0.84057957086587298</v>
      </c>
      <c r="MK116" s="3">
        <f ca="1">IFERROR(__xludf.DUMMYFUNCTION("""COMPUTED_VALUE"""),-0.914504931370935)</f>
        <v>-0.91450493137093503</v>
      </c>
      <c r="ML116" s="3">
        <f ca="1">IFERROR(__xludf.DUMMYFUNCTION("""COMPUTED_VALUE"""),-0.909665284011934)</f>
        <v>-0.90966528401193403</v>
      </c>
      <c r="MM116" s="3">
        <f ca="1">IFERROR(__xludf.DUMMYFUNCTION("""COMPUTED_VALUE"""),-0.884719237153152)</f>
        <v>-0.88471923715315204</v>
      </c>
      <c r="MN116" s="3">
        <f ca="1">IFERROR(__xludf.DUMMYFUNCTION("""COMPUTED_VALUE"""),-0.878346859533532)</f>
        <v>-0.87834685953353198</v>
      </c>
      <c r="MO116" s="3">
        <f ca="1">IFERROR(__xludf.DUMMYFUNCTION("""COMPUTED_VALUE"""),-0.853734607894826)</f>
        <v>-0.85373460789482603</v>
      </c>
      <c r="MP116" s="3">
        <f ca="1">IFERROR(__xludf.DUMMYFUNCTION("""COMPUTED_VALUE"""),-0.854039341632823)</f>
        <v>-0.85403934163282302</v>
      </c>
      <c r="MQ116" s="3">
        <f ca="1">IFERROR(__xludf.DUMMYFUNCTION("""COMPUTED_VALUE"""),-0.854980429138354)</f>
        <v>-0.85498042913835404</v>
      </c>
      <c r="MR116" s="3">
        <f ca="1">IFERROR(__xludf.DUMMYFUNCTION("""COMPUTED_VALUE"""),-0.885222844647899)</f>
        <v>-0.88522284464789902</v>
      </c>
      <c r="MS116" s="3">
        <f ca="1">IFERROR(__xludf.DUMMYFUNCTION("""COMPUTED_VALUE"""),-0.924798788914199)</f>
        <v>-0.92479878891419898</v>
      </c>
      <c r="MT116" s="3">
        <f ca="1">IFERROR(__xludf.DUMMYFUNCTION("""COMPUTED_VALUE"""),-0.915635470343961)</f>
        <v>-0.91563547034396098</v>
      </c>
      <c r="MU116" s="3">
        <f ca="1">IFERROR(__xludf.DUMMYFUNCTION("""COMPUTED_VALUE"""),-0.924228510923586)</f>
        <v>-0.92422851092358604</v>
      </c>
      <c r="MV116" s="3">
        <f ca="1">IFERROR(__xludf.DUMMYFUNCTION("""COMPUTED_VALUE"""),-0.87904359736309)</f>
        <v>-0.87904359736309001</v>
      </c>
      <c r="MW116" s="3">
        <f ca="1">IFERROR(__xludf.DUMMYFUNCTION("""COMPUTED_VALUE"""),-0.868626298935277)</f>
        <v>-0.86862629893527699</v>
      </c>
      <c r="MX116" s="3">
        <f ca="1">IFERROR(__xludf.DUMMYFUNCTION("""COMPUTED_VALUE"""),-0.878467867911818)</f>
        <v>-0.87846786791181797</v>
      </c>
      <c r="MY116" s="3">
        <f ca="1">IFERROR(__xludf.DUMMYFUNCTION("""COMPUTED_VALUE"""),-0.910349921270152)</f>
        <v>-0.91034992127015202</v>
      </c>
      <c r="MZ116" s="3">
        <f ca="1">IFERROR(__xludf.DUMMYFUNCTION("""COMPUTED_VALUE"""),-0.928765760061699)</f>
        <v>-0.92876576006169898</v>
      </c>
      <c r="NA116" s="3">
        <f ca="1">IFERROR(__xludf.DUMMYFUNCTION("""COMPUTED_VALUE"""),-0.917272293032669)</f>
        <v>-0.91727229303266899</v>
      </c>
      <c r="NB116" s="3">
        <f ca="1">IFERROR(__xludf.DUMMYFUNCTION("""COMPUTED_VALUE"""),-0.920996981125029)</f>
        <v>-0.92099698112502904</v>
      </c>
      <c r="NC116" s="3">
        <f ca="1">IFERROR(__xludf.DUMMYFUNCTION("""COMPUTED_VALUE"""),-0.943393674710687)</f>
        <v>-0.94339367471068702</v>
      </c>
      <c r="ND116" s="3">
        <f ca="1">IFERROR(__xludf.DUMMYFUNCTION("""COMPUTED_VALUE"""),-0.872441649011061)</f>
        <v>-0.87244164901106103</v>
      </c>
      <c r="NE116" s="3">
        <f ca="1">IFERROR(__xludf.DUMMYFUNCTION("""COMPUTED_VALUE"""),-0.872801746800538)</f>
        <v>-0.87280174680053801</v>
      </c>
      <c r="NF116" s="3">
        <f ca="1">IFERROR(__xludf.DUMMYFUNCTION("""COMPUTED_VALUE"""),-0.926961370635025)</f>
        <v>-0.92696137063502504</v>
      </c>
      <c r="NG116" s="3">
        <f ca="1">IFERROR(__xludf.DUMMYFUNCTION("""COMPUTED_VALUE"""),-0.928778742989856)</f>
        <v>-0.92877874298985597</v>
      </c>
      <c r="NH116" s="3">
        <f ca="1">IFERROR(__xludf.DUMMYFUNCTION("""COMPUTED_VALUE"""),-0.91595901816391)</f>
        <v>-0.91595901816391001</v>
      </c>
      <c r="NI116" s="3">
        <f ca="1">IFERROR(__xludf.DUMMYFUNCTION("""COMPUTED_VALUE"""),-0.919698909010933)</f>
        <v>-0.91969890901093299</v>
      </c>
      <c r="NJ116" s="3">
        <f ca="1">IFERROR(__xludf.DUMMYFUNCTION("""COMPUTED_VALUE"""),-0.911917903255016)</f>
        <v>-0.91191790325501598</v>
      </c>
      <c r="NK116" s="3">
        <f ca="1">IFERROR(__xludf.DUMMYFUNCTION("""COMPUTED_VALUE"""),-0.877875664151936)</f>
        <v>-0.87787566415193596</v>
      </c>
      <c r="NL116" s="3">
        <f ca="1">IFERROR(__xludf.DUMMYFUNCTION("""COMPUTED_VALUE"""),-0.882972700197298)</f>
        <v>-0.88297270019729801</v>
      </c>
      <c r="NM116" s="3">
        <f ca="1">IFERROR(__xludf.DUMMYFUNCTION("""COMPUTED_VALUE"""),-0.919650870376276)</f>
        <v>-0.91965087037627602</v>
      </c>
      <c r="NN116" s="3">
        <f ca="1">IFERROR(__xludf.DUMMYFUNCTION("""COMPUTED_VALUE"""),-0.919231484969453)</f>
        <v>-0.91923148496945295</v>
      </c>
      <c r="NO116" s="3">
        <f ca="1">IFERROR(__xludf.DUMMYFUNCTION("""COMPUTED_VALUE"""),-0.899218061123495)</f>
        <v>-0.899218061123495</v>
      </c>
      <c r="NP116" s="3">
        <f ca="1">IFERROR(__xludf.DUMMYFUNCTION("""COMPUTED_VALUE"""),-0.914416442243541)</f>
        <v>-0.91441644224354102</v>
      </c>
      <c r="NQ116" s="3">
        <f ca="1">IFERROR(__xludf.DUMMYFUNCTION("""COMPUTED_VALUE"""),-0.887645273324223)</f>
        <v>-0.88764527332422305</v>
      </c>
      <c r="NR116" s="3">
        <f ca="1">IFERROR(__xludf.DUMMYFUNCTION("""COMPUTED_VALUE"""),-0.810917571978683)</f>
        <v>-0.81091757197868297</v>
      </c>
      <c r="NS116" s="3">
        <f ca="1">IFERROR(__xludf.DUMMYFUNCTION("""COMPUTED_VALUE"""),-0.834614754788156)</f>
        <v>-0.83461475478815605</v>
      </c>
      <c r="NT116" s="3">
        <f ca="1">IFERROR(__xludf.DUMMYFUNCTION("""COMPUTED_VALUE"""),-0.907562125413141)</f>
        <v>-0.90756212541314096</v>
      </c>
      <c r="NU116" s="3">
        <f ca="1">IFERROR(__xludf.DUMMYFUNCTION("""COMPUTED_VALUE"""),-0.906870344473728)</f>
        <v>-0.90687034447372805</v>
      </c>
      <c r="NV116" s="3">
        <f ca="1">IFERROR(__xludf.DUMMYFUNCTION("""COMPUTED_VALUE"""),-0.909248224433258)</f>
        <v>-0.90924822443325803</v>
      </c>
      <c r="NW116" s="3">
        <f ca="1">IFERROR(__xludf.DUMMYFUNCTION("""COMPUTED_VALUE"""),-0.896210867082037)</f>
        <v>-0.89621086708203701</v>
      </c>
      <c r="NX116" s="3">
        <f ca="1">IFERROR(__xludf.DUMMYFUNCTION("""COMPUTED_VALUE"""),-0.88487341002553)</f>
        <v>-0.88487341002552999</v>
      </c>
      <c r="NY116" s="3">
        <f ca="1">IFERROR(__xludf.DUMMYFUNCTION("""COMPUTED_VALUE"""),-0.820474638739264)</f>
        <v>-0.82047463873926396</v>
      </c>
      <c r="NZ116" s="3">
        <f ca="1">IFERROR(__xludf.DUMMYFUNCTION("""COMPUTED_VALUE"""),-0.81197445080165)</f>
        <v>-0.81197445080164998</v>
      </c>
      <c r="OA116" s="3">
        <f ca="1">IFERROR(__xludf.DUMMYFUNCTION("""COMPUTED_VALUE"""),-0.855225710256639)</f>
        <v>-0.85522571025663896</v>
      </c>
      <c r="OB116" s="3">
        <f ca="1">IFERROR(__xludf.DUMMYFUNCTION("""COMPUTED_VALUE"""),-0.816703161390253)</f>
        <v>-0.81670316139025301</v>
      </c>
      <c r="OC116" s="3">
        <f ca="1">IFERROR(__xludf.DUMMYFUNCTION("""COMPUTED_VALUE"""),-0.774153570966755)</f>
        <v>-0.77415357096675497</v>
      </c>
      <c r="OD116" s="3">
        <f ca="1">IFERROR(__xludf.DUMMYFUNCTION("""COMPUTED_VALUE"""),-0.714254980291949)</f>
        <v>-0.714254980291949</v>
      </c>
      <c r="OE116" s="3">
        <f ca="1">IFERROR(__xludf.DUMMYFUNCTION("""COMPUTED_VALUE"""),-0.616348512361005)</f>
        <v>-0.61634851236100496</v>
      </c>
      <c r="OF116" s="3">
        <f ca="1">IFERROR(__xludf.DUMMYFUNCTION("""COMPUTED_VALUE"""),-0.217831489697545)</f>
        <v>-0.21783148969754501</v>
      </c>
      <c r="OG116" s="3">
        <f ca="1">IFERROR(__xludf.DUMMYFUNCTION("""COMPUTED_VALUE"""),-0.161252697796773)</f>
        <v>-0.16125269779677301</v>
      </c>
      <c r="OH116" s="3">
        <f ca="1">IFERROR(__xludf.DUMMYFUNCTION("""COMPUTED_VALUE"""),-0.283172086168614)</f>
        <v>-0.283172086168614</v>
      </c>
      <c r="OI116" s="3">
        <f ca="1">IFERROR(__xludf.DUMMYFUNCTION("""COMPUTED_VALUE"""),-0.0235369258050309)</f>
        <v>-2.35369258050309E-2</v>
      </c>
      <c r="OJ116" s="3">
        <f ca="1">IFERROR(__xludf.DUMMYFUNCTION("""COMPUTED_VALUE"""),0.0283443225392623)</f>
        <v>2.83443225392623E-2</v>
      </c>
      <c r="OK116" s="3">
        <f ca="1">IFERROR(__xludf.DUMMYFUNCTION("""COMPUTED_VALUE"""),0.00772458263540465)</f>
        <v>7.7245826354046497E-3</v>
      </c>
      <c r="OL116" s="3">
        <f ca="1">IFERROR(__xludf.DUMMYFUNCTION("""COMPUTED_VALUE"""),0.0640380568721268)</f>
        <v>6.4038056872126797E-2</v>
      </c>
      <c r="OM116" s="3">
        <f ca="1">IFERROR(__xludf.DUMMYFUNCTION("""COMPUTED_VALUE"""),0.050011220965032)</f>
        <v>5.0011220965032001E-2</v>
      </c>
      <c r="ON116" s="3">
        <f ca="1">IFERROR(__xludf.DUMMYFUNCTION("""COMPUTED_VALUE"""),0.121919579207073)</f>
        <v>0.121919579207073</v>
      </c>
      <c r="OO116" s="3">
        <f ca="1">IFERROR(__xludf.DUMMYFUNCTION("""COMPUTED_VALUE"""),0.0176634413823475)</f>
        <v>1.7663441382347499E-2</v>
      </c>
      <c r="OP116" s="3">
        <f ca="1">IFERROR(__xludf.DUMMYFUNCTION("""COMPUTED_VALUE"""),0.0215893519411607)</f>
        <v>2.1589351941160701E-2</v>
      </c>
      <c r="OQ116" s="3">
        <f ca="1">IFERROR(__xludf.DUMMYFUNCTION("""COMPUTED_VALUE"""),0.0702495022328701)</f>
        <v>7.0249502232870104E-2</v>
      </c>
      <c r="OR116" s="3">
        <f ca="1">IFERROR(__xludf.DUMMYFUNCTION("""COMPUTED_VALUE"""),0.0682754711473407)</f>
        <v>6.8275471147340699E-2</v>
      </c>
      <c r="OS116" s="3">
        <f ca="1">IFERROR(__xludf.DUMMYFUNCTION("""COMPUTED_VALUE"""),-0.0841011900627226)</f>
        <v>-8.4101190062722597E-2</v>
      </c>
      <c r="OT116" s="3">
        <f ca="1">IFERROR(__xludf.DUMMYFUNCTION("""COMPUTED_VALUE"""),0.170666370014842)</f>
        <v>0.170666370014842</v>
      </c>
      <c r="OU116" s="3">
        <f ca="1">IFERROR(__xludf.DUMMYFUNCTION("""COMPUTED_VALUE"""),0.150981910447952)</f>
        <v>0.15098191044795201</v>
      </c>
      <c r="OV116" s="3">
        <f ca="1">IFERROR(__xludf.DUMMYFUNCTION("""COMPUTED_VALUE"""),0.212697389686451)</f>
        <v>0.21269738968645099</v>
      </c>
      <c r="OW116" s="3">
        <f ca="1">IFERROR(__xludf.DUMMYFUNCTION("""COMPUTED_VALUE"""),-0.0344892905369524)</f>
        <v>-3.4489290536952398E-2</v>
      </c>
      <c r="OX116" s="3">
        <f ca="1">IFERROR(__xludf.DUMMYFUNCTION("""COMPUTED_VALUE"""),0.00966604500917323)</f>
        <v>9.6660450091732297E-3</v>
      </c>
      <c r="OY116" s="3">
        <f ca="1">IFERROR(__xludf.DUMMYFUNCTION("""COMPUTED_VALUE"""),0.0235630569296103)</f>
        <v>2.3563056929610301E-2</v>
      </c>
      <c r="OZ116" s="3">
        <f ca="1">IFERROR(__xludf.DUMMYFUNCTION("""COMPUTED_VALUE"""),-0.0745394291644049)</f>
        <v>-7.4539429164404897E-2</v>
      </c>
      <c r="PA116" s="3">
        <f ca="1">IFERROR(__xludf.DUMMYFUNCTION("""COMPUTED_VALUE"""),0.037973557980435)</f>
        <v>3.7973557980435002E-2</v>
      </c>
      <c r="PB116" s="3">
        <f ca="1">IFERROR(__xludf.DUMMYFUNCTION("""COMPUTED_VALUE"""),0.0496370893675395)</f>
        <v>4.9637089367539501E-2</v>
      </c>
      <c r="PC116" s="3">
        <f ca="1">IFERROR(__xludf.DUMMYFUNCTION("""COMPUTED_VALUE"""),-0.111503768881276)</f>
        <v>-0.111503768881276</v>
      </c>
      <c r="PD116" s="3">
        <f ca="1">IFERROR(__xludf.DUMMYFUNCTION("""COMPUTED_VALUE"""),-0.0897782642926579)</f>
        <v>-8.9778264292657894E-2</v>
      </c>
      <c r="PE116" s="3">
        <f ca="1">IFERROR(__xludf.DUMMYFUNCTION("""COMPUTED_VALUE"""),0.232682218231289)</f>
        <v>0.23268221823128901</v>
      </c>
      <c r="PF116" s="3">
        <f ca="1">IFERROR(__xludf.DUMMYFUNCTION("""COMPUTED_VALUE"""),0.0455810743760773)</f>
        <v>4.55810743760773E-2</v>
      </c>
      <c r="PG116" s="3">
        <f ca="1">IFERROR(__xludf.DUMMYFUNCTION("""COMPUTED_VALUE"""),0.052963398403278)</f>
        <v>5.2963398403278003E-2</v>
      </c>
      <c r="PH116" s="3">
        <f ca="1">IFERROR(__xludf.DUMMYFUNCTION("""COMPUTED_VALUE"""),0.00428725857878342)</f>
        <v>4.28725857878342E-3</v>
      </c>
      <c r="PI116" s="3">
        <f ca="1">IFERROR(__xludf.DUMMYFUNCTION("""COMPUTED_VALUE"""),0.0420603398555654)</f>
        <v>4.2060339855565398E-2</v>
      </c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</row>
    <row r="117" spans="1:477" ht="13">
      <c r="A117" s="1" t="str">
        <f ca="1">IFERROR(__xludf.DUMMYFUNCTION("""COMPUTED_VALUE"""),"Regina Transit")</f>
        <v>Regina Transit</v>
      </c>
      <c r="B117" s="1" t="str">
        <f ca="1">IFERROR(__xludf.DUMMYFUNCTION("""COMPUTED_VALUE"""),"Regina")</f>
        <v>Regina</v>
      </c>
      <c r="C117" s="1" t="str">
        <f ca="1">IFERROR(__xludf.DUMMYFUNCTION("""COMPUTED_VALUE"""),"Canada")</f>
        <v>Canada</v>
      </c>
      <c r="D117" s="1" t="str">
        <f ca="1">IFERROR(__xludf.DUMMYFUNCTION("""COMPUTED_VALUE"""),"Saskatchewan")</f>
        <v>Saskatchewan</v>
      </c>
      <c r="E117" s="3">
        <f ca="1">IFERROR(__xludf.DUMMYFUNCTION("""COMPUTED_VALUE"""),-0.65456422067449)</f>
        <v>-0.65456422067449005</v>
      </c>
      <c r="F117" s="3">
        <f ca="1">IFERROR(__xludf.DUMMYFUNCTION("""COMPUTED_VALUE"""),-0.731646045037635)</f>
        <v>-0.73164604503763497</v>
      </c>
      <c r="G117" s="3">
        <f ca="1">IFERROR(__xludf.DUMMYFUNCTION("""COMPUTED_VALUE"""),-0.791437613729466)</f>
        <v>-0.79143761372946597</v>
      </c>
      <c r="H117" s="3">
        <f ca="1">IFERROR(__xludf.DUMMYFUNCTION("""COMPUTED_VALUE"""),-0.797058263005158)</f>
        <v>-0.79705826300515803</v>
      </c>
      <c r="I117" s="3">
        <f ca="1">IFERROR(__xludf.DUMMYFUNCTION("""COMPUTED_VALUE"""),-0.798798080550851)</f>
        <v>-0.798798080550851</v>
      </c>
      <c r="J117" s="3">
        <f ca="1">IFERROR(__xludf.DUMMYFUNCTION("""COMPUTED_VALUE"""),-0.776498517697911)</f>
        <v>-0.77649851769791101</v>
      </c>
      <c r="K117" s="3">
        <f ca="1">IFERROR(__xludf.DUMMYFUNCTION("""COMPUTED_VALUE"""),-0.647049836514406)</f>
        <v>-0.64704983651440595</v>
      </c>
      <c r="L117" s="3">
        <f ca="1">IFERROR(__xludf.DUMMYFUNCTION("""COMPUTED_VALUE"""),-0.67227993968859)</f>
        <v>-0.67227993968859001</v>
      </c>
      <c r="M117" s="3">
        <f ca="1">IFERROR(__xludf.DUMMYFUNCTION("""COMPUTED_VALUE"""),-0.847882006056894)</f>
        <v>-0.84788200605689401</v>
      </c>
      <c r="N117" s="3">
        <f ca="1">IFERROR(__xludf.DUMMYFUNCTION("""COMPUTED_VALUE"""),-0.786162151175092)</f>
        <v>-0.78616215117509203</v>
      </c>
      <c r="O117" s="3">
        <f ca="1">IFERROR(__xludf.DUMMYFUNCTION("""COMPUTED_VALUE"""),-0.773824621883367)</f>
        <v>-0.77382462188336698</v>
      </c>
      <c r="P117" s="3">
        <f ca="1">IFERROR(__xludf.DUMMYFUNCTION("""COMPUTED_VALUE"""),-0.817410282640142)</f>
        <v>-0.81741028264014204</v>
      </c>
      <c r="Q117" s="3">
        <f ca="1">IFERROR(__xludf.DUMMYFUNCTION("""COMPUTED_VALUE"""),-0.806655760485489)</f>
        <v>-0.80665576048548904</v>
      </c>
      <c r="R117" s="3">
        <f ca="1">IFERROR(__xludf.DUMMYFUNCTION("""COMPUTED_VALUE"""),-0.697511070336331)</f>
        <v>-0.69751107033633097</v>
      </c>
      <c r="S117" s="3">
        <f ca="1">IFERROR(__xludf.DUMMYFUNCTION("""COMPUTED_VALUE"""),-0.659332150219093)</f>
        <v>-0.65933215021909297</v>
      </c>
      <c r="T117" s="3">
        <f ca="1">IFERROR(__xludf.DUMMYFUNCTION("""COMPUTED_VALUE"""),-0.771944283748656)</f>
        <v>-0.77194428374865598</v>
      </c>
      <c r="U117" s="3">
        <f ca="1">IFERROR(__xludf.DUMMYFUNCTION("""COMPUTED_VALUE"""),-0.791186246367499)</f>
        <v>-0.79118624636749901</v>
      </c>
      <c r="V117" s="3">
        <f ca="1">IFERROR(__xludf.DUMMYFUNCTION("""COMPUTED_VALUE"""),-0.775412621312237)</f>
        <v>-0.77541262131223698</v>
      </c>
      <c r="W117" s="3">
        <f ca="1">IFERROR(__xludf.DUMMYFUNCTION("""COMPUTED_VALUE"""),-0.755852041123183)</f>
        <v>-0.75585204112318305</v>
      </c>
      <c r="X117" s="3">
        <f ca="1">IFERROR(__xludf.DUMMYFUNCTION("""COMPUTED_VALUE"""),-0.752271723535379)</f>
        <v>-0.75227172353537897</v>
      </c>
      <c r="Y117" s="3">
        <f ca="1">IFERROR(__xludf.DUMMYFUNCTION("""COMPUTED_VALUE"""),-0.627889009988643)</f>
        <v>-0.62788900998864305</v>
      </c>
      <c r="Z117" s="3">
        <f ca="1">IFERROR(__xludf.DUMMYFUNCTION("""COMPUTED_VALUE"""),-0.651914710117355)</f>
        <v>-0.65191471011735502</v>
      </c>
      <c r="AA117" s="3">
        <f ca="1">IFERROR(__xludf.DUMMYFUNCTION("""COMPUTED_VALUE"""),-0.708755191898123)</f>
        <v>-0.70875519189812297</v>
      </c>
      <c r="AB117" s="3">
        <f ca="1">IFERROR(__xludf.DUMMYFUNCTION("""COMPUTED_VALUE"""),-0.772532345086624)</f>
        <v>-0.77253234508662405</v>
      </c>
      <c r="AC117" s="3">
        <f ca="1">IFERROR(__xludf.DUMMYFUNCTION("""COMPUTED_VALUE"""),-0.721624255529798)</f>
        <v>-0.72162425552979803</v>
      </c>
      <c r="AD117" s="3">
        <f ca="1">IFERROR(__xludf.DUMMYFUNCTION("""COMPUTED_VALUE"""),-0.762720221176579)</f>
        <v>-0.76272022117657901</v>
      </c>
      <c r="AE117" s="3">
        <f ca="1">IFERROR(__xludf.DUMMYFUNCTION("""COMPUTED_VALUE"""),-0.747563945279378)</f>
        <v>-0.74756394527937797</v>
      </c>
      <c r="AF117" s="3">
        <f ca="1">IFERROR(__xludf.DUMMYFUNCTION("""COMPUTED_VALUE"""),-0.585511081261321)</f>
        <v>-0.58551108126132101</v>
      </c>
      <c r="AG117" s="3">
        <f ca="1">IFERROR(__xludf.DUMMYFUNCTION("""COMPUTED_VALUE"""),-0.617967409757664)</f>
        <v>-0.61796740975766395</v>
      </c>
      <c r="AH117" s="3">
        <f ca="1">IFERROR(__xludf.DUMMYFUNCTION("""COMPUTED_VALUE"""),-0.723306175847028)</f>
        <v>-0.72330617584702805</v>
      </c>
      <c r="AI117" s="3">
        <f ca="1">IFERROR(__xludf.DUMMYFUNCTION("""COMPUTED_VALUE"""),-0.724014373762063)</f>
        <v>-0.72401437376206301</v>
      </c>
      <c r="AJ117" s="3">
        <f ca="1">IFERROR(__xludf.DUMMYFUNCTION("""COMPUTED_VALUE"""),-0.728718369877704)</f>
        <v>-0.728718369877704</v>
      </c>
      <c r="AK117" s="3">
        <f ca="1">IFERROR(__xludf.DUMMYFUNCTION("""COMPUTED_VALUE"""),-0.776700707473264)</f>
        <v>-0.77670070747326403</v>
      </c>
      <c r="AL117" s="3">
        <f ca="1">IFERROR(__xludf.DUMMYFUNCTION("""COMPUTED_VALUE"""),-0.696656780775819)</f>
        <v>-0.69665678077581905</v>
      </c>
      <c r="AM117" s="3">
        <f ca="1">IFERROR(__xludf.DUMMYFUNCTION("""COMPUTED_VALUE"""),-0.629021444466551)</f>
        <v>-0.62902144446655095</v>
      </c>
      <c r="AN117" s="3">
        <f ca="1">IFERROR(__xludf.DUMMYFUNCTION("""COMPUTED_VALUE"""),-0.633603014830012)</f>
        <v>-0.63360301483001202</v>
      </c>
      <c r="AO117" s="3">
        <f ca="1">IFERROR(__xludf.DUMMYFUNCTION("""COMPUTED_VALUE"""),-0.752569613618922)</f>
        <v>-0.75256961361892205</v>
      </c>
      <c r="AP117" s="3">
        <f ca="1">IFERROR(__xludf.DUMMYFUNCTION("""COMPUTED_VALUE"""),-0.73372996446496)</f>
        <v>-0.73372996446495997</v>
      </c>
      <c r="AQ117" s="3">
        <f ca="1">IFERROR(__xludf.DUMMYFUNCTION("""COMPUTED_VALUE"""),-0.741481703267646)</f>
        <v>-0.74148170326764595</v>
      </c>
      <c r="AR117" s="3">
        <f ca="1">IFERROR(__xludf.DUMMYFUNCTION("""COMPUTED_VALUE"""),-0.745019417214422)</f>
        <v>-0.745019417214422</v>
      </c>
      <c r="AS117" s="3">
        <f ca="1">IFERROR(__xludf.DUMMYFUNCTION("""COMPUTED_VALUE"""),-0.730417279284726)</f>
        <v>-0.730417279284726</v>
      </c>
      <c r="AT117" s="3">
        <f ca="1">IFERROR(__xludf.DUMMYFUNCTION("""COMPUTED_VALUE"""),-0.625029422186166)</f>
        <v>-0.62502942218616597</v>
      </c>
      <c r="AU117" s="3">
        <f ca="1">IFERROR(__xludf.DUMMYFUNCTION("""COMPUTED_VALUE"""),-0.64693958565054)</f>
        <v>-0.64693958565053999</v>
      </c>
      <c r="AV117" s="3">
        <f ca="1">IFERROR(__xludf.DUMMYFUNCTION("""COMPUTED_VALUE"""),-0.65121992892728)</f>
        <v>-0.65121992892727998</v>
      </c>
      <c r="AW117" s="3">
        <f ca="1">IFERROR(__xludf.DUMMYFUNCTION("""COMPUTED_VALUE"""),-0.692742939717244)</f>
        <v>-0.69274293971724399</v>
      </c>
      <c r="AX117" s="3">
        <f ca="1">IFERROR(__xludf.DUMMYFUNCTION("""COMPUTED_VALUE"""),-0.707576241812806)</f>
        <v>-0.70757624181280598</v>
      </c>
      <c r="AY117" s="3">
        <f ca="1">IFERROR(__xludf.DUMMYFUNCTION("""COMPUTED_VALUE"""),-0.711858492685824)</f>
        <v>-0.71185849268582402</v>
      </c>
      <c r="AZ117" s="3">
        <f ca="1">IFERROR(__xludf.DUMMYFUNCTION("""COMPUTED_VALUE"""),-0.65580377958409)</f>
        <v>-0.65580377958408997</v>
      </c>
      <c r="BA117" s="3">
        <f ca="1">IFERROR(__xludf.DUMMYFUNCTION("""COMPUTED_VALUE"""),-0.621113549052979)</f>
        <v>-0.621113549052979</v>
      </c>
      <c r="BB117" s="3">
        <f ca="1">IFERROR(__xludf.DUMMYFUNCTION("""COMPUTED_VALUE"""),-0.616123046089279)</f>
        <v>-0.61612304608927904</v>
      </c>
      <c r="BC117" s="3">
        <f ca="1">IFERROR(__xludf.DUMMYFUNCTION("""COMPUTED_VALUE"""),-0.723136999503333)</f>
        <v>-0.72313699950333299</v>
      </c>
      <c r="BD117" s="3">
        <f ca="1">IFERROR(__xludf.DUMMYFUNCTION("""COMPUTED_VALUE"""),-0.765451851686296)</f>
        <v>-0.76545185168629604</v>
      </c>
      <c r="BE117" s="3">
        <f ca="1">IFERROR(__xludf.DUMMYFUNCTION("""COMPUTED_VALUE"""),-0.765496862438098)</f>
        <v>-0.765496862438098</v>
      </c>
      <c r="BF117" s="3">
        <f ca="1">IFERROR(__xludf.DUMMYFUNCTION("""COMPUTED_VALUE"""),-0.769282584086544)</f>
        <v>-0.76928258408654404</v>
      </c>
      <c r="BG117" s="3">
        <f ca="1">IFERROR(__xludf.DUMMYFUNCTION("""COMPUTED_VALUE"""),-0.818412855015212)</f>
        <v>-0.81841285501521199</v>
      </c>
      <c r="BH117" s="3">
        <f ca="1">IFERROR(__xludf.DUMMYFUNCTION("""COMPUTED_VALUE"""),-0.622935158858448)</f>
        <v>-0.62293515885844797</v>
      </c>
      <c r="BI117" s="3">
        <f ca="1">IFERROR(__xludf.DUMMYFUNCTION("""COMPUTED_VALUE"""),-0.64233699194058)</f>
        <v>-0.64233699194058003</v>
      </c>
      <c r="BJ117" s="3">
        <f ca="1">IFERROR(__xludf.DUMMYFUNCTION("""COMPUTED_VALUE"""),-0.717413505603324)</f>
        <v>-0.71741350560332395</v>
      </c>
      <c r="BK117" s="3">
        <f ca="1">IFERROR(__xludf.DUMMYFUNCTION("""COMPUTED_VALUE"""),-0.763767102733389)</f>
        <v>-0.76376710273338899</v>
      </c>
      <c r="BL117" s="3">
        <f ca="1">IFERROR(__xludf.DUMMYFUNCTION("""COMPUTED_VALUE"""),-0.749235861961858)</f>
        <v>-0.74923586196185799</v>
      </c>
      <c r="BM117" s="3">
        <f ca="1">IFERROR(__xludf.DUMMYFUNCTION("""COMPUTED_VALUE"""),-0.779355308976469)</f>
        <v>-0.77935530897646899</v>
      </c>
      <c r="BN117" s="3">
        <f ca="1">IFERROR(__xludf.DUMMYFUNCTION("""COMPUTED_VALUE"""),-0.75657617161505)</f>
        <v>-0.75657617161504997</v>
      </c>
      <c r="BO117" s="3">
        <f ca="1">IFERROR(__xludf.DUMMYFUNCTION("""COMPUTED_VALUE"""),-0.693760261195368)</f>
        <v>-0.69376026119536804</v>
      </c>
      <c r="BP117" s="3">
        <f ca="1">IFERROR(__xludf.DUMMYFUNCTION("""COMPUTED_VALUE"""),-0.692599634404264)</f>
        <v>-0.69259963440426398</v>
      </c>
      <c r="BQ117" s="3">
        <f ca="1">IFERROR(__xludf.DUMMYFUNCTION("""COMPUTED_VALUE"""),-0.749279725087153)</f>
        <v>-0.74927972508715301</v>
      </c>
      <c r="BR117" s="3">
        <f ca="1">IFERROR(__xludf.DUMMYFUNCTION("""COMPUTED_VALUE"""),-0.786847640194689)</f>
        <v>-0.786847640194689</v>
      </c>
      <c r="BS117" s="3">
        <f ca="1">IFERROR(__xludf.DUMMYFUNCTION("""COMPUTED_VALUE"""),-0.723629024853284)</f>
        <v>-0.72362902485328395</v>
      </c>
      <c r="BT117" s="3">
        <f ca="1">IFERROR(__xludf.DUMMYFUNCTION("""COMPUTED_VALUE"""),-0.756783376302624)</f>
        <v>-0.75678337630262404</v>
      </c>
      <c r="BU117" s="3">
        <f ca="1">IFERROR(__xludf.DUMMYFUNCTION("""COMPUTED_VALUE"""),-0.724626468575343)</f>
        <v>-0.72462646857534296</v>
      </c>
      <c r="BV117" s="3">
        <f ca="1">IFERROR(__xludf.DUMMYFUNCTION("""COMPUTED_VALUE"""),-0.645586215022354)</f>
        <v>-0.64558621502235403</v>
      </c>
      <c r="BW117" s="3">
        <f ca="1">IFERROR(__xludf.DUMMYFUNCTION("""COMPUTED_VALUE"""),-0.724542444425962)</f>
        <v>-0.72454244442596205</v>
      </c>
      <c r="BX117" s="3">
        <f ca="1">IFERROR(__xludf.DUMMYFUNCTION("""COMPUTED_VALUE"""),-0.761130424793417)</f>
        <v>-0.76113042479341697</v>
      </c>
      <c r="BY117" s="3">
        <f ca="1">IFERROR(__xludf.DUMMYFUNCTION("""COMPUTED_VALUE"""),-0.742117741931139)</f>
        <v>-0.742117741931139</v>
      </c>
      <c r="BZ117" s="3">
        <f ca="1">IFERROR(__xludf.DUMMYFUNCTION("""COMPUTED_VALUE"""),-0.748772435025949)</f>
        <v>-0.74877243502594903</v>
      </c>
      <c r="CA117" s="3">
        <f ca="1">IFERROR(__xludf.DUMMYFUNCTION("""COMPUTED_VALUE"""),-0.778168684879327)</f>
        <v>-0.778168684879327</v>
      </c>
      <c r="CB117" s="3">
        <f ca="1">IFERROR(__xludf.DUMMYFUNCTION("""COMPUTED_VALUE"""),-0.755830169683678)</f>
        <v>-0.755830169683678</v>
      </c>
      <c r="CC117" s="3">
        <f ca="1">IFERROR(__xludf.DUMMYFUNCTION("""COMPUTED_VALUE"""),-0.662435969763794)</f>
        <v>-0.66243596976379404</v>
      </c>
      <c r="CD117" s="3">
        <f ca="1">IFERROR(__xludf.DUMMYFUNCTION("""COMPUTED_VALUE"""),-0.633269610670107)</f>
        <v>-0.63326961067010701</v>
      </c>
      <c r="CE117" s="3">
        <f ca="1">IFERROR(__xludf.DUMMYFUNCTION("""COMPUTED_VALUE"""),-0.727432815990676)</f>
        <v>-0.727432815990676</v>
      </c>
      <c r="CF117" s="3">
        <f ca="1">IFERROR(__xludf.DUMMYFUNCTION("""COMPUTED_VALUE"""),-0.775343786132902)</f>
        <v>-0.775343786132902</v>
      </c>
      <c r="CG117" s="3">
        <f ca="1">IFERROR(__xludf.DUMMYFUNCTION("""COMPUTED_VALUE"""),-0.754823055833384)</f>
        <v>-0.75482305583338405</v>
      </c>
      <c r="CH117" s="3">
        <f ca="1">IFERROR(__xludf.DUMMYFUNCTION("""COMPUTED_VALUE"""),-0.753419409055904)</f>
        <v>-0.75341940905590399</v>
      </c>
      <c r="CI117" s="3">
        <f ca="1">IFERROR(__xludf.DUMMYFUNCTION("""COMPUTED_VALUE"""),-0.774347005499992)</f>
        <v>-0.77434700549999202</v>
      </c>
      <c r="CJ117" s="3">
        <f ca="1">IFERROR(__xludf.DUMMYFUNCTION("""COMPUTED_VALUE"""),-0.602885611825281)</f>
        <v>-0.602885611825281</v>
      </c>
      <c r="CK117" s="3">
        <f ca="1">IFERROR(__xludf.DUMMYFUNCTION("""COMPUTED_VALUE"""),-0.62656054469763)</f>
        <v>-0.62656054469763001</v>
      </c>
      <c r="CL117" s="3">
        <f ca="1">IFERROR(__xludf.DUMMYFUNCTION("""COMPUTED_VALUE"""),-0.708402970613657)</f>
        <v>-0.70840297061365698</v>
      </c>
      <c r="CM117" s="3">
        <f ca="1">IFERROR(__xludf.DUMMYFUNCTION("""COMPUTED_VALUE"""),-0.756180363921853)</f>
        <v>-0.75618036392185295</v>
      </c>
      <c r="CN117" s="3">
        <f ca="1">IFERROR(__xludf.DUMMYFUNCTION("""COMPUTED_VALUE"""),-0.7357140511198)</f>
        <v>-0.73571405111980004</v>
      </c>
      <c r="CO117" s="3">
        <f ca="1">IFERROR(__xludf.DUMMYFUNCTION("""COMPUTED_VALUE"""),-0.764946855582519)</f>
        <v>-0.76494685558251896</v>
      </c>
      <c r="CP117" s="3">
        <f ca="1">IFERROR(__xludf.DUMMYFUNCTION("""COMPUTED_VALUE"""),-0.737021322051848)</f>
        <v>-0.737021322051848</v>
      </c>
      <c r="CQ117" s="3">
        <f ca="1">IFERROR(__xludf.DUMMYFUNCTION("""COMPUTED_VALUE"""),-0.579248144608356)</f>
        <v>-0.57924814460835605</v>
      </c>
      <c r="CR117" s="3">
        <f ca="1">IFERROR(__xludf.DUMMYFUNCTION("""COMPUTED_VALUE"""),-0.612855927181767)</f>
        <v>-0.61285592718176696</v>
      </c>
      <c r="CS117" s="3">
        <f ca="1">IFERROR(__xludf.DUMMYFUNCTION("""COMPUTED_VALUE"""),-0.71967739930226)</f>
        <v>-0.71967739930226005</v>
      </c>
      <c r="CT117" s="3">
        <f ca="1">IFERROR(__xludf.DUMMYFUNCTION("""COMPUTED_VALUE"""),-0.718239055695672)</f>
        <v>-0.71823905569567204</v>
      </c>
      <c r="CU117" s="3">
        <f ca="1">IFERROR(__xludf.DUMMYFUNCTION("""COMPUTED_VALUE"""),-0.701430461373585)</f>
        <v>-0.701430461373585</v>
      </c>
      <c r="CV117" s="3">
        <f ca="1">IFERROR(__xludf.DUMMYFUNCTION("""COMPUTED_VALUE"""),-0.752311677162329)</f>
        <v>-0.75231167716232905</v>
      </c>
      <c r="CW117" s="3">
        <f ca="1">IFERROR(__xludf.DUMMYFUNCTION("""COMPUTED_VALUE"""),-0.732349707085983)</f>
        <v>-0.73234970708598301</v>
      </c>
      <c r="CX117" s="3">
        <f ca="1">IFERROR(__xludf.DUMMYFUNCTION("""COMPUTED_VALUE"""),-0.609463722775654)</f>
        <v>-0.60946372277565397</v>
      </c>
      <c r="CY117" s="3">
        <f ca="1">IFERROR(__xludf.DUMMYFUNCTION("""COMPUTED_VALUE"""),-0.630330823269515)</f>
        <v>-0.63033082326951495</v>
      </c>
      <c r="CZ117" s="3">
        <f ca="1">IFERROR(__xludf.DUMMYFUNCTION("""COMPUTED_VALUE"""),-0.933067666843157)</f>
        <v>-0.93306766684315701</v>
      </c>
      <c r="DA117" s="3">
        <f ca="1">IFERROR(__xludf.DUMMYFUNCTION("""COMPUTED_VALUE"""),-0.664067239233985)</f>
        <v>-0.66406723923398503</v>
      </c>
      <c r="DB117" s="3">
        <f ca="1">IFERROR(__xludf.DUMMYFUNCTION("""COMPUTED_VALUE"""),-0.504253845173086)</f>
        <v>-0.50425384517308602</v>
      </c>
      <c r="DC117" s="3">
        <f ca="1">IFERROR(__xludf.DUMMYFUNCTION("""COMPUTED_VALUE"""),-0.723906978729421)</f>
        <v>-0.723906978729421</v>
      </c>
      <c r="DD117" s="3">
        <f ca="1">IFERROR(__xludf.DUMMYFUNCTION("""COMPUTED_VALUE"""),-0.725482758036642)</f>
        <v>-0.72548275803664197</v>
      </c>
      <c r="DE117" s="3">
        <f ca="1">IFERROR(__xludf.DUMMYFUNCTION("""COMPUTED_VALUE"""),-0.688924381987639)</f>
        <v>-0.68892438198763895</v>
      </c>
      <c r="DF117" s="3">
        <f ca="1">IFERROR(__xludf.DUMMYFUNCTION("""COMPUTED_VALUE"""),-0.617442386115435)</f>
        <v>-0.617442386115435</v>
      </c>
      <c r="DG117" s="3">
        <f ca="1">IFERROR(__xludf.DUMMYFUNCTION("""COMPUTED_VALUE"""),-0.961587864597484)</f>
        <v>-0.96158786459748402</v>
      </c>
      <c r="DH117" s="3">
        <f ca="1">IFERROR(__xludf.DUMMYFUNCTION("""COMPUTED_VALUE"""),-0.657674662023876)</f>
        <v>-0.65767466202387603</v>
      </c>
      <c r="DI117" s="3">
        <f ca="1">IFERROR(__xludf.DUMMYFUNCTION("""COMPUTED_VALUE"""),-0.375631853325882)</f>
        <v>-0.375631853325882</v>
      </c>
      <c r="DJ117" s="3">
        <f ca="1">IFERROR(__xludf.DUMMYFUNCTION("""COMPUTED_VALUE"""),-0.687212026517951)</f>
        <v>-0.68721202651795099</v>
      </c>
      <c r="DK117" s="3">
        <f ca="1">IFERROR(__xludf.DUMMYFUNCTION("""COMPUTED_VALUE"""),-0.689368776577841)</f>
        <v>-0.68936877657784101</v>
      </c>
      <c r="DL117" s="3">
        <f ca="1">IFERROR(__xludf.DUMMYFUNCTION("""COMPUTED_VALUE"""),-0.650324036864269)</f>
        <v>-0.65032403686426898</v>
      </c>
      <c r="DM117" s="3">
        <f ca="1">IFERROR(__xludf.DUMMYFUNCTION("""COMPUTED_VALUE"""),-0.633008782113777)</f>
        <v>-0.63300878211377698</v>
      </c>
      <c r="DN117" s="3">
        <f ca="1">IFERROR(__xludf.DUMMYFUNCTION("""COMPUTED_VALUE"""),-0.715211078401832)</f>
        <v>-0.71521107840183196</v>
      </c>
      <c r="DO117" s="3">
        <f ca="1">IFERROR(__xludf.DUMMYFUNCTION("""COMPUTED_VALUE"""),-0.727765728087017)</f>
        <v>-0.72776572808701701</v>
      </c>
      <c r="DP117" s="3">
        <f ca="1">IFERROR(__xludf.DUMMYFUNCTION("""COMPUTED_VALUE"""),-0.680624102612229)</f>
        <v>-0.68062410261222905</v>
      </c>
      <c r="DQ117" s="3">
        <f ca="1">IFERROR(__xludf.DUMMYFUNCTION("""COMPUTED_VALUE"""),-0.751148626534463)</f>
        <v>-0.75114862653446302</v>
      </c>
      <c r="DR117" s="3">
        <f ca="1">IFERROR(__xludf.DUMMYFUNCTION("""COMPUTED_VALUE"""),-0.763544469735838)</f>
        <v>-0.76354446973583801</v>
      </c>
      <c r="DS117" s="3">
        <f ca="1">IFERROR(__xludf.DUMMYFUNCTION("""COMPUTED_VALUE"""),-0.651636823245439)</f>
        <v>-0.65163682324543903</v>
      </c>
      <c r="DT117" s="3">
        <f ca="1">IFERROR(__xludf.DUMMYFUNCTION("""COMPUTED_VALUE"""),-0.706048349013877)</f>
        <v>-0.70604834901387703</v>
      </c>
      <c r="DU117" s="3">
        <f ca="1">IFERROR(__xludf.DUMMYFUNCTION("""COMPUTED_VALUE"""),-0.697603837034004)</f>
        <v>-0.69760383703400397</v>
      </c>
      <c r="DV117" s="3">
        <f ca="1">IFERROR(__xludf.DUMMYFUNCTION("""COMPUTED_VALUE"""),-0.72883055285474)</f>
        <v>-0.72883055285473997</v>
      </c>
      <c r="DW117" s="3">
        <f ca="1">IFERROR(__xludf.DUMMYFUNCTION("""COMPUTED_VALUE"""),-0.738614641382207)</f>
        <v>-0.738614641382207</v>
      </c>
      <c r="DX117" s="3">
        <f ca="1">IFERROR(__xludf.DUMMYFUNCTION("""COMPUTED_VALUE"""),-0.737282601665287)</f>
        <v>-0.73728260166528703</v>
      </c>
      <c r="DY117" s="3">
        <f ca="1">IFERROR(__xludf.DUMMYFUNCTION("""COMPUTED_VALUE"""),-0.726383117569809)</f>
        <v>-0.726383117569809</v>
      </c>
      <c r="DZ117" s="3">
        <f ca="1">IFERROR(__xludf.DUMMYFUNCTION("""COMPUTED_VALUE"""),-0.657422412157196)</f>
        <v>-0.65742241215719599</v>
      </c>
      <c r="EA117" s="3">
        <f ca="1">IFERROR(__xludf.DUMMYFUNCTION("""COMPUTED_VALUE"""),-0.681807340822093)</f>
        <v>-0.68180734082209304</v>
      </c>
      <c r="EB117" s="3">
        <f ca="1">IFERROR(__xludf.DUMMYFUNCTION("""COMPUTED_VALUE"""),-0.740855882088185)</f>
        <v>-0.74085588208818498</v>
      </c>
      <c r="EC117" s="3">
        <f ca="1">IFERROR(__xludf.DUMMYFUNCTION("""COMPUTED_VALUE"""),-0.743583220298022)</f>
        <v>-0.74358322029802204</v>
      </c>
      <c r="ED117" s="3">
        <f ca="1">IFERROR(__xludf.DUMMYFUNCTION("""COMPUTED_VALUE"""),-0.732370704920014)</f>
        <v>-0.73237070492001399</v>
      </c>
      <c r="EE117" s="3">
        <f ca="1">IFERROR(__xludf.DUMMYFUNCTION("""COMPUTED_VALUE"""),-0.767066579181277)</f>
        <v>-0.76706657918127696</v>
      </c>
      <c r="EF117" s="3">
        <f ca="1">IFERROR(__xludf.DUMMYFUNCTION("""COMPUTED_VALUE"""),-0.728289573836847)</f>
        <v>-0.728289573836847</v>
      </c>
      <c r="EG117" s="3">
        <f ca="1">IFERROR(__xludf.DUMMYFUNCTION("""COMPUTED_VALUE"""),-0.663376311530557)</f>
        <v>-0.66337631153055698</v>
      </c>
      <c r="EH117" s="3">
        <f ca="1">IFERROR(__xludf.DUMMYFUNCTION("""COMPUTED_VALUE"""),-0.649927290876381)</f>
        <v>-0.64992729087638101</v>
      </c>
      <c r="EI117" s="3">
        <f ca="1">IFERROR(__xludf.DUMMYFUNCTION("""COMPUTED_VALUE"""),-0.700251205910074)</f>
        <v>-0.70025120591007395</v>
      </c>
      <c r="EJ117" s="3">
        <f ca="1">IFERROR(__xludf.DUMMYFUNCTION("""COMPUTED_VALUE"""),-0.742434197484114)</f>
        <v>-0.74243419748411399</v>
      </c>
      <c r="EK117" s="3">
        <f ca="1">IFERROR(__xludf.DUMMYFUNCTION("""COMPUTED_VALUE"""),-0.750606148359341)</f>
        <v>-0.75060614835934103</v>
      </c>
      <c r="EL117" s="3">
        <f ca="1">IFERROR(__xludf.DUMMYFUNCTION("""COMPUTED_VALUE"""),-0.779896225827291)</f>
        <v>-0.77989622582729101</v>
      </c>
      <c r="EM117" s="3">
        <f ca="1">IFERROR(__xludf.DUMMYFUNCTION("""COMPUTED_VALUE"""),-0.755160493387402)</f>
        <v>-0.75516049338740199</v>
      </c>
      <c r="EN117" s="3">
        <f ca="1">IFERROR(__xludf.DUMMYFUNCTION("""COMPUTED_VALUE"""),-0.687575002564926)</f>
        <v>-0.68757500256492599</v>
      </c>
      <c r="EO117" s="3">
        <f ca="1">IFERROR(__xludf.DUMMYFUNCTION("""COMPUTED_VALUE"""),-0.733116377169182)</f>
        <v>-0.73311637716918199</v>
      </c>
      <c r="EP117" s="3">
        <f ca="1">IFERROR(__xludf.DUMMYFUNCTION("""COMPUTED_VALUE"""),-0.746424500231772)</f>
        <v>-0.74642450023177198</v>
      </c>
      <c r="EQ117" s="3">
        <f ca="1">IFERROR(__xludf.DUMMYFUNCTION("""COMPUTED_VALUE"""),-0.748684664447094)</f>
        <v>-0.74868466444709403</v>
      </c>
      <c r="ER117" s="3">
        <f ca="1">IFERROR(__xludf.DUMMYFUNCTION("""COMPUTED_VALUE"""),-0.696857469914048)</f>
        <v>-0.69685746991404796</v>
      </c>
      <c r="ES117" s="3">
        <f ca="1">IFERROR(__xludf.DUMMYFUNCTION("""COMPUTED_VALUE"""),-0.748986699266836)</f>
        <v>-0.74898669926683603</v>
      </c>
      <c r="ET117" s="3">
        <f ca="1">IFERROR(__xludf.DUMMYFUNCTION("""COMPUTED_VALUE"""),-0.641822988345875)</f>
        <v>-0.64182298834587503</v>
      </c>
      <c r="EU117" s="3">
        <f ca="1">IFERROR(__xludf.DUMMYFUNCTION("""COMPUTED_VALUE"""),-0.67659487524017)</f>
        <v>-0.67659487524017004</v>
      </c>
      <c r="EV117" s="3">
        <f ca="1">IFERROR(__xludf.DUMMYFUNCTION("""COMPUTED_VALUE"""),-0.657069554706456)</f>
        <v>-0.657069554706456</v>
      </c>
      <c r="EW117" s="3">
        <f ca="1">IFERROR(__xludf.DUMMYFUNCTION("""COMPUTED_VALUE"""),-0.657764470844911)</f>
        <v>-0.65776447084491096</v>
      </c>
      <c r="EX117" s="3">
        <f ca="1">IFERROR(__xludf.DUMMYFUNCTION("""COMPUTED_VALUE"""),-0.660480215104992)</f>
        <v>-0.660480215104992</v>
      </c>
      <c r="EY117" s="3">
        <f ca="1">IFERROR(__xludf.DUMMYFUNCTION("""COMPUTED_VALUE"""),-0.838408468744872)</f>
        <v>-0.83840846874487196</v>
      </c>
      <c r="EZ117" s="3">
        <f ca="1">IFERROR(__xludf.DUMMYFUNCTION("""COMPUTED_VALUE"""),-0.738268231461792)</f>
        <v>-0.73826823146179199</v>
      </c>
      <c r="FA117" s="3">
        <f ca="1">IFERROR(__xludf.DUMMYFUNCTION("""COMPUTED_VALUE"""),-0.62503961712589)</f>
        <v>-0.62503961712588996</v>
      </c>
      <c r="FB117" s="3">
        <f ca="1">IFERROR(__xludf.DUMMYFUNCTION("""COMPUTED_VALUE"""),-0.706592289852357)</f>
        <v>-0.706592289852357</v>
      </c>
      <c r="FC117" s="3">
        <f ca="1">IFERROR(__xludf.DUMMYFUNCTION("""COMPUTED_VALUE"""),-0.714168836854074)</f>
        <v>-0.71416883685407395</v>
      </c>
      <c r="FD117" s="3">
        <f ca="1">IFERROR(__xludf.DUMMYFUNCTION("""COMPUTED_VALUE"""),-0.685733413657563)</f>
        <v>-0.68573341365756302</v>
      </c>
      <c r="FE117" s="3">
        <f ca="1">IFERROR(__xludf.DUMMYFUNCTION("""COMPUTED_VALUE"""),-0.699230426234506)</f>
        <v>-0.69923042623450604</v>
      </c>
      <c r="FF117" s="3">
        <f ca="1">IFERROR(__xludf.DUMMYFUNCTION("""COMPUTED_VALUE"""),-0.712543889463604)</f>
        <v>-0.71254388946360403</v>
      </c>
      <c r="FG117" s="3">
        <f ca="1">IFERROR(__xludf.DUMMYFUNCTION("""COMPUTED_VALUE"""),-0.782041645410455)</f>
        <v>-0.78204164541045496</v>
      </c>
      <c r="FH117" s="3">
        <f ca="1">IFERROR(__xludf.DUMMYFUNCTION("""COMPUTED_VALUE"""),-0.662599843038443)</f>
        <v>-0.66259984303844299</v>
      </c>
      <c r="FI117" s="3">
        <f ca="1">IFERROR(__xludf.DUMMYFUNCTION("""COMPUTED_VALUE"""),-0.702043155402059)</f>
        <v>-0.70204315540205897</v>
      </c>
      <c r="FJ117" s="3">
        <f ca="1">IFERROR(__xludf.DUMMYFUNCTION("""COMPUTED_VALUE"""),-0.703492186978194)</f>
        <v>-0.70349218697819405</v>
      </c>
      <c r="FK117" s="3">
        <f ca="1">IFERROR(__xludf.DUMMYFUNCTION("""COMPUTED_VALUE"""),-0.689397425199179)</f>
        <v>-0.68939742519917901</v>
      </c>
      <c r="FL117" s="3">
        <f ca="1">IFERROR(__xludf.DUMMYFUNCTION("""COMPUTED_VALUE"""),-0.726259532026933)</f>
        <v>-0.72625953202693305</v>
      </c>
      <c r="FM117" s="3">
        <f ca="1">IFERROR(__xludf.DUMMYFUNCTION("""COMPUTED_VALUE"""),-0.696298478120051)</f>
        <v>-0.69629847812005097</v>
      </c>
      <c r="FN117" s="3">
        <f ca="1">IFERROR(__xludf.DUMMYFUNCTION("""COMPUTED_VALUE"""),-0.745979604929253)</f>
        <v>-0.74597960492925297</v>
      </c>
      <c r="FO117" s="3">
        <f ca="1">IFERROR(__xludf.DUMMYFUNCTION("""COMPUTED_VALUE"""),-0.781125276668484)</f>
        <v>-0.78112527666848397</v>
      </c>
      <c r="FP117" s="3">
        <f ca="1">IFERROR(__xludf.DUMMYFUNCTION("""COMPUTED_VALUE"""),-0.695710928867346)</f>
        <v>-0.69571092886734598</v>
      </c>
      <c r="FQ117" s="3">
        <f ca="1">IFERROR(__xludf.DUMMYFUNCTION("""COMPUTED_VALUE"""),-0.715459231925385)</f>
        <v>-0.71545923192538496</v>
      </c>
      <c r="FR117" s="3">
        <f ca="1">IFERROR(__xludf.DUMMYFUNCTION("""COMPUTED_VALUE"""),-0.710438373401284)</f>
        <v>-0.71043837340128402</v>
      </c>
      <c r="FS117" s="3">
        <f ca="1">IFERROR(__xludf.DUMMYFUNCTION("""COMPUTED_VALUE"""),-0.719361599741098)</f>
        <v>-0.71936159974109803</v>
      </c>
      <c r="FT117" s="3">
        <f ca="1">IFERROR(__xludf.DUMMYFUNCTION("""COMPUTED_VALUE"""),-0.677147035275643)</f>
        <v>-0.67714703527564302</v>
      </c>
      <c r="FU117" s="3">
        <f ca="1">IFERROR(__xludf.DUMMYFUNCTION("""COMPUTED_VALUE"""),-0.658747983252343)</f>
        <v>-0.65874798325234296</v>
      </c>
      <c r="FV117" s="3">
        <f ca="1">IFERROR(__xludf.DUMMYFUNCTION("""COMPUTED_VALUE"""),-0.656571600753145)</f>
        <v>-0.65657160075314502</v>
      </c>
      <c r="FW117" s="3">
        <f ca="1">IFERROR(__xludf.DUMMYFUNCTION("""COMPUTED_VALUE"""),-0.724708177645364)</f>
        <v>-0.72470817764536399</v>
      </c>
      <c r="FX117" s="3">
        <f ca="1">IFERROR(__xludf.DUMMYFUNCTION("""COMPUTED_VALUE"""),-0.70842399752878)</f>
        <v>-0.70842399752878005</v>
      </c>
      <c r="FY117" s="3">
        <f ca="1">IFERROR(__xludf.DUMMYFUNCTION("""COMPUTED_VALUE"""),-0.686789164913216)</f>
        <v>-0.68678916491321595</v>
      </c>
      <c r="FZ117" s="3">
        <f ca="1">IFERROR(__xludf.DUMMYFUNCTION("""COMPUTED_VALUE"""),-0.71881366867239)</f>
        <v>-0.71881366867239005</v>
      </c>
      <c r="GA117" s="3">
        <f ca="1">IFERROR(__xludf.DUMMYFUNCTION("""COMPUTED_VALUE"""),-0.723840048136494)</f>
        <v>-0.72384004813649405</v>
      </c>
      <c r="GB117" s="3">
        <f ca="1">IFERROR(__xludf.DUMMYFUNCTION("""COMPUTED_VALUE"""),-0.727456109087552)</f>
        <v>-0.72745610908755198</v>
      </c>
      <c r="GC117" s="3">
        <f ca="1">IFERROR(__xludf.DUMMYFUNCTION("""COMPUTED_VALUE"""),-0.830068604295756)</f>
        <v>-0.83006860429575602</v>
      </c>
      <c r="GD117" s="3">
        <f ca="1">IFERROR(__xludf.DUMMYFUNCTION("""COMPUTED_VALUE"""),-0.638189756411503)</f>
        <v>-0.638189756411503</v>
      </c>
      <c r="GE117" s="3">
        <f ca="1">IFERROR(__xludf.DUMMYFUNCTION("""COMPUTED_VALUE"""),-0.734691779032579)</f>
        <v>-0.73469177903257898</v>
      </c>
      <c r="GF117" s="3">
        <f ca="1">IFERROR(__xludf.DUMMYFUNCTION("""COMPUTED_VALUE"""),-0.684916447830856)</f>
        <v>-0.68491644783085603</v>
      </c>
      <c r="GG117" s="3">
        <f ca="1">IFERROR(__xludf.DUMMYFUNCTION("""COMPUTED_VALUE"""),-0.711791717498099)</f>
        <v>-0.711791717498099</v>
      </c>
      <c r="GH117" s="3">
        <f ca="1">IFERROR(__xludf.DUMMYFUNCTION("""COMPUTED_VALUE"""),-0.698401725274268)</f>
        <v>-0.69840172527426803</v>
      </c>
      <c r="GI117" s="3">
        <f ca="1">IFERROR(__xludf.DUMMYFUNCTION("""COMPUTED_VALUE"""),-0.712349243557298)</f>
        <v>-0.71234924355729801</v>
      </c>
      <c r="GJ117" s="3">
        <f ca="1">IFERROR(__xludf.DUMMYFUNCTION("""COMPUTED_VALUE"""),-0.615591156492043)</f>
        <v>-0.61559115649204299</v>
      </c>
      <c r="GK117" s="3">
        <f ca="1">IFERROR(__xludf.DUMMYFUNCTION("""COMPUTED_VALUE"""),-0.576409868690555)</f>
        <v>-0.57640986869055499</v>
      </c>
      <c r="GL117" s="3">
        <f ca="1">IFERROR(__xludf.DUMMYFUNCTION("""COMPUTED_VALUE"""),-0.677813442209821)</f>
        <v>-0.67781344220982098</v>
      </c>
      <c r="GM117" s="3">
        <f ca="1">IFERROR(__xludf.DUMMYFUNCTION("""COMPUTED_VALUE"""),-0.688030529273175)</f>
        <v>-0.68803052927317498</v>
      </c>
      <c r="GN117" s="3">
        <f ca="1">IFERROR(__xludf.DUMMYFUNCTION("""COMPUTED_VALUE"""),-0.723806010349509)</f>
        <v>-0.72380601034950898</v>
      </c>
      <c r="GO117" s="3">
        <f ca="1">IFERROR(__xludf.DUMMYFUNCTION("""COMPUTED_VALUE"""),-0.708431755980973)</f>
        <v>-0.70843175598097297</v>
      </c>
      <c r="GP117" s="3">
        <f ca="1">IFERROR(__xludf.DUMMYFUNCTION("""COMPUTED_VALUE"""),-0.707443569122793)</f>
        <v>-0.70744356912279305</v>
      </c>
      <c r="GQ117" s="3">
        <f ca="1">IFERROR(__xludf.DUMMYFUNCTION("""COMPUTED_VALUE"""),-0.707754187214811)</f>
        <v>-0.70775418721481098</v>
      </c>
      <c r="GR117" s="3">
        <f ca="1">IFERROR(__xludf.DUMMYFUNCTION("""COMPUTED_VALUE"""),-0.663034311166243)</f>
        <v>-0.66303431116624301</v>
      </c>
      <c r="GS117" s="3">
        <f ca="1">IFERROR(__xludf.DUMMYFUNCTION("""COMPUTED_VALUE"""),-0.710226971294859)</f>
        <v>-0.71022697129485901</v>
      </c>
      <c r="GT117" s="3">
        <f ca="1">IFERROR(__xludf.DUMMYFUNCTION("""COMPUTED_VALUE"""),-0.72514265794987)</f>
        <v>-0.72514265794986998</v>
      </c>
      <c r="GU117" s="3">
        <f ca="1">IFERROR(__xludf.DUMMYFUNCTION("""COMPUTED_VALUE"""),-0.711691522003565)</f>
        <v>-0.711691522003565</v>
      </c>
      <c r="GV117" s="3">
        <f ca="1">IFERROR(__xludf.DUMMYFUNCTION("""COMPUTED_VALUE"""),-0.711589530207314)</f>
        <v>-0.71158953020731397</v>
      </c>
      <c r="GW117" s="3">
        <f ca="1">IFERROR(__xludf.DUMMYFUNCTION("""COMPUTED_VALUE"""),-0.723048005772801)</f>
        <v>-0.72304800577280104</v>
      </c>
      <c r="GX117" s="3">
        <f ca="1">IFERROR(__xludf.DUMMYFUNCTION("""COMPUTED_VALUE"""),-0.707090203642387)</f>
        <v>-0.70709020364238695</v>
      </c>
      <c r="GY117" s="3">
        <f ca="1">IFERROR(__xludf.DUMMYFUNCTION("""COMPUTED_VALUE"""),-0.664775538200894)</f>
        <v>-0.66477553820089397</v>
      </c>
      <c r="GZ117" s="3">
        <f ca="1">IFERROR(__xludf.DUMMYFUNCTION("""COMPUTED_VALUE"""),-0.675993873720027)</f>
        <v>-0.67599387372002695</v>
      </c>
      <c r="HA117" s="3">
        <f ca="1">IFERROR(__xludf.DUMMYFUNCTION("""COMPUTED_VALUE"""),-0.687022959740085)</f>
        <v>-0.68702295974008498</v>
      </c>
      <c r="HB117" s="3">
        <f ca="1">IFERROR(__xludf.DUMMYFUNCTION("""COMPUTED_VALUE"""),-0.706148858705599)</f>
        <v>-0.70614885870559896</v>
      </c>
      <c r="HC117" s="3">
        <f ca="1">IFERROR(__xludf.DUMMYFUNCTION("""COMPUTED_VALUE"""),-0.688430846496412)</f>
        <v>-0.68843084649641195</v>
      </c>
      <c r="HD117" s="3">
        <f ca="1">IFERROR(__xludf.DUMMYFUNCTION("""COMPUTED_VALUE"""),-0.723028348617787)</f>
        <v>-0.72302834861778698</v>
      </c>
      <c r="HE117" s="3">
        <f ca="1">IFERROR(__xludf.DUMMYFUNCTION("""COMPUTED_VALUE"""),-0.708993385280732)</f>
        <v>-0.70899338528073197</v>
      </c>
      <c r="HF117" s="3">
        <f ca="1">IFERROR(__xludf.DUMMYFUNCTION("""COMPUTED_VALUE"""),-0.67780625718312)</f>
        <v>-0.67780625718312004</v>
      </c>
      <c r="HG117" s="3">
        <f ca="1">IFERROR(__xludf.DUMMYFUNCTION("""COMPUTED_VALUE"""),-0.666635759960132)</f>
        <v>-0.66663575996013202</v>
      </c>
      <c r="HH117" s="3">
        <f ca="1">IFERROR(__xludf.DUMMYFUNCTION("""COMPUTED_VALUE"""),-0.681666978209929)</f>
        <v>-0.68166697820992905</v>
      </c>
      <c r="HI117" s="3">
        <f ca="1">IFERROR(__xludf.DUMMYFUNCTION("""COMPUTED_VALUE"""),-0.686691627267368)</f>
        <v>-0.68669162726736799</v>
      </c>
      <c r="HJ117" s="3">
        <f ca="1">IFERROR(__xludf.DUMMYFUNCTION("""COMPUTED_VALUE"""),-0.693725396389339)</f>
        <v>-0.69372539638933906</v>
      </c>
      <c r="HK117" s="3">
        <f ca="1">IFERROR(__xludf.DUMMYFUNCTION("""COMPUTED_VALUE"""),-0.702598159325902)</f>
        <v>-0.70259815932590197</v>
      </c>
      <c r="HL117" s="3">
        <f ca="1">IFERROR(__xludf.DUMMYFUNCTION("""COMPUTED_VALUE"""),-0.818026561782433)</f>
        <v>-0.81802656178243305</v>
      </c>
      <c r="HM117" s="3">
        <f ca="1">IFERROR(__xludf.DUMMYFUNCTION("""COMPUTED_VALUE"""),-0.634483391326144)</f>
        <v>-0.63448339132614395</v>
      </c>
      <c r="HN117" s="3">
        <f ca="1">IFERROR(__xludf.DUMMYFUNCTION("""COMPUTED_VALUE"""),-0.612576244590341)</f>
        <v>-0.61257624459034099</v>
      </c>
      <c r="HO117" s="3">
        <f ca="1">IFERROR(__xludf.DUMMYFUNCTION("""COMPUTED_VALUE"""),-0.687856239330161)</f>
        <v>-0.68785623933016105</v>
      </c>
      <c r="HP117" s="3">
        <f ca="1">IFERROR(__xludf.DUMMYFUNCTION("""COMPUTED_VALUE"""),-0.729409797224952)</f>
        <v>-0.72940979722495203</v>
      </c>
      <c r="HQ117" s="3">
        <f ca="1">IFERROR(__xludf.DUMMYFUNCTION("""COMPUTED_VALUE"""),-0.762900247619703)</f>
        <v>-0.76290024761970299</v>
      </c>
      <c r="HR117" s="3">
        <f ca="1">IFERROR(__xludf.DUMMYFUNCTION("""COMPUTED_VALUE"""),-0.697330926800254)</f>
        <v>-0.69733092680025399</v>
      </c>
      <c r="HS117" s="3">
        <f ca="1">IFERROR(__xludf.DUMMYFUNCTION("""COMPUTED_VALUE"""),-0.607200121611606)</f>
        <v>-0.60720012161160597</v>
      </c>
      <c r="HT117" s="3">
        <f ca="1">IFERROR(__xludf.DUMMYFUNCTION("""COMPUTED_VALUE"""),-0.646033853302253)</f>
        <v>-0.64603385330225305</v>
      </c>
      <c r="HU117" s="3">
        <f ca="1">IFERROR(__xludf.DUMMYFUNCTION("""COMPUTED_VALUE"""),-0.549296146083646)</f>
        <v>-0.54929614608364596</v>
      </c>
      <c r="HV117" s="3">
        <f ca="1">IFERROR(__xludf.DUMMYFUNCTION("""COMPUTED_VALUE"""),-0.674375326295025)</f>
        <v>-0.67437532629502495</v>
      </c>
      <c r="HW117" s="3">
        <f ca="1">IFERROR(__xludf.DUMMYFUNCTION("""COMPUTED_VALUE"""),-0.686019422964078)</f>
        <v>-0.68601942296407803</v>
      </c>
      <c r="HX117" s="3">
        <f ca="1">IFERROR(__xludf.DUMMYFUNCTION("""COMPUTED_VALUE"""),-0.706829403598336)</f>
        <v>-0.70682940359833601</v>
      </c>
      <c r="HY117" s="3">
        <f ca="1">IFERROR(__xludf.DUMMYFUNCTION("""COMPUTED_VALUE"""),-0.673557511565913)</f>
        <v>-0.67355751156591304</v>
      </c>
      <c r="HZ117" s="3">
        <f ca="1">IFERROR(__xludf.DUMMYFUNCTION("""COMPUTED_VALUE"""),-0.502307206759192)</f>
        <v>-0.50230720675919205</v>
      </c>
      <c r="IA117" s="3">
        <f ca="1">IFERROR(__xludf.DUMMYFUNCTION("""COMPUTED_VALUE"""),-0.550173762767062)</f>
        <v>-0.55017376276706198</v>
      </c>
      <c r="IB117" s="3">
        <f ca="1">IFERROR(__xludf.DUMMYFUNCTION("""COMPUTED_VALUE"""),-0.606930110813778)</f>
        <v>-0.60693011081377801</v>
      </c>
      <c r="IC117" s="3">
        <f ca="1">IFERROR(__xludf.DUMMYFUNCTION("""COMPUTED_VALUE"""),-0.580540598724474)</f>
        <v>-0.58054059872447406</v>
      </c>
      <c r="ID117" s="3">
        <f ca="1">IFERROR(__xludf.DUMMYFUNCTION("""COMPUTED_VALUE"""),-0.54952049785099)</f>
        <v>-0.54952049785099</v>
      </c>
      <c r="IE117" s="3">
        <f ca="1">IFERROR(__xludf.DUMMYFUNCTION("""COMPUTED_VALUE"""),-0.59270299458893)</f>
        <v>-0.59270299458893005</v>
      </c>
      <c r="IF117" s="3">
        <f ca="1">IFERROR(__xludf.DUMMYFUNCTION("""COMPUTED_VALUE"""),-0.524771113953525)</f>
        <v>-0.52477111395352505</v>
      </c>
      <c r="IG117" s="3">
        <f ca="1">IFERROR(__xludf.DUMMYFUNCTION("""COMPUTED_VALUE"""),-0.454584920809701)</f>
        <v>-0.45458492080970098</v>
      </c>
      <c r="IH117" s="3">
        <f ca="1">IFERROR(__xludf.DUMMYFUNCTION("""COMPUTED_VALUE"""),-0.58486898672829)</f>
        <v>-0.58486898672829002</v>
      </c>
      <c r="II117" s="3">
        <f ca="1">IFERROR(__xludf.DUMMYFUNCTION("""COMPUTED_VALUE"""),-0.590100260345428)</f>
        <v>-0.59010026034542795</v>
      </c>
      <c r="IJ117" s="3">
        <f ca="1">IFERROR(__xludf.DUMMYFUNCTION("""COMPUTED_VALUE"""),-0.597403997215849)</f>
        <v>-0.59740399721584903</v>
      </c>
      <c r="IK117" s="3">
        <f ca="1">IFERROR(__xludf.DUMMYFUNCTION("""COMPUTED_VALUE"""),-0.615926894524125)</f>
        <v>-0.61592689452412497</v>
      </c>
      <c r="IL117" s="3">
        <f ca="1">IFERROR(__xludf.DUMMYFUNCTION("""COMPUTED_VALUE"""),-0.580975378153416)</f>
        <v>-0.58097537815341604</v>
      </c>
      <c r="IM117" s="3">
        <f ca="1">IFERROR(__xludf.DUMMYFUNCTION("""COMPUTED_VALUE"""),-0.521775980781752)</f>
        <v>-0.52177598078175202</v>
      </c>
      <c r="IN117" s="3">
        <f ca="1">IFERROR(__xludf.DUMMYFUNCTION("""COMPUTED_VALUE"""),-0.376776656800744)</f>
        <v>-0.37677665680074401</v>
      </c>
      <c r="IO117" s="3">
        <f ca="1">IFERROR(__xludf.DUMMYFUNCTION("""COMPUTED_VALUE"""),-0.584193740951671)</f>
        <v>-0.58419374095167098</v>
      </c>
      <c r="IP117" s="3">
        <f ca="1">IFERROR(__xludf.DUMMYFUNCTION("""COMPUTED_VALUE"""),-0.589159628080599)</f>
        <v>-0.58915962808059896</v>
      </c>
      <c r="IQ117" s="3">
        <f ca="1">IFERROR(__xludf.DUMMYFUNCTION("""COMPUTED_VALUE"""),-0.579657004786572)</f>
        <v>-0.57965700478657201</v>
      </c>
      <c r="IR117" s="3">
        <f ca="1">IFERROR(__xludf.DUMMYFUNCTION("""COMPUTED_VALUE"""),-0.630954666301713)</f>
        <v>-0.63095466630171304</v>
      </c>
      <c r="IS117" s="3">
        <f ca="1">IFERROR(__xludf.DUMMYFUNCTION("""COMPUTED_VALUE"""),-0.521497080957006)</f>
        <v>-0.52149708095700598</v>
      </c>
      <c r="IT117" s="3">
        <f ca="1">IFERROR(__xludf.DUMMYFUNCTION("""COMPUTED_VALUE"""),-0.530586076917766)</f>
        <v>-0.53058607691776605</v>
      </c>
      <c r="IU117" s="3">
        <f ca="1">IFERROR(__xludf.DUMMYFUNCTION("""COMPUTED_VALUE"""),-0.630183815550901)</f>
        <v>-0.63018381555090097</v>
      </c>
      <c r="IV117" s="3">
        <f ca="1">IFERROR(__xludf.DUMMYFUNCTION("""COMPUTED_VALUE"""),-0.542001859152198)</f>
        <v>-0.54200185915219801</v>
      </c>
      <c r="IW117" s="3">
        <f ca="1">IFERROR(__xludf.DUMMYFUNCTION("""COMPUTED_VALUE"""),-0.600657912274307)</f>
        <v>-0.60065791227430698</v>
      </c>
      <c r="IX117" s="3">
        <f ca="1">IFERROR(__xludf.DUMMYFUNCTION("""COMPUTED_VALUE"""),-0.60736442189835)</f>
        <v>-0.60736442189835005</v>
      </c>
      <c r="IY117" s="3">
        <f ca="1">IFERROR(__xludf.DUMMYFUNCTION("""COMPUTED_VALUE"""),-0.633886523707363)</f>
        <v>-0.63388652370736298</v>
      </c>
      <c r="IZ117" s="3">
        <f ca="1">IFERROR(__xludf.DUMMYFUNCTION("""COMPUTED_VALUE"""),-0.623844157964259)</f>
        <v>-0.62384415796425896</v>
      </c>
      <c r="JA117" s="3">
        <f ca="1">IFERROR(__xludf.DUMMYFUNCTION("""COMPUTED_VALUE"""),-0.599801539421322)</f>
        <v>-0.59980153942132197</v>
      </c>
      <c r="JB117" s="3">
        <f ca="1">IFERROR(__xludf.DUMMYFUNCTION("""COMPUTED_VALUE"""),-0.430374186661613)</f>
        <v>-0.43037418666161298</v>
      </c>
      <c r="JC117" s="3">
        <f ca="1">IFERROR(__xludf.DUMMYFUNCTION("""COMPUTED_VALUE"""),-0.548451036125541)</f>
        <v>-0.54845103612554102</v>
      </c>
      <c r="JD117" s="3">
        <f ca="1">IFERROR(__xludf.DUMMYFUNCTION("""COMPUTED_VALUE"""),-0.526053279072358)</f>
        <v>-0.52605327907235799</v>
      </c>
      <c r="JE117" s="3">
        <f ca="1">IFERROR(__xludf.DUMMYFUNCTION("""COMPUTED_VALUE"""),-0.591416042331271)</f>
        <v>-0.59141604233127099</v>
      </c>
      <c r="JF117" s="3">
        <f ca="1">IFERROR(__xludf.DUMMYFUNCTION("""COMPUTED_VALUE"""),-0.635937027167519)</f>
        <v>-0.63593702716751899</v>
      </c>
      <c r="JG117" s="3">
        <f ca="1">IFERROR(__xludf.DUMMYFUNCTION("""COMPUTED_VALUE"""),-0.585873112687052)</f>
        <v>-0.585873112687052</v>
      </c>
      <c r="JH117" s="3">
        <f ca="1">IFERROR(__xludf.DUMMYFUNCTION("""COMPUTED_VALUE"""),-0.616536446225659)</f>
        <v>-0.61653644622565895</v>
      </c>
      <c r="JI117" s="3">
        <f ca="1">IFERROR(__xludf.DUMMYFUNCTION("""COMPUTED_VALUE"""),-0.567880406392626)</f>
        <v>-0.56788040639262605</v>
      </c>
      <c r="JJ117" s="3">
        <f ca="1">IFERROR(__xludf.DUMMYFUNCTION("""COMPUTED_VALUE"""),-0.543240655399726)</f>
        <v>-0.54324065539972599</v>
      </c>
      <c r="JK117" s="3">
        <f ca="1">IFERROR(__xludf.DUMMYFUNCTION("""COMPUTED_VALUE"""),-0.52743251105302)</f>
        <v>-0.52743251105302003</v>
      </c>
      <c r="JL117" s="3">
        <f ca="1">IFERROR(__xludf.DUMMYFUNCTION("""COMPUTED_VALUE"""),-0.638771602831284)</f>
        <v>-0.63877160283128398</v>
      </c>
      <c r="JM117" s="3">
        <f ca="1">IFERROR(__xludf.DUMMYFUNCTION("""COMPUTED_VALUE"""),-0.640510688829349)</f>
        <v>-0.64051068882934903</v>
      </c>
      <c r="JN117" s="3">
        <f ca="1">IFERROR(__xludf.DUMMYFUNCTION("""COMPUTED_VALUE"""),-0.615880736930697)</f>
        <v>-0.615880736930697</v>
      </c>
      <c r="JO117" s="3">
        <f ca="1">IFERROR(__xludf.DUMMYFUNCTION("""COMPUTED_VALUE"""),-0.642849101904749)</f>
        <v>-0.64284910190474898</v>
      </c>
      <c r="JP117" s="3">
        <f ca="1">IFERROR(__xludf.DUMMYFUNCTION("""COMPUTED_VALUE"""),-0.580733441017018)</f>
        <v>-0.58073344101701796</v>
      </c>
      <c r="JQ117" s="3">
        <f ca="1">IFERROR(__xludf.DUMMYFUNCTION("""COMPUTED_VALUE"""),-0.572506674253909)</f>
        <v>-0.572506674253909</v>
      </c>
      <c r="JR117" s="3">
        <f ca="1">IFERROR(__xludf.DUMMYFUNCTION("""COMPUTED_VALUE"""),-0.49215409268812)</f>
        <v>-0.49215409268811999</v>
      </c>
      <c r="JS117" s="3">
        <f ca="1">IFERROR(__xludf.DUMMYFUNCTION("""COMPUTED_VALUE"""),-0.628834745105019)</f>
        <v>-0.62883474510501902</v>
      </c>
      <c r="JT117" s="3">
        <f ca="1">IFERROR(__xludf.DUMMYFUNCTION("""COMPUTED_VALUE"""),-0.62342391279388)</f>
        <v>-0.62342391279387999</v>
      </c>
      <c r="JU117" s="3">
        <f ca="1">IFERROR(__xludf.DUMMYFUNCTION("""COMPUTED_VALUE"""),-0.623925915651978)</f>
        <v>-0.62392591565197797</v>
      </c>
      <c r="JV117" s="3">
        <f ca="1">IFERROR(__xludf.DUMMYFUNCTION("""COMPUTED_VALUE"""),-0.588005179608635)</f>
        <v>-0.58800517960863496</v>
      </c>
      <c r="JW117" s="3">
        <f ca="1">IFERROR(__xludf.DUMMYFUNCTION("""COMPUTED_VALUE"""),-0.531153295206896)</f>
        <v>-0.53115329520689603</v>
      </c>
      <c r="JX117" s="3">
        <f ca="1">IFERROR(__xludf.DUMMYFUNCTION("""COMPUTED_VALUE"""),-0.611768494561736)</f>
        <v>-0.61176849456173599</v>
      </c>
      <c r="JY117" s="3">
        <f ca="1">IFERROR(__xludf.DUMMYFUNCTION("""COMPUTED_VALUE"""),-0.418274915449723)</f>
        <v>-0.41827491544972301</v>
      </c>
      <c r="JZ117" s="3">
        <f ca="1">IFERROR(__xludf.DUMMYFUNCTION("""COMPUTED_VALUE"""),-0.532196134553214)</f>
        <v>-0.53219613455321402</v>
      </c>
      <c r="KA117" s="3">
        <f ca="1">IFERROR(__xludf.DUMMYFUNCTION("""COMPUTED_VALUE"""),-0.5678890773098)</f>
        <v>-0.56788907730979998</v>
      </c>
      <c r="KB117" s="3">
        <f ca="1">IFERROR(__xludf.DUMMYFUNCTION("""COMPUTED_VALUE"""),-0.659919842759541)</f>
        <v>-0.65991984275954096</v>
      </c>
      <c r="KC117" s="3">
        <f ca="1">IFERROR(__xludf.DUMMYFUNCTION("""COMPUTED_VALUE"""),-0.558201420734424)</f>
        <v>-0.55820142073442403</v>
      </c>
      <c r="KD117" s="3">
        <f ca="1">IFERROR(__xludf.DUMMYFUNCTION("""COMPUTED_VALUE"""),-0.389707995361627)</f>
        <v>-0.38970799536162698</v>
      </c>
      <c r="KE117" s="3">
        <f ca="1">IFERROR(__xludf.DUMMYFUNCTION("""COMPUTED_VALUE"""),-0.49292470652636)</f>
        <v>-0.49292470652636</v>
      </c>
      <c r="KF117" s="3">
        <f ca="1">IFERROR(__xludf.DUMMYFUNCTION("""COMPUTED_VALUE"""),-0.314054109991994)</f>
        <v>-0.31405410999199401</v>
      </c>
      <c r="KG117" s="3">
        <f ca="1">IFERROR(__xludf.DUMMYFUNCTION("""COMPUTED_VALUE"""),-0.485790958008447)</f>
        <v>-0.48579095800844702</v>
      </c>
      <c r="KH117" s="3">
        <f ca="1">IFERROR(__xludf.DUMMYFUNCTION("""COMPUTED_VALUE"""),-0.595671554584033)</f>
        <v>-0.59567155458403298</v>
      </c>
      <c r="KI117" s="3">
        <f ca="1">IFERROR(__xludf.DUMMYFUNCTION("""COMPUTED_VALUE"""),-0.615410236288523)</f>
        <v>-0.61541023628852298</v>
      </c>
      <c r="KJ117" s="3">
        <f ca="1">IFERROR(__xludf.DUMMYFUNCTION("""COMPUTED_VALUE"""),-0.564740159632303)</f>
        <v>-0.56474015963230295</v>
      </c>
      <c r="KK117" s="3">
        <f ca="1">IFERROR(__xludf.DUMMYFUNCTION("""COMPUTED_VALUE"""),-0.508640303948348)</f>
        <v>-0.50864030394834803</v>
      </c>
      <c r="KL117" s="3">
        <f ca="1">IFERROR(__xludf.DUMMYFUNCTION("""COMPUTED_VALUE"""),-0.545081068893147)</f>
        <v>-0.545081068893147</v>
      </c>
      <c r="KM117" s="3">
        <f ca="1">IFERROR(__xludf.DUMMYFUNCTION("""COMPUTED_VALUE"""),-0.447110640609121)</f>
        <v>-0.44711064060912098</v>
      </c>
      <c r="KN117" s="3">
        <f ca="1">IFERROR(__xludf.DUMMYFUNCTION("""COMPUTED_VALUE"""),-0.600821899398281)</f>
        <v>-0.60082189939828101</v>
      </c>
      <c r="KO117" s="3">
        <f ca="1">IFERROR(__xludf.DUMMYFUNCTION("""COMPUTED_VALUE"""),-0.64448080895038)</f>
        <v>-0.64448080895037996</v>
      </c>
      <c r="KP117" s="3">
        <f ca="1">IFERROR(__xludf.DUMMYFUNCTION("""COMPUTED_VALUE"""),-0.597965262405411)</f>
        <v>-0.59796526240541104</v>
      </c>
      <c r="KQ117" s="3">
        <f ca="1">IFERROR(__xludf.DUMMYFUNCTION("""COMPUTED_VALUE"""),-0.585215208538745)</f>
        <v>-0.58521520853874498</v>
      </c>
      <c r="KR117" s="3">
        <f ca="1">IFERROR(__xludf.DUMMYFUNCTION("""COMPUTED_VALUE"""),-0.601134159179423)</f>
        <v>-0.60113415917942303</v>
      </c>
      <c r="KS117" s="3">
        <f ca="1">IFERROR(__xludf.DUMMYFUNCTION("""COMPUTED_VALUE"""),-0.565223731617271)</f>
        <v>-0.56522373161727102</v>
      </c>
      <c r="KT117" s="3">
        <f ca="1">IFERROR(__xludf.DUMMYFUNCTION("""COMPUTED_VALUE"""),-0.497364139514005)</f>
        <v>-0.49736413951400499</v>
      </c>
      <c r="KU117" s="3">
        <f ca="1">IFERROR(__xludf.DUMMYFUNCTION("""COMPUTED_VALUE"""),-0.62586344241064)</f>
        <v>-0.62586344241063996</v>
      </c>
      <c r="KV117" s="3">
        <f ca="1">IFERROR(__xludf.DUMMYFUNCTION("""COMPUTED_VALUE"""),-0.584911271151387)</f>
        <v>-0.58491127115138697</v>
      </c>
      <c r="KW117" s="3">
        <f ca="1">IFERROR(__xludf.DUMMYFUNCTION("""COMPUTED_VALUE"""),-0.631368608409683)</f>
        <v>-0.63136860840968301</v>
      </c>
      <c r="KX117" s="3">
        <f ca="1">IFERROR(__xludf.DUMMYFUNCTION("""COMPUTED_VALUE"""),-0.645062294657497)</f>
        <v>-0.64506229465749698</v>
      </c>
      <c r="KY117" s="3">
        <f ca="1">IFERROR(__xludf.DUMMYFUNCTION("""COMPUTED_VALUE"""),-0.66792032509593)</f>
        <v>-0.66792032509593002</v>
      </c>
      <c r="KZ117" s="3">
        <f ca="1">IFERROR(__xludf.DUMMYFUNCTION("""COMPUTED_VALUE"""),-0.526545749090354)</f>
        <v>-0.52654574909035401</v>
      </c>
      <c r="LA117" s="3">
        <f ca="1">IFERROR(__xludf.DUMMYFUNCTION("""COMPUTED_VALUE"""),-0.641699538282136)</f>
        <v>-0.641699538282136</v>
      </c>
      <c r="LB117" s="3">
        <f ca="1">IFERROR(__xludf.DUMMYFUNCTION("""COMPUTED_VALUE"""),-0.686170808072209)</f>
        <v>-0.68617080807220898</v>
      </c>
      <c r="LC117" s="3">
        <f ca="1">IFERROR(__xludf.DUMMYFUNCTION("""COMPUTED_VALUE"""),-0.658186712429171)</f>
        <v>-0.65818671242917104</v>
      </c>
      <c r="LD117" s="3">
        <f ca="1">IFERROR(__xludf.DUMMYFUNCTION("""COMPUTED_VALUE"""),-0.678625983938399)</f>
        <v>-0.67862598393839901</v>
      </c>
      <c r="LE117" s="3">
        <f ca="1">IFERROR(__xludf.DUMMYFUNCTION("""COMPUTED_VALUE"""),-0.690418961224606)</f>
        <v>-0.690418961224606</v>
      </c>
      <c r="LF117" s="3">
        <f ca="1">IFERROR(__xludf.DUMMYFUNCTION("""COMPUTED_VALUE"""),-0.676959806350393)</f>
        <v>-0.67695980635039299</v>
      </c>
      <c r="LG117" s="3">
        <f ca="1">IFERROR(__xludf.DUMMYFUNCTION("""COMPUTED_VALUE"""),-0.544386837760653)</f>
        <v>-0.544386837760653</v>
      </c>
      <c r="LH117" s="3">
        <f ca="1">IFERROR(__xludf.DUMMYFUNCTION("""COMPUTED_VALUE"""),-0.574416391641962)</f>
        <v>-0.57441639164196201</v>
      </c>
      <c r="LI117" s="3">
        <f ca="1">IFERROR(__xludf.DUMMYFUNCTION("""COMPUTED_VALUE"""),-0.647464731657866)</f>
        <v>-0.647464731657866</v>
      </c>
      <c r="LJ117" s="3">
        <f ca="1">IFERROR(__xludf.DUMMYFUNCTION("""COMPUTED_VALUE"""),-0.685392024003141)</f>
        <v>-0.68539202400314103</v>
      </c>
      <c r="LK117" s="3">
        <f ca="1">IFERROR(__xludf.DUMMYFUNCTION("""COMPUTED_VALUE"""),-0.681414125805485)</f>
        <v>-0.68141412580548499</v>
      </c>
      <c r="LL117" s="3">
        <f ca="1">IFERROR(__xludf.DUMMYFUNCTION("""COMPUTED_VALUE"""),-0.707277135781691)</f>
        <v>-0.70727713578169105</v>
      </c>
      <c r="LM117" s="3">
        <f ca="1">IFERROR(__xludf.DUMMYFUNCTION("""COMPUTED_VALUE"""),-0.621794999088276)</f>
        <v>-0.62179499908827596</v>
      </c>
      <c r="LN117" s="3">
        <f ca="1">IFERROR(__xludf.DUMMYFUNCTION("""COMPUTED_VALUE"""),-0.655016311551096)</f>
        <v>-0.65501631155109596</v>
      </c>
      <c r="LO117" s="3">
        <f ca="1">IFERROR(__xludf.DUMMYFUNCTION("""COMPUTED_VALUE"""),-0.576019608257034)</f>
        <v>-0.57601960825703402</v>
      </c>
      <c r="LP117" s="3">
        <f ca="1">IFERROR(__xludf.DUMMYFUNCTION("""COMPUTED_VALUE"""),-0.686364405319294)</f>
        <v>-0.68636440531929399</v>
      </c>
      <c r="LQ117" s="3">
        <f ca="1">IFERROR(__xludf.DUMMYFUNCTION("""COMPUTED_VALUE"""),-0.722335168697029)</f>
        <v>-0.72233516869702896</v>
      </c>
      <c r="LR117" s="3">
        <f ca="1">IFERROR(__xludf.DUMMYFUNCTION("""COMPUTED_VALUE"""),-0.72355306426789)</f>
        <v>-0.72355306426789001</v>
      </c>
      <c r="LS117" s="3">
        <f ca="1">IFERROR(__xludf.DUMMYFUNCTION("""COMPUTED_VALUE"""),-0.692364380670278)</f>
        <v>-0.69236438067027795</v>
      </c>
      <c r="LT117" s="3">
        <f ca="1">IFERROR(__xludf.DUMMYFUNCTION("""COMPUTED_VALUE"""),-0.797424060990158)</f>
        <v>-0.79742406099015795</v>
      </c>
      <c r="LU117" s="3">
        <f ca="1">IFERROR(__xludf.DUMMYFUNCTION("""COMPUTED_VALUE"""),-0.681819155301842)</f>
        <v>-0.68181915530184201</v>
      </c>
      <c r="LV117" s="3">
        <f ca="1">IFERROR(__xludf.DUMMYFUNCTION("""COMPUTED_VALUE"""),-0.602257914015908)</f>
        <v>-0.602257914015908</v>
      </c>
      <c r="LW117" s="3">
        <f ca="1">IFERROR(__xludf.DUMMYFUNCTION("""COMPUTED_VALUE"""),-0.741071848804004)</f>
        <v>-0.74107184880400401</v>
      </c>
      <c r="LX117" s="3">
        <f ca="1">IFERROR(__xludf.DUMMYFUNCTION("""COMPUTED_VALUE"""),-0.783444873413608)</f>
        <v>-0.78344487341360802</v>
      </c>
      <c r="LY117" s="3">
        <f ca="1">IFERROR(__xludf.DUMMYFUNCTION("""COMPUTED_VALUE"""),-0.811944661681383)</f>
        <v>-0.81194466168138302</v>
      </c>
      <c r="LZ117" s="3">
        <f ca="1">IFERROR(__xludf.DUMMYFUNCTION("""COMPUTED_VALUE"""),-0.771191066763823)</f>
        <v>-0.77119106676382299</v>
      </c>
      <c r="MA117" s="3">
        <f ca="1">IFERROR(__xludf.DUMMYFUNCTION("""COMPUTED_VALUE"""),-0.750272659900724)</f>
        <v>-0.750272659900724</v>
      </c>
      <c r="MB117" s="3">
        <f ca="1">IFERROR(__xludf.DUMMYFUNCTION("""COMPUTED_VALUE"""),-0.756424088236862)</f>
        <v>-0.75642408823686202</v>
      </c>
      <c r="MC117" s="3">
        <f ca="1">IFERROR(__xludf.DUMMYFUNCTION("""COMPUTED_VALUE"""),-0.70689970592909)</f>
        <v>-0.70689970592909002</v>
      </c>
      <c r="MD117" s="3">
        <f ca="1">IFERROR(__xludf.DUMMYFUNCTION("""COMPUTED_VALUE"""),-0.771794109514332)</f>
        <v>-0.77179410951433203</v>
      </c>
      <c r="ME117" s="3">
        <f ca="1">IFERROR(__xludf.DUMMYFUNCTION("""COMPUTED_VALUE"""),-0.798977383445747)</f>
        <v>-0.79897738344574698</v>
      </c>
      <c r="MF117" s="3">
        <f ca="1">IFERROR(__xludf.DUMMYFUNCTION("""COMPUTED_VALUE"""),-0.764748861334332)</f>
        <v>-0.76474886133433195</v>
      </c>
      <c r="MG117" s="3">
        <f ca="1">IFERROR(__xludf.DUMMYFUNCTION("""COMPUTED_VALUE"""),-0.778645276852973)</f>
        <v>-0.77864527685297302</v>
      </c>
      <c r="MH117" s="3">
        <f ca="1">IFERROR(__xludf.DUMMYFUNCTION("""COMPUTED_VALUE"""),-0.771338123395281)</f>
        <v>-0.77133812339528096</v>
      </c>
      <c r="MI117" s="3">
        <f ca="1">IFERROR(__xludf.DUMMYFUNCTION("""COMPUTED_VALUE"""),-0.720057713508642)</f>
        <v>-0.72005771350864201</v>
      </c>
      <c r="MJ117" s="3">
        <f ca="1">IFERROR(__xludf.DUMMYFUNCTION("""COMPUTED_VALUE"""),-0.689434582033126)</f>
        <v>-0.68943458203312602</v>
      </c>
      <c r="MK117" s="3">
        <f ca="1">IFERROR(__xludf.DUMMYFUNCTION("""COMPUTED_VALUE"""),-0.777265546462449)</f>
        <v>-0.77726554646244905</v>
      </c>
      <c r="ML117" s="3">
        <f ca="1">IFERROR(__xludf.DUMMYFUNCTION("""COMPUTED_VALUE"""),-0.785125121288203)</f>
        <v>-0.785125121288203</v>
      </c>
      <c r="MM117" s="3">
        <f ca="1">IFERROR(__xludf.DUMMYFUNCTION("""COMPUTED_VALUE"""),-0.776534208369731)</f>
        <v>-0.77653420836973097</v>
      </c>
      <c r="MN117" s="3">
        <f ca="1">IFERROR(__xludf.DUMMYFUNCTION("""COMPUTED_VALUE"""),-0.814090045281918)</f>
        <v>-0.81409004528191797</v>
      </c>
      <c r="MO117" s="3">
        <f ca="1">IFERROR(__xludf.DUMMYFUNCTION("""COMPUTED_VALUE"""),-0.780180134252538)</f>
        <v>-0.78018013425253796</v>
      </c>
      <c r="MP117" s="3">
        <f ca="1">IFERROR(__xludf.DUMMYFUNCTION("""COMPUTED_VALUE"""),-0.80133912676844)</f>
        <v>-0.80133912676843999</v>
      </c>
      <c r="MQ117" s="3">
        <f ca="1">IFERROR(__xludf.DUMMYFUNCTION("""COMPUTED_VALUE"""),-0.686374022678124)</f>
        <v>-0.68637402267812397</v>
      </c>
      <c r="MR117" s="3">
        <f ca="1">IFERROR(__xludf.DUMMYFUNCTION("""COMPUTED_VALUE"""),-0.763441501126582)</f>
        <v>-0.76344150112658204</v>
      </c>
      <c r="MS117" s="3">
        <f ca="1">IFERROR(__xludf.DUMMYFUNCTION("""COMPUTED_VALUE"""),-0.848047963217787)</f>
        <v>-0.84804796321778697</v>
      </c>
      <c r="MT117" s="3">
        <f ca="1">IFERROR(__xludf.DUMMYFUNCTION("""COMPUTED_VALUE"""),-0.782515504620173)</f>
        <v>-0.78251550462017305</v>
      </c>
      <c r="MU117" s="3">
        <f ca="1">IFERROR(__xludf.DUMMYFUNCTION("""COMPUTED_VALUE"""),-0.791166601165847)</f>
        <v>-0.79116660116584703</v>
      </c>
      <c r="MV117" s="3">
        <f ca="1">IFERROR(__xludf.DUMMYFUNCTION("""COMPUTED_VALUE"""),-0.802351187774009)</f>
        <v>-0.80235118777400904</v>
      </c>
      <c r="MW117" s="3">
        <f ca="1">IFERROR(__xludf.DUMMYFUNCTION("""COMPUTED_VALUE"""),-0.691627555981088)</f>
        <v>-0.69162755598108805</v>
      </c>
      <c r="MX117" s="3">
        <f ca="1">IFERROR(__xludf.DUMMYFUNCTION("""COMPUTED_VALUE"""),-0.706725290949715)</f>
        <v>-0.70672529094971503</v>
      </c>
      <c r="MY117" s="3">
        <f ca="1">IFERROR(__xludf.DUMMYFUNCTION("""COMPUTED_VALUE"""),-0.768323755646961)</f>
        <v>-0.76832375564696098</v>
      </c>
      <c r="MZ117" s="3">
        <f ca="1">IFERROR(__xludf.DUMMYFUNCTION("""COMPUTED_VALUE"""),-0.78779724361534)</f>
        <v>-0.78779724361533998</v>
      </c>
      <c r="NA117" s="3">
        <f ca="1">IFERROR(__xludf.DUMMYFUNCTION("""COMPUTED_VALUE"""),-0.802992406670104)</f>
        <v>-0.80299240667010396</v>
      </c>
      <c r="NB117" s="3">
        <f ca="1">IFERROR(__xludf.DUMMYFUNCTION("""COMPUTED_VALUE"""),-0.802593840194034)</f>
        <v>-0.80259384019403401</v>
      </c>
      <c r="NC117" s="3">
        <f ca="1">IFERROR(__xludf.DUMMYFUNCTION("""COMPUTED_VALUE"""),-0.825317920063746)</f>
        <v>-0.82531792006374605</v>
      </c>
      <c r="ND117" s="3">
        <f ca="1">IFERROR(__xludf.DUMMYFUNCTION("""COMPUTED_VALUE"""),-0.741988871201399)</f>
        <v>-0.741988871201399</v>
      </c>
      <c r="NE117" s="3">
        <f ca="1">IFERROR(__xludf.DUMMYFUNCTION("""COMPUTED_VALUE"""),-0.703549649603935)</f>
        <v>-0.70354964960393496</v>
      </c>
      <c r="NF117" s="3">
        <f ca="1">IFERROR(__xludf.DUMMYFUNCTION("""COMPUTED_VALUE"""),-0.820490441102509)</f>
        <v>-0.82049044110250902</v>
      </c>
      <c r="NG117" s="3">
        <f ca="1">IFERROR(__xludf.DUMMYFUNCTION("""COMPUTED_VALUE"""),-0.824675871051171)</f>
        <v>-0.82467587105117102</v>
      </c>
      <c r="NH117" s="3">
        <f ca="1">IFERROR(__xludf.DUMMYFUNCTION("""COMPUTED_VALUE"""),-0.844749571198946)</f>
        <v>-0.844749571198946</v>
      </c>
      <c r="NI117" s="3">
        <f ca="1">IFERROR(__xludf.DUMMYFUNCTION("""COMPUTED_VALUE"""),-0.82672917993858)</f>
        <v>-0.82672917993857997</v>
      </c>
      <c r="NJ117" s="3">
        <f ca="1">IFERROR(__xludf.DUMMYFUNCTION("""COMPUTED_VALUE"""),-0.812904566514823)</f>
        <v>-0.81290456651482301</v>
      </c>
      <c r="NK117" s="3">
        <f ca="1">IFERROR(__xludf.DUMMYFUNCTION("""COMPUTED_VALUE"""),-0.775566804440076)</f>
        <v>-0.77556680444007597</v>
      </c>
      <c r="NL117" s="3">
        <f ca="1">IFERROR(__xludf.DUMMYFUNCTION("""COMPUTED_VALUE"""),-0.66424594433877)</f>
        <v>-0.66424594433877004</v>
      </c>
      <c r="NM117" s="3">
        <f ca="1">IFERROR(__xludf.DUMMYFUNCTION("""COMPUTED_VALUE"""),-0.829675601288033)</f>
        <v>-0.82967560128803297</v>
      </c>
      <c r="NN117" s="3">
        <f ca="1">IFERROR(__xludf.DUMMYFUNCTION("""COMPUTED_VALUE"""),-0.847405161932705)</f>
        <v>-0.84740516193270499</v>
      </c>
      <c r="NO117" s="3">
        <f ca="1">IFERROR(__xludf.DUMMYFUNCTION("""COMPUTED_VALUE"""),-0.856149363875349)</f>
        <v>-0.85614936387534901</v>
      </c>
      <c r="NP117" s="3">
        <f ca="1">IFERROR(__xludf.DUMMYFUNCTION("""COMPUTED_VALUE"""),-0.830377489721574)</f>
        <v>-0.83037748972157399</v>
      </c>
      <c r="NQ117" s="3">
        <f ca="1">IFERROR(__xludf.DUMMYFUNCTION("""COMPUTED_VALUE"""),-0.832230917806357)</f>
        <v>-0.83223091780635705</v>
      </c>
      <c r="NR117" s="3">
        <f ca="1">IFERROR(__xludf.DUMMYFUNCTION("""COMPUTED_VALUE"""),-0.710584744415015)</f>
        <v>-0.71058474441501496</v>
      </c>
      <c r="NS117" s="3">
        <f ca="1">IFERROR(__xludf.DUMMYFUNCTION("""COMPUTED_VALUE"""),-0.647497535090228)</f>
        <v>-0.647497535090228</v>
      </c>
      <c r="NT117" s="3">
        <f ca="1">IFERROR(__xludf.DUMMYFUNCTION("""COMPUTED_VALUE"""),-0.798723187267784)</f>
        <v>-0.79872318726778402</v>
      </c>
      <c r="NU117" s="3">
        <f ca="1">IFERROR(__xludf.DUMMYFUNCTION("""COMPUTED_VALUE"""),-0.814286722596878)</f>
        <v>-0.81428672259687795</v>
      </c>
      <c r="NV117" s="3">
        <f ca="1">IFERROR(__xludf.DUMMYFUNCTION("""COMPUTED_VALUE"""),-0.809058317573895)</f>
        <v>-0.80905831757389501</v>
      </c>
      <c r="NW117" s="3">
        <f ca="1">IFERROR(__xludf.DUMMYFUNCTION("""COMPUTED_VALUE"""),-0.78816160990435)</f>
        <v>-0.78816160990435002</v>
      </c>
      <c r="NX117" s="3">
        <f ca="1">IFERROR(__xludf.DUMMYFUNCTION("""COMPUTED_VALUE"""),-0.760503201076134)</f>
        <v>-0.76050320107613401</v>
      </c>
      <c r="NY117" s="3">
        <f ca="1">IFERROR(__xludf.DUMMYFUNCTION("""COMPUTED_VALUE"""),-0.630645387692431)</f>
        <v>-0.63064538769243095</v>
      </c>
      <c r="NZ117" s="3">
        <f ca="1">IFERROR(__xludf.DUMMYFUNCTION("""COMPUTED_VALUE"""),-0.637055483392119)</f>
        <v>-0.63705548339211904</v>
      </c>
      <c r="OA117" s="3">
        <f ca="1">IFERROR(__xludf.DUMMYFUNCTION("""COMPUTED_VALUE"""),-0.675494861280729)</f>
        <v>-0.675494861280729</v>
      </c>
      <c r="OB117" s="3">
        <f ca="1">IFERROR(__xludf.DUMMYFUNCTION("""COMPUTED_VALUE"""),-0.68032301520076)</f>
        <v>-0.68032301520076</v>
      </c>
      <c r="OC117" s="3">
        <f ca="1">IFERROR(__xludf.DUMMYFUNCTION("""COMPUTED_VALUE"""),-0.59706545671988)</f>
        <v>-0.59706545671987998</v>
      </c>
      <c r="OD117" s="3">
        <f ca="1">IFERROR(__xludf.DUMMYFUNCTION("""COMPUTED_VALUE"""),-0.479004048138107)</f>
        <v>-0.47900404813810699</v>
      </c>
      <c r="OE117" s="3">
        <f ca="1">IFERROR(__xludf.DUMMYFUNCTION("""COMPUTED_VALUE"""),-0.302583527252244)</f>
        <v>-0.30258352725224402</v>
      </c>
      <c r="OF117" s="3">
        <f ca="1">IFERROR(__xludf.DUMMYFUNCTION("""COMPUTED_VALUE"""),-0.244005261170981)</f>
        <v>-0.24400526117098101</v>
      </c>
      <c r="OG117" s="3">
        <f ca="1">IFERROR(__xludf.DUMMYFUNCTION("""COMPUTED_VALUE"""),-0.248843534070138)</f>
        <v>-0.24884353407013801</v>
      </c>
      <c r="OH117" s="3">
        <f ca="1">IFERROR(__xludf.DUMMYFUNCTION("""COMPUTED_VALUE"""),-0.0596305868323343)</f>
        <v>-5.9630586832334298E-2</v>
      </c>
      <c r="OI117" s="3">
        <f ca="1">IFERROR(__xludf.DUMMYFUNCTION("""COMPUTED_VALUE"""),-0.0731464003181218)</f>
        <v>-7.3146400318121793E-2</v>
      </c>
      <c r="OJ117" s="3">
        <f ca="1">IFERROR(__xludf.DUMMYFUNCTION("""COMPUTED_VALUE"""),-0.111405380043485)</f>
        <v>-0.11140538004348501</v>
      </c>
      <c r="OK117" s="3">
        <f ca="1">IFERROR(__xludf.DUMMYFUNCTION("""COMPUTED_VALUE"""),-0.019565818739017)</f>
        <v>-1.9565818739016999E-2</v>
      </c>
      <c r="OL117" s="3">
        <f ca="1">IFERROR(__xludf.DUMMYFUNCTION("""COMPUTED_VALUE"""),0.0117653104397665)</f>
        <v>1.17653104397665E-2</v>
      </c>
      <c r="OM117" s="3">
        <f ca="1">IFERROR(__xludf.DUMMYFUNCTION("""COMPUTED_VALUE"""),0.0377593540628267)</f>
        <v>3.7759354062826697E-2</v>
      </c>
      <c r="ON117" s="3">
        <f ca="1">IFERROR(__xludf.DUMMYFUNCTION("""COMPUTED_VALUE"""),-0.0819398339984515)</f>
        <v>-8.1939833998451506E-2</v>
      </c>
      <c r="OO117" s="3">
        <f ca="1">IFERROR(__xludf.DUMMYFUNCTION("""COMPUTED_VALUE"""),0.0197270961115683)</f>
        <v>1.9727096111568299E-2</v>
      </c>
      <c r="OP117" s="3">
        <f ca="1">IFERROR(__xludf.DUMMYFUNCTION("""COMPUTED_VALUE"""),-0.0154450702192268)</f>
        <v>-1.54450702192268E-2</v>
      </c>
      <c r="OQ117" s="3">
        <f ca="1">IFERROR(__xludf.DUMMYFUNCTION("""COMPUTED_VALUE"""),-0.0898951847217028)</f>
        <v>-8.9895184721702798E-2</v>
      </c>
      <c r="OR117" s="3">
        <f ca="1">IFERROR(__xludf.DUMMYFUNCTION("""COMPUTED_VALUE"""),0.0557644669599497)</f>
        <v>5.5764466959949702E-2</v>
      </c>
      <c r="OS117" s="3">
        <f ca="1">IFERROR(__xludf.DUMMYFUNCTION("""COMPUTED_VALUE"""),0.0704982109462322)</f>
        <v>7.0498210946232195E-2</v>
      </c>
      <c r="OT117" s="3">
        <f ca="1">IFERROR(__xludf.DUMMYFUNCTION("""COMPUTED_VALUE"""),0.157858939023468)</f>
        <v>0.15785893902346801</v>
      </c>
      <c r="OU117" s="3">
        <f ca="1">IFERROR(__xludf.DUMMYFUNCTION("""COMPUTED_VALUE"""),0.0294029151714283)</f>
        <v>2.94029151714283E-2</v>
      </c>
      <c r="OV117" s="3">
        <f ca="1">IFERROR(__xludf.DUMMYFUNCTION("""COMPUTED_VALUE"""),0.118255730209204)</f>
        <v>0.118255730209204</v>
      </c>
      <c r="OW117" s="3">
        <f ca="1">IFERROR(__xludf.DUMMYFUNCTION("""COMPUTED_VALUE"""),0.0915292131820657)</f>
        <v>9.1529213182065694E-2</v>
      </c>
      <c r="OX117" s="3">
        <f ca="1">IFERROR(__xludf.DUMMYFUNCTION("""COMPUTED_VALUE"""),0.103056641037958)</f>
        <v>0.103056641037958</v>
      </c>
      <c r="OY117" s="3">
        <f ca="1">IFERROR(__xludf.DUMMYFUNCTION("""COMPUTED_VALUE"""),0.113033622978027)</f>
        <v>0.11303362297802701</v>
      </c>
      <c r="OZ117" s="3">
        <f ca="1">IFERROR(__xludf.DUMMYFUNCTION("""COMPUTED_VALUE"""),0.257699335472128)</f>
        <v>0.25769933547212798</v>
      </c>
      <c r="PA117" s="3">
        <f ca="1">IFERROR(__xludf.DUMMYFUNCTION("""COMPUTED_VALUE"""),0.00621055304547324)</f>
        <v>6.2105530454732404E-3</v>
      </c>
      <c r="PB117" s="3">
        <f ca="1">IFERROR(__xludf.DUMMYFUNCTION("""COMPUTED_VALUE"""),0.00257557740813374)</f>
        <v>2.5755774081337398E-3</v>
      </c>
      <c r="PC117" s="3">
        <f ca="1">IFERROR(__xludf.DUMMYFUNCTION("""COMPUTED_VALUE"""),-0.145645998780231)</f>
        <v>-0.14564599878023099</v>
      </c>
      <c r="PD117" s="3">
        <f ca="1">IFERROR(__xludf.DUMMYFUNCTION("""COMPUTED_VALUE"""),-0.149395342045048)</f>
        <v>-0.14939534204504801</v>
      </c>
      <c r="PE117" s="3">
        <f ca="1">IFERROR(__xludf.DUMMYFUNCTION("""COMPUTED_VALUE"""),-0.295869460502895)</f>
        <v>-0.29586946050289498</v>
      </c>
      <c r="PF117" s="3">
        <f ca="1">IFERROR(__xludf.DUMMYFUNCTION("""COMPUTED_VALUE"""),-0.223508856927848)</f>
        <v>-0.223508856927848</v>
      </c>
      <c r="PG117" s="3">
        <f ca="1">IFERROR(__xludf.DUMMYFUNCTION("""COMPUTED_VALUE"""),-0.523923716329212)</f>
        <v>-0.52392371632921197</v>
      </c>
      <c r="PH117" s="3">
        <f ca="1">IFERROR(__xludf.DUMMYFUNCTION("""COMPUTED_VALUE"""),-0.0892667748234307)</f>
        <v>-8.9266774823430706E-2</v>
      </c>
      <c r="PI117" s="3">
        <f ca="1">IFERROR(__xludf.DUMMYFUNCTION("""COMPUTED_VALUE"""),-0.040420795719495)</f>
        <v>-4.0420795719495001E-2</v>
      </c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</row>
    <row r="118" spans="1:477" ht="13">
      <c r="A118" s="1" t="str">
        <f ca="1">IFERROR(__xludf.DUMMYFUNCTION("""COMPUTED_VALUE"""),"Capitol Corridor")</f>
        <v>Capitol Corridor</v>
      </c>
      <c r="B118" s="1" t="str">
        <f ca="1">IFERROR(__xludf.DUMMYFUNCTION("""COMPUTED_VALUE"""),"SF Bay Area")</f>
        <v>SF Bay Area</v>
      </c>
      <c r="C118" s="1" t="str">
        <f ca="1">IFERROR(__xludf.DUMMYFUNCTION("""COMPUTED_VALUE"""),"United States")</f>
        <v>United States</v>
      </c>
      <c r="D118" s="1" t="str">
        <f ca="1">IFERROR(__xludf.DUMMYFUNCTION("""COMPUTED_VALUE"""),"California")</f>
        <v>California</v>
      </c>
      <c r="E118" s="3">
        <f ca="1">IFERROR(__xludf.DUMMYFUNCTION("""COMPUTED_VALUE"""),-0.601695839303779)</f>
        <v>-0.60169583930377901</v>
      </c>
      <c r="F118" s="3">
        <f ca="1">IFERROR(__xludf.DUMMYFUNCTION("""COMPUTED_VALUE"""),-0.657257465975139)</f>
        <v>-0.65725746597513901</v>
      </c>
      <c r="G118" s="3">
        <f ca="1">IFERROR(__xludf.DUMMYFUNCTION("""COMPUTED_VALUE"""),-0.695618500867862)</f>
        <v>-0.69561850086786203</v>
      </c>
      <c r="H118" s="3">
        <f ca="1">IFERROR(__xludf.DUMMYFUNCTION("""COMPUTED_VALUE"""),-0.72262544645127)</f>
        <v>-0.72262544645127003</v>
      </c>
      <c r="I118" s="3">
        <f ca="1">IFERROR(__xludf.DUMMYFUNCTION("""COMPUTED_VALUE"""),-0.680676941797266)</f>
        <v>-0.68067694179726601</v>
      </c>
      <c r="J118" s="3">
        <f ca="1">IFERROR(__xludf.DUMMYFUNCTION("""COMPUTED_VALUE"""),-0.680530224602797)</f>
        <v>-0.680530224602797</v>
      </c>
      <c r="K118" s="3">
        <f ca="1">IFERROR(__xludf.DUMMYFUNCTION("""COMPUTED_VALUE"""),-0.693803935920815)</f>
        <v>-0.69380393592081502</v>
      </c>
      <c r="L118" s="3">
        <f ca="1">IFERROR(__xludf.DUMMYFUNCTION("""COMPUTED_VALUE"""),-0.633574896524517)</f>
        <v>-0.63357489652451704</v>
      </c>
      <c r="M118" s="3">
        <f ca="1">IFERROR(__xludf.DUMMYFUNCTION("""COMPUTED_VALUE"""),-0.629510542736252)</f>
        <v>-0.62951054273625195</v>
      </c>
      <c r="N118" s="3">
        <f ca="1">IFERROR(__xludf.DUMMYFUNCTION("""COMPUTED_VALUE"""),-0.687267004415095)</f>
        <v>-0.68726700441509503</v>
      </c>
      <c r="O118" s="3">
        <f ca="1">IFERROR(__xludf.DUMMYFUNCTION("""COMPUTED_VALUE"""),-0.700457103599723)</f>
        <v>-0.70045710359972302</v>
      </c>
      <c r="P118" s="3">
        <f ca="1">IFERROR(__xludf.DUMMYFUNCTION("""COMPUTED_VALUE"""),-0.721982498376657)</f>
        <v>-0.72198249837665696</v>
      </c>
      <c r="Q118" s="3">
        <f ca="1">IFERROR(__xludf.DUMMYFUNCTION("""COMPUTED_VALUE"""),-0.766123583383101)</f>
        <v>-0.76612358338310105</v>
      </c>
      <c r="R118" s="3">
        <f ca="1">IFERROR(__xludf.DUMMYFUNCTION("""COMPUTED_VALUE"""),-0.653915710651467)</f>
        <v>-0.65391571065146703</v>
      </c>
      <c r="S118" s="3">
        <f ca="1">IFERROR(__xludf.DUMMYFUNCTION("""COMPUTED_VALUE"""),-0.664499786410245)</f>
        <v>-0.66449978641024499</v>
      </c>
      <c r="T118" s="3">
        <f ca="1">IFERROR(__xludf.DUMMYFUNCTION("""COMPUTED_VALUE"""),-0.748579959888076)</f>
        <v>-0.74857995988807602</v>
      </c>
      <c r="U118" s="3">
        <f ca="1">IFERROR(__xludf.DUMMYFUNCTION("""COMPUTED_VALUE"""),-0.756338537885577)</f>
        <v>-0.75633853788557703</v>
      </c>
      <c r="V118" s="3">
        <f ca="1">IFERROR(__xludf.DUMMYFUNCTION("""COMPUTED_VALUE"""),-0.777064734720627)</f>
        <v>-0.77706473472062698</v>
      </c>
      <c r="W118" s="3">
        <f ca="1">IFERROR(__xludf.DUMMYFUNCTION("""COMPUTED_VALUE"""),-0.79998105808517)</f>
        <v>-0.79998105808516995</v>
      </c>
      <c r="X118" s="3">
        <f ca="1">IFERROR(__xludf.DUMMYFUNCTION("""COMPUTED_VALUE"""),-0.771963599706318)</f>
        <v>-0.771963599706318</v>
      </c>
      <c r="Y118" s="3">
        <f ca="1">IFERROR(__xludf.DUMMYFUNCTION("""COMPUTED_VALUE"""),-0.733608817997041)</f>
        <v>-0.73360881799704103</v>
      </c>
      <c r="Z118" s="3">
        <f ca="1">IFERROR(__xludf.DUMMYFUNCTION("""COMPUTED_VALUE"""),-0.706453536948658)</f>
        <v>-0.70645353694865798</v>
      </c>
      <c r="AA118" s="3">
        <f ca="1">IFERROR(__xludf.DUMMYFUNCTION("""COMPUTED_VALUE"""),-0.777852215250313)</f>
        <v>-0.77785221525031301</v>
      </c>
      <c r="AB118" s="3">
        <f ca="1">IFERROR(__xludf.DUMMYFUNCTION("""COMPUTED_VALUE"""),-0.830772833755914)</f>
        <v>-0.83077283375591404</v>
      </c>
      <c r="AC118" s="3">
        <f ca="1">IFERROR(__xludf.DUMMYFUNCTION("""COMPUTED_VALUE"""),-0.830170554691995)</f>
        <v>-0.83017055469199497</v>
      </c>
      <c r="AD118" s="3">
        <f ca="1">IFERROR(__xludf.DUMMYFUNCTION("""COMPUTED_VALUE"""),-0.82381002179377)</f>
        <v>-0.82381002179377005</v>
      </c>
      <c r="AE118" s="3">
        <f ca="1">IFERROR(__xludf.DUMMYFUNCTION("""COMPUTED_VALUE"""),-0.819891586551513)</f>
        <v>-0.81989158655151295</v>
      </c>
      <c r="AF118" s="3">
        <f ca="1">IFERROR(__xludf.DUMMYFUNCTION("""COMPUTED_VALUE"""),-0.769068859130423)</f>
        <v>-0.769068859130423</v>
      </c>
      <c r="AG118" s="3">
        <f ca="1">IFERROR(__xludf.DUMMYFUNCTION("""COMPUTED_VALUE"""),-0.738688262313632)</f>
        <v>-0.73868826231363205</v>
      </c>
      <c r="AH118" s="3">
        <f ca="1">IFERROR(__xludf.DUMMYFUNCTION("""COMPUTED_VALUE"""),-0.787373915400599)</f>
        <v>-0.78737391540059898</v>
      </c>
      <c r="AI118" s="3">
        <f ca="1">IFERROR(__xludf.DUMMYFUNCTION("""COMPUTED_VALUE"""),-0.830445543535507)</f>
        <v>-0.83044554353550704</v>
      </c>
      <c r="AJ118" s="3">
        <f ca="1">IFERROR(__xludf.DUMMYFUNCTION("""COMPUTED_VALUE"""),-0.817941152832842)</f>
        <v>-0.81794115283284197</v>
      </c>
      <c r="AK118" s="3">
        <f ca="1">IFERROR(__xludf.DUMMYFUNCTION("""COMPUTED_VALUE"""),-0.817437513895972)</f>
        <v>-0.81743751389597197</v>
      </c>
      <c r="AL118" s="3">
        <f ca="1">IFERROR(__xludf.DUMMYFUNCTION("""COMPUTED_VALUE"""),-0.812750432418182)</f>
        <v>-0.81275043241818201</v>
      </c>
      <c r="AM118" s="3">
        <f ca="1">IFERROR(__xludf.DUMMYFUNCTION("""COMPUTED_VALUE"""),-0.739160501726782)</f>
        <v>-0.73916050172678205</v>
      </c>
      <c r="AN118" s="3">
        <f ca="1">IFERROR(__xludf.DUMMYFUNCTION("""COMPUTED_VALUE"""),-0.752015473208831)</f>
        <v>-0.752015473208831</v>
      </c>
      <c r="AO118" s="3">
        <f ca="1">IFERROR(__xludf.DUMMYFUNCTION("""COMPUTED_VALUE"""),-0.799944597040407)</f>
        <v>-0.79994459704040699</v>
      </c>
      <c r="AP118" s="3">
        <f ca="1">IFERROR(__xludf.DUMMYFUNCTION("""COMPUTED_VALUE"""),-0.806825284871126)</f>
        <v>-0.80682528487112604</v>
      </c>
      <c r="AQ118" s="3">
        <f ca="1">IFERROR(__xludf.DUMMYFUNCTION("""COMPUTED_VALUE"""),-0.799051405153324)</f>
        <v>-0.79905140515332396</v>
      </c>
      <c r="AR118" s="3">
        <f ca="1">IFERROR(__xludf.DUMMYFUNCTION("""COMPUTED_VALUE"""),-0.817525375581029)</f>
        <v>-0.817525375581029</v>
      </c>
      <c r="AS118" s="3">
        <f ca="1">IFERROR(__xludf.DUMMYFUNCTION("""COMPUTED_VALUE"""),-0.815028101551023)</f>
        <v>-0.81502810155102301</v>
      </c>
      <c r="AT118" s="3">
        <f ca="1">IFERROR(__xludf.DUMMYFUNCTION("""COMPUTED_VALUE"""),-0.764275144624692)</f>
        <v>-0.76427514462469204</v>
      </c>
      <c r="AU118" s="3">
        <f ca="1">IFERROR(__xludf.DUMMYFUNCTION("""COMPUTED_VALUE"""),-0.742121299414489)</f>
        <v>-0.74212129941448901</v>
      </c>
      <c r="AV118" s="3">
        <f ca="1">IFERROR(__xludf.DUMMYFUNCTION("""COMPUTED_VALUE"""),-0.803791531242081)</f>
        <v>-0.80379153124208103</v>
      </c>
      <c r="AW118" s="3">
        <f ca="1">IFERROR(__xludf.DUMMYFUNCTION("""COMPUTED_VALUE"""),-0.820176967297816)</f>
        <v>-0.82017696729781597</v>
      </c>
      <c r="AX118" s="3">
        <f ca="1">IFERROR(__xludf.DUMMYFUNCTION("""COMPUTED_VALUE"""),-0.822070254224193)</f>
        <v>-0.822070254224193</v>
      </c>
      <c r="AY118" s="3">
        <f ca="1">IFERROR(__xludf.DUMMYFUNCTION("""COMPUTED_VALUE"""),-0.812927446514479)</f>
        <v>-0.81292744651447901</v>
      </c>
      <c r="AZ118" s="3">
        <f ca="1">IFERROR(__xludf.DUMMYFUNCTION("""COMPUTED_VALUE"""),-0.816622556521464)</f>
        <v>-0.81662255652146398</v>
      </c>
      <c r="BA118" s="3">
        <f ca="1">IFERROR(__xludf.DUMMYFUNCTION("""COMPUTED_VALUE"""),-0.75440273769744)</f>
        <v>-0.75440273769744004</v>
      </c>
      <c r="BB118" s="3">
        <f ca="1">IFERROR(__xludf.DUMMYFUNCTION("""COMPUTED_VALUE"""),-0.746647044117208)</f>
        <v>-0.74664704411720795</v>
      </c>
      <c r="BC118" s="3">
        <f ca="1">IFERROR(__xludf.DUMMYFUNCTION("""COMPUTED_VALUE"""),-0.795947252656803)</f>
        <v>-0.79594725265680299</v>
      </c>
      <c r="BD118" s="3">
        <f ca="1">IFERROR(__xludf.DUMMYFUNCTION("""COMPUTED_VALUE"""),-0.820436574702129)</f>
        <v>-0.82043657470212905</v>
      </c>
      <c r="BE118" s="3">
        <f ca="1">IFERROR(__xludf.DUMMYFUNCTION("""COMPUTED_VALUE"""),-0.818194503693651)</f>
        <v>-0.81819450369365099</v>
      </c>
      <c r="BF118" s="3">
        <f ca="1">IFERROR(__xludf.DUMMYFUNCTION("""COMPUTED_VALUE"""),-0.809773563697244)</f>
        <v>-0.80977356369724396</v>
      </c>
      <c r="BG118" s="3">
        <f ca="1">IFERROR(__xludf.DUMMYFUNCTION("""COMPUTED_VALUE"""),-0.767628707825426)</f>
        <v>-0.76762870782542603</v>
      </c>
      <c r="BH118" s="3">
        <f ca="1">IFERROR(__xludf.DUMMYFUNCTION("""COMPUTED_VALUE"""),-0.768755188228745)</f>
        <v>-0.768755188228745</v>
      </c>
      <c r="BI118" s="3">
        <f ca="1">IFERROR(__xludf.DUMMYFUNCTION("""COMPUTED_VALUE"""),-0.740001401585488)</f>
        <v>-0.74000140158548799</v>
      </c>
      <c r="BJ118" s="3">
        <f ca="1">IFERROR(__xludf.DUMMYFUNCTION("""COMPUTED_VALUE"""),-0.812709478930531)</f>
        <v>-0.81270947893053103</v>
      </c>
      <c r="BK118" s="3">
        <f ca="1">IFERROR(__xludf.DUMMYFUNCTION("""COMPUTED_VALUE"""),-0.827703804598356)</f>
        <v>-0.82770380459835602</v>
      </c>
      <c r="BL118" s="3">
        <f ca="1">IFERROR(__xludf.DUMMYFUNCTION("""COMPUTED_VALUE"""),-0.816198489226289)</f>
        <v>-0.81619848922628901</v>
      </c>
      <c r="BM118" s="3">
        <f ca="1">IFERROR(__xludf.DUMMYFUNCTION("""COMPUTED_VALUE"""),-0.844838204473962)</f>
        <v>-0.84483820447396196</v>
      </c>
      <c r="BN118" s="3">
        <f ca="1">IFERROR(__xludf.DUMMYFUNCTION("""COMPUTED_VALUE"""),-0.826023175103284)</f>
        <v>-0.82602317510328405</v>
      </c>
      <c r="BO118" s="3">
        <f ca="1">IFERROR(__xludf.DUMMYFUNCTION("""COMPUTED_VALUE"""),-0.786664772074516)</f>
        <v>-0.78666477207451602</v>
      </c>
      <c r="BP118" s="3">
        <f ca="1">IFERROR(__xludf.DUMMYFUNCTION("""COMPUTED_VALUE"""),-0.761197625054284)</f>
        <v>-0.76119762505428401</v>
      </c>
      <c r="BQ118" s="3">
        <f ca="1">IFERROR(__xludf.DUMMYFUNCTION("""COMPUTED_VALUE"""),-0.821632507849115)</f>
        <v>-0.82163250784911501</v>
      </c>
      <c r="BR118" s="3">
        <f ca="1">IFERROR(__xludf.DUMMYFUNCTION("""COMPUTED_VALUE"""),-0.827440309464534)</f>
        <v>-0.82744030946453395</v>
      </c>
      <c r="BS118" s="3">
        <f ca="1">IFERROR(__xludf.DUMMYFUNCTION("""COMPUTED_VALUE"""),-0.856430209755351)</f>
        <v>-0.856430209755351</v>
      </c>
      <c r="BT118" s="3">
        <f ca="1">IFERROR(__xludf.DUMMYFUNCTION("""COMPUTED_VALUE"""),-0.858963362326972)</f>
        <v>-0.85896336232697201</v>
      </c>
      <c r="BU118" s="3">
        <f ca="1">IFERROR(__xludf.DUMMYFUNCTION("""COMPUTED_VALUE"""),-0.838470432073356)</f>
        <v>-0.83847043207335603</v>
      </c>
      <c r="BV118" s="3">
        <f ca="1">IFERROR(__xludf.DUMMYFUNCTION("""COMPUTED_VALUE"""),-0.789737129659196)</f>
        <v>-0.78973712965919596</v>
      </c>
      <c r="BW118" s="3">
        <f ca="1">IFERROR(__xludf.DUMMYFUNCTION("""COMPUTED_VALUE"""),-0.766054108594643)</f>
        <v>-0.76605410859464296</v>
      </c>
      <c r="BX118" s="3">
        <f ca="1">IFERROR(__xludf.DUMMYFUNCTION("""COMPUTED_VALUE"""),-0.830841199991048)</f>
        <v>-0.830841199991048</v>
      </c>
      <c r="BY118" s="3">
        <f ca="1">IFERROR(__xludf.DUMMYFUNCTION("""COMPUTED_VALUE"""),-0.851868737048822)</f>
        <v>-0.85186873704882204</v>
      </c>
      <c r="BZ118" s="3">
        <f ca="1">IFERROR(__xludf.DUMMYFUNCTION("""COMPUTED_VALUE"""),-0.839399898461638)</f>
        <v>-0.83939989846163798</v>
      </c>
      <c r="CA118" s="3">
        <f ca="1">IFERROR(__xludf.DUMMYFUNCTION("""COMPUTED_VALUE"""),-0.85827845831395)</f>
        <v>-0.85827845831395</v>
      </c>
      <c r="CB118" s="3">
        <f ca="1">IFERROR(__xludf.DUMMYFUNCTION("""COMPUTED_VALUE"""),-0.825908935492831)</f>
        <v>-0.82590893549283095</v>
      </c>
      <c r="CC118" s="3">
        <f ca="1">IFERROR(__xludf.DUMMYFUNCTION("""COMPUTED_VALUE"""),-0.818779336686098)</f>
        <v>-0.81877933668609804</v>
      </c>
      <c r="CD118" s="3">
        <f ca="1">IFERROR(__xludf.DUMMYFUNCTION("""COMPUTED_VALUE"""),-0.800447667195221)</f>
        <v>-0.80044766719522098</v>
      </c>
      <c r="CE118" s="3">
        <f ca="1">IFERROR(__xludf.DUMMYFUNCTION("""COMPUTED_VALUE"""),-0.852768909635165)</f>
        <v>-0.85276890963516505</v>
      </c>
      <c r="CF118" s="3">
        <f ca="1">IFERROR(__xludf.DUMMYFUNCTION("""COMPUTED_VALUE"""),-0.839593105975821)</f>
        <v>-0.83959310597582104</v>
      </c>
      <c r="CG118" s="3">
        <f ca="1">IFERROR(__xludf.DUMMYFUNCTION("""COMPUTED_VALUE"""),-0.854918754839573)</f>
        <v>-0.85491875483957303</v>
      </c>
      <c r="CH118" s="3">
        <f ca="1">IFERROR(__xludf.DUMMYFUNCTION("""COMPUTED_VALUE"""),-0.843025010745549)</f>
        <v>-0.84302501074554903</v>
      </c>
      <c r="CI118" s="3">
        <f ca="1">IFERROR(__xludf.DUMMYFUNCTION("""COMPUTED_VALUE"""),-0.816274423423995)</f>
        <v>-0.81627442342399503</v>
      </c>
      <c r="CJ118" s="3">
        <f ca="1">IFERROR(__xludf.DUMMYFUNCTION("""COMPUTED_VALUE"""),-0.770953152381973)</f>
        <v>-0.77095315238197304</v>
      </c>
      <c r="CK118" s="3">
        <f ca="1">IFERROR(__xludf.DUMMYFUNCTION("""COMPUTED_VALUE"""),-0.76645832299964)</f>
        <v>-0.76645832299964001</v>
      </c>
      <c r="CL118" s="3">
        <f ca="1">IFERROR(__xludf.DUMMYFUNCTION("""COMPUTED_VALUE"""),-0.849898843512069)</f>
        <v>-0.84989884351206901</v>
      </c>
      <c r="CM118" s="3">
        <f ca="1">IFERROR(__xludf.DUMMYFUNCTION("""COMPUTED_VALUE"""),-0.848144156204039)</f>
        <v>-0.84814415620403905</v>
      </c>
      <c r="CN118" s="3">
        <f ca="1">IFERROR(__xludf.DUMMYFUNCTION("""COMPUTED_VALUE"""),-0.875997424671754)</f>
        <v>-0.87599742467175401</v>
      </c>
      <c r="CO118" s="3">
        <f ca="1">IFERROR(__xludf.DUMMYFUNCTION("""COMPUTED_VALUE"""),-0.859252263522912)</f>
        <v>-0.85925226352291195</v>
      </c>
      <c r="CP118" s="3">
        <f ca="1">IFERROR(__xludf.DUMMYFUNCTION("""COMPUTED_VALUE"""),-0.864128213772761)</f>
        <v>-0.86412821377276094</v>
      </c>
      <c r="CQ118" s="3">
        <f ca="1">IFERROR(__xludf.DUMMYFUNCTION("""COMPUTED_VALUE"""),-0.816511908281545)</f>
        <v>-0.81651190828154496</v>
      </c>
      <c r="CR118" s="3">
        <f ca="1">IFERROR(__xludf.DUMMYFUNCTION("""COMPUTED_VALUE"""),-0.829925928939123)</f>
        <v>-0.82992592893912298</v>
      </c>
      <c r="CS118" s="3">
        <f ca="1">IFERROR(__xludf.DUMMYFUNCTION("""COMPUTED_VALUE"""),-0.856957465949545)</f>
        <v>-0.85695746594954503</v>
      </c>
      <c r="CT118" s="3">
        <f ca="1">IFERROR(__xludf.DUMMYFUNCTION("""COMPUTED_VALUE"""),-0.839923080878758)</f>
        <v>-0.839923080878758</v>
      </c>
      <c r="CU118" s="3">
        <f ca="1">IFERROR(__xludf.DUMMYFUNCTION("""COMPUTED_VALUE"""),-0.876712130637437)</f>
        <v>-0.87671213063743703</v>
      </c>
      <c r="CV118" s="3">
        <f ca="1">IFERROR(__xludf.DUMMYFUNCTION("""COMPUTED_VALUE"""),-0.855249435643156)</f>
        <v>-0.85524943564315603</v>
      </c>
      <c r="CW118" s="3">
        <f ca="1">IFERROR(__xludf.DUMMYFUNCTION("""COMPUTED_VALUE"""),-0.846418934735701)</f>
        <v>-0.84641893473570096</v>
      </c>
      <c r="CX118" s="3">
        <f ca="1">IFERROR(__xludf.DUMMYFUNCTION("""COMPUTED_VALUE"""),-0.779902480756082)</f>
        <v>-0.77990248075608204</v>
      </c>
      <c r="CY118" s="3">
        <f ca="1">IFERROR(__xludf.DUMMYFUNCTION("""COMPUTED_VALUE"""),-0.810990473406959)</f>
        <v>-0.81099047340695896</v>
      </c>
      <c r="CZ118" s="3">
        <f ca="1">IFERROR(__xludf.DUMMYFUNCTION("""COMPUTED_VALUE"""),-0.839716151309151)</f>
        <v>-0.839716151309151</v>
      </c>
      <c r="DA118" s="3">
        <f ca="1">IFERROR(__xludf.DUMMYFUNCTION("""COMPUTED_VALUE"""),-0.813397548258109)</f>
        <v>-0.81339754825810895</v>
      </c>
      <c r="DB118" s="3">
        <f ca="1">IFERROR(__xludf.DUMMYFUNCTION("""COMPUTED_VALUE"""),-0.787847341758246)</f>
        <v>-0.787847341758246</v>
      </c>
      <c r="DC118" s="3">
        <f ca="1">IFERROR(__xludf.DUMMYFUNCTION("""COMPUTED_VALUE"""),-0.814307286090608)</f>
        <v>-0.81430728609060798</v>
      </c>
      <c r="DD118" s="3">
        <f ca="1">IFERROR(__xludf.DUMMYFUNCTION("""COMPUTED_VALUE"""),-0.842868188124595)</f>
        <v>-0.84286818812459496</v>
      </c>
      <c r="DE118" s="3">
        <f ca="1">IFERROR(__xludf.DUMMYFUNCTION("""COMPUTED_VALUE"""),-0.820945722107172)</f>
        <v>-0.82094572210717198</v>
      </c>
      <c r="DF118" s="3">
        <f ca="1">IFERROR(__xludf.DUMMYFUNCTION("""COMPUTED_VALUE"""),-0.843106356628482)</f>
        <v>-0.84310635662848199</v>
      </c>
      <c r="DG118" s="3">
        <f ca="1">IFERROR(__xludf.DUMMYFUNCTION("""COMPUTED_VALUE"""),-0.907958414294488)</f>
        <v>-0.90795841429448798</v>
      </c>
      <c r="DH118" s="3">
        <f ca="1">IFERROR(__xludf.DUMMYFUNCTION("""COMPUTED_VALUE"""),-0.829004567082001)</f>
        <v>-0.82900456708200099</v>
      </c>
      <c r="DI118" s="3">
        <f ca="1">IFERROR(__xludf.DUMMYFUNCTION("""COMPUTED_VALUE"""),-0.734103656326996)</f>
        <v>-0.73410365632699603</v>
      </c>
      <c r="DJ118" s="3">
        <f ca="1">IFERROR(__xludf.DUMMYFUNCTION("""COMPUTED_VALUE"""),-0.784267099101422)</f>
        <v>-0.784267099101422</v>
      </c>
      <c r="DK118" s="3">
        <f ca="1">IFERROR(__xludf.DUMMYFUNCTION("""COMPUTED_VALUE"""),-0.824061337278225)</f>
        <v>-0.82406133727822495</v>
      </c>
      <c r="DL118" s="3">
        <f ca="1">IFERROR(__xludf.DUMMYFUNCTION("""COMPUTED_VALUE"""),-0.818673356487052)</f>
        <v>-0.81867335648705197</v>
      </c>
      <c r="DM118" s="3">
        <f ca="1">IFERROR(__xludf.DUMMYFUNCTION("""COMPUTED_VALUE"""),-0.807095799983021)</f>
        <v>-0.80709579998302095</v>
      </c>
      <c r="DN118" s="3">
        <f ca="1">IFERROR(__xludf.DUMMYFUNCTION("""COMPUTED_VALUE"""),-0.824171941230718)</f>
        <v>-0.82417194123071802</v>
      </c>
      <c r="DO118" s="3">
        <f ca="1">IFERROR(__xludf.DUMMYFUNCTION("""COMPUTED_VALUE"""),-0.813122021875568)</f>
        <v>-0.81312202187556804</v>
      </c>
      <c r="DP118" s="3">
        <f ca="1">IFERROR(__xludf.DUMMYFUNCTION("""COMPUTED_VALUE"""),-0.814487289647139)</f>
        <v>-0.81448728964713901</v>
      </c>
      <c r="DQ118" s="3">
        <f ca="1">IFERROR(__xludf.DUMMYFUNCTION("""COMPUTED_VALUE"""),-0.834883657874081)</f>
        <v>-0.83488365787408103</v>
      </c>
      <c r="DR118" s="3">
        <f ca="1">IFERROR(__xludf.DUMMYFUNCTION("""COMPUTED_VALUE"""),-0.839831741384019)</f>
        <v>-0.83983174138401895</v>
      </c>
      <c r="DS118" s="3">
        <f ca="1">IFERROR(__xludf.DUMMYFUNCTION("""COMPUTED_VALUE"""),-0.845387506381772)</f>
        <v>-0.84538750638177196</v>
      </c>
      <c r="DT118" s="3">
        <f ca="1">IFERROR(__xludf.DUMMYFUNCTION("""COMPUTED_VALUE"""),-0.807932994028585)</f>
        <v>-0.80793299402858498</v>
      </c>
      <c r="DU118" s="3">
        <f ca="1">IFERROR(__xludf.DUMMYFUNCTION("""COMPUTED_VALUE"""),-0.863211413359565)</f>
        <v>-0.86321141335956497</v>
      </c>
      <c r="DV118" s="3">
        <f ca="1">IFERROR(__xludf.DUMMYFUNCTION("""COMPUTED_VALUE"""),-0.862998897478879)</f>
        <v>-0.86299889747887903</v>
      </c>
      <c r="DW118" s="3">
        <f ca="1">IFERROR(__xludf.DUMMYFUNCTION("""COMPUTED_VALUE"""),-0.866767872960375)</f>
        <v>-0.86676787296037505</v>
      </c>
      <c r="DX118" s="3">
        <f ca="1">IFERROR(__xludf.DUMMYFUNCTION("""COMPUTED_VALUE"""),-0.870789726044336)</f>
        <v>-0.87078972604433602</v>
      </c>
      <c r="DY118" s="3">
        <f ca="1">IFERROR(__xludf.DUMMYFUNCTION("""COMPUTED_VALUE"""),-0.85588758914523)</f>
        <v>-0.85588758914523</v>
      </c>
      <c r="DZ118" s="3">
        <f ca="1">IFERROR(__xludf.DUMMYFUNCTION("""COMPUTED_VALUE"""),-0.784083505525029)</f>
        <v>-0.78408350552502903</v>
      </c>
      <c r="EA118" s="3">
        <f ca="1">IFERROR(__xludf.DUMMYFUNCTION("""COMPUTED_VALUE"""),-0.802448502432622)</f>
        <v>-0.802448502432622</v>
      </c>
      <c r="EB118" s="3">
        <f ca="1">IFERROR(__xludf.DUMMYFUNCTION("""COMPUTED_VALUE"""),-0.830770819001874)</f>
        <v>-0.83077081900187399</v>
      </c>
      <c r="EC118" s="3">
        <f ca="1">IFERROR(__xludf.DUMMYFUNCTION("""COMPUTED_VALUE"""),-0.816582937831679)</f>
        <v>-0.81658293783167901</v>
      </c>
      <c r="ED118" s="3">
        <f ca="1">IFERROR(__xludf.DUMMYFUNCTION("""COMPUTED_VALUE"""),-0.842362657435007)</f>
        <v>-0.84236265743500705</v>
      </c>
      <c r="EE118" s="3">
        <f ca="1">IFERROR(__xludf.DUMMYFUNCTION("""COMPUTED_VALUE"""),-0.849421303738311)</f>
        <v>-0.84942130373831104</v>
      </c>
      <c r="EF118" s="3">
        <f ca="1">IFERROR(__xludf.DUMMYFUNCTION("""COMPUTED_VALUE"""),-0.82569224836237)</f>
        <v>-0.82569224836236998</v>
      </c>
      <c r="EG118" s="3">
        <f ca="1">IFERROR(__xludf.DUMMYFUNCTION("""COMPUTED_VALUE"""),-0.798617174006797)</f>
        <v>-0.79861717400679699</v>
      </c>
      <c r="EH118" s="3">
        <f ca="1">IFERROR(__xludf.DUMMYFUNCTION("""COMPUTED_VALUE"""),-0.810962727730872)</f>
        <v>-0.81096272773087197</v>
      </c>
      <c r="EI118" s="3">
        <f ca="1">IFERROR(__xludf.DUMMYFUNCTION("""COMPUTED_VALUE"""),-0.851253279284767)</f>
        <v>-0.85125327928476702</v>
      </c>
      <c r="EJ118" s="3">
        <f ca="1">IFERROR(__xludf.DUMMYFUNCTION("""COMPUTED_VALUE"""),-0.886626749097855)</f>
        <v>-0.88662674909785499</v>
      </c>
      <c r="EK118" s="3">
        <f ca="1">IFERROR(__xludf.DUMMYFUNCTION("""COMPUTED_VALUE"""),-0.821798812532836)</f>
        <v>-0.82179881253283604</v>
      </c>
      <c r="EL118" s="3">
        <f ca="1">IFERROR(__xludf.DUMMYFUNCTION("""COMPUTED_VALUE"""),-0.840483076087929)</f>
        <v>-0.84048307608792905</v>
      </c>
      <c r="EM118" s="3">
        <f ca="1">IFERROR(__xludf.DUMMYFUNCTION("""COMPUTED_VALUE"""),-0.826122657533496)</f>
        <v>-0.82612265753349601</v>
      </c>
      <c r="EN118" s="3">
        <f ca="1">IFERROR(__xludf.DUMMYFUNCTION("""COMPUTED_VALUE"""),-0.774253043844111)</f>
        <v>-0.77425304384411098</v>
      </c>
      <c r="EO118" s="3">
        <f ca="1">IFERROR(__xludf.DUMMYFUNCTION("""COMPUTED_VALUE"""),-0.754306973914483)</f>
        <v>-0.75430697391448298</v>
      </c>
      <c r="EP118" s="3">
        <f ca="1">IFERROR(__xludf.DUMMYFUNCTION("""COMPUTED_VALUE"""),-0.812640016343207)</f>
        <v>-0.81264001634320704</v>
      </c>
      <c r="EQ118" s="3">
        <f ca="1">IFERROR(__xludf.DUMMYFUNCTION("""COMPUTED_VALUE"""),-0.810550192869595)</f>
        <v>-0.81055019286959495</v>
      </c>
      <c r="ER118" s="3">
        <f ca="1">IFERROR(__xludf.DUMMYFUNCTION("""COMPUTED_VALUE"""),-0.8577925988455)</f>
        <v>-0.85779259884549997</v>
      </c>
      <c r="ES118" s="3">
        <f ca="1">IFERROR(__xludf.DUMMYFUNCTION("""COMPUTED_VALUE"""),-0.863427422203246)</f>
        <v>-0.86342742220324598</v>
      </c>
      <c r="ET118" s="3">
        <f ca="1">IFERROR(__xludf.DUMMYFUNCTION("""COMPUTED_VALUE"""),-0.822495224290823)</f>
        <v>-0.822495224290823</v>
      </c>
      <c r="EU118" s="3">
        <f ca="1">IFERROR(__xludf.DUMMYFUNCTION("""COMPUTED_VALUE"""),-0.76871750752039)</f>
        <v>-0.76871750752039003</v>
      </c>
      <c r="EV118" s="3">
        <f ca="1">IFERROR(__xludf.DUMMYFUNCTION("""COMPUTED_VALUE"""),-0.774958087250119)</f>
        <v>-0.77495808725011905</v>
      </c>
      <c r="EW118" s="3">
        <f ca="1">IFERROR(__xludf.DUMMYFUNCTION("""COMPUTED_VALUE"""),-0.829420801727422)</f>
        <v>-0.82942080172742205</v>
      </c>
      <c r="EX118" s="3">
        <f ca="1">IFERROR(__xludf.DUMMYFUNCTION("""COMPUTED_VALUE"""),-0.8575496063222)</f>
        <v>-0.85754960632220001</v>
      </c>
      <c r="EY118" s="3">
        <f ca="1">IFERROR(__xludf.DUMMYFUNCTION("""COMPUTED_VALUE"""),-0.842994090421612)</f>
        <v>-0.842994090421612</v>
      </c>
      <c r="EZ118" s="3">
        <f ca="1">IFERROR(__xludf.DUMMYFUNCTION("""COMPUTED_VALUE"""),-0.823833194441524)</f>
        <v>-0.82383319444152403</v>
      </c>
      <c r="FA118" s="3">
        <f ca="1">IFERROR(__xludf.DUMMYFUNCTION("""COMPUTED_VALUE"""),-0.844213050226806)</f>
        <v>-0.84421305022680604</v>
      </c>
      <c r="FB118" s="3">
        <f ca="1">IFERROR(__xludf.DUMMYFUNCTION("""COMPUTED_VALUE"""),-0.812614462515132)</f>
        <v>-0.81261446251513203</v>
      </c>
      <c r="FC118" s="3">
        <f ca="1">IFERROR(__xludf.DUMMYFUNCTION("""COMPUTED_VALUE"""),-0.811467688385401)</f>
        <v>-0.81146768838540095</v>
      </c>
      <c r="FD118" s="3">
        <f ca="1">IFERROR(__xludf.DUMMYFUNCTION("""COMPUTED_VALUE"""),-0.844293371592672)</f>
        <v>-0.84429337159267204</v>
      </c>
      <c r="FE118" s="3">
        <f ca="1">IFERROR(__xludf.DUMMYFUNCTION("""COMPUTED_VALUE"""),-0.839898002422321)</f>
        <v>-0.83989800242232104</v>
      </c>
      <c r="FF118" s="3">
        <f ca="1">IFERROR(__xludf.DUMMYFUNCTION("""COMPUTED_VALUE"""),-0.850878568846622)</f>
        <v>-0.85087856884662205</v>
      </c>
      <c r="FG118" s="3">
        <f ca="1">IFERROR(__xludf.DUMMYFUNCTION("""COMPUTED_VALUE"""),-0.846223761688242)</f>
        <v>-0.84622376168824198</v>
      </c>
      <c r="FH118" s="3">
        <f ca="1">IFERROR(__xludf.DUMMYFUNCTION("""COMPUTED_VALUE"""),-0.841686286271829)</f>
        <v>-0.84168628627182895</v>
      </c>
      <c r="FI118" s="3">
        <f ca="1">IFERROR(__xludf.DUMMYFUNCTION("""COMPUTED_VALUE"""),-0.782291623718107)</f>
        <v>-0.78229162371810701</v>
      </c>
      <c r="FJ118" s="3">
        <f ca="1">IFERROR(__xludf.DUMMYFUNCTION("""COMPUTED_VALUE"""),-0.795222134723272)</f>
        <v>-0.79522213472327197</v>
      </c>
      <c r="FK118" s="3">
        <f ca="1">IFERROR(__xludf.DUMMYFUNCTION("""COMPUTED_VALUE"""),-0.841499775553374)</f>
        <v>-0.84149977555337396</v>
      </c>
      <c r="FL118" s="3">
        <f ca="1">IFERROR(__xludf.DUMMYFUNCTION("""COMPUTED_VALUE"""),-0.855548134332643)</f>
        <v>-0.85554813433264298</v>
      </c>
      <c r="FM118" s="3">
        <f ca="1">IFERROR(__xludf.DUMMYFUNCTION("""COMPUTED_VALUE"""),-0.868033799943076)</f>
        <v>-0.86803379994307595</v>
      </c>
      <c r="FN118" s="3">
        <f ca="1">IFERROR(__xludf.DUMMYFUNCTION("""COMPUTED_VALUE"""),-0.858818345870504)</f>
        <v>-0.85881834587050399</v>
      </c>
      <c r="FO118" s="3">
        <f ca="1">IFERROR(__xludf.DUMMYFUNCTION("""COMPUTED_VALUE"""),-0.843654099539671)</f>
        <v>-0.84365409953967097</v>
      </c>
      <c r="FP118" s="3">
        <f ca="1">IFERROR(__xludf.DUMMYFUNCTION("""COMPUTED_VALUE"""),-0.820186200914907)</f>
        <v>-0.82018620091490702</v>
      </c>
      <c r="FQ118" s="3">
        <f ca="1">IFERROR(__xludf.DUMMYFUNCTION("""COMPUTED_VALUE"""),-0.809059829859093)</f>
        <v>-0.80905982985909297</v>
      </c>
      <c r="FR118" s="3">
        <f ca="1">IFERROR(__xludf.DUMMYFUNCTION("""COMPUTED_VALUE"""),-0.844982312644581)</f>
        <v>-0.84498231264458101</v>
      </c>
      <c r="FS118" s="3">
        <f ca="1">IFERROR(__xludf.DUMMYFUNCTION("""COMPUTED_VALUE"""),-0.849410592993299)</f>
        <v>-0.84941059299329902</v>
      </c>
      <c r="FT118" s="3">
        <f ca="1">IFERROR(__xludf.DUMMYFUNCTION("""COMPUTED_VALUE"""),-0.849396045879928)</f>
        <v>-0.84939604587992801</v>
      </c>
      <c r="FU118" s="3">
        <f ca="1">IFERROR(__xludf.DUMMYFUNCTION("""COMPUTED_VALUE"""),-0.824031613744206)</f>
        <v>-0.82403161374420597</v>
      </c>
      <c r="FV118" s="3">
        <f ca="1">IFERROR(__xludf.DUMMYFUNCTION("""COMPUTED_VALUE"""),-0.779813729678666)</f>
        <v>-0.77981372967866602</v>
      </c>
      <c r="FW118" s="3">
        <f ca="1">IFERROR(__xludf.DUMMYFUNCTION("""COMPUTED_VALUE"""),-0.751951868532289)</f>
        <v>-0.75195186853228901</v>
      </c>
      <c r="FX118" s="3">
        <f ca="1">IFERROR(__xludf.DUMMYFUNCTION("""COMPUTED_VALUE"""),-0.756048998124603)</f>
        <v>-0.75604899812460302</v>
      </c>
      <c r="FY118" s="3">
        <f ca="1">IFERROR(__xludf.DUMMYFUNCTION("""COMPUTED_VALUE"""),-0.810110824417726)</f>
        <v>-0.81011082441772597</v>
      </c>
      <c r="FZ118" s="3">
        <f ca="1">IFERROR(__xludf.DUMMYFUNCTION("""COMPUTED_VALUE"""),-0.827322344807127)</f>
        <v>-0.82732234480712696</v>
      </c>
      <c r="GA118" s="3">
        <f ca="1">IFERROR(__xludf.DUMMYFUNCTION("""COMPUTED_VALUE"""),-0.796242611582681)</f>
        <v>-0.79624261158268095</v>
      </c>
      <c r="GB118" s="3">
        <f ca="1">IFERROR(__xludf.DUMMYFUNCTION("""COMPUTED_VALUE"""),-0.819790253743804)</f>
        <v>-0.81979025374380399</v>
      </c>
      <c r="GC118" s="3">
        <f ca="1">IFERROR(__xludf.DUMMYFUNCTION("""COMPUTED_VALUE"""),-0.775118769529919)</f>
        <v>-0.77511876952991898</v>
      </c>
      <c r="GD118" s="3">
        <f ca="1">IFERROR(__xludf.DUMMYFUNCTION("""COMPUTED_VALUE"""),-0.741720415719296)</f>
        <v>-0.74172041571929603</v>
      </c>
      <c r="GE118" s="3">
        <f ca="1">IFERROR(__xludf.DUMMYFUNCTION("""COMPUTED_VALUE"""),-0.776069175148924)</f>
        <v>-0.77606917514892404</v>
      </c>
      <c r="GF118" s="3">
        <f ca="1">IFERROR(__xludf.DUMMYFUNCTION("""COMPUTED_VALUE"""),-0.825805026784091)</f>
        <v>-0.82580502678409096</v>
      </c>
      <c r="GG118" s="3">
        <f ca="1">IFERROR(__xludf.DUMMYFUNCTION("""COMPUTED_VALUE"""),-0.839879952994718)</f>
        <v>-0.83987995299471796</v>
      </c>
      <c r="GH118" s="3">
        <f ca="1">IFERROR(__xludf.DUMMYFUNCTION("""COMPUTED_VALUE"""),-0.823567607553221)</f>
        <v>-0.823567607553221</v>
      </c>
      <c r="GI118" s="3">
        <f ca="1">IFERROR(__xludf.DUMMYFUNCTION("""COMPUTED_VALUE"""),-0.816889466322875)</f>
        <v>-0.81688946632287496</v>
      </c>
      <c r="GJ118" s="3">
        <f ca="1">IFERROR(__xludf.DUMMYFUNCTION("""COMPUTED_VALUE"""),-0.800368214677482)</f>
        <v>-0.80036821467748198</v>
      </c>
      <c r="GK118" s="3">
        <f ca="1">IFERROR(__xludf.DUMMYFUNCTION("""COMPUTED_VALUE"""),-0.75995888733453)</f>
        <v>-0.75995888733452999</v>
      </c>
      <c r="GL118" s="3">
        <f ca="1">IFERROR(__xludf.DUMMYFUNCTION("""COMPUTED_VALUE"""),-0.762098306900222)</f>
        <v>-0.76209830690022196</v>
      </c>
      <c r="GM118" s="3">
        <f ca="1">IFERROR(__xludf.DUMMYFUNCTION("""COMPUTED_VALUE"""),-0.804972204135943)</f>
        <v>-0.80497220413594295</v>
      </c>
      <c r="GN118" s="3">
        <f ca="1">IFERROR(__xludf.DUMMYFUNCTION("""COMPUTED_VALUE"""),-0.82393518611926)</f>
        <v>-0.82393518611925998</v>
      </c>
      <c r="GO118" s="3">
        <f ca="1">IFERROR(__xludf.DUMMYFUNCTION("""COMPUTED_VALUE"""),-0.816021939616905)</f>
        <v>-0.81602193961690495</v>
      </c>
      <c r="GP118" s="3">
        <f ca="1">IFERROR(__xludf.DUMMYFUNCTION("""COMPUTED_VALUE"""),-0.814676392894085)</f>
        <v>-0.814676392894085</v>
      </c>
      <c r="GQ118" s="3">
        <f ca="1">IFERROR(__xludf.DUMMYFUNCTION("""COMPUTED_VALUE"""),-0.813726967813962)</f>
        <v>-0.81372696781396203</v>
      </c>
      <c r="GR118" s="3">
        <f ca="1">IFERROR(__xludf.DUMMYFUNCTION("""COMPUTED_VALUE"""),-0.763306273479186)</f>
        <v>-0.763306273479186</v>
      </c>
      <c r="GS118" s="3">
        <f ca="1">IFERROR(__xludf.DUMMYFUNCTION("""COMPUTED_VALUE"""),-0.759147110567362)</f>
        <v>-0.75914711056736195</v>
      </c>
      <c r="GT118" s="3">
        <f ca="1">IFERROR(__xludf.DUMMYFUNCTION("""COMPUTED_VALUE"""),-0.819347124010246)</f>
        <v>-0.81934712401024601</v>
      </c>
      <c r="GU118" s="3">
        <f ca="1">IFERROR(__xludf.DUMMYFUNCTION("""COMPUTED_VALUE"""),-0.829760642422026)</f>
        <v>-0.82976064242202596</v>
      </c>
      <c r="GV118" s="3">
        <f ca="1">IFERROR(__xludf.DUMMYFUNCTION("""COMPUTED_VALUE"""),-0.839559282864112)</f>
        <v>-0.83955928286411197</v>
      </c>
      <c r="GW118" s="3">
        <f ca="1">IFERROR(__xludf.DUMMYFUNCTION("""COMPUTED_VALUE"""),-0.83915392462768)</f>
        <v>-0.83915392462768001</v>
      </c>
      <c r="GX118" s="3">
        <f ca="1">IFERROR(__xludf.DUMMYFUNCTION("""COMPUTED_VALUE"""),-0.798903688067654)</f>
        <v>-0.79890368806765399</v>
      </c>
      <c r="GY118" s="3">
        <f ca="1">IFERROR(__xludf.DUMMYFUNCTION("""COMPUTED_VALUE"""),-0.752479741788577)</f>
        <v>-0.75247974178857702</v>
      </c>
      <c r="GZ118" s="3">
        <f ca="1">IFERROR(__xludf.DUMMYFUNCTION("""COMPUTED_VALUE"""),-0.776345716359167)</f>
        <v>-0.77634571635916705</v>
      </c>
      <c r="HA118" s="3">
        <f ca="1">IFERROR(__xludf.DUMMYFUNCTION("""COMPUTED_VALUE"""),-0.837589861444122)</f>
        <v>-0.83758986144412195</v>
      </c>
      <c r="HB118" s="3">
        <f ca="1">IFERROR(__xludf.DUMMYFUNCTION("""COMPUTED_VALUE"""),-0.842468980967044)</f>
        <v>-0.84246898096704403</v>
      </c>
      <c r="HC118" s="3">
        <f ca="1">IFERROR(__xludf.DUMMYFUNCTION("""COMPUTED_VALUE"""),-0.840708336525479)</f>
        <v>-0.84070833652547905</v>
      </c>
      <c r="HD118" s="3">
        <f ca="1">IFERROR(__xludf.DUMMYFUNCTION("""COMPUTED_VALUE"""),-0.836218290529661)</f>
        <v>-0.83621829052966101</v>
      </c>
      <c r="HE118" s="3">
        <f ca="1">IFERROR(__xludf.DUMMYFUNCTION("""COMPUTED_VALUE"""),-0.832456143120569)</f>
        <v>-0.83245614312056904</v>
      </c>
      <c r="HF118" s="3">
        <f ca="1">IFERROR(__xludf.DUMMYFUNCTION("""COMPUTED_VALUE"""),-0.780873389874081)</f>
        <v>-0.78087338987408095</v>
      </c>
      <c r="HG118" s="3">
        <f ca="1">IFERROR(__xludf.DUMMYFUNCTION("""COMPUTED_VALUE"""),-0.802922178054625)</f>
        <v>-0.80292217805462496</v>
      </c>
      <c r="HH118" s="3">
        <f ca="1">IFERROR(__xludf.DUMMYFUNCTION("""COMPUTED_VALUE"""),-0.851248046770124)</f>
        <v>-0.851248046770124</v>
      </c>
      <c r="HI118" s="3">
        <f ca="1">IFERROR(__xludf.DUMMYFUNCTION("""COMPUTED_VALUE"""),-0.847259366582474)</f>
        <v>-0.84725936658247403</v>
      </c>
      <c r="HJ118" s="3">
        <f ca="1">IFERROR(__xludf.DUMMYFUNCTION("""COMPUTED_VALUE"""),-0.831260756205171)</f>
        <v>-0.83126075620517104</v>
      </c>
      <c r="HK118" s="3">
        <f ca="1">IFERROR(__xludf.DUMMYFUNCTION("""COMPUTED_VALUE"""),-0.8290279806426)</f>
        <v>-0.82902798064259997</v>
      </c>
      <c r="HL118" s="3">
        <f ca="1">IFERROR(__xludf.DUMMYFUNCTION("""COMPUTED_VALUE"""),-0.808172128628285)</f>
        <v>-0.80817212862828502</v>
      </c>
      <c r="HM118" s="3">
        <f ca="1">IFERROR(__xludf.DUMMYFUNCTION("""COMPUTED_VALUE"""),-0.75675621416472)</f>
        <v>-0.75675621416472005</v>
      </c>
      <c r="HN118" s="3">
        <f ca="1">IFERROR(__xludf.DUMMYFUNCTION("""COMPUTED_VALUE"""),-0.7320004533383)</f>
        <v>-0.73200045333829999</v>
      </c>
      <c r="HO118" s="3">
        <f ca="1">IFERROR(__xludf.DUMMYFUNCTION("""COMPUTED_VALUE"""),-0.816655315440381)</f>
        <v>-0.81665531544038095</v>
      </c>
      <c r="HP118" s="3">
        <f ca="1">IFERROR(__xludf.DUMMYFUNCTION("""COMPUTED_VALUE"""),-0.837131710715857)</f>
        <v>-0.83713171071585701</v>
      </c>
      <c r="HQ118" s="3">
        <f ca="1">IFERROR(__xludf.DUMMYFUNCTION("""COMPUTED_VALUE"""),-0.838039353824247)</f>
        <v>-0.83803935382424699</v>
      </c>
      <c r="HR118" s="3">
        <f ca="1">IFERROR(__xludf.DUMMYFUNCTION("""COMPUTED_VALUE"""),-0.828489183021712)</f>
        <v>-0.82848918302171204</v>
      </c>
      <c r="HS118" s="3">
        <f ca="1">IFERROR(__xludf.DUMMYFUNCTION("""COMPUTED_VALUE"""),-0.826375270611517)</f>
        <v>-0.82637527061151705</v>
      </c>
      <c r="HT118" s="3">
        <f ca="1">IFERROR(__xludf.DUMMYFUNCTION("""COMPUTED_VALUE"""),-0.810110965202256)</f>
        <v>-0.81011096520225601</v>
      </c>
      <c r="HU118" s="3">
        <f ca="1">IFERROR(__xludf.DUMMYFUNCTION("""COMPUTED_VALUE"""),-0.766501009366187)</f>
        <v>-0.76650100936618704</v>
      </c>
      <c r="HV118" s="3">
        <f ca="1">IFERROR(__xludf.DUMMYFUNCTION("""COMPUTED_VALUE"""),-0.795591218160082)</f>
        <v>-0.79559121816008205</v>
      </c>
      <c r="HW118" s="3">
        <f ca="1">IFERROR(__xludf.DUMMYFUNCTION("""COMPUTED_VALUE"""),-0.81960325376152)</f>
        <v>-0.81960325376151999</v>
      </c>
      <c r="HX118" s="3">
        <f ca="1">IFERROR(__xludf.DUMMYFUNCTION("""COMPUTED_VALUE"""),-0.854600238475744)</f>
        <v>-0.85460023847574396</v>
      </c>
      <c r="HY118" s="3">
        <f ca="1">IFERROR(__xludf.DUMMYFUNCTION("""COMPUTED_VALUE"""),-0.851078961938235)</f>
        <v>-0.85107896193823496</v>
      </c>
      <c r="HZ118" s="3">
        <f ca="1">IFERROR(__xludf.DUMMYFUNCTION("""COMPUTED_VALUE"""),-0.843228606561629)</f>
        <v>-0.84322860656162901</v>
      </c>
      <c r="IA118" s="3">
        <f ca="1">IFERROR(__xludf.DUMMYFUNCTION("""COMPUTED_VALUE"""),-0.844108233231412)</f>
        <v>-0.84410823323141204</v>
      </c>
      <c r="IB118" s="3">
        <f ca="1">IFERROR(__xludf.DUMMYFUNCTION("""COMPUTED_VALUE"""),-0.804349158968486)</f>
        <v>-0.80434915896848602</v>
      </c>
      <c r="IC118" s="3">
        <f ca="1">IFERROR(__xludf.DUMMYFUNCTION("""COMPUTED_VALUE"""),-0.849689055001673)</f>
        <v>-0.84968905500167302</v>
      </c>
      <c r="ID118" s="3">
        <f ca="1">IFERROR(__xludf.DUMMYFUNCTION("""COMPUTED_VALUE"""),-0.874904797517797)</f>
        <v>-0.87490479751779704</v>
      </c>
      <c r="IE118" s="3">
        <f ca="1">IFERROR(__xludf.DUMMYFUNCTION("""COMPUTED_VALUE"""),-0.883653736458628)</f>
        <v>-0.88365373645862799</v>
      </c>
      <c r="IF118" s="3">
        <f ca="1">IFERROR(__xludf.DUMMYFUNCTION("""COMPUTED_VALUE"""),-0.872755441024893)</f>
        <v>-0.872755441024893</v>
      </c>
      <c r="IG118" s="3">
        <f ca="1">IFERROR(__xludf.DUMMYFUNCTION("""COMPUTED_VALUE"""),-0.865317779965368)</f>
        <v>-0.86531777996536796</v>
      </c>
      <c r="IH118" s="3">
        <f ca="1">IFERROR(__xludf.DUMMYFUNCTION("""COMPUTED_VALUE"""),-0.839311273163778)</f>
        <v>-0.83931127316377796</v>
      </c>
      <c r="II118" s="3">
        <f ca="1">IFERROR(__xludf.DUMMYFUNCTION("""COMPUTED_VALUE"""),-0.804684522727274)</f>
        <v>-0.80468452272727398</v>
      </c>
      <c r="IJ118" s="3">
        <f ca="1">IFERROR(__xludf.DUMMYFUNCTION("""COMPUTED_VALUE"""),-0.840861666231891)</f>
        <v>-0.84086166623189096</v>
      </c>
      <c r="IK118" s="3">
        <f ca="1">IFERROR(__xludf.DUMMYFUNCTION("""COMPUTED_VALUE"""),-0.83757728000734)</f>
        <v>-0.83757728000734</v>
      </c>
      <c r="IL118" s="3">
        <f ca="1">IFERROR(__xludf.DUMMYFUNCTION("""COMPUTED_VALUE"""),-0.833607166763395)</f>
        <v>-0.83360716676339497</v>
      </c>
      <c r="IM118" s="3">
        <f ca="1">IFERROR(__xludf.DUMMYFUNCTION("""COMPUTED_VALUE"""),-0.832789573917214)</f>
        <v>-0.83278957391721398</v>
      </c>
      <c r="IN118" s="3">
        <f ca="1">IFERROR(__xludf.DUMMYFUNCTION("""COMPUTED_VALUE"""),-0.822805474209321)</f>
        <v>-0.82280547420932104</v>
      </c>
      <c r="IO118" s="3">
        <f ca="1">IFERROR(__xludf.DUMMYFUNCTION("""COMPUTED_VALUE"""),-0.816334695203289)</f>
        <v>-0.81633469520328905</v>
      </c>
      <c r="IP118" s="3">
        <f ca="1">IFERROR(__xludf.DUMMYFUNCTION("""COMPUTED_VALUE"""),-0.821100194212224)</f>
        <v>-0.82110019421222402</v>
      </c>
      <c r="IQ118" s="3">
        <f ca="1">IFERROR(__xludf.DUMMYFUNCTION("""COMPUTED_VALUE"""),-0.822457130856177)</f>
        <v>-0.822457130856177</v>
      </c>
      <c r="IR118" s="3">
        <f ca="1">IFERROR(__xludf.DUMMYFUNCTION("""COMPUTED_VALUE"""),-0.846893159728012)</f>
        <v>-0.84689315972801205</v>
      </c>
      <c r="IS118" s="3">
        <f ca="1">IFERROR(__xludf.DUMMYFUNCTION("""COMPUTED_VALUE"""),-0.849118877813219)</f>
        <v>-0.84911887781321904</v>
      </c>
      <c r="IT118" s="3">
        <f ca="1">IFERROR(__xludf.DUMMYFUNCTION("""COMPUTED_VALUE"""),-0.852178197148714)</f>
        <v>-0.85217819714871401</v>
      </c>
      <c r="IU118" s="3">
        <f ca="1">IFERROR(__xludf.DUMMYFUNCTION("""COMPUTED_VALUE"""),-0.853336796038032)</f>
        <v>-0.85333679603803203</v>
      </c>
      <c r="IV118" s="3">
        <f ca="1">IFERROR(__xludf.DUMMYFUNCTION("""COMPUTED_VALUE"""),-0.843232914649777)</f>
        <v>-0.84323291464977701</v>
      </c>
      <c r="IW118" s="3">
        <f ca="1">IFERROR(__xludf.DUMMYFUNCTION("""COMPUTED_VALUE"""),-0.833342660378506)</f>
        <v>-0.83334266037850602</v>
      </c>
      <c r="IX118" s="3">
        <f ca="1">IFERROR(__xludf.DUMMYFUNCTION("""COMPUTED_VALUE"""),-0.833664084892381)</f>
        <v>-0.83366408489238097</v>
      </c>
      <c r="IY118" s="3">
        <f ca="1">IFERROR(__xludf.DUMMYFUNCTION("""COMPUTED_VALUE"""),-0.870031402214996)</f>
        <v>-0.87003140221499597</v>
      </c>
      <c r="IZ118" s="3">
        <f ca="1">IFERROR(__xludf.DUMMYFUNCTION("""COMPUTED_VALUE"""),-0.870236596653755)</f>
        <v>-0.87023659665375497</v>
      </c>
      <c r="JA118" s="3">
        <f ca="1">IFERROR(__xludf.DUMMYFUNCTION("""COMPUTED_VALUE"""),-0.866809069384325)</f>
        <v>-0.866809069384325</v>
      </c>
      <c r="JB118" s="3">
        <f ca="1">IFERROR(__xludf.DUMMYFUNCTION("""COMPUTED_VALUE"""),-0.852173235244407)</f>
        <v>-0.85217323524440702</v>
      </c>
      <c r="JC118" s="3">
        <f ca="1">IFERROR(__xludf.DUMMYFUNCTION("""COMPUTED_VALUE"""),-0.861619769964002)</f>
        <v>-0.86161976996400202</v>
      </c>
      <c r="JD118" s="3">
        <f ca="1">IFERROR(__xludf.DUMMYFUNCTION("""COMPUTED_VALUE"""),-0.84432406168411)</f>
        <v>-0.84432406168411001</v>
      </c>
      <c r="JE118" s="3">
        <f ca="1">IFERROR(__xludf.DUMMYFUNCTION("""COMPUTED_VALUE"""),-0.861837866461667)</f>
        <v>-0.86183786646166705</v>
      </c>
      <c r="JF118" s="3">
        <f ca="1">IFERROR(__xludf.DUMMYFUNCTION("""COMPUTED_VALUE"""),-0.875715253518135)</f>
        <v>-0.87571525351813495</v>
      </c>
      <c r="JG118" s="3">
        <f ca="1">IFERROR(__xludf.DUMMYFUNCTION("""COMPUTED_VALUE"""),-0.871591804606596)</f>
        <v>-0.87159180460659602</v>
      </c>
      <c r="JH118" s="3">
        <f ca="1">IFERROR(__xludf.DUMMYFUNCTION("""COMPUTED_VALUE"""),-0.881240163323055)</f>
        <v>-0.88124016332305499</v>
      </c>
      <c r="JI118" s="3">
        <f ca="1">IFERROR(__xludf.DUMMYFUNCTION("""COMPUTED_VALUE"""),-0.876547322380018)</f>
        <v>-0.87654732238001798</v>
      </c>
      <c r="JJ118" s="3">
        <f ca="1">IFERROR(__xludf.DUMMYFUNCTION("""COMPUTED_VALUE"""),-0.849166477253659)</f>
        <v>-0.84916647725365901</v>
      </c>
      <c r="JK118" s="3">
        <f ca="1">IFERROR(__xludf.DUMMYFUNCTION("""COMPUTED_VALUE"""),-0.850334003594944)</f>
        <v>-0.85033400359494404</v>
      </c>
      <c r="JL118" s="3">
        <f ca="1">IFERROR(__xludf.DUMMYFUNCTION("""COMPUTED_VALUE"""),-0.837823999336634)</f>
        <v>-0.83782399933663398</v>
      </c>
      <c r="JM118" s="3">
        <f ca="1">IFERROR(__xludf.DUMMYFUNCTION("""COMPUTED_VALUE"""),-0.883249073058581)</f>
        <v>-0.88324907305858102</v>
      </c>
      <c r="JN118" s="3">
        <f ca="1">IFERROR(__xludf.DUMMYFUNCTION("""COMPUTED_VALUE"""),-0.879964762169761)</f>
        <v>-0.87996476216976105</v>
      </c>
      <c r="JO118" s="3">
        <f ca="1">IFERROR(__xludf.DUMMYFUNCTION("""COMPUTED_VALUE"""),-0.857867302527356)</f>
        <v>-0.85786730252735599</v>
      </c>
      <c r="JP118" s="3">
        <f ca="1">IFERROR(__xludf.DUMMYFUNCTION("""COMPUTED_VALUE"""),-0.844914354750279)</f>
        <v>-0.84491435475027898</v>
      </c>
      <c r="JQ118" s="3">
        <f ca="1">IFERROR(__xludf.DUMMYFUNCTION("""COMPUTED_VALUE"""),-0.826510006242705)</f>
        <v>-0.82651000624270499</v>
      </c>
      <c r="JR118" s="3">
        <f ca="1">IFERROR(__xludf.DUMMYFUNCTION("""COMPUTED_VALUE"""),-0.820350730821075)</f>
        <v>-0.82035073082107501</v>
      </c>
      <c r="JS118" s="3">
        <f ca="1">IFERROR(__xludf.DUMMYFUNCTION("""COMPUTED_VALUE"""),-0.847603385943721)</f>
        <v>-0.84760338594372098</v>
      </c>
      <c r="JT118" s="3">
        <f ca="1">IFERROR(__xludf.DUMMYFUNCTION("""COMPUTED_VALUE"""),-0.828182320241265)</f>
        <v>-0.82818232024126504</v>
      </c>
      <c r="JU118" s="3">
        <f ca="1">IFERROR(__xludf.DUMMYFUNCTION("""COMPUTED_VALUE"""),-0.805220773550354)</f>
        <v>-0.80522077355035404</v>
      </c>
      <c r="JV118" s="3">
        <f ca="1">IFERROR(__xludf.DUMMYFUNCTION("""COMPUTED_VALUE"""),-0.812478274467821)</f>
        <v>-0.81247827446782095</v>
      </c>
      <c r="JW118" s="3">
        <f ca="1">IFERROR(__xludf.DUMMYFUNCTION("""COMPUTED_VALUE"""),-0.879717785147883)</f>
        <v>-0.87971778514788301</v>
      </c>
      <c r="JX118" s="3">
        <f ca="1">IFERROR(__xludf.DUMMYFUNCTION("""COMPUTED_VALUE"""),-0.855774496457689)</f>
        <v>-0.85577449645768899</v>
      </c>
      <c r="JY118" s="3">
        <f ca="1">IFERROR(__xludf.DUMMYFUNCTION("""COMPUTED_VALUE"""),-0.904688139925054)</f>
        <v>-0.90468813992505404</v>
      </c>
      <c r="JZ118" s="3">
        <f ca="1">IFERROR(__xludf.DUMMYFUNCTION("""COMPUTED_VALUE"""),-0.918133444023053)</f>
        <v>-0.91813344402305297</v>
      </c>
      <c r="KA118" s="3">
        <f ca="1">IFERROR(__xludf.DUMMYFUNCTION("""COMPUTED_VALUE"""),-0.832978733262371)</f>
        <v>-0.83297873326237104</v>
      </c>
      <c r="KB118" s="3">
        <f ca="1">IFERROR(__xludf.DUMMYFUNCTION("""COMPUTED_VALUE"""),-0.860756310329607)</f>
        <v>-0.86075631032960698</v>
      </c>
      <c r="KC118" s="3">
        <f ca="1">IFERROR(__xludf.DUMMYFUNCTION("""COMPUTED_VALUE"""),-0.869905548177365)</f>
        <v>-0.86990554817736498</v>
      </c>
      <c r="KD118" s="3">
        <f ca="1">IFERROR(__xludf.DUMMYFUNCTION("""COMPUTED_VALUE"""),-0.864608482139244)</f>
        <v>-0.86460848213924402</v>
      </c>
      <c r="KE118" s="3">
        <f ca="1">IFERROR(__xludf.DUMMYFUNCTION("""COMPUTED_VALUE"""),-0.842066027232052)</f>
        <v>-0.84206602723205204</v>
      </c>
      <c r="KF118" s="3">
        <f ca="1">IFERROR(__xludf.DUMMYFUNCTION("""COMPUTED_VALUE"""),-0.819758247977551)</f>
        <v>-0.81975824797755104</v>
      </c>
      <c r="KG118" s="3">
        <f ca="1">IFERROR(__xludf.DUMMYFUNCTION("""COMPUTED_VALUE"""),-0.831409861651467)</f>
        <v>-0.83140986165146702</v>
      </c>
      <c r="KH118" s="3">
        <f ca="1">IFERROR(__xludf.DUMMYFUNCTION("""COMPUTED_VALUE"""),-0.847141965131548)</f>
        <v>-0.84714196513154805</v>
      </c>
      <c r="KI118" s="3">
        <f ca="1">IFERROR(__xludf.DUMMYFUNCTION("""COMPUTED_VALUE"""),-0.870284409758201)</f>
        <v>-0.87028440975820098</v>
      </c>
      <c r="KJ118" s="3">
        <f ca="1">IFERROR(__xludf.DUMMYFUNCTION("""COMPUTED_VALUE"""),-0.86382804840169)</f>
        <v>-0.86382804840169003</v>
      </c>
      <c r="KK118" s="3">
        <f ca="1">IFERROR(__xludf.DUMMYFUNCTION("""COMPUTED_VALUE"""),-0.848746811925883)</f>
        <v>-0.84874681192588297</v>
      </c>
      <c r="KL118" s="3">
        <f ca="1">IFERROR(__xludf.DUMMYFUNCTION("""COMPUTED_VALUE"""),-0.862230521426522)</f>
        <v>-0.86223052142652201</v>
      </c>
      <c r="KM118" s="3">
        <f ca="1">IFERROR(__xludf.DUMMYFUNCTION("""COMPUTED_VALUE"""),-0.830162633849789)</f>
        <v>-0.83016263384978894</v>
      </c>
      <c r="KN118" s="3">
        <f ca="1">IFERROR(__xludf.DUMMYFUNCTION("""COMPUTED_VALUE"""),-0.827502723568182)</f>
        <v>-0.827502723568182</v>
      </c>
      <c r="KO118" s="3">
        <f ca="1">IFERROR(__xludf.DUMMYFUNCTION("""COMPUTED_VALUE"""),-0.855071779452177)</f>
        <v>-0.85507177945217705</v>
      </c>
      <c r="KP118" s="3">
        <f ca="1">IFERROR(__xludf.DUMMYFUNCTION("""COMPUTED_VALUE"""),-0.835804131722551)</f>
        <v>-0.83580413172255097</v>
      </c>
      <c r="KQ118" s="3">
        <f ca="1">IFERROR(__xludf.DUMMYFUNCTION("""COMPUTED_VALUE"""),-0.877730986442191)</f>
        <v>-0.87773098644219105</v>
      </c>
      <c r="KR118" s="3">
        <f ca="1">IFERROR(__xludf.DUMMYFUNCTION("""COMPUTED_VALUE"""),-0.863593319219)</f>
        <v>-0.86359331921899996</v>
      </c>
      <c r="KS118" s="3">
        <f ca="1">IFERROR(__xludf.DUMMYFUNCTION("""COMPUTED_VALUE"""),-0.84608346539907)</f>
        <v>-0.84608346539906998</v>
      </c>
      <c r="KT118" s="3">
        <f ca="1">IFERROR(__xludf.DUMMYFUNCTION("""COMPUTED_VALUE"""),-0.84002023519985)</f>
        <v>-0.84002023519985003</v>
      </c>
      <c r="KU118" s="3">
        <f ca="1">IFERROR(__xludf.DUMMYFUNCTION("""COMPUTED_VALUE"""),-0.890466470870948)</f>
        <v>-0.89046647087094799</v>
      </c>
      <c r="KV118" s="3">
        <f ca="1">IFERROR(__xludf.DUMMYFUNCTION("""COMPUTED_VALUE"""),-0.878471083795426)</f>
        <v>-0.87847108379542604</v>
      </c>
      <c r="KW118" s="3">
        <f ca="1">IFERROR(__xludf.DUMMYFUNCTION("""COMPUTED_VALUE"""),-0.855601580013202)</f>
        <v>-0.85560158001320197</v>
      </c>
      <c r="KX118" s="3">
        <f ca="1">IFERROR(__xludf.DUMMYFUNCTION("""COMPUTED_VALUE"""),-0.863275950663478)</f>
        <v>-0.86327595066347795</v>
      </c>
      <c r="KY118" s="3">
        <f ca="1">IFERROR(__xludf.DUMMYFUNCTION("""COMPUTED_VALUE"""),-0.874333151549694)</f>
        <v>-0.87433315154969404</v>
      </c>
      <c r="KZ118" s="3">
        <f ca="1">IFERROR(__xludf.DUMMYFUNCTION("""COMPUTED_VALUE"""),-0.87337692389109)</f>
        <v>-0.87337692389109001</v>
      </c>
      <c r="LA118" s="3">
        <f ca="1">IFERROR(__xludf.DUMMYFUNCTION("""COMPUTED_VALUE"""),-0.869986854863776)</f>
        <v>-0.86998685486377603</v>
      </c>
      <c r="LB118" s="3">
        <f ca="1">IFERROR(__xludf.DUMMYFUNCTION("""COMPUTED_VALUE"""),-0.870563462601922)</f>
        <v>-0.87056346260192197</v>
      </c>
      <c r="LC118" s="3">
        <f ca="1">IFERROR(__xludf.DUMMYFUNCTION("""COMPUTED_VALUE"""),-0.869300786138527)</f>
        <v>-0.86930078613852702</v>
      </c>
      <c r="LD118" s="3">
        <f ca="1">IFERROR(__xludf.DUMMYFUNCTION("""COMPUTED_VALUE"""),-0.89209120297441)</f>
        <v>-0.89209120297441002</v>
      </c>
      <c r="LE118" s="3">
        <f ca="1">IFERROR(__xludf.DUMMYFUNCTION("""COMPUTED_VALUE"""),-0.897912430181225)</f>
        <v>-0.89791243018122502</v>
      </c>
      <c r="LF118" s="3">
        <f ca="1">IFERROR(__xludf.DUMMYFUNCTION("""COMPUTED_VALUE"""),-0.904563118893066)</f>
        <v>-0.90456311889306595</v>
      </c>
      <c r="LG118" s="3">
        <f ca="1">IFERROR(__xludf.DUMMYFUNCTION("""COMPUTED_VALUE"""),-0.970160322228054)</f>
        <v>-0.97016032222805404</v>
      </c>
      <c r="LH118" s="3">
        <f ca="1">IFERROR(__xludf.DUMMYFUNCTION("""COMPUTED_VALUE"""),-0.932739407068195)</f>
        <v>-0.93273940706819503</v>
      </c>
      <c r="LI118" s="3">
        <f ca="1">IFERROR(__xludf.DUMMYFUNCTION("""COMPUTED_VALUE"""),-0.877548559242309)</f>
        <v>-0.87754855924230901</v>
      </c>
      <c r="LJ118" s="3">
        <f ca="1">IFERROR(__xludf.DUMMYFUNCTION("""COMPUTED_VALUE"""),-0.879931590473455)</f>
        <v>-0.87993159047345504</v>
      </c>
      <c r="LK118" s="3">
        <f ca="1">IFERROR(__xludf.DUMMYFUNCTION("""COMPUTED_VALUE"""),-0.902528107021355)</f>
        <v>-0.902528107021355</v>
      </c>
      <c r="LL118" s="3">
        <f ca="1">IFERROR(__xludf.DUMMYFUNCTION("""COMPUTED_VALUE"""),-0.930454721996062)</f>
        <v>-0.93045472199606205</v>
      </c>
      <c r="LM118" s="3">
        <f ca="1">IFERROR(__xludf.DUMMYFUNCTION("""COMPUTED_VALUE"""),-0.97105043894153)</f>
        <v>-0.97105043894152998</v>
      </c>
      <c r="LN118" s="3">
        <f ca="1">IFERROR(__xludf.DUMMYFUNCTION("""COMPUTED_VALUE"""),-0.977557371986619)</f>
        <v>-0.97755737198661896</v>
      </c>
      <c r="LO118" s="3">
        <f ca="1">IFERROR(__xludf.DUMMYFUNCTION("""COMPUTED_VALUE"""),-0.939262486918042)</f>
        <v>-0.93926248691804204</v>
      </c>
      <c r="LP118" s="3">
        <f ca="1">IFERROR(__xludf.DUMMYFUNCTION("""COMPUTED_VALUE"""),-0.886114323892237)</f>
        <v>-0.88611432389223699</v>
      </c>
      <c r="LQ118" s="3">
        <f ca="1">IFERROR(__xludf.DUMMYFUNCTION("""COMPUTED_VALUE"""),-0.899197390235937)</f>
        <v>-0.89919739023593703</v>
      </c>
      <c r="LR118" s="3">
        <f ca="1">IFERROR(__xludf.DUMMYFUNCTION("""COMPUTED_VALUE"""),-0.916753775126178)</f>
        <v>-0.91675377512617795</v>
      </c>
      <c r="LS118" s="3">
        <f ca="1">IFERROR(__xludf.DUMMYFUNCTION("""COMPUTED_VALUE"""),-0.903861695687612)</f>
        <v>-0.90386169568761199</v>
      </c>
      <c r="LT118" s="3">
        <f ca="1">IFERROR(__xludf.DUMMYFUNCTION("""COMPUTED_VALUE"""),-0.91186733995752)</f>
        <v>-0.91186733995752001</v>
      </c>
      <c r="LU118" s="3">
        <f ca="1">IFERROR(__xludf.DUMMYFUNCTION("""COMPUTED_VALUE"""),-0.976166177409469)</f>
        <v>-0.97616617740946898</v>
      </c>
      <c r="LV118" s="3">
        <f ca="1">IFERROR(__xludf.DUMMYFUNCTION("""COMPUTED_VALUE"""),-0.924531215876381)</f>
        <v>-0.92453121587638099</v>
      </c>
      <c r="LW118" s="3">
        <f ca="1">IFERROR(__xludf.DUMMYFUNCTION("""COMPUTED_VALUE"""),-0.902920110725475)</f>
        <v>-0.90292011072547496</v>
      </c>
      <c r="LX118" s="3">
        <f ca="1">IFERROR(__xludf.DUMMYFUNCTION("""COMPUTED_VALUE"""),-0.901550180736269)</f>
        <v>-0.90155018073626902</v>
      </c>
      <c r="LY118" s="3">
        <f ca="1">IFERROR(__xludf.DUMMYFUNCTION("""COMPUTED_VALUE"""),-0.921218560592903)</f>
        <v>-0.92121856059290297</v>
      </c>
      <c r="LZ118" s="3">
        <f ca="1">IFERROR(__xludf.DUMMYFUNCTION("""COMPUTED_VALUE"""),-0.888708747602879)</f>
        <v>-0.88870874760287899</v>
      </c>
      <c r="MA118" s="3">
        <f ca="1">IFERROR(__xludf.DUMMYFUNCTION("""COMPUTED_VALUE"""),-0.942303273025044)</f>
        <v>-0.94230327302504402</v>
      </c>
      <c r="MB118" s="3">
        <f ca="1">IFERROR(__xludf.DUMMYFUNCTION("""COMPUTED_VALUE"""),-0.980321253147939)</f>
        <v>-0.98032125314793905</v>
      </c>
      <c r="MC118" s="3">
        <f ca="1">IFERROR(__xludf.DUMMYFUNCTION("""COMPUTED_VALUE"""),-0.951419499729572)</f>
        <v>-0.95141949972957196</v>
      </c>
      <c r="MD118" s="3">
        <f ca="1">IFERROR(__xludf.DUMMYFUNCTION("""COMPUTED_VALUE"""),-0.899944188801003)</f>
        <v>-0.89994418880100302</v>
      </c>
      <c r="ME118" s="3">
        <f ca="1">IFERROR(__xludf.DUMMYFUNCTION("""COMPUTED_VALUE"""),-0.893923146656152)</f>
        <v>-0.89392314665615202</v>
      </c>
      <c r="MF118" s="3">
        <f ca="1">IFERROR(__xludf.DUMMYFUNCTION("""COMPUTED_VALUE"""),-0.910372257047055)</f>
        <v>-0.91037225704705504</v>
      </c>
      <c r="MG118" s="3">
        <f ca="1">IFERROR(__xludf.DUMMYFUNCTION("""COMPUTED_VALUE"""),-0.910413786956858)</f>
        <v>-0.91041378695685804</v>
      </c>
      <c r="MH118" s="3">
        <f ca="1">IFERROR(__xludf.DUMMYFUNCTION("""COMPUTED_VALUE"""),-0.945348088352391)</f>
        <v>-0.94534808835239104</v>
      </c>
      <c r="MI118" s="3">
        <f ca="1">IFERROR(__xludf.DUMMYFUNCTION("""COMPUTED_VALUE"""),-0.980365374908768)</f>
        <v>-0.98036537490876796</v>
      </c>
      <c r="MJ118" s="3">
        <f ca="1">IFERROR(__xludf.DUMMYFUNCTION("""COMPUTED_VALUE"""),-0.927489152921105)</f>
        <v>-0.92748915292110501</v>
      </c>
      <c r="MK118" s="3">
        <f ca="1">IFERROR(__xludf.DUMMYFUNCTION("""COMPUTED_VALUE"""),-0.928629296247893)</f>
        <v>-0.92862929624789303</v>
      </c>
      <c r="ML118" s="3">
        <f ca="1">IFERROR(__xludf.DUMMYFUNCTION("""COMPUTED_VALUE"""),-0.913208067289659)</f>
        <v>-0.91320806728965898</v>
      </c>
      <c r="MM118" s="3">
        <f ca="1">IFERROR(__xludf.DUMMYFUNCTION("""COMPUTED_VALUE"""),-0.918794035839674)</f>
        <v>-0.91879403583967401</v>
      </c>
      <c r="MN118" s="3">
        <f ca="1">IFERROR(__xludf.DUMMYFUNCTION("""COMPUTED_VALUE"""),-0.906295174020352)</f>
        <v>-0.90629517402035198</v>
      </c>
      <c r="MO118" s="3">
        <f ca="1">IFERROR(__xludf.DUMMYFUNCTION("""COMPUTED_VALUE"""),-0.93350286403589)</f>
        <v>-0.93350286403589</v>
      </c>
      <c r="MP118" s="3">
        <f ca="1">IFERROR(__xludf.DUMMYFUNCTION("""COMPUTED_VALUE"""),-0.977440580537436)</f>
        <v>-0.97744058053743599</v>
      </c>
      <c r="MQ118" s="3">
        <f ca="1">IFERROR(__xludf.DUMMYFUNCTION("""COMPUTED_VALUE"""),-0.945924109420493)</f>
        <v>-0.94592410942049299</v>
      </c>
      <c r="MR118" s="3">
        <f ca="1">IFERROR(__xludf.DUMMYFUNCTION("""COMPUTED_VALUE"""),-0.923884587307687)</f>
        <v>-0.92388458730768697</v>
      </c>
      <c r="MS118" s="3">
        <f ca="1">IFERROR(__xludf.DUMMYFUNCTION("""COMPUTED_VALUE"""),-0.92027850463502)</f>
        <v>-0.92027850463502003</v>
      </c>
      <c r="MT118" s="3">
        <f ca="1">IFERROR(__xludf.DUMMYFUNCTION("""COMPUTED_VALUE"""),-0.906372427828385)</f>
        <v>-0.90637242782838501</v>
      </c>
      <c r="MU118" s="3">
        <f ca="1">IFERROR(__xludf.DUMMYFUNCTION("""COMPUTED_VALUE"""),-0.898958741641326)</f>
        <v>-0.89895874164132605</v>
      </c>
      <c r="MV118" s="3">
        <f ca="1">IFERROR(__xludf.DUMMYFUNCTION("""COMPUTED_VALUE"""),-0.929965336251028)</f>
        <v>-0.92996533625102795</v>
      </c>
      <c r="MW118" s="3">
        <f ca="1">IFERROR(__xludf.DUMMYFUNCTION("""COMPUTED_VALUE"""),-0.972811169575142)</f>
        <v>-0.97281116957514202</v>
      </c>
      <c r="MX118" s="3">
        <f ca="1">IFERROR(__xludf.DUMMYFUNCTION("""COMPUTED_VALUE"""),-0.936712820081415)</f>
        <v>-0.93671282008141499</v>
      </c>
      <c r="MY118" s="3">
        <f ca="1">IFERROR(__xludf.DUMMYFUNCTION("""COMPUTED_VALUE"""),-0.907660244800558)</f>
        <v>-0.90766024480055796</v>
      </c>
      <c r="MZ118" s="3">
        <f ca="1">IFERROR(__xludf.DUMMYFUNCTION("""COMPUTED_VALUE"""),-0.909043314484814)</f>
        <v>-0.90904331448481401</v>
      </c>
      <c r="NA118" s="3">
        <f ca="1">IFERROR(__xludf.DUMMYFUNCTION("""COMPUTED_VALUE"""),-0.899227542731506)</f>
        <v>-0.89922754273150596</v>
      </c>
      <c r="NB118" s="3">
        <f ca="1">IFERROR(__xludf.DUMMYFUNCTION("""COMPUTED_VALUE"""),-0.896058338579189)</f>
        <v>-0.89605833857918904</v>
      </c>
      <c r="NC118" s="3">
        <f ca="1">IFERROR(__xludf.DUMMYFUNCTION("""COMPUTED_VALUE"""),-0.918640897142588)</f>
        <v>-0.91864089714258801</v>
      </c>
      <c r="ND118" s="3">
        <f ca="1">IFERROR(__xludf.DUMMYFUNCTION("""COMPUTED_VALUE"""),-0.968338842458173)</f>
        <v>-0.96833884245817303</v>
      </c>
      <c r="NE118" s="3">
        <f ca="1">IFERROR(__xludf.DUMMYFUNCTION("""COMPUTED_VALUE"""),-0.916396100981265)</f>
        <v>-0.916396100981265</v>
      </c>
      <c r="NF118" s="3">
        <f ca="1">IFERROR(__xludf.DUMMYFUNCTION("""COMPUTED_VALUE"""),-0.828478925812182)</f>
        <v>-0.82847892581218197</v>
      </c>
      <c r="NG118" s="3">
        <f ca="1">IFERROR(__xludf.DUMMYFUNCTION("""COMPUTED_VALUE"""),-0.810783806288765)</f>
        <v>-0.81078380628876501</v>
      </c>
      <c r="NH118" s="3">
        <f ca="1">IFERROR(__xludf.DUMMYFUNCTION("""COMPUTED_VALUE"""),-0.855495817577262)</f>
        <v>-0.85549581757726201</v>
      </c>
      <c r="NI118" s="3">
        <f ca="1">IFERROR(__xludf.DUMMYFUNCTION("""COMPUTED_VALUE"""),-0.848731754303191)</f>
        <v>-0.84873175430319103</v>
      </c>
      <c r="NJ118" s="3">
        <f ca="1">IFERROR(__xludf.DUMMYFUNCTION("""COMPUTED_VALUE"""),-0.9008559465776)</f>
        <v>-0.90085594657760004</v>
      </c>
      <c r="NK118" s="3">
        <f ca="1">IFERROR(__xludf.DUMMYFUNCTION("""COMPUTED_VALUE"""),-0.963715065101152)</f>
        <v>-0.96371506510115201</v>
      </c>
      <c r="NL118" s="3">
        <f ca="1">IFERROR(__xludf.DUMMYFUNCTION("""COMPUTED_VALUE"""),-0.898267429618229)</f>
        <v>-0.89826742961822903</v>
      </c>
      <c r="NM118" s="3">
        <f ca="1">IFERROR(__xludf.DUMMYFUNCTION("""COMPUTED_VALUE"""),-0.802556920171846)</f>
        <v>-0.80255692017184599</v>
      </c>
      <c r="NN118" s="3">
        <f ca="1">IFERROR(__xludf.DUMMYFUNCTION("""COMPUTED_VALUE"""),-0.776892933839653)</f>
        <v>-0.77689293383965297</v>
      </c>
      <c r="NO118" s="3">
        <f ca="1">IFERROR(__xludf.DUMMYFUNCTION("""COMPUTED_VALUE"""),-0.725473976513933)</f>
        <v>-0.72547397651393297</v>
      </c>
      <c r="NP118" s="3">
        <f ca="1">IFERROR(__xludf.DUMMYFUNCTION("""COMPUTED_VALUE"""),-0.721220936995734)</f>
        <v>-0.72122093699573397</v>
      </c>
      <c r="NQ118" s="3">
        <f ca="1">IFERROR(__xludf.DUMMYFUNCTION("""COMPUTED_VALUE"""),-0.719378233048197)</f>
        <v>-0.71937823304819704</v>
      </c>
      <c r="NR118" s="3">
        <f ca="1">IFERROR(__xludf.DUMMYFUNCTION("""COMPUTED_VALUE"""),-0.749502700389387)</f>
        <v>-0.74950270038938704</v>
      </c>
      <c r="NS118" s="3">
        <f ca="1">IFERROR(__xludf.DUMMYFUNCTION("""COMPUTED_VALUE"""),-0.802897372284267)</f>
        <v>-0.80289737228426705</v>
      </c>
      <c r="NT118" s="3">
        <f ca="1">IFERROR(__xludf.DUMMYFUNCTION("""COMPUTED_VALUE"""),-0.777227985848999)</f>
        <v>-0.77722798584899899</v>
      </c>
      <c r="NU118" s="3">
        <f ca="1">IFERROR(__xludf.DUMMYFUNCTION("""COMPUTED_VALUE"""),-0.803630417365825)</f>
        <v>-0.80363041736582497</v>
      </c>
      <c r="NV118" s="3">
        <f ca="1">IFERROR(__xludf.DUMMYFUNCTION("""COMPUTED_VALUE"""),-0.847654428909697)</f>
        <v>-0.847654428909697</v>
      </c>
      <c r="NW118" s="3">
        <f ca="1">IFERROR(__xludf.DUMMYFUNCTION("""COMPUTED_VALUE"""),-0.82723186222745)</f>
        <v>-0.82723186222745004</v>
      </c>
      <c r="NX118" s="3">
        <f ca="1">IFERROR(__xludf.DUMMYFUNCTION("""COMPUTED_VALUE"""),-0.831106012773778)</f>
        <v>-0.83110601277377805</v>
      </c>
      <c r="NY118" s="3">
        <f ca="1">IFERROR(__xludf.DUMMYFUNCTION("""COMPUTED_VALUE"""),-0.832981993560793)</f>
        <v>-0.83298199356079305</v>
      </c>
      <c r="NZ118" s="3">
        <f ca="1">IFERROR(__xludf.DUMMYFUNCTION("""COMPUTED_VALUE"""),-0.836912003661376)</f>
        <v>-0.83691200366137597</v>
      </c>
      <c r="OA118" s="3">
        <f ca="1">IFERROR(__xludf.DUMMYFUNCTION("""COMPUTED_VALUE"""),-0.807695270324575)</f>
        <v>-0.807695270324575</v>
      </c>
      <c r="OB118" s="3">
        <f ca="1">IFERROR(__xludf.DUMMYFUNCTION("""COMPUTED_VALUE"""),-0.841045101185379)</f>
        <v>-0.84104510118537901</v>
      </c>
      <c r="OC118" s="3">
        <f ca="1">IFERROR(__xludf.DUMMYFUNCTION("""COMPUTED_VALUE"""),-0.823644231003813)</f>
        <v>-0.82364423100381301</v>
      </c>
      <c r="OD118" s="3">
        <f ca="1">IFERROR(__xludf.DUMMYFUNCTION("""COMPUTED_VALUE"""),-0.774482819054253)</f>
        <v>-0.77448281905425298</v>
      </c>
      <c r="OE118" s="3">
        <f ca="1">IFERROR(__xludf.DUMMYFUNCTION("""COMPUTED_VALUE"""),-0.634233915973144)</f>
        <v>-0.63423391597314405</v>
      </c>
      <c r="OF118" s="3">
        <f ca="1">IFERROR(__xludf.DUMMYFUNCTION("""COMPUTED_VALUE"""),-0.538716493049994)</f>
        <v>-0.53871649304999403</v>
      </c>
      <c r="OG118" s="3">
        <f ca="1">IFERROR(__xludf.DUMMYFUNCTION("""COMPUTED_VALUE"""),-0.505284172627874)</f>
        <v>-0.50528417262787395</v>
      </c>
      <c r="OH118" s="3">
        <f ca="1">IFERROR(__xludf.DUMMYFUNCTION("""COMPUTED_VALUE"""),-0.357212067098569)</f>
        <v>-0.35721206709856901</v>
      </c>
      <c r="OI118" s="3">
        <f ca="1">IFERROR(__xludf.DUMMYFUNCTION("""COMPUTED_VALUE"""),-0.422655412024076)</f>
        <v>-0.42265541202407603</v>
      </c>
      <c r="OJ118" s="3">
        <f ca="1">IFERROR(__xludf.DUMMYFUNCTION("""COMPUTED_VALUE"""),-0.326002250507212)</f>
        <v>-0.32600225050721199</v>
      </c>
      <c r="OK118" s="3">
        <f ca="1">IFERROR(__xludf.DUMMYFUNCTION("""COMPUTED_VALUE"""),-0.220374306702888)</f>
        <v>-0.22037430670288799</v>
      </c>
      <c r="OL118" s="3">
        <f ca="1">IFERROR(__xludf.DUMMYFUNCTION("""COMPUTED_VALUE"""),-0.224539641176759)</f>
        <v>-0.22453964117675901</v>
      </c>
      <c r="OM118" s="3">
        <f ca="1">IFERROR(__xludf.DUMMYFUNCTION("""COMPUTED_VALUE"""),-0.129590870115573)</f>
        <v>-0.12959087011557299</v>
      </c>
      <c r="ON118" s="3">
        <f ca="1">IFERROR(__xludf.DUMMYFUNCTION("""COMPUTED_VALUE"""),-0.165995836860032)</f>
        <v>-0.165995836860032</v>
      </c>
      <c r="OO118" s="3">
        <f ca="1">IFERROR(__xludf.DUMMYFUNCTION("""COMPUTED_VALUE"""),-0.105991452822768)</f>
        <v>-0.10599145282276801</v>
      </c>
      <c r="OP118" s="3">
        <f ca="1">IFERROR(__xludf.DUMMYFUNCTION("""COMPUTED_VALUE"""),-0.153208079698101)</f>
        <v>-0.15320807969810099</v>
      </c>
      <c r="OQ118" s="3">
        <f ca="1">IFERROR(__xludf.DUMMYFUNCTION("""COMPUTED_VALUE"""),-0.0920045683604517)</f>
        <v>-9.2004568360451705E-2</v>
      </c>
      <c r="OR118" s="3">
        <f ca="1">IFERROR(__xludf.DUMMYFUNCTION("""COMPUTED_VALUE"""),-0.032060148996749)</f>
        <v>-3.2060148996748999E-2</v>
      </c>
      <c r="OS118" s="3">
        <f ca="1">IFERROR(__xludf.DUMMYFUNCTION("""COMPUTED_VALUE"""),-0.10808964663227)</f>
        <v>-0.10808964663227</v>
      </c>
      <c r="OT118" s="3">
        <f ca="1">IFERROR(__xludf.DUMMYFUNCTION("""COMPUTED_VALUE"""),-0.0135362381382687)</f>
        <v>-1.3536238138268699E-2</v>
      </c>
      <c r="OU118" s="3">
        <f ca="1">IFERROR(__xludf.DUMMYFUNCTION("""COMPUTED_VALUE"""),0.029659990342473)</f>
        <v>2.9659990342472999E-2</v>
      </c>
      <c r="OV118" s="3">
        <f ca="1">IFERROR(__xludf.DUMMYFUNCTION("""COMPUTED_VALUE"""),0.0362768787682377)</f>
        <v>3.6276878768237701E-2</v>
      </c>
      <c r="OW118" s="3">
        <f ca="1">IFERROR(__xludf.DUMMYFUNCTION("""COMPUTED_VALUE"""),0.0608226175686579)</f>
        <v>6.0822617568657901E-2</v>
      </c>
      <c r="OX118" s="3">
        <f ca="1">IFERROR(__xludf.DUMMYFUNCTION("""COMPUTED_VALUE"""),0.0312122163817674)</f>
        <v>3.12122163817674E-2</v>
      </c>
      <c r="OY118" s="3">
        <f ca="1">IFERROR(__xludf.DUMMYFUNCTION("""COMPUTED_VALUE"""),0.00543658070189123)</f>
        <v>5.4365807018912299E-3</v>
      </c>
      <c r="OZ118" s="3">
        <f ca="1">IFERROR(__xludf.DUMMYFUNCTION("""COMPUTED_VALUE"""),-0.12870233005639)</f>
        <v>-0.12870233005639001</v>
      </c>
      <c r="PA118" s="3">
        <f ca="1">IFERROR(__xludf.DUMMYFUNCTION("""COMPUTED_VALUE"""),-0.0520897630000002)</f>
        <v>-5.2089763000000198E-2</v>
      </c>
      <c r="PB118" s="3">
        <f ca="1">IFERROR(__xludf.DUMMYFUNCTION("""COMPUTED_VALUE"""),0.074602077780491)</f>
        <v>7.4602077780490994E-2</v>
      </c>
      <c r="PC118" s="3">
        <f ca="1">IFERROR(__xludf.DUMMYFUNCTION("""COMPUTED_VALUE"""),0.018230017654562)</f>
        <v>1.8230017654561999E-2</v>
      </c>
      <c r="PD118" s="3">
        <f ca="1">IFERROR(__xludf.DUMMYFUNCTION("""COMPUTED_VALUE"""),0.0343929463063061)</f>
        <v>3.4392946306306099E-2</v>
      </c>
      <c r="PE118" s="3">
        <f ca="1">IFERROR(__xludf.DUMMYFUNCTION("""COMPUTED_VALUE"""),-0.018117318511417)</f>
        <v>-1.8117318511416999E-2</v>
      </c>
      <c r="PF118" s="3">
        <f ca="1">IFERROR(__xludf.DUMMYFUNCTION("""COMPUTED_VALUE"""),-0.0181142261839157)</f>
        <v>-1.8114226183915699E-2</v>
      </c>
      <c r="PG118" s="3">
        <f ca="1">IFERROR(__xludf.DUMMYFUNCTION("""COMPUTED_VALUE"""),0.016535659820801)</f>
        <v>1.6535659820801001E-2</v>
      </c>
      <c r="PH118" s="3">
        <f ca="1">IFERROR(__xludf.DUMMYFUNCTION("""COMPUTED_VALUE"""),0.00993918338037191)</f>
        <v>9.9391833803719101E-3</v>
      </c>
      <c r="PI118" s="3">
        <f ca="1">IFERROR(__xludf.DUMMYFUNCTION("""COMPUTED_VALUE"""),0.140884675250506)</f>
        <v>0.14088467525050599</v>
      </c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</row>
    <row r="119" spans="1:477" ht="13">
      <c r="A119" s="1" t="str">
        <f ca="1">IFERROR(__xludf.DUMMYFUNCTION("""COMPUTED_VALUE"""),"County Connection")</f>
        <v>County Connection</v>
      </c>
      <c r="B119" s="1" t="str">
        <f ca="1">IFERROR(__xludf.DUMMYFUNCTION("""COMPUTED_VALUE"""),"SF Bay Area")</f>
        <v>SF Bay Area</v>
      </c>
      <c r="C119" s="1" t="str">
        <f ca="1">IFERROR(__xludf.DUMMYFUNCTION("""COMPUTED_VALUE"""),"United States")</f>
        <v>United States</v>
      </c>
      <c r="D119" s="1" t="str">
        <f ca="1">IFERROR(__xludf.DUMMYFUNCTION("""COMPUTED_VALUE"""),"California")</f>
        <v>California</v>
      </c>
      <c r="E119" s="3">
        <f ca="1">IFERROR(__xludf.DUMMYFUNCTION("""COMPUTED_VALUE"""),-0.444485585722532)</f>
        <v>-0.444485585722532</v>
      </c>
      <c r="F119" s="3">
        <f ca="1">IFERROR(__xludf.DUMMYFUNCTION("""COMPUTED_VALUE"""),-0.637163703042518)</f>
        <v>-0.63716370304251801</v>
      </c>
      <c r="G119" s="3">
        <f ca="1">IFERROR(__xludf.DUMMYFUNCTION("""COMPUTED_VALUE"""),-0.708152311373661)</f>
        <v>-0.70815231137366097</v>
      </c>
      <c r="H119" s="3">
        <f ca="1">IFERROR(__xludf.DUMMYFUNCTION("""COMPUTED_VALUE"""),-0.714201933435854)</f>
        <v>-0.71420193343585403</v>
      </c>
      <c r="I119" s="3">
        <f ca="1">IFERROR(__xludf.DUMMYFUNCTION("""COMPUTED_VALUE"""),-0.680813316284973)</f>
        <v>-0.68081331628497299</v>
      </c>
      <c r="J119" s="3">
        <f ca="1">IFERROR(__xludf.DUMMYFUNCTION("""COMPUTED_VALUE"""),-0.631555860721294)</f>
        <v>-0.63155586072129399</v>
      </c>
      <c r="K119" s="3">
        <f ca="1">IFERROR(__xludf.DUMMYFUNCTION("""COMPUTED_VALUE"""),-0.552229149320792)</f>
        <v>-0.55222914932079203</v>
      </c>
      <c r="L119" s="3">
        <f ca="1">IFERROR(__xludf.DUMMYFUNCTION("""COMPUTED_VALUE"""),-0.494329467419112)</f>
        <v>-0.49432946741911199</v>
      </c>
      <c r="M119" s="3">
        <f ca="1">IFERROR(__xludf.DUMMYFUNCTION("""COMPUTED_VALUE"""),-0.592644730884416)</f>
        <v>-0.59264473088441605</v>
      </c>
      <c r="N119" s="3">
        <f ca="1">IFERROR(__xludf.DUMMYFUNCTION("""COMPUTED_VALUE"""),-0.638264127285998)</f>
        <v>-0.63826412728599802</v>
      </c>
      <c r="O119" s="3">
        <f ca="1">IFERROR(__xludf.DUMMYFUNCTION("""COMPUTED_VALUE"""),-0.706118956718383)</f>
        <v>-0.70611895671838298</v>
      </c>
      <c r="P119" s="3">
        <f ca="1">IFERROR(__xludf.DUMMYFUNCTION("""COMPUTED_VALUE"""),-0.71037353194523)</f>
        <v>-0.71037353194523001</v>
      </c>
      <c r="Q119" s="3">
        <f ca="1">IFERROR(__xludf.DUMMYFUNCTION("""COMPUTED_VALUE"""),-0.620222676304549)</f>
        <v>-0.62022267630454897</v>
      </c>
      <c r="R119" s="3">
        <f ca="1">IFERROR(__xludf.DUMMYFUNCTION("""COMPUTED_VALUE"""),-0.380110799239667)</f>
        <v>-0.38011079923966701</v>
      </c>
      <c r="S119" s="3">
        <f ca="1">IFERROR(__xludf.DUMMYFUNCTION("""COMPUTED_VALUE"""),-0.444486235653071)</f>
        <v>-0.44448623565307099</v>
      </c>
      <c r="T119" s="3">
        <f ca="1">IFERROR(__xludf.DUMMYFUNCTION("""COMPUTED_VALUE"""),-0.605214016049107)</f>
        <v>-0.60521401604910696</v>
      </c>
      <c r="U119" s="3">
        <f ca="1">IFERROR(__xludf.DUMMYFUNCTION("""COMPUTED_VALUE"""),-0.691596810950131)</f>
        <v>-0.69159681095013104</v>
      </c>
      <c r="V119" s="3">
        <f ca="1">IFERROR(__xludf.DUMMYFUNCTION("""COMPUTED_VALUE"""),-0.690725445795917)</f>
        <v>-0.69072544579591699</v>
      </c>
      <c r="W119" s="3">
        <f ca="1">IFERROR(__xludf.DUMMYFUNCTION("""COMPUTED_VALUE"""),-0.699120471929016)</f>
        <v>-0.69912047192901605</v>
      </c>
      <c r="X119" s="3">
        <f ca="1">IFERROR(__xludf.DUMMYFUNCTION("""COMPUTED_VALUE"""),-0.725494608252292)</f>
        <v>-0.72549460825229195</v>
      </c>
      <c r="Y119" s="3">
        <f ca="1">IFERROR(__xludf.DUMMYFUNCTION("""COMPUTED_VALUE"""),-0.513883691766348)</f>
        <v>-0.51388369176634796</v>
      </c>
      <c r="Z119" s="3">
        <f ca="1">IFERROR(__xludf.DUMMYFUNCTION("""COMPUTED_VALUE"""),-0.410648310130631)</f>
        <v>-0.41064831013063102</v>
      </c>
      <c r="AA119" s="3">
        <f ca="1">IFERROR(__xludf.DUMMYFUNCTION("""COMPUTED_VALUE"""),-0.676862306738329)</f>
        <v>-0.67686230673832903</v>
      </c>
      <c r="AB119" s="3">
        <f ca="1">IFERROR(__xludf.DUMMYFUNCTION("""COMPUTED_VALUE"""),-0.769180792990206)</f>
        <v>-0.76918079299020603</v>
      </c>
      <c r="AC119" s="3">
        <f ca="1">IFERROR(__xludf.DUMMYFUNCTION("""COMPUTED_VALUE"""),-0.717190977737706)</f>
        <v>-0.71719097773770601</v>
      </c>
      <c r="AD119" s="3">
        <f ca="1">IFERROR(__xludf.DUMMYFUNCTION("""COMPUTED_VALUE"""),-0.732001165379074)</f>
        <v>-0.732001165379074</v>
      </c>
      <c r="AE119" s="3">
        <f ca="1">IFERROR(__xludf.DUMMYFUNCTION("""COMPUTED_VALUE"""),-0.761294487607959)</f>
        <v>-0.76129448760795904</v>
      </c>
      <c r="AF119" s="3">
        <f ca="1">IFERROR(__xludf.DUMMYFUNCTION("""COMPUTED_VALUE"""),-0.576296757780803)</f>
        <v>-0.57629675778080303</v>
      </c>
      <c r="AG119" s="3">
        <f ca="1">IFERROR(__xludf.DUMMYFUNCTION("""COMPUTED_VALUE"""),-0.503046531103381)</f>
        <v>-0.50304653110338104</v>
      </c>
      <c r="AH119" s="3">
        <f ca="1">IFERROR(__xludf.DUMMYFUNCTION("""COMPUTED_VALUE"""),-0.728030969546348)</f>
        <v>-0.72803096954634805</v>
      </c>
      <c r="AI119" s="3">
        <f ca="1">IFERROR(__xludf.DUMMYFUNCTION("""COMPUTED_VALUE"""),-0.744471239986576)</f>
        <v>-0.74447123998657605</v>
      </c>
      <c r="AJ119" s="3">
        <f ca="1">IFERROR(__xludf.DUMMYFUNCTION("""COMPUTED_VALUE"""),-0.716683781131347)</f>
        <v>-0.71668378113134701</v>
      </c>
      <c r="AK119" s="3">
        <f ca="1">IFERROR(__xludf.DUMMYFUNCTION("""COMPUTED_VALUE"""),-0.757744494962316)</f>
        <v>-0.757744494962316</v>
      </c>
      <c r="AL119" s="3">
        <f ca="1">IFERROR(__xludf.DUMMYFUNCTION("""COMPUTED_VALUE"""),-0.761700990512449)</f>
        <v>-0.76170099051244899</v>
      </c>
      <c r="AM119" s="3">
        <f ca="1">IFERROR(__xludf.DUMMYFUNCTION("""COMPUTED_VALUE"""),-0.530906642871447)</f>
        <v>-0.53090664287144695</v>
      </c>
      <c r="AN119" s="3">
        <f ca="1">IFERROR(__xludf.DUMMYFUNCTION("""COMPUTED_VALUE"""),-0.560369137133122)</f>
        <v>-0.56036913713312198</v>
      </c>
      <c r="AO119" s="3">
        <f ca="1">IFERROR(__xludf.DUMMYFUNCTION("""COMPUTED_VALUE"""),-0.681000908692963)</f>
        <v>-0.68100090869296304</v>
      </c>
      <c r="AP119" s="3">
        <f ca="1">IFERROR(__xludf.DUMMYFUNCTION("""COMPUTED_VALUE"""),-0.761750310969477)</f>
        <v>-0.76175031096947698</v>
      </c>
      <c r="AQ119" s="3">
        <f ca="1">IFERROR(__xludf.DUMMYFUNCTION("""COMPUTED_VALUE"""),-0.714031145830438)</f>
        <v>-0.71403114583043803</v>
      </c>
      <c r="AR119" s="3">
        <f ca="1">IFERROR(__xludf.DUMMYFUNCTION("""COMPUTED_VALUE"""),-0.733544162774652)</f>
        <v>-0.73354416277465195</v>
      </c>
      <c r="AS119" s="3">
        <f ca="1">IFERROR(__xludf.DUMMYFUNCTION("""COMPUTED_VALUE"""),-0.707982107427408)</f>
        <v>-0.70798210742740797</v>
      </c>
      <c r="AT119" s="3">
        <f ca="1">IFERROR(__xludf.DUMMYFUNCTION("""COMPUTED_VALUE"""),-0.50596121906899)</f>
        <v>-0.50596121906899005</v>
      </c>
      <c r="AU119" s="3">
        <f ca="1">IFERROR(__xludf.DUMMYFUNCTION("""COMPUTED_VALUE"""),-0.42535824044082)</f>
        <v>-0.42535824044081999</v>
      </c>
      <c r="AV119" s="3">
        <f ca="1">IFERROR(__xludf.DUMMYFUNCTION("""COMPUTED_VALUE"""),-0.691212816596516)</f>
        <v>-0.69121281659651601</v>
      </c>
      <c r="AW119" s="3">
        <f ca="1">IFERROR(__xludf.DUMMYFUNCTION("""COMPUTED_VALUE"""),-0.742273181893226)</f>
        <v>-0.742273181893226</v>
      </c>
      <c r="AX119" s="3">
        <f ca="1">IFERROR(__xludf.DUMMYFUNCTION("""COMPUTED_VALUE"""),-0.726150276638209)</f>
        <v>-0.72615027663820897</v>
      </c>
      <c r="AY119" s="3">
        <f ca="1">IFERROR(__xludf.DUMMYFUNCTION("""COMPUTED_VALUE"""),-0.706489086703487)</f>
        <v>-0.70648908670348698</v>
      </c>
      <c r="AZ119" s="3">
        <f ca="1">IFERROR(__xludf.DUMMYFUNCTION("""COMPUTED_VALUE"""),-0.655612568158725)</f>
        <v>-0.65561256815872504</v>
      </c>
      <c r="BA119" s="3">
        <f ca="1">IFERROR(__xludf.DUMMYFUNCTION("""COMPUTED_VALUE"""),-0.514726374236917)</f>
        <v>-0.51472637423691703</v>
      </c>
      <c r="BB119" s="3">
        <f ca="1">IFERROR(__xludf.DUMMYFUNCTION("""COMPUTED_VALUE"""),-0.471574514128459)</f>
        <v>-0.47157451412845902</v>
      </c>
      <c r="BC119" s="3">
        <f ca="1">IFERROR(__xludf.DUMMYFUNCTION("""COMPUTED_VALUE"""),-0.704815794121983)</f>
        <v>-0.70481579412198303</v>
      </c>
      <c r="BD119" s="3">
        <f ca="1">IFERROR(__xludf.DUMMYFUNCTION("""COMPUTED_VALUE"""),-0.760943310883597)</f>
        <v>-0.76094331088359701</v>
      </c>
      <c r="BE119" s="3">
        <f ca="1">IFERROR(__xludf.DUMMYFUNCTION("""COMPUTED_VALUE"""),-0.719996369278925)</f>
        <v>-0.71999636927892496</v>
      </c>
      <c r="BF119" s="3">
        <f ca="1">IFERROR(__xludf.DUMMYFUNCTION("""COMPUTED_VALUE"""),-0.738853304706081)</f>
        <v>-0.73885330470608102</v>
      </c>
      <c r="BG119" s="3">
        <f ca="1">IFERROR(__xludf.DUMMYFUNCTION("""COMPUTED_VALUE"""),-0.689103160819172)</f>
        <v>-0.689103160819172</v>
      </c>
      <c r="BH119" s="3">
        <f ca="1">IFERROR(__xludf.DUMMYFUNCTION("""COMPUTED_VALUE"""),-0.49008680999044)</f>
        <v>-0.49008680999044002</v>
      </c>
      <c r="BI119" s="3">
        <f ca="1">IFERROR(__xludf.DUMMYFUNCTION("""COMPUTED_VALUE"""),-0.425345068211104)</f>
        <v>-0.42534506821110402</v>
      </c>
      <c r="BJ119" s="3">
        <f ca="1">IFERROR(__xludf.DUMMYFUNCTION("""COMPUTED_VALUE"""),-0.707574568542537)</f>
        <v>-0.70757456854253697</v>
      </c>
      <c r="BK119" s="3">
        <f ca="1">IFERROR(__xludf.DUMMYFUNCTION("""COMPUTED_VALUE"""),-0.769664875746982)</f>
        <v>-0.76966487574698195</v>
      </c>
      <c r="BL119" s="3">
        <f ca="1">IFERROR(__xludf.DUMMYFUNCTION("""COMPUTED_VALUE"""),-0.755853233787205)</f>
        <v>-0.75585323378720504</v>
      </c>
      <c r="BM119" s="3">
        <f ca="1">IFERROR(__xludf.DUMMYFUNCTION("""COMPUTED_VALUE"""),-0.771940565131958)</f>
        <v>-0.77194056513195797</v>
      </c>
      <c r="BN119" s="3">
        <f ca="1">IFERROR(__xludf.DUMMYFUNCTION("""COMPUTED_VALUE"""),-0.758435825898669)</f>
        <v>-0.75843582589866898</v>
      </c>
      <c r="BO119" s="3">
        <f ca="1">IFERROR(__xludf.DUMMYFUNCTION("""COMPUTED_VALUE"""),-0.580188826945565)</f>
        <v>-0.58018882694556495</v>
      </c>
      <c r="BP119" s="3">
        <f ca="1">IFERROR(__xludf.DUMMYFUNCTION("""COMPUTED_VALUE"""),-0.556846726056569)</f>
        <v>-0.55684672605656904</v>
      </c>
      <c r="BQ119" s="3">
        <f ca="1">IFERROR(__xludf.DUMMYFUNCTION("""COMPUTED_VALUE"""),-0.733651507262024)</f>
        <v>-0.73365150726202399</v>
      </c>
      <c r="BR119" s="3">
        <f ca="1">IFERROR(__xludf.DUMMYFUNCTION("""COMPUTED_VALUE"""),-0.785418563033228)</f>
        <v>-0.78541856303322799</v>
      </c>
      <c r="BS119" s="3">
        <f ca="1">IFERROR(__xludf.DUMMYFUNCTION("""COMPUTED_VALUE"""),-0.775989019148455)</f>
        <v>-0.77598901914845497</v>
      </c>
      <c r="BT119" s="3">
        <f ca="1">IFERROR(__xludf.DUMMYFUNCTION("""COMPUTED_VALUE"""),-0.761603487498075)</f>
        <v>-0.76160348749807505</v>
      </c>
      <c r="BU119" s="3">
        <f ca="1">IFERROR(__xludf.DUMMYFUNCTION("""COMPUTED_VALUE"""),-0.751272759702183)</f>
        <v>-0.75127275970218299</v>
      </c>
      <c r="BV119" s="3">
        <f ca="1">IFERROR(__xludf.DUMMYFUNCTION("""COMPUTED_VALUE"""),-0.59913467761936)</f>
        <v>-0.59913467761936001</v>
      </c>
      <c r="BW119" s="3">
        <f ca="1">IFERROR(__xludf.DUMMYFUNCTION("""COMPUTED_VALUE"""),-0.604206746461711)</f>
        <v>-0.60420674646171102</v>
      </c>
      <c r="BX119" s="3">
        <f ca="1">IFERROR(__xludf.DUMMYFUNCTION("""COMPUTED_VALUE"""),-0.714667672106138)</f>
        <v>-0.71466767210613802</v>
      </c>
      <c r="BY119" s="3">
        <f ca="1">IFERROR(__xludf.DUMMYFUNCTION("""COMPUTED_VALUE"""),-0.799723665791587)</f>
        <v>-0.79972366579158705</v>
      </c>
      <c r="BZ119" s="3">
        <f ca="1">IFERROR(__xludf.DUMMYFUNCTION("""COMPUTED_VALUE"""),-0.823224983911759)</f>
        <v>-0.82322498391175902</v>
      </c>
      <c r="CA119" s="3">
        <f ca="1">IFERROR(__xludf.DUMMYFUNCTION("""COMPUTED_VALUE"""),-0.812637217792674)</f>
        <v>-0.81263721779267395</v>
      </c>
      <c r="CB119" s="3">
        <f ca="1">IFERROR(__xludf.DUMMYFUNCTION("""COMPUTED_VALUE"""),-0.730018584828261)</f>
        <v>-0.73001858482826099</v>
      </c>
      <c r="CC119" s="3">
        <f ca="1">IFERROR(__xludf.DUMMYFUNCTION("""COMPUTED_VALUE"""),-0.708582345830061)</f>
        <v>-0.70858234583006097</v>
      </c>
      <c r="CD119" s="3">
        <f ca="1">IFERROR(__xludf.DUMMYFUNCTION("""COMPUTED_VALUE"""),-0.56349340725296)</f>
        <v>-0.56349340725296004</v>
      </c>
      <c r="CE119" s="3">
        <f ca="1">IFERROR(__xludf.DUMMYFUNCTION("""COMPUTED_VALUE"""),-0.765174558591458)</f>
        <v>-0.765174558591458</v>
      </c>
      <c r="CF119" s="3">
        <f ca="1">IFERROR(__xludf.DUMMYFUNCTION("""COMPUTED_VALUE"""),-0.768627569246706)</f>
        <v>-0.76862756924670605</v>
      </c>
      <c r="CG119" s="3">
        <f ca="1">IFERROR(__xludf.DUMMYFUNCTION("""COMPUTED_VALUE"""),-0.766549116461135)</f>
        <v>-0.76654911646113499</v>
      </c>
      <c r="CH119" s="3">
        <f ca="1">IFERROR(__xludf.DUMMYFUNCTION("""COMPUTED_VALUE"""),-0.756581185110871)</f>
        <v>-0.75658118511087102</v>
      </c>
      <c r="CI119" s="3">
        <f ca="1">IFERROR(__xludf.DUMMYFUNCTION("""COMPUTED_VALUE"""),-0.694458991583325)</f>
        <v>-0.69445899158332502</v>
      </c>
      <c r="CJ119" s="3">
        <f ca="1">IFERROR(__xludf.DUMMYFUNCTION("""COMPUTED_VALUE"""),-0.45753502995578)</f>
        <v>-0.45753502995577999</v>
      </c>
      <c r="CK119" s="3">
        <f ca="1">IFERROR(__xludf.DUMMYFUNCTION("""COMPUTED_VALUE"""),-0.567165606972174)</f>
        <v>-0.567165606972174</v>
      </c>
      <c r="CL119" s="3">
        <f ca="1">IFERROR(__xludf.DUMMYFUNCTION("""COMPUTED_VALUE"""),-0.743243804345325)</f>
        <v>-0.743243804345325</v>
      </c>
      <c r="CM119" s="3">
        <f ca="1">IFERROR(__xludf.DUMMYFUNCTION("""COMPUTED_VALUE"""),-0.750743329364067)</f>
        <v>-0.75074332936406696</v>
      </c>
      <c r="CN119" s="3">
        <f ca="1">IFERROR(__xludf.DUMMYFUNCTION("""COMPUTED_VALUE"""),-0.741221173728571)</f>
        <v>-0.74122117372857099</v>
      </c>
      <c r="CO119" s="3">
        <f ca="1">IFERROR(__xludf.DUMMYFUNCTION("""COMPUTED_VALUE"""),-0.776018880127383)</f>
        <v>-0.77601888012738296</v>
      </c>
      <c r="CP119" s="3">
        <f ca="1">IFERROR(__xludf.DUMMYFUNCTION("""COMPUTED_VALUE"""),-0.688596294293975)</f>
        <v>-0.68859629429397495</v>
      </c>
      <c r="CQ119" s="3">
        <f ca="1">IFERROR(__xludf.DUMMYFUNCTION("""COMPUTED_VALUE"""),-0.598660156346718)</f>
        <v>-0.59866015634671799</v>
      </c>
      <c r="CR119" s="3">
        <f ca="1">IFERROR(__xludf.DUMMYFUNCTION("""COMPUTED_VALUE"""),-0.535268853532226)</f>
        <v>-0.53526885353222597</v>
      </c>
      <c r="CS119" s="3">
        <f ca="1">IFERROR(__xludf.DUMMYFUNCTION("""COMPUTED_VALUE"""),-0.721463491531151)</f>
        <v>-0.72146349153115097</v>
      </c>
      <c r="CT119" s="3">
        <f ca="1">IFERROR(__xludf.DUMMYFUNCTION("""COMPUTED_VALUE"""),-0.718538283450295)</f>
        <v>-0.71853828345029502</v>
      </c>
      <c r="CU119" s="3">
        <f ca="1">IFERROR(__xludf.DUMMYFUNCTION("""COMPUTED_VALUE"""),-0.701398196759845)</f>
        <v>-0.70139819675984505</v>
      </c>
      <c r="CV119" s="3">
        <f ca="1">IFERROR(__xludf.DUMMYFUNCTION("""COMPUTED_VALUE"""),-0.75700553341488)</f>
        <v>-0.75700553341487997</v>
      </c>
      <c r="CW119" s="3">
        <f ca="1">IFERROR(__xludf.DUMMYFUNCTION("""COMPUTED_VALUE"""),-0.758237790718483)</f>
        <v>-0.75823779071848296</v>
      </c>
      <c r="CX119" s="3">
        <f ca="1">IFERROR(__xludf.DUMMYFUNCTION("""COMPUTED_VALUE"""),-0.571618277249995)</f>
        <v>-0.57161827724999503</v>
      </c>
      <c r="CY119" s="3">
        <f ca="1">IFERROR(__xludf.DUMMYFUNCTION("""COMPUTED_VALUE"""),-0.754515749655088)</f>
        <v>-0.75451574965508805</v>
      </c>
      <c r="CZ119" s="3">
        <f ca="1">IFERROR(__xludf.DUMMYFUNCTION("""COMPUTED_VALUE"""),-0.933352787873561)</f>
        <v>-0.93335278787356102</v>
      </c>
      <c r="DA119" s="3">
        <f ca="1">IFERROR(__xludf.DUMMYFUNCTION("""COMPUTED_VALUE"""),-0.678725024128349)</f>
        <v>-0.67872502412834901</v>
      </c>
      <c r="DB119" s="3">
        <f ca="1">IFERROR(__xludf.DUMMYFUNCTION("""COMPUTED_VALUE"""),-0.431259210334822)</f>
        <v>-0.43125921033482201</v>
      </c>
      <c r="DC119" s="3">
        <f ca="1">IFERROR(__xludf.DUMMYFUNCTION("""COMPUTED_VALUE"""),-0.638371584123246)</f>
        <v>-0.63837158412324602</v>
      </c>
      <c r="DD119" s="3">
        <f ca="1">IFERROR(__xludf.DUMMYFUNCTION("""COMPUTED_VALUE"""),-0.659037486065041)</f>
        <v>-0.65903748606504098</v>
      </c>
      <c r="DE119" s="3">
        <f ca="1">IFERROR(__xludf.DUMMYFUNCTION("""COMPUTED_VALUE"""),-0.560490088241767)</f>
        <v>-0.56049008824176705</v>
      </c>
      <c r="DF119" s="3">
        <f ca="1">IFERROR(__xludf.DUMMYFUNCTION("""COMPUTED_VALUE"""),-0.722728554111795)</f>
        <v>-0.72272855411179504</v>
      </c>
      <c r="DG119" s="3">
        <f ca="1">IFERROR(__xludf.DUMMYFUNCTION("""COMPUTED_VALUE"""),-0.944548923576434)</f>
        <v>-0.94454892357643405</v>
      </c>
      <c r="DH119" s="3">
        <f ca="1">IFERROR(__xludf.DUMMYFUNCTION("""COMPUTED_VALUE"""),-0.677745912480394)</f>
        <v>-0.67774591248039395</v>
      </c>
      <c r="DI119" s="3">
        <f ca="1">IFERROR(__xludf.DUMMYFUNCTION("""COMPUTED_VALUE"""),-0.441446729684056)</f>
        <v>-0.44144672968405602</v>
      </c>
      <c r="DJ119" s="3">
        <f ca="1">IFERROR(__xludf.DUMMYFUNCTION("""COMPUTED_VALUE"""),-0.644506627983618)</f>
        <v>-0.64450662798361802</v>
      </c>
      <c r="DK119" s="3">
        <f ca="1">IFERROR(__xludf.DUMMYFUNCTION("""COMPUTED_VALUE"""),-0.680194272163501)</f>
        <v>-0.68019427216350103</v>
      </c>
      <c r="DL119" s="3">
        <f ca="1">IFERROR(__xludf.DUMMYFUNCTION("""COMPUTED_VALUE"""),-0.607086943117225)</f>
        <v>-0.607086943117225</v>
      </c>
      <c r="DM119" s="3">
        <f ca="1">IFERROR(__xludf.DUMMYFUNCTION("""COMPUTED_VALUE"""),-0.580488028241661)</f>
        <v>-0.58048802824166101</v>
      </c>
      <c r="DN119" s="3">
        <f ca="1">IFERROR(__xludf.DUMMYFUNCTION("""COMPUTED_VALUE"""),-0.741647515543568)</f>
        <v>-0.741647515543568</v>
      </c>
      <c r="DO119" s="3">
        <f ca="1">IFERROR(__xludf.DUMMYFUNCTION("""COMPUTED_VALUE"""),-0.743614625021165)</f>
        <v>-0.74361462502116504</v>
      </c>
      <c r="DP119" s="3">
        <f ca="1">IFERROR(__xludf.DUMMYFUNCTION("""COMPUTED_VALUE"""),-0.581901023267637)</f>
        <v>-0.58190102326763704</v>
      </c>
      <c r="DQ119" s="3">
        <f ca="1">IFERROR(__xludf.DUMMYFUNCTION("""COMPUTED_VALUE"""),-0.712298043707773)</f>
        <v>-0.71229804370777305</v>
      </c>
      <c r="DR119" s="3">
        <f ca="1">IFERROR(__xludf.DUMMYFUNCTION("""COMPUTED_VALUE"""),-0.726991306828679)</f>
        <v>-0.72699130682867896</v>
      </c>
      <c r="DS119" s="3">
        <f ca="1">IFERROR(__xludf.DUMMYFUNCTION("""COMPUTED_VALUE"""),-0.610651020170814)</f>
        <v>-0.61065102017081396</v>
      </c>
      <c r="DT119" s="3">
        <f ca="1">IFERROR(__xludf.DUMMYFUNCTION("""COMPUTED_VALUE"""),-0.684817072285267)</f>
        <v>-0.684817072285267</v>
      </c>
      <c r="DU119" s="3">
        <f ca="1">IFERROR(__xludf.DUMMYFUNCTION("""COMPUTED_VALUE"""),-0.742928608903969)</f>
        <v>-0.74292860890396895</v>
      </c>
      <c r="DV119" s="3">
        <f ca="1">IFERROR(__xludf.DUMMYFUNCTION("""COMPUTED_VALUE"""),-0.801402092059901)</f>
        <v>-0.80140209205990098</v>
      </c>
      <c r="DW119" s="3">
        <f ca="1">IFERROR(__xludf.DUMMYFUNCTION("""COMPUTED_VALUE"""),-0.787855128789913)</f>
        <v>-0.78785512878991304</v>
      </c>
      <c r="DX119" s="3">
        <f ca="1">IFERROR(__xludf.DUMMYFUNCTION("""COMPUTED_VALUE"""),-0.757749066274706)</f>
        <v>-0.75774906627470595</v>
      </c>
      <c r="DY119" s="3">
        <f ca="1">IFERROR(__xludf.DUMMYFUNCTION("""COMPUTED_VALUE"""),-0.78643343968914)</f>
        <v>-0.78643343968914003</v>
      </c>
      <c r="DZ119" s="3">
        <f ca="1">IFERROR(__xludf.DUMMYFUNCTION("""COMPUTED_VALUE"""),-0.577049649270493)</f>
        <v>-0.57704964927049296</v>
      </c>
      <c r="EA119" s="3">
        <f ca="1">IFERROR(__xludf.DUMMYFUNCTION("""COMPUTED_VALUE"""),-0.591190408548926)</f>
        <v>-0.59119040854892602</v>
      </c>
      <c r="EB119" s="3">
        <f ca="1">IFERROR(__xludf.DUMMYFUNCTION("""COMPUTED_VALUE"""),-0.696937851754996)</f>
        <v>-0.69693785175499601</v>
      </c>
      <c r="EC119" s="3">
        <f ca="1">IFERROR(__xludf.DUMMYFUNCTION("""COMPUTED_VALUE"""),-0.686435999550932)</f>
        <v>-0.68643599955093204</v>
      </c>
      <c r="ED119" s="3">
        <f ca="1">IFERROR(__xludf.DUMMYFUNCTION("""COMPUTED_VALUE"""),-0.735200700021618)</f>
        <v>-0.73520070002161797</v>
      </c>
      <c r="EE119" s="3">
        <f ca="1">IFERROR(__xludf.DUMMYFUNCTION("""COMPUTED_VALUE"""),-0.731428494966548)</f>
        <v>-0.73142849496654805</v>
      </c>
      <c r="EF119" s="3">
        <f ca="1">IFERROR(__xludf.DUMMYFUNCTION("""COMPUTED_VALUE"""),-0.737392837511958)</f>
        <v>-0.73739283751195805</v>
      </c>
      <c r="EG119" s="3">
        <f ca="1">IFERROR(__xludf.DUMMYFUNCTION("""COMPUTED_VALUE"""),-0.478579759332882)</f>
        <v>-0.47857975933288199</v>
      </c>
      <c r="EH119" s="3">
        <f ca="1">IFERROR(__xludf.DUMMYFUNCTION("""COMPUTED_VALUE"""),-0.619811558082344)</f>
        <v>-0.61981155808234401</v>
      </c>
      <c r="EI119" s="3">
        <f ca="1">IFERROR(__xludf.DUMMYFUNCTION("""COMPUTED_VALUE"""),-0.726768333179817)</f>
        <v>-0.72676833317981704</v>
      </c>
      <c r="EJ119" s="3">
        <f ca="1">IFERROR(__xludf.DUMMYFUNCTION("""COMPUTED_VALUE"""),-0.926264851406211)</f>
        <v>-0.92626485140621095</v>
      </c>
      <c r="EK119" s="3">
        <f ca="1">IFERROR(__xludf.DUMMYFUNCTION("""COMPUTED_VALUE"""),-0.69391832809742)</f>
        <v>-0.69391832809742005</v>
      </c>
      <c r="EL119" s="3">
        <f ca="1">IFERROR(__xludf.DUMMYFUNCTION("""COMPUTED_VALUE"""),-0.721252135531304)</f>
        <v>-0.72125213553130396</v>
      </c>
      <c r="EM119" s="3">
        <f ca="1">IFERROR(__xludf.DUMMYFUNCTION("""COMPUTED_VALUE"""),-0.707903687015469)</f>
        <v>-0.70790368701546902</v>
      </c>
      <c r="EN119" s="3">
        <f ca="1">IFERROR(__xludf.DUMMYFUNCTION("""COMPUTED_VALUE"""),-0.554746247854859)</f>
        <v>-0.55474624785485904</v>
      </c>
      <c r="EO119" s="3">
        <f ca="1">IFERROR(__xludf.DUMMYFUNCTION("""COMPUTED_VALUE"""),-0.513512607533056)</f>
        <v>-0.51351260753305605</v>
      </c>
      <c r="EP119" s="3">
        <f ca="1">IFERROR(__xludf.DUMMYFUNCTION("""COMPUTED_VALUE"""),-0.655160702401498)</f>
        <v>-0.65516070240149804</v>
      </c>
      <c r="EQ119" s="3">
        <f ca="1">IFERROR(__xludf.DUMMYFUNCTION("""COMPUTED_VALUE"""),-0.655391380761198)</f>
        <v>-0.65539138076119796</v>
      </c>
      <c r="ER119" s="3">
        <f ca="1">IFERROR(__xludf.DUMMYFUNCTION("""COMPUTED_VALUE"""),-0.758646899254796)</f>
        <v>-0.758646899254796</v>
      </c>
      <c r="ES119" s="3">
        <f ca="1">IFERROR(__xludf.DUMMYFUNCTION("""COMPUTED_VALUE"""),-0.747841435367233)</f>
        <v>-0.74784143536723302</v>
      </c>
      <c r="ET119" s="3">
        <f ca="1">IFERROR(__xludf.DUMMYFUNCTION("""COMPUTED_VALUE"""),-0.700001093871768)</f>
        <v>-0.70000109387176801</v>
      </c>
      <c r="EU119" s="3">
        <f ca="1">IFERROR(__xludf.DUMMYFUNCTION("""COMPUTED_VALUE"""),-0.481315602435418)</f>
        <v>-0.48131560243541799</v>
      </c>
      <c r="EV119" s="3">
        <f ca="1">IFERROR(__xludf.DUMMYFUNCTION("""COMPUTED_VALUE"""),-0.527304698047422)</f>
        <v>-0.52730469804742197</v>
      </c>
      <c r="EW119" s="3">
        <f ca="1">IFERROR(__xludf.DUMMYFUNCTION("""COMPUTED_VALUE"""),-0.696593743032748)</f>
        <v>-0.69659374303274801</v>
      </c>
      <c r="EX119" s="3">
        <f ca="1">IFERROR(__xludf.DUMMYFUNCTION("""COMPUTED_VALUE"""),-0.713457773082764)</f>
        <v>-0.71345777308276404</v>
      </c>
      <c r="EY119" s="3">
        <f ca="1">IFERROR(__xludf.DUMMYFUNCTION("""COMPUTED_VALUE"""),-0.730898607078194)</f>
        <v>-0.73089860707819398</v>
      </c>
      <c r="EZ119" s="3">
        <f ca="1">IFERROR(__xludf.DUMMYFUNCTION("""COMPUTED_VALUE"""),-0.751619888069001)</f>
        <v>-0.75161988806900104</v>
      </c>
      <c r="FA119" s="3">
        <f ca="1">IFERROR(__xludf.DUMMYFUNCTION("""COMPUTED_VALUE"""),-0.728321224317137)</f>
        <v>-0.72832122431713697</v>
      </c>
      <c r="FB119" s="3">
        <f ca="1">IFERROR(__xludf.DUMMYFUNCTION("""COMPUTED_VALUE"""),-0.54140539470356)</f>
        <v>-0.54140539470355997</v>
      </c>
      <c r="FC119" s="3">
        <f ca="1">IFERROR(__xludf.DUMMYFUNCTION("""COMPUTED_VALUE"""),-0.595057618910607)</f>
        <v>-0.59505761891060704</v>
      </c>
      <c r="FD119" s="3">
        <f ca="1">IFERROR(__xludf.DUMMYFUNCTION("""COMPUTED_VALUE"""),-0.70662585163214)</f>
        <v>-0.70662585163213998</v>
      </c>
      <c r="FE119" s="3">
        <f ca="1">IFERROR(__xludf.DUMMYFUNCTION("""COMPUTED_VALUE"""),-0.750037878911098)</f>
        <v>-0.75003787891109797</v>
      </c>
      <c r="FF119" s="3">
        <f ca="1">IFERROR(__xludf.DUMMYFUNCTION("""COMPUTED_VALUE"""),-0.765462060904124)</f>
        <v>-0.76546206090412405</v>
      </c>
      <c r="FG119" s="3">
        <f ca="1">IFERROR(__xludf.DUMMYFUNCTION("""COMPUTED_VALUE"""),-0.737660620102939)</f>
        <v>-0.73766062010293898</v>
      </c>
      <c r="FH119" s="3">
        <f ca="1">IFERROR(__xludf.DUMMYFUNCTION("""COMPUTED_VALUE"""),-0.729873981103723)</f>
        <v>-0.72987398110372304</v>
      </c>
      <c r="FI119" s="3">
        <f ca="1">IFERROR(__xludf.DUMMYFUNCTION("""COMPUTED_VALUE"""),-0.459525724964133)</f>
        <v>-0.45952572496413302</v>
      </c>
      <c r="FJ119" s="3">
        <f ca="1">IFERROR(__xludf.DUMMYFUNCTION("""COMPUTED_VALUE"""),-0.539822213970225)</f>
        <v>-0.53982221397022501</v>
      </c>
      <c r="FK119" s="3">
        <f ca="1">IFERROR(__xludf.DUMMYFUNCTION("""COMPUTED_VALUE"""),-0.63748111254618)</f>
        <v>-0.63748111254618001</v>
      </c>
      <c r="FL119" s="3">
        <f ca="1">IFERROR(__xludf.DUMMYFUNCTION("""COMPUTED_VALUE"""),-0.749625320237464)</f>
        <v>-0.74962532023746398</v>
      </c>
      <c r="FM119" s="3">
        <f ca="1">IFERROR(__xludf.DUMMYFUNCTION("""COMPUTED_VALUE"""),-0.7645786809766)</f>
        <v>-0.76457868097659998</v>
      </c>
      <c r="FN119" s="3">
        <f ca="1">IFERROR(__xludf.DUMMYFUNCTION("""COMPUTED_VALUE"""),-0.764397786553076)</f>
        <v>-0.764397786553076</v>
      </c>
      <c r="FO119" s="3">
        <f ca="1">IFERROR(__xludf.DUMMYFUNCTION("""COMPUTED_VALUE"""),-0.730283600966004)</f>
        <v>-0.73028360096600398</v>
      </c>
      <c r="FP119" s="3">
        <f ca="1">IFERROR(__xludf.DUMMYFUNCTION("""COMPUTED_VALUE"""),-0.521099451362455)</f>
        <v>-0.52109945136245495</v>
      </c>
      <c r="FQ119" s="3">
        <f ca="1">IFERROR(__xludf.DUMMYFUNCTION("""COMPUTED_VALUE"""),-0.573539009404122)</f>
        <v>-0.57353900940412195</v>
      </c>
      <c r="FR119" s="3">
        <f ca="1">IFERROR(__xludf.DUMMYFUNCTION("""COMPUTED_VALUE"""),-0.669172087022003)</f>
        <v>-0.66917208702200304</v>
      </c>
      <c r="FS119" s="3">
        <f ca="1">IFERROR(__xludf.DUMMYFUNCTION("""COMPUTED_VALUE"""),-0.742917081635375)</f>
        <v>-0.74291708163537495</v>
      </c>
      <c r="FT119" s="3">
        <f ca="1">IFERROR(__xludf.DUMMYFUNCTION("""COMPUTED_VALUE"""),-0.751687172446092)</f>
        <v>-0.75168717244609196</v>
      </c>
      <c r="FU119" s="3">
        <f ca="1">IFERROR(__xludf.DUMMYFUNCTION("""COMPUTED_VALUE"""),-0.738501758099506)</f>
        <v>-0.73850175809950602</v>
      </c>
      <c r="FV119" s="3">
        <f ca="1">IFERROR(__xludf.DUMMYFUNCTION("""COMPUTED_VALUE"""),-0.687421532454534)</f>
        <v>-0.68742153245453397</v>
      </c>
      <c r="FW119" s="3">
        <f ca="1">IFERROR(__xludf.DUMMYFUNCTION("""COMPUTED_VALUE"""),-0.520519703529754)</f>
        <v>-0.52051970352975396</v>
      </c>
      <c r="FX119" s="3">
        <f ca="1">IFERROR(__xludf.DUMMYFUNCTION("""COMPUTED_VALUE"""),-0.594939249166393)</f>
        <v>-0.59493924916639296</v>
      </c>
      <c r="FY119" s="3">
        <f ca="1">IFERROR(__xludf.DUMMYFUNCTION("""COMPUTED_VALUE"""),-0.673491106734636)</f>
        <v>-0.67349110673463597</v>
      </c>
      <c r="FZ119" s="3">
        <f ca="1">IFERROR(__xludf.DUMMYFUNCTION("""COMPUTED_VALUE"""),-0.738546405234524)</f>
        <v>-0.73854640523452397</v>
      </c>
      <c r="GA119" s="3">
        <f ca="1">IFERROR(__xludf.DUMMYFUNCTION("""COMPUTED_VALUE"""),-0.774335958832029)</f>
        <v>-0.77433595883202899</v>
      </c>
      <c r="GB119" s="3">
        <f ca="1">IFERROR(__xludf.DUMMYFUNCTION("""COMPUTED_VALUE"""),-0.749238913124089)</f>
        <v>-0.74923891312408897</v>
      </c>
      <c r="GC119" s="3">
        <f ca="1">IFERROR(__xludf.DUMMYFUNCTION("""COMPUTED_VALUE"""),-0.729606149174762)</f>
        <v>-0.72960614917476196</v>
      </c>
      <c r="GD119" s="3">
        <f ca="1">IFERROR(__xludf.DUMMYFUNCTION("""COMPUTED_VALUE"""),-0.521545484729642)</f>
        <v>-0.52154548472964202</v>
      </c>
      <c r="GE119" s="3">
        <f ca="1">IFERROR(__xludf.DUMMYFUNCTION("""COMPUTED_VALUE"""),-0.496136931276474)</f>
        <v>-0.49613693127647401</v>
      </c>
      <c r="GF119" s="3">
        <f ca="1">IFERROR(__xludf.DUMMYFUNCTION("""COMPUTED_VALUE"""),-0.696744033906787)</f>
        <v>-0.69674403390678696</v>
      </c>
      <c r="GG119" s="3">
        <f ca="1">IFERROR(__xludf.DUMMYFUNCTION("""COMPUTED_VALUE"""),-0.759322114673294)</f>
        <v>-0.75932211467329402</v>
      </c>
      <c r="GH119" s="3">
        <f ca="1">IFERROR(__xludf.DUMMYFUNCTION("""COMPUTED_VALUE"""),-0.735827679406463)</f>
        <v>-0.73582767940646299</v>
      </c>
      <c r="GI119" s="3">
        <f ca="1">IFERROR(__xludf.DUMMYFUNCTION("""COMPUTED_VALUE"""),-0.769472839014924)</f>
        <v>-0.76947283901492403</v>
      </c>
      <c r="GJ119" s="3">
        <f ca="1">IFERROR(__xludf.DUMMYFUNCTION("""COMPUTED_VALUE"""),-0.729448863290613)</f>
        <v>-0.72944886329061298</v>
      </c>
      <c r="GK119" s="3">
        <f ca="1">IFERROR(__xludf.DUMMYFUNCTION("""COMPUTED_VALUE"""),-0.590979197917157)</f>
        <v>-0.59097919791715703</v>
      </c>
      <c r="GL119" s="3">
        <f ca="1">IFERROR(__xludf.DUMMYFUNCTION("""COMPUTED_VALUE"""),-0.554364544362613)</f>
        <v>-0.55436454436261295</v>
      </c>
      <c r="GM119" s="3">
        <f ca="1">IFERROR(__xludf.DUMMYFUNCTION("""COMPUTED_VALUE"""),-0.680200878206696)</f>
        <v>-0.68020087820669595</v>
      </c>
      <c r="GN119" s="3">
        <f ca="1">IFERROR(__xludf.DUMMYFUNCTION("""COMPUTED_VALUE"""),-0.773047843856068)</f>
        <v>-0.77304784385606795</v>
      </c>
      <c r="GO119" s="3">
        <f ca="1">IFERROR(__xludf.DUMMYFUNCTION("""COMPUTED_VALUE"""),-0.692562843229438)</f>
        <v>-0.69256284322943795</v>
      </c>
      <c r="GP119" s="3">
        <f ca="1">IFERROR(__xludf.DUMMYFUNCTION("""COMPUTED_VALUE"""),-0.758076990219697)</f>
        <v>-0.75807699021969699</v>
      </c>
      <c r="GQ119" s="3">
        <f ca="1">IFERROR(__xludf.DUMMYFUNCTION("""COMPUTED_VALUE"""),-0.751041658468982)</f>
        <v>-0.75104165846898197</v>
      </c>
      <c r="GR119" s="3">
        <f ca="1">IFERROR(__xludf.DUMMYFUNCTION("""COMPUTED_VALUE"""),-0.597932248760759)</f>
        <v>-0.59793224876075901</v>
      </c>
      <c r="GS119" s="3">
        <f ca="1">IFERROR(__xludf.DUMMYFUNCTION("""COMPUTED_VALUE"""),-0.576507256355165)</f>
        <v>-0.57650725635516498</v>
      </c>
      <c r="GT119" s="3">
        <f ca="1">IFERROR(__xludf.DUMMYFUNCTION("""COMPUTED_VALUE"""),-0.704230753290982)</f>
        <v>-0.70423075329098195</v>
      </c>
      <c r="GU119" s="3">
        <f ca="1">IFERROR(__xludf.DUMMYFUNCTION("""COMPUTED_VALUE"""),-0.737414425803891)</f>
        <v>-0.73741442580389105</v>
      </c>
      <c r="GV119" s="3">
        <f ca="1">IFERROR(__xludf.DUMMYFUNCTION("""COMPUTED_VALUE"""),-0.712735097652613)</f>
        <v>-0.712735097652613</v>
      </c>
      <c r="GW119" s="3">
        <f ca="1">IFERROR(__xludf.DUMMYFUNCTION("""COMPUTED_VALUE"""),-0.739453989548396)</f>
        <v>-0.73945398954839603</v>
      </c>
      <c r="GX119" s="3">
        <f ca="1">IFERROR(__xludf.DUMMYFUNCTION("""COMPUTED_VALUE"""),-0.724807309243289)</f>
        <v>-0.72480730924328896</v>
      </c>
      <c r="GY119" s="3">
        <f ca="1">IFERROR(__xludf.DUMMYFUNCTION("""COMPUTED_VALUE"""),-0.528617980574569)</f>
        <v>-0.52861798057456899</v>
      </c>
      <c r="GZ119" s="3">
        <f ca="1">IFERROR(__xludf.DUMMYFUNCTION("""COMPUTED_VALUE"""),-0.405985406031113)</f>
        <v>-0.40598540603111299</v>
      </c>
      <c r="HA119" s="3">
        <f ca="1">IFERROR(__xludf.DUMMYFUNCTION("""COMPUTED_VALUE"""),-0.692974689176762)</f>
        <v>-0.69297468917676197</v>
      </c>
      <c r="HB119" s="3">
        <f ca="1">IFERROR(__xludf.DUMMYFUNCTION("""COMPUTED_VALUE"""),-0.748689793764588)</f>
        <v>-0.748689793764588</v>
      </c>
      <c r="HC119" s="3">
        <f ca="1">IFERROR(__xludf.DUMMYFUNCTION("""COMPUTED_VALUE"""),-0.7106685749884)</f>
        <v>-0.71066857498839997</v>
      </c>
      <c r="HD119" s="3">
        <f ca="1">IFERROR(__xludf.DUMMYFUNCTION("""COMPUTED_VALUE"""),-0.729357463488084)</f>
        <v>-0.72935746348808395</v>
      </c>
      <c r="HE119" s="3">
        <f ca="1">IFERROR(__xludf.DUMMYFUNCTION("""COMPUTED_VALUE"""),-0.767231309808126)</f>
        <v>-0.76723130980812604</v>
      </c>
      <c r="HF119" s="3">
        <f ca="1">IFERROR(__xludf.DUMMYFUNCTION("""COMPUTED_VALUE"""),-0.507523895415426)</f>
        <v>-0.50752389541542597</v>
      </c>
      <c r="HG119" s="3">
        <f ca="1">IFERROR(__xludf.DUMMYFUNCTION("""COMPUTED_VALUE"""),-0.605283383861277)</f>
        <v>-0.605283383861277</v>
      </c>
      <c r="HH119" s="3">
        <f ca="1">IFERROR(__xludf.DUMMYFUNCTION("""COMPUTED_VALUE"""),-0.75879200260461)</f>
        <v>-0.75879200260460999</v>
      </c>
      <c r="HI119" s="3">
        <f ca="1">IFERROR(__xludf.DUMMYFUNCTION("""COMPUTED_VALUE"""),-0.768137061439638)</f>
        <v>-0.768137061439638</v>
      </c>
      <c r="HJ119" s="3">
        <f ca="1">IFERROR(__xludf.DUMMYFUNCTION("""COMPUTED_VALUE"""),-0.783094995054357)</f>
        <v>-0.78309499505435698</v>
      </c>
      <c r="HK119" s="3">
        <f ca="1">IFERROR(__xludf.DUMMYFUNCTION("""COMPUTED_VALUE"""),-0.724697703633342)</f>
        <v>-0.72469770363334196</v>
      </c>
      <c r="HL119" s="3">
        <f ca="1">IFERROR(__xludf.DUMMYFUNCTION("""COMPUTED_VALUE"""),-0.742268121745736)</f>
        <v>-0.74226812174573598</v>
      </c>
      <c r="HM119" s="3">
        <f ca="1">IFERROR(__xludf.DUMMYFUNCTION("""COMPUTED_VALUE"""),-0.572432266257571)</f>
        <v>-0.57243226625757104</v>
      </c>
      <c r="HN119" s="3">
        <f ca="1">IFERROR(__xludf.DUMMYFUNCTION("""COMPUTED_VALUE"""),-0.496104991809228)</f>
        <v>-0.49610499180922801</v>
      </c>
      <c r="HO119" s="3">
        <f ca="1">IFERROR(__xludf.DUMMYFUNCTION("""COMPUTED_VALUE"""),-0.679801466193117)</f>
        <v>-0.67980146619311699</v>
      </c>
      <c r="HP119" s="3">
        <f ca="1">IFERROR(__xludf.DUMMYFUNCTION("""COMPUTED_VALUE"""),-0.769488128318355)</f>
        <v>-0.769488128318355</v>
      </c>
      <c r="HQ119" s="3">
        <f ca="1">IFERROR(__xludf.DUMMYFUNCTION("""COMPUTED_VALUE"""),-0.748602529980133)</f>
        <v>-0.74860252998013299</v>
      </c>
      <c r="HR119" s="3">
        <f ca="1">IFERROR(__xludf.DUMMYFUNCTION("""COMPUTED_VALUE"""),-0.738673803042384)</f>
        <v>-0.73867380304238395</v>
      </c>
      <c r="HS119" s="3">
        <f ca="1">IFERROR(__xludf.DUMMYFUNCTION("""COMPUTED_VALUE"""),-0.662103097066283)</f>
        <v>-0.66210309706628301</v>
      </c>
      <c r="HT119" s="3">
        <f ca="1">IFERROR(__xludf.DUMMYFUNCTION("""COMPUTED_VALUE"""),-0.622710541584413)</f>
        <v>-0.62271054158441297</v>
      </c>
      <c r="HU119" s="3">
        <f ca="1">IFERROR(__xludf.DUMMYFUNCTION("""COMPUTED_VALUE"""),-0.568925631985602)</f>
        <v>-0.56892563198560198</v>
      </c>
      <c r="HV119" s="3">
        <f ca="1">IFERROR(__xludf.DUMMYFUNCTION("""COMPUTED_VALUE"""),-0.705472501371539)</f>
        <v>-0.70547250137153905</v>
      </c>
      <c r="HW119" s="3">
        <f ca="1">IFERROR(__xludf.DUMMYFUNCTION("""COMPUTED_VALUE"""),-0.777825220698762)</f>
        <v>-0.77782522069876203</v>
      </c>
      <c r="HX119" s="3">
        <f ca="1">IFERROR(__xludf.DUMMYFUNCTION("""COMPUTED_VALUE"""),-0.716949418160385)</f>
        <v>-0.71694941816038504</v>
      </c>
      <c r="HY119" s="3">
        <f ca="1">IFERROR(__xludf.DUMMYFUNCTION("""COMPUTED_VALUE"""),-0.743864492033228)</f>
        <v>-0.74386449203322802</v>
      </c>
      <c r="HZ119" s="3">
        <f ca="1">IFERROR(__xludf.DUMMYFUNCTION("""COMPUTED_VALUE"""),-0.698237008027589)</f>
        <v>-0.69823700802758903</v>
      </c>
      <c r="IA119" s="3">
        <f ca="1">IFERROR(__xludf.DUMMYFUNCTION("""COMPUTED_VALUE"""),-0.561437342556085)</f>
        <v>-0.56143734255608502</v>
      </c>
      <c r="IB119" s="3">
        <f ca="1">IFERROR(__xludf.DUMMYFUNCTION("""COMPUTED_VALUE"""),-0.568117078799991)</f>
        <v>-0.56811707879999096</v>
      </c>
      <c r="IC119" s="3">
        <f ca="1">IFERROR(__xludf.DUMMYFUNCTION("""COMPUTED_VALUE"""),-0.705428868369772)</f>
        <v>-0.70542886836977203</v>
      </c>
      <c r="ID119" s="3">
        <f ca="1">IFERROR(__xludf.DUMMYFUNCTION("""COMPUTED_VALUE"""),-0.716759256591639)</f>
        <v>-0.71675925659163897</v>
      </c>
      <c r="IE119" s="3">
        <f ca="1">IFERROR(__xludf.DUMMYFUNCTION("""COMPUTED_VALUE"""),-0.776129368351505)</f>
        <v>-0.77612936835150503</v>
      </c>
      <c r="IF119" s="3">
        <f ca="1">IFERROR(__xludf.DUMMYFUNCTION("""COMPUTED_VALUE"""),-0.765194046570898)</f>
        <v>-0.76519404657089796</v>
      </c>
      <c r="IG119" s="3">
        <f ca="1">IFERROR(__xludf.DUMMYFUNCTION("""COMPUTED_VALUE"""),-0.741487796150506)</f>
        <v>-0.74148779615050597</v>
      </c>
      <c r="IH119" s="3">
        <f ca="1">IFERROR(__xludf.DUMMYFUNCTION("""COMPUTED_VALUE"""),-0.564299959325761)</f>
        <v>-0.56429995932576105</v>
      </c>
      <c r="II119" s="3">
        <f ca="1">IFERROR(__xludf.DUMMYFUNCTION("""COMPUTED_VALUE"""),-0.548188269178682)</f>
        <v>-0.54818826917868202</v>
      </c>
      <c r="IJ119" s="3">
        <f ca="1">IFERROR(__xludf.DUMMYFUNCTION("""COMPUTED_VALUE"""),-0.66100859052187)</f>
        <v>-0.66100859052187</v>
      </c>
      <c r="IK119" s="3">
        <f ca="1">IFERROR(__xludf.DUMMYFUNCTION("""COMPUTED_VALUE"""),-0.681996414959027)</f>
        <v>-0.68199641495902696</v>
      </c>
      <c r="IL119" s="3">
        <f ca="1">IFERROR(__xludf.DUMMYFUNCTION("""COMPUTED_VALUE"""),-0.695467507175677)</f>
        <v>-0.69546750717567696</v>
      </c>
      <c r="IM119" s="3">
        <f ca="1">IFERROR(__xludf.DUMMYFUNCTION("""COMPUTED_VALUE"""),-0.697839894436746)</f>
        <v>-0.69783989443674599</v>
      </c>
      <c r="IN119" s="3">
        <f ca="1">IFERROR(__xludf.DUMMYFUNCTION("""COMPUTED_VALUE"""),-0.636239941898139)</f>
        <v>-0.63623994189813904</v>
      </c>
      <c r="IO119" s="3">
        <f ca="1">IFERROR(__xludf.DUMMYFUNCTION("""COMPUTED_VALUE"""),-0.509498928719393)</f>
        <v>-0.50949892871939295</v>
      </c>
      <c r="IP119" s="3">
        <f ca="1">IFERROR(__xludf.DUMMYFUNCTION("""COMPUTED_VALUE"""),-0.566022875063424)</f>
        <v>-0.56602287506342397</v>
      </c>
      <c r="IQ119" s="3">
        <f ca="1">IFERROR(__xludf.DUMMYFUNCTION("""COMPUTED_VALUE"""),-0.652317067065652)</f>
        <v>-0.65231706706565196</v>
      </c>
      <c r="IR119" s="3">
        <f ca="1">IFERROR(__xludf.DUMMYFUNCTION("""COMPUTED_VALUE"""),-0.715187669547949)</f>
        <v>-0.71518766954794899</v>
      </c>
      <c r="IS119" s="3">
        <f ca="1">IFERROR(__xludf.DUMMYFUNCTION("""COMPUTED_VALUE"""),-0.699078031144672)</f>
        <v>-0.69907803114467204</v>
      </c>
      <c r="IT119" s="3">
        <f ca="1">IFERROR(__xludf.DUMMYFUNCTION("""COMPUTED_VALUE"""),-0.679490376637871)</f>
        <v>-0.67949037663787104</v>
      </c>
      <c r="IU119" s="3">
        <f ca="1">IFERROR(__xludf.DUMMYFUNCTION("""COMPUTED_VALUE"""),-0.692084239371098)</f>
        <v>-0.69208423937109798</v>
      </c>
      <c r="IV119" s="3">
        <f ca="1">IFERROR(__xludf.DUMMYFUNCTION("""COMPUTED_VALUE"""),-0.533573999089804)</f>
        <v>-0.53357399908980396</v>
      </c>
      <c r="IW119" s="3">
        <f ca="1">IFERROR(__xludf.DUMMYFUNCTION("""COMPUTED_VALUE"""),-0.571235592200047)</f>
        <v>-0.57123559220004705</v>
      </c>
      <c r="IX119" s="3">
        <f ca="1">IFERROR(__xludf.DUMMYFUNCTION("""COMPUTED_VALUE"""),-0.687209191374252)</f>
        <v>-0.68720919137425196</v>
      </c>
      <c r="IY119" s="3">
        <f ca="1">IFERROR(__xludf.DUMMYFUNCTION("""COMPUTED_VALUE"""),-0.72302054510099)</f>
        <v>-0.72302054510099001</v>
      </c>
      <c r="IZ119" s="3">
        <f ca="1">IFERROR(__xludf.DUMMYFUNCTION("""COMPUTED_VALUE"""),-0.720935080455759)</f>
        <v>-0.72093508045575905</v>
      </c>
      <c r="JA119" s="3">
        <f ca="1">IFERROR(__xludf.DUMMYFUNCTION("""COMPUTED_VALUE"""),-0.71784915951522)</f>
        <v>-0.71784915951521999</v>
      </c>
      <c r="JB119" s="3">
        <f ca="1">IFERROR(__xludf.DUMMYFUNCTION("""COMPUTED_VALUE"""),-0.659376990421937)</f>
        <v>-0.65937699042193698</v>
      </c>
      <c r="JC119" s="3">
        <f ca="1">IFERROR(__xludf.DUMMYFUNCTION("""COMPUTED_VALUE"""),-0.589662733625061)</f>
        <v>-0.58966273362506105</v>
      </c>
      <c r="JD119" s="3">
        <f ca="1">IFERROR(__xludf.DUMMYFUNCTION("""COMPUTED_VALUE"""),-0.670225301428419)</f>
        <v>-0.67022530142841896</v>
      </c>
      <c r="JE119" s="3">
        <f ca="1">IFERROR(__xludf.DUMMYFUNCTION("""COMPUTED_VALUE"""),-0.689769452623917)</f>
        <v>-0.68976945262391698</v>
      </c>
      <c r="JF119" s="3">
        <f ca="1">IFERROR(__xludf.DUMMYFUNCTION("""COMPUTED_VALUE"""),-0.710501558376646)</f>
        <v>-0.71050155837664597</v>
      </c>
      <c r="JG119" s="3">
        <f ca="1">IFERROR(__xludf.DUMMYFUNCTION("""COMPUTED_VALUE"""),-0.741420776476984)</f>
        <v>-0.74142077647698401</v>
      </c>
      <c r="JH119" s="3">
        <f ca="1">IFERROR(__xludf.DUMMYFUNCTION("""COMPUTED_VALUE"""),-0.674424486847235)</f>
        <v>-0.67442448684723499</v>
      </c>
      <c r="JI119" s="3">
        <f ca="1">IFERROR(__xludf.DUMMYFUNCTION("""COMPUTED_VALUE"""),-0.689715155831488)</f>
        <v>-0.68971515583148801</v>
      </c>
      <c r="JJ119" s="3">
        <f ca="1">IFERROR(__xludf.DUMMYFUNCTION("""COMPUTED_VALUE"""),-0.615174306730688)</f>
        <v>-0.61517430673068796</v>
      </c>
      <c r="JK119" s="3">
        <f ca="1">IFERROR(__xludf.DUMMYFUNCTION("""COMPUTED_VALUE"""),-0.667784535328937)</f>
        <v>-0.667784535328937</v>
      </c>
      <c r="JL119" s="3">
        <f ca="1">IFERROR(__xludf.DUMMYFUNCTION("""COMPUTED_VALUE"""),-0.671197277478139)</f>
        <v>-0.67119727747813895</v>
      </c>
      <c r="JM119" s="3">
        <f ca="1">IFERROR(__xludf.DUMMYFUNCTION("""COMPUTED_VALUE"""),-0.727169093755222)</f>
        <v>-0.72716909375522198</v>
      </c>
      <c r="JN119" s="3">
        <f ca="1">IFERROR(__xludf.DUMMYFUNCTION("""COMPUTED_VALUE"""),-0.708029723095341)</f>
        <v>-0.70802972309534096</v>
      </c>
      <c r="JO119" s="3">
        <f ca="1">IFERROR(__xludf.DUMMYFUNCTION("""COMPUTED_VALUE"""),-0.696423376099029)</f>
        <v>-0.69642337609902905</v>
      </c>
      <c r="JP119" s="3">
        <f ca="1">IFERROR(__xludf.DUMMYFUNCTION("""COMPUTED_VALUE"""),-0.682925576730673)</f>
        <v>-0.682925576730673</v>
      </c>
      <c r="JQ119" s="3">
        <f ca="1">IFERROR(__xludf.DUMMYFUNCTION("""COMPUTED_VALUE"""),-0.611128750993417)</f>
        <v>-0.61112875099341701</v>
      </c>
      <c r="JR119" s="3">
        <f ca="1">IFERROR(__xludf.DUMMYFUNCTION("""COMPUTED_VALUE"""),-0.561613329604986)</f>
        <v>-0.561613329604986</v>
      </c>
      <c r="JS119" s="3">
        <f ca="1">IFERROR(__xludf.DUMMYFUNCTION("""COMPUTED_VALUE"""),-0.562318353361777)</f>
        <v>-0.56231835336177705</v>
      </c>
      <c r="JT119" s="3">
        <f ca="1">IFERROR(__xludf.DUMMYFUNCTION("""COMPUTED_VALUE"""),-0.592762865810358)</f>
        <v>-0.59276286581035798</v>
      </c>
      <c r="JU119" s="3">
        <f ca="1">IFERROR(__xludf.DUMMYFUNCTION("""COMPUTED_VALUE"""),-0.668856063732398)</f>
        <v>-0.66885606373239803</v>
      </c>
      <c r="JV119" s="3">
        <f ca="1">IFERROR(__xludf.DUMMYFUNCTION("""COMPUTED_VALUE"""),-0.677953304252193)</f>
        <v>-0.67795330425219302</v>
      </c>
      <c r="JW119" s="3">
        <f ca="1">IFERROR(__xludf.DUMMYFUNCTION("""COMPUTED_VALUE"""),-0.6746766244031)</f>
        <v>-0.67467662440309994</v>
      </c>
      <c r="JX119" s="3">
        <f ca="1">IFERROR(__xludf.DUMMYFUNCTION("""COMPUTED_VALUE"""),-0.596497018721114)</f>
        <v>-0.59649701872111405</v>
      </c>
      <c r="JY119" s="3">
        <f ca="1">IFERROR(__xludf.DUMMYFUNCTION("""COMPUTED_VALUE"""),-0.838850672201995)</f>
        <v>-0.83885067220199505</v>
      </c>
      <c r="JZ119" s="3">
        <f ca="1">IFERROR(__xludf.DUMMYFUNCTION("""COMPUTED_VALUE"""),-0.651946148070248)</f>
        <v>-0.65194614807024798</v>
      </c>
      <c r="KA119" s="3">
        <f ca="1">IFERROR(__xludf.DUMMYFUNCTION("""COMPUTED_VALUE"""),-0.639984328142185)</f>
        <v>-0.63998432814218498</v>
      </c>
      <c r="KB119" s="3">
        <f ca="1">IFERROR(__xludf.DUMMYFUNCTION("""COMPUTED_VALUE"""),-0.688430631135587)</f>
        <v>-0.688430631135587</v>
      </c>
      <c r="KC119" s="3">
        <f ca="1">IFERROR(__xludf.DUMMYFUNCTION("""COMPUTED_VALUE"""),-0.687918013013919)</f>
        <v>-0.68791801301391897</v>
      </c>
      <c r="KD119" s="3">
        <f ca="1">IFERROR(__xludf.DUMMYFUNCTION("""COMPUTED_VALUE"""),-0.720881337357638)</f>
        <v>-0.72088133735763804</v>
      </c>
      <c r="KE119" s="3">
        <f ca="1">IFERROR(__xludf.DUMMYFUNCTION("""COMPUTED_VALUE"""),-0.514397868616591)</f>
        <v>-0.51439786861659098</v>
      </c>
      <c r="KF119" s="3">
        <f ca="1">IFERROR(__xludf.DUMMYFUNCTION("""COMPUTED_VALUE"""),-0.512912353464827)</f>
        <v>-0.512912353464827</v>
      </c>
      <c r="KG119" s="3">
        <f ca="1">IFERROR(__xludf.DUMMYFUNCTION("""COMPUTED_VALUE"""),-0.598674362648299)</f>
        <v>-0.59867436264829899</v>
      </c>
      <c r="KH119" s="3">
        <f ca="1">IFERROR(__xludf.DUMMYFUNCTION("""COMPUTED_VALUE"""),-0.57335079226952)</f>
        <v>-0.57335079226952002</v>
      </c>
      <c r="KI119" s="3">
        <f ca="1">IFERROR(__xludf.DUMMYFUNCTION("""COMPUTED_VALUE"""),-0.711445760190421)</f>
        <v>-0.71144576019042105</v>
      </c>
      <c r="KJ119" s="3">
        <f ca="1">IFERROR(__xludf.DUMMYFUNCTION("""COMPUTED_VALUE"""),-0.689032837868308)</f>
        <v>-0.68903283786830805</v>
      </c>
      <c r="KK119" s="3">
        <f ca="1">IFERROR(__xludf.DUMMYFUNCTION("""COMPUTED_VALUE"""),-0.701309466296011)</f>
        <v>-0.70130946629601099</v>
      </c>
      <c r="KL119" s="3">
        <f ca="1">IFERROR(__xludf.DUMMYFUNCTION("""COMPUTED_VALUE"""),-0.575694425021717)</f>
        <v>-0.57569442502171697</v>
      </c>
      <c r="KM119" s="3">
        <f ca="1">IFERROR(__xludf.DUMMYFUNCTION("""COMPUTED_VALUE"""),-0.53311366165452)</f>
        <v>-0.53311366165452001</v>
      </c>
      <c r="KN119" s="3">
        <f ca="1">IFERROR(__xludf.DUMMYFUNCTION("""COMPUTED_VALUE"""),-0.630233526450151)</f>
        <v>-0.63023352645015096</v>
      </c>
      <c r="KO119" s="3">
        <f ca="1">IFERROR(__xludf.DUMMYFUNCTION("""COMPUTED_VALUE"""),-0.665037316069716)</f>
        <v>-0.66503731606971594</v>
      </c>
      <c r="KP119" s="3">
        <f ca="1">IFERROR(__xludf.DUMMYFUNCTION("""COMPUTED_VALUE"""),-0.665573292012365)</f>
        <v>-0.66557329201236504</v>
      </c>
      <c r="KQ119" s="3">
        <f ca="1">IFERROR(__xludf.DUMMYFUNCTION("""COMPUTED_VALUE"""),-0.735055588784927)</f>
        <v>-0.73505558878492705</v>
      </c>
      <c r="KR119" s="3">
        <f ca="1">IFERROR(__xludf.DUMMYFUNCTION("""COMPUTED_VALUE"""),-0.667833067126398)</f>
        <v>-0.66783306712639801</v>
      </c>
      <c r="KS119" s="3">
        <f ca="1">IFERROR(__xludf.DUMMYFUNCTION("""COMPUTED_VALUE"""),-0.537672741747549)</f>
        <v>-0.53767274174754898</v>
      </c>
      <c r="KT119" s="3">
        <f ca="1">IFERROR(__xludf.DUMMYFUNCTION("""COMPUTED_VALUE"""),-0.572403121103191)</f>
        <v>-0.57240312110319103</v>
      </c>
      <c r="KU119" s="3">
        <f ca="1">IFERROR(__xludf.DUMMYFUNCTION("""COMPUTED_VALUE"""),-0.720574541075268)</f>
        <v>-0.72057454107526797</v>
      </c>
      <c r="KV119" s="3">
        <f ca="1">IFERROR(__xludf.DUMMYFUNCTION("""COMPUTED_VALUE"""),-0.770511098102784)</f>
        <v>-0.77051109810278395</v>
      </c>
      <c r="KW119" s="3">
        <f ca="1">IFERROR(__xludf.DUMMYFUNCTION("""COMPUTED_VALUE"""),-0.777557478057633)</f>
        <v>-0.77755747805763298</v>
      </c>
      <c r="KX119" s="3">
        <f ca="1">IFERROR(__xludf.DUMMYFUNCTION("""COMPUTED_VALUE"""),-0.724854336478208)</f>
        <v>-0.72485433647820796</v>
      </c>
      <c r="KY119" s="3">
        <f ca="1">IFERROR(__xludf.DUMMYFUNCTION("""COMPUTED_VALUE"""),-0.761210500633113)</f>
        <v>-0.76121050063311302</v>
      </c>
      <c r="KZ119" s="3">
        <f ca="1">IFERROR(__xludf.DUMMYFUNCTION("""COMPUTED_VALUE"""),-0.605874692557811)</f>
        <v>-0.60587469255781101</v>
      </c>
      <c r="LA119" s="3">
        <f ca="1">IFERROR(__xludf.DUMMYFUNCTION("""COMPUTED_VALUE"""),-0.723123071040294)</f>
        <v>-0.72312307104029405</v>
      </c>
      <c r="LB119" s="3">
        <f ca="1">IFERROR(__xludf.DUMMYFUNCTION("""COMPUTED_VALUE"""),-0.688767112185848)</f>
        <v>-0.68876711218584796</v>
      </c>
      <c r="LC119" s="3">
        <f ca="1">IFERROR(__xludf.DUMMYFUNCTION("""COMPUTED_VALUE"""),-0.703446232823954)</f>
        <v>-0.70344623282395402</v>
      </c>
      <c r="LD119" s="3">
        <f ca="1">IFERROR(__xludf.DUMMYFUNCTION("""COMPUTED_VALUE"""),-0.755296066121433)</f>
        <v>-0.75529606612143296</v>
      </c>
      <c r="LE119" s="3">
        <f ca="1">IFERROR(__xludf.DUMMYFUNCTION("""COMPUTED_VALUE"""),-0.778980936046589)</f>
        <v>-0.77898093604658902</v>
      </c>
      <c r="LF119" s="3">
        <f ca="1">IFERROR(__xludf.DUMMYFUNCTION("""COMPUTED_VALUE"""),-0.647996589754674)</f>
        <v>-0.647996589754674</v>
      </c>
      <c r="LG119" s="3">
        <f ca="1">IFERROR(__xludf.DUMMYFUNCTION("""COMPUTED_VALUE"""),-0.619916983310405)</f>
        <v>-0.61991698331040501</v>
      </c>
      <c r="LH119" s="3">
        <f ca="1">IFERROR(__xludf.DUMMYFUNCTION("""COMPUTED_VALUE"""),-0.77219889610193)</f>
        <v>-0.77219889610193004</v>
      </c>
      <c r="LI119" s="3">
        <f ca="1">IFERROR(__xludf.DUMMYFUNCTION("""COMPUTED_VALUE"""),-0.738273391484589)</f>
        <v>-0.73827339148458904</v>
      </c>
      <c r="LJ119" s="3">
        <f ca="1">IFERROR(__xludf.DUMMYFUNCTION("""COMPUTED_VALUE"""),-0.792929831381936)</f>
        <v>-0.79292983138193596</v>
      </c>
      <c r="LK119" s="3">
        <f ca="1">IFERROR(__xludf.DUMMYFUNCTION("""COMPUTED_VALUE"""),-0.831449837872647)</f>
        <v>-0.83144983787264704</v>
      </c>
      <c r="LL119" s="3">
        <f ca="1">IFERROR(__xludf.DUMMYFUNCTION("""COMPUTED_VALUE"""),-0.784592378151736)</f>
        <v>-0.78459237815173599</v>
      </c>
      <c r="LM119" s="3">
        <f ca="1">IFERROR(__xludf.DUMMYFUNCTION("""COMPUTED_VALUE"""),-0.901314243528953)</f>
        <v>-0.90131424352895295</v>
      </c>
      <c r="LN119" s="3">
        <f ca="1">IFERROR(__xludf.DUMMYFUNCTION("""COMPUTED_VALUE"""),-0.689595209931996)</f>
        <v>-0.68959520993199597</v>
      </c>
      <c r="LO119" s="3">
        <f ca="1">IFERROR(__xludf.DUMMYFUNCTION("""COMPUTED_VALUE"""),-0.729564627871127)</f>
        <v>-0.72956462787112697</v>
      </c>
      <c r="LP119" s="3">
        <f ca="1">IFERROR(__xludf.DUMMYFUNCTION("""COMPUTED_VALUE"""),-0.752123184326794)</f>
        <v>-0.75212318432679404</v>
      </c>
      <c r="LQ119" s="3">
        <f ca="1">IFERROR(__xludf.DUMMYFUNCTION("""COMPUTED_VALUE"""),-0.806527263319342)</f>
        <v>-0.80652726331934199</v>
      </c>
      <c r="LR119" s="3">
        <f ca="1">IFERROR(__xludf.DUMMYFUNCTION("""COMPUTED_VALUE"""),-0.799036133631515)</f>
        <v>-0.79903613363151504</v>
      </c>
      <c r="LS119" s="3">
        <f ca="1">IFERROR(__xludf.DUMMYFUNCTION("""COMPUTED_VALUE"""),-0.813154324897307)</f>
        <v>-0.81315432489730699</v>
      </c>
      <c r="LT119" s="3">
        <f ca="1">IFERROR(__xludf.DUMMYFUNCTION("""COMPUTED_VALUE"""),-0.692148173170119)</f>
        <v>-0.69214817317011901</v>
      </c>
      <c r="LU119" s="3">
        <f ca="1">IFERROR(__xludf.DUMMYFUNCTION("""COMPUTED_VALUE"""),-0.775048895504313)</f>
        <v>-0.775048895504313</v>
      </c>
      <c r="LV119" s="3">
        <f ca="1">IFERROR(__xludf.DUMMYFUNCTION("""COMPUTED_VALUE"""),-0.724627795893181)</f>
        <v>-0.72462779589318105</v>
      </c>
      <c r="LW119" s="3">
        <f ca="1">IFERROR(__xludf.DUMMYFUNCTION("""COMPUTED_VALUE"""),-0.757708124782505)</f>
        <v>-0.75770812478250504</v>
      </c>
      <c r="LX119" s="3">
        <f ca="1">IFERROR(__xludf.DUMMYFUNCTION("""COMPUTED_VALUE"""),-0.824636129013429)</f>
        <v>-0.82463612901342898</v>
      </c>
      <c r="LY119" s="3">
        <f ca="1">IFERROR(__xludf.DUMMYFUNCTION("""COMPUTED_VALUE"""),-0.836249170973265)</f>
        <v>-0.83624917097326501</v>
      </c>
      <c r="LZ119" s="3">
        <f ca="1">IFERROR(__xludf.DUMMYFUNCTION("""COMPUTED_VALUE"""),-0.828229951389214)</f>
        <v>-0.82822995138921396</v>
      </c>
      <c r="MA119" s="3">
        <f ca="1">IFERROR(__xludf.DUMMYFUNCTION("""COMPUTED_VALUE"""),-0.761625079561145)</f>
        <v>-0.761625079561145</v>
      </c>
      <c r="MB119" s="3">
        <f ca="1">IFERROR(__xludf.DUMMYFUNCTION("""COMPUTED_VALUE"""),-0.665860481014526)</f>
        <v>-0.665860481014526</v>
      </c>
      <c r="MC119" s="3">
        <f ca="1">IFERROR(__xludf.DUMMYFUNCTION("""COMPUTED_VALUE"""),-0.682817338370747)</f>
        <v>-0.68281733837074698</v>
      </c>
      <c r="MD119" s="3">
        <f ca="1">IFERROR(__xludf.DUMMYFUNCTION("""COMPUTED_VALUE"""),-0.773836954472546)</f>
        <v>-0.77383695447254597</v>
      </c>
      <c r="ME119" s="3">
        <f ca="1">IFERROR(__xludf.DUMMYFUNCTION("""COMPUTED_VALUE"""),-0.797909567671546)</f>
        <v>-0.79790956767154597</v>
      </c>
      <c r="MF119" s="3">
        <f ca="1">IFERROR(__xludf.DUMMYFUNCTION("""COMPUTED_VALUE"""),-0.794538790479852)</f>
        <v>-0.79453879047985199</v>
      </c>
      <c r="MG119" s="3">
        <f ca="1">IFERROR(__xludf.DUMMYFUNCTION("""COMPUTED_VALUE"""),-0.834373561559501)</f>
        <v>-0.83437356155950104</v>
      </c>
      <c r="MH119" s="3">
        <f ca="1">IFERROR(__xludf.DUMMYFUNCTION("""COMPUTED_VALUE"""),-0.778410850152889)</f>
        <v>-0.77841085015288902</v>
      </c>
      <c r="MI119" s="3">
        <f ca="1">IFERROR(__xludf.DUMMYFUNCTION("""COMPUTED_VALUE"""),-0.687021866538237)</f>
        <v>-0.68702186653823705</v>
      </c>
      <c r="MJ119" s="3">
        <f ca="1">IFERROR(__xludf.DUMMYFUNCTION("""COMPUTED_VALUE"""),-0.677295263230389)</f>
        <v>-0.67729526323038902</v>
      </c>
      <c r="MK119" s="3">
        <f ca="1">IFERROR(__xludf.DUMMYFUNCTION("""COMPUTED_VALUE"""),-0.791971548180077)</f>
        <v>-0.79197154818007698</v>
      </c>
      <c r="ML119" s="3">
        <f ca="1">IFERROR(__xludf.DUMMYFUNCTION("""COMPUTED_VALUE"""),-0.821943847474551)</f>
        <v>-0.82194384747455096</v>
      </c>
      <c r="MM119" s="3">
        <f ca="1">IFERROR(__xludf.DUMMYFUNCTION("""COMPUTED_VALUE"""),-0.816168997269467)</f>
        <v>-0.81616899726946701</v>
      </c>
      <c r="MN119" s="3">
        <f ca="1">IFERROR(__xludf.DUMMYFUNCTION("""COMPUTED_VALUE"""),-0.806539416979319)</f>
        <v>-0.80653941697931897</v>
      </c>
      <c r="MO119" s="3">
        <f ca="1">IFERROR(__xludf.DUMMYFUNCTION("""COMPUTED_VALUE"""),-0.844893186596269)</f>
        <v>-0.844893186596269</v>
      </c>
      <c r="MP119" s="3">
        <f ca="1">IFERROR(__xludf.DUMMYFUNCTION("""COMPUTED_VALUE"""),-0.693199396970681)</f>
        <v>-0.693199396970681</v>
      </c>
      <c r="MQ119" s="3">
        <f ca="1">IFERROR(__xludf.DUMMYFUNCTION("""COMPUTED_VALUE"""),-0.715486564091177)</f>
        <v>-0.71548656409117695</v>
      </c>
      <c r="MR119" s="3">
        <f ca="1">IFERROR(__xludf.DUMMYFUNCTION("""COMPUTED_VALUE"""),-0.810275824267334)</f>
        <v>-0.81027582426733402</v>
      </c>
      <c r="MS119" s="3">
        <f ca="1">IFERROR(__xludf.DUMMYFUNCTION("""COMPUTED_VALUE"""),-0.846828073541246)</f>
        <v>-0.84682807354124601</v>
      </c>
      <c r="MT119" s="3">
        <f ca="1">IFERROR(__xludf.DUMMYFUNCTION("""COMPUTED_VALUE"""),-0.857862968984004)</f>
        <v>-0.85786296898400405</v>
      </c>
      <c r="MU119" s="3">
        <f ca="1">IFERROR(__xludf.DUMMYFUNCTION("""COMPUTED_VALUE"""),-0.82488850111856)</f>
        <v>-0.82488850111856005</v>
      </c>
      <c r="MV119" s="3">
        <f ca="1">IFERROR(__xludf.DUMMYFUNCTION("""COMPUTED_VALUE"""),-0.818605603143761)</f>
        <v>-0.81860560314376096</v>
      </c>
      <c r="MW119" s="3">
        <f ca="1">IFERROR(__xludf.DUMMYFUNCTION("""COMPUTED_VALUE"""),-0.66312051381652)</f>
        <v>-0.66312051381652004</v>
      </c>
      <c r="MX119" s="3">
        <f ca="1">IFERROR(__xludf.DUMMYFUNCTION("""COMPUTED_VALUE"""),-0.737548043578234)</f>
        <v>-0.737548043578234</v>
      </c>
      <c r="MY119" s="3">
        <f ca="1">IFERROR(__xludf.DUMMYFUNCTION("""COMPUTED_VALUE"""),-0.800109214068504)</f>
        <v>-0.80010921406850399</v>
      </c>
      <c r="MZ119" s="3">
        <f ca="1">IFERROR(__xludf.DUMMYFUNCTION("""COMPUTED_VALUE"""),-0.828315058795295)</f>
        <v>-0.82831505879529499</v>
      </c>
      <c r="NA119" s="3">
        <f ca="1">IFERROR(__xludf.DUMMYFUNCTION("""COMPUTED_VALUE"""),-0.832242417553923)</f>
        <v>-0.83224241755392303</v>
      </c>
      <c r="NB119" s="3">
        <f ca="1">IFERROR(__xludf.DUMMYFUNCTION("""COMPUTED_VALUE"""),-0.822536512519203)</f>
        <v>-0.82253651251920301</v>
      </c>
      <c r="NC119" s="3">
        <f ca="1">IFERROR(__xludf.DUMMYFUNCTION("""COMPUTED_VALUE"""),-0.795712592291141)</f>
        <v>-0.795712592291141</v>
      </c>
      <c r="ND119" s="3">
        <f ca="1">IFERROR(__xludf.DUMMYFUNCTION("""COMPUTED_VALUE"""),-0.685825325496863)</f>
        <v>-0.68582532549686304</v>
      </c>
      <c r="NE119" s="3">
        <f ca="1">IFERROR(__xludf.DUMMYFUNCTION("""COMPUTED_VALUE"""),-0.732854915135933)</f>
        <v>-0.73285491513593304</v>
      </c>
      <c r="NF119" s="3">
        <f ca="1">IFERROR(__xludf.DUMMYFUNCTION("""COMPUTED_VALUE"""),-0.746914766604369)</f>
        <v>-0.74691476660436895</v>
      </c>
      <c r="NG119" s="3">
        <f ca="1">IFERROR(__xludf.DUMMYFUNCTION("""COMPUTED_VALUE"""),-0.742561841398304)</f>
        <v>-0.74256184139830395</v>
      </c>
      <c r="NH119" s="3">
        <f ca="1">IFERROR(__xludf.DUMMYFUNCTION("""COMPUTED_VALUE"""),-0.795752613908114)</f>
        <v>-0.79575261390811403</v>
      </c>
      <c r="NI119" s="3">
        <f ca="1">IFERROR(__xludf.DUMMYFUNCTION("""COMPUTED_VALUE"""),-0.778825449754825)</f>
        <v>-0.77882544975482504</v>
      </c>
      <c r="NJ119" s="3">
        <f ca="1">IFERROR(__xludf.DUMMYFUNCTION("""COMPUTED_VALUE"""),-0.761490924610202)</f>
        <v>-0.76149092461020196</v>
      </c>
      <c r="NK119" s="3">
        <f ca="1">IFERROR(__xludf.DUMMYFUNCTION("""COMPUTED_VALUE"""),-0.812424495264127)</f>
        <v>-0.81242449526412697</v>
      </c>
      <c r="NL119" s="3">
        <f ca="1">IFERROR(__xludf.DUMMYFUNCTION("""COMPUTED_VALUE"""),-0.729180635270486)</f>
        <v>-0.72918063527048604</v>
      </c>
      <c r="NM119" s="3">
        <f ca="1">IFERROR(__xludf.DUMMYFUNCTION("""COMPUTED_VALUE"""),-0.722918599313963)</f>
        <v>-0.72291859931396296</v>
      </c>
      <c r="NN119" s="3">
        <f ca="1">IFERROR(__xludf.DUMMYFUNCTION("""COMPUTED_VALUE"""),-0.785860730211227)</f>
        <v>-0.78586073021122704</v>
      </c>
      <c r="NO119" s="3">
        <f ca="1">IFERROR(__xludf.DUMMYFUNCTION("""COMPUTED_VALUE"""),-0.771920604456522)</f>
        <v>-0.771920604456522</v>
      </c>
      <c r="NP119" s="3">
        <f ca="1">IFERROR(__xludf.DUMMYFUNCTION("""COMPUTED_VALUE"""),-0.828346109862001)</f>
        <v>-0.82834610986200097</v>
      </c>
      <c r="NQ119" s="3">
        <f ca="1">IFERROR(__xludf.DUMMYFUNCTION("""COMPUTED_VALUE"""),-0.764656403517337)</f>
        <v>-0.76465640351733699</v>
      </c>
      <c r="NR119" s="3">
        <f ca="1">IFERROR(__xludf.DUMMYFUNCTION("""COMPUTED_VALUE"""),-0.769861494328499)</f>
        <v>-0.76986149432849904</v>
      </c>
      <c r="NS119" s="3">
        <f ca="1">IFERROR(__xludf.DUMMYFUNCTION("""COMPUTED_VALUE"""),-0.693869418914633)</f>
        <v>-0.69386941891463305</v>
      </c>
      <c r="NT119" s="3">
        <f ca="1">IFERROR(__xludf.DUMMYFUNCTION("""COMPUTED_VALUE"""),-0.743114115098212)</f>
        <v>-0.74311411509821201</v>
      </c>
      <c r="NU119" s="3">
        <f ca="1">IFERROR(__xludf.DUMMYFUNCTION("""COMPUTED_VALUE"""),-0.755060279965138)</f>
        <v>-0.75506027996513803</v>
      </c>
      <c r="NV119" s="3">
        <f ca="1">IFERROR(__xludf.DUMMYFUNCTION("""COMPUTED_VALUE"""),-0.805308319927662)</f>
        <v>-0.80530831992766205</v>
      </c>
      <c r="NW119" s="3">
        <f ca="1">IFERROR(__xludf.DUMMYFUNCTION("""COMPUTED_VALUE"""),-0.773161558675835)</f>
        <v>-0.77316155867583503</v>
      </c>
      <c r="NX119" s="3">
        <f ca="1">IFERROR(__xludf.DUMMYFUNCTION("""COMPUTED_VALUE"""),-0.805586215088648)</f>
        <v>-0.80558621508864803</v>
      </c>
      <c r="NY119" s="3">
        <f ca="1">IFERROR(__xludf.DUMMYFUNCTION("""COMPUTED_VALUE"""),-0.7905378139733)</f>
        <v>-0.79053781397330003</v>
      </c>
      <c r="NZ119" s="3">
        <f ca="1">IFERROR(__xludf.DUMMYFUNCTION("""COMPUTED_VALUE"""),-0.722540610019162)</f>
        <v>-0.72254061001916203</v>
      </c>
      <c r="OA119" s="3">
        <f ca="1">IFERROR(__xludf.DUMMYFUNCTION("""COMPUTED_VALUE"""),-0.749909718592363)</f>
        <v>-0.74990971859236299</v>
      </c>
      <c r="OB119" s="3">
        <f ca="1">IFERROR(__xludf.DUMMYFUNCTION("""COMPUTED_VALUE"""),-0.798018359727162)</f>
        <v>-0.79801835972716195</v>
      </c>
      <c r="OC119" s="3">
        <f ca="1">IFERROR(__xludf.DUMMYFUNCTION("""COMPUTED_VALUE"""),-0.823485423730393)</f>
        <v>-0.82348542373039302</v>
      </c>
      <c r="OD119" s="3">
        <f ca="1">IFERROR(__xludf.DUMMYFUNCTION("""COMPUTED_VALUE"""),-0.759134466524736)</f>
        <v>-0.75913446652473604</v>
      </c>
      <c r="OE119" s="3">
        <f ca="1">IFERROR(__xludf.DUMMYFUNCTION("""COMPUTED_VALUE"""),-0.652991841171241)</f>
        <v>-0.65299184117124098</v>
      </c>
      <c r="OF119" s="3">
        <f ca="1">IFERROR(__xludf.DUMMYFUNCTION("""COMPUTED_VALUE"""),-0.484292625184635)</f>
        <v>-0.48429262518463501</v>
      </c>
      <c r="OG119" s="3">
        <f ca="1">IFERROR(__xludf.DUMMYFUNCTION("""COMPUTED_VALUE"""),-0.438423887646647)</f>
        <v>-0.43842388764664703</v>
      </c>
      <c r="OH119" s="3">
        <f ca="1">IFERROR(__xludf.DUMMYFUNCTION("""COMPUTED_VALUE"""),-0.352494220492371)</f>
        <v>-0.352494220492371</v>
      </c>
      <c r="OI119" s="3">
        <f ca="1">IFERROR(__xludf.DUMMYFUNCTION("""COMPUTED_VALUE"""),-0.30209738850484)</f>
        <v>-0.30209738850484003</v>
      </c>
      <c r="OJ119" s="3">
        <f ca="1">IFERROR(__xludf.DUMMYFUNCTION("""COMPUTED_VALUE"""),-0.25264073987955)</f>
        <v>-0.25264073987954999</v>
      </c>
      <c r="OK119" s="3">
        <f ca="1">IFERROR(__xludf.DUMMYFUNCTION("""COMPUTED_VALUE"""),-0.165460743749189)</f>
        <v>-0.16546074374918901</v>
      </c>
      <c r="OL119" s="3">
        <f ca="1">IFERROR(__xludf.DUMMYFUNCTION("""COMPUTED_VALUE"""),-0.196026259077917)</f>
        <v>-0.19602625907791699</v>
      </c>
      <c r="OM119" s="3">
        <f ca="1">IFERROR(__xludf.DUMMYFUNCTION("""COMPUTED_VALUE"""),-0.0856220273708634)</f>
        <v>-8.5622027370863399E-2</v>
      </c>
      <c r="ON119" s="3">
        <f ca="1">IFERROR(__xludf.DUMMYFUNCTION("""COMPUTED_VALUE"""),-0.0893939718123068)</f>
        <v>-8.9393971812306794E-2</v>
      </c>
      <c r="OO119" s="3">
        <f ca="1">IFERROR(__xludf.DUMMYFUNCTION("""COMPUTED_VALUE"""),-0.109304021797826)</f>
        <v>-0.109304021797826</v>
      </c>
      <c r="OP119" s="3">
        <f ca="1">IFERROR(__xludf.DUMMYFUNCTION("""COMPUTED_VALUE"""),-0.0488544257079971)</f>
        <v>-4.8854425707997098E-2</v>
      </c>
      <c r="OQ119" s="3">
        <f ca="1">IFERROR(__xludf.DUMMYFUNCTION("""COMPUTED_VALUE"""),0.00431396831830244)</f>
        <v>4.3139683183024396E-3</v>
      </c>
      <c r="OR119" s="3">
        <f ca="1">IFERROR(__xludf.DUMMYFUNCTION("""COMPUTED_VALUE"""),-0.111930742510781)</f>
        <v>-0.111930742510781</v>
      </c>
      <c r="OS119" s="3">
        <f ca="1">IFERROR(__xludf.DUMMYFUNCTION("""COMPUTED_VALUE"""),-0.117448862875698)</f>
        <v>-0.117448862875698</v>
      </c>
      <c r="OT119" s="3">
        <f ca="1">IFERROR(__xludf.DUMMYFUNCTION("""COMPUTED_VALUE"""),0.0705417390415912)</f>
        <v>7.0541739041591195E-2</v>
      </c>
      <c r="OU119" s="3">
        <f ca="1">IFERROR(__xludf.DUMMYFUNCTION("""COMPUTED_VALUE"""),0.153495552958059)</f>
        <v>0.153495552958059</v>
      </c>
      <c r="OV119" s="3">
        <f ca="1">IFERROR(__xludf.DUMMYFUNCTION("""COMPUTED_VALUE"""),0.0415825529432369)</f>
        <v>4.15825529432369E-2</v>
      </c>
      <c r="OW119" s="3">
        <f ca="1">IFERROR(__xludf.DUMMYFUNCTION("""COMPUTED_VALUE"""),-0.0877549386393545)</f>
        <v>-8.7754938639354504E-2</v>
      </c>
      <c r="OX119" s="3">
        <f ca="1">IFERROR(__xludf.DUMMYFUNCTION("""COMPUTED_VALUE"""),0.0511051626353498)</f>
        <v>5.1105162635349803E-2</v>
      </c>
      <c r="OY119" s="3">
        <f ca="1">IFERROR(__xludf.DUMMYFUNCTION("""COMPUTED_VALUE"""),0.0472452621349703)</f>
        <v>4.7245262134970302E-2</v>
      </c>
      <c r="OZ119" s="3">
        <f ca="1">IFERROR(__xludf.DUMMYFUNCTION("""COMPUTED_VALUE"""),0.0788197152598721)</f>
        <v>7.8819715259872095E-2</v>
      </c>
      <c r="PA119" s="3">
        <f ca="1">IFERROR(__xludf.DUMMYFUNCTION("""COMPUTED_VALUE"""),0.0656094840524252)</f>
        <v>6.5609484052425199E-2</v>
      </c>
      <c r="PB119" s="3">
        <f ca="1">IFERROR(__xludf.DUMMYFUNCTION("""COMPUTED_VALUE"""),0.222243194447172)</f>
        <v>0.222243194447172</v>
      </c>
      <c r="PC119" s="3">
        <f ca="1">IFERROR(__xludf.DUMMYFUNCTION("""COMPUTED_VALUE"""),0.0111569446934403)</f>
        <v>1.11569446934403E-2</v>
      </c>
      <c r="PD119" s="3">
        <f ca="1">IFERROR(__xludf.DUMMYFUNCTION("""COMPUTED_VALUE"""),0.0240202634625241)</f>
        <v>2.4020263462524099E-2</v>
      </c>
      <c r="PE119" s="3">
        <f ca="1">IFERROR(__xludf.DUMMYFUNCTION("""COMPUTED_VALUE"""),-0.0203678363807003)</f>
        <v>-2.0367836380700301E-2</v>
      </c>
      <c r="PF119" s="3">
        <f ca="1">IFERROR(__xludf.DUMMYFUNCTION("""COMPUTED_VALUE"""),0.0741358241130054)</f>
        <v>7.41358241130054E-2</v>
      </c>
      <c r="PG119" s="3">
        <f ca="1">IFERROR(__xludf.DUMMYFUNCTION("""COMPUTED_VALUE"""),-0.317668209292447)</f>
        <v>-0.31766820929244699</v>
      </c>
      <c r="PH119" s="3">
        <f ca="1">IFERROR(__xludf.DUMMYFUNCTION("""COMPUTED_VALUE"""),-0.00740036249292819)</f>
        <v>-7.4003624929281902E-3</v>
      </c>
      <c r="PI119" s="3">
        <f ca="1">IFERROR(__xludf.DUMMYFUNCTION("""COMPUTED_VALUE"""),0.0741531636721393)</f>
        <v>7.4153163672139297E-2</v>
      </c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</row>
    <row r="120" spans="1:477" ht="13">
      <c r="A120" s="1" t="str">
        <f ca="1">IFERROR(__xludf.DUMMYFUNCTION("""COMPUTED_VALUE"""),"Caltrain")</f>
        <v>Caltrain</v>
      </c>
      <c r="B120" s="1" t="str">
        <f ca="1">IFERROR(__xludf.DUMMYFUNCTION("""COMPUTED_VALUE"""),"SF Bay Area")</f>
        <v>SF Bay Area</v>
      </c>
      <c r="C120" s="1" t="str">
        <f ca="1">IFERROR(__xludf.DUMMYFUNCTION("""COMPUTED_VALUE"""),"United States")</f>
        <v>United States</v>
      </c>
      <c r="D120" s="1" t="str">
        <f ca="1">IFERROR(__xludf.DUMMYFUNCTION("""COMPUTED_VALUE"""),"California")</f>
        <v>California</v>
      </c>
      <c r="E120" s="3">
        <f ca="1">IFERROR(__xludf.DUMMYFUNCTION("""COMPUTED_VALUE"""),-0.487182927353502)</f>
        <v>-0.48718292735350199</v>
      </c>
      <c r="F120" s="3">
        <f ca="1">IFERROR(__xludf.DUMMYFUNCTION("""COMPUTED_VALUE"""),-0.616229560207744)</f>
        <v>-0.616229560207744</v>
      </c>
      <c r="G120" s="3">
        <f ca="1">IFERROR(__xludf.DUMMYFUNCTION("""COMPUTED_VALUE"""),-0.652162258138113)</f>
        <v>-0.65216225813811302</v>
      </c>
      <c r="H120" s="3">
        <f ca="1">IFERROR(__xludf.DUMMYFUNCTION("""COMPUTED_VALUE"""),-0.625584153255186)</f>
        <v>-0.62558415325518602</v>
      </c>
      <c r="I120" s="3">
        <f ca="1">IFERROR(__xludf.DUMMYFUNCTION("""COMPUTED_VALUE"""),-0.618289129284785)</f>
        <v>-0.61828912928478497</v>
      </c>
      <c r="J120" s="3">
        <f ca="1">IFERROR(__xludf.DUMMYFUNCTION("""COMPUTED_VALUE"""),-0.604812487480001)</f>
        <v>-0.60481248748000105</v>
      </c>
      <c r="K120" s="3">
        <f ca="1">IFERROR(__xludf.DUMMYFUNCTION("""COMPUTED_VALUE"""),-0.513748175274696)</f>
        <v>-0.51374817527469596</v>
      </c>
      <c r="L120" s="3">
        <f ca="1">IFERROR(__xludf.DUMMYFUNCTION("""COMPUTED_VALUE"""),-0.525662425486093)</f>
        <v>-0.52566242548609299</v>
      </c>
      <c r="M120" s="3">
        <f ca="1">IFERROR(__xludf.DUMMYFUNCTION("""COMPUTED_VALUE"""),-0.585733742854214)</f>
        <v>-0.58573374285421398</v>
      </c>
      <c r="N120" s="3">
        <f ca="1">IFERROR(__xludf.DUMMYFUNCTION("""COMPUTED_VALUE"""),-0.652179838047291)</f>
        <v>-0.65217983804729096</v>
      </c>
      <c r="O120" s="3">
        <f ca="1">IFERROR(__xludf.DUMMYFUNCTION("""COMPUTED_VALUE"""),-0.628605358363636)</f>
        <v>-0.62860535836363596</v>
      </c>
      <c r="P120" s="3">
        <f ca="1">IFERROR(__xludf.DUMMYFUNCTION("""COMPUTED_VALUE"""),-0.634319013246653)</f>
        <v>-0.63431901324665296</v>
      </c>
      <c r="Q120" s="3">
        <f ca="1">IFERROR(__xludf.DUMMYFUNCTION("""COMPUTED_VALUE"""),-0.601303875830842)</f>
        <v>-0.60130387583084199</v>
      </c>
      <c r="R120" s="3">
        <f ca="1">IFERROR(__xludf.DUMMYFUNCTION("""COMPUTED_VALUE"""),-0.414109384818312)</f>
        <v>-0.414109384818312</v>
      </c>
      <c r="S120" s="3">
        <f ca="1">IFERROR(__xludf.DUMMYFUNCTION("""COMPUTED_VALUE"""),-0.485973979860599)</f>
        <v>-0.48597397986059898</v>
      </c>
      <c r="T120" s="3">
        <f ca="1">IFERROR(__xludf.DUMMYFUNCTION("""COMPUTED_VALUE"""),-0.669380456528752)</f>
        <v>-0.669380456528752</v>
      </c>
      <c r="U120" s="3">
        <f ca="1">IFERROR(__xludf.DUMMYFUNCTION("""COMPUTED_VALUE"""),-0.653090704279635)</f>
        <v>-0.653090704279635</v>
      </c>
      <c r="V120" s="3">
        <f ca="1">IFERROR(__xludf.DUMMYFUNCTION("""COMPUTED_VALUE"""),-0.668198377621258)</f>
        <v>-0.668198377621258</v>
      </c>
      <c r="W120" s="3">
        <f ca="1">IFERROR(__xludf.DUMMYFUNCTION("""COMPUTED_VALUE"""),-0.692022868068447)</f>
        <v>-0.69202286806844704</v>
      </c>
      <c r="X120" s="3">
        <f ca="1">IFERROR(__xludf.DUMMYFUNCTION("""COMPUTED_VALUE"""),-0.637706700515688)</f>
        <v>-0.63770670051568801</v>
      </c>
      <c r="Y120" s="3">
        <f ca="1">IFERROR(__xludf.DUMMYFUNCTION("""COMPUTED_VALUE"""),-0.467110069532791)</f>
        <v>-0.46711006953279099</v>
      </c>
      <c r="Z120" s="3">
        <f ca="1">IFERROR(__xludf.DUMMYFUNCTION("""COMPUTED_VALUE"""),-0.5470624688509)</f>
        <v>-0.54706246885090004</v>
      </c>
      <c r="AA120" s="3">
        <f ca="1">IFERROR(__xludf.DUMMYFUNCTION("""COMPUTED_VALUE"""),-0.714622804685621)</f>
        <v>-0.714622804685621</v>
      </c>
      <c r="AB120" s="3">
        <f ca="1">IFERROR(__xludf.DUMMYFUNCTION("""COMPUTED_VALUE"""),-0.747341262404615)</f>
        <v>-0.74734126240461496</v>
      </c>
      <c r="AC120" s="3">
        <f ca="1">IFERROR(__xludf.DUMMYFUNCTION("""COMPUTED_VALUE"""),-0.722141808227859)</f>
        <v>-0.72214180822785901</v>
      </c>
      <c r="AD120" s="3">
        <f ca="1">IFERROR(__xludf.DUMMYFUNCTION("""COMPUTED_VALUE"""),-0.718140142678633)</f>
        <v>-0.71814014267863302</v>
      </c>
      <c r="AE120" s="3">
        <f ca="1">IFERROR(__xludf.DUMMYFUNCTION("""COMPUTED_VALUE"""),-0.695067658270989)</f>
        <v>-0.69506765827098904</v>
      </c>
      <c r="AF120" s="3">
        <f ca="1">IFERROR(__xludf.DUMMYFUNCTION("""COMPUTED_VALUE"""),-0.549944433993782)</f>
        <v>-0.54994443399378201</v>
      </c>
      <c r="AG120" s="3">
        <f ca="1">IFERROR(__xludf.DUMMYFUNCTION("""COMPUTED_VALUE"""),-0.553186083527266)</f>
        <v>-0.55318608352726595</v>
      </c>
      <c r="AH120" s="3">
        <f ca="1">IFERROR(__xludf.DUMMYFUNCTION("""COMPUTED_VALUE"""),-0.698092168291888)</f>
        <v>-0.69809216829188803</v>
      </c>
      <c r="AI120" s="3">
        <f ca="1">IFERROR(__xludf.DUMMYFUNCTION("""COMPUTED_VALUE"""),-0.735898051830314)</f>
        <v>-0.73589805183031398</v>
      </c>
      <c r="AJ120" s="3">
        <f ca="1">IFERROR(__xludf.DUMMYFUNCTION("""COMPUTED_VALUE"""),-0.762760151019082)</f>
        <v>-0.76276015101908201</v>
      </c>
      <c r="AK120" s="3">
        <f ca="1">IFERROR(__xludf.DUMMYFUNCTION("""COMPUTED_VALUE"""),-0.725027030369745)</f>
        <v>-0.72502703036974503</v>
      </c>
      <c r="AL120" s="3">
        <f ca="1">IFERROR(__xludf.DUMMYFUNCTION("""COMPUTED_VALUE"""),-0.722056599004119)</f>
        <v>-0.722056599004119</v>
      </c>
      <c r="AM120" s="3">
        <f ca="1">IFERROR(__xludf.DUMMYFUNCTION("""COMPUTED_VALUE"""),-0.495381079099429)</f>
        <v>-0.49538107909942902</v>
      </c>
      <c r="AN120" s="3">
        <f ca="1">IFERROR(__xludf.DUMMYFUNCTION("""COMPUTED_VALUE"""),-0.565649438356845)</f>
        <v>-0.565649438356845</v>
      </c>
      <c r="AO120" s="3">
        <f ca="1">IFERROR(__xludf.DUMMYFUNCTION("""COMPUTED_VALUE"""),-0.699302239670406)</f>
        <v>-0.69930223967040595</v>
      </c>
      <c r="AP120" s="3">
        <f ca="1">IFERROR(__xludf.DUMMYFUNCTION("""COMPUTED_VALUE"""),-0.733420437813479)</f>
        <v>-0.73342043781347899</v>
      </c>
      <c r="AQ120" s="3">
        <f ca="1">IFERROR(__xludf.DUMMYFUNCTION("""COMPUTED_VALUE"""),-0.737250266686419)</f>
        <v>-0.73725026668641902</v>
      </c>
      <c r="AR120" s="3">
        <f ca="1">IFERROR(__xludf.DUMMYFUNCTION("""COMPUTED_VALUE"""),-0.741215302431312)</f>
        <v>-0.74121530243131195</v>
      </c>
      <c r="AS120" s="3">
        <f ca="1">IFERROR(__xludf.DUMMYFUNCTION("""COMPUTED_VALUE"""),-0.717239446024306)</f>
        <v>-0.717239446024306</v>
      </c>
      <c r="AT120" s="3">
        <f ca="1">IFERROR(__xludf.DUMMYFUNCTION("""COMPUTED_VALUE"""),-0.53529296847763)</f>
        <v>-0.53529296847762997</v>
      </c>
      <c r="AU120" s="3">
        <f ca="1">IFERROR(__xludf.DUMMYFUNCTION("""COMPUTED_VALUE"""),-0.574447232640027)</f>
        <v>-0.57444723264002695</v>
      </c>
      <c r="AV120" s="3">
        <f ca="1">IFERROR(__xludf.DUMMYFUNCTION("""COMPUTED_VALUE"""),-0.733202521283214)</f>
        <v>-0.73320252128321395</v>
      </c>
      <c r="AW120" s="3">
        <f ca="1">IFERROR(__xludf.DUMMYFUNCTION("""COMPUTED_VALUE"""),-0.746611114309463)</f>
        <v>-0.74661111430946303</v>
      </c>
      <c r="AX120" s="3">
        <f ca="1">IFERROR(__xludf.DUMMYFUNCTION("""COMPUTED_VALUE"""),-0.72693254048221)</f>
        <v>-0.72693254048221001</v>
      </c>
      <c r="AY120" s="3">
        <f ca="1">IFERROR(__xludf.DUMMYFUNCTION("""COMPUTED_VALUE"""),-0.742303108202442)</f>
        <v>-0.74230310820244205</v>
      </c>
      <c r="AZ120" s="3">
        <f ca="1">IFERROR(__xludf.DUMMYFUNCTION("""COMPUTED_VALUE"""),-0.701936912379157)</f>
        <v>-0.70193691237915701</v>
      </c>
      <c r="BA120" s="3">
        <f ca="1">IFERROR(__xludf.DUMMYFUNCTION("""COMPUTED_VALUE"""),-0.554198777929953)</f>
        <v>-0.55419877792995298</v>
      </c>
      <c r="BB120" s="3">
        <f ca="1">IFERROR(__xludf.DUMMYFUNCTION("""COMPUTED_VALUE"""),-0.571090998047986)</f>
        <v>-0.57109099804798602</v>
      </c>
      <c r="BC120" s="3">
        <f ca="1">IFERROR(__xludf.DUMMYFUNCTION("""COMPUTED_VALUE"""),-0.701449482214571)</f>
        <v>-0.70144948221457104</v>
      </c>
      <c r="BD120" s="3">
        <f ca="1">IFERROR(__xludf.DUMMYFUNCTION("""COMPUTED_VALUE"""),-0.725729369294096)</f>
        <v>-0.72572936929409604</v>
      </c>
      <c r="BE120" s="3">
        <f ca="1">IFERROR(__xludf.DUMMYFUNCTION("""COMPUTED_VALUE"""),-0.717786153677231)</f>
        <v>-0.71778615367723098</v>
      </c>
      <c r="BF120" s="3">
        <f ca="1">IFERROR(__xludf.DUMMYFUNCTION("""COMPUTED_VALUE"""),-0.728193619321736)</f>
        <v>-0.72819361932173599</v>
      </c>
      <c r="BG120" s="3">
        <f ca="1">IFERROR(__xludf.DUMMYFUNCTION("""COMPUTED_VALUE"""),-0.672715792196417)</f>
        <v>-0.67271579219641697</v>
      </c>
      <c r="BH120" s="3">
        <f ca="1">IFERROR(__xludf.DUMMYFUNCTION("""COMPUTED_VALUE"""),-0.536692685535806)</f>
        <v>-0.53669268553580596</v>
      </c>
      <c r="BI120" s="3">
        <f ca="1">IFERROR(__xludf.DUMMYFUNCTION("""COMPUTED_VALUE"""),-0.556575162964989)</f>
        <v>-0.55657516296498899</v>
      </c>
      <c r="BJ120" s="3">
        <f ca="1">IFERROR(__xludf.DUMMYFUNCTION("""COMPUTED_VALUE"""),-0.716912422228817)</f>
        <v>-0.71691242222881701</v>
      </c>
      <c r="BK120" s="3">
        <f ca="1">IFERROR(__xludf.DUMMYFUNCTION("""COMPUTED_VALUE"""),-0.755405010047933)</f>
        <v>-0.75540501004793303</v>
      </c>
      <c r="BL120" s="3">
        <f ca="1">IFERROR(__xludf.DUMMYFUNCTION("""COMPUTED_VALUE"""),-0.738415267414894)</f>
        <v>-0.73841526741489405</v>
      </c>
      <c r="BM120" s="3">
        <f ca="1">IFERROR(__xludf.DUMMYFUNCTION("""COMPUTED_VALUE"""),-0.745870389359769)</f>
        <v>-0.74587038935976901</v>
      </c>
      <c r="BN120" s="3">
        <f ca="1">IFERROR(__xludf.DUMMYFUNCTION("""COMPUTED_VALUE"""),-0.706145571210931)</f>
        <v>-0.70614557121093102</v>
      </c>
      <c r="BO120" s="3">
        <f ca="1">IFERROR(__xludf.DUMMYFUNCTION("""COMPUTED_VALUE"""),-0.59367468325135)</f>
        <v>-0.59367468325134998</v>
      </c>
      <c r="BP120" s="3">
        <f ca="1">IFERROR(__xludf.DUMMYFUNCTION("""COMPUTED_VALUE"""),-0.609608949914631)</f>
        <v>-0.60960894991463099</v>
      </c>
      <c r="BQ120" s="3">
        <f ca="1">IFERROR(__xludf.DUMMYFUNCTION("""COMPUTED_VALUE"""),-0.744466911319743)</f>
        <v>-0.74446691131974296</v>
      </c>
      <c r="BR120" s="3">
        <f ca="1">IFERROR(__xludf.DUMMYFUNCTION("""COMPUTED_VALUE"""),-0.783730742536291)</f>
        <v>-0.78373074253629105</v>
      </c>
      <c r="BS120" s="3">
        <f ca="1">IFERROR(__xludf.DUMMYFUNCTION("""COMPUTED_VALUE"""),-0.777491482164372)</f>
        <v>-0.77749148216437203</v>
      </c>
      <c r="BT120" s="3">
        <f ca="1">IFERROR(__xludf.DUMMYFUNCTION("""COMPUTED_VALUE"""),-0.777285247540598)</f>
        <v>-0.77728524754059802</v>
      </c>
      <c r="BU120" s="3">
        <f ca="1">IFERROR(__xludf.DUMMYFUNCTION("""COMPUTED_VALUE"""),-0.747729884656799)</f>
        <v>-0.74772988465679902</v>
      </c>
      <c r="BV120" s="3">
        <f ca="1">IFERROR(__xludf.DUMMYFUNCTION("""COMPUTED_VALUE"""),-0.660739898845824)</f>
        <v>-0.66073989884582396</v>
      </c>
      <c r="BW120" s="3">
        <f ca="1">IFERROR(__xludf.DUMMYFUNCTION("""COMPUTED_VALUE"""),-0.646219439149711)</f>
        <v>-0.64621943914971103</v>
      </c>
      <c r="BX120" s="3">
        <f ca="1">IFERROR(__xludf.DUMMYFUNCTION("""COMPUTED_VALUE"""),-0.762395946205257)</f>
        <v>-0.76239594620525697</v>
      </c>
      <c r="BY120" s="3">
        <f ca="1">IFERROR(__xludf.DUMMYFUNCTION("""COMPUTED_VALUE"""),-0.818064425725356)</f>
        <v>-0.81806442572535598</v>
      </c>
      <c r="BZ120" s="3">
        <f ca="1">IFERROR(__xludf.DUMMYFUNCTION("""COMPUTED_VALUE"""),-0.799223592652208)</f>
        <v>-0.79922359265220799</v>
      </c>
      <c r="CA120" s="3">
        <f ca="1">IFERROR(__xludf.DUMMYFUNCTION("""COMPUTED_VALUE"""),-0.783842445195061)</f>
        <v>-0.78384244519506097</v>
      </c>
      <c r="CB120" s="3">
        <f ca="1">IFERROR(__xludf.DUMMYFUNCTION("""COMPUTED_VALUE"""),-0.734054999121426)</f>
        <v>-0.73405499912142602</v>
      </c>
      <c r="CC120" s="3">
        <f ca="1">IFERROR(__xludf.DUMMYFUNCTION("""COMPUTED_VALUE"""),-0.680437735406437)</f>
        <v>-0.68043773540643704</v>
      </c>
      <c r="CD120" s="3">
        <f ca="1">IFERROR(__xludf.DUMMYFUNCTION("""COMPUTED_VALUE"""),-0.666136399095835)</f>
        <v>-0.666136399095835</v>
      </c>
      <c r="CE120" s="3">
        <f ca="1">IFERROR(__xludf.DUMMYFUNCTION("""COMPUTED_VALUE"""),-0.805631520338621)</f>
        <v>-0.80563152033862095</v>
      </c>
      <c r="CF120" s="3">
        <f ca="1">IFERROR(__xludf.DUMMYFUNCTION("""COMPUTED_VALUE"""),-0.796828888413472)</f>
        <v>-0.79682888841347199</v>
      </c>
      <c r="CG120" s="3">
        <f ca="1">IFERROR(__xludf.DUMMYFUNCTION("""COMPUTED_VALUE"""),-0.809903235473616)</f>
        <v>-0.80990323547361598</v>
      </c>
      <c r="CH120" s="3">
        <f ca="1">IFERROR(__xludf.DUMMYFUNCTION("""COMPUTED_VALUE"""),-0.796336432088198)</f>
        <v>-0.79633643208819804</v>
      </c>
      <c r="CI120" s="3">
        <f ca="1">IFERROR(__xludf.DUMMYFUNCTION("""COMPUTED_VALUE"""),-0.747369306700853)</f>
        <v>-0.747369306700853</v>
      </c>
      <c r="CJ120" s="3">
        <f ca="1">IFERROR(__xludf.DUMMYFUNCTION("""COMPUTED_VALUE"""),-0.64902478707088)</f>
        <v>-0.64902478707087996</v>
      </c>
      <c r="CK120" s="3">
        <f ca="1">IFERROR(__xludf.DUMMYFUNCTION("""COMPUTED_VALUE"""),-0.643204824986744)</f>
        <v>-0.64320482498674403</v>
      </c>
      <c r="CL120" s="3">
        <f ca="1">IFERROR(__xludf.DUMMYFUNCTION("""COMPUTED_VALUE"""),-0.788100042205043)</f>
        <v>-0.78810004220504304</v>
      </c>
      <c r="CM120" s="3">
        <f ca="1">IFERROR(__xludf.DUMMYFUNCTION("""COMPUTED_VALUE"""),-0.810980520149648)</f>
        <v>-0.81098052014964805</v>
      </c>
      <c r="CN120" s="3">
        <f ca="1">IFERROR(__xludf.DUMMYFUNCTION("""COMPUTED_VALUE"""),-0.834195229241034)</f>
        <v>-0.83419522924103395</v>
      </c>
      <c r="CO120" s="3">
        <f ca="1">IFERROR(__xludf.DUMMYFUNCTION("""COMPUTED_VALUE"""),-0.830474730138707)</f>
        <v>-0.83047473013870698</v>
      </c>
      <c r="CP120" s="3">
        <f ca="1">IFERROR(__xludf.DUMMYFUNCTION("""COMPUTED_VALUE"""),-0.770842900336233)</f>
        <v>-0.77084290033623304</v>
      </c>
      <c r="CQ120" s="3">
        <f ca="1">IFERROR(__xludf.DUMMYFUNCTION("""COMPUTED_VALUE"""),-0.692777993982669)</f>
        <v>-0.69277799398266904</v>
      </c>
      <c r="CR120" s="3">
        <f ca="1">IFERROR(__xludf.DUMMYFUNCTION("""COMPUTED_VALUE"""),-0.711221528483696)</f>
        <v>-0.71122152848369602</v>
      </c>
      <c r="CS120" s="3">
        <f ca="1">IFERROR(__xludf.DUMMYFUNCTION("""COMPUTED_VALUE"""),-0.788498651791203)</f>
        <v>-0.78849865179120304</v>
      </c>
      <c r="CT120" s="3">
        <f ca="1">IFERROR(__xludf.DUMMYFUNCTION("""COMPUTED_VALUE"""),-0.789815484219844)</f>
        <v>-0.78981548421984404</v>
      </c>
      <c r="CU120" s="3">
        <f ca="1">IFERROR(__xludf.DUMMYFUNCTION("""COMPUTED_VALUE"""),-0.78962151136551)</f>
        <v>-0.78962151136550995</v>
      </c>
      <c r="CV120" s="3">
        <f ca="1">IFERROR(__xludf.DUMMYFUNCTION("""COMPUTED_VALUE"""),-0.804576727755555)</f>
        <v>-0.804576727755555</v>
      </c>
      <c r="CW120" s="3">
        <f ca="1">IFERROR(__xludf.DUMMYFUNCTION("""COMPUTED_VALUE"""),-0.79517317658966)</f>
        <v>-0.79517317658966002</v>
      </c>
      <c r="CX120" s="3">
        <f ca="1">IFERROR(__xludf.DUMMYFUNCTION("""COMPUTED_VALUE"""),-0.649859845567006)</f>
        <v>-0.64985984556700604</v>
      </c>
      <c r="CY120" s="3">
        <f ca="1">IFERROR(__xludf.DUMMYFUNCTION("""COMPUTED_VALUE"""),-0.731667805741927)</f>
        <v>-0.73166780574192702</v>
      </c>
      <c r="CZ120" s="3">
        <f ca="1">IFERROR(__xludf.DUMMYFUNCTION("""COMPUTED_VALUE"""),-0.76952812190971)</f>
        <v>-0.76952812190970998</v>
      </c>
      <c r="DA120" s="3">
        <f ca="1">IFERROR(__xludf.DUMMYFUNCTION("""COMPUTED_VALUE"""),-0.707173353813077)</f>
        <v>-0.707173353813077</v>
      </c>
      <c r="DB120" s="3">
        <f ca="1">IFERROR(__xludf.DUMMYFUNCTION("""COMPUTED_VALUE"""),-0.723924766490819)</f>
        <v>-0.72392476649081905</v>
      </c>
      <c r="DC120" s="3">
        <f ca="1">IFERROR(__xludf.DUMMYFUNCTION("""COMPUTED_VALUE"""),-0.775472580214823)</f>
        <v>-0.77547258021482302</v>
      </c>
      <c r="DD120" s="3">
        <f ca="1">IFERROR(__xludf.DUMMYFUNCTION("""COMPUTED_VALUE"""),-0.783742943167807)</f>
        <v>-0.78374294316780702</v>
      </c>
      <c r="DE120" s="3">
        <f ca="1">IFERROR(__xludf.DUMMYFUNCTION("""COMPUTED_VALUE"""),-0.70810131280135)</f>
        <v>-0.70810131280135002</v>
      </c>
      <c r="DF120" s="3">
        <f ca="1">IFERROR(__xludf.DUMMYFUNCTION("""COMPUTED_VALUE"""),-0.729558919605322)</f>
        <v>-0.72955891960532204</v>
      </c>
      <c r="DG120" s="3">
        <f ca="1">IFERROR(__xludf.DUMMYFUNCTION("""COMPUTED_VALUE"""),-0.839726475284941)</f>
        <v>-0.83972647528494104</v>
      </c>
      <c r="DH120" s="3">
        <f ca="1">IFERROR(__xludf.DUMMYFUNCTION("""COMPUTED_VALUE"""),-0.711697233908383)</f>
        <v>-0.71169723390838302</v>
      </c>
      <c r="DI120" s="3">
        <f ca="1">IFERROR(__xludf.DUMMYFUNCTION("""COMPUTED_VALUE"""),-0.630619924936444)</f>
        <v>-0.63061992493644403</v>
      </c>
      <c r="DJ120" s="3">
        <f ca="1">IFERROR(__xludf.DUMMYFUNCTION("""COMPUTED_VALUE"""),-0.685576610816637)</f>
        <v>-0.68557661081663701</v>
      </c>
      <c r="DK120" s="3">
        <f ca="1">IFERROR(__xludf.DUMMYFUNCTION("""COMPUTED_VALUE"""),-0.71274716134253)</f>
        <v>-0.71274716134253002</v>
      </c>
      <c r="DL120" s="3">
        <f ca="1">IFERROR(__xludf.DUMMYFUNCTION("""COMPUTED_VALUE"""),-0.675890394406747)</f>
        <v>-0.67589039440674703</v>
      </c>
      <c r="DM120" s="3">
        <f ca="1">IFERROR(__xludf.DUMMYFUNCTION("""COMPUTED_VALUE"""),-0.671359562658178)</f>
        <v>-0.67135956265817798</v>
      </c>
      <c r="DN120" s="3">
        <f ca="1">IFERROR(__xludf.DUMMYFUNCTION("""COMPUTED_VALUE"""),-0.714759101224495)</f>
        <v>-0.71475910122449504</v>
      </c>
      <c r="DO120" s="3">
        <f ca="1">IFERROR(__xludf.DUMMYFUNCTION("""COMPUTED_VALUE"""),-0.728461986447756)</f>
        <v>-0.72846198644775595</v>
      </c>
      <c r="DP120" s="3">
        <f ca="1">IFERROR(__xludf.DUMMYFUNCTION("""COMPUTED_VALUE"""),-0.707349440295044)</f>
        <v>-0.70734944029504399</v>
      </c>
      <c r="DQ120" s="3">
        <f ca="1">IFERROR(__xludf.DUMMYFUNCTION("""COMPUTED_VALUE"""),-0.680074627048221)</f>
        <v>-0.68007462704822097</v>
      </c>
      <c r="DR120" s="3">
        <f ca="1">IFERROR(__xludf.DUMMYFUNCTION("""COMPUTED_VALUE"""),-0.689837852306019)</f>
        <v>-0.68983785230601902</v>
      </c>
      <c r="DS120" s="3">
        <f ca="1">IFERROR(__xludf.DUMMYFUNCTION("""COMPUTED_VALUE"""),-0.685176156280761)</f>
        <v>-0.68517615628076101</v>
      </c>
      <c r="DT120" s="3">
        <f ca="1">IFERROR(__xludf.DUMMYFUNCTION("""COMPUTED_VALUE"""),-0.676170197939112)</f>
        <v>-0.67617019793911204</v>
      </c>
      <c r="DU120" s="3">
        <f ca="1">IFERROR(__xludf.DUMMYFUNCTION("""COMPUTED_VALUE"""),-0.77817248983552)</f>
        <v>-0.77817248983552001</v>
      </c>
      <c r="DV120" s="3">
        <f ca="1">IFERROR(__xludf.DUMMYFUNCTION("""COMPUTED_VALUE"""),-0.797514551647705)</f>
        <v>-0.79751455164770502</v>
      </c>
      <c r="DW120" s="3">
        <f ca="1">IFERROR(__xludf.DUMMYFUNCTION("""COMPUTED_VALUE"""),-0.786804341472911)</f>
        <v>-0.78680434147291101</v>
      </c>
      <c r="DX120" s="3">
        <f ca="1">IFERROR(__xludf.DUMMYFUNCTION("""COMPUTED_VALUE"""),-0.76790042514499)</f>
        <v>-0.76790042514499002</v>
      </c>
      <c r="DY120" s="3">
        <f ca="1">IFERROR(__xludf.DUMMYFUNCTION("""COMPUTED_VALUE"""),-0.729520944324695)</f>
        <v>-0.72952094432469505</v>
      </c>
      <c r="DZ120" s="3">
        <f ca="1">IFERROR(__xludf.DUMMYFUNCTION("""COMPUTED_VALUE"""),-0.615742250999787)</f>
        <v>-0.61574225099978697</v>
      </c>
      <c r="EA120" s="3">
        <f ca="1">IFERROR(__xludf.DUMMYFUNCTION("""COMPUTED_VALUE"""),-0.567448909971932)</f>
        <v>-0.56744890997193198</v>
      </c>
      <c r="EB120" s="3">
        <f ca="1">IFERROR(__xludf.DUMMYFUNCTION("""COMPUTED_VALUE"""),-0.673683962490984)</f>
        <v>-0.67368396249098395</v>
      </c>
      <c r="EC120" s="3">
        <f ca="1">IFERROR(__xludf.DUMMYFUNCTION("""COMPUTED_VALUE"""),-0.732557231116369)</f>
        <v>-0.73255723111636895</v>
      </c>
      <c r="ED120" s="3">
        <f ca="1">IFERROR(__xludf.DUMMYFUNCTION("""COMPUTED_VALUE"""),-0.774722752445273)</f>
        <v>-0.774722752445273</v>
      </c>
      <c r="EE120" s="3">
        <f ca="1">IFERROR(__xludf.DUMMYFUNCTION("""COMPUTED_VALUE"""),-0.766964903074491)</f>
        <v>-0.76696490307449094</v>
      </c>
      <c r="EF120" s="3">
        <f ca="1">IFERROR(__xludf.DUMMYFUNCTION("""COMPUTED_VALUE"""),-0.737323588006843)</f>
        <v>-0.73732358800684294</v>
      </c>
      <c r="EG120" s="3">
        <f ca="1">IFERROR(__xludf.DUMMYFUNCTION("""COMPUTED_VALUE"""),-0.606758619013289)</f>
        <v>-0.60675861901328898</v>
      </c>
      <c r="EH120" s="3">
        <f ca="1">IFERROR(__xludf.DUMMYFUNCTION("""COMPUTED_VALUE"""),-0.573625981318001)</f>
        <v>-0.57362598131800102</v>
      </c>
      <c r="EI120" s="3">
        <f ca="1">IFERROR(__xludf.DUMMYFUNCTION("""COMPUTED_VALUE"""),-0.715309528172907)</f>
        <v>-0.71530952817290705</v>
      </c>
      <c r="EJ120" s="3">
        <f ca="1">IFERROR(__xludf.DUMMYFUNCTION("""COMPUTED_VALUE"""),-0.815047365180941)</f>
        <v>-0.81504736518094101</v>
      </c>
      <c r="EK120" s="3">
        <f ca="1">IFERROR(__xludf.DUMMYFUNCTION("""COMPUTED_VALUE"""),-0.737214930260369)</f>
        <v>-0.73721493026036899</v>
      </c>
      <c r="EL120" s="3">
        <f ca="1">IFERROR(__xludf.DUMMYFUNCTION("""COMPUTED_VALUE"""),-0.749350099319599)</f>
        <v>-0.74935009931959895</v>
      </c>
      <c r="EM120" s="3">
        <f ca="1">IFERROR(__xludf.DUMMYFUNCTION("""COMPUTED_VALUE"""),-0.747240010001931)</f>
        <v>-0.74724001000193097</v>
      </c>
      <c r="EN120" s="3">
        <f ca="1">IFERROR(__xludf.DUMMYFUNCTION("""COMPUTED_VALUE"""),-0.543258812330121)</f>
        <v>-0.54325881233012097</v>
      </c>
      <c r="EO120" s="3">
        <f ca="1">IFERROR(__xludf.DUMMYFUNCTION("""COMPUTED_VALUE"""),-0.579588636206981)</f>
        <v>-0.57958863620698098</v>
      </c>
      <c r="EP120" s="3">
        <f ca="1">IFERROR(__xludf.DUMMYFUNCTION("""COMPUTED_VALUE"""),-0.693645093844085)</f>
        <v>-0.69364509384408501</v>
      </c>
      <c r="EQ120" s="3">
        <f ca="1">IFERROR(__xludf.DUMMYFUNCTION("""COMPUTED_VALUE"""),-0.733457070079236)</f>
        <v>-0.733457070079236</v>
      </c>
      <c r="ER120" s="3">
        <f ca="1">IFERROR(__xludf.DUMMYFUNCTION("""COMPUTED_VALUE"""),-0.778955690720736)</f>
        <v>-0.778955690720736</v>
      </c>
      <c r="ES120" s="3">
        <f ca="1">IFERROR(__xludf.DUMMYFUNCTION("""COMPUTED_VALUE"""),-0.770468215609252)</f>
        <v>-0.77046821560925205</v>
      </c>
      <c r="ET120" s="3">
        <f ca="1">IFERROR(__xludf.DUMMYFUNCTION("""COMPUTED_VALUE"""),-0.730340119081617)</f>
        <v>-0.730340119081617</v>
      </c>
      <c r="EU120" s="3">
        <f ca="1">IFERROR(__xludf.DUMMYFUNCTION("""COMPUTED_VALUE"""),-0.562012028982532)</f>
        <v>-0.562012028982532</v>
      </c>
      <c r="EV120" s="3">
        <f ca="1">IFERROR(__xludf.DUMMYFUNCTION("""COMPUTED_VALUE"""),-0.599582289348323)</f>
        <v>-0.59958228934832303</v>
      </c>
      <c r="EW120" s="3">
        <f ca="1">IFERROR(__xludf.DUMMYFUNCTION("""COMPUTED_VALUE"""),-0.752400534852237)</f>
        <v>-0.75240053485223701</v>
      </c>
      <c r="EX120" s="3">
        <f ca="1">IFERROR(__xludf.DUMMYFUNCTION("""COMPUTED_VALUE"""),-0.768381510169439)</f>
        <v>-0.76838151016943901</v>
      </c>
      <c r="EY120" s="3">
        <f ca="1">IFERROR(__xludf.DUMMYFUNCTION("""COMPUTED_VALUE"""),-0.757027032235225)</f>
        <v>-0.75702703223522505</v>
      </c>
      <c r="EZ120" s="3">
        <f ca="1">IFERROR(__xludf.DUMMYFUNCTION("""COMPUTED_VALUE"""),-0.756787623273782)</f>
        <v>-0.75678762327378202</v>
      </c>
      <c r="FA120" s="3">
        <f ca="1">IFERROR(__xludf.DUMMYFUNCTION("""COMPUTED_VALUE"""),-0.725846464104219)</f>
        <v>-0.72584646410421905</v>
      </c>
      <c r="FB120" s="3">
        <f ca="1">IFERROR(__xludf.DUMMYFUNCTION("""COMPUTED_VALUE"""),-0.613884335025484)</f>
        <v>-0.61388433502548401</v>
      </c>
      <c r="FC120" s="3">
        <f ca="1">IFERROR(__xludf.DUMMYFUNCTION("""COMPUTED_VALUE"""),-0.620878289863266)</f>
        <v>-0.62087828986326599</v>
      </c>
      <c r="FD120" s="3">
        <f ca="1">IFERROR(__xludf.DUMMYFUNCTION("""COMPUTED_VALUE"""),-0.745502828861831)</f>
        <v>-0.74550282886183095</v>
      </c>
      <c r="FE120" s="3">
        <f ca="1">IFERROR(__xludf.DUMMYFUNCTION("""COMPUTED_VALUE"""),-0.764085731684062)</f>
        <v>-0.76408573168406202</v>
      </c>
      <c r="FF120" s="3">
        <f ca="1">IFERROR(__xludf.DUMMYFUNCTION("""COMPUTED_VALUE"""),-0.784337633742819)</f>
        <v>-0.78433763374281895</v>
      </c>
      <c r="FG120" s="3">
        <f ca="1">IFERROR(__xludf.DUMMYFUNCTION("""COMPUTED_VALUE"""),-0.762151061069132)</f>
        <v>-0.762151061069132</v>
      </c>
      <c r="FH120" s="3">
        <f ca="1">IFERROR(__xludf.DUMMYFUNCTION("""COMPUTED_VALUE"""),-0.702519633245073)</f>
        <v>-0.70251963324507305</v>
      </c>
      <c r="FI120" s="3">
        <f ca="1">IFERROR(__xludf.DUMMYFUNCTION("""COMPUTED_VALUE"""),-0.596308700363408)</f>
        <v>-0.596308700363408</v>
      </c>
      <c r="FJ120" s="3">
        <f ca="1">IFERROR(__xludf.DUMMYFUNCTION("""COMPUTED_VALUE"""),-0.633296424576943)</f>
        <v>-0.63329642457694302</v>
      </c>
      <c r="FK120" s="3">
        <f ca="1">IFERROR(__xludf.DUMMYFUNCTION("""COMPUTED_VALUE"""),-0.769770906252639)</f>
        <v>-0.769770906252639</v>
      </c>
      <c r="FL120" s="3">
        <f ca="1">IFERROR(__xludf.DUMMYFUNCTION("""COMPUTED_VALUE"""),-0.767768662376685)</f>
        <v>-0.76776866237668495</v>
      </c>
      <c r="FM120" s="3">
        <f ca="1">IFERROR(__xludf.DUMMYFUNCTION("""COMPUTED_VALUE"""),-0.770526490076086)</f>
        <v>-0.77052649007608598</v>
      </c>
      <c r="FN120" s="3">
        <f ca="1">IFERROR(__xludf.DUMMYFUNCTION("""COMPUTED_VALUE"""),-0.769720477004185)</f>
        <v>-0.769720477004185</v>
      </c>
      <c r="FO120" s="3">
        <f ca="1">IFERROR(__xludf.DUMMYFUNCTION("""COMPUTED_VALUE"""),-0.731921885028536)</f>
        <v>-0.73192188502853595</v>
      </c>
      <c r="FP120" s="3">
        <f ca="1">IFERROR(__xludf.DUMMYFUNCTION("""COMPUTED_VALUE"""),-0.620724411096076)</f>
        <v>-0.62072441109607601</v>
      </c>
      <c r="FQ120" s="3">
        <f ca="1">IFERROR(__xludf.DUMMYFUNCTION("""COMPUTED_VALUE"""),-0.636391211931287)</f>
        <v>-0.636391211931287</v>
      </c>
      <c r="FR120" s="3">
        <f ca="1">IFERROR(__xludf.DUMMYFUNCTION("""COMPUTED_VALUE"""),-0.761823828233087)</f>
        <v>-0.76182382823308703</v>
      </c>
      <c r="FS120" s="3">
        <f ca="1">IFERROR(__xludf.DUMMYFUNCTION("""COMPUTED_VALUE"""),-0.785118044016427)</f>
        <v>-0.78511804401642704</v>
      </c>
      <c r="FT120" s="3">
        <f ca="1">IFERROR(__xludf.DUMMYFUNCTION("""COMPUTED_VALUE"""),-0.7663829811233)</f>
        <v>-0.76638298112330006</v>
      </c>
      <c r="FU120" s="3">
        <f ca="1">IFERROR(__xludf.DUMMYFUNCTION("""COMPUTED_VALUE"""),-0.754941575066492)</f>
        <v>-0.75494157506649195</v>
      </c>
      <c r="FV120" s="3">
        <f ca="1">IFERROR(__xludf.DUMMYFUNCTION("""COMPUTED_VALUE"""),-0.707121195244413)</f>
        <v>-0.70712119524441297</v>
      </c>
      <c r="FW120" s="3">
        <f ca="1">IFERROR(__xludf.DUMMYFUNCTION("""COMPUTED_VALUE"""),-0.608073584482311)</f>
        <v>-0.60807358448231097</v>
      </c>
      <c r="FX120" s="3">
        <f ca="1">IFERROR(__xludf.DUMMYFUNCTION("""COMPUTED_VALUE"""),-0.615893687641272)</f>
        <v>-0.61589368764127195</v>
      </c>
      <c r="FY120" s="3">
        <f ca="1">IFERROR(__xludf.DUMMYFUNCTION("""COMPUTED_VALUE"""),-0.746113397814746)</f>
        <v>-0.74611339781474595</v>
      </c>
      <c r="FZ120" s="3">
        <f ca="1">IFERROR(__xludf.DUMMYFUNCTION("""COMPUTED_VALUE"""),-0.785263984587558)</f>
        <v>-0.78526398458755797</v>
      </c>
      <c r="GA120" s="3">
        <f ca="1">IFERROR(__xludf.DUMMYFUNCTION("""COMPUTED_VALUE"""),-0.75155887584941)</f>
        <v>-0.75155887584940995</v>
      </c>
      <c r="GB120" s="3">
        <f ca="1">IFERROR(__xludf.DUMMYFUNCTION("""COMPUTED_VALUE"""),-0.768395372709111)</f>
        <v>-0.76839537270911096</v>
      </c>
      <c r="GC120" s="3">
        <f ca="1">IFERROR(__xludf.DUMMYFUNCTION("""COMPUTED_VALUE"""),-0.731614343977761)</f>
        <v>-0.73161434397776104</v>
      </c>
      <c r="GD120" s="3">
        <f ca="1">IFERROR(__xludf.DUMMYFUNCTION("""COMPUTED_VALUE"""),-0.630983732409326)</f>
        <v>-0.63098373240932604</v>
      </c>
      <c r="GE120" s="3">
        <f ca="1">IFERROR(__xludf.DUMMYFUNCTION("""COMPUTED_VALUE"""),-0.662878693309208)</f>
        <v>-0.66287869330920801</v>
      </c>
      <c r="GF120" s="3">
        <f ca="1">IFERROR(__xludf.DUMMYFUNCTION("""COMPUTED_VALUE"""),-0.757259858596287)</f>
        <v>-0.75725985859628697</v>
      </c>
      <c r="GG120" s="3">
        <f ca="1">IFERROR(__xludf.DUMMYFUNCTION("""COMPUTED_VALUE"""),-0.791511219945952)</f>
        <v>-0.79151121994595197</v>
      </c>
      <c r="GH120" s="3">
        <f ca="1">IFERROR(__xludf.DUMMYFUNCTION("""COMPUTED_VALUE"""),-0.778722993639789)</f>
        <v>-0.77872299363978903</v>
      </c>
      <c r="GI120" s="3">
        <f ca="1">IFERROR(__xludf.DUMMYFUNCTION("""COMPUTED_VALUE"""),-0.785385884024161)</f>
        <v>-0.78538588402416099</v>
      </c>
      <c r="GJ120" s="3">
        <f ca="1">IFERROR(__xludf.DUMMYFUNCTION("""COMPUTED_VALUE"""),-0.737144678572099)</f>
        <v>-0.73714467857209898</v>
      </c>
      <c r="GK120" s="3">
        <f ca="1">IFERROR(__xludf.DUMMYFUNCTION("""COMPUTED_VALUE"""),-0.65203589716378)</f>
        <v>-0.65203589716377996</v>
      </c>
      <c r="GL120" s="3">
        <f ca="1">IFERROR(__xludf.DUMMYFUNCTION("""COMPUTED_VALUE"""),-0.687936794094996)</f>
        <v>-0.68793679409499597</v>
      </c>
      <c r="GM120" s="3">
        <f ca="1">IFERROR(__xludf.DUMMYFUNCTION("""COMPUTED_VALUE"""),-0.778210065284897)</f>
        <v>-0.778210065284897</v>
      </c>
      <c r="GN120" s="3">
        <f ca="1">IFERROR(__xludf.DUMMYFUNCTION("""COMPUTED_VALUE"""),-0.794733383394522)</f>
        <v>-0.79473338339452204</v>
      </c>
      <c r="GO120" s="3">
        <f ca="1">IFERROR(__xludf.DUMMYFUNCTION("""COMPUTED_VALUE"""),-0.793340573957979)</f>
        <v>-0.79334057395797897</v>
      </c>
      <c r="GP120" s="3">
        <f ca="1">IFERROR(__xludf.DUMMYFUNCTION("""COMPUTED_VALUE"""),-0.783146160958246)</f>
        <v>-0.78314616095824596</v>
      </c>
      <c r="GQ120" s="3">
        <f ca="1">IFERROR(__xludf.DUMMYFUNCTION("""COMPUTED_VALUE"""),-0.760538850201644)</f>
        <v>-0.76053885020164402</v>
      </c>
      <c r="GR120" s="3">
        <f ca="1">IFERROR(__xludf.DUMMYFUNCTION("""COMPUTED_VALUE"""),-0.642840065927659)</f>
        <v>-0.64284006592765897</v>
      </c>
      <c r="GS120" s="3">
        <f ca="1">IFERROR(__xludf.DUMMYFUNCTION("""COMPUTED_VALUE"""),-0.683660254238029)</f>
        <v>-0.68366025423802901</v>
      </c>
      <c r="GT120" s="3">
        <f ca="1">IFERROR(__xludf.DUMMYFUNCTION("""COMPUTED_VALUE"""),-0.776337339824972)</f>
        <v>-0.77633733982497199</v>
      </c>
      <c r="GU120" s="3">
        <f ca="1">IFERROR(__xludf.DUMMYFUNCTION("""COMPUTED_VALUE"""),-0.797211415651986)</f>
        <v>-0.79721141565198606</v>
      </c>
      <c r="GV120" s="3">
        <f ca="1">IFERROR(__xludf.DUMMYFUNCTION("""COMPUTED_VALUE"""),-0.786251334013496)</f>
        <v>-0.78625133401349601</v>
      </c>
      <c r="GW120" s="3">
        <f ca="1">IFERROR(__xludf.DUMMYFUNCTION("""COMPUTED_VALUE"""),-0.782364746867129)</f>
        <v>-0.78236474686712898</v>
      </c>
      <c r="GX120" s="3">
        <f ca="1">IFERROR(__xludf.DUMMYFUNCTION("""COMPUTED_VALUE"""),-0.771156205193936)</f>
        <v>-0.77115620519393602</v>
      </c>
      <c r="GY120" s="3">
        <f ca="1">IFERROR(__xludf.DUMMYFUNCTION("""COMPUTED_VALUE"""),-0.640489473841156)</f>
        <v>-0.64048947384115595</v>
      </c>
      <c r="GZ120" s="3">
        <f ca="1">IFERROR(__xludf.DUMMYFUNCTION("""COMPUTED_VALUE"""),-0.641591529228916)</f>
        <v>-0.64159152922891605</v>
      </c>
      <c r="HA120" s="3">
        <f ca="1">IFERROR(__xludf.DUMMYFUNCTION("""COMPUTED_VALUE"""),-0.771418259458176)</f>
        <v>-0.77141825945817599</v>
      </c>
      <c r="HB120" s="3">
        <f ca="1">IFERROR(__xludf.DUMMYFUNCTION("""COMPUTED_VALUE"""),-0.783664709957174)</f>
        <v>-0.78366470995717397</v>
      </c>
      <c r="HC120" s="3">
        <f ca="1">IFERROR(__xludf.DUMMYFUNCTION("""COMPUTED_VALUE"""),-0.771787560751595)</f>
        <v>-0.77178756075159505</v>
      </c>
      <c r="HD120" s="3">
        <f ca="1">IFERROR(__xludf.DUMMYFUNCTION("""COMPUTED_VALUE"""),-0.787939986936323)</f>
        <v>-0.78793998693632294</v>
      </c>
      <c r="HE120" s="3">
        <f ca="1">IFERROR(__xludf.DUMMYFUNCTION("""COMPUTED_VALUE"""),-0.778099694996334)</f>
        <v>-0.77809969499633402</v>
      </c>
      <c r="HF120" s="3">
        <f ca="1">IFERROR(__xludf.DUMMYFUNCTION("""COMPUTED_VALUE"""),-0.636726828167537)</f>
        <v>-0.63672682816753701</v>
      </c>
      <c r="HG120" s="3">
        <f ca="1">IFERROR(__xludf.DUMMYFUNCTION("""COMPUTED_VALUE"""),-0.65421406163418)</f>
        <v>-0.65421406163418006</v>
      </c>
      <c r="HH120" s="3">
        <f ca="1">IFERROR(__xludf.DUMMYFUNCTION("""COMPUTED_VALUE"""),-0.77952211960254)</f>
        <v>-0.77952211960254003</v>
      </c>
      <c r="HI120" s="3">
        <f ca="1">IFERROR(__xludf.DUMMYFUNCTION("""COMPUTED_VALUE"""),-0.78747464485454)</f>
        <v>-0.78747464485454</v>
      </c>
      <c r="HJ120" s="3">
        <f ca="1">IFERROR(__xludf.DUMMYFUNCTION("""COMPUTED_VALUE"""),-0.779364480051357)</f>
        <v>-0.77936448005135694</v>
      </c>
      <c r="HK120" s="3">
        <f ca="1">IFERROR(__xludf.DUMMYFUNCTION("""COMPUTED_VALUE"""),-0.746386698003471)</f>
        <v>-0.74638669800347102</v>
      </c>
      <c r="HL120" s="3">
        <f ca="1">IFERROR(__xludf.DUMMYFUNCTION("""COMPUTED_VALUE"""),-0.707828717713836)</f>
        <v>-0.70782871771383604</v>
      </c>
      <c r="HM120" s="3">
        <f ca="1">IFERROR(__xludf.DUMMYFUNCTION("""COMPUTED_VALUE"""),-0.59180939003338)</f>
        <v>-0.59180939003337996</v>
      </c>
      <c r="HN120" s="3">
        <f ca="1">IFERROR(__xludf.DUMMYFUNCTION("""COMPUTED_VALUE"""),-0.582627457774766)</f>
        <v>-0.58262745777476599</v>
      </c>
      <c r="HO120" s="3">
        <f ca="1">IFERROR(__xludf.DUMMYFUNCTION("""COMPUTED_VALUE"""),-0.773661770769841)</f>
        <v>-0.773661770769841</v>
      </c>
      <c r="HP120" s="3">
        <f ca="1">IFERROR(__xludf.DUMMYFUNCTION("""COMPUTED_VALUE"""),-0.791655569826762)</f>
        <v>-0.791655569826762</v>
      </c>
      <c r="HQ120" s="3">
        <f ca="1">IFERROR(__xludf.DUMMYFUNCTION("""COMPUTED_VALUE"""),-0.778095850494176)</f>
        <v>-0.77809585049417596</v>
      </c>
      <c r="HR120" s="3">
        <f ca="1">IFERROR(__xludf.DUMMYFUNCTION("""COMPUTED_VALUE"""),-0.774555914022769)</f>
        <v>-0.77455591402276902</v>
      </c>
      <c r="HS120" s="3">
        <f ca="1">IFERROR(__xludf.DUMMYFUNCTION("""COMPUTED_VALUE"""),-0.735404595545405)</f>
        <v>-0.73540459554540505</v>
      </c>
      <c r="HT120" s="3">
        <f ca="1">IFERROR(__xludf.DUMMYFUNCTION("""COMPUTED_VALUE"""),-0.692026282740798)</f>
        <v>-0.69202628274079803</v>
      </c>
      <c r="HU120" s="3">
        <f ca="1">IFERROR(__xludf.DUMMYFUNCTION("""COMPUTED_VALUE"""),-0.67725235365359)</f>
        <v>-0.67725235365359004</v>
      </c>
      <c r="HV120" s="3">
        <f ca="1">IFERROR(__xludf.DUMMYFUNCTION("""COMPUTED_VALUE"""),-0.768972986396188)</f>
        <v>-0.76897298639618805</v>
      </c>
      <c r="HW120" s="3">
        <f ca="1">IFERROR(__xludf.DUMMYFUNCTION("""COMPUTED_VALUE"""),-0.776254433810917)</f>
        <v>-0.77625443381091697</v>
      </c>
      <c r="HX120" s="3">
        <f ca="1">IFERROR(__xludf.DUMMYFUNCTION("""COMPUTED_VALUE"""),-0.787000489889246)</f>
        <v>-0.78700048988924598</v>
      </c>
      <c r="HY120" s="3">
        <f ca="1">IFERROR(__xludf.DUMMYFUNCTION("""COMPUTED_VALUE"""),-0.783377576132588)</f>
        <v>-0.78337757613258796</v>
      </c>
      <c r="HZ120" s="3">
        <f ca="1">IFERROR(__xludf.DUMMYFUNCTION("""COMPUTED_VALUE"""),-0.726939702281653)</f>
        <v>-0.72693970228165306</v>
      </c>
      <c r="IA120" s="3">
        <f ca="1">IFERROR(__xludf.DUMMYFUNCTION("""COMPUTED_VALUE"""),-0.6444856741134)</f>
        <v>-0.64448567411339996</v>
      </c>
      <c r="IB120" s="3">
        <f ca="1">IFERROR(__xludf.DUMMYFUNCTION("""COMPUTED_VALUE"""),-0.654369517176033)</f>
        <v>-0.65436951717603298</v>
      </c>
      <c r="IC120" s="3">
        <f ca="1">IFERROR(__xludf.DUMMYFUNCTION("""COMPUTED_VALUE"""),-0.752040239161619)</f>
        <v>-0.752040239161619</v>
      </c>
      <c r="ID120" s="3">
        <f ca="1">IFERROR(__xludf.DUMMYFUNCTION("""COMPUTED_VALUE"""),-0.796118903748281)</f>
        <v>-0.79611890374828098</v>
      </c>
      <c r="IE120" s="3">
        <f ca="1">IFERROR(__xludf.DUMMYFUNCTION("""COMPUTED_VALUE"""),-0.775839802571049)</f>
        <v>-0.77583980257104901</v>
      </c>
      <c r="IF120" s="3">
        <f ca="1">IFERROR(__xludf.DUMMYFUNCTION("""COMPUTED_VALUE"""),-0.761286317226493)</f>
        <v>-0.76128631722649298</v>
      </c>
      <c r="IG120" s="3">
        <f ca="1">IFERROR(__xludf.DUMMYFUNCTION("""COMPUTED_VALUE"""),-0.755433546932936)</f>
        <v>-0.75543354693293596</v>
      </c>
      <c r="IH120" s="3">
        <f ca="1">IFERROR(__xludf.DUMMYFUNCTION("""COMPUTED_VALUE"""),-0.65985997133065)</f>
        <v>-0.65985997133065</v>
      </c>
      <c r="II120" s="3">
        <f ca="1">IFERROR(__xludf.DUMMYFUNCTION("""COMPUTED_VALUE"""),-0.638214923422942)</f>
        <v>-0.63821492342294195</v>
      </c>
      <c r="IJ120" s="3">
        <f ca="1">IFERROR(__xludf.DUMMYFUNCTION("""COMPUTED_VALUE"""),-0.742918098994908)</f>
        <v>-0.74291809899490802</v>
      </c>
      <c r="IK120" s="3">
        <f ca="1">IFERROR(__xludf.DUMMYFUNCTION("""COMPUTED_VALUE"""),-0.758388464148366)</f>
        <v>-0.75838846414836603</v>
      </c>
      <c r="IL120" s="3">
        <f ca="1">IFERROR(__xludf.DUMMYFUNCTION("""COMPUTED_VALUE"""),-0.746870522014992)</f>
        <v>-0.74687052201499204</v>
      </c>
      <c r="IM120" s="3">
        <f ca="1">IFERROR(__xludf.DUMMYFUNCTION("""COMPUTED_VALUE"""),-0.728229217047037)</f>
        <v>-0.72822921704703703</v>
      </c>
      <c r="IN120" s="3">
        <f ca="1">IFERROR(__xludf.DUMMYFUNCTION("""COMPUTED_VALUE"""),-0.722961367101792)</f>
        <v>-0.72296136710179204</v>
      </c>
      <c r="IO120" s="3">
        <f ca="1">IFERROR(__xludf.DUMMYFUNCTION("""COMPUTED_VALUE"""),-0.696547830829791)</f>
        <v>-0.69654783082979099</v>
      </c>
      <c r="IP120" s="3">
        <f ca="1">IFERROR(__xludf.DUMMYFUNCTION("""COMPUTED_VALUE"""),-0.694010208803007)</f>
        <v>-0.69401020880300701</v>
      </c>
      <c r="IQ120" s="3">
        <f ca="1">IFERROR(__xludf.DUMMYFUNCTION("""COMPUTED_VALUE"""),-0.758727072379794)</f>
        <v>-0.75872707237979398</v>
      </c>
      <c r="IR120" s="3">
        <f ca="1">IFERROR(__xludf.DUMMYFUNCTION("""COMPUTED_VALUE"""),-0.799583819258295)</f>
        <v>-0.79958381925829503</v>
      </c>
      <c r="IS120" s="3">
        <f ca="1">IFERROR(__xludf.DUMMYFUNCTION("""COMPUTED_VALUE"""),-0.769707872986075)</f>
        <v>-0.76970787298607501</v>
      </c>
      <c r="IT120" s="3">
        <f ca="1">IFERROR(__xludf.DUMMYFUNCTION("""COMPUTED_VALUE"""),-0.761012294184428)</f>
        <v>-0.76101229418442795</v>
      </c>
      <c r="IU120" s="3">
        <f ca="1">IFERROR(__xludf.DUMMYFUNCTION("""COMPUTED_VALUE"""),-0.750685479479179)</f>
        <v>-0.75068547947917896</v>
      </c>
      <c r="IV120" s="3">
        <f ca="1">IFERROR(__xludf.DUMMYFUNCTION("""COMPUTED_VALUE"""),-0.709896255479852)</f>
        <v>-0.70989625547985202</v>
      </c>
      <c r="IW120" s="3">
        <f ca="1">IFERROR(__xludf.DUMMYFUNCTION("""COMPUTED_VALUE"""),-0.686828661996105)</f>
        <v>-0.68682866199610504</v>
      </c>
      <c r="IX120" s="3">
        <f ca="1">IFERROR(__xludf.DUMMYFUNCTION("""COMPUTED_VALUE"""),-0.722942086623416)</f>
        <v>-0.72294208662341597</v>
      </c>
      <c r="IY120" s="3">
        <f ca="1">IFERROR(__xludf.DUMMYFUNCTION("""COMPUTED_VALUE"""),-0.764934963596555)</f>
        <v>-0.764934963596555</v>
      </c>
      <c r="IZ120" s="3">
        <f ca="1">IFERROR(__xludf.DUMMYFUNCTION("""COMPUTED_VALUE"""),-0.738212255297841)</f>
        <v>-0.73821225529784096</v>
      </c>
      <c r="JA120" s="3">
        <f ca="1">IFERROR(__xludf.DUMMYFUNCTION("""COMPUTED_VALUE"""),-0.739016423352853)</f>
        <v>-0.739016423352853</v>
      </c>
      <c r="JB120" s="3">
        <f ca="1">IFERROR(__xludf.DUMMYFUNCTION("""COMPUTED_VALUE"""),-0.739860714436894)</f>
        <v>-0.73986071443689405</v>
      </c>
      <c r="JC120" s="3">
        <f ca="1">IFERROR(__xludf.DUMMYFUNCTION("""COMPUTED_VALUE"""),-0.711590212482895)</f>
        <v>-0.711590212482895</v>
      </c>
      <c r="JD120" s="3">
        <f ca="1">IFERROR(__xludf.DUMMYFUNCTION("""COMPUTED_VALUE"""),-0.711149954361486)</f>
        <v>-0.71114995436148598</v>
      </c>
      <c r="JE120" s="3">
        <f ca="1">IFERROR(__xludf.DUMMYFUNCTION("""COMPUTED_VALUE"""),-0.748978274325084)</f>
        <v>-0.74897827432508401</v>
      </c>
      <c r="JF120" s="3">
        <f ca="1">IFERROR(__xludf.DUMMYFUNCTION("""COMPUTED_VALUE"""),-0.754714375842993)</f>
        <v>-0.75471437584299295</v>
      </c>
      <c r="JG120" s="3">
        <f ca="1">IFERROR(__xludf.DUMMYFUNCTION("""COMPUTED_VALUE"""),-0.740637722312016)</f>
        <v>-0.74063772231201597</v>
      </c>
      <c r="JH120" s="3">
        <f ca="1">IFERROR(__xludf.DUMMYFUNCTION("""COMPUTED_VALUE"""),-0.758359086870394)</f>
        <v>-0.75835908687039399</v>
      </c>
      <c r="JI120" s="3">
        <f ca="1">IFERROR(__xludf.DUMMYFUNCTION("""COMPUTED_VALUE"""),-0.760156706298469)</f>
        <v>-0.76015670629846899</v>
      </c>
      <c r="JJ120" s="3">
        <f ca="1">IFERROR(__xludf.DUMMYFUNCTION("""COMPUTED_VALUE"""),-0.723813966429011)</f>
        <v>-0.72381396642901097</v>
      </c>
      <c r="JK120" s="3">
        <f ca="1">IFERROR(__xludf.DUMMYFUNCTION("""COMPUTED_VALUE"""),-0.707321503897204)</f>
        <v>-0.70732150389720405</v>
      </c>
      <c r="JL120" s="3">
        <f ca="1">IFERROR(__xludf.DUMMYFUNCTION("""COMPUTED_VALUE"""),-0.747564151130316)</f>
        <v>-0.74756415113031605</v>
      </c>
      <c r="JM120" s="3">
        <f ca="1">IFERROR(__xludf.DUMMYFUNCTION("""COMPUTED_VALUE"""),-0.772057699708269)</f>
        <v>-0.77205769970826899</v>
      </c>
      <c r="JN120" s="3">
        <f ca="1">IFERROR(__xludf.DUMMYFUNCTION("""COMPUTED_VALUE"""),-0.748040200096703)</f>
        <v>-0.74804020009670302</v>
      </c>
      <c r="JO120" s="3">
        <f ca="1">IFERROR(__xludf.DUMMYFUNCTION("""COMPUTED_VALUE"""),-0.744878087381792)</f>
        <v>-0.74487808738179195</v>
      </c>
      <c r="JP120" s="3">
        <f ca="1">IFERROR(__xludf.DUMMYFUNCTION("""COMPUTED_VALUE"""),-0.72359713969011)</f>
        <v>-0.72359713969010997</v>
      </c>
      <c r="JQ120" s="3">
        <f ca="1">IFERROR(__xludf.DUMMYFUNCTION("""COMPUTED_VALUE"""),-0.668278654556647)</f>
        <v>-0.66827865455664703</v>
      </c>
      <c r="JR120" s="3">
        <f ca="1">IFERROR(__xludf.DUMMYFUNCTION("""COMPUTED_VALUE"""),-0.686389615753037)</f>
        <v>-0.68638961575303703</v>
      </c>
      <c r="JS120" s="3">
        <f ca="1">IFERROR(__xludf.DUMMYFUNCTION("""COMPUTED_VALUE"""),-0.734051546495783)</f>
        <v>-0.73405154649578297</v>
      </c>
      <c r="JT120" s="3">
        <f ca="1">IFERROR(__xludf.DUMMYFUNCTION("""COMPUTED_VALUE"""),-0.748019799213236)</f>
        <v>-0.74801979921323603</v>
      </c>
      <c r="JU120" s="3">
        <f ca="1">IFERROR(__xludf.DUMMYFUNCTION("""COMPUTED_VALUE"""),-0.762539041551348)</f>
        <v>-0.762539041551348</v>
      </c>
      <c r="JV120" s="3">
        <f ca="1">IFERROR(__xludf.DUMMYFUNCTION("""COMPUTED_VALUE"""),-0.742213282475583)</f>
        <v>-0.74221328247558305</v>
      </c>
      <c r="JW120" s="3">
        <f ca="1">IFERROR(__xludf.DUMMYFUNCTION("""COMPUTED_VALUE"""),-0.766944406895133)</f>
        <v>-0.76694440689513299</v>
      </c>
      <c r="JX120" s="3">
        <f ca="1">IFERROR(__xludf.DUMMYFUNCTION("""COMPUTED_VALUE"""),-0.752591056408595)</f>
        <v>-0.75259105640859503</v>
      </c>
      <c r="JY120" s="3">
        <f ca="1">IFERROR(__xludf.DUMMYFUNCTION("""COMPUTED_VALUE"""),-0.703465547752124)</f>
        <v>-0.703465547752124</v>
      </c>
      <c r="JZ120" s="3">
        <f ca="1">IFERROR(__xludf.DUMMYFUNCTION("""COMPUTED_VALUE"""),-0.742031252203774)</f>
        <v>-0.74203125220377397</v>
      </c>
      <c r="KA120" s="3">
        <f ca="1">IFERROR(__xludf.DUMMYFUNCTION("""COMPUTED_VALUE"""),-0.744740554843246)</f>
        <v>-0.74474055484324597</v>
      </c>
      <c r="KB120" s="3">
        <f ca="1">IFERROR(__xludf.DUMMYFUNCTION("""COMPUTED_VALUE"""),-0.76480373534698)</f>
        <v>-0.76480373534697998</v>
      </c>
      <c r="KC120" s="3">
        <f ca="1">IFERROR(__xludf.DUMMYFUNCTION("""COMPUTED_VALUE"""),-0.7552673775031)</f>
        <v>-0.75526737750310002</v>
      </c>
      <c r="KD120" s="3">
        <f ca="1">IFERROR(__xludf.DUMMYFUNCTION("""COMPUTED_VALUE"""),-0.752866627009045)</f>
        <v>-0.75286662700904505</v>
      </c>
      <c r="KE120" s="3">
        <f ca="1">IFERROR(__xludf.DUMMYFUNCTION("""COMPUTED_VALUE"""),-0.718147269449153)</f>
        <v>-0.71814726944915297</v>
      </c>
      <c r="KF120" s="3">
        <f ca="1">IFERROR(__xludf.DUMMYFUNCTION("""COMPUTED_VALUE"""),-0.680029272575408)</f>
        <v>-0.68002927257540802</v>
      </c>
      <c r="KG120" s="3">
        <f ca="1">IFERROR(__xludf.DUMMYFUNCTION("""COMPUTED_VALUE"""),-0.723794577557618)</f>
        <v>-0.723794577557618</v>
      </c>
      <c r="KH120" s="3">
        <f ca="1">IFERROR(__xludf.DUMMYFUNCTION("""COMPUTED_VALUE"""),-0.712022137175573)</f>
        <v>-0.71202213717557306</v>
      </c>
      <c r="KI120" s="3">
        <f ca="1">IFERROR(__xludf.DUMMYFUNCTION("""COMPUTED_VALUE"""),-0.762017049173985)</f>
        <v>-0.76201704917398505</v>
      </c>
      <c r="KJ120" s="3">
        <f ca="1">IFERROR(__xludf.DUMMYFUNCTION("""COMPUTED_VALUE"""),-0.768347384059841)</f>
        <v>-0.76834738405984104</v>
      </c>
      <c r="KK120" s="3">
        <f ca="1">IFERROR(__xludf.DUMMYFUNCTION("""COMPUTED_VALUE"""),-0.761852889790307)</f>
        <v>-0.76185288979030696</v>
      </c>
      <c r="KL120" s="3">
        <f ca="1">IFERROR(__xludf.DUMMYFUNCTION("""COMPUTED_VALUE"""),-0.739271675055577)</f>
        <v>-0.739271675055577</v>
      </c>
      <c r="KM120" s="3">
        <f ca="1">IFERROR(__xludf.DUMMYFUNCTION("""COMPUTED_VALUE"""),-0.703257514637652)</f>
        <v>-0.70325751463765196</v>
      </c>
      <c r="KN120" s="3">
        <f ca="1">IFERROR(__xludf.DUMMYFUNCTION("""COMPUTED_VALUE"""),-0.76107058592718)</f>
        <v>-0.76107058592718002</v>
      </c>
      <c r="KO120" s="3">
        <f ca="1">IFERROR(__xludf.DUMMYFUNCTION("""COMPUTED_VALUE"""),-0.762485736539558)</f>
        <v>-0.76248573653955798</v>
      </c>
      <c r="KP120" s="3">
        <f ca="1">IFERROR(__xludf.DUMMYFUNCTION("""COMPUTED_VALUE"""),-0.760160217754138)</f>
        <v>-0.760160217754138</v>
      </c>
      <c r="KQ120" s="3">
        <f ca="1">IFERROR(__xludf.DUMMYFUNCTION("""COMPUTED_VALUE"""),-0.776919285784774)</f>
        <v>-0.77691928578477398</v>
      </c>
      <c r="KR120" s="3">
        <f ca="1">IFERROR(__xludf.DUMMYFUNCTION("""COMPUTED_VALUE"""),-0.774833847961351)</f>
        <v>-0.77483384796135102</v>
      </c>
      <c r="KS120" s="3">
        <f ca="1">IFERROR(__xludf.DUMMYFUNCTION("""COMPUTED_VALUE"""),-0.70896761776047)</f>
        <v>-0.70896761776047001</v>
      </c>
      <c r="KT120" s="3">
        <f ca="1">IFERROR(__xludf.DUMMYFUNCTION("""COMPUTED_VALUE"""),-0.699031823279052)</f>
        <v>-0.699031823279052</v>
      </c>
      <c r="KU120" s="3">
        <f ca="1">IFERROR(__xludf.DUMMYFUNCTION("""COMPUTED_VALUE"""),-0.812975514664078)</f>
        <v>-0.81297551466407803</v>
      </c>
      <c r="KV120" s="3">
        <f ca="1">IFERROR(__xludf.DUMMYFUNCTION("""COMPUTED_VALUE"""),-0.805663597971072)</f>
        <v>-0.80566359797107201</v>
      </c>
      <c r="KW120" s="3">
        <f ca="1">IFERROR(__xludf.DUMMYFUNCTION("""COMPUTED_VALUE"""),-0.781522364588799)</f>
        <v>-0.78152236458879898</v>
      </c>
      <c r="KX120" s="3">
        <f ca="1">IFERROR(__xludf.DUMMYFUNCTION("""COMPUTED_VALUE"""),-0.77878871448623)</f>
        <v>-0.77878871448622999</v>
      </c>
      <c r="KY120" s="3">
        <f ca="1">IFERROR(__xludf.DUMMYFUNCTION("""COMPUTED_VALUE"""),-0.79463828844538)</f>
        <v>-0.79463828844537998</v>
      </c>
      <c r="KZ120" s="3">
        <f ca="1">IFERROR(__xludf.DUMMYFUNCTION("""COMPUTED_VALUE"""),-0.77320757485343)</f>
        <v>-0.77320757485342995</v>
      </c>
      <c r="LA120" s="3">
        <f ca="1">IFERROR(__xludf.DUMMYFUNCTION("""COMPUTED_VALUE"""),-0.762390664859246)</f>
        <v>-0.762390664859246</v>
      </c>
      <c r="LB120" s="3">
        <f ca="1">IFERROR(__xludf.DUMMYFUNCTION("""COMPUTED_VALUE"""),-0.80948879447928)</f>
        <v>-0.80948879447928002</v>
      </c>
      <c r="LC120" s="3">
        <f ca="1">IFERROR(__xludf.DUMMYFUNCTION("""COMPUTED_VALUE"""),-0.805470141006812)</f>
        <v>-0.80547014100681202</v>
      </c>
      <c r="LD120" s="3">
        <f ca="1">IFERROR(__xludf.DUMMYFUNCTION("""COMPUTED_VALUE"""),-0.814085656440098)</f>
        <v>-0.814085656440098</v>
      </c>
      <c r="LE120" s="3">
        <f ca="1">IFERROR(__xludf.DUMMYFUNCTION("""COMPUTED_VALUE"""),-0.81144943183502)</f>
        <v>-0.81144943183502005</v>
      </c>
      <c r="LF120" s="3">
        <f ca="1">IFERROR(__xludf.DUMMYFUNCTION("""COMPUTED_VALUE"""),-0.782947611960599)</f>
        <v>-0.78294761196059903</v>
      </c>
      <c r="LG120" s="3">
        <f ca="1">IFERROR(__xludf.DUMMYFUNCTION("""COMPUTED_VALUE"""),-0.73579209910297)</f>
        <v>-0.73579209910297005</v>
      </c>
      <c r="LH120" s="3">
        <f ca="1">IFERROR(__xludf.DUMMYFUNCTION("""COMPUTED_VALUE"""),-0.783593197608474)</f>
        <v>-0.78359319760847401</v>
      </c>
      <c r="LI120" s="3">
        <f ca="1">IFERROR(__xludf.DUMMYFUNCTION("""COMPUTED_VALUE"""),-0.809527003647421)</f>
        <v>-0.80952700364742103</v>
      </c>
      <c r="LJ120" s="3">
        <f ca="1">IFERROR(__xludf.DUMMYFUNCTION("""COMPUTED_VALUE"""),-0.831579974457488)</f>
        <v>-0.83157997445748799</v>
      </c>
      <c r="LK120" s="3">
        <f ca="1">IFERROR(__xludf.DUMMYFUNCTION("""COMPUTED_VALUE"""),-0.839490070347103)</f>
        <v>-0.83949007034710299</v>
      </c>
      <c r="LL120" s="3">
        <f ca="1">IFERROR(__xludf.DUMMYFUNCTION("""COMPUTED_VALUE"""),-0.827890500210482)</f>
        <v>-0.82789050021048205</v>
      </c>
      <c r="LM120" s="3">
        <f ca="1">IFERROR(__xludf.DUMMYFUNCTION("""COMPUTED_VALUE"""),-0.784507749647538)</f>
        <v>-0.784507749647538</v>
      </c>
      <c r="LN120" s="3">
        <f ca="1">IFERROR(__xludf.DUMMYFUNCTION("""COMPUTED_VALUE"""),-0.776055674560652)</f>
        <v>-0.77605567456065205</v>
      </c>
      <c r="LO120" s="3">
        <f ca="1">IFERROR(__xludf.DUMMYFUNCTION("""COMPUTED_VALUE"""),-0.764470736598426)</f>
        <v>-0.76447073659842602</v>
      </c>
      <c r="LP120" s="3">
        <f ca="1">IFERROR(__xludf.DUMMYFUNCTION("""COMPUTED_VALUE"""),-0.832656749967412)</f>
        <v>-0.83265674996741201</v>
      </c>
      <c r="LQ120" s="3">
        <f ca="1">IFERROR(__xludf.DUMMYFUNCTION("""COMPUTED_VALUE"""),-0.821373380732676)</f>
        <v>-0.82137338073267596</v>
      </c>
      <c r="LR120" s="3">
        <f ca="1">IFERROR(__xludf.DUMMYFUNCTION("""COMPUTED_VALUE"""),-0.836469333534245)</f>
        <v>-0.83646933353424502</v>
      </c>
      <c r="LS120" s="3">
        <f ca="1">IFERROR(__xludf.DUMMYFUNCTION("""COMPUTED_VALUE"""),-0.808467170083994)</f>
        <v>-0.80846717008399405</v>
      </c>
      <c r="LT120" s="3">
        <f ca="1">IFERROR(__xludf.DUMMYFUNCTION("""COMPUTED_VALUE"""),-0.797466111941433)</f>
        <v>-0.79746611194143302</v>
      </c>
      <c r="LU120" s="3">
        <f ca="1">IFERROR(__xludf.DUMMYFUNCTION("""COMPUTED_VALUE"""),-0.797255722661018)</f>
        <v>-0.79725572266101796</v>
      </c>
      <c r="LV120" s="3">
        <f ca="1">IFERROR(__xludf.DUMMYFUNCTION("""COMPUTED_VALUE"""),-0.763859423911006)</f>
        <v>-0.76385942391100603</v>
      </c>
      <c r="LW120" s="3">
        <f ca="1">IFERROR(__xludf.DUMMYFUNCTION("""COMPUTED_VALUE"""),-0.813604371610756)</f>
        <v>-0.81360437161075605</v>
      </c>
      <c r="LX120" s="3">
        <f ca="1">IFERROR(__xludf.DUMMYFUNCTION("""COMPUTED_VALUE"""),-0.836516232047131)</f>
        <v>-0.83651623204713099</v>
      </c>
      <c r="LY120" s="3">
        <f ca="1">IFERROR(__xludf.DUMMYFUNCTION("""COMPUTED_VALUE"""),-0.838406900230021)</f>
        <v>-0.83840690023002096</v>
      </c>
      <c r="LZ120" s="3">
        <f ca="1">IFERROR(__xludf.DUMMYFUNCTION("""COMPUTED_VALUE"""),-0.813581689261877)</f>
        <v>-0.81358168926187702</v>
      </c>
      <c r="MA120" s="3">
        <f ca="1">IFERROR(__xludf.DUMMYFUNCTION("""COMPUTED_VALUE"""),-0.810680374665099)</f>
        <v>-0.81068037466509901</v>
      </c>
      <c r="MB120" s="3">
        <f ca="1">IFERROR(__xludf.DUMMYFUNCTION("""COMPUTED_VALUE"""),-0.781007476705546)</f>
        <v>-0.78100747670554604</v>
      </c>
      <c r="MC120" s="3">
        <f ca="1">IFERROR(__xludf.DUMMYFUNCTION("""COMPUTED_VALUE"""),-0.782294753710403)</f>
        <v>-0.78229475371040302</v>
      </c>
      <c r="MD120" s="3">
        <f ca="1">IFERROR(__xludf.DUMMYFUNCTION("""COMPUTED_VALUE"""),-0.828075076331822)</f>
        <v>-0.82807507633182198</v>
      </c>
      <c r="ME120" s="3">
        <f ca="1">IFERROR(__xludf.DUMMYFUNCTION("""COMPUTED_VALUE"""),-0.805832566115459)</f>
        <v>-0.80583256611545895</v>
      </c>
      <c r="MF120" s="3">
        <f ca="1">IFERROR(__xludf.DUMMYFUNCTION("""COMPUTED_VALUE"""),-0.823768560557981)</f>
        <v>-0.82376856055798098</v>
      </c>
      <c r="MG120" s="3">
        <f ca="1">IFERROR(__xludf.DUMMYFUNCTION("""COMPUTED_VALUE"""),-0.838121774098656)</f>
        <v>-0.83812177409865596</v>
      </c>
      <c r="MH120" s="3">
        <f ca="1">IFERROR(__xludf.DUMMYFUNCTION("""COMPUTED_VALUE"""),-0.829343151690813)</f>
        <v>-0.82934315169081296</v>
      </c>
      <c r="MI120" s="3">
        <f ca="1">IFERROR(__xludf.DUMMYFUNCTION("""COMPUTED_VALUE"""),-0.768609925479402)</f>
        <v>-0.76860992547940199</v>
      </c>
      <c r="MJ120" s="3">
        <f ca="1">IFERROR(__xludf.DUMMYFUNCTION("""COMPUTED_VALUE"""),-0.765058439097953)</f>
        <v>-0.76505843909795301</v>
      </c>
      <c r="MK120" s="3">
        <f ca="1">IFERROR(__xludf.DUMMYFUNCTION("""COMPUTED_VALUE"""),-0.819936034132359)</f>
        <v>-0.81993603413235905</v>
      </c>
      <c r="ML120" s="3">
        <f ca="1">IFERROR(__xludf.DUMMYFUNCTION("""COMPUTED_VALUE"""),-0.845978525237631)</f>
        <v>-0.84597852523763095</v>
      </c>
      <c r="MM120" s="3">
        <f ca="1">IFERROR(__xludf.DUMMYFUNCTION("""COMPUTED_VALUE"""),-0.8433601837042)</f>
        <v>-0.84336018370419996</v>
      </c>
      <c r="MN120" s="3">
        <f ca="1">IFERROR(__xludf.DUMMYFUNCTION("""COMPUTED_VALUE"""),-0.830596873360317)</f>
        <v>-0.83059687336031696</v>
      </c>
      <c r="MO120" s="3">
        <f ca="1">IFERROR(__xludf.DUMMYFUNCTION("""COMPUTED_VALUE"""),-0.817564828067144)</f>
        <v>-0.81756482806714403</v>
      </c>
      <c r="MP120" s="3">
        <f ca="1">IFERROR(__xludf.DUMMYFUNCTION("""COMPUTED_VALUE"""),-0.808672404648315)</f>
        <v>-0.80867240464831502</v>
      </c>
      <c r="MQ120" s="3">
        <f ca="1">IFERROR(__xludf.DUMMYFUNCTION("""COMPUTED_VALUE"""),-0.795555933849813)</f>
        <v>-0.79555593384981305</v>
      </c>
      <c r="MR120" s="3">
        <f ca="1">IFERROR(__xludf.DUMMYFUNCTION("""COMPUTED_VALUE"""),-0.845101179661657)</f>
        <v>-0.84510117966165699</v>
      </c>
      <c r="MS120" s="3">
        <f ca="1">IFERROR(__xludf.DUMMYFUNCTION("""COMPUTED_VALUE"""),-0.859548476769569)</f>
        <v>-0.85954847676956903</v>
      </c>
      <c r="MT120" s="3">
        <f ca="1">IFERROR(__xludf.DUMMYFUNCTION("""COMPUTED_VALUE"""),-0.855423605657686)</f>
        <v>-0.85542360565768605</v>
      </c>
      <c r="MU120" s="3">
        <f ca="1">IFERROR(__xludf.DUMMYFUNCTION("""COMPUTED_VALUE"""),-0.828003336703073)</f>
        <v>-0.82800333670307302</v>
      </c>
      <c r="MV120" s="3">
        <f ca="1">IFERROR(__xludf.DUMMYFUNCTION("""COMPUTED_VALUE"""),-0.803045120734524)</f>
        <v>-0.80304512073452405</v>
      </c>
      <c r="MW120" s="3">
        <f ca="1">IFERROR(__xludf.DUMMYFUNCTION("""COMPUTED_VALUE"""),-0.76581769606899)</f>
        <v>-0.76581769606898997</v>
      </c>
      <c r="MX120" s="3">
        <f ca="1">IFERROR(__xludf.DUMMYFUNCTION("""COMPUTED_VALUE"""),-0.80806071650126)</f>
        <v>-0.80806071650125999</v>
      </c>
      <c r="MY120" s="3">
        <f ca="1">IFERROR(__xludf.DUMMYFUNCTION("""COMPUTED_VALUE"""),-0.820626856845085)</f>
        <v>-0.82062685684508496</v>
      </c>
      <c r="MZ120" s="3">
        <f ca="1">IFERROR(__xludf.DUMMYFUNCTION("""COMPUTED_VALUE"""),-0.843808653363305)</f>
        <v>-0.84380865336330502</v>
      </c>
      <c r="NA120" s="3">
        <f ca="1">IFERROR(__xludf.DUMMYFUNCTION("""COMPUTED_VALUE"""),-0.858229700862846)</f>
        <v>-0.858229700862846</v>
      </c>
      <c r="NB120" s="3">
        <f ca="1">IFERROR(__xludf.DUMMYFUNCTION("""COMPUTED_VALUE"""),-0.839841043073262)</f>
        <v>-0.83984104307326202</v>
      </c>
      <c r="NC120" s="3">
        <f ca="1">IFERROR(__xludf.DUMMYFUNCTION("""COMPUTED_VALUE"""),-0.80772335544675)</f>
        <v>-0.80772335544675</v>
      </c>
      <c r="ND120" s="3">
        <f ca="1">IFERROR(__xludf.DUMMYFUNCTION("""COMPUTED_VALUE"""),-0.787411967956863)</f>
        <v>-0.78741196795686297</v>
      </c>
      <c r="NE120" s="3">
        <f ca="1">IFERROR(__xludf.DUMMYFUNCTION("""COMPUTED_VALUE"""),-0.815789490432189)</f>
        <v>-0.81578949043218896</v>
      </c>
      <c r="NF120" s="3">
        <f ca="1">IFERROR(__xludf.DUMMYFUNCTION("""COMPUTED_VALUE"""),-0.821232224556999)</f>
        <v>-0.82123222455699896</v>
      </c>
      <c r="NG120" s="3">
        <f ca="1">IFERROR(__xludf.DUMMYFUNCTION("""COMPUTED_VALUE"""),-0.79156659452781)</f>
        <v>-0.79156659452780997</v>
      </c>
      <c r="NH120" s="3">
        <f ca="1">IFERROR(__xludf.DUMMYFUNCTION("""COMPUTED_VALUE"""),-0.786188653606013)</f>
        <v>-0.78618865360601298</v>
      </c>
      <c r="NI120" s="3">
        <f ca="1">IFERROR(__xludf.DUMMYFUNCTION("""COMPUTED_VALUE"""),-0.783786150154319)</f>
        <v>-0.78378615015431896</v>
      </c>
      <c r="NJ120" s="3">
        <f ca="1">IFERROR(__xludf.DUMMYFUNCTION("""COMPUTED_VALUE"""),-0.776452300672019)</f>
        <v>-0.77645230067201898</v>
      </c>
      <c r="NK120" s="3">
        <f ca="1">IFERROR(__xludf.DUMMYFUNCTION("""COMPUTED_VALUE"""),-0.761027043680634)</f>
        <v>-0.76102704368063401</v>
      </c>
      <c r="NL120" s="3">
        <f ca="1">IFERROR(__xludf.DUMMYFUNCTION("""COMPUTED_VALUE"""),-0.730331951078358)</f>
        <v>-0.73033195107835802</v>
      </c>
      <c r="NM120" s="3">
        <f ca="1">IFERROR(__xludf.DUMMYFUNCTION("""COMPUTED_VALUE"""),-0.769930494327894)</f>
        <v>-0.76993049432789396</v>
      </c>
      <c r="NN120" s="3">
        <f ca="1">IFERROR(__xludf.DUMMYFUNCTION("""COMPUTED_VALUE"""),-0.735205634449903)</f>
        <v>-0.73520563444990294</v>
      </c>
      <c r="NO120" s="3">
        <f ca="1">IFERROR(__xludf.DUMMYFUNCTION("""COMPUTED_VALUE"""),-0.735333936588534)</f>
        <v>-0.73533393658853397</v>
      </c>
      <c r="NP120" s="3">
        <f ca="1">IFERROR(__xludf.DUMMYFUNCTION("""COMPUTED_VALUE"""),-0.722289083580285)</f>
        <v>-0.72228908358028499</v>
      </c>
      <c r="NQ120" s="3">
        <f ca="1">IFERROR(__xludf.DUMMYFUNCTION("""COMPUTED_VALUE"""),-0.723907713268475)</f>
        <v>-0.72390771326847503</v>
      </c>
      <c r="NR120" s="3">
        <f ca="1">IFERROR(__xludf.DUMMYFUNCTION("""COMPUTED_VALUE"""),-0.740089015881322)</f>
        <v>-0.74008901588132203</v>
      </c>
      <c r="NS120" s="3">
        <f ca="1">IFERROR(__xludf.DUMMYFUNCTION("""COMPUTED_VALUE"""),-0.731422634727716)</f>
        <v>-0.73142263472771596</v>
      </c>
      <c r="NT120" s="3">
        <f ca="1">IFERROR(__xludf.DUMMYFUNCTION("""COMPUTED_VALUE"""),-0.748722722486875)</f>
        <v>-0.74872272248687499</v>
      </c>
      <c r="NU120" s="3">
        <f ca="1">IFERROR(__xludf.DUMMYFUNCTION("""COMPUTED_VALUE"""),-0.757651983916053)</f>
        <v>-0.75765198391605304</v>
      </c>
      <c r="NV120" s="3">
        <f ca="1">IFERROR(__xludf.DUMMYFUNCTION("""COMPUTED_VALUE"""),-0.802446279449432)</f>
        <v>-0.80244627944943203</v>
      </c>
      <c r="NW120" s="3">
        <f ca="1">IFERROR(__xludf.DUMMYFUNCTION("""COMPUTED_VALUE"""),-0.801186334186841)</f>
        <v>-0.80118633418684104</v>
      </c>
      <c r="NX120" s="3">
        <f ca="1">IFERROR(__xludf.DUMMYFUNCTION("""COMPUTED_VALUE"""),-0.792375148710483)</f>
        <v>-0.79237514871048298</v>
      </c>
      <c r="NY120" s="3">
        <f ca="1">IFERROR(__xludf.DUMMYFUNCTION("""COMPUTED_VALUE"""),-0.769476536073886)</f>
        <v>-0.769476536073886</v>
      </c>
      <c r="NZ120" s="3">
        <f ca="1">IFERROR(__xludf.DUMMYFUNCTION("""COMPUTED_VALUE"""),-0.790406909160343)</f>
        <v>-0.79040690916034295</v>
      </c>
      <c r="OA120" s="3">
        <f ca="1">IFERROR(__xludf.DUMMYFUNCTION("""COMPUTED_VALUE"""),-0.805860126856646)</f>
        <v>-0.80586012685664599</v>
      </c>
      <c r="OB120" s="3">
        <f ca="1">IFERROR(__xludf.DUMMYFUNCTION("""COMPUTED_VALUE"""),-0.830045960042056)</f>
        <v>-0.830045960042056</v>
      </c>
      <c r="OC120" s="3">
        <f ca="1">IFERROR(__xludf.DUMMYFUNCTION("""COMPUTED_VALUE"""),-0.835869450244695)</f>
        <v>-0.83586945024469494</v>
      </c>
      <c r="OD120" s="3">
        <f ca="1">IFERROR(__xludf.DUMMYFUNCTION("""COMPUTED_VALUE"""),-0.7589983863338)</f>
        <v>-0.75899838633380001</v>
      </c>
      <c r="OE120" s="3">
        <f ca="1">IFERROR(__xludf.DUMMYFUNCTION("""COMPUTED_VALUE"""),-0.610373896595328)</f>
        <v>-0.61037389659532804</v>
      </c>
      <c r="OF120" s="3">
        <f ca="1">IFERROR(__xludf.DUMMYFUNCTION("""COMPUTED_VALUE"""),-0.468189373681243)</f>
        <v>-0.46818937368124303</v>
      </c>
      <c r="OG120" s="3">
        <f ca="1">IFERROR(__xludf.DUMMYFUNCTION("""COMPUTED_VALUE"""),-0.506687051782623)</f>
        <v>-0.50668705178262297</v>
      </c>
      <c r="OH120" s="3">
        <f ca="1">IFERROR(__xludf.DUMMYFUNCTION("""COMPUTED_VALUE"""),-0.394664927988937)</f>
        <v>-0.39466492798893699</v>
      </c>
      <c r="OI120" s="3">
        <f ca="1">IFERROR(__xludf.DUMMYFUNCTION("""COMPUTED_VALUE"""),-0.35341905816189)</f>
        <v>-0.35341905816189001</v>
      </c>
      <c r="OJ120" s="3">
        <f ca="1">IFERROR(__xludf.DUMMYFUNCTION("""COMPUTED_VALUE"""),-0.323998687351996)</f>
        <v>-0.323998687351996</v>
      </c>
      <c r="OK120" s="3">
        <f ca="1">IFERROR(__xludf.DUMMYFUNCTION("""COMPUTED_VALUE"""),-0.234153237091003)</f>
        <v>-0.234153237091003</v>
      </c>
      <c r="OL120" s="3">
        <f ca="1">IFERROR(__xludf.DUMMYFUNCTION("""COMPUTED_VALUE"""),-0.230235551412934)</f>
        <v>-0.230235551412934</v>
      </c>
      <c r="OM120" s="3">
        <f ca="1">IFERROR(__xludf.DUMMYFUNCTION("""COMPUTED_VALUE"""),-0.134129671251793)</f>
        <v>-0.13412967125179301</v>
      </c>
      <c r="ON120" s="3">
        <f ca="1">IFERROR(__xludf.DUMMYFUNCTION("""COMPUTED_VALUE"""),-0.193380830625187)</f>
        <v>-0.19338083062518699</v>
      </c>
      <c r="OO120" s="3">
        <f ca="1">IFERROR(__xludf.DUMMYFUNCTION("""COMPUTED_VALUE"""),-0.121202489987978)</f>
        <v>-0.121202489987978</v>
      </c>
      <c r="OP120" s="3">
        <f ca="1">IFERROR(__xludf.DUMMYFUNCTION("""COMPUTED_VALUE"""),-0.0608931709943908)</f>
        <v>-6.0893170994390802E-2</v>
      </c>
      <c r="OQ120" s="3">
        <f ca="1">IFERROR(__xludf.DUMMYFUNCTION("""COMPUTED_VALUE"""),-0.0107573037491863)</f>
        <v>-1.0757303749186301E-2</v>
      </c>
      <c r="OR120" s="3">
        <f ca="1">IFERROR(__xludf.DUMMYFUNCTION("""COMPUTED_VALUE"""),0.0082622744628813)</f>
        <v>8.2622744628812993E-3</v>
      </c>
      <c r="OS120" s="3">
        <f ca="1">IFERROR(__xludf.DUMMYFUNCTION("""COMPUTED_VALUE"""),-0.000600893136135871)</f>
        <v>-6.0089313613587104E-4</v>
      </c>
      <c r="OT120" s="3">
        <f ca="1">IFERROR(__xludf.DUMMYFUNCTION("""COMPUTED_VALUE"""),-0.0135870393704979)</f>
        <v>-1.35870393704979E-2</v>
      </c>
      <c r="OU120" s="3">
        <f ca="1">IFERROR(__xludf.DUMMYFUNCTION("""COMPUTED_VALUE"""),-0.0264842035113905)</f>
        <v>-2.6484203511390501E-2</v>
      </c>
      <c r="OV120" s="3">
        <f ca="1">IFERROR(__xludf.DUMMYFUNCTION("""COMPUTED_VALUE"""),0.0403653869346596)</f>
        <v>4.0365386934659603E-2</v>
      </c>
      <c r="OW120" s="3">
        <f ca="1">IFERROR(__xludf.DUMMYFUNCTION("""COMPUTED_VALUE"""),0.0787250680198285)</f>
        <v>7.8725068019828495E-2</v>
      </c>
      <c r="OX120" s="3">
        <f ca="1">IFERROR(__xludf.DUMMYFUNCTION("""COMPUTED_VALUE"""),0.130232009792774)</f>
        <v>0.130232009792774</v>
      </c>
      <c r="OY120" s="3">
        <f ca="1">IFERROR(__xludf.DUMMYFUNCTION("""COMPUTED_VALUE"""),0.0412323970249832)</f>
        <v>4.12323970249832E-2</v>
      </c>
      <c r="OZ120" s="3">
        <f ca="1">IFERROR(__xludf.DUMMYFUNCTION("""COMPUTED_VALUE"""),-0.0691200295560916)</f>
        <v>-6.9120029556091603E-2</v>
      </c>
      <c r="PA120" s="3">
        <f ca="1">IFERROR(__xludf.DUMMYFUNCTION("""COMPUTED_VALUE"""),-0.0190133052017549)</f>
        <v>-1.9013305201754899E-2</v>
      </c>
      <c r="PB120" s="3">
        <f ca="1">IFERROR(__xludf.DUMMYFUNCTION("""COMPUTED_VALUE"""),0.0614188650861065)</f>
        <v>6.14188650861065E-2</v>
      </c>
      <c r="PC120" s="3">
        <f ca="1">IFERROR(__xludf.DUMMYFUNCTION("""COMPUTED_VALUE"""),-0.112782719311782)</f>
        <v>-0.11278271931178201</v>
      </c>
      <c r="PD120" s="3">
        <f ca="1">IFERROR(__xludf.DUMMYFUNCTION("""COMPUTED_VALUE"""),-0.0520996625890458)</f>
        <v>-5.2099662589045803E-2</v>
      </c>
      <c r="PE120" s="3">
        <f ca="1">IFERROR(__xludf.DUMMYFUNCTION("""COMPUTED_VALUE"""),-0.0225385236788734)</f>
        <v>-2.25385236788734E-2</v>
      </c>
      <c r="PF120" s="3">
        <f ca="1">IFERROR(__xludf.DUMMYFUNCTION("""COMPUTED_VALUE"""),0.00630107388184808)</f>
        <v>6.3010738818480797E-3</v>
      </c>
      <c r="PG120" s="3">
        <f ca="1">IFERROR(__xludf.DUMMYFUNCTION("""COMPUTED_VALUE"""),-0.226980680430615)</f>
        <v>-0.22698068043061501</v>
      </c>
      <c r="PH120" s="3">
        <f ca="1">IFERROR(__xludf.DUMMYFUNCTION("""COMPUTED_VALUE"""),0.0504278041856278)</f>
        <v>5.0427804185627798E-2</v>
      </c>
      <c r="PI120" s="3">
        <f ca="1">IFERROR(__xludf.DUMMYFUNCTION("""COMPUTED_VALUE"""),0.0233359860949686)</f>
        <v>2.3335986094968598E-2</v>
      </c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</row>
    <row r="121" spans="1:477" ht="13">
      <c r="A121" s="1" t="str">
        <f ca="1">IFERROR(__xludf.DUMMYFUNCTION("""COMPUTED_VALUE"""),"VTA")</f>
        <v>VTA</v>
      </c>
      <c r="B121" s="1" t="str">
        <f ca="1">IFERROR(__xludf.DUMMYFUNCTION("""COMPUTED_VALUE"""),"SF Bay Area")</f>
        <v>SF Bay Area</v>
      </c>
      <c r="C121" s="1" t="str">
        <f ca="1">IFERROR(__xludf.DUMMYFUNCTION("""COMPUTED_VALUE"""),"United States")</f>
        <v>United States</v>
      </c>
      <c r="D121" s="1" t="str">
        <f ca="1">IFERROR(__xludf.DUMMYFUNCTION("""COMPUTED_VALUE"""),"California")</f>
        <v>California</v>
      </c>
      <c r="E121" s="3">
        <f ca="1">IFERROR(__xludf.DUMMYFUNCTION("""COMPUTED_VALUE"""),-0.652521700780228)</f>
        <v>-0.65252170078022798</v>
      </c>
      <c r="F121" s="3">
        <f ca="1">IFERROR(__xludf.DUMMYFUNCTION("""COMPUTED_VALUE"""),-0.754240793514592)</f>
        <v>-0.75424079351459195</v>
      </c>
      <c r="G121" s="3">
        <f ca="1">IFERROR(__xludf.DUMMYFUNCTION("""COMPUTED_VALUE"""),-0.800548089824238)</f>
        <v>-0.80054808982423797</v>
      </c>
      <c r="H121" s="3">
        <f ca="1">IFERROR(__xludf.DUMMYFUNCTION("""COMPUTED_VALUE"""),-0.78449896000764)</f>
        <v>-0.78449896000763997</v>
      </c>
      <c r="I121" s="3">
        <f ca="1">IFERROR(__xludf.DUMMYFUNCTION("""COMPUTED_VALUE"""),-0.766135405052389)</f>
        <v>-0.76613540505238897</v>
      </c>
      <c r="J121" s="3">
        <f ca="1">IFERROR(__xludf.DUMMYFUNCTION("""COMPUTED_VALUE"""),-0.78164154357883)</f>
        <v>-0.78164154357882998</v>
      </c>
      <c r="K121" s="3">
        <f ca="1">IFERROR(__xludf.DUMMYFUNCTION("""COMPUTED_VALUE"""),-0.630237208480909)</f>
        <v>-0.63023720848090903</v>
      </c>
      <c r="L121" s="3">
        <f ca="1">IFERROR(__xludf.DUMMYFUNCTION("""COMPUTED_VALUE"""),-0.637550492244992)</f>
        <v>-0.63755049224499205</v>
      </c>
      <c r="M121" s="3">
        <f ca="1">IFERROR(__xludf.DUMMYFUNCTION("""COMPUTED_VALUE"""),-0.742387109752435)</f>
        <v>-0.74238710975243505</v>
      </c>
      <c r="N121" s="3">
        <f ca="1">IFERROR(__xludf.DUMMYFUNCTION("""COMPUTED_VALUE"""),-0.788424218567252)</f>
        <v>-0.78842421856725198</v>
      </c>
      <c r="O121" s="3">
        <f ca="1">IFERROR(__xludf.DUMMYFUNCTION("""COMPUTED_VALUE"""),-0.774642222592897)</f>
        <v>-0.77464222259289695</v>
      </c>
      <c r="P121" s="3">
        <f ca="1">IFERROR(__xludf.DUMMYFUNCTION("""COMPUTED_VALUE"""),-0.778741067017978)</f>
        <v>-0.77874106701797796</v>
      </c>
      <c r="Q121" s="3">
        <f ca="1">IFERROR(__xludf.DUMMYFUNCTION("""COMPUTED_VALUE"""),-0.763833944319633)</f>
        <v>-0.76383394431963303</v>
      </c>
      <c r="R121" s="3">
        <f ca="1">IFERROR(__xludf.DUMMYFUNCTION("""COMPUTED_VALUE"""),-0.538456659407267)</f>
        <v>-0.53845665940726695</v>
      </c>
      <c r="S121" s="3">
        <f ca="1">IFERROR(__xludf.DUMMYFUNCTION("""COMPUTED_VALUE"""),-0.590977727762188)</f>
        <v>-0.59097772776218804</v>
      </c>
      <c r="T121" s="3">
        <f ca="1">IFERROR(__xludf.DUMMYFUNCTION("""COMPUTED_VALUE"""),-0.75417089419393)</f>
        <v>-0.75417089419393002</v>
      </c>
      <c r="U121" s="3">
        <f ca="1">IFERROR(__xludf.DUMMYFUNCTION("""COMPUTED_VALUE"""),-0.780708114227193)</f>
        <v>-0.780708114227193</v>
      </c>
      <c r="V121" s="3">
        <f ca="1">IFERROR(__xludf.DUMMYFUNCTION("""COMPUTED_VALUE"""),-0.781706852064831)</f>
        <v>-0.78170685206483104</v>
      </c>
      <c r="W121" s="3">
        <f ca="1">IFERROR(__xludf.DUMMYFUNCTION("""COMPUTED_VALUE"""),-0.791363257409578)</f>
        <v>-0.79136325740957802</v>
      </c>
      <c r="X121" s="3">
        <f ca="1">IFERROR(__xludf.DUMMYFUNCTION("""COMPUTED_VALUE"""),-0.79024103008511)</f>
        <v>-0.79024103008511004</v>
      </c>
      <c r="Y121" s="3">
        <f ca="1">IFERROR(__xludf.DUMMYFUNCTION("""COMPUTED_VALUE"""),-0.572194719632495)</f>
        <v>-0.57219471963249502</v>
      </c>
      <c r="Z121" s="3">
        <f ca="1">IFERROR(__xludf.DUMMYFUNCTION("""COMPUTED_VALUE"""),-0.62622932467268)</f>
        <v>-0.62622932467268</v>
      </c>
      <c r="AA121" s="3">
        <f ca="1">IFERROR(__xludf.DUMMYFUNCTION("""COMPUTED_VALUE"""),-0.773521085684046)</f>
        <v>-0.77352108568404598</v>
      </c>
      <c r="AB121" s="3">
        <f ca="1">IFERROR(__xludf.DUMMYFUNCTION("""COMPUTED_VALUE"""),-0.836390950295844)</f>
        <v>-0.83639095029584398</v>
      </c>
      <c r="AC121" s="3">
        <f ca="1">IFERROR(__xludf.DUMMYFUNCTION("""COMPUTED_VALUE"""),-0.813888369529994)</f>
        <v>-0.81388836952999399</v>
      </c>
      <c r="AD121" s="3">
        <f ca="1">IFERROR(__xludf.DUMMYFUNCTION("""COMPUTED_VALUE"""),-0.819516574898408)</f>
        <v>-0.81951657489840801</v>
      </c>
      <c r="AE121" s="3">
        <f ca="1">IFERROR(__xludf.DUMMYFUNCTION("""COMPUTED_VALUE"""),-0.820597711557405)</f>
        <v>-0.82059771155740502</v>
      </c>
      <c r="AF121" s="3">
        <f ca="1">IFERROR(__xludf.DUMMYFUNCTION("""COMPUTED_VALUE"""),-0.634641570950374)</f>
        <v>-0.63464157095037399</v>
      </c>
      <c r="AG121" s="3">
        <f ca="1">IFERROR(__xludf.DUMMYFUNCTION("""COMPUTED_VALUE"""),-0.631402253518128)</f>
        <v>-0.63140225351812795</v>
      </c>
      <c r="AH121" s="3">
        <f ca="1">IFERROR(__xludf.DUMMYFUNCTION("""COMPUTED_VALUE"""),-0.779610080451437)</f>
        <v>-0.77961008045143698</v>
      </c>
      <c r="AI121" s="3">
        <f ca="1">IFERROR(__xludf.DUMMYFUNCTION("""COMPUTED_VALUE"""),-0.814810563622468)</f>
        <v>-0.81481056362246795</v>
      </c>
      <c r="AJ121" s="3">
        <f ca="1">IFERROR(__xludf.DUMMYFUNCTION("""COMPUTED_VALUE"""),-0.844698954828248)</f>
        <v>-0.84469895482824797</v>
      </c>
      <c r="AK121" s="3">
        <f ca="1">IFERROR(__xludf.DUMMYFUNCTION("""COMPUTED_VALUE"""),-0.825109897393035)</f>
        <v>-0.82510989739303497</v>
      </c>
      <c r="AL121" s="3">
        <f ca="1">IFERROR(__xludf.DUMMYFUNCTION("""COMPUTED_VALUE"""),-0.823112422725661)</f>
        <v>-0.82311242272566099</v>
      </c>
      <c r="AM121" s="3">
        <f ca="1">IFERROR(__xludf.DUMMYFUNCTION("""COMPUTED_VALUE"""),-0.588004849042303)</f>
        <v>-0.58800484904230299</v>
      </c>
      <c r="AN121" s="3">
        <f ca="1">IFERROR(__xludf.DUMMYFUNCTION("""COMPUTED_VALUE"""),-0.623184055080348)</f>
        <v>-0.62318405508034802</v>
      </c>
      <c r="AO121" s="3">
        <f ca="1">IFERROR(__xludf.DUMMYFUNCTION("""COMPUTED_VALUE"""),-0.783412942746224)</f>
        <v>-0.78341294274622397</v>
      </c>
      <c r="AP121" s="3">
        <f ca="1">IFERROR(__xludf.DUMMYFUNCTION("""COMPUTED_VALUE"""),-0.815368010271206)</f>
        <v>-0.81536801027120598</v>
      </c>
      <c r="AQ121" s="3">
        <f ca="1">IFERROR(__xludf.DUMMYFUNCTION("""COMPUTED_VALUE"""),-0.826424391664265)</f>
        <v>-0.82642439166426496</v>
      </c>
      <c r="AR121" s="3">
        <f ca="1">IFERROR(__xludf.DUMMYFUNCTION("""COMPUTED_VALUE"""),-0.818823198339211)</f>
        <v>-0.81882319833921102</v>
      </c>
      <c r="AS121" s="3">
        <f ca="1">IFERROR(__xludf.DUMMYFUNCTION("""COMPUTED_VALUE"""),-0.814589083480008)</f>
        <v>-0.81458908348000802</v>
      </c>
      <c r="AT121" s="3">
        <f ca="1">IFERROR(__xludf.DUMMYFUNCTION("""COMPUTED_VALUE"""),-0.61349996959599)</f>
        <v>-0.61349996959598996</v>
      </c>
      <c r="AU121" s="3">
        <f ca="1">IFERROR(__xludf.DUMMYFUNCTION("""COMPUTED_VALUE"""),-0.610239994768049)</f>
        <v>-0.61023999476804902</v>
      </c>
      <c r="AV121" s="3">
        <f ca="1">IFERROR(__xludf.DUMMYFUNCTION("""COMPUTED_VALUE"""),-0.777395491955308)</f>
        <v>-0.77739549195530799</v>
      </c>
      <c r="AW121" s="3">
        <f ca="1">IFERROR(__xludf.DUMMYFUNCTION("""COMPUTED_VALUE"""),-0.823276700550942)</f>
        <v>-0.82327670055094204</v>
      </c>
      <c r="AX121" s="3">
        <f ca="1">IFERROR(__xludf.DUMMYFUNCTION("""COMPUTED_VALUE"""),-0.815265623836098)</f>
        <v>-0.81526562383609802</v>
      </c>
      <c r="AY121" s="3">
        <f ca="1">IFERROR(__xludf.DUMMYFUNCTION("""COMPUTED_VALUE"""),-0.829482936715627)</f>
        <v>-0.82948293671562701</v>
      </c>
      <c r="AZ121" s="3">
        <f ca="1">IFERROR(__xludf.DUMMYFUNCTION("""COMPUTED_VALUE"""),-0.806006785926248)</f>
        <v>-0.80600678592624797</v>
      </c>
      <c r="BA121" s="3">
        <f ca="1">IFERROR(__xludf.DUMMYFUNCTION("""COMPUTED_VALUE"""),-0.626997876968267)</f>
        <v>-0.62699787696826703</v>
      </c>
      <c r="BB121" s="3">
        <f ca="1">IFERROR(__xludf.DUMMYFUNCTION("""COMPUTED_VALUE"""),-0.651401550978403)</f>
        <v>-0.65140155097840302</v>
      </c>
      <c r="BC121" s="3">
        <f ca="1">IFERROR(__xludf.DUMMYFUNCTION("""COMPUTED_VALUE"""),-0.778615938219194)</f>
        <v>-0.77861593821919395</v>
      </c>
      <c r="BD121" s="3">
        <f ca="1">IFERROR(__xludf.DUMMYFUNCTION("""COMPUTED_VALUE"""),-0.818635457585491)</f>
        <v>-0.81863545758549106</v>
      </c>
      <c r="BE121" s="3">
        <f ca="1">IFERROR(__xludf.DUMMYFUNCTION("""COMPUTED_VALUE"""),-0.813661955081841)</f>
        <v>-0.81366195508184103</v>
      </c>
      <c r="BF121" s="3">
        <f ca="1">IFERROR(__xludf.DUMMYFUNCTION("""COMPUTED_VALUE"""),-0.829946257271255)</f>
        <v>-0.82994625727125504</v>
      </c>
      <c r="BG121" s="3">
        <f ca="1">IFERROR(__xludf.DUMMYFUNCTION("""COMPUTED_VALUE"""),-0.818791865558709)</f>
        <v>-0.81879186555870898</v>
      </c>
      <c r="BH121" s="3">
        <f ca="1">IFERROR(__xludf.DUMMYFUNCTION("""COMPUTED_VALUE"""),-0.634802535239951)</f>
        <v>-0.634802535239951</v>
      </c>
      <c r="BI121" s="3">
        <f ca="1">IFERROR(__xludf.DUMMYFUNCTION("""COMPUTED_VALUE"""),-0.627809626170042)</f>
        <v>-0.62780962617004199</v>
      </c>
      <c r="BJ121" s="3">
        <f ca="1">IFERROR(__xludf.DUMMYFUNCTION("""COMPUTED_VALUE"""),-0.798337286664272)</f>
        <v>-0.79833728666427195</v>
      </c>
      <c r="BK121" s="3">
        <f ca="1">IFERROR(__xludf.DUMMYFUNCTION("""COMPUTED_VALUE"""),-0.832204780094275)</f>
        <v>-0.83220478009427501</v>
      </c>
      <c r="BL121" s="3">
        <f ca="1">IFERROR(__xludf.DUMMYFUNCTION("""COMPUTED_VALUE"""),-0.828973917633831)</f>
        <v>-0.82897391763383099</v>
      </c>
      <c r="BM121" s="3">
        <f ca="1">IFERROR(__xludf.DUMMYFUNCTION("""COMPUTED_VALUE"""),-0.837273145463737)</f>
        <v>-0.83727314546373699</v>
      </c>
      <c r="BN121" s="3">
        <f ca="1">IFERROR(__xludf.DUMMYFUNCTION("""COMPUTED_VALUE"""),-0.815803702425879)</f>
        <v>-0.81580370242587896</v>
      </c>
      <c r="BO121" s="3">
        <f ca="1">IFERROR(__xludf.DUMMYFUNCTION("""COMPUTED_VALUE"""),-0.686655362459891)</f>
        <v>-0.68665536245989101</v>
      </c>
      <c r="BP121" s="3">
        <f ca="1">IFERROR(__xludf.DUMMYFUNCTION("""COMPUTED_VALUE"""),-0.693370754067445)</f>
        <v>-0.69337075406744497</v>
      </c>
      <c r="BQ121" s="3">
        <f ca="1">IFERROR(__xludf.DUMMYFUNCTION("""COMPUTED_VALUE"""),-0.811197930351119)</f>
        <v>-0.81119793035111898</v>
      </c>
      <c r="BR121" s="3">
        <f ca="1">IFERROR(__xludf.DUMMYFUNCTION("""COMPUTED_VALUE"""),-0.852477654067712)</f>
        <v>-0.85247765406771203</v>
      </c>
      <c r="BS121" s="3">
        <f ca="1">IFERROR(__xludf.DUMMYFUNCTION("""COMPUTED_VALUE"""),-0.86035405968594)</f>
        <v>-0.86035405968594003</v>
      </c>
      <c r="BT121" s="3">
        <f ca="1">IFERROR(__xludf.DUMMYFUNCTION("""COMPUTED_VALUE"""),-0.863862121249547)</f>
        <v>-0.86386212124954698</v>
      </c>
      <c r="BU121" s="3">
        <f ca="1">IFERROR(__xludf.DUMMYFUNCTION("""COMPUTED_VALUE"""),-0.851473604969707)</f>
        <v>-0.85147360496970703</v>
      </c>
      <c r="BV121" s="3">
        <f ca="1">IFERROR(__xludf.DUMMYFUNCTION("""COMPUTED_VALUE"""),-0.708554679222229)</f>
        <v>-0.70855467922222903</v>
      </c>
      <c r="BW121" s="3">
        <f ca="1">IFERROR(__xludf.DUMMYFUNCTION("""COMPUTED_VALUE"""),-0.706178676015815)</f>
        <v>-0.70617867601581497</v>
      </c>
      <c r="BX121" s="3">
        <f ca="1">IFERROR(__xludf.DUMMYFUNCTION("""COMPUTED_VALUE"""),-0.825727901899803)</f>
        <v>-0.82572790189980305</v>
      </c>
      <c r="BY121" s="3">
        <f ca="1">IFERROR(__xludf.DUMMYFUNCTION("""COMPUTED_VALUE"""),-0.887909409385905)</f>
        <v>-0.88790940938590501</v>
      </c>
      <c r="BZ121" s="3">
        <f ca="1">IFERROR(__xludf.DUMMYFUNCTION("""COMPUTED_VALUE"""),-0.8776074353135)</f>
        <v>-0.87760743531350005</v>
      </c>
      <c r="CA121" s="3">
        <f ca="1">IFERROR(__xludf.DUMMYFUNCTION("""COMPUTED_VALUE"""),-0.870376071214323)</f>
        <v>-0.87037607121432303</v>
      </c>
      <c r="CB121" s="3">
        <f ca="1">IFERROR(__xludf.DUMMYFUNCTION("""COMPUTED_VALUE"""),-0.832607540056857)</f>
        <v>-0.832607540056857</v>
      </c>
      <c r="CC121" s="3">
        <f ca="1">IFERROR(__xludf.DUMMYFUNCTION("""COMPUTED_VALUE"""),-0.760729655430027)</f>
        <v>-0.76072965543002702</v>
      </c>
      <c r="CD121" s="3">
        <f ca="1">IFERROR(__xludf.DUMMYFUNCTION("""COMPUTED_VALUE"""),-0.709798003902337)</f>
        <v>-0.70979800390233705</v>
      </c>
      <c r="CE121" s="3">
        <f ca="1">IFERROR(__xludf.DUMMYFUNCTION("""COMPUTED_VALUE"""),-0.860055350206393)</f>
        <v>-0.86005535020639301</v>
      </c>
      <c r="CF121" s="3">
        <f ca="1">IFERROR(__xludf.DUMMYFUNCTION("""COMPUTED_VALUE"""),-0.860778274928097)</f>
        <v>-0.860778274928097</v>
      </c>
      <c r="CG121" s="3">
        <f ca="1">IFERROR(__xludf.DUMMYFUNCTION("""COMPUTED_VALUE"""),-0.866109666414048)</f>
        <v>-0.86610966641404796</v>
      </c>
      <c r="CH121" s="3">
        <f ca="1">IFERROR(__xludf.DUMMYFUNCTION("""COMPUTED_VALUE"""),-0.86218279721848)</f>
        <v>-0.86218279721848001</v>
      </c>
      <c r="CI121" s="3">
        <f ca="1">IFERROR(__xludf.DUMMYFUNCTION("""COMPUTED_VALUE"""),-0.84359500374842)</f>
        <v>-0.84359500374842</v>
      </c>
      <c r="CJ121" s="3">
        <f ca="1">IFERROR(__xludf.DUMMYFUNCTION("""COMPUTED_VALUE"""),-0.718129451679283)</f>
        <v>-0.71812945167928299</v>
      </c>
      <c r="CK121" s="3">
        <f ca="1">IFERROR(__xludf.DUMMYFUNCTION("""COMPUTED_VALUE"""),-0.725242895696026)</f>
        <v>-0.72524289569602596</v>
      </c>
      <c r="CL121" s="3">
        <f ca="1">IFERROR(__xludf.DUMMYFUNCTION("""COMPUTED_VALUE"""),-0.835593454343336)</f>
        <v>-0.83559345434333598</v>
      </c>
      <c r="CM121" s="3">
        <f ca="1">IFERROR(__xludf.DUMMYFUNCTION("""COMPUTED_VALUE"""),-0.851283384989487)</f>
        <v>-0.85128338498948697</v>
      </c>
      <c r="CN121" s="3">
        <f ca="1">IFERROR(__xludf.DUMMYFUNCTION("""COMPUTED_VALUE"""),-0.866518330824381)</f>
        <v>-0.86651833082438101</v>
      </c>
      <c r="CO121" s="3">
        <f ca="1">IFERROR(__xludf.DUMMYFUNCTION("""COMPUTED_VALUE"""),-0.866715594696762)</f>
        <v>-0.86671559469676196</v>
      </c>
      <c r="CP121" s="3">
        <f ca="1">IFERROR(__xludf.DUMMYFUNCTION("""COMPUTED_VALUE"""),-0.830657451184095)</f>
        <v>-0.83065745118409495</v>
      </c>
      <c r="CQ121" s="3">
        <f ca="1">IFERROR(__xludf.DUMMYFUNCTION("""COMPUTED_VALUE"""),-0.725850941879428)</f>
        <v>-0.725850941879428</v>
      </c>
      <c r="CR121" s="3">
        <f ca="1">IFERROR(__xludf.DUMMYFUNCTION("""COMPUTED_VALUE"""),-0.749108677180376)</f>
        <v>-0.74910867718037599</v>
      </c>
      <c r="CS121" s="3">
        <f ca="1">IFERROR(__xludf.DUMMYFUNCTION("""COMPUTED_VALUE"""),-0.836960169838478)</f>
        <v>-0.83696016983847799</v>
      </c>
      <c r="CT121" s="3">
        <f ca="1">IFERROR(__xludf.DUMMYFUNCTION("""COMPUTED_VALUE"""),-0.839836258807386)</f>
        <v>-0.83983625880738599</v>
      </c>
      <c r="CU121" s="3">
        <f ca="1">IFERROR(__xludf.DUMMYFUNCTION("""COMPUTED_VALUE"""),-0.825133192888986)</f>
        <v>-0.82513319288898601</v>
      </c>
      <c r="CV121" s="3">
        <f ca="1">IFERROR(__xludf.DUMMYFUNCTION("""COMPUTED_VALUE"""),-0.832524103605303)</f>
        <v>-0.83252410360530305</v>
      </c>
      <c r="CW121" s="3">
        <f ca="1">IFERROR(__xludf.DUMMYFUNCTION("""COMPUTED_VALUE"""),-0.843018677106139)</f>
        <v>-0.84301867710613898</v>
      </c>
      <c r="CX121" s="3">
        <f ca="1">IFERROR(__xludf.DUMMYFUNCTION("""COMPUTED_VALUE"""),-0.72404854128102)</f>
        <v>-0.72404854128102003</v>
      </c>
      <c r="CY121" s="3">
        <f ca="1">IFERROR(__xludf.DUMMYFUNCTION("""COMPUTED_VALUE"""),-0.779302695769852)</f>
        <v>-0.77930269576985201</v>
      </c>
      <c r="CZ121" s="3">
        <f ca="1">IFERROR(__xludf.DUMMYFUNCTION("""COMPUTED_VALUE"""),-0.846050545365357)</f>
        <v>-0.84605054536535695</v>
      </c>
      <c r="DA121" s="3">
        <f ca="1">IFERROR(__xludf.DUMMYFUNCTION("""COMPUTED_VALUE"""),-0.814444320699291)</f>
        <v>-0.81444432069929096</v>
      </c>
      <c r="DB121" s="3">
        <f ca="1">IFERROR(__xludf.DUMMYFUNCTION("""COMPUTED_VALUE"""),-0.750450421677081)</f>
        <v>-0.75045042167708098</v>
      </c>
      <c r="DC121" s="3">
        <f ca="1">IFERROR(__xludf.DUMMYFUNCTION("""COMPUTED_VALUE"""),-0.796032985299694)</f>
        <v>-0.79603298529969402</v>
      </c>
      <c r="DD121" s="3">
        <f ca="1">IFERROR(__xludf.DUMMYFUNCTION("""COMPUTED_VALUE"""),-0.819813899490367)</f>
        <v>-0.81981389949036698</v>
      </c>
      <c r="DE121" s="3">
        <f ca="1">IFERROR(__xludf.DUMMYFUNCTION("""COMPUTED_VALUE"""),-0.7171387579736)</f>
        <v>-0.71713875797360005</v>
      </c>
      <c r="DF121" s="3">
        <f ca="1">IFERROR(__xludf.DUMMYFUNCTION("""COMPUTED_VALUE"""),-0.77137451943542)</f>
        <v>-0.77137451943542001</v>
      </c>
      <c r="DG121" s="3">
        <f ca="1">IFERROR(__xludf.DUMMYFUNCTION("""COMPUTED_VALUE"""),-0.904343693482959)</f>
        <v>-0.90434369348295895</v>
      </c>
      <c r="DH121" s="3">
        <f ca="1">IFERROR(__xludf.DUMMYFUNCTION("""COMPUTED_VALUE"""),-0.812160799137502)</f>
        <v>-0.81216079913750205</v>
      </c>
      <c r="DI121" s="3">
        <f ca="1">IFERROR(__xludf.DUMMYFUNCTION("""COMPUTED_VALUE"""),-0.674915803733721)</f>
        <v>-0.67491580373372095</v>
      </c>
      <c r="DJ121" s="3">
        <f ca="1">IFERROR(__xludf.DUMMYFUNCTION("""COMPUTED_VALUE"""),-0.76054655471306)</f>
        <v>-0.76054655471305999</v>
      </c>
      <c r="DK121" s="3">
        <f ca="1">IFERROR(__xludf.DUMMYFUNCTION("""COMPUTED_VALUE"""),-0.789017661567165)</f>
        <v>-0.78901766156716502</v>
      </c>
      <c r="DL121" s="3">
        <f ca="1">IFERROR(__xludf.DUMMYFUNCTION("""COMPUTED_VALUE"""),-0.70945546399676)</f>
        <v>-0.70945546399675996</v>
      </c>
      <c r="DM121" s="3">
        <f ca="1">IFERROR(__xludf.DUMMYFUNCTION("""COMPUTED_VALUE"""),-0.739042308743738)</f>
        <v>-0.739042308743738</v>
      </c>
      <c r="DN121" s="3">
        <f ca="1">IFERROR(__xludf.DUMMYFUNCTION("""COMPUTED_VALUE"""),-0.782655843555546)</f>
        <v>-0.78265584355554596</v>
      </c>
      <c r="DO121" s="3">
        <f ca="1">IFERROR(__xludf.DUMMYFUNCTION("""COMPUTED_VALUE"""),-0.811765906813128)</f>
        <v>-0.81176590681312799</v>
      </c>
      <c r="DP121" s="3">
        <f ca="1">IFERROR(__xludf.DUMMYFUNCTION("""COMPUTED_VALUE"""),-0.793254895778087)</f>
        <v>-0.79325489577808705</v>
      </c>
      <c r="DQ121" s="3">
        <f ca="1">IFERROR(__xludf.DUMMYFUNCTION("""COMPUTED_VALUE"""),-0.789605483332639)</f>
        <v>-0.78960548333263902</v>
      </c>
      <c r="DR121" s="3">
        <f ca="1">IFERROR(__xludf.DUMMYFUNCTION("""COMPUTED_VALUE"""),-0.807983357901309)</f>
        <v>-0.80798335790130904</v>
      </c>
      <c r="DS121" s="3">
        <f ca="1">IFERROR(__xludf.DUMMYFUNCTION("""COMPUTED_VALUE"""),-0.741334895921791)</f>
        <v>-0.74133489592179103</v>
      </c>
      <c r="DT121" s="3">
        <f ca="1">IFERROR(__xludf.DUMMYFUNCTION("""COMPUTED_VALUE"""),-0.743044532986382)</f>
        <v>-0.74304453298638196</v>
      </c>
      <c r="DU121" s="3">
        <f ca="1">IFERROR(__xludf.DUMMYFUNCTION("""COMPUTED_VALUE"""),-0.83008812624136)</f>
        <v>-0.83008812624135997</v>
      </c>
      <c r="DV121" s="3">
        <f ca="1">IFERROR(__xludf.DUMMYFUNCTION("""COMPUTED_VALUE"""),-0.856036899957904)</f>
        <v>-0.856036899957904</v>
      </c>
      <c r="DW121" s="3">
        <f ca="1">IFERROR(__xludf.DUMMYFUNCTION("""COMPUTED_VALUE"""),-0.842193607761984)</f>
        <v>-0.84219360776198404</v>
      </c>
      <c r="DX121" s="3">
        <f ca="1">IFERROR(__xludf.DUMMYFUNCTION("""COMPUTED_VALUE"""),-0.850420151732573)</f>
        <v>-0.85042015173257302</v>
      </c>
      <c r="DY121" s="3">
        <f ca="1">IFERROR(__xludf.DUMMYFUNCTION("""COMPUTED_VALUE"""),-0.8411824496923)</f>
        <v>-0.84118244969230005</v>
      </c>
      <c r="DZ121" s="3">
        <f ca="1">IFERROR(__xludf.DUMMYFUNCTION("""COMPUTED_VALUE"""),-0.685695318051993)</f>
        <v>-0.68569531805199302</v>
      </c>
      <c r="EA121" s="3">
        <f ca="1">IFERROR(__xludf.DUMMYFUNCTION("""COMPUTED_VALUE"""),-0.672661783187188)</f>
        <v>-0.67266178318718794</v>
      </c>
      <c r="EB121" s="3">
        <f ca="1">IFERROR(__xludf.DUMMYFUNCTION("""COMPUTED_VALUE"""),-0.781815209202302)</f>
        <v>-0.78181520920230196</v>
      </c>
      <c r="EC121" s="3">
        <f ca="1">IFERROR(__xludf.DUMMYFUNCTION("""COMPUTED_VALUE"""),-0.809289994236793)</f>
        <v>-0.80928999423679304</v>
      </c>
      <c r="ED121" s="3">
        <f ca="1">IFERROR(__xludf.DUMMYFUNCTION("""COMPUTED_VALUE"""),-0.826983833065045)</f>
        <v>-0.82698383306504497</v>
      </c>
      <c r="EE121" s="3">
        <f ca="1">IFERROR(__xludf.DUMMYFUNCTION("""COMPUTED_VALUE"""),-0.842936989862149)</f>
        <v>-0.84293698986214904</v>
      </c>
      <c r="EF121" s="3">
        <f ca="1">IFERROR(__xludf.DUMMYFUNCTION("""COMPUTED_VALUE"""),-0.838815913914568)</f>
        <v>-0.838815913914568</v>
      </c>
      <c r="EG121" s="3">
        <f ca="1">IFERROR(__xludf.DUMMYFUNCTION("""COMPUTED_VALUE"""),-0.672745705671559)</f>
        <v>-0.672745705671559</v>
      </c>
      <c r="EH121" s="3">
        <f ca="1">IFERROR(__xludf.DUMMYFUNCTION("""COMPUTED_VALUE"""),-0.669139595675247)</f>
        <v>-0.66913959567524695</v>
      </c>
      <c r="EI121" s="3">
        <f ca="1">IFERROR(__xludf.DUMMYFUNCTION("""COMPUTED_VALUE"""),-0.810593641118823)</f>
        <v>-0.81059364111882304</v>
      </c>
      <c r="EJ121" s="3">
        <f ca="1">IFERROR(__xludf.DUMMYFUNCTION("""COMPUTED_VALUE"""),-0.886411492569063)</f>
        <v>-0.88641149256906304</v>
      </c>
      <c r="EK121" s="3">
        <f ca="1">IFERROR(__xludf.DUMMYFUNCTION("""COMPUTED_VALUE"""),-0.814378716168192)</f>
        <v>-0.81437871616819202</v>
      </c>
      <c r="EL121" s="3">
        <f ca="1">IFERROR(__xludf.DUMMYFUNCTION("""COMPUTED_VALUE"""),-0.840122955875621)</f>
        <v>-0.84012295587562102</v>
      </c>
      <c r="EM121" s="3">
        <f ca="1">IFERROR(__xludf.DUMMYFUNCTION("""COMPUTED_VALUE"""),-0.839504167112094)</f>
        <v>-0.83950416711209397</v>
      </c>
      <c r="EN121" s="3">
        <f ca="1">IFERROR(__xludf.DUMMYFUNCTION("""COMPUTED_VALUE"""),-0.664877616882454)</f>
        <v>-0.66487761688245395</v>
      </c>
      <c r="EO121" s="3">
        <f ca="1">IFERROR(__xludf.DUMMYFUNCTION("""COMPUTED_VALUE"""),-0.685425234561946)</f>
        <v>-0.68542523456194604</v>
      </c>
      <c r="EP121" s="3">
        <f ca="1">IFERROR(__xludf.DUMMYFUNCTION("""COMPUTED_VALUE"""),-0.769417854283277)</f>
        <v>-0.76941785428327703</v>
      </c>
      <c r="EQ121" s="3">
        <f ca="1">IFERROR(__xludf.DUMMYFUNCTION("""COMPUTED_VALUE"""),-0.80617113096173)</f>
        <v>-0.80617113096172999</v>
      </c>
      <c r="ER121" s="3">
        <f ca="1">IFERROR(__xludf.DUMMYFUNCTION("""COMPUTED_VALUE"""),-0.8446436009472)</f>
        <v>-0.84464360094720004</v>
      </c>
      <c r="ES121" s="3">
        <f ca="1">IFERROR(__xludf.DUMMYFUNCTION("""COMPUTED_VALUE"""),-0.853742006077592)</f>
        <v>-0.85374200607759199</v>
      </c>
      <c r="ET121" s="3">
        <f ca="1">IFERROR(__xludf.DUMMYFUNCTION("""COMPUTED_VALUE"""),-0.816635752709811)</f>
        <v>-0.81663575270981104</v>
      </c>
      <c r="EU121" s="3">
        <f ca="1">IFERROR(__xludf.DUMMYFUNCTION("""COMPUTED_VALUE"""),-0.679320110394009)</f>
        <v>-0.67932011039400897</v>
      </c>
      <c r="EV121" s="3">
        <f ca="1">IFERROR(__xludf.DUMMYFUNCTION("""COMPUTED_VALUE"""),-0.69646476964381)</f>
        <v>-0.69646476964380999</v>
      </c>
      <c r="EW121" s="3">
        <f ca="1">IFERROR(__xludf.DUMMYFUNCTION("""COMPUTED_VALUE"""),-0.825964269064715)</f>
        <v>-0.82596426906471498</v>
      </c>
      <c r="EX121" s="3">
        <f ca="1">IFERROR(__xludf.DUMMYFUNCTION("""COMPUTED_VALUE"""),-0.849066146652666)</f>
        <v>-0.849066146652666</v>
      </c>
      <c r="EY121" s="3">
        <f ca="1">IFERROR(__xludf.DUMMYFUNCTION("""COMPUTED_VALUE"""),-0.856917232044528)</f>
        <v>-0.85691723204452797</v>
      </c>
      <c r="EZ121" s="3">
        <f ca="1">IFERROR(__xludf.DUMMYFUNCTION("""COMPUTED_VALUE"""),-0.849404248150758)</f>
        <v>-0.84940424815075799</v>
      </c>
      <c r="FA121" s="3">
        <f ca="1">IFERROR(__xludf.DUMMYFUNCTION("""COMPUTED_VALUE"""),-0.828891775269146)</f>
        <v>-0.82889177526914604</v>
      </c>
      <c r="FB121" s="3">
        <f ca="1">IFERROR(__xludf.DUMMYFUNCTION("""COMPUTED_VALUE"""),-0.708826355973618)</f>
        <v>-0.70882635597361798</v>
      </c>
      <c r="FC121" s="3">
        <f ca="1">IFERROR(__xludf.DUMMYFUNCTION("""COMPUTED_VALUE"""),-0.695539513137049)</f>
        <v>-0.69553951313704898</v>
      </c>
      <c r="FD121" s="3">
        <f ca="1">IFERROR(__xludf.DUMMYFUNCTION("""COMPUTED_VALUE"""),-0.821824642325563)</f>
        <v>-0.82182464232556296</v>
      </c>
      <c r="FE121" s="3">
        <f ca="1">IFERROR(__xludf.DUMMYFUNCTION("""COMPUTED_VALUE"""),-0.849688875386981)</f>
        <v>-0.84968887538698101</v>
      </c>
      <c r="FF121" s="3">
        <f ca="1">IFERROR(__xludf.DUMMYFUNCTION("""COMPUTED_VALUE"""),-0.851925171030621)</f>
        <v>-0.85192517103062104</v>
      </c>
      <c r="FG121" s="3">
        <f ca="1">IFERROR(__xludf.DUMMYFUNCTION("""COMPUTED_VALUE"""),-0.84441413644202)</f>
        <v>-0.84441413644202001</v>
      </c>
      <c r="FH121" s="3">
        <f ca="1">IFERROR(__xludf.DUMMYFUNCTION("""COMPUTED_VALUE"""),-0.817689085508072)</f>
        <v>-0.81768908550807196</v>
      </c>
      <c r="FI121" s="3">
        <f ca="1">IFERROR(__xludf.DUMMYFUNCTION("""COMPUTED_VALUE"""),-0.695107888570607)</f>
        <v>-0.69510788857060701</v>
      </c>
      <c r="FJ121" s="3">
        <f ca="1">IFERROR(__xludf.DUMMYFUNCTION("""COMPUTED_VALUE"""),-0.688858056884063)</f>
        <v>-0.68885805688406299</v>
      </c>
      <c r="FK121" s="3">
        <f ca="1">IFERROR(__xludf.DUMMYFUNCTION("""COMPUTED_VALUE"""),-0.828774865752349)</f>
        <v>-0.82877486575234904</v>
      </c>
      <c r="FL121" s="3">
        <f ca="1">IFERROR(__xludf.DUMMYFUNCTION("""COMPUTED_VALUE"""),-0.851142507023771)</f>
        <v>-0.85114250702377103</v>
      </c>
      <c r="FM121" s="3">
        <f ca="1">IFERROR(__xludf.DUMMYFUNCTION("""COMPUTED_VALUE"""),-0.856700277261564)</f>
        <v>-0.85670027726156395</v>
      </c>
      <c r="FN121" s="3">
        <f ca="1">IFERROR(__xludf.DUMMYFUNCTION("""COMPUTED_VALUE"""),-0.852064661468828)</f>
        <v>-0.85206466146882798</v>
      </c>
      <c r="FO121" s="3">
        <f ca="1">IFERROR(__xludf.DUMMYFUNCTION("""COMPUTED_VALUE"""),-0.848615712370329)</f>
        <v>-0.84861571237032896</v>
      </c>
      <c r="FP121" s="3">
        <f ca="1">IFERROR(__xludf.DUMMYFUNCTION("""COMPUTED_VALUE"""),-0.690994081059545)</f>
        <v>-0.69099408105954496</v>
      </c>
      <c r="FQ121" s="3">
        <f ca="1">IFERROR(__xludf.DUMMYFUNCTION("""COMPUTED_VALUE"""),-0.702356353246249)</f>
        <v>-0.70235635324624901</v>
      </c>
      <c r="FR121" s="3">
        <f ca="1">IFERROR(__xludf.DUMMYFUNCTION("""COMPUTED_VALUE"""),-0.831804324553503)</f>
        <v>-0.83180432455350295</v>
      </c>
      <c r="FS121" s="3">
        <f ca="1">IFERROR(__xludf.DUMMYFUNCTION("""COMPUTED_VALUE"""),-0.853979608552808)</f>
        <v>-0.85397960855280797</v>
      </c>
      <c r="FT121" s="3">
        <f ca="1">IFERROR(__xludf.DUMMYFUNCTION("""COMPUTED_VALUE"""),-0.849527905451551)</f>
        <v>-0.84952790545155099</v>
      </c>
      <c r="FU121" s="3">
        <f ca="1">IFERROR(__xludf.DUMMYFUNCTION("""COMPUTED_VALUE"""),-0.849833936996293)</f>
        <v>-0.84983393699629295</v>
      </c>
      <c r="FV121" s="3">
        <f ca="1">IFERROR(__xludf.DUMMYFUNCTION("""COMPUTED_VALUE"""),-0.83728422769669)</f>
        <v>-0.83728422769668998</v>
      </c>
      <c r="FW121" s="3">
        <f ca="1">IFERROR(__xludf.DUMMYFUNCTION("""COMPUTED_VALUE"""),-0.688406503517416)</f>
        <v>-0.68840650351741595</v>
      </c>
      <c r="FX121" s="3">
        <f ca="1">IFERROR(__xludf.DUMMYFUNCTION("""COMPUTED_VALUE"""),-0.708327735250892)</f>
        <v>-0.70832773525089199</v>
      </c>
      <c r="FY121" s="3">
        <f ca="1">IFERROR(__xludf.DUMMYFUNCTION("""COMPUTED_VALUE"""),-0.833450714173293)</f>
        <v>-0.83345071417329297</v>
      </c>
      <c r="FZ121" s="3">
        <f ca="1">IFERROR(__xludf.DUMMYFUNCTION("""COMPUTED_VALUE"""),-0.858742192214694)</f>
        <v>-0.85874219221469394</v>
      </c>
      <c r="GA121" s="3">
        <f ca="1">IFERROR(__xludf.DUMMYFUNCTION("""COMPUTED_VALUE"""),-0.839803688656634)</f>
        <v>-0.83980368865663402</v>
      </c>
      <c r="GB121" s="3">
        <f ca="1">IFERROR(__xludf.DUMMYFUNCTION("""COMPUTED_VALUE"""),-0.855624397242597)</f>
        <v>-0.85562439724259698</v>
      </c>
      <c r="GC121" s="3">
        <f ca="1">IFERROR(__xludf.DUMMYFUNCTION("""COMPUTED_VALUE"""),-0.848125863090678)</f>
        <v>-0.84812586309067794</v>
      </c>
      <c r="GD121" s="3">
        <f ca="1">IFERROR(__xludf.DUMMYFUNCTION("""COMPUTED_VALUE"""),-0.699306610763202)</f>
        <v>-0.699306610763202</v>
      </c>
      <c r="GE121" s="3">
        <f ca="1">IFERROR(__xludf.DUMMYFUNCTION("""COMPUTED_VALUE"""),-0.721155010450318)</f>
        <v>-0.72115501045031805</v>
      </c>
      <c r="GF121" s="3">
        <f ca="1">IFERROR(__xludf.DUMMYFUNCTION("""COMPUTED_VALUE"""),-0.838110374542436)</f>
        <v>-0.83811037454243598</v>
      </c>
      <c r="GG121" s="3">
        <f ca="1">IFERROR(__xludf.DUMMYFUNCTION("""COMPUTED_VALUE"""),-0.864637915493627)</f>
        <v>-0.86463791549362701</v>
      </c>
      <c r="GH121" s="3">
        <f ca="1">IFERROR(__xludf.DUMMYFUNCTION("""COMPUTED_VALUE"""),-0.850668687017042)</f>
        <v>-0.85066868701704201</v>
      </c>
      <c r="GI121" s="3">
        <f ca="1">IFERROR(__xludf.DUMMYFUNCTION("""COMPUTED_VALUE"""),-0.859001817985591)</f>
        <v>-0.85900181798559105</v>
      </c>
      <c r="GJ121" s="3">
        <f ca="1">IFERROR(__xludf.DUMMYFUNCTION("""COMPUTED_VALUE"""),-0.851023339659477)</f>
        <v>-0.85102333965947696</v>
      </c>
      <c r="GK121" s="3">
        <f ca="1">IFERROR(__xludf.DUMMYFUNCTION("""COMPUTED_VALUE"""),-0.71278971853856)</f>
        <v>-0.71278971853855999</v>
      </c>
      <c r="GL121" s="3">
        <f ca="1">IFERROR(__xludf.DUMMYFUNCTION("""COMPUTED_VALUE"""),-0.752308972069117)</f>
        <v>-0.75230897206911695</v>
      </c>
      <c r="GM121" s="3">
        <f ca="1">IFERROR(__xludf.DUMMYFUNCTION("""COMPUTED_VALUE"""),-0.838176690903749)</f>
        <v>-0.83817669090374902</v>
      </c>
      <c r="GN121" s="3">
        <f ca="1">IFERROR(__xludf.DUMMYFUNCTION("""COMPUTED_VALUE"""),-0.862412874336699)</f>
        <v>-0.862412874336699</v>
      </c>
      <c r="GO121" s="3">
        <f ca="1">IFERROR(__xludf.DUMMYFUNCTION("""COMPUTED_VALUE"""),-0.866473727004645)</f>
        <v>-0.86647372700464498</v>
      </c>
      <c r="GP121" s="3">
        <f ca="1">IFERROR(__xludf.DUMMYFUNCTION("""COMPUTED_VALUE"""),-0.86482057772027)</f>
        <v>-0.86482057772026999</v>
      </c>
      <c r="GQ121" s="3">
        <f ca="1">IFERROR(__xludf.DUMMYFUNCTION("""COMPUTED_VALUE"""),-0.863179318209693)</f>
        <v>-0.86317931820969296</v>
      </c>
      <c r="GR121" s="3">
        <f ca="1">IFERROR(__xludf.DUMMYFUNCTION("""COMPUTED_VALUE"""),-0.72856640019557)</f>
        <v>-0.72856640019556995</v>
      </c>
      <c r="GS121" s="3">
        <f ca="1">IFERROR(__xludf.DUMMYFUNCTION("""COMPUTED_VALUE"""),-0.741343158936366)</f>
        <v>-0.74134315893636604</v>
      </c>
      <c r="GT121" s="3">
        <f ca="1">IFERROR(__xludf.DUMMYFUNCTION("""COMPUTED_VALUE"""),-0.84074506174882)</f>
        <v>-0.84074506174882002</v>
      </c>
      <c r="GU121" s="3">
        <f ca="1">IFERROR(__xludf.DUMMYFUNCTION("""COMPUTED_VALUE"""),-0.866406337365081)</f>
        <v>-0.86640633736508099</v>
      </c>
      <c r="GV121" s="3">
        <f ca="1">IFERROR(__xludf.DUMMYFUNCTION("""COMPUTED_VALUE"""),-0.859282322982475)</f>
        <v>-0.85928232298247498</v>
      </c>
      <c r="GW121" s="3">
        <f ca="1">IFERROR(__xludf.DUMMYFUNCTION("""COMPUTED_VALUE"""),-0.863982984491911)</f>
        <v>-0.86398298449191102</v>
      </c>
      <c r="GX121" s="3">
        <f ca="1">IFERROR(__xludf.DUMMYFUNCTION("""COMPUTED_VALUE"""),-0.859405591343412)</f>
        <v>-0.85940559134341199</v>
      </c>
      <c r="GY121" s="3">
        <f ca="1">IFERROR(__xludf.DUMMYFUNCTION("""COMPUTED_VALUE"""),-0.723133256621059)</f>
        <v>-0.72313325662105898</v>
      </c>
      <c r="GZ121" s="3">
        <f ca="1">IFERROR(__xludf.DUMMYFUNCTION("""COMPUTED_VALUE"""),-0.72375278096607)</f>
        <v>-0.72375278096606999</v>
      </c>
      <c r="HA121" s="3">
        <f ca="1">IFERROR(__xludf.DUMMYFUNCTION("""COMPUTED_VALUE"""),-0.830731315358938)</f>
        <v>-0.83073131535893796</v>
      </c>
      <c r="HB121" s="3">
        <f ca="1">IFERROR(__xludf.DUMMYFUNCTION("""COMPUTED_VALUE"""),-0.85978873844963)</f>
        <v>-0.85978873844963</v>
      </c>
      <c r="HC121" s="3">
        <f ca="1">IFERROR(__xludf.DUMMYFUNCTION("""COMPUTED_VALUE"""),-0.855740225588967)</f>
        <v>-0.85574022558896701</v>
      </c>
      <c r="HD121" s="3">
        <f ca="1">IFERROR(__xludf.DUMMYFUNCTION("""COMPUTED_VALUE"""),-0.859998639009809)</f>
        <v>-0.859998639009809</v>
      </c>
      <c r="HE121" s="3">
        <f ca="1">IFERROR(__xludf.DUMMYFUNCTION("""COMPUTED_VALUE"""),-0.863116597909055)</f>
        <v>-0.86311659790905504</v>
      </c>
      <c r="HF121" s="3">
        <f ca="1">IFERROR(__xludf.DUMMYFUNCTION("""COMPUTED_VALUE"""),-0.733513447912088)</f>
        <v>-0.73351344791208795</v>
      </c>
      <c r="HG121" s="3">
        <f ca="1">IFERROR(__xludf.DUMMYFUNCTION("""COMPUTED_VALUE"""),-0.73697673287846)</f>
        <v>-0.73697673287845999</v>
      </c>
      <c r="HH121" s="3">
        <f ca="1">IFERROR(__xludf.DUMMYFUNCTION("""COMPUTED_VALUE"""),-0.83728375101733)</f>
        <v>-0.83728375101732999</v>
      </c>
      <c r="HI121" s="3">
        <f ca="1">IFERROR(__xludf.DUMMYFUNCTION("""COMPUTED_VALUE"""),-0.855482278917893)</f>
        <v>-0.85548227891789297</v>
      </c>
      <c r="HJ121" s="3">
        <f ca="1">IFERROR(__xludf.DUMMYFUNCTION("""COMPUTED_VALUE"""),-0.857247430877361)</f>
        <v>-0.85724743087736099</v>
      </c>
      <c r="HK121" s="3">
        <f ca="1">IFERROR(__xludf.DUMMYFUNCTION("""COMPUTED_VALUE"""),-0.855220480137659)</f>
        <v>-0.85522048013765894</v>
      </c>
      <c r="HL121" s="3">
        <f ca="1">IFERROR(__xludf.DUMMYFUNCTION("""COMPUTED_VALUE"""),-0.852346826208586)</f>
        <v>-0.85234682620858604</v>
      </c>
      <c r="HM121" s="3">
        <f ca="1">IFERROR(__xludf.DUMMYFUNCTION("""COMPUTED_VALUE"""),-0.71624837219988)</f>
        <v>-0.71624837219988002</v>
      </c>
      <c r="HN121" s="3">
        <f ca="1">IFERROR(__xludf.DUMMYFUNCTION("""COMPUTED_VALUE"""),-0.692463921902718)</f>
        <v>-0.69246392190271799</v>
      </c>
      <c r="HO121" s="3">
        <f ca="1">IFERROR(__xludf.DUMMYFUNCTION("""COMPUTED_VALUE"""),-0.828686131274246)</f>
        <v>-0.82868613127424595</v>
      </c>
      <c r="HP121" s="3">
        <f ca="1">IFERROR(__xludf.DUMMYFUNCTION("""COMPUTED_VALUE"""),-0.862026669408583)</f>
        <v>-0.86202666940858297</v>
      </c>
      <c r="HQ121" s="3">
        <f ca="1">IFERROR(__xludf.DUMMYFUNCTION("""COMPUTED_VALUE"""),-0.854169682210936)</f>
        <v>-0.85416968221093603</v>
      </c>
      <c r="HR121" s="3">
        <f ca="1">IFERROR(__xludf.DUMMYFUNCTION("""COMPUTED_VALUE"""),-0.859072036705194)</f>
        <v>-0.85907203670519405</v>
      </c>
      <c r="HS121" s="3">
        <f ca="1">IFERROR(__xludf.DUMMYFUNCTION("""COMPUTED_VALUE"""),-0.820434861990136)</f>
        <v>-0.82043486199013604</v>
      </c>
      <c r="HT121" s="3">
        <f ca="1">IFERROR(__xludf.DUMMYFUNCTION("""COMPUTED_VALUE"""),-0.741273171384279)</f>
        <v>-0.74127317138427895</v>
      </c>
      <c r="HU121" s="3">
        <f ca="1">IFERROR(__xludf.DUMMYFUNCTION("""COMPUTED_VALUE"""),-0.729881885807715)</f>
        <v>-0.72988188580771496</v>
      </c>
      <c r="HV121" s="3">
        <f ca="1">IFERROR(__xludf.DUMMYFUNCTION("""COMPUTED_VALUE"""),-0.833883535521937)</f>
        <v>-0.83388353552193695</v>
      </c>
      <c r="HW121" s="3">
        <f ca="1">IFERROR(__xludf.DUMMYFUNCTION("""COMPUTED_VALUE"""),-0.852061320630016)</f>
        <v>-0.85206132063001605</v>
      </c>
      <c r="HX121" s="3">
        <f ca="1">IFERROR(__xludf.DUMMYFUNCTION("""COMPUTED_VALUE"""),-0.857531331888526)</f>
        <v>-0.85753133188852604</v>
      </c>
      <c r="HY121" s="3">
        <f ca="1">IFERROR(__xludf.DUMMYFUNCTION("""COMPUTED_VALUE"""),-0.861227628936573)</f>
        <v>-0.86122762893657301</v>
      </c>
      <c r="HZ121" s="3">
        <f ca="1">IFERROR(__xludf.DUMMYFUNCTION("""COMPUTED_VALUE"""),-0.816928016602725)</f>
        <v>-0.81692801660272496</v>
      </c>
      <c r="IA121" s="3">
        <f ca="1">IFERROR(__xludf.DUMMYFUNCTION("""COMPUTED_VALUE"""),-0.733252271417245)</f>
        <v>-0.73325227141724503</v>
      </c>
      <c r="IB121" s="3">
        <f ca="1">IFERROR(__xludf.DUMMYFUNCTION("""COMPUTED_VALUE"""),-0.729236445663506)</f>
        <v>-0.72923644566350598</v>
      </c>
      <c r="IC121" s="3">
        <f ca="1">IFERROR(__xludf.DUMMYFUNCTION("""COMPUTED_VALUE"""),-0.827987254262824)</f>
        <v>-0.82798725426282405</v>
      </c>
      <c r="ID121" s="3">
        <f ca="1">IFERROR(__xludf.DUMMYFUNCTION("""COMPUTED_VALUE"""),-0.850721200741307)</f>
        <v>-0.85072120074130697</v>
      </c>
      <c r="IE121" s="3">
        <f ca="1">IFERROR(__xludf.DUMMYFUNCTION("""COMPUTED_VALUE"""),-0.85148271741039)</f>
        <v>-0.85148271741039006</v>
      </c>
      <c r="IF121" s="3">
        <f ca="1">IFERROR(__xludf.DUMMYFUNCTION("""COMPUTED_VALUE"""),-0.835007817181236)</f>
        <v>-0.83500781718123596</v>
      </c>
      <c r="IG121" s="3">
        <f ca="1">IFERROR(__xludf.DUMMYFUNCTION("""COMPUTED_VALUE"""),-0.840872557054989)</f>
        <v>-0.84087255705498898</v>
      </c>
      <c r="IH121" s="3">
        <f ca="1">IFERROR(__xludf.DUMMYFUNCTION("""COMPUTED_VALUE"""),-0.736847506579016)</f>
        <v>-0.73684750657901599</v>
      </c>
      <c r="II121" s="3">
        <f ca="1">IFERROR(__xludf.DUMMYFUNCTION("""COMPUTED_VALUE"""),-0.705831063642591)</f>
        <v>-0.70583106364259096</v>
      </c>
      <c r="IJ121" s="3">
        <f ca="1">IFERROR(__xludf.DUMMYFUNCTION("""COMPUTED_VALUE"""),-0.816236248337909)</f>
        <v>-0.81623624833790898</v>
      </c>
      <c r="IK121" s="3">
        <f ca="1">IFERROR(__xludf.DUMMYFUNCTION("""COMPUTED_VALUE"""),-0.822019072473668)</f>
        <v>-0.82201907247366801</v>
      </c>
      <c r="IL121" s="3">
        <f ca="1">IFERROR(__xludf.DUMMYFUNCTION("""COMPUTED_VALUE"""),-0.812335319970768)</f>
        <v>-0.81233531997076802</v>
      </c>
      <c r="IM121" s="3">
        <f ca="1">IFERROR(__xludf.DUMMYFUNCTION("""COMPUTED_VALUE"""),-0.799676823719108)</f>
        <v>-0.79967682371910798</v>
      </c>
      <c r="IN121" s="3">
        <f ca="1">IFERROR(__xludf.DUMMYFUNCTION("""COMPUTED_VALUE"""),-0.809079747419132)</f>
        <v>-0.80907974741913202</v>
      </c>
      <c r="IO121" s="3">
        <f ca="1">IFERROR(__xludf.DUMMYFUNCTION("""COMPUTED_VALUE"""),-0.759755919235588)</f>
        <v>-0.75975591923558805</v>
      </c>
      <c r="IP121" s="3">
        <f ca="1">IFERROR(__xludf.DUMMYFUNCTION("""COMPUTED_VALUE"""),-0.751976352532535)</f>
        <v>-0.75197635253253503</v>
      </c>
      <c r="IQ121" s="3">
        <f ca="1">IFERROR(__xludf.DUMMYFUNCTION("""COMPUTED_VALUE"""),-0.810028888612744)</f>
        <v>-0.81002888861274402</v>
      </c>
      <c r="IR121" s="3">
        <f ca="1">IFERROR(__xludf.DUMMYFUNCTION("""COMPUTED_VALUE"""),-0.839946785812422)</f>
        <v>-0.83994678581242199</v>
      </c>
      <c r="IS121" s="3">
        <f ca="1">IFERROR(__xludf.DUMMYFUNCTION("""COMPUTED_VALUE"""),-0.834321371616138)</f>
        <v>-0.83432137161613795</v>
      </c>
      <c r="IT121" s="3">
        <f ca="1">IFERROR(__xludf.DUMMYFUNCTION("""COMPUTED_VALUE"""),-0.818061967911431)</f>
        <v>-0.81806196791143104</v>
      </c>
      <c r="IU121" s="3">
        <f ca="1">IFERROR(__xludf.DUMMYFUNCTION("""COMPUTED_VALUE"""),-0.808091284350924)</f>
        <v>-0.80809128435092403</v>
      </c>
      <c r="IV121" s="3">
        <f ca="1">IFERROR(__xludf.DUMMYFUNCTION("""COMPUTED_VALUE"""),-0.767354435010654)</f>
        <v>-0.76735443501065403</v>
      </c>
      <c r="IW121" s="3">
        <f ca="1">IFERROR(__xludf.DUMMYFUNCTION("""COMPUTED_VALUE"""),-0.739740873600506)</f>
        <v>-0.739740873600506</v>
      </c>
      <c r="IX121" s="3">
        <f ca="1">IFERROR(__xludf.DUMMYFUNCTION("""COMPUTED_VALUE"""),-0.772727417533444)</f>
        <v>-0.77272741753344398</v>
      </c>
      <c r="IY121" s="3">
        <f ca="1">IFERROR(__xludf.DUMMYFUNCTION("""COMPUTED_VALUE"""),-0.814359700246746)</f>
        <v>-0.81435970024674598</v>
      </c>
      <c r="IZ121" s="3">
        <f ca="1">IFERROR(__xludf.DUMMYFUNCTION("""COMPUTED_VALUE"""),-0.812359584002149)</f>
        <v>-0.81235958400214903</v>
      </c>
      <c r="JA121" s="3">
        <f ca="1">IFERROR(__xludf.DUMMYFUNCTION("""COMPUTED_VALUE"""),-0.810062360000096)</f>
        <v>-0.81006236000009602</v>
      </c>
      <c r="JB121" s="3">
        <f ca="1">IFERROR(__xludf.DUMMYFUNCTION("""COMPUTED_VALUE"""),-0.808149713102892)</f>
        <v>-0.80814971310289196</v>
      </c>
      <c r="JC121" s="3">
        <f ca="1">IFERROR(__xludf.DUMMYFUNCTION("""COMPUTED_VALUE"""),-0.737676629967503)</f>
        <v>-0.73767662996750305</v>
      </c>
      <c r="JD121" s="3">
        <f ca="1">IFERROR(__xludf.DUMMYFUNCTION("""COMPUTED_VALUE"""),-0.735533496654779)</f>
        <v>-0.73553349665477896</v>
      </c>
      <c r="JE121" s="3">
        <f ca="1">IFERROR(__xludf.DUMMYFUNCTION("""COMPUTED_VALUE"""),-0.804067403718818)</f>
        <v>-0.80406740371881802</v>
      </c>
      <c r="JF121" s="3">
        <f ca="1">IFERROR(__xludf.DUMMYFUNCTION("""COMPUTED_VALUE"""),-0.819509994498736)</f>
        <v>-0.81950999449873596</v>
      </c>
      <c r="JG121" s="3">
        <f ca="1">IFERROR(__xludf.DUMMYFUNCTION("""COMPUTED_VALUE"""),-0.813691401104215)</f>
        <v>-0.81369140110421501</v>
      </c>
      <c r="JH121" s="3">
        <f ca="1">IFERROR(__xludf.DUMMYFUNCTION("""COMPUTED_VALUE"""),-0.819327162455121)</f>
        <v>-0.81932716245512105</v>
      </c>
      <c r="JI121" s="3">
        <f ca="1">IFERROR(__xludf.DUMMYFUNCTION("""COMPUTED_VALUE"""),-0.818656289683097)</f>
        <v>-0.818656289683097</v>
      </c>
      <c r="JJ121" s="3">
        <f ca="1">IFERROR(__xludf.DUMMYFUNCTION("""COMPUTED_VALUE"""),-0.74606212164383)</f>
        <v>-0.74606212164383001</v>
      </c>
      <c r="JK121" s="3">
        <f ca="1">IFERROR(__xludf.DUMMYFUNCTION("""COMPUTED_VALUE"""),-0.736147195274932)</f>
        <v>-0.736147195274932</v>
      </c>
      <c r="JL121" s="3">
        <f ca="1">IFERROR(__xludf.DUMMYFUNCTION("""COMPUTED_VALUE"""),-0.803291414376104)</f>
        <v>-0.80329141437610396</v>
      </c>
      <c r="JM121" s="3">
        <f ca="1">IFERROR(__xludf.DUMMYFUNCTION("""COMPUTED_VALUE"""),-0.824326915694395)</f>
        <v>-0.82432691569439498</v>
      </c>
      <c r="JN121" s="3">
        <f ca="1">IFERROR(__xludf.DUMMYFUNCTION("""COMPUTED_VALUE"""),-0.817132480921289)</f>
        <v>-0.81713248092128898</v>
      </c>
      <c r="JO121" s="3">
        <f ca="1">IFERROR(__xludf.DUMMYFUNCTION("""COMPUTED_VALUE"""),-0.80756510347066)</f>
        <v>-0.80756510347066002</v>
      </c>
      <c r="JP121" s="3">
        <f ca="1">IFERROR(__xludf.DUMMYFUNCTION("""COMPUTED_VALUE"""),-0.803187181869029)</f>
        <v>-0.80318718186902904</v>
      </c>
      <c r="JQ121" s="3">
        <f ca="1">IFERROR(__xludf.DUMMYFUNCTION("""COMPUTED_VALUE"""),-0.708306271974349)</f>
        <v>-0.70830627197434903</v>
      </c>
      <c r="JR121" s="3">
        <f ca="1">IFERROR(__xludf.DUMMYFUNCTION("""COMPUTED_VALUE"""),-0.703185176946756)</f>
        <v>-0.70318517694675597</v>
      </c>
      <c r="JS121" s="3">
        <f ca="1">IFERROR(__xludf.DUMMYFUNCTION("""COMPUTED_VALUE"""),-0.765795612381652)</f>
        <v>-0.76579561238165195</v>
      </c>
      <c r="JT121" s="3">
        <f ca="1">IFERROR(__xludf.DUMMYFUNCTION("""COMPUTED_VALUE"""),-0.790961955657197)</f>
        <v>-0.79096195565719696</v>
      </c>
      <c r="JU121" s="3">
        <f ca="1">IFERROR(__xludf.DUMMYFUNCTION("""COMPUTED_VALUE"""),-0.817740675242957)</f>
        <v>-0.81774067524295702</v>
      </c>
      <c r="JV121" s="3">
        <f ca="1">IFERROR(__xludf.DUMMYFUNCTION("""COMPUTED_VALUE"""),-0.80452100732616)</f>
        <v>-0.80452100732616005</v>
      </c>
      <c r="JW121" s="3">
        <f ca="1">IFERROR(__xludf.DUMMYFUNCTION("""COMPUTED_VALUE"""),-0.818824691158447)</f>
        <v>-0.81882469115844703</v>
      </c>
      <c r="JX121" s="3">
        <f ca="1">IFERROR(__xludf.DUMMYFUNCTION("""COMPUTED_VALUE"""),-0.754208729482467)</f>
        <v>-0.75420872948246698</v>
      </c>
      <c r="JY121" s="3">
        <f ca="1">IFERROR(__xludf.DUMMYFUNCTION("""COMPUTED_VALUE"""),-0.744619032103427)</f>
        <v>-0.74461903210342695</v>
      </c>
      <c r="JZ121" s="3">
        <f ca="1">IFERROR(__xludf.DUMMYFUNCTION("""COMPUTED_VALUE"""),-0.799639152178274)</f>
        <v>-0.79963915217827397</v>
      </c>
      <c r="KA121" s="3">
        <f ca="1">IFERROR(__xludf.DUMMYFUNCTION("""COMPUTED_VALUE"""),-0.790594543737814)</f>
        <v>-0.79059454373781402</v>
      </c>
      <c r="KB121" s="3">
        <f ca="1">IFERROR(__xludf.DUMMYFUNCTION("""COMPUTED_VALUE"""),-0.820510505553791)</f>
        <v>-0.82051050555379101</v>
      </c>
      <c r="KC121" s="3">
        <f ca="1">IFERROR(__xludf.DUMMYFUNCTION("""COMPUTED_VALUE"""),-0.831415034601237)</f>
        <v>-0.831415034601237</v>
      </c>
      <c r="KD121" s="3">
        <f ca="1">IFERROR(__xludf.DUMMYFUNCTION("""COMPUTED_VALUE"""),-0.818080532023764)</f>
        <v>-0.81808053202376396</v>
      </c>
      <c r="KE121" s="3">
        <f ca="1">IFERROR(__xludf.DUMMYFUNCTION("""COMPUTED_VALUE"""),-0.72380958814579)</f>
        <v>-0.72380958814578999</v>
      </c>
      <c r="KF121" s="3">
        <f ca="1">IFERROR(__xludf.DUMMYFUNCTION("""COMPUTED_VALUE"""),-0.705048370233329)</f>
        <v>-0.705048370233329</v>
      </c>
      <c r="KG121" s="3">
        <f ca="1">IFERROR(__xludf.DUMMYFUNCTION("""COMPUTED_VALUE"""),-0.772828211085364)</f>
        <v>-0.77282821108536404</v>
      </c>
      <c r="KH121" s="3">
        <f ca="1">IFERROR(__xludf.DUMMYFUNCTION("""COMPUTED_VALUE"""),-0.771830012521246)</f>
        <v>-0.77183001252124595</v>
      </c>
      <c r="KI121" s="3">
        <f ca="1">IFERROR(__xludf.DUMMYFUNCTION("""COMPUTED_VALUE"""),-0.815575198323647)</f>
        <v>-0.815575198323647</v>
      </c>
      <c r="KJ121" s="3">
        <f ca="1">IFERROR(__xludf.DUMMYFUNCTION("""COMPUTED_VALUE"""),-0.821786878371434)</f>
        <v>-0.82178687837143405</v>
      </c>
      <c r="KK121" s="3">
        <f ca="1">IFERROR(__xludf.DUMMYFUNCTION("""COMPUTED_VALUE"""),-0.811503244285356)</f>
        <v>-0.81150324428535603</v>
      </c>
      <c r="KL121" s="3">
        <f ca="1">IFERROR(__xludf.DUMMYFUNCTION("""COMPUTED_VALUE"""),-0.733988010169697)</f>
        <v>-0.73398801016969695</v>
      </c>
      <c r="KM121" s="3">
        <f ca="1">IFERROR(__xludf.DUMMYFUNCTION("""COMPUTED_VALUE"""),-0.713306040962279)</f>
        <v>-0.71330604096227901</v>
      </c>
      <c r="KN121" s="3">
        <f ca="1">IFERROR(__xludf.DUMMYFUNCTION("""COMPUTED_VALUE"""),-0.80095444441003)</f>
        <v>-0.80095444441003005</v>
      </c>
      <c r="KO121" s="3">
        <f ca="1">IFERROR(__xludf.DUMMYFUNCTION("""COMPUTED_VALUE"""),-0.809812409779294)</f>
        <v>-0.80981240977929403</v>
      </c>
      <c r="KP121" s="3">
        <f ca="1">IFERROR(__xludf.DUMMYFUNCTION("""COMPUTED_VALUE"""),-0.81337396249464)</f>
        <v>-0.81337396249464</v>
      </c>
      <c r="KQ121" s="3">
        <f ca="1">IFERROR(__xludf.DUMMYFUNCTION("""COMPUTED_VALUE"""),-0.834583422631872)</f>
        <v>-0.83458342263187202</v>
      </c>
      <c r="KR121" s="3">
        <f ca="1">IFERROR(__xludf.DUMMYFUNCTION("""COMPUTED_VALUE"""),-0.810905033441895)</f>
        <v>-0.81090503344189502</v>
      </c>
      <c r="KS121" s="3">
        <f ca="1">IFERROR(__xludf.DUMMYFUNCTION("""COMPUTED_VALUE"""),-0.728463337331146)</f>
        <v>-0.72846333733114599</v>
      </c>
      <c r="KT121" s="3">
        <f ca="1">IFERROR(__xludf.DUMMYFUNCTION("""COMPUTED_VALUE"""),-0.714813817348465)</f>
        <v>-0.71481381734846505</v>
      </c>
      <c r="KU121" s="3">
        <f ca="1">IFERROR(__xludf.DUMMYFUNCTION("""COMPUTED_VALUE"""),-0.831579482313229)</f>
        <v>-0.83157948231322898</v>
      </c>
      <c r="KV121" s="3">
        <f ca="1">IFERROR(__xludf.DUMMYFUNCTION("""COMPUTED_VALUE"""),-0.841760431577349)</f>
        <v>-0.84176043157734903</v>
      </c>
      <c r="KW121" s="3">
        <f ca="1">IFERROR(__xludf.DUMMYFUNCTION("""COMPUTED_VALUE"""),-0.823860056229448)</f>
        <v>-0.82386005622944802</v>
      </c>
      <c r="KX121" s="3">
        <f ca="1">IFERROR(__xludf.DUMMYFUNCTION("""COMPUTED_VALUE"""),-0.834628963368131)</f>
        <v>-0.83462896336813097</v>
      </c>
      <c r="KY121" s="3">
        <f ca="1">IFERROR(__xludf.DUMMYFUNCTION("""COMPUTED_VALUE"""),-0.847687095079211)</f>
        <v>-0.84768709507921103</v>
      </c>
      <c r="KZ121" s="3">
        <f ca="1">IFERROR(__xludf.DUMMYFUNCTION("""COMPUTED_VALUE"""),-0.77185745242698)</f>
        <v>-0.77185745242698001</v>
      </c>
      <c r="LA121" s="3">
        <f ca="1">IFERROR(__xludf.DUMMYFUNCTION("""COMPUTED_VALUE"""),-0.783960547699917)</f>
        <v>-0.78396054769991697</v>
      </c>
      <c r="LB121" s="3">
        <f ca="1">IFERROR(__xludf.DUMMYFUNCTION("""COMPUTED_VALUE"""),-0.835193159899735)</f>
        <v>-0.83519315989973497</v>
      </c>
      <c r="LC121" s="3">
        <f ca="1">IFERROR(__xludf.DUMMYFUNCTION("""COMPUTED_VALUE"""),-0.856070220409756)</f>
        <v>-0.856070220409756</v>
      </c>
      <c r="LD121" s="3">
        <f ca="1">IFERROR(__xludf.DUMMYFUNCTION("""COMPUTED_VALUE"""),-0.852156026070332)</f>
        <v>-0.85215602607033203</v>
      </c>
      <c r="LE121" s="3">
        <f ca="1">IFERROR(__xludf.DUMMYFUNCTION("""COMPUTED_VALUE"""),-0.857865104952005)</f>
        <v>-0.85786510495200496</v>
      </c>
      <c r="LF121" s="3">
        <f ca="1">IFERROR(__xludf.DUMMYFUNCTION("""COMPUTED_VALUE"""),-0.818851277224027)</f>
        <v>-0.81885127722402695</v>
      </c>
      <c r="LG121" s="3">
        <f ca="1">IFERROR(__xludf.DUMMYFUNCTION("""COMPUTED_VALUE"""),-0.767255858597825)</f>
        <v>-0.76725585859782497</v>
      </c>
      <c r="LH121" s="3">
        <f ca="1">IFERROR(__xludf.DUMMYFUNCTION("""COMPUTED_VALUE"""),-0.793373295351426)</f>
        <v>-0.79337329535142598</v>
      </c>
      <c r="LI121" s="3">
        <f ca="1">IFERROR(__xludf.DUMMYFUNCTION("""COMPUTED_VALUE"""),-0.858354798123714)</f>
        <v>-0.85835479812371396</v>
      </c>
      <c r="LJ121" s="3">
        <f ca="1">IFERROR(__xludf.DUMMYFUNCTION("""COMPUTED_VALUE"""),-0.86298311473341)</f>
        <v>-0.86298311473341005</v>
      </c>
      <c r="LK121" s="3">
        <f ca="1">IFERROR(__xludf.DUMMYFUNCTION("""COMPUTED_VALUE"""),-0.873279147817442)</f>
        <v>-0.87327914781744198</v>
      </c>
      <c r="LL121" s="3">
        <f ca="1">IFERROR(__xludf.DUMMYFUNCTION("""COMPUTED_VALUE"""),-0.871905639145948)</f>
        <v>-0.87190563914594799</v>
      </c>
      <c r="LM121" s="3">
        <f ca="1">IFERROR(__xludf.DUMMYFUNCTION("""COMPUTED_VALUE"""),-0.877147271466428)</f>
        <v>-0.87714727146642801</v>
      </c>
      <c r="LN121" s="3">
        <f ca="1">IFERROR(__xludf.DUMMYFUNCTION("""COMPUTED_VALUE"""),-0.787316538601371)</f>
        <v>-0.78731653860137096</v>
      </c>
      <c r="LO121" s="3">
        <f ca="1">IFERROR(__xludf.DUMMYFUNCTION("""COMPUTED_VALUE"""),-0.797178927557075)</f>
        <v>-0.79717892755707498</v>
      </c>
      <c r="LP121" s="3">
        <f ca="1">IFERROR(__xludf.DUMMYFUNCTION("""COMPUTED_VALUE"""),-0.870470649222404)</f>
        <v>-0.87047064922240402</v>
      </c>
      <c r="LQ121" s="3">
        <f ca="1">IFERROR(__xludf.DUMMYFUNCTION("""COMPUTED_VALUE"""),-0.868091164409015)</f>
        <v>-0.86809116440901501</v>
      </c>
      <c r="LR121" s="3">
        <f ca="1">IFERROR(__xludf.DUMMYFUNCTION("""COMPUTED_VALUE"""),-0.877848921116804)</f>
        <v>-0.87784892111680402</v>
      </c>
      <c r="LS121" s="3">
        <f ca="1">IFERROR(__xludf.DUMMYFUNCTION("""COMPUTED_VALUE"""),-0.881774368812416)</f>
        <v>-0.881774368812416</v>
      </c>
      <c r="LT121" s="3">
        <f ca="1">IFERROR(__xludf.DUMMYFUNCTION("""COMPUTED_VALUE"""),-0.852504542493527)</f>
        <v>-0.85250454249352703</v>
      </c>
      <c r="LU121" s="3">
        <f ca="1">IFERROR(__xludf.DUMMYFUNCTION("""COMPUTED_VALUE"""),-0.809124199235599)</f>
        <v>-0.80912419923559897</v>
      </c>
      <c r="LV121" s="3">
        <f ca="1">IFERROR(__xludf.DUMMYFUNCTION("""COMPUTED_VALUE"""),-0.786010023697719)</f>
        <v>-0.786010023697719</v>
      </c>
      <c r="LW121" s="3">
        <f ca="1">IFERROR(__xludf.DUMMYFUNCTION("""COMPUTED_VALUE"""),-0.869961807805863)</f>
        <v>-0.86996180780586296</v>
      </c>
      <c r="LX121" s="3">
        <f ca="1">IFERROR(__xludf.DUMMYFUNCTION("""COMPUTED_VALUE"""),-0.880107118957169)</f>
        <v>-0.88010711895716898</v>
      </c>
      <c r="LY121" s="3">
        <f ca="1">IFERROR(__xludf.DUMMYFUNCTION("""COMPUTED_VALUE"""),-0.88516780966969)</f>
        <v>-0.88516780966969</v>
      </c>
      <c r="LZ121" s="3">
        <f ca="1">IFERROR(__xludf.DUMMYFUNCTION("""COMPUTED_VALUE"""),-0.887379663942989)</f>
        <v>-0.88737966394298895</v>
      </c>
      <c r="MA121" s="3">
        <f ca="1">IFERROR(__xludf.DUMMYFUNCTION("""COMPUTED_VALUE"""),-0.874404698479069)</f>
        <v>-0.87440469847906899</v>
      </c>
      <c r="MB121" s="3">
        <f ca="1">IFERROR(__xludf.DUMMYFUNCTION("""COMPUTED_VALUE"""),-0.781001836557262)</f>
        <v>-0.78100183655726196</v>
      </c>
      <c r="MC121" s="3">
        <f ca="1">IFERROR(__xludf.DUMMYFUNCTION("""COMPUTED_VALUE"""),-0.789352209033299)</f>
        <v>-0.78935220903329895</v>
      </c>
      <c r="MD121" s="3">
        <f ca="1">IFERROR(__xludf.DUMMYFUNCTION("""COMPUTED_VALUE"""),-0.879963886350438)</f>
        <v>-0.87996388635043798</v>
      </c>
      <c r="ME121" s="3">
        <f ca="1">IFERROR(__xludf.DUMMYFUNCTION("""COMPUTED_VALUE"""),-0.873806123319708)</f>
        <v>-0.87380612331970797</v>
      </c>
      <c r="MF121" s="3">
        <f ca="1">IFERROR(__xludf.DUMMYFUNCTION("""COMPUTED_VALUE"""),-0.875364283403931)</f>
        <v>-0.87536428340393102</v>
      </c>
      <c r="MG121" s="3">
        <f ca="1">IFERROR(__xludf.DUMMYFUNCTION("""COMPUTED_VALUE"""),-0.880264286118434)</f>
        <v>-0.88026428611843399</v>
      </c>
      <c r="MH121" s="3">
        <f ca="1">IFERROR(__xludf.DUMMYFUNCTION("""COMPUTED_VALUE"""),-0.888393029640765)</f>
        <v>-0.88839302964076505</v>
      </c>
      <c r="MI121" s="3">
        <f ca="1">IFERROR(__xludf.DUMMYFUNCTION("""COMPUTED_VALUE"""),-0.787403480691629)</f>
        <v>-0.78740348069162902</v>
      </c>
      <c r="MJ121" s="3">
        <f ca="1">IFERROR(__xludf.DUMMYFUNCTION("""COMPUTED_VALUE"""),-0.808549559830108)</f>
        <v>-0.80854955983010801</v>
      </c>
      <c r="MK121" s="3">
        <f ca="1">IFERROR(__xludf.DUMMYFUNCTION("""COMPUTED_VALUE"""),-0.874859099916734)</f>
        <v>-0.87485909991673405</v>
      </c>
      <c r="ML121" s="3">
        <f ca="1">IFERROR(__xludf.DUMMYFUNCTION("""COMPUTED_VALUE"""),-0.89637895644211)</f>
        <v>-0.89637895644210996</v>
      </c>
      <c r="MM121" s="3">
        <f ca="1">IFERROR(__xludf.DUMMYFUNCTION("""COMPUTED_VALUE"""),-0.899044526912461)</f>
        <v>-0.89904452691246095</v>
      </c>
      <c r="MN121" s="3">
        <f ca="1">IFERROR(__xludf.DUMMYFUNCTION("""COMPUTED_VALUE"""),-0.88973689263711)</f>
        <v>-0.88973689263710998</v>
      </c>
      <c r="MO121" s="3">
        <f ca="1">IFERROR(__xludf.DUMMYFUNCTION("""COMPUTED_VALUE"""),-0.891423605825394)</f>
        <v>-0.89142360582539404</v>
      </c>
      <c r="MP121" s="3">
        <f ca="1">IFERROR(__xludf.DUMMYFUNCTION("""COMPUTED_VALUE"""),-0.804821121483939)</f>
        <v>-0.80482112148393903</v>
      </c>
      <c r="MQ121" s="3">
        <f ca="1">IFERROR(__xludf.DUMMYFUNCTION("""COMPUTED_VALUE"""),-0.806082234818031)</f>
        <v>-0.80608223481803098</v>
      </c>
      <c r="MR121" s="3">
        <f ca="1">IFERROR(__xludf.DUMMYFUNCTION("""COMPUTED_VALUE"""),-0.881767866224252)</f>
        <v>-0.88176786622425196</v>
      </c>
      <c r="MS121" s="3">
        <f ca="1">IFERROR(__xludf.DUMMYFUNCTION("""COMPUTED_VALUE"""),-0.899039570990971)</f>
        <v>-0.89903957099097098</v>
      </c>
      <c r="MT121" s="3">
        <f ca="1">IFERROR(__xludf.DUMMYFUNCTION("""COMPUTED_VALUE"""),-0.90387403030123)</f>
        <v>-0.90387403030123004</v>
      </c>
      <c r="MU121" s="3">
        <f ca="1">IFERROR(__xludf.DUMMYFUNCTION("""COMPUTED_VALUE"""),-0.871111314178357)</f>
        <v>-0.87111131417835697</v>
      </c>
      <c r="MV121" s="3">
        <f ca="1">IFERROR(__xludf.DUMMYFUNCTION("""COMPUTED_VALUE"""),-0.877032923414343)</f>
        <v>-0.87703292341434302</v>
      </c>
      <c r="MW121" s="3">
        <f ca="1">IFERROR(__xludf.DUMMYFUNCTION("""COMPUTED_VALUE"""),-0.746583715389933)</f>
        <v>-0.74658371538993296</v>
      </c>
      <c r="MX121" s="3">
        <f ca="1">IFERROR(__xludf.DUMMYFUNCTION("""COMPUTED_VALUE"""),-0.806847005363816)</f>
        <v>-0.80684700536381604</v>
      </c>
      <c r="MY121" s="3">
        <f ca="1">IFERROR(__xludf.DUMMYFUNCTION("""COMPUTED_VALUE"""),-0.861485330542244)</f>
        <v>-0.86148533054224397</v>
      </c>
      <c r="MZ121" s="3">
        <f ca="1">IFERROR(__xludf.DUMMYFUNCTION("""COMPUTED_VALUE"""),-0.888825761443431)</f>
        <v>-0.88882576144343095</v>
      </c>
      <c r="NA121" s="3">
        <f ca="1">IFERROR(__xludf.DUMMYFUNCTION("""COMPUTED_VALUE"""),-0.896218388533835)</f>
        <v>-0.89621838853383495</v>
      </c>
      <c r="NB121" s="3">
        <f ca="1">IFERROR(__xludf.DUMMYFUNCTION("""COMPUTED_VALUE"""),-0.883697319336516)</f>
        <v>-0.88369731933651596</v>
      </c>
      <c r="NC121" s="3">
        <f ca="1">IFERROR(__xludf.DUMMYFUNCTION("""COMPUTED_VALUE"""),-0.876180050007346)</f>
        <v>-0.876180050007346</v>
      </c>
      <c r="ND121" s="3">
        <f ca="1">IFERROR(__xludf.DUMMYFUNCTION("""COMPUTED_VALUE"""),-0.792563109708434)</f>
        <v>-0.79256310970843402</v>
      </c>
      <c r="NE121" s="3">
        <f ca="1">IFERROR(__xludf.DUMMYFUNCTION("""COMPUTED_VALUE"""),-0.793680191736281)</f>
        <v>-0.79368019173628102</v>
      </c>
      <c r="NF121" s="3">
        <f ca="1">IFERROR(__xludf.DUMMYFUNCTION("""COMPUTED_VALUE"""),-0.864887698405522)</f>
        <v>-0.86488769840552204</v>
      </c>
      <c r="NG121" s="3">
        <f ca="1">IFERROR(__xludf.DUMMYFUNCTION("""COMPUTED_VALUE"""),-0.858186093143991)</f>
        <v>-0.85818609314399097</v>
      </c>
      <c r="NH121" s="3">
        <f ca="1">IFERROR(__xludf.DUMMYFUNCTION("""COMPUTED_VALUE"""),-0.862220439286743)</f>
        <v>-0.86222043928674297</v>
      </c>
      <c r="NI121" s="3">
        <f ca="1">IFERROR(__xludf.DUMMYFUNCTION("""COMPUTED_VALUE"""),-0.842877990187328)</f>
        <v>-0.84287799018732801</v>
      </c>
      <c r="NJ121" s="3">
        <f ca="1">IFERROR(__xludf.DUMMYFUNCTION("""COMPUTED_VALUE"""),-0.837670419033144)</f>
        <v>-0.83767041903314399</v>
      </c>
      <c r="NK121" s="3">
        <f ca="1">IFERROR(__xludf.DUMMYFUNCTION("""COMPUTED_VALUE"""),-0.773006143980527)</f>
        <v>-0.77300614398052703</v>
      </c>
      <c r="NL121" s="3">
        <f ca="1">IFERROR(__xludf.DUMMYFUNCTION("""COMPUTED_VALUE"""),-0.749012877340038)</f>
        <v>-0.74901287734003796</v>
      </c>
      <c r="NM121" s="3">
        <f ca="1">IFERROR(__xludf.DUMMYFUNCTION("""COMPUTED_VALUE"""),-0.823740031885964)</f>
        <v>-0.82374003188596401</v>
      </c>
      <c r="NN121" s="3">
        <f ca="1">IFERROR(__xludf.DUMMYFUNCTION("""COMPUTED_VALUE"""),-0.839456737138737)</f>
        <v>-0.83945673713873703</v>
      </c>
      <c r="NO121" s="3">
        <f ca="1">IFERROR(__xludf.DUMMYFUNCTION("""COMPUTED_VALUE"""),-0.830028800014859)</f>
        <v>-0.83002880001485901</v>
      </c>
      <c r="NP121" s="3">
        <f ca="1">IFERROR(__xludf.DUMMYFUNCTION("""COMPUTED_VALUE"""),-0.82969751473174)</f>
        <v>-0.82969751473174003</v>
      </c>
      <c r="NQ121" s="3">
        <f ca="1">IFERROR(__xludf.DUMMYFUNCTION("""COMPUTED_VALUE"""),-0.805620462100867)</f>
        <v>-0.80562046210086702</v>
      </c>
      <c r="NR121" s="3">
        <f ca="1">IFERROR(__xludf.DUMMYFUNCTION("""COMPUTED_VALUE"""),-0.713575900437769)</f>
        <v>-0.71357590043776897</v>
      </c>
      <c r="NS121" s="3">
        <f ca="1">IFERROR(__xludf.DUMMYFUNCTION("""COMPUTED_VALUE"""),-0.722489043655476)</f>
        <v>-0.72248904365547595</v>
      </c>
      <c r="NT121" s="3">
        <f ca="1">IFERROR(__xludf.DUMMYFUNCTION("""COMPUTED_VALUE"""),-0.792371777627744)</f>
        <v>-0.79237177762774402</v>
      </c>
      <c r="NU121" s="3">
        <f ca="1">IFERROR(__xludf.DUMMYFUNCTION("""COMPUTED_VALUE"""),-0.805684759701171)</f>
        <v>-0.80568475970117104</v>
      </c>
      <c r="NV121" s="3">
        <f ca="1">IFERROR(__xludf.DUMMYFUNCTION("""COMPUTED_VALUE"""),-0.82798150126133)</f>
        <v>-0.82798150126132997</v>
      </c>
      <c r="NW121" s="3">
        <f ca="1">IFERROR(__xludf.DUMMYFUNCTION("""COMPUTED_VALUE"""),-0.816445818432711)</f>
        <v>-0.81644581843271102</v>
      </c>
      <c r="NX121" s="3">
        <f ca="1">IFERROR(__xludf.DUMMYFUNCTION("""COMPUTED_VALUE"""),-0.845893238385049)</f>
        <v>-0.84589323838504904</v>
      </c>
      <c r="NY121" s="3">
        <f ca="1">IFERROR(__xludf.DUMMYFUNCTION("""COMPUTED_VALUE"""),-0.746830719782515)</f>
        <v>-0.74683071978251503</v>
      </c>
      <c r="NZ121" s="3">
        <f ca="1">IFERROR(__xludf.DUMMYFUNCTION("""COMPUTED_VALUE"""),-0.742576753858292)</f>
        <v>-0.74257675385829203</v>
      </c>
      <c r="OA121" s="3">
        <f ca="1">IFERROR(__xludf.DUMMYFUNCTION("""COMPUTED_VALUE"""),-0.807415522905299)</f>
        <v>-0.80741552290529905</v>
      </c>
      <c r="OB121" s="3">
        <f ca="1">IFERROR(__xludf.DUMMYFUNCTION("""COMPUTED_VALUE"""),-0.834671212697953)</f>
        <v>-0.83467121269795297</v>
      </c>
      <c r="OC121" s="3">
        <f ca="1">IFERROR(__xludf.DUMMYFUNCTION("""COMPUTED_VALUE"""),-0.838483999331458)</f>
        <v>-0.83848399933145801</v>
      </c>
      <c r="OD121" s="3">
        <f ca="1">IFERROR(__xludf.DUMMYFUNCTION("""COMPUTED_VALUE"""),-0.803758983553)</f>
        <v>-0.80375898355300002</v>
      </c>
      <c r="OE121" s="3">
        <f ca="1">IFERROR(__xludf.DUMMYFUNCTION("""COMPUTED_VALUE"""),-0.671144089352603)</f>
        <v>-0.67114408935260295</v>
      </c>
      <c r="OF121" s="3">
        <f ca="1">IFERROR(__xludf.DUMMYFUNCTION("""COMPUTED_VALUE"""),-0.462588705224989)</f>
        <v>-0.46258870522498902</v>
      </c>
      <c r="OG121" s="3">
        <f ca="1">IFERROR(__xludf.DUMMYFUNCTION("""COMPUTED_VALUE"""),-0.42838145515672)</f>
        <v>-0.42838145515671999</v>
      </c>
      <c r="OH121" s="3">
        <f ca="1">IFERROR(__xludf.DUMMYFUNCTION("""COMPUTED_VALUE"""),-0.368497853222312)</f>
        <v>-0.36849785322231199</v>
      </c>
      <c r="OI121" s="3">
        <f ca="1">IFERROR(__xludf.DUMMYFUNCTION("""COMPUTED_VALUE"""),-0.366183109445601)</f>
        <v>-0.36618310944560101</v>
      </c>
      <c r="OJ121" s="3">
        <f ca="1">IFERROR(__xludf.DUMMYFUNCTION("""COMPUTED_VALUE"""),-0.336781594815174)</f>
        <v>-0.336781594815174</v>
      </c>
      <c r="OK121" s="3">
        <f ca="1">IFERROR(__xludf.DUMMYFUNCTION("""COMPUTED_VALUE"""),-0.259190896375984)</f>
        <v>-0.25919089637598403</v>
      </c>
      <c r="OL121" s="3">
        <f ca="1">IFERROR(__xludf.DUMMYFUNCTION("""COMPUTED_VALUE"""),-0.170169771877342)</f>
        <v>-0.170169771877342</v>
      </c>
      <c r="OM121" s="3">
        <f ca="1">IFERROR(__xludf.DUMMYFUNCTION("""COMPUTED_VALUE"""),-0.129534453703527)</f>
        <v>-0.12953445370352701</v>
      </c>
      <c r="ON121" s="3">
        <f ca="1">IFERROR(__xludf.DUMMYFUNCTION("""COMPUTED_VALUE"""),-0.127847797762588)</f>
        <v>-0.12784779776258801</v>
      </c>
      <c r="OO121" s="3">
        <f ca="1">IFERROR(__xludf.DUMMYFUNCTION("""COMPUTED_VALUE"""),-0.0894511500328281)</f>
        <v>-8.9451150032828095E-2</v>
      </c>
      <c r="OP121" s="3">
        <f ca="1">IFERROR(__xludf.DUMMYFUNCTION("""COMPUTED_VALUE"""),-0.0829750119749415)</f>
        <v>-8.2975011974941504E-2</v>
      </c>
      <c r="OQ121" s="3">
        <f ca="1">IFERROR(__xludf.DUMMYFUNCTION("""COMPUTED_VALUE"""),-0.0265497868609139)</f>
        <v>-2.6549786860913901E-2</v>
      </c>
      <c r="OR121" s="3">
        <f ca="1">IFERROR(__xludf.DUMMYFUNCTION("""COMPUTED_VALUE"""),-0.0139719283767244)</f>
        <v>-1.39719283767244E-2</v>
      </c>
      <c r="OS121" s="3">
        <f ca="1">IFERROR(__xludf.DUMMYFUNCTION("""COMPUTED_VALUE"""),-0.016397841607462)</f>
        <v>-1.6397841607462001E-2</v>
      </c>
      <c r="OT121" s="3">
        <f ca="1">IFERROR(__xludf.DUMMYFUNCTION("""COMPUTED_VALUE"""),0.0215446972365931)</f>
        <v>2.1544697236593101E-2</v>
      </c>
      <c r="OU121" s="3">
        <f ca="1">IFERROR(__xludf.DUMMYFUNCTION("""COMPUTED_VALUE"""),0.0559228163755591)</f>
        <v>5.5922816375559098E-2</v>
      </c>
      <c r="OV121" s="3">
        <f ca="1">IFERROR(__xludf.DUMMYFUNCTION("""COMPUTED_VALUE"""),0.082427932073728)</f>
        <v>8.2427932073728005E-2</v>
      </c>
      <c r="OW121" s="3">
        <f ca="1">IFERROR(__xludf.DUMMYFUNCTION("""COMPUTED_VALUE"""),0.0606792062824239)</f>
        <v>6.0679206282423903E-2</v>
      </c>
      <c r="OX121" s="3">
        <f ca="1">IFERROR(__xludf.DUMMYFUNCTION("""COMPUTED_VALUE"""),0.0783490558279762)</f>
        <v>7.8349055827976202E-2</v>
      </c>
      <c r="OY121" s="3">
        <f ca="1">IFERROR(__xludf.DUMMYFUNCTION("""COMPUTED_VALUE"""),0.051910467896985)</f>
        <v>5.1910467896985002E-2</v>
      </c>
      <c r="OZ121" s="3">
        <f ca="1">IFERROR(__xludf.DUMMYFUNCTION("""COMPUTED_VALUE"""),0.0890900894959456)</f>
        <v>8.9090089495945601E-2</v>
      </c>
      <c r="PA121" s="3">
        <f ca="1">IFERROR(__xludf.DUMMYFUNCTION("""COMPUTED_VALUE"""),-0.0230918240649453)</f>
        <v>-2.30918240649453E-2</v>
      </c>
      <c r="PB121" s="3">
        <f ca="1">IFERROR(__xludf.DUMMYFUNCTION("""COMPUTED_VALUE"""),0.0544265236968173)</f>
        <v>5.4426523696817303E-2</v>
      </c>
      <c r="PC121" s="3">
        <f ca="1">IFERROR(__xludf.DUMMYFUNCTION("""COMPUTED_VALUE"""),-0.0612326299605806)</f>
        <v>-6.1232629960580598E-2</v>
      </c>
      <c r="PD121" s="3">
        <f ca="1">IFERROR(__xludf.DUMMYFUNCTION("""COMPUTED_VALUE"""),-0.0679257917576167)</f>
        <v>-6.7925791757616705E-2</v>
      </c>
      <c r="PE121" s="3">
        <f ca="1">IFERROR(__xludf.DUMMYFUNCTION("""COMPUTED_VALUE"""),-0.0529955887177985)</f>
        <v>-5.2995588717798497E-2</v>
      </c>
      <c r="PF121" s="3">
        <f ca="1">IFERROR(__xludf.DUMMYFUNCTION("""COMPUTED_VALUE"""),-0.0508111259228353)</f>
        <v>-5.08111259228353E-2</v>
      </c>
      <c r="PG121" s="3">
        <f ca="1">IFERROR(__xludf.DUMMYFUNCTION("""COMPUTED_VALUE"""),-0.336057364447201)</f>
        <v>-0.33605736444720102</v>
      </c>
      <c r="PH121" s="3">
        <f ca="1">IFERROR(__xludf.DUMMYFUNCTION("""COMPUTED_VALUE"""),0.00910058995939699)</f>
        <v>9.1005899593969899E-3</v>
      </c>
      <c r="PI121" s="3">
        <f ca="1">IFERROR(__xludf.DUMMYFUNCTION("""COMPUTED_VALUE"""),0.0535033091664785)</f>
        <v>5.3503309166478497E-2</v>
      </c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</row>
    <row r="122" spans="1:477" ht="13">
      <c r="A122" s="1" t="str">
        <f ca="1">IFERROR(__xludf.DUMMYFUNCTION("""COMPUTED_VALUE"""),"University of California Berkeley - Bear Transit")</f>
        <v>University of California Berkeley - Bear Transit</v>
      </c>
      <c r="B122" s="1" t="str">
        <f ca="1">IFERROR(__xludf.DUMMYFUNCTION("""COMPUTED_VALUE"""),"SF Bay Area")</f>
        <v>SF Bay Area</v>
      </c>
      <c r="C122" s="1" t="str">
        <f ca="1">IFERROR(__xludf.DUMMYFUNCTION("""COMPUTED_VALUE"""),"United States")</f>
        <v>United States</v>
      </c>
      <c r="D122" s="1" t="str">
        <f ca="1">IFERROR(__xludf.DUMMYFUNCTION("""COMPUTED_VALUE"""),"California")</f>
        <v>California</v>
      </c>
      <c r="E122" s="3">
        <f ca="1">IFERROR(__xludf.DUMMYFUNCTION("""COMPUTED_VALUE"""),-0.892212626282235)</f>
        <v>-0.89221262628223497</v>
      </c>
      <c r="F122" s="3">
        <f ca="1">IFERROR(__xludf.DUMMYFUNCTION("""COMPUTED_VALUE"""),-0.911155034395261)</f>
        <v>-0.91115503439526102</v>
      </c>
      <c r="G122" s="3">
        <f ca="1">IFERROR(__xludf.DUMMYFUNCTION("""COMPUTED_VALUE"""),-0.913836775930226)</f>
        <v>-0.91383677593022605</v>
      </c>
      <c r="H122" s="3">
        <f ca="1">IFERROR(__xludf.DUMMYFUNCTION("""COMPUTED_VALUE"""),-0.922142694151326)</f>
        <v>-0.92214269415132599</v>
      </c>
      <c r="I122" s="3">
        <f ca="1">IFERROR(__xludf.DUMMYFUNCTION("""COMPUTED_VALUE"""),-0.923133404218055)</f>
        <v>-0.92313340421805501</v>
      </c>
      <c r="J122" s="3">
        <f ca="1">IFERROR(__xludf.DUMMYFUNCTION("""COMPUTED_VALUE"""),-0.924285909443909)</f>
        <v>-0.92428590944390898</v>
      </c>
      <c r="K122" s="3">
        <f ca="1">IFERROR(__xludf.DUMMYFUNCTION("""COMPUTED_VALUE"""),-0.911898782240439)</f>
        <v>-0.91189878224043897</v>
      </c>
      <c r="L122" s="3">
        <f ca="1">IFERROR(__xludf.DUMMYFUNCTION("""COMPUTED_VALUE"""),-0.905449918417366)</f>
        <v>-0.905449918417366</v>
      </c>
      <c r="M122" s="3">
        <f ca="1">IFERROR(__xludf.DUMMYFUNCTION("""COMPUTED_VALUE"""),-0.902012673565678)</f>
        <v>-0.90201267356567805</v>
      </c>
      <c r="N122" s="3">
        <f ca="1">IFERROR(__xludf.DUMMYFUNCTION("""COMPUTED_VALUE"""),-0.91016163115528)</f>
        <v>-0.91016163115528004</v>
      </c>
      <c r="O122" s="3">
        <f ca="1">IFERROR(__xludf.DUMMYFUNCTION("""COMPUTED_VALUE"""),-0.921596044718983)</f>
        <v>-0.92159604471898304</v>
      </c>
      <c r="P122" s="3">
        <f ca="1">IFERROR(__xludf.DUMMYFUNCTION("""COMPUTED_VALUE"""),-0.918541836803947)</f>
        <v>-0.91854183680394696</v>
      </c>
      <c r="Q122" s="3">
        <f ca="1">IFERROR(__xludf.DUMMYFUNCTION("""COMPUTED_VALUE"""),-0.940705075947498)</f>
        <v>-0.94070507594749797</v>
      </c>
      <c r="R122" s="3">
        <f ca="1">IFERROR(__xludf.DUMMYFUNCTION("""COMPUTED_VALUE"""),-0.978006836422525)</f>
        <v>-0.97800683642252495</v>
      </c>
      <c r="S122" s="3">
        <f ca="1">IFERROR(__xludf.DUMMYFUNCTION("""COMPUTED_VALUE"""),-0.939301331106438)</f>
        <v>-0.93930133110643799</v>
      </c>
      <c r="T122" s="3">
        <f ca="1">IFERROR(__xludf.DUMMYFUNCTION("""COMPUTED_VALUE"""),-0.914153044739828)</f>
        <v>-0.91415304473982795</v>
      </c>
      <c r="U122" s="3">
        <f ca="1">IFERROR(__xludf.DUMMYFUNCTION("""COMPUTED_VALUE"""),-0.916895581869256)</f>
        <v>-0.91689558186925602</v>
      </c>
      <c r="V122" s="3">
        <f ca="1">IFERROR(__xludf.DUMMYFUNCTION("""COMPUTED_VALUE"""),-0.920702773916082)</f>
        <v>-0.92070277391608202</v>
      </c>
      <c r="W122" s="3">
        <f ca="1">IFERROR(__xludf.DUMMYFUNCTION("""COMPUTED_VALUE"""),-0.919871991019508)</f>
        <v>-0.91987199101950801</v>
      </c>
      <c r="X122" s="3">
        <f ca="1">IFERROR(__xludf.DUMMYFUNCTION("""COMPUTED_VALUE"""),-0.90931629841021)</f>
        <v>-0.90931629841021</v>
      </c>
      <c r="Y122" s="3">
        <f ca="1">IFERROR(__xludf.DUMMYFUNCTION("""COMPUTED_VALUE"""),-0.898307677502275)</f>
        <v>-0.89830767750227503</v>
      </c>
      <c r="Z122" s="3">
        <f ca="1">IFERROR(__xludf.DUMMYFUNCTION("""COMPUTED_VALUE"""),-0.876874564125046)</f>
        <v>-0.87687456412504605</v>
      </c>
      <c r="AA122" s="3">
        <f ca="1">IFERROR(__xludf.DUMMYFUNCTION("""COMPUTED_VALUE"""),-0.892106459844774)</f>
        <v>-0.89210645984477399</v>
      </c>
      <c r="AB122" s="3">
        <f ca="1">IFERROR(__xludf.DUMMYFUNCTION("""COMPUTED_VALUE"""),-0.930475286148361)</f>
        <v>-0.93047528614836095</v>
      </c>
      <c r="AC122" s="3">
        <f ca="1">IFERROR(__xludf.DUMMYFUNCTION("""COMPUTED_VALUE"""),-0.916581583628039)</f>
        <v>-0.91658158362803899</v>
      </c>
      <c r="AD122" s="3">
        <f ca="1">IFERROR(__xludf.DUMMYFUNCTION("""COMPUTED_VALUE"""),-0.927397503935414)</f>
        <v>-0.92739750393541398</v>
      </c>
      <c r="AE122" s="3">
        <f ca="1">IFERROR(__xludf.DUMMYFUNCTION("""COMPUTED_VALUE"""),-0.92991081543239)</f>
        <v>-0.92991081543238996</v>
      </c>
      <c r="AF122" s="3">
        <f ca="1">IFERROR(__xludf.DUMMYFUNCTION("""COMPUTED_VALUE"""),-0.91181085738077)</f>
        <v>-0.91181085738076995</v>
      </c>
      <c r="AG122" s="3">
        <f ca="1">IFERROR(__xludf.DUMMYFUNCTION("""COMPUTED_VALUE"""),-0.912574217313295)</f>
        <v>-0.91257421731329502</v>
      </c>
      <c r="AH122" s="3">
        <f ca="1">IFERROR(__xludf.DUMMYFUNCTION("""COMPUTED_VALUE"""),-0.925375185360342)</f>
        <v>-0.92537518536034202</v>
      </c>
      <c r="AI122" s="3">
        <f ca="1">IFERROR(__xludf.DUMMYFUNCTION("""COMPUTED_VALUE"""),-0.942737213207147)</f>
        <v>-0.94273721320714698</v>
      </c>
      <c r="AJ122" s="3">
        <f ca="1">IFERROR(__xludf.DUMMYFUNCTION("""COMPUTED_VALUE"""),-0.942667807102282)</f>
        <v>-0.94266780710228204</v>
      </c>
      <c r="AK122" s="3">
        <f ca="1">IFERROR(__xludf.DUMMYFUNCTION("""COMPUTED_VALUE"""),-0.941158629654712)</f>
        <v>-0.94115862965471198</v>
      </c>
      <c r="AL122" s="3">
        <f ca="1">IFERROR(__xludf.DUMMYFUNCTION("""COMPUTED_VALUE"""),-0.94773943278031)</f>
        <v>-0.94773943278031003</v>
      </c>
      <c r="AM122" s="3">
        <f ca="1">IFERROR(__xludf.DUMMYFUNCTION("""COMPUTED_VALUE"""),-0.947893473042215)</f>
        <v>-0.94789347304221505</v>
      </c>
      <c r="AN122" s="3">
        <f ca="1">IFERROR(__xludf.DUMMYFUNCTION("""COMPUTED_VALUE"""),-0.935877332974321)</f>
        <v>-0.93587733297432096</v>
      </c>
      <c r="AO122" s="3">
        <f ca="1">IFERROR(__xludf.DUMMYFUNCTION("""COMPUTED_VALUE"""),-0.932872462351291)</f>
        <v>-0.93287246235129095</v>
      </c>
      <c r="AP122" s="3">
        <f ca="1">IFERROR(__xludf.DUMMYFUNCTION("""COMPUTED_VALUE"""),-0.935341154643959)</f>
        <v>-0.93534115464395895</v>
      </c>
      <c r="AQ122" s="3">
        <f ca="1">IFERROR(__xludf.DUMMYFUNCTION("""COMPUTED_VALUE"""),-0.940460099176286)</f>
        <v>-0.94046009917628604</v>
      </c>
      <c r="AR122" s="3">
        <f ca="1">IFERROR(__xludf.DUMMYFUNCTION("""COMPUTED_VALUE"""),-0.945005593955695)</f>
        <v>-0.94500559395569494</v>
      </c>
      <c r="AS122" s="3">
        <f ca="1">IFERROR(__xludf.DUMMYFUNCTION("""COMPUTED_VALUE"""),-0.938575801189338)</f>
        <v>-0.93857580118933803</v>
      </c>
      <c r="AT122" s="3">
        <f ca="1">IFERROR(__xludf.DUMMYFUNCTION("""COMPUTED_VALUE"""),-0.931135124385548)</f>
        <v>-0.93113512438554802</v>
      </c>
      <c r="AU122" s="3">
        <f ca="1">IFERROR(__xludf.DUMMYFUNCTION("""COMPUTED_VALUE"""),-0.930877258188529)</f>
        <v>-0.93087725818852896</v>
      </c>
      <c r="AV122" s="3">
        <f ca="1">IFERROR(__xludf.DUMMYFUNCTION("""COMPUTED_VALUE"""),-0.933414916038982)</f>
        <v>-0.93341491603898197</v>
      </c>
      <c r="AW122" s="3">
        <f ca="1">IFERROR(__xludf.DUMMYFUNCTION("""COMPUTED_VALUE"""),-0.947480200339203)</f>
        <v>-0.94748020033920299</v>
      </c>
      <c r="AX122" s="3">
        <f ca="1">IFERROR(__xludf.DUMMYFUNCTION("""COMPUTED_VALUE"""),-0.949171823103349)</f>
        <v>-0.94917182310334902</v>
      </c>
      <c r="AY122" s="3">
        <f ca="1">IFERROR(__xludf.DUMMYFUNCTION("""COMPUTED_VALUE"""),-0.946217038006036)</f>
        <v>-0.94621703800603596</v>
      </c>
      <c r="AZ122" s="3">
        <f ca="1">IFERROR(__xludf.DUMMYFUNCTION("""COMPUTED_VALUE"""),-0.936566220674538)</f>
        <v>-0.93656622067453799</v>
      </c>
      <c r="BA122" s="3">
        <f ca="1">IFERROR(__xludf.DUMMYFUNCTION("""COMPUTED_VALUE"""),-0.925987091560883)</f>
        <v>-0.92598709156088299</v>
      </c>
      <c r="BB122" s="3">
        <f ca="1">IFERROR(__xludf.DUMMYFUNCTION("""COMPUTED_VALUE"""),-0.933949951952991)</f>
        <v>-0.93394995195299102</v>
      </c>
      <c r="BC122" s="3">
        <f ca="1">IFERROR(__xludf.DUMMYFUNCTION("""COMPUTED_VALUE"""),-0.940510463927943)</f>
        <v>-0.94051046392794302</v>
      </c>
      <c r="BD122" s="3">
        <f ca="1">IFERROR(__xludf.DUMMYFUNCTION("""COMPUTED_VALUE"""),-0.946528405919701)</f>
        <v>-0.946528405919701</v>
      </c>
      <c r="BE122" s="3">
        <f ca="1">IFERROR(__xludf.DUMMYFUNCTION("""COMPUTED_VALUE"""),-0.94930600881721)</f>
        <v>-0.94930600881720995</v>
      </c>
      <c r="BF122" s="3">
        <f ca="1">IFERROR(__xludf.DUMMYFUNCTION("""COMPUTED_VALUE"""),-0.959664900999604)</f>
        <v>-0.959664900999604</v>
      </c>
      <c r="BG122" s="3">
        <f ca="1">IFERROR(__xludf.DUMMYFUNCTION("""COMPUTED_VALUE"""),-0.963534781081713)</f>
        <v>-0.96353478108171298</v>
      </c>
      <c r="BH122" s="3">
        <f ca="1">IFERROR(__xludf.DUMMYFUNCTION("""COMPUTED_VALUE"""),-0.917614773684473)</f>
        <v>-0.91761477368447297</v>
      </c>
      <c r="BI122" s="3">
        <f ca="1">IFERROR(__xludf.DUMMYFUNCTION("""COMPUTED_VALUE"""),-0.920748911718971)</f>
        <v>-0.920748911718971</v>
      </c>
      <c r="BJ122" s="3">
        <f ca="1">IFERROR(__xludf.DUMMYFUNCTION("""COMPUTED_VALUE"""),-0.940975749300942)</f>
        <v>-0.94097574930094197</v>
      </c>
      <c r="BK122" s="3">
        <f ca="1">IFERROR(__xludf.DUMMYFUNCTION("""COMPUTED_VALUE"""),-0.951497161268318)</f>
        <v>-0.95149716126831796</v>
      </c>
      <c r="BL122" s="3">
        <f ca="1">IFERROR(__xludf.DUMMYFUNCTION("""COMPUTED_VALUE"""),-0.953774085904445)</f>
        <v>-0.95377408590444501</v>
      </c>
      <c r="BM122" s="3">
        <f ca="1">IFERROR(__xludf.DUMMYFUNCTION("""COMPUTED_VALUE"""),-0.950576296441917)</f>
        <v>-0.95057629644191699</v>
      </c>
      <c r="BN122" s="3">
        <f ca="1">IFERROR(__xludf.DUMMYFUNCTION("""COMPUTED_VALUE"""),-0.950605953347703)</f>
        <v>-0.95060595334770304</v>
      </c>
      <c r="BO122" s="3">
        <f ca="1">IFERROR(__xludf.DUMMYFUNCTION("""COMPUTED_VALUE"""),-0.949086721169293)</f>
        <v>-0.94908672116929305</v>
      </c>
      <c r="BP122" s="3">
        <f ca="1">IFERROR(__xludf.DUMMYFUNCTION("""COMPUTED_VALUE"""),-0.949841456032665)</f>
        <v>-0.94984145603266501</v>
      </c>
      <c r="BQ122" s="3">
        <f ca="1">IFERROR(__xludf.DUMMYFUNCTION("""COMPUTED_VALUE"""),-0.946703334912226)</f>
        <v>-0.94670333491222602</v>
      </c>
      <c r="BR122" s="3">
        <f ca="1">IFERROR(__xludf.DUMMYFUNCTION("""COMPUTED_VALUE"""),-0.95989867332668)</f>
        <v>-0.95989867332668</v>
      </c>
      <c r="BS122" s="3">
        <f ca="1">IFERROR(__xludf.DUMMYFUNCTION("""COMPUTED_VALUE"""),-0.963301028127773)</f>
        <v>-0.96330102812777296</v>
      </c>
      <c r="BT122" s="3">
        <f ca="1">IFERROR(__xludf.DUMMYFUNCTION("""COMPUTED_VALUE"""),-0.961297028602804)</f>
        <v>-0.96129702860280397</v>
      </c>
      <c r="BU122" s="3">
        <f ca="1">IFERROR(__xludf.DUMMYFUNCTION("""COMPUTED_VALUE"""),-0.944357107834547)</f>
        <v>-0.94435710783454696</v>
      </c>
      <c r="BV122" s="3">
        <f ca="1">IFERROR(__xludf.DUMMYFUNCTION("""COMPUTED_VALUE"""),-0.951170103194555)</f>
        <v>-0.95117010319455497</v>
      </c>
      <c r="BW122" s="3">
        <f ca="1">IFERROR(__xludf.DUMMYFUNCTION("""COMPUTED_VALUE"""),-0.935501150686732)</f>
        <v>-0.93550115068673201</v>
      </c>
      <c r="BX122" s="3">
        <f ca="1">IFERROR(__xludf.DUMMYFUNCTION("""COMPUTED_VALUE"""),-0.952081714609804)</f>
        <v>-0.95208171460980395</v>
      </c>
      <c r="BY122" s="3">
        <f ca="1">IFERROR(__xludf.DUMMYFUNCTION("""COMPUTED_VALUE"""),-0.957485533589814)</f>
        <v>-0.95748553358981403</v>
      </c>
      <c r="BZ122" s="3">
        <f ca="1">IFERROR(__xludf.DUMMYFUNCTION("""COMPUTED_VALUE"""),-0.960415343824977)</f>
        <v>-0.96041534382497695</v>
      </c>
      <c r="CA122" s="3">
        <f ca="1">IFERROR(__xludf.DUMMYFUNCTION("""COMPUTED_VALUE"""),-0.958853766007278)</f>
        <v>-0.95885376600727801</v>
      </c>
      <c r="CB122" s="3">
        <f ca="1">IFERROR(__xludf.DUMMYFUNCTION("""COMPUTED_VALUE"""),-0.943385518194809)</f>
        <v>-0.94338551819480898</v>
      </c>
      <c r="CC122" s="3">
        <f ca="1">IFERROR(__xludf.DUMMYFUNCTION("""COMPUTED_VALUE"""),-0.95985053338614)</f>
        <v>-0.95985053338614001</v>
      </c>
      <c r="CD122" s="3">
        <f ca="1">IFERROR(__xludf.DUMMYFUNCTION("""COMPUTED_VALUE"""),-0.948914562197259)</f>
        <v>-0.948914562197259</v>
      </c>
      <c r="CE122" s="3">
        <f ca="1">IFERROR(__xludf.DUMMYFUNCTION("""COMPUTED_VALUE"""),-0.940988019794563)</f>
        <v>-0.94098801979456304</v>
      </c>
      <c r="CF122" s="3">
        <f ca="1">IFERROR(__xludf.DUMMYFUNCTION("""COMPUTED_VALUE"""),-0.947766352088072)</f>
        <v>-0.94776635208807203</v>
      </c>
      <c r="CG122" s="3">
        <f ca="1">IFERROR(__xludf.DUMMYFUNCTION("""COMPUTED_VALUE"""),-0.948462112900478)</f>
        <v>-0.94846211290047799</v>
      </c>
      <c r="CH122" s="3">
        <f ca="1">IFERROR(__xludf.DUMMYFUNCTION("""COMPUTED_VALUE"""),-0.950922170116397)</f>
        <v>-0.95092217011639701</v>
      </c>
      <c r="CI122" s="3">
        <f ca="1">IFERROR(__xludf.DUMMYFUNCTION("""COMPUTED_VALUE"""),-0.963517794877952)</f>
        <v>-0.96351779487795197</v>
      </c>
      <c r="CJ122" s="3">
        <f ca="1">IFERROR(__xludf.DUMMYFUNCTION("""COMPUTED_VALUE"""),-0.903986794648421)</f>
        <v>-0.90398679464842102</v>
      </c>
      <c r="CK122" s="3">
        <f ca="1">IFERROR(__xludf.DUMMYFUNCTION("""COMPUTED_VALUE"""),-0.909717495139917)</f>
        <v>-0.90971749513991695</v>
      </c>
      <c r="CL122" s="3">
        <f ca="1">IFERROR(__xludf.DUMMYFUNCTION("""COMPUTED_VALUE"""),-0.923702872820043)</f>
        <v>-0.92370287282004304</v>
      </c>
      <c r="CM122" s="3">
        <f ca="1">IFERROR(__xludf.DUMMYFUNCTION("""COMPUTED_VALUE"""),-0.92921607280896)</f>
        <v>-0.92921607280896001</v>
      </c>
      <c r="CN122" s="3">
        <f ca="1">IFERROR(__xludf.DUMMYFUNCTION("""COMPUTED_VALUE"""),-0.927045050403211)</f>
        <v>-0.92704505040321095</v>
      </c>
      <c r="CO122" s="3">
        <f ca="1">IFERROR(__xludf.DUMMYFUNCTION("""COMPUTED_VALUE"""),-0.934853453159411)</f>
        <v>-0.93485345315941104</v>
      </c>
      <c r="CP122" s="3">
        <f ca="1">IFERROR(__xludf.DUMMYFUNCTION("""COMPUTED_VALUE"""),-0.913171806487653)</f>
        <v>-0.91317180648765295</v>
      </c>
      <c r="CQ122" s="3">
        <f ca="1">IFERROR(__xludf.DUMMYFUNCTION("""COMPUTED_VALUE"""),-0.888863003633876)</f>
        <v>-0.88886300363387605</v>
      </c>
      <c r="CR122" s="3">
        <f ca="1">IFERROR(__xludf.DUMMYFUNCTION("""COMPUTED_VALUE"""),-0.898371004824652)</f>
        <v>-0.89837100482465204</v>
      </c>
      <c r="CS122" s="3">
        <f ca="1">IFERROR(__xludf.DUMMYFUNCTION("""COMPUTED_VALUE"""),-0.898222998546863)</f>
        <v>-0.89822299854686305</v>
      </c>
      <c r="CT122" s="3">
        <f ca="1">IFERROR(__xludf.DUMMYFUNCTION("""COMPUTED_VALUE"""),-0.88972187073388)</f>
        <v>-0.88972187073387998</v>
      </c>
      <c r="CU122" s="3">
        <f ca="1">IFERROR(__xludf.DUMMYFUNCTION("""COMPUTED_VALUE"""),-0.90276628972459)</f>
        <v>-0.90276628972459005</v>
      </c>
      <c r="CV122" s="3">
        <f ca="1">IFERROR(__xludf.DUMMYFUNCTION("""COMPUTED_VALUE"""),-0.855766593992308)</f>
        <v>-0.85576659399230803</v>
      </c>
      <c r="CW122" s="3">
        <f ca="1">IFERROR(__xludf.DUMMYFUNCTION("""COMPUTED_VALUE"""),-0.890435731867859)</f>
        <v>-0.89043573186785896</v>
      </c>
      <c r="CX122" s="3">
        <f ca="1">IFERROR(__xludf.DUMMYFUNCTION("""COMPUTED_VALUE"""),-0.863026838638218)</f>
        <v>-0.86302683863821805</v>
      </c>
      <c r="CY122" s="3">
        <f ca="1">IFERROR(__xludf.DUMMYFUNCTION("""COMPUTED_VALUE"""),-0.81428053632837)</f>
        <v>-0.81428053632837005</v>
      </c>
      <c r="CZ122" s="3">
        <f ca="1">IFERROR(__xludf.DUMMYFUNCTION("""COMPUTED_VALUE"""),-0.902516625017773)</f>
        <v>-0.90251662501777297</v>
      </c>
      <c r="DA122" s="3">
        <f ca="1">IFERROR(__xludf.DUMMYFUNCTION("""COMPUTED_VALUE"""),-0.834997529880384)</f>
        <v>-0.834997529880384</v>
      </c>
      <c r="DB122" s="3">
        <f ca="1">IFERROR(__xludf.DUMMYFUNCTION("""COMPUTED_VALUE"""),-0.774577078100576)</f>
        <v>-0.77457707810057597</v>
      </c>
      <c r="DC122" s="3">
        <f ca="1">IFERROR(__xludf.DUMMYFUNCTION("""COMPUTED_VALUE"""),-0.771008289875491)</f>
        <v>-0.77100828987549097</v>
      </c>
      <c r="DD122" s="3">
        <f ca="1">IFERROR(__xludf.DUMMYFUNCTION("""COMPUTED_VALUE"""),-0.880126202213473)</f>
        <v>-0.88012620221347304</v>
      </c>
      <c r="DE122" s="3">
        <f ca="1">IFERROR(__xludf.DUMMYFUNCTION("""COMPUTED_VALUE"""),-0.894808149080262)</f>
        <v>-0.89480814908026196</v>
      </c>
      <c r="DF122" s="3">
        <f ca="1">IFERROR(__xludf.DUMMYFUNCTION("""COMPUTED_VALUE"""),-0.937825100609213)</f>
        <v>-0.93782510060921298</v>
      </c>
      <c r="DG122" s="3">
        <f ca="1">IFERROR(__xludf.DUMMYFUNCTION("""COMPUTED_VALUE"""),-0.96252556110535)</f>
        <v>-0.96252556110535004</v>
      </c>
      <c r="DH122" s="3">
        <f ca="1">IFERROR(__xludf.DUMMYFUNCTION("""COMPUTED_VALUE"""),-0.936954262420231)</f>
        <v>-0.93695426242023105</v>
      </c>
      <c r="DI122" s="3">
        <f ca="1">IFERROR(__xludf.DUMMYFUNCTION("""COMPUTED_VALUE"""),-0.903812018319067)</f>
        <v>-0.90381201831906699</v>
      </c>
      <c r="DJ122" s="3">
        <f ca="1">IFERROR(__xludf.DUMMYFUNCTION("""COMPUTED_VALUE"""),-0.911890738036509)</f>
        <v>-0.911890738036509</v>
      </c>
      <c r="DK122" s="3">
        <f ca="1">IFERROR(__xludf.DUMMYFUNCTION("""COMPUTED_VALUE"""),-0.900437903713975)</f>
        <v>-0.90043790371397503</v>
      </c>
      <c r="DL122" s="3">
        <f ca="1">IFERROR(__xludf.DUMMYFUNCTION("""COMPUTED_VALUE"""),-0.931114581074292)</f>
        <v>-0.93111458107429201</v>
      </c>
      <c r="DM122" s="3">
        <f ca="1">IFERROR(__xludf.DUMMYFUNCTION("""COMPUTED_VALUE"""),-0.920269616102145)</f>
        <v>-0.92026961610214497</v>
      </c>
      <c r="DN122" s="3">
        <f ca="1">IFERROR(__xludf.DUMMYFUNCTION("""COMPUTED_VALUE"""),-0.924869112205127)</f>
        <v>-0.92486911220512702</v>
      </c>
      <c r="DO122" s="3">
        <f ca="1">IFERROR(__xludf.DUMMYFUNCTION("""COMPUTED_VALUE"""),-0.931425010694076)</f>
        <v>-0.93142501069407602</v>
      </c>
      <c r="DP122" s="3">
        <f ca="1">IFERROR(__xludf.DUMMYFUNCTION("""COMPUTED_VALUE"""),-0.92321966363315)</f>
        <v>-0.92321966363315</v>
      </c>
      <c r="DQ122" s="3">
        <f ca="1">IFERROR(__xludf.DUMMYFUNCTION("""COMPUTED_VALUE"""),-0.933259190751682)</f>
        <v>-0.93325919075168196</v>
      </c>
      <c r="DR122" s="3">
        <f ca="1">IFERROR(__xludf.DUMMYFUNCTION("""COMPUTED_VALUE"""),-0.947621834886293)</f>
        <v>-0.94762183488629304</v>
      </c>
      <c r="DS122" s="3">
        <f ca="1">IFERROR(__xludf.DUMMYFUNCTION("""COMPUTED_VALUE"""),-0.967014152863487)</f>
        <v>-0.96701415286348702</v>
      </c>
      <c r="DT122" s="3">
        <f ca="1">IFERROR(__xludf.DUMMYFUNCTION("""COMPUTED_VALUE"""),-0.963101739077474)</f>
        <v>-0.96310173907747398</v>
      </c>
      <c r="DU122" s="3">
        <f ca="1">IFERROR(__xludf.DUMMYFUNCTION("""COMPUTED_VALUE"""),-0.959024264750301)</f>
        <v>-0.959024264750301</v>
      </c>
      <c r="DV122" s="3">
        <f ca="1">IFERROR(__xludf.DUMMYFUNCTION("""COMPUTED_VALUE"""),-0.957919564486395)</f>
        <v>-0.95791956448639504</v>
      </c>
      <c r="DW122" s="3">
        <f ca="1">IFERROR(__xludf.DUMMYFUNCTION("""COMPUTED_VALUE"""),-0.965433384639667)</f>
        <v>-0.96543338463966699</v>
      </c>
      <c r="DX122" s="3">
        <f ca="1">IFERROR(__xludf.DUMMYFUNCTION("""COMPUTED_VALUE"""),-0.961223506890794)</f>
        <v>-0.96122350689079405</v>
      </c>
      <c r="DY122" s="3">
        <f ca="1">IFERROR(__xludf.DUMMYFUNCTION("""COMPUTED_VALUE"""),-0.956566189549047)</f>
        <v>-0.95656618954904704</v>
      </c>
      <c r="DZ122" s="3">
        <f ca="1">IFERROR(__xludf.DUMMYFUNCTION("""COMPUTED_VALUE"""),-0.958847119994687)</f>
        <v>-0.95884711999468697</v>
      </c>
      <c r="EA122" s="3">
        <f ca="1">IFERROR(__xludf.DUMMYFUNCTION("""COMPUTED_VALUE"""),-0.937654416341534)</f>
        <v>-0.93765441634153401</v>
      </c>
      <c r="EB122" s="3">
        <f ca="1">IFERROR(__xludf.DUMMYFUNCTION("""COMPUTED_VALUE"""),-0.937704465384289)</f>
        <v>-0.93770446538428898</v>
      </c>
      <c r="EC122" s="3">
        <f ca="1">IFERROR(__xludf.DUMMYFUNCTION("""COMPUTED_VALUE"""),-0.939090222422179)</f>
        <v>-0.93909022242217899</v>
      </c>
      <c r="ED122" s="3">
        <f ca="1">IFERROR(__xludf.DUMMYFUNCTION("""COMPUTED_VALUE"""),-0.957142856658885)</f>
        <v>-0.95714285665888499</v>
      </c>
      <c r="EE122" s="3">
        <f ca="1">IFERROR(__xludf.DUMMYFUNCTION("""COMPUTED_VALUE"""),-0.959353547557945)</f>
        <v>-0.959353547557945</v>
      </c>
      <c r="EF122" s="3">
        <f ca="1">IFERROR(__xludf.DUMMYFUNCTION("""COMPUTED_VALUE"""),-0.959485125027587)</f>
        <v>-0.95948512502758698</v>
      </c>
      <c r="EG122" s="3">
        <f ca="1">IFERROR(__xludf.DUMMYFUNCTION("""COMPUTED_VALUE"""),-0.961509633952965)</f>
        <v>-0.96150963395296496</v>
      </c>
      <c r="EH122" s="3">
        <f ca="1">IFERROR(__xludf.DUMMYFUNCTION("""COMPUTED_VALUE"""),-0.964859681168314)</f>
        <v>-0.964859681168314</v>
      </c>
      <c r="EI122" s="3">
        <f ca="1">IFERROR(__xludf.DUMMYFUNCTION("""COMPUTED_VALUE"""),-0.963774850197247)</f>
        <v>-0.96377485019724696</v>
      </c>
      <c r="EJ122" s="3">
        <f ca="1">IFERROR(__xludf.DUMMYFUNCTION("""COMPUTED_VALUE"""),-0.966476719110344)</f>
        <v>-0.96647671911034405</v>
      </c>
      <c r="EK122" s="3">
        <f ca="1">IFERROR(__xludf.DUMMYFUNCTION("""COMPUTED_VALUE"""),-0.944569216468019)</f>
        <v>-0.94456921646801895</v>
      </c>
      <c r="EL122" s="3">
        <f ca="1">IFERROR(__xludf.DUMMYFUNCTION("""COMPUTED_VALUE"""),-0.957178312155585)</f>
        <v>-0.95717831215558502</v>
      </c>
      <c r="EM122" s="3">
        <f ca="1">IFERROR(__xludf.DUMMYFUNCTION("""COMPUTED_VALUE"""),-0.945457035161146)</f>
        <v>-0.94545703516114599</v>
      </c>
      <c r="EN122" s="3">
        <f ca="1">IFERROR(__xludf.DUMMYFUNCTION("""COMPUTED_VALUE"""),-0.939642541248251)</f>
        <v>-0.93964254124825097</v>
      </c>
      <c r="EO122" s="3">
        <f ca="1">IFERROR(__xludf.DUMMYFUNCTION("""COMPUTED_VALUE"""),-0.921182889278799)</f>
        <v>-0.92118288927879899</v>
      </c>
      <c r="EP122" s="3">
        <f ca="1">IFERROR(__xludf.DUMMYFUNCTION("""COMPUTED_VALUE"""),-0.928203974477889)</f>
        <v>-0.92820397447788905</v>
      </c>
      <c r="EQ122" s="3">
        <f ca="1">IFERROR(__xludf.DUMMYFUNCTION("""COMPUTED_VALUE"""),-0.939567617938332)</f>
        <v>-0.93956761793833199</v>
      </c>
      <c r="ER122" s="3">
        <f ca="1">IFERROR(__xludf.DUMMYFUNCTION("""COMPUTED_VALUE"""),-0.945029264590991)</f>
        <v>-0.94502926459099101</v>
      </c>
      <c r="ES122" s="3">
        <f ca="1">IFERROR(__xludf.DUMMYFUNCTION("""COMPUTED_VALUE"""),-0.944810531605434)</f>
        <v>-0.94481053160543405</v>
      </c>
      <c r="ET122" s="3">
        <f ca="1">IFERROR(__xludf.DUMMYFUNCTION("""COMPUTED_VALUE"""),-0.939850463299714)</f>
        <v>-0.939850463299714</v>
      </c>
      <c r="EU122" s="3">
        <f ca="1">IFERROR(__xludf.DUMMYFUNCTION("""COMPUTED_VALUE"""),-0.945225996921023)</f>
        <v>-0.94522599692102305</v>
      </c>
      <c r="EV122" s="3">
        <f ca="1">IFERROR(__xludf.DUMMYFUNCTION("""COMPUTED_VALUE"""),-0.929999141460916)</f>
        <v>-0.929999141460916</v>
      </c>
      <c r="EW122" s="3">
        <f ca="1">IFERROR(__xludf.DUMMYFUNCTION("""COMPUTED_VALUE"""),-0.959424691604288)</f>
        <v>-0.959424691604288</v>
      </c>
      <c r="EX122" s="3">
        <f ca="1">IFERROR(__xludf.DUMMYFUNCTION("""COMPUTED_VALUE"""),-0.956482614144146)</f>
        <v>-0.95648261414414604</v>
      </c>
      <c r="EY122" s="3">
        <f ca="1">IFERROR(__xludf.DUMMYFUNCTION("""COMPUTED_VALUE"""),-0.948824728117984)</f>
        <v>-0.94882472811798402</v>
      </c>
      <c r="EZ122" s="3">
        <f ca="1">IFERROR(__xludf.DUMMYFUNCTION("""COMPUTED_VALUE"""),-0.953880603724815)</f>
        <v>-0.95388060372481498</v>
      </c>
      <c r="FA122" s="3">
        <f ca="1">IFERROR(__xludf.DUMMYFUNCTION("""COMPUTED_VALUE"""),-0.948049865125575)</f>
        <v>-0.94804986512557499</v>
      </c>
      <c r="FB122" s="3">
        <f ca="1">IFERROR(__xludf.DUMMYFUNCTION("""COMPUTED_VALUE"""),-0.943683881179432)</f>
        <v>-0.94368388117943203</v>
      </c>
      <c r="FC122" s="3">
        <f ca="1">IFERROR(__xludf.DUMMYFUNCTION("""COMPUTED_VALUE"""),-0.949472031738309)</f>
        <v>-0.94947203173830896</v>
      </c>
      <c r="FD122" s="3">
        <f ca="1">IFERROR(__xludf.DUMMYFUNCTION("""COMPUTED_VALUE"""),-0.955814882640128)</f>
        <v>-0.95581488264012804</v>
      </c>
      <c r="FE122" s="3">
        <f ca="1">IFERROR(__xludf.DUMMYFUNCTION("""COMPUTED_VALUE"""),-0.961577027953164)</f>
        <v>-0.96157702795316402</v>
      </c>
      <c r="FF122" s="3">
        <f ca="1">IFERROR(__xludf.DUMMYFUNCTION("""COMPUTED_VALUE"""),-0.957568177209185)</f>
        <v>-0.95756817720918497</v>
      </c>
      <c r="FG122" s="3">
        <f ca="1">IFERROR(__xludf.DUMMYFUNCTION("""COMPUTED_VALUE"""),-0.948815459418492)</f>
        <v>-0.94881545941849199</v>
      </c>
      <c r="FH122" s="3">
        <f ca="1">IFERROR(__xludf.DUMMYFUNCTION("""COMPUTED_VALUE"""),-0.937145764120377)</f>
        <v>-0.93714576412037698</v>
      </c>
      <c r="FI122" s="3">
        <f ca="1">IFERROR(__xludf.DUMMYFUNCTION("""COMPUTED_VALUE"""),-0.948028070949339)</f>
        <v>-0.94802807094933905</v>
      </c>
      <c r="FJ122" s="3">
        <f ca="1">IFERROR(__xludf.DUMMYFUNCTION("""COMPUTED_VALUE"""),-0.94245639036525)</f>
        <v>-0.94245639036524997</v>
      </c>
      <c r="FK122" s="3">
        <f ca="1">IFERROR(__xludf.DUMMYFUNCTION("""COMPUTED_VALUE"""),-0.94736261948071)</f>
        <v>-0.94736261948070999</v>
      </c>
      <c r="FL122" s="3">
        <f ca="1">IFERROR(__xludf.DUMMYFUNCTION("""COMPUTED_VALUE"""),-0.955279781076588)</f>
        <v>-0.95527978107658795</v>
      </c>
      <c r="FM122" s="3">
        <f ca="1">IFERROR(__xludf.DUMMYFUNCTION("""COMPUTED_VALUE"""),-0.960089936388424)</f>
        <v>-0.96008993638842399</v>
      </c>
      <c r="FN122" s="3">
        <f ca="1">IFERROR(__xludf.DUMMYFUNCTION("""COMPUTED_VALUE"""),-0.949864672446397)</f>
        <v>-0.94986467244639705</v>
      </c>
      <c r="FO122" s="3">
        <f ca="1">IFERROR(__xludf.DUMMYFUNCTION("""COMPUTED_VALUE"""),-0.949690144597583)</f>
        <v>-0.94969014459758305</v>
      </c>
      <c r="FP122" s="3">
        <f ca="1">IFERROR(__xludf.DUMMYFUNCTION("""COMPUTED_VALUE"""),-0.948063821307972)</f>
        <v>-0.94806382130797195</v>
      </c>
      <c r="FQ122" s="3">
        <f ca="1">IFERROR(__xludf.DUMMYFUNCTION("""COMPUTED_VALUE"""),-0.947986660598346)</f>
        <v>-0.94798666059834602</v>
      </c>
      <c r="FR122" s="3">
        <f ca="1">IFERROR(__xludf.DUMMYFUNCTION("""COMPUTED_VALUE"""),-0.951348735414959)</f>
        <v>-0.95134873541495901</v>
      </c>
      <c r="FS122" s="3">
        <f ca="1">IFERROR(__xludf.DUMMYFUNCTION("""COMPUTED_VALUE"""),-0.956103583368369)</f>
        <v>-0.95610358336836898</v>
      </c>
      <c r="FT122" s="3">
        <f ca="1">IFERROR(__xludf.DUMMYFUNCTION("""COMPUTED_VALUE"""),-0.953536595048648)</f>
        <v>-0.95353659504864796</v>
      </c>
      <c r="FU122" s="3">
        <f ca="1">IFERROR(__xludf.DUMMYFUNCTION("""COMPUTED_VALUE"""),-0.950069049934709)</f>
        <v>-0.95006904993470898</v>
      </c>
      <c r="FV122" s="3">
        <f ca="1">IFERROR(__xludf.DUMMYFUNCTION("""COMPUTED_VALUE"""),-0.948085175265476)</f>
        <v>-0.94808517526547598</v>
      </c>
      <c r="FW122" s="3">
        <f ca="1">IFERROR(__xludf.DUMMYFUNCTION("""COMPUTED_VALUE"""),-0.931278652076208)</f>
        <v>-0.93127865207620797</v>
      </c>
      <c r="FX122" s="3">
        <f ca="1">IFERROR(__xludf.DUMMYFUNCTION("""COMPUTED_VALUE"""),-0.92019397117174)</f>
        <v>-0.92019397117173996</v>
      </c>
      <c r="FY122" s="3">
        <f ca="1">IFERROR(__xludf.DUMMYFUNCTION("""COMPUTED_VALUE"""),-0.941852433030854)</f>
        <v>-0.94185243303085397</v>
      </c>
      <c r="FZ122" s="3">
        <f ca="1">IFERROR(__xludf.DUMMYFUNCTION("""COMPUTED_VALUE"""),-0.949670974834154)</f>
        <v>-0.94967097483415397</v>
      </c>
      <c r="GA122" s="3">
        <f ca="1">IFERROR(__xludf.DUMMYFUNCTION("""COMPUTED_VALUE"""),-0.947728385711915)</f>
        <v>-0.94772838571191498</v>
      </c>
      <c r="GB122" s="3">
        <f ca="1">IFERROR(__xludf.DUMMYFUNCTION("""COMPUTED_VALUE"""),-0.957102134079161)</f>
        <v>-0.957102134079161</v>
      </c>
      <c r="GC122" s="3">
        <f ca="1">IFERROR(__xludf.DUMMYFUNCTION("""COMPUTED_VALUE"""),-0.950634522681761)</f>
        <v>-0.95063452268176096</v>
      </c>
      <c r="GD122" s="3">
        <f ca="1">IFERROR(__xludf.DUMMYFUNCTION("""COMPUTED_VALUE"""),-0.948480141110048)</f>
        <v>-0.94848014111004797</v>
      </c>
      <c r="GE122" s="3">
        <f ca="1">IFERROR(__xludf.DUMMYFUNCTION("""COMPUTED_VALUE"""),-0.946975740163713)</f>
        <v>-0.946975740163713</v>
      </c>
      <c r="GF122" s="3">
        <f ca="1">IFERROR(__xludf.DUMMYFUNCTION("""COMPUTED_VALUE"""),-0.951628928717423)</f>
        <v>-0.95162892871742299</v>
      </c>
      <c r="GG122" s="3">
        <f ca="1">IFERROR(__xludf.DUMMYFUNCTION("""COMPUTED_VALUE"""),-0.95704967653161)</f>
        <v>-0.95704967653160999</v>
      </c>
      <c r="GH122" s="3">
        <f ca="1">IFERROR(__xludf.DUMMYFUNCTION("""COMPUTED_VALUE"""),-0.958094096713303)</f>
        <v>-0.95809409671330303</v>
      </c>
      <c r="GI122" s="3">
        <f ca="1">IFERROR(__xludf.DUMMYFUNCTION("""COMPUTED_VALUE"""),-0.959068066104408)</f>
        <v>-0.95906806610440798</v>
      </c>
      <c r="GJ122" s="3">
        <f ca="1">IFERROR(__xludf.DUMMYFUNCTION("""COMPUTED_VALUE"""),-0.95533278378121)</f>
        <v>-0.95533278378121</v>
      </c>
      <c r="GK122" s="3">
        <f ca="1">IFERROR(__xludf.DUMMYFUNCTION("""COMPUTED_VALUE"""),-0.951763167844324)</f>
        <v>-0.95176316784432402</v>
      </c>
      <c r="GL122" s="3">
        <f ca="1">IFERROR(__xludf.DUMMYFUNCTION("""COMPUTED_VALUE"""),-0.94390211476111)</f>
        <v>-0.94390211476110997</v>
      </c>
      <c r="GM122" s="3">
        <f ca="1">IFERROR(__xludf.DUMMYFUNCTION("""COMPUTED_VALUE"""),-0.947111213462491)</f>
        <v>-0.94711121346249105</v>
      </c>
      <c r="GN122" s="3">
        <f ca="1">IFERROR(__xludf.DUMMYFUNCTION("""COMPUTED_VALUE"""),-0.953653383231182)</f>
        <v>-0.95365338323118198</v>
      </c>
      <c r="GO122" s="3">
        <f ca="1">IFERROR(__xludf.DUMMYFUNCTION("""COMPUTED_VALUE"""),-0.95197758221488)</f>
        <v>-0.95197758221488005</v>
      </c>
      <c r="GP122" s="3">
        <f ca="1">IFERROR(__xludf.DUMMYFUNCTION("""COMPUTED_VALUE"""),-0.961241337824295)</f>
        <v>-0.96124133782429499</v>
      </c>
      <c r="GQ122" s="3">
        <f ca="1">IFERROR(__xludf.DUMMYFUNCTION("""COMPUTED_VALUE"""),-0.956499085073299)</f>
        <v>-0.95649908507329895</v>
      </c>
      <c r="GR122" s="3">
        <f ca="1">IFERROR(__xludf.DUMMYFUNCTION("""COMPUTED_VALUE"""),-0.948561752546731)</f>
        <v>-0.94856175254673103</v>
      </c>
      <c r="GS122" s="3">
        <f ca="1">IFERROR(__xludf.DUMMYFUNCTION("""COMPUTED_VALUE"""),-0.947577239808435)</f>
        <v>-0.947577239808435</v>
      </c>
      <c r="GT122" s="3">
        <f ca="1">IFERROR(__xludf.DUMMYFUNCTION("""COMPUTED_VALUE"""),-0.958948290183658)</f>
        <v>-0.95894829018365801</v>
      </c>
      <c r="GU122" s="3">
        <f ca="1">IFERROR(__xludf.DUMMYFUNCTION("""COMPUTED_VALUE"""),-0.963741716668864)</f>
        <v>-0.96374171666886399</v>
      </c>
      <c r="GV122" s="3">
        <f ca="1">IFERROR(__xludf.DUMMYFUNCTION("""COMPUTED_VALUE"""),-0.958124596621676)</f>
        <v>-0.95812459662167604</v>
      </c>
      <c r="GW122" s="3">
        <f ca="1">IFERROR(__xludf.DUMMYFUNCTION("""COMPUTED_VALUE"""),-0.962572019979099)</f>
        <v>-0.96257201997909903</v>
      </c>
      <c r="GX122" s="3">
        <f ca="1">IFERROR(__xludf.DUMMYFUNCTION("""COMPUTED_VALUE"""),-0.955074663995697)</f>
        <v>-0.95507466399569696</v>
      </c>
      <c r="GY122" s="3">
        <f ca="1">IFERROR(__xludf.DUMMYFUNCTION("""COMPUTED_VALUE"""),-0.940739709481338)</f>
        <v>-0.940739709481338</v>
      </c>
      <c r="GZ122" s="3">
        <f ca="1">IFERROR(__xludf.DUMMYFUNCTION("""COMPUTED_VALUE"""),-0.943750076246876)</f>
        <v>-0.94375007624687601</v>
      </c>
      <c r="HA122" s="3">
        <f ca="1">IFERROR(__xludf.DUMMYFUNCTION("""COMPUTED_VALUE"""),-0.964278692531712)</f>
        <v>-0.96427869253171195</v>
      </c>
      <c r="HB122" s="3">
        <f ca="1">IFERROR(__xludf.DUMMYFUNCTION("""COMPUTED_VALUE"""),-0.964904179921481)</f>
        <v>-0.96490417992148103</v>
      </c>
      <c r="HC122" s="3">
        <f ca="1">IFERROR(__xludf.DUMMYFUNCTION("""COMPUTED_VALUE"""),-0.965100881540676)</f>
        <v>-0.96510088154067597</v>
      </c>
      <c r="HD122" s="3">
        <f ca="1">IFERROR(__xludf.DUMMYFUNCTION("""COMPUTED_VALUE"""),-0.962363689143638)</f>
        <v>-0.96236368914363801</v>
      </c>
      <c r="HE122" s="3">
        <f ca="1">IFERROR(__xludf.DUMMYFUNCTION("""COMPUTED_VALUE"""),-0.962641366555207)</f>
        <v>-0.96264136655520705</v>
      </c>
      <c r="HF122" s="3">
        <f ca="1">IFERROR(__xludf.DUMMYFUNCTION("""COMPUTED_VALUE"""),-0.962437209624939)</f>
        <v>-0.96243720962493895</v>
      </c>
      <c r="HG122" s="3">
        <f ca="1">IFERROR(__xludf.DUMMYFUNCTION("""COMPUTED_VALUE"""),-0.956793311943508)</f>
        <v>-0.95679331194350803</v>
      </c>
      <c r="HH122" s="3">
        <f ca="1">IFERROR(__xludf.DUMMYFUNCTION("""COMPUTED_VALUE"""),-0.964493451559356)</f>
        <v>-0.96449345155935595</v>
      </c>
      <c r="HI122" s="3">
        <f ca="1">IFERROR(__xludf.DUMMYFUNCTION("""COMPUTED_VALUE"""),-0.964352657236242)</f>
        <v>-0.96435265723624197</v>
      </c>
      <c r="HJ122" s="3">
        <f ca="1">IFERROR(__xludf.DUMMYFUNCTION("""COMPUTED_VALUE"""),-0.966556804399171)</f>
        <v>-0.96655680439917102</v>
      </c>
      <c r="HK122" s="3">
        <f ca="1">IFERROR(__xludf.DUMMYFUNCTION("""COMPUTED_VALUE"""),-0.95975533495983)</f>
        <v>-0.95975533495983001</v>
      </c>
      <c r="HL122" s="3">
        <f ca="1">IFERROR(__xludf.DUMMYFUNCTION("""COMPUTED_VALUE"""),-0.947616746874666)</f>
        <v>-0.94761674687466602</v>
      </c>
      <c r="HM122" s="3">
        <f ca="1">IFERROR(__xludf.DUMMYFUNCTION("""COMPUTED_VALUE"""),-0.935476721379376)</f>
        <v>-0.93547672137937599</v>
      </c>
      <c r="HN122" s="3">
        <f ca="1">IFERROR(__xludf.DUMMYFUNCTION("""COMPUTED_VALUE"""),-0.94751715317179)</f>
        <v>-0.94751715317178997</v>
      </c>
      <c r="HO122" s="3">
        <f ca="1">IFERROR(__xludf.DUMMYFUNCTION("""COMPUTED_VALUE"""),-0.959784917252378)</f>
        <v>-0.95978491725237802</v>
      </c>
      <c r="HP122" s="3">
        <f ca="1">IFERROR(__xludf.DUMMYFUNCTION("""COMPUTED_VALUE"""),-0.965474287684189)</f>
        <v>-0.96547428768418897</v>
      </c>
      <c r="HQ122" s="3">
        <f ca="1">IFERROR(__xludf.DUMMYFUNCTION("""COMPUTED_VALUE"""),-0.95928974260557)</f>
        <v>-0.95928974260556998</v>
      </c>
      <c r="HR122" s="3">
        <f ca="1">IFERROR(__xludf.DUMMYFUNCTION("""COMPUTED_VALUE"""),-0.962279708586549)</f>
        <v>-0.96227970858654899</v>
      </c>
      <c r="HS122" s="3">
        <f ca="1">IFERROR(__xludf.DUMMYFUNCTION("""COMPUTED_VALUE"""),-0.952079830885586)</f>
        <v>-0.95207983088558601</v>
      </c>
      <c r="HT122" s="3">
        <f ca="1">IFERROR(__xludf.DUMMYFUNCTION("""COMPUTED_VALUE"""),-0.93942278545732)</f>
        <v>-0.93942278545732005</v>
      </c>
      <c r="HU122" s="3">
        <f ca="1">IFERROR(__xludf.DUMMYFUNCTION("""COMPUTED_VALUE"""),-0.938713727106346)</f>
        <v>-0.93871372710634604</v>
      </c>
      <c r="HV122" s="3">
        <f ca="1">IFERROR(__xludf.DUMMYFUNCTION("""COMPUTED_VALUE"""),-0.942902266991551)</f>
        <v>-0.942902266991551</v>
      </c>
      <c r="HW122" s="3">
        <f ca="1">IFERROR(__xludf.DUMMYFUNCTION("""COMPUTED_VALUE"""),-0.94817115455196)</f>
        <v>-0.94817115455195999</v>
      </c>
      <c r="HX122" s="3">
        <f ca="1">IFERROR(__xludf.DUMMYFUNCTION("""COMPUTED_VALUE"""),-0.955857140805302)</f>
        <v>-0.95585714080530204</v>
      </c>
      <c r="HY122" s="3">
        <f ca="1">IFERROR(__xludf.DUMMYFUNCTION("""COMPUTED_VALUE"""),-0.938593912578359)</f>
        <v>-0.938593912578359</v>
      </c>
      <c r="HZ122" s="3">
        <f ca="1">IFERROR(__xludf.DUMMYFUNCTION("""COMPUTED_VALUE"""),-0.931278101993522)</f>
        <v>-0.93127810199352201</v>
      </c>
      <c r="IA122" s="3">
        <f ca="1">IFERROR(__xludf.DUMMYFUNCTION("""COMPUTED_VALUE"""),-0.924428271489095)</f>
        <v>-0.92442827148909501</v>
      </c>
      <c r="IB122" s="3">
        <f ca="1">IFERROR(__xludf.DUMMYFUNCTION("""COMPUTED_VALUE"""),-0.93252502121385)</f>
        <v>-0.93252502121384995</v>
      </c>
      <c r="IC122" s="3">
        <f ca="1">IFERROR(__xludf.DUMMYFUNCTION("""COMPUTED_VALUE"""),-0.937881319753177)</f>
        <v>-0.93788131975317701</v>
      </c>
      <c r="ID122" s="3">
        <f ca="1">IFERROR(__xludf.DUMMYFUNCTION("""COMPUTED_VALUE"""),-0.942057479188656)</f>
        <v>-0.94205747918865601</v>
      </c>
      <c r="IE122" s="3">
        <f ca="1">IFERROR(__xludf.DUMMYFUNCTION("""COMPUTED_VALUE"""),-0.950095053955462)</f>
        <v>-0.95009505395546201</v>
      </c>
      <c r="IF122" s="3">
        <f ca="1">IFERROR(__xludf.DUMMYFUNCTION("""COMPUTED_VALUE"""),-0.947704673649873)</f>
        <v>-0.94770467364987299</v>
      </c>
      <c r="IG122" s="3">
        <f ca="1">IFERROR(__xludf.DUMMYFUNCTION("""COMPUTED_VALUE"""),-0.938625021916545)</f>
        <v>-0.93862502191654495</v>
      </c>
      <c r="IH122" s="3">
        <f ca="1">IFERROR(__xludf.DUMMYFUNCTION("""COMPUTED_VALUE"""),-0.938128520250605)</f>
        <v>-0.938128520250605</v>
      </c>
      <c r="II122" s="3">
        <f ca="1">IFERROR(__xludf.DUMMYFUNCTION("""COMPUTED_VALUE"""),-0.927584229851089)</f>
        <v>-0.92758422985108901</v>
      </c>
      <c r="IJ122" s="3">
        <f ca="1">IFERROR(__xludf.DUMMYFUNCTION("""COMPUTED_VALUE"""),-0.929016211507069)</f>
        <v>-0.92901621150706903</v>
      </c>
      <c r="IK122" s="3">
        <f ca="1">IFERROR(__xludf.DUMMYFUNCTION("""COMPUTED_VALUE"""),-0.942740505037369)</f>
        <v>-0.94274050503736895</v>
      </c>
      <c r="IL122" s="3">
        <f ca="1">IFERROR(__xludf.DUMMYFUNCTION("""COMPUTED_VALUE"""),-0.939541246239177)</f>
        <v>-0.93954124623917701</v>
      </c>
      <c r="IM122" s="3">
        <f ca="1">IFERROR(__xludf.DUMMYFUNCTION("""COMPUTED_VALUE"""),-0.93574991248562)</f>
        <v>-0.93574991248562001</v>
      </c>
      <c r="IN122" s="3">
        <f ca="1">IFERROR(__xludf.DUMMYFUNCTION("""COMPUTED_VALUE"""),-0.924688805795066)</f>
        <v>-0.92468880579506596</v>
      </c>
      <c r="IO122" s="3">
        <f ca="1">IFERROR(__xludf.DUMMYFUNCTION("""COMPUTED_VALUE"""),-0.917933337406949)</f>
        <v>-0.91793333740694905</v>
      </c>
      <c r="IP122" s="3">
        <f ca="1">IFERROR(__xludf.DUMMYFUNCTION("""COMPUTED_VALUE"""),-0.920935509563073)</f>
        <v>-0.92093550956307302</v>
      </c>
      <c r="IQ122" s="3">
        <f ca="1">IFERROR(__xludf.DUMMYFUNCTION("""COMPUTED_VALUE"""),-0.932049081448033)</f>
        <v>-0.932049081448033</v>
      </c>
      <c r="IR122" s="3">
        <f ca="1">IFERROR(__xludf.DUMMYFUNCTION("""COMPUTED_VALUE"""),-0.94561500328176)</f>
        <v>-0.94561500328175996</v>
      </c>
      <c r="IS122" s="3">
        <f ca="1">IFERROR(__xludf.DUMMYFUNCTION("""COMPUTED_VALUE"""),-0.93944242590031)</f>
        <v>-0.93944242590031002</v>
      </c>
      <c r="IT122" s="3">
        <f ca="1">IFERROR(__xludf.DUMMYFUNCTION("""COMPUTED_VALUE"""),-0.947310882469667)</f>
        <v>-0.94731088246966699</v>
      </c>
      <c r="IU122" s="3">
        <f ca="1">IFERROR(__xludf.DUMMYFUNCTION("""COMPUTED_VALUE"""),-0.938076131129626)</f>
        <v>-0.93807613112962596</v>
      </c>
      <c r="IV122" s="3">
        <f ca="1">IFERROR(__xludf.DUMMYFUNCTION("""COMPUTED_VALUE"""),-0.945225933877788)</f>
        <v>-0.94522593387778797</v>
      </c>
      <c r="IW122" s="3">
        <f ca="1">IFERROR(__xludf.DUMMYFUNCTION("""COMPUTED_VALUE"""),-0.940659452382574)</f>
        <v>-0.94065945238257398</v>
      </c>
      <c r="IX122" s="3">
        <f ca="1">IFERROR(__xludf.DUMMYFUNCTION("""COMPUTED_VALUE"""),-0.946642067300903)</f>
        <v>-0.94664206730090295</v>
      </c>
      <c r="IY122" s="3">
        <f ca="1">IFERROR(__xludf.DUMMYFUNCTION("""COMPUTED_VALUE"""),-0.945145667952101)</f>
        <v>-0.94514566795210098</v>
      </c>
      <c r="IZ122" s="3">
        <f ca="1">IFERROR(__xludf.DUMMYFUNCTION("""COMPUTED_VALUE"""),-0.94132504946795)</f>
        <v>-0.94132504946795004</v>
      </c>
      <c r="JA122" s="3">
        <f ca="1">IFERROR(__xludf.DUMMYFUNCTION("""COMPUTED_VALUE"""),-0.943077032674653)</f>
        <v>-0.94307703267465304</v>
      </c>
      <c r="JB122" s="3">
        <f ca="1">IFERROR(__xludf.DUMMYFUNCTION("""COMPUTED_VALUE"""),-0.950425442600696)</f>
        <v>-0.95042544260069595</v>
      </c>
      <c r="JC122" s="3">
        <f ca="1">IFERROR(__xludf.DUMMYFUNCTION("""COMPUTED_VALUE"""),-0.937278248167895)</f>
        <v>-0.93727824816789496</v>
      </c>
      <c r="JD122" s="3">
        <f ca="1">IFERROR(__xludf.DUMMYFUNCTION("""COMPUTED_VALUE"""),-0.949142037076367)</f>
        <v>-0.94914203707636702</v>
      </c>
      <c r="JE122" s="3">
        <f ca="1">IFERROR(__xludf.DUMMYFUNCTION("""COMPUTED_VALUE"""),-0.946665449808508)</f>
        <v>-0.94666544980850797</v>
      </c>
      <c r="JF122" s="3">
        <f ca="1">IFERROR(__xludf.DUMMYFUNCTION("""COMPUTED_VALUE"""),-0.941424701110725)</f>
        <v>-0.94142470111072496</v>
      </c>
      <c r="JG122" s="3">
        <f ca="1">IFERROR(__xludf.DUMMYFUNCTION("""COMPUTED_VALUE"""),-0.956630511706243)</f>
        <v>-0.95663051170624303</v>
      </c>
      <c r="JH122" s="3">
        <f ca="1">IFERROR(__xludf.DUMMYFUNCTION("""COMPUTED_VALUE"""),-0.939740637189135)</f>
        <v>-0.93974063718913503</v>
      </c>
      <c r="JI122" s="3">
        <f ca="1">IFERROR(__xludf.DUMMYFUNCTION("""COMPUTED_VALUE"""),-0.956877788011952)</f>
        <v>-0.956877788011952</v>
      </c>
      <c r="JJ122" s="3">
        <f ca="1">IFERROR(__xludf.DUMMYFUNCTION("""COMPUTED_VALUE"""),-0.939013245891476)</f>
        <v>-0.93901324589147595</v>
      </c>
      <c r="JK122" s="3">
        <f ca="1">IFERROR(__xludf.DUMMYFUNCTION("""COMPUTED_VALUE"""),-0.938493730481531)</f>
        <v>-0.93849373048153095</v>
      </c>
      <c r="JL122" s="3">
        <f ca="1">IFERROR(__xludf.DUMMYFUNCTION("""COMPUTED_VALUE"""),-0.944275879427139)</f>
        <v>-0.94427587942713898</v>
      </c>
      <c r="JM122" s="3">
        <f ca="1">IFERROR(__xludf.DUMMYFUNCTION("""COMPUTED_VALUE"""),-0.94667635334586)</f>
        <v>-0.94667635334585998</v>
      </c>
      <c r="JN122" s="3">
        <f ca="1">IFERROR(__xludf.DUMMYFUNCTION("""COMPUTED_VALUE"""),-0.949893079456886)</f>
        <v>-0.94989307945688595</v>
      </c>
      <c r="JO122" s="3">
        <f ca="1">IFERROR(__xludf.DUMMYFUNCTION("""COMPUTED_VALUE"""),-0.95766572651148)</f>
        <v>-0.95766572651147996</v>
      </c>
      <c r="JP122" s="3">
        <f ca="1">IFERROR(__xludf.DUMMYFUNCTION("""COMPUTED_VALUE"""),-0.949525312094693)</f>
        <v>-0.94952531209469304</v>
      </c>
      <c r="JQ122" s="3">
        <f ca="1">IFERROR(__xludf.DUMMYFUNCTION("""COMPUTED_VALUE"""),-0.948493012590347)</f>
        <v>-0.94849301259034702</v>
      </c>
      <c r="JR122" s="3">
        <f ca="1">IFERROR(__xludf.DUMMYFUNCTION("""COMPUTED_VALUE"""),-0.943368643343928)</f>
        <v>-0.943368643343928</v>
      </c>
      <c r="JS122" s="3">
        <f ca="1">IFERROR(__xludf.DUMMYFUNCTION("""COMPUTED_VALUE"""),-0.935833286027904)</f>
        <v>-0.93583328602790405</v>
      </c>
      <c r="JT122" s="3">
        <f ca="1">IFERROR(__xludf.DUMMYFUNCTION("""COMPUTED_VALUE"""),-0.934301844341135)</f>
        <v>-0.93430184434113495</v>
      </c>
      <c r="JU122" s="3">
        <f ca="1">IFERROR(__xludf.DUMMYFUNCTION("""COMPUTED_VALUE"""),-0.948594194295345)</f>
        <v>-0.94859419429534497</v>
      </c>
      <c r="JV122" s="3">
        <f ca="1">IFERROR(__xludf.DUMMYFUNCTION("""COMPUTED_VALUE"""),-0.949174498664558)</f>
        <v>-0.94917449866455805</v>
      </c>
      <c r="JW122" s="3">
        <f ca="1">IFERROR(__xludf.DUMMYFUNCTION("""COMPUTED_VALUE"""),-0.955215631519351)</f>
        <v>-0.95521563151935096</v>
      </c>
      <c r="JX122" s="3">
        <f ca="1">IFERROR(__xludf.DUMMYFUNCTION("""COMPUTED_VALUE"""),-0.947359888251512)</f>
        <v>-0.94735988825151196</v>
      </c>
      <c r="JY122" s="3">
        <f ca="1">IFERROR(__xludf.DUMMYFUNCTION("""COMPUTED_VALUE"""),-0.943852013295941)</f>
        <v>-0.94385201329594104</v>
      </c>
      <c r="JZ122" s="3">
        <f ca="1">IFERROR(__xludf.DUMMYFUNCTION("""COMPUTED_VALUE"""),-0.940895705353499)</f>
        <v>-0.94089570535349898</v>
      </c>
      <c r="KA122" s="3">
        <f ca="1">IFERROR(__xludf.DUMMYFUNCTION("""COMPUTED_VALUE"""),-0.936531268578835)</f>
        <v>-0.93653126857883495</v>
      </c>
      <c r="KB122" s="3">
        <f ca="1">IFERROR(__xludf.DUMMYFUNCTION("""COMPUTED_VALUE"""),-0.950288391358927)</f>
        <v>-0.95028839135892695</v>
      </c>
      <c r="KC122" s="3">
        <f ca="1">IFERROR(__xludf.DUMMYFUNCTION("""COMPUTED_VALUE"""),-0.945095075148006)</f>
        <v>-0.94509507514800595</v>
      </c>
      <c r="KD122" s="3">
        <f ca="1">IFERROR(__xludf.DUMMYFUNCTION("""COMPUTED_VALUE"""),-0.948784620761001)</f>
        <v>-0.94878462076100101</v>
      </c>
      <c r="KE122" s="3">
        <f ca="1">IFERROR(__xludf.DUMMYFUNCTION("""COMPUTED_VALUE"""),-0.943331036715662)</f>
        <v>-0.94333103671566199</v>
      </c>
      <c r="KF122" s="3">
        <f ca="1">IFERROR(__xludf.DUMMYFUNCTION("""COMPUTED_VALUE"""),-0.937890457651675)</f>
        <v>-0.937890457651675</v>
      </c>
      <c r="KG122" s="3">
        <f ca="1">IFERROR(__xludf.DUMMYFUNCTION("""COMPUTED_VALUE"""),-0.947130494025675)</f>
        <v>-0.94713049402567495</v>
      </c>
      <c r="KH122" s="3">
        <f ca="1">IFERROR(__xludf.DUMMYFUNCTION("""COMPUTED_VALUE"""),-0.945570678512453)</f>
        <v>-0.94557067851245302</v>
      </c>
      <c r="KI122" s="3">
        <f ca="1">IFERROR(__xludf.DUMMYFUNCTION("""COMPUTED_VALUE"""),-0.956741184552341)</f>
        <v>-0.95674118455234103</v>
      </c>
      <c r="KJ122" s="3">
        <f ca="1">IFERROR(__xludf.DUMMYFUNCTION("""COMPUTED_VALUE"""),-0.953580781888727)</f>
        <v>-0.95358078188872697</v>
      </c>
      <c r="KK122" s="3">
        <f ca="1">IFERROR(__xludf.DUMMYFUNCTION("""COMPUTED_VALUE"""),-0.953662079061507)</f>
        <v>-0.95366207906150702</v>
      </c>
      <c r="KL122" s="3">
        <f ca="1">IFERROR(__xludf.DUMMYFUNCTION("""COMPUTED_VALUE"""),-0.932524710769685)</f>
        <v>-0.93252471076968502</v>
      </c>
      <c r="KM122" s="3">
        <f ca="1">IFERROR(__xludf.DUMMYFUNCTION("""COMPUTED_VALUE"""),-0.93189827971542)</f>
        <v>-0.93189827971542005</v>
      </c>
      <c r="KN122" s="3">
        <f ca="1">IFERROR(__xludf.DUMMYFUNCTION("""COMPUTED_VALUE"""),-0.927536049057557)</f>
        <v>-0.92753604905755704</v>
      </c>
      <c r="KO122" s="3">
        <f ca="1">IFERROR(__xludf.DUMMYFUNCTION("""COMPUTED_VALUE"""),-0.946763090786454)</f>
        <v>-0.94676309078645404</v>
      </c>
      <c r="KP122" s="3">
        <f ca="1">IFERROR(__xludf.DUMMYFUNCTION("""COMPUTED_VALUE"""),-0.930347466222705)</f>
        <v>-0.93034746622270503</v>
      </c>
      <c r="KQ122" s="3">
        <f ca="1">IFERROR(__xludf.DUMMYFUNCTION("""COMPUTED_VALUE"""),-0.940013172141148)</f>
        <v>-0.94001317214114799</v>
      </c>
      <c r="KR122" s="3">
        <f ca="1">IFERROR(__xludf.DUMMYFUNCTION("""COMPUTED_VALUE"""),-0.948854906649856)</f>
        <v>-0.94885490664985594</v>
      </c>
      <c r="KS122" s="3">
        <f ca="1">IFERROR(__xludf.DUMMYFUNCTION("""COMPUTED_VALUE"""),-0.946437357809769)</f>
        <v>-0.94643735780976901</v>
      </c>
      <c r="KT122" s="3">
        <f ca="1">IFERROR(__xludf.DUMMYFUNCTION("""COMPUTED_VALUE"""),-0.949646201835974)</f>
        <v>-0.94964620183597404</v>
      </c>
      <c r="KU122" s="3">
        <f ca="1">IFERROR(__xludf.DUMMYFUNCTION("""COMPUTED_VALUE"""),-0.946620769074434)</f>
        <v>-0.94662076907443404</v>
      </c>
      <c r="KV122" s="3">
        <f ca="1">IFERROR(__xludf.DUMMYFUNCTION("""COMPUTED_VALUE"""),-0.956965553077885)</f>
        <v>-0.956965553077885</v>
      </c>
      <c r="KW122" s="3">
        <f ca="1">IFERROR(__xludf.DUMMYFUNCTION("""COMPUTED_VALUE"""),-0.957888330466981)</f>
        <v>-0.95788833046698096</v>
      </c>
      <c r="KX122" s="3">
        <f ca="1">IFERROR(__xludf.DUMMYFUNCTION("""COMPUTED_VALUE"""),-0.952426733816655)</f>
        <v>-0.95242673381665499</v>
      </c>
      <c r="KY122" s="3">
        <f ca="1">IFERROR(__xludf.DUMMYFUNCTION("""COMPUTED_VALUE"""),-0.950658042425115)</f>
        <v>-0.95065804242511498</v>
      </c>
      <c r="KZ122" s="3">
        <f ca="1">IFERROR(__xludf.DUMMYFUNCTION("""COMPUTED_VALUE"""),-0.952535630597649)</f>
        <v>-0.95253563059764901</v>
      </c>
      <c r="LA122" s="3">
        <f ca="1">IFERROR(__xludf.DUMMYFUNCTION("""COMPUTED_VALUE"""),-0.941659168371055)</f>
        <v>-0.94165916837105501</v>
      </c>
      <c r="LB122" s="3">
        <f ca="1">IFERROR(__xludf.DUMMYFUNCTION("""COMPUTED_VALUE"""),-0.949325906662104)</f>
        <v>-0.94932590666210404</v>
      </c>
      <c r="LC122" s="3">
        <f ca="1">IFERROR(__xludf.DUMMYFUNCTION("""COMPUTED_VALUE"""),-0.958041428616578)</f>
        <v>-0.95804142861657804</v>
      </c>
      <c r="LD122" s="3">
        <f ca="1">IFERROR(__xludf.DUMMYFUNCTION("""COMPUTED_VALUE"""),-0.957312751492072)</f>
        <v>-0.95731275149207196</v>
      </c>
      <c r="LE122" s="3">
        <f ca="1">IFERROR(__xludf.DUMMYFUNCTION("""COMPUTED_VALUE"""),-0.952554941731499)</f>
        <v>-0.95255494173149902</v>
      </c>
      <c r="LF122" s="3">
        <f ca="1">IFERROR(__xludf.DUMMYFUNCTION("""COMPUTED_VALUE"""),-0.936968526377669)</f>
        <v>-0.93696852637766903</v>
      </c>
      <c r="LG122" s="3">
        <f ca="1">IFERROR(__xludf.DUMMYFUNCTION("""COMPUTED_VALUE"""),-0.920573734082538)</f>
        <v>-0.92057373408253795</v>
      </c>
      <c r="LH122" s="3">
        <f ca="1">IFERROR(__xludf.DUMMYFUNCTION("""COMPUTED_VALUE"""),-0.931419366074839)</f>
        <v>-0.93141936607483899</v>
      </c>
      <c r="LI122" s="3">
        <f ca="1">IFERROR(__xludf.DUMMYFUNCTION("""COMPUTED_VALUE"""),-0.948013701688711)</f>
        <v>-0.94801370168871102</v>
      </c>
      <c r="LJ122" s="3">
        <f ca="1">IFERROR(__xludf.DUMMYFUNCTION("""COMPUTED_VALUE"""),-0.950653938516265)</f>
        <v>-0.95065393851626501</v>
      </c>
      <c r="LK122" s="3">
        <f ca="1">IFERROR(__xludf.DUMMYFUNCTION("""COMPUTED_VALUE"""),-0.947218093899263)</f>
        <v>-0.94721809389926304</v>
      </c>
      <c r="LL122" s="3">
        <f ca="1">IFERROR(__xludf.DUMMYFUNCTION("""COMPUTED_VALUE"""),-0.941233226352946)</f>
        <v>-0.94123322635294604</v>
      </c>
      <c r="LM122" s="3">
        <f ca="1">IFERROR(__xludf.DUMMYFUNCTION("""COMPUTED_VALUE"""),-0.95199153228783)</f>
        <v>-0.95199153228782996</v>
      </c>
      <c r="LN122" s="3">
        <f ca="1">IFERROR(__xludf.DUMMYFUNCTION("""COMPUTED_VALUE"""),-0.958149360625647)</f>
        <v>-0.95814936062564704</v>
      </c>
      <c r="LO122" s="3">
        <f ca="1">IFERROR(__xludf.DUMMYFUNCTION("""COMPUTED_VALUE"""),-0.94756517345748)</f>
        <v>-0.94756517345748004</v>
      </c>
      <c r="LP122" s="3">
        <f ca="1">IFERROR(__xludf.DUMMYFUNCTION("""COMPUTED_VALUE"""),-0.961782049329679)</f>
        <v>-0.96178204932967903</v>
      </c>
      <c r="LQ122" s="3">
        <f ca="1">IFERROR(__xludf.DUMMYFUNCTION("""COMPUTED_VALUE"""),-0.962085475032337)</f>
        <v>-0.96208547503233699</v>
      </c>
      <c r="LR122" s="3">
        <f ca="1">IFERROR(__xludf.DUMMYFUNCTION("""COMPUTED_VALUE"""),-0.968537335370667)</f>
        <v>-0.968537335370667</v>
      </c>
      <c r="LS122" s="3">
        <f ca="1">IFERROR(__xludf.DUMMYFUNCTION("""COMPUTED_VALUE"""),-0.960823666557869)</f>
        <v>-0.96082366655786899</v>
      </c>
      <c r="LT122" s="3">
        <f ca="1">IFERROR(__xludf.DUMMYFUNCTION("""COMPUTED_VALUE"""),-0.948788915650422)</f>
        <v>-0.948788915650422</v>
      </c>
      <c r="LU122" s="3">
        <f ca="1">IFERROR(__xludf.DUMMYFUNCTION("""COMPUTED_VALUE"""),-0.967066542805633)</f>
        <v>-0.96706654280563298</v>
      </c>
      <c r="LV122" s="3">
        <f ca="1">IFERROR(__xludf.DUMMYFUNCTION("""COMPUTED_VALUE"""),-0.967717675086247)</f>
        <v>-0.96771767508624695</v>
      </c>
      <c r="LW122" s="3">
        <f ca="1">IFERROR(__xludf.DUMMYFUNCTION("""COMPUTED_VALUE"""),-0.970674430359458)</f>
        <v>-0.970674430359458</v>
      </c>
      <c r="LX122" s="3">
        <f ca="1">IFERROR(__xludf.DUMMYFUNCTION("""COMPUTED_VALUE"""),-0.975016517019252)</f>
        <v>-0.97501651701925196</v>
      </c>
      <c r="LY122" s="3">
        <f ca="1">IFERROR(__xludf.DUMMYFUNCTION("""COMPUTED_VALUE"""),-0.980164365733152)</f>
        <v>-0.98016436573315202</v>
      </c>
      <c r="LZ122" s="3">
        <f ca="1">IFERROR(__xludf.DUMMYFUNCTION("""COMPUTED_VALUE"""),-0.972438115442946)</f>
        <v>-0.97243811544294601</v>
      </c>
      <c r="MA122" s="3">
        <f ca="1">IFERROR(__xludf.DUMMYFUNCTION("""COMPUTED_VALUE"""),-0.971439665642358)</f>
        <v>-0.97143966564235795</v>
      </c>
      <c r="MB122" s="3">
        <f ca="1">IFERROR(__xludf.DUMMYFUNCTION("""COMPUTED_VALUE"""),-0.979103338811169)</f>
        <v>-0.97910333881116896</v>
      </c>
      <c r="MC122" s="3">
        <f ca="1">IFERROR(__xludf.DUMMYFUNCTION("""COMPUTED_VALUE"""),-0.981758939494099)</f>
        <v>-0.98175893949409898</v>
      </c>
      <c r="MD122" s="3">
        <f ca="1">IFERROR(__xludf.DUMMYFUNCTION("""COMPUTED_VALUE"""),-0.974320024865929)</f>
        <v>-0.97432002486592895</v>
      </c>
      <c r="ME122" s="3">
        <f ca="1">IFERROR(__xludf.DUMMYFUNCTION("""COMPUTED_VALUE"""),-0.981501861070151)</f>
        <v>-0.98150186107015103</v>
      </c>
      <c r="MF122" s="3">
        <f ca="1">IFERROR(__xludf.DUMMYFUNCTION("""COMPUTED_VALUE"""),-0.981773493031529)</f>
        <v>-0.98177349303152905</v>
      </c>
      <c r="MG122" s="3">
        <f ca="1">IFERROR(__xludf.DUMMYFUNCTION("""COMPUTED_VALUE"""),-0.982828181575789)</f>
        <v>-0.98282818157578899</v>
      </c>
      <c r="MH122" s="3">
        <f ca="1">IFERROR(__xludf.DUMMYFUNCTION("""COMPUTED_VALUE"""),-0.974681535139066)</f>
        <v>-0.97468153513906597</v>
      </c>
      <c r="MI122" s="3">
        <f ca="1">IFERROR(__xludf.DUMMYFUNCTION("""COMPUTED_VALUE"""),-0.984045034840456)</f>
        <v>-0.98404503484045602</v>
      </c>
      <c r="MJ122" s="3">
        <f ca="1">IFERROR(__xludf.DUMMYFUNCTION("""COMPUTED_VALUE"""),-0.979426364094076)</f>
        <v>-0.97942636409407602</v>
      </c>
      <c r="MK122" s="3">
        <f ca="1">IFERROR(__xludf.DUMMYFUNCTION("""COMPUTED_VALUE"""),-0.978845582371743)</f>
        <v>-0.97884558237174302</v>
      </c>
      <c r="ML122" s="3">
        <f ca="1">IFERROR(__xludf.DUMMYFUNCTION("""COMPUTED_VALUE"""),-0.983151378728639)</f>
        <v>-0.983151378728639</v>
      </c>
      <c r="MM122" s="3">
        <f ca="1">IFERROR(__xludf.DUMMYFUNCTION("""COMPUTED_VALUE"""),-0.984091266265275)</f>
        <v>-0.98409126626527499</v>
      </c>
      <c r="MN122" s="3">
        <f ca="1">IFERROR(__xludf.DUMMYFUNCTION("""COMPUTED_VALUE"""),-0.986040267118543)</f>
        <v>-0.98604026711854298</v>
      </c>
      <c r="MO122" s="3">
        <f ca="1">IFERROR(__xludf.DUMMYFUNCTION("""COMPUTED_VALUE"""),-0.979794863206808)</f>
        <v>-0.97979486320680798</v>
      </c>
      <c r="MP122" s="3">
        <f ca="1">IFERROR(__xludf.DUMMYFUNCTION("""COMPUTED_VALUE"""),-0.979940764518795)</f>
        <v>-0.97994076451879497</v>
      </c>
      <c r="MQ122" s="3">
        <f ca="1">IFERROR(__xludf.DUMMYFUNCTION("""COMPUTED_VALUE"""),-0.977452027260734)</f>
        <v>-0.97745202726073399</v>
      </c>
      <c r="MR122" s="3">
        <f ca="1">IFERROR(__xludf.DUMMYFUNCTION("""COMPUTED_VALUE"""),-0.980874918805336)</f>
        <v>-0.98087491880533595</v>
      </c>
      <c r="MS122" s="3">
        <f ca="1">IFERROR(__xludf.DUMMYFUNCTION("""COMPUTED_VALUE"""),-0.981567766989305)</f>
        <v>-0.98156776698930503</v>
      </c>
      <c r="MT122" s="3">
        <f ca="1">IFERROR(__xludf.DUMMYFUNCTION("""COMPUTED_VALUE"""),-0.982567034281633)</f>
        <v>-0.98256703428163295</v>
      </c>
      <c r="MU122" s="3">
        <f ca="1">IFERROR(__xludf.DUMMYFUNCTION("""COMPUTED_VALUE"""),-0.979335659450103)</f>
        <v>-0.97933565945010304</v>
      </c>
      <c r="MV122" s="3">
        <f ca="1">IFERROR(__xludf.DUMMYFUNCTION("""COMPUTED_VALUE"""),-0.974107693956484)</f>
        <v>-0.974107693956484</v>
      </c>
      <c r="MW122" s="3">
        <f ca="1">IFERROR(__xludf.DUMMYFUNCTION("""COMPUTED_VALUE"""),-0.981531972767108)</f>
        <v>-0.98153197276710802</v>
      </c>
      <c r="MX122" s="3">
        <f ca="1">IFERROR(__xludf.DUMMYFUNCTION("""COMPUTED_VALUE"""),-0.972486355764387)</f>
        <v>-0.97248635576438702</v>
      </c>
      <c r="MY122" s="3">
        <f ca="1">IFERROR(__xludf.DUMMYFUNCTION("""COMPUTED_VALUE"""),-0.977143513008591)</f>
        <v>-0.97714351300859104</v>
      </c>
      <c r="MZ122" s="3">
        <f ca="1">IFERROR(__xludf.DUMMYFUNCTION("""COMPUTED_VALUE"""),-0.981174420877082)</f>
        <v>-0.98117442087708195</v>
      </c>
      <c r="NA122" s="3">
        <f ca="1">IFERROR(__xludf.DUMMYFUNCTION("""COMPUTED_VALUE"""),-0.980884988510799)</f>
        <v>-0.98088498851079897</v>
      </c>
      <c r="NB122" s="3">
        <f ca="1">IFERROR(__xludf.DUMMYFUNCTION("""COMPUTED_VALUE"""),-0.981583160418116)</f>
        <v>-0.981583160418116</v>
      </c>
      <c r="NC122" s="3">
        <f ca="1">IFERROR(__xludf.DUMMYFUNCTION("""COMPUTED_VALUE"""),-0.963133772073123)</f>
        <v>-0.96313377207312301</v>
      </c>
      <c r="ND122" s="3">
        <f ca="1">IFERROR(__xludf.DUMMYFUNCTION("""COMPUTED_VALUE"""),-0.976144812387128)</f>
        <v>-0.97614481238712802</v>
      </c>
      <c r="NE122" s="3">
        <f ca="1">IFERROR(__xludf.DUMMYFUNCTION("""COMPUTED_VALUE"""),-0.972883922850682)</f>
        <v>-0.97288392285068204</v>
      </c>
      <c r="NF122" s="3">
        <f ca="1">IFERROR(__xludf.DUMMYFUNCTION("""COMPUTED_VALUE"""),-0.965291858918286)</f>
        <v>-0.96529185891828595</v>
      </c>
      <c r="NG122" s="3">
        <f ca="1">IFERROR(__xludf.DUMMYFUNCTION("""COMPUTED_VALUE"""),-0.960435732869929)</f>
        <v>-0.960435732869929</v>
      </c>
      <c r="NH122" s="3">
        <f ca="1">IFERROR(__xludf.DUMMYFUNCTION("""COMPUTED_VALUE"""),-0.970088428790921)</f>
        <v>-0.97008842879092105</v>
      </c>
      <c r="NI122" s="3">
        <f ca="1">IFERROR(__xludf.DUMMYFUNCTION("""COMPUTED_VALUE"""),-0.955550338822306)</f>
        <v>-0.955550338822306</v>
      </c>
      <c r="NJ122" s="3">
        <f ca="1">IFERROR(__xludf.DUMMYFUNCTION("""COMPUTED_VALUE"""),-0.964824144120266)</f>
        <v>-0.96482414412026596</v>
      </c>
      <c r="NK122" s="3">
        <f ca="1">IFERROR(__xludf.DUMMYFUNCTION("""COMPUTED_VALUE"""),-0.950859878540484)</f>
        <v>-0.95085987854048404</v>
      </c>
      <c r="NL122" s="3">
        <f ca="1">IFERROR(__xludf.DUMMYFUNCTION("""COMPUTED_VALUE"""),-0.933274656711684)</f>
        <v>-0.93327465671168397</v>
      </c>
      <c r="NM122" s="3">
        <f ca="1">IFERROR(__xludf.DUMMYFUNCTION("""COMPUTED_VALUE"""),-0.953737027020477)</f>
        <v>-0.95373702702047702</v>
      </c>
      <c r="NN122" s="3">
        <f ca="1">IFERROR(__xludf.DUMMYFUNCTION("""COMPUTED_VALUE"""),-0.955379612813265)</f>
        <v>-0.955379612813265</v>
      </c>
      <c r="NO122" s="3">
        <f ca="1">IFERROR(__xludf.DUMMYFUNCTION("""COMPUTED_VALUE"""),-0.96223107596942)</f>
        <v>-0.96223107596942004</v>
      </c>
      <c r="NP122" s="3">
        <f ca="1">IFERROR(__xludf.DUMMYFUNCTION("""COMPUTED_VALUE"""),-0.954055300410349)</f>
        <v>-0.95405530041034903</v>
      </c>
      <c r="NQ122" s="3">
        <f ca="1">IFERROR(__xludf.DUMMYFUNCTION("""COMPUTED_VALUE"""),-0.945755033993133)</f>
        <v>-0.94575503399313299</v>
      </c>
      <c r="NR122" s="3">
        <f ca="1">IFERROR(__xludf.DUMMYFUNCTION("""COMPUTED_VALUE"""),-0.94911205247555)</f>
        <v>-0.94911205247554997</v>
      </c>
      <c r="NS122" s="3">
        <f ca="1">IFERROR(__xludf.DUMMYFUNCTION("""COMPUTED_VALUE"""),-0.946650791556253)</f>
        <v>-0.94665079155625298</v>
      </c>
      <c r="NT122" s="3">
        <f ca="1">IFERROR(__xludf.DUMMYFUNCTION("""COMPUTED_VALUE"""),-0.957892558066303)</f>
        <v>-0.95789255806630302</v>
      </c>
      <c r="NU122" s="3">
        <f ca="1">IFERROR(__xludf.DUMMYFUNCTION("""COMPUTED_VALUE"""),-0.954263825225509)</f>
        <v>-0.95426382522550901</v>
      </c>
      <c r="NV122" s="3">
        <f ca="1">IFERROR(__xludf.DUMMYFUNCTION("""COMPUTED_VALUE"""),-0.960914534245009)</f>
        <v>-0.96091453424500906</v>
      </c>
      <c r="NW122" s="3">
        <f ca="1">IFERROR(__xludf.DUMMYFUNCTION("""COMPUTED_VALUE"""),-0.952015789917171)</f>
        <v>-0.95201578991717095</v>
      </c>
      <c r="NX122" s="3">
        <f ca="1">IFERROR(__xludf.DUMMYFUNCTION("""COMPUTED_VALUE"""),-0.937474709283718)</f>
        <v>-0.93747470928371801</v>
      </c>
      <c r="NY122" s="3">
        <f ca="1">IFERROR(__xludf.DUMMYFUNCTION("""COMPUTED_VALUE"""),-0.931019286360332)</f>
        <v>-0.93101928636033204</v>
      </c>
      <c r="NZ122" s="3">
        <f ca="1">IFERROR(__xludf.DUMMYFUNCTION("""COMPUTED_VALUE"""),-0.915221929394924)</f>
        <v>-0.91522192939492397</v>
      </c>
      <c r="OA122" s="3">
        <f ca="1">IFERROR(__xludf.DUMMYFUNCTION("""COMPUTED_VALUE"""),-0.926747649888678)</f>
        <v>-0.92674764988867797</v>
      </c>
      <c r="OB122" s="3">
        <f ca="1">IFERROR(__xludf.DUMMYFUNCTION("""COMPUTED_VALUE"""),-0.939559685626556)</f>
        <v>-0.93955968562655601</v>
      </c>
      <c r="OC122" s="3">
        <f ca="1">IFERROR(__xludf.DUMMYFUNCTION("""COMPUTED_VALUE"""),-0.933271195716672)</f>
        <v>-0.93327119571667205</v>
      </c>
      <c r="OD122" s="3">
        <f ca="1">IFERROR(__xludf.DUMMYFUNCTION("""COMPUTED_VALUE"""),-0.885237215870582)</f>
        <v>-0.88523721587058202</v>
      </c>
      <c r="OE122" s="3">
        <f ca="1">IFERROR(__xludf.DUMMYFUNCTION("""COMPUTED_VALUE"""),-0.69486615309827)</f>
        <v>-0.69486615309827005</v>
      </c>
      <c r="OF122" s="3">
        <f ca="1">IFERROR(__xludf.DUMMYFUNCTION("""COMPUTED_VALUE"""),-0.517963635086311)</f>
        <v>-0.51796363508631105</v>
      </c>
      <c r="OG122" s="3">
        <f ca="1">IFERROR(__xludf.DUMMYFUNCTION("""COMPUTED_VALUE"""),-0.461904610264995)</f>
        <v>-0.46190461026499502</v>
      </c>
      <c r="OH122" s="3">
        <f ca="1">IFERROR(__xludf.DUMMYFUNCTION("""COMPUTED_VALUE"""),-0.512986368056263)</f>
        <v>-0.51298636805626296</v>
      </c>
      <c r="OI122" s="3">
        <f ca="1">IFERROR(__xludf.DUMMYFUNCTION("""COMPUTED_VALUE"""),-0.472425519621826)</f>
        <v>-0.472425519621826</v>
      </c>
      <c r="OJ122" s="3">
        <f ca="1">IFERROR(__xludf.DUMMYFUNCTION("""COMPUTED_VALUE"""),-0.413817239905332)</f>
        <v>-0.41381723990533198</v>
      </c>
      <c r="OK122" s="3">
        <f ca="1">IFERROR(__xludf.DUMMYFUNCTION("""COMPUTED_VALUE"""),-0.324239406107958)</f>
        <v>-0.32423940610795798</v>
      </c>
      <c r="OL122" s="3">
        <f ca="1">IFERROR(__xludf.DUMMYFUNCTION("""COMPUTED_VALUE"""),-0.18571434439381)</f>
        <v>-0.18571434439380999</v>
      </c>
      <c r="OM122" s="3">
        <f ca="1">IFERROR(__xludf.DUMMYFUNCTION("""COMPUTED_VALUE"""),-0.0740732067191448)</f>
        <v>-7.4073206719144802E-2</v>
      </c>
      <c r="ON122" s="3">
        <f ca="1">IFERROR(__xludf.DUMMYFUNCTION("""COMPUTED_VALUE"""),-0.0501114765059242)</f>
        <v>-5.01114765059242E-2</v>
      </c>
      <c r="OO122" s="3">
        <f ca="1">IFERROR(__xludf.DUMMYFUNCTION("""COMPUTED_VALUE"""),-0.00905833094573438)</f>
        <v>-9.0583309457343796E-3</v>
      </c>
      <c r="OP122" s="3">
        <f ca="1">IFERROR(__xludf.DUMMYFUNCTION("""COMPUTED_VALUE"""),-0.0589967651404869)</f>
        <v>-5.89967651404869E-2</v>
      </c>
      <c r="OQ122" s="3">
        <f ca="1">IFERROR(__xludf.DUMMYFUNCTION("""COMPUTED_VALUE"""),-0.099878588506753)</f>
        <v>-9.9878588506753005E-2</v>
      </c>
      <c r="OR122" s="3">
        <f ca="1">IFERROR(__xludf.DUMMYFUNCTION("""COMPUTED_VALUE"""),-0.0323680585159604)</f>
        <v>-3.2368058515960398E-2</v>
      </c>
      <c r="OS122" s="3">
        <f ca="1">IFERROR(__xludf.DUMMYFUNCTION("""COMPUTED_VALUE"""),0.00629943124950238)</f>
        <v>6.29943124950238E-3</v>
      </c>
      <c r="OT122" s="3">
        <f ca="1">IFERROR(__xludf.DUMMYFUNCTION("""COMPUTED_VALUE"""),0.0391822623459399)</f>
        <v>3.9182262345939897E-2</v>
      </c>
      <c r="OU122" s="3">
        <f ca="1">IFERROR(__xludf.DUMMYFUNCTION("""COMPUTED_VALUE"""),0.0789963233346209)</f>
        <v>7.8996323334620894E-2</v>
      </c>
      <c r="OV122" s="3">
        <f ca="1">IFERROR(__xludf.DUMMYFUNCTION("""COMPUTED_VALUE"""),0.117270338668349)</f>
        <v>0.117270338668349</v>
      </c>
      <c r="OW122" s="3">
        <f ca="1">IFERROR(__xludf.DUMMYFUNCTION("""COMPUTED_VALUE"""),0.0345841035542744)</f>
        <v>3.4584103554274402E-2</v>
      </c>
      <c r="OX122" s="3">
        <f ca="1">IFERROR(__xludf.DUMMYFUNCTION("""COMPUTED_VALUE"""),0.0257126097743982)</f>
        <v>2.5712609774398199E-2</v>
      </c>
      <c r="OY122" s="3">
        <f ca="1">IFERROR(__xludf.DUMMYFUNCTION("""COMPUTED_VALUE"""),0.0680043310714098)</f>
        <v>6.8004331071409796E-2</v>
      </c>
      <c r="OZ122" s="3">
        <f ca="1">IFERROR(__xludf.DUMMYFUNCTION("""COMPUTED_VALUE"""),0.10395579060688)</f>
        <v>0.10395579060688</v>
      </c>
      <c r="PA122" s="3">
        <f ca="1">IFERROR(__xludf.DUMMYFUNCTION("""COMPUTED_VALUE"""),0.101326720769543)</f>
        <v>0.10132672076954299</v>
      </c>
      <c r="PB122" s="3">
        <f ca="1">IFERROR(__xludf.DUMMYFUNCTION("""COMPUTED_VALUE"""),0.0705905546219463)</f>
        <v>7.05905546219463E-2</v>
      </c>
      <c r="PC122" s="3">
        <f ca="1">IFERROR(__xludf.DUMMYFUNCTION("""COMPUTED_VALUE"""),0.0167658863387203)</f>
        <v>1.6765886338720299E-2</v>
      </c>
      <c r="PD122" s="3">
        <f ca="1">IFERROR(__xludf.DUMMYFUNCTION("""COMPUTED_VALUE"""),-0.0116479285711272)</f>
        <v>-1.1647928571127199E-2</v>
      </c>
      <c r="PE122" s="3">
        <f ca="1">IFERROR(__xludf.DUMMYFUNCTION("""COMPUTED_VALUE"""),-0.0789276043182876)</f>
        <v>-7.8927604318287603E-2</v>
      </c>
      <c r="PF122" s="3">
        <f ca="1">IFERROR(__xludf.DUMMYFUNCTION("""COMPUTED_VALUE"""),-0.112345069913432)</f>
        <v>-0.112345069913432</v>
      </c>
      <c r="PG122" s="3">
        <f ca="1">IFERROR(__xludf.DUMMYFUNCTION("""COMPUTED_VALUE"""),-0.24670621919757)</f>
        <v>-0.24670621919756999</v>
      </c>
      <c r="PH122" s="3">
        <f ca="1">IFERROR(__xludf.DUMMYFUNCTION("""COMPUTED_VALUE"""),-0.117319046722846)</f>
        <v>-0.117319046722846</v>
      </c>
      <c r="PI122" s="3">
        <f ca="1">IFERROR(__xludf.DUMMYFUNCTION("""COMPUTED_VALUE"""),0.0317199655781677)</f>
        <v>3.1719965578167697E-2</v>
      </c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</row>
    <row r="123" spans="1:477" ht="13">
      <c r="A123" s="1" t="str">
        <f ca="1">IFERROR(__xludf.DUMMYFUNCTION("""COMPUTED_VALUE"""),"MUNI - SFMTA")</f>
        <v>MUNI - SFMTA</v>
      </c>
      <c r="B123" s="1" t="str">
        <f ca="1">IFERROR(__xludf.DUMMYFUNCTION("""COMPUTED_VALUE"""),"SF Bay Area")</f>
        <v>SF Bay Area</v>
      </c>
      <c r="C123" s="1" t="str">
        <f ca="1">IFERROR(__xludf.DUMMYFUNCTION("""COMPUTED_VALUE"""),"United States")</f>
        <v>United States</v>
      </c>
      <c r="D123" s="1" t="str">
        <f ca="1">IFERROR(__xludf.DUMMYFUNCTION("""COMPUTED_VALUE"""),"California")</f>
        <v>California</v>
      </c>
      <c r="E123" s="3">
        <f ca="1">IFERROR(__xludf.DUMMYFUNCTION("""COMPUTED_VALUE"""),-0.712835528616757)</f>
        <v>-0.71283552861675703</v>
      </c>
      <c r="F123" s="3">
        <f ca="1">IFERROR(__xludf.DUMMYFUNCTION("""COMPUTED_VALUE"""),-0.792101873559097)</f>
        <v>-0.792101873559097</v>
      </c>
      <c r="G123" s="3">
        <f ca="1">IFERROR(__xludf.DUMMYFUNCTION("""COMPUTED_VALUE"""),-0.811780495196559)</f>
        <v>-0.81178049519655904</v>
      </c>
      <c r="H123" s="3">
        <f ca="1">IFERROR(__xludf.DUMMYFUNCTION("""COMPUTED_VALUE"""),-0.813140427886629)</f>
        <v>-0.81314042788662899</v>
      </c>
      <c r="I123" s="3">
        <f ca="1">IFERROR(__xludf.DUMMYFUNCTION("""COMPUTED_VALUE"""),-0.813358780663139)</f>
        <v>-0.81335878066313905</v>
      </c>
      <c r="J123" s="3">
        <f ca="1">IFERROR(__xludf.DUMMYFUNCTION("""COMPUTED_VALUE"""),-0.809221470154711)</f>
        <v>-0.80922147015471102</v>
      </c>
      <c r="K123" s="3">
        <f ca="1">IFERROR(__xludf.DUMMYFUNCTION("""COMPUTED_VALUE"""),-0.716673238705097)</f>
        <v>-0.71667323870509703</v>
      </c>
      <c r="L123" s="3">
        <f ca="1">IFERROR(__xludf.DUMMYFUNCTION("""COMPUTED_VALUE"""),-0.734214790751003)</f>
        <v>-0.73421479075100304</v>
      </c>
      <c r="M123" s="3">
        <f ca="1">IFERROR(__xludf.DUMMYFUNCTION("""COMPUTED_VALUE"""),-0.778900087015393)</f>
        <v>-0.77890008701539304</v>
      </c>
      <c r="N123" s="3">
        <f ca="1">IFERROR(__xludf.DUMMYFUNCTION("""COMPUTED_VALUE"""),-0.792985672169146)</f>
        <v>-0.79298567216914595</v>
      </c>
      <c r="O123" s="3">
        <f ca="1">IFERROR(__xludf.DUMMYFUNCTION("""COMPUTED_VALUE"""),-0.802362298233981)</f>
        <v>-0.80236229823398098</v>
      </c>
      <c r="P123" s="3">
        <f ca="1">IFERROR(__xludf.DUMMYFUNCTION("""COMPUTED_VALUE"""),-0.808572521731361)</f>
        <v>-0.80857252173136096</v>
      </c>
      <c r="Q123" s="3">
        <f ca="1">IFERROR(__xludf.DUMMYFUNCTION("""COMPUTED_VALUE"""),-0.802057582649314)</f>
        <v>-0.80205758264931404</v>
      </c>
      <c r="R123" s="3">
        <f ca="1">IFERROR(__xludf.DUMMYFUNCTION("""COMPUTED_VALUE"""),-0.689619977452533)</f>
        <v>-0.68961997745253301</v>
      </c>
      <c r="S123" s="3">
        <f ca="1">IFERROR(__xludf.DUMMYFUNCTION("""COMPUTED_VALUE"""),-0.683671218389452)</f>
        <v>-0.683671218389452</v>
      </c>
      <c r="T123" s="3">
        <f ca="1">IFERROR(__xludf.DUMMYFUNCTION("""COMPUTED_VALUE"""),-0.778092635762042)</f>
        <v>-0.77809263576204202</v>
      </c>
      <c r="U123" s="3">
        <f ca="1">IFERROR(__xludf.DUMMYFUNCTION("""COMPUTED_VALUE"""),-0.800992755981735)</f>
        <v>-0.80099275598173503</v>
      </c>
      <c r="V123" s="3">
        <f ca="1">IFERROR(__xludf.DUMMYFUNCTION("""COMPUTED_VALUE"""),-0.813018955071097)</f>
        <v>-0.813018955071097</v>
      </c>
      <c r="W123" s="3">
        <f ca="1">IFERROR(__xludf.DUMMYFUNCTION("""COMPUTED_VALUE"""),-0.818846261893765)</f>
        <v>-0.81884626189376497</v>
      </c>
      <c r="X123" s="3">
        <f ca="1">IFERROR(__xludf.DUMMYFUNCTION("""COMPUTED_VALUE"""),-0.807040649411812)</f>
        <v>-0.80704064941181197</v>
      </c>
      <c r="Y123" s="3">
        <f ca="1">IFERROR(__xludf.DUMMYFUNCTION("""COMPUTED_VALUE"""),-0.697693328901656)</f>
        <v>-0.69769332890165603</v>
      </c>
      <c r="Z123" s="3">
        <f ca="1">IFERROR(__xludf.DUMMYFUNCTION("""COMPUTED_VALUE"""),-0.721131658212707)</f>
        <v>-0.72113165821270697</v>
      </c>
      <c r="AA123" s="3">
        <f ca="1">IFERROR(__xludf.DUMMYFUNCTION("""COMPUTED_VALUE"""),-0.796527633067272)</f>
        <v>-0.79652763306727203</v>
      </c>
      <c r="AB123" s="3">
        <f ca="1">IFERROR(__xludf.DUMMYFUNCTION("""COMPUTED_VALUE"""),-0.842655489560638)</f>
        <v>-0.84265548956063796</v>
      </c>
      <c r="AC123" s="3">
        <f ca="1">IFERROR(__xludf.DUMMYFUNCTION("""COMPUTED_VALUE"""),-0.823063688644323)</f>
        <v>-0.823063688644323</v>
      </c>
      <c r="AD123" s="3">
        <f ca="1">IFERROR(__xludf.DUMMYFUNCTION("""COMPUTED_VALUE"""),-0.830464109154661)</f>
        <v>-0.83046410915466096</v>
      </c>
      <c r="AE123" s="3">
        <f ca="1">IFERROR(__xludf.DUMMYFUNCTION("""COMPUTED_VALUE"""),-0.829632460164006)</f>
        <v>-0.82963246016400605</v>
      </c>
      <c r="AF123" s="3">
        <f ca="1">IFERROR(__xludf.DUMMYFUNCTION("""COMPUTED_VALUE"""),-0.765936110789717)</f>
        <v>-0.76593611078971702</v>
      </c>
      <c r="AG123" s="3">
        <f ca="1">IFERROR(__xludf.DUMMYFUNCTION("""COMPUTED_VALUE"""),-0.749669829599153)</f>
        <v>-0.74966982959915296</v>
      </c>
      <c r="AH123" s="3">
        <f ca="1">IFERROR(__xludf.DUMMYFUNCTION("""COMPUTED_VALUE"""),-0.807090116496992)</f>
        <v>-0.80709011649699203</v>
      </c>
      <c r="AI123" s="3">
        <f ca="1">IFERROR(__xludf.DUMMYFUNCTION("""COMPUTED_VALUE"""),-0.833550050776941)</f>
        <v>-0.833550050776941</v>
      </c>
      <c r="AJ123" s="3">
        <f ca="1">IFERROR(__xludf.DUMMYFUNCTION("""COMPUTED_VALUE"""),-0.844478014439964)</f>
        <v>-0.84447801443996395</v>
      </c>
      <c r="AK123" s="3">
        <f ca="1">IFERROR(__xludf.DUMMYFUNCTION("""COMPUTED_VALUE"""),-0.849669290962579)</f>
        <v>-0.84966929096257904</v>
      </c>
      <c r="AL123" s="3">
        <f ca="1">IFERROR(__xludf.DUMMYFUNCTION("""COMPUTED_VALUE"""),-0.840603893987619)</f>
        <v>-0.84060389398761903</v>
      </c>
      <c r="AM123" s="3">
        <f ca="1">IFERROR(__xludf.DUMMYFUNCTION("""COMPUTED_VALUE"""),-0.729859682093221)</f>
        <v>-0.72985968209322105</v>
      </c>
      <c r="AN123" s="3">
        <f ca="1">IFERROR(__xludf.DUMMYFUNCTION("""COMPUTED_VALUE"""),-0.746747085414482)</f>
        <v>-0.74674708541448198</v>
      </c>
      <c r="AO123" s="3">
        <f ca="1">IFERROR(__xludf.DUMMYFUNCTION("""COMPUTED_VALUE"""),-0.816344888006656)</f>
        <v>-0.81634488800665606</v>
      </c>
      <c r="AP123" s="3">
        <f ca="1">IFERROR(__xludf.DUMMYFUNCTION("""COMPUTED_VALUE"""),-0.847374615041864)</f>
        <v>-0.84737461504186395</v>
      </c>
      <c r="AQ123" s="3">
        <f ca="1">IFERROR(__xludf.DUMMYFUNCTION("""COMPUTED_VALUE"""),-0.837200003608287)</f>
        <v>-0.83720000360828695</v>
      </c>
      <c r="AR123" s="3">
        <f ca="1">IFERROR(__xludf.DUMMYFUNCTION("""COMPUTED_VALUE"""),-0.848549799948843)</f>
        <v>-0.84854979994884305</v>
      </c>
      <c r="AS123" s="3">
        <f ca="1">IFERROR(__xludf.DUMMYFUNCTION("""COMPUTED_VALUE"""),-0.840502350217278)</f>
        <v>-0.84050235021727804</v>
      </c>
      <c r="AT123" s="3">
        <f ca="1">IFERROR(__xludf.DUMMYFUNCTION("""COMPUTED_VALUE"""),-0.734364270422766)</f>
        <v>-0.73436427042276597</v>
      </c>
      <c r="AU123" s="3">
        <f ca="1">IFERROR(__xludf.DUMMYFUNCTION("""COMPUTED_VALUE"""),-0.744285254659392)</f>
        <v>-0.74428525465939199</v>
      </c>
      <c r="AV123" s="3">
        <f ca="1">IFERROR(__xludf.DUMMYFUNCTION("""COMPUTED_VALUE"""),-0.825704382056643)</f>
        <v>-0.82570438205664298</v>
      </c>
      <c r="AW123" s="3">
        <f ca="1">IFERROR(__xludf.DUMMYFUNCTION("""COMPUTED_VALUE"""),-0.843291253154037)</f>
        <v>-0.84329125315403697</v>
      </c>
      <c r="AX123" s="3">
        <f ca="1">IFERROR(__xludf.DUMMYFUNCTION("""COMPUTED_VALUE"""),-0.847358448529328)</f>
        <v>-0.84735844852932796</v>
      </c>
      <c r="AY123" s="3">
        <f ca="1">IFERROR(__xludf.DUMMYFUNCTION("""COMPUTED_VALUE"""),-0.847088902703083)</f>
        <v>-0.84708890270308301</v>
      </c>
      <c r="AZ123" s="3">
        <f ca="1">IFERROR(__xludf.DUMMYFUNCTION("""COMPUTED_VALUE"""),-0.82770689123789)</f>
        <v>-0.82770689123788999</v>
      </c>
      <c r="BA123" s="3">
        <f ca="1">IFERROR(__xludf.DUMMYFUNCTION("""COMPUTED_VALUE"""),-0.738170456567902)</f>
        <v>-0.73817045656790203</v>
      </c>
      <c r="BB123" s="3">
        <f ca="1">IFERROR(__xludf.DUMMYFUNCTION("""COMPUTED_VALUE"""),-0.751128209972968)</f>
        <v>-0.75112820997296803</v>
      </c>
      <c r="BC123" s="3">
        <f ca="1">IFERROR(__xludf.DUMMYFUNCTION("""COMPUTED_VALUE"""),-0.827802699702563)</f>
        <v>-0.82780269970256304</v>
      </c>
      <c r="BD123" s="3">
        <f ca="1">IFERROR(__xludf.DUMMYFUNCTION("""COMPUTED_VALUE"""),-0.849998665918011)</f>
        <v>-0.84999866591801099</v>
      </c>
      <c r="BE123" s="3">
        <f ca="1">IFERROR(__xludf.DUMMYFUNCTION("""COMPUTED_VALUE"""),-0.853081948280496)</f>
        <v>-0.85308194828049599</v>
      </c>
      <c r="BF123" s="3">
        <f ca="1">IFERROR(__xludf.DUMMYFUNCTION("""COMPUTED_VALUE"""),-0.850848911380455)</f>
        <v>-0.85084891138045504</v>
      </c>
      <c r="BG123" s="3">
        <f ca="1">IFERROR(__xludf.DUMMYFUNCTION("""COMPUTED_VALUE"""),-0.842727884391779)</f>
        <v>-0.84272788439177904</v>
      </c>
      <c r="BH123" s="3">
        <f ca="1">IFERROR(__xludf.DUMMYFUNCTION("""COMPUTED_VALUE"""),-0.744928433867772)</f>
        <v>-0.74492843386777197</v>
      </c>
      <c r="BI123" s="3">
        <f ca="1">IFERROR(__xludf.DUMMYFUNCTION("""COMPUTED_VALUE"""),-0.766401806447441)</f>
        <v>-0.76640180644744105</v>
      </c>
      <c r="BJ123" s="3">
        <f ca="1">IFERROR(__xludf.DUMMYFUNCTION("""COMPUTED_VALUE"""),-0.831683033495349)</f>
        <v>-0.831683033495349</v>
      </c>
      <c r="BK123" s="3">
        <f ca="1">IFERROR(__xludf.DUMMYFUNCTION("""COMPUTED_VALUE"""),-0.855897465758685)</f>
        <v>-0.85589746575868497</v>
      </c>
      <c r="BL123" s="3">
        <f ca="1">IFERROR(__xludf.DUMMYFUNCTION("""COMPUTED_VALUE"""),-0.85452101406481)</f>
        <v>-0.85452101406480996</v>
      </c>
      <c r="BM123" s="3">
        <f ca="1">IFERROR(__xludf.DUMMYFUNCTION("""COMPUTED_VALUE"""),-0.857017113433132)</f>
        <v>-0.85701711343313203</v>
      </c>
      <c r="BN123" s="3">
        <f ca="1">IFERROR(__xludf.DUMMYFUNCTION("""COMPUTED_VALUE"""),-0.840940653717689)</f>
        <v>-0.840940653717689</v>
      </c>
      <c r="BO123" s="3">
        <f ca="1">IFERROR(__xludf.DUMMYFUNCTION("""COMPUTED_VALUE"""),-0.766420817132722)</f>
        <v>-0.76642081713272203</v>
      </c>
      <c r="BP123" s="3">
        <f ca="1">IFERROR(__xludf.DUMMYFUNCTION("""COMPUTED_VALUE"""),-0.753793686398939)</f>
        <v>-0.75379368639893896</v>
      </c>
      <c r="BQ123" s="3">
        <f ca="1">IFERROR(__xludf.DUMMYFUNCTION("""COMPUTED_VALUE"""),-0.826483782499438)</f>
        <v>-0.82648378249943799</v>
      </c>
      <c r="BR123" s="3">
        <f ca="1">IFERROR(__xludf.DUMMYFUNCTION("""COMPUTED_VALUE"""),-0.842320575625394)</f>
        <v>-0.84232057562539397</v>
      </c>
      <c r="BS123" s="3">
        <f ca="1">IFERROR(__xludf.DUMMYFUNCTION("""COMPUTED_VALUE"""),-0.847339600667126)</f>
        <v>-0.84733960066712599</v>
      </c>
      <c r="BT123" s="3">
        <f ca="1">IFERROR(__xludf.DUMMYFUNCTION("""COMPUTED_VALUE"""),-0.850534354153154)</f>
        <v>-0.85053435415315404</v>
      </c>
      <c r="BU123" s="3">
        <f ca="1">IFERROR(__xludf.DUMMYFUNCTION("""COMPUTED_VALUE"""),-0.851949429410913)</f>
        <v>-0.85194942941091301</v>
      </c>
      <c r="BV123" s="3">
        <f ca="1">IFERROR(__xludf.DUMMYFUNCTION("""COMPUTED_VALUE"""),-0.801892220258163)</f>
        <v>-0.80189222025816298</v>
      </c>
      <c r="BW123" s="3">
        <f ca="1">IFERROR(__xludf.DUMMYFUNCTION("""COMPUTED_VALUE"""),-0.80131990642706)</f>
        <v>-0.80131990642705997</v>
      </c>
      <c r="BX123" s="3">
        <f ca="1">IFERROR(__xludf.DUMMYFUNCTION("""COMPUTED_VALUE"""),-0.841050356245467)</f>
        <v>-0.84105035624546698</v>
      </c>
      <c r="BY123" s="3">
        <f ca="1">IFERROR(__xludf.DUMMYFUNCTION("""COMPUTED_VALUE"""),-0.871892650732794)</f>
        <v>-0.87189265073279398</v>
      </c>
      <c r="BZ123" s="3">
        <f ca="1">IFERROR(__xludf.DUMMYFUNCTION("""COMPUTED_VALUE"""),-0.873857616956439)</f>
        <v>-0.87385761695643904</v>
      </c>
      <c r="CA123" s="3">
        <f ca="1">IFERROR(__xludf.DUMMYFUNCTION("""COMPUTED_VALUE"""),-0.868096014977228)</f>
        <v>-0.86809601497722799</v>
      </c>
      <c r="CB123" s="3">
        <f ca="1">IFERROR(__xludf.DUMMYFUNCTION("""COMPUTED_VALUE"""),-0.840984738206229)</f>
        <v>-0.84098473820622899</v>
      </c>
      <c r="CC123" s="3">
        <f ca="1">IFERROR(__xludf.DUMMYFUNCTION("""COMPUTED_VALUE"""),-0.813213664820223)</f>
        <v>-0.81321366482022295</v>
      </c>
      <c r="CD123" s="3">
        <f ca="1">IFERROR(__xludf.DUMMYFUNCTION("""COMPUTED_VALUE"""),-0.776419873480897)</f>
        <v>-0.77641987348089703</v>
      </c>
      <c r="CE123" s="3">
        <f ca="1">IFERROR(__xludf.DUMMYFUNCTION("""COMPUTED_VALUE"""),-0.849275120012769)</f>
        <v>-0.84927512001276895</v>
      </c>
      <c r="CF123" s="3">
        <f ca="1">IFERROR(__xludf.DUMMYFUNCTION("""COMPUTED_VALUE"""),-0.862659553895151)</f>
        <v>-0.86265955389515103</v>
      </c>
      <c r="CG123" s="3">
        <f ca="1">IFERROR(__xludf.DUMMYFUNCTION("""COMPUTED_VALUE"""),-0.866860250063241)</f>
        <v>-0.86686025006324097</v>
      </c>
      <c r="CH123" s="3">
        <f ca="1">IFERROR(__xludf.DUMMYFUNCTION("""COMPUTED_VALUE"""),-0.867724563748806)</f>
        <v>-0.86772456374880602</v>
      </c>
      <c r="CI123" s="3">
        <f ca="1">IFERROR(__xludf.DUMMYFUNCTION("""COMPUTED_VALUE"""),-0.8301387723291)</f>
        <v>-0.83013877232910005</v>
      </c>
      <c r="CJ123" s="3">
        <f ca="1">IFERROR(__xludf.DUMMYFUNCTION("""COMPUTED_VALUE"""),-0.785027388718719)</f>
        <v>-0.78502738871871902</v>
      </c>
      <c r="CK123" s="3">
        <f ca="1">IFERROR(__xludf.DUMMYFUNCTION("""COMPUTED_VALUE"""),-0.790321832113751)</f>
        <v>-0.79032183211375095</v>
      </c>
      <c r="CL123" s="3">
        <f ca="1">IFERROR(__xludf.DUMMYFUNCTION("""COMPUTED_VALUE"""),-0.853259136784367)</f>
        <v>-0.85325913678436704</v>
      </c>
      <c r="CM123" s="3">
        <f ca="1">IFERROR(__xludf.DUMMYFUNCTION("""COMPUTED_VALUE"""),-0.856152418493725)</f>
        <v>-0.85615241849372503</v>
      </c>
      <c r="CN123" s="3">
        <f ca="1">IFERROR(__xludf.DUMMYFUNCTION("""COMPUTED_VALUE"""),-0.863300165695982)</f>
        <v>-0.863300165695982</v>
      </c>
      <c r="CO123" s="3">
        <f ca="1">IFERROR(__xludf.DUMMYFUNCTION("""COMPUTED_VALUE"""),-0.866801484136868)</f>
        <v>-0.86680148413686797</v>
      </c>
      <c r="CP123" s="3">
        <f ca="1">IFERROR(__xludf.DUMMYFUNCTION("""COMPUTED_VALUE"""),-0.843472647591227)</f>
        <v>-0.84347264759122698</v>
      </c>
      <c r="CQ123" s="3">
        <f ca="1">IFERROR(__xludf.DUMMYFUNCTION("""COMPUTED_VALUE"""),-0.792358064692601)</f>
        <v>-0.79235806469260095</v>
      </c>
      <c r="CR123" s="3">
        <f ca="1">IFERROR(__xludf.DUMMYFUNCTION("""COMPUTED_VALUE"""),-0.778230646910066)</f>
        <v>-0.77823064691006605</v>
      </c>
      <c r="CS123" s="3">
        <f ca="1">IFERROR(__xludf.DUMMYFUNCTION("""COMPUTED_VALUE"""),-0.84121476020558)</f>
        <v>-0.84121476020557995</v>
      </c>
      <c r="CT123" s="3">
        <f ca="1">IFERROR(__xludf.DUMMYFUNCTION("""COMPUTED_VALUE"""),-0.849328432329486)</f>
        <v>-0.84932843232948596</v>
      </c>
      <c r="CU123" s="3">
        <f ca="1">IFERROR(__xludf.DUMMYFUNCTION("""COMPUTED_VALUE"""),-0.84631653880888)</f>
        <v>-0.84631653880888003</v>
      </c>
      <c r="CV123" s="3">
        <f ca="1">IFERROR(__xludf.DUMMYFUNCTION("""COMPUTED_VALUE"""),-0.843354868118944)</f>
        <v>-0.843354868118944</v>
      </c>
      <c r="CW123" s="3">
        <f ca="1">IFERROR(__xludf.DUMMYFUNCTION("""COMPUTED_VALUE"""),-0.84574333886967)</f>
        <v>-0.84574333886967001</v>
      </c>
      <c r="CX123" s="3">
        <f ca="1">IFERROR(__xludf.DUMMYFUNCTION("""COMPUTED_VALUE"""),-0.782007642980354)</f>
        <v>-0.78200764298035397</v>
      </c>
      <c r="CY123" s="3">
        <f ca="1">IFERROR(__xludf.DUMMYFUNCTION("""COMPUTED_VALUE"""),-0.811562392826809)</f>
        <v>-0.81156239282680898</v>
      </c>
      <c r="CZ123" s="3">
        <f ca="1">IFERROR(__xludf.DUMMYFUNCTION("""COMPUTED_VALUE"""),-0.860625088400136)</f>
        <v>-0.86062508840013596</v>
      </c>
      <c r="DA123" s="3">
        <f ca="1">IFERROR(__xludf.DUMMYFUNCTION("""COMPUTED_VALUE"""),-0.824196839385962)</f>
        <v>-0.824196839385962</v>
      </c>
      <c r="DB123" s="3">
        <f ca="1">IFERROR(__xludf.DUMMYFUNCTION("""COMPUTED_VALUE"""),-0.766474366170023)</f>
        <v>-0.76647436617002296</v>
      </c>
      <c r="DC123" s="3">
        <f ca="1">IFERROR(__xludf.DUMMYFUNCTION("""COMPUTED_VALUE"""),-0.801688079987656)</f>
        <v>-0.80168807998765601</v>
      </c>
      <c r="DD123" s="3">
        <f ca="1">IFERROR(__xludf.DUMMYFUNCTION("""COMPUTED_VALUE"""),-0.824839650522774)</f>
        <v>-0.82483965052277397</v>
      </c>
      <c r="DE123" s="3">
        <f ca="1">IFERROR(__xludf.DUMMYFUNCTION("""COMPUTED_VALUE"""),-0.767587473402465)</f>
        <v>-0.76758747340246503</v>
      </c>
      <c r="DF123" s="3">
        <f ca="1">IFERROR(__xludf.DUMMYFUNCTION("""COMPUTED_VALUE"""),-0.805441746670487)</f>
        <v>-0.80544174667048696</v>
      </c>
      <c r="DG123" s="3">
        <f ca="1">IFERROR(__xludf.DUMMYFUNCTION("""COMPUTED_VALUE"""),-0.912575588193743)</f>
        <v>-0.91257558819374296</v>
      </c>
      <c r="DH123" s="3">
        <f ca="1">IFERROR(__xludf.DUMMYFUNCTION("""COMPUTED_VALUE"""),-0.847307824866703)</f>
        <v>-0.84730782486670297</v>
      </c>
      <c r="DI123" s="3">
        <f ca="1">IFERROR(__xludf.DUMMYFUNCTION("""COMPUTED_VALUE"""),-0.768614783320886)</f>
        <v>-0.76861478332088595</v>
      </c>
      <c r="DJ123" s="3">
        <f ca="1">IFERROR(__xludf.DUMMYFUNCTION("""COMPUTED_VALUE"""),-0.806726672214881)</f>
        <v>-0.80672667221488104</v>
      </c>
      <c r="DK123" s="3">
        <f ca="1">IFERROR(__xludf.DUMMYFUNCTION("""COMPUTED_VALUE"""),-0.818953082987517)</f>
        <v>-0.81895308298751701</v>
      </c>
      <c r="DL123" s="3">
        <f ca="1">IFERROR(__xludf.DUMMYFUNCTION("""COMPUTED_VALUE"""),-0.776169596034396)</f>
        <v>-0.77616959603439595</v>
      </c>
      <c r="DM123" s="3">
        <f ca="1">IFERROR(__xludf.DUMMYFUNCTION("""COMPUTED_VALUE"""),-0.786065189536063)</f>
        <v>-0.78606518953606297</v>
      </c>
      <c r="DN123" s="3">
        <f ca="1">IFERROR(__xludf.DUMMYFUNCTION("""COMPUTED_VALUE"""),-0.828982661875277)</f>
        <v>-0.82898266187527703</v>
      </c>
      <c r="DO123" s="3">
        <f ca="1">IFERROR(__xludf.DUMMYFUNCTION("""COMPUTED_VALUE"""),-0.828824917882821)</f>
        <v>-0.82882491788282098</v>
      </c>
      <c r="DP123" s="3">
        <f ca="1">IFERROR(__xludf.DUMMYFUNCTION("""COMPUTED_VALUE"""),-0.823603464186116)</f>
        <v>-0.82360346418611596</v>
      </c>
      <c r="DQ123" s="3">
        <f ca="1">IFERROR(__xludf.DUMMYFUNCTION("""COMPUTED_VALUE"""),-0.838379398230454)</f>
        <v>-0.83837939823045404</v>
      </c>
      <c r="DR123" s="3">
        <f ca="1">IFERROR(__xludf.DUMMYFUNCTION("""COMPUTED_VALUE"""),-0.83595507501608)</f>
        <v>-0.83595507501608002</v>
      </c>
      <c r="DS123" s="3">
        <f ca="1">IFERROR(__xludf.DUMMYFUNCTION("""COMPUTED_VALUE"""),-0.826719721054504)</f>
        <v>-0.82671972105450398</v>
      </c>
      <c r="DT123" s="3">
        <f ca="1">IFERROR(__xludf.DUMMYFUNCTION("""COMPUTED_VALUE"""),-0.815877003889122)</f>
        <v>-0.81587700388912199</v>
      </c>
      <c r="DU123" s="3">
        <f ca="1">IFERROR(__xludf.DUMMYFUNCTION("""COMPUTED_VALUE"""),-0.866086132382904)</f>
        <v>-0.86608613238290399</v>
      </c>
      <c r="DV123" s="3">
        <f ca="1">IFERROR(__xludf.DUMMYFUNCTION("""COMPUTED_VALUE"""),-0.861174614300182)</f>
        <v>-0.86117461430018205</v>
      </c>
      <c r="DW123" s="3">
        <f ca="1">IFERROR(__xludf.DUMMYFUNCTION("""COMPUTED_VALUE"""),-0.880546783390484)</f>
        <v>-0.88054678339048398</v>
      </c>
      <c r="DX123" s="3">
        <f ca="1">IFERROR(__xludf.DUMMYFUNCTION("""COMPUTED_VALUE"""),-0.872368052127875)</f>
        <v>-0.87236805212787505</v>
      </c>
      <c r="DY123" s="3">
        <f ca="1">IFERROR(__xludf.DUMMYFUNCTION("""COMPUTED_VALUE"""),-0.858427853567615)</f>
        <v>-0.85842785356761497</v>
      </c>
      <c r="DZ123" s="3">
        <f ca="1">IFERROR(__xludf.DUMMYFUNCTION("""COMPUTED_VALUE"""),-0.771536933787815)</f>
        <v>-0.77153693378781496</v>
      </c>
      <c r="EA123" s="3">
        <f ca="1">IFERROR(__xludf.DUMMYFUNCTION("""COMPUTED_VALUE"""),-0.767971575546273)</f>
        <v>-0.76797157554627304</v>
      </c>
      <c r="EB123" s="3">
        <f ca="1">IFERROR(__xludf.DUMMYFUNCTION("""COMPUTED_VALUE"""),-0.815377822986555)</f>
        <v>-0.81537782298655503</v>
      </c>
      <c r="EC123" s="3">
        <f ca="1">IFERROR(__xludf.DUMMYFUNCTION("""COMPUTED_VALUE"""),-0.829095624973381)</f>
        <v>-0.82909562497338096</v>
      </c>
      <c r="ED123" s="3">
        <f ca="1">IFERROR(__xludf.DUMMYFUNCTION("""COMPUTED_VALUE"""),-0.858816069968752)</f>
        <v>-0.85881606996875204</v>
      </c>
      <c r="EE123" s="3">
        <f ca="1">IFERROR(__xludf.DUMMYFUNCTION("""COMPUTED_VALUE"""),-0.858893849401341)</f>
        <v>-0.85889384940134095</v>
      </c>
      <c r="EF123" s="3">
        <f ca="1">IFERROR(__xludf.DUMMYFUNCTION("""COMPUTED_VALUE"""),-0.843063653391863)</f>
        <v>-0.84306365339186295</v>
      </c>
      <c r="EG123" s="3">
        <f ca="1">IFERROR(__xludf.DUMMYFUNCTION("""COMPUTED_VALUE"""),-0.765570861741345)</f>
        <v>-0.76557086174134503</v>
      </c>
      <c r="EH123" s="3">
        <f ca="1">IFERROR(__xludf.DUMMYFUNCTION("""COMPUTED_VALUE"""),-0.766803659190327)</f>
        <v>-0.766803659190327</v>
      </c>
      <c r="EI123" s="3">
        <f ca="1">IFERROR(__xludf.DUMMYFUNCTION("""COMPUTED_VALUE"""),-0.845226191351149)</f>
        <v>-0.84522619135114896</v>
      </c>
      <c r="EJ123" s="3">
        <f ca="1">IFERROR(__xludf.DUMMYFUNCTION("""COMPUTED_VALUE"""),-0.883058461534966)</f>
        <v>-0.88305846153496603</v>
      </c>
      <c r="EK123" s="3">
        <f ca="1">IFERROR(__xludf.DUMMYFUNCTION("""COMPUTED_VALUE"""),-0.826922251252174)</f>
        <v>-0.826922251252174</v>
      </c>
      <c r="EL123" s="3">
        <f ca="1">IFERROR(__xludf.DUMMYFUNCTION("""COMPUTED_VALUE"""),-0.841289784995843)</f>
        <v>-0.84128978499584295</v>
      </c>
      <c r="EM123" s="3">
        <f ca="1">IFERROR(__xludf.DUMMYFUNCTION("""COMPUTED_VALUE"""),-0.833442794015531)</f>
        <v>-0.83344279401553101</v>
      </c>
      <c r="EN123" s="3">
        <f ca="1">IFERROR(__xludf.DUMMYFUNCTION("""COMPUTED_VALUE"""),-0.743525465221928)</f>
        <v>-0.74352546522192797</v>
      </c>
      <c r="EO123" s="3">
        <f ca="1">IFERROR(__xludf.DUMMYFUNCTION("""COMPUTED_VALUE"""),-0.739795823485435)</f>
        <v>-0.73979582348543504</v>
      </c>
      <c r="EP123" s="3">
        <f ca="1">IFERROR(__xludf.DUMMYFUNCTION("""COMPUTED_VALUE"""),-0.796899363661247)</f>
        <v>-0.79689936366124703</v>
      </c>
      <c r="EQ123" s="3">
        <f ca="1">IFERROR(__xludf.DUMMYFUNCTION("""COMPUTED_VALUE"""),-0.814038019121692)</f>
        <v>-0.81403801912169205</v>
      </c>
      <c r="ER123" s="3">
        <f ca="1">IFERROR(__xludf.DUMMYFUNCTION("""COMPUTED_VALUE"""),-0.842193648507442)</f>
        <v>-0.84219364850744205</v>
      </c>
      <c r="ES123" s="3">
        <f ca="1">IFERROR(__xludf.DUMMYFUNCTION("""COMPUTED_VALUE"""),-0.859290399840046)</f>
        <v>-0.85929039984004596</v>
      </c>
      <c r="ET123" s="3">
        <f ca="1">IFERROR(__xludf.DUMMYFUNCTION("""COMPUTED_VALUE"""),-0.83061534020267)</f>
        <v>-0.83061534020267003</v>
      </c>
      <c r="EU123" s="3">
        <f ca="1">IFERROR(__xludf.DUMMYFUNCTION("""COMPUTED_VALUE"""),-0.756241704134811)</f>
        <v>-0.75624170413481095</v>
      </c>
      <c r="EV123" s="3">
        <f ca="1">IFERROR(__xludf.DUMMYFUNCTION("""COMPUTED_VALUE"""),-0.763383135765335)</f>
        <v>-0.76338313576533501</v>
      </c>
      <c r="EW123" s="3">
        <f ca="1">IFERROR(__xludf.DUMMYFUNCTION("""COMPUTED_VALUE"""),-0.840362981133805)</f>
        <v>-0.84036298113380503</v>
      </c>
      <c r="EX123" s="3">
        <f ca="1">IFERROR(__xludf.DUMMYFUNCTION("""COMPUTED_VALUE"""),-0.848644069043986)</f>
        <v>-0.84864406904398604</v>
      </c>
      <c r="EY123" s="3">
        <f ca="1">IFERROR(__xludf.DUMMYFUNCTION("""COMPUTED_VALUE"""),-0.849579188839237)</f>
        <v>-0.849579188839237</v>
      </c>
      <c r="EZ123" s="3">
        <f ca="1">IFERROR(__xludf.DUMMYFUNCTION("""COMPUTED_VALUE"""),-0.855632918638487)</f>
        <v>-0.85563291863848701</v>
      </c>
      <c r="FA123" s="3">
        <f ca="1">IFERROR(__xludf.DUMMYFUNCTION("""COMPUTED_VALUE"""),-0.841283934890607)</f>
        <v>-0.84128393489060704</v>
      </c>
      <c r="FB123" s="3">
        <f ca="1">IFERROR(__xludf.DUMMYFUNCTION("""COMPUTED_VALUE"""),-0.769847000299216)</f>
        <v>-0.76984700029921604</v>
      </c>
      <c r="FC123" s="3">
        <f ca="1">IFERROR(__xludf.DUMMYFUNCTION("""COMPUTED_VALUE"""),-0.757902205262158)</f>
        <v>-0.75790220526215801</v>
      </c>
      <c r="FD123" s="3">
        <f ca="1">IFERROR(__xludf.DUMMYFUNCTION("""COMPUTED_VALUE"""),-0.833512618336167)</f>
        <v>-0.83351261833616697</v>
      </c>
      <c r="FE123" s="3">
        <f ca="1">IFERROR(__xludf.DUMMYFUNCTION("""COMPUTED_VALUE"""),-0.85784699350029)</f>
        <v>-0.85784699350029003</v>
      </c>
      <c r="FF123" s="3">
        <f ca="1">IFERROR(__xludf.DUMMYFUNCTION("""COMPUTED_VALUE"""),-0.856669560571016)</f>
        <v>-0.85666956057101595</v>
      </c>
      <c r="FG123" s="3">
        <f ca="1">IFERROR(__xludf.DUMMYFUNCTION("""COMPUTED_VALUE"""),-0.855578141690991)</f>
        <v>-0.855578141690991</v>
      </c>
      <c r="FH123" s="3">
        <f ca="1">IFERROR(__xludf.DUMMYFUNCTION("""COMPUTED_VALUE"""),-0.825372662516745)</f>
        <v>-0.82537266251674501</v>
      </c>
      <c r="FI123" s="3">
        <f ca="1">IFERROR(__xludf.DUMMYFUNCTION("""COMPUTED_VALUE"""),-0.734644260393885)</f>
        <v>-0.73464426039388497</v>
      </c>
      <c r="FJ123" s="3">
        <f ca="1">IFERROR(__xludf.DUMMYFUNCTION("""COMPUTED_VALUE"""),-0.751526748622949)</f>
        <v>-0.75152674862294899</v>
      </c>
      <c r="FK123" s="3">
        <f ca="1">IFERROR(__xludf.DUMMYFUNCTION("""COMPUTED_VALUE"""),-0.829558176152051)</f>
        <v>-0.82955817615205096</v>
      </c>
      <c r="FL123" s="3">
        <f ca="1">IFERROR(__xludf.DUMMYFUNCTION("""COMPUTED_VALUE"""),-0.842908409429849)</f>
        <v>-0.84290840942984901</v>
      </c>
      <c r="FM123" s="3">
        <f ca="1">IFERROR(__xludf.DUMMYFUNCTION("""COMPUTED_VALUE"""),-0.836314137522116)</f>
        <v>-0.83631413752211603</v>
      </c>
      <c r="FN123" s="3">
        <f ca="1">IFERROR(__xludf.DUMMYFUNCTION("""COMPUTED_VALUE"""),-0.848087352668203)</f>
        <v>-0.84808735266820301</v>
      </c>
      <c r="FO123" s="3">
        <f ca="1">IFERROR(__xludf.DUMMYFUNCTION("""COMPUTED_VALUE"""),-0.840182441606803)</f>
        <v>-0.840182441606803</v>
      </c>
      <c r="FP123" s="3">
        <f ca="1">IFERROR(__xludf.DUMMYFUNCTION("""COMPUTED_VALUE"""),-0.754899760230408)</f>
        <v>-0.75489976023040795</v>
      </c>
      <c r="FQ123" s="3">
        <f ca="1">IFERROR(__xludf.DUMMYFUNCTION("""COMPUTED_VALUE"""),-0.764482202153769)</f>
        <v>-0.76448220215376905</v>
      </c>
      <c r="FR123" s="3">
        <f ca="1">IFERROR(__xludf.DUMMYFUNCTION("""COMPUTED_VALUE"""),-0.824869952955367)</f>
        <v>-0.82486995295536703</v>
      </c>
      <c r="FS123" s="3">
        <f ca="1">IFERROR(__xludf.DUMMYFUNCTION("""COMPUTED_VALUE"""),-0.857199118162452)</f>
        <v>-0.85719911816245198</v>
      </c>
      <c r="FT123" s="3">
        <f ca="1">IFERROR(__xludf.DUMMYFUNCTION("""COMPUTED_VALUE"""),-0.848613184318846)</f>
        <v>-0.84861318431884603</v>
      </c>
      <c r="FU123" s="3">
        <f ca="1">IFERROR(__xludf.DUMMYFUNCTION("""COMPUTED_VALUE"""),-0.849871379843391)</f>
        <v>-0.84987137984339101</v>
      </c>
      <c r="FV123" s="3">
        <f ca="1">IFERROR(__xludf.DUMMYFUNCTION("""COMPUTED_VALUE"""),-0.839577629792347)</f>
        <v>-0.83957762979234696</v>
      </c>
      <c r="FW123" s="3">
        <f ca="1">IFERROR(__xludf.DUMMYFUNCTION("""COMPUTED_VALUE"""),-0.750863790827638)</f>
        <v>-0.75086379082763799</v>
      </c>
      <c r="FX123" s="3">
        <f ca="1">IFERROR(__xludf.DUMMYFUNCTION("""COMPUTED_VALUE"""),-0.75557975163322)</f>
        <v>-0.75557975163322</v>
      </c>
      <c r="FY123" s="3">
        <f ca="1">IFERROR(__xludf.DUMMYFUNCTION("""COMPUTED_VALUE"""),-0.827798895851776)</f>
        <v>-0.82779889585177602</v>
      </c>
      <c r="FZ123" s="3">
        <f ca="1">IFERROR(__xludf.DUMMYFUNCTION("""COMPUTED_VALUE"""),-0.849312834812446)</f>
        <v>-0.84931283481244602</v>
      </c>
      <c r="GA123" s="3">
        <f ca="1">IFERROR(__xludf.DUMMYFUNCTION("""COMPUTED_VALUE"""),-0.85021144057924)</f>
        <v>-0.85021144057924003</v>
      </c>
      <c r="GB123" s="3">
        <f ca="1">IFERROR(__xludf.DUMMYFUNCTION("""COMPUTED_VALUE"""),-0.849552624413111)</f>
        <v>-0.84955262441311097</v>
      </c>
      <c r="GC123" s="3">
        <f ca="1">IFERROR(__xludf.DUMMYFUNCTION("""COMPUTED_VALUE"""),-0.830961322370428)</f>
        <v>-0.83096132237042797</v>
      </c>
      <c r="GD123" s="3">
        <f ca="1">IFERROR(__xludf.DUMMYFUNCTION("""COMPUTED_VALUE"""),-0.768543449279641)</f>
        <v>-0.76854344927964102</v>
      </c>
      <c r="GE123" s="3">
        <f ca="1">IFERROR(__xludf.DUMMYFUNCTION("""COMPUTED_VALUE"""),-0.797545043762637)</f>
        <v>-0.79754504376263702</v>
      </c>
      <c r="GF123" s="3">
        <f ca="1">IFERROR(__xludf.DUMMYFUNCTION("""COMPUTED_VALUE"""),-0.841890147634423)</f>
        <v>-0.84189014763442305</v>
      </c>
      <c r="GG123" s="3">
        <f ca="1">IFERROR(__xludf.DUMMYFUNCTION("""COMPUTED_VALUE"""),-0.863228422050894)</f>
        <v>-0.86322842205089401</v>
      </c>
      <c r="GH123" s="3">
        <f ca="1">IFERROR(__xludf.DUMMYFUNCTION("""COMPUTED_VALUE"""),-0.857843298653503)</f>
        <v>-0.85784329865350295</v>
      </c>
      <c r="GI123" s="3">
        <f ca="1">IFERROR(__xludf.DUMMYFUNCTION("""COMPUTED_VALUE"""),-0.859744346056027)</f>
        <v>-0.85974434605602701</v>
      </c>
      <c r="GJ123" s="3">
        <f ca="1">IFERROR(__xludf.DUMMYFUNCTION("""COMPUTED_VALUE"""),-0.851733545958232)</f>
        <v>-0.85173354595823203</v>
      </c>
      <c r="GK123" s="3">
        <f ca="1">IFERROR(__xludf.DUMMYFUNCTION("""COMPUTED_VALUE"""),-0.799552360572995)</f>
        <v>-0.79955236057299495</v>
      </c>
      <c r="GL123" s="3">
        <f ca="1">IFERROR(__xludf.DUMMYFUNCTION("""COMPUTED_VALUE"""),-0.785495811456754)</f>
        <v>-0.78549581145675396</v>
      </c>
      <c r="GM123" s="3">
        <f ca="1">IFERROR(__xludf.DUMMYFUNCTION("""COMPUTED_VALUE"""),-0.849262200003159)</f>
        <v>-0.849262200003159</v>
      </c>
      <c r="GN123" s="3">
        <f ca="1">IFERROR(__xludf.DUMMYFUNCTION("""COMPUTED_VALUE"""),-0.859602256275338)</f>
        <v>-0.85960225627533804</v>
      </c>
      <c r="GO123" s="3">
        <f ca="1">IFERROR(__xludf.DUMMYFUNCTION("""COMPUTED_VALUE"""),-0.867848281969174)</f>
        <v>-0.86784828196917396</v>
      </c>
      <c r="GP123" s="3">
        <f ca="1">IFERROR(__xludf.DUMMYFUNCTION("""COMPUTED_VALUE"""),-0.869274043380445)</f>
        <v>-0.86927404338044501</v>
      </c>
      <c r="GQ123" s="3">
        <f ca="1">IFERROR(__xludf.DUMMYFUNCTION("""COMPUTED_VALUE"""),-0.856281796294403)</f>
        <v>-0.85628179629440304</v>
      </c>
      <c r="GR123" s="3">
        <f ca="1">IFERROR(__xludf.DUMMYFUNCTION("""COMPUTED_VALUE"""),-0.776371298853776)</f>
        <v>-0.77637129885377598</v>
      </c>
      <c r="GS123" s="3">
        <f ca="1">IFERROR(__xludf.DUMMYFUNCTION("""COMPUTED_VALUE"""),-0.787229619596804)</f>
        <v>-0.78722961959680404</v>
      </c>
      <c r="GT123" s="3">
        <f ca="1">IFERROR(__xludf.DUMMYFUNCTION("""COMPUTED_VALUE"""),-0.846274909360859)</f>
        <v>-0.84627490936085903</v>
      </c>
      <c r="GU123" s="3">
        <f ca="1">IFERROR(__xludf.DUMMYFUNCTION("""COMPUTED_VALUE"""),-0.862365336499543)</f>
        <v>-0.86236533649954294</v>
      </c>
      <c r="GV123" s="3">
        <f ca="1">IFERROR(__xludf.DUMMYFUNCTION("""COMPUTED_VALUE"""),-0.865060942864061)</f>
        <v>-0.86506094286406099</v>
      </c>
      <c r="GW123" s="3">
        <f ca="1">IFERROR(__xludf.DUMMYFUNCTION("""COMPUTED_VALUE"""),-0.865562488344011)</f>
        <v>-0.86556248834401095</v>
      </c>
      <c r="GX123" s="3">
        <f ca="1">IFERROR(__xludf.DUMMYFUNCTION("""COMPUTED_VALUE"""),-0.852536673586186)</f>
        <v>-0.85253667358618601</v>
      </c>
      <c r="GY123" s="3">
        <f ca="1">IFERROR(__xludf.DUMMYFUNCTION("""COMPUTED_VALUE"""),-0.785911385521877)</f>
        <v>-0.785911385521877</v>
      </c>
      <c r="GZ123" s="3">
        <f ca="1">IFERROR(__xludf.DUMMYFUNCTION("""COMPUTED_VALUE"""),-0.786320733595775)</f>
        <v>-0.78632073359577503</v>
      </c>
      <c r="HA123" s="3">
        <f ca="1">IFERROR(__xludf.DUMMYFUNCTION("""COMPUTED_VALUE"""),-0.847265220662099)</f>
        <v>-0.84726522066209897</v>
      </c>
      <c r="HB123" s="3">
        <f ca="1">IFERROR(__xludf.DUMMYFUNCTION("""COMPUTED_VALUE"""),-0.866758438567802)</f>
        <v>-0.86675843856780199</v>
      </c>
      <c r="HC123" s="3">
        <f ca="1">IFERROR(__xludf.DUMMYFUNCTION("""COMPUTED_VALUE"""),-0.863690675174134)</f>
        <v>-0.863690675174134</v>
      </c>
      <c r="HD123" s="3">
        <f ca="1">IFERROR(__xludf.DUMMYFUNCTION("""COMPUTED_VALUE"""),-0.862280721579879)</f>
        <v>-0.86228072157987901</v>
      </c>
      <c r="HE123" s="3">
        <f ca="1">IFERROR(__xludf.DUMMYFUNCTION("""COMPUTED_VALUE"""),-0.86002951101961)</f>
        <v>-0.86002951101961</v>
      </c>
      <c r="HF123" s="3">
        <f ca="1">IFERROR(__xludf.DUMMYFUNCTION("""COMPUTED_VALUE"""),-0.79478542510965)</f>
        <v>-0.79478542510965</v>
      </c>
      <c r="HG123" s="3">
        <f ca="1">IFERROR(__xludf.DUMMYFUNCTION("""COMPUTED_VALUE"""),-0.812599679458596)</f>
        <v>-0.81259967945859601</v>
      </c>
      <c r="HH123" s="3">
        <f ca="1">IFERROR(__xludf.DUMMYFUNCTION("""COMPUTED_VALUE"""),-0.87317303616239)</f>
        <v>-0.87317303616238995</v>
      </c>
      <c r="HI123" s="3">
        <f ca="1">IFERROR(__xludf.DUMMYFUNCTION("""COMPUTED_VALUE"""),-0.881075284450044)</f>
        <v>-0.88107528445004402</v>
      </c>
      <c r="HJ123" s="3">
        <f ca="1">IFERROR(__xludf.DUMMYFUNCTION("""COMPUTED_VALUE"""),-0.877009713641324)</f>
        <v>-0.87700971364132396</v>
      </c>
      <c r="HK123" s="3">
        <f ca="1">IFERROR(__xludf.DUMMYFUNCTION("""COMPUTED_VALUE"""),-0.871017502875478)</f>
        <v>-0.87101750287547797</v>
      </c>
      <c r="HL123" s="3">
        <f ca="1">IFERROR(__xludf.DUMMYFUNCTION("""COMPUTED_VALUE"""),-0.833819333460481)</f>
        <v>-0.83381933346048098</v>
      </c>
      <c r="HM123" s="3">
        <f ca="1">IFERROR(__xludf.DUMMYFUNCTION("""COMPUTED_VALUE"""),-0.769519865796988)</f>
        <v>-0.76951986579698795</v>
      </c>
      <c r="HN123" s="3">
        <f ca="1">IFERROR(__xludf.DUMMYFUNCTION("""COMPUTED_VALUE"""),-0.769444932690494)</f>
        <v>-0.76944493269049397</v>
      </c>
      <c r="HO123" s="3">
        <f ca="1">IFERROR(__xludf.DUMMYFUNCTION("""COMPUTED_VALUE"""),-0.84888110037774)</f>
        <v>-0.84888110037774001</v>
      </c>
      <c r="HP123" s="3">
        <f ca="1">IFERROR(__xludf.DUMMYFUNCTION("""COMPUTED_VALUE"""),-0.863439676080548)</f>
        <v>-0.86343967608054795</v>
      </c>
      <c r="HQ123" s="3">
        <f ca="1">IFERROR(__xludf.DUMMYFUNCTION("""COMPUTED_VALUE"""),-0.865388960470301)</f>
        <v>-0.86538896047030101</v>
      </c>
      <c r="HR123" s="3">
        <f ca="1">IFERROR(__xludf.DUMMYFUNCTION("""COMPUTED_VALUE"""),-0.875263577432117)</f>
        <v>-0.87526357743211702</v>
      </c>
      <c r="HS123" s="3">
        <f ca="1">IFERROR(__xludf.DUMMYFUNCTION("""COMPUTED_VALUE"""),-0.851735753396464)</f>
        <v>-0.85173575339646401</v>
      </c>
      <c r="HT123" s="3">
        <f ca="1">IFERROR(__xludf.DUMMYFUNCTION("""COMPUTED_VALUE"""),-0.807502592320169)</f>
        <v>-0.80750259232016897</v>
      </c>
      <c r="HU123" s="3">
        <f ca="1">IFERROR(__xludf.DUMMYFUNCTION("""COMPUTED_VALUE"""),-0.783253234698027)</f>
        <v>-0.78325323469802699</v>
      </c>
      <c r="HV123" s="3">
        <f ca="1">IFERROR(__xludf.DUMMYFUNCTION("""COMPUTED_VALUE"""),-0.854889516058308)</f>
        <v>-0.85488951605830799</v>
      </c>
      <c r="HW123" s="3">
        <f ca="1">IFERROR(__xludf.DUMMYFUNCTION("""COMPUTED_VALUE"""),-0.86053496585591)</f>
        <v>-0.86053496585591005</v>
      </c>
      <c r="HX123" s="3">
        <f ca="1">IFERROR(__xludf.DUMMYFUNCTION("""COMPUTED_VALUE"""),-0.864880772228458)</f>
        <v>-0.86488077222845805</v>
      </c>
      <c r="HY123" s="3">
        <f ca="1">IFERROR(__xludf.DUMMYFUNCTION("""COMPUTED_VALUE"""),-0.851702010405947)</f>
        <v>-0.85170201040594695</v>
      </c>
      <c r="HZ123" s="3">
        <f ca="1">IFERROR(__xludf.DUMMYFUNCTION("""COMPUTED_VALUE"""),-0.837837426109684)</f>
        <v>-0.83783742610968404</v>
      </c>
      <c r="IA123" s="3">
        <f ca="1">IFERROR(__xludf.DUMMYFUNCTION("""COMPUTED_VALUE"""),-0.784455443367875)</f>
        <v>-0.78445544336787498</v>
      </c>
      <c r="IB123" s="3">
        <f ca="1">IFERROR(__xludf.DUMMYFUNCTION("""COMPUTED_VALUE"""),-0.769026287489261)</f>
        <v>-0.76902628748926105</v>
      </c>
      <c r="IC123" s="3">
        <f ca="1">IFERROR(__xludf.DUMMYFUNCTION("""COMPUTED_VALUE"""),-0.846738783987353)</f>
        <v>-0.84673878398735303</v>
      </c>
      <c r="ID123" s="3">
        <f ca="1">IFERROR(__xludf.DUMMYFUNCTION("""COMPUTED_VALUE"""),-0.848185591360779)</f>
        <v>-0.84818559136077898</v>
      </c>
      <c r="IE123" s="3">
        <f ca="1">IFERROR(__xludf.DUMMYFUNCTION("""COMPUTED_VALUE"""),-0.854045803462291)</f>
        <v>-0.85404580346229098</v>
      </c>
      <c r="IF123" s="3">
        <f ca="1">IFERROR(__xludf.DUMMYFUNCTION("""COMPUTED_VALUE"""),-0.858706303293129)</f>
        <v>-0.85870630329312903</v>
      </c>
      <c r="IG123" s="3">
        <f ca="1">IFERROR(__xludf.DUMMYFUNCTION("""COMPUTED_VALUE"""),-0.857917312362691)</f>
        <v>-0.85791731236269098</v>
      </c>
      <c r="IH123" s="3">
        <f ca="1">IFERROR(__xludf.DUMMYFUNCTION("""COMPUTED_VALUE"""),-0.810252718914571)</f>
        <v>-0.81025271891457096</v>
      </c>
      <c r="II123" s="3">
        <f ca="1">IFERROR(__xludf.DUMMYFUNCTION("""COMPUTED_VALUE"""),-0.785998630989183)</f>
        <v>-0.78599863098918299</v>
      </c>
      <c r="IJ123" s="3">
        <f ca="1">IFERROR(__xludf.DUMMYFUNCTION("""COMPUTED_VALUE"""),-0.835374131426689)</f>
        <v>-0.83537413142668904</v>
      </c>
      <c r="IK123" s="3">
        <f ca="1">IFERROR(__xludf.DUMMYFUNCTION("""COMPUTED_VALUE"""),-0.85177441645988)</f>
        <v>-0.85177441645987995</v>
      </c>
      <c r="IL123" s="3">
        <f ca="1">IFERROR(__xludf.DUMMYFUNCTION("""COMPUTED_VALUE"""),-0.847094841031852)</f>
        <v>-0.84709484103185195</v>
      </c>
      <c r="IM123" s="3">
        <f ca="1">IFERROR(__xludf.DUMMYFUNCTION("""COMPUTED_VALUE"""),-0.857037099743306)</f>
        <v>-0.857037099743306</v>
      </c>
      <c r="IN123" s="3">
        <f ca="1">IFERROR(__xludf.DUMMYFUNCTION("""COMPUTED_VALUE"""),-0.840639372168793)</f>
        <v>-0.84063937216879303</v>
      </c>
      <c r="IO123" s="3">
        <f ca="1">IFERROR(__xludf.DUMMYFUNCTION("""COMPUTED_VALUE"""),-0.811842079557735)</f>
        <v>-0.81184207955773502</v>
      </c>
      <c r="IP123" s="3">
        <f ca="1">IFERROR(__xludf.DUMMYFUNCTION("""COMPUTED_VALUE"""),-0.793459414188363)</f>
        <v>-0.79345941418836297</v>
      </c>
      <c r="IQ123" s="3">
        <f ca="1">IFERROR(__xludf.DUMMYFUNCTION("""COMPUTED_VALUE"""),-0.832946448004598)</f>
        <v>-0.83294644800459805</v>
      </c>
      <c r="IR123" s="3">
        <f ca="1">IFERROR(__xludf.DUMMYFUNCTION("""COMPUTED_VALUE"""),-0.849225446112126)</f>
        <v>-0.84922544611212603</v>
      </c>
      <c r="IS123" s="3">
        <f ca="1">IFERROR(__xludf.DUMMYFUNCTION("""COMPUTED_VALUE"""),-0.854686917826237)</f>
        <v>-0.85468691782623696</v>
      </c>
      <c r="IT123" s="3">
        <f ca="1">IFERROR(__xludf.DUMMYFUNCTION("""COMPUTED_VALUE"""),-0.854643521888282)</f>
        <v>-0.85464352188828197</v>
      </c>
      <c r="IU123" s="3">
        <f ca="1">IFERROR(__xludf.DUMMYFUNCTION("""COMPUTED_VALUE"""),-0.840410534319346)</f>
        <v>-0.84041053431934598</v>
      </c>
      <c r="IV123" s="3">
        <f ca="1">IFERROR(__xludf.DUMMYFUNCTION("""COMPUTED_VALUE"""),-0.812624959677994)</f>
        <v>-0.81262495967799397</v>
      </c>
      <c r="IW123" s="3">
        <f ca="1">IFERROR(__xludf.DUMMYFUNCTION("""COMPUTED_VALUE"""),-0.812529666859529)</f>
        <v>-0.81252966685952899</v>
      </c>
      <c r="IX123" s="3">
        <f ca="1">IFERROR(__xludf.DUMMYFUNCTION("""COMPUTED_VALUE"""),-0.845201834171808)</f>
        <v>-0.84520183417180805</v>
      </c>
      <c r="IY123" s="3">
        <f ca="1">IFERROR(__xludf.DUMMYFUNCTION("""COMPUTED_VALUE"""),-0.854682373539851)</f>
        <v>-0.85468237353985099</v>
      </c>
      <c r="IZ123" s="3">
        <f ca="1">IFERROR(__xludf.DUMMYFUNCTION("""COMPUTED_VALUE"""),-0.862025151454985)</f>
        <v>-0.86202515145498504</v>
      </c>
      <c r="JA123" s="3">
        <f ca="1">IFERROR(__xludf.DUMMYFUNCTION("""COMPUTED_VALUE"""),-0.846113560283944)</f>
        <v>-0.84611356028394402</v>
      </c>
      <c r="JB123" s="3">
        <f ca="1">IFERROR(__xludf.DUMMYFUNCTION("""COMPUTED_VALUE"""),-0.84608785208027)</f>
        <v>-0.84608785208027004</v>
      </c>
      <c r="JC123" s="3">
        <f ca="1">IFERROR(__xludf.DUMMYFUNCTION("""COMPUTED_VALUE"""),-0.816985353183769)</f>
        <v>-0.81698535318376897</v>
      </c>
      <c r="JD123" s="3">
        <f ca="1">IFERROR(__xludf.DUMMYFUNCTION("""COMPUTED_VALUE"""),-0.807410557935621)</f>
        <v>-0.807410557935621</v>
      </c>
      <c r="JE123" s="3">
        <f ca="1">IFERROR(__xludf.DUMMYFUNCTION("""COMPUTED_VALUE"""),-0.846709092385207)</f>
        <v>-0.84670909238520697</v>
      </c>
      <c r="JF123" s="3">
        <f ca="1">IFERROR(__xludf.DUMMYFUNCTION("""COMPUTED_VALUE"""),-0.860013141707271)</f>
        <v>-0.86001314170727094</v>
      </c>
      <c r="JG123" s="3">
        <f ca="1">IFERROR(__xludf.DUMMYFUNCTION("""COMPUTED_VALUE"""),-0.85390432816388)</f>
        <v>-0.85390432816387996</v>
      </c>
      <c r="JH123" s="3">
        <f ca="1">IFERROR(__xludf.DUMMYFUNCTION("""COMPUTED_VALUE"""),-0.860892712182563)</f>
        <v>-0.86089271218256302</v>
      </c>
      <c r="JI123" s="3">
        <f ca="1">IFERROR(__xludf.DUMMYFUNCTION("""COMPUTED_VALUE"""),-0.850917817864824)</f>
        <v>-0.85091781786482401</v>
      </c>
      <c r="JJ123" s="3">
        <f ca="1">IFERROR(__xludf.DUMMYFUNCTION("""COMPUTED_VALUE"""),-0.824497422546731)</f>
        <v>-0.82449742254673097</v>
      </c>
      <c r="JK123" s="3">
        <f ca="1">IFERROR(__xludf.DUMMYFUNCTION("""COMPUTED_VALUE"""),-0.814791357512602)</f>
        <v>-0.81479135751260201</v>
      </c>
      <c r="JL123" s="3">
        <f ca="1">IFERROR(__xludf.DUMMYFUNCTION("""COMPUTED_VALUE"""),-0.836636142634001)</f>
        <v>-0.83663614263400099</v>
      </c>
      <c r="JM123" s="3">
        <f ca="1">IFERROR(__xludf.DUMMYFUNCTION("""COMPUTED_VALUE"""),-0.850832526465509)</f>
        <v>-0.850832526465509</v>
      </c>
      <c r="JN123" s="3">
        <f ca="1">IFERROR(__xludf.DUMMYFUNCTION("""COMPUTED_VALUE"""),-0.842927679814966)</f>
        <v>-0.84292767981496597</v>
      </c>
      <c r="JO123" s="3">
        <f ca="1">IFERROR(__xludf.DUMMYFUNCTION("""COMPUTED_VALUE"""),-0.85269877824276)</f>
        <v>-0.85269877824275997</v>
      </c>
      <c r="JP123" s="3">
        <f ca="1">IFERROR(__xludf.DUMMYFUNCTION("""COMPUTED_VALUE"""),-0.83700290584921)</f>
        <v>-0.83700290584921</v>
      </c>
      <c r="JQ123" s="3">
        <f ca="1">IFERROR(__xludf.DUMMYFUNCTION("""COMPUTED_VALUE"""),-0.782761914220486)</f>
        <v>-0.78276191422048602</v>
      </c>
      <c r="JR123" s="3">
        <f ca="1">IFERROR(__xludf.DUMMYFUNCTION("""COMPUTED_VALUE"""),-0.799998318265194)</f>
        <v>-0.79999831826519396</v>
      </c>
      <c r="JS123" s="3">
        <f ca="1">IFERROR(__xludf.DUMMYFUNCTION("""COMPUTED_VALUE"""),-0.825004337704011)</f>
        <v>-0.82500433770401105</v>
      </c>
      <c r="JT123" s="3">
        <f ca="1">IFERROR(__xludf.DUMMYFUNCTION("""COMPUTED_VALUE"""),-0.834075955808069)</f>
        <v>-0.83407595580806904</v>
      </c>
      <c r="JU123" s="3">
        <f ca="1">IFERROR(__xludf.DUMMYFUNCTION("""COMPUTED_VALUE"""),-0.84180403910969)</f>
        <v>-0.84180403910969004</v>
      </c>
      <c r="JV123" s="3">
        <f ca="1">IFERROR(__xludf.DUMMYFUNCTION("""COMPUTED_VALUE"""),-0.846016103979852)</f>
        <v>-0.84601610397985205</v>
      </c>
      <c r="JW123" s="3">
        <f ca="1">IFERROR(__xludf.DUMMYFUNCTION("""COMPUTED_VALUE"""),-0.840045721463219)</f>
        <v>-0.84004572146321899</v>
      </c>
      <c r="JX123" s="3">
        <f ca="1">IFERROR(__xludf.DUMMYFUNCTION("""COMPUTED_VALUE"""),-0.817952617729257)</f>
        <v>-0.81795261772925698</v>
      </c>
      <c r="JY123" s="3">
        <f ca="1">IFERROR(__xludf.DUMMYFUNCTION("""COMPUTED_VALUE"""),-0.828278035925606)</f>
        <v>-0.828278035925606</v>
      </c>
      <c r="JZ123" s="3">
        <f ca="1">IFERROR(__xludf.DUMMYFUNCTION("""COMPUTED_VALUE"""),-0.836551832416731)</f>
        <v>-0.83655183241673103</v>
      </c>
      <c r="KA123" s="3">
        <f ca="1">IFERROR(__xludf.DUMMYFUNCTION("""COMPUTED_VALUE"""),-0.821614723477168)</f>
        <v>-0.82161472347716802</v>
      </c>
      <c r="KB123" s="3">
        <f ca="1">IFERROR(__xludf.DUMMYFUNCTION("""COMPUTED_VALUE"""),-0.841693722059105)</f>
        <v>-0.84169372205910498</v>
      </c>
      <c r="KC123" s="3">
        <f ca="1">IFERROR(__xludf.DUMMYFUNCTION("""COMPUTED_VALUE"""),-0.850335019874035)</f>
        <v>-0.85033501987403504</v>
      </c>
      <c r="KD123" s="3">
        <f ca="1">IFERROR(__xludf.DUMMYFUNCTION("""COMPUTED_VALUE"""),-0.834848037625415)</f>
        <v>-0.83484803762541504</v>
      </c>
      <c r="KE123" s="3">
        <f ca="1">IFERROR(__xludf.DUMMYFUNCTION("""COMPUTED_VALUE"""),-0.802013701647281)</f>
        <v>-0.80201370164728103</v>
      </c>
      <c r="KF123" s="3">
        <f ca="1">IFERROR(__xludf.DUMMYFUNCTION("""COMPUTED_VALUE"""),-0.796244892388128)</f>
        <v>-0.79624489238812801</v>
      </c>
      <c r="KG123" s="3">
        <f ca="1">IFERROR(__xludf.DUMMYFUNCTION("""COMPUTED_VALUE"""),-0.821041557047405)</f>
        <v>-0.821041557047405</v>
      </c>
      <c r="KH123" s="3">
        <f ca="1">IFERROR(__xludf.DUMMYFUNCTION("""COMPUTED_VALUE"""),-0.824196895071397)</f>
        <v>-0.82419689507139704</v>
      </c>
      <c r="KI123" s="3">
        <f ca="1">IFERROR(__xludf.DUMMYFUNCTION("""COMPUTED_VALUE"""),-0.847806792182686)</f>
        <v>-0.84780679218268595</v>
      </c>
      <c r="KJ123" s="3">
        <f ca="1">IFERROR(__xludf.DUMMYFUNCTION("""COMPUTED_VALUE"""),-0.854319905975561)</f>
        <v>-0.85431990597556096</v>
      </c>
      <c r="KK123" s="3">
        <f ca="1">IFERROR(__xludf.DUMMYFUNCTION("""COMPUTED_VALUE"""),-0.847921377070413)</f>
        <v>-0.84792137707041304</v>
      </c>
      <c r="KL123" s="3">
        <f ca="1">IFERROR(__xludf.DUMMYFUNCTION("""COMPUTED_VALUE"""),-0.821537435050552)</f>
        <v>-0.82153743505055199</v>
      </c>
      <c r="KM123" s="3">
        <f ca="1">IFERROR(__xludf.DUMMYFUNCTION("""COMPUTED_VALUE"""),-0.810527523525751)</f>
        <v>-0.81052752352575097</v>
      </c>
      <c r="KN123" s="3">
        <f ca="1">IFERROR(__xludf.DUMMYFUNCTION("""COMPUTED_VALUE"""),-0.831793120084397)</f>
        <v>-0.83179312008439699</v>
      </c>
      <c r="KO123" s="3">
        <f ca="1">IFERROR(__xludf.DUMMYFUNCTION("""COMPUTED_VALUE"""),-0.843633754534279)</f>
        <v>-0.84363375453427902</v>
      </c>
      <c r="KP123" s="3">
        <f ca="1">IFERROR(__xludf.DUMMYFUNCTION("""COMPUTED_VALUE"""),-0.851230849150944)</f>
        <v>-0.85123084915094405</v>
      </c>
      <c r="KQ123" s="3">
        <f ca="1">IFERROR(__xludf.DUMMYFUNCTION("""COMPUTED_VALUE"""),-0.866587223492184)</f>
        <v>-0.86658722349218398</v>
      </c>
      <c r="KR123" s="3">
        <f ca="1">IFERROR(__xludf.DUMMYFUNCTION("""COMPUTED_VALUE"""),-0.854662256096649)</f>
        <v>-0.85466225609664903</v>
      </c>
      <c r="KS123" s="3">
        <f ca="1">IFERROR(__xludf.DUMMYFUNCTION("""COMPUTED_VALUE"""),-0.804356645885428)</f>
        <v>-0.80435664588542799</v>
      </c>
      <c r="KT123" s="3">
        <f ca="1">IFERROR(__xludf.DUMMYFUNCTION("""COMPUTED_VALUE"""),-0.809523403220761)</f>
        <v>-0.809523403220761</v>
      </c>
      <c r="KU123" s="3">
        <f ca="1">IFERROR(__xludf.DUMMYFUNCTION("""COMPUTED_VALUE"""),-0.86561489850286)</f>
        <v>-0.86561489850286</v>
      </c>
      <c r="KV123" s="3">
        <f ca="1">IFERROR(__xludf.DUMMYFUNCTION("""COMPUTED_VALUE"""),-0.87273981484811)</f>
        <v>-0.87273981484811003</v>
      </c>
      <c r="KW123" s="3">
        <f ca="1">IFERROR(__xludf.DUMMYFUNCTION("""COMPUTED_VALUE"""),-0.873135056934467)</f>
        <v>-0.87313505693446702</v>
      </c>
      <c r="KX123" s="3">
        <f ca="1">IFERROR(__xludf.DUMMYFUNCTION("""COMPUTED_VALUE"""),-0.879466726247205)</f>
        <v>-0.87946672624720501</v>
      </c>
      <c r="KY123" s="3">
        <f ca="1">IFERROR(__xludf.DUMMYFUNCTION("""COMPUTED_VALUE"""),-0.879495878115383)</f>
        <v>-0.87949587811538299</v>
      </c>
      <c r="KZ123" s="3">
        <f ca="1">IFERROR(__xludf.DUMMYFUNCTION("""COMPUTED_VALUE"""),-0.844373926245328)</f>
        <v>-0.84437392624532803</v>
      </c>
      <c r="LA123" s="3">
        <f ca="1">IFERROR(__xludf.DUMMYFUNCTION("""COMPUTED_VALUE"""),-0.843403600254105)</f>
        <v>-0.84340360025410499</v>
      </c>
      <c r="LB123" s="3">
        <f ca="1">IFERROR(__xludf.DUMMYFUNCTION("""COMPUTED_VALUE"""),-0.866539773631421)</f>
        <v>-0.86653977363142098</v>
      </c>
      <c r="LC123" s="3">
        <f ca="1">IFERROR(__xludf.DUMMYFUNCTION("""COMPUTED_VALUE"""),-0.881723473119801)</f>
        <v>-0.88172347311980104</v>
      </c>
      <c r="LD123" s="3">
        <f ca="1">IFERROR(__xludf.DUMMYFUNCTION("""COMPUTED_VALUE"""),-0.865301385135887)</f>
        <v>-0.86530138513588695</v>
      </c>
      <c r="LE123" s="3">
        <f ca="1">IFERROR(__xludf.DUMMYFUNCTION("""COMPUTED_VALUE"""),-0.890871020329907)</f>
        <v>-0.89087102032990695</v>
      </c>
      <c r="LF123" s="3">
        <f ca="1">IFERROR(__xludf.DUMMYFUNCTION("""COMPUTED_VALUE"""),-0.85113707334675)</f>
        <v>-0.85113707334675004</v>
      </c>
      <c r="LG123" s="3">
        <f ca="1">IFERROR(__xludf.DUMMYFUNCTION("""COMPUTED_VALUE"""),-0.838315369768543)</f>
        <v>-0.83831536976854304</v>
      </c>
      <c r="LH123" s="3">
        <f ca="1">IFERROR(__xludf.DUMMYFUNCTION("""COMPUTED_VALUE"""),-0.870282016675995)</f>
        <v>-0.87028201667599503</v>
      </c>
      <c r="LI123" s="3">
        <f ca="1">IFERROR(__xludf.DUMMYFUNCTION("""COMPUTED_VALUE"""),-0.877319306085101)</f>
        <v>-0.877319306085101</v>
      </c>
      <c r="LJ123" s="3">
        <f ca="1">IFERROR(__xludf.DUMMYFUNCTION("""COMPUTED_VALUE"""),-0.894398552556548)</f>
        <v>-0.89439855255654799</v>
      </c>
      <c r="LK123" s="3">
        <f ca="1">IFERROR(__xludf.DUMMYFUNCTION("""COMPUTED_VALUE"""),-0.887642489670844)</f>
        <v>-0.88764248967084403</v>
      </c>
      <c r="LL123" s="3">
        <f ca="1">IFERROR(__xludf.DUMMYFUNCTION("""COMPUTED_VALUE"""),-0.891811356031146)</f>
        <v>-0.89181135603114603</v>
      </c>
      <c r="LM123" s="3">
        <f ca="1">IFERROR(__xludf.DUMMYFUNCTION("""COMPUTED_VALUE"""),-0.877303802587162)</f>
        <v>-0.87730380258716201</v>
      </c>
      <c r="LN123" s="3">
        <f ca="1">IFERROR(__xludf.DUMMYFUNCTION("""COMPUTED_VALUE"""),-0.857655225974074)</f>
        <v>-0.85765522597407395</v>
      </c>
      <c r="LO123" s="3">
        <f ca="1">IFERROR(__xludf.DUMMYFUNCTION("""COMPUTED_VALUE"""),-0.863541151031207)</f>
        <v>-0.86354115103120699</v>
      </c>
      <c r="LP123" s="3">
        <f ca="1">IFERROR(__xludf.DUMMYFUNCTION("""COMPUTED_VALUE"""),-0.885055155119065)</f>
        <v>-0.88505515511906496</v>
      </c>
      <c r="LQ123" s="3">
        <f ca="1">IFERROR(__xludf.DUMMYFUNCTION("""COMPUTED_VALUE"""),-0.904271105567109)</f>
        <v>-0.90427110556710899</v>
      </c>
      <c r="LR123" s="3">
        <f ca="1">IFERROR(__xludf.DUMMYFUNCTION("""COMPUTED_VALUE"""),-0.908278612562366)</f>
        <v>-0.90827861256236597</v>
      </c>
      <c r="LS123" s="3">
        <f ca="1">IFERROR(__xludf.DUMMYFUNCTION("""COMPUTED_VALUE"""),-0.899848350656337)</f>
        <v>-0.89984835065633695</v>
      </c>
      <c r="LT123" s="3">
        <f ca="1">IFERROR(__xludf.DUMMYFUNCTION("""COMPUTED_VALUE"""),-0.882389870426403)</f>
        <v>-0.88238987042640304</v>
      </c>
      <c r="LU123" s="3">
        <f ca="1">IFERROR(__xludf.DUMMYFUNCTION("""COMPUTED_VALUE"""),-0.874115925868192)</f>
        <v>-0.87411592586819198</v>
      </c>
      <c r="LV123" s="3">
        <f ca="1">IFERROR(__xludf.DUMMYFUNCTION("""COMPUTED_VALUE"""),-0.864526756216811)</f>
        <v>-0.86452675621681097</v>
      </c>
      <c r="LW123" s="3">
        <f ca="1">IFERROR(__xludf.DUMMYFUNCTION("""COMPUTED_VALUE"""),-0.894228818982683)</f>
        <v>-0.89422881898268303</v>
      </c>
      <c r="LX123" s="3">
        <f ca="1">IFERROR(__xludf.DUMMYFUNCTION("""COMPUTED_VALUE"""),-0.911239018808743)</f>
        <v>-0.91123901880874303</v>
      </c>
      <c r="LY123" s="3">
        <f ca="1">IFERROR(__xludf.DUMMYFUNCTION("""COMPUTED_VALUE"""),-0.915581647717296)</f>
        <v>-0.915581647717296</v>
      </c>
      <c r="LZ123" s="3">
        <f ca="1">IFERROR(__xludf.DUMMYFUNCTION("""COMPUTED_VALUE"""),-0.911808729860555)</f>
        <v>-0.91180872986055495</v>
      </c>
      <c r="MA123" s="3">
        <f ca="1">IFERROR(__xludf.DUMMYFUNCTION("""COMPUTED_VALUE"""),-0.906361426694956)</f>
        <v>-0.90636142669495601</v>
      </c>
      <c r="MB123" s="3">
        <f ca="1">IFERROR(__xludf.DUMMYFUNCTION("""COMPUTED_VALUE"""),-0.879448936681619)</f>
        <v>-0.87944893668161905</v>
      </c>
      <c r="MC123" s="3">
        <f ca="1">IFERROR(__xludf.DUMMYFUNCTION("""COMPUTED_VALUE"""),-0.877005958128711)</f>
        <v>-0.87700595812871096</v>
      </c>
      <c r="MD123" s="3">
        <f ca="1">IFERROR(__xludf.DUMMYFUNCTION("""COMPUTED_VALUE"""),-0.899847222126657)</f>
        <v>-0.89984722212665702</v>
      </c>
      <c r="ME123" s="3">
        <f ca="1">IFERROR(__xludf.DUMMYFUNCTION("""COMPUTED_VALUE"""),-0.912905215980848)</f>
        <v>-0.91290521598084795</v>
      </c>
      <c r="MF123" s="3">
        <f ca="1">IFERROR(__xludf.DUMMYFUNCTION("""COMPUTED_VALUE"""),-0.905470723723128)</f>
        <v>-0.90547072372312798</v>
      </c>
      <c r="MG123" s="3">
        <f ca="1">IFERROR(__xludf.DUMMYFUNCTION("""COMPUTED_VALUE"""),-0.912878243575824)</f>
        <v>-0.91287824357582403</v>
      </c>
      <c r="MH123" s="3">
        <f ca="1">IFERROR(__xludf.DUMMYFUNCTION("""COMPUTED_VALUE"""),-0.898507393812934)</f>
        <v>-0.89850739381293399</v>
      </c>
      <c r="MI123" s="3">
        <f ca="1">IFERROR(__xludf.DUMMYFUNCTION("""COMPUTED_VALUE"""),-0.884673989586339)</f>
        <v>-0.88467398958633903</v>
      </c>
      <c r="MJ123" s="3">
        <f ca="1">IFERROR(__xludf.DUMMYFUNCTION("""COMPUTED_VALUE"""),-0.890891513283041)</f>
        <v>-0.89089151328304095</v>
      </c>
      <c r="MK123" s="3">
        <f ca="1">IFERROR(__xludf.DUMMYFUNCTION("""COMPUTED_VALUE"""),-0.906998398731303)</f>
        <v>-0.90699839873130295</v>
      </c>
      <c r="ML123" s="3">
        <f ca="1">IFERROR(__xludf.DUMMYFUNCTION("""COMPUTED_VALUE"""),-0.91440194436008)</f>
        <v>-0.91440194436008004</v>
      </c>
      <c r="MM123" s="3">
        <f ca="1">IFERROR(__xludf.DUMMYFUNCTION("""COMPUTED_VALUE"""),-0.922822809537381)</f>
        <v>-0.92282280953738105</v>
      </c>
      <c r="MN123" s="3">
        <f ca="1">IFERROR(__xludf.DUMMYFUNCTION("""COMPUTED_VALUE"""),-0.914406241872312)</f>
        <v>-0.91440624187231201</v>
      </c>
      <c r="MO123" s="3">
        <f ca="1">IFERROR(__xludf.DUMMYFUNCTION("""COMPUTED_VALUE"""),-0.906083292928149)</f>
        <v>-0.90608329292814904</v>
      </c>
      <c r="MP123" s="3">
        <f ca="1">IFERROR(__xludf.DUMMYFUNCTION("""COMPUTED_VALUE"""),-0.883991093773225)</f>
        <v>-0.88399109377322505</v>
      </c>
      <c r="MQ123" s="3">
        <f ca="1">IFERROR(__xludf.DUMMYFUNCTION("""COMPUTED_VALUE"""),-0.893204833996611)</f>
        <v>-0.89320483399661099</v>
      </c>
      <c r="MR123" s="3">
        <f ca="1">IFERROR(__xludf.DUMMYFUNCTION("""COMPUTED_VALUE"""),-0.919332955710517)</f>
        <v>-0.91933295571051699</v>
      </c>
      <c r="MS123" s="3">
        <f ca="1">IFERROR(__xludf.DUMMYFUNCTION("""COMPUTED_VALUE"""),-0.925004860319925)</f>
        <v>-0.92500486031992502</v>
      </c>
      <c r="MT123" s="3">
        <f ca="1">IFERROR(__xludf.DUMMYFUNCTION("""COMPUTED_VALUE"""),-0.91971368371504)</f>
        <v>-0.91971368371504003</v>
      </c>
      <c r="MU123" s="3">
        <f ca="1">IFERROR(__xludf.DUMMYFUNCTION("""COMPUTED_VALUE"""),-0.913593874021172)</f>
        <v>-0.91359387402117198</v>
      </c>
      <c r="MV123" s="3">
        <f ca="1">IFERROR(__xludf.DUMMYFUNCTION("""COMPUTED_VALUE"""),-0.916392144451488)</f>
        <v>-0.91639214445148798</v>
      </c>
      <c r="MW123" s="3">
        <f ca="1">IFERROR(__xludf.DUMMYFUNCTION("""COMPUTED_VALUE"""),-0.885506796208897)</f>
        <v>-0.88550679620889705</v>
      </c>
      <c r="MX123" s="3">
        <f ca="1">IFERROR(__xludf.DUMMYFUNCTION("""COMPUTED_VALUE"""),-0.900631575117651)</f>
        <v>-0.90063157511765102</v>
      </c>
      <c r="MY123" s="3">
        <f ca="1">IFERROR(__xludf.DUMMYFUNCTION("""COMPUTED_VALUE"""),-0.909651573413788)</f>
        <v>-0.90965157341378799</v>
      </c>
      <c r="MZ123" s="3">
        <f ca="1">IFERROR(__xludf.DUMMYFUNCTION("""COMPUTED_VALUE"""),-0.918641728506392)</f>
        <v>-0.91864172850639203</v>
      </c>
      <c r="NA123" s="3">
        <f ca="1">IFERROR(__xludf.DUMMYFUNCTION("""COMPUTED_VALUE"""),-0.920615615023122)</f>
        <v>-0.92061561502312195</v>
      </c>
      <c r="NB123" s="3">
        <f ca="1">IFERROR(__xludf.DUMMYFUNCTION("""COMPUTED_VALUE"""),-0.91386562792571)</f>
        <v>-0.91386562792571002</v>
      </c>
      <c r="NC123" s="3">
        <f ca="1">IFERROR(__xludf.DUMMYFUNCTION("""COMPUTED_VALUE"""),-0.905638197879404)</f>
        <v>-0.90563819787940403</v>
      </c>
      <c r="ND123" s="3">
        <f ca="1">IFERROR(__xludf.DUMMYFUNCTION("""COMPUTED_VALUE"""),-0.883475389829003)</f>
        <v>-0.88347538982900298</v>
      </c>
      <c r="NE123" s="3">
        <f ca="1">IFERROR(__xludf.DUMMYFUNCTION("""COMPUTED_VALUE"""),-0.886405460729066)</f>
        <v>-0.88640546072906601</v>
      </c>
      <c r="NF123" s="3">
        <f ca="1">IFERROR(__xludf.DUMMYFUNCTION("""COMPUTED_VALUE"""),-0.881330473485183)</f>
        <v>-0.88133047348518301</v>
      </c>
      <c r="NG123" s="3">
        <f ca="1">IFERROR(__xludf.DUMMYFUNCTION("""COMPUTED_VALUE"""),-0.883236461215148)</f>
        <v>-0.88323646121514798</v>
      </c>
      <c r="NH123" s="3">
        <f ca="1">IFERROR(__xludf.DUMMYFUNCTION("""COMPUTED_VALUE"""),-0.869114707833184)</f>
        <v>-0.86911470783318401</v>
      </c>
      <c r="NI123" s="3">
        <f ca="1">IFERROR(__xludf.DUMMYFUNCTION("""COMPUTED_VALUE"""),-0.885198011913875)</f>
        <v>-0.88519801191387504</v>
      </c>
      <c r="NJ123" s="3">
        <f ca="1">IFERROR(__xludf.DUMMYFUNCTION("""COMPUTED_VALUE"""),-0.875232787846215)</f>
        <v>-0.87523278784621505</v>
      </c>
      <c r="NK123" s="3">
        <f ca="1">IFERROR(__xludf.DUMMYFUNCTION("""COMPUTED_VALUE"""),-0.855453559601786)</f>
        <v>-0.85545355960178604</v>
      </c>
      <c r="NL123" s="3">
        <f ca="1">IFERROR(__xludf.DUMMYFUNCTION("""COMPUTED_VALUE"""),-0.855344946857887)</f>
        <v>-0.85534494685788698</v>
      </c>
      <c r="NM123" s="3">
        <f ca="1">IFERROR(__xludf.DUMMYFUNCTION("""COMPUTED_VALUE"""),-0.866533720888245)</f>
        <v>-0.86653372088824498</v>
      </c>
      <c r="NN123" s="3">
        <f ca="1">IFERROR(__xludf.DUMMYFUNCTION("""COMPUTED_VALUE"""),-0.880118252379061)</f>
        <v>-0.88011825237906105</v>
      </c>
      <c r="NO123" s="3">
        <f ca="1">IFERROR(__xludf.DUMMYFUNCTION("""COMPUTED_VALUE"""),-0.878482307182565)</f>
        <v>-0.87848230718256504</v>
      </c>
      <c r="NP123" s="3">
        <f ca="1">IFERROR(__xludf.DUMMYFUNCTION("""COMPUTED_VALUE"""),-0.875907976806558)</f>
        <v>-0.87590797680655796</v>
      </c>
      <c r="NQ123" s="3">
        <f ca="1">IFERROR(__xludf.DUMMYFUNCTION("""COMPUTED_VALUE"""),-0.845601128854913)</f>
        <v>-0.84560112885491301</v>
      </c>
      <c r="NR123" s="3">
        <f ca="1">IFERROR(__xludf.DUMMYFUNCTION("""COMPUTED_VALUE"""),-0.841764593343744)</f>
        <v>-0.84176459334374398</v>
      </c>
      <c r="NS123" s="3">
        <f ca="1">IFERROR(__xludf.DUMMYFUNCTION("""COMPUTED_VALUE"""),-0.851862777511328)</f>
        <v>-0.851862777511328</v>
      </c>
      <c r="NT123" s="3">
        <f ca="1">IFERROR(__xludf.DUMMYFUNCTION("""COMPUTED_VALUE"""),-0.878291029177299)</f>
        <v>-0.87829102917729895</v>
      </c>
      <c r="NU123" s="3">
        <f ca="1">IFERROR(__xludf.DUMMYFUNCTION("""COMPUTED_VALUE"""),-0.887272282910941)</f>
        <v>-0.88727228291094096</v>
      </c>
      <c r="NV123" s="3">
        <f ca="1">IFERROR(__xludf.DUMMYFUNCTION("""COMPUTED_VALUE"""),-0.886040097146531)</f>
        <v>-0.88604009714653098</v>
      </c>
      <c r="NW123" s="3">
        <f ca="1">IFERROR(__xludf.DUMMYFUNCTION("""COMPUTED_VALUE"""),-0.868611832108691)</f>
        <v>-0.86861183210869097</v>
      </c>
      <c r="NX123" s="3">
        <f ca="1">IFERROR(__xludf.DUMMYFUNCTION("""COMPUTED_VALUE"""),-0.871019451945935)</f>
        <v>-0.871019451945935</v>
      </c>
      <c r="NY123" s="3">
        <f ca="1">IFERROR(__xludf.DUMMYFUNCTION("""COMPUTED_VALUE"""),-0.822413192074466)</f>
        <v>-0.82241319207446595</v>
      </c>
      <c r="NZ123" s="3">
        <f ca="1">IFERROR(__xludf.DUMMYFUNCTION("""COMPUTED_VALUE"""),-0.816668817927057)</f>
        <v>-0.81666881792705703</v>
      </c>
      <c r="OA123" s="3">
        <f ca="1">IFERROR(__xludf.DUMMYFUNCTION("""COMPUTED_VALUE"""),-0.852635927382694)</f>
        <v>-0.852635927382694</v>
      </c>
      <c r="OB123" s="3">
        <f ca="1">IFERROR(__xludf.DUMMYFUNCTION("""COMPUTED_VALUE"""),-0.85379002774238)</f>
        <v>-0.85379002774238</v>
      </c>
      <c r="OC123" s="3">
        <f ca="1">IFERROR(__xludf.DUMMYFUNCTION("""COMPUTED_VALUE"""),-0.857972926634398)</f>
        <v>-0.85797292663439795</v>
      </c>
      <c r="OD123" s="3">
        <f ca="1">IFERROR(__xludf.DUMMYFUNCTION("""COMPUTED_VALUE"""),-0.821271691670373)</f>
        <v>-0.82127169167037295</v>
      </c>
      <c r="OE123" s="3">
        <f ca="1">IFERROR(__xludf.DUMMYFUNCTION("""COMPUTED_VALUE"""),-0.670115731296215)</f>
        <v>-0.67011573129621504</v>
      </c>
      <c r="OF123" s="3">
        <f ca="1">IFERROR(__xludf.DUMMYFUNCTION("""COMPUTED_VALUE"""),-0.505644042340261)</f>
        <v>-0.50564404234026095</v>
      </c>
      <c r="OG123" s="3">
        <f ca="1">IFERROR(__xludf.DUMMYFUNCTION("""COMPUTED_VALUE"""),-0.520786389102285)</f>
        <v>-0.52078638910228503</v>
      </c>
      <c r="OH123" s="3">
        <f ca="1">IFERROR(__xludf.DUMMYFUNCTION("""COMPUTED_VALUE"""),-0.441004282302911)</f>
        <v>-0.441004282302911</v>
      </c>
      <c r="OI123" s="3">
        <f ca="1">IFERROR(__xludf.DUMMYFUNCTION("""COMPUTED_VALUE"""),-0.391256403714281)</f>
        <v>-0.391256403714281</v>
      </c>
      <c r="OJ123" s="3">
        <f ca="1">IFERROR(__xludf.DUMMYFUNCTION("""COMPUTED_VALUE"""),-0.329021977398604)</f>
        <v>-0.329021977398604</v>
      </c>
      <c r="OK123" s="3">
        <f ca="1">IFERROR(__xludf.DUMMYFUNCTION("""COMPUTED_VALUE"""),-0.299783364012206)</f>
        <v>-0.29978336401220601</v>
      </c>
      <c r="OL123" s="3">
        <f ca="1">IFERROR(__xludf.DUMMYFUNCTION("""COMPUTED_VALUE"""),-0.260757305371273)</f>
        <v>-0.26075730537127301</v>
      </c>
      <c r="OM123" s="3">
        <f ca="1">IFERROR(__xludf.DUMMYFUNCTION("""COMPUTED_VALUE"""),-0.195713724230489)</f>
        <v>-0.19571372423048899</v>
      </c>
      <c r="ON123" s="3">
        <f ca="1">IFERROR(__xludf.DUMMYFUNCTION("""COMPUTED_VALUE"""),-0.189423678090057)</f>
        <v>-0.189423678090057</v>
      </c>
      <c r="OO123" s="3">
        <f ca="1">IFERROR(__xludf.DUMMYFUNCTION("""COMPUTED_VALUE"""),-0.138990933474913)</f>
        <v>-0.13899093347491301</v>
      </c>
      <c r="OP123" s="3">
        <f ca="1">IFERROR(__xludf.DUMMYFUNCTION("""COMPUTED_VALUE"""),-0.104832895379011)</f>
        <v>-0.104832895379011</v>
      </c>
      <c r="OQ123" s="3">
        <f ca="1">IFERROR(__xludf.DUMMYFUNCTION("""COMPUTED_VALUE"""),-0.0244759717372804)</f>
        <v>-2.4475971737280399E-2</v>
      </c>
      <c r="OR123" s="3">
        <f ca="1">IFERROR(__xludf.DUMMYFUNCTION("""COMPUTED_VALUE"""),-0.0754233485785851)</f>
        <v>-7.5423348578585098E-2</v>
      </c>
      <c r="OS123" s="3">
        <f ca="1">IFERROR(__xludf.DUMMYFUNCTION("""COMPUTED_VALUE"""),-0.0613665362359244)</f>
        <v>-6.1366536235924397E-2</v>
      </c>
      <c r="OT123" s="3">
        <f ca="1">IFERROR(__xludf.DUMMYFUNCTION("""COMPUTED_VALUE"""),0.0129341831204035)</f>
        <v>1.29341831204035E-2</v>
      </c>
      <c r="OU123" s="3">
        <f ca="1">IFERROR(__xludf.DUMMYFUNCTION("""COMPUTED_VALUE"""),0.013341442303701)</f>
        <v>1.3341442303701E-2</v>
      </c>
      <c r="OV123" s="3">
        <f ca="1">IFERROR(__xludf.DUMMYFUNCTION("""COMPUTED_VALUE"""),0.0400518404169596)</f>
        <v>4.0051840416959597E-2</v>
      </c>
      <c r="OW123" s="3">
        <f ca="1">IFERROR(__xludf.DUMMYFUNCTION("""COMPUTED_VALUE"""),0.0132411818447391)</f>
        <v>1.3241181844739099E-2</v>
      </c>
      <c r="OX123" s="3">
        <f ca="1">IFERROR(__xludf.DUMMYFUNCTION("""COMPUTED_VALUE"""),0.00584803158073898)</f>
        <v>5.8480315807389804E-3</v>
      </c>
      <c r="OY123" s="3">
        <f ca="1">IFERROR(__xludf.DUMMYFUNCTION("""COMPUTED_VALUE"""),0.0166149425404575)</f>
        <v>1.6614942540457499E-2</v>
      </c>
      <c r="OZ123" s="3">
        <f ca="1">IFERROR(__xludf.DUMMYFUNCTION("""COMPUTED_VALUE"""),0.0714091255067015)</f>
        <v>7.1409125506701504E-2</v>
      </c>
      <c r="PA123" s="3">
        <f ca="1">IFERROR(__xludf.DUMMYFUNCTION("""COMPUTED_VALUE"""),0.0238109290067183)</f>
        <v>2.3810929006718301E-2</v>
      </c>
      <c r="PB123" s="3">
        <f ca="1">IFERROR(__xludf.DUMMYFUNCTION("""COMPUTED_VALUE"""),0.031889170652894)</f>
        <v>3.1889170652893997E-2</v>
      </c>
      <c r="PC123" s="3">
        <f ca="1">IFERROR(__xludf.DUMMYFUNCTION("""COMPUTED_VALUE"""),0.00788633270776295)</f>
        <v>7.88633270776295E-3</v>
      </c>
      <c r="PD123" s="3">
        <f ca="1">IFERROR(__xludf.DUMMYFUNCTION("""COMPUTED_VALUE"""),-0.0648428910179381)</f>
        <v>-6.4842891017938095E-2</v>
      </c>
      <c r="PE123" s="3">
        <f ca="1">IFERROR(__xludf.DUMMYFUNCTION("""COMPUTED_VALUE"""),0.0054156762467814)</f>
        <v>5.4156762467814003E-3</v>
      </c>
      <c r="PF123" s="3">
        <f ca="1">IFERROR(__xludf.DUMMYFUNCTION("""COMPUTED_VALUE"""),-0.026824881796969)</f>
        <v>-2.6824881796969E-2</v>
      </c>
      <c r="PG123" s="3">
        <f ca="1">IFERROR(__xludf.DUMMYFUNCTION("""COMPUTED_VALUE"""),-0.18660314448459)</f>
        <v>-0.18660314448459001</v>
      </c>
      <c r="PH123" s="3">
        <f ca="1">IFERROR(__xludf.DUMMYFUNCTION("""COMPUTED_VALUE"""),0.0402436174370279)</f>
        <v>4.0243617437027902E-2</v>
      </c>
      <c r="PI123" s="3">
        <f ca="1">IFERROR(__xludf.DUMMYFUNCTION("""COMPUTED_VALUE"""),0.0153879792568523)</f>
        <v>1.5387979256852299E-2</v>
      </c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</row>
    <row r="124" spans="1:477" ht="13">
      <c r="A124" s="1" t="str">
        <f ca="1">IFERROR(__xludf.DUMMYFUNCTION("""COMPUTED_VALUE"""),"BART")</f>
        <v>BART</v>
      </c>
      <c r="B124" s="1" t="str">
        <f ca="1">IFERROR(__xludf.DUMMYFUNCTION("""COMPUTED_VALUE"""),"SF Bay Area")</f>
        <v>SF Bay Area</v>
      </c>
      <c r="C124" s="1" t="str">
        <f ca="1">IFERROR(__xludf.DUMMYFUNCTION("""COMPUTED_VALUE"""),"United States")</f>
        <v>United States</v>
      </c>
      <c r="D124" s="1" t="str">
        <f ca="1">IFERROR(__xludf.DUMMYFUNCTION("""COMPUTED_VALUE"""),"California")</f>
        <v>California</v>
      </c>
      <c r="E124" s="3">
        <f ca="1">IFERROR(__xludf.DUMMYFUNCTION("""COMPUTED_VALUE"""),-0.538452277474849)</f>
        <v>-0.53845227747484903</v>
      </c>
      <c r="F124" s="3">
        <f ca="1">IFERROR(__xludf.DUMMYFUNCTION("""COMPUTED_VALUE"""),-0.627670351312014)</f>
        <v>-0.62767035131201399</v>
      </c>
      <c r="G124" s="3">
        <f ca="1">IFERROR(__xludf.DUMMYFUNCTION("""COMPUTED_VALUE"""),-0.641272097084095)</f>
        <v>-0.64127209708409505</v>
      </c>
      <c r="H124" s="3">
        <f ca="1">IFERROR(__xludf.DUMMYFUNCTION("""COMPUTED_VALUE"""),-0.647431489795359)</f>
        <v>-0.64743148979535903</v>
      </c>
      <c r="I124" s="3">
        <f ca="1">IFERROR(__xludf.DUMMYFUNCTION("""COMPUTED_VALUE"""),-0.637674835270904)</f>
        <v>-0.63767483527090396</v>
      </c>
      <c r="J124" s="3">
        <f ca="1">IFERROR(__xludf.DUMMYFUNCTION("""COMPUTED_VALUE"""),-0.614622305294612)</f>
        <v>-0.61462230529461204</v>
      </c>
      <c r="K124" s="3">
        <f ca="1">IFERROR(__xludf.DUMMYFUNCTION("""COMPUTED_VALUE"""),-0.556744911958229)</f>
        <v>-0.55674491195822895</v>
      </c>
      <c r="L124" s="3">
        <f ca="1">IFERROR(__xludf.DUMMYFUNCTION("""COMPUTED_VALUE"""),-0.550388115019153)</f>
        <v>-0.55038811501915297</v>
      </c>
      <c r="M124" s="3">
        <f ca="1">IFERROR(__xludf.DUMMYFUNCTION("""COMPUTED_VALUE"""),-0.586350801363301)</f>
        <v>-0.58635080136330098</v>
      </c>
      <c r="N124" s="3">
        <f ca="1">IFERROR(__xludf.DUMMYFUNCTION("""COMPUTED_VALUE"""),-0.617208456875596)</f>
        <v>-0.617208456875596</v>
      </c>
      <c r="O124" s="3">
        <f ca="1">IFERROR(__xludf.DUMMYFUNCTION("""COMPUTED_VALUE"""),-0.64137111481467)</f>
        <v>-0.64137111481467002</v>
      </c>
      <c r="P124" s="3">
        <f ca="1">IFERROR(__xludf.DUMMYFUNCTION("""COMPUTED_VALUE"""),-0.653394018541762)</f>
        <v>-0.65339401854176204</v>
      </c>
      <c r="Q124" s="3">
        <f ca="1">IFERROR(__xludf.DUMMYFUNCTION("""COMPUTED_VALUE"""),-0.625182249452659)</f>
        <v>-0.62518224945265899</v>
      </c>
      <c r="R124" s="3">
        <f ca="1">IFERROR(__xludf.DUMMYFUNCTION("""COMPUTED_VALUE"""),-0.516132550250412)</f>
        <v>-0.51613255025041205</v>
      </c>
      <c r="S124" s="3">
        <f ca="1">IFERROR(__xludf.DUMMYFUNCTION("""COMPUTED_VALUE"""),-0.55780582686294)</f>
        <v>-0.55780582686294</v>
      </c>
      <c r="T124" s="3">
        <f ca="1">IFERROR(__xludf.DUMMYFUNCTION("""COMPUTED_VALUE"""),-0.681405346630153)</f>
        <v>-0.68140534663015295</v>
      </c>
      <c r="U124" s="3">
        <f ca="1">IFERROR(__xludf.DUMMYFUNCTION("""COMPUTED_VALUE"""),-0.707556483094872)</f>
        <v>-0.70755648309487196</v>
      </c>
      <c r="V124" s="3">
        <f ca="1">IFERROR(__xludf.DUMMYFUNCTION("""COMPUTED_VALUE"""),-0.728884962496717)</f>
        <v>-0.72888496249671697</v>
      </c>
      <c r="W124" s="3">
        <f ca="1">IFERROR(__xludf.DUMMYFUNCTION("""COMPUTED_VALUE"""),-0.734706474489279)</f>
        <v>-0.73470647448927895</v>
      </c>
      <c r="X124" s="3">
        <f ca="1">IFERROR(__xludf.DUMMYFUNCTION("""COMPUTED_VALUE"""),-0.702399510118485)</f>
        <v>-0.702399510118485</v>
      </c>
      <c r="Y124" s="3">
        <f ca="1">IFERROR(__xludf.DUMMYFUNCTION("""COMPUTED_VALUE"""),-0.630080010028337)</f>
        <v>-0.63008001002833702</v>
      </c>
      <c r="Z124" s="3">
        <f ca="1">IFERROR(__xludf.DUMMYFUNCTION("""COMPUTED_VALUE"""),-0.623708128818137)</f>
        <v>-0.62370812881813698</v>
      </c>
      <c r="AA124" s="3">
        <f ca="1">IFERROR(__xludf.DUMMYFUNCTION("""COMPUTED_VALUE"""),-0.728371359401248)</f>
        <v>-0.72837135940124798</v>
      </c>
      <c r="AB124" s="3">
        <f ca="1">IFERROR(__xludf.DUMMYFUNCTION("""COMPUTED_VALUE"""),-0.78273508313017)</f>
        <v>-0.78273508313017004</v>
      </c>
      <c r="AC124" s="3">
        <f ca="1">IFERROR(__xludf.DUMMYFUNCTION("""COMPUTED_VALUE"""),-0.766152253239888)</f>
        <v>-0.766152253239888</v>
      </c>
      <c r="AD124" s="3">
        <f ca="1">IFERROR(__xludf.DUMMYFUNCTION("""COMPUTED_VALUE"""),-0.767919019632059)</f>
        <v>-0.767919019632059</v>
      </c>
      <c r="AE124" s="3">
        <f ca="1">IFERROR(__xludf.DUMMYFUNCTION("""COMPUTED_VALUE"""),-0.762318507841908)</f>
        <v>-0.76231850784190802</v>
      </c>
      <c r="AF124" s="3">
        <f ca="1">IFERROR(__xludf.DUMMYFUNCTION("""COMPUTED_VALUE"""),-0.699005111238046)</f>
        <v>-0.69900511123804598</v>
      </c>
      <c r="AG124" s="3">
        <f ca="1">IFERROR(__xludf.DUMMYFUNCTION("""COMPUTED_VALUE"""),-0.671345476590047)</f>
        <v>-0.67134547659004695</v>
      </c>
      <c r="AH124" s="3">
        <f ca="1">IFERROR(__xludf.DUMMYFUNCTION("""COMPUTED_VALUE"""),-0.748080952763698)</f>
        <v>-0.74808095276369801</v>
      </c>
      <c r="AI124" s="3">
        <f ca="1">IFERROR(__xludf.DUMMYFUNCTION("""COMPUTED_VALUE"""),-0.77967198698918)</f>
        <v>-0.77967198698918005</v>
      </c>
      <c r="AJ124" s="3">
        <f ca="1">IFERROR(__xludf.DUMMYFUNCTION("""COMPUTED_VALUE"""),-0.797873276936495)</f>
        <v>-0.79787327693649501</v>
      </c>
      <c r="AK124" s="3">
        <f ca="1">IFERROR(__xludf.DUMMYFUNCTION("""COMPUTED_VALUE"""),-0.787415921510014)</f>
        <v>-0.78741592151001405</v>
      </c>
      <c r="AL124" s="3">
        <f ca="1">IFERROR(__xludf.DUMMYFUNCTION("""COMPUTED_VALUE"""),-0.772302352024544)</f>
        <v>-0.772302352024544</v>
      </c>
      <c r="AM124" s="3">
        <f ca="1">IFERROR(__xludf.DUMMYFUNCTION("""COMPUTED_VALUE"""),-0.683807829816168)</f>
        <v>-0.68380782981616794</v>
      </c>
      <c r="AN124" s="3">
        <f ca="1">IFERROR(__xludf.DUMMYFUNCTION("""COMPUTED_VALUE"""),-0.682840604435842)</f>
        <v>-0.68284060443584205</v>
      </c>
      <c r="AO124" s="3">
        <f ca="1">IFERROR(__xludf.DUMMYFUNCTION("""COMPUTED_VALUE"""),-0.761824294748418)</f>
        <v>-0.76182429474841795</v>
      </c>
      <c r="AP124" s="3">
        <f ca="1">IFERROR(__xludf.DUMMYFUNCTION("""COMPUTED_VALUE"""),-0.780419511159614)</f>
        <v>-0.78041951115961405</v>
      </c>
      <c r="AQ124" s="3">
        <f ca="1">IFERROR(__xludf.DUMMYFUNCTION("""COMPUTED_VALUE"""),-0.774862796021096)</f>
        <v>-0.77486279602109598</v>
      </c>
      <c r="AR124" s="3">
        <f ca="1">IFERROR(__xludf.DUMMYFUNCTION("""COMPUTED_VALUE"""),-0.787096496373696)</f>
        <v>-0.78709649637369605</v>
      </c>
      <c r="AS124" s="3">
        <f ca="1">IFERROR(__xludf.DUMMYFUNCTION("""COMPUTED_VALUE"""),-0.759344090473482)</f>
        <v>-0.75934409047348195</v>
      </c>
      <c r="AT124" s="3">
        <f ca="1">IFERROR(__xludf.DUMMYFUNCTION("""COMPUTED_VALUE"""),-0.686774439300468)</f>
        <v>-0.686774439300468</v>
      </c>
      <c r="AU124" s="3">
        <f ca="1">IFERROR(__xludf.DUMMYFUNCTION("""COMPUTED_VALUE"""),-0.681267780792347)</f>
        <v>-0.68126778079234696</v>
      </c>
      <c r="AV124" s="3">
        <f ca="1">IFERROR(__xludf.DUMMYFUNCTION("""COMPUTED_VALUE"""),-0.773163337527111)</f>
        <v>-0.77316333752711097</v>
      </c>
      <c r="AW124" s="3">
        <f ca="1">IFERROR(__xludf.DUMMYFUNCTION("""COMPUTED_VALUE"""),-0.789174455982172)</f>
        <v>-0.78917445598217195</v>
      </c>
      <c r="AX124" s="3">
        <f ca="1">IFERROR(__xludf.DUMMYFUNCTION("""COMPUTED_VALUE"""),-0.778098299574792)</f>
        <v>-0.77809829957479204</v>
      </c>
      <c r="AY124" s="3">
        <f ca="1">IFERROR(__xludf.DUMMYFUNCTION("""COMPUTED_VALUE"""),-0.774382681776652)</f>
        <v>-0.77438268177665204</v>
      </c>
      <c r="AZ124" s="3">
        <f ca="1">IFERROR(__xludf.DUMMYFUNCTION("""COMPUTED_VALUE"""),-0.743525970245954)</f>
        <v>-0.74352597024595402</v>
      </c>
      <c r="BA124" s="3">
        <f ca="1">IFERROR(__xludf.DUMMYFUNCTION("""COMPUTED_VALUE"""),-0.671277650726179)</f>
        <v>-0.67127765072617895</v>
      </c>
      <c r="BB124" s="3">
        <f ca="1">IFERROR(__xludf.DUMMYFUNCTION("""COMPUTED_VALUE"""),-0.680495567997104)</f>
        <v>-0.68049556799710398</v>
      </c>
      <c r="BC124" s="3">
        <f ca="1">IFERROR(__xludf.DUMMYFUNCTION("""COMPUTED_VALUE"""),-0.767268631140116)</f>
        <v>-0.76726863114011601</v>
      </c>
      <c r="BD124" s="3">
        <f ca="1">IFERROR(__xludf.DUMMYFUNCTION("""COMPUTED_VALUE"""),-0.798701332629507)</f>
        <v>-0.79870133262950704</v>
      </c>
      <c r="BE124" s="3">
        <f ca="1">IFERROR(__xludf.DUMMYFUNCTION("""COMPUTED_VALUE"""),-0.78327185114474)</f>
        <v>-0.78327185114473996</v>
      </c>
      <c r="BF124" s="3">
        <f ca="1">IFERROR(__xludf.DUMMYFUNCTION("""COMPUTED_VALUE"""),-0.787457359834868)</f>
        <v>-0.78745735983486798</v>
      </c>
      <c r="BG124" s="3">
        <f ca="1">IFERROR(__xludf.DUMMYFUNCTION("""COMPUTED_VALUE"""),-0.758651224707085)</f>
        <v>-0.75865122470708501</v>
      </c>
      <c r="BH124" s="3">
        <f ca="1">IFERROR(__xludf.DUMMYFUNCTION("""COMPUTED_VALUE"""),-0.682935493414876)</f>
        <v>-0.68293549341487603</v>
      </c>
      <c r="BI124" s="3">
        <f ca="1">IFERROR(__xludf.DUMMYFUNCTION("""COMPUTED_VALUE"""),-0.695369505439532)</f>
        <v>-0.69536950543953202</v>
      </c>
      <c r="BJ124" s="3">
        <f ca="1">IFERROR(__xludf.DUMMYFUNCTION("""COMPUTED_VALUE"""),-0.779328686181601)</f>
        <v>-0.779328686181601</v>
      </c>
      <c r="BK124" s="3">
        <f ca="1">IFERROR(__xludf.DUMMYFUNCTION("""COMPUTED_VALUE"""),-0.804791619078783)</f>
        <v>-0.80479161907878305</v>
      </c>
      <c r="BL124" s="3">
        <f ca="1">IFERROR(__xludf.DUMMYFUNCTION("""COMPUTED_VALUE"""),-0.801238146158162)</f>
        <v>-0.80123814615816202</v>
      </c>
      <c r="BM124" s="3">
        <f ca="1">IFERROR(__xludf.DUMMYFUNCTION("""COMPUTED_VALUE"""),-0.80586995329606)</f>
        <v>-0.80586995329606004</v>
      </c>
      <c r="BN124" s="3">
        <f ca="1">IFERROR(__xludf.DUMMYFUNCTION("""COMPUTED_VALUE"""),-0.767858864800465)</f>
        <v>-0.76785886480046495</v>
      </c>
      <c r="BO124" s="3">
        <f ca="1">IFERROR(__xludf.DUMMYFUNCTION("""COMPUTED_VALUE"""),-0.698861628363229)</f>
        <v>-0.69886162836322896</v>
      </c>
      <c r="BP124" s="3">
        <f ca="1">IFERROR(__xludf.DUMMYFUNCTION("""COMPUTED_VALUE"""),-0.695276121948582)</f>
        <v>-0.69527612194858202</v>
      </c>
      <c r="BQ124" s="3">
        <f ca="1">IFERROR(__xludf.DUMMYFUNCTION("""COMPUTED_VALUE"""),-0.776102847040712)</f>
        <v>-0.77610284704071197</v>
      </c>
      <c r="BR124" s="3">
        <f ca="1">IFERROR(__xludf.DUMMYFUNCTION("""COMPUTED_VALUE"""),-0.791738274521691)</f>
        <v>-0.79173827452169099</v>
      </c>
      <c r="BS124" s="3">
        <f ca="1">IFERROR(__xludf.DUMMYFUNCTION("""COMPUTED_VALUE"""),-0.79318221540504)</f>
        <v>-0.79318221540503997</v>
      </c>
      <c r="BT124" s="3">
        <f ca="1">IFERROR(__xludf.DUMMYFUNCTION("""COMPUTED_VALUE"""),-0.796997916369937)</f>
        <v>-0.796997916369937</v>
      </c>
      <c r="BU124" s="3">
        <f ca="1">IFERROR(__xludf.DUMMYFUNCTION("""COMPUTED_VALUE"""),-0.774058747913808)</f>
        <v>-0.77405874791380802</v>
      </c>
      <c r="BV124" s="3">
        <f ca="1">IFERROR(__xludf.DUMMYFUNCTION("""COMPUTED_VALUE"""),-0.730082523588351)</f>
        <v>-0.73008252358835102</v>
      </c>
      <c r="BW124" s="3">
        <f ca="1">IFERROR(__xludf.DUMMYFUNCTION("""COMPUTED_VALUE"""),-0.741035254829145)</f>
        <v>-0.74103525482914501</v>
      </c>
      <c r="BX124" s="3">
        <f ca="1">IFERROR(__xludf.DUMMYFUNCTION("""COMPUTED_VALUE"""),-0.79415310884505)</f>
        <v>-0.79415310884504997</v>
      </c>
      <c r="BY124" s="3">
        <f ca="1">IFERROR(__xludf.DUMMYFUNCTION("""COMPUTED_VALUE"""),-0.831504417537977)</f>
        <v>-0.83150441753797699</v>
      </c>
      <c r="BZ124" s="3">
        <f ca="1">IFERROR(__xludf.DUMMYFUNCTION("""COMPUTED_VALUE"""),-0.838696840166208)</f>
        <v>-0.83869684016620805</v>
      </c>
      <c r="CA124" s="3">
        <f ca="1">IFERROR(__xludf.DUMMYFUNCTION("""COMPUTED_VALUE"""),-0.812001621403108)</f>
        <v>-0.81200162140310805</v>
      </c>
      <c r="CB124" s="3">
        <f ca="1">IFERROR(__xludf.DUMMYFUNCTION("""COMPUTED_VALUE"""),-0.762073893847658)</f>
        <v>-0.762073893847658</v>
      </c>
      <c r="CC124" s="3">
        <f ca="1">IFERROR(__xludf.DUMMYFUNCTION("""COMPUTED_VALUE"""),-0.75749270319755)</f>
        <v>-0.75749270319755002</v>
      </c>
      <c r="CD124" s="3">
        <f ca="1">IFERROR(__xludf.DUMMYFUNCTION("""COMPUTED_VALUE"""),-0.702213826588505)</f>
        <v>-0.70221382658850495</v>
      </c>
      <c r="CE124" s="3">
        <f ca="1">IFERROR(__xludf.DUMMYFUNCTION("""COMPUTED_VALUE"""),-0.792280378840276)</f>
        <v>-0.79228037884027602</v>
      </c>
      <c r="CF124" s="3">
        <f ca="1">IFERROR(__xludf.DUMMYFUNCTION("""COMPUTED_VALUE"""),-0.799160619212884)</f>
        <v>-0.79916061921288395</v>
      </c>
      <c r="CG124" s="3">
        <f ca="1">IFERROR(__xludf.DUMMYFUNCTION("""COMPUTED_VALUE"""),-0.805179428158806)</f>
        <v>-0.80517942815880605</v>
      </c>
      <c r="CH124" s="3">
        <f ca="1">IFERROR(__xludf.DUMMYFUNCTION("""COMPUTED_VALUE"""),-0.792748892555968)</f>
        <v>-0.79274889255596803</v>
      </c>
      <c r="CI124" s="3">
        <f ca="1">IFERROR(__xludf.DUMMYFUNCTION("""COMPUTED_VALUE"""),-0.723030661197595)</f>
        <v>-0.72303066119759496</v>
      </c>
      <c r="CJ124" s="3">
        <f ca="1">IFERROR(__xludf.DUMMYFUNCTION("""COMPUTED_VALUE"""),-0.690426464067813)</f>
        <v>-0.69042646406781305</v>
      </c>
      <c r="CK124" s="3">
        <f ca="1">IFERROR(__xludf.DUMMYFUNCTION("""COMPUTED_VALUE"""),-0.691539757405261)</f>
        <v>-0.69153975740526097</v>
      </c>
      <c r="CL124" s="3">
        <f ca="1">IFERROR(__xludf.DUMMYFUNCTION("""COMPUTED_VALUE"""),-0.774341663933543)</f>
        <v>-0.77434166393354298</v>
      </c>
      <c r="CM124" s="3">
        <f ca="1">IFERROR(__xludf.DUMMYFUNCTION("""COMPUTED_VALUE"""),-0.781587667925167)</f>
        <v>-0.78158766792516698</v>
      </c>
      <c r="CN124" s="3">
        <f ca="1">IFERROR(__xludf.DUMMYFUNCTION("""COMPUTED_VALUE"""),-0.796139129246715)</f>
        <v>-0.79613912924671504</v>
      </c>
      <c r="CO124" s="3">
        <f ca="1">IFERROR(__xludf.DUMMYFUNCTION("""COMPUTED_VALUE"""),-0.795258147169789)</f>
        <v>-0.79525814716978904</v>
      </c>
      <c r="CP124" s="3">
        <f ca="1">IFERROR(__xludf.DUMMYFUNCTION("""COMPUTED_VALUE"""),-0.741842683477078)</f>
        <v>-0.74184268347707805</v>
      </c>
      <c r="CQ124" s="3">
        <f ca="1">IFERROR(__xludf.DUMMYFUNCTION("""COMPUTED_VALUE"""),-0.689402176583917)</f>
        <v>-0.689402176583917</v>
      </c>
      <c r="CR124" s="3">
        <f ca="1">IFERROR(__xludf.DUMMYFUNCTION("""COMPUTED_VALUE"""),-0.695136320558057)</f>
        <v>-0.69513632055805696</v>
      </c>
      <c r="CS124" s="3">
        <f ca="1">IFERROR(__xludf.DUMMYFUNCTION("""COMPUTED_VALUE"""),-0.766106367584005)</f>
        <v>-0.76610636758400497</v>
      </c>
      <c r="CT124" s="3">
        <f ca="1">IFERROR(__xludf.DUMMYFUNCTION("""COMPUTED_VALUE"""),-0.764615711394692)</f>
        <v>-0.76461571139469198</v>
      </c>
      <c r="CU124" s="3">
        <f ca="1">IFERROR(__xludf.DUMMYFUNCTION("""COMPUTED_VALUE"""),-0.767835960394621)</f>
        <v>-0.76783596039462099</v>
      </c>
      <c r="CV124" s="3">
        <f ca="1">IFERROR(__xludf.DUMMYFUNCTION("""COMPUTED_VALUE"""),-0.747494833215152)</f>
        <v>-0.74749483321515198</v>
      </c>
      <c r="CW124" s="3">
        <f ca="1">IFERROR(__xludf.DUMMYFUNCTION("""COMPUTED_VALUE"""),-0.733109665092315)</f>
        <v>-0.73310966509231501</v>
      </c>
      <c r="CX124" s="3">
        <f ca="1">IFERROR(__xludf.DUMMYFUNCTION("""COMPUTED_VALUE"""),-0.662605707438702)</f>
        <v>-0.66260570743870195</v>
      </c>
      <c r="CY124" s="3">
        <f ca="1">IFERROR(__xludf.DUMMYFUNCTION("""COMPUTED_VALUE"""),-0.740897229851079)</f>
        <v>-0.74089722985107898</v>
      </c>
      <c r="CZ124" s="3">
        <f ca="1">IFERROR(__xludf.DUMMYFUNCTION("""COMPUTED_VALUE"""),-0.790742505963921)</f>
        <v>-0.79074250596392104</v>
      </c>
      <c r="DA124" s="3">
        <f ca="1">IFERROR(__xludf.DUMMYFUNCTION("""COMPUTED_VALUE"""),-0.710464064084584)</f>
        <v>-0.71046406408458396</v>
      </c>
      <c r="DB124" s="3">
        <f ca="1">IFERROR(__xludf.DUMMYFUNCTION("""COMPUTED_VALUE"""),-0.653581484666695)</f>
        <v>-0.65358148466669497</v>
      </c>
      <c r="DC124" s="3">
        <f ca="1">IFERROR(__xludf.DUMMYFUNCTION("""COMPUTED_VALUE"""),-0.707090920118915)</f>
        <v>-0.70709092011891495</v>
      </c>
      <c r="DD124" s="3">
        <f ca="1">IFERROR(__xludf.DUMMYFUNCTION("""COMPUTED_VALUE"""),-0.712585944801518)</f>
        <v>-0.71258594480151805</v>
      </c>
      <c r="DE124" s="3">
        <f ca="1">IFERROR(__xludf.DUMMYFUNCTION("""COMPUTED_VALUE"""),-0.677096301363407)</f>
        <v>-0.67709630136340704</v>
      </c>
      <c r="DF124" s="3">
        <f ca="1">IFERROR(__xludf.DUMMYFUNCTION("""COMPUTED_VALUE"""),-0.752109596053321)</f>
        <v>-0.75210959605332095</v>
      </c>
      <c r="DG124" s="3">
        <f ca="1">IFERROR(__xludf.DUMMYFUNCTION("""COMPUTED_VALUE"""),-0.885921520598478)</f>
        <v>-0.88592152059847795</v>
      </c>
      <c r="DH124" s="3">
        <f ca="1">IFERROR(__xludf.DUMMYFUNCTION("""COMPUTED_VALUE"""),-0.750423144509631)</f>
        <v>-0.75042314450963099</v>
      </c>
      <c r="DI124" s="3">
        <f ca="1">IFERROR(__xludf.DUMMYFUNCTION("""COMPUTED_VALUE"""),-0.647870292149856)</f>
        <v>-0.64787029214985603</v>
      </c>
      <c r="DJ124" s="3">
        <f ca="1">IFERROR(__xludf.DUMMYFUNCTION("""COMPUTED_VALUE"""),-0.711100018859463)</f>
        <v>-0.71110001885946295</v>
      </c>
      <c r="DK124" s="3">
        <f ca="1">IFERROR(__xludf.DUMMYFUNCTION("""COMPUTED_VALUE"""),-0.714885798831226)</f>
        <v>-0.71488579883122605</v>
      </c>
      <c r="DL124" s="3">
        <f ca="1">IFERROR(__xludf.DUMMYFUNCTION("""COMPUTED_VALUE"""),-0.703597411903609)</f>
        <v>-0.70359741190360903</v>
      </c>
      <c r="DM124" s="3">
        <f ca="1">IFERROR(__xludf.DUMMYFUNCTION("""COMPUTED_VALUE"""),-0.710339085058122)</f>
        <v>-0.71033908505812204</v>
      </c>
      <c r="DN124" s="3">
        <f ca="1">IFERROR(__xludf.DUMMYFUNCTION("""COMPUTED_VALUE"""),-0.76276267673457)</f>
        <v>-0.76276267673456999</v>
      </c>
      <c r="DO124" s="3">
        <f ca="1">IFERROR(__xludf.DUMMYFUNCTION("""COMPUTED_VALUE"""),-0.763390068045738)</f>
        <v>-0.76339006804573795</v>
      </c>
      <c r="DP124" s="3">
        <f ca="1">IFERROR(__xludf.DUMMYFUNCTION("""COMPUTED_VALUE"""),-0.755312823329555)</f>
        <v>-0.75531282332955496</v>
      </c>
      <c r="DQ124" s="3">
        <f ca="1">IFERROR(__xludf.DUMMYFUNCTION("""COMPUTED_VALUE"""),-0.769485591010101)</f>
        <v>-0.76948559101010106</v>
      </c>
      <c r="DR124" s="3">
        <f ca="1">IFERROR(__xludf.DUMMYFUNCTION("""COMPUTED_VALUE"""),-0.76755898865217)</f>
        <v>-0.76755898865216998</v>
      </c>
      <c r="DS124" s="3">
        <f ca="1">IFERROR(__xludf.DUMMYFUNCTION("""COMPUTED_VALUE"""),-0.782995846351313)</f>
        <v>-0.78299584635131303</v>
      </c>
      <c r="DT124" s="3">
        <f ca="1">IFERROR(__xludf.DUMMYFUNCTION("""COMPUTED_VALUE"""),-0.769179105484997)</f>
        <v>-0.76917910548499702</v>
      </c>
      <c r="DU124" s="3">
        <f ca="1">IFERROR(__xludf.DUMMYFUNCTION("""COMPUTED_VALUE"""),-0.825970183620801)</f>
        <v>-0.82597018362080099</v>
      </c>
      <c r="DV124" s="3">
        <f ca="1">IFERROR(__xludf.DUMMYFUNCTION("""COMPUTED_VALUE"""),-0.816861835102947)</f>
        <v>-0.81686183510294696</v>
      </c>
      <c r="DW124" s="3">
        <f ca="1">IFERROR(__xludf.DUMMYFUNCTION("""COMPUTED_VALUE"""),-0.831876515898386)</f>
        <v>-0.83187651589838596</v>
      </c>
      <c r="DX124" s="3">
        <f ca="1">IFERROR(__xludf.DUMMYFUNCTION("""COMPUTED_VALUE"""),-0.814568698136266)</f>
        <v>-0.81456869813626598</v>
      </c>
      <c r="DY124" s="3">
        <f ca="1">IFERROR(__xludf.DUMMYFUNCTION("""COMPUTED_VALUE"""),-0.791006979391163)</f>
        <v>-0.79100697939116305</v>
      </c>
      <c r="DZ124" s="3">
        <f ca="1">IFERROR(__xludf.DUMMYFUNCTION("""COMPUTED_VALUE"""),-0.716635465670675)</f>
        <v>-0.71663546567067504</v>
      </c>
      <c r="EA124" s="3">
        <f ca="1">IFERROR(__xludf.DUMMYFUNCTION("""COMPUTED_VALUE"""),-0.706018902849618)</f>
        <v>-0.70601890284961799</v>
      </c>
      <c r="EB124" s="3">
        <f ca="1">IFERROR(__xludf.DUMMYFUNCTION("""COMPUTED_VALUE"""),-0.765066982211868)</f>
        <v>-0.76506698221186797</v>
      </c>
      <c r="EC124" s="3">
        <f ca="1">IFERROR(__xludf.DUMMYFUNCTION("""COMPUTED_VALUE"""),-0.763989183351044)</f>
        <v>-0.76398918335104404</v>
      </c>
      <c r="ED124" s="3">
        <f ca="1">IFERROR(__xludf.DUMMYFUNCTION("""COMPUTED_VALUE"""),-0.805549964527368)</f>
        <v>-0.80554996452736805</v>
      </c>
      <c r="EE124" s="3">
        <f ca="1">IFERROR(__xludf.DUMMYFUNCTION("""COMPUTED_VALUE"""),-0.809304002118251)</f>
        <v>-0.80930400211825104</v>
      </c>
      <c r="EF124" s="3">
        <f ca="1">IFERROR(__xludf.DUMMYFUNCTION("""COMPUTED_VALUE"""),-0.770108316135766)</f>
        <v>-0.77010831613576602</v>
      </c>
      <c r="EG124" s="3">
        <f ca="1">IFERROR(__xludf.DUMMYFUNCTION("""COMPUTED_VALUE"""),-0.721584754817783)</f>
        <v>-0.72158475481778295</v>
      </c>
      <c r="EH124" s="3">
        <f ca="1">IFERROR(__xludf.DUMMYFUNCTION("""COMPUTED_VALUE"""),-0.729008303133972)</f>
        <v>-0.72900830313397202</v>
      </c>
      <c r="EI124" s="3">
        <f ca="1">IFERROR(__xludf.DUMMYFUNCTION("""COMPUTED_VALUE"""),-0.806948855054773)</f>
        <v>-0.80694885505477298</v>
      </c>
      <c r="EJ124" s="3">
        <f ca="1">IFERROR(__xludf.DUMMYFUNCTION("""COMPUTED_VALUE"""),-0.85545404897278)</f>
        <v>-0.85545404897277999</v>
      </c>
      <c r="EK124" s="3">
        <f ca="1">IFERROR(__xludf.DUMMYFUNCTION("""COMPUTED_VALUE"""),-0.77595504423443)</f>
        <v>-0.77595504423442996</v>
      </c>
      <c r="EL124" s="3">
        <f ca="1">IFERROR(__xludf.DUMMYFUNCTION("""COMPUTED_VALUE"""),-0.789096080543358)</f>
        <v>-0.789096080543358</v>
      </c>
      <c r="EM124" s="3">
        <f ca="1">IFERROR(__xludf.DUMMYFUNCTION("""COMPUTED_VALUE"""),-0.769316704564943)</f>
        <v>-0.76931670456494305</v>
      </c>
      <c r="EN124" s="3">
        <f ca="1">IFERROR(__xludf.DUMMYFUNCTION("""COMPUTED_VALUE"""),-0.699689279438483)</f>
        <v>-0.69968927943848302</v>
      </c>
      <c r="EO124" s="3">
        <f ca="1">IFERROR(__xludf.DUMMYFUNCTION("""COMPUTED_VALUE"""),-0.678414258203086)</f>
        <v>-0.67841425820308598</v>
      </c>
      <c r="EP124" s="3">
        <f ca="1">IFERROR(__xludf.DUMMYFUNCTION("""COMPUTED_VALUE"""),-0.738766880663183)</f>
        <v>-0.73876688066318297</v>
      </c>
      <c r="EQ124" s="3">
        <f ca="1">IFERROR(__xludf.DUMMYFUNCTION("""COMPUTED_VALUE"""),-0.760091451740218)</f>
        <v>-0.76009145174021797</v>
      </c>
      <c r="ER124" s="3">
        <f ca="1">IFERROR(__xludf.DUMMYFUNCTION("""COMPUTED_VALUE"""),-0.802789812741903)</f>
        <v>-0.80278981274190298</v>
      </c>
      <c r="ES124" s="3">
        <f ca="1">IFERROR(__xludf.DUMMYFUNCTION("""COMPUTED_VALUE"""),-0.812004762657756)</f>
        <v>-0.81200476265775601</v>
      </c>
      <c r="ET124" s="3">
        <f ca="1">IFERROR(__xludf.DUMMYFUNCTION("""COMPUTED_VALUE"""),-0.768134101945977)</f>
        <v>-0.76813410194597698</v>
      </c>
      <c r="EU124" s="3">
        <f ca="1">IFERROR(__xludf.DUMMYFUNCTION("""COMPUTED_VALUE"""),-0.709406051169116)</f>
        <v>-0.70940605116911604</v>
      </c>
      <c r="EV124" s="3">
        <f ca="1">IFERROR(__xludf.DUMMYFUNCTION("""COMPUTED_VALUE"""),-0.72888530442961)</f>
        <v>-0.72888530442960997</v>
      </c>
      <c r="EW124" s="3">
        <f ca="1">IFERROR(__xludf.DUMMYFUNCTION("""COMPUTED_VALUE"""),-0.804209302658208)</f>
        <v>-0.804209302658208</v>
      </c>
      <c r="EX124" s="3">
        <f ca="1">IFERROR(__xludf.DUMMYFUNCTION("""COMPUTED_VALUE"""),-0.798138055393255)</f>
        <v>-0.798138055393255</v>
      </c>
      <c r="EY124" s="3">
        <f ca="1">IFERROR(__xludf.DUMMYFUNCTION("""COMPUTED_VALUE"""),-0.784455269881291)</f>
        <v>-0.784455269881291</v>
      </c>
      <c r="EZ124" s="3">
        <f ca="1">IFERROR(__xludf.DUMMYFUNCTION("""COMPUTED_VALUE"""),-0.794504923043754)</f>
        <v>-0.79450492304375397</v>
      </c>
      <c r="FA124" s="3">
        <f ca="1">IFERROR(__xludf.DUMMYFUNCTION("""COMPUTED_VALUE"""),-0.768984760704255)</f>
        <v>-0.76898476070425503</v>
      </c>
      <c r="FB124" s="3">
        <f ca="1">IFERROR(__xludf.DUMMYFUNCTION("""COMPUTED_VALUE"""),-0.717346046591296)</f>
        <v>-0.71734604659129597</v>
      </c>
      <c r="FC124" s="3">
        <f ca="1">IFERROR(__xludf.DUMMYFUNCTION("""COMPUTED_VALUE"""),-0.71952544876774)</f>
        <v>-0.71952544876774005</v>
      </c>
      <c r="FD124" s="3">
        <f ca="1">IFERROR(__xludf.DUMMYFUNCTION("""COMPUTED_VALUE"""),-0.79993215131823)</f>
        <v>-0.79993215131823003</v>
      </c>
      <c r="FE124" s="3">
        <f ca="1">IFERROR(__xludf.DUMMYFUNCTION("""COMPUTED_VALUE"""),-0.809326061839319)</f>
        <v>-0.80932606183931899</v>
      </c>
      <c r="FF124" s="3">
        <f ca="1">IFERROR(__xludf.DUMMYFUNCTION("""COMPUTED_VALUE"""),-0.806084316354261)</f>
        <v>-0.80608431635426103</v>
      </c>
      <c r="FG124" s="3">
        <f ca="1">IFERROR(__xludf.DUMMYFUNCTION("""COMPUTED_VALUE"""),-0.790469664363402)</f>
        <v>-0.79046966436340205</v>
      </c>
      <c r="FH124" s="3">
        <f ca="1">IFERROR(__xludf.DUMMYFUNCTION("""COMPUTED_VALUE"""),-0.735589677489242)</f>
        <v>-0.73558967748924198</v>
      </c>
      <c r="FI124" s="3">
        <f ca="1">IFERROR(__xludf.DUMMYFUNCTION("""COMPUTED_VALUE"""),-0.664899736912579)</f>
        <v>-0.66489973691257898</v>
      </c>
      <c r="FJ124" s="3">
        <f ca="1">IFERROR(__xludf.DUMMYFUNCTION("""COMPUTED_VALUE"""),-0.697870599185823)</f>
        <v>-0.69787059918582295</v>
      </c>
      <c r="FK124" s="3">
        <f ca="1">IFERROR(__xludf.DUMMYFUNCTION("""COMPUTED_VALUE"""),-0.783568313220057)</f>
        <v>-0.78356831322005704</v>
      </c>
      <c r="FL124" s="3">
        <f ca="1">IFERROR(__xludf.DUMMYFUNCTION("""COMPUTED_VALUE"""),-0.799888483109879)</f>
        <v>-0.79988848310987903</v>
      </c>
      <c r="FM124" s="3">
        <f ca="1">IFERROR(__xludf.DUMMYFUNCTION("""COMPUTED_VALUE"""),-0.8010028851505)</f>
        <v>-0.8010028851505</v>
      </c>
      <c r="FN124" s="3">
        <f ca="1">IFERROR(__xludf.DUMMYFUNCTION("""COMPUTED_VALUE"""),-0.795333759964507)</f>
        <v>-0.79533375996450695</v>
      </c>
      <c r="FO124" s="3">
        <f ca="1">IFERROR(__xludf.DUMMYFUNCTION("""COMPUTED_VALUE"""),-0.776686829002329)</f>
        <v>-0.77668682900232899</v>
      </c>
      <c r="FP124" s="3">
        <f ca="1">IFERROR(__xludf.DUMMYFUNCTION("""COMPUTED_VALUE"""),-0.709114552047324)</f>
        <v>-0.70911455204732399</v>
      </c>
      <c r="FQ124" s="3">
        <f ca="1">IFERROR(__xludf.DUMMYFUNCTION("""COMPUTED_VALUE"""),-0.72790259188058)</f>
        <v>-0.72790259188058004</v>
      </c>
      <c r="FR124" s="3">
        <f ca="1">IFERROR(__xludf.DUMMYFUNCTION("""COMPUTED_VALUE"""),-0.793885616803598)</f>
        <v>-0.79388561680359804</v>
      </c>
      <c r="FS124" s="3">
        <f ca="1">IFERROR(__xludf.DUMMYFUNCTION("""COMPUTED_VALUE"""),-0.809753031482226)</f>
        <v>-0.80975303148222599</v>
      </c>
      <c r="FT124" s="3">
        <f ca="1">IFERROR(__xludf.DUMMYFUNCTION("""COMPUTED_VALUE"""),-0.796539880892566)</f>
        <v>-0.796539880892566</v>
      </c>
      <c r="FU124" s="3">
        <f ca="1">IFERROR(__xludf.DUMMYFUNCTION("""COMPUTED_VALUE"""),-0.792923302485107)</f>
        <v>-0.79292330248510701</v>
      </c>
      <c r="FV124" s="3">
        <f ca="1">IFERROR(__xludf.DUMMYFUNCTION("""COMPUTED_VALUE"""),-0.763129486870199)</f>
        <v>-0.76312948687019899</v>
      </c>
      <c r="FW124" s="3">
        <f ca="1">IFERROR(__xludf.DUMMYFUNCTION("""COMPUTED_VALUE"""),-0.677984260768656)</f>
        <v>-0.67798426076865603</v>
      </c>
      <c r="FX124" s="3">
        <f ca="1">IFERROR(__xludf.DUMMYFUNCTION("""COMPUTED_VALUE"""),-0.70825098300248)</f>
        <v>-0.70825098300248002</v>
      </c>
      <c r="FY124" s="3">
        <f ca="1">IFERROR(__xludf.DUMMYFUNCTION("""COMPUTED_VALUE"""),-0.77921459515099)</f>
        <v>-0.77921459515099001</v>
      </c>
      <c r="FZ124" s="3">
        <f ca="1">IFERROR(__xludf.DUMMYFUNCTION("""COMPUTED_VALUE"""),-0.794125683802736)</f>
        <v>-0.79412568380273596</v>
      </c>
      <c r="GA124" s="3">
        <f ca="1">IFERROR(__xludf.DUMMYFUNCTION("""COMPUTED_VALUE"""),-0.793053810654217)</f>
        <v>-0.79305381065421698</v>
      </c>
      <c r="GB124" s="3">
        <f ca="1">IFERROR(__xludf.DUMMYFUNCTION("""COMPUTED_VALUE"""),-0.794782686071495)</f>
        <v>-0.79478268607149505</v>
      </c>
      <c r="GC124" s="3">
        <f ca="1">IFERROR(__xludf.DUMMYFUNCTION("""COMPUTED_VALUE"""),-0.768214302503042)</f>
        <v>-0.76821430250304201</v>
      </c>
      <c r="GD124" s="3">
        <f ca="1">IFERROR(__xludf.DUMMYFUNCTION("""COMPUTED_VALUE"""),-0.711290374787792)</f>
        <v>-0.711290374787792</v>
      </c>
      <c r="GE124" s="3">
        <f ca="1">IFERROR(__xludf.DUMMYFUNCTION("""COMPUTED_VALUE"""),-0.753048800156958)</f>
        <v>-0.75304880015695796</v>
      </c>
      <c r="GF124" s="3">
        <f ca="1">IFERROR(__xludf.DUMMYFUNCTION("""COMPUTED_VALUE"""),-0.804098907328675)</f>
        <v>-0.80409890732867495</v>
      </c>
      <c r="GG124" s="3">
        <f ca="1">IFERROR(__xludf.DUMMYFUNCTION("""COMPUTED_VALUE"""),-0.816483509632857)</f>
        <v>-0.81648350963285699</v>
      </c>
      <c r="GH124" s="3">
        <f ca="1">IFERROR(__xludf.DUMMYFUNCTION("""COMPUTED_VALUE"""),-0.80558568864277)</f>
        <v>-0.80558568864277003</v>
      </c>
      <c r="GI124" s="3">
        <f ca="1">IFERROR(__xludf.DUMMYFUNCTION("""COMPUTED_VALUE"""),-0.796962931778198)</f>
        <v>-0.79696293177819799</v>
      </c>
      <c r="GJ124" s="3">
        <f ca="1">IFERROR(__xludf.DUMMYFUNCTION("""COMPUTED_VALUE"""),-0.781939945454434)</f>
        <v>-0.78193994545443402</v>
      </c>
      <c r="GK124" s="3">
        <f ca="1">IFERROR(__xludf.DUMMYFUNCTION("""COMPUTED_VALUE"""),-0.726311288037166)</f>
        <v>-0.72631128803716605</v>
      </c>
      <c r="GL124" s="3">
        <f ca="1">IFERROR(__xludf.DUMMYFUNCTION("""COMPUTED_VALUE"""),-0.733734643334008)</f>
        <v>-0.73373464333400795</v>
      </c>
      <c r="GM124" s="3">
        <f ca="1">IFERROR(__xludf.DUMMYFUNCTION("""COMPUTED_VALUE"""),-0.79828208557982)</f>
        <v>-0.79828208557982006</v>
      </c>
      <c r="GN124" s="3">
        <f ca="1">IFERROR(__xludf.DUMMYFUNCTION("""COMPUTED_VALUE"""),-0.812289924820136)</f>
        <v>-0.81228992482013596</v>
      </c>
      <c r="GO124" s="3">
        <f ca="1">IFERROR(__xludf.DUMMYFUNCTION("""COMPUTED_VALUE"""),-0.80984563655461)</f>
        <v>-0.80984563655460995</v>
      </c>
      <c r="GP124" s="3">
        <f ca="1">IFERROR(__xludf.DUMMYFUNCTION("""COMPUTED_VALUE"""),-0.818402980281168)</f>
        <v>-0.81840298028116798</v>
      </c>
      <c r="GQ124" s="3">
        <f ca="1">IFERROR(__xludf.DUMMYFUNCTION("""COMPUTED_VALUE"""),-0.792356260132103)</f>
        <v>-0.79235626013210303</v>
      </c>
      <c r="GR124" s="3">
        <f ca="1">IFERROR(__xludf.DUMMYFUNCTION("""COMPUTED_VALUE"""),-0.722909567719864)</f>
        <v>-0.72290956771986403</v>
      </c>
      <c r="GS124" s="3">
        <f ca="1">IFERROR(__xludf.DUMMYFUNCTION("""COMPUTED_VALUE"""),-0.730765067296251)</f>
        <v>-0.73076506729625101</v>
      </c>
      <c r="GT124" s="3">
        <f ca="1">IFERROR(__xludf.DUMMYFUNCTION("""COMPUTED_VALUE"""),-0.806004183712846)</f>
        <v>-0.80600418371284599</v>
      </c>
      <c r="GU124" s="3">
        <f ca="1">IFERROR(__xludf.DUMMYFUNCTION("""COMPUTED_VALUE"""),-0.823535906777004)</f>
        <v>-0.82353590677700395</v>
      </c>
      <c r="GV124" s="3">
        <f ca="1">IFERROR(__xludf.DUMMYFUNCTION("""COMPUTED_VALUE"""),-0.815145612500814)</f>
        <v>-0.81514561250081397</v>
      </c>
      <c r="GW124" s="3">
        <f ca="1">IFERROR(__xludf.DUMMYFUNCTION("""COMPUTED_VALUE"""),-0.822364669623142)</f>
        <v>-0.82236466962314203</v>
      </c>
      <c r="GX124" s="3">
        <f ca="1">IFERROR(__xludf.DUMMYFUNCTION("""COMPUTED_VALUE"""),-0.789048577751313)</f>
        <v>-0.78904857775131299</v>
      </c>
      <c r="GY124" s="3">
        <f ca="1">IFERROR(__xludf.DUMMYFUNCTION("""COMPUTED_VALUE"""),-0.729175318496653)</f>
        <v>-0.72917531849665296</v>
      </c>
      <c r="GZ124" s="3">
        <f ca="1">IFERROR(__xludf.DUMMYFUNCTION("""COMPUTED_VALUE"""),-0.725498736300885)</f>
        <v>-0.72549873630088502</v>
      </c>
      <c r="HA124" s="3">
        <f ca="1">IFERROR(__xludf.DUMMYFUNCTION("""COMPUTED_VALUE"""),-0.814840641238985)</f>
        <v>-0.81484064123898503</v>
      </c>
      <c r="HB124" s="3">
        <f ca="1">IFERROR(__xludf.DUMMYFUNCTION("""COMPUTED_VALUE"""),-0.828182381264838)</f>
        <v>-0.82818238126483801</v>
      </c>
      <c r="HC124" s="3">
        <f ca="1">IFERROR(__xludf.DUMMYFUNCTION("""COMPUTED_VALUE"""),-0.827895946696399)</f>
        <v>-0.82789594669639899</v>
      </c>
      <c r="HD124" s="3">
        <f ca="1">IFERROR(__xludf.DUMMYFUNCTION("""COMPUTED_VALUE"""),-0.822606251411316)</f>
        <v>-0.82260625141131605</v>
      </c>
      <c r="HE124" s="3">
        <f ca="1">IFERROR(__xludf.DUMMYFUNCTION("""COMPUTED_VALUE"""),-0.809196460576474)</f>
        <v>-0.80919646057647399</v>
      </c>
      <c r="HF124" s="3">
        <f ca="1">IFERROR(__xludf.DUMMYFUNCTION("""COMPUTED_VALUE"""),-0.750339588963078)</f>
        <v>-0.75033958896307795</v>
      </c>
      <c r="HG124" s="3">
        <f ca="1">IFERROR(__xludf.DUMMYFUNCTION("""COMPUTED_VALUE"""),-0.77732700195522)</f>
        <v>-0.77732700195521998</v>
      </c>
      <c r="HH124" s="3">
        <f ca="1">IFERROR(__xludf.DUMMYFUNCTION("""COMPUTED_VALUE"""),-0.828017608668668)</f>
        <v>-0.82801760866866803</v>
      </c>
      <c r="HI124" s="3">
        <f ca="1">IFERROR(__xludf.DUMMYFUNCTION("""COMPUTED_VALUE"""),-0.837595006238717)</f>
        <v>-0.83759500623871697</v>
      </c>
      <c r="HJ124" s="3">
        <f ca="1">IFERROR(__xludf.DUMMYFUNCTION("""COMPUTED_VALUE"""),-0.837239067932684)</f>
        <v>-0.83723906793268399</v>
      </c>
      <c r="HK124" s="3">
        <f ca="1">IFERROR(__xludf.DUMMYFUNCTION("""COMPUTED_VALUE"""),-0.816282479377448)</f>
        <v>-0.81628247937744802</v>
      </c>
      <c r="HL124" s="3">
        <f ca="1">IFERROR(__xludf.DUMMYFUNCTION("""COMPUTED_VALUE"""),-0.783233018419393)</f>
        <v>-0.78323301841939297</v>
      </c>
      <c r="HM124" s="3">
        <f ca="1">IFERROR(__xludf.DUMMYFUNCTION("""COMPUTED_VALUE"""),-0.731689344999278)</f>
        <v>-0.73168934499927796</v>
      </c>
      <c r="HN124" s="3">
        <f ca="1">IFERROR(__xludf.DUMMYFUNCTION("""COMPUTED_VALUE"""),-0.73005097783883)</f>
        <v>-0.73005097783883</v>
      </c>
      <c r="HO124" s="3">
        <f ca="1">IFERROR(__xludf.DUMMYFUNCTION("""COMPUTED_VALUE"""),-0.803892650368798)</f>
        <v>-0.80389265036879798</v>
      </c>
      <c r="HP124" s="3">
        <f ca="1">IFERROR(__xludf.DUMMYFUNCTION("""COMPUTED_VALUE"""),-0.825792120163404)</f>
        <v>-0.82579212016340398</v>
      </c>
      <c r="HQ124" s="3">
        <f ca="1">IFERROR(__xludf.DUMMYFUNCTION("""COMPUTED_VALUE"""),-0.82504037281062)</f>
        <v>-0.82504037281062004</v>
      </c>
      <c r="HR124" s="3">
        <f ca="1">IFERROR(__xludf.DUMMYFUNCTION("""COMPUTED_VALUE"""),-0.83012512526161)</f>
        <v>-0.83012512526160998</v>
      </c>
      <c r="HS124" s="3">
        <f ca="1">IFERROR(__xludf.DUMMYFUNCTION("""COMPUTED_VALUE"""),-0.794326600584653)</f>
        <v>-0.79432660058465299</v>
      </c>
      <c r="HT124" s="3">
        <f ca="1">IFERROR(__xludf.DUMMYFUNCTION("""COMPUTED_VALUE"""),-0.758902047713373)</f>
        <v>-0.758902047713373</v>
      </c>
      <c r="HU124" s="3">
        <f ca="1">IFERROR(__xludf.DUMMYFUNCTION("""COMPUTED_VALUE"""),-0.739194426574195)</f>
        <v>-0.73919442657419498</v>
      </c>
      <c r="HV124" s="3">
        <f ca="1">IFERROR(__xludf.DUMMYFUNCTION("""COMPUTED_VALUE"""),-0.784295403225287)</f>
        <v>-0.78429540322528701</v>
      </c>
      <c r="HW124" s="3">
        <f ca="1">IFERROR(__xludf.DUMMYFUNCTION("""COMPUTED_VALUE"""),-0.79899703011355)</f>
        <v>-0.79899703011355006</v>
      </c>
      <c r="HX124" s="3">
        <f ca="1">IFERROR(__xludf.DUMMYFUNCTION("""COMPUTED_VALUE"""),-0.817070710322886)</f>
        <v>-0.81707071032288603</v>
      </c>
      <c r="HY124" s="3">
        <f ca="1">IFERROR(__xludf.DUMMYFUNCTION("""COMPUTED_VALUE"""),-0.800952568910637)</f>
        <v>-0.80095256891063704</v>
      </c>
      <c r="HZ124" s="3">
        <f ca="1">IFERROR(__xludf.DUMMYFUNCTION("""COMPUTED_VALUE"""),-0.777967286493385)</f>
        <v>-0.77796728649338498</v>
      </c>
      <c r="IA124" s="3">
        <f ca="1">IFERROR(__xludf.DUMMYFUNCTION("""COMPUTED_VALUE"""),-0.746094623346471)</f>
        <v>-0.74609462334647103</v>
      </c>
      <c r="IB124" s="3">
        <f ca="1">IFERROR(__xludf.DUMMYFUNCTION("""COMPUTED_VALUE"""),-0.730605084235698)</f>
        <v>-0.73060508423569803</v>
      </c>
      <c r="IC124" s="3">
        <f ca="1">IFERROR(__xludf.DUMMYFUNCTION("""COMPUTED_VALUE"""),-0.791836705174862)</f>
        <v>-0.79183670517486204</v>
      </c>
      <c r="ID124" s="3">
        <f ca="1">IFERROR(__xludf.DUMMYFUNCTION("""COMPUTED_VALUE"""),-0.799459195187336)</f>
        <v>-0.79945919518733599</v>
      </c>
      <c r="IE124" s="3">
        <f ca="1">IFERROR(__xludf.DUMMYFUNCTION("""COMPUTED_VALUE"""),-0.809896623356324)</f>
        <v>-0.80989662335632395</v>
      </c>
      <c r="IF124" s="3">
        <f ca="1">IFERROR(__xludf.DUMMYFUNCTION("""COMPUTED_VALUE"""),-0.808610166780731)</f>
        <v>-0.80861016678073105</v>
      </c>
      <c r="IG124" s="3">
        <f ca="1">IFERROR(__xludf.DUMMYFUNCTION("""COMPUTED_VALUE"""),-0.79046299180517)</f>
        <v>-0.79046299180516999</v>
      </c>
      <c r="IH124" s="3">
        <f ca="1">IFERROR(__xludf.DUMMYFUNCTION("""COMPUTED_VALUE"""),-0.747350202588231)</f>
        <v>-0.74735020258823104</v>
      </c>
      <c r="II124" s="3">
        <f ca="1">IFERROR(__xludf.DUMMYFUNCTION("""COMPUTED_VALUE"""),-0.716125129097745)</f>
        <v>-0.71612512909774495</v>
      </c>
      <c r="IJ124" s="3">
        <f ca="1">IFERROR(__xludf.DUMMYFUNCTION("""COMPUTED_VALUE"""),-0.775565494840409)</f>
        <v>-0.77556549484040904</v>
      </c>
      <c r="IK124" s="3">
        <f ca="1">IFERROR(__xludf.DUMMYFUNCTION("""COMPUTED_VALUE"""),-0.784097487109083)</f>
        <v>-0.784097487109083</v>
      </c>
      <c r="IL124" s="3">
        <f ca="1">IFERROR(__xludf.DUMMYFUNCTION("""COMPUTED_VALUE"""),-0.786578430562165)</f>
        <v>-0.78657843056216503</v>
      </c>
      <c r="IM124" s="3">
        <f ca="1">IFERROR(__xludf.DUMMYFUNCTION("""COMPUTED_VALUE"""),-0.787524294868622)</f>
        <v>-0.78752429486862197</v>
      </c>
      <c r="IN124" s="3">
        <f ca="1">IFERROR(__xludf.DUMMYFUNCTION("""COMPUTED_VALUE"""),-0.754032016824102)</f>
        <v>-0.75403201682410204</v>
      </c>
      <c r="IO124" s="3">
        <f ca="1">IFERROR(__xludf.DUMMYFUNCTION("""COMPUTED_VALUE"""),-0.723230318161874)</f>
        <v>-0.723230318161874</v>
      </c>
      <c r="IP124" s="3">
        <f ca="1">IFERROR(__xludf.DUMMYFUNCTION("""COMPUTED_VALUE"""),-0.733874102109635)</f>
        <v>-0.733874102109635</v>
      </c>
      <c r="IQ124" s="3">
        <f ca="1">IFERROR(__xludf.DUMMYFUNCTION("""COMPUTED_VALUE"""),-0.769136240136389)</f>
        <v>-0.76913624013638904</v>
      </c>
      <c r="IR124" s="3">
        <f ca="1">IFERROR(__xludf.DUMMYFUNCTION("""COMPUTED_VALUE"""),-0.782546598294351)</f>
        <v>-0.78254659829435103</v>
      </c>
      <c r="IS124" s="3">
        <f ca="1">IFERROR(__xludf.DUMMYFUNCTION("""COMPUTED_VALUE"""),-0.791248193623732)</f>
        <v>-0.791248193623732</v>
      </c>
      <c r="IT124" s="3">
        <f ca="1">IFERROR(__xludf.DUMMYFUNCTION("""COMPUTED_VALUE"""),-0.788614999395435)</f>
        <v>-0.788614999395435</v>
      </c>
      <c r="IU124" s="3">
        <f ca="1">IFERROR(__xludf.DUMMYFUNCTION("""COMPUTED_VALUE"""),-0.762412735276651)</f>
        <v>-0.76241273527665099</v>
      </c>
      <c r="IV124" s="3">
        <f ca="1">IFERROR(__xludf.DUMMYFUNCTION("""COMPUTED_VALUE"""),-0.746934572505784)</f>
        <v>-0.74693457250578399</v>
      </c>
      <c r="IW124" s="3">
        <f ca="1">IFERROR(__xludf.DUMMYFUNCTION("""COMPUTED_VALUE"""),-0.752637314788693)</f>
        <v>-0.752637314788693</v>
      </c>
      <c r="IX124" s="3">
        <f ca="1">IFERROR(__xludf.DUMMYFUNCTION("""COMPUTED_VALUE"""),-0.780438150738667)</f>
        <v>-0.78043815073866696</v>
      </c>
      <c r="IY124" s="3">
        <f ca="1">IFERROR(__xludf.DUMMYFUNCTION("""COMPUTED_VALUE"""),-0.788421183234122)</f>
        <v>-0.78842118323412202</v>
      </c>
      <c r="IZ124" s="3">
        <f ca="1">IFERROR(__xludf.DUMMYFUNCTION("""COMPUTED_VALUE"""),-0.793276385138157)</f>
        <v>-0.79327638513815701</v>
      </c>
      <c r="JA124" s="3">
        <f ca="1">IFERROR(__xludf.DUMMYFUNCTION("""COMPUTED_VALUE"""),-0.786639622994939)</f>
        <v>-0.78663962299493895</v>
      </c>
      <c r="JB124" s="3">
        <f ca="1">IFERROR(__xludf.DUMMYFUNCTION("""COMPUTED_VALUE"""),-0.780309483807755)</f>
        <v>-0.780309483807755</v>
      </c>
      <c r="JC124" s="3">
        <f ca="1">IFERROR(__xludf.DUMMYFUNCTION("""COMPUTED_VALUE"""),-0.767002514889365)</f>
        <v>-0.76700251488936499</v>
      </c>
      <c r="JD124" s="3">
        <f ca="1">IFERROR(__xludf.DUMMYFUNCTION("""COMPUTED_VALUE"""),-0.759472932313791)</f>
        <v>-0.75947293231379098</v>
      </c>
      <c r="JE124" s="3">
        <f ca="1">IFERROR(__xludf.DUMMYFUNCTION("""COMPUTED_VALUE"""),-0.78953811158706)</f>
        <v>-0.78953811158706</v>
      </c>
      <c r="JF124" s="3">
        <f ca="1">IFERROR(__xludf.DUMMYFUNCTION("""COMPUTED_VALUE"""),-0.795995698063017)</f>
        <v>-0.79599569806301695</v>
      </c>
      <c r="JG124" s="3">
        <f ca="1">IFERROR(__xludf.DUMMYFUNCTION("""COMPUTED_VALUE"""),-0.802713843576677)</f>
        <v>-0.80271384357667697</v>
      </c>
      <c r="JH124" s="3">
        <f ca="1">IFERROR(__xludf.DUMMYFUNCTION("""COMPUTED_VALUE"""),-0.794991392063782)</f>
        <v>-0.794991392063782</v>
      </c>
      <c r="JI124" s="3">
        <f ca="1">IFERROR(__xludf.DUMMYFUNCTION("""COMPUTED_VALUE"""),-0.792216230031502)</f>
        <v>-0.79221623003150199</v>
      </c>
      <c r="JJ124" s="3">
        <f ca="1">IFERROR(__xludf.DUMMYFUNCTION("""COMPUTED_VALUE"""),-0.779151751793397)</f>
        <v>-0.77915175179339702</v>
      </c>
      <c r="JK124" s="3">
        <f ca="1">IFERROR(__xludf.DUMMYFUNCTION("""COMPUTED_VALUE"""),-0.754697844910568)</f>
        <v>-0.75469784491056802</v>
      </c>
      <c r="JL124" s="3">
        <f ca="1">IFERROR(__xludf.DUMMYFUNCTION("""COMPUTED_VALUE"""),-0.775688214382642)</f>
        <v>-0.77568821438264202</v>
      </c>
      <c r="JM124" s="3">
        <f ca="1">IFERROR(__xludf.DUMMYFUNCTION("""COMPUTED_VALUE"""),-0.791069106116137)</f>
        <v>-0.79106910611613701</v>
      </c>
      <c r="JN124" s="3">
        <f ca="1">IFERROR(__xludf.DUMMYFUNCTION("""COMPUTED_VALUE"""),-0.787198740501794)</f>
        <v>-0.78719874050179395</v>
      </c>
      <c r="JO124" s="3">
        <f ca="1">IFERROR(__xludf.DUMMYFUNCTION("""COMPUTED_VALUE"""),-0.789885762859355)</f>
        <v>-0.78988576285935497</v>
      </c>
      <c r="JP124" s="3">
        <f ca="1">IFERROR(__xludf.DUMMYFUNCTION("""COMPUTED_VALUE"""),-0.748179041522989)</f>
        <v>-0.74817904152298897</v>
      </c>
      <c r="JQ124" s="3">
        <f ca="1">IFERROR(__xludf.DUMMYFUNCTION("""COMPUTED_VALUE"""),-0.736731275189556)</f>
        <v>-0.73673127518955595</v>
      </c>
      <c r="JR124" s="3">
        <f ca="1">IFERROR(__xludf.DUMMYFUNCTION("""COMPUTED_VALUE"""),-0.744997282036619)</f>
        <v>-0.74499728203661897</v>
      </c>
      <c r="JS124" s="3">
        <f ca="1">IFERROR(__xludf.DUMMYFUNCTION("""COMPUTED_VALUE"""),-0.763365710733002)</f>
        <v>-0.76336571073300197</v>
      </c>
      <c r="JT124" s="3">
        <f ca="1">IFERROR(__xludf.DUMMYFUNCTION("""COMPUTED_VALUE"""),-0.755909365472201)</f>
        <v>-0.755909365472201</v>
      </c>
      <c r="JU124" s="3">
        <f ca="1">IFERROR(__xludf.DUMMYFUNCTION("""COMPUTED_VALUE"""),-0.736461749510741)</f>
        <v>-0.73646174951074095</v>
      </c>
      <c r="JV124" s="3">
        <f ca="1">IFERROR(__xludf.DUMMYFUNCTION("""COMPUTED_VALUE"""),-0.747386461100212)</f>
        <v>-0.74738646110021201</v>
      </c>
      <c r="JW124" s="3">
        <f ca="1">IFERROR(__xludf.DUMMYFUNCTION("""COMPUTED_VALUE"""),-0.772385210511202)</f>
        <v>-0.77238521051120201</v>
      </c>
      <c r="JX124" s="3">
        <f ca="1">IFERROR(__xludf.DUMMYFUNCTION("""COMPUTED_VALUE"""),-0.765556009638898)</f>
        <v>-0.76555600963889803</v>
      </c>
      <c r="JY124" s="3">
        <f ca="1">IFERROR(__xludf.DUMMYFUNCTION("""COMPUTED_VALUE"""),-0.779422584383079)</f>
        <v>-0.77942258438307899</v>
      </c>
      <c r="JZ124" s="3">
        <f ca="1">IFERROR(__xludf.DUMMYFUNCTION("""COMPUTED_VALUE"""),-0.769400994830499)</f>
        <v>-0.76940099483049895</v>
      </c>
      <c r="KA124" s="3">
        <f ca="1">IFERROR(__xludf.DUMMYFUNCTION("""COMPUTED_VALUE"""),-0.767200550593618)</f>
        <v>-0.76720055059361802</v>
      </c>
      <c r="KB124" s="3">
        <f ca="1">IFERROR(__xludf.DUMMYFUNCTION("""COMPUTED_VALUE"""),-0.789097355283662)</f>
        <v>-0.78909735528366198</v>
      </c>
      <c r="KC124" s="3">
        <f ca="1">IFERROR(__xludf.DUMMYFUNCTION("""COMPUTED_VALUE"""),-0.79840285254572)</f>
        <v>-0.79840285254571997</v>
      </c>
      <c r="KD124" s="3">
        <f ca="1">IFERROR(__xludf.DUMMYFUNCTION("""COMPUTED_VALUE"""),-0.780974784920266)</f>
        <v>-0.78097478492026595</v>
      </c>
      <c r="KE124" s="3">
        <f ca="1">IFERROR(__xludf.DUMMYFUNCTION("""COMPUTED_VALUE"""),-0.750998419747234)</f>
        <v>-0.75099841974723403</v>
      </c>
      <c r="KF124" s="3">
        <f ca="1">IFERROR(__xludf.DUMMYFUNCTION("""COMPUTED_VALUE"""),-0.746155091514139)</f>
        <v>-0.74615509151413895</v>
      </c>
      <c r="KG124" s="3">
        <f ca="1">IFERROR(__xludf.DUMMYFUNCTION("""COMPUTED_VALUE"""),-0.761794475570977)</f>
        <v>-0.76179447557097701</v>
      </c>
      <c r="KH124" s="3">
        <f ca="1">IFERROR(__xludf.DUMMYFUNCTION("""COMPUTED_VALUE"""),-0.769095863968646)</f>
        <v>-0.76909586396864604</v>
      </c>
      <c r="KI124" s="3">
        <f ca="1">IFERROR(__xludf.DUMMYFUNCTION("""COMPUTED_VALUE"""),-0.804411460562323)</f>
        <v>-0.80441146056232304</v>
      </c>
      <c r="KJ124" s="3">
        <f ca="1">IFERROR(__xludf.DUMMYFUNCTION("""COMPUTED_VALUE"""),-0.80546256390013)</f>
        <v>-0.80546256390013005</v>
      </c>
      <c r="KK124" s="3">
        <f ca="1">IFERROR(__xludf.DUMMYFUNCTION("""COMPUTED_VALUE"""),-0.782358759731381)</f>
        <v>-0.78235875973138103</v>
      </c>
      <c r="KL124" s="3">
        <f ca="1">IFERROR(__xludf.DUMMYFUNCTION("""COMPUTED_VALUE"""),-0.783503055429808)</f>
        <v>-0.78350305542980803</v>
      </c>
      <c r="KM124" s="3">
        <f ca="1">IFERROR(__xludf.DUMMYFUNCTION("""COMPUTED_VALUE"""),-0.742264256250148)</f>
        <v>-0.74226425625014802</v>
      </c>
      <c r="KN124" s="3">
        <f ca="1">IFERROR(__xludf.DUMMYFUNCTION("""COMPUTED_VALUE"""),-0.773941378485378)</f>
        <v>-0.77394137848537803</v>
      </c>
      <c r="KO124" s="3">
        <f ca="1">IFERROR(__xludf.DUMMYFUNCTION("""COMPUTED_VALUE"""),-0.79395934088826)</f>
        <v>-0.79395934088826003</v>
      </c>
      <c r="KP124" s="3">
        <f ca="1">IFERROR(__xludf.DUMMYFUNCTION("""COMPUTED_VALUE"""),-0.788092362939994)</f>
        <v>-0.78809236293999396</v>
      </c>
      <c r="KQ124" s="3">
        <f ca="1">IFERROR(__xludf.DUMMYFUNCTION("""COMPUTED_VALUE"""),-0.812801291129294)</f>
        <v>-0.812801291129294</v>
      </c>
      <c r="KR124" s="3">
        <f ca="1">IFERROR(__xludf.DUMMYFUNCTION("""COMPUTED_VALUE"""),-0.792132176364488)</f>
        <v>-0.79213217636448796</v>
      </c>
      <c r="KS124" s="3">
        <f ca="1">IFERROR(__xludf.DUMMYFUNCTION("""COMPUTED_VALUE"""),-0.749589935911803)</f>
        <v>-0.74958993591180301</v>
      </c>
      <c r="KT124" s="3">
        <f ca="1">IFERROR(__xludf.DUMMYFUNCTION("""COMPUTED_VALUE"""),-0.777536011441953)</f>
        <v>-0.77753601144195295</v>
      </c>
      <c r="KU124" s="3">
        <f ca="1">IFERROR(__xludf.DUMMYFUNCTION("""COMPUTED_VALUE"""),-0.830053274046175)</f>
        <v>-0.83005327404617502</v>
      </c>
      <c r="KV124" s="3">
        <f ca="1">IFERROR(__xludf.DUMMYFUNCTION("""COMPUTED_VALUE"""),-0.840551998504281)</f>
        <v>-0.84055199850428097</v>
      </c>
      <c r="KW124" s="3">
        <f ca="1">IFERROR(__xludf.DUMMYFUNCTION("""COMPUTED_VALUE"""),-0.835765125674319)</f>
        <v>-0.83576512567431904</v>
      </c>
      <c r="KX124" s="3">
        <f ca="1">IFERROR(__xludf.DUMMYFUNCTION("""COMPUTED_VALUE"""),-0.841312869889674)</f>
        <v>-0.84131286988967402</v>
      </c>
      <c r="KY124" s="3">
        <f ca="1">IFERROR(__xludf.DUMMYFUNCTION("""COMPUTED_VALUE"""),-0.838439498442614)</f>
        <v>-0.83843949844261401</v>
      </c>
      <c r="KZ124" s="3">
        <f ca="1">IFERROR(__xludf.DUMMYFUNCTION("""COMPUTED_VALUE"""),-0.797422382304965)</f>
        <v>-0.79742238230496498</v>
      </c>
      <c r="LA124" s="3">
        <f ca="1">IFERROR(__xludf.DUMMYFUNCTION("""COMPUTED_VALUE"""),-0.812503336757193)</f>
        <v>-0.812503336757193</v>
      </c>
      <c r="LB124" s="3">
        <f ca="1">IFERROR(__xludf.DUMMYFUNCTION("""COMPUTED_VALUE"""),-0.829926880361133)</f>
        <v>-0.82992688036113305</v>
      </c>
      <c r="LC124" s="3">
        <f ca="1">IFERROR(__xludf.DUMMYFUNCTION("""COMPUTED_VALUE"""),-0.846168519421866)</f>
        <v>-0.84616851942186599</v>
      </c>
      <c r="LD124" s="3">
        <f ca="1">IFERROR(__xludf.DUMMYFUNCTION("""COMPUTED_VALUE"""),-0.824738832360976)</f>
        <v>-0.824738832360976</v>
      </c>
      <c r="LE124" s="3">
        <f ca="1">IFERROR(__xludf.DUMMYFUNCTION("""COMPUTED_VALUE"""),-0.84541479237527)</f>
        <v>-0.84541479237526995</v>
      </c>
      <c r="LF124" s="3">
        <f ca="1">IFERROR(__xludf.DUMMYFUNCTION("""COMPUTED_VALUE"""),-0.79017978623333)</f>
        <v>-0.79017978623332996</v>
      </c>
      <c r="LG124" s="3">
        <f ca="1">IFERROR(__xludf.DUMMYFUNCTION("""COMPUTED_VALUE"""),-0.765307550089357)</f>
        <v>-0.76530755008935702</v>
      </c>
      <c r="LH124" s="3">
        <f ca="1">IFERROR(__xludf.DUMMYFUNCTION("""COMPUTED_VALUE"""),-0.818597102947274)</f>
        <v>-0.81859710294727395</v>
      </c>
      <c r="LI124" s="3">
        <f ca="1">IFERROR(__xludf.DUMMYFUNCTION("""COMPUTED_VALUE"""),-0.840602300757116)</f>
        <v>-0.84060230075711595</v>
      </c>
      <c r="LJ124" s="3">
        <f ca="1">IFERROR(__xludf.DUMMYFUNCTION("""COMPUTED_VALUE"""),-0.850563005402301)</f>
        <v>-0.85056300540230101</v>
      </c>
      <c r="LK124" s="3">
        <f ca="1">IFERROR(__xludf.DUMMYFUNCTION("""COMPUTED_VALUE"""),-0.849438567003272)</f>
        <v>-0.84943856700327203</v>
      </c>
      <c r="LL124" s="3">
        <f ca="1">IFERROR(__xludf.DUMMYFUNCTION("""COMPUTED_VALUE"""),-0.836903225442121)</f>
        <v>-0.83690322544212103</v>
      </c>
      <c r="LM124" s="3">
        <f ca="1">IFERROR(__xludf.DUMMYFUNCTION("""COMPUTED_VALUE"""),-0.818543371127061)</f>
        <v>-0.81854337112706099</v>
      </c>
      <c r="LN124" s="3">
        <f ca="1">IFERROR(__xludf.DUMMYFUNCTION("""COMPUTED_VALUE"""),-0.80076434106032)</f>
        <v>-0.80076434106032002</v>
      </c>
      <c r="LO124" s="3">
        <f ca="1">IFERROR(__xludf.DUMMYFUNCTION("""COMPUTED_VALUE"""),-0.818119577180696)</f>
        <v>-0.81811957718069594</v>
      </c>
      <c r="LP124" s="3">
        <f ca="1">IFERROR(__xludf.DUMMYFUNCTION("""COMPUTED_VALUE"""),-0.8457370053521)</f>
        <v>-0.84573700535209995</v>
      </c>
      <c r="LQ124" s="3">
        <f ca="1">IFERROR(__xludf.DUMMYFUNCTION("""COMPUTED_VALUE"""),-0.861223168731832)</f>
        <v>-0.86122316873183202</v>
      </c>
      <c r="LR124" s="3">
        <f ca="1">IFERROR(__xludf.DUMMYFUNCTION("""COMPUTED_VALUE"""),-0.872186878682571)</f>
        <v>-0.87218687868257105</v>
      </c>
      <c r="LS124" s="3">
        <f ca="1">IFERROR(__xludf.DUMMYFUNCTION("""COMPUTED_VALUE"""),-0.848440920863133)</f>
        <v>-0.84844092086313305</v>
      </c>
      <c r="LT124" s="3">
        <f ca="1">IFERROR(__xludf.DUMMYFUNCTION("""COMPUTED_VALUE"""),-0.815902689496549)</f>
        <v>-0.81590268949654898</v>
      </c>
      <c r="LU124" s="3">
        <f ca="1">IFERROR(__xludf.DUMMYFUNCTION("""COMPUTED_VALUE"""),-0.826539308601499)</f>
        <v>-0.82653930860149905</v>
      </c>
      <c r="LV124" s="3">
        <f ca="1">IFERROR(__xludf.DUMMYFUNCTION("""COMPUTED_VALUE"""),-0.82465768301402)</f>
        <v>-0.82465768301401998</v>
      </c>
      <c r="LW124" s="3">
        <f ca="1">IFERROR(__xludf.DUMMYFUNCTION("""COMPUTED_VALUE"""),-0.860385643258983)</f>
        <v>-0.86038564325898303</v>
      </c>
      <c r="LX124" s="3">
        <f ca="1">IFERROR(__xludf.DUMMYFUNCTION("""COMPUTED_VALUE"""),-0.881714434551796)</f>
        <v>-0.88171443455179599</v>
      </c>
      <c r="LY124" s="3">
        <f ca="1">IFERROR(__xludf.DUMMYFUNCTION("""COMPUTED_VALUE"""),-0.885159702677017)</f>
        <v>-0.88515970267701705</v>
      </c>
      <c r="LZ124" s="3">
        <f ca="1">IFERROR(__xludf.DUMMYFUNCTION("""COMPUTED_VALUE"""),-0.869260672841485)</f>
        <v>-0.869260672841485</v>
      </c>
      <c r="MA124" s="3">
        <f ca="1">IFERROR(__xludf.DUMMYFUNCTION("""COMPUTED_VALUE"""),-0.855179867255174)</f>
        <v>-0.85517986725517403</v>
      </c>
      <c r="MB124" s="3">
        <f ca="1">IFERROR(__xludf.DUMMYFUNCTION("""COMPUTED_VALUE"""),-0.841247766594008)</f>
        <v>-0.84124776659400802</v>
      </c>
      <c r="MC124" s="3">
        <f ca="1">IFERROR(__xludf.DUMMYFUNCTION("""COMPUTED_VALUE"""),-0.838095644988027)</f>
        <v>-0.83809564498802702</v>
      </c>
      <c r="MD124" s="3">
        <f ca="1">IFERROR(__xludf.DUMMYFUNCTION("""COMPUTED_VALUE"""),-0.873176731643537)</f>
        <v>-0.87317673164353704</v>
      </c>
      <c r="ME124" s="3">
        <f ca="1">IFERROR(__xludf.DUMMYFUNCTION("""COMPUTED_VALUE"""),-0.881363094555167)</f>
        <v>-0.88136309455516704</v>
      </c>
      <c r="MF124" s="3">
        <f ca="1">IFERROR(__xludf.DUMMYFUNCTION("""COMPUTED_VALUE"""),-0.872770114565533)</f>
        <v>-0.872770114565533</v>
      </c>
      <c r="MG124" s="3">
        <f ca="1">IFERROR(__xludf.DUMMYFUNCTION("""COMPUTED_VALUE"""),-0.878109675303798)</f>
        <v>-0.87810967530379802</v>
      </c>
      <c r="MH124" s="3">
        <f ca="1">IFERROR(__xludf.DUMMYFUNCTION("""COMPUTED_VALUE"""),-0.861645696108473)</f>
        <v>-0.86164569610847297</v>
      </c>
      <c r="MI124" s="3">
        <f ca="1">IFERROR(__xludf.DUMMYFUNCTION("""COMPUTED_VALUE"""),-0.848641783235777)</f>
        <v>-0.84864178323577699</v>
      </c>
      <c r="MJ124" s="3">
        <f ca="1">IFERROR(__xludf.DUMMYFUNCTION("""COMPUTED_VALUE"""),-0.855263304345845)</f>
        <v>-0.85526330434584497</v>
      </c>
      <c r="MK124" s="3">
        <f ca="1">IFERROR(__xludf.DUMMYFUNCTION("""COMPUTED_VALUE"""),-0.880445790293107)</f>
        <v>-0.88044579029310699</v>
      </c>
      <c r="ML124" s="3">
        <f ca="1">IFERROR(__xludf.DUMMYFUNCTION("""COMPUTED_VALUE"""),-0.882584322256013)</f>
        <v>-0.88258432225601302</v>
      </c>
      <c r="MM124" s="3">
        <f ca="1">IFERROR(__xludf.DUMMYFUNCTION("""COMPUTED_VALUE"""),-0.888515898080516)</f>
        <v>-0.88851589808051601</v>
      </c>
      <c r="MN124" s="3">
        <f ca="1">IFERROR(__xludf.DUMMYFUNCTION("""COMPUTED_VALUE"""),-0.883137452966582)</f>
        <v>-0.88313745296658197</v>
      </c>
      <c r="MO124" s="3">
        <f ca="1">IFERROR(__xludf.DUMMYFUNCTION("""COMPUTED_VALUE"""),-0.860725881781979)</f>
        <v>-0.86072588178197895</v>
      </c>
      <c r="MP124" s="3">
        <f ca="1">IFERROR(__xludf.DUMMYFUNCTION("""COMPUTED_VALUE"""),-0.848250676427424)</f>
        <v>-0.84825067642742402</v>
      </c>
      <c r="MQ124" s="3">
        <f ca="1">IFERROR(__xludf.DUMMYFUNCTION("""COMPUTED_VALUE"""),-0.868912719428891)</f>
        <v>-0.86891271942889103</v>
      </c>
      <c r="MR124" s="3">
        <f ca="1">IFERROR(__xludf.DUMMYFUNCTION("""COMPUTED_VALUE"""),-0.888940122553981)</f>
        <v>-0.88894012255398103</v>
      </c>
      <c r="MS124" s="3">
        <f ca="1">IFERROR(__xludf.DUMMYFUNCTION("""COMPUTED_VALUE"""),-0.887147673758954)</f>
        <v>-0.88714767375895398</v>
      </c>
      <c r="MT124" s="3">
        <f ca="1">IFERROR(__xludf.DUMMYFUNCTION("""COMPUTED_VALUE"""),-0.886461189767238)</f>
        <v>-0.88646118976723798</v>
      </c>
      <c r="MU124" s="3">
        <f ca="1">IFERROR(__xludf.DUMMYFUNCTION("""COMPUTED_VALUE"""),-0.875488047998261)</f>
        <v>-0.87548804799826097</v>
      </c>
      <c r="MV124" s="3">
        <f ca="1">IFERROR(__xludf.DUMMYFUNCTION("""COMPUTED_VALUE"""),-0.864663010271323)</f>
        <v>-0.86466301027132297</v>
      </c>
      <c r="MW124" s="3">
        <f ca="1">IFERROR(__xludf.DUMMYFUNCTION("""COMPUTED_VALUE"""),-0.84334016243825)</f>
        <v>-0.84334016243825005</v>
      </c>
      <c r="MX124" s="3">
        <f ca="1">IFERROR(__xludf.DUMMYFUNCTION("""COMPUTED_VALUE"""),-0.862928453876027)</f>
        <v>-0.86292845387602701</v>
      </c>
      <c r="MY124" s="3">
        <f ca="1">IFERROR(__xludf.DUMMYFUNCTION("""COMPUTED_VALUE"""),-0.877290745620031)</f>
        <v>-0.87729074562003095</v>
      </c>
      <c r="MZ124" s="3">
        <f ca="1">IFERROR(__xludf.DUMMYFUNCTION("""COMPUTED_VALUE"""),-0.874986730938687)</f>
        <v>-0.87498673093868695</v>
      </c>
      <c r="NA124" s="3">
        <f ca="1">IFERROR(__xludf.DUMMYFUNCTION("""COMPUTED_VALUE"""),-0.873859865677202)</f>
        <v>-0.87385986567720197</v>
      </c>
      <c r="NB124" s="3">
        <f ca="1">IFERROR(__xludf.DUMMYFUNCTION("""COMPUTED_VALUE"""),-0.870632496881433)</f>
        <v>-0.87063249688143296</v>
      </c>
      <c r="NC124" s="3">
        <f ca="1">IFERROR(__xludf.DUMMYFUNCTION("""COMPUTED_VALUE"""),-0.845774518413077)</f>
        <v>-0.84577451841307705</v>
      </c>
      <c r="ND124" s="3">
        <f ca="1">IFERROR(__xludf.DUMMYFUNCTION("""COMPUTED_VALUE"""),-0.844403525042102)</f>
        <v>-0.84440352504210203</v>
      </c>
      <c r="NE124" s="3">
        <f ca="1">IFERROR(__xludf.DUMMYFUNCTION("""COMPUTED_VALUE"""),-0.846293833230045)</f>
        <v>-0.84629383323004503</v>
      </c>
      <c r="NF124" s="3">
        <f ca="1">IFERROR(__xludf.DUMMYFUNCTION("""COMPUTED_VALUE"""),-0.852439431492283)</f>
        <v>-0.85243943149228296</v>
      </c>
      <c r="NG124" s="3">
        <f ca="1">IFERROR(__xludf.DUMMYFUNCTION("""COMPUTED_VALUE"""),-0.845518878424579)</f>
        <v>-0.84551887842457896</v>
      </c>
      <c r="NH124" s="3">
        <f ca="1">IFERROR(__xludf.DUMMYFUNCTION("""COMPUTED_VALUE"""),-0.853648922532001)</f>
        <v>-0.85364892253200098</v>
      </c>
      <c r="NI124" s="3">
        <f ca="1">IFERROR(__xludf.DUMMYFUNCTION("""COMPUTED_VALUE"""),-0.863111438185261)</f>
        <v>-0.86311143818526104</v>
      </c>
      <c r="NJ124" s="3">
        <f ca="1">IFERROR(__xludf.DUMMYFUNCTION("""COMPUTED_VALUE"""),-0.858163145573459)</f>
        <v>-0.85816314557345896</v>
      </c>
      <c r="NK124" s="3">
        <f ca="1">IFERROR(__xludf.DUMMYFUNCTION("""COMPUTED_VALUE"""),-0.857080946823509)</f>
        <v>-0.85708094682350899</v>
      </c>
      <c r="NL124" s="3">
        <f ca="1">IFERROR(__xludf.DUMMYFUNCTION("""COMPUTED_VALUE"""),-0.843529766684869)</f>
        <v>-0.84352976668486901</v>
      </c>
      <c r="NM124" s="3">
        <f ca="1">IFERROR(__xludf.DUMMYFUNCTION("""COMPUTED_VALUE"""),-0.847020446431723)</f>
        <v>-0.84702044643172303</v>
      </c>
      <c r="NN124" s="3">
        <f ca="1">IFERROR(__xludf.DUMMYFUNCTION("""COMPUTED_VALUE"""),-0.858111752106776)</f>
        <v>-0.85811175210677604</v>
      </c>
      <c r="NO124" s="3">
        <f ca="1">IFERROR(__xludf.DUMMYFUNCTION("""COMPUTED_VALUE"""),-0.84987873488527)</f>
        <v>-0.84987873488526999</v>
      </c>
      <c r="NP124" s="3">
        <f ca="1">IFERROR(__xludf.DUMMYFUNCTION("""COMPUTED_VALUE"""),-0.837361705315207)</f>
        <v>-0.83736170531520704</v>
      </c>
      <c r="NQ124" s="3">
        <f ca="1">IFERROR(__xludf.DUMMYFUNCTION("""COMPUTED_VALUE"""),-0.830250543944958)</f>
        <v>-0.83025054394495801</v>
      </c>
      <c r="NR124" s="3">
        <f ca="1">IFERROR(__xludf.DUMMYFUNCTION("""COMPUTED_VALUE"""),-0.837090854505335)</f>
        <v>-0.83709085450533505</v>
      </c>
      <c r="NS124" s="3">
        <f ca="1">IFERROR(__xludf.DUMMYFUNCTION("""COMPUTED_VALUE"""),-0.832327730277495)</f>
        <v>-0.83232773027749496</v>
      </c>
      <c r="NT124" s="3">
        <f ca="1">IFERROR(__xludf.DUMMYFUNCTION("""COMPUTED_VALUE"""),-0.850268542154851)</f>
        <v>-0.85026854215485104</v>
      </c>
      <c r="NU124" s="3">
        <f ca="1">IFERROR(__xludf.DUMMYFUNCTION("""COMPUTED_VALUE"""),-0.868389274564843)</f>
        <v>-0.86838927456484305</v>
      </c>
      <c r="NV124" s="3">
        <f ca="1">IFERROR(__xludf.DUMMYFUNCTION("""COMPUTED_VALUE"""),-0.873340800670032)</f>
        <v>-0.87334080067003195</v>
      </c>
      <c r="NW124" s="3">
        <f ca="1">IFERROR(__xludf.DUMMYFUNCTION("""COMPUTED_VALUE"""),-0.846143871714608)</f>
        <v>-0.84614387171460803</v>
      </c>
      <c r="NX124" s="3">
        <f ca="1">IFERROR(__xludf.DUMMYFUNCTION("""COMPUTED_VALUE"""),-0.83612696608366)</f>
        <v>-0.83612696608365999</v>
      </c>
      <c r="NY124" s="3">
        <f ca="1">IFERROR(__xludf.DUMMYFUNCTION("""COMPUTED_VALUE"""),-0.831443366201176)</f>
        <v>-0.83144336620117598</v>
      </c>
      <c r="NZ124" s="3">
        <f ca="1">IFERROR(__xludf.DUMMYFUNCTION("""COMPUTED_VALUE"""),-0.813373364921821)</f>
        <v>-0.813373364921821</v>
      </c>
      <c r="OA124" s="3">
        <f ca="1">IFERROR(__xludf.DUMMYFUNCTION("""COMPUTED_VALUE"""),-0.84028497559657)</f>
        <v>-0.84028497559657001</v>
      </c>
      <c r="OB124" s="3">
        <f ca="1">IFERROR(__xludf.DUMMYFUNCTION("""COMPUTED_VALUE"""),-0.850175600925599)</f>
        <v>-0.85017560092559896</v>
      </c>
      <c r="OC124" s="3">
        <f ca="1">IFERROR(__xludf.DUMMYFUNCTION("""COMPUTED_VALUE"""),-0.851698920509057)</f>
        <v>-0.85169892050905704</v>
      </c>
      <c r="OD124" s="3">
        <f ca="1">IFERROR(__xludf.DUMMYFUNCTION("""COMPUTED_VALUE"""),-0.801386223000482)</f>
        <v>-0.80138622300048201</v>
      </c>
      <c r="OE124" s="3">
        <f ca="1">IFERROR(__xludf.DUMMYFUNCTION("""COMPUTED_VALUE"""),-0.657438396905318)</f>
        <v>-0.65743839690531802</v>
      </c>
      <c r="OF124" s="3">
        <f ca="1">IFERROR(__xludf.DUMMYFUNCTION("""COMPUTED_VALUE"""),-0.524955794067578)</f>
        <v>-0.52495579406757797</v>
      </c>
      <c r="OG124" s="3">
        <f ca="1">IFERROR(__xludf.DUMMYFUNCTION("""COMPUTED_VALUE"""),-0.499300434098428)</f>
        <v>-0.499300434098428</v>
      </c>
      <c r="OH124" s="3">
        <f ca="1">IFERROR(__xludf.DUMMYFUNCTION("""COMPUTED_VALUE"""),-0.401079666364795)</f>
        <v>-0.40107966636479497</v>
      </c>
      <c r="OI124" s="3">
        <f ca="1">IFERROR(__xludf.DUMMYFUNCTION("""COMPUTED_VALUE"""),-0.370552199435945)</f>
        <v>-0.37055219943594497</v>
      </c>
      <c r="OJ124" s="3">
        <f ca="1">IFERROR(__xludf.DUMMYFUNCTION("""COMPUTED_VALUE"""),-0.313645745470905)</f>
        <v>-0.31364574547090501</v>
      </c>
      <c r="OK124" s="3">
        <f ca="1">IFERROR(__xludf.DUMMYFUNCTION("""COMPUTED_VALUE"""),-0.252392602547315)</f>
        <v>-0.25239260254731499</v>
      </c>
      <c r="OL124" s="3">
        <f ca="1">IFERROR(__xludf.DUMMYFUNCTION("""COMPUTED_VALUE"""),-0.212320212459977)</f>
        <v>-0.21232021245997701</v>
      </c>
      <c r="OM124" s="3">
        <f ca="1">IFERROR(__xludf.DUMMYFUNCTION("""COMPUTED_VALUE"""),-0.164486325157384)</f>
        <v>-0.16448632515738401</v>
      </c>
      <c r="ON124" s="3">
        <f ca="1">IFERROR(__xludf.DUMMYFUNCTION("""COMPUTED_VALUE"""),-0.150836174080516)</f>
        <v>-0.150836174080516</v>
      </c>
      <c r="OO124" s="3">
        <f ca="1">IFERROR(__xludf.DUMMYFUNCTION("""COMPUTED_VALUE"""),-0.0819134941390992)</f>
        <v>-8.1913494139099194E-2</v>
      </c>
      <c r="OP124" s="3">
        <f ca="1">IFERROR(__xludf.DUMMYFUNCTION("""COMPUTED_VALUE"""),-0.108631557781614)</f>
        <v>-0.108631557781614</v>
      </c>
      <c r="OQ124" s="3">
        <f ca="1">IFERROR(__xludf.DUMMYFUNCTION("""COMPUTED_VALUE"""),-0.0419182498023421)</f>
        <v>-4.19182498023421E-2</v>
      </c>
      <c r="OR124" s="3">
        <f ca="1">IFERROR(__xludf.DUMMYFUNCTION("""COMPUTED_VALUE"""),-0.0588993990318932)</f>
        <v>-5.8899399031893201E-2</v>
      </c>
      <c r="OS124" s="3">
        <f ca="1">IFERROR(__xludf.DUMMYFUNCTION("""COMPUTED_VALUE"""),-0.0988372399643251)</f>
        <v>-9.8837239964325099E-2</v>
      </c>
      <c r="OT124" s="3">
        <f ca="1">IFERROR(__xludf.DUMMYFUNCTION("""COMPUTED_VALUE"""),-0.0362705011385351)</f>
        <v>-3.6270501138535097E-2</v>
      </c>
      <c r="OU124" s="3">
        <f ca="1">IFERROR(__xludf.DUMMYFUNCTION("""COMPUTED_VALUE"""),0.0230381763117666)</f>
        <v>2.3038176311766599E-2</v>
      </c>
      <c r="OV124" s="3">
        <f ca="1">IFERROR(__xludf.DUMMYFUNCTION("""COMPUTED_VALUE"""),0.0329247199581179)</f>
        <v>3.2924719958117903E-2</v>
      </c>
      <c r="OW124" s="3">
        <f ca="1">IFERROR(__xludf.DUMMYFUNCTION("""COMPUTED_VALUE"""),0.00373545359664562)</f>
        <v>3.7354535966456202E-3</v>
      </c>
      <c r="OX124" s="3">
        <f ca="1">IFERROR(__xludf.DUMMYFUNCTION("""COMPUTED_VALUE"""),0.0442179257761503)</f>
        <v>4.4217925776150302E-2</v>
      </c>
      <c r="OY124" s="3">
        <f ca="1">IFERROR(__xludf.DUMMYFUNCTION("""COMPUTED_VALUE"""),0.0315888891525413)</f>
        <v>3.1588889152541301E-2</v>
      </c>
      <c r="OZ124" s="3">
        <f ca="1">IFERROR(__xludf.DUMMYFUNCTION("""COMPUTED_VALUE"""),0.0117197243927207)</f>
        <v>1.1719724392720701E-2</v>
      </c>
      <c r="PA124" s="3">
        <f ca="1">IFERROR(__xludf.DUMMYFUNCTION("""COMPUTED_VALUE"""),0.0155909108958671)</f>
        <v>1.55909108958671E-2</v>
      </c>
      <c r="PB124" s="3">
        <f ca="1">IFERROR(__xludf.DUMMYFUNCTION("""COMPUTED_VALUE"""),0.0509481450517774)</f>
        <v>5.0948145051777402E-2</v>
      </c>
      <c r="PC124" s="3">
        <f ca="1">IFERROR(__xludf.DUMMYFUNCTION("""COMPUTED_VALUE"""),0.0142129022091093)</f>
        <v>1.4212902209109301E-2</v>
      </c>
      <c r="PD124" s="3">
        <f ca="1">IFERROR(__xludf.DUMMYFUNCTION("""COMPUTED_VALUE"""),-0.0325295976151707)</f>
        <v>-3.2529597615170699E-2</v>
      </c>
      <c r="PE124" s="3">
        <f ca="1">IFERROR(__xludf.DUMMYFUNCTION("""COMPUTED_VALUE"""),0.00230314024017963)</f>
        <v>2.3031402401796301E-3</v>
      </c>
      <c r="PF124" s="3">
        <f ca="1">IFERROR(__xludf.DUMMYFUNCTION("""COMPUTED_VALUE"""),-0.0413824378805884)</f>
        <v>-4.1382437880588402E-2</v>
      </c>
      <c r="PG124" s="3">
        <f ca="1">IFERROR(__xludf.DUMMYFUNCTION("""COMPUTED_VALUE"""),-0.122842388301725)</f>
        <v>-0.122842388301725</v>
      </c>
      <c r="PH124" s="3">
        <f ca="1">IFERROR(__xludf.DUMMYFUNCTION("""COMPUTED_VALUE"""),-0.020103172615041)</f>
        <v>-2.0103172615041E-2</v>
      </c>
      <c r="PI124" s="3">
        <f ca="1">IFERROR(__xludf.DUMMYFUNCTION("""COMPUTED_VALUE"""),0.0542184305987458)</f>
        <v>5.4218430598745801E-2</v>
      </c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</row>
    <row r="125" spans="1:477" ht="13">
      <c r="A125" s="1" t="str">
        <f ca="1">IFERROR(__xludf.DUMMYFUNCTION("""COMPUTED_VALUE"""),"SamTrans")</f>
        <v>SamTrans</v>
      </c>
      <c r="B125" s="1" t="str">
        <f ca="1">IFERROR(__xludf.DUMMYFUNCTION("""COMPUTED_VALUE"""),"SF Bay Area")</f>
        <v>SF Bay Area</v>
      </c>
      <c r="C125" s="1" t="str">
        <f ca="1">IFERROR(__xludf.DUMMYFUNCTION("""COMPUTED_VALUE"""),"United States")</f>
        <v>United States</v>
      </c>
      <c r="D125" s="1" t="str">
        <f ca="1">IFERROR(__xludf.DUMMYFUNCTION("""COMPUTED_VALUE"""),"California")</f>
        <v>California</v>
      </c>
      <c r="E125" s="3">
        <f ca="1">IFERROR(__xludf.DUMMYFUNCTION("""COMPUTED_VALUE"""),-0.611370488222777)</f>
        <v>-0.61137048822277695</v>
      </c>
      <c r="F125" s="3">
        <f ca="1">IFERROR(__xludf.DUMMYFUNCTION("""COMPUTED_VALUE"""),-0.709305995010409)</f>
        <v>-0.70930599501040903</v>
      </c>
      <c r="G125" s="3">
        <f ca="1">IFERROR(__xludf.DUMMYFUNCTION("""COMPUTED_VALUE"""),-0.737113610248673)</f>
        <v>-0.73711361024867295</v>
      </c>
      <c r="H125" s="3">
        <f ca="1">IFERROR(__xludf.DUMMYFUNCTION("""COMPUTED_VALUE"""),-0.737300792225635)</f>
        <v>-0.73730079222563505</v>
      </c>
      <c r="I125" s="3">
        <f ca="1">IFERROR(__xludf.DUMMYFUNCTION("""COMPUTED_VALUE"""),-0.726264379685734)</f>
        <v>-0.72626437968573399</v>
      </c>
      <c r="J125" s="3">
        <f ca="1">IFERROR(__xludf.DUMMYFUNCTION("""COMPUTED_VALUE"""),-0.678994714530753)</f>
        <v>-0.678994714530753</v>
      </c>
      <c r="K125" s="3">
        <f ca="1">IFERROR(__xludf.DUMMYFUNCTION("""COMPUTED_VALUE"""),-0.626669614122884)</f>
        <v>-0.62666961412288402</v>
      </c>
      <c r="L125" s="3">
        <f ca="1">IFERROR(__xludf.DUMMYFUNCTION("""COMPUTED_VALUE"""),-0.631529372482106)</f>
        <v>-0.63152937248210606</v>
      </c>
      <c r="M125" s="3">
        <f ca="1">IFERROR(__xludf.DUMMYFUNCTION("""COMPUTED_VALUE"""),-0.677537697602038)</f>
        <v>-0.67753769760203797</v>
      </c>
      <c r="N125" s="3">
        <f ca="1">IFERROR(__xludf.DUMMYFUNCTION("""COMPUTED_VALUE"""),-0.697382646953261)</f>
        <v>-0.69738264695326102</v>
      </c>
      <c r="O125" s="3">
        <f ca="1">IFERROR(__xludf.DUMMYFUNCTION("""COMPUTED_VALUE"""),-0.699854678678369)</f>
        <v>-0.69985467867836904</v>
      </c>
      <c r="P125" s="3">
        <f ca="1">IFERROR(__xludf.DUMMYFUNCTION("""COMPUTED_VALUE"""),-0.714886016024837)</f>
        <v>-0.71488601602483703</v>
      </c>
      <c r="Q125" s="3">
        <f ca="1">IFERROR(__xludf.DUMMYFUNCTION("""COMPUTED_VALUE"""),-0.654476168697544)</f>
        <v>-0.65447616869754399</v>
      </c>
      <c r="R125" s="3">
        <f ca="1">IFERROR(__xludf.DUMMYFUNCTION("""COMPUTED_VALUE"""),-0.582097116729253)</f>
        <v>-0.58209711672925302</v>
      </c>
      <c r="S125" s="3">
        <f ca="1">IFERROR(__xludf.DUMMYFUNCTION("""COMPUTED_VALUE"""),-0.583279671629642)</f>
        <v>-0.583279671629642</v>
      </c>
      <c r="T125" s="3">
        <f ca="1">IFERROR(__xludf.DUMMYFUNCTION("""COMPUTED_VALUE"""),-0.689752425401558)</f>
        <v>-0.68975242540155801</v>
      </c>
      <c r="U125" s="3">
        <f ca="1">IFERROR(__xludf.DUMMYFUNCTION("""COMPUTED_VALUE"""),-0.690029322408049)</f>
        <v>-0.69002932240804904</v>
      </c>
      <c r="V125" s="3">
        <f ca="1">IFERROR(__xludf.DUMMYFUNCTION("""COMPUTED_VALUE"""),-0.69593157823918)</f>
        <v>-0.69593157823917995</v>
      </c>
      <c r="W125" s="3">
        <f ca="1">IFERROR(__xludf.DUMMYFUNCTION("""COMPUTED_VALUE"""),-0.706652285776319)</f>
        <v>-0.706652285776319</v>
      </c>
      <c r="X125" s="3">
        <f ca="1">IFERROR(__xludf.DUMMYFUNCTION("""COMPUTED_VALUE"""),-0.662118752259065)</f>
        <v>-0.66211875225906502</v>
      </c>
      <c r="Y125" s="3">
        <f ca="1">IFERROR(__xludf.DUMMYFUNCTION("""COMPUTED_VALUE"""),-0.557887768665769)</f>
        <v>-0.55788776866576895</v>
      </c>
      <c r="Z125" s="3">
        <f ca="1">IFERROR(__xludf.DUMMYFUNCTION("""COMPUTED_VALUE"""),-0.603102905908237)</f>
        <v>-0.60310290590823701</v>
      </c>
      <c r="AA125" s="3">
        <f ca="1">IFERROR(__xludf.DUMMYFUNCTION("""COMPUTED_VALUE"""),-0.705537595419561)</f>
        <v>-0.70553759541956096</v>
      </c>
      <c r="AB125" s="3">
        <f ca="1">IFERROR(__xludf.DUMMYFUNCTION("""COMPUTED_VALUE"""),-0.770847922256089)</f>
        <v>-0.770847922256089</v>
      </c>
      <c r="AC125" s="3">
        <f ca="1">IFERROR(__xludf.DUMMYFUNCTION("""COMPUTED_VALUE"""),-0.725865176677703)</f>
        <v>-0.72586517667770301</v>
      </c>
      <c r="AD125" s="3">
        <f ca="1">IFERROR(__xludf.DUMMYFUNCTION("""COMPUTED_VALUE"""),-0.733543985629348)</f>
        <v>-0.73354398562934797</v>
      </c>
      <c r="AE125" s="3">
        <f ca="1">IFERROR(__xludf.DUMMYFUNCTION("""COMPUTED_VALUE"""),-0.719970778774181)</f>
        <v>-0.71997077877418103</v>
      </c>
      <c r="AF125" s="3">
        <f ca="1">IFERROR(__xludf.DUMMYFUNCTION("""COMPUTED_VALUE"""),-0.646363900078945)</f>
        <v>-0.64636390007894495</v>
      </c>
      <c r="AG125" s="3">
        <f ca="1">IFERROR(__xludf.DUMMYFUNCTION("""COMPUTED_VALUE"""),-0.642302114617941)</f>
        <v>-0.64230211461794096</v>
      </c>
      <c r="AH125" s="3">
        <f ca="1">IFERROR(__xludf.DUMMYFUNCTION("""COMPUTED_VALUE"""),-0.70866850170197)</f>
        <v>-0.70866850170197004</v>
      </c>
      <c r="AI125" s="3">
        <f ca="1">IFERROR(__xludf.DUMMYFUNCTION("""COMPUTED_VALUE"""),-0.757917508064336)</f>
        <v>-0.757917508064336</v>
      </c>
      <c r="AJ125" s="3">
        <f ca="1">IFERROR(__xludf.DUMMYFUNCTION("""COMPUTED_VALUE"""),-0.770840389699761)</f>
        <v>-0.77084038969976099</v>
      </c>
      <c r="AK125" s="3">
        <f ca="1">IFERROR(__xludf.DUMMYFUNCTION("""COMPUTED_VALUE"""),-0.766065413710719)</f>
        <v>-0.76606541371071901</v>
      </c>
      <c r="AL125" s="3">
        <f ca="1">IFERROR(__xludf.DUMMYFUNCTION("""COMPUTED_VALUE"""),-0.754426367844725)</f>
        <v>-0.75442636784472505</v>
      </c>
      <c r="AM125" s="3">
        <f ca="1">IFERROR(__xludf.DUMMYFUNCTION("""COMPUTED_VALUE"""),-0.621925709287329)</f>
        <v>-0.62192570928732904</v>
      </c>
      <c r="AN125" s="3">
        <f ca="1">IFERROR(__xludf.DUMMYFUNCTION("""COMPUTED_VALUE"""),-0.65537712827018)</f>
        <v>-0.65537712827018002</v>
      </c>
      <c r="AO125" s="3">
        <f ca="1">IFERROR(__xludf.DUMMYFUNCTION("""COMPUTED_VALUE"""),-0.737164198244713)</f>
        <v>-0.73716419824471302</v>
      </c>
      <c r="AP125" s="3">
        <f ca="1">IFERROR(__xludf.DUMMYFUNCTION("""COMPUTED_VALUE"""),-0.775524395360806)</f>
        <v>-0.77552439536080597</v>
      </c>
      <c r="AQ125" s="3">
        <f ca="1">IFERROR(__xludf.DUMMYFUNCTION("""COMPUTED_VALUE"""),-0.748028510833556)</f>
        <v>-0.74802851083355604</v>
      </c>
      <c r="AR125" s="3">
        <f ca="1">IFERROR(__xludf.DUMMYFUNCTION("""COMPUTED_VALUE"""),-0.761864378374069)</f>
        <v>-0.76186437837406895</v>
      </c>
      <c r="AS125" s="3">
        <f ca="1">IFERROR(__xludf.DUMMYFUNCTION("""COMPUTED_VALUE"""),-0.737743230527804)</f>
        <v>-0.73774323052780399</v>
      </c>
      <c r="AT125" s="3">
        <f ca="1">IFERROR(__xludf.DUMMYFUNCTION("""COMPUTED_VALUE"""),-0.610214231846579)</f>
        <v>-0.61021423184657897</v>
      </c>
      <c r="AU125" s="3">
        <f ca="1">IFERROR(__xludf.DUMMYFUNCTION("""COMPUTED_VALUE"""),-0.654033488064684)</f>
        <v>-0.65403348806468398</v>
      </c>
      <c r="AV125" s="3">
        <f ca="1">IFERROR(__xludf.DUMMYFUNCTION("""COMPUTED_VALUE"""),-0.736195757317617)</f>
        <v>-0.73619575731761699</v>
      </c>
      <c r="AW125" s="3">
        <f ca="1">IFERROR(__xludf.DUMMYFUNCTION("""COMPUTED_VALUE"""),-0.760636735456478)</f>
        <v>-0.76063673545647803</v>
      </c>
      <c r="AX125" s="3">
        <f ca="1">IFERROR(__xludf.DUMMYFUNCTION("""COMPUTED_VALUE"""),-0.751059742903038)</f>
        <v>-0.75105974290303801</v>
      </c>
      <c r="AY125" s="3">
        <f ca="1">IFERROR(__xludf.DUMMYFUNCTION("""COMPUTED_VALUE"""),-0.764152965220022)</f>
        <v>-0.76415296522002196</v>
      </c>
      <c r="AZ125" s="3">
        <f ca="1">IFERROR(__xludf.DUMMYFUNCTION("""COMPUTED_VALUE"""),-0.738622859577945)</f>
        <v>-0.73862285957794505</v>
      </c>
      <c r="BA125" s="3">
        <f ca="1">IFERROR(__xludf.DUMMYFUNCTION("""COMPUTED_VALUE"""),-0.607008139118258)</f>
        <v>-0.60700813911825802</v>
      </c>
      <c r="BB125" s="3">
        <f ca="1">IFERROR(__xludf.DUMMYFUNCTION("""COMPUTED_VALUE"""),-0.655252704098881)</f>
        <v>-0.65525270409888103</v>
      </c>
      <c r="BC125" s="3">
        <f ca="1">IFERROR(__xludf.DUMMYFUNCTION("""COMPUTED_VALUE"""),-0.743853593322476)</f>
        <v>-0.74385359332247603</v>
      </c>
      <c r="BD125" s="3">
        <f ca="1">IFERROR(__xludf.DUMMYFUNCTION("""COMPUTED_VALUE"""),-0.770587783798435)</f>
        <v>-0.77058778379843496</v>
      </c>
      <c r="BE125" s="3">
        <f ca="1">IFERROR(__xludf.DUMMYFUNCTION("""COMPUTED_VALUE"""),-0.748831730315344)</f>
        <v>-0.748831730315344</v>
      </c>
      <c r="BF125" s="3">
        <f ca="1">IFERROR(__xludf.DUMMYFUNCTION("""COMPUTED_VALUE"""),-0.755209259549538)</f>
        <v>-0.75520925954953799</v>
      </c>
      <c r="BG125" s="3">
        <f ca="1">IFERROR(__xludf.DUMMYFUNCTION("""COMPUTED_VALUE"""),-0.723475541698649)</f>
        <v>-0.72347554169864903</v>
      </c>
      <c r="BH125" s="3">
        <f ca="1">IFERROR(__xludf.DUMMYFUNCTION("""COMPUTED_VALUE"""),-0.632161318697211)</f>
        <v>-0.63216131869721104</v>
      </c>
      <c r="BI125" s="3">
        <f ca="1">IFERROR(__xludf.DUMMYFUNCTION("""COMPUTED_VALUE"""),-0.660122964498299)</f>
        <v>-0.66012296449829899</v>
      </c>
      <c r="BJ125" s="3">
        <f ca="1">IFERROR(__xludf.DUMMYFUNCTION("""COMPUTED_VALUE"""),-0.758272459973087)</f>
        <v>-0.75827245997308701</v>
      </c>
      <c r="BK125" s="3">
        <f ca="1">IFERROR(__xludf.DUMMYFUNCTION("""COMPUTED_VALUE"""),-0.779012780185925)</f>
        <v>-0.77901278018592501</v>
      </c>
      <c r="BL125" s="3">
        <f ca="1">IFERROR(__xludf.DUMMYFUNCTION("""COMPUTED_VALUE"""),-0.767327747741811)</f>
        <v>-0.76732774774181101</v>
      </c>
      <c r="BM125" s="3">
        <f ca="1">IFERROR(__xludf.DUMMYFUNCTION("""COMPUTED_VALUE"""),-0.76869839612072)</f>
        <v>-0.76869839612072</v>
      </c>
      <c r="BN125" s="3">
        <f ca="1">IFERROR(__xludf.DUMMYFUNCTION("""COMPUTED_VALUE"""),-0.74832091415276)</f>
        <v>-0.74832091415276003</v>
      </c>
      <c r="BO125" s="3">
        <f ca="1">IFERROR(__xludf.DUMMYFUNCTION("""COMPUTED_VALUE"""),-0.668767749585575)</f>
        <v>-0.66876774958557506</v>
      </c>
      <c r="BP125" s="3">
        <f ca="1">IFERROR(__xludf.DUMMYFUNCTION("""COMPUTED_VALUE"""),-0.646812126348893)</f>
        <v>-0.64681212634889296</v>
      </c>
      <c r="BQ125" s="3">
        <f ca="1">IFERROR(__xludf.DUMMYFUNCTION("""COMPUTED_VALUE"""),-0.731598826406089)</f>
        <v>-0.73159882640608898</v>
      </c>
      <c r="BR125" s="3">
        <f ca="1">IFERROR(__xludf.DUMMYFUNCTION("""COMPUTED_VALUE"""),-0.751497785390619)</f>
        <v>-0.75149778539061896</v>
      </c>
      <c r="BS125" s="3">
        <f ca="1">IFERROR(__xludf.DUMMYFUNCTION("""COMPUTED_VALUE"""),-0.750561357252275)</f>
        <v>-0.75056135725227502</v>
      </c>
      <c r="BT125" s="3">
        <f ca="1">IFERROR(__xludf.DUMMYFUNCTION("""COMPUTED_VALUE"""),-0.765129151995962)</f>
        <v>-0.76512915199596199</v>
      </c>
      <c r="BU125" s="3">
        <f ca="1">IFERROR(__xludf.DUMMYFUNCTION("""COMPUTED_VALUE"""),-0.74701557013683)</f>
        <v>-0.74701557013682995</v>
      </c>
      <c r="BV125" s="3">
        <f ca="1">IFERROR(__xludf.DUMMYFUNCTION("""COMPUTED_VALUE"""),-0.70877447163196)</f>
        <v>-0.70877447163195995</v>
      </c>
      <c r="BW125" s="3">
        <f ca="1">IFERROR(__xludf.DUMMYFUNCTION("""COMPUTED_VALUE"""),-0.722623912197105)</f>
        <v>-0.72262391219710498</v>
      </c>
      <c r="BX125" s="3">
        <f ca="1">IFERROR(__xludf.DUMMYFUNCTION("""COMPUTED_VALUE"""),-0.75750407273944)</f>
        <v>-0.75750407273943998</v>
      </c>
      <c r="BY125" s="3">
        <f ca="1">IFERROR(__xludf.DUMMYFUNCTION("""COMPUTED_VALUE"""),-0.793993508260376)</f>
        <v>-0.79399350826037596</v>
      </c>
      <c r="BZ125" s="3">
        <f ca="1">IFERROR(__xludf.DUMMYFUNCTION("""COMPUTED_VALUE"""),-0.801481817861774)</f>
        <v>-0.80148181786177397</v>
      </c>
      <c r="CA125" s="3">
        <f ca="1">IFERROR(__xludf.DUMMYFUNCTION("""COMPUTED_VALUE"""),-0.761374385012821)</f>
        <v>-0.76137438501282095</v>
      </c>
      <c r="CB125" s="3">
        <f ca="1">IFERROR(__xludf.DUMMYFUNCTION("""COMPUTED_VALUE"""),-0.732383072208182)</f>
        <v>-0.732383072208182</v>
      </c>
      <c r="CC125" s="3">
        <f ca="1">IFERROR(__xludf.DUMMYFUNCTION("""COMPUTED_VALUE"""),-0.726435356410961)</f>
        <v>-0.72643535641096102</v>
      </c>
      <c r="CD125" s="3">
        <f ca="1">IFERROR(__xludf.DUMMYFUNCTION("""COMPUTED_VALUE"""),-0.697352691835787)</f>
        <v>-0.69735269183578696</v>
      </c>
      <c r="CE125" s="3">
        <f ca="1">IFERROR(__xludf.DUMMYFUNCTION("""COMPUTED_VALUE"""),-0.768015358083995)</f>
        <v>-0.76801535808399501</v>
      </c>
      <c r="CF125" s="3">
        <f ca="1">IFERROR(__xludf.DUMMYFUNCTION("""COMPUTED_VALUE"""),-0.781015527403551)</f>
        <v>-0.78101552740355096</v>
      </c>
      <c r="CG125" s="3">
        <f ca="1">IFERROR(__xludf.DUMMYFUNCTION("""COMPUTED_VALUE"""),-0.786400924483516)</f>
        <v>-0.78640092448351595</v>
      </c>
      <c r="CH125" s="3">
        <f ca="1">IFERROR(__xludf.DUMMYFUNCTION("""COMPUTED_VALUE"""),-0.776676817895067)</f>
        <v>-0.77667681789506704</v>
      </c>
      <c r="CI125" s="3">
        <f ca="1">IFERROR(__xludf.DUMMYFUNCTION("""COMPUTED_VALUE"""),-0.708973618508676)</f>
        <v>-0.70897361850867602</v>
      </c>
      <c r="CJ125" s="3">
        <f ca="1">IFERROR(__xludf.DUMMYFUNCTION("""COMPUTED_VALUE"""),-0.684125526099607)</f>
        <v>-0.68412552609960697</v>
      </c>
      <c r="CK125" s="3">
        <f ca="1">IFERROR(__xludf.DUMMYFUNCTION("""COMPUTED_VALUE"""),-0.677789103782788)</f>
        <v>-0.677789103782788</v>
      </c>
      <c r="CL125" s="3">
        <f ca="1">IFERROR(__xludf.DUMMYFUNCTION("""COMPUTED_VALUE"""),-0.769890406115298)</f>
        <v>-0.76989040611529802</v>
      </c>
      <c r="CM125" s="3">
        <f ca="1">IFERROR(__xludf.DUMMYFUNCTION("""COMPUTED_VALUE"""),-0.756422012678265)</f>
        <v>-0.75642201267826503</v>
      </c>
      <c r="CN125" s="3">
        <f ca="1">IFERROR(__xludf.DUMMYFUNCTION("""COMPUTED_VALUE"""),-0.791042276396009)</f>
        <v>-0.79104227639600899</v>
      </c>
      <c r="CO125" s="3">
        <f ca="1">IFERROR(__xludf.DUMMYFUNCTION("""COMPUTED_VALUE"""),-0.777201795866667)</f>
        <v>-0.77720179586666704</v>
      </c>
      <c r="CP125" s="3">
        <f ca="1">IFERROR(__xludf.DUMMYFUNCTION("""COMPUTED_VALUE"""),-0.746593548945607)</f>
        <v>-0.74659354894560703</v>
      </c>
      <c r="CQ125" s="3">
        <f ca="1">IFERROR(__xludf.DUMMYFUNCTION("""COMPUTED_VALUE"""),-0.699231958067235)</f>
        <v>-0.69923195806723504</v>
      </c>
      <c r="CR125" s="3">
        <f ca="1">IFERROR(__xludf.DUMMYFUNCTION("""COMPUTED_VALUE"""),-0.683604770622061)</f>
        <v>-0.68360477062206104</v>
      </c>
      <c r="CS125" s="3">
        <f ca="1">IFERROR(__xludf.DUMMYFUNCTION("""COMPUTED_VALUE"""),-0.731186912319589)</f>
        <v>-0.73118691231958899</v>
      </c>
      <c r="CT125" s="3">
        <f ca="1">IFERROR(__xludf.DUMMYFUNCTION("""COMPUTED_VALUE"""),-0.739532383415804)</f>
        <v>-0.73953238341580396</v>
      </c>
      <c r="CU125" s="3">
        <f ca="1">IFERROR(__xludf.DUMMYFUNCTION("""COMPUTED_VALUE"""),-0.746813560840209)</f>
        <v>-0.746813560840209</v>
      </c>
      <c r="CV125" s="3">
        <f ca="1">IFERROR(__xludf.DUMMYFUNCTION("""COMPUTED_VALUE"""),-0.729348862732172)</f>
        <v>-0.72934886273217203</v>
      </c>
      <c r="CW125" s="3">
        <f ca="1">IFERROR(__xludf.DUMMYFUNCTION("""COMPUTED_VALUE"""),-0.740812143758724)</f>
        <v>-0.74081214375872395</v>
      </c>
      <c r="CX125" s="3">
        <f ca="1">IFERROR(__xludf.DUMMYFUNCTION("""COMPUTED_VALUE"""),-0.663923785008013)</f>
        <v>-0.66392378500801297</v>
      </c>
      <c r="CY125" s="3">
        <f ca="1">IFERROR(__xludf.DUMMYFUNCTION("""COMPUTED_VALUE"""),-0.714158938303536)</f>
        <v>-0.71415893830353605</v>
      </c>
      <c r="CZ125" s="3">
        <f ca="1">IFERROR(__xludf.DUMMYFUNCTION("""COMPUTED_VALUE"""),-0.76273393186658)</f>
        <v>-0.76273393186658001</v>
      </c>
      <c r="DA125" s="3">
        <f ca="1">IFERROR(__xludf.DUMMYFUNCTION("""COMPUTED_VALUE"""),-0.702997396031726)</f>
        <v>-0.70299739603172595</v>
      </c>
      <c r="DB125" s="3">
        <f ca="1">IFERROR(__xludf.DUMMYFUNCTION("""COMPUTED_VALUE"""),-0.645123525696613)</f>
        <v>-0.64512352569661302</v>
      </c>
      <c r="DC125" s="3">
        <f ca="1">IFERROR(__xludf.DUMMYFUNCTION("""COMPUTED_VALUE"""),-0.693984502437605)</f>
        <v>-0.69398450243760501</v>
      </c>
      <c r="DD125" s="3">
        <f ca="1">IFERROR(__xludf.DUMMYFUNCTION("""COMPUTED_VALUE"""),-0.697051529605528)</f>
        <v>-0.69705152960552796</v>
      </c>
      <c r="DE125" s="3">
        <f ca="1">IFERROR(__xludf.DUMMYFUNCTION("""COMPUTED_VALUE"""),-0.648639463213628)</f>
        <v>-0.64863946321362798</v>
      </c>
      <c r="DF125" s="3">
        <f ca="1">IFERROR(__xludf.DUMMYFUNCTION("""COMPUTED_VALUE"""),-0.713702486021867)</f>
        <v>-0.71370248602186703</v>
      </c>
      <c r="DG125" s="3">
        <f ca="1">IFERROR(__xludf.DUMMYFUNCTION("""COMPUTED_VALUE"""),-0.85635013350655)</f>
        <v>-0.85635013350654998</v>
      </c>
      <c r="DH125" s="3">
        <f ca="1">IFERROR(__xludf.DUMMYFUNCTION("""COMPUTED_VALUE"""),-0.735530735201433)</f>
        <v>-0.73553073520143297</v>
      </c>
      <c r="DI125" s="3">
        <f ca="1">IFERROR(__xludf.DUMMYFUNCTION("""COMPUTED_VALUE"""),-0.631816565018151)</f>
        <v>-0.63181656501815098</v>
      </c>
      <c r="DJ125" s="3">
        <f ca="1">IFERROR(__xludf.DUMMYFUNCTION("""COMPUTED_VALUE"""),-0.696470992649187)</f>
        <v>-0.69647099264918699</v>
      </c>
      <c r="DK125" s="3">
        <f ca="1">IFERROR(__xludf.DUMMYFUNCTION("""COMPUTED_VALUE"""),-0.693597711404109)</f>
        <v>-0.69359771140410897</v>
      </c>
      <c r="DL125" s="3">
        <f ca="1">IFERROR(__xludf.DUMMYFUNCTION("""COMPUTED_VALUE"""),-0.678182853884087)</f>
        <v>-0.67818285388408694</v>
      </c>
      <c r="DM125" s="3">
        <f ca="1">IFERROR(__xludf.DUMMYFUNCTION("""COMPUTED_VALUE"""),-0.682365385248527)</f>
        <v>-0.68236538524852697</v>
      </c>
      <c r="DN125" s="3">
        <f ca="1">IFERROR(__xludf.DUMMYFUNCTION("""COMPUTED_VALUE"""),-0.719700729205355)</f>
        <v>-0.71970072920535499</v>
      </c>
      <c r="DO125" s="3">
        <f ca="1">IFERROR(__xludf.DUMMYFUNCTION("""COMPUTED_VALUE"""),-0.716416687180949)</f>
        <v>-0.71641668718094897</v>
      </c>
      <c r="DP125" s="3">
        <f ca="1">IFERROR(__xludf.DUMMYFUNCTION("""COMPUTED_VALUE"""),-0.700501114930006)</f>
        <v>-0.700501114930006</v>
      </c>
      <c r="DQ125" s="3">
        <f ca="1">IFERROR(__xludf.DUMMYFUNCTION("""COMPUTED_VALUE"""),-0.730509754384265)</f>
        <v>-0.73050975438426502</v>
      </c>
      <c r="DR125" s="3">
        <f ca="1">IFERROR(__xludf.DUMMYFUNCTION("""COMPUTED_VALUE"""),-0.724291297585414)</f>
        <v>-0.724291297585414</v>
      </c>
      <c r="DS125" s="3">
        <f ca="1">IFERROR(__xludf.DUMMYFUNCTION("""COMPUTED_VALUE"""),-0.73265406766585)</f>
        <v>-0.73265406766584995</v>
      </c>
      <c r="DT125" s="3">
        <f ca="1">IFERROR(__xludf.DUMMYFUNCTION("""COMPUTED_VALUE"""),-0.714918945018628)</f>
        <v>-0.71491894501862796</v>
      </c>
      <c r="DU125" s="3">
        <f ca="1">IFERROR(__xludf.DUMMYFUNCTION("""COMPUTED_VALUE"""),-0.785303364141805)</f>
        <v>-0.78530336414180502</v>
      </c>
      <c r="DV125" s="3">
        <f ca="1">IFERROR(__xludf.DUMMYFUNCTION("""COMPUTED_VALUE"""),-0.775247303858922)</f>
        <v>-0.77524730385892204</v>
      </c>
      <c r="DW125" s="3">
        <f ca="1">IFERROR(__xludf.DUMMYFUNCTION("""COMPUTED_VALUE"""),-0.793872783064999)</f>
        <v>-0.79387278306499898</v>
      </c>
      <c r="DX125" s="3">
        <f ca="1">IFERROR(__xludf.DUMMYFUNCTION("""COMPUTED_VALUE"""),-0.77740251425723)</f>
        <v>-0.77740251425722995</v>
      </c>
      <c r="DY125" s="3">
        <f ca="1">IFERROR(__xludf.DUMMYFUNCTION("""COMPUTED_VALUE"""),-0.740165217949894)</f>
        <v>-0.74016521794989398</v>
      </c>
      <c r="DZ125" s="3">
        <f ca="1">IFERROR(__xludf.DUMMYFUNCTION("""COMPUTED_VALUE"""),-0.670180186871939)</f>
        <v>-0.67018018687193903</v>
      </c>
      <c r="EA125" s="3">
        <f ca="1">IFERROR(__xludf.DUMMYFUNCTION("""COMPUTED_VALUE"""),-0.648814937397446)</f>
        <v>-0.648814937397446</v>
      </c>
      <c r="EB125" s="3">
        <f ca="1">IFERROR(__xludf.DUMMYFUNCTION("""COMPUTED_VALUE"""),-0.697144014355333)</f>
        <v>-0.69714401435533302</v>
      </c>
      <c r="EC125" s="3">
        <f ca="1">IFERROR(__xludf.DUMMYFUNCTION("""COMPUTED_VALUE"""),-0.722489522814252)</f>
        <v>-0.72248952281425205</v>
      </c>
      <c r="ED125" s="3">
        <f ca="1">IFERROR(__xludf.DUMMYFUNCTION("""COMPUTED_VALUE"""),-0.771255952947998)</f>
        <v>-0.77125595294799798</v>
      </c>
      <c r="EE125" s="3">
        <f ca="1">IFERROR(__xludf.DUMMYFUNCTION("""COMPUTED_VALUE"""),-0.75351476973326)</f>
        <v>-0.75351476973326004</v>
      </c>
      <c r="EF125" s="3">
        <f ca="1">IFERROR(__xludf.DUMMYFUNCTION("""COMPUTED_VALUE"""),-0.716418938665226)</f>
        <v>-0.71641893866522599</v>
      </c>
      <c r="EG125" s="3">
        <f ca="1">IFERROR(__xludf.DUMMYFUNCTION("""COMPUTED_VALUE"""),-0.649780347418823)</f>
        <v>-0.64978034741882296</v>
      </c>
      <c r="EH125" s="3">
        <f ca="1">IFERROR(__xludf.DUMMYFUNCTION("""COMPUTED_VALUE"""),-0.661551437403817)</f>
        <v>-0.66155143740381706</v>
      </c>
      <c r="EI125" s="3">
        <f ca="1">IFERROR(__xludf.DUMMYFUNCTION("""COMPUTED_VALUE"""),-0.738164411140238)</f>
        <v>-0.73816441114023801</v>
      </c>
      <c r="EJ125" s="3">
        <f ca="1">IFERROR(__xludf.DUMMYFUNCTION("""COMPUTED_VALUE"""),-0.802494934261633)</f>
        <v>-0.80249493426163299</v>
      </c>
      <c r="EK125" s="3">
        <f ca="1">IFERROR(__xludf.DUMMYFUNCTION("""COMPUTED_VALUE"""),-0.719017488885602)</f>
        <v>-0.71901748888560202</v>
      </c>
      <c r="EL125" s="3">
        <f ca="1">IFERROR(__xludf.DUMMYFUNCTION("""COMPUTED_VALUE"""),-0.724908512607901)</f>
        <v>-0.72490851260790101</v>
      </c>
      <c r="EM125" s="3">
        <f ca="1">IFERROR(__xludf.DUMMYFUNCTION("""COMPUTED_VALUE"""),-0.704359077154587)</f>
        <v>-0.70435907715458701</v>
      </c>
      <c r="EN125" s="3">
        <f ca="1">IFERROR(__xludf.DUMMYFUNCTION("""COMPUTED_VALUE"""),-0.611403000736452)</f>
        <v>-0.61140300073645204</v>
      </c>
      <c r="EO125" s="3">
        <f ca="1">IFERROR(__xludf.DUMMYFUNCTION("""COMPUTED_VALUE"""),-0.605248565053254)</f>
        <v>-0.60524856505325397</v>
      </c>
      <c r="EP125" s="3">
        <f ca="1">IFERROR(__xludf.DUMMYFUNCTION("""COMPUTED_VALUE"""),-0.683532977900601)</f>
        <v>-0.68353297790060097</v>
      </c>
      <c r="EQ125" s="3">
        <f ca="1">IFERROR(__xludf.DUMMYFUNCTION("""COMPUTED_VALUE"""),-0.723837758308492)</f>
        <v>-0.72383775830849195</v>
      </c>
      <c r="ER125" s="3">
        <f ca="1">IFERROR(__xludf.DUMMYFUNCTION("""COMPUTED_VALUE"""),-0.752132285275772)</f>
        <v>-0.75213228527577203</v>
      </c>
      <c r="ES125" s="3">
        <f ca="1">IFERROR(__xludf.DUMMYFUNCTION("""COMPUTED_VALUE"""),-0.76499055912778)</f>
        <v>-0.76499055912778002</v>
      </c>
      <c r="ET125" s="3">
        <f ca="1">IFERROR(__xludf.DUMMYFUNCTION("""COMPUTED_VALUE"""),-0.709175225034158)</f>
        <v>-0.70917522503415797</v>
      </c>
      <c r="EU125" s="3">
        <f ca="1">IFERROR(__xludf.DUMMYFUNCTION("""COMPUTED_VALUE"""),-0.63571364390917)</f>
        <v>-0.63571364390916996</v>
      </c>
      <c r="EV125" s="3">
        <f ca="1">IFERROR(__xludf.DUMMYFUNCTION("""COMPUTED_VALUE"""),-0.657373526233683)</f>
        <v>-0.65737352623368295</v>
      </c>
      <c r="EW125" s="3">
        <f ca="1">IFERROR(__xludf.DUMMYFUNCTION("""COMPUTED_VALUE"""),-0.747064137627012)</f>
        <v>-0.74706413762701196</v>
      </c>
      <c r="EX125" s="3">
        <f ca="1">IFERROR(__xludf.DUMMYFUNCTION("""COMPUTED_VALUE"""),-0.744114215920026)</f>
        <v>-0.74411421592002602</v>
      </c>
      <c r="EY125" s="3">
        <f ca="1">IFERROR(__xludf.DUMMYFUNCTION("""COMPUTED_VALUE"""),-0.760275027503454)</f>
        <v>-0.76027502750345399</v>
      </c>
      <c r="EZ125" s="3">
        <f ca="1">IFERROR(__xludf.DUMMYFUNCTION("""COMPUTED_VALUE"""),-0.748492669905235)</f>
        <v>-0.748492669905235</v>
      </c>
      <c r="FA125" s="3">
        <f ca="1">IFERROR(__xludf.DUMMYFUNCTION("""COMPUTED_VALUE"""),-0.720141608760722)</f>
        <v>-0.72014160876072197</v>
      </c>
      <c r="FB125" s="3">
        <f ca="1">IFERROR(__xludf.DUMMYFUNCTION("""COMPUTED_VALUE"""),-0.654958726259598)</f>
        <v>-0.65495872625959795</v>
      </c>
      <c r="FC125" s="3">
        <f ca="1">IFERROR(__xludf.DUMMYFUNCTION("""COMPUTED_VALUE"""),-0.660336869763901)</f>
        <v>-0.66033686976390105</v>
      </c>
      <c r="FD125" s="3">
        <f ca="1">IFERROR(__xludf.DUMMYFUNCTION("""COMPUTED_VALUE"""),-0.747063299149298)</f>
        <v>-0.74706329914929803</v>
      </c>
      <c r="FE125" s="3">
        <f ca="1">IFERROR(__xludf.DUMMYFUNCTION("""COMPUTED_VALUE"""),-0.755093133483303)</f>
        <v>-0.75509313348330298</v>
      </c>
      <c r="FF125" s="3">
        <f ca="1">IFERROR(__xludf.DUMMYFUNCTION("""COMPUTED_VALUE"""),-0.757997662672985)</f>
        <v>-0.75799766267298496</v>
      </c>
      <c r="FG125" s="3">
        <f ca="1">IFERROR(__xludf.DUMMYFUNCTION("""COMPUTED_VALUE"""),-0.73796190795306)</f>
        <v>-0.73796190795306005</v>
      </c>
      <c r="FH125" s="3">
        <f ca="1">IFERROR(__xludf.DUMMYFUNCTION("""COMPUTED_VALUE"""),-0.689864986479713)</f>
        <v>-0.68986498647971295</v>
      </c>
      <c r="FI125" s="3">
        <f ca="1">IFERROR(__xludf.DUMMYFUNCTION("""COMPUTED_VALUE"""),-0.596495990801956)</f>
        <v>-0.59649599080195603</v>
      </c>
      <c r="FJ125" s="3">
        <f ca="1">IFERROR(__xludf.DUMMYFUNCTION("""COMPUTED_VALUE"""),-0.632260562494241)</f>
        <v>-0.63226056249424101</v>
      </c>
      <c r="FK125" s="3">
        <f ca="1">IFERROR(__xludf.DUMMYFUNCTION("""COMPUTED_VALUE"""),-0.739967452854539)</f>
        <v>-0.73996745285453902</v>
      </c>
      <c r="FL125" s="3">
        <f ca="1">IFERROR(__xludf.DUMMYFUNCTION("""COMPUTED_VALUE"""),-0.754319290888944)</f>
        <v>-0.75431929088894401</v>
      </c>
      <c r="FM125" s="3">
        <f ca="1">IFERROR(__xludf.DUMMYFUNCTION("""COMPUTED_VALUE"""),-0.737030686410017)</f>
        <v>-0.73703068641001701</v>
      </c>
      <c r="FN125" s="3">
        <f ca="1">IFERROR(__xludf.DUMMYFUNCTION("""COMPUTED_VALUE"""),-0.753123259250469)</f>
        <v>-0.75312325925046897</v>
      </c>
      <c r="FO125" s="3">
        <f ca="1">IFERROR(__xludf.DUMMYFUNCTION("""COMPUTED_VALUE"""),-0.711804428430127)</f>
        <v>-0.71180442843012703</v>
      </c>
      <c r="FP125" s="3">
        <f ca="1">IFERROR(__xludf.DUMMYFUNCTION("""COMPUTED_VALUE"""),-0.633872721482862)</f>
        <v>-0.633872721482862</v>
      </c>
      <c r="FQ125" s="3">
        <f ca="1">IFERROR(__xludf.DUMMYFUNCTION("""COMPUTED_VALUE"""),-0.667082520365829)</f>
        <v>-0.66708252036582905</v>
      </c>
      <c r="FR125" s="3">
        <f ca="1">IFERROR(__xludf.DUMMYFUNCTION("""COMPUTED_VALUE"""),-0.746511159335642)</f>
        <v>-0.74651115933564205</v>
      </c>
      <c r="FS125" s="3">
        <f ca="1">IFERROR(__xludf.DUMMYFUNCTION("""COMPUTED_VALUE"""),-0.776017381850063)</f>
        <v>-0.77601738185006297</v>
      </c>
      <c r="FT125" s="3">
        <f ca="1">IFERROR(__xludf.DUMMYFUNCTION("""COMPUTED_VALUE"""),-0.745154746240457)</f>
        <v>-0.74515474624045697</v>
      </c>
      <c r="FU125" s="3">
        <f ca="1">IFERROR(__xludf.DUMMYFUNCTION("""COMPUTED_VALUE"""),-0.742962042058008)</f>
        <v>-0.74296204205800798</v>
      </c>
      <c r="FV125" s="3">
        <f ca="1">IFERROR(__xludf.DUMMYFUNCTION("""COMPUTED_VALUE"""),-0.708595463540277)</f>
        <v>-0.70859546354027703</v>
      </c>
      <c r="FW125" s="3">
        <f ca="1">IFERROR(__xludf.DUMMYFUNCTION("""COMPUTED_VALUE"""),-0.622376453579504)</f>
        <v>-0.622376453579504</v>
      </c>
      <c r="FX125" s="3">
        <f ca="1">IFERROR(__xludf.DUMMYFUNCTION("""COMPUTED_VALUE"""),-0.634851757119175)</f>
        <v>-0.63485175711917496</v>
      </c>
      <c r="FY125" s="3">
        <f ca="1">IFERROR(__xludf.DUMMYFUNCTION("""COMPUTED_VALUE"""),-0.741513486784062)</f>
        <v>-0.74151348678406204</v>
      </c>
      <c r="FZ125" s="3">
        <f ca="1">IFERROR(__xludf.DUMMYFUNCTION("""COMPUTED_VALUE"""),-0.756615486397498)</f>
        <v>-0.75661548639749798</v>
      </c>
      <c r="GA125" s="3">
        <f ca="1">IFERROR(__xludf.DUMMYFUNCTION("""COMPUTED_VALUE"""),-0.752706598171805)</f>
        <v>-0.75270659817180496</v>
      </c>
      <c r="GB125" s="3">
        <f ca="1">IFERROR(__xludf.DUMMYFUNCTION("""COMPUTED_VALUE"""),-0.756666017249341)</f>
        <v>-0.75666601724934102</v>
      </c>
      <c r="GC125" s="3">
        <f ca="1">IFERROR(__xludf.DUMMYFUNCTION("""COMPUTED_VALUE"""),-0.704253650210593)</f>
        <v>-0.70425365021059305</v>
      </c>
      <c r="GD125" s="3">
        <f ca="1">IFERROR(__xludf.DUMMYFUNCTION("""COMPUTED_VALUE"""),-0.670389141961877)</f>
        <v>-0.67038914196187704</v>
      </c>
      <c r="GE125" s="3">
        <f ca="1">IFERROR(__xludf.DUMMYFUNCTION("""COMPUTED_VALUE"""),-0.678021691329618)</f>
        <v>-0.67802169132961798</v>
      </c>
      <c r="GF125" s="3">
        <f ca="1">IFERROR(__xludf.DUMMYFUNCTION("""COMPUTED_VALUE"""),-0.741050615752524)</f>
        <v>-0.74105061575252396</v>
      </c>
      <c r="GG125" s="3">
        <f ca="1">IFERROR(__xludf.DUMMYFUNCTION("""COMPUTED_VALUE"""),-0.774499257967468)</f>
        <v>-0.77449925796746799</v>
      </c>
      <c r="GH125" s="3">
        <f ca="1">IFERROR(__xludf.DUMMYFUNCTION("""COMPUTED_VALUE"""),-0.759579663137574)</f>
        <v>-0.75957966313757397</v>
      </c>
      <c r="GI125" s="3">
        <f ca="1">IFERROR(__xludf.DUMMYFUNCTION("""COMPUTED_VALUE"""),-0.769407864736125)</f>
        <v>-0.76940786473612499</v>
      </c>
      <c r="GJ125" s="3">
        <f ca="1">IFERROR(__xludf.DUMMYFUNCTION("""COMPUTED_VALUE"""),-0.741577876440604)</f>
        <v>-0.74157787644060402</v>
      </c>
      <c r="GK125" s="3">
        <f ca="1">IFERROR(__xludf.DUMMYFUNCTION("""COMPUTED_VALUE"""),-0.681971688653691)</f>
        <v>-0.68197168865369096</v>
      </c>
      <c r="GL125" s="3">
        <f ca="1">IFERROR(__xludf.DUMMYFUNCTION("""COMPUTED_VALUE"""),-0.672222012898857)</f>
        <v>-0.67222201289885697</v>
      </c>
      <c r="GM125" s="3">
        <f ca="1">IFERROR(__xludf.DUMMYFUNCTION("""COMPUTED_VALUE"""),-0.750248058845399)</f>
        <v>-0.75024805884539902</v>
      </c>
      <c r="GN125" s="3">
        <f ca="1">IFERROR(__xludf.DUMMYFUNCTION("""COMPUTED_VALUE"""),-0.770366783679652)</f>
        <v>-0.77036678367965195</v>
      </c>
      <c r="GO125" s="3">
        <f ca="1">IFERROR(__xludf.DUMMYFUNCTION("""COMPUTED_VALUE"""),-0.783103128856496)</f>
        <v>-0.78310312885649602</v>
      </c>
      <c r="GP125" s="3">
        <f ca="1">IFERROR(__xludf.DUMMYFUNCTION("""COMPUTED_VALUE"""),-0.76995168398199)</f>
        <v>-0.76995168398198999</v>
      </c>
      <c r="GQ125" s="3">
        <f ca="1">IFERROR(__xludf.DUMMYFUNCTION("""COMPUTED_VALUE"""),-0.745207211785001)</f>
        <v>-0.74520721178500104</v>
      </c>
      <c r="GR125" s="3">
        <f ca="1">IFERROR(__xludf.DUMMYFUNCTION("""COMPUTED_VALUE"""),-0.668406735080842)</f>
        <v>-0.66840673508084203</v>
      </c>
      <c r="GS125" s="3">
        <f ca="1">IFERROR(__xludf.DUMMYFUNCTION("""COMPUTED_VALUE"""),-0.680405990087793)</f>
        <v>-0.68040599008779301</v>
      </c>
      <c r="GT125" s="3">
        <f ca="1">IFERROR(__xludf.DUMMYFUNCTION("""COMPUTED_VALUE"""),-0.74953700270945)</f>
        <v>-0.74953700270945001</v>
      </c>
      <c r="GU125" s="3">
        <f ca="1">IFERROR(__xludf.DUMMYFUNCTION("""COMPUTED_VALUE"""),-0.778311006796269)</f>
        <v>-0.77831100679626897</v>
      </c>
      <c r="GV125" s="3">
        <f ca="1">IFERROR(__xludf.DUMMYFUNCTION("""COMPUTED_VALUE"""),-0.778062751556548)</f>
        <v>-0.77806275155654803</v>
      </c>
      <c r="GW125" s="3">
        <f ca="1">IFERROR(__xludf.DUMMYFUNCTION("""COMPUTED_VALUE"""),-0.782226566564471)</f>
        <v>-0.78222656656447098</v>
      </c>
      <c r="GX125" s="3">
        <f ca="1">IFERROR(__xludf.DUMMYFUNCTION("""COMPUTED_VALUE"""),-0.728927939639016)</f>
        <v>-0.72892793963901603</v>
      </c>
      <c r="GY125" s="3">
        <f ca="1">IFERROR(__xludf.DUMMYFUNCTION("""COMPUTED_VALUE"""),-0.672572627150556)</f>
        <v>-0.67257262715055599</v>
      </c>
      <c r="GZ125" s="3">
        <f ca="1">IFERROR(__xludf.DUMMYFUNCTION("""COMPUTED_VALUE"""),-0.667765505512003)</f>
        <v>-0.66776550551200298</v>
      </c>
      <c r="HA125" s="3">
        <f ca="1">IFERROR(__xludf.DUMMYFUNCTION("""COMPUTED_VALUE"""),-0.767969753280273)</f>
        <v>-0.76796975328027295</v>
      </c>
      <c r="HB125" s="3">
        <f ca="1">IFERROR(__xludf.DUMMYFUNCTION("""COMPUTED_VALUE"""),-0.782593256900862)</f>
        <v>-0.78259325690086201</v>
      </c>
      <c r="HC125" s="3">
        <f ca="1">IFERROR(__xludf.DUMMYFUNCTION("""COMPUTED_VALUE"""),-0.774828709436278)</f>
        <v>-0.77482870943627802</v>
      </c>
      <c r="HD125" s="3">
        <f ca="1">IFERROR(__xludf.DUMMYFUNCTION("""COMPUTED_VALUE"""),-0.770821989327358)</f>
        <v>-0.77082198932735801</v>
      </c>
      <c r="HE125" s="3">
        <f ca="1">IFERROR(__xludf.DUMMYFUNCTION("""COMPUTED_VALUE"""),-0.755346664238363)</f>
        <v>-0.75534666423836305</v>
      </c>
      <c r="HF125" s="3">
        <f ca="1">IFERROR(__xludf.DUMMYFUNCTION("""COMPUTED_VALUE"""),-0.678395371077617)</f>
        <v>-0.67839537107761705</v>
      </c>
      <c r="HG125" s="3">
        <f ca="1">IFERROR(__xludf.DUMMYFUNCTION("""COMPUTED_VALUE"""),-0.705429945890822)</f>
        <v>-0.70542994589082197</v>
      </c>
      <c r="HH125" s="3">
        <f ca="1">IFERROR(__xludf.DUMMYFUNCTION("""COMPUTED_VALUE"""),-0.776600874896564)</f>
        <v>-0.77660087489656404</v>
      </c>
      <c r="HI125" s="3">
        <f ca="1">IFERROR(__xludf.DUMMYFUNCTION("""COMPUTED_VALUE"""),-0.785489887467215)</f>
        <v>-0.78548988746721504</v>
      </c>
      <c r="HJ125" s="3">
        <f ca="1">IFERROR(__xludf.DUMMYFUNCTION("""COMPUTED_VALUE"""),-0.786730055409072)</f>
        <v>-0.78673005540907204</v>
      </c>
      <c r="HK125" s="3">
        <f ca="1">IFERROR(__xludf.DUMMYFUNCTION("""COMPUTED_VALUE"""),-0.753932268842784)</f>
        <v>-0.75393226884278397</v>
      </c>
      <c r="HL125" s="3">
        <f ca="1">IFERROR(__xludf.DUMMYFUNCTION("""COMPUTED_VALUE"""),-0.679963858933396)</f>
        <v>-0.67996385893339595</v>
      </c>
      <c r="HM125" s="3">
        <f ca="1">IFERROR(__xludf.DUMMYFUNCTION("""COMPUTED_VALUE"""),-0.649068309315005)</f>
        <v>-0.64906830931500503</v>
      </c>
      <c r="HN125" s="3">
        <f ca="1">IFERROR(__xludf.DUMMYFUNCTION("""COMPUTED_VALUE"""),-0.646213405732596)</f>
        <v>-0.646213405732596</v>
      </c>
      <c r="HO125" s="3">
        <f ca="1">IFERROR(__xludf.DUMMYFUNCTION("""COMPUTED_VALUE"""),-0.752221996116629)</f>
        <v>-0.75222199611662899</v>
      </c>
      <c r="HP125" s="3">
        <f ca="1">IFERROR(__xludf.DUMMYFUNCTION("""COMPUTED_VALUE"""),-0.766565228149919)</f>
        <v>-0.76656522814991901</v>
      </c>
      <c r="HQ125" s="3">
        <f ca="1">IFERROR(__xludf.DUMMYFUNCTION("""COMPUTED_VALUE"""),-0.756975457397085)</f>
        <v>-0.75697545739708505</v>
      </c>
      <c r="HR125" s="3">
        <f ca="1">IFERROR(__xludf.DUMMYFUNCTION("""COMPUTED_VALUE"""),-0.789633478639038)</f>
        <v>-0.78963347863903799</v>
      </c>
      <c r="HS125" s="3">
        <f ca="1">IFERROR(__xludf.DUMMYFUNCTION("""COMPUTED_VALUE"""),-0.746908260605891)</f>
        <v>-0.74690826060589099</v>
      </c>
      <c r="HT125" s="3">
        <f ca="1">IFERROR(__xludf.DUMMYFUNCTION("""COMPUTED_VALUE"""),-0.700465893268161)</f>
        <v>-0.700465893268161</v>
      </c>
      <c r="HU125" s="3">
        <f ca="1">IFERROR(__xludf.DUMMYFUNCTION("""COMPUTED_VALUE"""),-0.676339358267676)</f>
        <v>-0.67633935826767599</v>
      </c>
      <c r="HV125" s="3">
        <f ca="1">IFERROR(__xludf.DUMMYFUNCTION("""COMPUTED_VALUE"""),-0.747554853721933)</f>
        <v>-0.74755485372193298</v>
      </c>
      <c r="HW125" s="3">
        <f ca="1">IFERROR(__xludf.DUMMYFUNCTION("""COMPUTED_VALUE"""),-0.760006345086402)</f>
        <v>-0.76000634508640197</v>
      </c>
      <c r="HX125" s="3">
        <f ca="1">IFERROR(__xludf.DUMMYFUNCTION("""COMPUTED_VALUE"""),-0.765498613085496)</f>
        <v>-0.76549861308549605</v>
      </c>
      <c r="HY125" s="3">
        <f ca="1">IFERROR(__xludf.DUMMYFUNCTION("""COMPUTED_VALUE"""),-0.740770138117396)</f>
        <v>-0.740770138117396</v>
      </c>
      <c r="HZ125" s="3">
        <f ca="1">IFERROR(__xludf.DUMMYFUNCTION("""COMPUTED_VALUE"""),-0.718399999303475)</f>
        <v>-0.71839999930347498</v>
      </c>
      <c r="IA125" s="3">
        <f ca="1">IFERROR(__xludf.DUMMYFUNCTION("""COMPUTED_VALUE"""),-0.662803242522957)</f>
        <v>-0.66280324252295697</v>
      </c>
      <c r="IB125" s="3">
        <f ca="1">IFERROR(__xludf.DUMMYFUNCTION("""COMPUTED_VALUE"""),-0.657024810491331)</f>
        <v>-0.65702481049133099</v>
      </c>
      <c r="IC125" s="3">
        <f ca="1">IFERROR(__xludf.DUMMYFUNCTION("""COMPUTED_VALUE"""),-0.729990620743163)</f>
        <v>-0.72999062074316301</v>
      </c>
      <c r="ID125" s="3">
        <f ca="1">IFERROR(__xludf.DUMMYFUNCTION("""COMPUTED_VALUE"""),-0.739520473080386)</f>
        <v>-0.73952047308038604</v>
      </c>
      <c r="IE125" s="3">
        <f ca="1">IFERROR(__xludf.DUMMYFUNCTION("""COMPUTED_VALUE"""),-0.737932843399164)</f>
        <v>-0.73793284339916398</v>
      </c>
      <c r="IF125" s="3">
        <f ca="1">IFERROR(__xludf.DUMMYFUNCTION("""COMPUTED_VALUE"""),-0.722947327586246)</f>
        <v>-0.72294732758624602</v>
      </c>
      <c r="IG125" s="3">
        <f ca="1">IFERROR(__xludf.DUMMYFUNCTION("""COMPUTED_VALUE"""),-0.716760579058017)</f>
        <v>-0.71676057905801704</v>
      </c>
      <c r="IH125" s="3">
        <f ca="1">IFERROR(__xludf.DUMMYFUNCTION("""COMPUTED_VALUE"""),-0.665253509402431)</f>
        <v>-0.665253509402431</v>
      </c>
      <c r="II125" s="3">
        <f ca="1">IFERROR(__xludf.DUMMYFUNCTION("""COMPUTED_VALUE"""),-0.615765975902994)</f>
        <v>-0.61576597590299398</v>
      </c>
      <c r="IJ125" s="3">
        <f ca="1">IFERROR(__xludf.DUMMYFUNCTION("""COMPUTED_VALUE"""),-0.702206861750082)</f>
        <v>-0.70220686175008196</v>
      </c>
      <c r="IK125" s="3">
        <f ca="1">IFERROR(__xludf.DUMMYFUNCTION("""COMPUTED_VALUE"""),-0.724189971174156)</f>
        <v>-0.72418997117415596</v>
      </c>
      <c r="IL125" s="3">
        <f ca="1">IFERROR(__xludf.DUMMYFUNCTION("""COMPUTED_VALUE"""),-0.717423770149682)</f>
        <v>-0.71742377014968195</v>
      </c>
      <c r="IM125" s="3">
        <f ca="1">IFERROR(__xludf.DUMMYFUNCTION("""COMPUTED_VALUE"""),-0.718853454577587)</f>
        <v>-0.71885345457758698</v>
      </c>
      <c r="IN125" s="3">
        <f ca="1">IFERROR(__xludf.DUMMYFUNCTION("""COMPUTED_VALUE"""),-0.690911851076726)</f>
        <v>-0.69091185107672604</v>
      </c>
      <c r="IO125" s="3">
        <f ca="1">IFERROR(__xludf.DUMMYFUNCTION("""COMPUTED_VALUE"""),-0.674767135483682)</f>
        <v>-0.67476713548368195</v>
      </c>
      <c r="IP125" s="3">
        <f ca="1">IFERROR(__xludf.DUMMYFUNCTION("""COMPUTED_VALUE"""),-0.65603755809928)</f>
        <v>-0.65603755809927999</v>
      </c>
      <c r="IQ125" s="3">
        <f ca="1">IFERROR(__xludf.DUMMYFUNCTION("""COMPUTED_VALUE"""),-0.703529767832629)</f>
        <v>-0.70352976783262899</v>
      </c>
      <c r="IR125" s="3">
        <f ca="1">IFERROR(__xludf.DUMMYFUNCTION("""COMPUTED_VALUE"""),-0.742342724841119)</f>
        <v>-0.74234272484111896</v>
      </c>
      <c r="IS125" s="3">
        <f ca="1">IFERROR(__xludf.DUMMYFUNCTION("""COMPUTED_VALUE"""),-0.734340688455538)</f>
        <v>-0.73434068845553802</v>
      </c>
      <c r="IT125" s="3">
        <f ca="1">IFERROR(__xludf.DUMMYFUNCTION("""COMPUTED_VALUE"""),-0.716099626688428)</f>
        <v>-0.71609962668842797</v>
      </c>
      <c r="IU125" s="3">
        <f ca="1">IFERROR(__xludf.DUMMYFUNCTION("""COMPUTED_VALUE"""),-0.681692804612972)</f>
        <v>-0.68169280461297199</v>
      </c>
      <c r="IV125" s="3">
        <f ca="1">IFERROR(__xludf.DUMMYFUNCTION("""COMPUTED_VALUE"""),-0.668564139625398)</f>
        <v>-0.66856413962539796</v>
      </c>
      <c r="IW125" s="3">
        <f ca="1">IFERROR(__xludf.DUMMYFUNCTION("""COMPUTED_VALUE"""),-0.679145542021522)</f>
        <v>-0.679145542021522</v>
      </c>
      <c r="IX125" s="3">
        <f ca="1">IFERROR(__xludf.DUMMYFUNCTION("""COMPUTED_VALUE"""),-0.713544057845566)</f>
        <v>-0.71354405784556596</v>
      </c>
      <c r="IY125" s="3">
        <f ca="1">IFERROR(__xludf.DUMMYFUNCTION("""COMPUTED_VALUE"""),-0.725244050433557)</f>
        <v>-0.725244050433557</v>
      </c>
      <c r="IZ125" s="3">
        <f ca="1">IFERROR(__xludf.DUMMYFUNCTION("""COMPUTED_VALUE"""),-0.722501237111297)</f>
        <v>-0.72250123711129699</v>
      </c>
      <c r="JA125" s="3">
        <f ca="1">IFERROR(__xludf.DUMMYFUNCTION("""COMPUTED_VALUE"""),-0.681518235171578)</f>
        <v>-0.68151823517157795</v>
      </c>
      <c r="JB125" s="3">
        <f ca="1">IFERROR(__xludf.DUMMYFUNCTION("""COMPUTED_VALUE"""),-0.694535408299446)</f>
        <v>-0.69453540829944604</v>
      </c>
      <c r="JC125" s="3">
        <f ca="1">IFERROR(__xludf.DUMMYFUNCTION("""COMPUTED_VALUE"""),-0.691978577503486)</f>
        <v>-0.69197857750348601</v>
      </c>
      <c r="JD125" s="3">
        <f ca="1">IFERROR(__xludf.DUMMYFUNCTION("""COMPUTED_VALUE"""),-0.660684058001535)</f>
        <v>-0.66068405800153496</v>
      </c>
      <c r="JE125" s="3">
        <f ca="1">IFERROR(__xludf.DUMMYFUNCTION("""COMPUTED_VALUE"""),-0.728709667380711)</f>
        <v>-0.72870966738071097</v>
      </c>
      <c r="JF125" s="3">
        <f ca="1">IFERROR(__xludf.DUMMYFUNCTION("""COMPUTED_VALUE"""),-0.719032525260419)</f>
        <v>-0.71903252526041905</v>
      </c>
      <c r="JG125" s="3">
        <f ca="1">IFERROR(__xludf.DUMMYFUNCTION("""COMPUTED_VALUE"""),-0.708152737865496)</f>
        <v>-0.70815273786549604</v>
      </c>
      <c r="JH125" s="3">
        <f ca="1">IFERROR(__xludf.DUMMYFUNCTION("""COMPUTED_VALUE"""),-0.704650072093595)</f>
        <v>-0.70465007209359498</v>
      </c>
      <c r="JI125" s="3">
        <f ca="1">IFERROR(__xludf.DUMMYFUNCTION("""COMPUTED_VALUE"""),-0.690070935433753)</f>
        <v>-0.69007093543375297</v>
      </c>
      <c r="JJ125" s="3">
        <f ca="1">IFERROR(__xludf.DUMMYFUNCTION("""COMPUTED_VALUE"""),-0.683089599938195)</f>
        <v>-0.68308959993819496</v>
      </c>
      <c r="JK125" s="3">
        <f ca="1">IFERROR(__xludf.DUMMYFUNCTION("""COMPUTED_VALUE"""),-0.685413534716452)</f>
        <v>-0.68541353471645206</v>
      </c>
      <c r="JL125" s="3">
        <f ca="1">IFERROR(__xludf.DUMMYFUNCTION("""COMPUTED_VALUE"""),-0.685415529196847)</f>
        <v>-0.68541552919684701</v>
      </c>
      <c r="JM125" s="3">
        <f ca="1">IFERROR(__xludf.DUMMYFUNCTION("""COMPUTED_VALUE"""),-0.706972942236922)</f>
        <v>-0.70697294223692198</v>
      </c>
      <c r="JN125" s="3">
        <f ca="1">IFERROR(__xludf.DUMMYFUNCTION("""COMPUTED_VALUE"""),-0.702581371619692)</f>
        <v>-0.70258137161969203</v>
      </c>
      <c r="JO125" s="3">
        <f ca="1">IFERROR(__xludf.DUMMYFUNCTION("""COMPUTED_VALUE"""),-0.715426868597674)</f>
        <v>-0.71542686859767401</v>
      </c>
      <c r="JP125" s="3">
        <f ca="1">IFERROR(__xludf.DUMMYFUNCTION("""COMPUTED_VALUE"""),-0.663401263948409)</f>
        <v>-0.66340126394840904</v>
      </c>
      <c r="JQ125" s="3">
        <f ca="1">IFERROR(__xludf.DUMMYFUNCTION("""COMPUTED_VALUE"""),-0.627214415620694)</f>
        <v>-0.62721441562069402</v>
      </c>
      <c r="JR125" s="3">
        <f ca="1">IFERROR(__xludf.DUMMYFUNCTION("""COMPUTED_VALUE"""),-0.657696336963658)</f>
        <v>-0.65769633696365803</v>
      </c>
      <c r="JS125" s="3">
        <f ca="1">IFERROR(__xludf.DUMMYFUNCTION("""COMPUTED_VALUE"""),-0.699829726776413)</f>
        <v>-0.69982972677641297</v>
      </c>
      <c r="JT125" s="3">
        <f ca="1">IFERROR(__xludf.DUMMYFUNCTION("""COMPUTED_VALUE"""),-0.708350342643256)</f>
        <v>-0.70835034264325603</v>
      </c>
      <c r="JU125" s="3">
        <f ca="1">IFERROR(__xludf.DUMMYFUNCTION("""COMPUTED_VALUE"""),-0.699978082934209)</f>
        <v>-0.69997808293420904</v>
      </c>
      <c r="JV125" s="3">
        <f ca="1">IFERROR(__xludf.DUMMYFUNCTION("""COMPUTED_VALUE"""),-0.710695027409234)</f>
        <v>-0.71069502740923396</v>
      </c>
      <c r="JW125" s="3">
        <f ca="1">IFERROR(__xludf.DUMMYFUNCTION("""COMPUTED_VALUE"""),-0.679277037317239)</f>
        <v>-0.67927703731723899</v>
      </c>
      <c r="JX125" s="3">
        <f ca="1">IFERROR(__xludf.DUMMYFUNCTION("""COMPUTED_VALUE"""),-0.683140917887792)</f>
        <v>-0.68314091788779197</v>
      </c>
      <c r="JY125" s="3">
        <f ca="1">IFERROR(__xludf.DUMMYFUNCTION("""COMPUTED_VALUE"""),-0.685374901162853)</f>
        <v>-0.68537490116285305</v>
      </c>
      <c r="JZ125" s="3">
        <f ca="1">IFERROR(__xludf.DUMMYFUNCTION("""COMPUTED_VALUE"""),-0.681250453743498)</f>
        <v>-0.68125045374349802</v>
      </c>
      <c r="KA125" s="3">
        <f ca="1">IFERROR(__xludf.DUMMYFUNCTION("""COMPUTED_VALUE"""),-0.695958966135221)</f>
        <v>-0.69595896613522101</v>
      </c>
      <c r="KB125" s="3">
        <f ca="1">IFERROR(__xludf.DUMMYFUNCTION("""COMPUTED_VALUE"""),-0.715642769136635)</f>
        <v>-0.71564276913663505</v>
      </c>
      <c r="KC125" s="3">
        <f ca="1">IFERROR(__xludf.DUMMYFUNCTION("""COMPUTED_VALUE"""),-0.710034135850994)</f>
        <v>-0.71003413585099395</v>
      </c>
      <c r="KD125" s="3">
        <f ca="1">IFERROR(__xludf.DUMMYFUNCTION("""COMPUTED_VALUE"""),-0.687071251025443)</f>
        <v>-0.68707125102544298</v>
      </c>
      <c r="KE125" s="3">
        <f ca="1">IFERROR(__xludf.DUMMYFUNCTION("""COMPUTED_VALUE"""),-0.668615719700952)</f>
        <v>-0.66861571970095202</v>
      </c>
      <c r="KF125" s="3">
        <f ca="1">IFERROR(__xludf.DUMMYFUNCTION("""COMPUTED_VALUE"""),-0.654545620210707)</f>
        <v>-0.65454562021070695</v>
      </c>
      <c r="KG125" s="3">
        <f ca="1">IFERROR(__xludf.DUMMYFUNCTION("""COMPUTED_VALUE"""),-0.693008958025382)</f>
        <v>-0.69300895802538198</v>
      </c>
      <c r="KH125" s="3">
        <f ca="1">IFERROR(__xludf.DUMMYFUNCTION("""COMPUTED_VALUE"""),-0.714992618735475)</f>
        <v>-0.71499261873547504</v>
      </c>
      <c r="KI125" s="3">
        <f ca="1">IFERROR(__xludf.DUMMYFUNCTION("""COMPUTED_VALUE"""),-0.730736885522818)</f>
        <v>-0.73073688552281801</v>
      </c>
      <c r="KJ125" s="3">
        <f ca="1">IFERROR(__xludf.DUMMYFUNCTION("""COMPUTED_VALUE"""),-0.740582745363241)</f>
        <v>-0.74058274536324098</v>
      </c>
      <c r="KK125" s="3">
        <f ca="1">IFERROR(__xludf.DUMMYFUNCTION("""COMPUTED_VALUE"""),-0.71700811616115)</f>
        <v>-0.71700811616115001</v>
      </c>
      <c r="KL125" s="3">
        <f ca="1">IFERROR(__xludf.DUMMYFUNCTION("""COMPUTED_VALUE"""),-0.712638365793228)</f>
        <v>-0.71263836579322803</v>
      </c>
      <c r="KM125" s="3">
        <f ca="1">IFERROR(__xludf.DUMMYFUNCTION("""COMPUTED_VALUE"""),-0.689681751531882)</f>
        <v>-0.68968175153188205</v>
      </c>
      <c r="KN125" s="3">
        <f ca="1">IFERROR(__xludf.DUMMYFUNCTION("""COMPUTED_VALUE"""),-0.709319247615789)</f>
        <v>-0.70931924761578902</v>
      </c>
      <c r="KO125" s="3">
        <f ca="1">IFERROR(__xludf.DUMMYFUNCTION("""COMPUTED_VALUE"""),-0.701920447303382)</f>
        <v>-0.70192044730338199</v>
      </c>
      <c r="KP125" s="3">
        <f ca="1">IFERROR(__xludf.DUMMYFUNCTION("""COMPUTED_VALUE"""),-0.72228412661726)</f>
        <v>-0.72228412661726005</v>
      </c>
      <c r="KQ125" s="3">
        <f ca="1">IFERROR(__xludf.DUMMYFUNCTION("""COMPUTED_VALUE"""),-0.737102813875014)</f>
        <v>-0.73710281387501397</v>
      </c>
      <c r="KR125" s="3">
        <f ca="1">IFERROR(__xludf.DUMMYFUNCTION("""COMPUTED_VALUE"""),-0.70505421216405)</f>
        <v>-0.70505421216404995</v>
      </c>
      <c r="KS125" s="3">
        <f ca="1">IFERROR(__xludf.DUMMYFUNCTION("""COMPUTED_VALUE"""),-0.681352054052853)</f>
        <v>-0.68135205405285304</v>
      </c>
      <c r="KT125" s="3">
        <f ca="1">IFERROR(__xludf.DUMMYFUNCTION("""COMPUTED_VALUE"""),-0.671263059939444)</f>
        <v>-0.67126305993944402</v>
      </c>
      <c r="KU125" s="3">
        <f ca="1">IFERROR(__xludf.DUMMYFUNCTION("""COMPUTED_VALUE"""),-0.754325322823608)</f>
        <v>-0.75432532282360798</v>
      </c>
      <c r="KV125" s="3">
        <f ca="1">IFERROR(__xludf.DUMMYFUNCTION("""COMPUTED_VALUE"""),-0.773396943016731)</f>
        <v>-0.77339694301673101</v>
      </c>
      <c r="KW125" s="3">
        <f ca="1">IFERROR(__xludf.DUMMYFUNCTION("""COMPUTED_VALUE"""),-0.75595887142189)</f>
        <v>-0.75595887142189</v>
      </c>
      <c r="KX125" s="3">
        <f ca="1">IFERROR(__xludf.DUMMYFUNCTION("""COMPUTED_VALUE"""),-0.770981986406666)</f>
        <v>-0.77098198640666604</v>
      </c>
      <c r="KY125" s="3">
        <f ca="1">IFERROR(__xludf.DUMMYFUNCTION("""COMPUTED_VALUE"""),-0.753468005726052)</f>
        <v>-0.75346800572605199</v>
      </c>
      <c r="KZ125" s="3">
        <f ca="1">IFERROR(__xludf.DUMMYFUNCTION("""COMPUTED_VALUE"""),-0.711212293869021)</f>
        <v>-0.71121229386902096</v>
      </c>
      <c r="LA125" s="3">
        <f ca="1">IFERROR(__xludf.DUMMYFUNCTION("""COMPUTED_VALUE"""),-0.730570415201298)</f>
        <v>-0.73057041520129795</v>
      </c>
      <c r="LB125" s="3">
        <f ca="1">IFERROR(__xludf.DUMMYFUNCTION("""COMPUTED_VALUE"""),-0.76606609806989)</f>
        <v>-0.76606609806989001</v>
      </c>
      <c r="LC125" s="3">
        <f ca="1">IFERROR(__xludf.DUMMYFUNCTION("""COMPUTED_VALUE"""),-0.786518263953797)</f>
        <v>-0.78651826395379698</v>
      </c>
      <c r="LD125" s="3">
        <f ca="1">IFERROR(__xludf.DUMMYFUNCTION("""COMPUTED_VALUE"""),-0.771611408500398)</f>
        <v>-0.771611408500398</v>
      </c>
      <c r="LE125" s="3">
        <f ca="1">IFERROR(__xludf.DUMMYFUNCTION("""COMPUTED_VALUE"""),-0.779777091682473)</f>
        <v>-0.779777091682473</v>
      </c>
      <c r="LF125" s="3">
        <f ca="1">IFERROR(__xludf.DUMMYFUNCTION("""COMPUTED_VALUE"""),-0.723689899381295)</f>
        <v>-0.72368989938129502</v>
      </c>
      <c r="LG125" s="3">
        <f ca="1">IFERROR(__xludf.DUMMYFUNCTION("""COMPUTED_VALUE"""),-0.714052642464368)</f>
        <v>-0.71405264246436795</v>
      </c>
      <c r="LH125" s="3">
        <f ca="1">IFERROR(__xludf.DUMMYFUNCTION("""COMPUTED_VALUE"""),-0.759073653894489)</f>
        <v>-0.759073653894489</v>
      </c>
      <c r="LI125" s="3">
        <f ca="1">IFERROR(__xludf.DUMMYFUNCTION("""COMPUTED_VALUE"""),-0.793611636026492)</f>
        <v>-0.79361163602649198</v>
      </c>
      <c r="LJ125" s="3">
        <f ca="1">IFERROR(__xludf.DUMMYFUNCTION("""COMPUTED_VALUE"""),-0.813967543004234)</f>
        <v>-0.81396754300423402</v>
      </c>
      <c r="LK125" s="3">
        <f ca="1">IFERROR(__xludf.DUMMYFUNCTION("""COMPUTED_VALUE"""),-0.794494892898465)</f>
        <v>-0.79449489289846498</v>
      </c>
      <c r="LL125" s="3">
        <f ca="1">IFERROR(__xludf.DUMMYFUNCTION("""COMPUTED_VALUE"""),-0.791008503068559)</f>
        <v>-0.79100850306855897</v>
      </c>
      <c r="LM125" s="3">
        <f ca="1">IFERROR(__xludf.DUMMYFUNCTION("""COMPUTED_VALUE"""),-0.753824275657869)</f>
        <v>-0.75382427565786903</v>
      </c>
      <c r="LN125" s="3">
        <f ca="1">IFERROR(__xludf.DUMMYFUNCTION("""COMPUTED_VALUE"""),-0.756392259932589)</f>
        <v>-0.75639225993258896</v>
      </c>
      <c r="LO125" s="3">
        <f ca="1">IFERROR(__xludf.DUMMYFUNCTION("""COMPUTED_VALUE"""),-0.756983338772597)</f>
        <v>-0.75698333877259705</v>
      </c>
      <c r="LP125" s="3">
        <f ca="1">IFERROR(__xludf.DUMMYFUNCTION("""COMPUTED_VALUE"""),-0.798978246688508)</f>
        <v>-0.79897824668850803</v>
      </c>
      <c r="LQ125" s="3">
        <f ca="1">IFERROR(__xludf.DUMMYFUNCTION("""COMPUTED_VALUE"""),-0.815433248866721)</f>
        <v>-0.81543324886672097</v>
      </c>
      <c r="LR125" s="3">
        <f ca="1">IFERROR(__xludf.DUMMYFUNCTION("""COMPUTED_VALUE"""),-0.824618529100945)</f>
        <v>-0.82461852910094502</v>
      </c>
      <c r="LS125" s="3">
        <f ca="1">IFERROR(__xludf.DUMMYFUNCTION("""COMPUTED_VALUE"""),-0.798274509595059)</f>
        <v>-0.79827450959505897</v>
      </c>
      <c r="LT125" s="3">
        <f ca="1">IFERROR(__xludf.DUMMYFUNCTION("""COMPUTED_VALUE"""),-0.76942988456354)</f>
        <v>-0.76942988456354</v>
      </c>
      <c r="LU125" s="3">
        <f ca="1">IFERROR(__xludf.DUMMYFUNCTION("""COMPUTED_VALUE"""),-0.772993161647145)</f>
        <v>-0.77299316164714504</v>
      </c>
      <c r="LV125" s="3">
        <f ca="1">IFERROR(__xludf.DUMMYFUNCTION("""COMPUTED_VALUE"""),-0.759016504272304)</f>
        <v>-0.75901650427230405</v>
      </c>
      <c r="LW125" s="3">
        <f ca="1">IFERROR(__xludf.DUMMYFUNCTION("""COMPUTED_VALUE"""),-0.808271122749902)</f>
        <v>-0.80827112274990198</v>
      </c>
      <c r="LX125" s="3">
        <f ca="1">IFERROR(__xludf.DUMMYFUNCTION("""COMPUTED_VALUE"""),-0.841825272299021)</f>
        <v>-0.84182527229902104</v>
      </c>
      <c r="LY125" s="3">
        <f ca="1">IFERROR(__xludf.DUMMYFUNCTION("""COMPUTED_VALUE"""),-0.832873684753428)</f>
        <v>-0.83287368475342805</v>
      </c>
      <c r="LZ125" s="3">
        <f ca="1">IFERROR(__xludf.DUMMYFUNCTION("""COMPUTED_VALUE"""),-0.816427892440389)</f>
        <v>-0.81642789244038905</v>
      </c>
      <c r="MA125" s="3">
        <f ca="1">IFERROR(__xludf.DUMMYFUNCTION("""COMPUTED_VALUE"""),-0.807944066005836)</f>
        <v>-0.80794406600583601</v>
      </c>
      <c r="MB125" s="3">
        <f ca="1">IFERROR(__xludf.DUMMYFUNCTION("""COMPUTED_VALUE"""),-0.782421536720762)</f>
        <v>-0.78242153672076198</v>
      </c>
      <c r="MC125" s="3">
        <f ca="1">IFERROR(__xludf.DUMMYFUNCTION("""COMPUTED_VALUE"""),-0.769647393128778)</f>
        <v>-0.76964739312877795</v>
      </c>
      <c r="MD125" s="3">
        <f ca="1">IFERROR(__xludf.DUMMYFUNCTION("""COMPUTED_VALUE"""),-0.809113888998355)</f>
        <v>-0.80911388899835501</v>
      </c>
      <c r="ME125" s="3">
        <f ca="1">IFERROR(__xludf.DUMMYFUNCTION("""COMPUTED_VALUE"""),-0.824952749904091)</f>
        <v>-0.82495274990409095</v>
      </c>
      <c r="MF125" s="3">
        <f ca="1">IFERROR(__xludf.DUMMYFUNCTION("""COMPUTED_VALUE"""),-0.817973099184873)</f>
        <v>-0.81797309918487304</v>
      </c>
      <c r="MG125" s="3">
        <f ca="1">IFERROR(__xludf.DUMMYFUNCTION("""COMPUTED_VALUE"""),-0.823403833433345)</f>
        <v>-0.823403833433345</v>
      </c>
      <c r="MH125" s="3">
        <f ca="1">IFERROR(__xludf.DUMMYFUNCTION("""COMPUTED_VALUE"""),-0.795699839417342)</f>
        <v>-0.79569983941734201</v>
      </c>
      <c r="MI125" s="3">
        <f ca="1">IFERROR(__xludf.DUMMYFUNCTION("""COMPUTED_VALUE"""),-0.789894080088666)</f>
        <v>-0.78989408008866602</v>
      </c>
      <c r="MJ125" s="3">
        <f ca="1">IFERROR(__xludf.DUMMYFUNCTION("""COMPUTED_VALUE"""),-0.801263583513367)</f>
        <v>-0.80126358351336702</v>
      </c>
      <c r="MK125" s="3">
        <f ca="1">IFERROR(__xludf.DUMMYFUNCTION("""COMPUTED_VALUE"""),-0.820304049800591)</f>
        <v>-0.82030404980059102</v>
      </c>
      <c r="ML125" s="3">
        <f ca="1">IFERROR(__xludf.DUMMYFUNCTION("""COMPUTED_VALUE"""),-0.822843098854466)</f>
        <v>-0.82284309885446605</v>
      </c>
      <c r="MM125" s="3">
        <f ca="1">IFERROR(__xludf.DUMMYFUNCTION("""COMPUTED_VALUE"""),-0.845716534577366)</f>
        <v>-0.84571653457736595</v>
      </c>
      <c r="MN125" s="3">
        <f ca="1">IFERROR(__xludf.DUMMYFUNCTION("""COMPUTED_VALUE"""),-0.826445865470951)</f>
        <v>-0.826445865470951</v>
      </c>
      <c r="MO125" s="3">
        <f ca="1">IFERROR(__xludf.DUMMYFUNCTION("""COMPUTED_VALUE"""),-0.792492821001724)</f>
        <v>-0.79249282100172402</v>
      </c>
      <c r="MP125" s="3">
        <f ca="1">IFERROR(__xludf.DUMMYFUNCTION("""COMPUTED_VALUE"""),-0.801248539862986)</f>
        <v>-0.80124853986298605</v>
      </c>
      <c r="MQ125" s="3">
        <f ca="1">IFERROR(__xludf.DUMMYFUNCTION("""COMPUTED_VALUE"""),-0.818814863781718)</f>
        <v>-0.81881486378171797</v>
      </c>
      <c r="MR125" s="3">
        <f ca="1">IFERROR(__xludf.DUMMYFUNCTION("""COMPUTED_VALUE"""),-0.835631300978179)</f>
        <v>-0.83563130097817895</v>
      </c>
      <c r="MS125" s="3">
        <f ca="1">IFERROR(__xludf.DUMMYFUNCTION("""COMPUTED_VALUE"""),-0.842881342959557)</f>
        <v>-0.84288134295955697</v>
      </c>
      <c r="MT125" s="3">
        <f ca="1">IFERROR(__xludf.DUMMYFUNCTION("""COMPUTED_VALUE"""),-0.851528625282019)</f>
        <v>-0.851528625282019</v>
      </c>
      <c r="MU125" s="3">
        <f ca="1">IFERROR(__xludf.DUMMYFUNCTION("""COMPUTED_VALUE"""),-0.821500708324623)</f>
        <v>-0.82150070832462296</v>
      </c>
      <c r="MV125" s="3">
        <f ca="1">IFERROR(__xludf.DUMMYFUNCTION("""COMPUTED_VALUE"""),-0.805343874434909)</f>
        <v>-0.80534387443490896</v>
      </c>
      <c r="MW125" s="3">
        <f ca="1">IFERROR(__xludf.DUMMYFUNCTION("""COMPUTED_VALUE"""),-0.799773538701335)</f>
        <v>-0.79977353870133505</v>
      </c>
      <c r="MX125" s="3">
        <f ca="1">IFERROR(__xludf.DUMMYFUNCTION("""COMPUTED_VALUE"""),-0.820149627190482)</f>
        <v>-0.82014962719048201</v>
      </c>
      <c r="MY125" s="3">
        <f ca="1">IFERROR(__xludf.DUMMYFUNCTION("""COMPUTED_VALUE"""),-0.831102025039371)</f>
        <v>-0.83110202503937103</v>
      </c>
      <c r="MZ125" s="3">
        <f ca="1">IFERROR(__xludf.DUMMYFUNCTION("""COMPUTED_VALUE"""),-0.841309733556272)</f>
        <v>-0.84130973355627203</v>
      </c>
      <c r="NA125" s="3">
        <f ca="1">IFERROR(__xludf.DUMMYFUNCTION("""COMPUTED_VALUE"""),-0.85116258908113)</f>
        <v>-0.85116258908112996</v>
      </c>
      <c r="NB125" s="3">
        <f ca="1">IFERROR(__xludf.DUMMYFUNCTION("""COMPUTED_VALUE"""),-0.830071715530679)</f>
        <v>-0.83007171553067904</v>
      </c>
      <c r="NC125" s="3">
        <f ca="1">IFERROR(__xludf.DUMMYFUNCTION("""COMPUTED_VALUE"""),-0.792744925557576)</f>
        <v>-0.79274492555757603</v>
      </c>
      <c r="ND125" s="3">
        <f ca="1">IFERROR(__xludf.DUMMYFUNCTION("""COMPUTED_VALUE"""),-0.80353909926723)</f>
        <v>-0.80353909926722999</v>
      </c>
      <c r="NE125" s="3">
        <f ca="1">IFERROR(__xludf.DUMMYFUNCTION("""COMPUTED_VALUE"""),-0.814697505645574)</f>
        <v>-0.81469750564557397</v>
      </c>
      <c r="NF125" s="3">
        <f ca="1">IFERROR(__xludf.DUMMYFUNCTION("""COMPUTED_VALUE"""),-0.823012031657163)</f>
        <v>-0.82301203165716297</v>
      </c>
      <c r="NG125" s="3">
        <f ca="1">IFERROR(__xludf.DUMMYFUNCTION("""COMPUTED_VALUE"""),-0.817397839238315)</f>
        <v>-0.81739783923831499</v>
      </c>
      <c r="NH125" s="3">
        <f ca="1">IFERROR(__xludf.DUMMYFUNCTION("""COMPUTED_VALUE"""),-0.788281082484666)</f>
        <v>-0.788281082484666</v>
      </c>
      <c r="NI125" s="3">
        <f ca="1">IFERROR(__xludf.DUMMYFUNCTION("""COMPUTED_VALUE"""),-0.828996073843501)</f>
        <v>-0.82899607384350105</v>
      </c>
      <c r="NJ125" s="3">
        <f ca="1">IFERROR(__xludf.DUMMYFUNCTION("""COMPUTED_VALUE"""),-0.823507481684584)</f>
        <v>-0.82350748168458399</v>
      </c>
      <c r="NK125" s="3">
        <f ca="1">IFERROR(__xludf.DUMMYFUNCTION("""COMPUTED_VALUE"""),-0.824967824838054)</f>
        <v>-0.82496782483805398</v>
      </c>
      <c r="NL125" s="3">
        <f ca="1">IFERROR(__xludf.DUMMYFUNCTION("""COMPUTED_VALUE"""),-0.795522657893652)</f>
        <v>-0.79552265789365195</v>
      </c>
      <c r="NM125" s="3">
        <f ca="1">IFERROR(__xludf.DUMMYFUNCTION("""COMPUTED_VALUE"""),-0.815982279505398)</f>
        <v>-0.81598227950539803</v>
      </c>
      <c r="NN125" s="3">
        <f ca="1">IFERROR(__xludf.DUMMYFUNCTION("""COMPUTED_VALUE"""),-0.819202662708178)</f>
        <v>-0.81920266270817799</v>
      </c>
      <c r="NO125" s="3">
        <f ca="1">IFERROR(__xludf.DUMMYFUNCTION("""COMPUTED_VALUE"""),-0.818347279959088)</f>
        <v>-0.81834727995908796</v>
      </c>
      <c r="NP125" s="3">
        <f ca="1">IFERROR(__xludf.DUMMYFUNCTION("""COMPUTED_VALUE"""),-0.810864980927367)</f>
        <v>-0.81086498092736703</v>
      </c>
      <c r="NQ125" s="3">
        <f ca="1">IFERROR(__xludf.DUMMYFUNCTION("""COMPUTED_VALUE"""),-0.78041040421948)</f>
        <v>-0.78041040421948005</v>
      </c>
      <c r="NR125" s="3">
        <f ca="1">IFERROR(__xludf.DUMMYFUNCTION("""COMPUTED_VALUE"""),-0.807866560085016)</f>
        <v>-0.80786656008501601</v>
      </c>
      <c r="NS125" s="3">
        <f ca="1">IFERROR(__xludf.DUMMYFUNCTION("""COMPUTED_VALUE"""),-0.822771365938273)</f>
        <v>-0.82277136593827305</v>
      </c>
      <c r="NT125" s="3">
        <f ca="1">IFERROR(__xludf.DUMMYFUNCTION("""COMPUTED_VALUE"""),-0.820634236003112)</f>
        <v>-0.82063423600311203</v>
      </c>
      <c r="NU125" s="3">
        <f ca="1">IFERROR(__xludf.DUMMYFUNCTION("""COMPUTED_VALUE"""),-0.836800327076398)</f>
        <v>-0.83680032707639795</v>
      </c>
      <c r="NV125" s="3">
        <f ca="1">IFERROR(__xludf.DUMMYFUNCTION("""COMPUTED_VALUE"""),-0.836350888399775)</f>
        <v>-0.83635088839977501</v>
      </c>
      <c r="NW125" s="3">
        <f ca="1">IFERROR(__xludf.DUMMYFUNCTION("""COMPUTED_VALUE"""),-0.801233400217725)</f>
        <v>-0.80123340021772504</v>
      </c>
      <c r="NX125" s="3">
        <f ca="1">IFERROR(__xludf.DUMMYFUNCTION("""COMPUTED_VALUE"""),-0.786854207198693)</f>
        <v>-0.78685420719869303</v>
      </c>
      <c r="NY125" s="3">
        <f ca="1">IFERROR(__xludf.DUMMYFUNCTION("""COMPUTED_VALUE"""),-0.771873496047577)</f>
        <v>-0.77187349604757705</v>
      </c>
      <c r="NZ125" s="3">
        <f ca="1">IFERROR(__xludf.DUMMYFUNCTION("""COMPUTED_VALUE"""),-0.777675821068011)</f>
        <v>-0.77767582106801103</v>
      </c>
      <c r="OA125" s="3">
        <f ca="1">IFERROR(__xludf.DUMMYFUNCTION("""COMPUTED_VALUE"""),-0.791519732916595)</f>
        <v>-0.79151973291659505</v>
      </c>
      <c r="OB125" s="3">
        <f ca="1">IFERROR(__xludf.DUMMYFUNCTION("""COMPUTED_VALUE"""),-0.80940114592864)</f>
        <v>-0.80940114592863999</v>
      </c>
      <c r="OC125" s="3">
        <f ca="1">IFERROR(__xludf.DUMMYFUNCTION("""COMPUTED_VALUE"""),-0.813020353328653)</f>
        <v>-0.81302035332865297</v>
      </c>
      <c r="OD125" s="3">
        <f ca="1">IFERROR(__xludf.DUMMYFUNCTION("""COMPUTED_VALUE"""),-0.764988956586445)</f>
        <v>-0.76498895658644495</v>
      </c>
      <c r="OE125" s="3">
        <f ca="1">IFERROR(__xludf.DUMMYFUNCTION("""COMPUTED_VALUE"""),-0.563932878599331)</f>
        <v>-0.56393287859933094</v>
      </c>
      <c r="OF125" s="3">
        <f ca="1">IFERROR(__xludf.DUMMYFUNCTION("""COMPUTED_VALUE"""),-0.463549113927896)</f>
        <v>-0.46354911392789599</v>
      </c>
      <c r="OG125" s="3">
        <f ca="1">IFERROR(__xludf.DUMMYFUNCTION("""COMPUTED_VALUE"""),-0.486773825704522)</f>
        <v>-0.48677382570452199</v>
      </c>
      <c r="OH125" s="3">
        <f ca="1">IFERROR(__xludf.DUMMYFUNCTION("""COMPUTED_VALUE"""),-0.381713994032065)</f>
        <v>-0.38171399403206502</v>
      </c>
      <c r="OI125" s="3">
        <f ca="1">IFERROR(__xludf.DUMMYFUNCTION("""COMPUTED_VALUE"""),-0.360172505364989)</f>
        <v>-0.36017250536498902</v>
      </c>
      <c r="OJ125" s="3">
        <f ca="1">IFERROR(__xludf.DUMMYFUNCTION("""COMPUTED_VALUE"""),-0.312547161177201)</f>
        <v>-0.31254716117720099</v>
      </c>
      <c r="OK125" s="3">
        <f ca="1">IFERROR(__xludf.DUMMYFUNCTION("""COMPUTED_VALUE"""),-0.266326208526254)</f>
        <v>-0.26632620852625399</v>
      </c>
      <c r="OL125" s="3">
        <f ca="1">IFERROR(__xludf.DUMMYFUNCTION("""COMPUTED_VALUE"""),-0.25410991016314)</f>
        <v>-0.25410991016314</v>
      </c>
      <c r="OM125" s="3">
        <f ca="1">IFERROR(__xludf.DUMMYFUNCTION("""COMPUTED_VALUE"""),-0.167129960141731)</f>
        <v>-0.16712996014173101</v>
      </c>
      <c r="ON125" s="3">
        <f ca="1">IFERROR(__xludf.DUMMYFUNCTION("""COMPUTED_VALUE"""),-0.185971107455408)</f>
        <v>-0.18597110745540801</v>
      </c>
      <c r="OO125" s="3">
        <f ca="1">IFERROR(__xludf.DUMMYFUNCTION("""COMPUTED_VALUE"""),-0.128194409185019)</f>
        <v>-0.12819440918501901</v>
      </c>
      <c r="OP125" s="3">
        <f ca="1">IFERROR(__xludf.DUMMYFUNCTION("""COMPUTED_VALUE"""),-0.1167816705704)</f>
        <v>-0.1167816705704</v>
      </c>
      <c r="OQ125" s="3">
        <f ca="1">IFERROR(__xludf.DUMMYFUNCTION("""COMPUTED_VALUE"""),-0.0303847333079722)</f>
        <v>-3.03847333079722E-2</v>
      </c>
      <c r="OR125" s="3">
        <f ca="1">IFERROR(__xludf.DUMMYFUNCTION("""COMPUTED_VALUE"""),-0.0617336772371461)</f>
        <v>-6.1733677237146102E-2</v>
      </c>
      <c r="OS125" s="3">
        <f ca="1">IFERROR(__xludf.DUMMYFUNCTION("""COMPUTED_VALUE"""),-0.0785503920843465)</f>
        <v>-7.8550392084346499E-2</v>
      </c>
      <c r="OT125" s="3">
        <f ca="1">IFERROR(__xludf.DUMMYFUNCTION("""COMPUTED_VALUE"""),0.0278674723451297)</f>
        <v>2.78674723451297E-2</v>
      </c>
      <c r="OU125" s="3">
        <f ca="1">IFERROR(__xludf.DUMMYFUNCTION("""COMPUTED_VALUE"""),0.0335894178896944)</f>
        <v>3.3589417889694398E-2</v>
      </c>
      <c r="OV125" s="3">
        <f ca="1">IFERROR(__xludf.DUMMYFUNCTION("""COMPUTED_VALUE"""),0.0159436891732405)</f>
        <v>1.5943689173240499E-2</v>
      </c>
      <c r="OW125" s="3">
        <f ca="1">IFERROR(__xludf.DUMMYFUNCTION("""COMPUTED_VALUE"""),-0.0360069619203538)</f>
        <v>-3.6006961920353797E-2</v>
      </c>
      <c r="OX125" s="3">
        <f ca="1">IFERROR(__xludf.DUMMYFUNCTION("""COMPUTED_VALUE"""),0.0350530485423876)</f>
        <v>3.5053048542387603E-2</v>
      </c>
      <c r="OY125" s="3">
        <f ca="1">IFERROR(__xludf.DUMMYFUNCTION("""COMPUTED_VALUE"""),-0.00680378364564748)</f>
        <v>-6.8037836456474798E-3</v>
      </c>
      <c r="OZ125" s="3">
        <f ca="1">IFERROR(__xludf.DUMMYFUNCTION("""COMPUTED_VALUE"""),-0.00454729165758249)</f>
        <v>-4.5472916575824904E-3</v>
      </c>
      <c r="PA125" s="3">
        <f ca="1">IFERROR(__xludf.DUMMYFUNCTION("""COMPUTED_VALUE"""),0.0382684260278718)</f>
        <v>3.8268426027871803E-2</v>
      </c>
      <c r="PB125" s="3">
        <f ca="1">IFERROR(__xludf.DUMMYFUNCTION("""COMPUTED_VALUE"""),0.0515449580676328)</f>
        <v>5.1544958067632797E-2</v>
      </c>
      <c r="PC125" s="3">
        <f ca="1">IFERROR(__xludf.DUMMYFUNCTION("""COMPUTED_VALUE"""),-0.0132315157689377)</f>
        <v>-1.3231515768937699E-2</v>
      </c>
      <c r="PD125" s="3">
        <f ca="1">IFERROR(__xludf.DUMMYFUNCTION("""COMPUTED_VALUE"""),-0.0919953040459535)</f>
        <v>-9.1995304045953505E-2</v>
      </c>
      <c r="PE125" s="3">
        <f ca="1">IFERROR(__xludf.DUMMYFUNCTION("""COMPUTED_VALUE"""),0.030719475015273)</f>
        <v>3.0719475015273001E-2</v>
      </c>
      <c r="PF125" s="3">
        <f ca="1">IFERROR(__xludf.DUMMYFUNCTION("""COMPUTED_VALUE"""),-0.00935170032255205)</f>
        <v>-9.3517003225520503E-3</v>
      </c>
      <c r="PG125" s="3">
        <f ca="1">IFERROR(__xludf.DUMMYFUNCTION("""COMPUTED_VALUE"""),-0.0906308564817723)</f>
        <v>-9.0630856481772298E-2</v>
      </c>
      <c r="PH125" s="3">
        <f ca="1">IFERROR(__xludf.DUMMYFUNCTION("""COMPUTED_VALUE"""),0.0509423899297241)</f>
        <v>5.0942389929724101E-2</v>
      </c>
      <c r="PI125" s="3">
        <f ca="1">IFERROR(__xludf.DUMMYFUNCTION("""COMPUTED_VALUE"""),0.0228884247972482)</f>
        <v>2.2888424797248199E-2</v>
      </c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</row>
    <row r="126" spans="1:477" ht="13">
      <c r="A126" s="1" t="str">
        <f ca="1">IFERROR(__xludf.DUMMYFUNCTION("""COMPUTED_VALUE"""),"AC Transit")</f>
        <v>AC Transit</v>
      </c>
      <c r="B126" s="1" t="str">
        <f ca="1">IFERROR(__xludf.DUMMYFUNCTION("""COMPUTED_VALUE"""),"SF Bay Area")</f>
        <v>SF Bay Area</v>
      </c>
      <c r="C126" s="1" t="str">
        <f ca="1">IFERROR(__xludf.DUMMYFUNCTION("""COMPUTED_VALUE"""),"United States")</f>
        <v>United States</v>
      </c>
      <c r="D126" s="1" t="str">
        <f ca="1">IFERROR(__xludf.DUMMYFUNCTION("""COMPUTED_VALUE"""),"California")</f>
        <v>California</v>
      </c>
      <c r="E126" s="3">
        <f ca="1">IFERROR(__xludf.DUMMYFUNCTION("""COMPUTED_VALUE"""),-0.717102205091667)</f>
        <v>-0.717102205091667</v>
      </c>
      <c r="F126" s="3">
        <f ca="1">IFERROR(__xludf.DUMMYFUNCTION("""COMPUTED_VALUE"""),-0.795182207501973)</f>
        <v>-0.79518220750197299</v>
      </c>
      <c r="G126" s="3">
        <f ca="1">IFERROR(__xludf.DUMMYFUNCTION("""COMPUTED_VALUE"""),-0.801285562495179)</f>
        <v>-0.80128556249517902</v>
      </c>
      <c r="H126" s="3">
        <f ca="1">IFERROR(__xludf.DUMMYFUNCTION("""COMPUTED_VALUE"""),-0.808724757010197)</f>
        <v>-0.80872475701019697</v>
      </c>
      <c r="I126" s="3">
        <f ca="1">IFERROR(__xludf.DUMMYFUNCTION("""COMPUTED_VALUE"""),-0.804876170142097)</f>
        <v>-0.804876170142097</v>
      </c>
      <c r="J126" s="3">
        <f ca="1">IFERROR(__xludf.DUMMYFUNCTION("""COMPUTED_VALUE"""),-0.80189730204709)</f>
        <v>-0.80189730204708998</v>
      </c>
      <c r="K126" s="3">
        <f ca="1">IFERROR(__xludf.DUMMYFUNCTION("""COMPUTED_VALUE"""),-0.732626911647517)</f>
        <v>-0.73262691164751703</v>
      </c>
      <c r="L126" s="3">
        <f ca="1">IFERROR(__xludf.DUMMYFUNCTION("""COMPUTED_VALUE"""),-0.71193896867372)</f>
        <v>-0.71193896867371997</v>
      </c>
      <c r="M126" s="3">
        <f ca="1">IFERROR(__xludf.DUMMYFUNCTION("""COMPUTED_VALUE"""),-0.769925270877803)</f>
        <v>-0.76992527087780305</v>
      </c>
      <c r="N126" s="3">
        <f ca="1">IFERROR(__xludf.DUMMYFUNCTION("""COMPUTED_VALUE"""),-0.791193044796722)</f>
        <v>-0.79119304479672203</v>
      </c>
      <c r="O126" s="3">
        <f ca="1">IFERROR(__xludf.DUMMYFUNCTION("""COMPUTED_VALUE"""),-0.807517356878929)</f>
        <v>-0.807517356878929</v>
      </c>
      <c r="P126" s="3">
        <f ca="1">IFERROR(__xludf.DUMMYFUNCTION("""COMPUTED_VALUE"""),-0.810638755642188)</f>
        <v>-0.81063875564218801</v>
      </c>
      <c r="Q126" s="3">
        <f ca="1">IFERROR(__xludf.DUMMYFUNCTION("""COMPUTED_VALUE"""),-0.808218982679672)</f>
        <v>-0.80821898267967196</v>
      </c>
      <c r="R126" s="3">
        <f ca="1">IFERROR(__xludf.DUMMYFUNCTION("""COMPUTED_VALUE"""),-0.678638427451181)</f>
        <v>-0.67863842745118097</v>
      </c>
      <c r="S126" s="3">
        <f ca="1">IFERROR(__xludf.DUMMYFUNCTION("""COMPUTED_VALUE"""),-0.699401665618766)</f>
        <v>-0.69940166561876604</v>
      </c>
      <c r="T126" s="3">
        <f ca="1">IFERROR(__xludf.DUMMYFUNCTION("""COMPUTED_VALUE"""),-0.790324273122519)</f>
        <v>-0.79032427312251896</v>
      </c>
      <c r="U126" s="3">
        <f ca="1">IFERROR(__xludf.DUMMYFUNCTION("""COMPUTED_VALUE"""),-0.808994094063584)</f>
        <v>-0.80899409406358402</v>
      </c>
      <c r="V126" s="3">
        <f ca="1">IFERROR(__xludf.DUMMYFUNCTION("""COMPUTED_VALUE"""),-0.817192276460112)</f>
        <v>-0.81719227646011205</v>
      </c>
      <c r="W126" s="3">
        <f ca="1">IFERROR(__xludf.DUMMYFUNCTION("""COMPUTED_VALUE"""),-0.819501677503114)</f>
        <v>-0.81950167750311398</v>
      </c>
      <c r="X126" s="3">
        <f ca="1">IFERROR(__xludf.DUMMYFUNCTION("""COMPUTED_VALUE"""),-0.806677431873687)</f>
        <v>-0.80667743187368701</v>
      </c>
      <c r="Y126" s="3">
        <f ca="1">IFERROR(__xludf.DUMMYFUNCTION("""COMPUTED_VALUE"""),-0.7103190937968)</f>
        <v>-0.71031909379680003</v>
      </c>
      <c r="Z126" s="3">
        <f ca="1">IFERROR(__xludf.DUMMYFUNCTION("""COMPUTED_VALUE"""),-0.713284414402741)</f>
        <v>-0.71328441440274104</v>
      </c>
      <c r="AA126" s="3">
        <f ca="1">IFERROR(__xludf.DUMMYFUNCTION("""COMPUTED_VALUE"""),-0.808274334046397)</f>
        <v>-0.80827433404639704</v>
      </c>
      <c r="AB126" s="3">
        <f ca="1">IFERROR(__xludf.DUMMYFUNCTION("""COMPUTED_VALUE"""),-0.852333557343355)</f>
        <v>-0.85233355734335503</v>
      </c>
      <c r="AC126" s="3">
        <f ca="1">IFERROR(__xludf.DUMMYFUNCTION("""COMPUTED_VALUE"""),-0.832178195676604)</f>
        <v>-0.832178195676604</v>
      </c>
      <c r="AD126" s="3">
        <f ca="1">IFERROR(__xludf.DUMMYFUNCTION("""COMPUTED_VALUE"""),-0.838300438877481)</f>
        <v>-0.83830043887748096</v>
      </c>
      <c r="AE126" s="3">
        <f ca="1">IFERROR(__xludf.DUMMYFUNCTION("""COMPUTED_VALUE"""),-0.840727372399845)</f>
        <v>-0.84072737239984496</v>
      </c>
      <c r="AF126" s="3">
        <f ca="1">IFERROR(__xludf.DUMMYFUNCTION("""COMPUTED_VALUE"""),-0.754747219428212)</f>
        <v>-0.75474721942821199</v>
      </c>
      <c r="AG126" s="3">
        <f ca="1">IFERROR(__xludf.DUMMYFUNCTION("""COMPUTED_VALUE"""),-0.749310323732657)</f>
        <v>-0.74931032373265705</v>
      </c>
      <c r="AH126" s="3">
        <f ca="1">IFERROR(__xludf.DUMMYFUNCTION("""COMPUTED_VALUE"""),-0.834441200017354)</f>
        <v>-0.834441200017354</v>
      </c>
      <c r="AI126" s="3">
        <f ca="1">IFERROR(__xludf.DUMMYFUNCTION("""COMPUTED_VALUE"""),-0.858175597311391)</f>
        <v>-0.85817559731139104</v>
      </c>
      <c r="AJ126" s="3">
        <f ca="1">IFERROR(__xludf.DUMMYFUNCTION("""COMPUTED_VALUE"""),-0.865399762698805)</f>
        <v>-0.86539976269880503</v>
      </c>
      <c r="AK126" s="3">
        <f ca="1">IFERROR(__xludf.DUMMYFUNCTION("""COMPUTED_VALUE"""),-0.858999484557215)</f>
        <v>-0.85899948455721498</v>
      </c>
      <c r="AL126" s="3">
        <f ca="1">IFERROR(__xludf.DUMMYFUNCTION("""COMPUTED_VALUE"""),-0.853875314579834)</f>
        <v>-0.85387531457983401</v>
      </c>
      <c r="AM126" s="3">
        <f ca="1">IFERROR(__xludf.DUMMYFUNCTION("""COMPUTED_VALUE"""),-0.771157792325612)</f>
        <v>-0.77115779232561199</v>
      </c>
      <c r="AN126" s="3">
        <f ca="1">IFERROR(__xludf.DUMMYFUNCTION("""COMPUTED_VALUE"""),-0.762979695733637)</f>
        <v>-0.762979695733637</v>
      </c>
      <c r="AO126" s="3">
        <f ca="1">IFERROR(__xludf.DUMMYFUNCTION("""COMPUTED_VALUE"""),-0.83875446307741)</f>
        <v>-0.83875446307740997</v>
      </c>
      <c r="AP126" s="3">
        <f ca="1">IFERROR(__xludf.DUMMYFUNCTION("""COMPUTED_VALUE"""),-0.849786736924834)</f>
        <v>-0.84978673692483397</v>
      </c>
      <c r="AQ126" s="3">
        <f ca="1">IFERROR(__xludf.DUMMYFUNCTION("""COMPUTED_VALUE"""),-0.852759296513791)</f>
        <v>-0.85275929651379101</v>
      </c>
      <c r="AR126" s="3">
        <f ca="1">IFERROR(__xludf.DUMMYFUNCTION("""COMPUTED_VALUE"""),-0.857662164728515)</f>
        <v>-0.85766216472851498</v>
      </c>
      <c r="AS126" s="3">
        <f ca="1">IFERROR(__xludf.DUMMYFUNCTION("""COMPUTED_VALUE"""),-0.846151615394206)</f>
        <v>-0.84615161539420602</v>
      </c>
      <c r="AT126" s="3">
        <f ca="1">IFERROR(__xludf.DUMMYFUNCTION("""COMPUTED_VALUE"""),-0.769971335127272)</f>
        <v>-0.76997133512727201</v>
      </c>
      <c r="AU126" s="3">
        <f ca="1">IFERROR(__xludf.DUMMYFUNCTION("""COMPUTED_VALUE"""),-0.76215931590373)</f>
        <v>-0.76215931590372998</v>
      </c>
      <c r="AV126" s="3">
        <f ca="1">IFERROR(__xludf.DUMMYFUNCTION("""COMPUTED_VALUE"""),-0.834502657274234)</f>
        <v>-0.83450265727423401</v>
      </c>
      <c r="AW126" s="3">
        <f ca="1">IFERROR(__xludf.DUMMYFUNCTION("""COMPUTED_VALUE"""),-0.86271901753781)</f>
        <v>-0.86271901753781</v>
      </c>
      <c r="AX126" s="3">
        <f ca="1">IFERROR(__xludf.DUMMYFUNCTION("""COMPUTED_VALUE"""),-0.854803734017872)</f>
        <v>-0.85480373401787202</v>
      </c>
      <c r="AY126" s="3">
        <f ca="1">IFERROR(__xludf.DUMMYFUNCTION("""COMPUTED_VALUE"""),-0.855137127603815)</f>
        <v>-0.85513712760381499</v>
      </c>
      <c r="AZ126" s="3">
        <f ca="1">IFERROR(__xludf.DUMMYFUNCTION("""COMPUTED_VALUE"""),-0.827421246736713)</f>
        <v>-0.82742124673671302</v>
      </c>
      <c r="BA126" s="3">
        <f ca="1">IFERROR(__xludf.DUMMYFUNCTION("""COMPUTED_VALUE"""),-0.758943593765303)</f>
        <v>-0.75894359376530296</v>
      </c>
      <c r="BB126" s="3">
        <f ca="1">IFERROR(__xludf.DUMMYFUNCTION("""COMPUTED_VALUE"""),-0.759229117069889)</f>
        <v>-0.75922911706988905</v>
      </c>
      <c r="BC126" s="3">
        <f ca="1">IFERROR(__xludf.DUMMYFUNCTION("""COMPUTED_VALUE"""),-0.842174776609099)</f>
        <v>-0.84217477660909901</v>
      </c>
      <c r="BD126" s="3">
        <f ca="1">IFERROR(__xludf.DUMMYFUNCTION("""COMPUTED_VALUE"""),-0.866133731550468)</f>
        <v>-0.86613373155046802</v>
      </c>
      <c r="BE126" s="3">
        <f ca="1">IFERROR(__xludf.DUMMYFUNCTION("""COMPUTED_VALUE"""),-0.855591640966534)</f>
        <v>-0.85559164096653395</v>
      </c>
      <c r="BF126" s="3">
        <f ca="1">IFERROR(__xludf.DUMMYFUNCTION("""COMPUTED_VALUE"""),-0.862492059099351)</f>
        <v>-0.86249205909935101</v>
      </c>
      <c r="BG126" s="3">
        <f ca="1">IFERROR(__xludf.DUMMYFUNCTION("""COMPUTED_VALUE"""),-0.848100076092924)</f>
        <v>-0.84810007609292404</v>
      </c>
      <c r="BH126" s="3">
        <f ca="1">IFERROR(__xludf.DUMMYFUNCTION("""COMPUTED_VALUE"""),-0.769101521115312)</f>
        <v>-0.76910152111531205</v>
      </c>
      <c r="BI126" s="3">
        <f ca="1">IFERROR(__xludf.DUMMYFUNCTION("""COMPUTED_VALUE"""),-0.768864882391443)</f>
        <v>-0.76886488239144302</v>
      </c>
      <c r="BJ126" s="3">
        <f ca="1">IFERROR(__xludf.DUMMYFUNCTION("""COMPUTED_VALUE"""),-0.850360269039035)</f>
        <v>-0.85036026903903505</v>
      </c>
      <c r="BK126" s="3">
        <f ca="1">IFERROR(__xludf.DUMMYFUNCTION("""COMPUTED_VALUE"""),-0.874032830959732)</f>
        <v>-0.87403283095973205</v>
      </c>
      <c r="BL126" s="3">
        <f ca="1">IFERROR(__xludf.DUMMYFUNCTION("""COMPUTED_VALUE"""),-0.86346059360368)</f>
        <v>-0.86346059360367999</v>
      </c>
      <c r="BM126" s="3">
        <f ca="1">IFERROR(__xludf.DUMMYFUNCTION("""COMPUTED_VALUE"""),-0.875047499991543)</f>
        <v>-0.87504749999154297</v>
      </c>
      <c r="BN126" s="3">
        <f ca="1">IFERROR(__xludf.DUMMYFUNCTION("""COMPUTED_VALUE"""),-0.849517566667033)</f>
        <v>-0.84951756666703304</v>
      </c>
      <c r="BO126" s="3">
        <f ca="1">IFERROR(__xludf.DUMMYFUNCTION("""COMPUTED_VALUE"""),-0.782857839381745)</f>
        <v>-0.78285783938174502</v>
      </c>
      <c r="BP126" s="3">
        <f ca="1">IFERROR(__xludf.DUMMYFUNCTION("""COMPUTED_VALUE"""),-0.777632357336206)</f>
        <v>-0.77763235733620595</v>
      </c>
      <c r="BQ126" s="3">
        <f ca="1">IFERROR(__xludf.DUMMYFUNCTION("""COMPUTED_VALUE"""),-0.851940271219767)</f>
        <v>-0.85194027121976701</v>
      </c>
      <c r="BR126" s="3">
        <f ca="1">IFERROR(__xludf.DUMMYFUNCTION("""COMPUTED_VALUE"""),-0.866043127924691)</f>
        <v>-0.86604312792469096</v>
      </c>
      <c r="BS126" s="3">
        <f ca="1">IFERROR(__xludf.DUMMYFUNCTION("""COMPUTED_VALUE"""),-0.867415200217987)</f>
        <v>-0.86741520021798701</v>
      </c>
      <c r="BT126" s="3">
        <f ca="1">IFERROR(__xludf.DUMMYFUNCTION("""COMPUTED_VALUE"""),-0.874254560225271)</f>
        <v>-0.87425456022527104</v>
      </c>
      <c r="BU126" s="3">
        <f ca="1">IFERROR(__xludf.DUMMYFUNCTION("""COMPUTED_VALUE"""),-0.862282756435605)</f>
        <v>-0.86228275643560504</v>
      </c>
      <c r="BV126" s="3">
        <f ca="1">IFERROR(__xludf.DUMMYFUNCTION("""COMPUTED_VALUE"""),-0.803862908638696)</f>
        <v>-0.80386290863869603</v>
      </c>
      <c r="BW126" s="3">
        <f ca="1">IFERROR(__xludf.DUMMYFUNCTION("""COMPUTED_VALUE"""),-0.795306693648877)</f>
        <v>-0.79530669364887696</v>
      </c>
      <c r="BX126" s="3">
        <f ca="1">IFERROR(__xludf.DUMMYFUNCTION("""COMPUTED_VALUE"""),-0.854136315806621)</f>
        <v>-0.85413631580662097</v>
      </c>
      <c r="BY126" s="3">
        <f ca="1">IFERROR(__xludf.DUMMYFUNCTION("""COMPUTED_VALUE"""),-0.885532191269099)</f>
        <v>-0.88553219126909899</v>
      </c>
      <c r="BZ126" s="3">
        <f ca="1">IFERROR(__xludf.DUMMYFUNCTION("""COMPUTED_VALUE"""),-0.888317303504177)</f>
        <v>-0.88831730350417704</v>
      </c>
      <c r="CA126" s="3">
        <f ca="1">IFERROR(__xludf.DUMMYFUNCTION("""COMPUTED_VALUE"""),-0.885881294337808)</f>
        <v>-0.88588129433780805</v>
      </c>
      <c r="CB126" s="3">
        <f ca="1">IFERROR(__xludf.DUMMYFUNCTION("""COMPUTED_VALUE"""),-0.85010748052733)</f>
        <v>-0.85010748052732998</v>
      </c>
      <c r="CC126" s="3">
        <f ca="1">IFERROR(__xludf.DUMMYFUNCTION("""COMPUTED_VALUE"""),-0.820141665868088)</f>
        <v>-0.82014166586808801</v>
      </c>
      <c r="CD126" s="3">
        <f ca="1">IFERROR(__xludf.DUMMYFUNCTION("""COMPUTED_VALUE"""),-0.774517532366726)</f>
        <v>-0.77451753236672605</v>
      </c>
      <c r="CE126" s="3">
        <f ca="1">IFERROR(__xludf.DUMMYFUNCTION("""COMPUTED_VALUE"""),-0.859361355173603)</f>
        <v>-0.85936135517360301</v>
      </c>
      <c r="CF126" s="3">
        <f ca="1">IFERROR(__xludf.DUMMYFUNCTION("""COMPUTED_VALUE"""),-0.865016069387326)</f>
        <v>-0.865016069387326</v>
      </c>
      <c r="CG126" s="3">
        <f ca="1">IFERROR(__xludf.DUMMYFUNCTION("""COMPUTED_VALUE"""),-0.870596762404219)</f>
        <v>-0.87059676240421902</v>
      </c>
      <c r="CH126" s="3">
        <f ca="1">IFERROR(__xludf.DUMMYFUNCTION("""COMPUTED_VALUE"""),-0.867631988990954)</f>
        <v>-0.86763198899095395</v>
      </c>
      <c r="CI126" s="3">
        <f ca="1">IFERROR(__xludf.DUMMYFUNCTION("""COMPUTED_VALUE"""),-0.832550536837615)</f>
        <v>-0.83255053683761504</v>
      </c>
      <c r="CJ126" s="3">
        <f ca="1">IFERROR(__xludf.DUMMYFUNCTION("""COMPUTED_VALUE"""),-0.764098178868165)</f>
        <v>-0.764098178868165</v>
      </c>
      <c r="CK126" s="3">
        <f ca="1">IFERROR(__xludf.DUMMYFUNCTION("""COMPUTED_VALUE"""),-0.754154419021231)</f>
        <v>-0.75415441902123104</v>
      </c>
      <c r="CL126" s="3">
        <f ca="1">IFERROR(__xludf.DUMMYFUNCTION("""COMPUTED_VALUE"""),-0.842151045447885)</f>
        <v>-0.84215104544788499</v>
      </c>
      <c r="CM126" s="3">
        <f ca="1">IFERROR(__xludf.DUMMYFUNCTION("""COMPUTED_VALUE"""),-0.850284358920503)</f>
        <v>-0.85028435892050303</v>
      </c>
      <c r="CN126" s="3">
        <f ca="1">IFERROR(__xludf.DUMMYFUNCTION("""COMPUTED_VALUE"""),-0.859879159152165)</f>
        <v>-0.85987915915216495</v>
      </c>
      <c r="CO126" s="3">
        <f ca="1">IFERROR(__xludf.DUMMYFUNCTION("""COMPUTED_VALUE"""),-0.865618780639883)</f>
        <v>-0.86561878063988296</v>
      </c>
      <c r="CP126" s="3">
        <f ca="1">IFERROR(__xludf.DUMMYFUNCTION("""COMPUTED_VALUE"""),-0.822105268995083)</f>
        <v>-0.82210526899508296</v>
      </c>
      <c r="CQ126" s="3">
        <f ca="1">IFERROR(__xludf.DUMMYFUNCTION("""COMPUTED_VALUE"""),-0.756529435161207)</f>
        <v>-0.75652943516120696</v>
      </c>
      <c r="CR126" s="3">
        <f ca="1">IFERROR(__xludf.DUMMYFUNCTION("""COMPUTED_VALUE"""),-0.748975002880904)</f>
        <v>-0.74897500288090402</v>
      </c>
      <c r="CS126" s="3">
        <f ca="1">IFERROR(__xludf.DUMMYFUNCTION("""COMPUTED_VALUE"""),-0.823556687419581)</f>
        <v>-0.82355668741958099</v>
      </c>
      <c r="CT126" s="3">
        <f ca="1">IFERROR(__xludf.DUMMYFUNCTION("""COMPUTED_VALUE"""),-0.827195078025133)</f>
        <v>-0.82719507802513303</v>
      </c>
      <c r="CU126" s="3">
        <f ca="1">IFERROR(__xludf.DUMMYFUNCTION("""COMPUTED_VALUE"""),-0.832737611218136)</f>
        <v>-0.83273761121813605</v>
      </c>
      <c r="CV126" s="3">
        <f ca="1">IFERROR(__xludf.DUMMYFUNCTION("""COMPUTED_VALUE"""),-0.814973507660139)</f>
        <v>-0.81497350766013898</v>
      </c>
      <c r="CW126" s="3">
        <f ca="1">IFERROR(__xludf.DUMMYFUNCTION("""COMPUTED_VALUE"""),-0.834545606867949)</f>
        <v>-0.83454560686794899</v>
      </c>
      <c r="CX126" s="3">
        <f ca="1">IFERROR(__xludf.DUMMYFUNCTION("""COMPUTED_VALUE"""),-0.737327037170294)</f>
        <v>-0.73732703717029402</v>
      </c>
      <c r="CY126" s="3">
        <f ca="1">IFERROR(__xludf.DUMMYFUNCTION("""COMPUTED_VALUE"""),-0.778047105308337)</f>
        <v>-0.77804710530833698</v>
      </c>
      <c r="CZ126" s="3">
        <f ca="1">IFERROR(__xludf.DUMMYFUNCTION("""COMPUTED_VALUE"""),-0.848757100323331)</f>
        <v>-0.84875710032333096</v>
      </c>
      <c r="DA126" s="3">
        <f ca="1">IFERROR(__xludf.DUMMYFUNCTION("""COMPUTED_VALUE"""),-0.793971295705297)</f>
        <v>-0.79397129570529701</v>
      </c>
      <c r="DB126" s="3">
        <f ca="1">IFERROR(__xludf.DUMMYFUNCTION("""COMPUTED_VALUE"""),-0.728688990781387)</f>
        <v>-0.72868899078138705</v>
      </c>
      <c r="DC126" s="3">
        <f ca="1">IFERROR(__xludf.DUMMYFUNCTION("""COMPUTED_VALUE"""),-0.778267255853915)</f>
        <v>-0.77826725585391499</v>
      </c>
      <c r="DD126" s="3">
        <f ca="1">IFERROR(__xludf.DUMMYFUNCTION("""COMPUTED_VALUE"""),-0.802568018595523)</f>
        <v>-0.80256801859552296</v>
      </c>
      <c r="DE126" s="3">
        <f ca="1">IFERROR(__xludf.DUMMYFUNCTION("""COMPUTED_VALUE"""),-0.743265758865755)</f>
        <v>-0.74326575886575497</v>
      </c>
      <c r="DF126" s="3">
        <f ca="1">IFERROR(__xludf.DUMMYFUNCTION("""COMPUTED_VALUE"""),-0.779666331308873)</f>
        <v>-0.77966633130887297</v>
      </c>
      <c r="DG126" s="3">
        <f ca="1">IFERROR(__xludf.DUMMYFUNCTION("""COMPUTED_VALUE"""),-0.92275681106734)</f>
        <v>-0.92275681106733998</v>
      </c>
      <c r="DH126" s="3">
        <f ca="1">IFERROR(__xludf.DUMMYFUNCTION("""COMPUTED_VALUE"""),-0.84727840597864)</f>
        <v>-0.84727840597864001</v>
      </c>
      <c r="DI126" s="3">
        <f ca="1">IFERROR(__xludf.DUMMYFUNCTION("""COMPUTED_VALUE"""),-0.742678320673711)</f>
        <v>-0.74267832067371098</v>
      </c>
      <c r="DJ126" s="3">
        <f ca="1">IFERROR(__xludf.DUMMYFUNCTION("""COMPUTED_VALUE"""),-0.794150524375568)</f>
        <v>-0.79415052437556799</v>
      </c>
      <c r="DK126" s="3">
        <f ca="1">IFERROR(__xludf.DUMMYFUNCTION("""COMPUTED_VALUE"""),-0.812363805073327)</f>
        <v>-0.81236380507332695</v>
      </c>
      <c r="DL126" s="3">
        <f ca="1">IFERROR(__xludf.DUMMYFUNCTION("""COMPUTED_VALUE"""),-0.784419460623351)</f>
        <v>-0.78441946062335099</v>
      </c>
      <c r="DM126" s="3">
        <f ca="1">IFERROR(__xludf.DUMMYFUNCTION("""COMPUTED_VALUE"""),-0.77937000956256)</f>
        <v>-0.77937000956255997</v>
      </c>
      <c r="DN126" s="3">
        <f ca="1">IFERROR(__xludf.DUMMYFUNCTION("""COMPUTED_VALUE"""),-0.838513996095516)</f>
        <v>-0.83851399609551602</v>
      </c>
      <c r="DO126" s="3">
        <f ca="1">IFERROR(__xludf.DUMMYFUNCTION("""COMPUTED_VALUE"""),-0.845077964433404)</f>
        <v>-0.84507796443340399</v>
      </c>
      <c r="DP126" s="3">
        <f ca="1">IFERROR(__xludf.DUMMYFUNCTION("""COMPUTED_VALUE"""),-0.840180446216449)</f>
        <v>-0.84018044621644905</v>
      </c>
      <c r="DQ126" s="3">
        <f ca="1">IFERROR(__xludf.DUMMYFUNCTION("""COMPUTED_VALUE"""),-0.85347292792494)</f>
        <v>-0.85347292792494001</v>
      </c>
      <c r="DR126" s="3">
        <f ca="1">IFERROR(__xludf.DUMMYFUNCTION("""COMPUTED_VALUE"""),-0.857728139254012)</f>
        <v>-0.85772813925401203</v>
      </c>
      <c r="DS126" s="3">
        <f ca="1">IFERROR(__xludf.DUMMYFUNCTION("""COMPUTED_VALUE"""),-0.856713093388884)</f>
        <v>-0.85671309338888402</v>
      </c>
      <c r="DT126" s="3">
        <f ca="1">IFERROR(__xludf.DUMMYFUNCTION("""COMPUTED_VALUE"""),-0.836415959077298)</f>
        <v>-0.83641595907729804</v>
      </c>
      <c r="DU126" s="3">
        <f ca="1">IFERROR(__xludf.DUMMYFUNCTION("""COMPUTED_VALUE"""),-0.886135420110775)</f>
        <v>-0.88613542011077495</v>
      </c>
      <c r="DV126" s="3">
        <f ca="1">IFERROR(__xludf.DUMMYFUNCTION("""COMPUTED_VALUE"""),-0.887213090181892)</f>
        <v>-0.88721309018189198</v>
      </c>
      <c r="DW126" s="3">
        <f ca="1">IFERROR(__xludf.DUMMYFUNCTION("""COMPUTED_VALUE"""),-0.898398003268912)</f>
        <v>-0.89839800326891195</v>
      </c>
      <c r="DX126" s="3">
        <f ca="1">IFERROR(__xludf.DUMMYFUNCTION("""COMPUTED_VALUE"""),-0.893522699968679)</f>
        <v>-0.89352269996867895</v>
      </c>
      <c r="DY126" s="3">
        <f ca="1">IFERROR(__xludf.DUMMYFUNCTION("""COMPUTED_VALUE"""),-0.889311509103902)</f>
        <v>-0.889311509103902</v>
      </c>
      <c r="DZ126" s="3">
        <f ca="1">IFERROR(__xludf.DUMMYFUNCTION("""COMPUTED_VALUE"""),-0.807761280959193)</f>
        <v>-0.80776128095919297</v>
      </c>
      <c r="EA126" s="3">
        <f ca="1">IFERROR(__xludf.DUMMYFUNCTION("""COMPUTED_VALUE"""),-0.795105337384058)</f>
        <v>-0.79510533738405798</v>
      </c>
      <c r="EB126" s="3">
        <f ca="1">IFERROR(__xludf.DUMMYFUNCTION("""COMPUTED_VALUE"""),-0.84812299988905)</f>
        <v>-0.84812299988905004</v>
      </c>
      <c r="EC126" s="3">
        <f ca="1">IFERROR(__xludf.DUMMYFUNCTION("""COMPUTED_VALUE"""),-0.850798965790799)</f>
        <v>-0.85079896579079906</v>
      </c>
      <c r="ED126" s="3">
        <f ca="1">IFERROR(__xludf.DUMMYFUNCTION("""COMPUTED_VALUE"""),-0.873110018303157)</f>
        <v>-0.87311001830315704</v>
      </c>
      <c r="EE126" s="3">
        <f ca="1">IFERROR(__xludf.DUMMYFUNCTION("""COMPUTED_VALUE"""),-0.887452280697595)</f>
        <v>-0.88745228069759496</v>
      </c>
      <c r="EF126" s="3">
        <f ca="1">IFERROR(__xludf.DUMMYFUNCTION("""COMPUTED_VALUE"""),-0.875135979894953)</f>
        <v>-0.87513597989495295</v>
      </c>
      <c r="EG126" s="3">
        <f ca="1">IFERROR(__xludf.DUMMYFUNCTION("""COMPUTED_VALUE"""),-0.814187098513916)</f>
        <v>-0.81418709851391602</v>
      </c>
      <c r="EH126" s="3">
        <f ca="1">IFERROR(__xludf.DUMMYFUNCTION("""COMPUTED_VALUE"""),-0.816963856391189)</f>
        <v>-0.81696385639118896</v>
      </c>
      <c r="EI126" s="3">
        <f ca="1">IFERROR(__xludf.DUMMYFUNCTION("""COMPUTED_VALUE"""),-0.885552415651048)</f>
        <v>-0.88555241565104803</v>
      </c>
      <c r="EJ126" s="3">
        <f ca="1">IFERROR(__xludf.DUMMYFUNCTION("""COMPUTED_VALUE"""),-0.91433977830535)</f>
        <v>-0.91433977830534996</v>
      </c>
      <c r="EK126" s="3">
        <f ca="1">IFERROR(__xludf.DUMMYFUNCTION("""COMPUTED_VALUE"""),-0.866608130467596)</f>
        <v>-0.86660813046759599</v>
      </c>
      <c r="EL126" s="3">
        <f ca="1">IFERROR(__xludf.DUMMYFUNCTION("""COMPUTED_VALUE"""),-0.877602527394919)</f>
        <v>-0.87760252739491895</v>
      </c>
      <c r="EM126" s="3">
        <f ca="1">IFERROR(__xludf.DUMMYFUNCTION("""COMPUTED_VALUE"""),-0.87503191353575)</f>
        <v>-0.87503191353575005</v>
      </c>
      <c r="EN126" s="3">
        <f ca="1">IFERROR(__xludf.DUMMYFUNCTION("""COMPUTED_VALUE"""),-0.804418378052831)</f>
        <v>-0.80441837805283101</v>
      </c>
      <c r="EO126" s="3">
        <f ca="1">IFERROR(__xludf.DUMMYFUNCTION("""COMPUTED_VALUE"""),-0.782439469496005)</f>
        <v>-0.78243946949600496</v>
      </c>
      <c r="EP126" s="3">
        <f ca="1">IFERROR(__xludf.DUMMYFUNCTION("""COMPUTED_VALUE"""),-0.83829532281899)</f>
        <v>-0.83829532281899</v>
      </c>
      <c r="EQ126" s="3">
        <f ca="1">IFERROR(__xludf.DUMMYFUNCTION("""COMPUTED_VALUE"""),-0.843556674389003)</f>
        <v>-0.84355667438900295</v>
      </c>
      <c r="ER126" s="3">
        <f ca="1">IFERROR(__xludf.DUMMYFUNCTION("""COMPUTED_VALUE"""),-0.873300764594536)</f>
        <v>-0.87330076459453598</v>
      </c>
      <c r="ES126" s="3">
        <f ca="1">IFERROR(__xludf.DUMMYFUNCTION("""COMPUTED_VALUE"""),-0.889251265404183)</f>
        <v>-0.88925126540418298</v>
      </c>
      <c r="ET126" s="3">
        <f ca="1">IFERROR(__xludf.DUMMYFUNCTION("""COMPUTED_VALUE"""),-0.862028507747276)</f>
        <v>-0.86202850774727602</v>
      </c>
      <c r="EU126" s="3">
        <f ca="1">IFERROR(__xludf.DUMMYFUNCTION("""COMPUTED_VALUE"""),-0.813886727522787)</f>
        <v>-0.81388672752278701</v>
      </c>
      <c r="EV126" s="3">
        <f ca="1">IFERROR(__xludf.DUMMYFUNCTION("""COMPUTED_VALUE"""),-0.810290825412122)</f>
        <v>-0.81029082541212205</v>
      </c>
      <c r="EW126" s="3">
        <f ca="1">IFERROR(__xludf.DUMMYFUNCTION("""COMPUTED_VALUE"""),-0.88220938570867)</f>
        <v>-0.88220938570867002</v>
      </c>
      <c r="EX126" s="3">
        <f ca="1">IFERROR(__xludf.DUMMYFUNCTION("""COMPUTED_VALUE"""),-0.881941585975528)</f>
        <v>-0.88194158597552796</v>
      </c>
      <c r="EY126" s="3">
        <f ca="1">IFERROR(__xludf.DUMMYFUNCTION("""COMPUTED_VALUE"""),-0.879703601096072)</f>
        <v>-0.87970360109607204</v>
      </c>
      <c r="EZ126" s="3">
        <f ca="1">IFERROR(__xludf.DUMMYFUNCTION("""COMPUTED_VALUE"""),-0.890291033135831)</f>
        <v>-0.89029103313583102</v>
      </c>
      <c r="FA126" s="3">
        <f ca="1">IFERROR(__xludf.DUMMYFUNCTION("""COMPUTED_VALUE"""),-0.875276005584058)</f>
        <v>-0.87527600558405805</v>
      </c>
      <c r="FB126" s="3">
        <f ca="1">IFERROR(__xludf.DUMMYFUNCTION("""COMPUTED_VALUE"""),-0.82254934240364)</f>
        <v>-0.82254934240363997</v>
      </c>
      <c r="FC126" s="3">
        <f ca="1">IFERROR(__xludf.DUMMYFUNCTION("""COMPUTED_VALUE"""),-0.814537634170945)</f>
        <v>-0.81453763417094505</v>
      </c>
      <c r="FD126" s="3">
        <f ca="1">IFERROR(__xludf.DUMMYFUNCTION("""COMPUTED_VALUE"""),-0.880169504210469)</f>
        <v>-0.88016950421046902</v>
      </c>
      <c r="FE126" s="3">
        <f ca="1">IFERROR(__xludf.DUMMYFUNCTION("""COMPUTED_VALUE"""),-0.885998847385758)</f>
        <v>-0.88599884738575796</v>
      </c>
      <c r="FF126" s="3">
        <f ca="1">IFERROR(__xludf.DUMMYFUNCTION("""COMPUTED_VALUE"""),-0.889627313436149)</f>
        <v>-0.88962731343614898</v>
      </c>
      <c r="FG126" s="3">
        <f ca="1">IFERROR(__xludf.DUMMYFUNCTION("""COMPUTED_VALUE"""),-0.887339198873361)</f>
        <v>-0.88733919887336099</v>
      </c>
      <c r="FH126" s="3">
        <f ca="1">IFERROR(__xludf.DUMMYFUNCTION("""COMPUTED_VALUE"""),-0.855135039231428)</f>
        <v>-0.85513503923142797</v>
      </c>
      <c r="FI126" s="3">
        <f ca="1">IFERROR(__xludf.DUMMYFUNCTION("""COMPUTED_VALUE"""),-0.79461129518917)</f>
        <v>-0.79461129518916995</v>
      </c>
      <c r="FJ126" s="3">
        <f ca="1">IFERROR(__xludf.DUMMYFUNCTION("""COMPUTED_VALUE"""),-0.803635981169837)</f>
        <v>-0.80363598116983703</v>
      </c>
      <c r="FK126" s="3">
        <f ca="1">IFERROR(__xludf.DUMMYFUNCTION("""COMPUTED_VALUE"""),-0.875963168025521)</f>
        <v>-0.87596316802552099</v>
      </c>
      <c r="FL126" s="3">
        <f ca="1">IFERROR(__xludf.DUMMYFUNCTION("""COMPUTED_VALUE"""),-0.888619063610273)</f>
        <v>-0.88861906361027299</v>
      </c>
      <c r="FM126" s="3">
        <f ca="1">IFERROR(__xludf.DUMMYFUNCTION("""COMPUTED_VALUE"""),-0.892895228296001)</f>
        <v>-0.89289522829600099</v>
      </c>
      <c r="FN126" s="3">
        <f ca="1">IFERROR(__xludf.DUMMYFUNCTION("""COMPUTED_VALUE"""),-0.889529052488831)</f>
        <v>-0.88952905248883096</v>
      </c>
      <c r="FO126" s="3">
        <f ca="1">IFERROR(__xludf.DUMMYFUNCTION("""COMPUTED_VALUE"""),-0.883774308828041)</f>
        <v>-0.88377430882804098</v>
      </c>
      <c r="FP126" s="3">
        <f ca="1">IFERROR(__xludf.DUMMYFUNCTION("""COMPUTED_VALUE"""),-0.818519771346179)</f>
        <v>-0.81851977134617904</v>
      </c>
      <c r="FQ126" s="3">
        <f ca="1">IFERROR(__xludf.DUMMYFUNCTION("""COMPUTED_VALUE"""),-0.822567161932754)</f>
        <v>-0.82256716193275403</v>
      </c>
      <c r="FR126" s="3">
        <f ca="1">IFERROR(__xludf.DUMMYFUNCTION("""COMPUTED_VALUE"""),-0.879678797654077)</f>
        <v>-0.87967879765407697</v>
      </c>
      <c r="FS126" s="3">
        <f ca="1">IFERROR(__xludf.DUMMYFUNCTION("""COMPUTED_VALUE"""),-0.890649848537542)</f>
        <v>-0.89064984853754203</v>
      </c>
      <c r="FT126" s="3">
        <f ca="1">IFERROR(__xludf.DUMMYFUNCTION("""COMPUTED_VALUE"""),-0.885173282938318)</f>
        <v>-0.88517328293831798</v>
      </c>
      <c r="FU126" s="3">
        <f ca="1">IFERROR(__xludf.DUMMYFUNCTION("""COMPUTED_VALUE"""),-0.88613697724714)</f>
        <v>-0.88613697724714002</v>
      </c>
      <c r="FV126" s="3">
        <f ca="1">IFERROR(__xludf.DUMMYFUNCTION("""COMPUTED_VALUE"""),-0.870423203579631)</f>
        <v>-0.87042320357963099</v>
      </c>
      <c r="FW126" s="3">
        <f ca="1">IFERROR(__xludf.DUMMYFUNCTION("""COMPUTED_VALUE"""),-0.782990040155322)</f>
        <v>-0.78299004015532203</v>
      </c>
      <c r="FX126" s="3">
        <f ca="1">IFERROR(__xludf.DUMMYFUNCTION("""COMPUTED_VALUE"""),-0.7985494455426)</f>
        <v>-0.79854944554259999</v>
      </c>
      <c r="FY126" s="3">
        <f ca="1">IFERROR(__xludf.DUMMYFUNCTION("""COMPUTED_VALUE"""),-0.863411265196028)</f>
        <v>-0.86341126519602795</v>
      </c>
      <c r="FZ126" s="3">
        <f ca="1">IFERROR(__xludf.DUMMYFUNCTION("""COMPUTED_VALUE"""),-0.875051355506172)</f>
        <v>-0.87505135550617197</v>
      </c>
      <c r="GA126" s="3">
        <f ca="1">IFERROR(__xludf.DUMMYFUNCTION("""COMPUTED_VALUE"""),-0.873687455045098)</f>
        <v>-0.87368745504509804</v>
      </c>
      <c r="GB126" s="3">
        <f ca="1">IFERROR(__xludf.DUMMYFUNCTION("""COMPUTED_VALUE"""),-0.881827786934097)</f>
        <v>-0.88182778693409702</v>
      </c>
      <c r="GC126" s="3">
        <f ca="1">IFERROR(__xludf.DUMMYFUNCTION("""COMPUTED_VALUE"""),-0.869235921356657)</f>
        <v>-0.86923592135665695</v>
      </c>
      <c r="GD126" s="3">
        <f ca="1">IFERROR(__xludf.DUMMYFUNCTION("""COMPUTED_VALUE"""),-0.808048158104814)</f>
        <v>-0.80804815810481401</v>
      </c>
      <c r="GE126" s="3">
        <f ca="1">IFERROR(__xludf.DUMMYFUNCTION("""COMPUTED_VALUE"""),-0.821386138633414)</f>
        <v>-0.82138613863341403</v>
      </c>
      <c r="GF126" s="3">
        <f ca="1">IFERROR(__xludf.DUMMYFUNCTION("""COMPUTED_VALUE"""),-0.875664383205087)</f>
        <v>-0.87566438320508699</v>
      </c>
      <c r="GG126" s="3">
        <f ca="1">IFERROR(__xludf.DUMMYFUNCTION("""COMPUTED_VALUE"""),-0.886869789108927)</f>
        <v>-0.886869789108927</v>
      </c>
      <c r="GH126" s="3">
        <f ca="1">IFERROR(__xludf.DUMMYFUNCTION("""COMPUTED_VALUE"""),-0.886967904306355)</f>
        <v>-0.88696790430635497</v>
      </c>
      <c r="GI126" s="3">
        <f ca="1">IFERROR(__xludf.DUMMYFUNCTION("""COMPUTED_VALUE"""),-0.883381567588912)</f>
        <v>-0.88338156758891195</v>
      </c>
      <c r="GJ126" s="3">
        <f ca="1">IFERROR(__xludf.DUMMYFUNCTION("""COMPUTED_VALUE"""),-0.87667994613025)</f>
        <v>-0.87667994613025002</v>
      </c>
      <c r="GK126" s="3">
        <f ca="1">IFERROR(__xludf.DUMMYFUNCTION("""COMPUTED_VALUE"""),-0.8140491057538)</f>
        <v>-0.81404910575379996</v>
      </c>
      <c r="GL126" s="3">
        <f ca="1">IFERROR(__xludf.DUMMYFUNCTION("""COMPUTED_VALUE"""),-0.815929946872423)</f>
        <v>-0.81592994687242304</v>
      </c>
      <c r="GM126" s="3">
        <f ca="1">IFERROR(__xludf.DUMMYFUNCTION("""COMPUTED_VALUE"""),-0.869268817942889)</f>
        <v>-0.86926881794288902</v>
      </c>
      <c r="GN126" s="3">
        <f ca="1">IFERROR(__xludf.DUMMYFUNCTION("""COMPUTED_VALUE"""),-0.882079059138227)</f>
        <v>-0.88207905913822704</v>
      </c>
      <c r="GO126" s="3">
        <f ca="1">IFERROR(__xludf.DUMMYFUNCTION("""COMPUTED_VALUE"""),-0.884270044388358)</f>
        <v>-0.88427004438835799</v>
      </c>
      <c r="GP126" s="3">
        <f ca="1">IFERROR(__xludf.DUMMYFUNCTION("""COMPUTED_VALUE"""),-0.890688903263368)</f>
        <v>-0.89068890326336803</v>
      </c>
      <c r="GQ126" s="3">
        <f ca="1">IFERROR(__xludf.DUMMYFUNCTION("""COMPUTED_VALUE"""),-0.880948785974459)</f>
        <v>-0.88094878597445903</v>
      </c>
      <c r="GR126" s="3">
        <f ca="1">IFERROR(__xludf.DUMMYFUNCTION("""COMPUTED_VALUE"""),-0.817321591190542)</f>
        <v>-0.81732159119054204</v>
      </c>
      <c r="GS126" s="3">
        <f ca="1">IFERROR(__xludf.DUMMYFUNCTION("""COMPUTED_VALUE"""),-0.817689198262516)</f>
        <v>-0.81768919826251596</v>
      </c>
      <c r="GT126" s="3">
        <f ca="1">IFERROR(__xludf.DUMMYFUNCTION("""COMPUTED_VALUE"""),-0.878330533427964)</f>
        <v>-0.87833053342796397</v>
      </c>
      <c r="GU126" s="3">
        <f ca="1">IFERROR(__xludf.DUMMYFUNCTION("""COMPUTED_VALUE"""),-0.889028113688024)</f>
        <v>-0.88902811368802404</v>
      </c>
      <c r="GV126" s="3">
        <f ca="1">IFERROR(__xludf.DUMMYFUNCTION("""COMPUTED_VALUE"""),-0.889041832497065)</f>
        <v>-0.88904183249706503</v>
      </c>
      <c r="GW126" s="3">
        <f ca="1">IFERROR(__xludf.DUMMYFUNCTION("""COMPUTED_VALUE"""),-0.895285234631656)</f>
        <v>-0.89528523463165599</v>
      </c>
      <c r="GX126" s="3">
        <f ca="1">IFERROR(__xludf.DUMMYFUNCTION("""COMPUTED_VALUE"""),-0.888315260597136)</f>
        <v>-0.88831526059713595</v>
      </c>
      <c r="GY126" s="3">
        <f ca="1">IFERROR(__xludf.DUMMYFUNCTION("""COMPUTED_VALUE"""),-0.82078668155129)</f>
        <v>-0.82078668155128998</v>
      </c>
      <c r="GZ126" s="3">
        <f ca="1">IFERROR(__xludf.DUMMYFUNCTION("""COMPUTED_VALUE"""),-0.815062077343114)</f>
        <v>-0.81506207734311398</v>
      </c>
      <c r="HA126" s="3">
        <f ca="1">IFERROR(__xludf.DUMMYFUNCTION("""COMPUTED_VALUE"""),-0.883181849942726)</f>
        <v>-0.88318184994272597</v>
      </c>
      <c r="HB126" s="3">
        <f ca="1">IFERROR(__xludf.DUMMYFUNCTION("""COMPUTED_VALUE"""),-0.896015236362076)</f>
        <v>-0.89601523636207603</v>
      </c>
      <c r="HC126" s="3">
        <f ca="1">IFERROR(__xludf.DUMMYFUNCTION("""COMPUTED_VALUE"""),-0.892979104261123)</f>
        <v>-0.89297910426112304</v>
      </c>
      <c r="HD126" s="3">
        <f ca="1">IFERROR(__xludf.DUMMYFUNCTION("""COMPUTED_VALUE"""),-0.896258175348686)</f>
        <v>-0.89625817534868601</v>
      </c>
      <c r="HE126" s="3">
        <f ca="1">IFERROR(__xludf.DUMMYFUNCTION("""COMPUTED_VALUE"""),-0.89925262077774)</f>
        <v>-0.89925262077774004</v>
      </c>
      <c r="HF126" s="3">
        <f ca="1">IFERROR(__xludf.DUMMYFUNCTION("""COMPUTED_VALUE"""),-0.839387920838787)</f>
        <v>-0.83938792083878699</v>
      </c>
      <c r="HG126" s="3">
        <f ca="1">IFERROR(__xludf.DUMMYFUNCTION("""COMPUTED_VALUE"""),-0.847507239202426)</f>
        <v>-0.84750723920242599</v>
      </c>
      <c r="HH126" s="3">
        <f ca="1">IFERROR(__xludf.DUMMYFUNCTION("""COMPUTED_VALUE"""),-0.896352725004893)</f>
        <v>-0.89635272500489305</v>
      </c>
      <c r="HI126" s="3">
        <f ca="1">IFERROR(__xludf.DUMMYFUNCTION("""COMPUTED_VALUE"""),-0.904721904301761)</f>
        <v>-0.90472190430176103</v>
      </c>
      <c r="HJ126" s="3">
        <f ca="1">IFERROR(__xludf.DUMMYFUNCTION("""COMPUTED_VALUE"""),-0.904463313311166)</f>
        <v>-0.90446331331116603</v>
      </c>
      <c r="HK126" s="3">
        <f ca="1">IFERROR(__xludf.DUMMYFUNCTION("""COMPUTED_VALUE"""),-0.894810386937503)</f>
        <v>-0.89481038693750303</v>
      </c>
      <c r="HL126" s="3">
        <f ca="1">IFERROR(__xludf.DUMMYFUNCTION("""COMPUTED_VALUE"""),-0.888391732010575)</f>
        <v>-0.88839173201057497</v>
      </c>
      <c r="HM126" s="3">
        <f ca="1">IFERROR(__xludf.DUMMYFUNCTION("""COMPUTED_VALUE"""),-0.822663754310605)</f>
        <v>-0.82266375431060501</v>
      </c>
      <c r="HN126" s="3">
        <f ca="1">IFERROR(__xludf.DUMMYFUNCTION("""COMPUTED_VALUE"""),-0.821518017781214)</f>
        <v>-0.82151801778121403</v>
      </c>
      <c r="HO126" s="3">
        <f ca="1">IFERROR(__xludf.DUMMYFUNCTION("""COMPUTED_VALUE"""),-0.882685164781747)</f>
        <v>-0.88268516478174697</v>
      </c>
      <c r="HP126" s="3">
        <f ca="1">IFERROR(__xludf.DUMMYFUNCTION("""COMPUTED_VALUE"""),-0.897704578264625)</f>
        <v>-0.89770457826462502</v>
      </c>
      <c r="HQ126" s="3">
        <f ca="1">IFERROR(__xludf.DUMMYFUNCTION("""COMPUTED_VALUE"""),-0.895262862689398)</f>
        <v>-0.89526286268939803</v>
      </c>
      <c r="HR126" s="3">
        <f ca="1">IFERROR(__xludf.DUMMYFUNCTION("""COMPUTED_VALUE"""),-0.899380448768387)</f>
        <v>-0.89938044876838696</v>
      </c>
      <c r="HS126" s="3">
        <f ca="1">IFERROR(__xludf.DUMMYFUNCTION("""COMPUTED_VALUE"""),-0.873043297880247)</f>
        <v>-0.87304329788024704</v>
      </c>
      <c r="HT126" s="3">
        <f ca="1">IFERROR(__xludf.DUMMYFUNCTION("""COMPUTED_VALUE"""),-0.832931704140818)</f>
        <v>-0.83293170414081796</v>
      </c>
      <c r="HU126" s="3">
        <f ca="1">IFERROR(__xludf.DUMMYFUNCTION("""COMPUTED_VALUE"""),-0.818660341089788)</f>
        <v>-0.81866034108978802</v>
      </c>
      <c r="HV126" s="3">
        <f ca="1">IFERROR(__xludf.DUMMYFUNCTION("""COMPUTED_VALUE"""),-0.866680405824947)</f>
        <v>-0.86668040582494699</v>
      </c>
      <c r="HW126" s="3">
        <f ca="1">IFERROR(__xludf.DUMMYFUNCTION("""COMPUTED_VALUE"""),-0.878047148537185)</f>
        <v>-0.87804714853718502</v>
      </c>
      <c r="HX126" s="3">
        <f ca="1">IFERROR(__xludf.DUMMYFUNCTION("""COMPUTED_VALUE"""),-0.887792139528815)</f>
        <v>-0.88779213952881497</v>
      </c>
      <c r="HY126" s="3">
        <f ca="1">IFERROR(__xludf.DUMMYFUNCTION("""COMPUTED_VALUE"""),-0.878700253135836)</f>
        <v>-0.878700253135836</v>
      </c>
      <c r="HZ126" s="3">
        <f ca="1">IFERROR(__xludf.DUMMYFUNCTION("""COMPUTED_VALUE"""),-0.853563333031317)</f>
        <v>-0.85356333303131704</v>
      </c>
      <c r="IA126" s="3">
        <f ca="1">IFERROR(__xludf.DUMMYFUNCTION("""COMPUTED_VALUE"""),-0.822058579309179)</f>
        <v>-0.82205857930917903</v>
      </c>
      <c r="IB126" s="3">
        <f ca="1">IFERROR(__xludf.DUMMYFUNCTION("""COMPUTED_VALUE"""),-0.807596747919066)</f>
        <v>-0.80759674791906599</v>
      </c>
      <c r="IC126" s="3">
        <f ca="1">IFERROR(__xludf.DUMMYFUNCTION("""COMPUTED_VALUE"""),-0.862590771203257)</f>
        <v>-0.862590771203257</v>
      </c>
      <c r="ID126" s="3">
        <f ca="1">IFERROR(__xludf.DUMMYFUNCTION("""COMPUTED_VALUE"""),-0.875293997036149)</f>
        <v>-0.87529399703614896</v>
      </c>
      <c r="IE126" s="3">
        <f ca="1">IFERROR(__xludf.DUMMYFUNCTION("""COMPUTED_VALUE"""),-0.879177486737703)</f>
        <v>-0.87917748673770302</v>
      </c>
      <c r="IF126" s="3">
        <f ca="1">IFERROR(__xludf.DUMMYFUNCTION("""COMPUTED_VALUE"""),-0.877386447249319)</f>
        <v>-0.87738644724931902</v>
      </c>
      <c r="IG126" s="3">
        <f ca="1">IFERROR(__xludf.DUMMYFUNCTION("""COMPUTED_VALUE"""),-0.87139114867997)</f>
        <v>-0.87139114867997003</v>
      </c>
      <c r="IH126" s="3">
        <f ca="1">IFERROR(__xludf.DUMMYFUNCTION("""COMPUTED_VALUE"""),-0.82261261183421)</f>
        <v>-0.82261261183420997</v>
      </c>
      <c r="II126" s="3">
        <f ca="1">IFERROR(__xludf.DUMMYFUNCTION("""COMPUTED_VALUE"""),-0.796637375648243)</f>
        <v>-0.796637375648243</v>
      </c>
      <c r="IJ126" s="3">
        <f ca="1">IFERROR(__xludf.DUMMYFUNCTION("""COMPUTED_VALUE"""),-0.848213905231984)</f>
        <v>-0.84821390523198403</v>
      </c>
      <c r="IK126" s="3">
        <f ca="1">IFERROR(__xludf.DUMMYFUNCTION("""COMPUTED_VALUE"""),-0.86033281135718)</f>
        <v>-0.86033281135717998</v>
      </c>
      <c r="IL126" s="3">
        <f ca="1">IFERROR(__xludf.DUMMYFUNCTION("""COMPUTED_VALUE"""),-0.85861119909283)</f>
        <v>-0.85861119909283001</v>
      </c>
      <c r="IM126" s="3">
        <f ca="1">IFERROR(__xludf.DUMMYFUNCTION("""COMPUTED_VALUE"""),-0.863464603564343)</f>
        <v>-0.86346460356434296</v>
      </c>
      <c r="IN126" s="3">
        <f ca="1">IFERROR(__xludf.DUMMYFUNCTION("""COMPUTED_VALUE"""),-0.849033040029896)</f>
        <v>-0.84903304002989599</v>
      </c>
      <c r="IO126" s="3">
        <f ca="1">IFERROR(__xludf.DUMMYFUNCTION("""COMPUTED_VALUE"""),-0.786000282147439)</f>
        <v>-0.786000282147439</v>
      </c>
      <c r="IP126" s="3">
        <f ca="1">IFERROR(__xludf.DUMMYFUNCTION("""COMPUTED_VALUE"""),-0.787957325314706)</f>
        <v>-0.78795732531470597</v>
      </c>
      <c r="IQ126" s="3">
        <f ca="1">IFERROR(__xludf.DUMMYFUNCTION("""COMPUTED_VALUE"""),-0.837448848925325)</f>
        <v>-0.83744884892532501</v>
      </c>
      <c r="IR126" s="3">
        <f ca="1">IFERROR(__xludf.DUMMYFUNCTION("""COMPUTED_VALUE"""),-0.850389849550207)</f>
        <v>-0.85038984955020702</v>
      </c>
      <c r="IS126" s="3">
        <f ca="1">IFERROR(__xludf.DUMMYFUNCTION("""COMPUTED_VALUE"""),-0.857525138232855)</f>
        <v>-0.85752513823285503</v>
      </c>
      <c r="IT126" s="3">
        <f ca="1">IFERROR(__xludf.DUMMYFUNCTION("""COMPUTED_VALUE"""),-0.858831558874026)</f>
        <v>-0.85883155887402596</v>
      </c>
      <c r="IU126" s="3">
        <f ca="1">IFERROR(__xludf.DUMMYFUNCTION("""COMPUTED_VALUE"""),-0.843441342218427)</f>
        <v>-0.84344134221842704</v>
      </c>
      <c r="IV126" s="3">
        <f ca="1">IFERROR(__xludf.DUMMYFUNCTION("""COMPUTED_VALUE"""),-0.808450819957168)</f>
        <v>-0.80845081995716805</v>
      </c>
      <c r="IW126" s="3">
        <f ca="1">IFERROR(__xludf.DUMMYFUNCTION("""COMPUTED_VALUE"""),-0.81020567899814)</f>
        <v>-0.81020567899814</v>
      </c>
      <c r="IX126" s="3">
        <f ca="1">IFERROR(__xludf.DUMMYFUNCTION("""COMPUTED_VALUE"""),-0.84050334821886)</f>
        <v>-0.84050334821885997</v>
      </c>
      <c r="IY126" s="3">
        <f ca="1">IFERROR(__xludf.DUMMYFUNCTION("""COMPUTED_VALUE"""),-0.850599617195658)</f>
        <v>-0.85059961719565802</v>
      </c>
      <c r="IZ126" s="3">
        <f ca="1">IFERROR(__xludf.DUMMYFUNCTION("""COMPUTED_VALUE"""),-0.860456036365272)</f>
        <v>-0.86045603636527201</v>
      </c>
      <c r="JA126" s="3">
        <f ca="1">IFERROR(__xludf.DUMMYFUNCTION("""COMPUTED_VALUE"""),-0.857815535877685)</f>
        <v>-0.857815535877685</v>
      </c>
      <c r="JB126" s="3">
        <f ca="1">IFERROR(__xludf.DUMMYFUNCTION("""COMPUTED_VALUE"""),-0.859853716191014)</f>
        <v>-0.85985371619101403</v>
      </c>
      <c r="JC126" s="3">
        <f ca="1">IFERROR(__xludf.DUMMYFUNCTION("""COMPUTED_VALUE"""),-0.815278070595314)</f>
        <v>-0.81527807059531399</v>
      </c>
      <c r="JD126" s="3">
        <f ca="1">IFERROR(__xludf.DUMMYFUNCTION("""COMPUTED_VALUE"""),-0.817495075794643)</f>
        <v>-0.81749507579464298</v>
      </c>
      <c r="JE126" s="3">
        <f ca="1">IFERROR(__xludf.DUMMYFUNCTION("""COMPUTED_VALUE"""),-0.852119230507176)</f>
        <v>-0.85211923050717597</v>
      </c>
      <c r="JF126" s="3">
        <f ca="1">IFERROR(__xludf.DUMMYFUNCTION("""COMPUTED_VALUE"""),-0.862877717530186)</f>
        <v>-0.86287771753018605</v>
      </c>
      <c r="JG126" s="3">
        <f ca="1">IFERROR(__xludf.DUMMYFUNCTION("""COMPUTED_VALUE"""),-0.865607329910558)</f>
        <v>-0.865607329910558</v>
      </c>
      <c r="JH126" s="3">
        <f ca="1">IFERROR(__xludf.DUMMYFUNCTION("""COMPUTED_VALUE"""),-0.861718692482694)</f>
        <v>-0.86171869248269395</v>
      </c>
      <c r="JI126" s="3">
        <f ca="1">IFERROR(__xludf.DUMMYFUNCTION("""COMPUTED_VALUE"""),-0.8714127926611)</f>
        <v>-0.87141279266110006</v>
      </c>
      <c r="JJ126" s="3">
        <f ca="1">IFERROR(__xludf.DUMMYFUNCTION("""COMPUTED_VALUE"""),-0.822438809686609)</f>
        <v>-0.82243880968660898</v>
      </c>
      <c r="JK126" s="3">
        <f ca="1">IFERROR(__xludf.DUMMYFUNCTION("""COMPUTED_VALUE"""),-0.8205533878947)</f>
        <v>-0.8205533878947</v>
      </c>
      <c r="JL126" s="3">
        <f ca="1">IFERROR(__xludf.DUMMYFUNCTION("""COMPUTED_VALUE"""),-0.845976351531161)</f>
        <v>-0.84597635153116102</v>
      </c>
      <c r="JM126" s="3">
        <f ca="1">IFERROR(__xludf.DUMMYFUNCTION("""COMPUTED_VALUE"""),-0.863873142087604)</f>
        <v>-0.86387314208760402</v>
      </c>
      <c r="JN126" s="3">
        <f ca="1">IFERROR(__xludf.DUMMYFUNCTION("""COMPUTED_VALUE"""),-0.863529711057474)</f>
        <v>-0.863529711057474</v>
      </c>
      <c r="JO126" s="3">
        <f ca="1">IFERROR(__xludf.DUMMYFUNCTION("""COMPUTED_VALUE"""),-0.859098492878111)</f>
        <v>-0.85909849287811102</v>
      </c>
      <c r="JP126" s="3">
        <f ca="1">IFERROR(__xludf.DUMMYFUNCTION("""COMPUTED_VALUE"""),-0.842267986630832)</f>
        <v>-0.84226798663083202</v>
      </c>
      <c r="JQ126" s="3">
        <f ca="1">IFERROR(__xludf.DUMMYFUNCTION("""COMPUTED_VALUE"""),-0.798582760464511)</f>
        <v>-0.79858276046451104</v>
      </c>
      <c r="JR126" s="3">
        <f ca="1">IFERROR(__xludf.DUMMYFUNCTION("""COMPUTED_VALUE"""),-0.808189328076773)</f>
        <v>-0.80818932807677302</v>
      </c>
      <c r="JS126" s="3">
        <f ca="1">IFERROR(__xludf.DUMMYFUNCTION("""COMPUTED_VALUE"""),-0.83865697236956)</f>
        <v>-0.83865697236956005</v>
      </c>
      <c r="JT126" s="3">
        <f ca="1">IFERROR(__xludf.DUMMYFUNCTION("""COMPUTED_VALUE"""),-0.83133368250843)</f>
        <v>-0.83133368250842998</v>
      </c>
      <c r="JU126" s="3">
        <f ca="1">IFERROR(__xludf.DUMMYFUNCTION("""COMPUTED_VALUE"""),-0.820794095232997)</f>
        <v>-0.82079409523299696</v>
      </c>
      <c r="JV126" s="3">
        <f ca="1">IFERROR(__xludf.DUMMYFUNCTION("""COMPUTED_VALUE"""),-0.820773120326201)</f>
        <v>-0.82077312032620098</v>
      </c>
      <c r="JW126" s="3">
        <f ca="1">IFERROR(__xludf.DUMMYFUNCTION("""COMPUTED_VALUE"""),-0.863947577531644)</f>
        <v>-0.86394757753164397</v>
      </c>
      <c r="JX126" s="3">
        <f ca="1">IFERROR(__xludf.DUMMYFUNCTION("""COMPUTED_VALUE"""),-0.820896990455363)</f>
        <v>-0.82089699045536302</v>
      </c>
      <c r="JY126" s="3">
        <f ca="1">IFERROR(__xludf.DUMMYFUNCTION("""COMPUTED_VALUE"""),-0.842176641688836)</f>
        <v>-0.84217664168883599</v>
      </c>
      <c r="JZ126" s="3">
        <f ca="1">IFERROR(__xludf.DUMMYFUNCTION("""COMPUTED_VALUE"""),-0.854406023910288)</f>
        <v>-0.85440602391028797</v>
      </c>
      <c r="KA126" s="3">
        <f ca="1">IFERROR(__xludf.DUMMYFUNCTION("""COMPUTED_VALUE"""),-0.839846007158575)</f>
        <v>-0.83984600715857505</v>
      </c>
      <c r="KB126" s="3">
        <f ca="1">IFERROR(__xludf.DUMMYFUNCTION("""COMPUTED_VALUE"""),-0.863623323423486)</f>
        <v>-0.86362332342348602</v>
      </c>
      <c r="KC126" s="3">
        <f ca="1">IFERROR(__xludf.DUMMYFUNCTION("""COMPUTED_VALUE"""),-0.867615532039576)</f>
        <v>-0.86761553203957598</v>
      </c>
      <c r="KD126" s="3">
        <f ca="1">IFERROR(__xludf.DUMMYFUNCTION("""COMPUTED_VALUE"""),-0.864464985673619)</f>
        <v>-0.86446498567361896</v>
      </c>
      <c r="KE126" s="3">
        <f ca="1">IFERROR(__xludf.DUMMYFUNCTION("""COMPUTED_VALUE"""),-0.814575868340612)</f>
        <v>-0.81457586834061202</v>
      </c>
      <c r="KF126" s="3">
        <f ca="1">IFERROR(__xludf.DUMMYFUNCTION("""COMPUTED_VALUE"""),-0.80366070235789)</f>
        <v>-0.80366070235789</v>
      </c>
      <c r="KG126" s="3">
        <f ca="1">IFERROR(__xludf.DUMMYFUNCTION("""COMPUTED_VALUE"""),-0.831948720488665)</f>
        <v>-0.83194872048866497</v>
      </c>
      <c r="KH126" s="3">
        <f ca="1">IFERROR(__xludf.DUMMYFUNCTION("""COMPUTED_VALUE"""),-0.833299819502735)</f>
        <v>-0.83329981950273502</v>
      </c>
      <c r="KI126" s="3">
        <f ca="1">IFERROR(__xludf.DUMMYFUNCTION("""COMPUTED_VALUE"""),-0.867133105364754)</f>
        <v>-0.86713310536475396</v>
      </c>
      <c r="KJ126" s="3">
        <f ca="1">IFERROR(__xludf.DUMMYFUNCTION("""COMPUTED_VALUE"""),-0.868295078918194)</f>
        <v>-0.86829507891819402</v>
      </c>
      <c r="KK126" s="3">
        <f ca="1">IFERROR(__xludf.DUMMYFUNCTION("""COMPUTED_VALUE"""),-0.865117816770486)</f>
        <v>-0.86511781677048605</v>
      </c>
      <c r="KL126" s="3">
        <f ca="1">IFERROR(__xludf.DUMMYFUNCTION("""COMPUTED_VALUE"""),-0.829385620119214)</f>
        <v>-0.82938562011921402</v>
      </c>
      <c r="KM126" s="3">
        <f ca="1">IFERROR(__xludf.DUMMYFUNCTION("""COMPUTED_VALUE"""),-0.809500204252257)</f>
        <v>-0.80950020425225699</v>
      </c>
      <c r="KN126" s="3">
        <f ca="1">IFERROR(__xludf.DUMMYFUNCTION("""COMPUTED_VALUE"""),-0.835139154001745)</f>
        <v>-0.83513915400174499</v>
      </c>
      <c r="KO126" s="3">
        <f ca="1">IFERROR(__xludf.DUMMYFUNCTION("""COMPUTED_VALUE"""),-0.864946244340278)</f>
        <v>-0.864946244340278</v>
      </c>
      <c r="KP126" s="3">
        <f ca="1">IFERROR(__xludf.DUMMYFUNCTION("""COMPUTED_VALUE"""),-0.84853786777341)</f>
        <v>-0.84853786777341</v>
      </c>
      <c r="KQ126" s="3">
        <f ca="1">IFERROR(__xludf.DUMMYFUNCTION("""COMPUTED_VALUE"""),-0.869134087159882)</f>
        <v>-0.86913408715988205</v>
      </c>
      <c r="KR126" s="3">
        <f ca="1">IFERROR(__xludf.DUMMYFUNCTION("""COMPUTED_VALUE"""),-0.865844927096082)</f>
        <v>-0.86584492709608196</v>
      </c>
      <c r="KS126" s="3">
        <f ca="1">IFERROR(__xludf.DUMMYFUNCTION("""COMPUTED_VALUE"""),-0.799269157926674)</f>
        <v>-0.79926915792667397</v>
      </c>
      <c r="KT126" s="3">
        <f ca="1">IFERROR(__xludf.DUMMYFUNCTION("""COMPUTED_VALUE"""),-0.819371144073872)</f>
        <v>-0.81937114407387202</v>
      </c>
      <c r="KU126" s="3">
        <f ca="1">IFERROR(__xludf.DUMMYFUNCTION("""COMPUTED_VALUE"""),-0.86694042611108)</f>
        <v>-0.86694042611108002</v>
      </c>
      <c r="KV126" s="3">
        <f ca="1">IFERROR(__xludf.DUMMYFUNCTION("""COMPUTED_VALUE"""),-0.877552506787064)</f>
        <v>-0.87755250678706398</v>
      </c>
      <c r="KW126" s="3">
        <f ca="1">IFERROR(__xludf.DUMMYFUNCTION("""COMPUTED_VALUE"""),-0.875089210136461)</f>
        <v>-0.87508921013646102</v>
      </c>
      <c r="KX126" s="3">
        <f ca="1">IFERROR(__xludf.DUMMYFUNCTION("""COMPUTED_VALUE"""),-0.875215591938435)</f>
        <v>-0.87521559193843501</v>
      </c>
      <c r="KY126" s="3">
        <f ca="1">IFERROR(__xludf.DUMMYFUNCTION("""COMPUTED_VALUE"""),-0.882763069810548)</f>
        <v>-0.88276306981054797</v>
      </c>
      <c r="KZ126" s="3">
        <f ca="1">IFERROR(__xludf.DUMMYFUNCTION("""COMPUTED_VALUE"""),-0.828807838074081)</f>
        <v>-0.82880783807408098</v>
      </c>
      <c r="LA126" s="3">
        <f ca="1">IFERROR(__xludf.DUMMYFUNCTION("""COMPUTED_VALUE"""),-0.837549284464926)</f>
        <v>-0.83754928446492605</v>
      </c>
      <c r="LB126" s="3">
        <f ca="1">IFERROR(__xludf.DUMMYFUNCTION("""COMPUTED_VALUE"""),-0.877599485959633)</f>
        <v>-0.877599485959633</v>
      </c>
      <c r="LC126" s="3">
        <f ca="1">IFERROR(__xludf.DUMMYFUNCTION("""COMPUTED_VALUE"""),-0.894673306785102)</f>
        <v>-0.89467330678510204</v>
      </c>
      <c r="LD126" s="3">
        <f ca="1">IFERROR(__xludf.DUMMYFUNCTION("""COMPUTED_VALUE"""),-0.88773329262249)</f>
        <v>-0.88773329262249001</v>
      </c>
      <c r="LE126" s="3">
        <f ca="1">IFERROR(__xludf.DUMMYFUNCTION("""COMPUTED_VALUE"""),-0.893169806629671)</f>
        <v>-0.89316980662967105</v>
      </c>
      <c r="LF126" s="3">
        <f ca="1">IFERROR(__xludf.DUMMYFUNCTION("""COMPUTED_VALUE"""),-0.85445855311021)</f>
        <v>-0.85445855311021002</v>
      </c>
      <c r="LG126" s="3">
        <f ca="1">IFERROR(__xludf.DUMMYFUNCTION("""COMPUTED_VALUE"""),-0.801689722965693)</f>
        <v>-0.80168972296569296</v>
      </c>
      <c r="LH126" s="3">
        <f ca="1">IFERROR(__xludf.DUMMYFUNCTION("""COMPUTED_VALUE"""),-0.832174308696548)</f>
        <v>-0.83217430869654796</v>
      </c>
      <c r="LI126" s="3">
        <f ca="1">IFERROR(__xludf.DUMMYFUNCTION("""COMPUTED_VALUE"""),-0.877585777074564)</f>
        <v>-0.87758577707456398</v>
      </c>
      <c r="LJ126" s="3">
        <f ca="1">IFERROR(__xludf.DUMMYFUNCTION("""COMPUTED_VALUE"""),-0.885333511393305)</f>
        <v>-0.88533351139330496</v>
      </c>
      <c r="LK126" s="3">
        <f ca="1">IFERROR(__xludf.DUMMYFUNCTION("""COMPUTED_VALUE"""),-0.892884360517165)</f>
        <v>-0.89288436051716502</v>
      </c>
      <c r="LL126" s="3">
        <f ca="1">IFERROR(__xludf.DUMMYFUNCTION("""COMPUTED_VALUE"""),-0.883249018991442)</f>
        <v>-0.88324901899144204</v>
      </c>
      <c r="LM126" s="3">
        <f ca="1">IFERROR(__xludf.DUMMYFUNCTION("""COMPUTED_VALUE"""),-0.887520287434764)</f>
        <v>-0.88752028743476397</v>
      </c>
      <c r="LN126" s="3">
        <f ca="1">IFERROR(__xludf.DUMMYFUNCTION("""COMPUTED_VALUE"""),-0.838412331112175)</f>
        <v>-0.83841233111217495</v>
      </c>
      <c r="LO126" s="3">
        <f ca="1">IFERROR(__xludf.DUMMYFUNCTION("""COMPUTED_VALUE"""),-0.845046410407129)</f>
        <v>-0.84504641040712902</v>
      </c>
      <c r="LP126" s="3">
        <f ca="1">IFERROR(__xludf.DUMMYFUNCTION("""COMPUTED_VALUE"""),-0.887538697434032)</f>
        <v>-0.88753869743403202</v>
      </c>
      <c r="LQ126" s="3">
        <f ca="1">IFERROR(__xludf.DUMMYFUNCTION("""COMPUTED_VALUE"""),-0.902906058707387)</f>
        <v>-0.90290605870738705</v>
      </c>
      <c r="LR126" s="3">
        <f ca="1">IFERROR(__xludf.DUMMYFUNCTION("""COMPUTED_VALUE"""),-0.908907909026688)</f>
        <v>-0.90890790902668805</v>
      </c>
      <c r="LS126" s="3">
        <f ca="1">IFERROR(__xludf.DUMMYFUNCTION("""COMPUTED_VALUE"""),-0.906212165737672)</f>
        <v>-0.90621216573767205</v>
      </c>
      <c r="LT126" s="3">
        <f ca="1">IFERROR(__xludf.DUMMYFUNCTION("""COMPUTED_VALUE"""),-0.878982151136284)</f>
        <v>-0.87898215113628397</v>
      </c>
      <c r="LU126" s="3">
        <f ca="1">IFERROR(__xludf.DUMMYFUNCTION("""COMPUTED_VALUE"""),-0.857839343959802)</f>
        <v>-0.85783934395980199</v>
      </c>
      <c r="LV126" s="3">
        <f ca="1">IFERROR(__xludf.DUMMYFUNCTION("""COMPUTED_VALUE"""),-0.855692686443913)</f>
        <v>-0.85569268644391305</v>
      </c>
      <c r="LW126" s="3">
        <f ca="1">IFERROR(__xludf.DUMMYFUNCTION("""COMPUTED_VALUE"""),-0.909214418487493)</f>
        <v>-0.90921441848749296</v>
      </c>
      <c r="LX126" s="3">
        <f ca="1">IFERROR(__xludf.DUMMYFUNCTION("""COMPUTED_VALUE"""),-0.914954455333065)</f>
        <v>-0.91495445533306496</v>
      </c>
      <c r="LY126" s="3">
        <f ca="1">IFERROR(__xludf.DUMMYFUNCTION("""COMPUTED_VALUE"""),-0.925845241843681)</f>
        <v>-0.925845241843681</v>
      </c>
      <c r="LZ126" s="3">
        <f ca="1">IFERROR(__xludf.DUMMYFUNCTION("""COMPUTED_VALUE"""),-0.913894857520721)</f>
        <v>-0.91389485752072097</v>
      </c>
      <c r="MA126" s="3">
        <f ca="1">IFERROR(__xludf.DUMMYFUNCTION("""COMPUTED_VALUE"""),-0.913999547192333)</f>
        <v>-0.91399954719233301</v>
      </c>
      <c r="MB126" s="3">
        <f ca="1">IFERROR(__xludf.DUMMYFUNCTION("""COMPUTED_VALUE"""),-0.880249461175156)</f>
        <v>-0.88024946117515601</v>
      </c>
      <c r="MC126" s="3">
        <f ca="1">IFERROR(__xludf.DUMMYFUNCTION("""COMPUTED_VALUE"""),-0.874497821842079)</f>
        <v>-0.87449782184207903</v>
      </c>
      <c r="MD126" s="3">
        <f ca="1">IFERROR(__xludf.DUMMYFUNCTION("""COMPUTED_VALUE"""),-0.913879381689625)</f>
        <v>-0.91387938168962501</v>
      </c>
      <c r="ME126" s="3">
        <f ca="1">IFERROR(__xludf.DUMMYFUNCTION("""COMPUTED_VALUE"""),-0.922221332016902)</f>
        <v>-0.92222133201690204</v>
      </c>
      <c r="MF126" s="3">
        <f ca="1">IFERROR(__xludf.DUMMYFUNCTION("""COMPUTED_VALUE"""),-0.916974450964111)</f>
        <v>-0.91697445096411101</v>
      </c>
      <c r="MG126" s="3">
        <f ca="1">IFERROR(__xludf.DUMMYFUNCTION("""COMPUTED_VALUE"""),-0.922926803775248)</f>
        <v>-0.92292680377524805</v>
      </c>
      <c r="MH126" s="3">
        <f ca="1">IFERROR(__xludf.DUMMYFUNCTION("""COMPUTED_VALUE"""),-0.916190245529913)</f>
        <v>-0.91619024552991302</v>
      </c>
      <c r="MI126" s="3">
        <f ca="1">IFERROR(__xludf.DUMMYFUNCTION("""COMPUTED_VALUE"""),-0.883983202970493)</f>
        <v>-0.88398320297049304</v>
      </c>
      <c r="MJ126" s="3">
        <f ca="1">IFERROR(__xludf.DUMMYFUNCTION("""COMPUTED_VALUE"""),-0.886351100270867)</f>
        <v>-0.88635110027086705</v>
      </c>
      <c r="MK126" s="3">
        <f ca="1">IFERROR(__xludf.DUMMYFUNCTION("""COMPUTED_VALUE"""),-0.91797646702511)</f>
        <v>-0.91797646702511004</v>
      </c>
      <c r="ML126" s="3">
        <f ca="1">IFERROR(__xludf.DUMMYFUNCTION("""COMPUTED_VALUE"""),-0.923422870338564)</f>
        <v>-0.92342287033856396</v>
      </c>
      <c r="MM126" s="3">
        <f ca="1">IFERROR(__xludf.DUMMYFUNCTION("""COMPUTED_VALUE"""),-0.923621666154553)</f>
        <v>-0.92362166615455299</v>
      </c>
      <c r="MN126" s="3">
        <f ca="1">IFERROR(__xludf.DUMMYFUNCTION("""COMPUTED_VALUE"""),-0.917430684235607)</f>
        <v>-0.91743068423560703</v>
      </c>
      <c r="MO126" s="3">
        <f ca="1">IFERROR(__xludf.DUMMYFUNCTION("""COMPUTED_VALUE"""),-0.91263868479096)</f>
        <v>-0.91263868479096</v>
      </c>
      <c r="MP126" s="3">
        <f ca="1">IFERROR(__xludf.DUMMYFUNCTION("""COMPUTED_VALUE"""),-0.878298977266519)</f>
        <v>-0.87829897726651895</v>
      </c>
      <c r="MQ126" s="3">
        <f ca="1">IFERROR(__xludf.DUMMYFUNCTION("""COMPUTED_VALUE"""),-0.885071816026971)</f>
        <v>-0.88507181602697105</v>
      </c>
      <c r="MR126" s="3">
        <f ca="1">IFERROR(__xludf.DUMMYFUNCTION("""COMPUTED_VALUE"""),-0.913527997258806)</f>
        <v>-0.91352799725880596</v>
      </c>
      <c r="MS126" s="3">
        <f ca="1">IFERROR(__xludf.DUMMYFUNCTION("""COMPUTED_VALUE"""),-0.917305621581207)</f>
        <v>-0.91730562158120699</v>
      </c>
      <c r="MT126" s="3">
        <f ca="1">IFERROR(__xludf.DUMMYFUNCTION("""COMPUTED_VALUE"""),-0.916559895188523)</f>
        <v>-0.91655989518852299</v>
      </c>
      <c r="MU126" s="3">
        <f ca="1">IFERROR(__xludf.DUMMYFUNCTION("""COMPUTED_VALUE"""),-0.904363114165812)</f>
        <v>-0.90436311416581205</v>
      </c>
      <c r="MV126" s="3">
        <f ca="1">IFERROR(__xludf.DUMMYFUNCTION("""COMPUTED_VALUE"""),-0.901832597276808)</f>
        <v>-0.90183259727680798</v>
      </c>
      <c r="MW126" s="3">
        <f ca="1">IFERROR(__xludf.DUMMYFUNCTION("""COMPUTED_VALUE"""),-0.852701550235939)</f>
        <v>-0.85270155023593897</v>
      </c>
      <c r="MX126" s="3">
        <f ca="1">IFERROR(__xludf.DUMMYFUNCTION("""COMPUTED_VALUE"""),-0.867913761241086)</f>
        <v>-0.86791376124108599</v>
      </c>
      <c r="MY126" s="3">
        <f ca="1">IFERROR(__xludf.DUMMYFUNCTION("""COMPUTED_VALUE"""),-0.898498408998013)</f>
        <v>-0.89849840899801303</v>
      </c>
      <c r="MZ126" s="3">
        <f ca="1">IFERROR(__xludf.DUMMYFUNCTION("""COMPUTED_VALUE"""),-0.905402401606694)</f>
        <v>-0.90540240160669405</v>
      </c>
      <c r="NA126" s="3">
        <f ca="1">IFERROR(__xludf.DUMMYFUNCTION("""COMPUTED_VALUE"""),-0.900735554313478)</f>
        <v>-0.90073555431347796</v>
      </c>
      <c r="NB126" s="3">
        <f ca="1">IFERROR(__xludf.DUMMYFUNCTION("""COMPUTED_VALUE"""),-0.890793974520527)</f>
        <v>-0.890793974520527</v>
      </c>
      <c r="NC126" s="3">
        <f ca="1">IFERROR(__xludf.DUMMYFUNCTION("""COMPUTED_VALUE"""),-0.877925319026562)</f>
        <v>-0.87792531902656201</v>
      </c>
      <c r="ND126" s="3">
        <f ca="1">IFERROR(__xludf.DUMMYFUNCTION("""COMPUTED_VALUE"""),-0.853570697183708)</f>
        <v>-0.85357069718370804</v>
      </c>
      <c r="NE126" s="3">
        <f ca="1">IFERROR(__xludf.DUMMYFUNCTION("""COMPUTED_VALUE"""),-0.847709078774447)</f>
        <v>-0.84770907877444701</v>
      </c>
      <c r="NF126" s="3">
        <f ca="1">IFERROR(__xludf.DUMMYFUNCTION("""COMPUTED_VALUE"""),-0.849793375083793)</f>
        <v>-0.84979337508379305</v>
      </c>
      <c r="NG126" s="3">
        <f ca="1">IFERROR(__xludf.DUMMYFUNCTION("""COMPUTED_VALUE"""),-0.847727093710419)</f>
        <v>-0.84772709371041899</v>
      </c>
      <c r="NH126" s="3">
        <f ca="1">IFERROR(__xludf.DUMMYFUNCTION("""COMPUTED_VALUE"""),-0.875663752254517)</f>
        <v>-0.87566375225451698</v>
      </c>
      <c r="NI126" s="3">
        <f ca="1">IFERROR(__xludf.DUMMYFUNCTION("""COMPUTED_VALUE"""),-0.862052453761363)</f>
        <v>-0.86205245376136297</v>
      </c>
      <c r="NJ126" s="3">
        <f ca="1">IFERROR(__xludf.DUMMYFUNCTION("""COMPUTED_VALUE"""),-0.857779329002751)</f>
        <v>-0.857779329002751</v>
      </c>
      <c r="NK126" s="3">
        <f ca="1">IFERROR(__xludf.DUMMYFUNCTION("""COMPUTED_VALUE"""),-0.836470543058463)</f>
        <v>-0.83647054305846302</v>
      </c>
      <c r="NL126" s="3">
        <f ca="1">IFERROR(__xludf.DUMMYFUNCTION("""COMPUTED_VALUE"""),-0.813744188703478)</f>
        <v>-0.81374418870347798</v>
      </c>
      <c r="NM126" s="3">
        <f ca="1">IFERROR(__xludf.DUMMYFUNCTION("""COMPUTED_VALUE"""),-0.847144548500855)</f>
        <v>-0.84714454850085497</v>
      </c>
      <c r="NN126" s="3">
        <f ca="1">IFERROR(__xludf.DUMMYFUNCTION("""COMPUTED_VALUE"""),-0.854767725967525)</f>
        <v>-0.85476772596752504</v>
      </c>
      <c r="NO126" s="3">
        <f ca="1">IFERROR(__xludf.DUMMYFUNCTION("""COMPUTED_VALUE"""),-0.855497826367776)</f>
        <v>-0.85549782636777605</v>
      </c>
      <c r="NP126" s="3">
        <f ca="1">IFERROR(__xludf.DUMMYFUNCTION("""COMPUTED_VALUE"""),-0.839154414199677)</f>
        <v>-0.83915441419967696</v>
      </c>
      <c r="NQ126" s="3">
        <f ca="1">IFERROR(__xludf.DUMMYFUNCTION("""COMPUTED_VALUE"""),-0.828014657619606)</f>
        <v>-0.82801465761960602</v>
      </c>
      <c r="NR126" s="3">
        <f ca="1">IFERROR(__xludf.DUMMYFUNCTION("""COMPUTED_VALUE"""),-0.799458397626023)</f>
        <v>-0.799458397626023</v>
      </c>
      <c r="NS126" s="3">
        <f ca="1">IFERROR(__xludf.DUMMYFUNCTION("""COMPUTED_VALUE"""),-0.810746947258332)</f>
        <v>-0.81074694725833196</v>
      </c>
      <c r="NT126" s="3">
        <f ca="1">IFERROR(__xludf.DUMMYFUNCTION("""COMPUTED_VALUE"""),-0.845215020755276)</f>
        <v>-0.84521502075527599</v>
      </c>
      <c r="NU126" s="3">
        <f ca="1">IFERROR(__xludf.DUMMYFUNCTION("""COMPUTED_VALUE"""),-0.853307739267335)</f>
        <v>-0.85330773926733505</v>
      </c>
      <c r="NV126" s="3">
        <f ca="1">IFERROR(__xludf.DUMMYFUNCTION("""COMPUTED_VALUE"""),-0.864685408154881)</f>
        <v>-0.86468540815488104</v>
      </c>
      <c r="NW126" s="3">
        <f ca="1">IFERROR(__xludf.DUMMYFUNCTION("""COMPUTED_VALUE"""),-0.849855308905686)</f>
        <v>-0.84985530890568595</v>
      </c>
      <c r="NX126" s="3">
        <f ca="1">IFERROR(__xludf.DUMMYFUNCTION("""COMPUTED_VALUE"""),-0.844721620834462)</f>
        <v>-0.84472162083446201</v>
      </c>
      <c r="NY126" s="3">
        <f ca="1">IFERROR(__xludf.DUMMYFUNCTION("""COMPUTED_VALUE"""),-0.827004864915366)</f>
        <v>-0.82700486491536596</v>
      </c>
      <c r="NZ126" s="3">
        <f ca="1">IFERROR(__xludf.DUMMYFUNCTION("""COMPUTED_VALUE"""),-0.813441160183156)</f>
        <v>-0.81344116018315604</v>
      </c>
      <c r="OA126" s="3">
        <f ca="1">IFERROR(__xludf.DUMMYFUNCTION("""COMPUTED_VALUE"""),-0.83918560207125)</f>
        <v>-0.83918560207125004</v>
      </c>
      <c r="OB126" s="3">
        <f ca="1">IFERROR(__xludf.DUMMYFUNCTION("""COMPUTED_VALUE"""),-0.84529759062815)</f>
        <v>-0.84529759062815002</v>
      </c>
      <c r="OC126" s="3">
        <f ca="1">IFERROR(__xludf.DUMMYFUNCTION("""COMPUTED_VALUE"""),-0.848553970030097)</f>
        <v>-0.84855397003009703</v>
      </c>
      <c r="OD126" s="3">
        <f ca="1">IFERROR(__xludf.DUMMYFUNCTION("""COMPUTED_VALUE"""),-0.809474208235606)</f>
        <v>-0.80947420823560601</v>
      </c>
      <c r="OE126" s="3">
        <f ca="1">IFERROR(__xludf.DUMMYFUNCTION("""COMPUTED_VALUE"""),-0.656606071612282)</f>
        <v>-0.65660607161228202</v>
      </c>
      <c r="OF126" s="3">
        <f ca="1">IFERROR(__xludf.DUMMYFUNCTION("""COMPUTED_VALUE"""),-0.482782269031608)</f>
        <v>-0.48278226903160798</v>
      </c>
      <c r="OG126" s="3">
        <f ca="1">IFERROR(__xludf.DUMMYFUNCTION("""COMPUTED_VALUE"""),-0.468399140444615)</f>
        <v>-0.468399140444615</v>
      </c>
      <c r="OH126" s="3">
        <f ca="1">IFERROR(__xludf.DUMMYFUNCTION("""COMPUTED_VALUE"""),-0.352857982249684)</f>
        <v>-0.35285798224968401</v>
      </c>
      <c r="OI126" s="3">
        <f ca="1">IFERROR(__xludf.DUMMYFUNCTION("""COMPUTED_VALUE"""),-0.349223877741615)</f>
        <v>-0.34922387774161501</v>
      </c>
      <c r="OJ126" s="3">
        <f ca="1">IFERROR(__xludf.DUMMYFUNCTION("""COMPUTED_VALUE"""),-0.27730720106125)</f>
        <v>-0.27730720106125001</v>
      </c>
      <c r="OK126" s="3">
        <f ca="1">IFERROR(__xludf.DUMMYFUNCTION("""COMPUTED_VALUE"""),-0.228790232725628)</f>
        <v>-0.22879023272562801</v>
      </c>
      <c r="OL126" s="3">
        <f ca="1">IFERROR(__xludf.DUMMYFUNCTION("""COMPUTED_VALUE"""),-0.147740194410758)</f>
        <v>-0.147740194410758</v>
      </c>
      <c r="OM126" s="3">
        <f ca="1">IFERROR(__xludf.DUMMYFUNCTION("""COMPUTED_VALUE"""),-0.0840500425413874)</f>
        <v>-8.4050042541387399E-2</v>
      </c>
      <c r="ON126" s="3">
        <f ca="1">IFERROR(__xludf.DUMMYFUNCTION("""COMPUTED_VALUE"""),-0.131946371644676)</f>
        <v>-0.13194637164467601</v>
      </c>
      <c r="OO126" s="3">
        <f ca="1">IFERROR(__xludf.DUMMYFUNCTION("""COMPUTED_VALUE"""),-0.0511844763616888)</f>
        <v>-5.1184476361688797E-2</v>
      </c>
      <c r="OP126" s="3">
        <f ca="1">IFERROR(__xludf.DUMMYFUNCTION("""COMPUTED_VALUE"""),-0.0704788517934463)</f>
        <v>-7.0478851793446304E-2</v>
      </c>
      <c r="OQ126" s="3">
        <f ca="1">IFERROR(__xludf.DUMMYFUNCTION("""COMPUTED_VALUE"""),-0.0515905841575879)</f>
        <v>-5.1590584157587903E-2</v>
      </c>
      <c r="OR126" s="3">
        <f ca="1">IFERROR(__xludf.DUMMYFUNCTION("""COMPUTED_VALUE"""),-0.0124277320017845)</f>
        <v>-1.24277320017845E-2</v>
      </c>
      <c r="OS126" s="3">
        <f ca="1">IFERROR(__xludf.DUMMYFUNCTION("""COMPUTED_VALUE"""),-0.000276313908789238)</f>
        <v>-2.7631390878923802E-4</v>
      </c>
      <c r="OT126" s="3">
        <f ca="1">IFERROR(__xludf.DUMMYFUNCTION("""COMPUTED_VALUE"""),-0.00984142032928447)</f>
        <v>-9.8414203292844695E-3</v>
      </c>
      <c r="OU126" s="3">
        <f ca="1">IFERROR(__xludf.DUMMYFUNCTION("""COMPUTED_VALUE"""),0.0372539644941889)</f>
        <v>3.7253964494188899E-2</v>
      </c>
      <c r="OV126" s="3">
        <f ca="1">IFERROR(__xludf.DUMMYFUNCTION("""COMPUTED_VALUE"""),0.0822774962055215)</f>
        <v>8.2277496205521494E-2</v>
      </c>
      <c r="OW126" s="3">
        <f ca="1">IFERROR(__xludf.DUMMYFUNCTION("""COMPUTED_VALUE"""),0.0206275323708327)</f>
        <v>2.0627532370832698E-2</v>
      </c>
      <c r="OX126" s="3">
        <f ca="1">IFERROR(__xludf.DUMMYFUNCTION("""COMPUTED_VALUE"""),0.0457061433856043)</f>
        <v>4.5706143385604303E-2</v>
      </c>
      <c r="OY126" s="3">
        <f ca="1">IFERROR(__xludf.DUMMYFUNCTION("""COMPUTED_VALUE"""),0.0297636691129916)</f>
        <v>2.9763669112991602E-2</v>
      </c>
      <c r="OZ126" s="3">
        <f ca="1">IFERROR(__xludf.DUMMYFUNCTION("""COMPUTED_VALUE"""),0.132041400669217)</f>
        <v>0.13204140066921699</v>
      </c>
      <c r="PA126" s="3">
        <f ca="1">IFERROR(__xludf.DUMMYFUNCTION("""COMPUTED_VALUE"""),0.0243458011086572)</f>
        <v>2.4345801108657202E-2</v>
      </c>
      <c r="PB126" s="3">
        <f ca="1">IFERROR(__xludf.DUMMYFUNCTION("""COMPUTED_VALUE"""),0.0348718590242747)</f>
        <v>3.4871859024274698E-2</v>
      </c>
      <c r="PC126" s="3">
        <f ca="1">IFERROR(__xludf.DUMMYFUNCTION("""COMPUTED_VALUE"""),0.0221128469787441)</f>
        <v>2.2112846978744102E-2</v>
      </c>
      <c r="PD126" s="3">
        <f ca="1">IFERROR(__xludf.DUMMYFUNCTION("""COMPUTED_VALUE"""),-0.0342213951082466)</f>
        <v>-3.4221395108246601E-2</v>
      </c>
      <c r="PE126" s="3">
        <f ca="1">IFERROR(__xludf.DUMMYFUNCTION("""COMPUTED_VALUE"""),-0.045096577735716)</f>
        <v>-4.5096577735716001E-2</v>
      </c>
      <c r="PF126" s="3">
        <f ca="1">IFERROR(__xludf.DUMMYFUNCTION("""COMPUTED_VALUE"""),-0.0351937600338507)</f>
        <v>-3.5193760033850698E-2</v>
      </c>
      <c r="PG126" s="3">
        <f ca="1">IFERROR(__xludf.DUMMYFUNCTION("""COMPUTED_VALUE"""),-0.27937574453289)</f>
        <v>-0.27937574453288999</v>
      </c>
      <c r="PH126" s="3">
        <f ca="1">IFERROR(__xludf.DUMMYFUNCTION("""COMPUTED_VALUE"""),-0.0539106397227414)</f>
        <v>-5.3910639722741398E-2</v>
      </c>
      <c r="PI126" s="3">
        <f ca="1">IFERROR(__xludf.DUMMYFUNCTION("""COMPUTED_VALUE"""),0.0186259706251943)</f>
        <v>1.8625970625194301E-2</v>
      </c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</row>
    <row r="127" spans="1:477" ht="13">
      <c r="A127" s="1" t="str">
        <f ca="1">IFERROR(__xludf.DUMMYFUNCTION("""COMPUTED_VALUE"""),"PresidiGo")</f>
        <v>PresidiGo</v>
      </c>
      <c r="B127" s="1" t="str">
        <f ca="1">IFERROR(__xludf.DUMMYFUNCTION("""COMPUTED_VALUE"""),"SF Bay Area")</f>
        <v>SF Bay Area</v>
      </c>
      <c r="C127" s="1" t="str">
        <f ca="1">IFERROR(__xludf.DUMMYFUNCTION("""COMPUTED_VALUE"""),"United States")</f>
        <v>United States</v>
      </c>
      <c r="D127" s="1" t="str">
        <f ca="1">IFERROR(__xludf.DUMMYFUNCTION("""COMPUTED_VALUE"""),"California")</f>
        <v>California</v>
      </c>
      <c r="E127" s="3">
        <f ca="1">IFERROR(__xludf.DUMMYFUNCTION("""COMPUTED_VALUE"""),-0.877886167444296)</f>
        <v>-0.87788616744429604</v>
      </c>
      <c r="F127" s="3">
        <f ca="1">IFERROR(__xludf.DUMMYFUNCTION("""COMPUTED_VALUE"""),-0.835763935644717)</f>
        <v>-0.83576393564471696</v>
      </c>
      <c r="G127" s="3">
        <f ca="1">IFERROR(__xludf.DUMMYFUNCTION("""COMPUTED_VALUE"""),-0.837639459711449)</f>
        <v>-0.83763945971144904</v>
      </c>
      <c r="H127" s="3">
        <f ca="1">IFERROR(__xludf.DUMMYFUNCTION("""COMPUTED_VALUE"""),-0.814173554950654)</f>
        <v>-0.81417355495065402</v>
      </c>
      <c r="I127" s="3">
        <f ca="1">IFERROR(__xludf.DUMMYFUNCTION("""COMPUTED_VALUE"""),-0.828025783049136)</f>
        <v>-0.82802578304913599</v>
      </c>
      <c r="J127" s="3">
        <f ca="1">IFERROR(__xludf.DUMMYFUNCTION("""COMPUTED_VALUE"""),-0.854139738250093)</f>
        <v>-0.85413973825009304</v>
      </c>
      <c r="K127" s="3">
        <f ca="1">IFERROR(__xludf.DUMMYFUNCTION("""COMPUTED_VALUE"""),-0.96381588714526)</f>
        <v>-0.96381588714526001</v>
      </c>
      <c r="L127" s="3">
        <f ca="1">IFERROR(__xludf.DUMMYFUNCTION("""COMPUTED_VALUE"""),-0.88274866532165)</f>
        <v>-0.88274866532164997</v>
      </c>
      <c r="M127" s="3">
        <f ca="1">IFERROR(__xludf.DUMMYFUNCTION("""COMPUTED_VALUE"""),-0.764500443238769)</f>
        <v>-0.76450044323876898</v>
      </c>
      <c r="N127" s="3">
        <f ca="1">IFERROR(__xludf.DUMMYFUNCTION("""COMPUTED_VALUE"""),-0.814834132952493)</f>
        <v>-0.81483413295249296</v>
      </c>
      <c r="O127" s="3">
        <f ca="1">IFERROR(__xludf.DUMMYFUNCTION("""COMPUTED_VALUE"""),-0.797498057838857)</f>
        <v>-0.79749805783885697</v>
      </c>
      <c r="P127" s="3">
        <f ca="1">IFERROR(__xludf.DUMMYFUNCTION("""COMPUTED_VALUE"""),-0.804641483111528)</f>
        <v>-0.80464148311152806</v>
      </c>
      <c r="Q127" s="3">
        <f ca="1">IFERROR(__xludf.DUMMYFUNCTION("""COMPUTED_VALUE"""),-0.907599230527937)</f>
        <v>-0.90759923052793701</v>
      </c>
      <c r="R127" s="3">
        <f ca="1">IFERROR(__xludf.DUMMYFUNCTION("""COMPUTED_VALUE"""),-0.945653297123217)</f>
        <v>-0.945653297123217</v>
      </c>
      <c r="S127" s="3">
        <f ca="1">IFERROR(__xludf.DUMMYFUNCTION("""COMPUTED_VALUE"""),-0.837945533847746)</f>
        <v>-0.83794553384774595</v>
      </c>
      <c r="T127" s="3">
        <f ca="1">IFERROR(__xludf.DUMMYFUNCTION("""COMPUTED_VALUE"""),-0.782740341828783)</f>
        <v>-0.78274034182878305</v>
      </c>
      <c r="U127" s="3">
        <f ca="1">IFERROR(__xludf.DUMMYFUNCTION("""COMPUTED_VALUE"""),-0.763425650284928)</f>
        <v>-0.76342565028492804</v>
      </c>
      <c r="V127" s="3">
        <f ca="1">IFERROR(__xludf.DUMMYFUNCTION("""COMPUTED_VALUE"""),-0.788297439024517)</f>
        <v>-0.78829743902451699</v>
      </c>
      <c r="W127" s="3">
        <f ca="1">IFERROR(__xludf.DUMMYFUNCTION("""COMPUTED_VALUE"""),-0.825318027592492)</f>
        <v>-0.82531802759249195</v>
      </c>
      <c r="X127" s="3">
        <f ca="1">IFERROR(__xludf.DUMMYFUNCTION("""COMPUTED_VALUE"""),-0.880162728023441)</f>
        <v>-0.88016272802344098</v>
      </c>
      <c r="Y127" s="3">
        <f ca="1">IFERROR(__xludf.DUMMYFUNCTION("""COMPUTED_VALUE"""),-0.951308932176591)</f>
        <v>-0.95130893217659096</v>
      </c>
      <c r="Z127" s="3">
        <f ca="1">IFERROR(__xludf.DUMMYFUNCTION("""COMPUTED_VALUE"""),-0.898652998960751)</f>
        <v>-0.89865299896075101</v>
      </c>
      <c r="AA127" s="3">
        <f ca="1">IFERROR(__xludf.DUMMYFUNCTION("""COMPUTED_VALUE"""),-0.822195557146628)</f>
        <v>-0.82219555714662795</v>
      </c>
      <c r="AB127" s="3">
        <f ca="1">IFERROR(__xludf.DUMMYFUNCTION("""COMPUTED_VALUE"""),-0.867137098169404)</f>
        <v>-0.86713709816940399</v>
      </c>
      <c r="AC127" s="3">
        <f ca="1">IFERROR(__xludf.DUMMYFUNCTION("""COMPUTED_VALUE"""),-0.812862337799534)</f>
        <v>-0.81286233779953398</v>
      </c>
      <c r="AD127" s="3">
        <f ca="1">IFERROR(__xludf.DUMMYFUNCTION("""COMPUTED_VALUE"""),-0.866929278446724)</f>
        <v>-0.86692927844672396</v>
      </c>
      <c r="AE127" s="3">
        <f ca="1">IFERROR(__xludf.DUMMYFUNCTION("""COMPUTED_VALUE"""),-0.892719791208838)</f>
        <v>-0.89271979120883804</v>
      </c>
      <c r="AF127" s="3">
        <f ca="1">IFERROR(__xludf.DUMMYFUNCTION("""COMPUTED_VALUE"""),-0.973954279528507)</f>
        <v>-0.97395427952850699</v>
      </c>
      <c r="AG127" s="3">
        <f ca="1">IFERROR(__xludf.DUMMYFUNCTION("""COMPUTED_VALUE"""),-0.872967063639121)</f>
        <v>-0.87296706363912102</v>
      </c>
      <c r="AH127" s="3">
        <f ca="1">IFERROR(__xludf.DUMMYFUNCTION("""COMPUTED_VALUE"""),-0.806519653004486)</f>
        <v>-0.80651965300448603</v>
      </c>
      <c r="AI127" s="3">
        <f ca="1">IFERROR(__xludf.DUMMYFUNCTION("""COMPUTED_VALUE"""),-0.86293597647372)</f>
        <v>-0.86293597647372</v>
      </c>
      <c r="AJ127" s="3">
        <f ca="1">IFERROR(__xludf.DUMMYFUNCTION("""COMPUTED_VALUE"""),-0.85235249294255)</f>
        <v>-0.85235249294255</v>
      </c>
      <c r="AK127" s="3">
        <f ca="1">IFERROR(__xludf.DUMMYFUNCTION("""COMPUTED_VALUE"""),-0.871676244741513)</f>
        <v>-0.87167624474151295</v>
      </c>
      <c r="AL127" s="3">
        <f ca="1">IFERROR(__xludf.DUMMYFUNCTION("""COMPUTED_VALUE"""),-0.905777195019738)</f>
        <v>-0.90577719501973797</v>
      </c>
      <c r="AM127" s="3">
        <f ca="1">IFERROR(__xludf.DUMMYFUNCTION("""COMPUTED_VALUE"""),-0.964030752756939)</f>
        <v>-0.96403075275693895</v>
      </c>
      <c r="AN127" s="3">
        <f ca="1">IFERROR(__xludf.DUMMYFUNCTION("""COMPUTED_VALUE"""),-0.891116751849977)</f>
        <v>-0.89111675184997696</v>
      </c>
      <c r="AO127" s="3">
        <f ca="1">IFERROR(__xludf.DUMMYFUNCTION("""COMPUTED_VALUE"""),-0.824101890206911)</f>
        <v>-0.82410189020691105</v>
      </c>
      <c r="AP127" s="3">
        <f ca="1">IFERROR(__xludf.DUMMYFUNCTION("""COMPUTED_VALUE"""),-0.864390302556049)</f>
        <v>-0.86439030255604898</v>
      </c>
      <c r="AQ127" s="3">
        <f ca="1">IFERROR(__xludf.DUMMYFUNCTION("""COMPUTED_VALUE"""),-0.86580032141099)</f>
        <v>-0.86580032141098995</v>
      </c>
      <c r="AR127" s="3">
        <f ca="1">IFERROR(__xludf.DUMMYFUNCTION("""COMPUTED_VALUE"""),-0.849603094997329)</f>
        <v>-0.849603094997329</v>
      </c>
      <c r="AS127" s="3">
        <f ca="1">IFERROR(__xludf.DUMMYFUNCTION("""COMPUTED_VALUE"""),-0.885005755171267)</f>
        <v>-0.88500575517126701</v>
      </c>
      <c r="AT127" s="3">
        <f ca="1">IFERROR(__xludf.DUMMYFUNCTION("""COMPUTED_VALUE"""),-0.978655870732721)</f>
        <v>-0.97865587073272098</v>
      </c>
      <c r="AU127" s="3">
        <f ca="1">IFERROR(__xludf.DUMMYFUNCTION("""COMPUTED_VALUE"""),-0.891613890155857)</f>
        <v>-0.89161389015585701</v>
      </c>
      <c r="AV127" s="3">
        <f ca="1">IFERROR(__xludf.DUMMYFUNCTION("""COMPUTED_VALUE"""),-0.818207192023856)</f>
        <v>-0.81820719202385594</v>
      </c>
      <c r="AW127" s="3">
        <f ca="1">IFERROR(__xludf.DUMMYFUNCTION("""COMPUTED_VALUE"""),-0.835510869729992)</f>
        <v>-0.835510869729992</v>
      </c>
      <c r="AX127" s="3">
        <f ca="1">IFERROR(__xludf.DUMMYFUNCTION("""COMPUTED_VALUE"""),-0.842150734366939)</f>
        <v>-0.84215073436693899</v>
      </c>
      <c r="AY127" s="3">
        <f ca="1">IFERROR(__xludf.DUMMYFUNCTION("""COMPUTED_VALUE"""),-0.848804390041142)</f>
        <v>-0.84880439004114205</v>
      </c>
      <c r="AZ127" s="3">
        <f ca="1">IFERROR(__xludf.DUMMYFUNCTION("""COMPUTED_VALUE"""),-0.906850400943083)</f>
        <v>-0.906850400943083</v>
      </c>
      <c r="BA127" s="3">
        <f ca="1">IFERROR(__xludf.DUMMYFUNCTION("""COMPUTED_VALUE"""),-0.928751853753991)</f>
        <v>-0.92875185375399105</v>
      </c>
      <c r="BB127" s="3">
        <f ca="1">IFERROR(__xludf.DUMMYFUNCTION("""COMPUTED_VALUE"""),-0.914160784395472)</f>
        <v>-0.91416078439547199</v>
      </c>
      <c r="BC127" s="3">
        <f ca="1">IFERROR(__xludf.DUMMYFUNCTION("""COMPUTED_VALUE"""),-0.822019755820895)</f>
        <v>-0.82201975582089504</v>
      </c>
      <c r="BD127" s="3">
        <f ca="1">IFERROR(__xludf.DUMMYFUNCTION("""COMPUTED_VALUE"""),-0.828376079076551)</f>
        <v>-0.82837607907655098</v>
      </c>
      <c r="BE127" s="3">
        <f ca="1">IFERROR(__xludf.DUMMYFUNCTION("""COMPUTED_VALUE"""),-0.878574828190671)</f>
        <v>-0.87857482819067101</v>
      </c>
      <c r="BF127" s="3">
        <f ca="1">IFERROR(__xludf.DUMMYFUNCTION("""COMPUTED_VALUE"""),-0.930311181295207)</f>
        <v>-0.93031118129520696</v>
      </c>
      <c r="BG127" s="3">
        <f ca="1">IFERROR(__xludf.DUMMYFUNCTION("""COMPUTED_VALUE"""),-0.962407769570855)</f>
        <v>-0.96240776957085505</v>
      </c>
      <c r="BH127" s="3">
        <f ca="1">IFERROR(__xludf.DUMMYFUNCTION("""COMPUTED_VALUE"""),-0.981603811629478)</f>
        <v>-0.98160381162947796</v>
      </c>
      <c r="BI127" s="3">
        <f ca="1">IFERROR(__xludf.DUMMYFUNCTION("""COMPUTED_VALUE"""),-0.886210127564624)</f>
        <v>-0.88621012756462403</v>
      </c>
      <c r="BJ127" s="3">
        <f ca="1">IFERROR(__xludf.DUMMYFUNCTION("""COMPUTED_VALUE"""),-0.835146875942543)</f>
        <v>-0.835146875942543</v>
      </c>
      <c r="BK127" s="3">
        <f ca="1">IFERROR(__xludf.DUMMYFUNCTION("""COMPUTED_VALUE"""),-0.861812154228144)</f>
        <v>-0.86181215422814395</v>
      </c>
      <c r="BL127" s="3">
        <f ca="1">IFERROR(__xludf.DUMMYFUNCTION("""COMPUTED_VALUE"""),-0.87666460652639)</f>
        <v>-0.87666460652639</v>
      </c>
      <c r="BM127" s="3">
        <f ca="1">IFERROR(__xludf.DUMMYFUNCTION("""COMPUTED_VALUE"""),-0.884808271413163)</f>
        <v>-0.88480827141316298</v>
      </c>
      <c r="BN127" s="3">
        <f ca="1">IFERROR(__xludf.DUMMYFUNCTION("""COMPUTED_VALUE"""),-0.91479885004624)</f>
        <v>-0.91479885004623995</v>
      </c>
      <c r="BO127" s="3">
        <f ca="1">IFERROR(__xludf.DUMMYFUNCTION("""COMPUTED_VALUE"""),-0.975246082196707)</f>
        <v>-0.97524608219670705</v>
      </c>
      <c r="BP127" s="3">
        <f ca="1">IFERROR(__xludf.DUMMYFUNCTION("""COMPUTED_VALUE"""),-0.886416177468502)</f>
        <v>-0.88641617746850199</v>
      </c>
      <c r="BQ127" s="3">
        <f ca="1">IFERROR(__xludf.DUMMYFUNCTION("""COMPUTED_VALUE"""),-0.865572986566364)</f>
        <v>-0.86557298656636406</v>
      </c>
      <c r="BR127" s="3">
        <f ca="1">IFERROR(__xludf.DUMMYFUNCTION("""COMPUTED_VALUE"""),-0.856993740993371)</f>
        <v>-0.856993740993371</v>
      </c>
      <c r="BS127" s="3">
        <f ca="1">IFERROR(__xludf.DUMMYFUNCTION("""COMPUTED_VALUE"""),-0.846828091619761)</f>
        <v>-0.84682809161976103</v>
      </c>
      <c r="BT127" s="3">
        <f ca="1">IFERROR(__xludf.DUMMYFUNCTION("""COMPUTED_VALUE"""),-0.871855345810539)</f>
        <v>-0.87185534581053903</v>
      </c>
      <c r="BU127" s="3">
        <f ca="1">IFERROR(__xludf.DUMMYFUNCTION("""COMPUTED_VALUE"""),-0.90802729650325)</f>
        <v>-0.90802729650324998</v>
      </c>
      <c r="BV127" s="3">
        <f ca="1">IFERROR(__xludf.DUMMYFUNCTION("""COMPUTED_VALUE"""),-0.981104575160211)</f>
        <v>-0.98110457516021099</v>
      </c>
      <c r="BW127" s="3">
        <f ca="1">IFERROR(__xludf.DUMMYFUNCTION("""COMPUTED_VALUE"""),-0.8961807941459)</f>
        <v>-0.89618079414590002</v>
      </c>
      <c r="BX127" s="3">
        <f ca="1">IFERROR(__xludf.DUMMYFUNCTION("""COMPUTED_VALUE"""),-0.87011518531911)</f>
        <v>-0.87011518531911003</v>
      </c>
      <c r="BY127" s="3">
        <f ca="1">IFERROR(__xludf.DUMMYFUNCTION("""COMPUTED_VALUE"""),-0.887663377073754)</f>
        <v>-0.88766337707375398</v>
      </c>
      <c r="BZ127" s="3">
        <f ca="1">IFERROR(__xludf.DUMMYFUNCTION("""COMPUTED_VALUE"""),-0.882356402035907)</f>
        <v>-0.88235640203590704</v>
      </c>
      <c r="CA127" s="3">
        <f ca="1">IFERROR(__xludf.DUMMYFUNCTION("""COMPUTED_VALUE"""),-0.841375146149438)</f>
        <v>-0.84137514614943798</v>
      </c>
      <c r="CB127" s="3">
        <f ca="1">IFERROR(__xludf.DUMMYFUNCTION("""COMPUTED_VALUE"""),-0.874869159532826)</f>
        <v>-0.87486915953282596</v>
      </c>
      <c r="CC127" s="3">
        <f ca="1">IFERROR(__xludf.DUMMYFUNCTION("""COMPUTED_VALUE"""),-0.9812931397537)</f>
        <v>-0.98129313975370003</v>
      </c>
      <c r="CD127" s="3">
        <f ca="1">IFERROR(__xludf.DUMMYFUNCTION("""COMPUTED_VALUE"""),-0.884720113996987)</f>
        <v>-0.88472011399698702</v>
      </c>
      <c r="CE127" s="3">
        <f ca="1">IFERROR(__xludf.DUMMYFUNCTION("""COMPUTED_VALUE"""),-0.886357366561444)</f>
        <v>-0.88635736656144404</v>
      </c>
      <c r="CF127" s="3">
        <f ca="1">IFERROR(__xludf.DUMMYFUNCTION("""COMPUTED_VALUE"""),-0.888698323678673)</f>
        <v>-0.88869832367867296</v>
      </c>
      <c r="CG127" s="3">
        <f ca="1">IFERROR(__xludf.DUMMYFUNCTION("""COMPUTED_VALUE"""),-0.894606783850042)</f>
        <v>-0.894606783850042</v>
      </c>
      <c r="CH127" s="3">
        <f ca="1">IFERROR(__xludf.DUMMYFUNCTION("""COMPUTED_VALUE"""),-0.923614125033279)</f>
        <v>-0.923614125033279</v>
      </c>
      <c r="CI127" s="3">
        <f ca="1">IFERROR(__xludf.DUMMYFUNCTION("""COMPUTED_VALUE"""),-0.960594994550975)</f>
        <v>-0.96059499455097497</v>
      </c>
      <c r="CJ127" s="3">
        <f ca="1">IFERROR(__xludf.DUMMYFUNCTION("""COMPUTED_VALUE"""),-0.973999660467128)</f>
        <v>-0.97399966046712805</v>
      </c>
      <c r="CK127" s="3">
        <f ca="1">IFERROR(__xludf.DUMMYFUNCTION("""COMPUTED_VALUE"""),-0.900327304626011)</f>
        <v>-0.90032730462601096</v>
      </c>
      <c r="CL127" s="3">
        <f ca="1">IFERROR(__xludf.DUMMYFUNCTION("""COMPUTED_VALUE"""),-0.856982261987086)</f>
        <v>-0.85698226198708605</v>
      </c>
      <c r="CM127" s="3">
        <f ca="1">IFERROR(__xludf.DUMMYFUNCTION("""COMPUTED_VALUE"""),-0.854990816956543)</f>
        <v>-0.854990816956543</v>
      </c>
      <c r="CN127" s="3">
        <f ca="1">IFERROR(__xludf.DUMMYFUNCTION("""COMPUTED_VALUE"""),-0.866549543507714)</f>
        <v>-0.86654954350771396</v>
      </c>
      <c r="CO127" s="3">
        <f ca="1">IFERROR(__xludf.DUMMYFUNCTION("""COMPUTED_VALUE"""),-0.88688120077427)</f>
        <v>-0.88688120077427002</v>
      </c>
      <c r="CP127" s="3">
        <f ca="1">IFERROR(__xludf.DUMMYFUNCTION("""COMPUTED_VALUE"""),-0.912745362293514)</f>
        <v>-0.912745362293514</v>
      </c>
      <c r="CQ127" s="3">
        <f ca="1">IFERROR(__xludf.DUMMYFUNCTION("""COMPUTED_VALUE"""),-0.976418522145896)</f>
        <v>-0.97641852214589597</v>
      </c>
      <c r="CR127" s="3">
        <f ca="1">IFERROR(__xludf.DUMMYFUNCTION("""COMPUTED_VALUE"""),-0.926380403819247)</f>
        <v>-0.92638040381924702</v>
      </c>
      <c r="CS127" s="3">
        <f ca="1">IFERROR(__xludf.DUMMYFUNCTION("""COMPUTED_VALUE"""),-0.87617687512557)</f>
        <v>-0.87617687512556996</v>
      </c>
      <c r="CT127" s="3">
        <f ca="1">IFERROR(__xludf.DUMMYFUNCTION("""COMPUTED_VALUE"""),-0.890521650854254)</f>
        <v>-0.89052165085425405</v>
      </c>
      <c r="CU127" s="3">
        <f ca="1">IFERROR(__xludf.DUMMYFUNCTION("""COMPUTED_VALUE"""),-0.877064142152884)</f>
        <v>-0.87706414215288397</v>
      </c>
      <c r="CV127" s="3">
        <f ca="1">IFERROR(__xludf.DUMMYFUNCTION("""COMPUTED_VALUE"""),-0.831249416851933)</f>
        <v>-0.83124941685193299</v>
      </c>
      <c r="CW127" s="3">
        <f ca="1">IFERROR(__xludf.DUMMYFUNCTION("""COMPUTED_VALUE"""),-0.922228293317416)</f>
        <v>-0.92222829331741596</v>
      </c>
      <c r="CX127" s="3">
        <f ca="1">IFERROR(__xludf.DUMMYFUNCTION("""COMPUTED_VALUE"""),-0.981215155738248)</f>
        <v>-0.98121515573824802</v>
      </c>
      <c r="CY127" s="3">
        <f ca="1">IFERROR(__xludf.DUMMYFUNCTION("""COMPUTED_VALUE"""),-0.972465443416909)</f>
        <v>-0.97246544341690899</v>
      </c>
      <c r="CZ127" s="3">
        <f ca="1">IFERROR(__xludf.DUMMYFUNCTION("""COMPUTED_VALUE"""),-0.943978559982139)</f>
        <v>-0.94397855998213898</v>
      </c>
      <c r="DA127" s="3">
        <f ca="1">IFERROR(__xludf.DUMMYFUNCTION("""COMPUTED_VALUE"""),-0.816641496748777)</f>
        <v>-0.81664149674877695</v>
      </c>
      <c r="DB127" s="3">
        <f ca="1">IFERROR(__xludf.DUMMYFUNCTION("""COMPUTED_VALUE"""),-0.744999203184167)</f>
        <v>-0.74499920318416701</v>
      </c>
      <c r="DC127" s="3">
        <f ca="1">IFERROR(__xludf.DUMMYFUNCTION("""COMPUTED_VALUE"""),-0.791511422740075)</f>
        <v>-0.79151142274007502</v>
      </c>
      <c r="DD127" s="3">
        <f ca="1">IFERROR(__xludf.DUMMYFUNCTION("""COMPUTED_VALUE"""),-0.872568466015921)</f>
        <v>-0.87256846601592097</v>
      </c>
      <c r="DE127" s="3">
        <f ca="1">IFERROR(__xludf.DUMMYFUNCTION("""COMPUTED_VALUE"""),-0.977294490013293)</f>
        <v>-0.97729449001329305</v>
      </c>
      <c r="DF127" s="3">
        <f ca="1">IFERROR(__xludf.DUMMYFUNCTION("""COMPUTED_VALUE"""),-0.973596690489554)</f>
        <v>-0.973596690489554</v>
      </c>
      <c r="DG127" s="3">
        <f ca="1">IFERROR(__xludf.DUMMYFUNCTION("""COMPUTED_VALUE"""),-0.969095976009296)</f>
        <v>-0.96909597600929598</v>
      </c>
      <c r="DH127" s="3">
        <f ca="1">IFERROR(__xludf.DUMMYFUNCTION("""COMPUTED_VALUE"""),-0.858205996261647)</f>
        <v>-0.85820599626164695</v>
      </c>
      <c r="DI127" s="3">
        <f ca="1">IFERROR(__xludf.DUMMYFUNCTION("""COMPUTED_VALUE"""),-0.695044942508875)</f>
        <v>-0.69504494250887505</v>
      </c>
      <c r="DJ127" s="3">
        <f ca="1">IFERROR(__xludf.DUMMYFUNCTION("""COMPUTED_VALUE"""),-0.765957775879566)</f>
        <v>-0.76595777587956604</v>
      </c>
      <c r="DK127" s="3">
        <f ca="1">IFERROR(__xludf.DUMMYFUNCTION("""COMPUTED_VALUE"""),-0.855913246268582)</f>
        <v>-0.85591324626858201</v>
      </c>
      <c r="DL127" s="3">
        <f ca="1">IFERROR(__xludf.DUMMYFUNCTION("""COMPUTED_VALUE"""),-0.977003713239685)</f>
        <v>-0.97700371323968505</v>
      </c>
      <c r="DM127" s="3">
        <f ca="1">IFERROR(__xludf.DUMMYFUNCTION("""COMPUTED_VALUE"""),-0.889043945483386)</f>
        <v>-0.88904394548338606</v>
      </c>
      <c r="DN127" s="3">
        <f ca="1">IFERROR(__xludf.DUMMYFUNCTION("""COMPUTED_VALUE"""),-0.850419230890748)</f>
        <v>-0.850419230890748</v>
      </c>
      <c r="DO127" s="3">
        <f ca="1">IFERROR(__xludf.DUMMYFUNCTION("""COMPUTED_VALUE"""),-0.856696404922428)</f>
        <v>-0.85669640492242805</v>
      </c>
      <c r="DP127" s="3">
        <f ca="1">IFERROR(__xludf.DUMMYFUNCTION("""COMPUTED_VALUE"""),-0.803348646448353)</f>
        <v>-0.80334864644835302</v>
      </c>
      <c r="DQ127" s="3">
        <f ca="1">IFERROR(__xludf.DUMMYFUNCTION("""COMPUTED_VALUE"""),-0.854792874327103)</f>
        <v>-0.85479287432710305</v>
      </c>
      <c r="DR127" s="3">
        <f ca="1">IFERROR(__xludf.DUMMYFUNCTION("""COMPUTED_VALUE"""),-0.916807285811583)</f>
        <v>-0.91680728581158299</v>
      </c>
      <c r="DS127" s="3">
        <f ca="1">IFERROR(__xludf.DUMMYFUNCTION("""COMPUTED_VALUE"""),-0.98539421579248)</f>
        <v>-0.98539421579247999</v>
      </c>
      <c r="DT127" s="3">
        <f ca="1">IFERROR(__xludf.DUMMYFUNCTION("""COMPUTED_VALUE"""),-0.928675040570708)</f>
        <v>-0.92867504057070804</v>
      </c>
      <c r="DU127" s="3">
        <f ca="1">IFERROR(__xludf.DUMMYFUNCTION("""COMPUTED_VALUE"""),-0.875351784409004)</f>
        <v>-0.87535178440900396</v>
      </c>
      <c r="DV127" s="3">
        <f ca="1">IFERROR(__xludf.DUMMYFUNCTION("""COMPUTED_VALUE"""),-0.901726818199192)</f>
        <v>-0.90172681819919198</v>
      </c>
      <c r="DW127" s="3">
        <f ca="1">IFERROR(__xludf.DUMMYFUNCTION("""COMPUTED_VALUE"""),-0.921436723916999)</f>
        <v>-0.92143672391699905</v>
      </c>
      <c r="DX127" s="3">
        <f ca="1">IFERROR(__xludf.DUMMYFUNCTION("""COMPUTED_VALUE"""),-0.872807361808398)</f>
        <v>-0.87280736180839802</v>
      </c>
      <c r="DY127" s="3">
        <f ca="1">IFERROR(__xludf.DUMMYFUNCTION("""COMPUTED_VALUE"""),-0.905608632265972)</f>
        <v>-0.90560863226597199</v>
      </c>
      <c r="DZ127" s="3">
        <f ca="1">IFERROR(__xludf.DUMMYFUNCTION("""COMPUTED_VALUE"""),-0.962093749542351)</f>
        <v>-0.96209374954235105</v>
      </c>
      <c r="EA127" s="3">
        <f ca="1">IFERROR(__xludf.DUMMYFUNCTION("""COMPUTED_VALUE"""),-0.915530795359215)</f>
        <v>-0.915530795359215</v>
      </c>
      <c r="EB127" s="3">
        <f ca="1">IFERROR(__xludf.DUMMYFUNCTION("""COMPUTED_VALUE"""),-0.849131460467533)</f>
        <v>-0.84913146046753296</v>
      </c>
      <c r="EC127" s="3">
        <f ca="1">IFERROR(__xludf.DUMMYFUNCTION("""COMPUTED_VALUE"""),-0.858808159306811)</f>
        <v>-0.85880815930681098</v>
      </c>
      <c r="ED127" s="3">
        <f ca="1">IFERROR(__xludf.DUMMYFUNCTION("""COMPUTED_VALUE"""),-0.890041569373165)</f>
        <v>-0.89004156937316503</v>
      </c>
      <c r="EE127" s="3">
        <f ca="1">IFERROR(__xludf.DUMMYFUNCTION("""COMPUTED_VALUE"""),-0.871997000545662)</f>
        <v>-0.87199700054566198</v>
      </c>
      <c r="EF127" s="3">
        <f ca="1">IFERROR(__xludf.DUMMYFUNCTION("""COMPUTED_VALUE"""),-0.895716577113271)</f>
        <v>-0.89571657711327102</v>
      </c>
      <c r="EG127" s="3">
        <f ca="1">IFERROR(__xludf.DUMMYFUNCTION("""COMPUTED_VALUE"""),-0.953070217418538)</f>
        <v>-0.95307021741853803</v>
      </c>
      <c r="EH127" s="3">
        <f ca="1">IFERROR(__xludf.DUMMYFUNCTION("""COMPUTED_VALUE"""),-0.858446969905924)</f>
        <v>-0.85844696990592395</v>
      </c>
      <c r="EI127" s="3">
        <f ca="1">IFERROR(__xludf.DUMMYFUNCTION("""COMPUTED_VALUE"""),-0.85101580711333)</f>
        <v>-0.85101580711333003</v>
      </c>
      <c r="EJ127" s="3">
        <f ca="1">IFERROR(__xludf.DUMMYFUNCTION("""COMPUTED_VALUE"""),-0.937758348042453)</f>
        <v>-0.93775834804245295</v>
      </c>
      <c r="EK127" s="3">
        <f ca="1">IFERROR(__xludf.DUMMYFUNCTION("""COMPUTED_VALUE"""),-0.854137645234275)</f>
        <v>-0.85413764523427504</v>
      </c>
      <c r="EL127" s="3">
        <f ca="1">IFERROR(__xludf.DUMMYFUNCTION("""COMPUTED_VALUE"""),-0.862294951586616)</f>
        <v>-0.86229495158661595</v>
      </c>
      <c r="EM127" s="3">
        <f ca="1">IFERROR(__xludf.DUMMYFUNCTION("""COMPUTED_VALUE"""),-0.882417686925977)</f>
        <v>-0.882417686925977</v>
      </c>
      <c r="EN127" s="3">
        <f ca="1">IFERROR(__xludf.DUMMYFUNCTION("""COMPUTED_VALUE"""),-0.973136688627888)</f>
        <v>-0.97313668862788805</v>
      </c>
      <c r="EO127" s="3">
        <f ca="1">IFERROR(__xludf.DUMMYFUNCTION("""COMPUTED_VALUE"""),-0.866225780361862)</f>
        <v>-0.86622578036186204</v>
      </c>
      <c r="EP127" s="3">
        <f ca="1">IFERROR(__xludf.DUMMYFUNCTION("""COMPUTED_VALUE"""),-0.79702700100771)</f>
        <v>-0.79702700100770996</v>
      </c>
      <c r="EQ127" s="3">
        <f ca="1">IFERROR(__xludf.DUMMYFUNCTION("""COMPUTED_VALUE"""),-0.858394563406913)</f>
        <v>-0.858394563406913</v>
      </c>
      <c r="ER127" s="3">
        <f ca="1">IFERROR(__xludf.DUMMYFUNCTION("""COMPUTED_VALUE"""),-0.879232468219068)</f>
        <v>-0.87923246821906798</v>
      </c>
      <c r="ES127" s="3">
        <f ca="1">IFERROR(__xludf.DUMMYFUNCTION("""COMPUTED_VALUE"""),-0.881849507439063)</f>
        <v>-0.88184950743906299</v>
      </c>
      <c r="ET127" s="3">
        <f ca="1">IFERROR(__xludf.DUMMYFUNCTION("""COMPUTED_VALUE"""),-0.919080238604596)</f>
        <v>-0.91908023860459598</v>
      </c>
      <c r="EU127" s="3">
        <f ca="1">IFERROR(__xludf.DUMMYFUNCTION("""COMPUTED_VALUE"""),-0.981789063366233)</f>
        <v>-0.98178906336623295</v>
      </c>
      <c r="EV127" s="3">
        <f ca="1">IFERROR(__xludf.DUMMYFUNCTION("""COMPUTED_VALUE"""),-0.92028358524022)</f>
        <v>-0.92028358524022003</v>
      </c>
      <c r="EW127" s="3">
        <f ca="1">IFERROR(__xludf.DUMMYFUNCTION("""COMPUTED_VALUE"""),-0.866506643734982)</f>
        <v>-0.86650664373498199</v>
      </c>
      <c r="EX127" s="3">
        <f ca="1">IFERROR(__xludf.DUMMYFUNCTION("""COMPUTED_VALUE"""),-0.925781855208946)</f>
        <v>-0.92578185520894596</v>
      </c>
      <c r="EY127" s="3">
        <f ca="1">IFERROR(__xludf.DUMMYFUNCTION("""COMPUTED_VALUE"""),-0.939987990495059)</f>
        <v>-0.93998799049505899</v>
      </c>
      <c r="EZ127" s="3">
        <f ca="1">IFERROR(__xludf.DUMMYFUNCTION("""COMPUTED_VALUE"""),-0.885155341690732)</f>
        <v>-0.88515534169073196</v>
      </c>
      <c r="FA127" s="3">
        <f ca="1">IFERROR(__xludf.DUMMYFUNCTION("""COMPUTED_VALUE"""),-0.911619362487612)</f>
        <v>-0.91161936248761199</v>
      </c>
      <c r="FB127" s="3">
        <f ca="1">IFERROR(__xludf.DUMMYFUNCTION("""COMPUTED_VALUE"""),-0.9808283661457)</f>
        <v>-0.98082836614570001</v>
      </c>
      <c r="FC127" s="3">
        <f ca="1">IFERROR(__xludf.DUMMYFUNCTION("""COMPUTED_VALUE"""),-0.918911370628625)</f>
        <v>-0.91891137062862505</v>
      </c>
      <c r="FD127" s="3">
        <f ca="1">IFERROR(__xludf.DUMMYFUNCTION("""COMPUTED_VALUE"""),-0.875777528282278)</f>
        <v>-0.87577752828227795</v>
      </c>
      <c r="FE127" s="3">
        <f ca="1">IFERROR(__xludf.DUMMYFUNCTION("""COMPUTED_VALUE"""),-0.884221645756616)</f>
        <v>-0.88422164575661599</v>
      </c>
      <c r="FF127" s="3">
        <f ca="1">IFERROR(__xludf.DUMMYFUNCTION("""COMPUTED_VALUE"""),-0.909853218641627)</f>
        <v>-0.90985321864162705</v>
      </c>
      <c r="FG127" s="3">
        <f ca="1">IFERROR(__xludf.DUMMYFUNCTION("""COMPUTED_VALUE"""),-0.872865865454811)</f>
        <v>-0.87286586545481104</v>
      </c>
      <c r="FH127" s="3">
        <f ca="1">IFERROR(__xludf.DUMMYFUNCTION("""COMPUTED_VALUE"""),-0.865982402328703)</f>
        <v>-0.86598240232870305</v>
      </c>
      <c r="FI127" s="3">
        <f ca="1">IFERROR(__xludf.DUMMYFUNCTION("""COMPUTED_VALUE"""),-0.798747260102327)</f>
        <v>-0.79874726010232699</v>
      </c>
      <c r="FJ127" s="3">
        <f ca="1">IFERROR(__xludf.DUMMYFUNCTION("""COMPUTED_VALUE"""),-0.805242249435334)</f>
        <v>-0.80524224943533396</v>
      </c>
      <c r="FK127" s="3">
        <f ca="1">IFERROR(__xludf.DUMMYFUNCTION("""COMPUTED_VALUE"""),-0.859830896573164)</f>
        <v>-0.85983089657316403</v>
      </c>
      <c r="FL127" s="3">
        <f ca="1">IFERROR(__xludf.DUMMYFUNCTION("""COMPUTED_VALUE"""),-0.886137590429665)</f>
        <v>-0.886137590429665</v>
      </c>
      <c r="FM127" s="3">
        <f ca="1">IFERROR(__xludf.DUMMYFUNCTION("""COMPUTED_VALUE"""),-0.876801024747856)</f>
        <v>-0.87680102474785604</v>
      </c>
      <c r="FN127" s="3">
        <f ca="1">IFERROR(__xludf.DUMMYFUNCTION("""COMPUTED_VALUE"""),-0.898252882936823)</f>
        <v>-0.89825288293682304</v>
      </c>
      <c r="FO127" s="3">
        <f ca="1">IFERROR(__xludf.DUMMYFUNCTION("""COMPUTED_VALUE"""),-0.899311105817918)</f>
        <v>-0.89931110581791796</v>
      </c>
      <c r="FP127" s="3">
        <f ca="1">IFERROR(__xludf.DUMMYFUNCTION("""COMPUTED_VALUE"""),-0.820999953516508)</f>
        <v>-0.82099995351650801</v>
      </c>
      <c r="FQ127" s="3">
        <f ca="1">IFERROR(__xludf.DUMMYFUNCTION("""COMPUTED_VALUE"""),-0.842096298194306)</f>
        <v>-0.84209629819430598</v>
      </c>
      <c r="FR127" s="3">
        <f ca="1">IFERROR(__xludf.DUMMYFUNCTION("""COMPUTED_VALUE"""),-0.859327862187249)</f>
        <v>-0.85932786218724899</v>
      </c>
      <c r="FS127" s="3">
        <f ca="1">IFERROR(__xludf.DUMMYFUNCTION("""COMPUTED_VALUE"""),-0.892515628567012)</f>
        <v>-0.89251562856701205</v>
      </c>
      <c r="FT127" s="3">
        <f ca="1">IFERROR(__xludf.DUMMYFUNCTION("""COMPUTED_VALUE"""),-0.865890189304915)</f>
        <v>-0.86589018930491501</v>
      </c>
      <c r="FU127" s="3">
        <f ca="1">IFERROR(__xludf.DUMMYFUNCTION("""COMPUTED_VALUE"""),-0.878659956446737)</f>
        <v>-0.878659956446737</v>
      </c>
      <c r="FV127" s="3">
        <f ca="1">IFERROR(__xludf.DUMMYFUNCTION("""COMPUTED_VALUE"""),-0.872163362227028)</f>
        <v>-0.87216336222702795</v>
      </c>
      <c r="FW127" s="3">
        <f ca="1">IFERROR(__xludf.DUMMYFUNCTION("""COMPUTED_VALUE"""),-0.818784644921311)</f>
        <v>-0.81878464492131098</v>
      </c>
      <c r="FX127" s="3">
        <f ca="1">IFERROR(__xludf.DUMMYFUNCTION("""COMPUTED_VALUE"""),-0.814440195813184)</f>
        <v>-0.81444019581318405</v>
      </c>
      <c r="FY127" s="3">
        <f ca="1">IFERROR(__xludf.DUMMYFUNCTION("""COMPUTED_VALUE"""),-0.8659147461329)</f>
        <v>-0.86591474613289998</v>
      </c>
      <c r="FZ127" s="3">
        <f ca="1">IFERROR(__xludf.DUMMYFUNCTION("""COMPUTED_VALUE"""),-0.878665856695883)</f>
        <v>-0.87866585669588304</v>
      </c>
      <c r="GA127" s="3">
        <f ca="1">IFERROR(__xludf.DUMMYFUNCTION("""COMPUTED_VALUE"""),-0.869156888528748)</f>
        <v>-0.86915688852874795</v>
      </c>
      <c r="GB127" s="3">
        <f ca="1">IFERROR(__xludf.DUMMYFUNCTION("""COMPUTED_VALUE"""),-0.865726379618195)</f>
        <v>-0.86572637961819499</v>
      </c>
      <c r="GC127" s="3">
        <f ca="1">IFERROR(__xludf.DUMMYFUNCTION("""COMPUTED_VALUE"""),-0.832322448757142)</f>
        <v>-0.83232244875714201</v>
      </c>
      <c r="GD127" s="3">
        <f ca="1">IFERROR(__xludf.DUMMYFUNCTION("""COMPUTED_VALUE"""),-0.815253539520241)</f>
        <v>-0.81525353952024104</v>
      </c>
      <c r="GE127" s="3">
        <f ca="1">IFERROR(__xludf.DUMMYFUNCTION("""COMPUTED_VALUE"""),-0.816663674009623)</f>
        <v>-0.81666367400962303</v>
      </c>
      <c r="GF127" s="3">
        <f ca="1">IFERROR(__xludf.DUMMYFUNCTION("""COMPUTED_VALUE"""),-0.865051427300515)</f>
        <v>-0.86505142730051499</v>
      </c>
      <c r="GG127" s="3">
        <f ca="1">IFERROR(__xludf.DUMMYFUNCTION("""COMPUTED_VALUE"""),-0.916435590757498)</f>
        <v>-0.91643559075749803</v>
      </c>
      <c r="GH127" s="3">
        <f ca="1">IFERROR(__xludf.DUMMYFUNCTION("""COMPUTED_VALUE"""),-0.885815772847982)</f>
        <v>-0.88581577284798196</v>
      </c>
      <c r="GI127" s="3">
        <f ca="1">IFERROR(__xludf.DUMMYFUNCTION("""COMPUTED_VALUE"""),-0.885884868723046)</f>
        <v>-0.88588486872304595</v>
      </c>
      <c r="GJ127" s="3">
        <f ca="1">IFERROR(__xludf.DUMMYFUNCTION("""COMPUTED_VALUE"""),-0.878957055664131)</f>
        <v>-0.87895705566413096</v>
      </c>
      <c r="GK127" s="3">
        <f ca="1">IFERROR(__xludf.DUMMYFUNCTION("""COMPUTED_VALUE"""),-0.847438742986088)</f>
        <v>-0.84743874298608801</v>
      </c>
      <c r="GL127" s="3">
        <f ca="1">IFERROR(__xludf.DUMMYFUNCTION("""COMPUTED_VALUE"""),-0.842187478052959)</f>
        <v>-0.84218747805295902</v>
      </c>
      <c r="GM127" s="3">
        <f ca="1">IFERROR(__xludf.DUMMYFUNCTION("""COMPUTED_VALUE"""),-0.89754521446072)</f>
        <v>-0.89754521446072</v>
      </c>
      <c r="GN127" s="3">
        <f ca="1">IFERROR(__xludf.DUMMYFUNCTION("""COMPUTED_VALUE"""),-0.899500120758016)</f>
        <v>-0.899500120758016</v>
      </c>
      <c r="GO127" s="3">
        <f ca="1">IFERROR(__xludf.DUMMYFUNCTION("""COMPUTED_VALUE"""),-0.902439551663298)</f>
        <v>-0.90243955166329803</v>
      </c>
      <c r="GP127" s="3">
        <f ca="1">IFERROR(__xludf.DUMMYFUNCTION("""COMPUTED_VALUE"""),-0.898012415347131)</f>
        <v>-0.89801241534713105</v>
      </c>
      <c r="GQ127" s="3">
        <f ca="1">IFERROR(__xludf.DUMMYFUNCTION("""COMPUTED_VALUE"""),-0.862379733454819)</f>
        <v>-0.862379733454819</v>
      </c>
      <c r="GR127" s="3">
        <f ca="1">IFERROR(__xludf.DUMMYFUNCTION("""COMPUTED_VALUE"""),-0.805310196826937)</f>
        <v>-0.80531019682693705</v>
      </c>
      <c r="GS127" s="3">
        <f ca="1">IFERROR(__xludf.DUMMYFUNCTION("""COMPUTED_VALUE"""),-0.818327207990703)</f>
        <v>-0.81832720799070302</v>
      </c>
      <c r="GT127" s="3">
        <f ca="1">IFERROR(__xludf.DUMMYFUNCTION("""COMPUTED_VALUE"""),-0.871204780456815)</f>
        <v>-0.87120478045681504</v>
      </c>
      <c r="GU127" s="3">
        <f ca="1">IFERROR(__xludf.DUMMYFUNCTION("""COMPUTED_VALUE"""),-0.88602352548427)</f>
        <v>-0.88602352548426999</v>
      </c>
      <c r="GV127" s="3">
        <f ca="1">IFERROR(__xludf.DUMMYFUNCTION("""COMPUTED_VALUE"""),-0.903534476677194)</f>
        <v>-0.903534476677194</v>
      </c>
      <c r="GW127" s="3">
        <f ca="1">IFERROR(__xludf.DUMMYFUNCTION("""COMPUTED_VALUE"""),-0.891243020269344)</f>
        <v>-0.89124302026934399</v>
      </c>
      <c r="GX127" s="3">
        <f ca="1">IFERROR(__xludf.DUMMYFUNCTION("""COMPUTED_VALUE"""),-0.90758758297493)</f>
        <v>-0.90758758297493003</v>
      </c>
      <c r="GY127" s="3">
        <f ca="1">IFERROR(__xludf.DUMMYFUNCTION("""COMPUTED_VALUE"""),-0.814222208890456)</f>
        <v>-0.81422220889045605</v>
      </c>
      <c r="GZ127" s="3">
        <f ca="1">IFERROR(__xludf.DUMMYFUNCTION("""COMPUTED_VALUE"""),-0.797153760456945)</f>
        <v>-0.79715376045694497</v>
      </c>
      <c r="HA127" s="3">
        <f ca="1">IFERROR(__xludf.DUMMYFUNCTION("""COMPUTED_VALUE"""),-0.881708616230478)</f>
        <v>-0.88170861623047803</v>
      </c>
      <c r="HB127" s="3">
        <f ca="1">IFERROR(__xludf.DUMMYFUNCTION("""COMPUTED_VALUE"""),-0.880051226169926)</f>
        <v>-0.88005122616992604</v>
      </c>
      <c r="HC127" s="3">
        <f ca="1">IFERROR(__xludf.DUMMYFUNCTION("""COMPUTED_VALUE"""),-0.890534385503976)</f>
        <v>-0.89053438550397601</v>
      </c>
      <c r="HD127" s="3">
        <f ca="1">IFERROR(__xludf.DUMMYFUNCTION("""COMPUTED_VALUE"""),-0.88394063408701)</f>
        <v>-0.88394063408700996</v>
      </c>
      <c r="HE127" s="3">
        <f ca="1">IFERROR(__xludf.DUMMYFUNCTION("""COMPUTED_VALUE"""),-0.910999033396303)</f>
        <v>-0.91099903339630295</v>
      </c>
      <c r="HF127" s="3">
        <f ca="1">IFERROR(__xludf.DUMMYFUNCTION("""COMPUTED_VALUE"""),-0.878402762647072)</f>
        <v>-0.87840276264707196</v>
      </c>
      <c r="HG127" s="3">
        <f ca="1">IFERROR(__xludf.DUMMYFUNCTION("""COMPUTED_VALUE"""),-0.872521634502706)</f>
        <v>-0.87252163450270603</v>
      </c>
      <c r="HH127" s="3">
        <f ca="1">IFERROR(__xludf.DUMMYFUNCTION("""COMPUTED_VALUE"""),-0.921399405621107)</f>
        <v>-0.921399405621107</v>
      </c>
      <c r="HI127" s="3">
        <f ca="1">IFERROR(__xludf.DUMMYFUNCTION("""COMPUTED_VALUE"""),-0.914802149610054)</f>
        <v>-0.91480214961005402</v>
      </c>
      <c r="HJ127" s="3">
        <f ca="1">IFERROR(__xludf.DUMMYFUNCTION("""COMPUTED_VALUE"""),-0.890689283196452)</f>
        <v>-0.89068928319645202</v>
      </c>
      <c r="HK127" s="3">
        <f ca="1">IFERROR(__xludf.DUMMYFUNCTION("""COMPUTED_VALUE"""),-0.89648102686122)</f>
        <v>-0.89648102686122</v>
      </c>
      <c r="HL127" s="3">
        <f ca="1">IFERROR(__xludf.DUMMYFUNCTION("""COMPUTED_VALUE"""),-0.820660007152441)</f>
        <v>-0.82066000715244103</v>
      </c>
      <c r="HM127" s="3">
        <f ca="1">IFERROR(__xludf.DUMMYFUNCTION("""COMPUTED_VALUE"""),-0.817880900245687)</f>
        <v>-0.81788090024568705</v>
      </c>
      <c r="HN127" s="3">
        <f ca="1">IFERROR(__xludf.DUMMYFUNCTION("""COMPUTED_VALUE"""),-0.791638549577396)</f>
        <v>-0.79163854957739599</v>
      </c>
      <c r="HO127" s="3">
        <f ca="1">IFERROR(__xludf.DUMMYFUNCTION("""COMPUTED_VALUE"""),-0.871561040948984)</f>
        <v>-0.87156104094898401</v>
      </c>
      <c r="HP127" s="3">
        <f ca="1">IFERROR(__xludf.DUMMYFUNCTION("""COMPUTED_VALUE"""),-0.899524593677767)</f>
        <v>-0.89952459367776705</v>
      </c>
      <c r="HQ127" s="3">
        <f ca="1">IFERROR(__xludf.DUMMYFUNCTION("""COMPUTED_VALUE"""),-0.902658720786329)</f>
        <v>-0.90265872078632903</v>
      </c>
      <c r="HR127" s="3">
        <f ca="1">IFERROR(__xludf.DUMMYFUNCTION("""COMPUTED_VALUE"""),-0.902524477114665)</f>
        <v>-0.90252447711466499</v>
      </c>
      <c r="HS127" s="3">
        <f ca="1">IFERROR(__xludf.DUMMYFUNCTION("""COMPUTED_VALUE"""),-0.88167187288629)</f>
        <v>-0.88167187288629001</v>
      </c>
      <c r="HT127" s="3">
        <f ca="1">IFERROR(__xludf.DUMMYFUNCTION("""COMPUTED_VALUE"""),-0.858895796558071)</f>
        <v>-0.85889579655807102</v>
      </c>
      <c r="HU127" s="3">
        <f ca="1">IFERROR(__xludf.DUMMYFUNCTION("""COMPUTED_VALUE"""),-0.807816935363931)</f>
        <v>-0.80781693536393095</v>
      </c>
      <c r="HV127" s="3">
        <f ca="1">IFERROR(__xludf.DUMMYFUNCTION("""COMPUTED_VALUE"""),-0.876881363123378)</f>
        <v>-0.87688136312337805</v>
      </c>
      <c r="HW127" s="3">
        <f ca="1">IFERROR(__xludf.DUMMYFUNCTION("""COMPUTED_VALUE"""),-0.883978220726178)</f>
        <v>-0.88397822072617804</v>
      </c>
      <c r="HX127" s="3">
        <f ca="1">IFERROR(__xludf.DUMMYFUNCTION("""COMPUTED_VALUE"""),-0.883140694508206)</f>
        <v>-0.88314069450820598</v>
      </c>
      <c r="HY127" s="3">
        <f ca="1">IFERROR(__xludf.DUMMYFUNCTION("""COMPUTED_VALUE"""),-0.87524312644451)</f>
        <v>-0.87524312644450997</v>
      </c>
      <c r="HZ127" s="3">
        <f ca="1">IFERROR(__xludf.DUMMYFUNCTION("""COMPUTED_VALUE"""),-0.880010586643427)</f>
        <v>-0.88001058664342702</v>
      </c>
      <c r="IA127" s="3">
        <f ca="1">IFERROR(__xludf.DUMMYFUNCTION("""COMPUTED_VALUE"""),-0.823594059160645)</f>
        <v>-0.82359405916064499</v>
      </c>
      <c r="IB127" s="3">
        <f ca="1">IFERROR(__xludf.DUMMYFUNCTION("""COMPUTED_VALUE"""),-0.760610483397014)</f>
        <v>-0.76061048339701398</v>
      </c>
      <c r="IC127" s="3">
        <f ca="1">IFERROR(__xludf.DUMMYFUNCTION("""COMPUTED_VALUE"""),-0.872393602526026)</f>
        <v>-0.87239360252602605</v>
      </c>
      <c r="ID127" s="3">
        <f ca="1">IFERROR(__xludf.DUMMYFUNCTION("""COMPUTED_VALUE"""),-0.854888978410948)</f>
        <v>-0.85488897841094802</v>
      </c>
      <c r="IE127" s="3">
        <f ca="1">IFERROR(__xludf.DUMMYFUNCTION("""COMPUTED_VALUE"""),-0.871781735308327)</f>
        <v>-0.87178173530832703</v>
      </c>
      <c r="IF127" s="3">
        <f ca="1">IFERROR(__xludf.DUMMYFUNCTION("""COMPUTED_VALUE"""),-0.854775445674085)</f>
        <v>-0.85477544567408503</v>
      </c>
      <c r="IG127" s="3">
        <f ca="1">IFERROR(__xludf.DUMMYFUNCTION("""COMPUTED_VALUE"""),-0.846705148350263)</f>
        <v>-0.846705148350263</v>
      </c>
      <c r="IH127" s="3">
        <f ca="1">IFERROR(__xludf.DUMMYFUNCTION("""COMPUTED_VALUE"""),-0.817231261279694)</f>
        <v>-0.81723126127969403</v>
      </c>
      <c r="II127" s="3">
        <f ca="1">IFERROR(__xludf.DUMMYFUNCTION("""COMPUTED_VALUE"""),-0.792028045156849)</f>
        <v>-0.79202804515684899</v>
      </c>
      <c r="IJ127" s="3">
        <f ca="1">IFERROR(__xludf.DUMMYFUNCTION("""COMPUTED_VALUE"""),-0.862577808030725)</f>
        <v>-0.86257780803072504</v>
      </c>
      <c r="IK127" s="3">
        <f ca="1">IFERROR(__xludf.DUMMYFUNCTION("""COMPUTED_VALUE"""),-0.860626270270655)</f>
        <v>-0.86062627027065497</v>
      </c>
      <c r="IL127" s="3">
        <f ca="1">IFERROR(__xludf.DUMMYFUNCTION("""COMPUTED_VALUE"""),-0.877384376268926)</f>
        <v>-0.87738437626892596</v>
      </c>
      <c r="IM127" s="3">
        <f ca="1">IFERROR(__xludf.DUMMYFUNCTION("""COMPUTED_VALUE"""),-0.883792747040038)</f>
        <v>-0.88379274704003796</v>
      </c>
      <c r="IN127" s="3">
        <f ca="1">IFERROR(__xludf.DUMMYFUNCTION("""COMPUTED_VALUE"""),-0.868214099567989)</f>
        <v>-0.86821409956798901</v>
      </c>
      <c r="IO127" s="3">
        <f ca="1">IFERROR(__xludf.DUMMYFUNCTION("""COMPUTED_VALUE"""),-0.865775749605126)</f>
        <v>-0.86577574960512604</v>
      </c>
      <c r="IP127" s="3">
        <f ca="1">IFERROR(__xludf.DUMMYFUNCTION("""COMPUTED_VALUE"""),-0.823774147780361)</f>
        <v>-0.82377414778036095</v>
      </c>
      <c r="IQ127" s="3">
        <f ca="1">IFERROR(__xludf.DUMMYFUNCTION("""COMPUTED_VALUE"""),-0.932451773002249)</f>
        <v>-0.93245177300224902</v>
      </c>
      <c r="IR127" s="3">
        <f ca="1">IFERROR(__xludf.DUMMYFUNCTION("""COMPUTED_VALUE"""),-0.995923344728483)</f>
        <v>-0.99592334472848298</v>
      </c>
      <c r="IS127" s="3">
        <f ca="1">IFERROR(__xludf.DUMMYFUNCTION("""COMPUTED_VALUE"""),-0.994993502393775)</f>
        <v>-0.99499350239377504</v>
      </c>
      <c r="IT127" s="3">
        <f ca="1">IFERROR(__xludf.DUMMYFUNCTION("""COMPUTED_VALUE"""),-0.99299021623759)</f>
        <v>-0.99299021623758998</v>
      </c>
      <c r="IU127" s="3">
        <f ca="1">IFERROR(__xludf.DUMMYFUNCTION("""COMPUTED_VALUE"""),-0.988142813443833)</f>
        <v>-0.98814281344383303</v>
      </c>
      <c r="IV127" s="3">
        <f ca="1">IFERROR(__xludf.DUMMYFUNCTION("""COMPUTED_VALUE"""),-0.982890187834561)</f>
        <v>-0.98289018783456095</v>
      </c>
      <c r="IW127" s="3">
        <f ca="1">IFERROR(__xludf.DUMMYFUNCTION("""COMPUTED_VALUE"""),-0.935687036122939)</f>
        <v>-0.93568703612293902</v>
      </c>
      <c r="IX127" s="3">
        <f ca="1">IFERROR(__xludf.DUMMYFUNCTION("""COMPUTED_VALUE"""),-0.884896307728351)</f>
        <v>-0.88489630772835104</v>
      </c>
      <c r="IY127" s="3">
        <f ca="1">IFERROR(__xludf.DUMMYFUNCTION("""COMPUTED_VALUE"""),-0.883933158963746)</f>
        <v>-0.88393315896374602</v>
      </c>
      <c r="IZ127" s="3">
        <f ca="1">IFERROR(__xludf.DUMMYFUNCTION("""COMPUTED_VALUE"""),-0.868883084769566)</f>
        <v>-0.86888308476956599</v>
      </c>
      <c r="JA127" s="3">
        <f ca="1">IFERROR(__xludf.DUMMYFUNCTION("""COMPUTED_VALUE"""),-0.854489540020053)</f>
        <v>-0.85448954002005295</v>
      </c>
      <c r="JB127" s="3">
        <f ca="1">IFERROR(__xludf.DUMMYFUNCTION("""COMPUTED_VALUE"""),-0.894430383607778)</f>
        <v>-0.89443038360777805</v>
      </c>
      <c r="JC127" s="3">
        <f ca="1">IFERROR(__xludf.DUMMYFUNCTION("""COMPUTED_VALUE"""),-0.862408067169339)</f>
        <v>-0.86240806716933904</v>
      </c>
      <c r="JD127" s="3">
        <f ca="1">IFERROR(__xludf.DUMMYFUNCTION("""COMPUTED_VALUE"""),-0.831373815665451)</f>
        <v>-0.83137381566545099</v>
      </c>
      <c r="JE127" s="3">
        <f ca="1">IFERROR(__xludf.DUMMYFUNCTION("""COMPUTED_VALUE"""),-0.884386672122546)</f>
        <v>-0.88438667212254596</v>
      </c>
      <c r="JF127" s="3">
        <f ca="1">IFERROR(__xludf.DUMMYFUNCTION("""COMPUTED_VALUE"""),-0.858121667974782)</f>
        <v>-0.85812166797478195</v>
      </c>
      <c r="JG127" s="3">
        <f ca="1">IFERROR(__xludf.DUMMYFUNCTION("""COMPUTED_VALUE"""),-0.869706905679349)</f>
        <v>-0.86970690567934905</v>
      </c>
      <c r="JH127" s="3">
        <f ca="1">IFERROR(__xludf.DUMMYFUNCTION("""COMPUTED_VALUE"""),-0.882221400882409)</f>
        <v>-0.88222140088240897</v>
      </c>
      <c r="JI127" s="3">
        <f ca="1">IFERROR(__xludf.DUMMYFUNCTION("""COMPUTED_VALUE"""),-0.880834819571404)</f>
        <v>-0.88083481957140397</v>
      </c>
      <c r="JJ127" s="3">
        <f ca="1">IFERROR(__xludf.DUMMYFUNCTION("""COMPUTED_VALUE"""),-0.829726237339164)</f>
        <v>-0.82972623733916395</v>
      </c>
      <c r="JK127" s="3">
        <f ca="1">IFERROR(__xludf.DUMMYFUNCTION("""COMPUTED_VALUE"""),-0.869160469637972)</f>
        <v>-0.869160469637972</v>
      </c>
      <c r="JL127" s="3">
        <f ca="1">IFERROR(__xludf.DUMMYFUNCTION("""COMPUTED_VALUE"""),-0.852314653599371)</f>
        <v>-0.85231465359937097</v>
      </c>
      <c r="JM127" s="3">
        <f ca="1">IFERROR(__xludf.DUMMYFUNCTION("""COMPUTED_VALUE"""),-0.859323174399358)</f>
        <v>-0.85932317439935801</v>
      </c>
      <c r="JN127" s="3">
        <f ca="1">IFERROR(__xludf.DUMMYFUNCTION("""COMPUTED_VALUE"""),-0.858298669773102)</f>
        <v>-0.85829866977310199</v>
      </c>
      <c r="JO127" s="3">
        <f ca="1">IFERROR(__xludf.DUMMYFUNCTION("""COMPUTED_VALUE"""),-0.860095979297489)</f>
        <v>-0.86009597929748904</v>
      </c>
      <c r="JP127" s="3">
        <f ca="1">IFERROR(__xludf.DUMMYFUNCTION("""COMPUTED_VALUE"""),-0.841883185218666)</f>
        <v>-0.84188318521866601</v>
      </c>
      <c r="JQ127" s="3">
        <f ca="1">IFERROR(__xludf.DUMMYFUNCTION("""COMPUTED_VALUE"""),-0.78935285707284)</f>
        <v>-0.78935285707283998</v>
      </c>
      <c r="JR127" s="3">
        <f ca="1">IFERROR(__xludf.DUMMYFUNCTION("""COMPUTED_VALUE"""),-0.818234153582785)</f>
        <v>-0.81823415358278495</v>
      </c>
      <c r="JS127" s="3">
        <f ca="1">IFERROR(__xludf.DUMMYFUNCTION("""COMPUTED_VALUE"""),-0.86866853760872)</f>
        <v>-0.86866853760871998</v>
      </c>
      <c r="JT127" s="3">
        <f ca="1">IFERROR(__xludf.DUMMYFUNCTION("""COMPUTED_VALUE"""),-0.8534855698534)</f>
        <v>-0.85348556985339996</v>
      </c>
      <c r="JU127" s="3">
        <f ca="1">IFERROR(__xludf.DUMMYFUNCTION("""COMPUTED_VALUE"""),-0.876528978254402)</f>
        <v>-0.87652897825440201</v>
      </c>
      <c r="JV127" s="3">
        <f ca="1">IFERROR(__xludf.DUMMYFUNCTION("""COMPUTED_VALUE"""),-0.868052545385796)</f>
        <v>-0.86805254538579601</v>
      </c>
      <c r="JW127" s="3">
        <f ca="1">IFERROR(__xludf.DUMMYFUNCTION("""COMPUTED_VALUE"""),-0.83771253813735)</f>
        <v>-0.83771253813735003</v>
      </c>
      <c r="JX127" s="3">
        <f ca="1">IFERROR(__xludf.DUMMYFUNCTION("""COMPUTED_VALUE"""),-0.802210866861815)</f>
        <v>-0.80221086686181498</v>
      </c>
      <c r="JY127" s="3">
        <f ca="1">IFERROR(__xludf.DUMMYFUNCTION("""COMPUTED_VALUE"""),-0.834366884403692)</f>
        <v>-0.834366884403692</v>
      </c>
      <c r="JZ127" s="3">
        <f ca="1">IFERROR(__xludf.DUMMYFUNCTION("""COMPUTED_VALUE"""),-0.914591774037471)</f>
        <v>-0.91459177403747105</v>
      </c>
      <c r="KA127" s="3">
        <f ca="1">IFERROR(__xludf.DUMMYFUNCTION("""COMPUTED_VALUE"""),-0.978196154620685)</f>
        <v>-0.97819615462068499</v>
      </c>
      <c r="KB127" s="3">
        <f ca="1">IFERROR(__xludf.DUMMYFUNCTION("""COMPUTED_VALUE"""),-0.9283686419092)</f>
        <v>-0.92836864190919999</v>
      </c>
      <c r="KC127" s="3">
        <f ca="1">IFERROR(__xludf.DUMMYFUNCTION("""COMPUTED_VALUE"""),-0.85463460181613)</f>
        <v>-0.85463460181613005</v>
      </c>
      <c r="KD127" s="3">
        <f ca="1">IFERROR(__xludf.DUMMYFUNCTION("""COMPUTED_VALUE"""),-0.807614959022197)</f>
        <v>-0.80761495902219704</v>
      </c>
      <c r="KE127" s="3">
        <f ca="1">IFERROR(__xludf.DUMMYFUNCTION("""COMPUTED_VALUE"""),-0.797955604581705)</f>
        <v>-0.797955604581705</v>
      </c>
      <c r="KF127" s="3">
        <f ca="1">IFERROR(__xludf.DUMMYFUNCTION("""COMPUTED_VALUE"""),-0.755602841421432)</f>
        <v>-0.75560284142143197</v>
      </c>
      <c r="KG127" s="3">
        <f ca="1">IFERROR(__xludf.DUMMYFUNCTION("""COMPUTED_VALUE"""),-0.86276594803921)</f>
        <v>-0.86276594803921003</v>
      </c>
      <c r="KH127" s="3">
        <f ca="1">IFERROR(__xludf.DUMMYFUNCTION("""COMPUTED_VALUE"""),-0.85961613400835)</f>
        <v>-0.85961613400835002</v>
      </c>
      <c r="KI127" s="3">
        <f ca="1">IFERROR(__xludf.DUMMYFUNCTION("""COMPUTED_VALUE"""),-0.876955369232407)</f>
        <v>-0.87695536923240702</v>
      </c>
      <c r="KJ127" s="3">
        <f ca="1">IFERROR(__xludf.DUMMYFUNCTION("""COMPUTED_VALUE"""),-0.861734280908612)</f>
        <v>-0.86173428090861204</v>
      </c>
      <c r="KK127" s="3">
        <f ca="1">IFERROR(__xludf.DUMMYFUNCTION("""COMPUTED_VALUE"""),-0.876128888310789)</f>
        <v>-0.87612888831078894</v>
      </c>
      <c r="KL127" s="3">
        <f ca="1">IFERROR(__xludf.DUMMYFUNCTION("""COMPUTED_VALUE"""),-0.796136465628252)</f>
        <v>-0.79613646562825202</v>
      </c>
      <c r="KM127" s="3">
        <f ca="1">IFERROR(__xludf.DUMMYFUNCTION("""COMPUTED_VALUE"""),-0.793658035579742)</f>
        <v>-0.79365803557974202</v>
      </c>
      <c r="KN127" s="3">
        <f ca="1">IFERROR(__xludf.DUMMYFUNCTION("""COMPUTED_VALUE"""),-0.825560764760894)</f>
        <v>-0.82556076476089402</v>
      </c>
      <c r="KO127" s="3">
        <f ca="1">IFERROR(__xludf.DUMMYFUNCTION("""COMPUTED_VALUE"""),-0.811941640681788)</f>
        <v>-0.81194164068178798</v>
      </c>
      <c r="KP127" s="3">
        <f ca="1">IFERROR(__xludf.DUMMYFUNCTION("""COMPUTED_VALUE"""),-0.849510499545444)</f>
        <v>-0.849510499545444</v>
      </c>
      <c r="KQ127" s="3">
        <f ca="1">IFERROR(__xludf.DUMMYFUNCTION("""COMPUTED_VALUE"""),-0.860161947851122)</f>
        <v>-0.86016194785112199</v>
      </c>
      <c r="KR127" s="3">
        <f ca="1">IFERROR(__xludf.DUMMYFUNCTION("""COMPUTED_VALUE"""),-0.847603913562703)</f>
        <v>-0.84760391356270304</v>
      </c>
      <c r="KS127" s="3">
        <f ca="1">IFERROR(__xludf.DUMMYFUNCTION("""COMPUTED_VALUE"""),-0.794922847766045)</f>
        <v>-0.79492284776604505</v>
      </c>
      <c r="KT127" s="3">
        <f ca="1">IFERROR(__xludf.DUMMYFUNCTION("""COMPUTED_VALUE"""),-0.791211461727757)</f>
        <v>-0.79121146172775703</v>
      </c>
      <c r="KU127" s="3">
        <f ca="1">IFERROR(__xludf.DUMMYFUNCTION("""COMPUTED_VALUE"""),-0.875401031713249)</f>
        <v>-0.87540103171324901</v>
      </c>
      <c r="KV127" s="3">
        <f ca="1">IFERROR(__xludf.DUMMYFUNCTION("""COMPUTED_VALUE"""),-0.897777189765372)</f>
        <v>-0.89777718976537202</v>
      </c>
      <c r="KW127" s="3">
        <f ca="1">IFERROR(__xludf.DUMMYFUNCTION("""COMPUTED_VALUE"""),-0.887200000059686)</f>
        <v>-0.88720000005968602</v>
      </c>
      <c r="KX127" s="3">
        <f ca="1">IFERROR(__xludf.DUMMYFUNCTION("""COMPUTED_VALUE"""),-0.889770753676409)</f>
        <v>-0.88977075367640901</v>
      </c>
      <c r="KY127" s="3">
        <f ca="1">IFERROR(__xludf.DUMMYFUNCTION("""COMPUTED_VALUE"""),-0.868494033615667)</f>
        <v>-0.86849403361566702</v>
      </c>
      <c r="KZ127" s="3">
        <f ca="1">IFERROR(__xludf.DUMMYFUNCTION("""COMPUTED_VALUE"""),-0.80242922440686)</f>
        <v>-0.80242922440686004</v>
      </c>
      <c r="LA127" s="3">
        <f ca="1">IFERROR(__xludf.DUMMYFUNCTION("""COMPUTED_VALUE"""),-0.827767762725183)</f>
        <v>-0.82776776272518304</v>
      </c>
      <c r="LB127" s="3">
        <f ca="1">IFERROR(__xludf.DUMMYFUNCTION("""COMPUTED_VALUE"""),-0.864016263360984)</f>
        <v>-0.86401626336098403</v>
      </c>
      <c r="LC127" s="3">
        <f ca="1">IFERROR(__xludf.DUMMYFUNCTION("""COMPUTED_VALUE"""),-0.878083867293115)</f>
        <v>-0.87808386729311505</v>
      </c>
      <c r="LD127" s="3">
        <f ca="1">IFERROR(__xludf.DUMMYFUNCTION("""COMPUTED_VALUE"""),-0.864578191272949)</f>
        <v>-0.86457819127294899</v>
      </c>
      <c r="LE127" s="3">
        <f ca="1">IFERROR(__xludf.DUMMYFUNCTION("""COMPUTED_VALUE"""),-0.878887311751462)</f>
        <v>-0.87888731175146195</v>
      </c>
      <c r="LF127" s="3">
        <f ca="1">IFERROR(__xludf.DUMMYFUNCTION("""COMPUTED_VALUE"""),-0.853284905638767)</f>
        <v>-0.85328490563876702</v>
      </c>
      <c r="LG127" s="3">
        <f ca="1">IFERROR(__xludf.DUMMYFUNCTION("""COMPUTED_VALUE"""),-0.859832067839419)</f>
        <v>-0.85983206783941901</v>
      </c>
      <c r="LH127" s="3">
        <f ca="1">IFERROR(__xludf.DUMMYFUNCTION("""COMPUTED_VALUE"""),-0.877130118764059)</f>
        <v>-0.877130118764059</v>
      </c>
      <c r="LI127" s="3">
        <f ca="1">IFERROR(__xludf.DUMMYFUNCTION("""COMPUTED_VALUE"""),-0.901089018441347)</f>
        <v>-0.90108901844134703</v>
      </c>
      <c r="LJ127" s="3">
        <f ca="1">IFERROR(__xludf.DUMMYFUNCTION("""COMPUTED_VALUE"""),-0.921423059935276)</f>
        <v>-0.92142305993527596</v>
      </c>
      <c r="LK127" s="3">
        <f ca="1">IFERROR(__xludf.DUMMYFUNCTION("""COMPUTED_VALUE"""),-0.886201911481949)</f>
        <v>-0.88620191148194905</v>
      </c>
      <c r="LL127" s="3">
        <f ca="1">IFERROR(__xludf.DUMMYFUNCTION("""COMPUTED_VALUE"""),-0.866853029583813)</f>
        <v>-0.86685302958381305</v>
      </c>
      <c r="LM127" s="3">
        <f ca="1">IFERROR(__xludf.DUMMYFUNCTION("""COMPUTED_VALUE"""),-0.860475491597613)</f>
        <v>-0.86047549159761305</v>
      </c>
      <c r="LN127" s="3">
        <f ca="1">IFERROR(__xludf.DUMMYFUNCTION("""COMPUTED_VALUE"""),-0.838837934144066)</f>
        <v>-0.83883793414406604</v>
      </c>
      <c r="LO127" s="3">
        <f ca="1">IFERROR(__xludf.DUMMYFUNCTION("""COMPUTED_VALUE"""),-0.845500886586597)</f>
        <v>-0.84550088658659694</v>
      </c>
      <c r="LP127" s="3">
        <f ca="1">IFERROR(__xludf.DUMMYFUNCTION("""COMPUTED_VALUE"""),-0.87277074186511)</f>
        <v>-0.87277074186510994</v>
      </c>
      <c r="LQ127" s="3">
        <f ca="1">IFERROR(__xludf.DUMMYFUNCTION("""COMPUTED_VALUE"""),-0.92685852394835)</f>
        <v>-0.92685852394835</v>
      </c>
      <c r="LR127" s="3">
        <f ca="1">IFERROR(__xludf.DUMMYFUNCTION("""COMPUTED_VALUE"""),-0.924855806817611)</f>
        <v>-0.92485580681761104</v>
      </c>
      <c r="LS127" s="3">
        <f ca="1">IFERROR(__xludf.DUMMYFUNCTION("""COMPUTED_VALUE"""),-0.889780548208739)</f>
        <v>-0.88978054820873898</v>
      </c>
      <c r="LT127" s="3">
        <f ca="1">IFERROR(__xludf.DUMMYFUNCTION("""COMPUTED_VALUE"""),-0.835527669704246)</f>
        <v>-0.83552766970424597</v>
      </c>
      <c r="LU127" s="3">
        <f ca="1">IFERROR(__xludf.DUMMYFUNCTION("""COMPUTED_VALUE"""),-0.849150246330081)</f>
        <v>-0.84915024633008096</v>
      </c>
      <c r="LV127" s="3">
        <f ca="1">IFERROR(__xludf.DUMMYFUNCTION("""COMPUTED_VALUE"""),-0.820088352325045)</f>
        <v>-0.82008835232504496</v>
      </c>
      <c r="LW127" s="3">
        <f ca="1">IFERROR(__xludf.DUMMYFUNCTION("""COMPUTED_VALUE"""),-0.907844756041918)</f>
        <v>-0.90784475604191806</v>
      </c>
      <c r="LX127" s="3">
        <f ca="1">IFERROR(__xludf.DUMMYFUNCTION("""COMPUTED_VALUE"""),-0.944343542851632)</f>
        <v>-0.94434354285163202</v>
      </c>
      <c r="LY127" s="3">
        <f ca="1">IFERROR(__xludf.DUMMYFUNCTION("""COMPUTED_VALUE"""),-0.920797322519943)</f>
        <v>-0.92079732251994295</v>
      </c>
      <c r="LZ127" s="3">
        <f ca="1">IFERROR(__xludf.DUMMYFUNCTION("""COMPUTED_VALUE"""),-0.896719737076746)</f>
        <v>-0.89671973707674602</v>
      </c>
      <c r="MA127" s="3">
        <f ca="1">IFERROR(__xludf.DUMMYFUNCTION("""COMPUTED_VALUE"""),-0.893213373264525)</f>
        <v>-0.89321337326452499</v>
      </c>
      <c r="MB127" s="3">
        <f ca="1">IFERROR(__xludf.DUMMYFUNCTION("""COMPUTED_VALUE"""),-0.841742851835201)</f>
        <v>-0.84174285183520103</v>
      </c>
      <c r="MC127" s="3">
        <f ca="1">IFERROR(__xludf.DUMMYFUNCTION("""COMPUTED_VALUE"""),-0.84948143204603)</f>
        <v>-0.84948143204602999</v>
      </c>
      <c r="MD127" s="3">
        <f ca="1">IFERROR(__xludf.DUMMYFUNCTION("""COMPUTED_VALUE"""),-0.92271734540439)</f>
        <v>-0.92271734540438999</v>
      </c>
      <c r="ME127" s="3">
        <f ca="1">IFERROR(__xludf.DUMMYFUNCTION("""COMPUTED_VALUE"""),-0.92031748870291)</f>
        <v>-0.92031748870290997</v>
      </c>
      <c r="MF127" s="3">
        <f ca="1">IFERROR(__xludf.DUMMYFUNCTION("""COMPUTED_VALUE"""),-0.904788631263622)</f>
        <v>-0.90478863126362197</v>
      </c>
      <c r="MG127" s="3">
        <f ca="1">IFERROR(__xludf.DUMMYFUNCTION("""COMPUTED_VALUE"""),-0.892646601906022)</f>
        <v>-0.89264660190602196</v>
      </c>
      <c r="MH127" s="3">
        <f ca="1">IFERROR(__xludf.DUMMYFUNCTION("""COMPUTED_VALUE"""),-0.898081013028503)</f>
        <v>-0.89808101302850296</v>
      </c>
      <c r="MI127" s="3">
        <f ca="1">IFERROR(__xludf.DUMMYFUNCTION("""COMPUTED_VALUE"""),-0.857239316354398)</f>
        <v>-0.85723931635439798</v>
      </c>
      <c r="MJ127" s="3">
        <f ca="1">IFERROR(__xludf.DUMMYFUNCTION("""COMPUTED_VALUE"""),-0.831367115653003)</f>
        <v>-0.83136711565300303</v>
      </c>
      <c r="MK127" s="3">
        <f ca="1">IFERROR(__xludf.DUMMYFUNCTION("""COMPUTED_VALUE"""),-0.899324818869439)</f>
        <v>-0.89932481886943905</v>
      </c>
      <c r="ML127" s="3">
        <f ca="1">IFERROR(__xludf.DUMMYFUNCTION("""COMPUTED_VALUE"""),-0.916488877146336)</f>
        <v>-0.91648887714633598</v>
      </c>
      <c r="MM127" s="3">
        <f ca="1">IFERROR(__xludf.DUMMYFUNCTION("""COMPUTED_VALUE"""),-0.925211159836917)</f>
        <v>-0.92521115983691704</v>
      </c>
      <c r="MN127" s="3">
        <f ca="1">IFERROR(__xludf.DUMMYFUNCTION("""COMPUTED_VALUE"""),-0.903763043905697)</f>
        <v>-0.90376304390569695</v>
      </c>
      <c r="MO127" s="3">
        <f ca="1">IFERROR(__xludf.DUMMYFUNCTION("""COMPUTED_VALUE"""),-0.894647389507395)</f>
        <v>-0.89464738950739497</v>
      </c>
      <c r="MP127" s="3">
        <f ca="1">IFERROR(__xludf.DUMMYFUNCTION("""COMPUTED_VALUE"""),-0.865145878858722)</f>
        <v>-0.86514587885872196</v>
      </c>
      <c r="MQ127" s="3">
        <f ca="1">IFERROR(__xludf.DUMMYFUNCTION("""COMPUTED_VALUE"""),-0.8627394141954)</f>
        <v>-0.86273941419540001</v>
      </c>
      <c r="MR127" s="3">
        <f ca="1">IFERROR(__xludf.DUMMYFUNCTION("""COMPUTED_VALUE"""),-0.914640380605829)</f>
        <v>-0.91464038060582897</v>
      </c>
      <c r="MS127" s="3">
        <f ca="1">IFERROR(__xludf.DUMMYFUNCTION("""COMPUTED_VALUE"""),-0.925492599306242)</f>
        <v>-0.92549259930624195</v>
      </c>
      <c r="MT127" s="3">
        <f ca="1">IFERROR(__xludf.DUMMYFUNCTION("""COMPUTED_VALUE"""),-0.910267352803083)</f>
        <v>-0.91026735280308302</v>
      </c>
      <c r="MU127" s="3">
        <f ca="1">IFERROR(__xludf.DUMMYFUNCTION("""COMPUTED_VALUE"""),-0.904037602137499)</f>
        <v>-0.90403760213749895</v>
      </c>
      <c r="MV127" s="3">
        <f ca="1">IFERROR(__xludf.DUMMYFUNCTION("""COMPUTED_VALUE"""),-0.884051458812668)</f>
        <v>-0.884051458812668</v>
      </c>
      <c r="MW127" s="3">
        <f ca="1">IFERROR(__xludf.DUMMYFUNCTION("""COMPUTED_VALUE"""),-0.845766773298064)</f>
        <v>-0.84576677329806405</v>
      </c>
      <c r="MX127" s="3">
        <f ca="1">IFERROR(__xludf.DUMMYFUNCTION("""COMPUTED_VALUE"""),-0.897275832075826)</f>
        <v>-0.89727583207582595</v>
      </c>
      <c r="MY127" s="3">
        <f ca="1">IFERROR(__xludf.DUMMYFUNCTION("""COMPUTED_VALUE"""),-0.902811003253825)</f>
        <v>-0.90281100325382502</v>
      </c>
      <c r="MZ127" s="3">
        <f ca="1">IFERROR(__xludf.DUMMYFUNCTION("""COMPUTED_VALUE"""),-0.909534331766523)</f>
        <v>-0.90953433176652299</v>
      </c>
      <c r="NA127" s="3">
        <f ca="1">IFERROR(__xludf.DUMMYFUNCTION("""COMPUTED_VALUE"""),-0.909494097695495)</f>
        <v>-0.90949409769549505</v>
      </c>
      <c r="NB127" s="3">
        <f ca="1">IFERROR(__xludf.DUMMYFUNCTION("""COMPUTED_VALUE"""),-0.908893176597589)</f>
        <v>-0.90889317659758895</v>
      </c>
      <c r="NC127" s="3">
        <f ca="1">IFERROR(__xludf.DUMMYFUNCTION("""COMPUTED_VALUE"""),-0.859431680591388)</f>
        <v>-0.85943168059138797</v>
      </c>
      <c r="ND127" s="3">
        <f ca="1">IFERROR(__xludf.DUMMYFUNCTION("""COMPUTED_VALUE"""),-0.853354479923392)</f>
        <v>-0.85335447992339197</v>
      </c>
      <c r="NE127" s="3">
        <f ca="1">IFERROR(__xludf.DUMMYFUNCTION("""COMPUTED_VALUE"""),-0.864209090157988)</f>
        <v>-0.86420909015798797</v>
      </c>
      <c r="NF127" s="3">
        <f ca="1">IFERROR(__xludf.DUMMYFUNCTION("""COMPUTED_VALUE"""),-0.866620645695041)</f>
        <v>-0.86662064569504105</v>
      </c>
      <c r="NG127" s="3">
        <f ca="1">IFERROR(__xludf.DUMMYFUNCTION("""COMPUTED_VALUE"""),-0.858476801033402)</f>
        <v>-0.85847680103340196</v>
      </c>
      <c r="NH127" s="3">
        <f ca="1">IFERROR(__xludf.DUMMYFUNCTION("""COMPUTED_VALUE"""),-0.848694274237388)</f>
        <v>-0.84869427423738797</v>
      </c>
      <c r="NI127" s="3">
        <f ca="1">IFERROR(__xludf.DUMMYFUNCTION("""COMPUTED_VALUE"""),-0.876622638509063)</f>
        <v>-0.87662263850906297</v>
      </c>
      <c r="NJ127" s="3">
        <f ca="1">IFERROR(__xludf.DUMMYFUNCTION("""COMPUTED_VALUE"""),-0.905536998625362)</f>
        <v>-0.90553699862536197</v>
      </c>
      <c r="NK127" s="3">
        <f ca="1">IFERROR(__xludf.DUMMYFUNCTION("""COMPUTED_VALUE"""),-0.900317696882662)</f>
        <v>-0.90031769688266206</v>
      </c>
      <c r="NL127" s="3">
        <f ca="1">IFERROR(__xludf.DUMMYFUNCTION("""COMPUTED_VALUE"""),-0.910582411053781)</f>
        <v>-0.91058241105378102</v>
      </c>
      <c r="NM127" s="3">
        <f ca="1">IFERROR(__xludf.DUMMYFUNCTION("""COMPUTED_VALUE"""),-0.894276661379707)</f>
        <v>-0.89427666137970696</v>
      </c>
      <c r="NN127" s="3">
        <f ca="1">IFERROR(__xludf.DUMMYFUNCTION("""COMPUTED_VALUE"""),-0.898607365271126)</f>
        <v>-0.89860736527112595</v>
      </c>
      <c r="NO127" s="3">
        <f ca="1">IFERROR(__xludf.DUMMYFUNCTION("""COMPUTED_VALUE"""),-0.890741668043129)</f>
        <v>-0.89074166804312904</v>
      </c>
      <c r="NP127" s="3">
        <f ca="1">IFERROR(__xludf.DUMMYFUNCTION("""COMPUTED_VALUE"""),-0.874787365676399)</f>
        <v>-0.87478736567639903</v>
      </c>
      <c r="NQ127" s="3">
        <f ca="1">IFERROR(__xludf.DUMMYFUNCTION("""COMPUTED_VALUE"""),-0.901172405354683)</f>
        <v>-0.90117240535468301</v>
      </c>
      <c r="NR127" s="3">
        <f ca="1">IFERROR(__xludf.DUMMYFUNCTION("""COMPUTED_VALUE"""),-0.935049062415552)</f>
        <v>-0.93504906241555197</v>
      </c>
      <c r="NS127" s="3">
        <f ca="1">IFERROR(__xludf.DUMMYFUNCTION("""COMPUTED_VALUE"""),-0.930588069765528)</f>
        <v>-0.93058806976552799</v>
      </c>
      <c r="NT127" s="3">
        <f ca="1">IFERROR(__xludf.DUMMYFUNCTION("""COMPUTED_VALUE"""),-0.938941571391881)</f>
        <v>-0.93894157139188095</v>
      </c>
      <c r="NU127" s="3">
        <f ca="1">IFERROR(__xludf.DUMMYFUNCTION("""COMPUTED_VALUE"""),-0.929130404643965)</f>
        <v>-0.92913040464396501</v>
      </c>
      <c r="NV127" s="3">
        <f ca="1">IFERROR(__xludf.DUMMYFUNCTION("""COMPUTED_VALUE"""),-0.915695631134305)</f>
        <v>-0.91569563113430497</v>
      </c>
      <c r="NW127" s="3">
        <f ca="1">IFERROR(__xludf.DUMMYFUNCTION("""COMPUTED_VALUE"""),-0.913379923523642)</f>
        <v>-0.91337992352364195</v>
      </c>
      <c r="NX127" s="3">
        <f ca="1">IFERROR(__xludf.DUMMYFUNCTION("""COMPUTED_VALUE"""),-0.923168845789222)</f>
        <v>-0.92316884578922198</v>
      </c>
      <c r="NY127" s="3">
        <f ca="1">IFERROR(__xludf.DUMMYFUNCTION("""COMPUTED_VALUE"""),-0.933484523419807)</f>
        <v>-0.93348452341980703</v>
      </c>
      <c r="NZ127" s="3">
        <f ca="1">IFERROR(__xludf.DUMMYFUNCTION("""COMPUTED_VALUE"""),-0.893462371506756)</f>
        <v>-0.893462371506756</v>
      </c>
      <c r="OA127" s="3">
        <f ca="1">IFERROR(__xludf.DUMMYFUNCTION("""COMPUTED_VALUE"""),-0.926364930052044)</f>
        <v>-0.92636493005204401</v>
      </c>
      <c r="OB127" s="3">
        <f ca="1">IFERROR(__xludf.DUMMYFUNCTION("""COMPUTED_VALUE"""),-0.922984555210061)</f>
        <v>-0.92298455521006095</v>
      </c>
      <c r="OC127" s="3">
        <f ca="1">IFERROR(__xludf.DUMMYFUNCTION("""COMPUTED_VALUE"""),-0.898297154605424)</f>
        <v>-0.89829715460542403</v>
      </c>
      <c r="OD127" s="3">
        <f ca="1">IFERROR(__xludf.DUMMYFUNCTION("""COMPUTED_VALUE"""),-0.8537878544925)</f>
        <v>-0.85378785449250005</v>
      </c>
      <c r="OE127" s="3">
        <f ca="1">IFERROR(__xludf.DUMMYFUNCTION("""COMPUTED_VALUE"""),-0.690245529553047)</f>
        <v>-0.69024552955304697</v>
      </c>
      <c r="OF127" s="3">
        <f ca="1">IFERROR(__xludf.DUMMYFUNCTION("""COMPUTED_VALUE"""),-0.638832676128635)</f>
        <v>-0.63883267612863504</v>
      </c>
      <c r="OG127" s="3">
        <f ca="1">IFERROR(__xludf.DUMMYFUNCTION("""COMPUTED_VALUE"""),-0.676714942140426)</f>
        <v>-0.67671494214042605</v>
      </c>
      <c r="OH127" s="3">
        <f ca="1">IFERROR(__xludf.DUMMYFUNCTION("""COMPUTED_VALUE"""),-0.549046566189483)</f>
        <v>-0.549046566189483</v>
      </c>
      <c r="OI127" s="3">
        <f ca="1">IFERROR(__xludf.DUMMYFUNCTION("""COMPUTED_VALUE"""),-0.417455691495951)</f>
        <v>-0.41745569149595102</v>
      </c>
      <c r="OJ127" s="3">
        <f ca="1">IFERROR(__xludf.DUMMYFUNCTION("""COMPUTED_VALUE"""),-0.366248114304195)</f>
        <v>-0.36624811430419502</v>
      </c>
      <c r="OK127" s="3">
        <f ca="1">IFERROR(__xludf.DUMMYFUNCTION("""COMPUTED_VALUE"""),-0.320240111535936)</f>
        <v>-0.32024011153593601</v>
      </c>
      <c r="OL127" s="3">
        <f ca="1">IFERROR(__xludf.DUMMYFUNCTION("""COMPUTED_VALUE"""),-0.390234167588404)</f>
        <v>-0.39023416758840401</v>
      </c>
      <c r="OM127" s="3">
        <f ca="1">IFERROR(__xludf.DUMMYFUNCTION("""COMPUTED_VALUE"""),-0.337263054928129)</f>
        <v>-0.33726305492812902</v>
      </c>
      <c r="ON127" s="3">
        <f ca="1">IFERROR(__xludf.DUMMYFUNCTION("""COMPUTED_VALUE"""),-0.344321314160855)</f>
        <v>-0.34432131416085499</v>
      </c>
      <c r="OO127" s="3">
        <f ca="1">IFERROR(__xludf.DUMMYFUNCTION("""COMPUTED_VALUE"""),-0.19309885122263)</f>
        <v>-0.19309885122263001</v>
      </c>
      <c r="OP127" s="3">
        <f ca="1">IFERROR(__xludf.DUMMYFUNCTION("""COMPUTED_VALUE"""),-0.182954219459476)</f>
        <v>-0.18295421945947599</v>
      </c>
      <c r="OQ127" s="3">
        <f ca="1">IFERROR(__xludf.DUMMYFUNCTION("""COMPUTED_VALUE"""),-0.141296059855091)</f>
        <v>-0.141296059855091</v>
      </c>
      <c r="OR127" s="3">
        <f ca="1">IFERROR(__xludf.DUMMYFUNCTION("""COMPUTED_VALUE"""),-0.0977247075316136)</f>
        <v>-9.7724707531613594E-2</v>
      </c>
      <c r="OS127" s="3">
        <f ca="1">IFERROR(__xludf.DUMMYFUNCTION("""COMPUTED_VALUE"""),-0.185155035555269)</f>
        <v>-0.18515503555526899</v>
      </c>
      <c r="OT127" s="3">
        <f ca="1">IFERROR(__xludf.DUMMYFUNCTION("""COMPUTED_VALUE"""),-0.138322781390806)</f>
        <v>-0.138322781390806</v>
      </c>
      <c r="OU127" s="3">
        <f ca="1">IFERROR(__xludf.DUMMYFUNCTION("""COMPUTED_VALUE"""),-0.0318836157485709)</f>
        <v>-3.1883615748570897E-2</v>
      </c>
      <c r="OV127" s="3">
        <f ca="1">IFERROR(__xludf.DUMMYFUNCTION("""COMPUTED_VALUE"""),0.123265136917906)</f>
        <v>0.123265136917906</v>
      </c>
      <c r="OW127" s="3">
        <f ca="1">IFERROR(__xludf.DUMMYFUNCTION("""COMPUTED_VALUE"""),0.0219302594615784)</f>
        <v>2.1930259461578401E-2</v>
      </c>
      <c r="OX127" s="3">
        <f ca="1">IFERROR(__xludf.DUMMYFUNCTION("""COMPUTED_VALUE"""),0.00735561750287327)</f>
        <v>7.35561750287327E-3</v>
      </c>
      <c r="OY127" s="3">
        <f ca="1">IFERROR(__xludf.DUMMYFUNCTION("""COMPUTED_VALUE"""),0.0315238498644321)</f>
        <v>3.1523849864432102E-2</v>
      </c>
      <c r="OZ127" s="3">
        <f ca="1">IFERROR(__xludf.DUMMYFUNCTION("""COMPUTED_VALUE"""),-0.0512262172645494)</f>
        <v>-5.1226217264549401E-2</v>
      </c>
      <c r="PA127" s="3">
        <f ca="1">IFERROR(__xludf.DUMMYFUNCTION("""COMPUTED_VALUE"""),-0.101883922722468)</f>
        <v>-0.101883922722468</v>
      </c>
      <c r="PB127" s="3">
        <f ca="1">IFERROR(__xludf.DUMMYFUNCTION("""COMPUTED_VALUE"""),-0.0649396849042784)</f>
        <v>-6.49396849042784E-2</v>
      </c>
      <c r="PC127" s="3">
        <f ca="1">IFERROR(__xludf.DUMMYFUNCTION("""COMPUTED_VALUE"""),0.0767849828741857)</f>
        <v>7.6784982874185698E-2</v>
      </c>
      <c r="PD127" s="3">
        <f ca="1">IFERROR(__xludf.DUMMYFUNCTION("""COMPUTED_VALUE"""),-0.058102564744468)</f>
        <v>-5.8102564744467997E-2</v>
      </c>
      <c r="PE127" s="3">
        <f ca="1">IFERROR(__xludf.DUMMYFUNCTION("""COMPUTED_VALUE"""),0.00852294955556032)</f>
        <v>8.5229495555603201E-3</v>
      </c>
      <c r="PF127" s="3">
        <f ca="1">IFERROR(__xludf.DUMMYFUNCTION("""COMPUTED_VALUE"""),-0.147450045877879)</f>
        <v>-0.14745004587787899</v>
      </c>
      <c r="PG127" s="3">
        <f ca="1">IFERROR(__xludf.DUMMYFUNCTION("""COMPUTED_VALUE"""),-0.00521058551203768)</f>
        <v>-5.2105855120376798E-3</v>
      </c>
      <c r="PH127" s="3">
        <f ca="1">IFERROR(__xludf.DUMMYFUNCTION("""COMPUTED_VALUE"""),0.0611875328550977)</f>
        <v>6.1187532855097697E-2</v>
      </c>
      <c r="PI127" s="3">
        <f ca="1">IFERROR(__xludf.DUMMYFUNCTION("""COMPUTED_VALUE"""),0.0475224059174246)</f>
        <v>4.7522405917424598E-2</v>
      </c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</row>
    <row r="128" spans="1:477" ht="13">
      <c r="A128" s="1" t="str">
        <f ca="1">IFERROR(__xludf.DUMMYFUNCTION("""COMPUTED_VALUE"""),"Golden Gate Transit")</f>
        <v>Golden Gate Transit</v>
      </c>
      <c r="B128" s="1" t="str">
        <f ca="1">IFERROR(__xludf.DUMMYFUNCTION("""COMPUTED_VALUE"""),"SF Bay Area")</f>
        <v>SF Bay Area</v>
      </c>
      <c r="C128" s="1" t="str">
        <f ca="1">IFERROR(__xludf.DUMMYFUNCTION("""COMPUTED_VALUE"""),"United States")</f>
        <v>United States</v>
      </c>
      <c r="D128" s="1" t="str">
        <f ca="1">IFERROR(__xludf.DUMMYFUNCTION("""COMPUTED_VALUE"""),"California")</f>
        <v>California</v>
      </c>
      <c r="E128" s="3">
        <f ca="1">IFERROR(__xludf.DUMMYFUNCTION("""COMPUTED_VALUE"""),-0.6547124990207)</f>
        <v>-0.65471249902069995</v>
      </c>
      <c r="F128" s="3">
        <f ca="1">IFERROR(__xludf.DUMMYFUNCTION("""COMPUTED_VALUE"""),-0.773541477630782)</f>
        <v>-0.77354147763078196</v>
      </c>
      <c r="G128" s="3">
        <f ca="1">IFERROR(__xludf.DUMMYFUNCTION("""COMPUTED_VALUE"""),-0.786363365113318)</f>
        <v>-0.78636336511331795</v>
      </c>
      <c r="H128" s="3">
        <f ca="1">IFERROR(__xludf.DUMMYFUNCTION("""COMPUTED_VALUE"""),-0.796136135277381)</f>
        <v>-0.79613613527738103</v>
      </c>
      <c r="I128" s="3">
        <f ca="1">IFERROR(__xludf.DUMMYFUNCTION("""COMPUTED_VALUE"""),-0.785780028808489)</f>
        <v>-0.78578002880848896</v>
      </c>
      <c r="J128" s="3">
        <f ca="1">IFERROR(__xludf.DUMMYFUNCTION("""COMPUTED_VALUE"""),-0.764703707673757)</f>
        <v>-0.76470370767375695</v>
      </c>
      <c r="K128" s="3">
        <f ca="1">IFERROR(__xludf.DUMMYFUNCTION("""COMPUTED_VALUE"""),-0.612834734684434)</f>
        <v>-0.61283473468443395</v>
      </c>
      <c r="L128" s="3">
        <f ca="1">IFERROR(__xludf.DUMMYFUNCTION("""COMPUTED_VALUE"""),-0.65872336513875)</f>
        <v>-0.65872336513874996</v>
      </c>
      <c r="M128" s="3">
        <f ca="1">IFERROR(__xludf.DUMMYFUNCTION("""COMPUTED_VALUE"""),-0.742266323852835)</f>
        <v>-0.74226632385283497</v>
      </c>
      <c r="N128" s="3">
        <f ca="1">IFERROR(__xludf.DUMMYFUNCTION("""COMPUTED_VALUE"""),-0.763743331066393)</f>
        <v>-0.76374333106639303</v>
      </c>
      <c r="O128" s="3">
        <f ca="1">IFERROR(__xludf.DUMMYFUNCTION("""COMPUTED_VALUE"""),-0.781175411453482)</f>
        <v>-0.78117541145348202</v>
      </c>
      <c r="P128" s="3">
        <f ca="1">IFERROR(__xludf.DUMMYFUNCTION("""COMPUTED_VALUE"""),-0.78326358644951)</f>
        <v>-0.78326358644951</v>
      </c>
      <c r="Q128" s="3">
        <f ca="1">IFERROR(__xludf.DUMMYFUNCTION("""COMPUTED_VALUE"""),-0.757167182715242)</f>
        <v>-0.75716718271524197</v>
      </c>
      <c r="R128" s="3">
        <f ca="1">IFERROR(__xludf.DUMMYFUNCTION("""COMPUTED_VALUE"""),-0.579415209280939)</f>
        <v>-0.57941520928093904</v>
      </c>
      <c r="S128" s="3">
        <f ca="1">IFERROR(__xludf.DUMMYFUNCTION("""COMPUTED_VALUE"""),-0.599685604268846)</f>
        <v>-0.59968560426884598</v>
      </c>
      <c r="T128" s="3">
        <f ca="1">IFERROR(__xludf.DUMMYFUNCTION("""COMPUTED_VALUE"""),-0.746303355631031)</f>
        <v>-0.74630335563103101</v>
      </c>
      <c r="U128" s="3">
        <f ca="1">IFERROR(__xludf.DUMMYFUNCTION("""COMPUTED_VALUE"""),-0.78088198637572)</f>
        <v>-0.78088198637572004</v>
      </c>
      <c r="V128" s="3">
        <f ca="1">IFERROR(__xludf.DUMMYFUNCTION("""COMPUTED_VALUE"""),-0.784466802001075)</f>
        <v>-0.78446680200107499</v>
      </c>
      <c r="W128" s="3">
        <f ca="1">IFERROR(__xludf.DUMMYFUNCTION("""COMPUTED_VALUE"""),-0.777845202710273)</f>
        <v>-0.77784520271027302</v>
      </c>
      <c r="X128" s="3">
        <f ca="1">IFERROR(__xludf.DUMMYFUNCTION("""COMPUTED_VALUE"""),-0.759958003385065)</f>
        <v>-0.75995800338506503</v>
      </c>
      <c r="Y128" s="3">
        <f ca="1">IFERROR(__xludf.DUMMYFUNCTION("""COMPUTED_VALUE"""),-0.587518582087621)</f>
        <v>-0.58751858208762098</v>
      </c>
      <c r="Z128" s="3">
        <f ca="1">IFERROR(__xludf.DUMMYFUNCTION("""COMPUTED_VALUE"""),-0.649193643225255)</f>
        <v>-0.64919364322525497</v>
      </c>
      <c r="AA128" s="3">
        <f ca="1">IFERROR(__xludf.DUMMYFUNCTION("""COMPUTED_VALUE"""),-0.762644059883911)</f>
        <v>-0.76264405988391104</v>
      </c>
      <c r="AB128" s="3">
        <f ca="1">IFERROR(__xludf.DUMMYFUNCTION("""COMPUTED_VALUE"""),-0.823958206247206)</f>
        <v>-0.82395820624720595</v>
      </c>
      <c r="AC128" s="3">
        <f ca="1">IFERROR(__xludf.DUMMYFUNCTION("""COMPUTED_VALUE"""),-0.806345883813118)</f>
        <v>-0.806345883813118</v>
      </c>
      <c r="AD128" s="3">
        <f ca="1">IFERROR(__xludf.DUMMYFUNCTION("""COMPUTED_VALUE"""),-0.809278230515065)</f>
        <v>-0.80927823051506498</v>
      </c>
      <c r="AE128" s="3">
        <f ca="1">IFERROR(__xludf.DUMMYFUNCTION("""COMPUTED_VALUE"""),-0.788824845888932)</f>
        <v>-0.78882484588893198</v>
      </c>
      <c r="AF128" s="3">
        <f ca="1">IFERROR(__xludf.DUMMYFUNCTION("""COMPUTED_VALUE"""),-0.668558160693044)</f>
        <v>-0.66855816069304397</v>
      </c>
      <c r="AG128" s="3">
        <f ca="1">IFERROR(__xludf.DUMMYFUNCTION("""COMPUTED_VALUE"""),-0.674967357243267)</f>
        <v>-0.67496735724326695</v>
      </c>
      <c r="AH128" s="3">
        <f ca="1">IFERROR(__xludf.DUMMYFUNCTION("""COMPUTED_VALUE"""),-0.789956319126657)</f>
        <v>-0.78995631912665698</v>
      </c>
      <c r="AI128" s="3">
        <f ca="1">IFERROR(__xludf.DUMMYFUNCTION("""COMPUTED_VALUE"""),-0.818025566645478)</f>
        <v>-0.81802556664547799</v>
      </c>
      <c r="AJ128" s="3">
        <f ca="1">IFERROR(__xludf.DUMMYFUNCTION("""COMPUTED_VALUE"""),-0.832163787431213)</f>
        <v>-0.832163787431213</v>
      </c>
      <c r="AK128" s="3">
        <f ca="1">IFERROR(__xludf.DUMMYFUNCTION("""COMPUTED_VALUE"""),-0.824919162299798)</f>
        <v>-0.824919162299798</v>
      </c>
      <c r="AL128" s="3">
        <f ca="1">IFERROR(__xludf.DUMMYFUNCTION("""COMPUTED_VALUE"""),-0.783016484001203)</f>
        <v>-0.78301648400120305</v>
      </c>
      <c r="AM128" s="3">
        <f ca="1">IFERROR(__xludf.DUMMYFUNCTION("""COMPUTED_VALUE"""),-0.611911370727598)</f>
        <v>-0.61191137072759805</v>
      </c>
      <c r="AN128" s="3">
        <f ca="1">IFERROR(__xludf.DUMMYFUNCTION("""COMPUTED_VALUE"""),-0.671782493393306)</f>
        <v>-0.67178249339330598</v>
      </c>
      <c r="AO128" s="3">
        <f ca="1">IFERROR(__xludf.DUMMYFUNCTION("""COMPUTED_VALUE"""),-0.798305626509666)</f>
        <v>-0.79830562650966597</v>
      </c>
      <c r="AP128" s="3">
        <f ca="1">IFERROR(__xludf.DUMMYFUNCTION("""COMPUTED_VALUE"""),-0.827468109593166)</f>
        <v>-0.82746810959316597</v>
      </c>
      <c r="AQ128" s="3">
        <f ca="1">IFERROR(__xludf.DUMMYFUNCTION("""COMPUTED_VALUE"""),-0.821577830673146)</f>
        <v>-0.82157783067314605</v>
      </c>
      <c r="AR128" s="3">
        <f ca="1">IFERROR(__xludf.DUMMYFUNCTION("""COMPUTED_VALUE"""),-0.823491764529911)</f>
        <v>-0.82349176452991102</v>
      </c>
      <c r="AS128" s="3">
        <f ca="1">IFERROR(__xludf.DUMMYFUNCTION("""COMPUTED_VALUE"""),-0.791018711616098)</f>
        <v>-0.79101871161609805</v>
      </c>
      <c r="AT128" s="3">
        <f ca="1">IFERROR(__xludf.DUMMYFUNCTION("""COMPUTED_VALUE"""),-0.596213017731274)</f>
        <v>-0.596213017731274</v>
      </c>
      <c r="AU128" s="3">
        <f ca="1">IFERROR(__xludf.DUMMYFUNCTION("""COMPUTED_VALUE"""),-0.665429287960763)</f>
        <v>-0.66542928796076295</v>
      </c>
      <c r="AV128" s="3">
        <f ca="1">IFERROR(__xludf.DUMMYFUNCTION("""COMPUTED_VALUE"""),-0.802446379795292)</f>
        <v>-0.80244637979529199</v>
      </c>
      <c r="AW128" s="3">
        <f ca="1">IFERROR(__xludf.DUMMYFUNCTION("""COMPUTED_VALUE"""),-0.825690288172463)</f>
        <v>-0.82569028817246304</v>
      </c>
      <c r="AX128" s="3">
        <f ca="1">IFERROR(__xludf.DUMMYFUNCTION("""COMPUTED_VALUE"""),-0.820515822578571)</f>
        <v>-0.82051582257857103</v>
      </c>
      <c r="AY128" s="3">
        <f ca="1">IFERROR(__xludf.DUMMYFUNCTION("""COMPUTED_VALUE"""),-0.80735833586912)</f>
        <v>-0.80735833586911998</v>
      </c>
      <c r="AZ128" s="3">
        <f ca="1">IFERROR(__xludf.DUMMYFUNCTION("""COMPUTED_VALUE"""),-0.759547349944193)</f>
        <v>-0.75954734994419304</v>
      </c>
      <c r="BA128" s="3">
        <f ca="1">IFERROR(__xludf.DUMMYFUNCTION("""COMPUTED_VALUE"""),-0.592794256374143)</f>
        <v>-0.59279425637414296</v>
      </c>
      <c r="BB128" s="3">
        <f ca="1">IFERROR(__xludf.DUMMYFUNCTION("""COMPUTED_VALUE"""),-0.671668010621154)</f>
        <v>-0.671668010621154</v>
      </c>
      <c r="BC128" s="3">
        <f ca="1">IFERROR(__xludf.DUMMYFUNCTION("""COMPUTED_VALUE"""),-0.798296825726235)</f>
        <v>-0.79829682572623495</v>
      </c>
      <c r="BD128" s="3">
        <f ca="1">IFERROR(__xludf.DUMMYFUNCTION("""COMPUTED_VALUE"""),-0.831580285713212)</f>
        <v>-0.83158028571321196</v>
      </c>
      <c r="BE128" s="3">
        <f ca="1">IFERROR(__xludf.DUMMYFUNCTION("""COMPUTED_VALUE"""),-0.84009560413223)</f>
        <v>-0.84009560413222995</v>
      </c>
      <c r="BF128" s="3">
        <f ca="1">IFERROR(__xludf.DUMMYFUNCTION("""COMPUTED_VALUE"""),-0.829855857308355)</f>
        <v>-0.82985585730835498</v>
      </c>
      <c r="BG128" s="3">
        <f ca="1">IFERROR(__xludf.DUMMYFUNCTION("""COMPUTED_VALUE"""),-0.762435601241892)</f>
        <v>-0.76243560124189202</v>
      </c>
      <c r="BH128" s="3">
        <f ca="1">IFERROR(__xludf.DUMMYFUNCTION("""COMPUTED_VALUE"""),-0.625274362272769)</f>
        <v>-0.625274362272769</v>
      </c>
      <c r="BI128" s="3">
        <f ca="1">IFERROR(__xludf.DUMMYFUNCTION("""COMPUTED_VALUE"""),-0.699984790409732)</f>
        <v>-0.69998479040973205</v>
      </c>
      <c r="BJ128" s="3">
        <f ca="1">IFERROR(__xludf.DUMMYFUNCTION("""COMPUTED_VALUE"""),-0.801381092628644)</f>
        <v>-0.80138109262864399</v>
      </c>
      <c r="BK128" s="3">
        <f ca="1">IFERROR(__xludf.DUMMYFUNCTION("""COMPUTED_VALUE"""),-0.839903423449232)</f>
        <v>-0.83990342344923197</v>
      </c>
      <c r="BL128" s="3">
        <f ca="1">IFERROR(__xludf.DUMMYFUNCTION("""COMPUTED_VALUE"""),-0.837045585953742)</f>
        <v>-0.83704558595374201</v>
      </c>
      <c r="BM128" s="3">
        <f ca="1">IFERROR(__xludf.DUMMYFUNCTION("""COMPUTED_VALUE"""),-0.831354331001618)</f>
        <v>-0.83135433100161804</v>
      </c>
      <c r="BN128" s="3">
        <f ca="1">IFERROR(__xludf.DUMMYFUNCTION("""COMPUTED_VALUE"""),-0.788513561445167)</f>
        <v>-0.78851356144516704</v>
      </c>
      <c r="BO128" s="3">
        <f ca="1">IFERROR(__xludf.DUMMYFUNCTION("""COMPUTED_VALUE"""),-0.611028877766985)</f>
        <v>-0.611028877766985</v>
      </c>
      <c r="BP128" s="3">
        <f ca="1">IFERROR(__xludf.DUMMYFUNCTION("""COMPUTED_VALUE"""),-0.641711510059896)</f>
        <v>-0.64171151005989602</v>
      </c>
      <c r="BQ128" s="3">
        <f ca="1">IFERROR(__xludf.DUMMYFUNCTION("""COMPUTED_VALUE"""),-0.802442722795843)</f>
        <v>-0.80244272279584306</v>
      </c>
      <c r="BR128" s="3">
        <f ca="1">IFERROR(__xludf.DUMMYFUNCTION("""COMPUTED_VALUE"""),-0.819223014198114)</f>
        <v>-0.81922301419811405</v>
      </c>
      <c r="BS128" s="3">
        <f ca="1">IFERROR(__xludf.DUMMYFUNCTION("""COMPUTED_VALUE"""),-0.822799029670213)</f>
        <v>-0.82279902967021301</v>
      </c>
      <c r="BT128" s="3">
        <f ca="1">IFERROR(__xludf.DUMMYFUNCTION("""COMPUTED_VALUE"""),-0.824068807584817)</f>
        <v>-0.82406880758481704</v>
      </c>
      <c r="BU128" s="3">
        <f ca="1">IFERROR(__xludf.DUMMYFUNCTION("""COMPUTED_VALUE"""),-0.830165449211645)</f>
        <v>-0.83016544921164503</v>
      </c>
      <c r="BV128" s="3">
        <f ca="1">IFERROR(__xludf.DUMMYFUNCTION("""COMPUTED_VALUE"""),-0.695973500205992)</f>
        <v>-0.69597350020599202</v>
      </c>
      <c r="BW128" s="3">
        <f ca="1">IFERROR(__xludf.DUMMYFUNCTION("""COMPUTED_VALUE"""),-0.72128469136263)</f>
        <v>-0.72128469136262996</v>
      </c>
      <c r="BX128" s="3">
        <f ca="1">IFERROR(__xludf.DUMMYFUNCTION("""COMPUTED_VALUE"""),-0.823952420175717)</f>
        <v>-0.82395242017571702</v>
      </c>
      <c r="BY128" s="3">
        <f ca="1">IFERROR(__xludf.DUMMYFUNCTION("""COMPUTED_VALUE"""),-0.863324290680653)</f>
        <v>-0.86332429068065297</v>
      </c>
      <c r="BZ128" s="3">
        <f ca="1">IFERROR(__xludf.DUMMYFUNCTION("""COMPUTED_VALUE"""),-0.873910660126791)</f>
        <v>-0.87391066012679097</v>
      </c>
      <c r="CA128" s="3">
        <f ca="1">IFERROR(__xludf.DUMMYFUNCTION("""COMPUTED_VALUE"""),-0.858330084941387)</f>
        <v>-0.85833008494138696</v>
      </c>
      <c r="CB128" s="3">
        <f ca="1">IFERROR(__xludf.DUMMYFUNCTION("""COMPUTED_VALUE"""),-0.808898879168459)</f>
        <v>-0.80889887916845904</v>
      </c>
      <c r="CC128" s="3">
        <f ca="1">IFERROR(__xludf.DUMMYFUNCTION("""COMPUTED_VALUE"""),-0.731283436052682)</f>
        <v>-0.73128343605268198</v>
      </c>
      <c r="CD128" s="3">
        <f ca="1">IFERROR(__xludf.DUMMYFUNCTION("""COMPUTED_VALUE"""),-0.711326657741146)</f>
        <v>-0.71132665774114601</v>
      </c>
      <c r="CE128" s="3">
        <f ca="1">IFERROR(__xludf.DUMMYFUNCTION("""COMPUTED_VALUE"""),-0.845492885490075)</f>
        <v>-0.84549288549007495</v>
      </c>
      <c r="CF128" s="3">
        <f ca="1">IFERROR(__xludf.DUMMYFUNCTION("""COMPUTED_VALUE"""),-0.859277874912967)</f>
        <v>-0.85927787491296703</v>
      </c>
      <c r="CG128" s="3">
        <f ca="1">IFERROR(__xludf.DUMMYFUNCTION("""COMPUTED_VALUE"""),-0.866774750627288)</f>
        <v>-0.86677475062728804</v>
      </c>
      <c r="CH128" s="3">
        <f ca="1">IFERROR(__xludf.DUMMYFUNCTION("""COMPUTED_VALUE"""),-0.858335599120758)</f>
        <v>-0.85833559912075796</v>
      </c>
      <c r="CI128" s="3">
        <f ca="1">IFERROR(__xludf.DUMMYFUNCTION("""COMPUTED_VALUE"""),-0.789070315857937)</f>
        <v>-0.78907031585793697</v>
      </c>
      <c r="CJ128" s="3">
        <f ca="1">IFERROR(__xludf.DUMMYFUNCTION("""COMPUTED_VALUE"""),-0.664193598721381)</f>
        <v>-0.66419359872138095</v>
      </c>
      <c r="CK128" s="3">
        <f ca="1">IFERROR(__xludf.DUMMYFUNCTION("""COMPUTED_VALUE"""),-0.723511062988574)</f>
        <v>-0.72351106298857404</v>
      </c>
      <c r="CL128" s="3">
        <f ca="1">IFERROR(__xludf.DUMMYFUNCTION("""COMPUTED_VALUE"""),-0.84748601392662)</f>
        <v>-0.84748601392662004</v>
      </c>
      <c r="CM128" s="3">
        <f ca="1">IFERROR(__xludf.DUMMYFUNCTION("""COMPUTED_VALUE"""),-0.857042224289637)</f>
        <v>-0.85704222428963694</v>
      </c>
      <c r="CN128" s="3">
        <f ca="1">IFERROR(__xludf.DUMMYFUNCTION("""COMPUTED_VALUE"""),-0.859529013523916)</f>
        <v>-0.85952901352391597</v>
      </c>
      <c r="CO128" s="3">
        <f ca="1">IFERROR(__xludf.DUMMYFUNCTION("""COMPUTED_VALUE"""),-0.856251243378973)</f>
        <v>-0.85625124337897296</v>
      </c>
      <c r="CP128" s="3">
        <f ca="1">IFERROR(__xludf.DUMMYFUNCTION("""COMPUTED_VALUE"""),-0.836958985965507)</f>
        <v>-0.836958985965507</v>
      </c>
      <c r="CQ128" s="3">
        <f ca="1">IFERROR(__xludf.DUMMYFUNCTION("""COMPUTED_VALUE"""),-0.704809704481428)</f>
        <v>-0.70480970448142799</v>
      </c>
      <c r="CR128" s="3">
        <f ca="1">IFERROR(__xludf.DUMMYFUNCTION("""COMPUTED_VALUE"""),-0.727096294551046)</f>
        <v>-0.72709629455104596</v>
      </c>
      <c r="CS128" s="3">
        <f ca="1">IFERROR(__xludf.DUMMYFUNCTION("""COMPUTED_VALUE"""),-0.841522881852553)</f>
        <v>-0.84152288185255297</v>
      </c>
      <c r="CT128" s="3">
        <f ca="1">IFERROR(__xludf.DUMMYFUNCTION("""COMPUTED_VALUE"""),-0.851094579696119)</f>
        <v>-0.85109457969611901</v>
      </c>
      <c r="CU128" s="3">
        <f ca="1">IFERROR(__xludf.DUMMYFUNCTION("""COMPUTED_VALUE"""),-0.838092048895415)</f>
        <v>-0.838092048895415</v>
      </c>
      <c r="CV128" s="3">
        <f ca="1">IFERROR(__xludf.DUMMYFUNCTION("""COMPUTED_VALUE"""),-0.823081701180134)</f>
        <v>-0.82308170118013402</v>
      </c>
      <c r="CW128" s="3">
        <f ca="1">IFERROR(__xludf.DUMMYFUNCTION("""COMPUTED_VALUE"""),-0.837135971540087)</f>
        <v>-0.83713597154008701</v>
      </c>
      <c r="CX128" s="3">
        <f ca="1">IFERROR(__xludf.DUMMYFUNCTION("""COMPUTED_VALUE"""),-0.680970277337373)</f>
        <v>-0.68097027733737303</v>
      </c>
      <c r="CY128" s="3">
        <f ca="1">IFERROR(__xludf.DUMMYFUNCTION("""COMPUTED_VALUE"""),-0.751686328209461)</f>
        <v>-0.75168632820946102</v>
      </c>
      <c r="CZ128" s="3">
        <f ca="1">IFERROR(__xludf.DUMMYFUNCTION("""COMPUTED_VALUE"""),-0.848834960337151)</f>
        <v>-0.848834960337151</v>
      </c>
      <c r="DA128" s="3">
        <f ca="1">IFERROR(__xludf.DUMMYFUNCTION("""COMPUTED_VALUE"""),-0.82059689900191)</f>
        <v>-0.82059689900191002</v>
      </c>
      <c r="DB128" s="3">
        <f ca="1">IFERROR(__xludf.DUMMYFUNCTION("""COMPUTED_VALUE"""),-0.739879455361557)</f>
        <v>-0.73987945536155697</v>
      </c>
      <c r="DC128" s="3">
        <f ca="1">IFERROR(__xludf.DUMMYFUNCTION("""COMPUTED_VALUE"""),-0.780553285905453)</f>
        <v>-0.78055328590545303</v>
      </c>
      <c r="DD128" s="3">
        <f ca="1">IFERROR(__xludf.DUMMYFUNCTION("""COMPUTED_VALUE"""),-0.817576802921352)</f>
        <v>-0.81757680292135204</v>
      </c>
      <c r="DE128" s="3">
        <f ca="1">IFERROR(__xludf.DUMMYFUNCTION("""COMPUTED_VALUE"""),-0.680657931160402)</f>
        <v>-0.68065793116040196</v>
      </c>
      <c r="DF128" s="3">
        <f ca="1">IFERROR(__xludf.DUMMYFUNCTION("""COMPUTED_VALUE"""),-0.76302393381106)</f>
        <v>-0.76302393381106004</v>
      </c>
      <c r="DG128" s="3">
        <f ca="1">IFERROR(__xludf.DUMMYFUNCTION("""COMPUTED_VALUE"""),-0.919356740396756)</f>
        <v>-0.91935674039675597</v>
      </c>
      <c r="DH128" s="3">
        <f ca="1">IFERROR(__xludf.DUMMYFUNCTION("""COMPUTED_VALUE"""),-0.847926380205288)</f>
        <v>-0.84792638020528799</v>
      </c>
      <c r="DI128" s="3">
        <f ca="1">IFERROR(__xludf.DUMMYFUNCTION("""COMPUTED_VALUE"""),-0.731171388224206)</f>
        <v>-0.73117138822420602</v>
      </c>
      <c r="DJ128" s="3">
        <f ca="1">IFERROR(__xludf.DUMMYFUNCTION("""COMPUTED_VALUE"""),-0.776753716302908)</f>
        <v>-0.77675371630290801</v>
      </c>
      <c r="DK128" s="3">
        <f ca="1">IFERROR(__xludf.DUMMYFUNCTION("""COMPUTED_VALUE"""),-0.795867719913146)</f>
        <v>-0.79586771991314598</v>
      </c>
      <c r="DL128" s="3">
        <f ca="1">IFERROR(__xludf.DUMMYFUNCTION("""COMPUTED_VALUE"""),-0.685214438303471)</f>
        <v>-0.68521443830347095</v>
      </c>
      <c r="DM128" s="3">
        <f ca="1">IFERROR(__xludf.DUMMYFUNCTION("""COMPUTED_VALUE"""),-0.732645756923096)</f>
        <v>-0.73264575692309597</v>
      </c>
      <c r="DN128" s="3">
        <f ca="1">IFERROR(__xludf.DUMMYFUNCTION("""COMPUTED_VALUE"""),-0.823618249744134)</f>
        <v>-0.823618249744134</v>
      </c>
      <c r="DO128" s="3">
        <f ca="1">IFERROR(__xludf.DUMMYFUNCTION("""COMPUTED_VALUE"""),-0.830193026512981)</f>
        <v>-0.83019302651298099</v>
      </c>
      <c r="DP128" s="3">
        <f ca="1">IFERROR(__xludf.DUMMYFUNCTION("""COMPUTED_VALUE"""),-0.823019119404548)</f>
        <v>-0.82301911940454797</v>
      </c>
      <c r="DQ128" s="3">
        <f ca="1">IFERROR(__xludf.DUMMYFUNCTION("""COMPUTED_VALUE"""),-0.833293925086304)</f>
        <v>-0.83329392508630395</v>
      </c>
      <c r="DR128" s="3">
        <f ca="1">IFERROR(__xludf.DUMMYFUNCTION("""COMPUTED_VALUE"""),-0.828905085931639)</f>
        <v>-0.82890508593163903</v>
      </c>
      <c r="DS128" s="3">
        <f ca="1">IFERROR(__xludf.DUMMYFUNCTION("""COMPUTED_VALUE"""),-0.7627276479119)</f>
        <v>-0.76272764791189995</v>
      </c>
      <c r="DT128" s="3">
        <f ca="1">IFERROR(__xludf.DUMMYFUNCTION("""COMPUTED_VALUE"""),-0.780655228131061)</f>
        <v>-0.78065522813106103</v>
      </c>
      <c r="DU128" s="3">
        <f ca="1">IFERROR(__xludf.DUMMYFUNCTION("""COMPUTED_VALUE"""),-0.855940498410267)</f>
        <v>-0.85594049841026698</v>
      </c>
      <c r="DV128" s="3">
        <f ca="1">IFERROR(__xludf.DUMMYFUNCTION("""COMPUTED_VALUE"""),-0.851593001005658)</f>
        <v>-0.85159300100565805</v>
      </c>
      <c r="DW128" s="3">
        <f ca="1">IFERROR(__xludf.DUMMYFUNCTION("""COMPUTED_VALUE"""),-0.864880968003816)</f>
        <v>-0.86488096800381598</v>
      </c>
      <c r="DX128" s="3">
        <f ca="1">IFERROR(__xludf.DUMMYFUNCTION("""COMPUTED_VALUE"""),-0.864592369516306)</f>
        <v>-0.86459236951630603</v>
      </c>
      <c r="DY128" s="3">
        <f ca="1">IFERROR(__xludf.DUMMYFUNCTION("""COMPUTED_VALUE"""),-0.838058283207847)</f>
        <v>-0.83805828320784703</v>
      </c>
      <c r="DZ128" s="3">
        <f ca="1">IFERROR(__xludf.DUMMYFUNCTION("""COMPUTED_VALUE"""),-0.641508339944971)</f>
        <v>-0.64150833994497103</v>
      </c>
      <c r="EA128" s="3">
        <f ca="1">IFERROR(__xludf.DUMMYFUNCTION("""COMPUTED_VALUE"""),-0.694247321188502)</f>
        <v>-0.69424732118850196</v>
      </c>
      <c r="EB128" s="3">
        <f ca="1">IFERROR(__xludf.DUMMYFUNCTION("""COMPUTED_VALUE"""),-0.797466739937549)</f>
        <v>-0.79746673993754902</v>
      </c>
      <c r="EC128" s="3">
        <f ca="1">IFERROR(__xludf.DUMMYFUNCTION("""COMPUTED_VALUE"""),-0.816245680763436)</f>
        <v>-0.81624568076343595</v>
      </c>
      <c r="ED128" s="3">
        <f ca="1">IFERROR(__xludf.DUMMYFUNCTION("""COMPUTED_VALUE"""),-0.844700711685258)</f>
        <v>-0.84470071168525795</v>
      </c>
      <c r="EE128" s="3">
        <f ca="1">IFERROR(__xludf.DUMMYFUNCTION("""COMPUTED_VALUE"""),-0.844132802891599)</f>
        <v>-0.84413280289159898</v>
      </c>
      <c r="EF128" s="3">
        <f ca="1">IFERROR(__xludf.DUMMYFUNCTION("""COMPUTED_VALUE"""),-0.810469841085486)</f>
        <v>-0.81046984108548603</v>
      </c>
      <c r="EG128" s="3">
        <f ca="1">IFERROR(__xludf.DUMMYFUNCTION("""COMPUTED_VALUE"""),-0.670063845826)</f>
        <v>-0.67006384582599998</v>
      </c>
      <c r="EH128" s="3">
        <f ca="1">IFERROR(__xludf.DUMMYFUNCTION("""COMPUTED_VALUE"""),-0.698350232104987)</f>
        <v>-0.69835023210498703</v>
      </c>
      <c r="EI128" s="3">
        <f ca="1">IFERROR(__xludf.DUMMYFUNCTION("""COMPUTED_VALUE"""),-0.821444408132443)</f>
        <v>-0.82144440813244302</v>
      </c>
      <c r="EJ128" s="3">
        <f ca="1">IFERROR(__xludf.DUMMYFUNCTION("""COMPUTED_VALUE"""),-0.87370039529859)</f>
        <v>-0.87370039529859</v>
      </c>
      <c r="EK128" s="3">
        <f ca="1">IFERROR(__xludf.DUMMYFUNCTION("""COMPUTED_VALUE"""),-0.821772764470558)</f>
        <v>-0.82177276447055803</v>
      </c>
      <c r="EL128" s="3">
        <f ca="1">IFERROR(__xludf.DUMMYFUNCTION("""COMPUTED_VALUE"""),-0.83075396057016)</f>
        <v>-0.83075396057016004</v>
      </c>
      <c r="EM128" s="3">
        <f ca="1">IFERROR(__xludf.DUMMYFUNCTION("""COMPUTED_VALUE"""),-0.814064214050995)</f>
        <v>-0.81406421405099505</v>
      </c>
      <c r="EN128" s="3">
        <f ca="1">IFERROR(__xludf.DUMMYFUNCTION("""COMPUTED_VALUE"""),-0.63627731535224)</f>
        <v>-0.63627731535223997</v>
      </c>
      <c r="EO128" s="3">
        <f ca="1">IFERROR(__xludf.DUMMYFUNCTION("""COMPUTED_VALUE"""),-0.67634731345587)</f>
        <v>-0.67634731345586996</v>
      </c>
      <c r="EP128" s="3">
        <f ca="1">IFERROR(__xludf.DUMMYFUNCTION("""COMPUTED_VALUE"""),-0.770368043124187)</f>
        <v>-0.77036804312418705</v>
      </c>
      <c r="EQ128" s="3">
        <f ca="1">IFERROR(__xludf.DUMMYFUNCTION("""COMPUTED_VALUE"""),-0.791409950073668)</f>
        <v>-0.79140995007366799</v>
      </c>
      <c r="ER128" s="3">
        <f ca="1">IFERROR(__xludf.DUMMYFUNCTION("""COMPUTED_VALUE"""),-0.827851170059477)</f>
        <v>-0.82785117005947695</v>
      </c>
      <c r="ES128" s="3">
        <f ca="1">IFERROR(__xludf.DUMMYFUNCTION("""COMPUTED_VALUE"""),-0.855422793269093)</f>
        <v>-0.85542279326909298</v>
      </c>
      <c r="ET128" s="3">
        <f ca="1">IFERROR(__xludf.DUMMYFUNCTION("""COMPUTED_VALUE"""),-0.813067598278524)</f>
        <v>-0.81306759827852404</v>
      </c>
      <c r="EU128" s="3">
        <f ca="1">IFERROR(__xludf.DUMMYFUNCTION("""COMPUTED_VALUE"""),-0.666903934811863)</f>
        <v>-0.66690393481186305</v>
      </c>
      <c r="EV128" s="3">
        <f ca="1">IFERROR(__xludf.DUMMYFUNCTION("""COMPUTED_VALUE"""),-0.705714352765505)</f>
        <v>-0.70571435276550498</v>
      </c>
      <c r="EW128" s="3">
        <f ca="1">IFERROR(__xludf.DUMMYFUNCTION("""COMPUTED_VALUE"""),-0.831966625488386)</f>
        <v>-0.83196662548838596</v>
      </c>
      <c r="EX128" s="3">
        <f ca="1">IFERROR(__xludf.DUMMYFUNCTION("""COMPUTED_VALUE"""),-0.837902960291983)</f>
        <v>-0.83790296029198297</v>
      </c>
      <c r="EY128" s="3">
        <f ca="1">IFERROR(__xludf.DUMMYFUNCTION("""COMPUTED_VALUE"""),-0.837385003120732)</f>
        <v>-0.83738500312073205</v>
      </c>
      <c r="EZ128" s="3">
        <f ca="1">IFERROR(__xludf.DUMMYFUNCTION("""COMPUTED_VALUE"""),-0.846949421614519)</f>
        <v>-0.84694942161451903</v>
      </c>
      <c r="FA128" s="3">
        <f ca="1">IFERROR(__xludf.DUMMYFUNCTION("""COMPUTED_VALUE"""),-0.822094820839626)</f>
        <v>-0.82209482083962604</v>
      </c>
      <c r="FB128" s="3">
        <f ca="1">IFERROR(__xludf.DUMMYFUNCTION("""COMPUTED_VALUE"""),-0.673108571577452)</f>
        <v>-0.67310857157745196</v>
      </c>
      <c r="FC128" s="3">
        <f ca="1">IFERROR(__xludf.DUMMYFUNCTION("""COMPUTED_VALUE"""),-0.700916684107604)</f>
        <v>-0.70091668410760399</v>
      </c>
      <c r="FD128" s="3">
        <f ca="1">IFERROR(__xludf.DUMMYFUNCTION("""COMPUTED_VALUE"""),-0.826144172029126)</f>
        <v>-0.82614417202912604</v>
      </c>
      <c r="FE128" s="3">
        <f ca="1">IFERROR(__xludf.DUMMYFUNCTION("""COMPUTED_VALUE"""),-0.846957143485802)</f>
        <v>-0.84695714348580198</v>
      </c>
      <c r="FF128" s="3">
        <f ca="1">IFERROR(__xludf.DUMMYFUNCTION("""COMPUTED_VALUE"""),-0.847032619659728)</f>
        <v>-0.84703261965972798</v>
      </c>
      <c r="FG128" s="3">
        <f ca="1">IFERROR(__xludf.DUMMYFUNCTION("""COMPUTED_VALUE"""),-0.828108435437948)</f>
        <v>-0.82810843543794799</v>
      </c>
      <c r="FH128" s="3">
        <f ca="1">IFERROR(__xludf.DUMMYFUNCTION("""COMPUTED_VALUE"""),-0.786980623125663)</f>
        <v>-0.78698062312566297</v>
      </c>
      <c r="FI128" s="3">
        <f ca="1">IFERROR(__xludf.DUMMYFUNCTION("""COMPUTED_VALUE"""),-0.614218273277535)</f>
        <v>-0.61421827327753498</v>
      </c>
      <c r="FJ128" s="3">
        <f ca="1">IFERROR(__xludf.DUMMYFUNCTION("""COMPUTED_VALUE"""),-0.682667970378022)</f>
        <v>-0.68266797037802196</v>
      </c>
      <c r="FK128" s="3">
        <f ca="1">IFERROR(__xludf.DUMMYFUNCTION("""COMPUTED_VALUE"""),-0.824176711750437)</f>
        <v>-0.82417671175043705</v>
      </c>
      <c r="FL128" s="3">
        <f ca="1">IFERROR(__xludf.DUMMYFUNCTION("""COMPUTED_VALUE"""),-0.8441390553345)</f>
        <v>-0.84413905533449995</v>
      </c>
      <c r="FM128" s="3">
        <f ca="1">IFERROR(__xludf.DUMMYFUNCTION("""COMPUTED_VALUE"""),-0.828088776784763)</f>
        <v>-0.828088776784763</v>
      </c>
      <c r="FN128" s="3">
        <f ca="1">IFERROR(__xludf.DUMMYFUNCTION("""COMPUTED_VALUE"""),-0.831538487172432)</f>
        <v>-0.83153848717243195</v>
      </c>
      <c r="FO128" s="3">
        <f ca="1">IFERROR(__xludf.DUMMYFUNCTION("""COMPUTED_VALUE"""),-0.823341411326665)</f>
        <v>-0.82334141132666505</v>
      </c>
      <c r="FP128" s="3">
        <f ca="1">IFERROR(__xludf.DUMMYFUNCTION("""COMPUTED_VALUE"""),-0.65347558093713)</f>
        <v>-0.65347558093712999</v>
      </c>
      <c r="FQ128" s="3">
        <f ca="1">IFERROR(__xludf.DUMMYFUNCTION("""COMPUTED_VALUE"""),-0.717262113224809)</f>
        <v>-0.71726211322480904</v>
      </c>
      <c r="FR128" s="3">
        <f ca="1">IFERROR(__xludf.DUMMYFUNCTION("""COMPUTED_VALUE"""),-0.820932328595147)</f>
        <v>-0.82093232859514698</v>
      </c>
      <c r="FS128" s="3">
        <f ca="1">IFERROR(__xludf.DUMMYFUNCTION("""COMPUTED_VALUE"""),-0.850253721052024)</f>
        <v>-0.85025372105202401</v>
      </c>
      <c r="FT128" s="3">
        <f ca="1">IFERROR(__xludf.DUMMYFUNCTION("""COMPUTED_VALUE"""),-0.832562277172676)</f>
        <v>-0.83256227717267595</v>
      </c>
      <c r="FU128" s="3">
        <f ca="1">IFERROR(__xludf.DUMMYFUNCTION("""COMPUTED_VALUE"""),-0.834668282538347)</f>
        <v>-0.83466828253834702</v>
      </c>
      <c r="FV128" s="3">
        <f ca="1">IFERROR(__xludf.DUMMYFUNCTION("""COMPUTED_VALUE"""),-0.809138273995551)</f>
        <v>-0.80913827399555105</v>
      </c>
      <c r="FW128" s="3">
        <f ca="1">IFERROR(__xludf.DUMMYFUNCTION("""COMPUTED_VALUE"""),-0.660627794749229)</f>
        <v>-0.66062779474922895</v>
      </c>
      <c r="FX128" s="3">
        <f ca="1">IFERROR(__xludf.DUMMYFUNCTION("""COMPUTED_VALUE"""),-0.715111969814946)</f>
        <v>-0.71511196981494596</v>
      </c>
      <c r="FY128" s="3">
        <f ca="1">IFERROR(__xludf.DUMMYFUNCTION("""COMPUTED_VALUE"""),-0.823254416172062)</f>
        <v>-0.82325441617206196</v>
      </c>
      <c r="FZ128" s="3">
        <f ca="1">IFERROR(__xludf.DUMMYFUNCTION("""COMPUTED_VALUE"""),-0.842240791382983)</f>
        <v>-0.84224079138298302</v>
      </c>
      <c r="GA128" s="3">
        <f ca="1">IFERROR(__xludf.DUMMYFUNCTION("""COMPUTED_VALUE"""),-0.837894674663155)</f>
        <v>-0.83789467466315504</v>
      </c>
      <c r="GB128" s="3">
        <f ca="1">IFERROR(__xludf.DUMMYFUNCTION("""COMPUTED_VALUE"""),-0.844877973019051)</f>
        <v>-0.84487797301905099</v>
      </c>
      <c r="GC128" s="3">
        <f ca="1">IFERROR(__xludf.DUMMYFUNCTION("""COMPUTED_VALUE"""),-0.80940258462764)</f>
        <v>-0.80940258462764003</v>
      </c>
      <c r="GD128" s="3">
        <f ca="1">IFERROR(__xludf.DUMMYFUNCTION("""COMPUTED_VALUE"""),-0.685249071485057)</f>
        <v>-0.68524907148505698</v>
      </c>
      <c r="GE128" s="3">
        <f ca="1">IFERROR(__xludf.DUMMYFUNCTION("""COMPUTED_VALUE"""),-0.751094359541317)</f>
        <v>-0.75109435954131698</v>
      </c>
      <c r="GF128" s="3">
        <f ca="1">IFERROR(__xludf.DUMMYFUNCTION("""COMPUTED_VALUE"""),-0.833400139363378)</f>
        <v>-0.83340013936337798</v>
      </c>
      <c r="GG128" s="3">
        <f ca="1">IFERROR(__xludf.DUMMYFUNCTION("""COMPUTED_VALUE"""),-0.855124699329638)</f>
        <v>-0.85512469932963797</v>
      </c>
      <c r="GH128" s="3">
        <f ca="1">IFERROR(__xludf.DUMMYFUNCTION("""COMPUTED_VALUE"""),-0.847312905751206)</f>
        <v>-0.84731290575120599</v>
      </c>
      <c r="GI128" s="3">
        <f ca="1">IFERROR(__xludf.DUMMYFUNCTION("""COMPUTED_VALUE"""),-0.839284049931037)</f>
        <v>-0.839284049931037</v>
      </c>
      <c r="GJ128" s="3">
        <f ca="1">IFERROR(__xludf.DUMMYFUNCTION("""COMPUTED_VALUE"""),-0.812810209433956)</f>
        <v>-0.81281020943395599</v>
      </c>
      <c r="GK128" s="3">
        <f ca="1">IFERROR(__xludf.DUMMYFUNCTION("""COMPUTED_VALUE"""),-0.727237623099679)</f>
        <v>-0.72723762309967899</v>
      </c>
      <c r="GL128" s="3">
        <f ca="1">IFERROR(__xludf.DUMMYFUNCTION("""COMPUTED_VALUE"""),-0.739291108930402)</f>
        <v>-0.73929110893040195</v>
      </c>
      <c r="GM128" s="3">
        <f ca="1">IFERROR(__xludf.DUMMYFUNCTION("""COMPUTED_VALUE"""),-0.828762704766517)</f>
        <v>-0.82876270476651703</v>
      </c>
      <c r="GN128" s="3">
        <f ca="1">IFERROR(__xludf.DUMMYFUNCTION("""COMPUTED_VALUE"""),-0.850584307154657)</f>
        <v>-0.85058430715465705</v>
      </c>
      <c r="GO128" s="3">
        <f ca="1">IFERROR(__xludf.DUMMYFUNCTION("""COMPUTED_VALUE"""),-0.861586799144036)</f>
        <v>-0.86158679914403602</v>
      </c>
      <c r="GP128" s="3">
        <f ca="1">IFERROR(__xludf.DUMMYFUNCTION("""COMPUTED_VALUE"""),-0.856179293120786)</f>
        <v>-0.856179293120786</v>
      </c>
      <c r="GQ128" s="3">
        <f ca="1">IFERROR(__xludf.DUMMYFUNCTION("""COMPUTED_VALUE"""),-0.825315578912311)</f>
        <v>-0.825315578912311</v>
      </c>
      <c r="GR128" s="3">
        <f ca="1">IFERROR(__xludf.DUMMYFUNCTION("""COMPUTED_VALUE"""),-0.700850282145441)</f>
        <v>-0.70085028214544098</v>
      </c>
      <c r="GS128" s="3">
        <f ca="1">IFERROR(__xludf.DUMMYFUNCTION("""COMPUTED_VALUE"""),-0.736894361722526)</f>
        <v>-0.73689436172252598</v>
      </c>
      <c r="GT128" s="3">
        <f ca="1">IFERROR(__xludf.DUMMYFUNCTION("""COMPUTED_VALUE"""),-0.827742967023442)</f>
        <v>-0.82774296702344197</v>
      </c>
      <c r="GU128" s="3">
        <f ca="1">IFERROR(__xludf.DUMMYFUNCTION("""COMPUTED_VALUE"""),-0.852507322661661)</f>
        <v>-0.85250732266166096</v>
      </c>
      <c r="GV128" s="3">
        <f ca="1">IFERROR(__xludf.DUMMYFUNCTION("""COMPUTED_VALUE"""),-0.85370004452701)</f>
        <v>-0.85370004452700998</v>
      </c>
      <c r="GW128" s="3">
        <f ca="1">IFERROR(__xludf.DUMMYFUNCTION("""COMPUTED_VALUE"""),-0.847342721138932)</f>
        <v>-0.84734272113893205</v>
      </c>
      <c r="GX128" s="3">
        <f ca="1">IFERROR(__xludf.DUMMYFUNCTION("""COMPUTED_VALUE"""),-0.807468394597716)</f>
        <v>-0.80746839459771602</v>
      </c>
      <c r="GY128" s="3">
        <f ca="1">IFERROR(__xludf.DUMMYFUNCTION("""COMPUTED_VALUE"""),-0.695807108920208)</f>
        <v>-0.69580710892020803</v>
      </c>
      <c r="GZ128" s="3">
        <f ca="1">IFERROR(__xludf.DUMMYFUNCTION("""COMPUTED_VALUE"""),-0.742024203234075)</f>
        <v>-0.74202420323407503</v>
      </c>
      <c r="HA128" s="3">
        <f ca="1">IFERROR(__xludf.DUMMYFUNCTION("""COMPUTED_VALUE"""),-0.837207307667981)</f>
        <v>-0.83720730766798102</v>
      </c>
      <c r="HB128" s="3">
        <f ca="1">IFERROR(__xludf.DUMMYFUNCTION("""COMPUTED_VALUE"""),-0.852702693084693)</f>
        <v>-0.85270269308469304</v>
      </c>
      <c r="HC128" s="3">
        <f ca="1">IFERROR(__xludf.DUMMYFUNCTION("""COMPUTED_VALUE"""),-0.840022455417673)</f>
        <v>-0.84002245541767295</v>
      </c>
      <c r="HD128" s="3">
        <f ca="1">IFERROR(__xludf.DUMMYFUNCTION("""COMPUTED_VALUE"""),-0.843578783500128)</f>
        <v>-0.84357878350012805</v>
      </c>
      <c r="HE128" s="3">
        <f ca="1">IFERROR(__xludf.DUMMYFUNCTION("""COMPUTED_VALUE"""),-0.822755674981612)</f>
        <v>-0.82275567498161195</v>
      </c>
      <c r="HF128" s="3">
        <f ca="1">IFERROR(__xludf.DUMMYFUNCTION("""COMPUTED_VALUE"""),-0.725218455873054)</f>
        <v>-0.725218455873054</v>
      </c>
      <c r="HG128" s="3">
        <f ca="1">IFERROR(__xludf.DUMMYFUNCTION("""COMPUTED_VALUE"""),-0.777469896585616)</f>
        <v>-0.77746989658561605</v>
      </c>
      <c r="HH128" s="3">
        <f ca="1">IFERROR(__xludf.DUMMYFUNCTION("""COMPUTED_VALUE"""),-0.853943220495308)</f>
        <v>-0.85394322049530802</v>
      </c>
      <c r="HI128" s="3">
        <f ca="1">IFERROR(__xludf.DUMMYFUNCTION("""COMPUTED_VALUE"""),-0.860098070860213)</f>
        <v>-0.86009807086021295</v>
      </c>
      <c r="HJ128" s="3">
        <f ca="1">IFERROR(__xludf.DUMMYFUNCTION("""COMPUTED_VALUE"""),-0.845747753016535)</f>
        <v>-0.84574775301653504</v>
      </c>
      <c r="HK128" s="3">
        <f ca="1">IFERROR(__xludf.DUMMYFUNCTION("""COMPUTED_VALUE"""),-0.838878203237665)</f>
        <v>-0.83887820323766504</v>
      </c>
      <c r="HL128" s="3">
        <f ca="1">IFERROR(__xludf.DUMMYFUNCTION("""COMPUTED_VALUE"""),-0.789103866114742)</f>
        <v>-0.78910386611474204</v>
      </c>
      <c r="HM128" s="3">
        <f ca="1">IFERROR(__xludf.DUMMYFUNCTION("""COMPUTED_VALUE"""),-0.689874118404114)</f>
        <v>-0.68987411840411395</v>
      </c>
      <c r="HN128" s="3">
        <f ca="1">IFERROR(__xludf.DUMMYFUNCTION("""COMPUTED_VALUE"""),-0.689135893670698)</f>
        <v>-0.68913589367069805</v>
      </c>
      <c r="HO128" s="3">
        <f ca="1">IFERROR(__xludf.DUMMYFUNCTION("""COMPUTED_VALUE"""),-0.819181740147135)</f>
        <v>-0.81918174014713496</v>
      </c>
      <c r="HP128" s="3">
        <f ca="1">IFERROR(__xludf.DUMMYFUNCTION("""COMPUTED_VALUE"""),-0.837962651974731)</f>
        <v>-0.83796265197473097</v>
      </c>
      <c r="HQ128" s="3">
        <f ca="1">IFERROR(__xludf.DUMMYFUNCTION("""COMPUTED_VALUE"""),-0.839577263818348)</f>
        <v>-0.83957726381834796</v>
      </c>
      <c r="HR128" s="3">
        <f ca="1">IFERROR(__xludf.DUMMYFUNCTION("""COMPUTED_VALUE"""),-0.845982629615899)</f>
        <v>-0.84598262961589898</v>
      </c>
      <c r="HS128" s="3">
        <f ca="1">IFERROR(__xludf.DUMMYFUNCTION("""COMPUTED_VALUE"""),-0.805750596376121)</f>
        <v>-0.80575059637612101</v>
      </c>
      <c r="HT128" s="3">
        <f ca="1">IFERROR(__xludf.DUMMYFUNCTION("""COMPUTED_VALUE"""),-0.731961009013261)</f>
        <v>-0.731961009013261</v>
      </c>
      <c r="HU128" s="3">
        <f ca="1">IFERROR(__xludf.DUMMYFUNCTION("""COMPUTED_VALUE"""),-0.722669971634418)</f>
        <v>-0.72266997163441804</v>
      </c>
      <c r="HV128" s="3">
        <f ca="1">IFERROR(__xludf.DUMMYFUNCTION("""COMPUTED_VALUE"""),-0.821694804261935)</f>
        <v>-0.82169480426193497</v>
      </c>
      <c r="HW128" s="3">
        <f ca="1">IFERROR(__xludf.DUMMYFUNCTION("""COMPUTED_VALUE"""),-0.833983496287983)</f>
        <v>-0.83398349628798296</v>
      </c>
      <c r="HX128" s="3">
        <f ca="1">IFERROR(__xludf.DUMMYFUNCTION("""COMPUTED_VALUE"""),-0.85186503124526)</f>
        <v>-0.85186503124526003</v>
      </c>
      <c r="HY128" s="3">
        <f ca="1">IFERROR(__xludf.DUMMYFUNCTION("""COMPUTED_VALUE"""),-0.831693695871979)</f>
        <v>-0.83169369587197906</v>
      </c>
      <c r="HZ128" s="3">
        <f ca="1">IFERROR(__xludf.DUMMYFUNCTION("""COMPUTED_VALUE"""),-0.79024936811518)</f>
        <v>-0.79024936811517998</v>
      </c>
      <c r="IA128" s="3">
        <f ca="1">IFERROR(__xludf.DUMMYFUNCTION("""COMPUTED_VALUE"""),-0.702716843407952)</f>
        <v>-0.70271684340795204</v>
      </c>
      <c r="IB128" s="3">
        <f ca="1">IFERROR(__xludf.DUMMYFUNCTION("""COMPUTED_VALUE"""),-0.710897436305205)</f>
        <v>-0.71089743630520497</v>
      </c>
      <c r="IC128" s="3">
        <f ca="1">IFERROR(__xludf.DUMMYFUNCTION("""COMPUTED_VALUE"""),-0.811813356884733)</f>
        <v>-0.811813356884733</v>
      </c>
      <c r="ID128" s="3">
        <f ca="1">IFERROR(__xludf.DUMMYFUNCTION("""COMPUTED_VALUE"""),-0.831068628732627)</f>
        <v>-0.83106862873262699</v>
      </c>
      <c r="IE128" s="3">
        <f ca="1">IFERROR(__xludf.DUMMYFUNCTION("""COMPUTED_VALUE"""),-0.845086346286795)</f>
        <v>-0.84508634628679502</v>
      </c>
      <c r="IF128" s="3">
        <f ca="1">IFERROR(__xludf.DUMMYFUNCTION("""COMPUTED_VALUE"""),-0.832477857001861)</f>
        <v>-0.83247785700186105</v>
      </c>
      <c r="IG128" s="3">
        <f ca="1">IFERROR(__xludf.DUMMYFUNCTION("""COMPUTED_VALUE"""),-0.821912167062845)</f>
        <v>-0.82191216706284498</v>
      </c>
      <c r="IH128" s="3">
        <f ca="1">IFERROR(__xludf.DUMMYFUNCTION("""COMPUTED_VALUE"""),-0.725128191612653)</f>
        <v>-0.72512819161265296</v>
      </c>
      <c r="II128" s="3">
        <f ca="1">IFERROR(__xludf.DUMMYFUNCTION("""COMPUTED_VALUE"""),-0.728960557408358)</f>
        <v>-0.72896055740835797</v>
      </c>
      <c r="IJ128" s="3">
        <f ca="1">IFERROR(__xludf.DUMMYFUNCTION("""COMPUTED_VALUE"""),-0.815612687147072)</f>
        <v>-0.81561268714707202</v>
      </c>
      <c r="IK128" s="3">
        <f ca="1">IFERROR(__xludf.DUMMYFUNCTION("""COMPUTED_VALUE"""),-0.831555239717564)</f>
        <v>-0.83155523971756395</v>
      </c>
      <c r="IL128" s="3">
        <f ca="1">IFERROR(__xludf.DUMMYFUNCTION("""COMPUTED_VALUE"""),-0.835207172409123)</f>
        <v>-0.83520717240912301</v>
      </c>
      <c r="IM128" s="3">
        <f ca="1">IFERROR(__xludf.DUMMYFUNCTION("""COMPUTED_VALUE"""),-0.835129994253973)</f>
        <v>-0.83512999425397305</v>
      </c>
      <c r="IN128" s="3">
        <f ca="1">IFERROR(__xludf.DUMMYFUNCTION("""COMPUTED_VALUE"""),-0.802368372748966)</f>
        <v>-0.802368372748966</v>
      </c>
      <c r="IO128" s="3">
        <f ca="1">IFERROR(__xludf.DUMMYFUNCTION("""COMPUTED_VALUE"""),-0.721425374951141)</f>
        <v>-0.72142537495114101</v>
      </c>
      <c r="IP128" s="3">
        <f ca="1">IFERROR(__xludf.DUMMYFUNCTION("""COMPUTED_VALUE"""),-0.727615757209283)</f>
        <v>-0.72761575720928295</v>
      </c>
      <c r="IQ128" s="3">
        <f ca="1">IFERROR(__xludf.DUMMYFUNCTION("""COMPUTED_VALUE"""),-0.810701242122514)</f>
        <v>-0.81070124212251404</v>
      </c>
      <c r="IR128" s="3">
        <f ca="1">IFERROR(__xludf.DUMMYFUNCTION("""COMPUTED_VALUE"""),-0.830106035803629)</f>
        <v>-0.83010603580362896</v>
      </c>
      <c r="IS128" s="3">
        <f ca="1">IFERROR(__xludf.DUMMYFUNCTION("""COMPUTED_VALUE"""),-0.832369610657891)</f>
        <v>-0.83236961065789095</v>
      </c>
      <c r="IT128" s="3">
        <f ca="1">IFERROR(__xludf.DUMMYFUNCTION("""COMPUTED_VALUE"""),-0.837150805449827)</f>
        <v>-0.83715080544982701</v>
      </c>
      <c r="IU128" s="3">
        <f ca="1">IFERROR(__xludf.DUMMYFUNCTION("""COMPUTED_VALUE"""),-0.803829647142787)</f>
        <v>-0.80382964714278704</v>
      </c>
      <c r="IV128" s="3">
        <f ca="1">IFERROR(__xludf.DUMMYFUNCTION("""COMPUTED_VALUE"""),-0.73809150464156)</f>
        <v>-0.73809150464156004</v>
      </c>
      <c r="IW128" s="3">
        <f ca="1">IFERROR(__xludf.DUMMYFUNCTION("""COMPUTED_VALUE"""),-0.758314810918473)</f>
        <v>-0.75831481091847297</v>
      </c>
      <c r="IX128" s="3">
        <f ca="1">IFERROR(__xludf.DUMMYFUNCTION("""COMPUTED_VALUE"""),-0.816426128646675)</f>
        <v>-0.81642612864667496</v>
      </c>
      <c r="IY128" s="3">
        <f ca="1">IFERROR(__xludf.DUMMYFUNCTION("""COMPUTED_VALUE"""),-0.833432279169596)</f>
        <v>-0.83343227916959595</v>
      </c>
      <c r="IZ128" s="3">
        <f ca="1">IFERROR(__xludf.DUMMYFUNCTION("""COMPUTED_VALUE"""),-0.839253389238942)</f>
        <v>-0.83925338923894199</v>
      </c>
      <c r="JA128" s="3">
        <f ca="1">IFERROR(__xludf.DUMMYFUNCTION("""COMPUTED_VALUE"""),-0.814371641714981)</f>
        <v>-0.814371641714981</v>
      </c>
      <c r="JB128" s="3">
        <f ca="1">IFERROR(__xludf.DUMMYFUNCTION("""COMPUTED_VALUE"""),-0.815474590448353)</f>
        <v>-0.81547459044835302</v>
      </c>
      <c r="JC128" s="3">
        <f ca="1">IFERROR(__xludf.DUMMYFUNCTION("""COMPUTED_VALUE"""),-0.745047848653324)</f>
        <v>-0.74504784865332396</v>
      </c>
      <c r="JD128" s="3">
        <f ca="1">IFERROR(__xludf.DUMMYFUNCTION("""COMPUTED_VALUE"""),-0.76838758008146)</f>
        <v>-0.76838758008146002</v>
      </c>
      <c r="JE128" s="3">
        <f ca="1">IFERROR(__xludf.DUMMYFUNCTION("""COMPUTED_VALUE"""),-0.821204892150608)</f>
        <v>-0.82120489215060799</v>
      </c>
      <c r="JF128" s="3">
        <f ca="1">IFERROR(__xludf.DUMMYFUNCTION("""COMPUTED_VALUE"""),-0.833129492814825)</f>
        <v>-0.83312949281482496</v>
      </c>
      <c r="JG128" s="3">
        <f ca="1">IFERROR(__xludf.DUMMYFUNCTION("""COMPUTED_VALUE"""),-0.82502063298216)</f>
        <v>-0.82502063298216</v>
      </c>
      <c r="JH128" s="3">
        <f ca="1">IFERROR(__xludf.DUMMYFUNCTION("""COMPUTED_VALUE"""),-0.828878091510109)</f>
        <v>-0.82887809151010905</v>
      </c>
      <c r="JI128" s="3">
        <f ca="1">IFERROR(__xludf.DUMMYFUNCTION("""COMPUTED_VALUE"""),-0.810404775882913)</f>
        <v>-0.81040477588291304</v>
      </c>
      <c r="JJ128" s="3">
        <f ca="1">IFERROR(__xludf.DUMMYFUNCTION("""COMPUTED_VALUE"""),-0.747029671005214)</f>
        <v>-0.747029671005214</v>
      </c>
      <c r="JK128" s="3">
        <f ca="1">IFERROR(__xludf.DUMMYFUNCTION("""COMPUTED_VALUE"""),-0.776355157289456)</f>
        <v>-0.77635515728945603</v>
      </c>
      <c r="JL128" s="3">
        <f ca="1">IFERROR(__xludf.DUMMYFUNCTION("""COMPUTED_VALUE"""),-0.807532084281959)</f>
        <v>-0.807532084281959</v>
      </c>
      <c r="JM128" s="3">
        <f ca="1">IFERROR(__xludf.DUMMYFUNCTION("""COMPUTED_VALUE"""),-0.831120776804866)</f>
        <v>-0.83112077680486596</v>
      </c>
      <c r="JN128" s="3">
        <f ca="1">IFERROR(__xludf.DUMMYFUNCTION("""COMPUTED_VALUE"""),-0.823809519076728)</f>
        <v>-0.82380951907672795</v>
      </c>
      <c r="JO128" s="3">
        <f ca="1">IFERROR(__xludf.DUMMYFUNCTION("""COMPUTED_VALUE"""),-0.827306690433986)</f>
        <v>-0.82730669043398597</v>
      </c>
      <c r="JP128" s="3">
        <f ca="1">IFERROR(__xludf.DUMMYFUNCTION("""COMPUTED_VALUE"""),-0.769275649519817)</f>
        <v>-0.76927564951981697</v>
      </c>
      <c r="JQ128" s="3">
        <f ca="1">IFERROR(__xludf.DUMMYFUNCTION("""COMPUTED_VALUE"""),-0.695174749373748)</f>
        <v>-0.69517474937374801</v>
      </c>
      <c r="JR128" s="3">
        <f ca="1">IFERROR(__xludf.DUMMYFUNCTION("""COMPUTED_VALUE"""),-0.729788717560686)</f>
        <v>-0.72978871756068597</v>
      </c>
      <c r="JS128" s="3">
        <f ca="1">IFERROR(__xludf.DUMMYFUNCTION("""COMPUTED_VALUE"""),-0.767505945290912)</f>
        <v>-0.76750594529091198</v>
      </c>
      <c r="JT128" s="3">
        <f ca="1">IFERROR(__xludf.DUMMYFUNCTION("""COMPUTED_VALUE"""),-0.78324644893204)</f>
        <v>-0.78324644893203998</v>
      </c>
      <c r="JU128" s="3">
        <f ca="1">IFERROR(__xludf.DUMMYFUNCTION("""COMPUTED_VALUE"""),-0.790752711385145)</f>
        <v>-0.79075271138514502</v>
      </c>
      <c r="JV128" s="3">
        <f ca="1">IFERROR(__xludf.DUMMYFUNCTION("""COMPUTED_VALUE"""),-0.796282266346467)</f>
        <v>-0.79628226634646704</v>
      </c>
      <c r="JW128" s="3">
        <f ca="1">IFERROR(__xludf.DUMMYFUNCTION("""COMPUTED_VALUE"""),-0.782948198428923)</f>
        <v>-0.78294819842892305</v>
      </c>
      <c r="JX128" s="3">
        <f ca="1">IFERROR(__xludf.DUMMYFUNCTION("""COMPUTED_VALUE"""),-0.722120915983233)</f>
        <v>-0.72212091598323302</v>
      </c>
      <c r="JY128" s="3">
        <f ca="1">IFERROR(__xludf.DUMMYFUNCTION("""COMPUTED_VALUE"""),-0.758330039888623)</f>
        <v>-0.75833003988862302</v>
      </c>
      <c r="JZ128" s="3">
        <f ca="1">IFERROR(__xludf.DUMMYFUNCTION("""COMPUTED_VALUE"""),-0.771772857527236)</f>
        <v>-0.77177285752723601</v>
      </c>
      <c r="KA128" s="3">
        <f ca="1">IFERROR(__xludf.DUMMYFUNCTION("""COMPUTED_VALUE"""),-0.764633569760582)</f>
        <v>-0.76463356976058205</v>
      </c>
      <c r="KB128" s="3">
        <f ca="1">IFERROR(__xludf.DUMMYFUNCTION("""COMPUTED_VALUE"""),-0.795902669440462)</f>
        <v>-0.79590266944046195</v>
      </c>
      <c r="KC128" s="3">
        <f ca="1">IFERROR(__xludf.DUMMYFUNCTION("""COMPUTED_VALUE"""),-0.777235609700333)</f>
        <v>-0.77723560970033301</v>
      </c>
      <c r="KD128" s="3">
        <f ca="1">IFERROR(__xludf.DUMMYFUNCTION("""COMPUTED_VALUE"""),-0.762902569479375)</f>
        <v>-0.76290256947937496</v>
      </c>
      <c r="KE128" s="3">
        <f ca="1">IFERROR(__xludf.DUMMYFUNCTION("""COMPUTED_VALUE"""),-0.726383438600237)</f>
        <v>-0.72638343860023702</v>
      </c>
      <c r="KF128" s="3">
        <f ca="1">IFERROR(__xludf.DUMMYFUNCTION("""COMPUTED_VALUE"""),-0.725244179919022)</f>
        <v>-0.72524417991902201</v>
      </c>
      <c r="KG128" s="3">
        <f ca="1">IFERROR(__xludf.DUMMYFUNCTION("""COMPUTED_VALUE"""),-0.765753876579338)</f>
        <v>-0.76575387657933802</v>
      </c>
      <c r="KH128" s="3">
        <f ca="1">IFERROR(__xludf.DUMMYFUNCTION("""COMPUTED_VALUE"""),-0.775769825719224)</f>
        <v>-0.77576982571922404</v>
      </c>
      <c r="KI128" s="3">
        <f ca="1">IFERROR(__xludf.DUMMYFUNCTION("""COMPUTED_VALUE"""),-0.807631591891332)</f>
        <v>-0.80763159189133205</v>
      </c>
      <c r="KJ128" s="3">
        <f ca="1">IFERROR(__xludf.DUMMYFUNCTION("""COMPUTED_VALUE"""),-0.802351568980967)</f>
        <v>-0.80235156898096704</v>
      </c>
      <c r="KK128" s="3">
        <f ca="1">IFERROR(__xludf.DUMMYFUNCTION("""COMPUTED_VALUE"""),-0.791232436462059)</f>
        <v>-0.79123243646205899</v>
      </c>
      <c r="KL128" s="3">
        <f ca="1">IFERROR(__xludf.DUMMYFUNCTION("""COMPUTED_VALUE"""),-0.743095642292168)</f>
        <v>-0.74309564229216796</v>
      </c>
      <c r="KM128" s="3">
        <f ca="1">IFERROR(__xludf.DUMMYFUNCTION("""COMPUTED_VALUE"""),-0.707267966856058)</f>
        <v>-0.70726796685605797</v>
      </c>
      <c r="KN128" s="3">
        <f ca="1">IFERROR(__xludf.DUMMYFUNCTION("""COMPUTED_VALUE"""),-0.762528069497586)</f>
        <v>-0.762528069497586</v>
      </c>
      <c r="KO128" s="3">
        <f ca="1">IFERROR(__xludf.DUMMYFUNCTION("""COMPUTED_VALUE"""),-0.790456843981991)</f>
        <v>-0.79045684398199101</v>
      </c>
      <c r="KP128" s="3">
        <f ca="1">IFERROR(__xludf.DUMMYFUNCTION("""COMPUTED_VALUE"""),-0.793893677107555)</f>
        <v>-0.79389367710755498</v>
      </c>
      <c r="KQ128" s="3">
        <f ca="1">IFERROR(__xludf.DUMMYFUNCTION("""COMPUTED_VALUE"""),-0.799742921482675)</f>
        <v>-0.79974292148267501</v>
      </c>
      <c r="KR128" s="3">
        <f ca="1">IFERROR(__xludf.DUMMYFUNCTION("""COMPUTED_VALUE"""),-0.768724531561311)</f>
        <v>-0.76872453156131104</v>
      </c>
      <c r="KS128" s="3">
        <f ca="1">IFERROR(__xludf.DUMMYFUNCTION("""COMPUTED_VALUE"""),-0.716368369095257)</f>
        <v>-0.71636836909525703</v>
      </c>
      <c r="KT128" s="3">
        <f ca="1">IFERROR(__xludf.DUMMYFUNCTION("""COMPUTED_VALUE"""),-0.743328486722065)</f>
        <v>-0.74332848672206497</v>
      </c>
      <c r="KU128" s="3">
        <f ca="1">IFERROR(__xludf.DUMMYFUNCTION("""COMPUTED_VALUE"""),-0.809862740715408)</f>
        <v>-0.80986274071540798</v>
      </c>
      <c r="KV128" s="3">
        <f ca="1">IFERROR(__xludf.DUMMYFUNCTION("""COMPUTED_VALUE"""),-0.833100793890063)</f>
        <v>-0.83310079389006297</v>
      </c>
      <c r="KW128" s="3">
        <f ca="1">IFERROR(__xludf.DUMMYFUNCTION("""COMPUTED_VALUE"""),-0.835395746380476)</f>
        <v>-0.83539574638047598</v>
      </c>
      <c r="KX128" s="3">
        <f ca="1">IFERROR(__xludf.DUMMYFUNCTION("""COMPUTED_VALUE"""),-0.825829677113027)</f>
        <v>-0.82582967711302702</v>
      </c>
      <c r="KY128" s="3">
        <f ca="1">IFERROR(__xludf.DUMMYFUNCTION("""COMPUTED_VALUE"""),-0.812676445818206)</f>
        <v>-0.81267644581820597</v>
      </c>
      <c r="KZ128" s="3">
        <f ca="1">IFERROR(__xludf.DUMMYFUNCTION("""COMPUTED_VALUE"""),-0.772148201754941)</f>
        <v>-0.77214820175494103</v>
      </c>
      <c r="LA128" s="3">
        <f ca="1">IFERROR(__xludf.DUMMYFUNCTION("""COMPUTED_VALUE"""),-0.758355302270711)</f>
        <v>-0.75835530227071102</v>
      </c>
      <c r="LB128" s="3">
        <f ca="1">IFERROR(__xludf.DUMMYFUNCTION("""COMPUTED_VALUE"""),-0.802025565516711)</f>
        <v>-0.802025565516711</v>
      </c>
      <c r="LC128" s="3">
        <f ca="1">IFERROR(__xludf.DUMMYFUNCTION("""COMPUTED_VALUE"""),-0.843376759897058)</f>
        <v>-0.84337675989705796</v>
      </c>
      <c r="LD128" s="3">
        <f ca="1">IFERROR(__xludf.DUMMYFUNCTION("""COMPUTED_VALUE"""),-0.824657325579137)</f>
        <v>-0.82465732557913696</v>
      </c>
      <c r="LE128" s="3">
        <f ca="1">IFERROR(__xludf.DUMMYFUNCTION("""COMPUTED_VALUE"""),-0.834967918671022)</f>
        <v>-0.83496791867102205</v>
      </c>
      <c r="LF128" s="3">
        <f ca="1">IFERROR(__xludf.DUMMYFUNCTION("""COMPUTED_VALUE"""),-0.750835982992669)</f>
        <v>-0.75083598299266896</v>
      </c>
      <c r="LG128" s="3">
        <f ca="1">IFERROR(__xludf.DUMMYFUNCTION("""COMPUTED_VALUE"""),-0.770971447074218)</f>
        <v>-0.77097144707421805</v>
      </c>
      <c r="LH128" s="3">
        <f ca="1">IFERROR(__xludf.DUMMYFUNCTION("""COMPUTED_VALUE"""),-0.802930037467678)</f>
        <v>-0.80293003746767799</v>
      </c>
      <c r="LI128" s="3">
        <f ca="1">IFERROR(__xludf.DUMMYFUNCTION("""COMPUTED_VALUE"""),-0.839585294833748)</f>
        <v>-0.839585294833748</v>
      </c>
      <c r="LJ128" s="3">
        <f ca="1">IFERROR(__xludf.DUMMYFUNCTION("""COMPUTED_VALUE"""),-0.864447721429618)</f>
        <v>-0.86444772142961801</v>
      </c>
      <c r="LK128" s="3">
        <f ca="1">IFERROR(__xludf.DUMMYFUNCTION("""COMPUTED_VALUE"""),-0.858997225338471)</f>
        <v>-0.858997225338471</v>
      </c>
      <c r="LL128" s="3">
        <f ca="1">IFERROR(__xludf.DUMMYFUNCTION("""COMPUTED_VALUE"""),-0.843470052367465)</f>
        <v>-0.84347005236746497</v>
      </c>
      <c r="LM128" s="3">
        <f ca="1">IFERROR(__xludf.DUMMYFUNCTION("""COMPUTED_VALUE"""),-0.829138019511252)</f>
        <v>-0.82913801951125199</v>
      </c>
      <c r="LN128" s="3">
        <f ca="1">IFERROR(__xludf.DUMMYFUNCTION("""COMPUTED_VALUE"""),-0.760886636258206)</f>
        <v>-0.76088663625820596</v>
      </c>
      <c r="LO128" s="3">
        <f ca="1">IFERROR(__xludf.DUMMYFUNCTION("""COMPUTED_VALUE"""),-0.793623118210881)</f>
        <v>-0.79362311821088105</v>
      </c>
      <c r="LP128" s="3">
        <f ca="1">IFERROR(__xludf.DUMMYFUNCTION("""COMPUTED_VALUE"""),-0.83516425340856)</f>
        <v>-0.83516425340856004</v>
      </c>
      <c r="LQ128" s="3">
        <f ca="1">IFERROR(__xludf.DUMMYFUNCTION("""COMPUTED_VALUE"""),-0.8638852182481)</f>
        <v>-0.86388521824810005</v>
      </c>
      <c r="LR128" s="3">
        <f ca="1">IFERROR(__xludf.DUMMYFUNCTION("""COMPUTED_VALUE"""),-0.871765846835478)</f>
        <v>-0.87176584683547798</v>
      </c>
      <c r="LS128" s="3">
        <f ca="1">IFERROR(__xludf.DUMMYFUNCTION("""COMPUTED_VALUE"""),-0.849412673282849)</f>
        <v>-0.84941267328284897</v>
      </c>
      <c r="LT128" s="3">
        <f ca="1">IFERROR(__xludf.DUMMYFUNCTION("""COMPUTED_VALUE"""),-0.815633761047839)</f>
        <v>-0.81563376104783902</v>
      </c>
      <c r="LU128" s="3">
        <f ca="1">IFERROR(__xludf.DUMMYFUNCTION("""COMPUTED_VALUE"""),-0.802020758244492)</f>
        <v>-0.80202075824449204</v>
      </c>
      <c r="LV128" s="3">
        <f ca="1">IFERROR(__xludf.DUMMYFUNCTION("""COMPUTED_VALUE"""),-0.800707288302702)</f>
        <v>-0.80070728830270199</v>
      </c>
      <c r="LW128" s="3">
        <f ca="1">IFERROR(__xludf.DUMMYFUNCTION("""COMPUTED_VALUE"""),-0.84335754252689)</f>
        <v>-0.84335754252688999</v>
      </c>
      <c r="LX128" s="3">
        <f ca="1">IFERROR(__xludf.DUMMYFUNCTION("""COMPUTED_VALUE"""),-0.882035439431039)</f>
        <v>-0.88203543943103901</v>
      </c>
      <c r="LY128" s="3">
        <f ca="1">IFERROR(__xludf.DUMMYFUNCTION("""COMPUTED_VALUE"""),-0.883182380404809)</f>
        <v>-0.88318238040480901</v>
      </c>
      <c r="LZ128" s="3">
        <f ca="1">IFERROR(__xludf.DUMMYFUNCTION("""COMPUTED_VALUE"""),-0.867962003613838)</f>
        <v>-0.86796200361383802</v>
      </c>
      <c r="MA128" s="3">
        <f ca="1">IFERROR(__xludf.DUMMYFUNCTION("""COMPUTED_VALUE"""),-0.850894264505581)</f>
        <v>-0.85089426450558103</v>
      </c>
      <c r="MB128" s="3">
        <f ca="1">IFERROR(__xludf.DUMMYFUNCTION("""COMPUTED_VALUE"""),-0.778449832844275)</f>
        <v>-0.77844983284427505</v>
      </c>
      <c r="MC128" s="3">
        <f ca="1">IFERROR(__xludf.DUMMYFUNCTION("""COMPUTED_VALUE"""),-0.801258025068138)</f>
        <v>-0.80125802506813804</v>
      </c>
      <c r="MD128" s="3">
        <f ca="1">IFERROR(__xludf.DUMMYFUNCTION("""COMPUTED_VALUE"""),-0.865443957730294)</f>
        <v>-0.86544395773029403</v>
      </c>
      <c r="ME128" s="3">
        <f ca="1">IFERROR(__xludf.DUMMYFUNCTION("""COMPUTED_VALUE"""),-0.873498777677604)</f>
        <v>-0.87349877767760398</v>
      </c>
      <c r="MF128" s="3">
        <f ca="1">IFERROR(__xludf.DUMMYFUNCTION("""COMPUTED_VALUE"""),-0.865927441039055)</f>
        <v>-0.86592744103905495</v>
      </c>
      <c r="MG128" s="3">
        <f ca="1">IFERROR(__xludf.DUMMYFUNCTION("""COMPUTED_VALUE"""),-0.872925077910606)</f>
        <v>-0.87292507791060603</v>
      </c>
      <c r="MH128" s="3">
        <f ca="1">IFERROR(__xludf.DUMMYFUNCTION("""COMPUTED_VALUE"""),-0.850978899048804)</f>
        <v>-0.85097889904880397</v>
      </c>
      <c r="MI128" s="3">
        <f ca="1">IFERROR(__xludf.DUMMYFUNCTION("""COMPUTED_VALUE"""),-0.812540094295611)</f>
        <v>-0.81254009429561103</v>
      </c>
      <c r="MJ128" s="3">
        <f ca="1">IFERROR(__xludf.DUMMYFUNCTION("""COMPUTED_VALUE"""),-0.835893935397129)</f>
        <v>-0.83589393539712897</v>
      </c>
      <c r="MK128" s="3">
        <f ca="1">IFERROR(__xludf.DUMMYFUNCTION("""COMPUTED_VALUE"""),-0.876470137062123)</f>
        <v>-0.87647013706212296</v>
      </c>
      <c r="ML128" s="3">
        <f ca="1">IFERROR(__xludf.DUMMYFUNCTION("""COMPUTED_VALUE"""),-0.882728826077044)</f>
        <v>-0.88272882607704395</v>
      </c>
      <c r="MM128" s="3">
        <f ca="1">IFERROR(__xludf.DUMMYFUNCTION("""COMPUTED_VALUE"""),-0.89084027240822)</f>
        <v>-0.89084027240821995</v>
      </c>
      <c r="MN128" s="3">
        <f ca="1">IFERROR(__xludf.DUMMYFUNCTION("""COMPUTED_VALUE"""),-0.885172172683483)</f>
        <v>-0.88517217268348303</v>
      </c>
      <c r="MO128" s="3">
        <f ca="1">IFERROR(__xludf.DUMMYFUNCTION("""COMPUTED_VALUE"""),-0.862856451235561)</f>
        <v>-0.86285645123556098</v>
      </c>
      <c r="MP128" s="3">
        <f ca="1">IFERROR(__xludf.DUMMYFUNCTION("""COMPUTED_VALUE"""),-0.822009314636609)</f>
        <v>-0.82200931463660898</v>
      </c>
      <c r="MQ128" s="3">
        <f ca="1">IFERROR(__xludf.DUMMYFUNCTION("""COMPUTED_VALUE"""),-0.846274947221465)</f>
        <v>-0.84627494722146501</v>
      </c>
      <c r="MR128" s="3">
        <f ca="1">IFERROR(__xludf.DUMMYFUNCTION("""COMPUTED_VALUE"""),-0.885396080923207)</f>
        <v>-0.88539608092320699</v>
      </c>
      <c r="MS128" s="3">
        <f ca="1">IFERROR(__xludf.DUMMYFUNCTION("""COMPUTED_VALUE"""),-0.89053054038241)</f>
        <v>-0.89053054038240997</v>
      </c>
      <c r="MT128" s="3">
        <f ca="1">IFERROR(__xludf.DUMMYFUNCTION("""COMPUTED_VALUE"""),-0.886214219400269)</f>
        <v>-0.88621421940026901</v>
      </c>
      <c r="MU128" s="3">
        <f ca="1">IFERROR(__xludf.DUMMYFUNCTION("""COMPUTED_VALUE"""),-0.877991951734964)</f>
        <v>-0.87799195173496403</v>
      </c>
      <c r="MV128" s="3">
        <f ca="1">IFERROR(__xludf.DUMMYFUNCTION("""COMPUTED_VALUE"""),-0.8621023445097)</f>
        <v>-0.86210234450970002</v>
      </c>
      <c r="MW128" s="3">
        <f ca="1">IFERROR(__xludf.DUMMYFUNCTION("""COMPUTED_VALUE"""),-0.794213345002818)</f>
        <v>-0.79421334500281804</v>
      </c>
      <c r="MX128" s="3">
        <f ca="1">IFERROR(__xludf.DUMMYFUNCTION("""COMPUTED_VALUE"""),-0.852804528248911)</f>
        <v>-0.85280452824891095</v>
      </c>
      <c r="MY128" s="3">
        <f ca="1">IFERROR(__xludf.DUMMYFUNCTION("""COMPUTED_VALUE"""),-0.867517125390592)</f>
        <v>-0.867517125390592</v>
      </c>
      <c r="MZ128" s="3">
        <f ca="1">IFERROR(__xludf.DUMMYFUNCTION("""COMPUTED_VALUE"""),-0.891631523754306)</f>
        <v>-0.89163152375430599</v>
      </c>
      <c r="NA128" s="3">
        <f ca="1">IFERROR(__xludf.DUMMYFUNCTION("""COMPUTED_VALUE"""),-0.882077520193895)</f>
        <v>-0.88207752019389496</v>
      </c>
      <c r="NB128" s="3">
        <f ca="1">IFERROR(__xludf.DUMMYFUNCTION("""COMPUTED_VALUE"""),-0.869311589319445)</f>
        <v>-0.86931158931944497</v>
      </c>
      <c r="NC128" s="3">
        <f ca="1">IFERROR(__xludf.DUMMYFUNCTION("""COMPUTED_VALUE"""),-0.853624193285562)</f>
        <v>-0.85362419328556205</v>
      </c>
      <c r="ND128" s="3">
        <f ca="1">IFERROR(__xludf.DUMMYFUNCTION("""COMPUTED_VALUE"""),-0.823673725866623)</f>
        <v>-0.82367372586662302</v>
      </c>
      <c r="NE128" s="3">
        <f ca="1">IFERROR(__xludf.DUMMYFUNCTION("""COMPUTED_VALUE"""),-0.843279184369993)</f>
        <v>-0.84327918436999305</v>
      </c>
      <c r="NF128" s="3">
        <f ca="1">IFERROR(__xludf.DUMMYFUNCTION("""COMPUTED_VALUE"""),-0.852201628032595)</f>
        <v>-0.85220162803259503</v>
      </c>
      <c r="NG128" s="3">
        <f ca="1">IFERROR(__xludf.DUMMYFUNCTION("""COMPUTED_VALUE"""),-0.860569449260894)</f>
        <v>-0.86056944926089396</v>
      </c>
      <c r="NH128" s="3">
        <f ca="1">IFERROR(__xludf.DUMMYFUNCTION("""COMPUTED_VALUE"""),-0.855134364027466)</f>
        <v>-0.85513436402746601</v>
      </c>
      <c r="NI128" s="3">
        <f ca="1">IFERROR(__xludf.DUMMYFUNCTION("""COMPUTED_VALUE"""),-0.880519502063855)</f>
        <v>-0.88051950206385499</v>
      </c>
      <c r="NJ128" s="3">
        <f ca="1">IFERROR(__xludf.DUMMYFUNCTION("""COMPUTED_VALUE"""),-0.86017621776807)</f>
        <v>-0.86017621776806996</v>
      </c>
      <c r="NK128" s="3">
        <f ca="1">IFERROR(__xludf.DUMMYFUNCTION("""COMPUTED_VALUE"""),-0.842309974623963)</f>
        <v>-0.84230997462396295</v>
      </c>
      <c r="NL128" s="3">
        <f ca="1">IFERROR(__xludf.DUMMYFUNCTION("""COMPUTED_VALUE"""),-0.85582559004458)</f>
        <v>-0.85582559004458003</v>
      </c>
      <c r="NM128" s="3">
        <f ca="1">IFERROR(__xludf.DUMMYFUNCTION("""COMPUTED_VALUE"""),-0.855754485222073)</f>
        <v>-0.85575448522207298</v>
      </c>
      <c r="NN128" s="3">
        <f ca="1">IFERROR(__xludf.DUMMYFUNCTION("""COMPUTED_VALUE"""),-0.875328454128507)</f>
        <v>-0.87532845412850702</v>
      </c>
      <c r="NO128" s="3">
        <f ca="1">IFERROR(__xludf.DUMMYFUNCTION("""COMPUTED_VALUE"""),-0.87535537617519)</f>
        <v>-0.87535537617518999</v>
      </c>
      <c r="NP128" s="3">
        <f ca="1">IFERROR(__xludf.DUMMYFUNCTION("""COMPUTED_VALUE"""),-0.868089418633683)</f>
        <v>-0.86808941863368305</v>
      </c>
      <c r="NQ128" s="3">
        <f ca="1">IFERROR(__xludf.DUMMYFUNCTION("""COMPUTED_VALUE"""),-0.848515880437303)</f>
        <v>-0.84851588043730297</v>
      </c>
      <c r="NR128" s="3">
        <f ca="1">IFERROR(__xludf.DUMMYFUNCTION("""COMPUTED_VALUE"""),-0.833222318697656)</f>
        <v>-0.83322231869765595</v>
      </c>
      <c r="NS128" s="3">
        <f ca="1">IFERROR(__xludf.DUMMYFUNCTION("""COMPUTED_VALUE"""),-0.845721180359387)</f>
        <v>-0.84572118035938704</v>
      </c>
      <c r="NT128" s="3">
        <f ca="1">IFERROR(__xludf.DUMMYFUNCTION("""COMPUTED_VALUE"""),-0.895687458882812)</f>
        <v>-0.89568745888281198</v>
      </c>
      <c r="NU128" s="3">
        <f ca="1">IFERROR(__xludf.DUMMYFUNCTION("""COMPUTED_VALUE"""),-0.899980982975951)</f>
        <v>-0.89998098297595097</v>
      </c>
      <c r="NV128" s="3">
        <f ca="1">IFERROR(__xludf.DUMMYFUNCTION("""COMPUTED_VALUE"""),-0.893630290617828)</f>
        <v>-0.89363029061782795</v>
      </c>
      <c r="NW128" s="3">
        <f ca="1">IFERROR(__xludf.DUMMYFUNCTION("""COMPUTED_VALUE"""),-0.874683674413883)</f>
        <v>-0.87468367441388295</v>
      </c>
      <c r="NX128" s="3">
        <f ca="1">IFERROR(__xludf.DUMMYFUNCTION("""COMPUTED_VALUE"""),-0.884012985329489)</f>
        <v>-0.88401298532948902</v>
      </c>
      <c r="NY128" s="3">
        <f ca="1">IFERROR(__xludf.DUMMYFUNCTION("""COMPUTED_VALUE"""),-0.841627770339843)</f>
        <v>-0.84162777033984304</v>
      </c>
      <c r="NZ128" s="3">
        <f ca="1">IFERROR(__xludf.DUMMYFUNCTION("""COMPUTED_VALUE"""),-0.857307053581412)</f>
        <v>-0.85730705358141202</v>
      </c>
      <c r="OA128" s="3">
        <f ca="1">IFERROR(__xludf.DUMMYFUNCTION("""COMPUTED_VALUE"""),-0.875844950735152)</f>
        <v>-0.87584495073515201</v>
      </c>
      <c r="OB128" s="3">
        <f ca="1">IFERROR(__xludf.DUMMYFUNCTION("""COMPUTED_VALUE"""),-0.88431868010519)</f>
        <v>-0.88431868010518999</v>
      </c>
      <c r="OC128" s="3">
        <f ca="1">IFERROR(__xludf.DUMMYFUNCTION("""COMPUTED_VALUE"""),-0.874382832955897)</f>
        <v>-0.87438283295589703</v>
      </c>
      <c r="OD128" s="3">
        <f ca="1">IFERROR(__xludf.DUMMYFUNCTION("""COMPUTED_VALUE"""),-0.827979604361432)</f>
        <v>-0.82797960436143203</v>
      </c>
      <c r="OE128" s="3">
        <f ca="1">IFERROR(__xludf.DUMMYFUNCTION("""COMPUTED_VALUE"""),-0.654469795904279)</f>
        <v>-0.65446979590427901</v>
      </c>
      <c r="OF128" s="3">
        <f ca="1">IFERROR(__xludf.DUMMYFUNCTION("""COMPUTED_VALUE"""),-0.576473505948643)</f>
        <v>-0.57647350594864299</v>
      </c>
      <c r="OG128" s="3">
        <f ca="1">IFERROR(__xludf.DUMMYFUNCTION("""COMPUTED_VALUE"""),-0.555216656688147)</f>
        <v>-0.55521665668814701</v>
      </c>
      <c r="OH128" s="3">
        <f ca="1">IFERROR(__xludf.DUMMYFUNCTION("""COMPUTED_VALUE"""),-0.430770227869373)</f>
        <v>-0.43077022786937302</v>
      </c>
      <c r="OI128" s="3">
        <f ca="1">IFERROR(__xludf.DUMMYFUNCTION("""COMPUTED_VALUE"""),-0.399551125338809)</f>
        <v>-0.39955112533880899</v>
      </c>
      <c r="OJ128" s="3">
        <f ca="1">IFERROR(__xludf.DUMMYFUNCTION("""COMPUTED_VALUE"""),-0.330538750587614)</f>
        <v>-0.33053875058761401</v>
      </c>
      <c r="OK128" s="3">
        <f ca="1">IFERROR(__xludf.DUMMYFUNCTION("""COMPUTED_VALUE"""),-0.263451054474121)</f>
        <v>-0.26345105447412098</v>
      </c>
      <c r="OL128" s="3">
        <f ca="1">IFERROR(__xludf.DUMMYFUNCTION("""COMPUTED_VALUE"""),-0.271800584292482)</f>
        <v>-0.27180058429248199</v>
      </c>
      <c r="OM128" s="3">
        <f ca="1">IFERROR(__xludf.DUMMYFUNCTION("""COMPUTED_VALUE"""),-0.284236611350841)</f>
        <v>-0.284236611350841</v>
      </c>
      <c r="ON128" s="3">
        <f ca="1">IFERROR(__xludf.DUMMYFUNCTION("""COMPUTED_VALUE"""),-0.244647604069777)</f>
        <v>-0.24464760406977701</v>
      </c>
      <c r="OO128" s="3">
        <f ca="1">IFERROR(__xludf.DUMMYFUNCTION("""COMPUTED_VALUE"""),-0.15010659841608)</f>
        <v>-0.15010659841608001</v>
      </c>
      <c r="OP128" s="3">
        <f ca="1">IFERROR(__xludf.DUMMYFUNCTION("""COMPUTED_VALUE"""),-0.123601374909155)</f>
        <v>-0.123601374909155</v>
      </c>
      <c r="OQ128" s="3">
        <f ca="1">IFERROR(__xludf.DUMMYFUNCTION("""COMPUTED_VALUE"""),-0.0497235261651759)</f>
        <v>-4.9723526165175898E-2</v>
      </c>
      <c r="OR128" s="3">
        <f ca="1">IFERROR(__xludf.DUMMYFUNCTION("""COMPUTED_VALUE"""),-0.00651982672557727)</f>
        <v>-6.5198267255772704E-3</v>
      </c>
      <c r="OS128" s="3">
        <f ca="1">IFERROR(__xludf.DUMMYFUNCTION("""COMPUTED_VALUE"""),0.0335857084328126)</f>
        <v>3.3585708432812597E-2</v>
      </c>
      <c r="OT128" s="3">
        <f ca="1">IFERROR(__xludf.DUMMYFUNCTION("""COMPUTED_VALUE"""),-0.0650126225372138)</f>
        <v>-6.5012622537213793E-2</v>
      </c>
      <c r="OU128" s="3">
        <f ca="1">IFERROR(__xludf.DUMMYFUNCTION("""COMPUTED_VALUE"""),-0.0187681455833061)</f>
        <v>-1.8768145583306101E-2</v>
      </c>
      <c r="OV128" s="3">
        <f ca="1">IFERROR(__xludf.DUMMYFUNCTION("""COMPUTED_VALUE"""),0.0625357228586314)</f>
        <v>6.2535722858631404E-2</v>
      </c>
      <c r="OW128" s="3">
        <f ca="1">IFERROR(__xludf.DUMMYFUNCTION("""COMPUTED_VALUE"""),-0.0233732254406541)</f>
        <v>-2.3373225440654101E-2</v>
      </c>
      <c r="OX128" s="3">
        <f ca="1">IFERROR(__xludf.DUMMYFUNCTION("""COMPUTED_VALUE"""),0.0450861235416462)</f>
        <v>4.5086123541646199E-2</v>
      </c>
      <c r="OY128" s="3">
        <f ca="1">IFERROR(__xludf.DUMMYFUNCTION("""COMPUTED_VALUE"""),0.125057133275286)</f>
        <v>0.125057133275286</v>
      </c>
      <c r="OZ128" s="3">
        <f ca="1">IFERROR(__xludf.DUMMYFUNCTION("""COMPUTED_VALUE"""),0.170775846900685)</f>
        <v>0.17077584690068501</v>
      </c>
      <c r="PA128" s="3">
        <f ca="1">IFERROR(__xludf.DUMMYFUNCTION("""COMPUTED_VALUE"""),-0.0549719191722148)</f>
        <v>-5.4971919172214799E-2</v>
      </c>
      <c r="PB128" s="3">
        <f ca="1">IFERROR(__xludf.DUMMYFUNCTION("""COMPUTED_VALUE"""),-0.0664493304528376)</f>
        <v>-6.6449330452837602E-2</v>
      </c>
      <c r="PC128" s="3">
        <f ca="1">IFERROR(__xludf.DUMMYFUNCTION("""COMPUTED_VALUE"""),-0.0119235657171293)</f>
        <v>-1.1923565717129299E-2</v>
      </c>
      <c r="PD128" s="3">
        <f ca="1">IFERROR(__xludf.DUMMYFUNCTION("""COMPUTED_VALUE"""),-0.0658006124193131)</f>
        <v>-6.5800612419313106E-2</v>
      </c>
      <c r="PE128" s="3">
        <f ca="1">IFERROR(__xludf.DUMMYFUNCTION("""COMPUTED_VALUE"""),-0.0148066832807526)</f>
        <v>-1.4806683280752599E-2</v>
      </c>
      <c r="PF128" s="3">
        <f ca="1">IFERROR(__xludf.DUMMYFUNCTION("""COMPUTED_VALUE"""),-0.0452233896348727)</f>
        <v>-4.5223389634872699E-2</v>
      </c>
      <c r="PG128" s="3">
        <f ca="1">IFERROR(__xludf.DUMMYFUNCTION("""COMPUTED_VALUE"""),-0.216964476013828)</f>
        <v>-0.21696447601382801</v>
      </c>
      <c r="PH128" s="3">
        <f ca="1">IFERROR(__xludf.DUMMYFUNCTION("""COMPUTED_VALUE"""),-0.0252183278567214)</f>
        <v>-2.5218327856721401E-2</v>
      </c>
      <c r="PI128" s="3">
        <f ca="1">IFERROR(__xludf.DUMMYFUNCTION("""COMPUTED_VALUE"""),-0.0173888775817395)</f>
        <v>-1.7388877581739501E-2</v>
      </c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</row>
    <row r="129" spans="1:477" ht="13">
      <c r="A129" s="1" t="str">
        <f ca="1">IFERROR(__xludf.DUMMYFUNCTION("""COMPUTED_VALUE"""),"UTA")</f>
        <v>UTA</v>
      </c>
      <c r="B129" s="1" t="str">
        <f ca="1">IFERROR(__xludf.DUMMYFUNCTION("""COMPUTED_VALUE"""),"Salt Lake City")</f>
        <v>Salt Lake City</v>
      </c>
      <c r="C129" s="1" t="str">
        <f ca="1">IFERROR(__xludf.DUMMYFUNCTION("""COMPUTED_VALUE"""),"United States")</f>
        <v>United States</v>
      </c>
      <c r="D129" s="1" t="str">
        <f ca="1">IFERROR(__xludf.DUMMYFUNCTION("""COMPUTED_VALUE"""),"Utah")</f>
        <v>Utah</v>
      </c>
      <c r="E129" s="3">
        <f ca="1">IFERROR(__xludf.DUMMYFUNCTION("""COMPUTED_VALUE"""),-0.393839354331419)</f>
        <v>-0.39383935433141898</v>
      </c>
      <c r="F129" s="3">
        <f ca="1">IFERROR(__xludf.DUMMYFUNCTION("""COMPUTED_VALUE"""),-0.465782470345384)</f>
        <v>-0.465782470345384</v>
      </c>
      <c r="G129" s="3">
        <f ca="1">IFERROR(__xludf.DUMMYFUNCTION("""COMPUTED_VALUE"""),-0.487504700283539)</f>
        <v>-0.48750470028353898</v>
      </c>
      <c r="H129" s="3">
        <f ca="1">IFERROR(__xludf.DUMMYFUNCTION("""COMPUTED_VALUE"""),-0.50080857965624)</f>
        <v>-0.50080857965624004</v>
      </c>
      <c r="I129" s="3">
        <f ca="1">IFERROR(__xludf.DUMMYFUNCTION("""COMPUTED_VALUE"""),-0.544820117802226)</f>
        <v>-0.54482011780222594</v>
      </c>
      <c r="J129" s="3">
        <f ca="1">IFERROR(__xludf.DUMMYFUNCTION("""COMPUTED_VALUE"""),-0.502861142100478)</f>
        <v>-0.50286114210047805</v>
      </c>
      <c r="K129" s="3">
        <f ca="1">IFERROR(__xludf.DUMMYFUNCTION("""COMPUTED_VALUE"""),-0.362334087977175)</f>
        <v>-0.36233408797717498</v>
      </c>
      <c r="L129" s="3">
        <f ca="1">IFERROR(__xludf.DUMMYFUNCTION("""COMPUTED_VALUE"""),-0.42176973047333)</f>
        <v>-0.42176973047333</v>
      </c>
      <c r="M129" s="3">
        <f ca="1">IFERROR(__xludf.DUMMYFUNCTION("""COMPUTED_VALUE"""),-0.515318819135254)</f>
        <v>-0.51531881913525401</v>
      </c>
      <c r="N129" s="3">
        <f ca="1">IFERROR(__xludf.DUMMYFUNCTION("""COMPUTED_VALUE"""),-0.546764007174425)</f>
        <v>-0.54676400717442497</v>
      </c>
      <c r="O129" s="3">
        <f ca="1">IFERROR(__xludf.DUMMYFUNCTION("""COMPUTED_VALUE"""),-0.558374316234632)</f>
        <v>-0.55837431623463196</v>
      </c>
      <c r="P129" s="3">
        <f ca="1">IFERROR(__xludf.DUMMYFUNCTION("""COMPUTED_VALUE"""),-0.50500969897426)</f>
        <v>-0.50500969897425996</v>
      </c>
      <c r="Q129" s="3">
        <f ca="1">IFERROR(__xludf.DUMMYFUNCTION("""COMPUTED_VALUE"""),-0.537342776011763)</f>
        <v>-0.53734277601176295</v>
      </c>
      <c r="R129" s="3">
        <f ca="1">IFERROR(__xludf.DUMMYFUNCTION("""COMPUTED_VALUE"""),-0.25108462695968)</f>
        <v>-0.25108462695967998</v>
      </c>
      <c r="S129" s="3">
        <f ca="1">IFERROR(__xludf.DUMMYFUNCTION("""COMPUTED_VALUE"""),-0.385613538886407)</f>
        <v>-0.38561353888640698</v>
      </c>
      <c r="T129" s="3">
        <f ca="1">IFERROR(__xludf.DUMMYFUNCTION("""COMPUTED_VALUE"""),-0.466538354766829)</f>
        <v>-0.46653835476682898</v>
      </c>
      <c r="U129" s="3">
        <f ca="1">IFERROR(__xludf.DUMMYFUNCTION("""COMPUTED_VALUE"""),-0.54560860488768)</f>
        <v>-0.54560860488768004</v>
      </c>
      <c r="V129" s="3">
        <f ca="1">IFERROR(__xludf.DUMMYFUNCTION("""COMPUTED_VALUE"""),-0.549154524683155)</f>
        <v>-0.54915452468315495</v>
      </c>
      <c r="W129" s="3">
        <f ca="1">IFERROR(__xludf.DUMMYFUNCTION("""COMPUTED_VALUE"""),-0.502277821430053)</f>
        <v>-0.50227782143005295</v>
      </c>
      <c r="X129" s="3">
        <f ca="1">IFERROR(__xludf.DUMMYFUNCTION("""COMPUTED_VALUE"""),-0.512721172395906)</f>
        <v>-0.51272117239590598</v>
      </c>
      <c r="Y129" s="3">
        <f ca="1">IFERROR(__xludf.DUMMYFUNCTION("""COMPUTED_VALUE"""),-0.188934478928139)</f>
        <v>-0.188934478928139</v>
      </c>
      <c r="Z129" s="3">
        <f ca="1">IFERROR(__xludf.DUMMYFUNCTION("""COMPUTED_VALUE"""),-0.384821785239357)</f>
        <v>-0.38482178523935701</v>
      </c>
      <c r="AA129" s="3">
        <f ca="1">IFERROR(__xludf.DUMMYFUNCTION("""COMPUTED_VALUE"""),-0.458690821912864)</f>
        <v>-0.45869082191286398</v>
      </c>
      <c r="AB129" s="3">
        <f ca="1">IFERROR(__xludf.DUMMYFUNCTION("""COMPUTED_VALUE"""),-0.51021276509167)</f>
        <v>-0.51021276509167002</v>
      </c>
      <c r="AC129" s="3">
        <f ca="1">IFERROR(__xludf.DUMMYFUNCTION("""COMPUTED_VALUE"""),-0.490612328231485)</f>
        <v>-0.49061232823148498</v>
      </c>
      <c r="AD129" s="3">
        <f ca="1">IFERROR(__xludf.DUMMYFUNCTION("""COMPUTED_VALUE"""),-0.50003108239904)</f>
        <v>-0.50003108239904004</v>
      </c>
      <c r="AE129" s="3">
        <f ca="1">IFERROR(__xludf.DUMMYFUNCTION("""COMPUTED_VALUE"""),-0.519600646829448)</f>
        <v>-0.51960064682944795</v>
      </c>
      <c r="AF129" s="3">
        <f ca="1">IFERROR(__xludf.DUMMYFUNCTION("""COMPUTED_VALUE"""),-0.323781689345383)</f>
        <v>-0.32378168934538298</v>
      </c>
      <c r="AG129" s="3">
        <f ca="1">IFERROR(__xludf.DUMMYFUNCTION("""COMPUTED_VALUE"""),-0.32536346895422)</f>
        <v>-0.32536346895422003</v>
      </c>
      <c r="AH129" s="3">
        <f ca="1">IFERROR(__xludf.DUMMYFUNCTION("""COMPUTED_VALUE"""),-0.506044704892258)</f>
        <v>-0.50604470489225795</v>
      </c>
      <c r="AI129" s="3">
        <f ca="1">IFERROR(__xludf.DUMMYFUNCTION("""COMPUTED_VALUE"""),-0.556884332332518)</f>
        <v>-0.556884332332518</v>
      </c>
      <c r="AJ129" s="3">
        <f ca="1">IFERROR(__xludf.DUMMYFUNCTION("""COMPUTED_VALUE"""),-0.582331729136324)</f>
        <v>-0.58233172913632403</v>
      </c>
      <c r="AK129" s="3">
        <f ca="1">IFERROR(__xludf.DUMMYFUNCTION("""COMPUTED_VALUE"""),-0.570378462627212)</f>
        <v>-0.57037846262721204</v>
      </c>
      <c r="AL129" s="3">
        <f ca="1">IFERROR(__xludf.DUMMYFUNCTION("""COMPUTED_VALUE"""),-0.558986314261719)</f>
        <v>-0.55898631426171896</v>
      </c>
      <c r="AM129" s="3">
        <f ca="1">IFERROR(__xludf.DUMMYFUNCTION("""COMPUTED_VALUE"""),-0.390188985699906)</f>
        <v>-0.39018898569990601</v>
      </c>
      <c r="AN129" s="3">
        <f ca="1">IFERROR(__xludf.DUMMYFUNCTION("""COMPUTED_VALUE"""),-0.365049825748455)</f>
        <v>-0.36504982574845501</v>
      </c>
      <c r="AO129" s="3">
        <f ca="1">IFERROR(__xludf.DUMMYFUNCTION("""COMPUTED_VALUE"""),-0.556980019858531)</f>
        <v>-0.55698001985853096</v>
      </c>
      <c r="AP129" s="3">
        <f ca="1">IFERROR(__xludf.DUMMYFUNCTION("""COMPUTED_VALUE"""),-0.569656836825448)</f>
        <v>-0.56965683682544799</v>
      </c>
      <c r="AQ129" s="3">
        <f ca="1">IFERROR(__xludf.DUMMYFUNCTION("""COMPUTED_VALUE"""),-0.588589440718921)</f>
        <v>-0.58858944071892105</v>
      </c>
      <c r="AR129" s="3">
        <f ca="1">IFERROR(__xludf.DUMMYFUNCTION("""COMPUTED_VALUE"""),-0.568170188425549)</f>
        <v>-0.56817018842554901</v>
      </c>
      <c r="AS129" s="3">
        <f ca="1">IFERROR(__xludf.DUMMYFUNCTION("""COMPUTED_VALUE"""),-0.557238686494765)</f>
        <v>-0.55723868649476505</v>
      </c>
      <c r="AT129" s="3">
        <f ca="1">IFERROR(__xludf.DUMMYFUNCTION("""COMPUTED_VALUE"""),-0.279512625406928)</f>
        <v>-0.27951262540692801</v>
      </c>
      <c r="AU129" s="3">
        <f ca="1">IFERROR(__xludf.DUMMYFUNCTION("""COMPUTED_VALUE"""),-0.315190769748462)</f>
        <v>-0.315190769748462</v>
      </c>
      <c r="AV129" s="3">
        <f ca="1">IFERROR(__xludf.DUMMYFUNCTION("""COMPUTED_VALUE"""),-0.554834380630359)</f>
        <v>-0.55483438063035895</v>
      </c>
      <c r="AW129" s="3">
        <f ca="1">IFERROR(__xludf.DUMMYFUNCTION("""COMPUTED_VALUE"""),-0.567562204191134)</f>
        <v>-0.56756220419113401</v>
      </c>
      <c r="AX129" s="3">
        <f ca="1">IFERROR(__xludf.DUMMYFUNCTION("""COMPUTED_VALUE"""),-0.581732155199014)</f>
        <v>-0.581732155199014</v>
      </c>
      <c r="AY129" s="3">
        <f ca="1">IFERROR(__xludf.DUMMYFUNCTION("""COMPUTED_VALUE"""),-0.536725646291459)</f>
        <v>-0.53672564629145902</v>
      </c>
      <c r="AZ129" s="3">
        <f ca="1">IFERROR(__xludf.DUMMYFUNCTION("""COMPUTED_VALUE"""),-0.434227356677866)</f>
        <v>-0.43422735667786599</v>
      </c>
      <c r="BA129" s="3">
        <f ca="1">IFERROR(__xludf.DUMMYFUNCTION("""COMPUTED_VALUE"""),-0.235845497990548)</f>
        <v>-0.23584549799054799</v>
      </c>
      <c r="BB129" s="3">
        <f ca="1">IFERROR(__xludf.DUMMYFUNCTION("""COMPUTED_VALUE"""),-0.310611668717848)</f>
        <v>-0.31061166871784801</v>
      </c>
      <c r="BC129" s="3">
        <f ca="1">IFERROR(__xludf.DUMMYFUNCTION("""COMPUTED_VALUE"""),-0.511192540625151)</f>
        <v>-0.51119254062515096</v>
      </c>
      <c r="BD129" s="3">
        <f ca="1">IFERROR(__xludf.DUMMYFUNCTION("""COMPUTED_VALUE"""),-0.5636117367399)</f>
        <v>-0.56361173673989995</v>
      </c>
      <c r="BE129" s="3">
        <f ca="1">IFERROR(__xludf.DUMMYFUNCTION("""COMPUTED_VALUE"""),-0.481714380457745)</f>
        <v>-0.48171438045774501</v>
      </c>
      <c r="BF129" s="3">
        <f ca="1">IFERROR(__xludf.DUMMYFUNCTION("""COMPUTED_VALUE"""),-0.476152423552922)</f>
        <v>-0.47615242355292198</v>
      </c>
      <c r="BG129" s="3">
        <f ca="1">IFERROR(__xludf.DUMMYFUNCTION("""COMPUTED_VALUE"""),-0.519703874980265)</f>
        <v>-0.51970387498026505</v>
      </c>
      <c r="BH129" s="3">
        <f ca="1">IFERROR(__xludf.DUMMYFUNCTION("""COMPUTED_VALUE"""),-0.226654929216901)</f>
        <v>-0.226654929216901</v>
      </c>
      <c r="BI129" s="3">
        <f ca="1">IFERROR(__xludf.DUMMYFUNCTION("""COMPUTED_VALUE"""),-0.335130321229737)</f>
        <v>-0.33513032122973702</v>
      </c>
      <c r="BJ129" s="3">
        <f ca="1">IFERROR(__xludf.DUMMYFUNCTION("""COMPUTED_VALUE"""),-0.522939649998013)</f>
        <v>-0.52293964999801301</v>
      </c>
      <c r="BK129" s="3">
        <f ca="1">IFERROR(__xludf.DUMMYFUNCTION("""COMPUTED_VALUE"""),-0.649939358761026)</f>
        <v>-0.64993935876102604</v>
      </c>
      <c r="BL129" s="3">
        <f ca="1">IFERROR(__xludf.DUMMYFUNCTION("""COMPUTED_VALUE"""),-0.645047372571901)</f>
        <v>-0.64504737257190103</v>
      </c>
      <c r="BM129" s="3">
        <f ca="1">IFERROR(__xludf.DUMMYFUNCTION("""COMPUTED_VALUE"""),-0.670732433757235)</f>
        <v>-0.67073243375723501</v>
      </c>
      <c r="BN129" s="3">
        <f ca="1">IFERROR(__xludf.DUMMYFUNCTION("""COMPUTED_VALUE"""),-0.580891225043312)</f>
        <v>-0.58089122504331203</v>
      </c>
      <c r="BO129" s="3">
        <f ca="1">IFERROR(__xludf.DUMMYFUNCTION("""COMPUTED_VALUE"""),-0.328701915571225)</f>
        <v>-0.32870191557122502</v>
      </c>
      <c r="BP129" s="3">
        <f ca="1">IFERROR(__xludf.DUMMYFUNCTION("""COMPUTED_VALUE"""),-0.304957016739155)</f>
        <v>-0.30495701673915498</v>
      </c>
      <c r="BQ129" s="3">
        <f ca="1">IFERROR(__xludf.DUMMYFUNCTION("""COMPUTED_VALUE"""),-0.576827961268137)</f>
        <v>-0.57682796126813696</v>
      </c>
      <c r="BR129" s="3">
        <f ca="1">IFERROR(__xludf.DUMMYFUNCTION("""COMPUTED_VALUE"""),-0.694550521847721)</f>
        <v>-0.69455052184772104</v>
      </c>
      <c r="BS129" s="3">
        <f ca="1">IFERROR(__xludf.DUMMYFUNCTION("""COMPUTED_VALUE"""),-0.650236414825649)</f>
        <v>-0.65023641482564898</v>
      </c>
      <c r="BT129" s="3">
        <f ca="1">IFERROR(__xludf.DUMMYFUNCTION("""COMPUTED_VALUE"""),-0.650600502763493)</f>
        <v>-0.65060050276349302</v>
      </c>
      <c r="BU129" s="3">
        <f ca="1">IFERROR(__xludf.DUMMYFUNCTION("""COMPUTED_VALUE"""),-0.650456395508109)</f>
        <v>-0.65045639550810896</v>
      </c>
      <c r="BV129" s="3">
        <f ca="1">IFERROR(__xludf.DUMMYFUNCTION("""COMPUTED_VALUE"""),-0.350121287807094)</f>
        <v>-0.35012128780709401</v>
      </c>
      <c r="BW129" s="3">
        <f ca="1">IFERROR(__xludf.DUMMYFUNCTION("""COMPUTED_VALUE"""),-0.343892367262394)</f>
        <v>-0.34389236726239403</v>
      </c>
      <c r="BX129" s="3">
        <f ca="1">IFERROR(__xludf.DUMMYFUNCTION("""COMPUTED_VALUE"""),-0.611565661937487)</f>
        <v>-0.61156566193748696</v>
      </c>
      <c r="BY129" s="3">
        <f ca="1">IFERROR(__xludf.DUMMYFUNCTION("""COMPUTED_VALUE"""),-0.689930449297503)</f>
        <v>-0.68993044929750302</v>
      </c>
      <c r="BZ129" s="3">
        <f ca="1">IFERROR(__xludf.DUMMYFUNCTION("""COMPUTED_VALUE"""),-0.656509938707981)</f>
        <v>-0.65650993870798102</v>
      </c>
      <c r="CA129" s="3">
        <f ca="1">IFERROR(__xludf.DUMMYFUNCTION("""COMPUTED_VALUE"""),-0.646367826293588)</f>
        <v>-0.64636782629358802</v>
      </c>
      <c r="CB129" s="3">
        <f ca="1">IFERROR(__xludf.DUMMYFUNCTION("""COMPUTED_VALUE"""),-0.56565692502914)</f>
        <v>-0.56565692502914</v>
      </c>
      <c r="CC129" s="3">
        <f ca="1">IFERROR(__xludf.DUMMYFUNCTION("""COMPUTED_VALUE"""),-0.219367388323467)</f>
        <v>-0.219367388323467</v>
      </c>
      <c r="CD129" s="3">
        <f ca="1">IFERROR(__xludf.DUMMYFUNCTION("""COMPUTED_VALUE"""),-0.31096499849733)</f>
        <v>-0.31096499849733</v>
      </c>
      <c r="CE129" s="3">
        <f ca="1">IFERROR(__xludf.DUMMYFUNCTION("""COMPUTED_VALUE"""),-0.608080076864213)</f>
        <v>-0.60808007686421295</v>
      </c>
      <c r="CF129" s="3">
        <f ca="1">IFERROR(__xludf.DUMMYFUNCTION("""COMPUTED_VALUE"""),-0.657519934848098)</f>
        <v>-0.65751993484809801</v>
      </c>
      <c r="CG129" s="3">
        <f ca="1">IFERROR(__xludf.DUMMYFUNCTION("""COMPUTED_VALUE"""),-0.638135736174416)</f>
        <v>-0.63813573617441599</v>
      </c>
      <c r="CH129" s="3">
        <f ca="1">IFERROR(__xludf.DUMMYFUNCTION("""COMPUTED_VALUE"""),-0.619735387620196)</f>
        <v>-0.61973538762019598</v>
      </c>
      <c r="CI129" s="3">
        <f ca="1">IFERROR(__xludf.DUMMYFUNCTION("""COMPUTED_VALUE"""),-0.693867201323561)</f>
        <v>-0.69386720132356094</v>
      </c>
      <c r="CJ129" s="3">
        <f ca="1">IFERROR(__xludf.DUMMYFUNCTION("""COMPUTED_VALUE"""),-0.446333862703907)</f>
        <v>-0.44633386270390701</v>
      </c>
      <c r="CK129" s="3">
        <f ca="1">IFERROR(__xludf.DUMMYFUNCTION("""COMPUTED_VALUE"""),-0.503580628054446)</f>
        <v>-0.50358062805444603</v>
      </c>
      <c r="CL129" s="3">
        <f ca="1">IFERROR(__xludf.DUMMYFUNCTION("""COMPUTED_VALUE"""),-0.686866725752156)</f>
        <v>-0.68686672575215602</v>
      </c>
      <c r="CM129" s="3">
        <f ca="1">IFERROR(__xludf.DUMMYFUNCTION("""COMPUTED_VALUE"""),-0.659689559321925)</f>
        <v>-0.65968955932192497</v>
      </c>
      <c r="CN129" s="3">
        <f ca="1">IFERROR(__xludf.DUMMYFUNCTION("""COMPUTED_VALUE"""),-0.676365511721135)</f>
        <v>-0.67636551172113502</v>
      </c>
      <c r="CO129" s="3">
        <f ca="1">IFERROR(__xludf.DUMMYFUNCTION("""COMPUTED_VALUE"""),-0.660713542986615)</f>
        <v>-0.660713542986615</v>
      </c>
      <c r="CP129" s="3">
        <f ca="1">IFERROR(__xludf.DUMMYFUNCTION("""COMPUTED_VALUE"""),-0.577371606456726)</f>
        <v>-0.57737160645672603</v>
      </c>
      <c r="CQ129" s="3">
        <f ca="1">IFERROR(__xludf.DUMMYFUNCTION("""COMPUTED_VALUE"""),-0.442827777089382)</f>
        <v>-0.44282777708938198</v>
      </c>
      <c r="CR129" s="3">
        <f ca="1">IFERROR(__xludf.DUMMYFUNCTION("""COMPUTED_VALUE"""),-0.48935371444119)</f>
        <v>-0.48935371444119002</v>
      </c>
      <c r="CS129" s="3">
        <f ca="1">IFERROR(__xludf.DUMMYFUNCTION("""COMPUTED_VALUE"""),-0.636478845388492)</f>
        <v>-0.63647884538849198</v>
      </c>
      <c r="CT129" s="3">
        <f ca="1">IFERROR(__xludf.DUMMYFUNCTION("""COMPUTED_VALUE"""),-0.661744010853698)</f>
        <v>-0.66174401085369805</v>
      </c>
      <c r="CU129" s="3">
        <f ca="1">IFERROR(__xludf.DUMMYFUNCTION("""COMPUTED_VALUE"""),-0.625742158967703)</f>
        <v>-0.62574215896770302</v>
      </c>
      <c r="CV129" s="3">
        <f ca="1">IFERROR(__xludf.DUMMYFUNCTION("""COMPUTED_VALUE"""),-0.66735148197028)</f>
        <v>-0.66735148197028005</v>
      </c>
      <c r="CW129" s="3">
        <f ca="1">IFERROR(__xludf.DUMMYFUNCTION("""COMPUTED_VALUE"""),-0.680745398096018)</f>
        <v>-0.68074539809601797</v>
      </c>
      <c r="CX129" s="3">
        <f ca="1">IFERROR(__xludf.DUMMYFUNCTION("""COMPUTED_VALUE"""),-0.45572109158774)</f>
        <v>-0.45572109158773999</v>
      </c>
      <c r="CY129" s="3">
        <f ca="1">IFERROR(__xludf.DUMMYFUNCTION("""COMPUTED_VALUE"""),-0.535936514330317)</f>
        <v>-0.53593651433031697</v>
      </c>
      <c r="CZ129" s="3">
        <f ca="1">IFERROR(__xludf.DUMMYFUNCTION("""COMPUTED_VALUE"""),-0.896615643221899)</f>
        <v>-0.89661564322189902</v>
      </c>
      <c r="DA129" s="3">
        <f ca="1">IFERROR(__xludf.DUMMYFUNCTION("""COMPUTED_VALUE"""),-0.684910066158909)</f>
        <v>-0.68491006615890904</v>
      </c>
      <c r="DB129" s="3">
        <f ca="1">IFERROR(__xludf.DUMMYFUNCTION("""COMPUTED_VALUE"""),-0.462981367716648)</f>
        <v>-0.462981367716648</v>
      </c>
      <c r="DC129" s="3">
        <f ca="1">IFERROR(__xludf.DUMMYFUNCTION("""COMPUTED_VALUE"""),-0.636431420854823)</f>
        <v>-0.63643142085482296</v>
      </c>
      <c r="DD129" s="3">
        <f ca="1">IFERROR(__xludf.DUMMYFUNCTION("""COMPUTED_VALUE"""),-0.673587133762617)</f>
        <v>-0.67358713376261703</v>
      </c>
      <c r="DE129" s="3">
        <f ca="1">IFERROR(__xludf.DUMMYFUNCTION("""COMPUTED_VALUE"""),-0.446412117537242)</f>
        <v>-0.44641211753724203</v>
      </c>
      <c r="DF129" s="3">
        <f ca="1">IFERROR(__xludf.DUMMYFUNCTION("""COMPUTED_VALUE"""),-0.595469448406221)</f>
        <v>-0.59546944840622096</v>
      </c>
      <c r="DG129" s="3">
        <f ca="1">IFERROR(__xludf.DUMMYFUNCTION("""COMPUTED_VALUE"""),-0.940221057239208)</f>
        <v>-0.94022105723920801</v>
      </c>
      <c r="DH129" s="3">
        <f ca="1">IFERROR(__xludf.DUMMYFUNCTION("""COMPUTED_VALUE"""),-0.713476370003447)</f>
        <v>-0.71347637000344699</v>
      </c>
      <c r="DI129" s="3">
        <f ca="1">IFERROR(__xludf.DUMMYFUNCTION("""COMPUTED_VALUE"""),-0.20319061566389)</f>
        <v>-0.20319061566388999</v>
      </c>
      <c r="DJ129" s="3">
        <f ca="1">IFERROR(__xludf.DUMMYFUNCTION("""COMPUTED_VALUE"""),-0.508717085765783)</f>
        <v>-0.50871708576578301</v>
      </c>
      <c r="DK129" s="3">
        <f ca="1">IFERROR(__xludf.DUMMYFUNCTION("""COMPUTED_VALUE"""),-0.596658871959094)</f>
        <v>-0.59665887195909395</v>
      </c>
      <c r="DL129" s="3">
        <f ca="1">IFERROR(__xludf.DUMMYFUNCTION("""COMPUTED_VALUE"""),-0.356158559656761)</f>
        <v>-0.35615855965676102</v>
      </c>
      <c r="DM129" s="3">
        <f ca="1">IFERROR(__xludf.DUMMYFUNCTION("""COMPUTED_VALUE"""),-0.516656027726451)</f>
        <v>-0.51665602772645103</v>
      </c>
      <c r="DN129" s="3">
        <f ca="1">IFERROR(__xludf.DUMMYFUNCTION("""COMPUTED_VALUE"""),-0.518358269848255)</f>
        <v>-0.51835826984825495</v>
      </c>
      <c r="DO129" s="3">
        <f ca="1">IFERROR(__xludf.DUMMYFUNCTION("""COMPUTED_VALUE"""),-0.557046835008875)</f>
        <v>-0.55704683500887497</v>
      </c>
      <c r="DP129" s="3">
        <f ca="1">IFERROR(__xludf.DUMMYFUNCTION("""COMPUTED_VALUE"""),-0.517611337414514)</f>
        <v>-0.51761133741451404</v>
      </c>
      <c r="DQ129" s="3">
        <f ca="1">IFERROR(__xludf.DUMMYFUNCTION("""COMPUTED_VALUE"""),-0.59927475422815)</f>
        <v>-0.59927475422815002</v>
      </c>
      <c r="DR129" s="3">
        <f ca="1">IFERROR(__xludf.DUMMYFUNCTION("""COMPUTED_VALUE"""),-0.628099203158718)</f>
        <v>-0.62809920315871803</v>
      </c>
      <c r="DS129" s="3">
        <f ca="1">IFERROR(__xludf.DUMMYFUNCTION("""COMPUTED_VALUE"""),-0.448886404187473)</f>
        <v>-0.448886404187473</v>
      </c>
      <c r="DT129" s="3">
        <f ca="1">IFERROR(__xludf.DUMMYFUNCTION("""COMPUTED_VALUE"""),-0.506980552955041)</f>
        <v>-0.50698055295504096</v>
      </c>
      <c r="DU129" s="3">
        <f ca="1">IFERROR(__xludf.DUMMYFUNCTION("""COMPUTED_VALUE"""),-0.685353700390414)</f>
        <v>-0.68535370039041399</v>
      </c>
      <c r="DV129" s="3">
        <f ca="1">IFERROR(__xludf.DUMMYFUNCTION("""COMPUTED_VALUE"""),-0.705149176745599)</f>
        <v>-0.70514917674559896</v>
      </c>
      <c r="DW129" s="3">
        <f ca="1">IFERROR(__xludf.DUMMYFUNCTION("""COMPUTED_VALUE"""),-0.734231068506747)</f>
        <v>-0.73423106850674702</v>
      </c>
      <c r="DX129" s="3">
        <f ca="1">IFERROR(__xludf.DUMMYFUNCTION("""COMPUTED_VALUE"""),-0.711668317995851)</f>
        <v>-0.71166831799585095</v>
      </c>
      <c r="DY129" s="3">
        <f ca="1">IFERROR(__xludf.DUMMYFUNCTION("""COMPUTED_VALUE"""),-0.713885987674032)</f>
        <v>-0.713885987674032</v>
      </c>
      <c r="DZ129" s="3">
        <f ca="1">IFERROR(__xludf.DUMMYFUNCTION("""COMPUTED_VALUE"""),-0.540105827366827)</f>
        <v>-0.540105827366827</v>
      </c>
      <c r="EA129" s="3">
        <f ca="1">IFERROR(__xludf.DUMMYFUNCTION("""COMPUTED_VALUE"""),-0.625323973876483)</f>
        <v>-0.62532397387648297</v>
      </c>
      <c r="EB129" s="3">
        <f ca="1">IFERROR(__xludf.DUMMYFUNCTION("""COMPUTED_VALUE"""),-0.666480513536608)</f>
        <v>-0.66648051353660798</v>
      </c>
      <c r="EC129" s="3">
        <f ca="1">IFERROR(__xludf.DUMMYFUNCTION("""COMPUTED_VALUE"""),-0.624348679770383)</f>
        <v>-0.624348679770383</v>
      </c>
      <c r="ED129" s="3">
        <f ca="1">IFERROR(__xludf.DUMMYFUNCTION("""COMPUTED_VALUE"""),-0.728489106078474)</f>
        <v>-0.72848910607847395</v>
      </c>
      <c r="EE129" s="3">
        <f ca="1">IFERROR(__xludf.DUMMYFUNCTION("""COMPUTED_VALUE"""),-0.732808241922315)</f>
        <v>-0.73280824192231497</v>
      </c>
      <c r="EF129" s="3">
        <f ca="1">IFERROR(__xludf.DUMMYFUNCTION("""COMPUTED_VALUE"""),-0.726428178775395)</f>
        <v>-0.72642817877539501</v>
      </c>
      <c r="EG129" s="3">
        <f ca="1">IFERROR(__xludf.DUMMYFUNCTION("""COMPUTED_VALUE"""),-0.533092996877295)</f>
        <v>-0.53309299687729494</v>
      </c>
      <c r="EH129" s="3">
        <f ca="1">IFERROR(__xludf.DUMMYFUNCTION("""COMPUTED_VALUE"""),-0.682585164805749)</f>
        <v>-0.68258516480574905</v>
      </c>
      <c r="EI129" s="3">
        <f ca="1">IFERROR(__xludf.DUMMYFUNCTION("""COMPUTED_VALUE"""),-0.755187507573532)</f>
        <v>-0.75518750757353204</v>
      </c>
      <c r="EJ129" s="3">
        <f ca="1">IFERROR(__xludf.DUMMYFUNCTION("""COMPUTED_VALUE"""),-0.949731374093743)</f>
        <v>-0.94973137409374297</v>
      </c>
      <c r="EK129" s="3">
        <f ca="1">IFERROR(__xludf.DUMMYFUNCTION("""COMPUTED_VALUE"""),-0.756397383851911)</f>
        <v>-0.75639738385191102</v>
      </c>
      <c r="EL129" s="3">
        <f ca="1">IFERROR(__xludf.DUMMYFUNCTION("""COMPUTED_VALUE"""),-0.757455524260586)</f>
        <v>-0.75745552426058604</v>
      </c>
      <c r="EM129" s="3">
        <f ca="1">IFERROR(__xludf.DUMMYFUNCTION("""COMPUTED_VALUE"""),-0.743533265323057)</f>
        <v>-0.74353326532305697</v>
      </c>
      <c r="EN129" s="3">
        <f ca="1">IFERROR(__xludf.DUMMYFUNCTION("""COMPUTED_VALUE"""),-0.506247462811402)</f>
        <v>-0.50624746281140198</v>
      </c>
      <c r="EO129" s="3">
        <f ca="1">IFERROR(__xludf.DUMMYFUNCTION("""COMPUTED_VALUE"""),-0.608100945072277)</f>
        <v>-0.60810094507227697</v>
      </c>
      <c r="EP129" s="3">
        <f ca="1">IFERROR(__xludf.DUMMYFUNCTION("""COMPUTED_VALUE"""),-0.66536122858833)</f>
        <v>-0.66536122858833002</v>
      </c>
      <c r="EQ129" s="3">
        <f ca="1">IFERROR(__xludf.DUMMYFUNCTION("""COMPUTED_VALUE"""),-0.622270067967197)</f>
        <v>-0.62227006796719697</v>
      </c>
      <c r="ER129" s="3">
        <f ca="1">IFERROR(__xludf.DUMMYFUNCTION("""COMPUTED_VALUE"""),-0.756290251742011)</f>
        <v>-0.75629025174201103</v>
      </c>
      <c r="ES129" s="3">
        <f ca="1">IFERROR(__xludf.DUMMYFUNCTION("""COMPUTED_VALUE"""),-0.738713102226873)</f>
        <v>-0.73871310222687303</v>
      </c>
      <c r="ET129" s="3">
        <f ca="1">IFERROR(__xludf.DUMMYFUNCTION("""COMPUTED_VALUE"""),-0.723644031877155)</f>
        <v>-0.72364403187715498</v>
      </c>
      <c r="EU129" s="3">
        <f ca="1">IFERROR(__xludf.DUMMYFUNCTION("""COMPUTED_VALUE"""),-0.577101504756426)</f>
        <v>-0.57710150475642596</v>
      </c>
      <c r="EV129" s="3">
        <f ca="1">IFERROR(__xludf.DUMMYFUNCTION("""COMPUTED_VALUE"""),-0.629109118088873)</f>
        <v>-0.62910911808887304</v>
      </c>
      <c r="EW129" s="3">
        <f ca="1">IFERROR(__xludf.DUMMYFUNCTION("""COMPUTED_VALUE"""),-0.730108319767684)</f>
        <v>-0.73010831976768398</v>
      </c>
      <c r="EX129" s="3">
        <f ca="1">IFERROR(__xludf.DUMMYFUNCTION("""COMPUTED_VALUE"""),-0.723958006729488)</f>
        <v>-0.72395800672948796</v>
      </c>
      <c r="EY129" s="3">
        <f ca="1">IFERROR(__xludf.DUMMYFUNCTION("""COMPUTED_VALUE"""),-0.751569585159386)</f>
        <v>-0.75156958515938599</v>
      </c>
      <c r="EZ129" s="3">
        <f ca="1">IFERROR(__xludf.DUMMYFUNCTION("""COMPUTED_VALUE"""),-0.739774109530461)</f>
        <v>-0.73977410953046097</v>
      </c>
      <c r="FA129" s="3">
        <f ca="1">IFERROR(__xludf.DUMMYFUNCTION("""COMPUTED_VALUE"""),-0.739531253786024)</f>
        <v>-0.73953125378602402</v>
      </c>
      <c r="FB129" s="3">
        <f ca="1">IFERROR(__xludf.DUMMYFUNCTION("""COMPUTED_VALUE"""),-0.588603261501175)</f>
        <v>-0.58860326150117503</v>
      </c>
      <c r="FC129" s="3">
        <f ca="1">IFERROR(__xludf.DUMMYFUNCTION("""COMPUTED_VALUE"""),-0.636843947856834)</f>
        <v>-0.63684394785683396</v>
      </c>
      <c r="FD129" s="3">
        <f ca="1">IFERROR(__xludf.DUMMYFUNCTION("""COMPUTED_VALUE"""),-0.710213735698676)</f>
        <v>-0.71021373569867596</v>
      </c>
      <c r="FE129" s="3">
        <f ca="1">IFERROR(__xludf.DUMMYFUNCTION("""COMPUTED_VALUE"""),-0.714503551615406)</f>
        <v>-0.71450355161540602</v>
      </c>
      <c r="FF129" s="3">
        <f ca="1">IFERROR(__xludf.DUMMYFUNCTION("""COMPUTED_VALUE"""),-0.732991264842216)</f>
        <v>-0.73299126484221599</v>
      </c>
      <c r="FG129" s="3">
        <f ca="1">IFERROR(__xludf.DUMMYFUNCTION("""COMPUTED_VALUE"""),-0.740815007953546)</f>
        <v>-0.74081500795354605</v>
      </c>
      <c r="FH129" s="3">
        <f ca="1">IFERROR(__xludf.DUMMYFUNCTION("""COMPUTED_VALUE"""),-0.702551429295937)</f>
        <v>-0.70255142929593695</v>
      </c>
      <c r="FI129" s="3">
        <f ca="1">IFERROR(__xludf.DUMMYFUNCTION("""COMPUTED_VALUE"""),-0.539189733488618)</f>
        <v>-0.53918973348861798</v>
      </c>
      <c r="FJ129" s="3">
        <f ca="1">IFERROR(__xludf.DUMMYFUNCTION("""COMPUTED_VALUE"""),-0.618996299457514)</f>
        <v>-0.618996299457514</v>
      </c>
      <c r="FK129" s="3">
        <f ca="1">IFERROR(__xludf.DUMMYFUNCTION("""COMPUTED_VALUE"""),-0.692901042003205)</f>
        <v>-0.69290104200320501</v>
      </c>
      <c r="FL129" s="3">
        <f ca="1">IFERROR(__xludf.DUMMYFUNCTION("""COMPUTED_VALUE"""),-0.709140038032541)</f>
        <v>-0.709140038032541</v>
      </c>
      <c r="FM129" s="3">
        <f ca="1">IFERROR(__xludf.DUMMYFUNCTION("""COMPUTED_VALUE"""),-0.719203228454991)</f>
        <v>-0.71920322845499096</v>
      </c>
      <c r="FN129" s="3">
        <f ca="1">IFERROR(__xludf.DUMMYFUNCTION("""COMPUTED_VALUE"""),-0.731591456759181)</f>
        <v>-0.73159145675918102</v>
      </c>
      <c r="FO129" s="3">
        <f ca="1">IFERROR(__xludf.DUMMYFUNCTION("""COMPUTED_VALUE"""),-0.700766525732247)</f>
        <v>-0.70076652573224696</v>
      </c>
      <c r="FP129" s="3">
        <f ca="1">IFERROR(__xludf.DUMMYFUNCTION("""COMPUTED_VALUE"""),-0.531560529692809)</f>
        <v>-0.53156052969280898</v>
      </c>
      <c r="FQ129" s="3">
        <f ca="1">IFERROR(__xludf.DUMMYFUNCTION("""COMPUTED_VALUE"""),-0.589224757222874)</f>
        <v>-0.58922475722287404</v>
      </c>
      <c r="FR129" s="3">
        <f ca="1">IFERROR(__xludf.DUMMYFUNCTION("""COMPUTED_VALUE"""),-0.683155137874603)</f>
        <v>-0.68315513787460302</v>
      </c>
      <c r="FS129" s="3">
        <f ca="1">IFERROR(__xludf.DUMMYFUNCTION("""COMPUTED_VALUE"""),-0.694935260887008)</f>
        <v>-0.69493526088700797</v>
      </c>
      <c r="FT129" s="3">
        <f ca="1">IFERROR(__xludf.DUMMYFUNCTION("""COMPUTED_VALUE"""),-0.7265845847536)</f>
        <v>-0.72658458475359999</v>
      </c>
      <c r="FU129" s="3">
        <f ca="1">IFERROR(__xludf.DUMMYFUNCTION("""COMPUTED_VALUE"""),-0.718267043580024)</f>
        <v>-0.71826704358002402</v>
      </c>
      <c r="FV129" s="3">
        <f ca="1">IFERROR(__xludf.DUMMYFUNCTION("""COMPUTED_VALUE"""),-0.688396202978221)</f>
        <v>-0.68839620297822102</v>
      </c>
      <c r="FW129" s="3">
        <f ca="1">IFERROR(__xludf.DUMMYFUNCTION("""COMPUTED_VALUE"""),-0.529513854319118)</f>
        <v>-0.52951385431911802</v>
      </c>
      <c r="FX129" s="3">
        <f ca="1">IFERROR(__xludf.DUMMYFUNCTION("""COMPUTED_VALUE"""),-0.573814216236758)</f>
        <v>-0.57381421623675799</v>
      </c>
      <c r="FY129" s="3">
        <f ca="1">IFERROR(__xludf.DUMMYFUNCTION("""COMPUTED_VALUE"""),-0.673415884906536)</f>
        <v>-0.67341588490653603</v>
      </c>
      <c r="FZ129" s="3">
        <f ca="1">IFERROR(__xludf.DUMMYFUNCTION("""COMPUTED_VALUE"""),-0.686426723967911)</f>
        <v>-0.68642672396791105</v>
      </c>
      <c r="GA129" s="3">
        <f ca="1">IFERROR(__xludf.DUMMYFUNCTION("""COMPUTED_VALUE"""),-0.672036408174989)</f>
        <v>-0.672036408174989</v>
      </c>
      <c r="GB129" s="3">
        <f ca="1">IFERROR(__xludf.DUMMYFUNCTION("""COMPUTED_VALUE"""),-0.679975278343818)</f>
        <v>-0.67997527834381799</v>
      </c>
      <c r="GC129" s="3">
        <f ca="1">IFERROR(__xludf.DUMMYFUNCTION("""COMPUTED_VALUE"""),-0.664453330746319)</f>
        <v>-0.66445333074631896</v>
      </c>
      <c r="GD129" s="3">
        <f ca="1">IFERROR(__xludf.DUMMYFUNCTION("""COMPUTED_VALUE"""),-0.547995486141728)</f>
        <v>-0.54799548614172799</v>
      </c>
      <c r="GE129" s="3">
        <f ca="1">IFERROR(__xludf.DUMMYFUNCTION("""COMPUTED_VALUE"""),-0.610894082810082)</f>
        <v>-0.61089408281008195</v>
      </c>
      <c r="GF129" s="3">
        <f ca="1">IFERROR(__xludf.DUMMYFUNCTION("""COMPUTED_VALUE"""),-0.663710378380495)</f>
        <v>-0.66371037838049496</v>
      </c>
      <c r="GG129" s="3">
        <f ca="1">IFERROR(__xludf.DUMMYFUNCTION("""COMPUTED_VALUE"""),-0.691345396215839)</f>
        <v>-0.69134539621583901</v>
      </c>
      <c r="GH129" s="3">
        <f ca="1">IFERROR(__xludf.DUMMYFUNCTION("""COMPUTED_VALUE"""),-0.690081812040085)</f>
        <v>-0.69008181204008501</v>
      </c>
      <c r="GI129" s="3">
        <f ca="1">IFERROR(__xludf.DUMMYFUNCTION("""COMPUTED_VALUE"""),-0.71232856783192)</f>
        <v>-0.71232856783192</v>
      </c>
      <c r="GJ129" s="3">
        <f ca="1">IFERROR(__xludf.DUMMYFUNCTION("""COMPUTED_VALUE"""),-0.673839877417308)</f>
        <v>-0.673839877417308</v>
      </c>
      <c r="GK129" s="3">
        <f ca="1">IFERROR(__xludf.DUMMYFUNCTION("""COMPUTED_VALUE"""),-0.559696004482049)</f>
        <v>-0.55969600448204904</v>
      </c>
      <c r="GL129" s="3">
        <f ca="1">IFERROR(__xludf.DUMMYFUNCTION("""COMPUTED_VALUE"""),-0.65183516851903)</f>
        <v>-0.65183516851903001</v>
      </c>
      <c r="GM129" s="3">
        <f ca="1">IFERROR(__xludf.DUMMYFUNCTION("""COMPUTED_VALUE"""),-0.691605789987465)</f>
        <v>-0.69160578998746502</v>
      </c>
      <c r="GN129" s="3">
        <f ca="1">IFERROR(__xludf.DUMMYFUNCTION("""COMPUTED_VALUE"""),-0.740249491156972)</f>
        <v>-0.74024949115697203</v>
      </c>
      <c r="GO129" s="3">
        <f ca="1">IFERROR(__xludf.DUMMYFUNCTION("""COMPUTED_VALUE"""),-0.69766365089639)</f>
        <v>-0.69766365089639004</v>
      </c>
      <c r="GP129" s="3">
        <f ca="1">IFERROR(__xludf.DUMMYFUNCTION("""COMPUTED_VALUE"""),-0.708992352008928)</f>
        <v>-0.70899235200892796</v>
      </c>
      <c r="GQ129" s="3">
        <f ca="1">IFERROR(__xludf.DUMMYFUNCTION("""COMPUTED_VALUE"""),-0.696010798207514)</f>
        <v>-0.69601079820751399</v>
      </c>
      <c r="GR129" s="3">
        <f ca="1">IFERROR(__xludf.DUMMYFUNCTION("""COMPUTED_VALUE"""),-0.528378438249994)</f>
        <v>-0.52837843824999398</v>
      </c>
      <c r="GS129" s="3">
        <f ca="1">IFERROR(__xludf.DUMMYFUNCTION("""COMPUTED_VALUE"""),-0.607386919551529)</f>
        <v>-0.60738691955152901</v>
      </c>
      <c r="GT129" s="3">
        <f ca="1">IFERROR(__xludf.DUMMYFUNCTION("""COMPUTED_VALUE"""),-0.682097420723889)</f>
        <v>-0.68209742072388901</v>
      </c>
      <c r="GU129" s="3">
        <f ca="1">IFERROR(__xludf.DUMMYFUNCTION("""COMPUTED_VALUE"""),-0.710539024634572)</f>
        <v>-0.71053902463457197</v>
      </c>
      <c r="GV129" s="3">
        <f ca="1">IFERROR(__xludf.DUMMYFUNCTION("""COMPUTED_VALUE"""),-0.682771368508105)</f>
        <v>-0.68277136850810505</v>
      </c>
      <c r="GW129" s="3">
        <f ca="1">IFERROR(__xludf.DUMMYFUNCTION("""COMPUTED_VALUE"""),-0.707206385679935)</f>
        <v>-0.70720638567993499</v>
      </c>
      <c r="GX129" s="3">
        <f ca="1">IFERROR(__xludf.DUMMYFUNCTION("""COMPUTED_VALUE"""),-0.687778615060575)</f>
        <v>-0.68777861506057503</v>
      </c>
      <c r="GY129" s="3">
        <f ca="1">IFERROR(__xludf.DUMMYFUNCTION("""COMPUTED_VALUE"""),-0.491367388548396)</f>
        <v>-0.49136738854839601</v>
      </c>
      <c r="GZ129" s="3">
        <f ca="1">IFERROR(__xludf.DUMMYFUNCTION("""COMPUTED_VALUE"""),-0.602746406409805)</f>
        <v>-0.60274640640980504</v>
      </c>
      <c r="HA129" s="3">
        <f ca="1">IFERROR(__xludf.DUMMYFUNCTION("""COMPUTED_VALUE"""),-0.672392868323737)</f>
        <v>-0.67239286832373701</v>
      </c>
      <c r="HB129" s="3">
        <f ca="1">IFERROR(__xludf.DUMMYFUNCTION("""COMPUTED_VALUE"""),-0.682933360421915)</f>
        <v>-0.68293336042191499</v>
      </c>
      <c r="HC129" s="3">
        <f ca="1">IFERROR(__xludf.DUMMYFUNCTION("""COMPUTED_VALUE"""),-0.672671885774896)</f>
        <v>-0.67267188577489601</v>
      </c>
      <c r="HD129" s="3">
        <f ca="1">IFERROR(__xludf.DUMMYFUNCTION("""COMPUTED_VALUE"""),-0.693381404924236)</f>
        <v>-0.69338140492423594</v>
      </c>
      <c r="HE129" s="3">
        <f ca="1">IFERROR(__xludf.DUMMYFUNCTION("""COMPUTED_VALUE"""),-0.679935605588699)</f>
        <v>-0.67993560558869903</v>
      </c>
      <c r="HF129" s="3">
        <f ca="1">IFERROR(__xludf.DUMMYFUNCTION("""COMPUTED_VALUE"""),-0.483081174730269)</f>
        <v>-0.48308117473026901</v>
      </c>
      <c r="HG129" s="3">
        <f ca="1">IFERROR(__xludf.DUMMYFUNCTION("""COMPUTED_VALUE"""),-0.623851850307273)</f>
        <v>-0.62385185030727297</v>
      </c>
      <c r="HH129" s="3">
        <f ca="1">IFERROR(__xludf.DUMMYFUNCTION("""COMPUTED_VALUE"""),-0.692285210961777)</f>
        <v>-0.69228521096177698</v>
      </c>
      <c r="HI129" s="3">
        <f ca="1">IFERROR(__xludf.DUMMYFUNCTION("""COMPUTED_VALUE"""),-0.666550467599269)</f>
        <v>-0.66655046759926895</v>
      </c>
      <c r="HJ129" s="3">
        <f ca="1">IFERROR(__xludf.DUMMYFUNCTION("""COMPUTED_VALUE"""),-0.625082595465931)</f>
        <v>-0.62508259546593103</v>
      </c>
      <c r="HK129" s="3">
        <f ca="1">IFERROR(__xludf.DUMMYFUNCTION("""COMPUTED_VALUE"""),-0.668437487729453)</f>
        <v>-0.66843748772945299</v>
      </c>
      <c r="HL129" s="3">
        <f ca="1">IFERROR(__xludf.DUMMYFUNCTION("""COMPUTED_VALUE"""),-0.737356008805399)</f>
        <v>-0.73735600880539898</v>
      </c>
      <c r="HM129" s="3">
        <f ca="1">IFERROR(__xludf.DUMMYFUNCTION("""COMPUTED_VALUE"""),-0.479382304997141)</f>
        <v>-0.47938230499714102</v>
      </c>
      <c r="HN129" s="3">
        <f ca="1">IFERROR(__xludf.DUMMYFUNCTION("""COMPUTED_VALUE"""),-0.56361970570864)</f>
        <v>-0.56361970570863995</v>
      </c>
      <c r="HO129" s="3">
        <f ca="1">IFERROR(__xludf.DUMMYFUNCTION("""COMPUTED_VALUE"""),-0.685375680528748)</f>
        <v>-0.68537568052874798</v>
      </c>
      <c r="HP129" s="3">
        <f ca="1">IFERROR(__xludf.DUMMYFUNCTION("""COMPUTED_VALUE"""),-0.6633490181962)</f>
        <v>-0.66334901819619996</v>
      </c>
      <c r="HQ129" s="3">
        <f ca="1">IFERROR(__xludf.DUMMYFUNCTION("""COMPUTED_VALUE"""),-0.648594511191134)</f>
        <v>-0.64859451119113398</v>
      </c>
      <c r="HR129" s="3">
        <f ca="1">IFERROR(__xludf.DUMMYFUNCTION("""COMPUTED_VALUE"""),-0.664589059889185)</f>
        <v>-0.66458905988918504</v>
      </c>
      <c r="HS129" s="3">
        <f ca="1">IFERROR(__xludf.DUMMYFUNCTION("""COMPUTED_VALUE"""),-0.515267956710738)</f>
        <v>-0.515267956710738</v>
      </c>
      <c r="HT129" s="3">
        <f ca="1">IFERROR(__xludf.DUMMYFUNCTION("""COMPUTED_VALUE"""),-0.494617477488937)</f>
        <v>-0.49461747748893697</v>
      </c>
      <c r="HU129" s="3">
        <f ca="1">IFERROR(__xludf.DUMMYFUNCTION("""COMPUTED_VALUE"""),-0.477016760343176)</f>
        <v>-0.47701676034317603</v>
      </c>
      <c r="HV129" s="3">
        <f ca="1">IFERROR(__xludf.DUMMYFUNCTION("""COMPUTED_VALUE"""),-0.62376395406979)</f>
        <v>-0.62376395406979002</v>
      </c>
      <c r="HW129" s="3">
        <f ca="1">IFERROR(__xludf.DUMMYFUNCTION("""COMPUTED_VALUE"""),-0.665897041901127)</f>
        <v>-0.66589704190112697</v>
      </c>
      <c r="HX129" s="3">
        <f ca="1">IFERROR(__xludf.DUMMYFUNCTION("""COMPUTED_VALUE"""),-0.605068940889287)</f>
        <v>-0.60506894088928698</v>
      </c>
      <c r="HY129" s="3">
        <f ca="1">IFERROR(__xludf.DUMMYFUNCTION("""COMPUTED_VALUE"""),-0.629226024714696)</f>
        <v>-0.62922602471469602</v>
      </c>
      <c r="HZ129" s="3">
        <f ca="1">IFERROR(__xludf.DUMMYFUNCTION("""COMPUTED_VALUE"""),-0.498196291192897)</f>
        <v>-0.49819629119289699</v>
      </c>
      <c r="IA129" s="3">
        <f ca="1">IFERROR(__xludf.DUMMYFUNCTION("""COMPUTED_VALUE"""),-0.435278396619896)</f>
        <v>-0.43527839661989598</v>
      </c>
      <c r="IB129" s="3">
        <f ca="1">IFERROR(__xludf.DUMMYFUNCTION("""COMPUTED_VALUE"""),-0.529619909604534)</f>
        <v>-0.52961990960453398</v>
      </c>
      <c r="IC129" s="3">
        <f ca="1">IFERROR(__xludf.DUMMYFUNCTION("""COMPUTED_VALUE"""),-0.667431312684056)</f>
        <v>-0.66743131268405598</v>
      </c>
      <c r="ID129" s="3">
        <f ca="1">IFERROR(__xludf.DUMMYFUNCTION("""COMPUTED_VALUE"""),-0.70918501509677)</f>
        <v>-0.70918501509677001</v>
      </c>
      <c r="IE129" s="3">
        <f ca="1">IFERROR(__xludf.DUMMYFUNCTION("""COMPUTED_VALUE"""),-0.690051410498477)</f>
        <v>-0.69005141049847696</v>
      </c>
      <c r="IF129" s="3">
        <f ca="1">IFERROR(__xludf.DUMMYFUNCTION("""COMPUTED_VALUE"""),-0.729933526216445)</f>
        <v>-0.72993352621644503</v>
      </c>
      <c r="IG129" s="3">
        <f ca="1">IFERROR(__xludf.DUMMYFUNCTION("""COMPUTED_VALUE"""),-0.72497030588459)</f>
        <v>-0.72497030588458999</v>
      </c>
      <c r="IH129" s="3">
        <f ca="1">IFERROR(__xludf.DUMMYFUNCTION("""COMPUTED_VALUE"""),-0.57515885083636)</f>
        <v>-0.57515885083635998</v>
      </c>
      <c r="II129" s="3">
        <f ca="1">IFERROR(__xludf.DUMMYFUNCTION("""COMPUTED_VALUE"""),-0.585710311694756)</f>
        <v>-0.58571031169475596</v>
      </c>
      <c r="IJ129" s="3">
        <f ca="1">IFERROR(__xludf.DUMMYFUNCTION("""COMPUTED_VALUE"""),-0.681217475903557)</f>
        <v>-0.68121747590355697</v>
      </c>
      <c r="IK129" s="3">
        <f ca="1">IFERROR(__xludf.DUMMYFUNCTION("""COMPUTED_VALUE"""),-0.690280888464021)</f>
        <v>-0.69028088846402103</v>
      </c>
      <c r="IL129" s="3">
        <f ca="1">IFERROR(__xludf.DUMMYFUNCTION("""COMPUTED_VALUE"""),-0.705367418731134)</f>
        <v>-0.70536741873113395</v>
      </c>
      <c r="IM129" s="3">
        <f ca="1">IFERROR(__xludf.DUMMYFUNCTION("""COMPUTED_VALUE"""),-0.712784659074173)</f>
        <v>-0.71278465907417299</v>
      </c>
      <c r="IN129" s="3">
        <f ca="1">IFERROR(__xludf.DUMMYFUNCTION("""COMPUTED_VALUE"""),-0.710164731810651)</f>
        <v>-0.71016473181065098</v>
      </c>
      <c r="IO129" s="3">
        <f ca="1">IFERROR(__xludf.DUMMYFUNCTION("""COMPUTED_VALUE"""),-0.567067779744849)</f>
        <v>-0.56706777974484901</v>
      </c>
      <c r="IP129" s="3">
        <f ca="1">IFERROR(__xludf.DUMMYFUNCTION("""COMPUTED_VALUE"""),-0.525307235631683)</f>
        <v>-0.52530723563168302</v>
      </c>
      <c r="IQ129" s="3">
        <f ca="1">IFERROR(__xludf.DUMMYFUNCTION("""COMPUTED_VALUE"""),-0.578697688822362)</f>
        <v>-0.57869768882236206</v>
      </c>
      <c r="IR129" s="3">
        <f ca="1">IFERROR(__xludf.DUMMYFUNCTION("""COMPUTED_VALUE"""),-0.542887172788875)</f>
        <v>-0.54288717278887499</v>
      </c>
      <c r="IS129" s="3">
        <f ca="1">IFERROR(__xludf.DUMMYFUNCTION("""COMPUTED_VALUE"""),-0.583580005035094)</f>
        <v>-0.583580005035094</v>
      </c>
      <c r="IT129" s="3">
        <f ca="1">IFERROR(__xludf.DUMMYFUNCTION("""COMPUTED_VALUE"""),-0.565196261538393)</f>
        <v>-0.56519626153839297</v>
      </c>
      <c r="IU129" s="3">
        <f ca="1">IFERROR(__xludf.DUMMYFUNCTION("""COMPUTED_VALUE"""),-0.538026496953534)</f>
        <v>-0.53802649695353399</v>
      </c>
      <c r="IV129" s="3">
        <f ca="1">IFERROR(__xludf.DUMMYFUNCTION("""COMPUTED_VALUE"""),-0.464765033849251)</f>
        <v>-0.464765033849251</v>
      </c>
      <c r="IW129" s="3">
        <f ca="1">IFERROR(__xludf.DUMMYFUNCTION("""COMPUTED_VALUE"""),-0.434613988829279)</f>
        <v>-0.43461398882927899</v>
      </c>
      <c r="IX129" s="3">
        <f ca="1">IFERROR(__xludf.DUMMYFUNCTION("""COMPUTED_VALUE"""),-0.495268703769529)</f>
        <v>-0.49526870376952897</v>
      </c>
      <c r="IY129" s="3">
        <f ca="1">IFERROR(__xludf.DUMMYFUNCTION("""COMPUTED_VALUE"""),-0.550140687845548)</f>
        <v>-0.55014068784554804</v>
      </c>
      <c r="IZ129" s="3">
        <f ca="1">IFERROR(__xludf.DUMMYFUNCTION("""COMPUTED_VALUE"""),-0.567692827208225)</f>
        <v>-0.567692827208225</v>
      </c>
      <c r="JA129" s="3">
        <f ca="1">IFERROR(__xludf.DUMMYFUNCTION("""COMPUTED_VALUE"""),-0.573329139270966)</f>
        <v>-0.57332913927096596</v>
      </c>
      <c r="JB129" s="3">
        <f ca="1">IFERROR(__xludf.DUMMYFUNCTION("""COMPUTED_VALUE"""),-0.548352940602308)</f>
        <v>-0.54835294060230799</v>
      </c>
      <c r="JC129" s="3">
        <f ca="1">IFERROR(__xludf.DUMMYFUNCTION("""COMPUTED_VALUE"""),-0.420666462425285)</f>
        <v>-0.42066646242528499</v>
      </c>
      <c r="JD129" s="3">
        <f ca="1">IFERROR(__xludf.DUMMYFUNCTION("""COMPUTED_VALUE"""),-0.496946198934419)</f>
        <v>-0.49694619893441899</v>
      </c>
      <c r="JE129" s="3">
        <f ca="1">IFERROR(__xludf.DUMMYFUNCTION("""COMPUTED_VALUE"""),-0.635386270986518)</f>
        <v>-0.63538627098651801</v>
      </c>
      <c r="JF129" s="3">
        <f ca="1">IFERROR(__xludf.DUMMYFUNCTION("""COMPUTED_VALUE"""),-0.560235870044508)</f>
        <v>-0.56023587004450803</v>
      </c>
      <c r="JG129" s="3">
        <f ca="1">IFERROR(__xludf.DUMMYFUNCTION("""COMPUTED_VALUE"""),-0.544491841189748)</f>
        <v>-0.54449184118974803</v>
      </c>
      <c r="JH129" s="3">
        <f ca="1">IFERROR(__xludf.DUMMYFUNCTION("""COMPUTED_VALUE"""),-0.591914581327505)</f>
        <v>-0.59191458132750496</v>
      </c>
      <c r="JI129" s="3">
        <f ca="1">IFERROR(__xludf.DUMMYFUNCTION("""COMPUTED_VALUE"""),-0.495032526820421)</f>
        <v>-0.49503252682042098</v>
      </c>
      <c r="JJ129" s="3">
        <f ca="1">IFERROR(__xludf.DUMMYFUNCTION("""COMPUTED_VALUE"""),-0.445716846045354)</f>
        <v>-0.445716846045354</v>
      </c>
      <c r="JK129" s="3">
        <f ca="1">IFERROR(__xludf.DUMMYFUNCTION("""COMPUTED_VALUE"""),-0.473006349406435)</f>
        <v>-0.47300634940643499</v>
      </c>
      <c r="JL129" s="3">
        <f ca="1">IFERROR(__xludf.DUMMYFUNCTION("""COMPUTED_VALUE"""),-0.562547276087719)</f>
        <v>-0.56254727608771904</v>
      </c>
      <c r="JM129" s="3">
        <f ca="1">IFERROR(__xludf.DUMMYFUNCTION("""COMPUTED_VALUE"""),-0.574724836234623)</f>
        <v>-0.574724836234623</v>
      </c>
      <c r="JN129" s="3">
        <f ca="1">IFERROR(__xludf.DUMMYFUNCTION("""COMPUTED_VALUE"""),-0.5592883529436)</f>
        <v>-0.55928835294360002</v>
      </c>
      <c r="JO129" s="3">
        <f ca="1">IFERROR(__xludf.DUMMYFUNCTION("""COMPUTED_VALUE"""),-0.543347642958144)</f>
        <v>-0.54334764295814397</v>
      </c>
      <c r="JP129" s="3">
        <f ca="1">IFERROR(__xludf.DUMMYFUNCTION("""COMPUTED_VALUE"""),-0.48686089855634)</f>
        <v>-0.48686089855634002</v>
      </c>
      <c r="JQ129" s="3">
        <f ca="1">IFERROR(__xludf.DUMMYFUNCTION("""COMPUTED_VALUE"""),-0.480634799990362)</f>
        <v>-0.48063479999036202</v>
      </c>
      <c r="JR129" s="3">
        <f ca="1">IFERROR(__xludf.DUMMYFUNCTION("""COMPUTED_VALUE"""),-0.458138186690687)</f>
        <v>-0.45813818669068701</v>
      </c>
      <c r="JS129" s="3">
        <f ca="1">IFERROR(__xludf.DUMMYFUNCTION("""COMPUTED_VALUE"""),-0.507700238860175)</f>
        <v>-0.50770023886017501</v>
      </c>
      <c r="JT129" s="3">
        <f ca="1">IFERROR(__xludf.DUMMYFUNCTION("""COMPUTED_VALUE"""),-0.458349260858712)</f>
        <v>-0.45834926085871203</v>
      </c>
      <c r="JU129" s="3">
        <f ca="1">IFERROR(__xludf.DUMMYFUNCTION("""COMPUTED_VALUE"""),-0.577289207409869)</f>
        <v>-0.577289207409869</v>
      </c>
      <c r="JV129" s="3">
        <f ca="1">IFERROR(__xludf.DUMMYFUNCTION("""COMPUTED_VALUE"""),-0.529182481064506)</f>
        <v>-0.52918248106450605</v>
      </c>
      <c r="JW129" s="3">
        <f ca="1">IFERROR(__xludf.DUMMYFUNCTION("""COMPUTED_VALUE"""),-0.496423074446143)</f>
        <v>-0.49642307444614298</v>
      </c>
      <c r="JX129" s="3">
        <f ca="1">IFERROR(__xludf.DUMMYFUNCTION("""COMPUTED_VALUE"""),-0.441632990810042)</f>
        <v>-0.44163299081004198</v>
      </c>
      <c r="JY129" s="3">
        <f ca="1">IFERROR(__xludf.DUMMYFUNCTION("""COMPUTED_VALUE"""),-0.647605509321269)</f>
        <v>-0.64760550932126904</v>
      </c>
      <c r="JZ129" s="3">
        <f ca="1">IFERROR(__xludf.DUMMYFUNCTION("""COMPUTED_VALUE"""),-0.548962999623617)</f>
        <v>-0.54896299962361705</v>
      </c>
      <c r="KA129" s="3">
        <f ca="1">IFERROR(__xludf.DUMMYFUNCTION("""COMPUTED_VALUE"""),-0.435920915779652)</f>
        <v>-0.43592091577965197</v>
      </c>
      <c r="KB129" s="3">
        <f ca="1">IFERROR(__xludf.DUMMYFUNCTION("""COMPUTED_VALUE"""),-0.541935071952029)</f>
        <v>-0.54193507195202895</v>
      </c>
      <c r="KC129" s="3">
        <f ca="1">IFERROR(__xludf.DUMMYFUNCTION("""COMPUTED_VALUE"""),-0.535439914279631)</f>
        <v>-0.535439914279631</v>
      </c>
      <c r="KD129" s="3">
        <f ca="1">IFERROR(__xludf.DUMMYFUNCTION("""COMPUTED_VALUE"""),-0.536794256277966)</f>
        <v>-0.53679425627796595</v>
      </c>
      <c r="KE129" s="3">
        <f ca="1">IFERROR(__xludf.DUMMYFUNCTION("""COMPUTED_VALUE"""),-0.53308621710117)</f>
        <v>-0.53308621710116999</v>
      </c>
      <c r="KF129" s="3">
        <f ca="1">IFERROR(__xludf.DUMMYFUNCTION("""COMPUTED_VALUE"""),-0.520909434874769)</f>
        <v>-0.52090943487476904</v>
      </c>
      <c r="KG129" s="3">
        <f ca="1">IFERROR(__xludf.DUMMYFUNCTION("""COMPUTED_VALUE"""),-0.467654910183242)</f>
        <v>-0.46765491018324201</v>
      </c>
      <c r="KH129" s="3">
        <f ca="1">IFERROR(__xludf.DUMMYFUNCTION("""COMPUTED_VALUE"""),-0.452187003674869)</f>
        <v>-0.45218700367486903</v>
      </c>
      <c r="KI129" s="3">
        <f ca="1">IFERROR(__xludf.DUMMYFUNCTION("""COMPUTED_VALUE"""),-0.552534639561473)</f>
        <v>-0.55253463956147297</v>
      </c>
      <c r="KJ129" s="3">
        <f ca="1">IFERROR(__xludf.DUMMYFUNCTION("""COMPUTED_VALUE"""),-0.540756616021616)</f>
        <v>-0.54075661602161595</v>
      </c>
      <c r="KK129" s="3">
        <f ca="1">IFERROR(__xludf.DUMMYFUNCTION("""COMPUTED_VALUE"""),-0.51525908472995)</f>
        <v>-0.51525908472994997</v>
      </c>
      <c r="KL129" s="3">
        <f ca="1">IFERROR(__xludf.DUMMYFUNCTION("""COMPUTED_VALUE"""),-0.418136855010728)</f>
        <v>-0.418136855010728</v>
      </c>
      <c r="KM129" s="3">
        <f ca="1">IFERROR(__xludf.DUMMYFUNCTION("""COMPUTED_VALUE"""),-0.455386264824228)</f>
        <v>-0.455386264824228</v>
      </c>
      <c r="KN129" s="3">
        <f ca="1">IFERROR(__xludf.DUMMYFUNCTION("""COMPUTED_VALUE"""),-0.525496203892582)</f>
        <v>-0.525496203892582</v>
      </c>
      <c r="KO129" s="3">
        <f ca="1">IFERROR(__xludf.DUMMYFUNCTION("""COMPUTED_VALUE"""),-0.566170908408731)</f>
        <v>-0.56617090840873097</v>
      </c>
      <c r="KP129" s="3">
        <f ca="1">IFERROR(__xludf.DUMMYFUNCTION("""COMPUTED_VALUE"""),-0.547625491935843)</f>
        <v>-0.54762549193584298</v>
      </c>
      <c r="KQ129" s="3">
        <f ca="1">IFERROR(__xludf.DUMMYFUNCTION("""COMPUTED_VALUE"""),-0.549893112351299)</f>
        <v>-0.54989311235129901</v>
      </c>
      <c r="KR129" s="3">
        <f ca="1">IFERROR(__xludf.DUMMYFUNCTION("""COMPUTED_VALUE"""),-0.535209901898332)</f>
        <v>-0.53520990189833195</v>
      </c>
      <c r="KS129" s="3">
        <f ca="1">IFERROR(__xludf.DUMMYFUNCTION("""COMPUTED_VALUE"""),-0.579204341095412)</f>
        <v>-0.57920434109541197</v>
      </c>
      <c r="KT129" s="3">
        <f ca="1">IFERROR(__xludf.DUMMYFUNCTION("""COMPUTED_VALUE"""),-0.508130893609834)</f>
        <v>-0.50813089360983399</v>
      </c>
      <c r="KU129" s="3">
        <f ca="1">IFERROR(__xludf.DUMMYFUNCTION("""COMPUTED_VALUE"""),-0.544651564383152)</f>
        <v>-0.54465156438315199</v>
      </c>
      <c r="KV129" s="3">
        <f ca="1">IFERROR(__xludf.DUMMYFUNCTION("""COMPUTED_VALUE"""),-0.561772104074085)</f>
        <v>-0.56177210407408495</v>
      </c>
      <c r="KW129" s="3">
        <f ca="1">IFERROR(__xludf.DUMMYFUNCTION("""COMPUTED_VALUE"""),-0.538492376351866)</f>
        <v>-0.53849237635186598</v>
      </c>
      <c r="KX129" s="3">
        <f ca="1">IFERROR(__xludf.DUMMYFUNCTION("""COMPUTED_VALUE"""),-0.538441146938098)</f>
        <v>-0.53844114693809797</v>
      </c>
      <c r="KY129" s="3">
        <f ca="1">IFERROR(__xludf.DUMMYFUNCTION("""COMPUTED_VALUE"""),-0.589033266256736)</f>
        <v>-0.58903326625673602</v>
      </c>
      <c r="KZ129" s="3">
        <f ca="1">IFERROR(__xludf.DUMMYFUNCTION("""COMPUTED_VALUE"""),-0.54988246432042)</f>
        <v>-0.54988246432041998</v>
      </c>
      <c r="LA129" s="3">
        <f ca="1">IFERROR(__xludf.DUMMYFUNCTION("""COMPUTED_VALUE"""),-0.57004095655246)</f>
        <v>-0.57004095655246001</v>
      </c>
      <c r="LB129" s="3">
        <f ca="1">IFERROR(__xludf.DUMMYFUNCTION("""COMPUTED_VALUE"""),-0.570548654512042)</f>
        <v>-0.57054865451204195</v>
      </c>
      <c r="LC129" s="3">
        <f ca="1">IFERROR(__xludf.DUMMYFUNCTION("""COMPUTED_VALUE"""),-0.55713757250002)</f>
        <v>-0.55713757250002005</v>
      </c>
      <c r="LD129" s="3">
        <f ca="1">IFERROR(__xludf.DUMMYFUNCTION("""COMPUTED_VALUE"""),-0.57470656550273)</f>
        <v>-0.57470656550273003</v>
      </c>
      <c r="LE129" s="3">
        <f ca="1">IFERROR(__xludf.DUMMYFUNCTION("""COMPUTED_VALUE"""),-0.585698330220979)</f>
        <v>-0.58569833022097895</v>
      </c>
      <c r="LF129" s="3">
        <f ca="1">IFERROR(__xludf.DUMMYFUNCTION("""COMPUTED_VALUE"""),-0.472726361717972)</f>
        <v>-0.472726361717972</v>
      </c>
      <c r="LG129" s="3">
        <f ca="1">IFERROR(__xludf.DUMMYFUNCTION("""COMPUTED_VALUE"""),-0.613099429071714)</f>
        <v>-0.613099429071714</v>
      </c>
      <c r="LH129" s="3">
        <f ca="1">IFERROR(__xludf.DUMMYFUNCTION("""COMPUTED_VALUE"""),-0.576115336157832)</f>
        <v>-0.57611533615783195</v>
      </c>
      <c r="LI129" s="3">
        <f ca="1">IFERROR(__xludf.DUMMYFUNCTION("""COMPUTED_VALUE"""),-0.625739889516521)</f>
        <v>-0.62573988951652104</v>
      </c>
      <c r="LJ129" s="3">
        <f ca="1">IFERROR(__xludf.DUMMYFUNCTION("""COMPUTED_VALUE"""),-0.634464596637697)</f>
        <v>-0.63446459663769705</v>
      </c>
      <c r="LK129" s="3">
        <f ca="1">IFERROR(__xludf.DUMMYFUNCTION("""COMPUTED_VALUE"""),-0.652478152093247)</f>
        <v>-0.652478152093247</v>
      </c>
      <c r="LL129" s="3">
        <f ca="1">IFERROR(__xludf.DUMMYFUNCTION("""COMPUTED_VALUE"""),-0.599487794745801)</f>
        <v>-0.59948779474580105</v>
      </c>
      <c r="LM129" s="3">
        <f ca="1">IFERROR(__xludf.DUMMYFUNCTION("""COMPUTED_VALUE"""),-0.77193201825426)</f>
        <v>-0.77193201825426006</v>
      </c>
      <c r="LN129" s="3">
        <f ca="1">IFERROR(__xludf.DUMMYFUNCTION("""COMPUTED_VALUE"""),-0.571500282453221)</f>
        <v>-0.57150028245322104</v>
      </c>
      <c r="LO129" s="3">
        <f ca="1">IFERROR(__xludf.DUMMYFUNCTION("""COMPUTED_VALUE"""),-0.620644167170258)</f>
        <v>-0.62064416717025805</v>
      </c>
      <c r="LP129" s="3">
        <f ca="1">IFERROR(__xludf.DUMMYFUNCTION("""COMPUTED_VALUE"""),-0.664015263283522)</f>
        <v>-0.66401526328352201</v>
      </c>
      <c r="LQ129" s="3">
        <f ca="1">IFERROR(__xludf.DUMMYFUNCTION("""COMPUTED_VALUE"""),-0.678956174343014)</f>
        <v>-0.67895617434301403</v>
      </c>
      <c r="LR129" s="3">
        <f ca="1">IFERROR(__xludf.DUMMYFUNCTION("""COMPUTED_VALUE"""),-0.70594813589213)</f>
        <v>-0.70594813589213001</v>
      </c>
      <c r="LS129" s="3">
        <f ca="1">IFERROR(__xludf.DUMMYFUNCTION("""COMPUTED_VALUE"""),-0.67962485834086)</f>
        <v>-0.67962485834085995</v>
      </c>
      <c r="LT129" s="3">
        <f ca="1">IFERROR(__xludf.DUMMYFUNCTION("""COMPUTED_VALUE"""),-0.637163970108196)</f>
        <v>-0.63716397010819603</v>
      </c>
      <c r="LU129" s="3">
        <f ca="1">IFERROR(__xludf.DUMMYFUNCTION("""COMPUTED_VALUE"""),-0.66333378399121)</f>
        <v>-0.66333378399121001</v>
      </c>
      <c r="LV129" s="3">
        <f ca="1">IFERROR(__xludf.DUMMYFUNCTION("""COMPUTED_VALUE"""),-0.654798459503065)</f>
        <v>-0.65479845950306503</v>
      </c>
      <c r="LW129" s="3">
        <f ca="1">IFERROR(__xludf.DUMMYFUNCTION("""COMPUTED_VALUE"""),-0.645879334806109)</f>
        <v>-0.64587933480610904</v>
      </c>
      <c r="LX129" s="3">
        <f ca="1">IFERROR(__xludf.DUMMYFUNCTION("""COMPUTED_VALUE"""),-0.685349422216956)</f>
        <v>-0.68534942221695605</v>
      </c>
      <c r="LY129" s="3">
        <f ca="1">IFERROR(__xludf.DUMMYFUNCTION("""COMPUTED_VALUE"""),-0.698542916616401)</f>
        <v>-0.698542916616401</v>
      </c>
      <c r="LZ129" s="3">
        <f ca="1">IFERROR(__xludf.DUMMYFUNCTION("""COMPUTED_VALUE"""),-0.678376189248481)</f>
        <v>-0.67837618924848098</v>
      </c>
      <c r="MA129" s="3">
        <f ca="1">IFERROR(__xludf.DUMMYFUNCTION("""COMPUTED_VALUE"""),-0.732962286244311)</f>
        <v>-0.73296228624431103</v>
      </c>
      <c r="MB129" s="3">
        <f ca="1">IFERROR(__xludf.DUMMYFUNCTION("""COMPUTED_VALUE"""),-0.674627591645001)</f>
        <v>-0.67462759164500097</v>
      </c>
      <c r="MC129" s="3">
        <f ca="1">IFERROR(__xludf.DUMMYFUNCTION("""COMPUTED_VALUE"""),-0.705982466982832)</f>
        <v>-0.70598246698283196</v>
      </c>
      <c r="MD129" s="3">
        <f ca="1">IFERROR(__xludf.DUMMYFUNCTION("""COMPUTED_VALUE"""),-0.693550930979211)</f>
        <v>-0.69355093097921094</v>
      </c>
      <c r="ME129" s="3">
        <f ca="1">IFERROR(__xludf.DUMMYFUNCTION("""COMPUTED_VALUE"""),-0.724064574834459)</f>
        <v>-0.72406457483445896</v>
      </c>
      <c r="MF129" s="3">
        <f ca="1">IFERROR(__xludf.DUMMYFUNCTION("""COMPUTED_VALUE"""),-0.692710801684348)</f>
        <v>-0.69271080168434795</v>
      </c>
      <c r="MG129" s="3">
        <f ca="1">IFERROR(__xludf.DUMMYFUNCTION("""COMPUTED_VALUE"""),-0.707018532287505)</f>
        <v>-0.707018532287505</v>
      </c>
      <c r="MH129" s="3">
        <f ca="1">IFERROR(__xludf.DUMMYFUNCTION("""COMPUTED_VALUE"""),-0.724850705806091)</f>
        <v>-0.72485070580609101</v>
      </c>
      <c r="MI129" s="3">
        <f ca="1">IFERROR(__xludf.DUMMYFUNCTION("""COMPUTED_VALUE"""),-0.703084941672179)</f>
        <v>-0.70308494167217905</v>
      </c>
      <c r="MJ129" s="3">
        <f ca="1">IFERROR(__xludf.DUMMYFUNCTION("""COMPUTED_VALUE"""),-0.732453287779571)</f>
        <v>-0.73245328777957097</v>
      </c>
      <c r="MK129" s="3">
        <f ca="1">IFERROR(__xludf.DUMMYFUNCTION("""COMPUTED_VALUE"""),-0.751233580107498)</f>
        <v>-0.75123358010749797</v>
      </c>
      <c r="ML129" s="3">
        <f ca="1">IFERROR(__xludf.DUMMYFUNCTION("""COMPUTED_VALUE"""),-0.786385861192887)</f>
        <v>-0.786385861192887</v>
      </c>
      <c r="MM129" s="3">
        <f ca="1">IFERROR(__xludf.DUMMYFUNCTION("""COMPUTED_VALUE"""),-0.753773096361755)</f>
        <v>-0.75377309636175505</v>
      </c>
      <c r="MN129" s="3">
        <f ca="1">IFERROR(__xludf.DUMMYFUNCTION("""COMPUTED_VALUE"""),-0.783902448221558)</f>
        <v>-0.78390244822155797</v>
      </c>
      <c r="MO129" s="3">
        <f ca="1">IFERROR(__xludf.DUMMYFUNCTION("""COMPUTED_VALUE"""),-0.762503061425883)</f>
        <v>-0.76250306142588298</v>
      </c>
      <c r="MP129" s="3">
        <f ca="1">IFERROR(__xludf.DUMMYFUNCTION("""COMPUTED_VALUE"""),-0.702449298172922)</f>
        <v>-0.70244929817292201</v>
      </c>
      <c r="MQ129" s="3">
        <f ca="1">IFERROR(__xludf.DUMMYFUNCTION("""COMPUTED_VALUE"""),-0.757003775968665)</f>
        <v>-0.75700377596866497</v>
      </c>
      <c r="MR129" s="3">
        <f ca="1">IFERROR(__xludf.DUMMYFUNCTION("""COMPUTED_VALUE"""),-0.771117165736691)</f>
        <v>-0.77111716573669098</v>
      </c>
      <c r="MS129" s="3">
        <f ca="1">IFERROR(__xludf.DUMMYFUNCTION("""COMPUTED_VALUE"""),-0.795363358036588)</f>
        <v>-0.79536335803658798</v>
      </c>
      <c r="MT129" s="3">
        <f ca="1">IFERROR(__xludf.DUMMYFUNCTION("""COMPUTED_VALUE"""),-0.811797365702972)</f>
        <v>-0.81179736570297201</v>
      </c>
      <c r="MU129" s="3">
        <f ca="1">IFERROR(__xludf.DUMMYFUNCTION("""COMPUTED_VALUE"""),-0.79734523758796)</f>
        <v>-0.79734523758796005</v>
      </c>
      <c r="MV129" s="3">
        <f ca="1">IFERROR(__xludf.DUMMYFUNCTION("""COMPUTED_VALUE"""),-0.781436261806539)</f>
        <v>-0.78143626180653902</v>
      </c>
      <c r="MW129" s="3">
        <f ca="1">IFERROR(__xludf.DUMMYFUNCTION("""COMPUTED_VALUE"""),-0.724004468024016)</f>
        <v>-0.72400446802401597</v>
      </c>
      <c r="MX129" s="3">
        <f ca="1">IFERROR(__xludf.DUMMYFUNCTION("""COMPUTED_VALUE"""),-0.749231889365075)</f>
        <v>-0.74923188936507501</v>
      </c>
      <c r="MY129" s="3">
        <f ca="1">IFERROR(__xludf.DUMMYFUNCTION("""COMPUTED_VALUE"""),-0.78830169001202)</f>
        <v>-0.78830169001202</v>
      </c>
      <c r="MZ129" s="3">
        <f ca="1">IFERROR(__xludf.DUMMYFUNCTION("""COMPUTED_VALUE"""),-0.804211985625332)</f>
        <v>-0.80421198562533203</v>
      </c>
      <c r="NA129" s="3">
        <f ca="1">IFERROR(__xludf.DUMMYFUNCTION("""COMPUTED_VALUE"""),-0.825034585696106)</f>
        <v>-0.82503458569610599</v>
      </c>
      <c r="NB129" s="3">
        <f ca="1">IFERROR(__xludf.DUMMYFUNCTION("""COMPUTED_VALUE"""),-0.794984998308174)</f>
        <v>-0.79498499830817404</v>
      </c>
      <c r="NC129" s="3">
        <f ca="1">IFERROR(__xludf.DUMMYFUNCTION("""COMPUTED_VALUE"""),-0.768293324570226)</f>
        <v>-0.76829332457022603</v>
      </c>
      <c r="ND129" s="3">
        <f ca="1">IFERROR(__xludf.DUMMYFUNCTION("""COMPUTED_VALUE"""),-0.736438594596556)</f>
        <v>-0.73643859459655603</v>
      </c>
      <c r="NE129" s="3">
        <f ca="1">IFERROR(__xludf.DUMMYFUNCTION("""COMPUTED_VALUE"""),-0.725529703001649)</f>
        <v>-0.72552970300164898</v>
      </c>
      <c r="NF129" s="3">
        <f ca="1">IFERROR(__xludf.DUMMYFUNCTION("""COMPUTED_VALUE"""),-0.764547399565628)</f>
        <v>-0.76454739956562801</v>
      </c>
      <c r="NG129" s="3">
        <f ca="1">IFERROR(__xludf.DUMMYFUNCTION("""COMPUTED_VALUE"""),-0.784010791975254)</f>
        <v>-0.78401079197525403</v>
      </c>
      <c r="NH129" s="3">
        <f ca="1">IFERROR(__xludf.DUMMYFUNCTION("""COMPUTED_VALUE"""),-0.777381041365684)</f>
        <v>-0.77738104136568398</v>
      </c>
      <c r="NI129" s="3">
        <f ca="1">IFERROR(__xludf.DUMMYFUNCTION("""COMPUTED_VALUE"""),-0.729745663148314)</f>
        <v>-0.72974566314831402</v>
      </c>
      <c r="NJ129" s="3">
        <f ca="1">IFERROR(__xludf.DUMMYFUNCTION("""COMPUTED_VALUE"""),-0.668644187345374)</f>
        <v>-0.66864418734537401</v>
      </c>
      <c r="NK129" s="3">
        <f ca="1">IFERROR(__xludf.DUMMYFUNCTION("""COMPUTED_VALUE"""),-0.589741012585315)</f>
        <v>-0.58974101258531497</v>
      </c>
      <c r="NL129" s="3">
        <f ca="1">IFERROR(__xludf.DUMMYFUNCTION("""COMPUTED_VALUE"""),-0.776343693147146)</f>
        <v>-0.77634369314714602</v>
      </c>
      <c r="NM129" s="3">
        <f ca="1">IFERROR(__xludf.DUMMYFUNCTION("""COMPUTED_VALUE"""),-0.825754400299113)</f>
        <v>-0.82575440029911296</v>
      </c>
      <c r="NN129" s="3">
        <f ca="1">IFERROR(__xludf.DUMMYFUNCTION("""COMPUTED_VALUE"""),-0.835023694512874)</f>
        <v>-0.83502369451287395</v>
      </c>
      <c r="NO129" s="3">
        <f ca="1">IFERROR(__xludf.DUMMYFUNCTION("""COMPUTED_VALUE"""),-0.805277205096643)</f>
        <v>-0.80527720509664302</v>
      </c>
      <c r="NP129" s="3">
        <f ca="1">IFERROR(__xludf.DUMMYFUNCTION("""COMPUTED_VALUE"""),-0.807979333357963)</f>
        <v>-0.80797933335796301</v>
      </c>
      <c r="NQ129" s="3">
        <f ca="1">IFERROR(__xludf.DUMMYFUNCTION("""COMPUTED_VALUE"""),-0.78592652139392)</f>
        <v>-0.78592652139392005</v>
      </c>
      <c r="NR129" s="3">
        <f ca="1">IFERROR(__xludf.DUMMYFUNCTION("""COMPUTED_VALUE"""),-0.68471386741605)</f>
        <v>-0.68471386741605</v>
      </c>
      <c r="NS129" s="3">
        <f ca="1">IFERROR(__xludf.DUMMYFUNCTION("""COMPUTED_VALUE"""),-0.774552131831514)</f>
        <v>-0.77455213183151395</v>
      </c>
      <c r="NT129" s="3">
        <f ca="1">IFERROR(__xludf.DUMMYFUNCTION("""COMPUTED_VALUE"""),-0.783259528241172)</f>
        <v>-0.78325952824117195</v>
      </c>
      <c r="NU129" s="3">
        <f ca="1">IFERROR(__xludf.DUMMYFUNCTION("""COMPUTED_VALUE"""),-0.818924949802642)</f>
        <v>-0.81892494980264197</v>
      </c>
      <c r="NV129" s="3">
        <f ca="1">IFERROR(__xludf.DUMMYFUNCTION("""COMPUTED_VALUE"""),-0.788816672841916)</f>
        <v>-0.78881667284191603</v>
      </c>
      <c r="NW129" s="3">
        <f ca="1">IFERROR(__xludf.DUMMYFUNCTION("""COMPUTED_VALUE"""),-0.670340975628394)</f>
        <v>-0.67034097562839401</v>
      </c>
      <c r="NX129" s="3">
        <f ca="1">IFERROR(__xludf.DUMMYFUNCTION("""COMPUTED_VALUE"""),-0.766052343015862)</f>
        <v>-0.766052343015862</v>
      </c>
      <c r="NY129" s="3">
        <f ca="1">IFERROR(__xludf.DUMMYFUNCTION("""COMPUTED_VALUE"""),-0.670443975455075)</f>
        <v>-0.67044397545507495</v>
      </c>
      <c r="NZ129" s="3">
        <f ca="1">IFERROR(__xludf.DUMMYFUNCTION("""COMPUTED_VALUE"""),-0.656307641823344)</f>
        <v>-0.656307641823344</v>
      </c>
      <c r="OA129" s="3">
        <f ca="1">IFERROR(__xludf.DUMMYFUNCTION("""COMPUTED_VALUE"""),-0.752559364563625)</f>
        <v>-0.75255936456362504</v>
      </c>
      <c r="OB129" s="3">
        <f ca="1">IFERROR(__xludf.DUMMYFUNCTION("""COMPUTED_VALUE"""),-0.745339399515488)</f>
        <v>-0.745339399515488</v>
      </c>
      <c r="OC129" s="3">
        <f ca="1">IFERROR(__xludf.DUMMYFUNCTION("""COMPUTED_VALUE"""),-0.677954759793437)</f>
        <v>-0.677954759793437</v>
      </c>
      <c r="OD129" s="3">
        <f ca="1">IFERROR(__xludf.DUMMYFUNCTION("""COMPUTED_VALUE"""),-0.650921270978162)</f>
        <v>-0.65092127097816199</v>
      </c>
      <c r="OE129" s="3">
        <f ca="1">IFERROR(__xludf.DUMMYFUNCTION("""COMPUTED_VALUE"""),-0.590047020121598)</f>
        <v>-0.59004702012159804</v>
      </c>
      <c r="OF129" s="3">
        <f ca="1">IFERROR(__xludf.DUMMYFUNCTION("""COMPUTED_VALUE"""),-0.503550764418272)</f>
        <v>-0.50355076441827196</v>
      </c>
      <c r="OG129" s="3">
        <f ca="1">IFERROR(__xludf.DUMMYFUNCTION("""COMPUTED_VALUE"""),-0.352578957916023)</f>
        <v>-0.35257895791602301</v>
      </c>
      <c r="OH129" s="3">
        <f ca="1">IFERROR(__xludf.DUMMYFUNCTION("""COMPUTED_VALUE"""),-0.343834880870395)</f>
        <v>-0.34383488087039499</v>
      </c>
      <c r="OI129" s="3">
        <f ca="1">IFERROR(__xludf.DUMMYFUNCTION("""COMPUTED_VALUE"""),-0.260257771631757)</f>
        <v>-0.26025777163175701</v>
      </c>
      <c r="OJ129" s="3">
        <f ca="1">IFERROR(__xludf.DUMMYFUNCTION("""COMPUTED_VALUE"""),-0.168241658002679)</f>
        <v>-0.16824165800267901</v>
      </c>
      <c r="OK129" s="3">
        <f ca="1">IFERROR(__xludf.DUMMYFUNCTION("""COMPUTED_VALUE"""),-0.0935459048023286)</f>
        <v>-9.3545904802328605E-2</v>
      </c>
      <c r="OL129" s="3">
        <f ca="1">IFERROR(__xludf.DUMMYFUNCTION("""COMPUTED_VALUE"""),-0.130171819730158)</f>
        <v>-0.13017181973015801</v>
      </c>
      <c r="OM129" s="3">
        <f ca="1">IFERROR(__xludf.DUMMYFUNCTION("""COMPUTED_VALUE"""),-0.22034657038522)</f>
        <v>-0.22034657038521999</v>
      </c>
      <c r="ON129" s="3">
        <f ca="1">IFERROR(__xludf.DUMMYFUNCTION("""COMPUTED_VALUE"""),-0.00709223567340278)</f>
        <v>-7.0922356734027803E-3</v>
      </c>
      <c r="OO129" s="3">
        <f ca="1">IFERROR(__xludf.DUMMYFUNCTION("""COMPUTED_VALUE"""),-0.0746835737638583)</f>
        <v>-7.4683573763858299E-2</v>
      </c>
      <c r="OP129" s="3">
        <f ca="1">IFERROR(__xludf.DUMMYFUNCTION("""COMPUTED_VALUE"""),-0.00222678426043088)</f>
        <v>-2.2267842604308799E-3</v>
      </c>
      <c r="OQ129" s="3">
        <f ca="1">IFERROR(__xludf.DUMMYFUNCTION("""COMPUTED_VALUE"""),0.0236234264005201)</f>
        <v>2.3623426400520099E-2</v>
      </c>
      <c r="OR129" s="3">
        <f ca="1">IFERROR(__xludf.DUMMYFUNCTION("""COMPUTED_VALUE"""),0.0622863032334057)</f>
        <v>6.2286303233405699E-2</v>
      </c>
      <c r="OS129" s="3">
        <f ca="1">IFERROR(__xludf.DUMMYFUNCTION("""COMPUTED_VALUE"""),0.0776983756471427)</f>
        <v>7.7698375647142701E-2</v>
      </c>
      <c r="OT129" s="3">
        <f ca="1">IFERROR(__xludf.DUMMYFUNCTION("""COMPUTED_VALUE"""),-0.0449261511564231)</f>
        <v>-4.4926151156423101E-2</v>
      </c>
      <c r="OU129" s="3">
        <f ca="1">IFERROR(__xludf.DUMMYFUNCTION("""COMPUTED_VALUE"""),-0.0238612933838721)</f>
        <v>-2.3861293383872099E-2</v>
      </c>
      <c r="OV129" s="3">
        <f ca="1">IFERROR(__xludf.DUMMYFUNCTION("""COMPUTED_VALUE"""),-0.0371384298035891)</f>
        <v>-3.7138429803589099E-2</v>
      </c>
      <c r="OW129" s="3">
        <f ca="1">IFERROR(__xludf.DUMMYFUNCTION("""COMPUTED_VALUE"""),0.0526616085673841)</f>
        <v>5.2661608567384097E-2</v>
      </c>
      <c r="OX129" s="3">
        <f ca="1">IFERROR(__xludf.DUMMYFUNCTION("""COMPUTED_VALUE"""),0.00220338925441043)</f>
        <v>2.2033892544104298E-3</v>
      </c>
      <c r="OY129" s="3">
        <f ca="1">IFERROR(__xludf.DUMMYFUNCTION("""COMPUTED_VALUE"""),0.111021024109476)</f>
        <v>0.11102102410947599</v>
      </c>
      <c r="OZ129" s="3">
        <f ca="1">IFERROR(__xludf.DUMMYFUNCTION("""COMPUTED_VALUE"""),0.215394887506705)</f>
        <v>0.21539488750670499</v>
      </c>
      <c r="PA129" s="3">
        <f ca="1">IFERROR(__xludf.DUMMYFUNCTION("""COMPUTED_VALUE"""),-0.0628894766873525)</f>
        <v>-6.2889476687352494E-2</v>
      </c>
      <c r="PB129" s="3">
        <f ca="1">IFERROR(__xludf.DUMMYFUNCTION("""COMPUTED_VALUE"""),-0.0290544800224343)</f>
        <v>-2.9054480022434302E-2</v>
      </c>
      <c r="PC129" s="3">
        <f ca="1">IFERROR(__xludf.DUMMYFUNCTION("""COMPUTED_VALUE"""),0.0424816115171111)</f>
        <v>4.2481611517111099E-2</v>
      </c>
      <c r="PD129" s="3">
        <f ca="1">IFERROR(__xludf.DUMMYFUNCTION("""COMPUTED_VALUE"""),0.00231037245201726)</f>
        <v>2.3103724520172602E-3</v>
      </c>
      <c r="PE129" s="3">
        <f ca="1">IFERROR(__xludf.DUMMYFUNCTION("""COMPUTED_VALUE"""),0.016271047793501)</f>
        <v>1.6271047793501001E-2</v>
      </c>
      <c r="PF129" s="3">
        <f ca="1">IFERROR(__xludf.DUMMYFUNCTION("""COMPUTED_VALUE"""),0.0629032244354632)</f>
        <v>6.2903224435463201E-2</v>
      </c>
      <c r="PG129" s="3">
        <f ca="1">IFERROR(__xludf.DUMMYFUNCTION("""COMPUTED_VALUE"""),-0.262818417075923)</f>
        <v>-0.26281841707592302</v>
      </c>
      <c r="PH129" s="3">
        <f ca="1">IFERROR(__xludf.DUMMYFUNCTION("""COMPUTED_VALUE"""),-0.0796150915564862)</f>
        <v>-7.9615091556486203E-2</v>
      </c>
      <c r="PI129" s="3">
        <f ca="1">IFERROR(__xludf.DUMMYFUNCTION("""COMPUTED_VALUE"""),-0.0695088462256927)</f>
        <v>-6.95088462256927E-2</v>
      </c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</row>
    <row r="130" spans="1:477" ht="13">
      <c r="A130" s="1" t="str">
        <f ca="1">IFERROR(__xludf.DUMMYFUNCTION("""COMPUTED_VALUE"""),"VIA")</f>
        <v>VIA</v>
      </c>
      <c r="B130" s="1" t="str">
        <f ca="1">IFERROR(__xludf.DUMMYFUNCTION("""COMPUTED_VALUE"""),"San Antonio")</f>
        <v>San Antonio</v>
      </c>
      <c r="C130" s="1" t="str">
        <f ca="1">IFERROR(__xludf.DUMMYFUNCTION("""COMPUTED_VALUE"""),"United States")</f>
        <v>United States</v>
      </c>
      <c r="D130" s="1" t="str">
        <f ca="1">IFERROR(__xludf.DUMMYFUNCTION("""COMPUTED_VALUE"""),"Texas")</f>
        <v>Texas</v>
      </c>
      <c r="E130" s="3">
        <f ca="1">IFERROR(__xludf.DUMMYFUNCTION("""COMPUTED_VALUE"""),-0.297334185704494)</f>
        <v>-0.29733418570449399</v>
      </c>
      <c r="F130" s="3">
        <f ca="1">IFERROR(__xludf.DUMMYFUNCTION("""COMPUTED_VALUE"""),-0.438805260327834)</f>
        <v>-0.43880526032783401</v>
      </c>
      <c r="G130" s="3">
        <f ca="1">IFERROR(__xludf.DUMMYFUNCTION("""COMPUTED_VALUE"""),-0.431330066139353)</f>
        <v>-0.43133006613935299</v>
      </c>
      <c r="H130" s="3">
        <f ca="1">IFERROR(__xludf.DUMMYFUNCTION("""COMPUTED_VALUE"""),-0.397493696824113)</f>
        <v>-0.39749369682411301</v>
      </c>
      <c r="I130" s="3">
        <f ca="1">IFERROR(__xludf.DUMMYFUNCTION("""COMPUTED_VALUE"""),-0.445534558294924)</f>
        <v>-0.445534558294924</v>
      </c>
      <c r="J130" s="3">
        <f ca="1">IFERROR(__xludf.DUMMYFUNCTION("""COMPUTED_VALUE"""),-0.463370024718538)</f>
        <v>-0.463370024718538</v>
      </c>
      <c r="K130" s="3">
        <f ca="1">IFERROR(__xludf.DUMMYFUNCTION("""COMPUTED_VALUE"""),-0.410192148067505)</f>
        <v>-0.41019214806750498</v>
      </c>
      <c r="L130" s="3">
        <f ca="1">IFERROR(__xludf.DUMMYFUNCTION("""COMPUTED_VALUE"""),-0.341458135844931)</f>
        <v>-0.34145813584493101</v>
      </c>
      <c r="M130" s="3">
        <f ca="1">IFERROR(__xludf.DUMMYFUNCTION("""COMPUTED_VALUE"""),-0.480332771027184)</f>
        <v>-0.48033277102718402</v>
      </c>
      <c r="N130" s="3">
        <f ca="1">IFERROR(__xludf.DUMMYFUNCTION("""COMPUTED_VALUE"""),-0.39843826574347)</f>
        <v>-0.39843826574347002</v>
      </c>
      <c r="O130" s="3">
        <f ca="1">IFERROR(__xludf.DUMMYFUNCTION("""COMPUTED_VALUE"""),-0.478641576215892)</f>
        <v>-0.47864157621589198</v>
      </c>
      <c r="P130" s="3">
        <f ca="1">IFERROR(__xludf.DUMMYFUNCTION("""COMPUTED_VALUE"""),-0.457600262301432)</f>
        <v>-0.45760026230143203</v>
      </c>
      <c r="Q130" s="3">
        <f ca="1">IFERROR(__xludf.DUMMYFUNCTION("""COMPUTED_VALUE"""),-0.460853846070707)</f>
        <v>-0.46085384607070701</v>
      </c>
      <c r="R130" s="3">
        <f ca="1">IFERROR(__xludf.DUMMYFUNCTION("""COMPUTED_VALUE"""),-0.330283954229092)</f>
        <v>-0.33028395422909201</v>
      </c>
      <c r="S130" s="3">
        <f ca="1">IFERROR(__xludf.DUMMYFUNCTION("""COMPUTED_VALUE"""),-0.238549086773166)</f>
        <v>-0.238549086773166</v>
      </c>
      <c r="T130" s="3">
        <f ca="1">IFERROR(__xludf.DUMMYFUNCTION("""COMPUTED_VALUE"""),-0.464789752184902)</f>
        <v>-0.46478975218490198</v>
      </c>
      <c r="U130" s="3">
        <f ca="1">IFERROR(__xludf.DUMMYFUNCTION("""COMPUTED_VALUE"""),-0.489716507945145)</f>
        <v>-0.48971650794514499</v>
      </c>
      <c r="V130" s="3">
        <f ca="1">IFERROR(__xludf.DUMMYFUNCTION("""COMPUTED_VALUE"""),-0.43161295479638)</f>
        <v>-0.43161295479638001</v>
      </c>
      <c r="W130" s="3">
        <f ca="1">IFERROR(__xludf.DUMMYFUNCTION("""COMPUTED_VALUE"""),-0.488125835235401)</f>
        <v>-0.48812583523540098</v>
      </c>
      <c r="X130" s="3">
        <f ca="1">IFERROR(__xludf.DUMMYFUNCTION("""COMPUTED_VALUE"""),-0.477872859421195)</f>
        <v>-0.47787285942119501</v>
      </c>
      <c r="Y130" s="3">
        <f ca="1">IFERROR(__xludf.DUMMYFUNCTION("""COMPUTED_VALUE"""),-0.280603880974559)</f>
        <v>-0.28060388097455902</v>
      </c>
      <c r="Z130" s="3">
        <f ca="1">IFERROR(__xludf.DUMMYFUNCTION("""COMPUTED_VALUE"""),-0.321134642350725)</f>
        <v>-0.32113464235072497</v>
      </c>
      <c r="AA130" s="3">
        <f ca="1">IFERROR(__xludf.DUMMYFUNCTION("""COMPUTED_VALUE"""),-0.478994289587813)</f>
        <v>-0.47899428958781298</v>
      </c>
      <c r="AB130" s="3">
        <f ca="1">IFERROR(__xludf.DUMMYFUNCTION("""COMPUTED_VALUE"""),-0.48107186144196)</f>
        <v>-0.48107186144196001</v>
      </c>
      <c r="AC130" s="3">
        <f ca="1">IFERROR(__xludf.DUMMYFUNCTION("""COMPUTED_VALUE"""),-0.408429802808882)</f>
        <v>-0.40842980280888203</v>
      </c>
      <c r="AD130" s="3">
        <f ca="1">IFERROR(__xludf.DUMMYFUNCTION("""COMPUTED_VALUE"""),-0.489175223778059)</f>
        <v>-0.489175223778059</v>
      </c>
      <c r="AE130" s="3">
        <f ca="1">IFERROR(__xludf.DUMMYFUNCTION("""COMPUTED_VALUE"""),-0.408009344452182)</f>
        <v>-0.40800934445218201</v>
      </c>
      <c r="AF130" s="3">
        <f ca="1">IFERROR(__xludf.DUMMYFUNCTION("""COMPUTED_VALUE"""),-0.373454304436455)</f>
        <v>-0.373454304436455</v>
      </c>
      <c r="AG130" s="3">
        <f ca="1">IFERROR(__xludf.DUMMYFUNCTION("""COMPUTED_VALUE"""),-0.387565362657303)</f>
        <v>-0.38756536265730301</v>
      </c>
      <c r="AH130" s="3">
        <f ca="1">IFERROR(__xludf.DUMMYFUNCTION("""COMPUTED_VALUE"""),-0.496782408200965)</f>
        <v>-0.49678240820096498</v>
      </c>
      <c r="AI130" s="3">
        <f ca="1">IFERROR(__xludf.DUMMYFUNCTION("""COMPUTED_VALUE"""),-0.463715435181907)</f>
        <v>-0.463715435181907</v>
      </c>
      <c r="AJ130" s="3">
        <f ca="1">IFERROR(__xludf.DUMMYFUNCTION("""COMPUTED_VALUE"""),-0.393039653096863)</f>
        <v>-0.39303965309686301</v>
      </c>
      <c r="AK130" s="3">
        <f ca="1">IFERROR(__xludf.DUMMYFUNCTION("""COMPUTED_VALUE"""),-0.427625748815216)</f>
        <v>-0.42762574881521598</v>
      </c>
      <c r="AL130" s="3">
        <f ca="1">IFERROR(__xludf.DUMMYFUNCTION("""COMPUTED_VALUE"""),-0.464119686433864)</f>
        <v>-0.46411968643386398</v>
      </c>
      <c r="AM130" s="3">
        <f ca="1">IFERROR(__xludf.DUMMYFUNCTION("""COMPUTED_VALUE"""),-0.353585162539084)</f>
        <v>-0.35358516253908401</v>
      </c>
      <c r="AN130" s="3">
        <f ca="1">IFERROR(__xludf.DUMMYFUNCTION("""COMPUTED_VALUE"""),-0.375380679585407)</f>
        <v>-0.375380679585407</v>
      </c>
      <c r="AO130" s="3">
        <f ca="1">IFERROR(__xludf.DUMMYFUNCTION("""COMPUTED_VALUE"""),-0.475344400143151)</f>
        <v>-0.47534440014315099</v>
      </c>
      <c r="AP130" s="3">
        <f ca="1">IFERROR(__xludf.DUMMYFUNCTION("""COMPUTED_VALUE"""),-0.424382561739839)</f>
        <v>-0.42438256173983901</v>
      </c>
      <c r="AQ130" s="3">
        <f ca="1">IFERROR(__xludf.DUMMYFUNCTION("""COMPUTED_VALUE"""),-0.458806267579147)</f>
        <v>-0.458806267579147</v>
      </c>
      <c r="AR130" s="3">
        <f ca="1">IFERROR(__xludf.DUMMYFUNCTION("""COMPUTED_VALUE"""),-0.446250150954473)</f>
        <v>-0.44625015095447301</v>
      </c>
      <c r="AS130" s="3">
        <f ca="1">IFERROR(__xludf.DUMMYFUNCTION("""COMPUTED_VALUE"""),-0.429945990347326)</f>
        <v>-0.429945990347326</v>
      </c>
      <c r="AT130" s="3">
        <f ca="1">IFERROR(__xludf.DUMMYFUNCTION("""COMPUTED_VALUE"""),-0.406425606461525)</f>
        <v>-0.40642560646152498</v>
      </c>
      <c r="AU130" s="3">
        <f ca="1">IFERROR(__xludf.DUMMYFUNCTION("""COMPUTED_VALUE"""),-0.406536317857929)</f>
        <v>-0.40653631785792899</v>
      </c>
      <c r="AV130" s="3">
        <f ca="1">IFERROR(__xludf.DUMMYFUNCTION("""COMPUTED_VALUE"""),-0.473508552206473)</f>
        <v>-0.47350855220647298</v>
      </c>
      <c r="AW130" s="3">
        <f ca="1">IFERROR(__xludf.DUMMYFUNCTION("""COMPUTED_VALUE"""),-0.458491602961705)</f>
        <v>-0.45849160296170499</v>
      </c>
      <c r="AX130" s="3">
        <f ca="1">IFERROR(__xludf.DUMMYFUNCTION("""COMPUTED_VALUE"""),-0.492309949003713)</f>
        <v>-0.492309949003713</v>
      </c>
      <c r="AY130" s="3">
        <f ca="1">IFERROR(__xludf.DUMMYFUNCTION("""COMPUTED_VALUE"""),-0.471418085337038)</f>
        <v>-0.471418085337038</v>
      </c>
      <c r="AZ130" s="3">
        <f ca="1">IFERROR(__xludf.DUMMYFUNCTION("""COMPUTED_VALUE"""),-0.403856613393772)</f>
        <v>-0.40385661339377199</v>
      </c>
      <c r="BA130" s="3">
        <f ca="1">IFERROR(__xludf.DUMMYFUNCTION("""COMPUTED_VALUE"""),-0.357243091301322)</f>
        <v>-0.35724309130132198</v>
      </c>
      <c r="BB130" s="3">
        <f ca="1">IFERROR(__xludf.DUMMYFUNCTION("""COMPUTED_VALUE"""),-0.446475574139218)</f>
        <v>-0.44647557413921801</v>
      </c>
      <c r="BC130" s="3">
        <f ca="1">IFERROR(__xludf.DUMMYFUNCTION("""COMPUTED_VALUE"""),-0.539064135895073)</f>
        <v>-0.53906413589507296</v>
      </c>
      <c r="BD130" s="3">
        <f ca="1">IFERROR(__xludf.DUMMYFUNCTION("""COMPUTED_VALUE"""),-0.933321070378927)</f>
        <v>-0.93332107037892698</v>
      </c>
      <c r="BE130" s="3">
        <f ca="1">IFERROR(__xludf.DUMMYFUNCTION("""COMPUTED_VALUE"""),-0.899951966743173)</f>
        <v>-0.89995196674317302</v>
      </c>
      <c r="BF130" s="3">
        <f ca="1">IFERROR(__xludf.DUMMYFUNCTION("""COMPUTED_VALUE"""),-0.886275641557337)</f>
        <v>-0.88627564155733696</v>
      </c>
      <c r="BG130" s="3">
        <f ca="1">IFERROR(__xludf.DUMMYFUNCTION("""COMPUTED_VALUE"""),-0.874399638844394)</f>
        <v>-0.87439963884439398</v>
      </c>
      <c r="BH130" s="3">
        <f ca="1">IFERROR(__xludf.DUMMYFUNCTION("""COMPUTED_VALUE"""),-0.432226423020312)</f>
        <v>-0.432226423020312</v>
      </c>
      <c r="BI130" s="3">
        <f ca="1">IFERROR(__xludf.DUMMYFUNCTION("""COMPUTED_VALUE"""),-0.581386928979196)</f>
        <v>-0.58138692897919597</v>
      </c>
      <c r="BJ130" s="3">
        <f ca="1">IFERROR(__xludf.DUMMYFUNCTION("""COMPUTED_VALUE"""),-0.483284097314264)</f>
        <v>-0.48328409731426403</v>
      </c>
      <c r="BK130" s="3">
        <f ca="1">IFERROR(__xludf.DUMMYFUNCTION("""COMPUTED_VALUE"""),-0.662488627121427)</f>
        <v>-0.66248862712142698</v>
      </c>
      <c r="BL130" s="3">
        <f ca="1">IFERROR(__xludf.DUMMYFUNCTION("""COMPUTED_VALUE"""),-0.510482514532822)</f>
        <v>-0.51048251453282201</v>
      </c>
      <c r="BM130" s="3">
        <f ca="1">IFERROR(__xludf.DUMMYFUNCTION("""COMPUTED_VALUE"""),-0.462209237517251)</f>
        <v>-0.46220923751725101</v>
      </c>
      <c r="BN130" s="3">
        <f ca="1">IFERROR(__xludf.DUMMYFUNCTION("""COMPUTED_VALUE"""),-0.431527296760349)</f>
        <v>-0.43152729676034901</v>
      </c>
      <c r="BO130" s="3">
        <f ca="1">IFERROR(__xludf.DUMMYFUNCTION("""COMPUTED_VALUE"""),-0.485411550571481)</f>
        <v>-0.485411550571481</v>
      </c>
      <c r="BP130" s="3">
        <f ca="1">IFERROR(__xludf.DUMMYFUNCTION("""COMPUTED_VALUE"""),-0.515469472236315)</f>
        <v>-0.51546947223631501</v>
      </c>
      <c r="BQ130" s="3">
        <f ca="1">IFERROR(__xludf.DUMMYFUNCTION("""COMPUTED_VALUE"""),-0.508668596942851)</f>
        <v>-0.50866859694285105</v>
      </c>
      <c r="BR130" s="3">
        <f ca="1">IFERROR(__xludf.DUMMYFUNCTION("""COMPUTED_VALUE"""),-0.480881324938061)</f>
        <v>-0.48088132493806102</v>
      </c>
      <c r="BS130" s="3">
        <f ca="1">IFERROR(__xludf.DUMMYFUNCTION("""COMPUTED_VALUE"""),-0.451702020344947)</f>
        <v>-0.451702020344947</v>
      </c>
      <c r="BT130" s="3">
        <f ca="1">IFERROR(__xludf.DUMMYFUNCTION("""COMPUTED_VALUE"""),-0.474224247668408)</f>
        <v>-0.47422424766840798</v>
      </c>
      <c r="BU130" s="3">
        <f ca="1">IFERROR(__xludf.DUMMYFUNCTION("""COMPUTED_VALUE"""),-0.524402500686155)</f>
        <v>-0.52440250068615502</v>
      </c>
      <c r="BV130" s="3">
        <f ca="1">IFERROR(__xludf.DUMMYFUNCTION("""COMPUTED_VALUE"""),-0.534504191771882)</f>
        <v>-0.53450419177188202</v>
      </c>
      <c r="BW130" s="3">
        <f ca="1">IFERROR(__xludf.DUMMYFUNCTION("""COMPUTED_VALUE"""),-0.487296418679377)</f>
        <v>-0.48729641867937701</v>
      </c>
      <c r="BX130" s="3">
        <f ca="1">IFERROR(__xludf.DUMMYFUNCTION("""COMPUTED_VALUE"""),-0.502346062106981)</f>
        <v>-0.50234606210698096</v>
      </c>
      <c r="BY130" s="3">
        <f ca="1">IFERROR(__xludf.DUMMYFUNCTION("""COMPUTED_VALUE"""),-0.520655961471586)</f>
        <v>-0.52065596147158599</v>
      </c>
      <c r="BZ130" s="3">
        <f ca="1">IFERROR(__xludf.DUMMYFUNCTION("""COMPUTED_VALUE"""),-0.490620989991913)</f>
        <v>-0.490620989991913</v>
      </c>
      <c r="CA130" s="3">
        <f ca="1">IFERROR(__xludf.DUMMYFUNCTION("""COMPUTED_VALUE"""),-0.515921113886483)</f>
        <v>-0.51592111388648298</v>
      </c>
      <c r="CB130" s="3">
        <f ca="1">IFERROR(__xludf.DUMMYFUNCTION("""COMPUTED_VALUE"""),-0.534058333483583)</f>
        <v>-0.534058333483583</v>
      </c>
      <c r="CC130" s="3">
        <f ca="1">IFERROR(__xludf.DUMMYFUNCTION("""COMPUTED_VALUE"""),-0.511430222578705)</f>
        <v>-0.51143022257870496</v>
      </c>
      <c r="CD130" s="3">
        <f ca="1">IFERROR(__xludf.DUMMYFUNCTION("""COMPUTED_VALUE"""),-0.516235740319801)</f>
        <v>-0.51623574031980102</v>
      </c>
      <c r="CE130" s="3">
        <f ca="1">IFERROR(__xludf.DUMMYFUNCTION("""COMPUTED_VALUE"""),-0.524331290143092)</f>
        <v>-0.52433129014309199</v>
      </c>
      <c r="CF130" s="3">
        <f ca="1">IFERROR(__xludf.DUMMYFUNCTION("""COMPUTED_VALUE"""),-0.558017550330363)</f>
        <v>-0.55801755033036304</v>
      </c>
      <c r="CG130" s="3">
        <f ca="1">IFERROR(__xludf.DUMMYFUNCTION("""COMPUTED_VALUE"""),-0.566855455158247)</f>
        <v>-0.56685545515824698</v>
      </c>
      <c r="CH130" s="3">
        <f ca="1">IFERROR(__xludf.DUMMYFUNCTION("""COMPUTED_VALUE"""),-0.51981615076137)</f>
        <v>-0.51981615076137</v>
      </c>
      <c r="CI130" s="3">
        <f ca="1">IFERROR(__xludf.DUMMYFUNCTION("""COMPUTED_VALUE"""),-0.582126478396175)</f>
        <v>-0.58212647839617504</v>
      </c>
      <c r="CJ130" s="3">
        <f ca="1">IFERROR(__xludf.DUMMYFUNCTION("""COMPUTED_VALUE"""),-0.494711475399175)</f>
        <v>-0.49471147539917498</v>
      </c>
      <c r="CK130" s="3">
        <f ca="1">IFERROR(__xludf.DUMMYFUNCTION("""COMPUTED_VALUE"""),-0.438056420611291)</f>
        <v>-0.43805642061129102</v>
      </c>
      <c r="CL130" s="3">
        <f ca="1">IFERROR(__xludf.DUMMYFUNCTION("""COMPUTED_VALUE"""),-0.490221734899386)</f>
        <v>-0.49022173489938597</v>
      </c>
      <c r="CM130" s="3">
        <f ca="1">IFERROR(__xludf.DUMMYFUNCTION("""COMPUTED_VALUE"""),-0.521817529662446)</f>
        <v>-0.52181752966244599</v>
      </c>
      <c r="CN130" s="3">
        <f ca="1">IFERROR(__xludf.DUMMYFUNCTION("""COMPUTED_VALUE"""),-0.539387372518727)</f>
        <v>-0.53938737251872704</v>
      </c>
      <c r="CO130" s="3">
        <f ca="1">IFERROR(__xludf.DUMMYFUNCTION("""COMPUTED_VALUE"""),-0.523656409555571)</f>
        <v>-0.52365640955557102</v>
      </c>
      <c r="CP130" s="3">
        <f ca="1">IFERROR(__xludf.DUMMYFUNCTION("""COMPUTED_VALUE"""),-0.49519978499903)</f>
        <v>-0.49519978499903</v>
      </c>
      <c r="CQ130" s="3">
        <f ca="1">IFERROR(__xludf.DUMMYFUNCTION("""COMPUTED_VALUE"""),-0.582845968093091)</f>
        <v>-0.58284596809309097</v>
      </c>
      <c r="CR130" s="3">
        <f ca="1">IFERROR(__xludf.DUMMYFUNCTION("""COMPUTED_VALUE"""),-0.424065192829615)</f>
        <v>-0.42406519282961502</v>
      </c>
      <c r="CS130" s="3">
        <f ca="1">IFERROR(__xludf.DUMMYFUNCTION("""COMPUTED_VALUE"""),-0.490524347184734)</f>
        <v>-0.49052434718473398</v>
      </c>
      <c r="CT130" s="3">
        <f ca="1">IFERROR(__xludf.DUMMYFUNCTION("""COMPUTED_VALUE"""),-0.491224971125815)</f>
        <v>-0.49122497112581498</v>
      </c>
      <c r="CU130" s="3">
        <f ca="1">IFERROR(__xludf.DUMMYFUNCTION("""COMPUTED_VALUE"""),-0.430181154786681)</f>
        <v>-0.43018115478668101</v>
      </c>
      <c r="CV130" s="3">
        <f ca="1">IFERROR(__xludf.DUMMYFUNCTION("""COMPUTED_VALUE"""),-0.560573451543052)</f>
        <v>-0.56057345154305205</v>
      </c>
      <c r="CW130" s="3">
        <f ca="1">IFERROR(__xludf.DUMMYFUNCTION("""COMPUTED_VALUE"""),-0.455359394572219)</f>
        <v>-0.45535939457221902</v>
      </c>
      <c r="CX130" s="3">
        <f ca="1">IFERROR(__xludf.DUMMYFUNCTION("""COMPUTED_VALUE"""),-0.452296500230052)</f>
        <v>-0.45229650023005202</v>
      </c>
      <c r="CY130" s="3">
        <f ca="1">IFERROR(__xludf.DUMMYFUNCTION("""COMPUTED_VALUE"""),-0.431741688134795)</f>
        <v>-0.43174168813479502</v>
      </c>
      <c r="CZ130" s="3">
        <f ca="1">IFERROR(__xludf.DUMMYFUNCTION("""COMPUTED_VALUE"""),-0.60194648899838)</f>
        <v>-0.60194648899837999</v>
      </c>
      <c r="DA130" s="3">
        <f ca="1">IFERROR(__xludf.DUMMYFUNCTION("""COMPUTED_VALUE"""),-0.550766488912563)</f>
        <v>-0.55076648891256297</v>
      </c>
      <c r="DB130" s="3">
        <f ca="1">IFERROR(__xludf.DUMMYFUNCTION("""COMPUTED_VALUE"""),-0.286685101972391)</f>
        <v>-0.286685101972391</v>
      </c>
      <c r="DC130" s="3">
        <f ca="1">IFERROR(__xludf.DUMMYFUNCTION("""COMPUTED_VALUE"""),-0.510186575953946)</f>
        <v>-0.51018657595394601</v>
      </c>
      <c r="DD130" s="3">
        <f ca="1">IFERROR(__xludf.DUMMYFUNCTION("""COMPUTED_VALUE"""),-0.5109020774018)</f>
        <v>-0.51090207740180005</v>
      </c>
      <c r="DE130" s="3">
        <f ca="1">IFERROR(__xludf.DUMMYFUNCTION("""COMPUTED_VALUE"""),-0.47656884293209)</f>
        <v>-0.47656884293209001</v>
      </c>
      <c r="DF130" s="3">
        <f ca="1">IFERROR(__xludf.DUMMYFUNCTION("""COMPUTED_VALUE"""),-0.454968722653994)</f>
        <v>-0.45496872265399402</v>
      </c>
      <c r="DG130" s="3">
        <f ca="1">IFERROR(__xludf.DUMMYFUNCTION("""COMPUTED_VALUE"""),-0.710741806427885)</f>
        <v>-0.71074180642788498</v>
      </c>
      <c r="DH130" s="3">
        <f ca="1">IFERROR(__xludf.DUMMYFUNCTION("""COMPUTED_VALUE"""),-0.496017665050628)</f>
        <v>-0.496017665050628</v>
      </c>
      <c r="DI130" s="3">
        <f ca="1">IFERROR(__xludf.DUMMYFUNCTION("""COMPUTED_VALUE"""),-0.221818253896958)</f>
        <v>-0.221818253896958</v>
      </c>
      <c r="DJ130" s="3">
        <f ca="1">IFERROR(__xludf.DUMMYFUNCTION("""COMPUTED_VALUE"""),-0.512534733588705)</f>
        <v>-0.51253473358870505</v>
      </c>
      <c r="DK130" s="3">
        <f ca="1">IFERROR(__xludf.DUMMYFUNCTION("""COMPUTED_VALUE"""),-0.496999165895223)</f>
        <v>-0.49699916589522303</v>
      </c>
      <c r="DL130" s="3">
        <f ca="1">IFERROR(__xludf.DUMMYFUNCTION("""COMPUTED_VALUE"""),-0.407897611153978)</f>
        <v>-0.40789761115397799</v>
      </c>
      <c r="DM130" s="3">
        <f ca="1">IFERROR(__xludf.DUMMYFUNCTION("""COMPUTED_VALUE"""),-0.433432271269613)</f>
        <v>-0.43343227126961298</v>
      </c>
      <c r="DN130" s="3">
        <f ca="1">IFERROR(__xludf.DUMMYFUNCTION("""COMPUTED_VALUE"""),-0.484122377129258)</f>
        <v>-0.48412237712925799</v>
      </c>
      <c r="DO130" s="3">
        <f ca="1">IFERROR(__xludf.DUMMYFUNCTION("""COMPUTED_VALUE"""),-0.509749313803683)</f>
        <v>-0.50974931380368305</v>
      </c>
      <c r="DP130" s="3">
        <f ca="1">IFERROR(__xludf.DUMMYFUNCTION("""COMPUTED_VALUE"""),-0.401115731973536)</f>
        <v>-0.401115731973536</v>
      </c>
      <c r="DQ130" s="3">
        <f ca="1">IFERROR(__xludf.DUMMYFUNCTION("""COMPUTED_VALUE"""),-0.504864056208547)</f>
        <v>-0.50486405620854702</v>
      </c>
      <c r="DR130" s="3">
        <f ca="1">IFERROR(__xludf.DUMMYFUNCTION("""COMPUTED_VALUE"""),-0.526860123543791)</f>
        <v>-0.52686012354379097</v>
      </c>
      <c r="DS130" s="3">
        <f ca="1">IFERROR(__xludf.DUMMYFUNCTION("""COMPUTED_VALUE"""),-0.480761027405207)</f>
        <v>-0.48076102740520699</v>
      </c>
      <c r="DT130" s="3">
        <f ca="1">IFERROR(__xludf.DUMMYFUNCTION("""COMPUTED_VALUE"""),-0.499667904005845)</f>
        <v>-0.49966790400584499</v>
      </c>
      <c r="DU130" s="3">
        <f ca="1">IFERROR(__xludf.DUMMYFUNCTION("""COMPUTED_VALUE"""),-0.444751680208614)</f>
        <v>-0.444751680208614</v>
      </c>
      <c r="DV130" s="3">
        <f ca="1">IFERROR(__xludf.DUMMYFUNCTION("""COMPUTED_VALUE"""),-0.518499582734327)</f>
        <v>-0.51849958273432695</v>
      </c>
      <c r="DW130" s="3">
        <f ca="1">IFERROR(__xludf.DUMMYFUNCTION("""COMPUTED_VALUE"""),-0.494660038727772)</f>
        <v>-0.49466003872777198</v>
      </c>
      <c r="DX130" s="3">
        <f ca="1">IFERROR(__xludf.DUMMYFUNCTION("""COMPUTED_VALUE"""),-0.521612792694705)</f>
        <v>-0.52161279269470495</v>
      </c>
      <c r="DY130" s="3">
        <f ca="1">IFERROR(__xludf.DUMMYFUNCTION("""COMPUTED_VALUE"""),-0.556546326474302)</f>
        <v>-0.55654632647430202</v>
      </c>
      <c r="DZ130" s="3">
        <f ca="1">IFERROR(__xludf.DUMMYFUNCTION("""COMPUTED_VALUE"""),-0.4907448768273)</f>
        <v>-0.4907448768273</v>
      </c>
      <c r="EA130" s="3">
        <f ca="1">IFERROR(__xludf.DUMMYFUNCTION("""COMPUTED_VALUE"""),-0.542374661819555)</f>
        <v>-0.54237466181955496</v>
      </c>
      <c r="EB130" s="3">
        <f ca="1">IFERROR(__xludf.DUMMYFUNCTION("""COMPUTED_VALUE"""),-0.428193666996326)</f>
        <v>-0.42819366699632599</v>
      </c>
      <c r="EC130" s="3">
        <f ca="1">IFERROR(__xludf.DUMMYFUNCTION("""COMPUTED_VALUE"""),-0.373065762876834)</f>
        <v>-0.37306576287683402</v>
      </c>
      <c r="ED130" s="3">
        <f ca="1">IFERROR(__xludf.DUMMYFUNCTION("""COMPUTED_VALUE"""),-0.482872125123935)</f>
        <v>-0.48287212512393501</v>
      </c>
      <c r="EE130" s="3">
        <f ca="1">IFERROR(__xludf.DUMMYFUNCTION("""COMPUTED_VALUE"""),-0.512909811353354)</f>
        <v>-0.51290981135335401</v>
      </c>
      <c r="EF130" s="3">
        <f ca="1">IFERROR(__xludf.DUMMYFUNCTION("""COMPUTED_VALUE"""),-0.556685547252658)</f>
        <v>-0.55668554725265795</v>
      </c>
      <c r="EG130" s="3">
        <f ca="1">IFERROR(__xludf.DUMMYFUNCTION("""COMPUTED_VALUE"""),-0.469756613559305)</f>
        <v>-0.46975661355930498</v>
      </c>
      <c r="EH130" s="3">
        <f ca="1">IFERROR(__xludf.DUMMYFUNCTION("""COMPUTED_VALUE"""),-0.598825800860643)</f>
        <v>-0.59882580086064296</v>
      </c>
      <c r="EI130" s="3">
        <f ca="1">IFERROR(__xludf.DUMMYFUNCTION("""COMPUTED_VALUE"""),-0.545794234920896)</f>
        <v>-0.54579423492089596</v>
      </c>
      <c r="EJ130" s="3">
        <f ca="1">IFERROR(__xludf.DUMMYFUNCTION("""COMPUTED_VALUE"""),-0.636033458738681)</f>
        <v>-0.636033458738681</v>
      </c>
      <c r="EK130" s="3">
        <f ca="1">IFERROR(__xludf.DUMMYFUNCTION("""COMPUTED_VALUE"""),-0.508615412127316)</f>
        <v>-0.50861541212731598</v>
      </c>
      <c r="EL130" s="3">
        <f ca="1">IFERROR(__xludf.DUMMYFUNCTION("""COMPUTED_VALUE"""),-0.536246322436547)</f>
        <v>-0.53624632243654702</v>
      </c>
      <c r="EM130" s="3">
        <f ca="1">IFERROR(__xludf.DUMMYFUNCTION("""COMPUTED_VALUE"""),-0.558123122525162)</f>
        <v>-0.55812312252516205</v>
      </c>
      <c r="EN130" s="3">
        <f ca="1">IFERROR(__xludf.DUMMYFUNCTION("""COMPUTED_VALUE"""),-0.417676264988116)</f>
        <v>-0.417676264988116</v>
      </c>
      <c r="EO130" s="3">
        <f ca="1">IFERROR(__xludf.DUMMYFUNCTION("""COMPUTED_VALUE"""),-0.44850886969866)</f>
        <v>-0.44850886969866</v>
      </c>
      <c r="EP130" s="3">
        <f ca="1">IFERROR(__xludf.DUMMYFUNCTION("""COMPUTED_VALUE"""),-0.477133499708905)</f>
        <v>-0.47713349970890501</v>
      </c>
      <c r="EQ130" s="3">
        <f ca="1">IFERROR(__xludf.DUMMYFUNCTION("""COMPUTED_VALUE"""),-0.385647369879313)</f>
        <v>-0.38564736987931297</v>
      </c>
      <c r="ER130" s="3">
        <f ca="1">IFERROR(__xludf.DUMMYFUNCTION("""COMPUTED_VALUE"""),-0.43593986894723)</f>
        <v>-0.43593986894723002</v>
      </c>
      <c r="ES130" s="3">
        <f ca="1">IFERROR(__xludf.DUMMYFUNCTION("""COMPUTED_VALUE"""),-0.496141653836171)</f>
        <v>-0.49614165383617098</v>
      </c>
      <c r="ET130" s="3">
        <f ca="1">IFERROR(__xludf.DUMMYFUNCTION("""COMPUTED_VALUE"""),-0.539158864314027)</f>
        <v>-0.53915886431402704</v>
      </c>
      <c r="EU130" s="3">
        <f ca="1">IFERROR(__xludf.DUMMYFUNCTION("""COMPUTED_VALUE"""),-0.473226305059062)</f>
        <v>-0.47322630505906199</v>
      </c>
      <c r="EV130" s="3">
        <f ca="1">IFERROR(__xludf.DUMMYFUNCTION("""COMPUTED_VALUE"""),-0.452410827207883)</f>
        <v>-0.452410827207883</v>
      </c>
      <c r="EW130" s="3">
        <f ca="1">IFERROR(__xludf.DUMMYFUNCTION("""COMPUTED_VALUE"""),-0.499875843895687)</f>
        <v>-0.49987584389568701</v>
      </c>
      <c r="EX130" s="3">
        <f ca="1">IFERROR(__xludf.DUMMYFUNCTION("""COMPUTED_VALUE"""),-0.460216773011971)</f>
        <v>-0.460216773011971</v>
      </c>
      <c r="EY130" s="3">
        <f ca="1">IFERROR(__xludf.DUMMYFUNCTION("""COMPUTED_VALUE"""),-0.541012962267569)</f>
        <v>-0.54101296226756901</v>
      </c>
      <c r="EZ130" s="3">
        <f ca="1">IFERROR(__xludf.DUMMYFUNCTION("""COMPUTED_VALUE"""),-0.554670301713999)</f>
        <v>-0.554670301713999</v>
      </c>
      <c r="FA130" s="3">
        <f ca="1">IFERROR(__xludf.DUMMYFUNCTION("""COMPUTED_VALUE"""),-0.531518725637225)</f>
        <v>-0.53151872563722502</v>
      </c>
      <c r="FB130" s="3">
        <f ca="1">IFERROR(__xludf.DUMMYFUNCTION("""COMPUTED_VALUE"""),-0.507983112962188)</f>
        <v>-0.50798311296218801</v>
      </c>
      <c r="FC130" s="3">
        <f ca="1">IFERROR(__xludf.DUMMYFUNCTION("""COMPUTED_VALUE"""),-0.475612487506788)</f>
        <v>-0.47561248750678797</v>
      </c>
      <c r="FD130" s="3">
        <f ca="1">IFERROR(__xludf.DUMMYFUNCTION("""COMPUTED_VALUE"""),-0.461993794562097)</f>
        <v>-0.46199379456209699</v>
      </c>
      <c r="FE130" s="3">
        <f ca="1">IFERROR(__xludf.DUMMYFUNCTION("""COMPUTED_VALUE"""),-0.487810981022158)</f>
        <v>-0.48781098102215797</v>
      </c>
      <c r="FF130" s="3">
        <f ca="1">IFERROR(__xludf.DUMMYFUNCTION("""COMPUTED_VALUE"""),-0.462840314088839)</f>
        <v>-0.46284031408883902</v>
      </c>
      <c r="FG130" s="3">
        <f ca="1">IFERROR(__xludf.DUMMYFUNCTION("""COMPUTED_VALUE"""),-0.456051340443151)</f>
        <v>-0.45605134044315099</v>
      </c>
      <c r="FH130" s="3">
        <f ca="1">IFERROR(__xludf.DUMMYFUNCTION("""COMPUTED_VALUE"""),-0.525763827785145)</f>
        <v>-0.52576382778514497</v>
      </c>
      <c r="FI130" s="3">
        <f ca="1">IFERROR(__xludf.DUMMYFUNCTION("""COMPUTED_VALUE"""),-0.448738702386357)</f>
        <v>-0.44873870238635699</v>
      </c>
      <c r="FJ130" s="3">
        <f ca="1">IFERROR(__xludf.DUMMYFUNCTION("""COMPUTED_VALUE"""),-0.481607149294507)</f>
        <v>-0.48160714929450699</v>
      </c>
      <c r="FK130" s="3">
        <f ca="1">IFERROR(__xludf.DUMMYFUNCTION("""COMPUTED_VALUE"""),-0.421641479884377)</f>
        <v>-0.421641479884377</v>
      </c>
      <c r="FL130" s="3">
        <f ca="1">IFERROR(__xludf.DUMMYFUNCTION("""COMPUTED_VALUE"""),-0.465449394596278)</f>
        <v>-0.46544939459627799</v>
      </c>
      <c r="FM130" s="3">
        <f ca="1">IFERROR(__xludf.DUMMYFUNCTION("""COMPUTED_VALUE"""),-0.561781039886968)</f>
        <v>-0.56178103988696804</v>
      </c>
      <c r="FN130" s="3">
        <f ca="1">IFERROR(__xludf.DUMMYFUNCTION("""COMPUTED_VALUE"""),-0.577014934756365)</f>
        <v>-0.57701493475636501</v>
      </c>
      <c r="FO130" s="3">
        <f ca="1">IFERROR(__xludf.DUMMYFUNCTION("""COMPUTED_VALUE"""),-0.552942213341605)</f>
        <v>-0.55294221334160498</v>
      </c>
      <c r="FP130" s="3">
        <f ca="1">IFERROR(__xludf.DUMMYFUNCTION("""COMPUTED_VALUE"""),-0.447951857947325)</f>
        <v>-0.44795185794732501</v>
      </c>
      <c r="FQ130" s="3">
        <f ca="1">IFERROR(__xludf.DUMMYFUNCTION("""COMPUTED_VALUE"""),-0.476813150996733)</f>
        <v>-0.47681315099673299</v>
      </c>
      <c r="FR130" s="3">
        <f ca="1">IFERROR(__xludf.DUMMYFUNCTION("""COMPUTED_VALUE"""),-0.455959183545601)</f>
        <v>-0.455959183545601</v>
      </c>
      <c r="FS130" s="3">
        <f ca="1">IFERROR(__xludf.DUMMYFUNCTION("""COMPUTED_VALUE"""),-0.518917803301367)</f>
        <v>-0.51891780330136705</v>
      </c>
      <c r="FT130" s="3">
        <f ca="1">IFERROR(__xludf.DUMMYFUNCTION("""COMPUTED_VALUE"""),-0.471775672435193)</f>
        <v>-0.47177567243519303</v>
      </c>
      <c r="FU130" s="3">
        <f ca="1">IFERROR(__xludf.DUMMYFUNCTION("""COMPUTED_VALUE"""),-0.507469084639161)</f>
        <v>-0.50746908463916096</v>
      </c>
      <c r="FV130" s="3">
        <f ca="1">IFERROR(__xludf.DUMMYFUNCTION("""COMPUTED_VALUE"""),-0.468064275664092)</f>
        <v>-0.46806427566409198</v>
      </c>
      <c r="FW130" s="3">
        <f ca="1">IFERROR(__xludf.DUMMYFUNCTION("""COMPUTED_VALUE"""),-0.387387315281247)</f>
        <v>-0.38738731528124698</v>
      </c>
      <c r="FX130" s="3">
        <f ca="1">IFERROR(__xludf.DUMMYFUNCTION("""COMPUTED_VALUE"""),-0.421268013383718)</f>
        <v>-0.421268013383718</v>
      </c>
      <c r="FY130" s="3">
        <f ca="1">IFERROR(__xludf.DUMMYFUNCTION("""COMPUTED_VALUE"""),-0.424314903655671)</f>
        <v>-0.42431490365567098</v>
      </c>
      <c r="FZ130" s="3">
        <f ca="1">IFERROR(__xludf.DUMMYFUNCTION("""COMPUTED_VALUE"""),-0.499534046288391)</f>
        <v>-0.49953404628839099</v>
      </c>
      <c r="GA130" s="3">
        <f ca="1">IFERROR(__xludf.DUMMYFUNCTION("""COMPUTED_VALUE"""),-0.528968008882377)</f>
        <v>-0.52896800888237705</v>
      </c>
      <c r="GB130" s="3">
        <f ca="1">IFERROR(__xludf.DUMMYFUNCTION("""COMPUTED_VALUE"""),-0.491867114537989)</f>
        <v>-0.49186711453798898</v>
      </c>
      <c r="GC130" s="3">
        <f ca="1">IFERROR(__xludf.DUMMYFUNCTION("""COMPUTED_VALUE"""),-0.478236905619705)</f>
        <v>-0.478236905619705</v>
      </c>
      <c r="GD130" s="3">
        <f ca="1">IFERROR(__xludf.DUMMYFUNCTION("""COMPUTED_VALUE"""),-0.378427312363833)</f>
        <v>-0.37842731236383298</v>
      </c>
      <c r="GE130" s="3">
        <f ca="1">IFERROR(__xludf.DUMMYFUNCTION("""COMPUTED_VALUE"""),-0.41665700296391)</f>
        <v>-0.41665700296391001</v>
      </c>
      <c r="GF130" s="3">
        <f ca="1">IFERROR(__xludf.DUMMYFUNCTION("""COMPUTED_VALUE"""),-0.449072873373885)</f>
        <v>-0.44907287337388502</v>
      </c>
      <c r="GG130" s="3">
        <f ca="1">IFERROR(__xludf.DUMMYFUNCTION("""COMPUTED_VALUE"""),-0.547932288258942)</f>
        <v>-0.54793228825894202</v>
      </c>
      <c r="GH130" s="3">
        <f ca="1">IFERROR(__xludf.DUMMYFUNCTION("""COMPUTED_VALUE"""),-0.522707590642042)</f>
        <v>-0.52270759064204197</v>
      </c>
      <c r="GI130" s="3">
        <f ca="1">IFERROR(__xludf.DUMMYFUNCTION("""COMPUTED_VALUE"""),-0.506022206118761)</f>
        <v>-0.50602220611876103</v>
      </c>
      <c r="GJ130" s="3">
        <f ca="1">IFERROR(__xludf.DUMMYFUNCTION("""COMPUTED_VALUE"""),-0.499590040194033)</f>
        <v>-0.49959004019403302</v>
      </c>
      <c r="GK130" s="3">
        <f ca="1">IFERROR(__xludf.DUMMYFUNCTION("""COMPUTED_VALUE"""),-0.343496330089449)</f>
        <v>-0.34349633008944902</v>
      </c>
      <c r="GL130" s="3">
        <f ca="1">IFERROR(__xludf.DUMMYFUNCTION("""COMPUTED_VALUE"""),-0.417120326147527)</f>
        <v>-0.41712032614752698</v>
      </c>
      <c r="GM130" s="3">
        <f ca="1">IFERROR(__xludf.DUMMYFUNCTION("""COMPUTED_VALUE"""),-0.455645219617226)</f>
        <v>-0.45564521961722598</v>
      </c>
      <c r="GN130" s="3">
        <f ca="1">IFERROR(__xludf.DUMMYFUNCTION("""COMPUTED_VALUE"""),-0.51702384300634)</f>
        <v>-0.51702384300633997</v>
      </c>
      <c r="GO130" s="3">
        <f ca="1">IFERROR(__xludf.DUMMYFUNCTION("""COMPUTED_VALUE"""),-0.538530398920334)</f>
        <v>-0.53853039892033405</v>
      </c>
      <c r="GP130" s="3">
        <f ca="1">IFERROR(__xludf.DUMMYFUNCTION("""COMPUTED_VALUE"""),-0.555494048963597)</f>
        <v>-0.555494048963597</v>
      </c>
      <c r="GQ130" s="3">
        <f ca="1">IFERROR(__xludf.DUMMYFUNCTION("""COMPUTED_VALUE"""),-0.5493764152476)</f>
        <v>-0.54937641524759995</v>
      </c>
      <c r="GR130" s="3">
        <f ca="1">IFERROR(__xludf.DUMMYFUNCTION("""COMPUTED_VALUE"""),-0.411636899921225)</f>
        <v>-0.41163689992122499</v>
      </c>
      <c r="GS130" s="3">
        <f ca="1">IFERROR(__xludf.DUMMYFUNCTION("""COMPUTED_VALUE"""),-0.390499499820408)</f>
        <v>-0.39049949982040799</v>
      </c>
      <c r="GT130" s="3">
        <f ca="1">IFERROR(__xludf.DUMMYFUNCTION("""COMPUTED_VALUE"""),-0.480333132924436)</f>
        <v>-0.48033313292443602</v>
      </c>
      <c r="GU130" s="3">
        <f ca="1">IFERROR(__xludf.DUMMYFUNCTION("""COMPUTED_VALUE"""),-0.525947481777567)</f>
        <v>-0.52594748177756701</v>
      </c>
      <c r="GV130" s="3">
        <f ca="1">IFERROR(__xludf.DUMMYFUNCTION("""COMPUTED_VALUE"""),-0.568645440916757)</f>
        <v>-0.56864544091675695</v>
      </c>
      <c r="GW130" s="3">
        <f ca="1">IFERROR(__xludf.DUMMYFUNCTION("""COMPUTED_VALUE"""),-0.526466937627588)</f>
        <v>-0.52646693762758801</v>
      </c>
      <c r="GX130" s="3">
        <f ca="1">IFERROR(__xludf.DUMMYFUNCTION("""COMPUTED_VALUE"""),-0.609846151068168)</f>
        <v>-0.60984615106816797</v>
      </c>
      <c r="GY130" s="3">
        <f ca="1">IFERROR(__xludf.DUMMYFUNCTION("""COMPUTED_VALUE"""),-0.388525463384645)</f>
        <v>-0.388525463384645</v>
      </c>
      <c r="GZ130" s="3">
        <f ca="1">IFERROR(__xludf.DUMMYFUNCTION("""COMPUTED_VALUE"""),-0.435077678160672)</f>
        <v>-0.435077678160672</v>
      </c>
      <c r="HA130" s="3">
        <f ca="1">IFERROR(__xludf.DUMMYFUNCTION("""COMPUTED_VALUE"""),-0.48013165227911)</f>
        <v>-0.48013165227910998</v>
      </c>
      <c r="HB130" s="3">
        <f ca="1">IFERROR(__xludf.DUMMYFUNCTION("""COMPUTED_VALUE"""),-0.503934567346728)</f>
        <v>-0.50393456734672804</v>
      </c>
      <c r="HC130" s="3">
        <f ca="1">IFERROR(__xludf.DUMMYFUNCTION("""COMPUTED_VALUE"""),-0.516345328241216)</f>
        <v>-0.51634532824121604</v>
      </c>
      <c r="HD130" s="3">
        <f ca="1">IFERROR(__xludf.DUMMYFUNCTION("""COMPUTED_VALUE"""),-0.519245992584357)</f>
        <v>-0.519245992584357</v>
      </c>
      <c r="HE130" s="3">
        <f ca="1">IFERROR(__xludf.DUMMYFUNCTION("""COMPUTED_VALUE"""),-0.54558617149854)</f>
        <v>-0.54558617149854005</v>
      </c>
      <c r="HF130" s="3">
        <f ca="1">IFERROR(__xludf.DUMMYFUNCTION("""COMPUTED_VALUE"""),-0.44059050860829)</f>
        <v>-0.44059050860829002</v>
      </c>
      <c r="HG130" s="3">
        <f ca="1">IFERROR(__xludf.DUMMYFUNCTION("""COMPUTED_VALUE"""),-0.445046710425519)</f>
        <v>-0.44504671042551902</v>
      </c>
      <c r="HH130" s="3">
        <f ca="1">IFERROR(__xludf.DUMMYFUNCTION("""COMPUTED_VALUE"""),-0.418227471197346)</f>
        <v>-0.41822747119734599</v>
      </c>
      <c r="HI130" s="3">
        <f ca="1">IFERROR(__xludf.DUMMYFUNCTION("""COMPUTED_VALUE"""),-0.505744320335104)</f>
        <v>-0.50574432033510397</v>
      </c>
      <c r="HJ130" s="3">
        <f ca="1">IFERROR(__xludf.DUMMYFUNCTION("""COMPUTED_VALUE"""),-0.539325222970613)</f>
        <v>-0.53932522297061303</v>
      </c>
      <c r="HK130" s="3">
        <f ca="1">IFERROR(__xludf.DUMMYFUNCTION("""COMPUTED_VALUE"""),-0.563920271423989)</f>
        <v>-0.56392027142398904</v>
      </c>
      <c r="HL130" s="3">
        <f ca="1">IFERROR(__xludf.DUMMYFUNCTION("""COMPUTED_VALUE"""),-0.547469187448159)</f>
        <v>-0.54746918744815898</v>
      </c>
      <c r="HM130" s="3">
        <f ca="1">IFERROR(__xludf.DUMMYFUNCTION("""COMPUTED_VALUE"""),-0.44758524874872)</f>
        <v>-0.44758524874872002</v>
      </c>
      <c r="HN130" s="3">
        <f ca="1">IFERROR(__xludf.DUMMYFUNCTION("""COMPUTED_VALUE"""),-0.470543502305932)</f>
        <v>-0.470543502305932</v>
      </c>
      <c r="HO130" s="3">
        <f ca="1">IFERROR(__xludf.DUMMYFUNCTION("""COMPUTED_VALUE"""),-0.519876892164828)</f>
        <v>-0.51987689216482802</v>
      </c>
      <c r="HP130" s="3">
        <f ca="1">IFERROR(__xludf.DUMMYFUNCTION("""COMPUTED_VALUE"""),-0.496889112706583)</f>
        <v>-0.49688911270658298</v>
      </c>
      <c r="HQ130" s="3">
        <f ca="1">IFERROR(__xludf.DUMMYFUNCTION("""COMPUTED_VALUE"""),-0.563261710028015)</f>
        <v>-0.56326171002801495</v>
      </c>
      <c r="HR130" s="3">
        <f ca="1">IFERROR(__xludf.DUMMYFUNCTION("""COMPUTED_VALUE"""),-0.528318305856726)</f>
        <v>-0.52831830585672601</v>
      </c>
      <c r="HS130" s="3">
        <f ca="1">IFERROR(__xludf.DUMMYFUNCTION("""COMPUTED_VALUE"""),-0.528264650271142)</f>
        <v>-0.528264650271142</v>
      </c>
      <c r="HT130" s="3">
        <f ca="1">IFERROR(__xludf.DUMMYFUNCTION("""COMPUTED_VALUE"""),-0.414986348292321)</f>
        <v>-0.41498634829232101</v>
      </c>
      <c r="HU130" s="3">
        <f ca="1">IFERROR(__xludf.DUMMYFUNCTION("""COMPUTED_VALUE"""),-0.444657783067052)</f>
        <v>-0.444657783067052</v>
      </c>
      <c r="HV130" s="3">
        <f ca="1">IFERROR(__xludf.DUMMYFUNCTION("""COMPUTED_VALUE"""),-0.478699067880641)</f>
        <v>-0.47869906788064098</v>
      </c>
      <c r="HW130" s="3">
        <f ca="1">IFERROR(__xludf.DUMMYFUNCTION("""COMPUTED_VALUE"""),-0.524905489159193)</f>
        <v>-0.52490548915919299</v>
      </c>
      <c r="HX130" s="3">
        <f ca="1">IFERROR(__xludf.DUMMYFUNCTION("""COMPUTED_VALUE"""),-0.572343176839077)</f>
        <v>-0.57234317683907698</v>
      </c>
      <c r="HY130" s="3">
        <f ca="1">IFERROR(__xludf.DUMMYFUNCTION("""COMPUTED_VALUE"""),-0.560766207463988)</f>
        <v>-0.56076620746398798</v>
      </c>
      <c r="HZ130" s="3">
        <f ca="1">IFERROR(__xludf.DUMMYFUNCTION("""COMPUTED_VALUE"""),-0.506768624716495)</f>
        <v>-0.50676862471649498</v>
      </c>
      <c r="IA130" s="3">
        <f ca="1">IFERROR(__xludf.DUMMYFUNCTION("""COMPUTED_VALUE"""),-0.429046114511292)</f>
        <v>-0.42904611451129199</v>
      </c>
      <c r="IB130" s="3">
        <f ca="1">IFERROR(__xludf.DUMMYFUNCTION("""COMPUTED_VALUE"""),-0.464995320072316)</f>
        <v>-0.46499532007231598</v>
      </c>
      <c r="IC130" s="3">
        <f ca="1">IFERROR(__xludf.DUMMYFUNCTION("""COMPUTED_VALUE"""),-0.533148418690662)</f>
        <v>-0.53314841869066198</v>
      </c>
      <c r="ID130" s="3">
        <f ca="1">IFERROR(__xludf.DUMMYFUNCTION("""COMPUTED_VALUE"""),-0.523852455032086)</f>
        <v>-0.523852455032086</v>
      </c>
      <c r="IE130" s="3">
        <f ca="1">IFERROR(__xludf.DUMMYFUNCTION("""COMPUTED_VALUE"""),-0.552093980386771)</f>
        <v>-0.55209398038677104</v>
      </c>
      <c r="IF130" s="3">
        <f ca="1">IFERROR(__xludf.DUMMYFUNCTION("""COMPUTED_VALUE"""),-0.527446075976338)</f>
        <v>-0.52744607597633797</v>
      </c>
      <c r="IG130" s="3">
        <f ca="1">IFERROR(__xludf.DUMMYFUNCTION("""COMPUTED_VALUE"""),-0.576936188097517)</f>
        <v>-0.57693618809751701</v>
      </c>
      <c r="IH130" s="3">
        <f ca="1">IFERROR(__xludf.DUMMYFUNCTION("""COMPUTED_VALUE"""),-0.442211370712434)</f>
        <v>-0.44221137071243399</v>
      </c>
      <c r="II130" s="3">
        <f ca="1">IFERROR(__xludf.DUMMYFUNCTION("""COMPUTED_VALUE"""),-0.3777299097508)</f>
        <v>-0.37772990975080001</v>
      </c>
      <c r="IJ130" s="3">
        <f ca="1">IFERROR(__xludf.DUMMYFUNCTION("""COMPUTED_VALUE"""),-0.487772375046946)</f>
        <v>-0.48777237504694598</v>
      </c>
      <c r="IK130" s="3">
        <f ca="1">IFERROR(__xludf.DUMMYFUNCTION("""COMPUTED_VALUE"""),-0.433445607435365)</f>
        <v>-0.43344560743536498</v>
      </c>
      <c r="IL130" s="3">
        <f ca="1">IFERROR(__xludf.DUMMYFUNCTION("""COMPUTED_VALUE"""),-0.550382487841791)</f>
        <v>-0.550382487841791</v>
      </c>
      <c r="IM130" s="3">
        <f ca="1">IFERROR(__xludf.DUMMYFUNCTION("""COMPUTED_VALUE"""),-0.533921976751271)</f>
        <v>-0.53392197675127095</v>
      </c>
      <c r="IN130" s="3">
        <f ca="1">IFERROR(__xludf.DUMMYFUNCTION("""COMPUTED_VALUE"""),-0.511753824018336)</f>
        <v>-0.51175382401833602</v>
      </c>
      <c r="IO130" s="3">
        <f ca="1">IFERROR(__xludf.DUMMYFUNCTION("""COMPUTED_VALUE"""),-0.400288316357856)</f>
        <v>-0.400288316357856</v>
      </c>
      <c r="IP130" s="3">
        <f ca="1">IFERROR(__xludf.DUMMYFUNCTION("""COMPUTED_VALUE"""),-0.459588564791857)</f>
        <v>-0.459588564791857</v>
      </c>
      <c r="IQ130" s="3">
        <f ca="1">IFERROR(__xludf.DUMMYFUNCTION("""COMPUTED_VALUE"""),-0.45543052825672)</f>
        <v>-0.45543052825671998</v>
      </c>
      <c r="IR130" s="3">
        <f ca="1">IFERROR(__xludf.DUMMYFUNCTION("""COMPUTED_VALUE"""),-0.482273340045579)</f>
        <v>-0.48227334004557898</v>
      </c>
      <c r="IS130" s="3">
        <f ca="1">IFERROR(__xludf.DUMMYFUNCTION("""COMPUTED_VALUE"""),-0.519450075232867)</f>
        <v>-0.51945007523286701</v>
      </c>
      <c r="IT130" s="3">
        <f ca="1">IFERROR(__xludf.DUMMYFUNCTION("""COMPUTED_VALUE"""),-0.499367851322487)</f>
        <v>-0.49936785132248701</v>
      </c>
      <c r="IU130" s="3">
        <f ca="1">IFERROR(__xludf.DUMMYFUNCTION("""COMPUTED_VALUE"""),-0.498568579652737)</f>
        <v>-0.49856857965273699</v>
      </c>
      <c r="IV130" s="3">
        <f ca="1">IFERROR(__xludf.DUMMYFUNCTION("""COMPUTED_VALUE"""),-0.37687722563582)</f>
        <v>-0.37687722563581999</v>
      </c>
      <c r="IW130" s="3">
        <f ca="1">IFERROR(__xludf.DUMMYFUNCTION("""COMPUTED_VALUE"""),-0.464868870117857)</f>
        <v>-0.46486887011785699</v>
      </c>
      <c r="IX130" s="3">
        <f ca="1">IFERROR(__xludf.DUMMYFUNCTION("""COMPUTED_VALUE"""),-0.499910270992053)</f>
        <v>-0.49991027099205299</v>
      </c>
      <c r="IY130" s="3">
        <f ca="1">IFERROR(__xludf.DUMMYFUNCTION("""COMPUTED_VALUE"""),-0.51438016897631)</f>
        <v>-0.51438016897631</v>
      </c>
      <c r="IZ130" s="3">
        <f ca="1">IFERROR(__xludf.DUMMYFUNCTION("""COMPUTED_VALUE"""),-0.542498874999927)</f>
        <v>-0.54249887499992699</v>
      </c>
      <c r="JA130" s="3">
        <f ca="1">IFERROR(__xludf.DUMMYFUNCTION("""COMPUTED_VALUE"""),-0.516396531333476)</f>
        <v>-0.51639653133347596</v>
      </c>
      <c r="JB130" s="3">
        <f ca="1">IFERROR(__xludf.DUMMYFUNCTION("""COMPUTED_VALUE"""),-0.515555649493392)</f>
        <v>-0.51555564949339205</v>
      </c>
      <c r="JC130" s="3">
        <f ca="1">IFERROR(__xludf.DUMMYFUNCTION("""COMPUTED_VALUE"""),-0.419265450700899)</f>
        <v>-0.41926545070089899</v>
      </c>
      <c r="JD130" s="3">
        <f ca="1">IFERROR(__xludf.DUMMYFUNCTION("""COMPUTED_VALUE"""),-0.538716104663225)</f>
        <v>-0.53871610466322495</v>
      </c>
      <c r="JE130" s="3">
        <f ca="1">IFERROR(__xludf.DUMMYFUNCTION("""COMPUTED_VALUE"""),-0.527106559910296)</f>
        <v>-0.52710655991029598</v>
      </c>
      <c r="JF130" s="3">
        <f ca="1">IFERROR(__xludf.DUMMYFUNCTION("""COMPUTED_VALUE"""),-0.535296196860066)</f>
        <v>-0.53529619686006602</v>
      </c>
      <c r="JG130" s="3">
        <f ca="1">IFERROR(__xludf.DUMMYFUNCTION("""COMPUTED_VALUE"""),-0.55949133366699)</f>
        <v>-0.55949133366699</v>
      </c>
      <c r="JH130" s="3">
        <f ca="1">IFERROR(__xludf.DUMMYFUNCTION("""COMPUTED_VALUE"""),-0.512669612606747)</f>
        <v>-0.51266961260674704</v>
      </c>
      <c r="JI130" s="3">
        <f ca="1">IFERROR(__xludf.DUMMYFUNCTION("""COMPUTED_VALUE"""),-0.517102792643156)</f>
        <v>-0.51710279264315595</v>
      </c>
      <c r="JJ130" s="3">
        <f ca="1">IFERROR(__xludf.DUMMYFUNCTION("""COMPUTED_VALUE"""),-0.420908543261863)</f>
        <v>-0.420908543261863</v>
      </c>
      <c r="JK130" s="3">
        <f ca="1">IFERROR(__xludf.DUMMYFUNCTION("""COMPUTED_VALUE"""),-0.490719354691466)</f>
        <v>-0.49071935469146599</v>
      </c>
      <c r="JL130" s="3">
        <f ca="1">IFERROR(__xludf.DUMMYFUNCTION("""COMPUTED_VALUE"""),-0.498896104301917)</f>
        <v>-0.498896104301917</v>
      </c>
      <c r="JM130" s="3">
        <f ca="1">IFERROR(__xludf.DUMMYFUNCTION("""COMPUTED_VALUE"""),-0.474801682774598)</f>
        <v>-0.474801682774598</v>
      </c>
      <c r="JN130" s="3">
        <f ca="1">IFERROR(__xludf.DUMMYFUNCTION("""COMPUTED_VALUE"""),-0.513030754206334)</f>
        <v>-0.51303075420633404</v>
      </c>
      <c r="JO130" s="3">
        <f ca="1">IFERROR(__xludf.DUMMYFUNCTION("""COMPUTED_VALUE"""),-0.511064921161683)</f>
        <v>-0.51106492116168301</v>
      </c>
      <c r="JP130" s="3">
        <f ca="1">IFERROR(__xludf.DUMMYFUNCTION("""COMPUTED_VALUE"""),-0.522990678234206)</f>
        <v>-0.52299067823420597</v>
      </c>
      <c r="JQ130" s="3">
        <f ca="1">IFERROR(__xludf.DUMMYFUNCTION("""COMPUTED_VALUE"""),-0.468119592488197)</f>
        <v>-0.46811959248819701</v>
      </c>
      <c r="JR130" s="3">
        <f ca="1">IFERROR(__xludf.DUMMYFUNCTION("""COMPUTED_VALUE"""),-0.457269807122157)</f>
        <v>-0.45726980712215698</v>
      </c>
      <c r="JS130" s="3">
        <f ca="1">IFERROR(__xludf.DUMMYFUNCTION("""COMPUTED_VALUE"""),-0.507750879142645)</f>
        <v>-0.50775087914264505</v>
      </c>
      <c r="JT130" s="3">
        <f ca="1">IFERROR(__xludf.DUMMYFUNCTION("""COMPUTED_VALUE"""),-0.467303798034113)</f>
        <v>-0.46730379803411298</v>
      </c>
      <c r="JU130" s="3">
        <f ca="1">IFERROR(__xludf.DUMMYFUNCTION("""COMPUTED_VALUE"""),-0.479829432038875)</f>
        <v>-0.47982943203887501</v>
      </c>
      <c r="JV130" s="3">
        <f ca="1">IFERROR(__xludf.DUMMYFUNCTION("""COMPUTED_VALUE"""),-0.499062807266537)</f>
        <v>-0.49906280726653701</v>
      </c>
      <c r="JW130" s="3">
        <f ca="1">IFERROR(__xludf.DUMMYFUNCTION("""COMPUTED_VALUE"""),-0.476322807578924)</f>
        <v>-0.47632280757892398</v>
      </c>
      <c r="JX130" s="3">
        <f ca="1">IFERROR(__xludf.DUMMYFUNCTION("""COMPUTED_VALUE"""),-0.396860612955808)</f>
        <v>-0.39686061295580799</v>
      </c>
      <c r="JY130" s="3">
        <f ca="1">IFERROR(__xludf.DUMMYFUNCTION("""COMPUTED_VALUE"""),-0.367041188421469)</f>
        <v>-0.36704118842146899</v>
      </c>
      <c r="JZ130" s="3">
        <f ca="1">IFERROR(__xludf.DUMMYFUNCTION("""COMPUTED_VALUE"""),-0.456266262270489)</f>
        <v>-0.456266262270489</v>
      </c>
      <c r="KA130" s="3">
        <f ca="1">IFERROR(__xludf.DUMMYFUNCTION("""COMPUTED_VALUE"""),-0.383457592445862)</f>
        <v>-0.38345759244586197</v>
      </c>
      <c r="KB130" s="3">
        <f ca="1">IFERROR(__xludf.DUMMYFUNCTION("""COMPUTED_VALUE"""),-0.455217953180024)</f>
        <v>-0.455217953180024</v>
      </c>
      <c r="KC130" s="3">
        <f ca="1">IFERROR(__xludf.DUMMYFUNCTION("""COMPUTED_VALUE"""),-0.472610239894107)</f>
        <v>-0.472610239894107</v>
      </c>
      <c r="KD130" s="3">
        <f ca="1">IFERROR(__xludf.DUMMYFUNCTION("""COMPUTED_VALUE"""),-0.505466866459548)</f>
        <v>-0.50546686645954797</v>
      </c>
      <c r="KE130" s="3">
        <f ca="1">IFERROR(__xludf.DUMMYFUNCTION("""COMPUTED_VALUE"""),-0.410928005591266)</f>
        <v>-0.41092800559126602</v>
      </c>
      <c r="KF130" s="3">
        <f ca="1">IFERROR(__xludf.DUMMYFUNCTION("""COMPUTED_VALUE"""),-0.434935972916402)</f>
        <v>-0.43493597291640201</v>
      </c>
      <c r="KG130" s="3">
        <f ca="1">IFERROR(__xludf.DUMMYFUNCTION("""COMPUTED_VALUE"""),-0.54452550408622)</f>
        <v>-0.54452550408622002</v>
      </c>
      <c r="KH130" s="3">
        <f ca="1">IFERROR(__xludf.DUMMYFUNCTION("""COMPUTED_VALUE"""),-0.410434820574765)</f>
        <v>-0.41043482057476499</v>
      </c>
      <c r="KI130" s="3">
        <f ca="1">IFERROR(__xludf.DUMMYFUNCTION("""COMPUTED_VALUE"""),-0.458758485626273)</f>
        <v>-0.45875848562627303</v>
      </c>
      <c r="KJ130" s="3">
        <f ca="1">IFERROR(__xludf.DUMMYFUNCTION("""COMPUTED_VALUE"""),-0.501588754170554)</f>
        <v>-0.50158875417055404</v>
      </c>
      <c r="KK130" s="3">
        <f ca="1">IFERROR(__xludf.DUMMYFUNCTION("""COMPUTED_VALUE"""),-0.426821660733913)</f>
        <v>-0.42682166073391298</v>
      </c>
      <c r="KL130" s="3">
        <f ca="1">IFERROR(__xludf.DUMMYFUNCTION("""COMPUTED_VALUE"""),-0.33249208210485)</f>
        <v>-0.33249208210484998</v>
      </c>
      <c r="KM130" s="3">
        <f ca="1">IFERROR(__xludf.DUMMYFUNCTION("""COMPUTED_VALUE"""),-0.460163251386148)</f>
        <v>-0.460163251386148</v>
      </c>
      <c r="KN130" s="3">
        <f ca="1">IFERROR(__xludf.DUMMYFUNCTION("""COMPUTED_VALUE"""),-0.444692887719288)</f>
        <v>-0.444692887719288</v>
      </c>
      <c r="KO130" s="3">
        <f ca="1">IFERROR(__xludf.DUMMYFUNCTION("""COMPUTED_VALUE"""),-0.380061899568798)</f>
        <v>-0.38006189956879799</v>
      </c>
      <c r="KP130" s="3">
        <f ca="1">IFERROR(__xludf.DUMMYFUNCTION("""COMPUTED_VALUE"""),-0.428066985216931)</f>
        <v>-0.42806698521693098</v>
      </c>
      <c r="KQ130" s="3">
        <f ca="1">IFERROR(__xludf.DUMMYFUNCTION("""COMPUTED_VALUE"""),-0.493751966562251)</f>
        <v>-0.49375196656225101</v>
      </c>
      <c r="KR130" s="3">
        <f ca="1">IFERROR(__xludf.DUMMYFUNCTION("""COMPUTED_VALUE"""),-0.2572154590114)</f>
        <v>-0.25721545901140003</v>
      </c>
      <c r="KS130" s="3">
        <f ca="1">IFERROR(__xludf.DUMMYFUNCTION("""COMPUTED_VALUE"""),-0.36348083702653)</f>
        <v>-0.36348083702653</v>
      </c>
      <c r="KT130" s="3">
        <f ca="1">IFERROR(__xludf.DUMMYFUNCTION("""COMPUTED_VALUE"""),-0.422880606600591)</f>
        <v>-0.42288060660059101</v>
      </c>
      <c r="KU130" s="3">
        <f ca="1">IFERROR(__xludf.DUMMYFUNCTION("""COMPUTED_VALUE"""),-0.357985650314013)</f>
        <v>-0.35798565031401303</v>
      </c>
      <c r="KV130" s="3">
        <f ca="1">IFERROR(__xludf.DUMMYFUNCTION("""COMPUTED_VALUE"""),-0.453945089933126)</f>
        <v>-0.45394508993312599</v>
      </c>
      <c r="KW130" s="3">
        <f ca="1">IFERROR(__xludf.DUMMYFUNCTION("""COMPUTED_VALUE"""),-0.400799695652699)</f>
        <v>-0.40079969565269902</v>
      </c>
      <c r="KX130" s="3">
        <f ca="1">IFERROR(__xludf.DUMMYFUNCTION("""COMPUTED_VALUE"""),-0.337241158552826)</f>
        <v>-0.33724115855282599</v>
      </c>
      <c r="KY130" s="3">
        <f ca="1">IFERROR(__xludf.DUMMYFUNCTION("""COMPUTED_VALUE"""),-0.389825729431598)</f>
        <v>-0.38982572943159799</v>
      </c>
      <c r="KZ130" s="3">
        <f ca="1">IFERROR(__xludf.DUMMYFUNCTION("""COMPUTED_VALUE"""),-0.41287673509077)</f>
        <v>-0.41287673509077</v>
      </c>
      <c r="LA130" s="3">
        <f ca="1">IFERROR(__xludf.DUMMYFUNCTION("""COMPUTED_VALUE"""),-0.464991838093607)</f>
        <v>-0.464991838093607</v>
      </c>
      <c r="LB130" s="3">
        <f ca="1">IFERROR(__xludf.DUMMYFUNCTION("""COMPUTED_VALUE"""),-0.308548164364056)</f>
        <v>-0.30854816436405602</v>
      </c>
      <c r="LC130" s="3">
        <f ca="1">IFERROR(__xludf.DUMMYFUNCTION("""COMPUTED_VALUE"""),-0.37233197078935)</f>
        <v>-0.37233197078934999</v>
      </c>
      <c r="LD130" s="3">
        <f ca="1">IFERROR(__xludf.DUMMYFUNCTION("""COMPUTED_VALUE"""),-0.307448759833122)</f>
        <v>-0.30744875983312198</v>
      </c>
      <c r="LE130" s="3">
        <f ca="1">IFERROR(__xludf.DUMMYFUNCTION("""COMPUTED_VALUE"""),-0.434798764025984)</f>
        <v>-0.434798764025984</v>
      </c>
      <c r="LF130" s="3">
        <f ca="1">IFERROR(__xludf.DUMMYFUNCTION("""COMPUTED_VALUE"""),-0.349336575777315)</f>
        <v>-0.34933657577731497</v>
      </c>
      <c r="LG130" s="3">
        <f ca="1">IFERROR(__xludf.DUMMYFUNCTION("""COMPUTED_VALUE"""),-0.414692146950053)</f>
        <v>-0.41469214695005302</v>
      </c>
      <c r="LH130" s="3">
        <f ca="1">IFERROR(__xludf.DUMMYFUNCTION("""COMPUTED_VALUE"""),-0.401827206933505)</f>
        <v>-0.40182720693350499</v>
      </c>
      <c r="LI130" s="3">
        <f ca="1">IFERROR(__xludf.DUMMYFUNCTION("""COMPUTED_VALUE"""),-0.391956357312303)</f>
        <v>-0.39195635731230299</v>
      </c>
      <c r="LJ130" s="3">
        <f ca="1">IFERROR(__xludf.DUMMYFUNCTION("""COMPUTED_VALUE"""),-0.528726910768076)</f>
        <v>-0.52872691076807599</v>
      </c>
      <c r="LK130" s="3">
        <f ca="1">IFERROR(__xludf.DUMMYFUNCTION("""COMPUTED_VALUE"""),-0.389051868409413)</f>
        <v>-0.38905186840941303</v>
      </c>
      <c r="LL130" s="3">
        <f ca="1">IFERROR(__xludf.DUMMYFUNCTION("""COMPUTED_VALUE"""),-0.407835307837508)</f>
        <v>-0.40783530783750799</v>
      </c>
      <c r="LM130" s="3">
        <f ca="1">IFERROR(__xludf.DUMMYFUNCTION("""COMPUTED_VALUE"""),-0.483566450094581)</f>
        <v>-0.48356645009458099</v>
      </c>
      <c r="LN130" s="3">
        <f ca="1">IFERROR(__xludf.DUMMYFUNCTION("""COMPUTED_VALUE"""),-0.391577153370504)</f>
        <v>-0.39157715337050403</v>
      </c>
      <c r="LO130" s="3">
        <f ca="1">IFERROR(__xludf.DUMMYFUNCTION("""COMPUTED_VALUE"""),-0.448277617488409)</f>
        <v>-0.448277617488409</v>
      </c>
      <c r="LP130" s="3">
        <f ca="1">IFERROR(__xludf.DUMMYFUNCTION("""COMPUTED_VALUE"""),-0.435283813617519)</f>
        <v>-0.435283813617519</v>
      </c>
      <c r="LQ130" s="3">
        <f ca="1">IFERROR(__xludf.DUMMYFUNCTION("""COMPUTED_VALUE"""),-0.35750114341567)</f>
        <v>-0.35750114341567002</v>
      </c>
      <c r="LR130" s="3">
        <f ca="1">IFERROR(__xludf.DUMMYFUNCTION("""COMPUTED_VALUE"""),-0.35587712556987)</f>
        <v>-0.35587712556987</v>
      </c>
      <c r="LS130" s="3">
        <f ca="1">IFERROR(__xludf.DUMMYFUNCTION("""COMPUTED_VALUE"""),-0.361332488188741)</f>
        <v>-0.36133248818874097</v>
      </c>
      <c r="LT130" s="3">
        <f ca="1">IFERROR(__xludf.DUMMYFUNCTION("""COMPUTED_VALUE"""),-0.211509760104058)</f>
        <v>-0.211509760104058</v>
      </c>
      <c r="LU130" s="3">
        <f ca="1">IFERROR(__xludf.DUMMYFUNCTION("""COMPUTED_VALUE"""),-0.362439094475284)</f>
        <v>-0.362439094475284</v>
      </c>
      <c r="LV130" s="3">
        <f ca="1">IFERROR(__xludf.DUMMYFUNCTION("""COMPUTED_VALUE"""),-0.362636356758539)</f>
        <v>-0.362636356758539</v>
      </c>
      <c r="LW130" s="3">
        <f ca="1">IFERROR(__xludf.DUMMYFUNCTION("""COMPUTED_VALUE"""),-0.408273118810423)</f>
        <v>-0.408273118810423</v>
      </c>
      <c r="LX130" s="3">
        <f ca="1">IFERROR(__xludf.DUMMYFUNCTION("""COMPUTED_VALUE"""),-0.400607953187508)</f>
        <v>-0.40060795318750803</v>
      </c>
      <c r="LY130" s="3">
        <f ca="1">IFERROR(__xludf.DUMMYFUNCTION("""COMPUTED_VALUE"""),-0.411384193755717)</f>
        <v>-0.411384193755717</v>
      </c>
      <c r="LZ130" s="3">
        <f ca="1">IFERROR(__xludf.DUMMYFUNCTION("""COMPUTED_VALUE"""),-0.391446539185743)</f>
        <v>-0.39144653918574301</v>
      </c>
      <c r="MA130" s="3">
        <f ca="1">IFERROR(__xludf.DUMMYFUNCTION("""COMPUTED_VALUE"""),-0.394097412888406)</f>
        <v>-0.394097412888406</v>
      </c>
      <c r="MB130" s="3">
        <f ca="1">IFERROR(__xludf.DUMMYFUNCTION("""COMPUTED_VALUE"""),-0.435910596396875)</f>
        <v>-0.43591059639687502</v>
      </c>
      <c r="MC130" s="3">
        <f ca="1">IFERROR(__xludf.DUMMYFUNCTION("""COMPUTED_VALUE"""),-0.393367512871743)</f>
        <v>-0.39336751287174299</v>
      </c>
      <c r="MD130" s="3">
        <f ca="1">IFERROR(__xludf.DUMMYFUNCTION("""COMPUTED_VALUE"""),-0.457774494394664)</f>
        <v>-0.457774494394664</v>
      </c>
      <c r="ME130" s="3">
        <f ca="1">IFERROR(__xludf.DUMMYFUNCTION("""COMPUTED_VALUE"""),-0.384348142831927)</f>
        <v>-0.38434814283192698</v>
      </c>
      <c r="MF130" s="3">
        <f ca="1">IFERROR(__xludf.DUMMYFUNCTION("""COMPUTED_VALUE"""),-0.302622015635522)</f>
        <v>-0.30262201563552199</v>
      </c>
      <c r="MG130" s="3">
        <f ca="1">IFERROR(__xludf.DUMMYFUNCTION("""COMPUTED_VALUE"""),-0.449394431446865)</f>
        <v>-0.44939443144686497</v>
      </c>
      <c r="MH130" s="3">
        <f ca="1">IFERROR(__xludf.DUMMYFUNCTION("""COMPUTED_VALUE"""),-0.407001946834559)</f>
        <v>-0.40700194683455898</v>
      </c>
      <c r="MI130" s="3">
        <f ca="1">IFERROR(__xludf.DUMMYFUNCTION("""COMPUTED_VALUE"""),-0.471213648657325)</f>
        <v>-0.47121364865732501</v>
      </c>
      <c r="MJ130" s="3">
        <f ca="1">IFERROR(__xludf.DUMMYFUNCTION("""COMPUTED_VALUE"""),-0.486365426584929)</f>
        <v>-0.48636542658492898</v>
      </c>
      <c r="MK130" s="3">
        <f ca="1">IFERROR(__xludf.DUMMYFUNCTION("""COMPUTED_VALUE"""),-0.460483893047301)</f>
        <v>-0.46048389304730097</v>
      </c>
      <c r="ML130" s="3">
        <f ca="1">IFERROR(__xludf.DUMMYFUNCTION("""COMPUTED_VALUE"""),-0.420067157919638)</f>
        <v>-0.420067157919638</v>
      </c>
      <c r="MM130" s="3">
        <f ca="1">IFERROR(__xludf.DUMMYFUNCTION("""COMPUTED_VALUE"""),-0.355448334733654)</f>
        <v>-0.355448334733654</v>
      </c>
      <c r="MN130" s="3">
        <f ca="1">IFERROR(__xludf.DUMMYFUNCTION("""COMPUTED_VALUE"""),-0.516977896737989)</f>
        <v>-0.516977896737989</v>
      </c>
      <c r="MO130" s="3">
        <f ca="1">IFERROR(__xludf.DUMMYFUNCTION("""COMPUTED_VALUE"""),-0.454668517487371)</f>
        <v>-0.45466851748737103</v>
      </c>
      <c r="MP130" s="3">
        <f ca="1">IFERROR(__xludf.DUMMYFUNCTION("""COMPUTED_VALUE"""),-0.487920479749671)</f>
        <v>-0.48792047974967101</v>
      </c>
      <c r="MQ130" s="3">
        <f ca="1">IFERROR(__xludf.DUMMYFUNCTION("""COMPUTED_VALUE"""),-0.527512137330756)</f>
        <v>-0.52751213733075597</v>
      </c>
      <c r="MR130" s="3">
        <f ca="1">IFERROR(__xludf.DUMMYFUNCTION("""COMPUTED_VALUE"""),-0.55070072043423)</f>
        <v>-0.55070072043423002</v>
      </c>
      <c r="MS130" s="3">
        <f ca="1">IFERROR(__xludf.DUMMYFUNCTION("""COMPUTED_VALUE"""),-0.421118068040415)</f>
        <v>-0.42111806804041502</v>
      </c>
      <c r="MT130" s="3">
        <f ca="1">IFERROR(__xludf.DUMMYFUNCTION("""COMPUTED_VALUE"""),-0.43543720932566)</f>
        <v>-0.43543720932565999</v>
      </c>
      <c r="MU130" s="3">
        <f ca="1">IFERROR(__xludf.DUMMYFUNCTION("""COMPUTED_VALUE"""),-0.465251965437395)</f>
        <v>-0.465251965437395</v>
      </c>
      <c r="MV130" s="3">
        <f ca="1">IFERROR(__xludf.DUMMYFUNCTION("""COMPUTED_VALUE"""),-0.460708926560627)</f>
        <v>-0.46070892656062701</v>
      </c>
      <c r="MW130" s="3">
        <f ca="1">IFERROR(__xludf.DUMMYFUNCTION("""COMPUTED_VALUE"""),-0.426827996978206)</f>
        <v>-0.426827996978206</v>
      </c>
      <c r="MX130" s="3">
        <f ca="1">IFERROR(__xludf.DUMMYFUNCTION("""COMPUTED_VALUE"""),-0.530255931792854)</f>
        <v>-0.53025593179285402</v>
      </c>
      <c r="MY130" s="3">
        <f ca="1">IFERROR(__xludf.DUMMYFUNCTION("""COMPUTED_VALUE"""),-0.619746482217922)</f>
        <v>-0.61974648221792195</v>
      </c>
      <c r="MZ130" s="3">
        <f ca="1">IFERROR(__xludf.DUMMYFUNCTION("""COMPUTED_VALUE"""),-0.428687885673468)</f>
        <v>-0.42868788567346799</v>
      </c>
      <c r="NA130" s="3">
        <f ca="1">IFERROR(__xludf.DUMMYFUNCTION("""COMPUTED_VALUE"""),-0.421720599525956)</f>
        <v>-0.42172059952595597</v>
      </c>
      <c r="NB130" s="3">
        <f ca="1">IFERROR(__xludf.DUMMYFUNCTION("""COMPUTED_VALUE"""),-0.4665515743594)</f>
        <v>-0.46655157435939998</v>
      </c>
      <c r="NC130" s="3">
        <f ca="1">IFERROR(__xludf.DUMMYFUNCTION("""COMPUTED_VALUE"""),-0.469396894854804)</f>
        <v>-0.46939689485480401</v>
      </c>
      <c r="ND130" s="3">
        <f ca="1">IFERROR(__xludf.DUMMYFUNCTION("""COMPUTED_VALUE"""),-0.460099460042751)</f>
        <v>-0.46009946004275099</v>
      </c>
      <c r="NE130" s="3">
        <f ca="1">IFERROR(__xludf.DUMMYFUNCTION("""COMPUTED_VALUE"""),-0.456182976423552)</f>
        <v>-0.45618297642355199</v>
      </c>
      <c r="NF130" s="3">
        <f ca="1">IFERROR(__xludf.DUMMYFUNCTION("""COMPUTED_VALUE"""),-0.496714465207187)</f>
        <v>-0.49671446520718698</v>
      </c>
      <c r="NG130" s="3">
        <f ca="1">IFERROR(__xludf.DUMMYFUNCTION("""COMPUTED_VALUE"""),-0.505824093525624)</f>
        <v>-0.50582409352562396</v>
      </c>
      <c r="NH130" s="3">
        <f ca="1">IFERROR(__xludf.DUMMYFUNCTION("""COMPUTED_VALUE"""),-0.466972494457731)</f>
        <v>-0.46697249445773098</v>
      </c>
      <c r="NI130" s="3">
        <f ca="1">IFERROR(__xludf.DUMMYFUNCTION("""COMPUTED_VALUE"""),-0.441934652815668)</f>
        <v>-0.44193465281566802</v>
      </c>
      <c r="NJ130" s="3">
        <f ca="1">IFERROR(__xludf.DUMMYFUNCTION("""COMPUTED_VALUE"""),-0.461395959182629)</f>
        <v>-0.46139595918262899</v>
      </c>
      <c r="NK130" s="3">
        <f ca="1">IFERROR(__xludf.DUMMYFUNCTION("""COMPUTED_VALUE"""),-0.39093859890592)</f>
        <v>-0.39093859890591998</v>
      </c>
      <c r="NL130" s="3">
        <f ca="1">IFERROR(__xludf.DUMMYFUNCTION("""COMPUTED_VALUE"""),-0.550666271092942)</f>
        <v>-0.55066627109294197</v>
      </c>
      <c r="NM130" s="3">
        <f ca="1">IFERROR(__xludf.DUMMYFUNCTION("""COMPUTED_VALUE"""),-0.514036568516839)</f>
        <v>-0.51403656851683899</v>
      </c>
      <c r="NN130" s="3">
        <f ca="1">IFERROR(__xludf.DUMMYFUNCTION("""COMPUTED_VALUE"""),-0.506186992383838)</f>
        <v>-0.50618699238383802</v>
      </c>
      <c r="NO130" s="3">
        <f ca="1">IFERROR(__xludf.DUMMYFUNCTION("""COMPUTED_VALUE"""),-0.476567755914443)</f>
        <v>-0.476567755914443</v>
      </c>
      <c r="NP130" s="3">
        <f ca="1">IFERROR(__xludf.DUMMYFUNCTION("""COMPUTED_VALUE"""),-0.410269333506652)</f>
        <v>-0.41026933350665201</v>
      </c>
      <c r="NQ130" s="3">
        <f ca="1">IFERROR(__xludf.DUMMYFUNCTION("""COMPUTED_VALUE"""),-0.549527122412622)</f>
        <v>-0.54952712241262203</v>
      </c>
      <c r="NR130" s="3">
        <f ca="1">IFERROR(__xludf.DUMMYFUNCTION("""COMPUTED_VALUE"""),-0.400792547242598)</f>
        <v>-0.400792547242598</v>
      </c>
      <c r="NS130" s="3">
        <f ca="1">IFERROR(__xludf.DUMMYFUNCTION("""COMPUTED_VALUE"""),-0.39374660843621)</f>
        <v>-0.39374660843621001</v>
      </c>
      <c r="NT130" s="3">
        <f ca="1">IFERROR(__xludf.DUMMYFUNCTION("""COMPUTED_VALUE"""),-0.472863731188364)</f>
        <v>-0.472863731188364</v>
      </c>
      <c r="NU130" s="3">
        <f ca="1">IFERROR(__xludf.DUMMYFUNCTION("""COMPUTED_VALUE"""),-0.524828853084198)</f>
        <v>-0.52482885308419802</v>
      </c>
      <c r="NV130" s="3">
        <f ca="1">IFERROR(__xludf.DUMMYFUNCTION("""COMPUTED_VALUE"""),-0.412028611472586)</f>
        <v>-0.41202861147258601</v>
      </c>
      <c r="NW130" s="3">
        <f ca="1">IFERROR(__xludf.DUMMYFUNCTION("""COMPUTED_VALUE"""),-0.41626882320837)</f>
        <v>-0.41626882320837</v>
      </c>
      <c r="NX130" s="3">
        <f ca="1">IFERROR(__xludf.DUMMYFUNCTION("""COMPUTED_VALUE"""),-0.453035294412807)</f>
        <v>-0.45303529441280699</v>
      </c>
      <c r="NY130" s="3">
        <f ca="1">IFERROR(__xludf.DUMMYFUNCTION("""COMPUTED_VALUE"""),-0.251671269874513)</f>
        <v>-0.25167126987451299</v>
      </c>
      <c r="NZ130" s="3">
        <f ca="1">IFERROR(__xludf.DUMMYFUNCTION("""COMPUTED_VALUE"""),-0.347701879201949)</f>
        <v>-0.347701879201949</v>
      </c>
      <c r="OA130" s="3">
        <f ca="1">IFERROR(__xludf.DUMMYFUNCTION("""COMPUTED_VALUE"""),-0.445672434885498)</f>
        <v>-0.44567243488549801</v>
      </c>
      <c r="OB130" s="3">
        <f ca="1">IFERROR(__xludf.DUMMYFUNCTION("""COMPUTED_VALUE"""),-0.271253404927322)</f>
        <v>-0.27125340492732197</v>
      </c>
      <c r="OC130" s="3">
        <f ca="1">IFERROR(__xludf.DUMMYFUNCTION("""COMPUTED_VALUE"""),-0.211414087269253)</f>
        <v>-0.21141408726925301</v>
      </c>
      <c r="OD130" s="3">
        <f ca="1">IFERROR(__xludf.DUMMYFUNCTION("""COMPUTED_VALUE"""),-0.212942037382995)</f>
        <v>-0.212942037382995</v>
      </c>
      <c r="OE130" s="3">
        <f ca="1">IFERROR(__xludf.DUMMYFUNCTION("""COMPUTED_VALUE"""),-0.252798212829226)</f>
        <v>-0.25279821282922599</v>
      </c>
      <c r="OF130" s="3">
        <f ca="1">IFERROR(__xludf.DUMMYFUNCTION("""COMPUTED_VALUE"""),-0.158424804711045)</f>
        <v>-0.158424804711045</v>
      </c>
      <c r="OG130" s="3">
        <f ca="1">IFERROR(__xludf.DUMMYFUNCTION("""COMPUTED_VALUE"""),-0.108232422064029)</f>
        <v>-0.108232422064029</v>
      </c>
      <c r="OH130" s="3">
        <f ca="1">IFERROR(__xludf.DUMMYFUNCTION("""COMPUTED_VALUE"""),-0.0881975826541245)</f>
        <v>-8.8197582654124501E-2</v>
      </c>
      <c r="OI130" s="3">
        <f ca="1">IFERROR(__xludf.DUMMYFUNCTION("""COMPUTED_VALUE"""),-0.0987565954021895)</f>
        <v>-9.8756595402189506E-2</v>
      </c>
      <c r="OJ130" s="3">
        <f ca="1">IFERROR(__xludf.DUMMYFUNCTION("""COMPUTED_VALUE"""),-0.040959326560095)</f>
        <v>-4.0959326560095002E-2</v>
      </c>
      <c r="OK130" s="3">
        <f ca="1">IFERROR(__xludf.DUMMYFUNCTION("""COMPUTED_VALUE"""),-0.0719433941224827)</f>
        <v>-7.1943394122482698E-2</v>
      </c>
      <c r="OL130" s="3">
        <f ca="1">IFERROR(__xludf.DUMMYFUNCTION("""COMPUTED_VALUE"""),0.011053050665561)</f>
        <v>1.1053050665561E-2</v>
      </c>
      <c r="OM130" s="3">
        <f ca="1">IFERROR(__xludf.DUMMYFUNCTION("""COMPUTED_VALUE"""),0.128748954367512)</f>
        <v>0.12874895436751199</v>
      </c>
      <c r="ON130" s="3">
        <f ca="1">IFERROR(__xludf.DUMMYFUNCTION("""COMPUTED_VALUE"""),0.107292643056097)</f>
        <v>0.107292643056097</v>
      </c>
      <c r="OO130" s="3">
        <f ca="1">IFERROR(__xludf.DUMMYFUNCTION("""COMPUTED_VALUE"""),0.0267960392407975)</f>
        <v>2.6796039240797501E-2</v>
      </c>
      <c r="OP130" s="3">
        <f ca="1">IFERROR(__xludf.DUMMYFUNCTION("""COMPUTED_VALUE"""),0.0434369738920961)</f>
        <v>4.3436973892096102E-2</v>
      </c>
      <c r="OQ130" s="3">
        <f ca="1">IFERROR(__xludf.DUMMYFUNCTION("""COMPUTED_VALUE"""),0.00549524579192262)</f>
        <v>5.4952457919226197E-3</v>
      </c>
      <c r="OR130" s="3">
        <f ca="1">IFERROR(__xludf.DUMMYFUNCTION("""COMPUTED_VALUE"""),0.154975911563937)</f>
        <v>0.154975911563937</v>
      </c>
      <c r="OS130" s="3">
        <f ca="1">IFERROR(__xludf.DUMMYFUNCTION("""COMPUTED_VALUE"""),0.096122098350238)</f>
        <v>9.6122098350237994E-2</v>
      </c>
      <c r="OT130" s="3">
        <f ca="1">IFERROR(__xludf.DUMMYFUNCTION("""COMPUTED_VALUE"""),0.0670070965540943)</f>
        <v>6.70070965540943E-2</v>
      </c>
      <c r="OU130" s="3">
        <f ca="1">IFERROR(__xludf.DUMMYFUNCTION("""COMPUTED_VALUE"""),0.2074699737952)</f>
        <v>0.20746997379519999</v>
      </c>
      <c r="OV130" s="3">
        <f ca="1">IFERROR(__xludf.DUMMYFUNCTION("""COMPUTED_VALUE"""),-0.028302818490018)</f>
        <v>-2.8302818490017999E-2</v>
      </c>
      <c r="OW130" s="3">
        <f ca="1">IFERROR(__xludf.DUMMYFUNCTION("""COMPUTED_VALUE"""),0.0296217742875812)</f>
        <v>2.9621774287581198E-2</v>
      </c>
      <c r="OX130" s="3">
        <f ca="1">IFERROR(__xludf.DUMMYFUNCTION("""COMPUTED_VALUE"""),0.0514179701649528)</f>
        <v>5.1417970164952802E-2</v>
      </c>
      <c r="OY130" s="3">
        <f ca="1">IFERROR(__xludf.DUMMYFUNCTION("""COMPUTED_VALUE"""),0.00380594527361033)</f>
        <v>3.80594527361033E-3</v>
      </c>
      <c r="OZ130" s="3">
        <f ca="1">IFERROR(__xludf.DUMMYFUNCTION("""COMPUTED_VALUE"""),0.214358760820313)</f>
        <v>0.21435876082031299</v>
      </c>
      <c r="PA130" s="3">
        <f ca="1">IFERROR(__xludf.DUMMYFUNCTION("""COMPUTED_VALUE"""),-0.061746661216621)</f>
        <v>-6.1746661216621E-2</v>
      </c>
      <c r="PB130" s="3">
        <f ca="1">IFERROR(__xludf.DUMMYFUNCTION("""COMPUTED_VALUE"""),0.138412201364119)</f>
        <v>0.138412201364119</v>
      </c>
      <c r="PC130" s="3">
        <f ca="1">IFERROR(__xludf.DUMMYFUNCTION("""COMPUTED_VALUE"""),-0.0230044754590846)</f>
        <v>-2.30044754590846E-2</v>
      </c>
      <c r="PD130" s="3">
        <f ca="1">IFERROR(__xludf.DUMMYFUNCTION("""COMPUTED_VALUE"""),-0.150429591901386)</f>
        <v>-0.150429591901386</v>
      </c>
      <c r="PE130" s="3">
        <f ca="1">IFERROR(__xludf.DUMMYFUNCTION("""COMPUTED_VALUE"""),-0.0214491039202096)</f>
        <v>-2.14491039202096E-2</v>
      </c>
      <c r="PF130" s="3">
        <f ca="1">IFERROR(__xludf.DUMMYFUNCTION("""COMPUTED_VALUE"""),-0.0648677706989351)</f>
        <v>-6.4867770698935096E-2</v>
      </c>
      <c r="PG130" s="3">
        <f ca="1">IFERROR(__xludf.DUMMYFUNCTION("""COMPUTED_VALUE"""),-0.00498315116421244)</f>
        <v>-4.9831511642124404E-3</v>
      </c>
      <c r="PH130" s="3">
        <f ca="1">IFERROR(__xludf.DUMMYFUNCTION("""COMPUTED_VALUE"""),0.0692777418542736)</f>
        <v>6.92777418542736E-2</v>
      </c>
      <c r="PI130" s="3">
        <f ca="1">IFERROR(__xludf.DUMMYFUNCTION("""COMPUTED_VALUE"""),0.0831348133464311)</f>
        <v>8.3134813346431094E-2</v>
      </c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</row>
    <row r="131" spans="1:477" ht="13">
      <c r="A131" s="1" t="str">
        <f ca="1">IFERROR(__xludf.DUMMYFUNCTION("""COMPUTED_VALUE"""),"MTS")</f>
        <v>MTS</v>
      </c>
      <c r="B131" s="1" t="str">
        <f ca="1">IFERROR(__xludf.DUMMYFUNCTION("""COMPUTED_VALUE"""),"San Diego")</f>
        <v>San Diego</v>
      </c>
      <c r="C131" s="1" t="str">
        <f ca="1">IFERROR(__xludf.DUMMYFUNCTION("""COMPUTED_VALUE"""),"United States")</f>
        <v>United States</v>
      </c>
      <c r="D131" s="1" t="str">
        <f ca="1">IFERROR(__xludf.DUMMYFUNCTION("""COMPUTED_VALUE"""),"California")</f>
        <v>California</v>
      </c>
      <c r="E131" s="3">
        <f ca="1">IFERROR(__xludf.DUMMYFUNCTION("""COMPUTED_VALUE"""),-0.539501668141691)</f>
        <v>-0.53950166814169098</v>
      </c>
      <c r="F131" s="3">
        <f ca="1">IFERROR(__xludf.DUMMYFUNCTION("""COMPUTED_VALUE"""),-0.601577021155856)</f>
        <v>-0.60157702115585598</v>
      </c>
      <c r="G131" s="3">
        <f ca="1">IFERROR(__xludf.DUMMYFUNCTION("""COMPUTED_VALUE"""),-0.66264494050142)</f>
        <v>-0.66264494050141998</v>
      </c>
      <c r="H131" s="3">
        <f ca="1">IFERROR(__xludf.DUMMYFUNCTION("""COMPUTED_VALUE"""),-0.623505178025944)</f>
        <v>-0.62350517802594396</v>
      </c>
      <c r="I131" s="3">
        <f ca="1">IFERROR(__xludf.DUMMYFUNCTION("""COMPUTED_VALUE"""),-0.660694660683644)</f>
        <v>-0.66069466068364402</v>
      </c>
      <c r="J131" s="3">
        <f ca="1">IFERROR(__xludf.DUMMYFUNCTION("""COMPUTED_VALUE"""),-0.645285307572715)</f>
        <v>-0.64528530757271496</v>
      </c>
      <c r="K131" s="3">
        <f ca="1">IFERROR(__xludf.DUMMYFUNCTION("""COMPUTED_VALUE"""),-0.575404152269066)</f>
        <v>-0.57540415226906605</v>
      </c>
      <c r="L131" s="3">
        <f ca="1">IFERROR(__xludf.DUMMYFUNCTION("""COMPUTED_VALUE"""),-0.553738004846777)</f>
        <v>-0.55373800484677704</v>
      </c>
      <c r="M131" s="3">
        <f ca="1">IFERROR(__xludf.DUMMYFUNCTION("""COMPUTED_VALUE"""),-0.570735246373297)</f>
        <v>-0.57073524637329698</v>
      </c>
      <c r="N131" s="3">
        <f ca="1">IFERROR(__xludf.DUMMYFUNCTION("""COMPUTED_VALUE"""),-0.642563059688296)</f>
        <v>-0.64256305968829597</v>
      </c>
      <c r="O131" s="3">
        <f ca="1">IFERROR(__xludf.DUMMYFUNCTION("""COMPUTED_VALUE"""),-0.680763944193793)</f>
        <v>-0.68076394419379305</v>
      </c>
      <c r="P131" s="3">
        <f ca="1">IFERROR(__xludf.DUMMYFUNCTION("""COMPUTED_VALUE"""),-0.667298349413281)</f>
        <v>-0.66729834941328103</v>
      </c>
      <c r="Q131" s="3">
        <f ca="1">IFERROR(__xludf.DUMMYFUNCTION("""COMPUTED_VALUE"""),-0.643023853969418)</f>
        <v>-0.64302385396941797</v>
      </c>
      <c r="R131" s="3">
        <f ca="1">IFERROR(__xludf.DUMMYFUNCTION("""COMPUTED_VALUE"""),-0.506944954691853)</f>
        <v>-0.50694495469185297</v>
      </c>
      <c r="S131" s="3">
        <f ca="1">IFERROR(__xludf.DUMMYFUNCTION("""COMPUTED_VALUE"""),-0.557367040709446)</f>
        <v>-0.55736704070944598</v>
      </c>
      <c r="T131" s="3">
        <f ca="1">IFERROR(__xludf.DUMMYFUNCTION("""COMPUTED_VALUE"""),-0.606500278140155)</f>
        <v>-0.60650027814015495</v>
      </c>
      <c r="U131" s="3">
        <f ca="1">IFERROR(__xludf.DUMMYFUNCTION("""COMPUTED_VALUE"""),-0.682816805961998)</f>
        <v>-0.68281680596199801</v>
      </c>
      <c r="V131" s="3">
        <f ca="1">IFERROR(__xludf.DUMMYFUNCTION("""COMPUTED_VALUE"""),-0.673205825331724)</f>
        <v>-0.67320582533172402</v>
      </c>
      <c r="W131" s="3">
        <f ca="1">IFERROR(__xludf.DUMMYFUNCTION("""COMPUTED_VALUE"""),-0.692625527866959)</f>
        <v>-0.69262552786695897</v>
      </c>
      <c r="X131" s="3">
        <f ca="1">IFERROR(__xludf.DUMMYFUNCTION("""COMPUTED_VALUE"""),-0.657077713505551)</f>
        <v>-0.657077713505551</v>
      </c>
      <c r="Y131" s="3">
        <f ca="1">IFERROR(__xludf.DUMMYFUNCTION("""COMPUTED_VALUE"""),-0.576354099823794)</f>
        <v>-0.57635409982379404</v>
      </c>
      <c r="Z131" s="3">
        <f ca="1">IFERROR(__xludf.DUMMYFUNCTION("""COMPUTED_VALUE"""),-0.529945436477178)</f>
        <v>-0.52994543647717796</v>
      </c>
      <c r="AA131" s="3">
        <f ca="1">IFERROR(__xludf.DUMMYFUNCTION("""COMPUTED_VALUE"""),-0.628926538529205)</f>
        <v>-0.62892653852920499</v>
      </c>
      <c r="AB131" s="3">
        <f ca="1">IFERROR(__xludf.DUMMYFUNCTION("""COMPUTED_VALUE"""),-0.692905598893973)</f>
        <v>-0.69290559889397296</v>
      </c>
      <c r="AC131" s="3">
        <f ca="1">IFERROR(__xludf.DUMMYFUNCTION("""COMPUTED_VALUE"""),-0.696865816603084)</f>
        <v>-0.696865816603084</v>
      </c>
      <c r="AD131" s="3">
        <f ca="1">IFERROR(__xludf.DUMMYFUNCTION("""COMPUTED_VALUE"""),-0.685654859572096)</f>
        <v>-0.68565485957209604</v>
      </c>
      <c r="AE131" s="3">
        <f ca="1">IFERROR(__xludf.DUMMYFUNCTION("""COMPUTED_VALUE"""),-0.688319383759708)</f>
        <v>-0.68831938375970803</v>
      </c>
      <c r="AF131" s="3">
        <f ca="1">IFERROR(__xludf.DUMMYFUNCTION("""COMPUTED_VALUE"""),-0.562483041831183)</f>
        <v>-0.56248304183118303</v>
      </c>
      <c r="AG131" s="3">
        <f ca="1">IFERROR(__xludf.DUMMYFUNCTION("""COMPUTED_VALUE"""),-0.586851779528945)</f>
        <v>-0.58685177952894496</v>
      </c>
      <c r="AH131" s="3">
        <f ca="1">IFERROR(__xludf.DUMMYFUNCTION("""COMPUTED_VALUE"""),-0.657630050501812)</f>
        <v>-0.657630050501812</v>
      </c>
      <c r="AI131" s="3">
        <f ca="1">IFERROR(__xludf.DUMMYFUNCTION("""COMPUTED_VALUE"""),-0.735527313321019)</f>
        <v>-0.73552731332101895</v>
      </c>
      <c r="AJ131" s="3">
        <f ca="1">IFERROR(__xludf.DUMMYFUNCTION("""COMPUTED_VALUE"""),-0.745122846788241)</f>
        <v>-0.74512284678824103</v>
      </c>
      <c r="AK131" s="3">
        <f ca="1">IFERROR(__xludf.DUMMYFUNCTION("""COMPUTED_VALUE"""),-0.714301993194455)</f>
        <v>-0.71430199319445498</v>
      </c>
      <c r="AL131" s="3">
        <f ca="1">IFERROR(__xludf.DUMMYFUNCTION("""COMPUTED_VALUE"""),-0.686726793723365)</f>
        <v>-0.68672679372336498</v>
      </c>
      <c r="AM131" s="3">
        <f ca="1">IFERROR(__xludf.DUMMYFUNCTION("""COMPUTED_VALUE"""),-0.621781337700098)</f>
        <v>-0.62178133770009802</v>
      </c>
      <c r="AN131" s="3">
        <f ca="1">IFERROR(__xludf.DUMMYFUNCTION("""COMPUTED_VALUE"""),-0.583273718575676)</f>
        <v>-0.583273718575676</v>
      </c>
      <c r="AO131" s="3">
        <f ca="1">IFERROR(__xludf.DUMMYFUNCTION("""COMPUTED_VALUE"""),-0.693299122374143)</f>
        <v>-0.69329912237414304</v>
      </c>
      <c r="AP131" s="3">
        <f ca="1">IFERROR(__xludf.DUMMYFUNCTION("""COMPUTED_VALUE"""),-0.738752251460899)</f>
        <v>-0.73875225146089896</v>
      </c>
      <c r="AQ131" s="3">
        <f ca="1">IFERROR(__xludf.DUMMYFUNCTION("""COMPUTED_VALUE"""),-0.747197451357946)</f>
        <v>-0.74719745135794602</v>
      </c>
      <c r="AR131" s="3">
        <f ca="1">IFERROR(__xludf.DUMMYFUNCTION("""COMPUTED_VALUE"""),-0.702430363500734)</f>
        <v>-0.70243036350073396</v>
      </c>
      <c r="AS131" s="3">
        <f ca="1">IFERROR(__xludf.DUMMYFUNCTION("""COMPUTED_VALUE"""),-0.70515867756043)</f>
        <v>-0.70515867756043005</v>
      </c>
      <c r="AT131" s="3">
        <f ca="1">IFERROR(__xludf.DUMMYFUNCTION("""COMPUTED_VALUE"""),-0.507401324225669)</f>
        <v>-0.50740132422566897</v>
      </c>
      <c r="AU131" s="3">
        <f ca="1">IFERROR(__xludf.DUMMYFUNCTION("""COMPUTED_VALUE"""),-0.558237295954684)</f>
        <v>-0.55823729595468397</v>
      </c>
      <c r="AV131" s="3">
        <f ca="1">IFERROR(__xludf.DUMMYFUNCTION("""COMPUTED_VALUE"""),-0.685789756043709)</f>
        <v>-0.68578975604370895</v>
      </c>
      <c r="AW131" s="3">
        <f ca="1">IFERROR(__xludf.DUMMYFUNCTION("""COMPUTED_VALUE"""),-0.714174684017732)</f>
        <v>-0.71417468401773199</v>
      </c>
      <c r="AX131" s="3">
        <f ca="1">IFERROR(__xludf.DUMMYFUNCTION("""COMPUTED_VALUE"""),-0.707866104382172)</f>
        <v>-0.70786610438217201</v>
      </c>
      <c r="AY131" s="3">
        <f ca="1">IFERROR(__xludf.DUMMYFUNCTION("""COMPUTED_VALUE"""),-0.731166977576649)</f>
        <v>-0.73116697757664895</v>
      </c>
      <c r="AZ131" s="3">
        <f ca="1">IFERROR(__xludf.DUMMYFUNCTION("""COMPUTED_VALUE"""),-0.707142095522247)</f>
        <v>-0.70714209552224705</v>
      </c>
      <c r="BA131" s="3">
        <f ca="1">IFERROR(__xludf.DUMMYFUNCTION("""COMPUTED_VALUE"""),-0.499917846455976)</f>
        <v>-0.49991784645597598</v>
      </c>
      <c r="BB131" s="3">
        <f ca="1">IFERROR(__xludf.DUMMYFUNCTION("""COMPUTED_VALUE"""),-0.554912312155404)</f>
        <v>-0.55491231215540404</v>
      </c>
      <c r="BC131" s="3">
        <f ca="1">IFERROR(__xludf.DUMMYFUNCTION("""COMPUTED_VALUE"""),-0.685708936352492)</f>
        <v>-0.68570893635249197</v>
      </c>
      <c r="BD131" s="3">
        <f ca="1">IFERROR(__xludf.DUMMYFUNCTION("""COMPUTED_VALUE"""),-0.678935607528245)</f>
        <v>-0.678935607528245</v>
      </c>
      <c r="BE131" s="3">
        <f ca="1">IFERROR(__xludf.DUMMYFUNCTION("""COMPUTED_VALUE"""),-0.698724793164077)</f>
        <v>-0.69872479316407698</v>
      </c>
      <c r="BF131" s="3">
        <f ca="1">IFERROR(__xludf.DUMMYFUNCTION("""COMPUTED_VALUE"""),-0.702835410676519)</f>
        <v>-0.702835410676519</v>
      </c>
      <c r="BG131" s="3">
        <f ca="1">IFERROR(__xludf.DUMMYFUNCTION("""COMPUTED_VALUE"""),-0.682919250361994)</f>
        <v>-0.68291925036199397</v>
      </c>
      <c r="BH131" s="3">
        <f ca="1">IFERROR(__xludf.DUMMYFUNCTION("""COMPUTED_VALUE"""),-0.524289783503432)</f>
        <v>-0.52428978350343203</v>
      </c>
      <c r="BI131" s="3">
        <f ca="1">IFERROR(__xludf.DUMMYFUNCTION("""COMPUTED_VALUE"""),-0.595497539181932)</f>
        <v>-0.59549753918193205</v>
      </c>
      <c r="BJ131" s="3">
        <f ca="1">IFERROR(__xludf.DUMMYFUNCTION("""COMPUTED_VALUE"""),-0.69917368668446)</f>
        <v>-0.69917368668446001</v>
      </c>
      <c r="BK131" s="3">
        <f ca="1">IFERROR(__xludf.DUMMYFUNCTION("""COMPUTED_VALUE"""),-0.737761350887586)</f>
        <v>-0.73776135088758599</v>
      </c>
      <c r="BL131" s="3">
        <f ca="1">IFERROR(__xludf.DUMMYFUNCTION("""COMPUTED_VALUE"""),-0.747743907681253)</f>
        <v>-0.74774390768125298</v>
      </c>
      <c r="BM131" s="3">
        <f ca="1">IFERROR(__xludf.DUMMYFUNCTION("""COMPUTED_VALUE"""),-0.734572963314726)</f>
        <v>-0.73457296331472599</v>
      </c>
      <c r="BN131" s="3">
        <f ca="1">IFERROR(__xludf.DUMMYFUNCTION("""COMPUTED_VALUE"""),-0.719144849320819)</f>
        <v>-0.71914484932081901</v>
      </c>
      <c r="BO131" s="3">
        <f ca="1">IFERROR(__xludf.DUMMYFUNCTION("""COMPUTED_VALUE"""),-0.573941046429693)</f>
        <v>-0.57394104642969301</v>
      </c>
      <c r="BP131" s="3">
        <f ca="1">IFERROR(__xludf.DUMMYFUNCTION("""COMPUTED_VALUE"""),-0.543024619380968)</f>
        <v>-0.54302461938096802</v>
      </c>
      <c r="BQ131" s="3">
        <f ca="1">IFERROR(__xludf.DUMMYFUNCTION("""COMPUTED_VALUE"""),-0.694580730507433)</f>
        <v>-0.69458073050743296</v>
      </c>
      <c r="BR131" s="3">
        <f ca="1">IFERROR(__xludf.DUMMYFUNCTION("""COMPUTED_VALUE"""),-0.733050201615189)</f>
        <v>-0.73305020161518897</v>
      </c>
      <c r="BS131" s="3">
        <f ca="1">IFERROR(__xludf.DUMMYFUNCTION("""COMPUTED_VALUE"""),-0.721613876268849)</f>
        <v>-0.72161387626884899</v>
      </c>
      <c r="BT131" s="3">
        <f ca="1">IFERROR(__xludf.DUMMYFUNCTION("""COMPUTED_VALUE"""),-0.754288893530508)</f>
        <v>-0.75428889353050799</v>
      </c>
      <c r="BU131" s="3">
        <f ca="1">IFERROR(__xludf.DUMMYFUNCTION("""COMPUTED_VALUE"""),-0.725241305781824)</f>
        <v>-0.725241305781824</v>
      </c>
      <c r="BV131" s="3">
        <f ca="1">IFERROR(__xludf.DUMMYFUNCTION("""COMPUTED_VALUE"""),-0.54939185558633)</f>
        <v>-0.54939185558632997</v>
      </c>
      <c r="BW131" s="3">
        <f ca="1">IFERROR(__xludf.DUMMYFUNCTION("""COMPUTED_VALUE"""),-0.603944331252139)</f>
        <v>-0.60394433125213898</v>
      </c>
      <c r="BX131" s="3">
        <f ca="1">IFERROR(__xludf.DUMMYFUNCTION("""COMPUTED_VALUE"""),-0.771179522911947)</f>
        <v>-0.77117952291194702</v>
      </c>
      <c r="BY131" s="3">
        <f ca="1">IFERROR(__xludf.DUMMYFUNCTION("""COMPUTED_VALUE"""),-0.740002439000209)</f>
        <v>-0.74000243900020901</v>
      </c>
      <c r="BZ131" s="3">
        <f ca="1">IFERROR(__xludf.DUMMYFUNCTION("""COMPUTED_VALUE"""),-0.742468078637252)</f>
        <v>-0.74246807863725195</v>
      </c>
      <c r="CA131" s="3">
        <f ca="1">IFERROR(__xludf.DUMMYFUNCTION("""COMPUTED_VALUE"""),-0.725217817355029)</f>
        <v>-0.72521781735502899</v>
      </c>
      <c r="CB131" s="3">
        <f ca="1">IFERROR(__xludf.DUMMYFUNCTION("""COMPUTED_VALUE"""),-0.758934329120744)</f>
        <v>-0.75893432912074399</v>
      </c>
      <c r="CC131" s="3">
        <f ca="1">IFERROR(__xludf.DUMMYFUNCTION("""COMPUTED_VALUE"""),-0.627312133158061)</f>
        <v>-0.627312133158061</v>
      </c>
      <c r="CD131" s="3">
        <f ca="1">IFERROR(__xludf.DUMMYFUNCTION("""COMPUTED_VALUE"""),-0.693591475736365)</f>
        <v>-0.69359147573636504</v>
      </c>
      <c r="CE131" s="3">
        <f ca="1">IFERROR(__xludf.DUMMYFUNCTION("""COMPUTED_VALUE"""),-0.740714929906592)</f>
        <v>-0.74071492990659205</v>
      </c>
      <c r="CF131" s="3">
        <f ca="1">IFERROR(__xludf.DUMMYFUNCTION("""COMPUTED_VALUE"""),-0.717517765113765)</f>
        <v>-0.71751776511376497</v>
      </c>
      <c r="CG131" s="3">
        <f ca="1">IFERROR(__xludf.DUMMYFUNCTION("""COMPUTED_VALUE"""),-0.738325233419199)</f>
        <v>-0.73832523341919898</v>
      </c>
      <c r="CH131" s="3">
        <f ca="1">IFERROR(__xludf.DUMMYFUNCTION("""COMPUTED_VALUE"""),-0.734970679148501)</f>
        <v>-0.734970679148501</v>
      </c>
      <c r="CI131" s="3">
        <f ca="1">IFERROR(__xludf.DUMMYFUNCTION("""COMPUTED_VALUE"""),-0.682215715542714)</f>
        <v>-0.68221571554271399</v>
      </c>
      <c r="CJ131" s="3">
        <f ca="1">IFERROR(__xludf.DUMMYFUNCTION("""COMPUTED_VALUE"""),-0.560755252718052)</f>
        <v>-0.56075525271805204</v>
      </c>
      <c r="CK131" s="3">
        <f ca="1">IFERROR(__xludf.DUMMYFUNCTION("""COMPUTED_VALUE"""),-0.583202977129139)</f>
        <v>-0.58320297712913904</v>
      </c>
      <c r="CL131" s="3">
        <f ca="1">IFERROR(__xludf.DUMMYFUNCTION("""COMPUTED_VALUE"""),-0.713663487175272)</f>
        <v>-0.71366348717527195</v>
      </c>
      <c r="CM131" s="3">
        <f ca="1">IFERROR(__xludf.DUMMYFUNCTION("""COMPUTED_VALUE"""),-0.706989206052721)</f>
        <v>-0.70698920605272098</v>
      </c>
      <c r="CN131" s="3">
        <f ca="1">IFERROR(__xludf.DUMMYFUNCTION("""COMPUTED_VALUE"""),-0.721929293610934)</f>
        <v>-0.72192929361093405</v>
      </c>
      <c r="CO131" s="3">
        <f ca="1">IFERROR(__xludf.DUMMYFUNCTION("""COMPUTED_VALUE"""),-0.690880784605618)</f>
        <v>-0.69088078460561797</v>
      </c>
      <c r="CP131" s="3">
        <f ca="1">IFERROR(__xludf.DUMMYFUNCTION("""COMPUTED_VALUE"""),-0.672043673354801)</f>
        <v>-0.67204367335480097</v>
      </c>
      <c r="CQ131" s="3">
        <f ca="1">IFERROR(__xludf.DUMMYFUNCTION("""COMPUTED_VALUE"""),-0.634529249979458)</f>
        <v>-0.63452924997945803</v>
      </c>
      <c r="CR131" s="3">
        <f ca="1">IFERROR(__xludf.DUMMYFUNCTION("""COMPUTED_VALUE"""),-0.629520123485801)</f>
        <v>-0.629520123485801</v>
      </c>
      <c r="CS131" s="3">
        <f ca="1">IFERROR(__xludf.DUMMYFUNCTION("""COMPUTED_VALUE"""),-0.68696788403189)</f>
        <v>-0.68696788403189002</v>
      </c>
      <c r="CT131" s="3">
        <f ca="1">IFERROR(__xludf.DUMMYFUNCTION("""COMPUTED_VALUE"""),-0.695330475320602)</f>
        <v>-0.69533047532060199</v>
      </c>
      <c r="CU131" s="3">
        <f ca="1">IFERROR(__xludf.DUMMYFUNCTION("""COMPUTED_VALUE"""),-0.661835638788209)</f>
        <v>-0.66183563878820895</v>
      </c>
      <c r="CV131" s="3">
        <f ca="1">IFERROR(__xludf.DUMMYFUNCTION("""COMPUTED_VALUE"""),-0.693921723635788)</f>
        <v>-0.69392172363578797</v>
      </c>
      <c r="CW131" s="3">
        <f ca="1">IFERROR(__xludf.DUMMYFUNCTION("""COMPUTED_VALUE"""),-0.65507087615549)</f>
        <v>-0.65507087615548998</v>
      </c>
      <c r="CX131" s="3">
        <f ca="1">IFERROR(__xludf.DUMMYFUNCTION("""COMPUTED_VALUE"""),-0.586564580580883)</f>
        <v>-0.58656458058088301</v>
      </c>
      <c r="CY131" s="3">
        <f ca="1">IFERROR(__xludf.DUMMYFUNCTION("""COMPUTED_VALUE"""),-0.633195897793973)</f>
        <v>-0.63319589779397301</v>
      </c>
      <c r="CZ131" s="3">
        <f ca="1">IFERROR(__xludf.DUMMYFUNCTION("""COMPUTED_VALUE"""),-0.678878996320103)</f>
        <v>-0.67887899632010296</v>
      </c>
      <c r="DA131" s="3">
        <f ca="1">IFERROR(__xludf.DUMMYFUNCTION("""COMPUTED_VALUE"""),-0.627765482423299)</f>
        <v>-0.62776548242329899</v>
      </c>
      <c r="DB131" s="3">
        <f ca="1">IFERROR(__xludf.DUMMYFUNCTION("""COMPUTED_VALUE"""),-0.539769023071124)</f>
        <v>-0.53976902307112395</v>
      </c>
      <c r="DC131" s="3">
        <f ca="1">IFERROR(__xludf.DUMMYFUNCTION("""COMPUTED_VALUE"""),-0.63687898408179)</f>
        <v>-0.63687898408179</v>
      </c>
      <c r="DD131" s="3">
        <f ca="1">IFERROR(__xludf.DUMMYFUNCTION("""COMPUTED_VALUE"""),-0.679667029621353)</f>
        <v>-0.67966702962135295</v>
      </c>
      <c r="DE131" s="3">
        <f ca="1">IFERROR(__xludf.DUMMYFUNCTION("""COMPUTED_VALUE"""),-0.60694655488051)</f>
        <v>-0.60694655488050997</v>
      </c>
      <c r="DF131" s="3">
        <f ca="1">IFERROR(__xludf.DUMMYFUNCTION("""COMPUTED_VALUE"""),-0.630121689402785)</f>
        <v>-0.63012168940278501</v>
      </c>
      <c r="DG131" s="3">
        <f ca="1">IFERROR(__xludf.DUMMYFUNCTION("""COMPUTED_VALUE"""),-0.791398719470183)</f>
        <v>-0.79139871947018303</v>
      </c>
      <c r="DH131" s="3">
        <f ca="1">IFERROR(__xludf.DUMMYFUNCTION("""COMPUTED_VALUE"""),-0.688855859013269)</f>
        <v>-0.68885585901326896</v>
      </c>
      <c r="DI131" s="3">
        <f ca="1">IFERROR(__xludf.DUMMYFUNCTION("""COMPUTED_VALUE"""),-0.471478098738372)</f>
        <v>-0.47147809873837199</v>
      </c>
      <c r="DJ131" s="3">
        <f ca="1">IFERROR(__xludf.DUMMYFUNCTION("""COMPUTED_VALUE"""),-0.612591229483004)</f>
        <v>-0.61259122948300404</v>
      </c>
      <c r="DK131" s="3">
        <f ca="1">IFERROR(__xludf.DUMMYFUNCTION("""COMPUTED_VALUE"""),-0.617034954296579)</f>
        <v>-0.61703495429657895</v>
      </c>
      <c r="DL131" s="3">
        <f ca="1">IFERROR(__xludf.DUMMYFUNCTION("""COMPUTED_VALUE"""),-0.533444082010089)</f>
        <v>-0.53344408201008897</v>
      </c>
      <c r="DM131" s="3">
        <f ca="1">IFERROR(__xludf.DUMMYFUNCTION("""COMPUTED_VALUE"""),-0.561570710698322)</f>
        <v>-0.56157071069832198</v>
      </c>
      <c r="DN131" s="3">
        <f ca="1">IFERROR(__xludf.DUMMYFUNCTION("""COMPUTED_VALUE"""),-0.651936744558759)</f>
        <v>-0.65193674455875905</v>
      </c>
      <c r="DO131" s="3">
        <f ca="1">IFERROR(__xludf.DUMMYFUNCTION("""COMPUTED_VALUE"""),-0.650346886652356)</f>
        <v>-0.65034688665235596</v>
      </c>
      <c r="DP131" s="3">
        <f ca="1">IFERROR(__xludf.DUMMYFUNCTION("""COMPUTED_VALUE"""),-0.61392582021582)</f>
        <v>-0.61392582021581998</v>
      </c>
      <c r="DQ131" s="3">
        <f ca="1">IFERROR(__xludf.DUMMYFUNCTION("""COMPUTED_VALUE"""),-0.636690923884679)</f>
        <v>-0.63669092388467896</v>
      </c>
      <c r="DR131" s="3">
        <f ca="1">IFERROR(__xludf.DUMMYFUNCTION("""COMPUTED_VALUE"""),-0.667576899419767)</f>
        <v>-0.66757689941976694</v>
      </c>
      <c r="DS131" s="3">
        <f ca="1">IFERROR(__xludf.DUMMYFUNCTION("""COMPUTED_VALUE"""),-0.577257019700602)</f>
        <v>-0.57725701970060195</v>
      </c>
      <c r="DT131" s="3">
        <f ca="1">IFERROR(__xludf.DUMMYFUNCTION("""COMPUTED_VALUE"""),-0.643182519411497)</f>
        <v>-0.64318251941149696</v>
      </c>
      <c r="DU131" s="3">
        <f ca="1">IFERROR(__xludf.DUMMYFUNCTION("""COMPUTED_VALUE"""),-0.725561837542148)</f>
        <v>-0.72556183754214798</v>
      </c>
      <c r="DV131" s="3">
        <f ca="1">IFERROR(__xludf.DUMMYFUNCTION("""COMPUTED_VALUE"""),-0.714410228606881)</f>
        <v>-0.71441022860688097</v>
      </c>
      <c r="DW131" s="3">
        <f ca="1">IFERROR(__xludf.DUMMYFUNCTION("""COMPUTED_VALUE"""),-0.715085647965769)</f>
        <v>-0.71508564796576901</v>
      </c>
      <c r="DX131" s="3">
        <f ca="1">IFERROR(__xludf.DUMMYFUNCTION("""COMPUTED_VALUE"""),-0.732513982745527)</f>
        <v>-0.73251398274552704</v>
      </c>
      <c r="DY131" s="3">
        <f ca="1">IFERROR(__xludf.DUMMYFUNCTION("""COMPUTED_VALUE"""),-0.704952353129994)</f>
        <v>-0.70495235312999405</v>
      </c>
      <c r="DZ131" s="3">
        <f ca="1">IFERROR(__xludf.DUMMYFUNCTION("""COMPUTED_VALUE"""),-0.573636742623161)</f>
        <v>-0.573636742623161</v>
      </c>
      <c r="EA131" s="3">
        <f ca="1">IFERROR(__xludf.DUMMYFUNCTION("""COMPUTED_VALUE"""),-0.54034627594568)</f>
        <v>-0.54034627594567997</v>
      </c>
      <c r="EB131" s="3">
        <f ca="1">IFERROR(__xludf.DUMMYFUNCTION("""COMPUTED_VALUE"""),-0.663439981827947)</f>
        <v>-0.66343998182794695</v>
      </c>
      <c r="EC131" s="3">
        <f ca="1">IFERROR(__xludf.DUMMYFUNCTION("""COMPUTED_VALUE"""),-0.651372298593672)</f>
        <v>-0.65137229859367196</v>
      </c>
      <c r="ED131" s="3">
        <f ca="1">IFERROR(__xludf.DUMMYFUNCTION("""COMPUTED_VALUE"""),-0.673912230332134)</f>
        <v>-0.67391223033213399</v>
      </c>
      <c r="EE131" s="3">
        <f ca="1">IFERROR(__xludf.DUMMYFUNCTION("""COMPUTED_VALUE"""),-0.689955922538246)</f>
        <v>-0.689955922538246</v>
      </c>
      <c r="EF131" s="3">
        <f ca="1">IFERROR(__xludf.DUMMYFUNCTION("""COMPUTED_VALUE"""),-0.721183018285534)</f>
        <v>-0.72118301828553399</v>
      </c>
      <c r="EG131" s="3">
        <f ca="1">IFERROR(__xludf.DUMMYFUNCTION("""COMPUTED_VALUE"""),-0.586090624606962)</f>
        <v>-0.58609062460696204</v>
      </c>
      <c r="EH131" s="3">
        <f ca="1">IFERROR(__xludf.DUMMYFUNCTION("""COMPUTED_VALUE"""),-0.600456387667491)</f>
        <v>-0.60045638766749099</v>
      </c>
      <c r="EI131" s="3">
        <f ca="1">IFERROR(__xludf.DUMMYFUNCTION("""COMPUTED_VALUE"""),-0.708412667035838)</f>
        <v>-0.70841266703583805</v>
      </c>
      <c r="EJ131" s="3">
        <f ca="1">IFERROR(__xludf.DUMMYFUNCTION("""COMPUTED_VALUE"""),-0.740771708510292)</f>
        <v>-0.74077170851029195</v>
      </c>
      <c r="EK131" s="3">
        <f ca="1">IFERROR(__xludf.DUMMYFUNCTION("""COMPUTED_VALUE"""),-0.650802051730387)</f>
        <v>-0.65080205173038697</v>
      </c>
      <c r="EL131" s="3">
        <f ca="1">IFERROR(__xludf.DUMMYFUNCTION("""COMPUTED_VALUE"""),-0.710486990882453)</f>
        <v>-0.71048699088245304</v>
      </c>
      <c r="EM131" s="3">
        <f ca="1">IFERROR(__xludf.DUMMYFUNCTION("""COMPUTED_VALUE"""),-0.727388019122147)</f>
        <v>-0.72738801912214701</v>
      </c>
      <c r="EN131" s="3">
        <f ca="1">IFERROR(__xludf.DUMMYFUNCTION("""COMPUTED_VALUE"""),-0.588858250530661)</f>
        <v>-0.58885825053066099</v>
      </c>
      <c r="EO131" s="3">
        <f ca="1">IFERROR(__xludf.DUMMYFUNCTION("""COMPUTED_VALUE"""),-0.586425072188301)</f>
        <v>-0.58642507218830098</v>
      </c>
      <c r="EP131" s="3">
        <f ca="1">IFERROR(__xludf.DUMMYFUNCTION("""COMPUTED_VALUE"""),-0.639005360335135)</f>
        <v>-0.639005360335135</v>
      </c>
      <c r="EQ131" s="3">
        <f ca="1">IFERROR(__xludf.DUMMYFUNCTION("""COMPUTED_VALUE"""),-0.644667790445053)</f>
        <v>-0.64466779044505296</v>
      </c>
      <c r="ER131" s="3">
        <f ca="1">IFERROR(__xludf.DUMMYFUNCTION("""COMPUTED_VALUE"""),-0.6790692677236)</f>
        <v>-0.67906926772359999</v>
      </c>
      <c r="ES131" s="3">
        <f ca="1">IFERROR(__xludf.DUMMYFUNCTION("""COMPUTED_VALUE"""),-0.698809003397035)</f>
        <v>-0.698809003397035</v>
      </c>
      <c r="ET131" s="3">
        <f ca="1">IFERROR(__xludf.DUMMYFUNCTION("""COMPUTED_VALUE"""),-0.672747722047533)</f>
        <v>-0.67274772204753297</v>
      </c>
      <c r="EU131" s="3">
        <f ca="1">IFERROR(__xludf.DUMMYFUNCTION("""COMPUTED_VALUE"""),-0.606104543420105)</f>
        <v>-0.606104543420105</v>
      </c>
      <c r="EV131" s="3">
        <f ca="1">IFERROR(__xludf.DUMMYFUNCTION("""COMPUTED_VALUE"""),-0.582985763103831)</f>
        <v>-0.58298576310383099</v>
      </c>
      <c r="EW131" s="3">
        <f ca="1">IFERROR(__xludf.DUMMYFUNCTION("""COMPUTED_VALUE"""),-0.670307228157718)</f>
        <v>-0.67030722815771804</v>
      </c>
      <c r="EX131" s="3">
        <f ca="1">IFERROR(__xludf.DUMMYFUNCTION("""COMPUTED_VALUE"""),-0.726935027374424)</f>
        <v>-0.72693502737442395</v>
      </c>
      <c r="EY131" s="3">
        <f ca="1">IFERROR(__xludf.DUMMYFUNCTION("""COMPUTED_VALUE"""),-0.712531152264482)</f>
        <v>-0.71253115226448205</v>
      </c>
      <c r="EZ131" s="3">
        <f ca="1">IFERROR(__xludf.DUMMYFUNCTION("""COMPUTED_VALUE"""),-0.715691839484519)</f>
        <v>-0.71569183948451898</v>
      </c>
      <c r="FA131" s="3">
        <f ca="1">IFERROR(__xludf.DUMMYFUNCTION("""COMPUTED_VALUE"""),-0.693181348043416)</f>
        <v>-0.69318134804341602</v>
      </c>
      <c r="FB131" s="3">
        <f ca="1">IFERROR(__xludf.DUMMYFUNCTION("""COMPUTED_VALUE"""),-0.655324561047633)</f>
        <v>-0.65532456104763304</v>
      </c>
      <c r="FC131" s="3">
        <f ca="1">IFERROR(__xludf.DUMMYFUNCTION("""COMPUTED_VALUE"""),-0.675405852001206)</f>
        <v>-0.67540585200120595</v>
      </c>
      <c r="FD131" s="3">
        <f ca="1">IFERROR(__xludf.DUMMYFUNCTION("""COMPUTED_VALUE"""),-0.701348166475548)</f>
        <v>-0.70134816647554798</v>
      </c>
      <c r="FE131" s="3">
        <f ca="1">IFERROR(__xludf.DUMMYFUNCTION("""COMPUTED_VALUE"""),-0.731279510384205)</f>
        <v>-0.73127951038420502</v>
      </c>
      <c r="FF131" s="3">
        <f ca="1">IFERROR(__xludf.DUMMYFUNCTION("""COMPUTED_VALUE"""),-0.732776633370754)</f>
        <v>-0.73277663337075405</v>
      </c>
      <c r="FG131" s="3">
        <f ca="1">IFERROR(__xludf.DUMMYFUNCTION("""COMPUTED_VALUE"""),-0.690788734502046)</f>
        <v>-0.69078873450204603</v>
      </c>
      <c r="FH131" s="3">
        <f ca="1">IFERROR(__xludf.DUMMYFUNCTION("""COMPUTED_VALUE"""),-0.657349741359902)</f>
        <v>-0.65734974135990198</v>
      </c>
      <c r="FI131" s="3">
        <f ca="1">IFERROR(__xludf.DUMMYFUNCTION("""COMPUTED_VALUE"""),-0.547726622702268)</f>
        <v>-0.54772662270226802</v>
      </c>
      <c r="FJ131" s="3">
        <f ca="1">IFERROR(__xludf.DUMMYFUNCTION("""COMPUTED_VALUE"""),-0.598555997567784)</f>
        <v>-0.59855599756778399</v>
      </c>
      <c r="FK131" s="3">
        <f ca="1">IFERROR(__xludf.DUMMYFUNCTION("""COMPUTED_VALUE"""),-0.701731644077831)</f>
        <v>-0.70173164407783095</v>
      </c>
      <c r="FL131" s="3">
        <f ca="1">IFERROR(__xludf.DUMMYFUNCTION("""COMPUTED_VALUE"""),-0.744375941006495)</f>
        <v>-0.74437594100649496</v>
      </c>
      <c r="FM131" s="3">
        <f ca="1">IFERROR(__xludf.DUMMYFUNCTION("""COMPUTED_VALUE"""),-0.740446817888782)</f>
        <v>-0.74044681788878197</v>
      </c>
      <c r="FN131" s="3">
        <f ca="1">IFERROR(__xludf.DUMMYFUNCTION("""COMPUTED_VALUE"""),-0.717612053951601)</f>
        <v>-0.71761205395160099</v>
      </c>
      <c r="FO131" s="3">
        <f ca="1">IFERROR(__xludf.DUMMYFUNCTION("""COMPUTED_VALUE"""),-0.706226134293371)</f>
        <v>-0.706226134293371</v>
      </c>
      <c r="FP131" s="3">
        <f ca="1">IFERROR(__xludf.DUMMYFUNCTION("""COMPUTED_VALUE"""),-0.557187039087051)</f>
        <v>-0.55718703908705103</v>
      </c>
      <c r="FQ131" s="3">
        <f ca="1">IFERROR(__xludf.DUMMYFUNCTION("""COMPUTED_VALUE"""),-0.599704307635153)</f>
        <v>-0.59970430763515303</v>
      </c>
      <c r="FR131" s="3">
        <f ca="1">IFERROR(__xludf.DUMMYFUNCTION("""COMPUTED_VALUE"""),-0.696711593699518)</f>
        <v>-0.69671159369951796</v>
      </c>
      <c r="FS131" s="3">
        <f ca="1">IFERROR(__xludf.DUMMYFUNCTION("""COMPUTED_VALUE"""),-0.735784959633001)</f>
        <v>-0.73578495963300095</v>
      </c>
      <c r="FT131" s="3">
        <f ca="1">IFERROR(__xludf.DUMMYFUNCTION("""COMPUTED_VALUE"""),-0.712629530263441)</f>
        <v>-0.712629530263441</v>
      </c>
      <c r="FU131" s="3">
        <f ca="1">IFERROR(__xludf.DUMMYFUNCTION("""COMPUTED_VALUE"""),-0.703087287583265)</f>
        <v>-0.703087287583265</v>
      </c>
      <c r="FV131" s="3">
        <f ca="1">IFERROR(__xludf.DUMMYFUNCTION("""COMPUTED_VALUE"""),-0.692604687845911)</f>
        <v>-0.692604687845911</v>
      </c>
      <c r="FW131" s="3">
        <f ca="1">IFERROR(__xludf.DUMMYFUNCTION("""COMPUTED_VALUE"""),-0.52413778685372)</f>
        <v>-0.52413778685372003</v>
      </c>
      <c r="FX131" s="3">
        <f ca="1">IFERROR(__xludf.DUMMYFUNCTION("""COMPUTED_VALUE"""),-0.570808493441308)</f>
        <v>-0.57080849344130802</v>
      </c>
      <c r="FY131" s="3">
        <f ca="1">IFERROR(__xludf.DUMMYFUNCTION("""COMPUTED_VALUE"""),-0.645779626701011)</f>
        <v>-0.64577962670101097</v>
      </c>
      <c r="FZ131" s="3">
        <f ca="1">IFERROR(__xludf.DUMMYFUNCTION("""COMPUTED_VALUE"""),-0.732672904587935)</f>
        <v>-0.73267290458793499</v>
      </c>
      <c r="GA131" s="3">
        <f ca="1">IFERROR(__xludf.DUMMYFUNCTION("""COMPUTED_VALUE"""),-0.714393881825327)</f>
        <v>-0.71439388182532704</v>
      </c>
      <c r="GB131" s="3">
        <f ca="1">IFERROR(__xludf.DUMMYFUNCTION("""COMPUTED_VALUE"""),-0.723510076914815)</f>
        <v>-0.72351007691481495</v>
      </c>
      <c r="GC131" s="3">
        <f ca="1">IFERROR(__xludf.DUMMYFUNCTION("""COMPUTED_VALUE"""),-0.701059447622542)</f>
        <v>-0.70105944762254202</v>
      </c>
      <c r="GD131" s="3">
        <f ca="1">IFERROR(__xludf.DUMMYFUNCTION("""COMPUTED_VALUE"""),-0.539916125153949)</f>
        <v>-0.53991612515394904</v>
      </c>
      <c r="GE131" s="3">
        <f ca="1">IFERROR(__xludf.DUMMYFUNCTION("""COMPUTED_VALUE"""),-0.589643773497902)</f>
        <v>-0.58964377349790198</v>
      </c>
      <c r="GF131" s="3">
        <f ca="1">IFERROR(__xludf.DUMMYFUNCTION("""COMPUTED_VALUE"""),-0.687962971499445)</f>
        <v>-0.68796297149944496</v>
      </c>
      <c r="GG131" s="3">
        <f ca="1">IFERROR(__xludf.DUMMYFUNCTION("""COMPUTED_VALUE"""),-0.721859172975996)</f>
        <v>-0.721859172975996</v>
      </c>
      <c r="GH131" s="3">
        <f ca="1">IFERROR(__xludf.DUMMYFUNCTION("""COMPUTED_VALUE"""),-0.754559521929848)</f>
        <v>-0.75455952192984799</v>
      </c>
      <c r="GI131" s="3">
        <f ca="1">IFERROR(__xludf.DUMMYFUNCTION("""COMPUTED_VALUE"""),-0.718409465553289)</f>
        <v>-0.718409465553289</v>
      </c>
      <c r="GJ131" s="3">
        <f ca="1">IFERROR(__xludf.DUMMYFUNCTION("""COMPUTED_VALUE"""),-0.714562135441081)</f>
        <v>-0.71456213544108105</v>
      </c>
      <c r="GK131" s="3">
        <f ca="1">IFERROR(__xludf.DUMMYFUNCTION("""COMPUTED_VALUE"""),-0.545652664071059)</f>
        <v>-0.54565266407105895</v>
      </c>
      <c r="GL131" s="3">
        <f ca="1">IFERROR(__xludf.DUMMYFUNCTION("""COMPUTED_VALUE"""),-0.570770316279351)</f>
        <v>-0.57077031627935104</v>
      </c>
      <c r="GM131" s="3">
        <f ca="1">IFERROR(__xludf.DUMMYFUNCTION("""COMPUTED_VALUE"""),-0.689185407134127)</f>
        <v>-0.68918540713412701</v>
      </c>
      <c r="GN131" s="3">
        <f ca="1">IFERROR(__xludf.DUMMYFUNCTION("""COMPUTED_VALUE"""),-0.72422472794804)</f>
        <v>-0.72422472794804005</v>
      </c>
      <c r="GO131" s="3">
        <f ca="1">IFERROR(__xludf.DUMMYFUNCTION("""COMPUTED_VALUE"""),-0.737339098990039)</f>
        <v>-0.73733909899003902</v>
      </c>
      <c r="GP131" s="3">
        <f ca="1">IFERROR(__xludf.DUMMYFUNCTION("""COMPUTED_VALUE"""),-0.724747019243726)</f>
        <v>-0.72474701924372598</v>
      </c>
      <c r="GQ131" s="3">
        <f ca="1">IFERROR(__xludf.DUMMYFUNCTION("""COMPUTED_VALUE"""),-0.722478014783529)</f>
        <v>-0.72247801478352902</v>
      </c>
      <c r="GR131" s="3">
        <f ca="1">IFERROR(__xludf.DUMMYFUNCTION("""COMPUTED_VALUE"""),-0.580551829288561)</f>
        <v>-0.58055182928856097</v>
      </c>
      <c r="GS131" s="3">
        <f ca="1">IFERROR(__xludf.DUMMYFUNCTION("""COMPUTED_VALUE"""),-0.620024807539968)</f>
        <v>-0.62002480753996803</v>
      </c>
      <c r="GT131" s="3">
        <f ca="1">IFERROR(__xludf.DUMMYFUNCTION("""COMPUTED_VALUE"""),-0.711087702343486)</f>
        <v>-0.71108770234348595</v>
      </c>
      <c r="GU131" s="3">
        <f ca="1">IFERROR(__xludf.DUMMYFUNCTION("""COMPUTED_VALUE"""),-0.715555398761684)</f>
        <v>-0.71555539876168395</v>
      </c>
      <c r="GV131" s="3">
        <f ca="1">IFERROR(__xludf.DUMMYFUNCTION("""COMPUTED_VALUE"""),-0.734977411992074)</f>
        <v>-0.734977411992074</v>
      </c>
      <c r="GW131" s="3">
        <f ca="1">IFERROR(__xludf.DUMMYFUNCTION("""COMPUTED_VALUE"""),-0.720683446063543)</f>
        <v>-0.72068344606354295</v>
      </c>
      <c r="GX131" s="3">
        <f ca="1">IFERROR(__xludf.DUMMYFUNCTION("""COMPUTED_VALUE"""),-0.74897608227895)</f>
        <v>-0.74897608227894996</v>
      </c>
      <c r="GY131" s="3">
        <f ca="1">IFERROR(__xludf.DUMMYFUNCTION("""COMPUTED_VALUE"""),-0.594350729561266)</f>
        <v>-0.594350729561266</v>
      </c>
      <c r="GZ131" s="3">
        <f ca="1">IFERROR(__xludf.DUMMYFUNCTION("""COMPUTED_VALUE"""),-0.575911692453154)</f>
        <v>-0.57591169245315399</v>
      </c>
      <c r="HA131" s="3">
        <f ca="1">IFERROR(__xludf.DUMMYFUNCTION("""COMPUTED_VALUE"""),-0.704287918201592)</f>
        <v>-0.70428791820159198</v>
      </c>
      <c r="HB131" s="3">
        <f ca="1">IFERROR(__xludf.DUMMYFUNCTION("""COMPUTED_VALUE"""),-0.724148184262244)</f>
        <v>-0.72414818426224403</v>
      </c>
      <c r="HC131" s="3">
        <f ca="1">IFERROR(__xludf.DUMMYFUNCTION("""COMPUTED_VALUE"""),-0.708968708861698)</f>
        <v>-0.70896870886169805</v>
      </c>
      <c r="HD131" s="3">
        <f ca="1">IFERROR(__xludf.DUMMYFUNCTION("""COMPUTED_VALUE"""),-0.714122858305246)</f>
        <v>-0.71412285830524602</v>
      </c>
      <c r="HE131" s="3">
        <f ca="1">IFERROR(__xludf.DUMMYFUNCTION("""COMPUTED_VALUE"""),-0.733152229641191)</f>
        <v>-0.73315222964119098</v>
      </c>
      <c r="HF131" s="3">
        <f ca="1">IFERROR(__xludf.DUMMYFUNCTION("""COMPUTED_VALUE"""),-0.554387276743632)</f>
        <v>-0.55438727674363197</v>
      </c>
      <c r="HG131" s="3">
        <f ca="1">IFERROR(__xludf.DUMMYFUNCTION("""COMPUTED_VALUE"""),-0.590050578628916)</f>
        <v>-0.59005057862891597</v>
      </c>
      <c r="HH131" s="3">
        <f ca="1">IFERROR(__xludf.DUMMYFUNCTION("""COMPUTED_VALUE"""),-0.694227362161739)</f>
        <v>-0.69422736216173897</v>
      </c>
      <c r="HI131" s="3">
        <f ca="1">IFERROR(__xludf.DUMMYFUNCTION("""COMPUTED_VALUE"""),-0.736942605721842)</f>
        <v>-0.736942605721842</v>
      </c>
      <c r="HJ131" s="3">
        <f ca="1">IFERROR(__xludf.DUMMYFUNCTION("""COMPUTED_VALUE"""),-0.741999371961928)</f>
        <v>-0.741999371961928</v>
      </c>
      <c r="HK131" s="3">
        <f ca="1">IFERROR(__xludf.DUMMYFUNCTION("""COMPUTED_VALUE"""),-0.724690993697736)</f>
        <v>-0.72469099369773604</v>
      </c>
      <c r="HL131" s="3">
        <f ca="1">IFERROR(__xludf.DUMMYFUNCTION("""COMPUTED_VALUE"""),-0.704703817943492)</f>
        <v>-0.70470381794349202</v>
      </c>
      <c r="HM131" s="3">
        <f ca="1">IFERROR(__xludf.DUMMYFUNCTION("""COMPUTED_VALUE"""),-0.54880778971589)</f>
        <v>-0.54880778971588995</v>
      </c>
      <c r="HN131" s="3">
        <f ca="1">IFERROR(__xludf.DUMMYFUNCTION("""COMPUTED_VALUE"""),-0.561761625343253)</f>
        <v>-0.56176162534325302</v>
      </c>
      <c r="HO131" s="3">
        <f ca="1">IFERROR(__xludf.DUMMYFUNCTION("""COMPUTED_VALUE"""),-0.693308542761422)</f>
        <v>-0.69330854276142195</v>
      </c>
      <c r="HP131" s="3">
        <f ca="1">IFERROR(__xludf.DUMMYFUNCTION("""COMPUTED_VALUE"""),-0.722023020560326)</f>
        <v>-0.72202302056032597</v>
      </c>
      <c r="HQ131" s="3">
        <f ca="1">IFERROR(__xludf.DUMMYFUNCTION("""COMPUTED_VALUE"""),-0.740479083947389)</f>
        <v>-0.74047908394738904</v>
      </c>
      <c r="HR131" s="3">
        <f ca="1">IFERROR(__xludf.DUMMYFUNCTION("""COMPUTED_VALUE"""),-0.741437941920033)</f>
        <v>-0.74143794192003298</v>
      </c>
      <c r="HS131" s="3">
        <f ca="1">IFERROR(__xludf.DUMMYFUNCTION("""COMPUTED_VALUE"""),-0.6938735819015)</f>
        <v>-0.69387358190149995</v>
      </c>
      <c r="HT131" s="3">
        <f ca="1">IFERROR(__xludf.DUMMYFUNCTION("""COMPUTED_VALUE"""),-0.620603780234354)</f>
        <v>-0.62060378023435403</v>
      </c>
      <c r="HU131" s="3">
        <f ca="1">IFERROR(__xludf.DUMMYFUNCTION("""COMPUTED_VALUE"""),-0.589051575913872)</f>
        <v>-0.58905157591387203</v>
      </c>
      <c r="HV131" s="3">
        <f ca="1">IFERROR(__xludf.DUMMYFUNCTION("""COMPUTED_VALUE"""),-0.707127826389494)</f>
        <v>-0.70712782638949401</v>
      </c>
      <c r="HW131" s="3">
        <f ca="1">IFERROR(__xludf.DUMMYFUNCTION("""COMPUTED_VALUE"""),-0.71366484831481)</f>
        <v>-0.71366484831481003</v>
      </c>
      <c r="HX131" s="3">
        <f ca="1">IFERROR(__xludf.DUMMYFUNCTION("""COMPUTED_VALUE"""),-0.731491189865276)</f>
        <v>-0.73149118986527595</v>
      </c>
      <c r="HY131" s="3">
        <f ca="1">IFERROR(__xludf.DUMMYFUNCTION("""COMPUTED_VALUE"""),-0.730539710369808)</f>
        <v>-0.73053971036980803</v>
      </c>
      <c r="HZ131" s="3">
        <f ca="1">IFERROR(__xludf.DUMMYFUNCTION("""COMPUTED_VALUE"""),-0.692898199760088)</f>
        <v>-0.69289819976008804</v>
      </c>
      <c r="IA131" s="3">
        <f ca="1">IFERROR(__xludf.DUMMYFUNCTION("""COMPUTED_VALUE"""),-0.555489538552546)</f>
        <v>-0.55548953855254601</v>
      </c>
      <c r="IB131" s="3">
        <f ca="1">IFERROR(__xludf.DUMMYFUNCTION("""COMPUTED_VALUE"""),-0.56333811267507)</f>
        <v>-0.56333811267506995</v>
      </c>
      <c r="IC131" s="3">
        <f ca="1">IFERROR(__xludf.DUMMYFUNCTION("""COMPUTED_VALUE"""),-0.683839321131089)</f>
        <v>-0.68383932113108903</v>
      </c>
      <c r="ID131" s="3">
        <f ca="1">IFERROR(__xludf.DUMMYFUNCTION("""COMPUTED_VALUE"""),-0.725568439156385)</f>
        <v>-0.72556843915638503</v>
      </c>
      <c r="IE131" s="3">
        <f ca="1">IFERROR(__xludf.DUMMYFUNCTION("""COMPUTED_VALUE"""),-0.703774908153462)</f>
        <v>-0.703774908153462</v>
      </c>
      <c r="IF131" s="3">
        <f ca="1">IFERROR(__xludf.DUMMYFUNCTION("""COMPUTED_VALUE"""),-0.719306274140625)</f>
        <v>-0.71930627414062498</v>
      </c>
      <c r="IG131" s="3">
        <f ca="1">IFERROR(__xludf.DUMMYFUNCTION("""COMPUTED_VALUE"""),-0.699363606941911)</f>
        <v>-0.69936360694191102</v>
      </c>
      <c r="IH131" s="3">
        <f ca="1">IFERROR(__xludf.DUMMYFUNCTION("""COMPUTED_VALUE"""),-0.591915312348469)</f>
        <v>-0.59191531234846895</v>
      </c>
      <c r="II131" s="3">
        <f ca="1">IFERROR(__xludf.DUMMYFUNCTION("""COMPUTED_VALUE"""),-0.613014868065067)</f>
        <v>-0.613014868065067</v>
      </c>
      <c r="IJ131" s="3">
        <f ca="1">IFERROR(__xludf.DUMMYFUNCTION("""COMPUTED_VALUE"""),-0.686461387432597)</f>
        <v>-0.68646138743259699</v>
      </c>
      <c r="IK131" s="3">
        <f ca="1">IFERROR(__xludf.DUMMYFUNCTION("""COMPUTED_VALUE"""),-0.675945825638401)</f>
        <v>-0.675945825638401</v>
      </c>
      <c r="IL131" s="3">
        <f ca="1">IFERROR(__xludf.DUMMYFUNCTION("""COMPUTED_VALUE"""),-0.712129192937108)</f>
        <v>-0.71212919293710797</v>
      </c>
      <c r="IM131" s="3">
        <f ca="1">IFERROR(__xludf.DUMMYFUNCTION("""COMPUTED_VALUE"""),-0.68251628525325)</f>
        <v>-0.68251628525325003</v>
      </c>
      <c r="IN131" s="3">
        <f ca="1">IFERROR(__xludf.DUMMYFUNCTION("""COMPUTED_VALUE"""),-0.668829744614274)</f>
        <v>-0.66882974461427402</v>
      </c>
      <c r="IO131" s="3">
        <f ca="1">IFERROR(__xludf.DUMMYFUNCTION("""COMPUTED_VALUE"""),-0.573636891340429)</f>
        <v>-0.57363689134042894</v>
      </c>
      <c r="IP131" s="3">
        <f ca="1">IFERROR(__xludf.DUMMYFUNCTION("""COMPUTED_VALUE"""),-0.605605458712069)</f>
        <v>-0.60560545871206894</v>
      </c>
      <c r="IQ131" s="3">
        <f ca="1">IFERROR(__xludf.DUMMYFUNCTION("""COMPUTED_VALUE"""),-0.681171228176611)</f>
        <v>-0.68117122817661102</v>
      </c>
      <c r="IR131" s="3">
        <f ca="1">IFERROR(__xludf.DUMMYFUNCTION("""COMPUTED_VALUE"""),-0.704712084120101)</f>
        <v>-0.704712084120101</v>
      </c>
      <c r="IS131" s="3">
        <f ca="1">IFERROR(__xludf.DUMMYFUNCTION("""COMPUTED_VALUE"""),-0.691059845982323)</f>
        <v>-0.69105984598232295</v>
      </c>
      <c r="IT131" s="3">
        <f ca="1">IFERROR(__xludf.DUMMYFUNCTION("""COMPUTED_VALUE"""),-0.707655136824229)</f>
        <v>-0.70765513682422898</v>
      </c>
      <c r="IU131" s="3">
        <f ca="1">IFERROR(__xludf.DUMMYFUNCTION("""COMPUTED_VALUE"""),-0.681847701418871)</f>
        <v>-0.68184770141887097</v>
      </c>
      <c r="IV131" s="3">
        <f ca="1">IFERROR(__xludf.DUMMYFUNCTION("""COMPUTED_VALUE"""),-0.582931175045501)</f>
        <v>-0.58293117504550096</v>
      </c>
      <c r="IW131" s="3">
        <f ca="1">IFERROR(__xludf.DUMMYFUNCTION("""COMPUTED_VALUE"""),-0.602623810691411)</f>
        <v>-0.60262381069141102</v>
      </c>
      <c r="IX131" s="3">
        <f ca="1">IFERROR(__xludf.DUMMYFUNCTION("""COMPUTED_VALUE"""),-0.677583669952652)</f>
        <v>-0.67758366995265196</v>
      </c>
      <c r="IY131" s="3">
        <f ca="1">IFERROR(__xludf.DUMMYFUNCTION("""COMPUTED_VALUE"""),-0.717614903515108)</f>
        <v>-0.71761490351510804</v>
      </c>
      <c r="IZ131" s="3">
        <f ca="1">IFERROR(__xludf.DUMMYFUNCTION("""COMPUTED_VALUE"""),-0.710732276070573)</f>
        <v>-0.71073227607057299</v>
      </c>
      <c r="JA131" s="3">
        <f ca="1">IFERROR(__xludf.DUMMYFUNCTION("""COMPUTED_VALUE"""),-0.681397731172579)</f>
        <v>-0.68139773117257896</v>
      </c>
      <c r="JB131" s="3">
        <f ca="1">IFERROR(__xludf.DUMMYFUNCTION("""COMPUTED_VALUE"""),-0.686449719845249)</f>
        <v>-0.68644971984524905</v>
      </c>
      <c r="JC131" s="3">
        <f ca="1">IFERROR(__xludf.DUMMYFUNCTION("""COMPUTED_VALUE"""),-0.619221685561956)</f>
        <v>-0.619221685561956</v>
      </c>
      <c r="JD131" s="3">
        <f ca="1">IFERROR(__xludf.DUMMYFUNCTION("""COMPUTED_VALUE"""),-0.614922330071775)</f>
        <v>-0.61492233007177499</v>
      </c>
      <c r="JE131" s="3">
        <f ca="1">IFERROR(__xludf.DUMMYFUNCTION("""COMPUTED_VALUE"""),-0.686130084917342)</f>
        <v>-0.68613008491734195</v>
      </c>
      <c r="JF131" s="3">
        <f ca="1">IFERROR(__xludf.DUMMYFUNCTION("""COMPUTED_VALUE"""),-0.69238502090554)</f>
        <v>-0.69238502090553999</v>
      </c>
      <c r="JG131" s="3">
        <f ca="1">IFERROR(__xludf.DUMMYFUNCTION("""COMPUTED_VALUE"""),-0.691122539518097)</f>
        <v>-0.69112253951809699</v>
      </c>
      <c r="JH131" s="3">
        <f ca="1">IFERROR(__xludf.DUMMYFUNCTION("""COMPUTED_VALUE"""),-0.710583034599306)</f>
        <v>-0.71058303459930605</v>
      </c>
      <c r="JI131" s="3">
        <f ca="1">IFERROR(__xludf.DUMMYFUNCTION("""COMPUTED_VALUE"""),-0.68017702570838)</f>
        <v>-0.68017702570838001</v>
      </c>
      <c r="JJ131" s="3">
        <f ca="1">IFERROR(__xludf.DUMMYFUNCTION("""COMPUTED_VALUE"""),-0.62167339627517)</f>
        <v>-0.62167339627517004</v>
      </c>
      <c r="JK131" s="3">
        <f ca="1">IFERROR(__xludf.DUMMYFUNCTION("""COMPUTED_VALUE"""),-0.652024910497203)</f>
        <v>-0.65202491049720301</v>
      </c>
      <c r="JL131" s="3">
        <f ca="1">IFERROR(__xludf.DUMMYFUNCTION("""COMPUTED_VALUE"""),-0.689365905493284)</f>
        <v>-0.68936590549328403</v>
      </c>
      <c r="JM131" s="3">
        <f ca="1">IFERROR(__xludf.DUMMYFUNCTION("""COMPUTED_VALUE"""),-0.71370832307465)</f>
        <v>-0.71370832307465004</v>
      </c>
      <c r="JN131" s="3">
        <f ca="1">IFERROR(__xludf.DUMMYFUNCTION("""COMPUTED_VALUE"""),-0.713971674873802)</f>
        <v>-0.71397167487380198</v>
      </c>
      <c r="JO131" s="3">
        <f ca="1">IFERROR(__xludf.DUMMYFUNCTION("""COMPUTED_VALUE"""),-0.699760499486803)</f>
        <v>-0.69976049948680297</v>
      </c>
      <c r="JP131" s="3">
        <f ca="1">IFERROR(__xludf.DUMMYFUNCTION("""COMPUTED_VALUE"""),-0.673248079077514)</f>
        <v>-0.67324807907751405</v>
      </c>
      <c r="JQ131" s="3">
        <f ca="1">IFERROR(__xludf.DUMMYFUNCTION("""COMPUTED_VALUE"""),-0.591323723878272)</f>
        <v>-0.59132372387827203</v>
      </c>
      <c r="JR131" s="3">
        <f ca="1">IFERROR(__xludf.DUMMYFUNCTION("""COMPUTED_VALUE"""),-0.602387635714095)</f>
        <v>-0.60238763571409504</v>
      </c>
      <c r="JS131" s="3">
        <f ca="1">IFERROR(__xludf.DUMMYFUNCTION("""COMPUTED_VALUE"""),-0.657042176073827)</f>
        <v>-0.65704217607382698</v>
      </c>
      <c r="JT131" s="3">
        <f ca="1">IFERROR(__xludf.DUMMYFUNCTION("""COMPUTED_VALUE"""),-0.656644074898791)</f>
        <v>-0.65664407489879095</v>
      </c>
      <c r="JU131" s="3">
        <f ca="1">IFERROR(__xludf.DUMMYFUNCTION("""COMPUTED_VALUE"""),-0.681114307917633)</f>
        <v>-0.68111430791763306</v>
      </c>
      <c r="JV131" s="3">
        <f ca="1">IFERROR(__xludf.DUMMYFUNCTION("""COMPUTED_VALUE"""),-0.694740734038709)</f>
        <v>-0.69474073403870895</v>
      </c>
      <c r="JW131" s="3">
        <f ca="1">IFERROR(__xludf.DUMMYFUNCTION("""COMPUTED_VALUE"""),-0.663514630117147)</f>
        <v>-0.66351463011714695</v>
      </c>
      <c r="JX131" s="3">
        <f ca="1">IFERROR(__xludf.DUMMYFUNCTION("""COMPUTED_VALUE"""),-0.556248934425812)</f>
        <v>-0.55624893442581202</v>
      </c>
      <c r="JY131" s="3">
        <f ca="1">IFERROR(__xludf.DUMMYFUNCTION("""COMPUTED_VALUE"""),-0.623562571380564)</f>
        <v>-0.62356257138056403</v>
      </c>
      <c r="JZ131" s="3">
        <f ca="1">IFERROR(__xludf.DUMMYFUNCTION("""COMPUTED_VALUE"""),-0.590848766618637)</f>
        <v>-0.59084876661863694</v>
      </c>
      <c r="KA131" s="3">
        <f ca="1">IFERROR(__xludf.DUMMYFUNCTION("""COMPUTED_VALUE"""),-0.644931188735182)</f>
        <v>-0.64493118873518196</v>
      </c>
      <c r="KB131" s="3">
        <f ca="1">IFERROR(__xludf.DUMMYFUNCTION("""COMPUTED_VALUE"""),-0.667855762324024)</f>
        <v>-0.66785576232402399</v>
      </c>
      <c r="KC131" s="3">
        <f ca="1">IFERROR(__xludf.DUMMYFUNCTION("""COMPUTED_VALUE"""),-0.690385414879719)</f>
        <v>-0.69038541487971905</v>
      </c>
      <c r="KD131" s="3">
        <f ca="1">IFERROR(__xludf.DUMMYFUNCTION("""COMPUTED_VALUE"""),-0.684349517390405)</f>
        <v>-0.68434951739040495</v>
      </c>
      <c r="KE131" s="3">
        <f ca="1">IFERROR(__xludf.DUMMYFUNCTION("""COMPUTED_VALUE"""),-0.538423796319817)</f>
        <v>-0.53842379631981696</v>
      </c>
      <c r="KF131" s="3">
        <f ca="1">IFERROR(__xludf.DUMMYFUNCTION("""COMPUTED_VALUE"""),-0.566367867858008)</f>
        <v>-0.56636786785800797</v>
      </c>
      <c r="KG131" s="3">
        <f ca="1">IFERROR(__xludf.DUMMYFUNCTION("""COMPUTED_VALUE"""),-0.612884853686901)</f>
        <v>-0.61288485368690104</v>
      </c>
      <c r="KH131" s="3">
        <f ca="1">IFERROR(__xludf.DUMMYFUNCTION("""COMPUTED_VALUE"""),-0.624216988139621)</f>
        <v>-0.62421698813962101</v>
      </c>
      <c r="KI131" s="3">
        <f ca="1">IFERROR(__xludf.DUMMYFUNCTION("""COMPUTED_VALUE"""),-0.63316952089679)</f>
        <v>-0.63316952089679002</v>
      </c>
      <c r="KJ131" s="3">
        <f ca="1">IFERROR(__xludf.DUMMYFUNCTION("""COMPUTED_VALUE"""),-0.666668777635719)</f>
        <v>-0.66666877763571897</v>
      </c>
      <c r="KK131" s="3">
        <f ca="1">IFERROR(__xludf.DUMMYFUNCTION("""COMPUTED_VALUE"""),-0.687295939472597)</f>
        <v>-0.68729593947259704</v>
      </c>
      <c r="KL131" s="3">
        <f ca="1">IFERROR(__xludf.DUMMYFUNCTION("""COMPUTED_VALUE"""),-0.625308780561283)</f>
        <v>-0.62530878056128303</v>
      </c>
      <c r="KM131" s="3">
        <f ca="1">IFERROR(__xludf.DUMMYFUNCTION("""COMPUTED_VALUE"""),-0.599074855546314)</f>
        <v>-0.59907485554631401</v>
      </c>
      <c r="KN131" s="3">
        <f ca="1">IFERROR(__xludf.DUMMYFUNCTION("""COMPUTED_VALUE"""),-0.669979728207696)</f>
        <v>-0.66997972820769602</v>
      </c>
      <c r="KO131" s="3">
        <f ca="1">IFERROR(__xludf.DUMMYFUNCTION("""COMPUTED_VALUE"""),-0.662196364195466)</f>
        <v>-0.66219636419546601</v>
      </c>
      <c r="KP131" s="3">
        <f ca="1">IFERROR(__xludf.DUMMYFUNCTION("""COMPUTED_VALUE"""),-0.672110827416012)</f>
        <v>-0.67211082741601202</v>
      </c>
      <c r="KQ131" s="3">
        <f ca="1">IFERROR(__xludf.DUMMYFUNCTION("""COMPUTED_VALUE"""),-0.646282929867934)</f>
        <v>-0.64628292986793401</v>
      </c>
      <c r="KR131" s="3">
        <f ca="1">IFERROR(__xludf.DUMMYFUNCTION("""COMPUTED_VALUE"""),-0.676529645846152)</f>
        <v>-0.67652964584615205</v>
      </c>
      <c r="KS131" s="3">
        <f ca="1">IFERROR(__xludf.DUMMYFUNCTION("""COMPUTED_VALUE"""),-0.616693436899284)</f>
        <v>-0.61669343689928402</v>
      </c>
      <c r="KT131" s="3">
        <f ca="1">IFERROR(__xludf.DUMMYFUNCTION("""COMPUTED_VALUE"""),-0.609212014130036)</f>
        <v>-0.60921201413003601</v>
      </c>
      <c r="KU131" s="3">
        <f ca="1">IFERROR(__xludf.DUMMYFUNCTION("""COMPUTED_VALUE"""),-0.641555749812656)</f>
        <v>-0.64155574981265595</v>
      </c>
      <c r="KV131" s="3">
        <f ca="1">IFERROR(__xludf.DUMMYFUNCTION("""COMPUTED_VALUE"""),-0.687525046534631)</f>
        <v>-0.68752504653463098</v>
      </c>
      <c r="KW131" s="3">
        <f ca="1">IFERROR(__xludf.DUMMYFUNCTION("""COMPUTED_VALUE"""),-0.698998461752943)</f>
        <v>-0.698998461752943</v>
      </c>
      <c r="KX131" s="3">
        <f ca="1">IFERROR(__xludf.DUMMYFUNCTION("""COMPUTED_VALUE"""),-0.716237136026573)</f>
        <v>-0.71623713602657302</v>
      </c>
      <c r="KY131" s="3">
        <f ca="1">IFERROR(__xludf.DUMMYFUNCTION("""COMPUTED_VALUE"""),-0.718201828338638)</f>
        <v>-0.71820182833863799</v>
      </c>
      <c r="KZ131" s="3">
        <f ca="1">IFERROR(__xludf.DUMMYFUNCTION("""COMPUTED_VALUE"""),-0.646244337989054)</f>
        <v>-0.64624433798905401</v>
      </c>
      <c r="LA131" s="3">
        <f ca="1">IFERROR(__xludf.DUMMYFUNCTION("""COMPUTED_VALUE"""),-0.685274252814714)</f>
        <v>-0.68527425281471399</v>
      </c>
      <c r="LB131" s="3">
        <f ca="1">IFERROR(__xludf.DUMMYFUNCTION("""COMPUTED_VALUE"""),-0.700713208074493)</f>
        <v>-0.700713208074493</v>
      </c>
      <c r="LC131" s="3">
        <f ca="1">IFERROR(__xludf.DUMMYFUNCTION("""COMPUTED_VALUE"""),-0.704076492733988)</f>
        <v>-0.70407649273398798</v>
      </c>
      <c r="LD131" s="3">
        <f ca="1">IFERROR(__xludf.DUMMYFUNCTION("""COMPUTED_VALUE"""),-0.692257602605482)</f>
        <v>-0.69225760260548197</v>
      </c>
      <c r="LE131" s="3">
        <f ca="1">IFERROR(__xludf.DUMMYFUNCTION("""COMPUTED_VALUE"""),-0.695116440905213)</f>
        <v>-0.69511644090521296</v>
      </c>
      <c r="LF131" s="3">
        <f ca="1">IFERROR(__xludf.DUMMYFUNCTION("""COMPUTED_VALUE"""),-0.667923294983545)</f>
        <v>-0.66792329498354497</v>
      </c>
      <c r="LG131" s="3">
        <f ca="1">IFERROR(__xludf.DUMMYFUNCTION("""COMPUTED_VALUE"""),-0.648462520591474)</f>
        <v>-0.64846252059147402</v>
      </c>
      <c r="LH131" s="3">
        <f ca="1">IFERROR(__xludf.DUMMYFUNCTION("""COMPUTED_VALUE"""),-0.693735442433855)</f>
        <v>-0.69373544243385499</v>
      </c>
      <c r="LI131" s="3">
        <f ca="1">IFERROR(__xludf.DUMMYFUNCTION("""COMPUTED_VALUE"""),-0.726846723498887)</f>
        <v>-0.72684672349888702</v>
      </c>
      <c r="LJ131" s="3">
        <f ca="1">IFERROR(__xludf.DUMMYFUNCTION("""COMPUTED_VALUE"""),-0.701326179961704)</f>
        <v>-0.70132617996170399</v>
      </c>
      <c r="LK131" s="3">
        <f ca="1">IFERROR(__xludf.DUMMYFUNCTION("""COMPUTED_VALUE"""),-0.702455309420708)</f>
        <v>-0.702455309420708</v>
      </c>
      <c r="LL131" s="3">
        <f ca="1">IFERROR(__xludf.DUMMYFUNCTION("""COMPUTED_VALUE"""),-0.720329887156116)</f>
        <v>-0.72032988715611601</v>
      </c>
      <c r="LM131" s="3">
        <f ca="1">IFERROR(__xludf.DUMMYFUNCTION("""COMPUTED_VALUE"""),-0.755487545870748)</f>
        <v>-0.75548754587074796</v>
      </c>
      <c r="LN131" s="3">
        <f ca="1">IFERROR(__xludf.DUMMYFUNCTION("""COMPUTED_VALUE"""),-0.664304632479814)</f>
        <v>-0.66430463247981397</v>
      </c>
      <c r="LO131" s="3">
        <f ca="1">IFERROR(__xludf.DUMMYFUNCTION("""COMPUTED_VALUE"""),-0.708313055198303)</f>
        <v>-0.70831305519830301</v>
      </c>
      <c r="LP131" s="3">
        <f ca="1">IFERROR(__xludf.DUMMYFUNCTION("""COMPUTED_VALUE"""),-0.728096547382915)</f>
        <v>-0.72809654738291496</v>
      </c>
      <c r="LQ131" s="3">
        <f ca="1">IFERROR(__xludf.DUMMYFUNCTION("""COMPUTED_VALUE"""),-0.71865548058001)</f>
        <v>-0.71865548058001005</v>
      </c>
      <c r="LR131" s="3">
        <f ca="1">IFERROR(__xludf.DUMMYFUNCTION("""COMPUTED_VALUE"""),-0.747662506336277)</f>
        <v>-0.74766250633627696</v>
      </c>
      <c r="LS131" s="3">
        <f ca="1">IFERROR(__xludf.DUMMYFUNCTION("""COMPUTED_VALUE"""),-0.72307859544477)</f>
        <v>-0.72307859544477004</v>
      </c>
      <c r="LT131" s="3">
        <f ca="1">IFERROR(__xludf.DUMMYFUNCTION("""COMPUTED_VALUE"""),-0.689073346701944)</f>
        <v>-0.68907334670194398</v>
      </c>
      <c r="LU131" s="3">
        <f ca="1">IFERROR(__xludf.DUMMYFUNCTION("""COMPUTED_VALUE"""),-0.698604404692863)</f>
        <v>-0.698604404692863</v>
      </c>
      <c r="LV131" s="3">
        <f ca="1">IFERROR(__xludf.DUMMYFUNCTION("""COMPUTED_VALUE"""),-0.736885675864015)</f>
        <v>-0.73688567586401499</v>
      </c>
      <c r="LW131" s="3">
        <f ca="1">IFERROR(__xludf.DUMMYFUNCTION("""COMPUTED_VALUE"""),-0.745030293255689)</f>
        <v>-0.74503029325568904</v>
      </c>
      <c r="LX131" s="3">
        <f ca="1">IFERROR(__xludf.DUMMYFUNCTION("""COMPUTED_VALUE"""),-0.727000756743892)</f>
        <v>-0.72700075674389197</v>
      </c>
      <c r="LY131" s="3">
        <f ca="1">IFERROR(__xludf.DUMMYFUNCTION("""COMPUTED_VALUE"""),-0.7354982461684)</f>
        <v>-0.73549824616839998</v>
      </c>
      <c r="LZ131" s="3">
        <f ca="1">IFERROR(__xludf.DUMMYFUNCTION("""COMPUTED_VALUE"""),-0.73534184954201)</f>
        <v>-0.73534184954200998</v>
      </c>
      <c r="MA131" s="3">
        <f ca="1">IFERROR(__xludf.DUMMYFUNCTION("""COMPUTED_VALUE"""),-0.754835912271925)</f>
        <v>-0.75483591227192504</v>
      </c>
      <c r="MB131" s="3">
        <f ca="1">IFERROR(__xludf.DUMMYFUNCTION("""COMPUTED_VALUE"""),-0.698152018231051)</f>
        <v>-0.698152018231051</v>
      </c>
      <c r="MC131" s="3">
        <f ca="1">IFERROR(__xludf.DUMMYFUNCTION("""COMPUTED_VALUE"""),-0.726348555394311)</f>
        <v>-0.72634855539431098</v>
      </c>
      <c r="MD131" s="3">
        <f ca="1">IFERROR(__xludf.DUMMYFUNCTION("""COMPUTED_VALUE"""),-0.74539069042682)</f>
        <v>-0.74539069042682005</v>
      </c>
      <c r="ME131" s="3">
        <f ca="1">IFERROR(__xludf.DUMMYFUNCTION("""COMPUTED_VALUE"""),-0.733061213266808)</f>
        <v>-0.73306121326680795</v>
      </c>
      <c r="MF131" s="3">
        <f ca="1">IFERROR(__xludf.DUMMYFUNCTION("""COMPUTED_VALUE"""),-0.757704451183348)</f>
        <v>-0.75770445118334795</v>
      </c>
      <c r="MG131" s="3">
        <f ca="1">IFERROR(__xludf.DUMMYFUNCTION("""COMPUTED_VALUE"""),-0.740985400662021)</f>
        <v>-0.74098540066202101</v>
      </c>
      <c r="MH131" s="3">
        <f ca="1">IFERROR(__xludf.DUMMYFUNCTION("""COMPUTED_VALUE"""),-0.724283848075645)</f>
        <v>-0.72428384807564505</v>
      </c>
      <c r="MI131" s="3">
        <f ca="1">IFERROR(__xludf.DUMMYFUNCTION("""COMPUTED_VALUE"""),-0.733747557411845)</f>
        <v>-0.73374755741184505</v>
      </c>
      <c r="MJ131" s="3">
        <f ca="1">IFERROR(__xludf.DUMMYFUNCTION("""COMPUTED_VALUE"""),-0.732264285434131)</f>
        <v>-0.73226428543413102</v>
      </c>
      <c r="MK131" s="3">
        <f ca="1">IFERROR(__xludf.DUMMYFUNCTION("""COMPUTED_VALUE"""),-0.747026375390574)</f>
        <v>-0.74702637539057404</v>
      </c>
      <c r="ML131" s="3">
        <f ca="1">IFERROR(__xludf.DUMMYFUNCTION("""COMPUTED_VALUE"""),-0.760598385576385)</f>
        <v>-0.76059838557638504</v>
      </c>
      <c r="MM131" s="3">
        <f ca="1">IFERROR(__xludf.DUMMYFUNCTION("""COMPUTED_VALUE"""),-0.776475581951371)</f>
        <v>-0.77647558195137101</v>
      </c>
      <c r="MN131" s="3">
        <f ca="1">IFERROR(__xludf.DUMMYFUNCTION("""COMPUTED_VALUE"""),-0.774278929965207)</f>
        <v>-0.77427892996520697</v>
      </c>
      <c r="MO131" s="3">
        <f ca="1">IFERROR(__xludf.DUMMYFUNCTION("""COMPUTED_VALUE"""),-0.756192928295555)</f>
        <v>-0.75619292829555496</v>
      </c>
      <c r="MP131" s="3">
        <f ca="1">IFERROR(__xludf.DUMMYFUNCTION("""COMPUTED_VALUE"""),-0.686270529556307)</f>
        <v>-0.68627052955630696</v>
      </c>
      <c r="MQ131" s="3">
        <f ca="1">IFERROR(__xludf.DUMMYFUNCTION("""COMPUTED_VALUE"""),-0.762681763765416)</f>
        <v>-0.76268176376541597</v>
      </c>
      <c r="MR131" s="3">
        <f ca="1">IFERROR(__xludf.DUMMYFUNCTION("""COMPUTED_VALUE"""),-0.775403643051354)</f>
        <v>-0.77540364305135401</v>
      </c>
      <c r="MS131" s="3">
        <f ca="1">IFERROR(__xludf.DUMMYFUNCTION("""COMPUTED_VALUE"""),-0.772101760701594)</f>
        <v>-0.77210176070159398</v>
      </c>
      <c r="MT131" s="3">
        <f ca="1">IFERROR(__xludf.DUMMYFUNCTION("""COMPUTED_VALUE"""),-0.774410547396701)</f>
        <v>-0.77441054739670101</v>
      </c>
      <c r="MU131" s="3">
        <f ca="1">IFERROR(__xludf.DUMMYFUNCTION("""COMPUTED_VALUE"""),-0.782124645025176)</f>
        <v>-0.78212464502517598</v>
      </c>
      <c r="MV131" s="3">
        <f ca="1">IFERROR(__xludf.DUMMYFUNCTION("""COMPUTED_VALUE"""),-0.731545790898327)</f>
        <v>-0.73154579089832705</v>
      </c>
      <c r="MW131" s="3">
        <f ca="1">IFERROR(__xludf.DUMMYFUNCTION("""COMPUTED_VALUE"""),-0.756343742365247)</f>
        <v>-0.75634374236524704</v>
      </c>
      <c r="MX131" s="3">
        <f ca="1">IFERROR(__xludf.DUMMYFUNCTION("""COMPUTED_VALUE"""),-0.778416142779841)</f>
        <v>-0.77841614277984095</v>
      </c>
      <c r="MY131" s="3">
        <f ca="1">IFERROR(__xludf.DUMMYFUNCTION("""COMPUTED_VALUE"""),-0.759480681618256)</f>
        <v>-0.75948068161825599</v>
      </c>
      <c r="MZ131" s="3">
        <f ca="1">IFERROR(__xludf.DUMMYFUNCTION("""COMPUTED_VALUE"""),-0.733559749535264)</f>
        <v>-0.73355974953526404</v>
      </c>
      <c r="NA131" s="3">
        <f ca="1">IFERROR(__xludf.DUMMYFUNCTION("""COMPUTED_VALUE"""),-0.777345115774377)</f>
        <v>-0.77734511577437704</v>
      </c>
      <c r="NB131" s="3">
        <f ca="1">IFERROR(__xludf.DUMMYFUNCTION("""COMPUTED_VALUE"""),-0.77618162659573)</f>
        <v>-0.77618162659572998</v>
      </c>
      <c r="NC131" s="3">
        <f ca="1">IFERROR(__xludf.DUMMYFUNCTION("""COMPUTED_VALUE"""),-0.752424225536569)</f>
        <v>-0.75242422553656896</v>
      </c>
      <c r="ND131" s="3">
        <f ca="1">IFERROR(__xludf.DUMMYFUNCTION("""COMPUTED_VALUE"""),-0.77651873715424)</f>
        <v>-0.77651873715424002</v>
      </c>
      <c r="NE131" s="3">
        <f ca="1">IFERROR(__xludf.DUMMYFUNCTION("""COMPUTED_VALUE"""),-0.771698519045237)</f>
        <v>-0.77169851904523701</v>
      </c>
      <c r="NF131" s="3">
        <f ca="1">IFERROR(__xludf.DUMMYFUNCTION("""COMPUTED_VALUE"""),-0.835021790522815)</f>
        <v>-0.835021790522815</v>
      </c>
      <c r="NG131" s="3">
        <f ca="1">IFERROR(__xludf.DUMMYFUNCTION("""COMPUTED_VALUE"""),-0.813464773458632)</f>
        <v>-0.813464773458632</v>
      </c>
      <c r="NH131" s="3">
        <f ca="1">IFERROR(__xludf.DUMMYFUNCTION("""COMPUTED_VALUE"""),-0.83217648872006)</f>
        <v>-0.83217648872006</v>
      </c>
      <c r="NI131" s="3">
        <f ca="1">IFERROR(__xludf.DUMMYFUNCTION("""COMPUTED_VALUE"""),-0.837159483596476)</f>
        <v>-0.83715948359647596</v>
      </c>
      <c r="NJ131" s="3">
        <f ca="1">IFERROR(__xludf.DUMMYFUNCTION("""COMPUTED_VALUE"""),-0.803810977338956)</f>
        <v>-0.80381097733895601</v>
      </c>
      <c r="NK131" s="3">
        <f ca="1">IFERROR(__xludf.DUMMYFUNCTION("""COMPUTED_VALUE"""),-0.764069359917906)</f>
        <v>-0.76406935991790603</v>
      </c>
      <c r="NL131" s="3">
        <f ca="1">IFERROR(__xludf.DUMMYFUNCTION("""COMPUTED_VALUE"""),-0.745538514268088)</f>
        <v>-0.74553851426808804</v>
      </c>
      <c r="NM131" s="3">
        <f ca="1">IFERROR(__xludf.DUMMYFUNCTION("""COMPUTED_VALUE"""),-0.744822801675011)</f>
        <v>-0.74482280167501103</v>
      </c>
      <c r="NN131" s="3">
        <f ca="1">IFERROR(__xludf.DUMMYFUNCTION("""COMPUTED_VALUE"""),-0.779311955196004)</f>
        <v>-0.77931195519600405</v>
      </c>
      <c r="NO131" s="3">
        <f ca="1">IFERROR(__xludf.DUMMYFUNCTION("""COMPUTED_VALUE"""),-0.778466827601105)</f>
        <v>-0.77846682760110497</v>
      </c>
      <c r="NP131" s="3">
        <f ca="1">IFERROR(__xludf.DUMMYFUNCTION("""COMPUTED_VALUE"""),-0.774571552516734)</f>
        <v>-0.77457155251673404</v>
      </c>
      <c r="NQ131" s="3">
        <f ca="1">IFERROR(__xludf.DUMMYFUNCTION("""COMPUTED_VALUE"""),-0.749611948113627)</f>
        <v>-0.74961194811362697</v>
      </c>
      <c r="NR131" s="3">
        <f ca="1">IFERROR(__xludf.DUMMYFUNCTION("""COMPUTED_VALUE"""),-0.734035353352176)</f>
        <v>-0.73403535335217596</v>
      </c>
      <c r="NS131" s="3">
        <f ca="1">IFERROR(__xludf.DUMMYFUNCTION("""COMPUTED_VALUE"""),-0.75120812696919)</f>
        <v>-0.75120812696919004</v>
      </c>
      <c r="NT131" s="3">
        <f ca="1">IFERROR(__xludf.DUMMYFUNCTION("""COMPUTED_VALUE"""),-0.763822146828774)</f>
        <v>-0.76382214682877403</v>
      </c>
      <c r="NU131" s="3">
        <f ca="1">IFERROR(__xludf.DUMMYFUNCTION("""COMPUTED_VALUE"""),-0.770877686271837)</f>
        <v>-0.77087768627183695</v>
      </c>
      <c r="NV131" s="3">
        <f ca="1">IFERROR(__xludf.DUMMYFUNCTION("""COMPUTED_VALUE"""),-0.788110701283182)</f>
        <v>-0.78811070128318195</v>
      </c>
      <c r="NW131" s="3">
        <f ca="1">IFERROR(__xludf.DUMMYFUNCTION("""COMPUTED_VALUE"""),-0.763167156061513)</f>
        <v>-0.76316715606151297</v>
      </c>
      <c r="NX131" s="3">
        <f ca="1">IFERROR(__xludf.DUMMYFUNCTION("""COMPUTED_VALUE"""),-0.722692579530117)</f>
        <v>-0.72269257953011701</v>
      </c>
      <c r="NY131" s="3">
        <f ca="1">IFERROR(__xludf.DUMMYFUNCTION("""COMPUTED_VALUE"""),-0.668583231201867)</f>
        <v>-0.66858323120186702</v>
      </c>
      <c r="NZ131" s="3">
        <f ca="1">IFERROR(__xludf.DUMMYFUNCTION("""COMPUTED_VALUE"""),-0.664794446403568)</f>
        <v>-0.664794446403568</v>
      </c>
      <c r="OA131" s="3">
        <f ca="1">IFERROR(__xludf.DUMMYFUNCTION("""COMPUTED_VALUE"""),-0.686282284805336)</f>
        <v>-0.68628228480533604</v>
      </c>
      <c r="OB131" s="3">
        <f ca="1">IFERROR(__xludf.DUMMYFUNCTION("""COMPUTED_VALUE"""),-0.699625169394987)</f>
        <v>-0.69962516939498698</v>
      </c>
      <c r="OC131" s="3">
        <f ca="1">IFERROR(__xludf.DUMMYFUNCTION("""COMPUTED_VALUE"""),-0.667079588147561)</f>
        <v>-0.66707958814756096</v>
      </c>
      <c r="OD131" s="3">
        <f ca="1">IFERROR(__xludf.DUMMYFUNCTION("""COMPUTED_VALUE"""),-0.562101953962948)</f>
        <v>-0.56210195396294804</v>
      </c>
      <c r="OE131" s="3">
        <f ca="1">IFERROR(__xludf.DUMMYFUNCTION("""COMPUTED_VALUE"""),-0.458325624553533)</f>
        <v>-0.45832562455353298</v>
      </c>
      <c r="OF131" s="3">
        <f ca="1">IFERROR(__xludf.DUMMYFUNCTION("""COMPUTED_VALUE"""),-0.275375065433431)</f>
        <v>-0.27537506543343099</v>
      </c>
      <c r="OG131" s="3">
        <f ca="1">IFERROR(__xludf.DUMMYFUNCTION("""COMPUTED_VALUE"""),-0.346255249605728)</f>
        <v>-0.34625524960572801</v>
      </c>
      <c r="OH131" s="3">
        <f ca="1">IFERROR(__xludf.DUMMYFUNCTION("""COMPUTED_VALUE"""),-0.234765179155098)</f>
        <v>-0.23476517915509801</v>
      </c>
      <c r="OI131" s="3">
        <f ca="1">IFERROR(__xludf.DUMMYFUNCTION("""COMPUTED_VALUE"""),-0.273780451357279)</f>
        <v>-0.27378045135727902</v>
      </c>
      <c r="OJ131" s="3">
        <f ca="1">IFERROR(__xludf.DUMMYFUNCTION("""COMPUTED_VALUE"""),-0.090867022485191)</f>
        <v>-9.0867022485191004E-2</v>
      </c>
      <c r="OK131" s="3">
        <f ca="1">IFERROR(__xludf.DUMMYFUNCTION("""COMPUTED_VALUE"""),-0.230473365749985)</f>
        <v>-0.230473365749985</v>
      </c>
      <c r="OL131" s="3">
        <f ca="1">IFERROR(__xludf.DUMMYFUNCTION("""COMPUTED_VALUE"""),-0.0379157749386489)</f>
        <v>-3.7915774938648901E-2</v>
      </c>
      <c r="OM131" s="3">
        <f ca="1">IFERROR(__xludf.DUMMYFUNCTION("""COMPUTED_VALUE"""),-0.0686096246524993)</f>
        <v>-6.8609624652499299E-2</v>
      </c>
      <c r="ON131" s="3">
        <f ca="1">IFERROR(__xludf.DUMMYFUNCTION("""COMPUTED_VALUE"""),-0.000593308372091594)</f>
        <v>-5.9330837209159405E-4</v>
      </c>
      <c r="OO131" s="3">
        <f ca="1">IFERROR(__xludf.DUMMYFUNCTION("""COMPUTED_VALUE"""),-0.0370732365448364)</f>
        <v>-3.7073236544836401E-2</v>
      </c>
      <c r="OP131" s="3">
        <f ca="1">IFERROR(__xludf.DUMMYFUNCTION("""COMPUTED_VALUE"""),-0.0904779793071219)</f>
        <v>-9.0477979307121897E-2</v>
      </c>
      <c r="OQ131" s="3">
        <f ca="1">IFERROR(__xludf.DUMMYFUNCTION("""COMPUTED_VALUE"""),-0.0114565945843816)</f>
        <v>-1.1456594584381599E-2</v>
      </c>
      <c r="OR131" s="3">
        <f ca="1">IFERROR(__xludf.DUMMYFUNCTION("""COMPUTED_VALUE"""),-0.00270972939628255)</f>
        <v>-2.7097293962825499E-3</v>
      </c>
      <c r="OS131" s="3">
        <f ca="1">IFERROR(__xludf.DUMMYFUNCTION("""COMPUTED_VALUE"""),-0.0200923150618552)</f>
        <v>-2.0092315061855201E-2</v>
      </c>
      <c r="OT131" s="3">
        <f ca="1">IFERROR(__xludf.DUMMYFUNCTION("""COMPUTED_VALUE"""),-0.0822080985259112)</f>
        <v>-8.2208098525911197E-2</v>
      </c>
      <c r="OU131" s="3">
        <f ca="1">IFERROR(__xludf.DUMMYFUNCTION("""COMPUTED_VALUE"""),0.0583110006363125)</f>
        <v>5.8311000636312497E-2</v>
      </c>
      <c r="OV131" s="3">
        <f ca="1">IFERROR(__xludf.DUMMYFUNCTION("""COMPUTED_VALUE"""),-0.0418919408313734)</f>
        <v>-4.1891940831373403E-2</v>
      </c>
      <c r="OW131" s="3">
        <f ca="1">IFERROR(__xludf.DUMMYFUNCTION("""COMPUTED_VALUE"""),-0.0444565735089114)</f>
        <v>-4.4456573508911398E-2</v>
      </c>
      <c r="OX131" s="3">
        <f ca="1">IFERROR(__xludf.DUMMYFUNCTION("""COMPUTED_VALUE"""),0.0477251674247451)</f>
        <v>4.7725167424745099E-2</v>
      </c>
      <c r="OY131" s="3">
        <f ca="1">IFERROR(__xludf.DUMMYFUNCTION("""COMPUTED_VALUE"""),0.0402405992854668)</f>
        <v>4.0240599285466798E-2</v>
      </c>
      <c r="OZ131" s="3">
        <f ca="1">IFERROR(__xludf.DUMMYFUNCTION("""COMPUTED_VALUE"""),0.0114911918046598)</f>
        <v>1.14911918046598E-2</v>
      </c>
      <c r="PA131" s="3">
        <f ca="1">IFERROR(__xludf.DUMMYFUNCTION("""COMPUTED_VALUE"""),0.0194961644166231)</f>
        <v>1.94961644166231E-2</v>
      </c>
      <c r="PB131" s="3">
        <f ca="1">IFERROR(__xludf.DUMMYFUNCTION("""COMPUTED_VALUE"""),-0.030595688985352)</f>
        <v>-3.0595688985352001E-2</v>
      </c>
      <c r="PC131" s="3">
        <f ca="1">IFERROR(__xludf.DUMMYFUNCTION("""COMPUTED_VALUE"""),0.0503681449053732)</f>
        <v>5.0368144905373197E-2</v>
      </c>
      <c r="PD131" s="3">
        <f ca="1">IFERROR(__xludf.DUMMYFUNCTION("""COMPUTED_VALUE"""),0.0880631386277077)</f>
        <v>8.8063138627707704E-2</v>
      </c>
      <c r="PE131" s="3">
        <f ca="1">IFERROR(__xludf.DUMMYFUNCTION("""COMPUTED_VALUE"""),0.0230138903344008)</f>
        <v>2.3013890334400801E-2</v>
      </c>
      <c r="PF131" s="3">
        <f ca="1">IFERROR(__xludf.DUMMYFUNCTION("""COMPUTED_VALUE"""),-0.00820812908493739)</f>
        <v>-8.2081290849373902E-3</v>
      </c>
      <c r="PG131" s="3">
        <f ca="1">IFERROR(__xludf.DUMMYFUNCTION("""COMPUTED_VALUE"""),-0.145095429761356)</f>
        <v>-0.145095429761356</v>
      </c>
      <c r="PH131" s="3">
        <f ca="1">IFERROR(__xludf.DUMMYFUNCTION("""COMPUTED_VALUE"""),0.129900251942833)</f>
        <v>0.129900251942833</v>
      </c>
      <c r="PI131" s="3">
        <f ca="1">IFERROR(__xludf.DUMMYFUNCTION("""COMPUTED_VALUE"""),0.0238924905691715)</f>
        <v>2.38924905691715E-2</v>
      </c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</row>
    <row r="132" spans="1:477" ht="13">
      <c r="A132" s="1" t="str">
        <f ca="1">IFERROR(__xludf.DUMMYFUNCTION("""COMPUTED_VALUE"""),"NCTD")</f>
        <v>NCTD</v>
      </c>
      <c r="B132" s="1" t="str">
        <f ca="1">IFERROR(__xludf.DUMMYFUNCTION("""COMPUTED_VALUE"""),"San Diego")</f>
        <v>San Diego</v>
      </c>
      <c r="C132" s="1" t="str">
        <f ca="1">IFERROR(__xludf.DUMMYFUNCTION("""COMPUTED_VALUE"""),"United States")</f>
        <v>United States</v>
      </c>
      <c r="D132" s="1" t="str">
        <f ca="1">IFERROR(__xludf.DUMMYFUNCTION("""COMPUTED_VALUE"""),"California")</f>
        <v>California</v>
      </c>
      <c r="E132" s="3">
        <f ca="1">IFERROR(__xludf.DUMMYFUNCTION("""COMPUTED_VALUE"""),-0.554029608757855)</f>
        <v>-0.55402960875785501</v>
      </c>
      <c r="F132" s="3">
        <f ca="1">IFERROR(__xludf.DUMMYFUNCTION("""COMPUTED_VALUE"""),-0.524735476399831)</f>
        <v>-0.52473547639983098</v>
      </c>
      <c r="G132" s="3">
        <f ca="1">IFERROR(__xludf.DUMMYFUNCTION("""COMPUTED_VALUE"""),-0.589785226823446)</f>
        <v>-0.58978522682344603</v>
      </c>
      <c r="H132" s="3">
        <f ca="1">IFERROR(__xludf.DUMMYFUNCTION("""COMPUTED_VALUE"""),-0.551376874513386)</f>
        <v>-0.55137687451338602</v>
      </c>
      <c r="I132" s="3">
        <f ca="1">IFERROR(__xludf.DUMMYFUNCTION("""COMPUTED_VALUE"""),-0.543689799617322)</f>
        <v>-0.543689799617322</v>
      </c>
      <c r="J132" s="3">
        <f ca="1">IFERROR(__xludf.DUMMYFUNCTION("""COMPUTED_VALUE"""),-0.550278116698841)</f>
        <v>-0.55027811669884097</v>
      </c>
      <c r="K132" s="3">
        <f ca="1">IFERROR(__xludf.DUMMYFUNCTION("""COMPUTED_VALUE"""),-0.66518560810898)</f>
        <v>-0.66518560810897998</v>
      </c>
      <c r="L132" s="3">
        <f ca="1">IFERROR(__xludf.DUMMYFUNCTION("""COMPUTED_VALUE"""),-0.514734091800165)</f>
        <v>-0.51473409180016505</v>
      </c>
      <c r="M132" s="3">
        <f ca="1">IFERROR(__xludf.DUMMYFUNCTION("""COMPUTED_VALUE"""),-0.505765385402402)</f>
        <v>-0.50576538540240201</v>
      </c>
      <c r="N132" s="3">
        <f ca="1">IFERROR(__xludf.DUMMYFUNCTION("""COMPUTED_VALUE"""),-0.6227696004697)</f>
        <v>-0.62276960046969998</v>
      </c>
      <c r="O132" s="3">
        <f ca="1">IFERROR(__xludf.DUMMYFUNCTION("""COMPUTED_VALUE"""),-0.616845172905697)</f>
        <v>-0.61684517290569696</v>
      </c>
      <c r="P132" s="3">
        <f ca="1">IFERROR(__xludf.DUMMYFUNCTION("""COMPUTED_VALUE"""),-0.613160363739953)</f>
        <v>-0.61316036373995297</v>
      </c>
      <c r="Q132" s="3">
        <f ca="1">IFERROR(__xludf.DUMMYFUNCTION("""COMPUTED_VALUE"""),-0.628499208535705)</f>
        <v>-0.62849920853570496</v>
      </c>
      <c r="R132" s="3">
        <f ca="1">IFERROR(__xludf.DUMMYFUNCTION("""COMPUTED_VALUE"""),-0.52857038741343)</f>
        <v>-0.52857038741342999</v>
      </c>
      <c r="S132" s="3">
        <f ca="1">IFERROR(__xludf.DUMMYFUNCTION("""COMPUTED_VALUE"""),-0.570875457102857)</f>
        <v>-0.57087545710285703</v>
      </c>
      <c r="T132" s="3">
        <f ca="1">IFERROR(__xludf.DUMMYFUNCTION("""COMPUTED_VALUE"""),-0.621562218502351)</f>
        <v>-0.62156221850235105</v>
      </c>
      <c r="U132" s="3">
        <f ca="1">IFERROR(__xludf.DUMMYFUNCTION("""COMPUTED_VALUE"""),-0.735325953473017)</f>
        <v>-0.73532595347301699</v>
      </c>
      <c r="V132" s="3">
        <f ca="1">IFERROR(__xludf.DUMMYFUNCTION("""COMPUTED_VALUE"""),-0.663846173517308)</f>
        <v>-0.66384617351730801</v>
      </c>
      <c r="W132" s="3">
        <f ca="1">IFERROR(__xludf.DUMMYFUNCTION("""COMPUTED_VALUE"""),-0.710096674836222)</f>
        <v>-0.71009667483622196</v>
      </c>
      <c r="X132" s="3">
        <f ca="1">IFERROR(__xludf.DUMMYFUNCTION("""COMPUTED_VALUE"""),-0.690170530386537)</f>
        <v>-0.69017053038653697</v>
      </c>
      <c r="Y132" s="3">
        <f ca="1">IFERROR(__xludf.DUMMYFUNCTION("""COMPUTED_VALUE"""),-0.643200321863982)</f>
        <v>-0.64320032186398202</v>
      </c>
      <c r="Z132" s="3">
        <f ca="1">IFERROR(__xludf.DUMMYFUNCTION("""COMPUTED_VALUE"""),-0.523289332471119)</f>
        <v>-0.52328933247111897</v>
      </c>
      <c r="AA132" s="3">
        <f ca="1">IFERROR(__xludf.DUMMYFUNCTION("""COMPUTED_VALUE"""),-0.620942548753459)</f>
        <v>-0.620942548753459</v>
      </c>
      <c r="AB132" s="3">
        <f ca="1">IFERROR(__xludf.DUMMYFUNCTION("""COMPUTED_VALUE"""),-0.684821319011468)</f>
        <v>-0.68482131901146803</v>
      </c>
      <c r="AC132" s="3">
        <f ca="1">IFERROR(__xludf.DUMMYFUNCTION("""COMPUTED_VALUE"""),-0.721290406270309)</f>
        <v>-0.72129040627030905</v>
      </c>
      <c r="AD132" s="3">
        <f ca="1">IFERROR(__xludf.DUMMYFUNCTION("""COMPUTED_VALUE"""),-0.700143905369076)</f>
        <v>-0.700143905369076</v>
      </c>
      <c r="AE132" s="3">
        <f ca="1">IFERROR(__xludf.DUMMYFUNCTION("""COMPUTED_VALUE"""),-0.732838616265383)</f>
        <v>-0.73283861626538305</v>
      </c>
      <c r="AF132" s="3">
        <f ca="1">IFERROR(__xludf.DUMMYFUNCTION("""COMPUTED_VALUE"""),-0.597180490263573)</f>
        <v>-0.59718049026357301</v>
      </c>
      <c r="AG132" s="3">
        <f ca="1">IFERROR(__xludf.DUMMYFUNCTION("""COMPUTED_VALUE"""),-0.602673718577435)</f>
        <v>-0.60267371857743501</v>
      </c>
      <c r="AH132" s="3">
        <f ca="1">IFERROR(__xludf.DUMMYFUNCTION("""COMPUTED_VALUE"""),-0.582843592866672)</f>
        <v>-0.58284359286667198</v>
      </c>
      <c r="AI132" s="3">
        <f ca="1">IFERROR(__xludf.DUMMYFUNCTION("""COMPUTED_VALUE"""),-0.75114641314481)</f>
        <v>-0.75114641314481001</v>
      </c>
      <c r="AJ132" s="3">
        <f ca="1">IFERROR(__xludf.DUMMYFUNCTION("""COMPUTED_VALUE"""),-0.750111362798444)</f>
        <v>-0.75011136279844404</v>
      </c>
      <c r="AK132" s="3">
        <f ca="1">IFERROR(__xludf.DUMMYFUNCTION("""COMPUTED_VALUE"""),-0.735157988181671)</f>
        <v>-0.735157988181671</v>
      </c>
      <c r="AL132" s="3">
        <f ca="1">IFERROR(__xludf.DUMMYFUNCTION("""COMPUTED_VALUE"""),-0.679177917416081)</f>
        <v>-0.67917791741608102</v>
      </c>
      <c r="AM132" s="3">
        <f ca="1">IFERROR(__xludf.DUMMYFUNCTION("""COMPUTED_VALUE"""),-0.585570669513488)</f>
        <v>-0.58557066951348802</v>
      </c>
      <c r="AN132" s="3">
        <f ca="1">IFERROR(__xludf.DUMMYFUNCTION("""COMPUTED_VALUE"""),-0.586058126419477)</f>
        <v>-0.58605812641947697</v>
      </c>
      <c r="AO132" s="3">
        <f ca="1">IFERROR(__xludf.DUMMYFUNCTION("""COMPUTED_VALUE"""),-0.660019257689788)</f>
        <v>-0.66001925768978797</v>
      </c>
      <c r="AP132" s="3">
        <f ca="1">IFERROR(__xludf.DUMMYFUNCTION("""COMPUTED_VALUE"""),-0.70525005048929)</f>
        <v>-0.70525005048929001</v>
      </c>
      <c r="AQ132" s="3">
        <f ca="1">IFERROR(__xludf.DUMMYFUNCTION("""COMPUTED_VALUE"""),-0.716321708053903)</f>
        <v>-0.71632170805390305</v>
      </c>
      <c r="AR132" s="3">
        <f ca="1">IFERROR(__xludf.DUMMYFUNCTION("""COMPUTED_VALUE"""),-0.689991501105075)</f>
        <v>-0.68999150110507501</v>
      </c>
      <c r="AS132" s="3">
        <f ca="1">IFERROR(__xludf.DUMMYFUNCTION("""COMPUTED_VALUE"""),-0.679916756286518)</f>
        <v>-0.67991675628651804</v>
      </c>
      <c r="AT132" s="3">
        <f ca="1">IFERROR(__xludf.DUMMYFUNCTION("""COMPUTED_VALUE"""),-0.518998041086382)</f>
        <v>-0.51899804108638203</v>
      </c>
      <c r="AU132" s="3">
        <f ca="1">IFERROR(__xludf.DUMMYFUNCTION("""COMPUTED_VALUE"""),-0.61422156283328)</f>
        <v>-0.61422156283328</v>
      </c>
      <c r="AV132" s="3">
        <f ca="1">IFERROR(__xludf.DUMMYFUNCTION("""COMPUTED_VALUE"""),-0.649989670413541)</f>
        <v>-0.64998967041354105</v>
      </c>
      <c r="AW132" s="3">
        <f ca="1">IFERROR(__xludf.DUMMYFUNCTION("""COMPUTED_VALUE"""),-0.717892060344486)</f>
        <v>-0.71789206034448605</v>
      </c>
      <c r="AX132" s="3">
        <f ca="1">IFERROR(__xludf.DUMMYFUNCTION("""COMPUTED_VALUE"""),-0.693792280014065)</f>
        <v>-0.69379228001406501</v>
      </c>
      <c r="AY132" s="3">
        <f ca="1">IFERROR(__xludf.DUMMYFUNCTION("""COMPUTED_VALUE"""),-0.740449996732634)</f>
        <v>-0.74044999673263401</v>
      </c>
      <c r="AZ132" s="3">
        <f ca="1">IFERROR(__xludf.DUMMYFUNCTION("""COMPUTED_VALUE"""),-0.728519226129923)</f>
        <v>-0.72851922612992304</v>
      </c>
      <c r="BA132" s="3">
        <f ca="1">IFERROR(__xludf.DUMMYFUNCTION("""COMPUTED_VALUE"""),-0.501968963041663)</f>
        <v>-0.50196896304166305</v>
      </c>
      <c r="BB132" s="3">
        <f ca="1">IFERROR(__xludf.DUMMYFUNCTION("""COMPUTED_VALUE"""),-0.564209826523698)</f>
        <v>-0.564209826523698</v>
      </c>
      <c r="BC132" s="3">
        <f ca="1">IFERROR(__xludf.DUMMYFUNCTION("""COMPUTED_VALUE"""),-0.678346949027238)</f>
        <v>-0.67834694902723802</v>
      </c>
      <c r="BD132" s="3">
        <f ca="1">IFERROR(__xludf.DUMMYFUNCTION("""COMPUTED_VALUE"""),-0.638988155405438)</f>
        <v>-0.63898815540543796</v>
      </c>
      <c r="BE132" s="3">
        <f ca="1">IFERROR(__xludf.DUMMYFUNCTION("""COMPUTED_VALUE"""),-0.715080336165907)</f>
        <v>-0.71508033616590705</v>
      </c>
      <c r="BF132" s="3">
        <f ca="1">IFERROR(__xludf.DUMMYFUNCTION("""COMPUTED_VALUE"""),-0.67065571249834)</f>
        <v>-0.67065571249834</v>
      </c>
      <c r="BG132" s="3">
        <f ca="1">IFERROR(__xludf.DUMMYFUNCTION("""COMPUTED_VALUE"""),-0.71550689320419)</f>
        <v>-0.71550689320419003</v>
      </c>
      <c r="BH132" s="3">
        <f ca="1">IFERROR(__xludf.DUMMYFUNCTION("""COMPUTED_VALUE"""),-0.549882182555702)</f>
        <v>-0.54988218255570198</v>
      </c>
      <c r="BI132" s="3">
        <f ca="1">IFERROR(__xludf.DUMMYFUNCTION("""COMPUTED_VALUE"""),-0.546814836288488)</f>
        <v>-0.54681483628848804</v>
      </c>
      <c r="BJ132" s="3">
        <f ca="1">IFERROR(__xludf.DUMMYFUNCTION("""COMPUTED_VALUE"""),-0.748112657426986)</f>
        <v>-0.74811265742698596</v>
      </c>
      <c r="BK132" s="3">
        <f ca="1">IFERROR(__xludf.DUMMYFUNCTION("""COMPUTED_VALUE"""),-0.753093115523364)</f>
        <v>-0.753093115523364</v>
      </c>
      <c r="BL132" s="3">
        <f ca="1">IFERROR(__xludf.DUMMYFUNCTION("""COMPUTED_VALUE"""),-0.672621245456407)</f>
        <v>-0.672621245456407</v>
      </c>
      <c r="BM132" s="3">
        <f ca="1">IFERROR(__xludf.DUMMYFUNCTION("""COMPUTED_VALUE"""),-0.734807858798396)</f>
        <v>-0.73480785879839605</v>
      </c>
      <c r="BN132" s="3">
        <f ca="1">IFERROR(__xludf.DUMMYFUNCTION("""COMPUTED_VALUE"""),-0.697340246476815)</f>
        <v>-0.69734024647681503</v>
      </c>
      <c r="BO132" s="3">
        <f ca="1">IFERROR(__xludf.DUMMYFUNCTION("""COMPUTED_VALUE"""),-0.612828880817577)</f>
        <v>-0.61282888081757703</v>
      </c>
      <c r="BP132" s="3">
        <f ca="1">IFERROR(__xludf.DUMMYFUNCTION("""COMPUTED_VALUE"""),-0.55977718689917)</f>
        <v>-0.55977718689917</v>
      </c>
      <c r="BQ132" s="3">
        <f ca="1">IFERROR(__xludf.DUMMYFUNCTION("""COMPUTED_VALUE"""),-0.693478957181052)</f>
        <v>-0.69347895718105201</v>
      </c>
      <c r="BR132" s="3">
        <f ca="1">IFERROR(__xludf.DUMMYFUNCTION("""COMPUTED_VALUE"""),-0.717106965511928)</f>
        <v>-0.71710696551192799</v>
      </c>
      <c r="BS132" s="3">
        <f ca="1">IFERROR(__xludf.DUMMYFUNCTION("""COMPUTED_VALUE"""),-0.745948083772067)</f>
        <v>-0.74594808377206701</v>
      </c>
      <c r="BT132" s="3">
        <f ca="1">IFERROR(__xludf.DUMMYFUNCTION("""COMPUTED_VALUE"""),-0.750758516801249)</f>
        <v>-0.75075851680124905</v>
      </c>
      <c r="BU132" s="3">
        <f ca="1">IFERROR(__xludf.DUMMYFUNCTION("""COMPUTED_VALUE"""),-0.74827891299327)</f>
        <v>-0.74827891299326998</v>
      </c>
      <c r="BV132" s="3">
        <f ca="1">IFERROR(__xludf.DUMMYFUNCTION("""COMPUTED_VALUE"""),-0.548174765133962)</f>
        <v>-0.54817476513396202</v>
      </c>
      <c r="BW132" s="3">
        <f ca="1">IFERROR(__xludf.DUMMYFUNCTION("""COMPUTED_VALUE"""),-0.59204582984587)</f>
        <v>-0.59204582984586995</v>
      </c>
      <c r="BX132" s="3">
        <f ca="1">IFERROR(__xludf.DUMMYFUNCTION("""COMPUTED_VALUE"""),-0.804290935828161)</f>
        <v>-0.80429093582816102</v>
      </c>
      <c r="BY132" s="3">
        <f ca="1">IFERROR(__xludf.DUMMYFUNCTION("""COMPUTED_VALUE"""),-0.758957144329987)</f>
        <v>-0.75895714432998695</v>
      </c>
      <c r="BZ132" s="3">
        <f ca="1">IFERROR(__xludf.DUMMYFUNCTION("""COMPUTED_VALUE"""),-0.745267130768027)</f>
        <v>-0.74526713076802698</v>
      </c>
      <c r="CA132" s="3">
        <f ca="1">IFERROR(__xludf.DUMMYFUNCTION("""COMPUTED_VALUE"""),-0.720601936776131)</f>
        <v>-0.72060193677613105</v>
      </c>
      <c r="CB132" s="3">
        <f ca="1">IFERROR(__xludf.DUMMYFUNCTION("""COMPUTED_VALUE"""),-0.754663183587855)</f>
        <v>-0.754663183587855</v>
      </c>
      <c r="CC132" s="3">
        <f ca="1">IFERROR(__xludf.DUMMYFUNCTION("""COMPUTED_VALUE"""),-0.610015458293897)</f>
        <v>-0.61001545829389703</v>
      </c>
      <c r="CD132" s="3">
        <f ca="1">IFERROR(__xludf.DUMMYFUNCTION("""COMPUTED_VALUE"""),-0.746893730278701)</f>
        <v>-0.74689373027870098</v>
      </c>
      <c r="CE132" s="3">
        <f ca="1">IFERROR(__xludf.DUMMYFUNCTION("""COMPUTED_VALUE"""),-0.745098974949047)</f>
        <v>-0.74509897494904698</v>
      </c>
      <c r="CF132" s="3">
        <f ca="1">IFERROR(__xludf.DUMMYFUNCTION("""COMPUTED_VALUE"""),-0.715879852033453)</f>
        <v>-0.71587985203345295</v>
      </c>
      <c r="CG132" s="3">
        <f ca="1">IFERROR(__xludf.DUMMYFUNCTION("""COMPUTED_VALUE"""),-0.796809770341707)</f>
        <v>-0.79680977034170697</v>
      </c>
      <c r="CH132" s="3">
        <f ca="1">IFERROR(__xludf.DUMMYFUNCTION("""COMPUTED_VALUE"""),-0.764025995450723)</f>
        <v>-0.76402599545072303</v>
      </c>
      <c r="CI132" s="3">
        <f ca="1">IFERROR(__xludf.DUMMYFUNCTION("""COMPUTED_VALUE"""),-0.711173740352973)</f>
        <v>-0.71117374035297298</v>
      </c>
      <c r="CJ132" s="3">
        <f ca="1">IFERROR(__xludf.DUMMYFUNCTION("""COMPUTED_VALUE"""),-0.594010948021562)</f>
        <v>-0.59401094802156196</v>
      </c>
      <c r="CK132" s="3">
        <f ca="1">IFERROR(__xludf.DUMMYFUNCTION("""COMPUTED_VALUE"""),-0.538693796147363)</f>
        <v>-0.53869379614736301</v>
      </c>
      <c r="CL132" s="3">
        <f ca="1">IFERROR(__xludf.DUMMYFUNCTION("""COMPUTED_VALUE"""),-0.746541092304263)</f>
        <v>-0.74654109230426302</v>
      </c>
      <c r="CM132" s="3">
        <f ca="1">IFERROR(__xludf.DUMMYFUNCTION("""COMPUTED_VALUE"""),-0.768062939998872)</f>
        <v>-0.76806293999887199</v>
      </c>
      <c r="CN132" s="3">
        <f ca="1">IFERROR(__xludf.DUMMYFUNCTION("""COMPUTED_VALUE"""),-0.780125688246943)</f>
        <v>-0.78012568824694295</v>
      </c>
      <c r="CO132" s="3">
        <f ca="1">IFERROR(__xludf.DUMMYFUNCTION("""COMPUTED_VALUE"""),-0.704377096267146)</f>
        <v>-0.70437709626714595</v>
      </c>
      <c r="CP132" s="3">
        <f ca="1">IFERROR(__xludf.DUMMYFUNCTION("""COMPUTED_VALUE"""),-0.692928183781759)</f>
        <v>-0.69292818378175902</v>
      </c>
      <c r="CQ132" s="3">
        <f ca="1">IFERROR(__xludf.DUMMYFUNCTION("""COMPUTED_VALUE"""),-0.66053994244504)</f>
        <v>-0.66053994244504</v>
      </c>
      <c r="CR132" s="3">
        <f ca="1">IFERROR(__xludf.DUMMYFUNCTION("""COMPUTED_VALUE"""),-0.591027980860983)</f>
        <v>-0.59102798086098296</v>
      </c>
      <c r="CS132" s="3">
        <f ca="1">IFERROR(__xludf.DUMMYFUNCTION("""COMPUTED_VALUE"""),-0.696354643010644)</f>
        <v>-0.69635464301064398</v>
      </c>
      <c r="CT132" s="3">
        <f ca="1">IFERROR(__xludf.DUMMYFUNCTION("""COMPUTED_VALUE"""),-0.704278041420234)</f>
        <v>-0.70427804142023398</v>
      </c>
      <c r="CU132" s="3">
        <f ca="1">IFERROR(__xludf.DUMMYFUNCTION("""COMPUTED_VALUE"""),-0.706155657018819)</f>
        <v>-0.70615565701881899</v>
      </c>
      <c r="CV132" s="3">
        <f ca="1">IFERROR(__xludf.DUMMYFUNCTION("""COMPUTED_VALUE"""),-0.708807637460346)</f>
        <v>-0.70880763746034603</v>
      </c>
      <c r="CW132" s="3">
        <f ca="1">IFERROR(__xludf.DUMMYFUNCTION("""COMPUTED_VALUE"""),-0.694486310011788)</f>
        <v>-0.69448631001178796</v>
      </c>
      <c r="CX132" s="3">
        <f ca="1">IFERROR(__xludf.DUMMYFUNCTION("""COMPUTED_VALUE"""),-0.59927126568229)</f>
        <v>-0.59927126568229006</v>
      </c>
      <c r="CY132" s="3">
        <f ca="1">IFERROR(__xludf.DUMMYFUNCTION("""COMPUTED_VALUE"""),-0.604777918050641)</f>
        <v>-0.60477791805064096</v>
      </c>
      <c r="CZ132" s="3">
        <f ca="1">IFERROR(__xludf.DUMMYFUNCTION("""COMPUTED_VALUE"""),-0.685838752155607)</f>
        <v>-0.68583875215560697</v>
      </c>
      <c r="DA132" s="3">
        <f ca="1">IFERROR(__xludf.DUMMYFUNCTION("""COMPUTED_VALUE"""),-0.553666582644335)</f>
        <v>-0.55366658264433499</v>
      </c>
      <c r="DB132" s="3">
        <f ca="1">IFERROR(__xludf.DUMMYFUNCTION("""COMPUTED_VALUE"""),-0.545634422964888)</f>
        <v>-0.54563442296488796</v>
      </c>
      <c r="DC132" s="3">
        <f ca="1">IFERROR(__xludf.DUMMYFUNCTION("""COMPUTED_VALUE"""),-0.64548965099867)</f>
        <v>-0.64548965099866995</v>
      </c>
      <c r="DD132" s="3">
        <f ca="1">IFERROR(__xludf.DUMMYFUNCTION("""COMPUTED_VALUE"""),-0.670996183562212)</f>
        <v>-0.67099618356221202</v>
      </c>
      <c r="DE132" s="3">
        <f ca="1">IFERROR(__xludf.DUMMYFUNCTION("""COMPUTED_VALUE"""),-0.603905857539583)</f>
        <v>-0.60390585753958304</v>
      </c>
      <c r="DF132" s="3">
        <f ca="1">IFERROR(__xludf.DUMMYFUNCTION("""COMPUTED_VALUE"""),-0.661188519150898)</f>
        <v>-0.66118851915089805</v>
      </c>
      <c r="DG132" s="3">
        <f ca="1">IFERROR(__xludf.DUMMYFUNCTION("""COMPUTED_VALUE"""),-0.783937176681272)</f>
        <v>-0.78393717668127205</v>
      </c>
      <c r="DH132" s="3">
        <f ca="1">IFERROR(__xludf.DUMMYFUNCTION("""COMPUTED_VALUE"""),-0.645767515826551)</f>
        <v>-0.64576751582655101</v>
      </c>
      <c r="DI132" s="3">
        <f ca="1">IFERROR(__xludf.DUMMYFUNCTION("""COMPUTED_VALUE"""),-0.417437151522394)</f>
        <v>-0.41743715152239402</v>
      </c>
      <c r="DJ132" s="3">
        <f ca="1">IFERROR(__xludf.DUMMYFUNCTION("""COMPUTED_VALUE"""),-0.617747208060089)</f>
        <v>-0.61774720806008898</v>
      </c>
      <c r="DK132" s="3">
        <f ca="1">IFERROR(__xludf.DUMMYFUNCTION("""COMPUTED_VALUE"""),-0.600002270336907)</f>
        <v>-0.60000227033690701</v>
      </c>
      <c r="DL132" s="3">
        <f ca="1">IFERROR(__xludf.DUMMYFUNCTION("""COMPUTED_VALUE"""),-0.541479952560059)</f>
        <v>-0.54147995256005899</v>
      </c>
      <c r="DM132" s="3">
        <f ca="1">IFERROR(__xludf.DUMMYFUNCTION("""COMPUTED_VALUE"""),-0.516863631184743)</f>
        <v>-0.51686363118474299</v>
      </c>
      <c r="DN132" s="3">
        <f ca="1">IFERROR(__xludf.DUMMYFUNCTION("""COMPUTED_VALUE"""),-0.595684093415259)</f>
        <v>-0.59568409341525896</v>
      </c>
      <c r="DO132" s="3">
        <f ca="1">IFERROR(__xludf.DUMMYFUNCTION("""COMPUTED_VALUE"""),-0.595475604755137)</f>
        <v>-0.59547560475513694</v>
      </c>
      <c r="DP132" s="3">
        <f ca="1">IFERROR(__xludf.DUMMYFUNCTION("""COMPUTED_VALUE"""),-0.604765613263144)</f>
        <v>-0.60476561326314404</v>
      </c>
      <c r="DQ132" s="3">
        <f ca="1">IFERROR(__xludf.DUMMYFUNCTION("""COMPUTED_VALUE"""),-0.570262398625667)</f>
        <v>-0.57026239862566697</v>
      </c>
      <c r="DR132" s="3">
        <f ca="1">IFERROR(__xludf.DUMMYFUNCTION("""COMPUTED_VALUE"""),-0.595375353436078)</f>
        <v>-0.59537535343607795</v>
      </c>
      <c r="DS132" s="3">
        <f ca="1">IFERROR(__xludf.DUMMYFUNCTION("""COMPUTED_VALUE"""),-0.549724715706634)</f>
        <v>-0.54972471570663395</v>
      </c>
      <c r="DT132" s="3">
        <f ca="1">IFERROR(__xludf.DUMMYFUNCTION("""COMPUTED_VALUE"""),-0.594738646197394)</f>
        <v>-0.59473864619739403</v>
      </c>
      <c r="DU132" s="3">
        <f ca="1">IFERROR(__xludf.DUMMYFUNCTION("""COMPUTED_VALUE"""),-0.73028785584815)</f>
        <v>-0.73028785584815004</v>
      </c>
      <c r="DV132" s="3">
        <f ca="1">IFERROR(__xludf.DUMMYFUNCTION("""COMPUTED_VALUE"""),-0.679839859123697)</f>
        <v>-0.67983985912369704</v>
      </c>
      <c r="DW132" s="3">
        <f ca="1">IFERROR(__xludf.DUMMYFUNCTION("""COMPUTED_VALUE"""),-0.666275755835558)</f>
        <v>-0.66627575583555798</v>
      </c>
      <c r="DX132" s="3">
        <f ca="1">IFERROR(__xludf.DUMMYFUNCTION("""COMPUTED_VALUE"""),-0.673033402104387)</f>
        <v>-0.673033402104387</v>
      </c>
      <c r="DY132" s="3">
        <f ca="1">IFERROR(__xludf.DUMMYFUNCTION("""COMPUTED_VALUE"""),-0.680797354807756)</f>
        <v>-0.68079735480775605</v>
      </c>
      <c r="DZ132" s="3">
        <f ca="1">IFERROR(__xludf.DUMMYFUNCTION("""COMPUTED_VALUE"""),-0.658709223976112)</f>
        <v>-0.65870922397611198</v>
      </c>
      <c r="EA132" s="3">
        <f ca="1">IFERROR(__xludf.DUMMYFUNCTION("""COMPUTED_VALUE"""),-0.533941356371177)</f>
        <v>-0.53394135637117701</v>
      </c>
      <c r="EB132" s="3">
        <f ca="1">IFERROR(__xludf.DUMMYFUNCTION("""COMPUTED_VALUE"""),-0.641530732120166)</f>
        <v>-0.64153073212016598</v>
      </c>
      <c r="EC132" s="3">
        <f ca="1">IFERROR(__xludf.DUMMYFUNCTION("""COMPUTED_VALUE"""),-0.626979945823798)</f>
        <v>-0.62697994582379801</v>
      </c>
      <c r="ED132" s="3">
        <f ca="1">IFERROR(__xludf.DUMMYFUNCTION("""COMPUTED_VALUE"""),-0.639567037888802)</f>
        <v>-0.63956703788880198</v>
      </c>
      <c r="EE132" s="3">
        <f ca="1">IFERROR(__xludf.DUMMYFUNCTION("""COMPUTED_VALUE"""),-0.697431099070203)</f>
        <v>-0.69743109907020295</v>
      </c>
      <c r="EF132" s="3">
        <f ca="1">IFERROR(__xludf.DUMMYFUNCTION("""COMPUTED_VALUE"""),-0.719981671382539)</f>
        <v>-0.71998167138253899</v>
      </c>
      <c r="EG132" s="3">
        <f ca="1">IFERROR(__xludf.DUMMYFUNCTION("""COMPUTED_VALUE"""),-0.713347431761961)</f>
        <v>-0.71334743176196103</v>
      </c>
      <c r="EH132" s="3">
        <f ca="1">IFERROR(__xludf.DUMMYFUNCTION("""COMPUTED_VALUE"""),-0.672594700511131)</f>
        <v>-0.67259470051113102</v>
      </c>
      <c r="EI132" s="3">
        <f ca="1">IFERROR(__xludf.DUMMYFUNCTION("""COMPUTED_VALUE"""),-0.754880568108077)</f>
        <v>-0.75488056810807702</v>
      </c>
      <c r="EJ132" s="3">
        <f ca="1">IFERROR(__xludf.DUMMYFUNCTION("""COMPUTED_VALUE"""),-0.787918150428709)</f>
        <v>-0.78791815042870905</v>
      </c>
      <c r="EK132" s="3">
        <f ca="1">IFERROR(__xludf.DUMMYFUNCTION("""COMPUTED_VALUE"""),-0.660273318424057)</f>
        <v>-0.66027331842405701</v>
      </c>
      <c r="EL132" s="3">
        <f ca="1">IFERROR(__xludf.DUMMYFUNCTION("""COMPUTED_VALUE"""),-0.742714680801316)</f>
        <v>-0.74271468080131597</v>
      </c>
      <c r="EM132" s="3">
        <f ca="1">IFERROR(__xludf.DUMMYFUNCTION("""COMPUTED_VALUE"""),-0.662074425799011)</f>
        <v>-0.66207442579901099</v>
      </c>
      <c r="EN132" s="3">
        <f ca="1">IFERROR(__xludf.DUMMYFUNCTION("""COMPUTED_VALUE"""),-0.626156225397779)</f>
        <v>-0.62615622539777904</v>
      </c>
      <c r="EO132" s="3">
        <f ca="1">IFERROR(__xludf.DUMMYFUNCTION("""COMPUTED_VALUE"""),-0.602940134696799)</f>
        <v>-0.60294013469679897</v>
      </c>
      <c r="EP132" s="3">
        <f ca="1">IFERROR(__xludf.DUMMYFUNCTION("""COMPUTED_VALUE"""),-0.580336976134352)</f>
        <v>-0.58033697613435198</v>
      </c>
      <c r="EQ132" s="3">
        <f ca="1">IFERROR(__xludf.DUMMYFUNCTION("""COMPUTED_VALUE"""),-0.59594925048962)</f>
        <v>-0.59594925048962</v>
      </c>
      <c r="ER132" s="3">
        <f ca="1">IFERROR(__xludf.DUMMYFUNCTION("""COMPUTED_VALUE"""),-0.607274710142655)</f>
        <v>-0.60727471014265499</v>
      </c>
      <c r="ES132" s="3">
        <f ca="1">IFERROR(__xludf.DUMMYFUNCTION("""COMPUTED_VALUE"""),-0.664782702365057)</f>
        <v>-0.66478270236505699</v>
      </c>
      <c r="ET132" s="3">
        <f ca="1">IFERROR(__xludf.DUMMYFUNCTION("""COMPUTED_VALUE"""),-0.614895407190984)</f>
        <v>-0.61489540719098401</v>
      </c>
      <c r="EU132" s="3">
        <f ca="1">IFERROR(__xludf.DUMMYFUNCTION("""COMPUTED_VALUE"""),-0.619707265348672)</f>
        <v>-0.61970726534867204</v>
      </c>
      <c r="EV132" s="3">
        <f ca="1">IFERROR(__xludf.DUMMYFUNCTION("""COMPUTED_VALUE"""),-0.573934771965019)</f>
        <v>-0.57393477196501896</v>
      </c>
      <c r="EW132" s="3">
        <f ca="1">IFERROR(__xludf.DUMMYFUNCTION("""COMPUTED_VALUE"""),-0.684636502410463)</f>
        <v>-0.68463650241046303</v>
      </c>
      <c r="EX132" s="3">
        <f ca="1">IFERROR(__xludf.DUMMYFUNCTION("""COMPUTED_VALUE"""),-0.692532103605961)</f>
        <v>-0.69253210360596096</v>
      </c>
      <c r="EY132" s="3">
        <f ca="1">IFERROR(__xludf.DUMMYFUNCTION("""COMPUTED_VALUE"""),-0.677634215675544)</f>
        <v>-0.67763421567554405</v>
      </c>
      <c r="EZ132" s="3">
        <f ca="1">IFERROR(__xludf.DUMMYFUNCTION("""COMPUTED_VALUE"""),-0.66266825590307)</f>
        <v>-0.66266825590306999</v>
      </c>
      <c r="FA132" s="3">
        <f ca="1">IFERROR(__xludf.DUMMYFUNCTION("""COMPUTED_VALUE"""),-0.655442624510614)</f>
        <v>-0.65544262451061397</v>
      </c>
      <c r="FB132" s="3">
        <f ca="1">IFERROR(__xludf.DUMMYFUNCTION("""COMPUTED_VALUE"""),-0.633608662695602)</f>
        <v>-0.63360866269560201</v>
      </c>
      <c r="FC132" s="3">
        <f ca="1">IFERROR(__xludf.DUMMYFUNCTION("""COMPUTED_VALUE"""),-0.660061050390648)</f>
        <v>-0.660061050390648</v>
      </c>
      <c r="FD132" s="3">
        <f ca="1">IFERROR(__xludf.DUMMYFUNCTION("""COMPUTED_VALUE"""),-0.679637314439219)</f>
        <v>-0.67963731443921904</v>
      </c>
      <c r="FE132" s="3">
        <f ca="1">IFERROR(__xludf.DUMMYFUNCTION("""COMPUTED_VALUE"""),-0.724547149860315)</f>
        <v>-0.72454714986031499</v>
      </c>
      <c r="FF132" s="3">
        <f ca="1">IFERROR(__xludf.DUMMYFUNCTION("""COMPUTED_VALUE"""),-0.734576866776638)</f>
        <v>-0.73457686677663803</v>
      </c>
      <c r="FG132" s="3">
        <f ca="1">IFERROR(__xludf.DUMMYFUNCTION("""COMPUTED_VALUE"""),-0.71287845954749)</f>
        <v>-0.71287845954748996</v>
      </c>
      <c r="FH132" s="3">
        <f ca="1">IFERROR(__xludf.DUMMYFUNCTION("""COMPUTED_VALUE"""),-0.598598953933749)</f>
        <v>-0.59859895393374896</v>
      </c>
      <c r="FI132" s="3">
        <f ca="1">IFERROR(__xludf.DUMMYFUNCTION("""COMPUTED_VALUE"""),-0.580760358136295)</f>
        <v>-0.58076035813629501</v>
      </c>
      <c r="FJ132" s="3">
        <f ca="1">IFERROR(__xludf.DUMMYFUNCTION("""COMPUTED_VALUE"""),-0.656405777805694)</f>
        <v>-0.65640577780569398</v>
      </c>
      <c r="FK132" s="3">
        <f ca="1">IFERROR(__xludf.DUMMYFUNCTION("""COMPUTED_VALUE"""),-0.712447917808307)</f>
        <v>-0.71244791780830696</v>
      </c>
      <c r="FL132" s="3">
        <f ca="1">IFERROR(__xludf.DUMMYFUNCTION("""COMPUTED_VALUE"""),-0.728362826924502)</f>
        <v>-0.72836282692450205</v>
      </c>
      <c r="FM132" s="3">
        <f ca="1">IFERROR(__xludf.DUMMYFUNCTION("""COMPUTED_VALUE"""),-0.729039584311863)</f>
        <v>-0.729039584311863</v>
      </c>
      <c r="FN132" s="3">
        <f ca="1">IFERROR(__xludf.DUMMYFUNCTION("""COMPUTED_VALUE"""),-0.735544308360325)</f>
        <v>-0.73554430836032503</v>
      </c>
      <c r="FO132" s="3">
        <f ca="1">IFERROR(__xludf.DUMMYFUNCTION("""COMPUTED_VALUE"""),-0.704360488487779)</f>
        <v>-0.70436048848777899</v>
      </c>
      <c r="FP132" s="3">
        <f ca="1">IFERROR(__xludf.DUMMYFUNCTION("""COMPUTED_VALUE"""),-0.5147652882478)</f>
        <v>-0.51476528824779999</v>
      </c>
      <c r="FQ132" s="3">
        <f ca="1">IFERROR(__xludf.DUMMYFUNCTION("""COMPUTED_VALUE"""),-0.593473544621782)</f>
        <v>-0.59347354462178203</v>
      </c>
      <c r="FR132" s="3">
        <f ca="1">IFERROR(__xludf.DUMMYFUNCTION("""COMPUTED_VALUE"""),-0.677890282100675)</f>
        <v>-0.67789028210067503</v>
      </c>
      <c r="FS132" s="3">
        <f ca="1">IFERROR(__xludf.DUMMYFUNCTION("""COMPUTED_VALUE"""),-0.723957811214522)</f>
        <v>-0.72395781121452196</v>
      </c>
      <c r="FT132" s="3">
        <f ca="1">IFERROR(__xludf.DUMMYFUNCTION("""COMPUTED_VALUE"""),-0.703536271392085)</f>
        <v>-0.70353627139208497</v>
      </c>
      <c r="FU132" s="3">
        <f ca="1">IFERROR(__xludf.DUMMYFUNCTION("""COMPUTED_VALUE"""),-0.736525409634075)</f>
        <v>-0.73652540963407498</v>
      </c>
      <c r="FV132" s="3">
        <f ca="1">IFERROR(__xludf.DUMMYFUNCTION("""COMPUTED_VALUE"""),-0.690891999896166)</f>
        <v>-0.69089199989616601</v>
      </c>
      <c r="FW132" s="3">
        <f ca="1">IFERROR(__xludf.DUMMYFUNCTION("""COMPUTED_VALUE"""),-0.537470311342176)</f>
        <v>-0.53747031134217604</v>
      </c>
      <c r="FX132" s="3">
        <f ca="1">IFERROR(__xludf.DUMMYFUNCTION("""COMPUTED_VALUE"""),-0.539711095349459)</f>
        <v>-0.53971109534945905</v>
      </c>
      <c r="FY132" s="3">
        <f ca="1">IFERROR(__xludf.DUMMYFUNCTION("""COMPUTED_VALUE"""),-0.676578190792256)</f>
        <v>-0.67657819079225601</v>
      </c>
      <c r="FZ132" s="3">
        <f ca="1">IFERROR(__xludf.DUMMYFUNCTION("""COMPUTED_VALUE"""),-0.700878682991328)</f>
        <v>-0.70087868299132805</v>
      </c>
      <c r="GA132" s="3">
        <f ca="1">IFERROR(__xludf.DUMMYFUNCTION("""COMPUTED_VALUE"""),-0.707176447230358)</f>
        <v>-0.707176447230358</v>
      </c>
      <c r="GB132" s="3">
        <f ca="1">IFERROR(__xludf.DUMMYFUNCTION("""COMPUTED_VALUE"""),-0.759553796485059)</f>
        <v>-0.75955379648505905</v>
      </c>
      <c r="GC132" s="3">
        <f ca="1">IFERROR(__xludf.DUMMYFUNCTION("""COMPUTED_VALUE"""),-0.694892512944301)</f>
        <v>-0.69489251294430099</v>
      </c>
      <c r="GD132" s="3">
        <f ca="1">IFERROR(__xludf.DUMMYFUNCTION("""COMPUTED_VALUE"""),-0.608067553877151)</f>
        <v>-0.60806755387715095</v>
      </c>
      <c r="GE132" s="3">
        <f ca="1">IFERROR(__xludf.DUMMYFUNCTION("""COMPUTED_VALUE"""),-0.605357376830064)</f>
        <v>-0.60535737683006396</v>
      </c>
      <c r="GF132" s="3">
        <f ca="1">IFERROR(__xludf.DUMMYFUNCTION("""COMPUTED_VALUE"""),-0.709071474000244)</f>
        <v>-0.70907147400024395</v>
      </c>
      <c r="GG132" s="3">
        <f ca="1">IFERROR(__xludf.DUMMYFUNCTION("""COMPUTED_VALUE"""),-0.748688780944687)</f>
        <v>-0.74868878094468705</v>
      </c>
      <c r="GH132" s="3">
        <f ca="1">IFERROR(__xludf.DUMMYFUNCTION("""COMPUTED_VALUE"""),-0.79671954174695)</f>
        <v>-0.79671954174695003</v>
      </c>
      <c r="GI132" s="3">
        <f ca="1">IFERROR(__xludf.DUMMYFUNCTION("""COMPUTED_VALUE"""),-0.735421051751644)</f>
        <v>-0.73542105175164396</v>
      </c>
      <c r="GJ132" s="3">
        <f ca="1">IFERROR(__xludf.DUMMYFUNCTION("""COMPUTED_VALUE"""),-0.787995043856788)</f>
        <v>-0.78799504385678798</v>
      </c>
      <c r="GK132" s="3">
        <f ca="1">IFERROR(__xludf.DUMMYFUNCTION("""COMPUTED_VALUE"""),-0.608691265664448)</f>
        <v>-0.60869126566444798</v>
      </c>
      <c r="GL132" s="3">
        <f ca="1">IFERROR(__xludf.DUMMYFUNCTION("""COMPUTED_VALUE"""),-0.683538431631538)</f>
        <v>-0.68353843163153805</v>
      </c>
      <c r="GM132" s="3">
        <f ca="1">IFERROR(__xludf.DUMMYFUNCTION("""COMPUTED_VALUE"""),-0.713128909312162)</f>
        <v>-0.713128909312162</v>
      </c>
      <c r="GN132" s="3">
        <f ca="1">IFERROR(__xludf.DUMMYFUNCTION("""COMPUTED_VALUE"""),-0.753187356720223)</f>
        <v>-0.75318735672022297</v>
      </c>
      <c r="GO132" s="3">
        <f ca="1">IFERROR(__xludf.DUMMYFUNCTION("""COMPUTED_VALUE"""),-0.708387357787235)</f>
        <v>-0.70838735778723505</v>
      </c>
      <c r="GP132" s="3">
        <f ca="1">IFERROR(__xludf.DUMMYFUNCTION("""COMPUTED_VALUE"""),-0.758390674345364)</f>
        <v>-0.758390674345364</v>
      </c>
      <c r="GQ132" s="3">
        <f ca="1">IFERROR(__xludf.DUMMYFUNCTION("""COMPUTED_VALUE"""),-0.724664364582742)</f>
        <v>-0.72466436458274197</v>
      </c>
      <c r="GR132" s="3">
        <f ca="1">IFERROR(__xludf.DUMMYFUNCTION("""COMPUTED_VALUE"""),-0.6030472787545)</f>
        <v>-0.60304727875450004</v>
      </c>
      <c r="GS132" s="3">
        <f ca="1">IFERROR(__xludf.DUMMYFUNCTION("""COMPUTED_VALUE"""),-0.656312021828962)</f>
        <v>-0.65631202182896198</v>
      </c>
      <c r="GT132" s="3">
        <f ca="1">IFERROR(__xludf.DUMMYFUNCTION("""COMPUTED_VALUE"""),-0.719766790229064)</f>
        <v>-0.71976679022906398</v>
      </c>
      <c r="GU132" s="3">
        <f ca="1">IFERROR(__xludf.DUMMYFUNCTION("""COMPUTED_VALUE"""),-0.74458346973477)</f>
        <v>-0.74458346973476996</v>
      </c>
      <c r="GV132" s="3">
        <f ca="1">IFERROR(__xludf.DUMMYFUNCTION("""COMPUTED_VALUE"""),-0.745313882930063)</f>
        <v>-0.74531388293006295</v>
      </c>
      <c r="GW132" s="3">
        <f ca="1">IFERROR(__xludf.DUMMYFUNCTION("""COMPUTED_VALUE"""),-0.74701861922523)</f>
        <v>-0.74701861922523005</v>
      </c>
      <c r="GX132" s="3">
        <f ca="1">IFERROR(__xludf.DUMMYFUNCTION("""COMPUTED_VALUE"""),-0.79047520953607)</f>
        <v>-0.79047520953606998</v>
      </c>
      <c r="GY132" s="3">
        <f ca="1">IFERROR(__xludf.DUMMYFUNCTION("""COMPUTED_VALUE"""),-0.679573696987941)</f>
        <v>-0.67957369698794101</v>
      </c>
      <c r="GZ132" s="3">
        <f ca="1">IFERROR(__xludf.DUMMYFUNCTION("""COMPUTED_VALUE"""),-0.641129660416307)</f>
        <v>-0.64112966041630703</v>
      </c>
      <c r="HA132" s="3">
        <f ca="1">IFERROR(__xludf.DUMMYFUNCTION("""COMPUTED_VALUE"""),-0.740229724363886)</f>
        <v>-0.74022972436388601</v>
      </c>
      <c r="HB132" s="3">
        <f ca="1">IFERROR(__xludf.DUMMYFUNCTION("""COMPUTED_VALUE"""),-0.694945299257011)</f>
        <v>-0.69494529925701098</v>
      </c>
      <c r="HC132" s="3">
        <f ca="1">IFERROR(__xludf.DUMMYFUNCTION("""COMPUTED_VALUE"""),-0.728821921802498)</f>
        <v>-0.72882192180249805</v>
      </c>
      <c r="HD132" s="3">
        <f ca="1">IFERROR(__xludf.DUMMYFUNCTION("""COMPUTED_VALUE"""),-0.705881340861508)</f>
        <v>-0.705881340861508</v>
      </c>
      <c r="HE132" s="3">
        <f ca="1">IFERROR(__xludf.DUMMYFUNCTION("""COMPUTED_VALUE"""),-0.745490248318061)</f>
        <v>-0.74549024831806099</v>
      </c>
      <c r="HF132" s="3">
        <f ca="1">IFERROR(__xludf.DUMMYFUNCTION("""COMPUTED_VALUE"""),-0.585575020991581)</f>
        <v>-0.58557502099158099</v>
      </c>
      <c r="HG132" s="3">
        <f ca="1">IFERROR(__xludf.DUMMYFUNCTION("""COMPUTED_VALUE"""),-0.603863695103729)</f>
        <v>-0.60386369510372895</v>
      </c>
      <c r="HH132" s="3">
        <f ca="1">IFERROR(__xludf.DUMMYFUNCTION("""COMPUTED_VALUE"""),-0.639772731754772)</f>
        <v>-0.63977273175477201</v>
      </c>
      <c r="HI132" s="3">
        <f ca="1">IFERROR(__xludf.DUMMYFUNCTION("""COMPUTED_VALUE"""),-0.667494347577617)</f>
        <v>-0.66749434757761705</v>
      </c>
      <c r="HJ132" s="3">
        <f ca="1">IFERROR(__xludf.DUMMYFUNCTION("""COMPUTED_VALUE"""),-0.744766449391073)</f>
        <v>-0.74476644939107295</v>
      </c>
      <c r="HK132" s="3">
        <f ca="1">IFERROR(__xludf.DUMMYFUNCTION("""COMPUTED_VALUE"""),-0.684732692021852)</f>
        <v>-0.68473269202185205</v>
      </c>
      <c r="HL132" s="3">
        <f ca="1">IFERROR(__xludf.DUMMYFUNCTION("""COMPUTED_VALUE"""),-0.498981686688317)</f>
        <v>-0.49898168668831699</v>
      </c>
      <c r="HM132" s="3">
        <f ca="1">IFERROR(__xludf.DUMMYFUNCTION("""COMPUTED_VALUE"""),-0.319255709256156)</f>
        <v>-0.31925570925615598</v>
      </c>
      <c r="HN132" s="3">
        <f ca="1">IFERROR(__xludf.DUMMYFUNCTION("""COMPUTED_VALUE"""),-0.620605214606483)</f>
        <v>-0.62060521460648299</v>
      </c>
      <c r="HO132" s="3">
        <f ca="1">IFERROR(__xludf.DUMMYFUNCTION("""COMPUTED_VALUE"""),-0.690937482993047)</f>
        <v>-0.69093748299304703</v>
      </c>
      <c r="HP132" s="3">
        <f ca="1">IFERROR(__xludf.DUMMYFUNCTION("""COMPUTED_VALUE"""),-0.713831751682657)</f>
        <v>-0.713831751682657</v>
      </c>
      <c r="HQ132" s="3">
        <f ca="1">IFERROR(__xludf.DUMMYFUNCTION("""COMPUTED_VALUE"""),-0.718660729772823)</f>
        <v>-0.71866072977282303</v>
      </c>
      <c r="HR132" s="3">
        <f ca="1">IFERROR(__xludf.DUMMYFUNCTION("""COMPUTED_VALUE"""),-0.733287151329982)</f>
        <v>-0.73328715132998201</v>
      </c>
      <c r="HS132" s="3">
        <f ca="1">IFERROR(__xludf.DUMMYFUNCTION("""COMPUTED_VALUE"""),-0.698785431360985)</f>
        <v>-0.69878543136098503</v>
      </c>
      <c r="HT132" s="3">
        <f ca="1">IFERROR(__xludf.DUMMYFUNCTION("""COMPUTED_VALUE"""),-0.689061528813781)</f>
        <v>-0.68906152881378102</v>
      </c>
      <c r="HU132" s="3">
        <f ca="1">IFERROR(__xludf.DUMMYFUNCTION("""COMPUTED_VALUE"""),-0.652577415150633)</f>
        <v>-0.65257741515063294</v>
      </c>
      <c r="HV132" s="3">
        <f ca="1">IFERROR(__xludf.DUMMYFUNCTION("""COMPUTED_VALUE"""),-0.711375281075284)</f>
        <v>-0.71137528107528403</v>
      </c>
      <c r="HW132" s="3">
        <f ca="1">IFERROR(__xludf.DUMMYFUNCTION("""COMPUTED_VALUE"""),-0.741181722219985)</f>
        <v>-0.74118172221998502</v>
      </c>
      <c r="HX132" s="3">
        <f ca="1">IFERROR(__xludf.DUMMYFUNCTION("""COMPUTED_VALUE"""),-0.707783847068452)</f>
        <v>-0.70778384706845199</v>
      </c>
      <c r="HY132" s="3">
        <f ca="1">IFERROR(__xludf.DUMMYFUNCTION("""COMPUTED_VALUE"""),-0.728927762775432)</f>
        <v>-0.72892776277543203</v>
      </c>
      <c r="HZ132" s="3">
        <f ca="1">IFERROR(__xludf.DUMMYFUNCTION("""COMPUTED_VALUE"""),-0.739372211017526)</f>
        <v>-0.73937221101752604</v>
      </c>
      <c r="IA132" s="3">
        <f ca="1">IFERROR(__xludf.DUMMYFUNCTION("""COMPUTED_VALUE"""),-0.655200493615631)</f>
        <v>-0.65520049361563104</v>
      </c>
      <c r="IB132" s="3">
        <f ca="1">IFERROR(__xludf.DUMMYFUNCTION("""COMPUTED_VALUE"""),-0.526587583998697)</f>
        <v>-0.52658758399869698</v>
      </c>
      <c r="IC132" s="3">
        <f ca="1">IFERROR(__xludf.DUMMYFUNCTION("""COMPUTED_VALUE"""),-0.684516643825429)</f>
        <v>-0.68451664382542898</v>
      </c>
      <c r="ID132" s="3">
        <f ca="1">IFERROR(__xludf.DUMMYFUNCTION("""COMPUTED_VALUE"""),-0.704694407363077)</f>
        <v>-0.70469440736307698</v>
      </c>
      <c r="IE132" s="3">
        <f ca="1">IFERROR(__xludf.DUMMYFUNCTION("""COMPUTED_VALUE"""),-0.636434930869155)</f>
        <v>-0.63643493086915504</v>
      </c>
      <c r="IF132" s="3">
        <f ca="1">IFERROR(__xludf.DUMMYFUNCTION("""COMPUTED_VALUE"""),-0.685263319722987)</f>
        <v>-0.68526331972298704</v>
      </c>
      <c r="IG132" s="3">
        <f ca="1">IFERROR(__xludf.DUMMYFUNCTION("""COMPUTED_VALUE"""),-0.671237935692794)</f>
        <v>-0.671237935692794</v>
      </c>
      <c r="IH132" s="3">
        <f ca="1">IFERROR(__xludf.DUMMYFUNCTION("""COMPUTED_VALUE"""),-0.688947931917291)</f>
        <v>-0.68894793191729098</v>
      </c>
      <c r="II132" s="3">
        <f ca="1">IFERROR(__xludf.DUMMYFUNCTION("""COMPUTED_VALUE"""),-0.671361375711588)</f>
        <v>-0.67136137571158805</v>
      </c>
      <c r="IJ132" s="3">
        <f ca="1">IFERROR(__xludf.DUMMYFUNCTION("""COMPUTED_VALUE"""),-0.683851425897327)</f>
        <v>-0.68385142589732695</v>
      </c>
      <c r="IK132" s="3">
        <f ca="1">IFERROR(__xludf.DUMMYFUNCTION("""COMPUTED_VALUE"""),-0.6338493253707)</f>
        <v>-0.63384932537070005</v>
      </c>
      <c r="IL132" s="3">
        <f ca="1">IFERROR(__xludf.DUMMYFUNCTION("""COMPUTED_VALUE"""),-0.697030317436121)</f>
        <v>-0.69703031743612098</v>
      </c>
      <c r="IM132" s="3">
        <f ca="1">IFERROR(__xludf.DUMMYFUNCTION("""COMPUTED_VALUE"""),-0.671772287256713)</f>
        <v>-0.67177228725671301</v>
      </c>
      <c r="IN132" s="3">
        <f ca="1">IFERROR(__xludf.DUMMYFUNCTION("""COMPUTED_VALUE"""),-0.656982892821523)</f>
        <v>-0.656982892821523</v>
      </c>
      <c r="IO132" s="3">
        <f ca="1">IFERROR(__xludf.DUMMYFUNCTION("""COMPUTED_VALUE"""),-0.652464527924764)</f>
        <v>-0.65246452792476395</v>
      </c>
      <c r="IP132" s="3">
        <f ca="1">IFERROR(__xludf.DUMMYFUNCTION("""COMPUTED_VALUE"""),-0.668096231963822)</f>
        <v>-0.66809623196382195</v>
      </c>
      <c r="IQ132" s="3">
        <f ca="1">IFERROR(__xludf.DUMMYFUNCTION("""COMPUTED_VALUE"""),-0.680873098017937)</f>
        <v>-0.68087309801793705</v>
      </c>
      <c r="IR132" s="3">
        <f ca="1">IFERROR(__xludf.DUMMYFUNCTION("""COMPUTED_VALUE"""),-0.683312557815433)</f>
        <v>-0.68331255781543299</v>
      </c>
      <c r="IS132" s="3">
        <f ca="1">IFERROR(__xludf.DUMMYFUNCTION("""COMPUTED_VALUE"""),-0.637215689585933)</f>
        <v>-0.637215689585933</v>
      </c>
      <c r="IT132" s="3">
        <f ca="1">IFERROR(__xludf.DUMMYFUNCTION("""COMPUTED_VALUE"""),-0.659025311325169)</f>
        <v>-0.65902531132516895</v>
      </c>
      <c r="IU132" s="3">
        <f ca="1">IFERROR(__xludf.DUMMYFUNCTION("""COMPUTED_VALUE"""),-0.612899944368945)</f>
        <v>-0.61289994436894502</v>
      </c>
      <c r="IV132" s="3">
        <f ca="1">IFERROR(__xludf.DUMMYFUNCTION("""COMPUTED_VALUE"""),-0.677083315925817)</f>
        <v>-0.67708331592581705</v>
      </c>
      <c r="IW132" s="3">
        <f ca="1">IFERROR(__xludf.DUMMYFUNCTION("""COMPUTED_VALUE"""),-0.66108870892521)</f>
        <v>-0.66108870892520999</v>
      </c>
      <c r="IX132" s="3">
        <f ca="1">IFERROR(__xludf.DUMMYFUNCTION("""COMPUTED_VALUE"""),-0.615891244443225)</f>
        <v>-0.61589124444322496</v>
      </c>
      <c r="IY132" s="3">
        <f ca="1">IFERROR(__xludf.DUMMYFUNCTION("""COMPUTED_VALUE"""),-0.660698434222287)</f>
        <v>-0.66069843422228702</v>
      </c>
      <c r="IZ132" s="3">
        <f ca="1">IFERROR(__xludf.DUMMYFUNCTION("""COMPUTED_VALUE"""),-0.703994501455336)</f>
        <v>-0.70399450145533604</v>
      </c>
      <c r="JA132" s="3">
        <f ca="1">IFERROR(__xludf.DUMMYFUNCTION("""COMPUTED_VALUE"""),-0.595632088569984)</f>
        <v>-0.59563208856998395</v>
      </c>
      <c r="JB132" s="3">
        <f ca="1">IFERROR(__xludf.DUMMYFUNCTION("""COMPUTED_VALUE"""),-0.674043226167222)</f>
        <v>-0.67404322616722201</v>
      </c>
      <c r="JC132" s="3">
        <f ca="1">IFERROR(__xludf.DUMMYFUNCTION("""COMPUTED_VALUE"""),-0.656456819944615)</f>
        <v>-0.65645681994461502</v>
      </c>
      <c r="JD132" s="3">
        <f ca="1">IFERROR(__xludf.DUMMYFUNCTION("""COMPUTED_VALUE"""),-0.626624726728095)</f>
        <v>-0.62662472672809499</v>
      </c>
      <c r="JE132" s="3">
        <f ca="1">IFERROR(__xludf.DUMMYFUNCTION("""COMPUTED_VALUE"""),-0.637503137780253)</f>
        <v>-0.63750313778025303</v>
      </c>
      <c r="JF132" s="3">
        <f ca="1">IFERROR(__xludf.DUMMYFUNCTION("""COMPUTED_VALUE"""),-0.664209554546936)</f>
        <v>-0.66420955454693598</v>
      </c>
      <c r="JG132" s="3">
        <f ca="1">IFERROR(__xludf.DUMMYFUNCTION("""COMPUTED_VALUE"""),-0.688179848263474)</f>
        <v>-0.688179848263474</v>
      </c>
      <c r="JH132" s="3">
        <f ca="1">IFERROR(__xludf.DUMMYFUNCTION("""COMPUTED_VALUE"""),-0.719820117856344)</f>
        <v>-0.71982011785634403</v>
      </c>
      <c r="JI132" s="3">
        <f ca="1">IFERROR(__xludf.DUMMYFUNCTION("""COMPUTED_VALUE"""),-0.655981339761256)</f>
        <v>-0.65598133976125605</v>
      </c>
      <c r="JJ132" s="3">
        <f ca="1">IFERROR(__xludf.DUMMYFUNCTION("""COMPUTED_VALUE"""),-0.621289501935837)</f>
        <v>-0.62128950193583699</v>
      </c>
      <c r="JK132" s="3">
        <f ca="1">IFERROR(__xludf.DUMMYFUNCTION("""COMPUTED_VALUE"""),-0.677084467147542)</f>
        <v>-0.677084467147542</v>
      </c>
      <c r="JL132" s="3">
        <f ca="1">IFERROR(__xludf.DUMMYFUNCTION("""COMPUTED_VALUE"""),-0.646321940608732)</f>
        <v>-0.64632194060873205</v>
      </c>
      <c r="JM132" s="3">
        <f ca="1">IFERROR(__xludf.DUMMYFUNCTION("""COMPUTED_VALUE"""),-0.674492138152551)</f>
        <v>-0.67449213815255105</v>
      </c>
      <c r="JN132" s="3">
        <f ca="1">IFERROR(__xludf.DUMMYFUNCTION("""COMPUTED_VALUE"""),-0.696191169437693)</f>
        <v>-0.69619116943769299</v>
      </c>
      <c r="JO132" s="3">
        <f ca="1">IFERROR(__xludf.DUMMYFUNCTION("""COMPUTED_VALUE"""),-0.65550535872774)</f>
        <v>-0.65550535872773996</v>
      </c>
      <c r="JP132" s="3">
        <f ca="1">IFERROR(__xludf.DUMMYFUNCTION("""COMPUTED_VALUE"""),-0.635279576105843)</f>
        <v>-0.63527957610584296</v>
      </c>
      <c r="JQ132" s="3">
        <f ca="1">IFERROR(__xludf.DUMMYFUNCTION("""COMPUTED_VALUE"""),-0.683889485934938)</f>
        <v>-0.68388948593493804</v>
      </c>
      <c r="JR132" s="3">
        <f ca="1">IFERROR(__xludf.DUMMYFUNCTION("""COMPUTED_VALUE"""),-0.642946650492038)</f>
        <v>-0.64294665049203803</v>
      </c>
      <c r="JS132" s="3">
        <f ca="1">IFERROR(__xludf.DUMMYFUNCTION("""COMPUTED_VALUE"""),-0.578556415780298)</f>
        <v>-0.57855641578029804</v>
      </c>
      <c r="JT132" s="3">
        <f ca="1">IFERROR(__xludf.DUMMYFUNCTION("""COMPUTED_VALUE"""),-0.624931084488678)</f>
        <v>-0.62493108448867796</v>
      </c>
      <c r="JU132" s="3">
        <f ca="1">IFERROR(__xludf.DUMMYFUNCTION("""COMPUTED_VALUE"""),-0.704860678566898)</f>
        <v>-0.70486067856689805</v>
      </c>
      <c r="JV132" s="3">
        <f ca="1">IFERROR(__xludf.DUMMYFUNCTION("""COMPUTED_VALUE"""),-0.711445621152062)</f>
        <v>-0.711445621152062</v>
      </c>
      <c r="JW132" s="3">
        <f ca="1">IFERROR(__xludf.DUMMYFUNCTION("""COMPUTED_VALUE"""),-0.661452716379756)</f>
        <v>-0.661452716379756</v>
      </c>
      <c r="JX132" s="3">
        <f ca="1">IFERROR(__xludf.DUMMYFUNCTION("""COMPUTED_VALUE"""),-0.689195249711633)</f>
        <v>-0.68919524971163304</v>
      </c>
      <c r="JY132" s="3">
        <f ca="1">IFERROR(__xludf.DUMMYFUNCTION("""COMPUTED_VALUE"""),-0.620913218461515)</f>
        <v>-0.62091321846151504</v>
      </c>
      <c r="JZ132" s="3">
        <f ca="1">IFERROR(__xludf.DUMMYFUNCTION("""COMPUTED_VALUE"""),-0.633819950078885)</f>
        <v>-0.63381995007888503</v>
      </c>
      <c r="KA132" s="3">
        <f ca="1">IFERROR(__xludf.DUMMYFUNCTION("""COMPUTED_VALUE"""),-0.669414140341425)</f>
        <v>-0.66941414034142499</v>
      </c>
      <c r="KB132" s="3">
        <f ca="1">IFERROR(__xludf.DUMMYFUNCTION("""COMPUTED_VALUE"""),-0.652281934361367)</f>
        <v>-0.65228193436136706</v>
      </c>
      <c r="KC132" s="3">
        <f ca="1">IFERROR(__xludf.DUMMYFUNCTION("""COMPUTED_VALUE"""),-0.668967774029327)</f>
        <v>-0.66896777402932694</v>
      </c>
      <c r="KD132" s="3">
        <f ca="1">IFERROR(__xludf.DUMMYFUNCTION("""COMPUTED_VALUE"""),-0.643101966933976)</f>
        <v>-0.64310196693397603</v>
      </c>
      <c r="KE132" s="3">
        <f ca="1">IFERROR(__xludf.DUMMYFUNCTION("""COMPUTED_VALUE"""),-0.688423229532768)</f>
        <v>-0.68842322953276802</v>
      </c>
      <c r="KF132" s="3">
        <f ca="1">IFERROR(__xludf.DUMMYFUNCTION("""COMPUTED_VALUE"""),-0.495000979727092)</f>
        <v>-0.49500097972709201</v>
      </c>
      <c r="KG132" s="3">
        <f ca="1">IFERROR(__xludf.DUMMYFUNCTION("""COMPUTED_VALUE"""),-0.644624605873445)</f>
        <v>-0.64462460587344494</v>
      </c>
      <c r="KH132" s="3">
        <f ca="1">IFERROR(__xludf.DUMMYFUNCTION("""COMPUTED_VALUE"""),-0.675785031770497)</f>
        <v>-0.67578503177049698</v>
      </c>
      <c r="KI132" s="3">
        <f ca="1">IFERROR(__xludf.DUMMYFUNCTION("""COMPUTED_VALUE"""),-0.663880061443408)</f>
        <v>-0.66388006144340805</v>
      </c>
      <c r="KJ132" s="3">
        <f ca="1">IFERROR(__xludf.DUMMYFUNCTION("""COMPUTED_VALUE"""),-0.709420228195198)</f>
        <v>-0.70942022819519801</v>
      </c>
      <c r="KK132" s="3">
        <f ca="1">IFERROR(__xludf.DUMMYFUNCTION("""COMPUTED_VALUE"""),-0.669752483639595)</f>
        <v>-0.66975248363959505</v>
      </c>
      <c r="KL132" s="3">
        <f ca="1">IFERROR(__xludf.DUMMYFUNCTION("""COMPUTED_VALUE"""),-0.65581943054643)</f>
        <v>-0.65581943054642999</v>
      </c>
      <c r="KM132" s="3">
        <f ca="1">IFERROR(__xludf.DUMMYFUNCTION("""COMPUTED_VALUE"""),-0.616834523854244)</f>
        <v>-0.61683452385424398</v>
      </c>
      <c r="KN132" s="3">
        <f ca="1">IFERROR(__xludf.DUMMYFUNCTION("""COMPUTED_VALUE"""),-0.650072406570867)</f>
        <v>-0.65007240657086696</v>
      </c>
      <c r="KO132" s="3">
        <f ca="1">IFERROR(__xludf.DUMMYFUNCTION("""COMPUTED_VALUE"""),-0.683937323306963)</f>
        <v>-0.683937323306963</v>
      </c>
      <c r="KP132" s="3">
        <f ca="1">IFERROR(__xludf.DUMMYFUNCTION("""COMPUTED_VALUE"""),-0.675385159077427)</f>
        <v>-0.67538515907742702</v>
      </c>
      <c r="KQ132" s="3">
        <f ca="1">IFERROR(__xludf.DUMMYFUNCTION("""COMPUTED_VALUE"""),-0.609771561437318)</f>
        <v>-0.60977156143731803</v>
      </c>
      <c r="KR132" s="3">
        <f ca="1">IFERROR(__xludf.DUMMYFUNCTION("""COMPUTED_VALUE"""),-0.638066973296485)</f>
        <v>-0.63806697329648498</v>
      </c>
      <c r="KS132" s="3">
        <f ca="1">IFERROR(__xludf.DUMMYFUNCTION("""COMPUTED_VALUE"""),-0.647425395911303)</f>
        <v>-0.64742539591130299</v>
      </c>
      <c r="KT132" s="3">
        <f ca="1">IFERROR(__xludf.DUMMYFUNCTION("""COMPUTED_VALUE"""),-0.611261838159879)</f>
        <v>-0.611261838159879</v>
      </c>
      <c r="KU132" s="3">
        <f ca="1">IFERROR(__xludf.DUMMYFUNCTION("""COMPUTED_VALUE"""),-0.582407796674252)</f>
        <v>-0.58240779667425202</v>
      </c>
      <c r="KV132" s="3">
        <f ca="1">IFERROR(__xludf.DUMMYFUNCTION("""COMPUTED_VALUE"""),-0.711622273612214)</f>
        <v>-0.71162227361221397</v>
      </c>
      <c r="KW132" s="3">
        <f ca="1">IFERROR(__xludf.DUMMYFUNCTION("""COMPUTED_VALUE"""),-0.74716391744253)</f>
        <v>-0.74716391744252997</v>
      </c>
      <c r="KX132" s="3">
        <f ca="1">IFERROR(__xludf.DUMMYFUNCTION("""COMPUTED_VALUE"""),-0.721273630111352)</f>
        <v>-0.72127363011135204</v>
      </c>
      <c r="KY132" s="3">
        <f ca="1">IFERROR(__xludf.DUMMYFUNCTION("""COMPUTED_VALUE"""),-0.712376003713722)</f>
        <v>-0.71237600371372201</v>
      </c>
      <c r="KZ132" s="3">
        <f ca="1">IFERROR(__xludf.DUMMYFUNCTION("""COMPUTED_VALUE"""),-0.732491844612347)</f>
        <v>-0.73249184461234695</v>
      </c>
      <c r="LA132" s="3">
        <f ca="1">IFERROR(__xludf.DUMMYFUNCTION("""COMPUTED_VALUE"""),-0.742857402894946)</f>
        <v>-0.74285740289494595</v>
      </c>
      <c r="LB132" s="3">
        <f ca="1">IFERROR(__xludf.DUMMYFUNCTION("""COMPUTED_VALUE"""),-0.716835727551376)</f>
        <v>-0.71683572755137603</v>
      </c>
      <c r="LC132" s="3">
        <f ca="1">IFERROR(__xludf.DUMMYFUNCTION("""COMPUTED_VALUE"""),-0.759693133745996)</f>
        <v>-0.75969313374599601</v>
      </c>
      <c r="LD132" s="3">
        <f ca="1">IFERROR(__xludf.DUMMYFUNCTION("""COMPUTED_VALUE"""),-0.734379141699435)</f>
        <v>-0.73437914169943497</v>
      </c>
      <c r="LE132" s="3">
        <f ca="1">IFERROR(__xludf.DUMMYFUNCTION("""COMPUTED_VALUE"""),-0.689775723779819)</f>
        <v>-0.68977572377981899</v>
      </c>
      <c r="LF132" s="3">
        <f ca="1">IFERROR(__xludf.DUMMYFUNCTION("""COMPUTED_VALUE"""),-0.628707682425492)</f>
        <v>-0.62870768242549202</v>
      </c>
      <c r="LG132" s="3">
        <f ca="1">IFERROR(__xludf.DUMMYFUNCTION("""COMPUTED_VALUE"""),-0.730118816242771)</f>
        <v>-0.73011881624277097</v>
      </c>
      <c r="LH132" s="3">
        <f ca="1">IFERROR(__xludf.DUMMYFUNCTION("""COMPUTED_VALUE"""),-0.742035890738576)</f>
        <v>-0.74203589073857601</v>
      </c>
      <c r="LI132" s="3">
        <f ca="1">IFERROR(__xludf.DUMMYFUNCTION("""COMPUTED_VALUE"""),-0.719201139093369)</f>
        <v>-0.71920113909336902</v>
      </c>
      <c r="LJ132" s="3">
        <f ca="1">IFERROR(__xludf.DUMMYFUNCTION("""COMPUTED_VALUE"""),-0.775646677223692)</f>
        <v>-0.77564667722369196</v>
      </c>
      <c r="LK132" s="3">
        <f ca="1">IFERROR(__xludf.DUMMYFUNCTION("""COMPUTED_VALUE"""),-0.723268755187225)</f>
        <v>-0.723268755187225</v>
      </c>
      <c r="LL132" s="3">
        <f ca="1">IFERROR(__xludf.DUMMYFUNCTION("""COMPUTED_VALUE"""),-0.760617620302288)</f>
        <v>-0.76061762030228797</v>
      </c>
      <c r="LM132" s="3">
        <f ca="1">IFERROR(__xludf.DUMMYFUNCTION("""COMPUTED_VALUE"""),-0.75375687578301)</f>
        <v>-0.75375687578300998</v>
      </c>
      <c r="LN132" s="3">
        <f ca="1">IFERROR(__xludf.DUMMYFUNCTION("""COMPUTED_VALUE"""),-0.767037474649479)</f>
        <v>-0.76703747464947902</v>
      </c>
      <c r="LO132" s="3">
        <f ca="1">IFERROR(__xludf.DUMMYFUNCTION("""COMPUTED_VALUE"""),-0.763517666116102)</f>
        <v>-0.76351766611610195</v>
      </c>
      <c r="LP132" s="3">
        <f ca="1">IFERROR(__xludf.DUMMYFUNCTION("""COMPUTED_VALUE"""),-0.765741462073393)</f>
        <v>-0.765741462073393</v>
      </c>
      <c r="LQ132" s="3">
        <f ca="1">IFERROR(__xludf.DUMMYFUNCTION("""COMPUTED_VALUE"""),-0.826001041930875)</f>
        <v>-0.82600104193087498</v>
      </c>
      <c r="LR132" s="3">
        <f ca="1">IFERROR(__xludf.DUMMYFUNCTION("""COMPUTED_VALUE"""),-0.711482991190642)</f>
        <v>-0.71148299119064196</v>
      </c>
      <c r="LS132" s="3">
        <f ca="1">IFERROR(__xludf.DUMMYFUNCTION("""COMPUTED_VALUE"""),-0.747212500397015)</f>
        <v>-0.74721250039701503</v>
      </c>
      <c r="LT132" s="3">
        <f ca="1">IFERROR(__xludf.DUMMYFUNCTION("""COMPUTED_VALUE"""),-0.721368109919678)</f>
        <v>-0.72136810991967804</v>
      </c>
      <c r="LU132" s="3">
        <f ca="1">IFERROR(__xludf.DUMMYFUNCTION("""COMPUTED_VALUE"""),-0.693695612155189)</f>
        <v>-0.69369561215518905</v>
      </c>
      <c r="LV132" s="3">
        <f ca="1">IFERROR(__xludf.DUMMYFUNCTION("""COMPUTED_VALUE"""),-0.73613076623433)</f>
        <v>-0.73613076623433005</v>
      </c>
      <c r="LW132" s="3">
        <f ca="1">IFERROR(__xludf.DUMMYFUNCTION("""COMPUTED_VALUE"""),-0.769129460538813)</f>
        <v>-0.76912946053881304</v>
      </c>
      <c r="LX132" s="3">
        <f ca="1">IFERROR(__xludf.DUMMYFUNCTION("""COMPUTED_VALUE"""),-0.732792544463861)</f>
        <v>-0.732792544463861</v>
      </c>
      <c r="LY132" s="3">
        <f ca="1">IFERROR(__xludf.DUMMYFUNCTION("""COMPUTED_VALUE"""),-0.739079725553021)</f>
        <v>-0.73907972555302104</v>
      </c>
      <c r="LZ132" s="3">
        <f ca="1">IFERROR(__xludf.DUMMYFUNCTION("""COMPUTED_VALUE"""),-0.763114153658482)</f>
        <v>-0.76311415365848201</v>
      </c>
      <c r="MA132" s="3">
        <f ca="1">IFERROR(__xludf.DUMMYFUNCTION("""COMPUTED_VALUE"""),-0.701983827685793)</f>
        <v>-0.70198382768579304</v>
      </c>
      <c r="MB132" s="3">
        <f ca="1">IFERROR(__xludf.DUMMYFUNCTION("""COMPUTED_VALUE"""),-0.762957790579946)</f>
        <v>-0.76295779057994595</v>
      </c>
      <c r="MC132" s="3">
        <f ca="1">IFERROR(__xludf.DUMMYFUNCTION("""COMPUTED_VALUE"""),-0.782858574982766)</f>
        <v>-0.78285857498276601</v>
      </c>
      <c r="MD132" s="3">
        <f ca="1">IFERROR(__xludf.DUMMYFUNCTION("""COMPUTED_VALUE"""),-0.79258878421296)</f>
        <v>-0.79258878421295997</v>
      </c>
      <c r="ME132" s="3">
        <f ca="1">IFERROR(__xludf.DUMMYFUNCTION("""COMPUTED_VALUE"""),-0.768898513684157)</f>
        <v>-0.76889851368415696</v>
      </c>
      <c r="MF132" s="3">
        <f ca="1">IFERROR(__xludf.DUMMYFUNCTION("""COMPUTED_VALUE"""),-0.809241193865538)</f>
        <v>-0.80924119386553806</v>
      </c>
      <c r="MG132" s="3">
        <f ca="1">IFERROR(__xludf.DUMMYFUNCTION("""COMPUTED_VALUE"""),-0.758910639466251)</f>
        <v>-0.75891063946625104</v>
      </c>
      <c r="MH132" s="3">
        <f ca="1">IFERROR(__xludf.DUMMYFUNCTION("""COMPUTED_VALUE"""),-0.751096397723033)</f>
        <v>-0.75109639772303305</v>
      </c>
      <c r="MI132" s="3">
        <f ca="1">IFERROR(__xludf.DUMMYFUNCTION("""COMPUTED_VALUE"""),-0.765642532624924)</f>
        <v>-0.76564253262492399</v>
      </c>
      <c r="MJ132" s="3">
        <f ca="1">IFERROR(__xludf.DUMMYFUNCTION("""COMPUTED_VALUE"""),-0.842668298819238)</f>
        <v>-0.84266829881923799</v>
      </c>
      <c r="MK132" s="3">
        <f ca="1">IFERROR(__xludf.DUMMYFUNCTION("""COMPUTED_VALUE"""),-0.799069642127438)</f>
        <v>-0.79906964212743803</v>
      </c>
      <c r="ML132" s="3">
        <f ca="1">IFERROR(__xludf.DUMMYFUNCTION("""COMPUTED_VALUE"""),-0.790079628849616)</f>
        <v>-0.79007962884961602</v>
      </c>
      <c r="MM132" s="3">
        <f ca="1">IFERROR(__xludf.DUMMYFUNCTION("""COMPUTED_VALUE"""),-0.813154281375366)</f>
        <v>-0.81315428137536605</v>
      </c>
      <c r="MN132" s="3">
        <f ca="1">IFERROR(__xludf.DUMMYFUNCTION("""COMPUTED_VALUE"""),-0.840075138739624)</f>
        <v>-0.84007513873962403</v>
      </c>
      <c r="MO132" s="3">
        <f ca="1">IFERROR(__xludf.DUMMYFUNCTION("""COMPUTED_VALUE"""),-0.808103798028598)</f>
        <v>-0.808103798028598</v>
      </c>
      <c r="MP132" s="3">
        <f ca="1">IFERROR(__xludf.DUMMYFUNCTION("""COMPUTED_VALUE"""),-0.836383476636079)</f>
        <v>-0.83638347663607904</v>
      </c>
      <c r="MQ132" s="3">
        <f ca="1">IFERROR(__xludf.DUMMYFUNCTION("""COMPUTED_VALUE"""),-0.803524333336627)</f>
        <v>-0.80352433333662698</v>
      </c>
      <c r="MR132" s="3">
        <f ca="1">IFERROR(__xludf.DUMMYFUNCTION("""COMPUTED_VALUE"""),-0.856575905643986)</f>
        <v>-0.856575905643986</v>
      </c>
      <c r="MS132" s="3">
        <f ca="1">IFERROR(__xludf.DUMMYFUNCTION("""COMPUTED_VALUE"""),-0.837602704183934)</f>
        <v>-0.83760270418393401</v>
      </c>
      <c r="MT132" s="3">
        <f ca="1">IFERROR(__xludf.DUMMYFUNCTION("""COMPUTED_VALUE"""),-0.796249164668715)</f>
        <v>-0.79624916466871498</v>
      </c>
      <c r="MU132" s="3">
        <f ca="1">IFERROR(__xludf.DUMMYFUNCTION("""COMPUTED_VALUE"""),-0.731303713772735)</f>
        <v>-0.73130371377273495</v>
      </c>
      <c r="MV132" s="3">
        <f ca="1">IFERROR(__xludf.DUMMYFUNCTION("""COMPUTED_VALUE"""),-0.748681547578681)</f>
        <v>-0.74868154757868099</v>
      </c>
      <c r="MW132" s="3">
        <f ca="1">IFERROR(__xludf.DUMMYFUNCTION("""COMPUTED_VALUE"""),-0.772069089319159)</f>
        <v>-0.77206908931915896</v>
      </c>
      <c r="MX132" s="3">
        <f ca="1">IFERROR(__xludf.DUMMYFUNCTION("""COMPUTED_VALUE"""),-0.795493801040451)</f>
        <v>-0.79549380104045098</v>
      </c>
      <c r="MY132" s="3">
        <f ca="1">IFERROR(__xludf.DUMMYFUNCTION("""COMPUTED_VALUE"""),-0.871961256451068)</f>
        <v>-0.87196125645106803</v>
      </c>
      <c r="MZ132" s="3">
        <f ca="1">IFERROR(__xludf.DUMMYFUNCTION("""COMPUTED_VALUE"""),-0.841805661018288)</f>
        <v>-0.84180566101828802</v>
      </c>
      <c r="NA132" s="3">
        <f ca="1">IFERROR(__xludf.DUMMYFUNCTION("""COMPUTED_VALUE"""),-0.863141048491147)</f>
        <v>-0.86314104849114703</v>
      </c>
      <c r="NB132" s="3">
        <f ca="1">IFERROR(__xludf.DUMMYFUNCTION("""COMPUTED_VALUE"""),-0.835321487327732)</f>
        <v>-0.83532148732773204</v>
      </c>
      <c r="NC132" s="3">
        <f ca="1">IFERROR(__xludf.DUMMYFUNCTION("""COMPUTED_VALUE"""),-0.786155546298597)</f>
        <v>-0.78615554629859696</v>
      </c>
      <c r="ND132" s="3">
        <f ca="1">IFERROR(__xludf.DUMMYFUNCTION("""COMPUTED_VALUE"""),-0.770265733252827)</f>
        <v>-0.77026573325282699</v>
      </c>
      <c r="NE132" s="3">
        <f ca="1">IFERROR(__xludf.DUMMYFUNCTION("""COMPUTED_VALUE"""),-0.86078663553014)</f>
        <v>-0.86078663553014001</v>
      </c>
      <c r="NF132" s="3">
        <f ca="1">IFERROR(__xludf.DUMMYFUNCTION("""COMPUTED_VALUE"""),-0.845632521583406)</f>
        <v>-0.84563252158340596</v>
      </c>
      <c r="NG132" s="3">
        <f ca="1">IFERROR(__xludf.DUMMYFUNCTION("""COMPUTED_VALUE"""),-0.885174039523528)</f>
        <v>-0.88517403952352802</v>
      </c>
      <c r="NH132" s="3">
        <f ca="1">IFERROR(__xludf.DUMMYFUNCTION("""COMPUTED_VALUE"""),-0.866017494708713)</f>
        <v>-0.86601749470871303</v>
      </c>
      <c r="NI132" s="3">
        <f ca="1">IFERROR(__xludf.DUMMYFUNCTION("""COMPUTED_VALUE"""),-0.873632099243264)</f>
        <v>-0.87363209924326402</v>
      </c>
      <c r="NJ132" s="3">
        <f ca="1">IFERROR(__xludf.DUMMYFUNCTION("""COMPUTED_VALUE"""),-0.870548363829743)</f>
        <v>-0.87054836382974299</v>
      </c>
      <c r="NK132" s="3">
        <f ca="1">IFERROR(__xludf.DUMMYFUNCTION("""COMPUTED_VALUE"""),-0.861508592445078)</f>
        <v>-0.86150859244507805</v>
      </c>
      <c r="NL132" s="3">
        <f ca="1">IFERROR(__xludf.DUMMYFUNCTION("""COMPUTED_VALUE"""),-0.827976814840201)</f>
        <v>-0.82797681484020103</v>
      </c>
      <c r="NM132" s="3">
        <f ca="1">IFERROR(__xludf.DUMMYFUNCTION("""COMPUTED_VALUE"""),-0.79878627474716)</f>
        <v>-0.79878627474716002</v>
      </c>
      <c r="NN132" s="3">
        <f ca="1">IFERROR(__xludf.DUMMYFUNCTION("""COMPUTED_VALUE"""),-0.799341845357791)</f>
        <v>-0.79934184535779096</v>
      </c>
      <c r="NO132" s="3">
        <f ca="1">IFERROR(__xludf.DUMMYFUNCTION("""COMPUTED_VALUE"""),-0.854246070833952)</f>
        <v>-0.85424607083395199</v>
      </c>
      <c r="NP132" s="3">
        <f ca="1">IFERROR(__xludf.DUMMYFUNCTION("""COMPUTED_VALUE"""),-0.819395623966349)</f>
        <v>-0.81939562396634902</v>
      </c>
      <c r="NQ132" s="3">
        <f ca="1">IFERROR(__xludf.DUMMYFUNCTION("""COMPUTED_VALUE"""),-0.762915287006544)</f>
        <v>-0.76291528700654399</v>
      </c>
      <c r="NR132" s="3">
        <f ca="1">IFERROR(__xludf.DUMMYFUNCTION("""COMPUTED_VALUE"""),-0.837534203404305)</f>
        <v>-0.83753420340430496</v>
      </c>
      <c r="NS132" s="3">
        <f ca="1">IFERROR(__xludf.DUMMYFUNCTION("""COMPUTED_VALUE"""),-0.796603724310487)</f>
        <v>-0.79660372431048698</v>
      </c>
      <c r="NT132" s="3">
        <f ca="1">IFERROR(__xludf.DUMMYFUNCTION("""COMPUTED_VALUE"""),-0.791006376240773)</f>
        <v>-0.79100637624077297</v>
      </c>
      <c r="NU132" s="3">
        <f ca="1">IFERROR(__xludf.DUMMYFUNCTION("""COMPUTED_VALUE"""),-0.813388937901415)</f>
        <v>-0.81338893790141498</v>
      </c>
      <c r="NV132" s="3">
        <f ca="1">IFERROR(__xludf.DUMMYFUNCTION("""COMPUTED_VALUE"""),-0.829451367446281)</f>
        <v>-0.82945136744628101</v>
      </c>
      <c r="NW132" s="3">
        <f ca="1">IFERROR(__xludf.DUMMYFUNCTION("""COMPUTED_VALUE"""),-0.757203854638607)</f>
        <v>-0.75720385463860695</v>
      </c>
      <c r="NX132" s="3">
        <f ca="1">IFERROR(__xludf.DUMMYFUNCTION("""COMPUTED_VALUE"""),-0.760055504981329)</f>
        <v>-0.76005550498132901</v>
      </c>
      <c r="NY132" s="3">
        <f ca="1">IFERROR(__xludf.DUMMYFUNCTION("""COMPUTED_VALUE"""),-0.697137932070497)</f>
        <v>-0.69713793207049701</v>
      </c>
      <c r="NZ132" s="3">
        <f ca="1">IFERROR(__xludf.DUMMYFUNCTION("""COMPUTED_VALUE"""),-0.720471123015483)</f>
        <v>-0.72047112301548299</v>
      </c>
      <c r="OA132" s="3">
        <f ca="1">IFERROR(__xludf.DUMMYFUNCTION("""COMPUTED_VALUE"""),-0.710349861815508)</f>
        <v>-0.71034986181550797</v>
      </c>
      <c r="OB132" s="3">
        <f ca="1">IFERROR(__xludf.DUMMYFUNCTION("""COMPUTED_VALUE"""),-0.721651187351701)</f>
        <v>-0.72165118735170097</v>
      </c>
      <c r="OC132" s="3">
        <f ca="1">IFERROR(__xludf.DUMMYFUNCTION("""COMPUTED_VALUE"""),-0.699971202272329)</f>
        <v>-0.69997120227232901</v>
      </c>
      <c r="OD132" s="3">
        <f ca="1">IFERROR(__xludf.DUMMYFUNCTION("""COMPUTED_VALUE"""),-0.553710684331364)</f>
        <v>-0.55371068433136394</v>
      </c>
      <c r="OE132" s="3">
        <f ca="1">IFERROR(__xludf.DUMMYFUNCTION("""COMPUTED_VALUE"""),-0.441083311533667)</f>
        <v>-0.44108331153366698</v>
      </c>
      <c r="OF132" s="3">
        <f ca="1">IFERROR(__xludf.DUMMYFUNCTION("""COMPUTED_VALUE"""),-0.309644215801948)</f>
        <v>-0.30964421580194801</v>
      </c>
      <c r="OG132" s="3">
        <f ca="1">IFERROR(__xludf.DUMMYFUNCTION("""COMPUTED_VALUE"""),-0.272507523294362)</f>
        <v>-0.27250752329436201</v>
      </c>
      <c r="OH132" s="3">
        <f ca="1">IFERROR(__xludf.DUMMYFUNCTION("""COMPUTED_VALUE"""),-0.29208521115505)</f>
        <v>-0.29208521115504998</v>
      </c>
      <c r="OI132" s="3">
        <f ca="1">IFERROR(__xludf.DUMMYFUNCTION("""COMPUTED_VALUE"""),-0.245317347197891)</f>
        <v>-0.245317347197891</v>
      </c>
      <c r="OJ132" s="3">
        <f ca="1">IFERROR(__xludf.DUMMYFUNCTION("""COMPUTED_VALUE"""),-0.120274179356447)</f>
        <v>-0.12027417935644701</v>
      </c>
      <c r="OK132" s="3">
        <f ca="1">IFERROR(__xludf.DUMMYFUNCTION("""COMPUTED_VALUE"""),-0.210351259685189)</f>
        <v>-0.210351259685189</v>
      </c>
      <c r="OL132" s="3">
        <f ca="1">IFERROR(__xludf.DUMMYFUNCTION("""COMPUTED_VALUE"""),0.055665182585916)</f>
        <v>5.5665182585915997E-2</v>
      </c>
      <c r="OM132" s="3">
        <f ca="1">IFERROR(__xludf.DUMMYFUNCTION("""COMPUTED_VALUE"""),0.137254175436678)</f>
        <v>0.13725417543667801</v>
      </c>
      <c r="ON132" s="3">
        <f ca="1">IFERROR(__xludf.DUMMYFUNCTION("""COMPUTED_VALUE"""),0.04210703483614)</f>
        <v>4.2107034836139999E-2</v>
      </c>
      <c r="OO132" s="3">
        <f ca="1">IFERROR(__xludf.DUMMYFUNCTION("""COMPUTED_VALUE"""),0.0273216538955072)</f>
        <v>2.7321653895507201E-2</v>
      </c>
      <c r="OP132" s="3">
        <f ca="1">IFERROR(__xludf.DUMMYFUNCTION("""COMPUTED_VALUE"""),0.0445555602551992)</f>
        <v>4.4555560255199203E-2</v>
      </c>
      <c r="OQ132" s="3">
        <f ca="1">IFERROR(__xludf.DUMMYFUNCTION("""COMPUTED_VALUE"""),-0.0855742565772733)</f>
        <v>-8.55742565772733E-2</v>
      </c>
      <c r="OR132" s="3">
        <f ca="1">IFERROR(__xludf.DUMMYFUNCTION("""COMPUTED_VALUE"""),0.0266383148204263)</f>
        <v>2.66383148204263E-2</v>
      </c>
      <c r="OS132" s="3">
        <f ca="1">IFERROR(__xludf.DUMMYFUNCTION("""COMPUTED_VALUE"""),0.00589540497986806)</f>
        <v>5.8954049798680599E-3</v>
      </c>
      <c r="OT132" s="3">
        <f ca="1">IFERROR(__xludf.DUMMYFUNCTION("""COMPUTED_VALUE"""),0.0962220879379782)</f>
        <v>9.6222087937978207E-2</v>
      </c>
      <c r="OU132" s="3">
        <f ca="1">IFERROR(__xludf.DUMMYFUNCTION("""COMPUTED_VALUE"""),0.0366652790214681)</f>
        <v>3.66652790214681E-2</v>
      </c>
      <c r="OV132" s="3">
        <f ca="1">IFERROR(__xludf.DUMMYFUNCTION("""COMPUTED_VALUE"""),-0.015374981920922)</f>
        <v>-1.5374981920921999E-2</v>
      </c>
      <c r="OW132" s="3">
        <f ca="1">IFERROR(__xludf.DUMMYFUNCTION("""COMPUTED_VALUE"""),0.023052917349954)</f>
        <v>2.3052917349953999E-2</v>
      </c>
      <c r="OX132" s="3">
        <f ca="1">IFERROR(__xludf.DUMMYFUNCTION("""COMPUTED_VALUE"""),0.00319481595391901)</f>
        <v>3.1948159539190099E-3</v>
      </c>
      <c r="OY132" s="3">
        <f ca="1">IFERROR(__xludf.DUMMYFUNCTION("""COMPUTED_VALUE"""),0.0259154486254644)</f>
        <v>2.59154486254644E-2</v>
      </c>
      <c r="OZ132" s="3">
        <f ca="1">IFERROR(__xludf.DUMMYFUNCTION("""COMPUTED_VALUE"""),0.0145348745602411)</f>
        <v>1.45348745602411E-2</v>
      </c>
      <c r="PA132" s="3">
        <f ca="1">IFERROR(__xludf.DUMMYFUNCTION("""COMPUTED_VALUE"""),0.00262948410721963)</f>
        <v>2.62948410721963E-3</v>
      </c>
      <c r="PB132" s="3">
        <f ca="1">IFERROR(__xludf.DUMMYFUNCTION("""COMPUTED_VALUE"""),-0.146597441582311)</f>
        <v>-0.146597441582311</v>
      </c>
      <c r="PC132" s="3">
        <f ca="1">IFERROR(__xludf.DUMMYFUNCTION("""COMPUTED_VALUE"""),0.123255139603754)</f>
        <v>0.123255139603754</v>
      </c>
      <c r="PD132" s="3">
        <f ca="1">IFERROR(__xludf.DUMMYFUNCTION("""COMPUTED_VALUE"""),0.108282230138614)</f>
        <v>0.108282230138614</v>
      </c>
      <c r="PE132" s="3">
        <f ca="1">IFERROR(__xludf.DUMMYFUNCTION("""COMPUTED_VALUE"""),-0.0978850274220866)</f>
        <v>-9.7885027422086601E-2</v>
      </c>
      <c r="PF132" s="3">
        <f ca="1">IFERROR(__xludf.DUMMYFUNCTION("""COMPUTED_VALUE"""),-0.0678864243965418)</f>
        <v>-6.78864243965418E-2</v>
      </c>
      <c r="PG132" s="3">
        <f ca="1">IFERROR(__xludf.DUMMYFUNCTION("""COMPUTED_VALUE"""),-0.0228511014718569)</f>
        <v>-2.2851101471856899E-2</v>
      </c>
      <c r="PH132" s="3">
        <f ca="1">IFERROR(__xludf.DUMMYFUNCTION("""COMPUTED_VALUE"""),0.43351684491606)</f>
        <v>0.43351684491606002</v>
      </c>
      <c r="PI132" s="3">
        <f ca="1">IFERROR(__xludf.DUMMYFUNCTION("""COMPUTED_VALUE"""),0.170289670387014)</f>
        <v>0.17028967038701401</v>
      </c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</row>
    <row r="133" spans="1:477" ht="13">
      <c r="A133" s="1" t="str">
        <f ca="1">IFERROR(__xludf.DUMMYFUNCTION("""COMPUTED_VALUE"""),"Santa Cruz Metro")</f>
        <v>Santa Cruz Metro</v>
      </c>
      <c r="B133" s="1" t="str">
        <f ca="1">IFERROR(__xludf.DUMMYFUNCTION("""COMPUTED_VALUE"""),"Santa Cruz")</f>
        <v>Santa Cruz</v>
      </c>
      <c r="C133" s="1" t="str">
        <f ca="1">IFERROR(__xludf.DUMMYFUNCTION("""COMPUTED_VALUE"""),"United States")</f>
        <v>United States</v>
      </c>
      <c r="D133" s="1" t="str">
        <f ca="1">IFERROR(__xludf.DUMMYFUNCTION("""COMPUTED_VALUE"""),"California")</f>
        <v>California</v>
      </c>
      <c r="E133" s="3">
        <f ca="1">IFERROR(__xludf.DUMMYFUNCTION("""COMPUTED_VALUE"""),-0.760620161526817)</f>
        <v>-0.760620161526817</v>
      </c>
      <c r="F133" s="3">
        <f ca="1">IFERROR(__xludf.DUMMYFUNCTION("""COMPUTED_VALUE"""),-0.88638198811006)</f>
        <v>-0.88638198811005997</v>
      </c>
      <c r="G133" s="3">
        <f ca="1">IFERROR(__xludf.DUMMYFUNCTION("""COMPUTED_VALUE"""),-0.913314392132174)</f>
        <v>-0.91331439213217402</v>
      </c>
      <c r="H133" s="3">
        <f ca="1">IFERROR(__xludf.DUMMYFUNCTION("""COMPUTED_VALUE"""),-0.893078380959006)</f>
        <v>-0.89307838095900605</v>
      </c>
      <c r="I133" s="3">
        <f ca="1">IFERROR(__xludf.DUMMYFUNCTION("""COMPUTED_VALUE"""),-0.888904830772718)</f>
        <v>-0.88890483077271798</v>
      </c>
      <c r="J133" s="3">
        <f ca="1">IFERROR(__xludf.DUMMYFUNCTION("""COMPUTED_VALUE"""),-0.860099801967501)</f>
        <v>-0.86009980196750102</v>
      </c>
      <c r="K133" s="3">
        <f ca="1">IFERROR(__xludf.DUMMYFUNCTION("""COMPUTED_VALUE"""),-0.719261790894202)</f>
        <v>-0.71926179089420195</v>
      </c>
      <c r="L133" s="3">
        <f ca="1">IFERROR(__xludf.DUMMYFUNCTION("""COMPUTED_VALUE"""),-0.772204889934652)</f>
        <v>-0.77220488993465197</v>
      </c>
      <c r="M133" s="3">
        <f ca="1">IFERROR(__xludf.DUMMYFUNCTION("""COMPUTED_VALUE"""),-0.836278579601438)</f>
        <v>-0.83627857960143803</v>
      </c>
      <c r="N133" s="3">
        <f ca="1">IFERROR(__xludf.DUMMYFUNCTION("""COMPUTED_VALUE"""),-0.89140095362958)</f>
        <v>-0.89140095362958005</v>
      </c>
      <c r="O133" s="3">
        <f ca="1">IFERROR(__xludf.DUMMYFUNCTION("""COMPUTED_VALUE"""),-0.884718763138987)</f>
        <v>-0.88471876313898701</v>
      </c>
      <c r="P133" s="3">
        <f ca="1">IFERROR(__xludf.DUMMYFUNCTION("""COMPUTED_VALUE"""),-0.879923509698891)</f>
        <v>-0.87992350969889099</v>
      </c>
      <c r="Q133" s="3">
        <f ca="1">IFERROR(__xludf.DUMMYFUNCTION("""COMPUTED_VALUE"""),-0.834949958588889)</f>
        <v>-0.83494995858888899</v>
      </c>
      <c r="R133" s="3">
        <f ca="1">IFERROR(__xludf.DUMMYFUNCTION("""COMPUTED_VALUE"""),-0.659361265648523)</f>
        <v>-0.65936126564852304</v>
      </c>
      <c r="S133" s="3">
        <f ca="1">IFERROR(__xludf.DUMMYFUNCTION("""COMPUTED_VALUE"""),-0.738568003494121)</f>
        <v>-0.73856800349412099</v>
      </c>
      <c r="T133" s="3">
        <f ca="1">IFERROR(__xludf.DUMMYFUNCTION("""COMPUTED_VALUE"""),-0.881106342997813)</f>
        <v>-0.88110634299781299</v>
      </c>
      <c r="U133" s="3">
        <f ca="1">IFERROR(__xludf.DUMMYFUNCTION("""COMPUTED_VALUE"""),-0.876511522016393)</f>
        <v>-0.87651152201639304</v>
      </c>
      <c r="V133" s="3">
        <f ca="1">IFERROR(__xludf.DUMMYFUNCTION("""COMPUTED_VALUE"""),-0.881050824398368)</f>
        <v>-0.88105082439836802</v>
      </c>
      <c r="W133" s="3">
        <f ca="1">IFERROR(__xludf.DUMMYFUNCTION("""COMPUTED_VALUE"""),-0.904323027069742)</f>
        <v>-0.90432302706974199</v>
      </c>
      <c r="X133" s="3">
        <f ca="1">IFERROR(__xludf.DUMMYFUNCTION("""COMPUTED_VALUE"""),-0.831420448903427)</f>
        <v>-0.83142044890342703</v>
      </c>
      <c r="Y133" s="3">
        <f ca="1">IFERROR(__xludf.DUMMYFUNCTION("""COMPUTED_VALUE"""),-0.666469723533769)</f>
        <v>-0.66646972353376899</v>
      </c>
      <c r="Z133" s="3">
        <f ca="1">IFERROR(__xludf.DUMMYFUNCTION("""COMPUTED_VALUE"""),-0.733482010041791)</f>
        <v>-0.73348201004179103</v>
      </c>
      <c r="AA133" s="3">
        <f ca="1">IFERROR(__xludf.DUMMYFUNCTION("""COMPUTED_VALUE"""),-0.871939544024263)</f>
        <v>-0.87193954402426299</v>
      </c>
      <c r="AB133" s="3">
        <f ca="1">IFERROR(__xludf.DUMMYFUNCTION("""COMPUTED_VALUE"""),-0.918386401568417)</f>
        <v>-0.918386401568417</v>
      </c>
      <c r="AC133" s="3">
        <f ca="1">IFERROR(__xludf.DUMMYFUNCTION("""COMPUTED_VALUE"""),-0.925401521842278)</f>
        <v>-0.92540152184227797</v>
      </c>
      <c r="AD133" s="3">
        <f ca="1">IFERROR(__xludf.DUMMYFUNCTION("""COMPUTED_VALUE"""),-0.918611236222628)</f>
        <v>-0.91861123622262797</v>
      </c>
      <c r="AE133" s="3">
        <f ca="1">IFERROR(__xludf.DUMMYFUNCTION("""COMPUTED_VALUE"""),-0.923051460282657)</f>
        <v>-0.92305146028265705</v>
      </c>
      <c r="AF133" s="3">
        <f ca="1">IFERROR(__xludf.DUMMYFUNCTION("""COMPUTED_VALUE"""),-0.75671732726369)</f>
        <v>-0.75671732726369001</v>
      </c>
      <c r="AG133" s="3">
        <f ca="1">IFERROR(__xludf.DUMMYFUNCTION("""COMPUTED_VALUE"""),-0.796820842462181)</f>
        <v>-0.79682084246218099</v>
      </c>
      <c r="AH133" s="3">
        <f ca="1">IFERROR(__xludf.DUMMYFUNCTION("""COMPUTED_VALUE"""),-0.891393492872998)</f>
        <v>-0.89139349287299796</v>
      </c>
      <c r="AI133" s="3">
        <f ca="1">IFERROR(__xludf.DUMMYFUNCTION("""COMPUTED_VALUE"""),-0.922851690356848)</f>
        <v>-0.922851690356848</v>
      </c>
      <c r="AJ133" s="3">
        <f ca="1">IFERROR(__xludf.DUMMYFUNCTION("""COMPUTED_VALUE"""),-0.9203354417988)</f>
        <v>-0.9203354417988</v>
      </c>
      <c r="AK133" s="3">
        <f ca="1">IFERROR(__xludf.DUMMYFUNCTION("""COMPUTED_VALUE"""),-0.904779860096314)</f>
        <v>-0.90477986009631395</v>
      </c>
      <c r="AL133" s="3">
        <f ca="1">IFERROR(__xludf.DUMMYFUNCTION("""COMPUTED_VALUE"""),-0.923262463500272)</f>
        <v>-0.92326246350027197</v>
      </c>
      <c r="AM133" s="3">
        <f ca="1">IFERROR(__xludf.DUMMYFUNCTION("""COMPUTED_VALUE"""),-0.814581133609723)</f>
        <v>-0.81458113360972295</v>
      </c>
      <c r="AN133" s="3">
        <f ca="1">IFERROR(__xludf.DUMMYFUNCTION("""COMPUTED_VALUE"""),-0.813250233604751)</f>
        <v>-0.81325023360475102</v>
      </c>
      <c r="AO133" s="3">
        <f ca="1">IFERROR(__xludf.DUMMYFUNCTION("""COMPUTED_VALUE"""),-0.906725369138576)</f>
        <v>-0.90672536913857604</v>
      </c>
      <c r="AP133" s="3">
        <f ca="1">IFERROR(__xludf.DUMMYFUNCTION("""COMPUTED_VALUE"""),-0.918493073692077)</f>
        <v>-0.918493073692077</v>
      </c>
      <c r="AQ133" s="3">
        <f ca="1">IFERROR(__xludf.DUMMYFUNCTION("""COMPUTED_VALUE"""),-0.90936730630983)</f>
        <v>-0.90936730630982998</v>
      </c>
      <c r="AR133" s="3">
        <f ca="1">IFERROR(__xludf.DUMMYFUNCTION("""COMPUTED_VALUE"""),-0.91001334218596)</f>
        <v>-0.91001334218595997</v>
      </c>
      <c r="AS133" s="3">
        <f ca="1">IFERROR(__xludf.DUMMYFUNCTION("""COMPUTED_VALUE"""),-0.869247526873328)</f>
        <v>-0.86924752687332796</v>
      </c>
      <c r="AT133" s="3">
        <f ca="1">IFERROR(__xludf.DUMMYFUNCTION("""COMPUTED_VALUE"""),-0.711703850480634)</f>
        <v>-0.711703850480634</v>
      </c>
      <c r="AU133" s="3">
        <f ca="1">IFERROR(__xludf.DUMMYFUNCTION("""COMPUTED_VALUE"""),-0.784820320524164)</f>
        <v>-0.78482032052416395</v>
      </c>
      <c r="AV133" s="3">
        <f ca="1">IFERROR(__xludf.DUMMYFUNCTION("""COMPUTED_VALUE"""),-0.902518026150602)</f>
        <v>-0.90251802615060195</v>
      </c>
      <c r="AW133" s="3">
        <f ca="1">IFERROR(__xludf.DUMMYFUNCTION("""COMPUTED_VALUE"""),-0.920482654820292)</f>
        <v>-0.92048265482029201</v>
      </c>
      <c r="AX133" s="3">
        <f ca="1">IFERROR(__xludf.DUMMYFUNCTION("""COMPUTED_VALUE"""),-0.900024413184433)</f>
        <v>-0.90002441318443305</v>
      </c>
      <c r="AY133" s="3">
        <f ca="1">IFERROR(__xludf.DUMMYFUNCTION("""COMPUTED_VALUE"""),-0.920999228802059)</f>
        <v>-0.92099922880205898</v>
      </c>
      <c r="AZ133" s="3">
        <f ca="1">IFERROR(__xludf.DUMMYFUNCTION("""COMPUTED_VALUE"""),-0.869371297942743)</f>
        <v>-0.86937129794274304</v>
      </c>
      <c r="BA133" s="3">
        <f ca="1">IFERROR(__xludf.DUMMYFUNCTION("""COMPUTED_VALUE"""),-0.723155431477982)</f>
        <v>-0.723155431477982</v>
      </c>
      <c r="BB133" s="3">
        <f ca="1">IFERROR(__xludf.DUMMYFUNCTION("""COMPUTED_VALUE"""),-0.783950178882409)</f>
        <v>-0.78395017888240903</v>
      </c>
      <c r="BC133" s="3">
        <f ca="1">IFERROR(__xludf.DUMMYFUNCTION("""COMPUTED_VALUE"""),-0.884776152772839)</f>
        <v>-0.88477615277283905</v>
      </c>
      <c r="BD133" s="3">
        <f ca="1">IFERROR(__xludf.DUMMYFUNCTION("""COMPUTED_VALUE"""),-0.89620872207458)</f>
        <v>-0.89620872207458002</v>
      </c>
      <c r="BE133" s="3">
        <f ca="1">IFERROR(__xludf.DUMMYFUNCTION("""COMPUTED_VALUE"""),-0.918150027814632)</f>
        <v>-0.91815002781463195</v>
      </c>
      <c r="BF133" s="3">
        <f ca="1">IFERROR(__xludf.DUMMYFUNCTION("""COMPUTED_VALUE"""),-0.915579850477313)</f>
        <v>-0.91557985047731305</v>
      </c>
      <c r="BG133" s="3">
        <f ca="1">IFERROR(__xludf.DUMMYFUNCTION("""COMPUTED_VALUE"""),-0.831925511208136)</f>
        <v>-0.83192551120813596</v>
      </c>
      <c r="BH133" s="3">
        <f ca="1">IFERROR(__xludf.DUMMYFUNCTION("""COMPUTED_VALUE"""),-0.700486732873424)</f>
        <v>-0.700486732873424</v>
      </c>
      <c r="BI133" s="3">
        <f ca="1">IFERROR(__xludf.DUMMYFUNCTION("""COMPUTED_VALUE"""),-0.749069194995323)</f>
        <v>-0.74906919499532298</v>
      </c>
      <c r="BJ133" s="3">
        <f ca="1">IFERROR(__xludf.DUMMYFUNCTION("""COMPUTED_VALUE"""),-0.878597315350237)</f>
        <v>-0.878597315350237</v>
      </c>
      <c r="BK133" s="3">
        <f ca="1">IFERROR(__xludf.DUMMYFUNCTION("""COMPUTED_VALUE"""),-0.922933815237262)</f>
        <v>-0.92293381523726203</v>
      </c>
      <c r="BL133" s="3">
        <f ca="1">IFERROR(__xludf.DUMMYFUNCTION("""COMPUTED_VALUE"""),-0.899910071031929)</f>
        <v>-0.89991007103192899</v>
      </c>
      <c r="BM133" s="3">
        <f ca="1">IFERROR(__xludf.DUMMYFUNCTION("""COMPUTED_VALUE"""),-0.903388326562988)</f>
        <v>-0.90338832656298795</v>
      </c>
      <c r="BN133" s="3">
        <f ca="1">IFERROR(__xludf.DUMMYFUNCTION("""COMPUTED_VALUE"""),-0.887703105646447)</f>
        <v>-0.88770310564644705</v>
      </c>
      <c r="BO133" s="3">
        <f ca="1">IFERROR(__xludf.DUMMYFUNCTION("""COMPUTED_VALUE"""),-0.751530782880449)</f>
        <v>-0.75153078288044906</v>
      </c>
      <c r="BP133" s="3">
        <f ca="1">IFERROR(__xludf.DUMMYFUNCTION("""COMPUTED_VALUE"""),-0.8349610696637)</f>
        <v>-0.83496106966369998</v>
      </c>
      <c r="BQ133" s="3">
        <f ca="1">IFERROR(__xludf.DUMMYFUNCTION("""COMPUTED_VALUE"""),-0.908613406525231)</f>
        <v>-0.90861340652523104</v>
      </c>
      <c r="BR133" s="3">
        <f ca="1">IFERROR(__xludf.DUMMYFUNCTION("""COMPUTED_VALUE"""),-0.925759980383587)</f>
        <v>-0.92575998038358698</v>
      </c>
      <c r="BS133" s="3">
        <f ca="1">IFERROR(__xludf.DUMMYFUNCTION("""COMPUTED_VALUE"""),-0.932393386600616)</f>
        <v>-0.93239338660061599</v>
      </c>
      <c r="BT133" s="3">
        <f ca="1">IFERROR(__xludf.DUMMYFUNCTION("""COMPUTED_VALUE"""),-0.936692136902696)</f>
        <v>-0.93669213690269604</v>
      </c>
      <c r="BU133" s="3">
        <f ca="1">IFERROR(__xludf.DUMMYFUNCTION("""COMPUTED_VALUE"""),-0.910926983546263)</f>
        <v>-0.910926983546263</v>
      </c>
      <c r="BV133" s="3">
        <f ca="1">IFERROR(__xludf.DUMMYFUNCTION("""COMPUTED_VALUE"""),-0.752074273565629)</f>
        <v>-0.75207427356562895</v>
      </c>
      <c r="BW133" s="3">
        <f ca="1">IFERROR(__xludf.DUMMYFUNCTION("""COMPUTED_VALUE"""),-0.799285257035615)</f>
        <v>-0.79928525703561504</v>
      </c>
      <c r="BX133" s="3">
        <f ca="1">IFERROR(__xludf.DUMMYFUNCTION("""COMPUTED_VALUE"""),-0.888730157555744)</f>
        <v>-0.88873015755574403</v>
      </c>
      <c r="BY133" s="3">
        <f ca="1">IFERROR(__xludf.DUMMYFUNCTION("""COMPUTED_VALUE"""),-0.91614505591583)</f>
        <v>-0.91614505591582995</v>
      </c>
      <c r="BZ133" s="3">
        <f ca="1">IFERROR(__xludf.DUMMYFUNCTION("""COMPUTED_VALUE"""),-0.909510416802888)</f>
        <v>-0.90951041680288802</v>
      </c>
      <c r="CA133" s="3">
        <f ca="1">IFERROR(__xludf.DUMMYFUNCTION("""COMPUTED_VALUE"""),-0.916599305950675)</f>
        <v>-0.91659930595067496</v>
      </c>
      <c r="CB133" s="3">
        <f ca="1">IFERROR(__xludf.DUMMYFUNCTION("""COMPUTED_VALUE"""),-0.902853744708418)</f>
        <v>-0.90285374470841795</v>
      </c>
      <c r="CC133" s="3">
        <f ca="1">IFERROR(__xludf.DUMMYFUNCTION("""COMPUTED_VALUE"""),-0.795691207524313)</f>
        <v>-0.79569120752431299</v>
      </c>
      <c r="CD133" s="3">
        <f ca="1">IFERROR(__xludf.DUMMYFUNCTION("""COMPUTED_VALUE"""),-0.833712936417563)</f>
        <v>-0.83371293641756306</v>
      </c>
      <c r="CE133" s="3">
        <f ca="1">IFERROR(__xludf.DUMMYFUNCTION("""COMPUTED_VALUE"""),-0.933094460749186)</f>
        <v>-0.93309446074918601</v>
      </c>
      <c r="CF133" s="3">
        <f ca="1">IFERROR(__xludf.DUMMYFUNCTION("""COMPUTED_VALUE"""),-0.925302735130209)</f>
        <v>-0.925302735130209</v>
      </c>
      <c r="CG133" s="3">
        <f ca="1">IFERROR(__xludf.DUMMYFUNCTION("""COMPUTED_VALUE"""),-0.929177214837209)</f>
        <v>-0.92917721483720905</v>
      </c>
      <c r="CH133" s="3">
        <f ca="1">IFERROR(__xludf.DUMMYFUNCTION("""COMPUTED_VALUE"""),-0.937471918183212)</f>
        <v>-0.93747191818321196</v>
      </c>
      <c r="CI133" s="3">
        <f ca="1">IFERROR(__xludf.DUMMYFUNCTION("""COMPUTED_VALUE"""),-0.895998750188868)</f>
        <v>-0.89599875018886799</v>
      </c>
      <c r="CJ133" s="3">
        <f ca="1">IFERROR(__xludf.DUMMYFUNCTION("""COMPUTED_VALUE"""),-0.765508931376926)</f>
        <v>-0.76550893137692599</v>
      </c>
      <c r="CK133" s="3">
        <f ca="1">IFERROR(__xludf.DUMMYFUNCTION("""COMPUTED_VALUE"""),-0.831796492985413)</f>
        <v>-0.83179649298541303</v>
      </c>
      <c r="CL133" s="3">
        <f ca="1">IFERROR(__xludf.DUMMYFUNCTION("""COMPUTED_VALUE"""),-0.930612151242362)</f>
        <v>-0.93061215124236196</v>
      </c>
      <c r="CM133" s="3">
        <f ca="1">IFERROR(__xludf.DUMMYFUNCTION("""COMPUTED_VALUE"""),-0.946109721209091)</f>
        <v>-0.94610972120909098</v>
      </c>
      <c r="CN133" s="3">
        <f ca="1">IFERROR(__xludf.DUMMYFUNCTION("""COMPUTED_VALUE"""),-0.927965141793137)</f>
        <v>-0.92796514179313705</v>
      </c>
      <c r="CO133" s="3">
        <f ca="1">IFERROR(__xludf.DUMMYFUNCTION("""COMPUTED_VALUE"""),-0.92354497342001)</f>
        <v>-0.92354497342000996</v>
      </c>
      <c r="CP133" s="3">
        <f ca="1">IFERROR(__xludf.DUMMYFUNCTION("""COMPUTED_VALUE"""),-0.894565517958255)</f>
        <v>-0.89456551795825501</v>
      </c>
      <c r="CQ133" s="3">
        <f ca="1">IFERROR(__xludf.DUMMYFUNCTION("""COMPUTED_VALUE"""),-0.821093016422333)</f>
        <v>-0.82109301642233301</v>
      </c>
      <c r="CR133" s="3">
        <f ca="1">IFERROR(__xludf.DUMMYFUNCTION("""COMPUTED_VALUE"""),-0.857227200120982)</f>
        <v>-0.85722720012098197</v>
      </c>
      <c r="CS133" s="3">
        <f ca="1">IFERROR(__xludf.DUMMYFUNCTION("""COMPUTED_VALUE"""),-0.918299450868623)</f>
        <v>-0.91829945086862297</v>
      </c>
      <c r="CT133" s="3">
        <f ca="1">IFERROR(__xludf.DUMMYFUNCTION("""COMPUTED_VALUE"""),-0.917573289206779)</f>
        <v>-0.91757328920677905</v>
      </c>
      <c r="CU133" s="3">
        <f ca="1">IFERROR(__xludf.DUMMYFUNCTION("""COMPUTED_VALUE"""),-0.902636759461439)</f>
        <v>-0.90263675946143895</v>
      </c>
      <c r="CV133" s="3">
        <f ca="1">IFERROR(__xludf.DUMMYFUNCTION("""COMPUTED_VALUE"""),-0.906965107096728)</f>
        <v>-0.90696510709672795</v>
      </c>
      <c r="CW133" s="3">
        <f ca="1">IFERROR(__xludf.DUMMYFUNCTION("""COMPUTED_VALUE"""),-0.911728477598634)</f>
        <v>-0.91172847759863396</v>
      </c>
      <c r="CX133" s="3">
        <f ca="1">IFERROR(__xludf.DUMMYFUNCTION("""COMPUTED_VALUE"""),-0.795617725541357)</f>
        <v>-0.79561772554135701</v>
      </c>
      <c r="CY133" s="3">
        <f ca="1">IFERROR(__xludf.DUMMYFUNCTION("""COMPUTED_VALUE"""),-0.834861412140895)</f>
        <v>-0.83486141214089504</v>
      </c>
      <c r="CZ133" s="3">
        <f ca="1">IFERROR(__xludf.DUMMYFUNCTION("""COMPUTED_VALUE"""),-0.889510285666691)</f>
        <v>-0.88951028566669099</v>
      </c>
      <c r="DA133" s="3">
        <f ca="1">IFERROR(__xludf.DUMMYFUNCTION("""COMPUTED_VALUE"""),-0.87108938971502)</f>
        <v>-0.87108938971502003</v>
      </c>
      <c r="DB133" s="3">
        <f ca="1">IFERROR(__xludf.DUMMYFUNCTION("""COMPUTED_VALUE"""),-0.900448405947792)</f>
        <v>-0.90044840594779196</v>
      </c>
      <c r="DC133" s="3">
        <f ca="1">IFERROR(__xludf.DUMMYFUNCTION("""COMPUTED_VALUE"""),-0.902623049393744)</f>
        <v>-0.90262304939374405</v>
      </c>
      <c r="DD133" s="3">
        <f ca="1">IFERROR(__xludf.DUMMYFUNCTION("""COMPUTED_VALUE"""),-0.903954485937833)</f>
        <v>-0.90395448593783301</v>
      </c>
      <c r="DE133" s="3">
        <f ca="1">IFERROR(__xludf.DUMMYFUNCTION("""COMPUTED_VALUE"""),-0.850540465410956)</f>
        <v>-0.85054046541095596</v>
      </c>
      <c r="DF133" s="3">
        <f ca="1">IFERROR(__xludf.DUMMYFUNCTION("""COMPUTED_VALUE"""),-0.840431785721423)</f>
        <v>-0.84043178572142296</v>
      </c>
      <c r="DG133" s="3">
        <f ca="1">IFERROR(__xludf.DUMMYFUNCTION("""COMPUTED_VALUE"""),-0.926223604666362)</f>
        <v>-0.926223604666362</v>
      </c>
      <c r="DH133" s="3">
        <f ca="1">IFERROR(__xludf.DUMMYFUNCTION("""COMPUTED_VALUE"""),-0.850441896328903)</f>
        <v>-0.85044189632890299</v>
      </c>
      <c r="DI133" s="3">
        <f ca="1">IFERROR(__xludf.DUMMYFUNCTION("""COMPUTED_VALUE"""),-0.848777756866772)</f>
        <v>-0.84877775686677204</v>
      </c>
      <c r="DJ133" s="3">
        <f ca="1">IFERROR(__xludf.DUMMYFUNCTION("""COMPUTED_VALUE"""),-0.881494877791266)</f>
        <v>-0.88149487779126601</v>
      </c>
      <c r="DK133" s="3">
        <f ca="1">IFERROR(__xludf.DUMMYFUNCTION("""COMPUTED_VALUE"""),-0.842599249253855)</f>
        <v>-0.84259924925385499</v>
      </c>
      <c r="DL133" s="3">
        <f ca="1">IFERROR(__xludf.DUMMYFUNCTION("""COMPUTED_VALUE"""),-0.761652816987638)</f>
        <v>-0.76165281698763798</v>
      </c>
      <c r="DM133" s="3">
        <f ca="1">IFERROR(__xludf.DUMMYFUNCTION("""COMPUTED_VALUE"""),-0.829786881530551)</f>
        <v>-0.82978688153055102</v>
      </c>
      <c r="DN133" s="3">
        <f ca="1">IFERROR(__xludf.DUMMYFUNCTION("""COMPUTED_VALUE"""),-0.878562078207418)</f>
        <v>-0.87856207820741805</v>
      </c>
      <c r="DO133" s="3">
        <f ca="1">IFERROR(__xludf.DUMMYFUNCTION("""COMPUTED_VALUE"""),-0.903274205528265)</f>
        <v>-0.90327420552826498</v>
      </c>
      <c r="DP133" s="3">
        <f ca="1">IFERROR(__xludf.DUMMYFUNCTION("""COMPUTED_VALUE"""),-0.888585118753823)</f>
        <v>-0.88858511875382296</v>
      </c>
      <c r="DQ133" s="3">
        <f ca="1">IFERROR(__xludf.DUMMYFUNCTION("""COMPUTED_VALUE"""),-0.87448235354899)</f>
        <v>-0.87448235354898995</v>
      </c>
      <c r="DR133" s="3">
        <f ca="1">IFERROR(__xludf.DUMMYFUNCTION("""COMPUTED_VALUE"""),-0.858378259932662)</f>
        <v>-0.85837825993266204</v>
      </c>
      <c r="DS133" s="3">
        <f ca="1">IFERROR(__xludf.DUMMYFUNCTION("""COMPUTED_VALUE"""),-0.809785193849066)</f>
        <v>-0.809785193849066</v>
      </c>
      <c r="DT133" s="3">
        <f ca="1">IFERROR(__xludf.DUMMYFUNCTION("""COMPUTED_VALUE"""),-0.808388957782802)</f>
        <v>-0.80838895778280195</v>
      </c>
      <c r="DU133" s="3">
        <f ca="1">IFERROR(__xludf.DUMMYFUNCTION("""COMPUTED_VALUE"""),-0.919718424398851)</f>
        <v>-0.91971842439885099</v>
      </c>
      <c r="DV133" s="3">
        <f ca="1">IFERROR(__xludf.DUMMYFUNCTION("""COMPUTED_VALUE"""),-0.936947350123225)</f>
        <v>-0.93694735012322505</v>
      </c>
      <c r="DW133" s="3">
        <f ca="1">IFERROR(__xludf.DUMMYFUNCTION("""COMPUTED_VALUE"""),-0.908871008411545)</f>
        <v>-0.908871008411545</v>
      </c>
      <c r="DX133" s="3">
        <f ca="1">IFERROR(__xludf.DUMMYFUNCTION("""COMPUTED_VALUE"""),-0.919803645250966)</f>
        <v>-0.91980364525096603</v>
      </c>
      <c r="DY133" s="3">
        <f ca="1">IFERROR(__xludf.DUMMYFUNCTION("""COMPUTED_VALUE"""),-0.877493679613694)</f>
        <v>-0.87749367961369396</v>
      </c>
      <c r="DZ133" s="3">
        <f ca="1">IFERROR(__xludf.DUMMYFUNCTION("""COMPUTED_VALUE"""),-0.690396354988302)</f>
        <v>-0.69039635498830199</v>
      </c>
      <c r="EA133" s="3">
        <f ca="1">IFERROR(__xludf.DUMMYFUNCTION("""COMPUTED_VALUE"""),-0.758612039030456)</f>
        <v>-0.75861203903045604</v>
      </c>
      <c r="EB133" s="3">
        <f ca="1">IFERROR(__xludf.DUMMYFUNCTION("""COMPUTED_VALUE"""),-0.873949750697131)</f>
        <v>-0.87394975069713099</v>
      </c>
      <c r="EC133" s="3">
        <f ca="1">IFERROR(__xludf.DUMMYFUNCTION("""COMPUTED_VALUE"""),-0.906619758112613)</f>
        <v>-0.90661975811261297</v>
      </c>
      <c r="ED133" s="3">
        <f ca="1">IFERROR(__xludf.DUMMYFUNCTION("""COMPUTED_VALUE"""),-0.926212633716562)</f>
        <v>-0.92621263371656204</v>
      </c>
      <c r="EE133" s="3">
        <f ca="1">IFERROR(__xludf.DUMMYFUNCTION("""COMPUTED_VALUE"""),-0.910328135196739)</f>
        <v>-0.91032813519673905</v>
      </c>
      <c r="EF133" s="3">
        <f ca="1">IFERROR(__xludf.DUMMYFUNCTION("""COMPUTED_VALUE"""),-0.901733362831099)</f>
        <v>-0.90173336283109895</v>
      </c>
      <c r="EG133" s="3">
        <f ca="1">IFERROR(__xludf.DUMMYFUNCTION("""COMPUTED_VALUE"""),-0.730203335500806)</f>
        <v>-0.73020333550080596</v>
      </c>
      <c r="EH133" s="3">
        <f ca="1">IFERROR(__xludf.DUMMYFUNCTION("""COMPUTED_VALUE"""),-0.822898607632406)</f>
        <v>-0.82289860763240597</v>
      </c>
      <c r="EI133" s="3">
        <f ca="1">IFERROR(__xludf.DUMMYFUNCTION("""COMPUTED_VALUE"""),-0.888608096059363)</f>
        <v>-0.88860809605936297</v>
      </c>
      <c r="EJ133" s="3">
        <f ca="1">IFERROR(__xludf.DUMMYFUNCTION("""COMPUTED_VALUE"""),-0.948904920511915)</f>
        <v>-0.948904920511915</v>
      </c>
      <c r="EK133" s="3">
        <f ca="1">IFERROR(__xludf.DUMMYFUNCTION("""COMPUTED_VALUE"""),-0.916238090733618)</f>
        <v>-0.91623809073361795</v>
      </c>
      <c r="EL133" s="3">
        <f ca="1">IFERROR(__xludf.DUMMYFUNCTION("""COMPUTED_VALUE"""),-0.92118784966342)</f>
        <v>-0.92118784966342004</v>
      </c>
      <c r="EM133" s="3">
        <f ca="1">IFERROR(__xludf.DUMMYFUNCTION("""COMPUTED_VALUE"""),-0.885495902375336)</f>
        <v>-0.88549590237533604</v>
      </c>
      <c r="EN133" s="3">
        <f ca="1">IFERROR(__xludf.DUMMYFUNCTION("""COMPUTED_VALUE"""),-0.739074122401611)</f>
        <v>-0.73907412240161097</v>
      </c>
      <c r="EO133" s="3">
        <f ca="1">IFERROR(__xludf.DUMMYFUNCTION("""COMPUTED_VALUE"""),-0.823911784276369)</f>
        <v>-0.82391178427636902</v>
      </c>
      <c r="EP133" s="3">
        <f ca="1">IFERROR(__xludf.DUMMYFUNCTION("""COMPUTED_VALUE"""),-0.878355041327209)</f>
        <v>-0.87835504132720899</v>
      </c>
      <c r="EQ133" s="3">
        <f ca="1">IFERROR(__xludf.DUMMYFUNCTION("""COMPUTED_VALUE"""),-0.918570203393567)</f>
        <v>-0.91857020339356699</v>
      </c>
      <c r="ER133" s="3">
        <f ca="1">IFERROR(__xludf.DUMMYFUNCTION("""COMPUTED_VALUE"""),-0.94524732981617)</f>
        <v>-0.94524732981616999</v>
      </c>
      <c r="ES133" s="3">
        <f ca="1">IFERROR(__xludf.DUMMYFUNCTION("""COMPUTED_VALUE"""),-0.9242670120372)</f>
        <v>-0.92426701203719996</v>
      </c>
      <c r="ET133" s="3">
        <f ca="1">IFERROR(__xludf.DUMMYFUNCTION("""COMPUTED_VALUE"""),-0.894976886630558)</f>
        <v>-0.89497688663055797</v>
      </c>
      <c r="EU133" s="3">
        <f ca="1">IFERROR(__xludf.DUMMYFUNCTION("""COMPUTED_VALUE"""),-0.726728301046753)</f>
        <v>-0.72672830104675301</v>
      </c>
      <c r="EV133" s="3">
        <f ca="1">IFERROR(__xludf.DUMMYFUNCTION("""COMPUTED_VALUE"""),-0.820975225700887)</f>
        <v>-0.82097522570088699</v>
      </c>
      <c r="EW133" s="3">
        <f ca="1">IFERROR(__xludf.DUMMYFUNCTION("""COMPUTED_VALUE"""),-0.908895487104678)</f>
        <v>-0.90889548710467805</v>
      </c>
      <c r="EX133" s="3">
        <f ca="1">IFERROR(__xludf.DUMMYFUNCTION("""COMPUTED_VALUE"""),-0.923993829955757)</f>
        <v>-0.92399382995575696</v>
      </c>
      <c r="EY133" s="3">
        <f ca="1">IFERROR(__xludf.DUMMYFUNCTION("""COMPUTED_VALUE"""),-0.908149035484118)</f>
        <v>-0.90814903548411796</v>
      </c>
      <c r="EZ133" s="3">
        <f ca="1">IFERROR(__xludf.DUMMYFUNCTION("""COMPUTED_VALUE"""),-0.899043952869571)</f>
        <v>-0.89904395286957095</v>
      </c>
      <c r="FA133" s="3">
        <f ca="1">IFERROR(__xludf.DUMMYFUNCTION("""COMPUTED_VALUE"""),-0.866669204255854)</f>
        <v>-0.86666920425585403</v>
      </c>
      <c r="FB133" s="3">
        <f ca="1">IFERROR(__xludf.DUMMYFUNCTION("""COMPUTED_VALUE"""),-0.716651948421157)</f>
        <v>-0.71665194842115698</v>
      </c>
      <c r="FC133" s="3">
        <f ca="1">IFERROR(__xludf.DUMMYFUNCTION("""COMPUTED_VALUE"""),-0.83854751477341)</f>
        <v>-0.83854751477341005</v>
      </c>
      <c r="FD133" s="3">
        <f ca="1">IFERROR(__xludf.DUMMYFUNCTION("""COMPUTED_VALUE"""),-0.919168081125321)</f>
        <v>-0.919168081125321</v>
      </c>
      <c r="FE133" s="3">
        <f ca="1">IFERROR(__xludf.DUMMYFUNCTION("""COMPUTED_VALUE"""),-0.923044269035982)</f>
        <v>-0.92304426903598202</v>
      </c>
      <c r="FF133" s="3">
        <f ca="1">IFERROR(__xludf.DUMMYFUNCTION("""COMPUTED_VALUE"""),-0.926546494958218)</f>
        <v>-0.92654649495821795</v>
      </c>
      <c r="FG133" s="3">
        <f ca="1">IFERROR(__xludf.DUMMYFUNCTION("""COMPUTED_VALUE"""),-0.916917686274217)</f>
        <v>-0.91691768627421699</v>
      </c>
      <c r="FH133" s="3">
        <f ca="1">IFERROR(__xludf.DUMMYFUNCTION("""COMPUTED_VALUE"""),-0.881648257231504)</f>
        <v>-0.88164825723150397</v>
      </c>
      <c r="FI133" s="3">
        <f ca="1">IFERROR(__xludf.DUMMYFUNCTION("""COMPUTED_VALUE"""),-0.770832920988734)</f>
        <v>-0.77083292098873402</v>
      </c>
      <c r="FJ133" s="3">
        <f ca="1">IFERROR(__xludf.DUMMYFUNCTION("""COMPUTED_VALUE"""),-0.816920148020411)</f>
        <v>-0.81692014802041102</v>
      </c>
      <c r="FK133" s="3">
        <f ca="1">IFERROR(__xludf.DUMMYFUNCTION("""COMPUTED_VALUE"""),-0.902596430597598)</f>
        <v>-0.90259643059759798</v>
      </c>
      <c r="FL133" s="3">
        <f ca="1">IFERROR(__xludf.DUMMYFUNCTION("""COMPUTED_VALUE"""),-0.941041291071056)</f>
        <v>-0.94104129107105605</v>
      </c>
      <c r="FM133" s="3">
        <f ca="1">IFERROR(__xludf.DUMMYFUNCTION("""COMPUTED_VALUE"""),-0.935323794820633)</f>
        <v>-0.93532379482063299</v>
      </c>
      <c r="FN133" s="3">
        <f ca="1">IFERROR(__xludf.DUMMYFUNCTION("""COMPUTED_VALUE"""),-0.931460812614386)</f>
        <v>-0.93146081261438596</v>
      </c>
      <c r="FO133" s="3">
        <f ca="1">IFERROR(__xludf.DUMMYFUNCTION("""COMPUTED_VALUE"""),-0.897137960560391)</f>
        <v>-0.89713796056039097</v>
      </c>
      <c r="FP133" s="3">
        <f ca="1">IFERROR(__xludf.DUMMYFUNCTION("""COMPUTED_VALUE"""),-0.784908003208546)</f>
        <v>-0.78490800320854603</v>
      </c>
      <c r="FQ133" s="3">
        <f ca="1">IFERROR(__xludf.DUMMYFUNCTION("""COMPUTED_VALUE"""),-0.862591249871759)</f>
        <v>-0.86259124987175895</v>
      </c>
      <c r="FR133" s="3">
        <f ca="1">IFERROR(__xludf.DUMMYFUNCTION("""COMPUTED_VALUE"""),-0.923345292924089)</f>
        <v>-0.92334529292408896</v>
      </c>
      <c r="FS133" s="3">
        <f ca="1">IFERROR(__xludf.DUMMYFUNCTION("""COMPUTED_VALUE"""),-0.931828794613399)</f>
        <v>-0.93182879461339896</v>
      </c>
      <c r="FT133" s="3">
        <f ca="1">IFERROR(__xludf.DUMMYFUNCTION("""COMPUTED_VALUE"""),-0.917579911071531)</f>
        <v>-0.91757991107153103</v>
      </c>
      <c r="FU133" s="3">
        <f ca="1">IFERROR(__xludf.DUMMYFUNCTION("""COMPUTED_VALUE"""),-0.911466645513312)</f>
        <v>-0.91146664551331202</v>
      </c>
      <c r="FV133" s="3">
        <f ca="1">IFERROR(__xludf.DUMMYFUNCTION("""COMPUTED_VALUE"""),-0.872476019911699)</f>
        <v>-0.87247601991169899</v>
      </c>
      <c r="FW133" s="3">
        <f ca="1">IFERROR(__xludf.DUMMYFUNCTION("""COMPUTED_VALUE"""),-0.763565756367749)</f>
        <v>-0.76356575636774904</v>
      </c>
      <c r="FX133" s="3">
        <f ca="1">IFERROR(__xludf.DUMMYFUNCTION("""COMPUTED_VALUE"""),-0.828852628803271)</f>
        <v>-0.82885262880327104</v>
      </c>
      <c r="FY133" s="3">
        <f ca="1">IFERROR(__xludf.DUMMYFUNCTION("""COMPUTED_VALUE"""),-0.914055043105534)</f>
        <v>-0.91405504310553398</v>
      </c>
      <c r="FZ133" s="3">
        <f ca="1">IFERROR(__xludf.DUMMYFUNCTION("""COMPUTED_VALUE"""),-0.934965991073811)</f>
        <v>-0.93496599107381095</v>
      </c>
      <c r="GA133" s="3">
        <f ca="1">IFERROR(__xludf.DUMMYFUNCTION("""COMPUTED_VALUE"""),-0.921226737674025)</f>
        <v>-0.92122673767402496</v>
      </c>
      <c r="GB133" s="3">
        <f ca="1">IFERROR(__xludf.DUMMYFUNCTION("""COMPUTED_VALUE"""),-0.919325166459278)</f>
        <v>-0.91932516645927798</v>
      </c>
      <c r="GC133" s="3">
        <f ca="1">IFERROR(__xludf.DUMMYFUNCTION("""COMPUTED_VALUE"""),-0.882719921548394)</f>
        <v>-0.88271992154839396</v>
      </c>
      <c r="GD133" s="3">
        <f ca="1">IFERROR(__xludf.DUMMYFUNCTION("""COMPUTED_VALUE"""),-0.759878830064281)</f>
        <v>-0.75987883006428103</v>
      </c>
      <c r="GE133" s="3">
        <f ca="1">IFERROR(__xludf.DUMMYFUNCTION("""COMPUTED_VALUE"""),-0.865017294426064)</f>
        <v>-0.86501729442606401</v>
      </c>
      <c r="GF133" s="3">
        <f ca="1">IFERROR(__xludf.DUMMYFUNCTION("""COMPUTED_VALUE"""),-0.933621198581459)</f>
        <v>-0.93362119858145898</v>
      </c>
      <c r="GG133" s="3">
        <f ca="1">IFERROR(__xludf.DUMMYFUNCTION("""COMPUTED_VALUE"""),-0.94085568215041)</f>
        <v>-0.94085568215041004</v>
      </c>
      <c r="GH133" s="3">
        <f ca="1">IFERROR(__xludf.DUMMYFUNCTION("""COMPUTED_VALUE"""),-0.929699672005766)</f>
        <v>-0.92969967200576598</v>
      </c>
      <c r="GI133" s="3">
        <f ca="1">IFERROR(__xludf.DUMMYFUNCTION("""COMPUTED_VALUE"""),-0.935656284328552)</f>
        <v>-0.93565628432855197</v>
      </c>
      <c r="GJ133" s="3">
        <f ca="1">IFERROR(__xludf.DUMMYFUNCTION("""COMPUTED_VALUE"""),-0.895807206785609)</f>
        <v>-0.89580720678560899</v>
      </c>
      <c r="GK133" s="3">
        <f ca="1">IFERROR(__xludf.DUMMYFUNCTION("""COMPUTED_VALUE"""),-0.816949340244581)</f>
        <v>-0.81694934024458099</v>
      </c>
      <c r="GL133" s="3">
        <f ca="1">IFERROR(__xludf.DUMMYFUNCTION("""COMPUTED_VALUE"""),-0.901493617455299)</f>
        <v>-0.90149361745529899</v>
      </c>
      <c r="GM133" s="3">
        <f ca="1">IFERROR(__xludf.DUMMYFUNCTION("""COMPUTED_VALUE"""),-0.931538358952073)</f>
        <v>-0.93153835895207304</v>
      </c>
      <c r="GN133" s="3">
        <f ca="1">IFERROR(__xludf.DUMMYFUNCTION("""COMPUTED_VALUE"""),-0.932498244953008)</f>
        <v>-0.93249824495300804</v>
      </c>
      <c r="GO133" s="3">
        <f ca="1">IFERROR(__xludf.DUMMYFUNCTION("""COMPUTED_VALUE"""),-0.932828298836563)</f>
        <v>-0.93282829883656304</v>
      </c>
      <c r="GP133" s="3">
        <f ca="1">IFERROR(__xludf.DUMMYFUNCTION("""COMPUTED_VALUE"""),-0.930837855900668)</f>
        <v>-0.93083785590066803</v>
      </c>
      <c r="GQ133" s="3">
        <f ca="1">IFERROR(__xludf.DUMMYFUNCTION("""COMPUTED_VALUE"""),-0.913093506562893)</f>
        <v>-0.91309350656289301</v>
      </c>
      <c r="GR133" s="3">
        <f ca="1">IFERROR(__xludf.DUMMYFUNCTION("""COMPUTED_VALUE"""),-0.81029626778262)</f>
        <v>-0.81029626778261998</v>
      </c>
      <c r="GS133" s="3">
        <f ca="1">IFERROR(__xludf.DUMMYFUNCTION("""COMPUTED_VALUE"""),-0.889479506067832)</f>
        <v>-0.88947950606783199</v>
      </c>
      <c r="GT133" s="3">
        <f ca="1">IFERROR(__xludf.DUMMYFUNCTION("""COMPUTED_VALUE"""),-0.933838572016524)</f>
        <v>-0.93383857201652398</v>
      </c>
      <c r="GU133" s="3">
        <f ca="1">IFERROR(__xludf.DUMMYFUNCTION("""COMPUTED_VALUE"""),-0.933937752875554)</f>
        <v>-0.93393775287555403</v>
      </c>
      <c r="GV133" s="3">
        <f ca="1">IFERROR(__xludf.DUMMYFUNCTION("""COMPUTED_VALUE"""),-0.929565214269908)</f>
        <v>-0.92956521426990801</v>
      </c>
      <c r="GW133" s="3">
        <f ca="1">IFERROR(__xludf.DUMMYFUNCTION("""COMPUTED_VALUE"""),-0.932799907071302)</f>
        <v>-0.932799907071302</v>
      </c>
      <c r="GX133" s="3">
        <f ca="1">IFERROR(__xludf.DUMMYFUNCTION("""COMPUTED_VALUE"""),-0.918732564226575)</f>
        <v>-0.91873256422657501</v>
      </c>
      <c r="GY133" s="3">
        <f ca="1">IFERROR(__xludf.DUMMYFUNCTION("""COMPUTED_VALUE"""),-0.797223153320553)</f>
        <v>-0.79722315332055305</v>
      </c>
      <c r="GZ133" s="3">
        <f ca="1">IFERROR(__xludf.DUMMYFUNCTION("""COMPUTED_VALUE"""),-0.874343732048445)</f>
        <v>-0.87434373204844495</v>
      </c>
      <c r="HA133" s="3">
        <f ca="1">IFERROR(__xludf.DUMMYFUNCTION("""COMPUTED_VALUE"""),-0.927558314030222)</f>
        <v>-0.92755831403022204</v>
      </c>
      <c r="HB133" s="3">
        <f ca="1">IFERROR(__xludf.DUMMYFUNCTION("""COMPUTED_VALUE"""),-0.935294552947412)</f>
        <v>-0.93529455294741204</v>
      </c>
      <c r="HC133" s="3">
        <f ca="1">IFERROR(__xludf.DUMMYFUNCTION("""COMPUTED_VALUE"""),-0.930720049194478)</f>
        <v>-0.93072004919447804</v>
      </c>
      <c r="HD133" s="3">
        <f ca="1">IFERROR(__xludf.DUMMYFUNCTION("""COMPUTED_VALUE"""),-0.939959797682267)</f>
        <v>-0.93995979768226701</v>
      </c>
      <c r="HE133" s="3">
        <f ca="1">IFERROR(__xludf.DUMMYFUNCTION("""COMPUTED_VALUE"""),-0.897891123016722)</f>
        <v>-0.89789112301672203</v>
      </c>
      <c r="HF133" s="3">
        <f ca="1">IFERROR(__xludf.DUMMYFUNCTION("""COMPUTED_VALUE"""),-0.750005746832606)</f>
        <v>-0.75000574683260601</v>
      </c>
      <c r="HG133" s="3">
        <f ca="1">IFERROR(__xludf.DUMMYFUNCTION("""COMPUTED_VALUE"""),-0.804226981012564)</f>
        <v>-0.80422698101256396</v>
      </c>
      <c r="HH133" s="3">
        <f ca="1">IFERROR(__xludf.DUMMYFUNCTION("""COMPUTED_VALUE"""),-0.924305714839615)</f>
        <v>-0.92430571483961499</v>
      </c>
      <c r="HI133" s="3">
        <f ca="1">IFERROR(__xludf.DUMMYFUNCTION("""COMPUTED_VALUE"""),-0.926623707516821)</f>
        <v>-0.92662370751682099</v>
      </c>
      <c r="HJ133" s="3">
        <f ca="1">IFERROR(__xludf.DUMMYFUNCTION("""COMPUTED_VALUE"""),-0.924884892780742)</f>
        <v>-0.92488489278074204</v>
      </c>
      <c r="HK133" s="3">
        <f ca="1">IFERROR(__xludf.DUMMYFUNCTION("""COMPUTED_VALUE"""),-0.916490772517681)</f>
        <v>-0.91649077251768096</v>
      </c>
      <c r="HL133" s="3">
        <f ca="1">IFERROR(__xludf.DUMMYFUNCTION("""COMPUTED_VALUE"""),-0.849613972192147)</f>
        <v>-0.84961397219214696</v>
      </c>
      <c r="HM133" s="3">
        <f ca="1">IFERROR(__xludf.DUMMYFUNCTION("""COMPUTED_VALUE"""),-0.656666435509918)</f>
        <v>-0.65666643550991799</v>
      </c>
      <c r="HN133" s="3">
        <f ca="1">IFERROR(__xludf.DUMMYFUNCTION("""COMPUTED_VALUE"""),-0.739197960920885)</f>
        <v>-0.73919796092088497</v>
      </c>
      <c r="HO133" s="3">
        <f ca="1">IFERROR(__xludf.DUMMYFUNCTION("""COMPUTED_VALUE"""),-0.938199872156268)</f>
        <v>-0.93819987215626799</v>
      </c>
      <c r="HP133" s="3">
        <f ca="1">IFERROR(__xludf.DUMMYFUNCTION("""COMPUTED_VALUE"""),-0.94685070682675)</f>
        <v>-0.94685070682674999</v>
      </c>
      <c r="HQ133" s="3">
        <f ca="1">IFERROR(__xludf.DUMMYFUNCTION("""COMPUTED_VALUE"""),-0.950467006842067)</f>
        <v>-0.95046700684206697</v>
      </c>
      <c r="HR133" s="3">
        <f ca="1">IFERROR(__xludf.DUMMYFUNCTION("""COMPUTED_VALUE"""),-0.920787856018488)</f>
        <v>-0.920787856018488</v>
      </c>
      <c r="HS133" s="3">
        <f ca="1">IFERROR(__xludf.DUMMYFUNCTION("""COMPUTED_VALUE"""),-0.895378589547021)</f>
        <v>-0.89537858954702099</v>
      </c>
      <c r="HT133" s="3">
        <f ca="1">IFERROR(__xludf.DUMMYFUNCTION("""COMPUTED_VALUE"""),-0.817527576192118)</f>
        <v>-0.81752757619211802</v>
      </c>
      <c r="HU133" s="3">
        <f ca="1">IFERROR(__xludf.DUMMYFUNCTION("""COMPUTED_VALUE"""),-0.869867096856325)</f>
        <v>-0.86986709685632502</v>
      </c>
      <c r="HV133" s="3">
        <f ca="1">IFERROR(__xludf.DUMMYFUNCTION("""COMPUTED_VALUE"""),-0.928017140964761)</f>
        <v>-0.92801714096476096</v>
      </c>
      <c r="HW133" s="3">
        <f ca="1">IFERROR(__xludf.DUMMYFUNCTION("""COMPUTED_VALUE"""),-0.934818788622383)</f>
        <v>-0.93481878862238299</v>
      </c>
      <c r="HX133" s="3">
        <f ca="1">IFERROR(__xludf.DUMMYFUNCTION("""COMPUTED_VALUE"""),-0.935961106447021)</f>
        <v>-0.93596110644702102</v>
      </c>
      <c r="HY133" s="3">
        <f ca="1">IFERROR(__xludf.DUMMYFUNCTION("""COMPUTED_VALUE"""),-0.936947719329639)</f>
        <v>-0.93694771932963905</v>
      </c>
      <c r="HZ133" s="3">
        <f ca="1">IFERROR(__xludf.DUMMYFUNCTION("""COMPUTED_VALUE"""),-0.895563769205778)</f>
        <v>-0.89556376920577796</v>
      </c>
      <c r="IA133" s="3">
        <f ca="1">IFERROR(__xludf.DUMMYFUNCTION("""COMPUTED_VALUE"""),-0.777904185675279)</f>
        <v>-0.77790418567527897</v>
      </c>
      <c r="IB133" s="3">
        <f ca="1">IFERROR(__xludf.DUMMYFUNCTION("""COMPUTED_VALUE"""),-0.841871162083215)</f>
        <v>-0.841871162083215</v>
      </c>
      <c r="IC133" s="3">
        <f ca="1">IFERROR(__xludf.DUMMYFUNCTION("""COMPUTED_VALUE"""),-0.933367035488318)</f>
        <v>-0.93336703548831801</v>
      </c>
      <c r="ID133" s="3">
        <f ca="1">IFERROR(__xludf.DUMMYFUNCTION("""COMPUTED_VALUE"""),-0.945818069485459)</f>
        <v>-0.94581806948545899</v>
      </c>
      <c r="IE133" s="3">
        <f ca="1">IFERROR(__xludf.DUMMYFUNCTION("""COMPUTED_VALUE"""),-0.932627900615081)</f>
        <v>-0.93262790061508105</v>
      </c>
      <c r="IF133" s="3">
        <f ca="1">IFERROR(__xludf.DUMMYFUNCTION("""COMPUTED_VALUE"""),-0.920943752331433)</f>
        <v>-0.920943752331433</v>
      </c>
      <c r="IG133" s="3">
        <f ca="1">IFERROR(__xludf.DUMMYFUNCTION("""COMPUTED_VALUE"""),-0.890211602270796)</f>
        <v>-0.89021160227079599</v>
      </c>
      <c r="IH133" s="3">
        <f ca="1">IFERROR(__xludf.DUMMYFUNCTION("""COMPUTED_VALUE"""),-0.732176562715283)</f>
        <v>-0.73217656271528297</v>
      </c>
      <c r="II133" s="3">
        <f ca="1">IFERROR(__xludf.DUMMYFUNCTION("""COMPUTED_VALUE"""),-0.804897207915712)</f>
        <v>-0.80489720791571195</v>
      </c>
      <c r="IJ133" s="3">
        <f ca="1">IFERROR(__xludf.DUMMYFUNCTION("""COMPUTED_VALUE"""),-0.914741449501802)</f>
        <v>-0.91474144950180203</v>
      </c>
      <c r="IK133" s="3">
        <f ca="1">IFERROR(__xludf.DUMMYFUNCTION("""COMPUTED_VALUE"""),-0.91023496892815)</f>
        <v>-0.91023496892815003</v>
      </c>
      <c r="IL133" s="3">
        <f ca="1">IFERROR(__xludf.DUMMYFUNCTION("""COMPUTED_VALUE"""),-0.898747979840365)</f>
        <v>-0.89874797984036503</v>
      </c>
      <c r="IM133" s="3">
        <f ca="1">IFERROR(__xludf.DUMMYFUNCTION("""COMPUTED_VALUE"""),-0.871081992841095)</f>
        <v>-0.871081992841095</v>
      </c>
      <c r="IN133" s="3">
        <f ca="1">IFERROR(__xludf.DUMMYFUNCTION("""COMPUTED_VALUE"""),-0.867992740352346)</f>
        <v>-0.86799274035234597</v>
      </c>
      <c r="IO133" s="3">
        <f ca="1">IFERROR(__xludf.DUMMYFUNCTION("""COMPUTED_VALUE"""),-0.848856706649689)</f>
        <v>-0.84885670664968904</v>
      </c>
      <c r="IP133" s="3">
        <f ca="1">IFERROR(__xludf.DUMMYFUNCTION("""COMPUTED_VALUE"""),-0.876976513502648)</f>
        <v>-0.87697651350264805</v>
      </c>
      <c r="IQ133" s="3">
        <f ca="1">IFERROR(__xludf.DUMMYFUNCTION("""COMPUTED_VALUE"""),-0.922655132396966)</f>
        <v>-0.92265513239696595</v>
      </c>
      <c r="IR133" s="3">
        <f ca="1">IFERROR(__xludf.DUMMYFUNCTION("""COMPUTED_VALUE"""),-0.926767833572437)</f>
        <v>-0.92676783357243697</v>
      </c>
      <c r="IS133" s="3">
        <f ca="1">IFERROR(__xludf.DUMMYFUNCTION("""COMPUTED_VALUE"""),-0.895888635780591)</f>
        <v>-0.89588863578059097</v>
      </c>
      <c r="IT133" s="3">
        <f ca="1">IFERROR(__xludf.DUMMYFUNCTION("""COMPUTED_VALUE"""),-0.914460820436249)</f>
        <v>-0.91446082043624899</v>
      </c>
      <c r="IU133" s="3">
        <f ca="1">IFERROR(__xludf.DUMMYFUNCTION("""COMPUTED_VALUE"""),-0.876320070818639)</f>
        <v>-0.87632007081863905</v>
      </c>
      <c r="IV133" s="3">
        <f ca="1">IFERROR(__xludf.DUMMYFUNCTION("""COMPUTED_VALUE"""),-0.847322352012381)</f>
        <v>-0.84732235201238104</v>
      </c>
      <c r="IW133" s="3">
        <f ca="1">IFERROR(__xludf.DUMMYFUNCTION("""COMPUTED_VALUE"""),-0.834662285498896)</f>
        <v>-0.83466228549889598</v>
      </c>
      <c r="IX133" s="3">
        <f ca="1">IFERROR(__xludf.DUMMYFUNCTION("""COMPUTED_VALUE"""),-0.884009030002891)</f>
        <v>-0.88400903000289099</v>
      </c>
      <c r="IY133" s="3">
        <f ca="1">IFERROR(__xludf.DUMMYFUNCTION("""COMPUTED_VALUE"""),-0.902132082944154)</f>
        <v>-0.90213208294415403</v>
      </c>
      <c r="IZ133" s="3">
        <f ca="1">IFERROR(__xludf.DUMMYFUNCTION("""COMPUTED_VALUE"""),-0.880589405641662)</f>
        <v>-0.88058940564166199</v>
      </c>
      <c r="JA133" s="3">
        <f ca="1">IFERROR(__xludf.DUMMYFUNCTION("""COMPUTED_VALUE"""),-0.886656537843365)</f>
        <v>-0.88665653784336496</v>
      </c>
      <c r="JB133" s="3">
        <f ca="1">IFERROR(__xludf.DUMMYFUNCTION("""COMPUTED_VALUE"""),-0.882367943388882)</f>
        <v>-0.88236794338888203</v>
      </c>
      <c r="JC133" s="3">
        <f ca="1">IFERROR(__xludf.DUMMYFUNCTION("""COMPUTED_VALUE"""),-0.818326969480196)</f>
        <v>-0.81832696948019601</v>
      </c>
      <c r="JD133" s="3">
        <f ca="1">IFERROR(__xludf.DUMMYFUNCTION("""COMPUTED_VALUE"""),-0.824458752404447)</f>
        <v>-0.82445875240444699</v>
      </c>
      <c r="JE133" s="3">
        <f ca="1">IFERROR(__xludf.DUMMYFUNCTION("""COMPUTED_VALUE"""),-0.911641864060128)</f>
        <v>-0.91164186406012804</v>
      </c>
      <c r="JF133" s="3">
        <f ca="1">IFERROR(__xludf.DUMMYFUNCTION("""COMPUTED_VALUE"""),-0.920767786589964)</f>
        <v>-0.92076778658996405</v>
      </c>
      <c r="JG133" s="3">
        <f ca="1">IFERROR(__xludf.DUMMYFUNCTION("""COMPUTED_VALUE"""),-0.901562339067191)</f>
        <v>-0.90156233906719097</v>
      </c>
      <c r="JH133" s="3">
        <f ca="1">IFERROR(__xludf.DUMMYFUNCTION("""COMPUTED_VALUE"""),-0.909429637772225)</f>
        <v>-0.90942963777222496</v>
      </c>
      <c r="JI133" s="3">
        <f ca="1">IFERROR(__xludf.DUMMYFUNCTION("""COMPUTED_VALUE"""),-0.863359849974339)</f>
        <v>-0.86335984997433901</v>
      </c>
      <c r="JJ133" s="3">
        <f ca="1">IFERROR(__xludf.DUMMYFUNCTION("""COMPUTED_VALUE"""),-0.850728960303405)</f>
        <v>-0.85072896030340495</v>
      </c>
      <c r="JK133" s="3">
        <f ca="1">IFERROR(__xludf.DUMMYFUNCTION("""COMPUTED_VALUE"""),-0.865926139073251)</f>
        <v>-0.865926139073251</v>
      </c>
      <c r="JL133" s="3">
        <f ca="1">IFERROR(__xludf.DUMMYFUNCTION("""COMPUTED_VALUE"""),-0.897956341145448)</f>
        <v>-0.89795634114544798</v>
      </c>
      <c r="JM133" s="3">
        <f ca="1">IFERROR(__xludf.DUMMYFUNCTION("""COMPUTED_VALUE"""),-0.91353704124842)</f>
        <v>-0.91353704124841995</v>
      </c>
      <c r="JN133" s="3">
        <f ca="1">IFERROR(__xludf.DUMMYFUNCTION("""COMPUTED_VALUE"""),-0.922498325922365)</f>
        <v>-0.92249832592236503</v>
      </c>
      <c r="JO133" s="3">
        <f ca="1">IFERROR(__xludf.DUMMYFUNCTION("""COMPUTED_VALUE"""),-0.910610319438349)</f>
        <v>-0.91061031943834903</v>
      </c>
      <c r="JP133" s="3">
        <f ca="1">IFERROR(__xludf.DUMMYFUNCTION("""COMPUTED_VALUE"""),-0.888349091298509)</f>
        <v>-0.88834909129850903</v>
      </c>
      <c r="JQ133" s="3">
        <f ca="1">IFERROR(__xludf.DUMMYFUNCTION("""COMPUTED_VALUE"""),-0.793255125194422)</f>
        <v>-0.79325512519442198</v>
      </c>
      <c r="JR133" s="3">
        <f ca="1">IFERROR(__xludf.DUMMYFUNCTION("""COMPUTED_VALUE"""),-0.833928102630235)</f>
        <v>-0.83392810263023498</v>
      </c>
      <c r="JS133" s="3">
        <f ca="1">IFERROR(__xludf.DUMMYFUNCTION("""COMPUTED_VALUE"""),-0.878722724280938)</f>
        <v>-0.87872272428093801</v>
      </c>
      <c r="JT133" s="3">
        <f ca="1">IFERROR(__xludf.DUMMYFUNCTION("""COMPUTED_VALUE"""),-0.893480794464505)</f>
        <v>-0.89348079446450501</v>
      </c>
      <c r="JU133" s="3">
        <f ca="1">IFERROR(__xludf.DUMMYFUNCTION("""COMPUTED_VALUE"""),-0.902920056992811)</f>
        <v>-0.90292005699281097</v>
      </c>
      <c r="JV133" s="3">
        <f ca="1">IFERROR(__xludf.DUMMYFUNCTION("""COMPUTED_VALUE"""),-0.898827796478432)</f>
        <v>-0.89882779647843203</v>
      </c>
      <c r="JW133" s="3">
        <f ca="1">IFERROR(__xludf.DUMMYFUNCTION("""COMPUTED_VALUE"""),-0.912576320969386)</f>
        <v>-0.91257632096938601</v>
      </c>
      <c r="JX133" s="3">
        <f ca="1">IFERROR(__xludf.DUMMYFUNCTION("""COMPUTED_VALUE"""),-0.917832407490843)</f>
        <v>-0.91783240749084305</v>
      </c>
      <c r="JY133" s="3">
        <f ca="1">IFERROR(__xludf.DUMMYFUNCTION("""COMPUTED_VALUE"""),-0.937683255312992)</f>
        <v>-0.93768325531299201</v>
      </c>
      <c r="JZ133" s="3">
        <f ca="1">IFERROR(__xludf.DUMMYFUNCTION("""COMPUTED_VALUE"""),-0.895631709203839)</f>
        <v>-0.89563170920383905</v>
      </c>
      <c r="KA133" s="3">
        <f ca="1">IFERROR(__xludf.DUMMYFUNCTION("""COMPUTED_VALUE"""),-0.892535737998507)</f>
        <v>-0.89253573799850705</v>
      </c>
      <c r="KB133" s="3">
        <f ca="1">IFERROR(__xludf.DUMMYFUNCTION("""COMPUTED_VALUE"""),-0.897827635158889)</f>
        <v>-0.89782763515888897</v>
      </c>
      <c r="KC133" s="3">
        <f ca="1">IFERROR(__xludf.DUMMYFUNCTION("""COMPUTED_VALUE"""),-0.921740930235861)</f>
        <v>-0.92174093023586101</v>
      </c>
      <c r="KD133" s="3">
        <f ca="1">IFERROR(__xludf.DUMMYFUNCTION("""COMPUTED_VALUE"""),-0.909647360067623)</f>
        <v>-0.90964736006762303</v>
      </c>
      <c r="KE133" s="3">
        <f ca="1">IFERROR(__xludf.DUMMYFUNCTION("""COMPUTED_VALUE"""),-0.848666108096025)</f>
        <v>-0.84866610809602505</v>
      </c>
      <c r="KF133" s="3">
        <f ca="1">IFERROR(__xludf.DUMMYFUNCTION("""COMPUTED_VALUE"""),-0.777599860397694)</f>
        <v>-0.77759986039769402</v>
      </c>
      <c r="KG133" s="3">
        <f ca="1">IFERROR(__xludf.DUMMYFUNCTION("""COMPUTED_VALUE"""),-0.878798867345707)</f>
        <v>-0.878798867345707</v>
      </c>
      <c r="KH133" s="3">
        <f ca="1">IFERROR(__xludf.DUMMYFUNCTION("""COMPUTED_VALUE"""),-0.843346021625071)</f>
        <v>-0.843346021625071</v>
      </c>
      <c r="KI133" s="3">
        <f ca="1">IFERROR(__xludf.DUMMYFUNCTION("""COMPUTED_VALUE"""),-0.865586719446635)</f>
        <v>-0.86558671944663501</v>
      </c>
      <c r="KJ133" s="3">
        <f ca="1">IFERROR(__xludf.DUMMYFUNCTION("""COMPUTED_VALUE"""),-0.901631454388829)</f>
        <v>-0.90163145438882897</v>
      </c>
      <c r="KK133" s="3">
        <f ca="1">IFERROR(__xludf.DUMMYFUNCTION("""COMPUTED_VALUE"""),-0.874065306606813)</f>
        <v>-0.87406530660681303</v>
      </c>
      <c r="KL133" s="3">
        <f ca="1">IFERROR(__xludf.DUMMYFUNCTION("""COMPUTED_VALUE"""),-0.791556479136325)</f>
        <v>-0.79155647913632499</v>
      </c>
      <c r="KM133" s="3">
        <f ca="1">IFERROR(__xludf.DUMMYFUNCTION("""COMPUTED_VALUE"""),-0.798770315098209)</f>
        <v>-0.79877031509820895</v>
      </c>
      <c r="KN133" s="3">
        <f ca="1">IFERROR(__xludf.DUMMYFUNCTION("""COMPUTED_VALUE"""),-0.90523095436084)</f>
        <v>-0.90523095436084</v>
      </c>
      <c r="KO133" s="3">
        <f ca="1">IFERROR(__xludf.DUMMYFUNCTION("""COMPUTED_VALUE"""),-0.872975234463184)</f>
        <v>-0.87297523446318404</v>
      </c>
      <c r="KP133" s="3">
        <f ca="1">IFERROR(__xludf.DUMMYFUNCTION("""COMPUTED_VALUE"""),-0.900256836114866)</f>
        <v>-0.90025683611486595</v>
      </c>
      <c r="KQ133" s="3">
        <f ca="1">IFERROR(__xludf.DUMMYFUNCTION("""COMPUTED_VALUE"""),-0.913483507409207)</f>
        <v>-0.91348350740920703</v>
      </c>
      <c r="KR133" s="3">
        <f ca="1">IFERROR(__xludf.DUMMYFUNCTION("""COMPUTED_VALUE"""),-0.853013502048707)</f>
        <v>-0.85301350204870696</v>
      </c>
      <c r="KS133" s="3">
        <f ca="1">IFERROR(__xludf.DUMMYFUNCTION("""COMPUTED_VALUE"""),-0.788860224443229)</f>
        <v>-0.78886022444322901</v>
      </c>
      <c r="KT133" s="3">
        <f ca="1">IFERROR(__xludf.DUMMYFUNCTION("""COMPUTED_VALUE"""),-0.843899362514758)</f>
        <v>-0.84389936251475794</v>
      </c>
      <c r="KU133" s="3">
        <f ca="1">IFERROR(__xludf.DUMMYFUNCTION("""COMPUTED_VALUE"""),-0.908910209858745)</f>
        <v>-0.90891020985874504</v>
      </c>
      <c r="KV133" s="3">
        <f ca="1">IFERROR(__xludf.DUMMYFUNCTION("""COMPUTED_VALUE"""),-0.893634638621429)</f>
        <v>-0.893634638621429</v>
      </c>
      <c r="KW133" s="3">
        <f ca="1">IFERROR(__xludf.DUMMYFUNCTION("""COMPUTED_VALUE"""),-0.88483510505411)</f>
        <v>-0.88483510505411</v>
      </c>
      <c r="KX133" s="3">
        <f ca="1">IFERROR(__xludf.DUMMYFUNCTION("""COMPUTED_VALUE"""),-0.871883435650401)</f>
        <v>-0.87188343565040105</v>
      </c>
      <c r="KY133" s="3">
        <f ca="1">IFERROR(__xludf.DUMMYFUNCTION("""COMPUTED_VALUE"""),-0.886044285666862)</f>
        <v>-0.886044285666862</v>
      </c>
      <c r="KZ133" s="3">
        <f ca="1">IFERROR(__xludf.DUMMYFUNCTION("""COMPUTED_VALUE"""),-0.846721013651276)</f>
        <v>-0.84672101365127606</v>
      </c>
      <c r="LA133" s="3">
        <f ca="1">IFERROR(__xludf.DUMMYFUNCTION("""COMPUTED_VALUE"""),-0.887698647789275)</f>
        <v>-0.88769864778927499</v>
      </c>
      <c r="LB133" s="3">
        <f ca="1">IFERROR(__xludf.DUMMYFUNCTION("""COMPUTED_VALUE"""),-0.904040943473555)</f>
        <v>-0.90404094347355501</v>
      </c>
      <c r="LC133" s="3">
        <f ca="1">IFERROR(__xludf.DUMMYFUNCTION("""COMPUTED_VALUE"""),-0.913981381827616)</f>
        <v>-0.91398138182761601</v>
      </c>
      <c r="LD133" s="3">
        <f ca="1">IFERROR(__xludf.DUMMYFUNCTION("""COMPUTED_VALUE"""),-0.918119677032411)</f>
        <v>-0.91811967703241104</v>
      </c>
      <c r="LE133" s="3">
        <f ca="1">IFERROR(__xludf.DUMMYFUNCTION("""COMPUTED_VALUE"""),-0.915077707705166)</f>
        <v>-0.91507770770516605</v>
      </c>
      <c r="LF133" s="3">
        <f ca="1">IFERROR(__xludf.DUMMYFUNCTION("""COMPUTED_VALUE"""),-0.863890671917792)</f>
        <v>-0.86389067191779201</v>
      </c>
      <c r="LG133" s="3">
        <f ca="1">IFERROR(__xludf.DUMMYFUNCTION("""COMPUTED_VALUE"""),-0.805504244201544)</f>
        <v>-0.80550424420154398</v>
      </c>
      <c r="LH133" s="3">
        <f ca="1">IFERROR(__xludf.DUMMYFUNCTION("""COMPUTED_VALUE"""),-0.899163372320207)</f>
        <v>-0.89916337232020704</v>
      </c>
      <c r="LI133" s="3">
        <f ca="1">IFERROR(__xludf.DUMMYFUNCTION("""COMPUTED_VALUE"""),-0.932530672433265)</f>
        <v>-0.93253067243326504</v>
      </c>
      <c r="LJ133" s="3">
        <f ca="1">IFERROR(__xludf.DUMMYFUNCTION("""COMPUTED_VALUE"""),-0.920139050963635)</f>
        <v>-0.92013905096363502</v>
      </c>
      <c r="LK133" s="3">
        <f ca="1">IFERROR(__xludf.DUMMYFUNCTION("""COMPUTED_VALUE"""),-0.925505786619118)</f>
        <v>-0.92550578661911798</v>
      </c>
      <c r="LL133" s="3">
        <f ca="1">IFERROR(__xludf.DUMMYFUNCTION("""COMPUTED_VALUE"""),-0.950508942083716)</f>
        <v>-0.95050894208371595</v>
      </c>
      <c r="LM133" s="3">
        <f ca="1">IFERROR(__xludf.DUMMYFUNCTION("""COMPUTED_VALUE"""),-0.942653425665667)</f>
        <v>-0.94265342566566701</v>
      </c>
      <c r="LN133" s="3">
        <f ca="1">IFERROR(__xludf.DUMMYFUNCTION("""COMPUTED_VALUE"""),-0.900444180699361)</f>
        <v>-0.90044418069936105</v>
      </c>
      <c r="LO133" s="3">
        <f ca="1">IFERROR(__xludf.DUMMYFUNCTION("""COMPUTED_VALUE"""),-0.892084304097086)</f>
        <v>-0.89208430409708594</v>
      </c>
      <c r="LP133" s="3">
        <f ca="1">IFERROR(__xludf.DUMMYFUNCTION("""COMPUTED_VALUE"""),-0.939144122242336)</f>
        <v>-0.93914412224233601</v>
      </c>
      <c r="LQ133" s="3">
        <f ca="1">IFERROR(__xludf.DUMMYFUNCTION("""COMPUTED_VALUE"""),-0.928900549742935)</f>
        <v>-0.92890054974293501</v>
      </c>
      <c r="LR133" s="3">
        <f ca="1">IFERROR(__xludf.DUMMYFUNCTION("""COMPUTED_VALUE"""),-0.931485340806219)</f>
        <v>-0.93148534080621903</v>
      </c>
      <c r="LS133" s="3">
        <f ca="1">IFERROR(__xludf.DUMMYFUNCTION("""COMPUTED_VALUE"""),-0.929135333972288)</f>
        <v>-0.92913533397228798</v>
      </c>
      <c r="LT133" s="3">
        <f ca="1">IFERROR(__xludf.DUMMYFUNCTION("""COMPUTED_VALUE"""),-0.892425892242028)</f>
        <v>-0.89242589224202795</v>
      </c>
      <c r="LU133" s="3">
        <f ca="1">IFERROR(__xludf.DUMMYFUNCTION("""COMPUTED_VALUE"""),-0.878187857411975)</f>
        <v>-0.87818785741197503</v>
      </c>
      <c r="LV133" s="3">
        <f ca="1">IFERROR(__xludf.DUMMYFUNCTION("""COMPUTED_VALUE"""),-0.918002273793119)</f>
        <v>-0.91800227379311905</v>
      </c>
      <c r="LW133" s="3">
        <f ca="1">IFERROR(__xludf.DUMMYFUNCTION("""COMPUTED_VALUE"""),-0.94877932544629)</f>
        <v>-0.94877932544628996</v>
      </c>
      <c r="LX133" s="3">
        <f ca="1">IFERROR(__xludf.DUMMYFUNCTION("""COMPUTED_VALUE"""),-0.91888615302208)</f>
        <v>-0.91888615302207999</v>
      </c>
      <c r="LY133" s="3">
        <f ca="1">IFERROR(__xludf.DUMMYFUNCTION("""COMPUTED_VALUE"""),-0.947647261878377)</f>
        <v>-0.947647261878377</v>
      </c>
      <c r="LZ133" s="3">
        <f ca="1">IFERROR(__xludf.DUMMYFUNCTION("""COMPUTED_VALUE"""),-0.932137750952138)</f>
        <v>-0.93213775095213802</v>
      </c>
      <c r="MA133" s="3">
        <f ca="1">IFERROR(__xludf.DUMMYFUNCTION("""COMPUTED_VALUE"""),-0.918464754069484)</f>
        <v>-0.91846475406948402</v>
      </c>
      <c r="MB133" s="3">
        <f ca="1">IFERROR(__xludf.DUMMYFUNCTION("""COMPUTED_VALUE"""),-0.890690702431201)</f>
        <v>-0.89069070243120096</v>
      </c>
      <c r="MC133" s="3">
        <f ca="1">IFERROR(__xludf.DUMMYFUNCTION("""COMPUTED_VALUE"""),-0.914832204271047)</f>
        <v>-0.91483220427104694</v>
      </c>
      <c r="MD133" s="3">
        <f ca="1">IFERROR(__xludf.DUMMYFUNCTION("""COMPUTED_VALUE"""),-0.932509801775691)</f>
        <v>-0.93250980177569098</v>
      </c>
      <c r="ME133" s="3">
        <f ca="1">IFERROR(__xludf.DUMMYFUNCTION("""COMPUTED_VALUE"""),-0.929453185391069)</f>
        <v>-0.92945318539106903</v>
      </c>
      <c r="MF133" s="3">
        <f ca="1">IFERROR(__xludf.DUMMYFUNCTION("""COMPUTED_VALUE"""),-0.930758940661299)</f>
        <v>-0.93075894066129905</v>
      </c>
      <c r="MG133" s="3">
        <f ca="1">IFERROR(__xludf.DUMMYFUNCTION("""COMPUTED_VALUE"""),-0.93240775850635)</f>
        <v>-0.93240775850635005</v>
      </c>
      <c r="MH133" s="3">
        <f ca="1">IFERROR(__xludf.DUMMYFUNCTION("""COMPUTED_VALUE"""),-0.924554101505883)</f>
        <v>-0.92455410150588302</v>
      </c>
      <c r="MI133" s="3">
        <f ca="1">IFERROR(__xludf.DUMMYFUNCTION("""COMPUTED_VALUE"""),-0.846916212950245)</f>
        <v>-0.846916212950245</v>
      </c>
      <c r="MJ133" s="3">
        <f ca="1">IFERROR(__xludf.DUMMYFUNCTION("""COMPUTED_VALUE"""),-0.899963118285661)</f>
        <v>-0.899963118285661</v>
      </c>
      <c r="MK133" s="3">
        <f ca="1">IFERROR(__xludf.DUMMYFUNCTION("""COMPUTED_VALUE"""),-0.933819980597696)</f>
        <v>-0.933819980597696</v>
      </c>
      <c r="ML133" s="3">
        <f ca="1">IFERROR(__xludf.DUMMYFUNCTION("""COMPUTED_VALUE"""),-0.936084351287732)</f>
        <v>-0.93608435128773204</v>
      </c>
      <c r="MM133" s="3">
        <f ca="1">IFERROR(__xludf.DUMMYFUNCTION("""COMPUTED_VALUE"""),-0.95243298991497)</f>
        <v>-0.95243298991497005</v>
      </c>
      <c r="MN133" s="3">
        <f ca="1">IFERROR(__xludf.DUMMYFUNCTION("""COMPUTED_VALUE"""),-0.936637908968787)</f>
        <v>-0.93663790896878696</v>
      </c>
      <c r="MO133" s="3">
        <f ca="1">IFERROR(__xludf.DUMMYFUNCTION("""COMPUTED_VALUE"""),-0.936538019789248)</f>
        <v>-0.936538019789248</v>
      </c>
      <c r="MP133" s="3">
        <f ca="1">IFERROR(__xludf.DUMMYFUNCTION("""COMPUTED_VALUE"""),-0.89422790205305)</f>
        <v>-0.89422790205305003</v>
      </c>
      <c r="MQ133" s="3">
        <f ca="1">IFERROR(__xludf.DUMMYFUNCTION("""COMPUTED_VALUE"""),-0.891427884206663)</f>
        <v>-0.89142788420666297</v>
      </c>
      <c r="MR133" s="3">
        <f ca="1">IFERROR(__xludf.DUMMYFUNCTION("""COMPUTED_VALUE"""),-0.955545539616305)</f>
        <v>-0.95554553961630495</v>
      </c>
      <c r="MS133" s="3">
        <f ca="1">IFERROR(__xludf.DUMMYFUNCTION("""COMPUTED_VALUE"""),-0.969376368310388)</f>
        <v>-0.96937636831038798</v>
      </c>
      <c r="MT133" s="3">
        <f ca="1">IFERROR(__xludf.DUMMYFUNCTION("""COMPUTED_VALUE"""),-0.951701706128081)</f>
        <v>-0.95170170612808103</v>
      </c>
      <c r="MU133" s="3">
        <f ca="1">IFERROR(__xludf.DUMMYFUNCTION("""COMPUTED_VALUE"""),-0.931629734519877)</f>
        <v>-0.93162973451987696</v>
      </c>
      <c r="MV133" s="3">
        <f ca="1">IFERROR(__xludf.DUMMYFUNCTION("""COMPUTED_VALUE"""),-0.936956010847202)</f>
        <v>-0.93695601084720204</v>
      </c>
      <c r="MW133" s="3">
        <f ca="1">IFERROR(__xludf.DUMMYFUNCTION("""COMPUTED_VALUE"""),-0.866393120499779)</f>
        <v>-0.86639312049977901</v>
      </c>
      <c r="MX133" s="3">
        <f ca="1">IFERROR(__xludf.DUMMYFUNCTION("""COMPUTED_VALUE"""),-0.909156329652194)</f>
        <v>-0.90915632965219395</v>
      </c>
      <c r="MY133" s="3">
        <f ca="1">IFERROR(__xludf.DUMMYFUNCTION("""COMPUTED_VALUE"""),-0.936073279775253)</f>
        <v>-0.93607327977525301</v>
      </c>
      <c r="MZ133" s="3">
        <f ca="1">IFERROR(__xludf.DUMMYFUNCTION("""COMPUTED_VALUE"""),-0.94432159950352)</f>
        <v>-0.94432159950352001</v>
      </c>
      <c r="NA133" s="3">
        <f ca="1">IFERROR(__xludf.DUMMYFUNCTION("""COMPUTED_VALUE"""),-0.940872514484873)</f>
        <v>-0.94087251448487297</v>
      </c>
      <c r="NB133" s="3">
        <f ca="1">IFERROR(__xludf.DUMMYFUNCTION("""COMPUTED_VALUE"""),-0.927917132106996)</f>
        <v>-0.927917132106996</v>
      </c>
      <c r="NC133" s="3">
        <f ca="1">IFERROR(__xludf.DUMMYFUNCTION("""COMPUTED_VALUE"""),-0.92848280301807)</f>
        <v>-0.92848280301806996</v>
      </c>
      <c r="ND133" s="3">
        <f ca="1">IFERROR(__xludf.DUMMYFUNCTION("""COMPUTED_VALUE"""),-0.809884443606633)</f>
        <v>-0.80988444360663303</v>
      </c>
      <c r="NE133" s="3">
        <f ca="1">IFERROR(__xludf.DUMMYFUNCTION("""COMPUTED_VALUE"""),-0.91213230151624)</f>
        <v>-0.91213230151624003</v>
      </c>
      <c r="NF133" s="3">
        <f ca="1">IFERROR(__xludf.DUMMYFUNCTION("""COMPUTED_VALUE"""),-0.916339766370747)</f>
        <v>-0.91633976637074699</v>
      </c>
      <c r="NG133" s="3">
        <f ca="1">IFERROR(__xludf.DUMMYFUNCTION("""COMPUTED_VALUE"""),-0.886262899436253)</f>
        <v>-0.88626289943625303</v>
      </c>
      <c r="NH133" s="3">
        <f ca="1">IFERROR(__xludf.DUMMYFUNCTION("""COMPUTED_VALUE"""),-0.878047865822253)</f>
        <v>-0.87804786582225303</v>
      </c>
      <c r="NI133" s="3">
        <f ca="1">IFERROR(__xludf.DUMMYFUNCTION("""COMPUTED_VALUE"""),-0.899855935488861)</f>
        <v>-0.899855935488861</v>
      </c>
      <c r="NJ133" s="3">
        <f ca="1">IFERROR(__xludf.DUMMYFUNCTION("""COMPUTED_VALUE"""),-0.85818097132117)</f>
        <v>-0.85818097132116999</v>
      </c>
      <c r="NK133" s="3">
        <f ca="1">IFERROR(__xludf.DUMMYFUNCTION("""COMPUTED_VALUE"""),-0.780867323392972)</f>
        <v>-0.78086732339297205</v>
      </c>
      <c r="NL133" s="3">
        <f ca="1">IFERROR(__xludf.DUMMYFUNCTION("""COMPUTED_VALUE"""),-0.827185803934718)</f>
        <v>-0.82718580393471797</v>
      </c>
      <c r="NM133" s="3">
        <f ca="1">IFERROR(__xludf.DUMMYFUNCTION("""COMPUTED_VALUE"""),-0.845319344811381)</f>
        <v>-0.84531934481138105</v>
      </c>
      <c r="NN133" s="3">
        <f ca="1">IFERROR(__xludf.DUMMYFUNCTION("""COMPUTED_VALUE"""),-0.84719491459033)</f>
        <v>-0.84719491459033003</v>
      </c>
      <c r="NO133" s="3">
        <f ca="1">IFERROR(__xludf.DUMMYFUNCTION("""COMPUTED_VALUE"""),-0.855864507740913)</f>
        <v>-0.85586450774091305</v>
      </c>
      <c r="NP133" s="3">
        <f ca="1">IFERROR(__xludf.DUMMYFUNCTION("""COMPUTED_VALUE"""),-0.793746164618843)</f>
        <v>-0.79374616461884295</v>
      </c>
      <c r="NQ133" s="3">
        <f ca="1">IFERROR(__xludf.DUMMYFUNCTION("""COMPUTED_VALUE"""),-0.781434825074588)</f>
        <v>-0.78143482507458795</v>
      </c>
      <c r="NR133" s="3">
        <f ca="1">IFERROR(__xludf.DUMMYFUNCTION("""COMPUTED_VALUE"""),-0.747978286817951)</f>
        <v>-0.74797828681795098</v>
      </c>
      <c r="NS133" s="3">
        <f ca="1">IFERROR(__xludf.DUMMYFUNCTION("""COMPUTED_VALUE"""),-0.835128081164604)</f>
        <v>-0.83512808116460402</v>
      </c>
      <c r="NT133" s="3">
        <f ca="1">IFERROR(__xludf.DUMMYFUNCTION("""COMPUTED_VALUE"""),-0.861019286791965)</f>
        <v>-0.86101928679196504</v>
      </c>
      <c r="NU133" s="3">
        <f ca="1">IFERROR(__xludf.DUMMYFUNCTION("""COMPUTED_VALUE"""),-0.866884732066058)</f>
        <v>-0.86688473206605798</v>
      </c>
      <c r="NV133" s="3">
        <f ca="1">IFERROR(__xludf.DUMMYFUNCTION("""COMPUTED_VALUE"""),-0.899137436004831)</f>
        <v>-0.89913743600483098</v>
      </c>
      <c r="NW133" s="3">
        <f ca="1">IFERROR(__xludf.DUMMYFUNCTION("""COMPUTED_VALUE"""),-0.845649327858238)</f>
        <v>-0.84564932785823799</v>
      </c>
      <c r="NX133" s="3">
        <f ca="1">IFERROR(__xludf.DUMMYFUNCTION("""COMPUTED_VALUE"""),-0.843201382590708)</f>
        <v>-0.84320138259070798</v>
      </c>
      <c r="NY133" s="3">
        <f ca="1">IFERROR(__xludf.DUMMYFUNCTION("""COMPUTED_VALUE"""),-0.844760746050815)</f>
        <v>-0.84476074605081497</v>
      </c>
      <c r="NZ133" s="3">
        <f ca="1">IFERROR(__xludf.DUMMYFUNCTION("""COMPUTED_VALUE"""),-0.83565383977317)</f>
        <v>-0.83565383977316998</v>
      </c>
      <c r="OA133" s="3">
        <f ca="1">IFERROR(__xludf.DUMMYFUNCTION("""COMPUTED_VALUE"""),-0.806722905298832)</f>
        <v>-0.80672290529883195</v>
      </c>
      <c r="OB133" s="3">
        <f ca="1">IFERROR(__xludf.DUMMYFUNCTION("""COMPUTED_VALUE"""),-0.855634612552133)</f>
        <v>-0.85563461255213302</v>
      </c>
      <c r="OC133" s="3">
        <f ca="1">IFERROR(__xludf.DUMMYFUNCTION("""COMPUTED_VALUE"""),-0.856470310398439)</f>
        <v>-0.85647031039843902</v>
      </c>
      <c r="OD133" s="3">
        <f ca="1">IFERROR(__xludf.DUMMYFUNCTION("""COMPUTED_VALUE"""),-0.805557728516879)</f>
        <v>-0.80555772851687901</v>
      </c>
      <c r="OE133" s="3">
        <f ca="1">IFERROR(__xludf.DUMMYFUNCTION("""COMPUTED_VALUE"""),-0.656977432058686)</f>
        <v>-0.65697743205868597</v>
      </c>
      <c r="OF133" s="3">
        <f ca="1">IFERROR(__xludf.DUMMYFUNCTION("""COMPUTED_VALUE"""),-0.564792355346076)</f>
        <v>-0.56479235534607597</v>
      </c>
      <c r="OG133" s="3">
        <f ca="1">IFERROR(__xludf.DUMMYFUNCTION("""COMPUTED_VALUE"""),-0.458886277593101)</f>
        <v>-0.45888627759310102</v>
      </c>
      <c r="OH133" s="3">
        <f ca="1">IFERROR(__xludf.DUMMYFUNCTION("""COMPUTED_VALUE"""),-0.419289867373983)</f>
        <v>-0.41928986737398299</v>
      </c>
      <c r="OI133" s="3">
        <f ca="1">IFERROR(__xludf.DUMMYFUNCTION("""COMPUTED_VALUE"""),-0.467128274805633)</f>
        <v>-0.46712827480563301</v>
      </c>
      <c r="OJ133" s="3">
        <f ca="1">IFERROR(__xludf.DUMMYFUNCTION("""COMPUTED_VALUE"""),-0.444516148655296)</f>
        <v>-0.44451614865529598</v>
      </c>
      <c r="OK133" s="3">
        <f ca="1">IFERROR(__xludf.DUMMYFUNCTION("""COMPUTED_VALUE"""),-0.404741006056152)</f>
        <v>-0.40474100605615199</v>
      </c>
      <c r="OL133" s="3">
        <f ca="1">IFERROR(__xludf.DUMMYFUNCTION("""COMPUTED_VALUE"""),-0.132713445079706)</f>
        <v>-0.13271344507970601</v>
      </c>
      <c r="OM133" s="3">
        <f ca="1">IFERROR(__xludf.DUMMYFUNCTION("""COMPUTED_VALUE"""),-0.173287072498955)</f>
        <v>-0.173287072498955</v>
      </c>
      <c r="ON133" s="3">
        <f ca="1">IFERROR(__xludf.DUMMYFUNCTION("""COMPUTED_VALUE"""),-0.216925568211028)</f>
        <v>-0.21692556821102801</v>
      </c>
      <c r="OO133" s="3">
        <f ca="1">IFERROR(__xludf.DUMMYFUNCTION("""COMPUTED_VALUE"""),-0.0605197830819778)</f>
        <v>-6.05197830819778E-2</v>
      </c>
      <c r="OP133" s="3">
        <f ca="1">IFERROR(__xludf.DUMMYFUNCTION("""COMPUTED_VALUE"""),-0.0767357019987483)</f>
        <v>-7.6735701998748296E-2</v>
      </c>
      <c r="OQ133" s="3">
        <f ca="1">IFERROR(__xludf.DUMMYFUNCTION("""COMPUTED_VALUE"""),0.02597964247191)</f>
        <v>2.5979642471910001E-2</v>
      </c>
      <c r="OR133" s="3">
        <f ca="1">IFERROR(__xludf.DUMMYFUNCTION("""COMPUTED_VALUE"""),0.0938321130291455)</f>
        <v>9.38321130291455E-2</v>
      </c>
      <c r="OS133" s="3">
        <f ca="1">IFERROR(__xludf.DUMMYFUNCTION("""COMPUTED_VALUE"""),0.0956125186000824)</f>
        <v>9.5612518600082394E-2</v>
      </c>
      <c r="OT133" s="3">
        <f ca="1">IFERROR(__xludf.DUMMYFUNCTION("""COMPUTED_VALUE"""),-0.0655851710275985)</f>
        <v>-6.5585171027598504E-2</v>
      </c>
      <c r="OU133" s="3">
        <f ca="1">IFERROR(__xludf.DUMMYFUNCTION("""COMPUTED_VALUE"""),-0.0826491366889161)</f>
        <v>-8.2649136688916103E-2</v>
      </c>
      <c r="OV133" s="3">
        <f ca="1">IFERROR(__xludf.DUMMYFUNCTION("""COMPUTED_VALUE"""),0.0543724664718943)</f>
        <v>5.4372466471894303E-2</v>
      </c>
      <c r="OW133" s="3">
        <f ca="1">IFERROR(__xludf.DUMMYFUNCTION("""COMPUTED_VALUE"""),0.0549101083538818)</f>
        <v>5.4910108353881798E-2</v>
      </c>
      <c r="OX133" s="3">
        <f ca="1">IFERROR(__xludf.DUMMYFUNCTION("""COMPUTED_VALUE"""),0.133662563223791)</f>
        <v>0.133662563223791</v>
      </c>
      <c r="OY133" s="3">
        <f ca="1">IFERROR(__xludf.DUMMYFUNCTION("""COMPUTED_VALUE"""),0.20448413808326)</f>
        <v>0.20448413808325999</v>
      </c>
      <c r="OZ133" s="3">
        <f ca="1">IFERROR(__xludf.DUMMYFUNCTION("""COMPUTED_VALUE"""),0.0688326979649198)</f>
        <v>6.8832697964919795E-2</v>
      </c>
      <c r="PA133" s="3">
        <f ca="1">IFERROR(__xludf.DUMMYFUNCTION("""COMPUTED_VALUE"""),-0.094273687405927)</f>
        <v>-9.4273687405926995E-2</v>
      </c>
      <c r="PB133" s="3">
        <f ca="1">IFERROR(__xludf.DUMMYFUNCTION("""COMPUTED_VALUE"""),-0.0121335496377421)</f>
        <v>-1.2133549637742101E-2</v>
      </c>
      <c r="PC133" s="3">
        <f ca="1">IFERROR(__xludf.DUMMYFUNCTION("""COMPUTED_VALUE"""),-0.0536109055479046)</f>
        <v>-5.3610905547904597E-2</v>
      </c>
      <c r="PD133" s="3">
        <f ca="1">IFERROR(__xludf.DUMMYFUNCTION("""COMPUTED_VALUE"""),-0.0291930319529666)</f>
        <v>-2.9193031952966599E-2</v>
      </c>
      <c r="PE133" s="3">
        <f ca="1">IFERROR(__xludf.DUMMYFUNCTION("""COMPUTED_VALUE"""),-0.00258277069525791)</f>
        <v>-2.5827706952579101E-3</v>
      </c>
      <c r="PF133" s="3">
        <f ca="1">IFERROR(__xludf.DUMMYFUNCTION("""COMPUTED_VALUE"""),-0.0505275656842495)</f>
        <v>-5.0527565684249501E-2</v>
      </c>
      <c r="PG133" s="3">
        <f ca="1">IFERROR(__xludf.DUMMYFUNCTION("""COMPUTED_VALUE"""),-0.243751169649765)</f>
        <v>-0.24375116964976501</v>
      </c>
      <c r="PH133" s="3">
        <f ca="1">IFERROR(__xludf.DUMMYFUNCTION("""COMPUTED_VALUE"""),-0.142928858906868)</f>
        <v>-0.14292885890686799</v>
      </c>
      <c r="PI133" s="3">
        <f ca="1">IFERROR(__xludf.DUMMYFUNCTION("""COMPUTED_VALUE"""),-0.0226720259495271)</f>
        <v>-2.2672025949527101E-2</v>
      </c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</row>
    <row r="134" spans="1:477" ht="13">
      <c r="A134" s="1" t="str">
        <f ca="1">IFERROR(__xludf.DUMMYFUNCTION("""COMPUTED_VALUE"""),"Saskatoon Transit")</f>
        <v>Saskatoon Transit</v>
      </c>
      <c r="B134" s="1" t="str">
        <f ca="1">IFERROR(__xludf.DUMMYFUNCTION("""COMPUTED_VALUE"""),"Saskatoon")</f>
        <v>Saskatoon</v>
      </c>
      <c r="C134" s="1" t="str">
        <f ca="1">IFERROR(__xludf.DUMMYFUNCTION("""COMPUTED_VALUE"""),"Canada")</f>
        <v>Canada</v>
      </c>
      <c r="D134" s="1" t="str">
        <f ca="1">IFERROR(__xludf.DUMMYFUNCTION("""COMPUTED_VALUE"""),"Saskatchewan")</f>
        <v>Saskatchewan</v>
      </c>
      <c r="E134" s="3">
        <f ca="1">IFERROR(__xludf.DUMMYFUNCTION("""COMPUTED_VALUE"""),-0.614518893390247)</f>
        <v>-0.61451889339024701</v>
      </c>
      <c r="F134" s="3">
        <f ca="1">IFERROR(__xludf.DUMMYFUNCTION("""COMPUTED_VALUE"""),-0.720782369055429)</f>
        <v>-0.72078236905542903</v>
      </c>
      <c r="G134" s="3">
        <f ca="1">IFERROR(__xludf.DUMMYFUNCTION("""COMPUTED_VALUE"""),-0.760199805646554)</f>
        <v>-0.76019980564655398</v>
      </c>
      <c r="H134" s="3">
        <f ca="1">IFERROR(__xludf.DUMMYFUNCTION("""COMPUTED_VALUE"""),-0.745314875574026)</f>
        <v>-0.74531487557402598</v>
      </c>
      <c r="I134" s="3">
        <f ca="1">IFERROR(__xludf.DUMMYFUNCTION("""COMPUTED_VALUE"""),-0.75741245585558)</f>
        <v>-0.75741245585558004</v>
      </c>
      <c r="J134" s="3">
        <f ca="1">IFERROR(__xludf.DUMMYFUNCTION("""COMPUTED_VALUE"""),-0.780187794304719)</f>
        <v>-0.78018779430471896</v>
      </c>
      <c r="K134" s="3">
        <f ca="1">IFERROR(__xludf.DUMMYFUNCTION("""COMPUTED_VALUE"""),-0.681837826591053)</f>
        <v>-0.68183782659105296</v>
      </c>
      <c r="L134" s="3">
        <f ca="1">IFERROR(__xludf.DUMMYFUNCTION("""COMPUTED_VALUE"""),-0.672948856656448)</f>
        <v>-0.67294885665644799</v>
      </c>
      <c r="M134" s="3">
        <f ca="1">IFERROR(__xludf.DUMMYFUNCTION("""COMPUTED_VALUE"""),-0.780244509998674)</f>
        <v>-0.78024450999867401</v>
      </c>
      <c r="N134" s="3">
        <f ca="1">IFERROR(__xludf.DUMMYFUNCTION("""COMPUTED_VALUE"""),-0.705589064661154)</f>
        <v>-0.70558906466115401</v>
      </c>
      <c r="O134" s="3">
        <f ca="1">IFERROR(__xludf.DUMMYFUNCTION("""COMPUTED_VALUE"""),-0.701743395296865)</f>
        <v>-0.70174339529686502</v>
      </c>
      <c r="P134" s="3">
        <f ca="1">IFERROR(__xludf.DUMMYFUNCTION("""COMPUTED_VALUE"""),-0.707612941481832)</f>
        <v>-0.70761294148183196</v>
      </c>
      <c r="Q134" s="3">
        <f ca="1">IFERROR(__xludf.DUMMYFUNCTION("""COMPUTED_VALUE"""),-0.735574860842565)</f>
        <v>-0.73557486084256496</v>
      </c>
      <c r="R134" s="3">
        <f ca="1">IFERROR(__xludf.DUMMYFUNCTION("""COMPUTED_VALUE"""),-0.620250270826018)</f>
        <v>-0.62025027082601802</v>
      </c>
      <c r="S134" s="3">
        <f ca="1">IFERROR(__xludf.DUMMYFUNCTION("""COMPUTED_VALUE"""),-0.636833065989876)</f>
        <v>-0.63683306598987599</v>
      </c>
      <c r="T134" s="3">
        <f ca="1">IFERROR(__xludf.DUMMYFUNCTION("""COMPUTED_VALUE"""),-0.703847373787603)</f>
        <v>-0.70384737378760298</v>
      </c>
      <c r="U134" s="3">
        <f ca="1">IFERROR(__xludf.DUMMYFUNCTION("""COMPUTED_VALUE"""),-0.740765001033977)</f>
        <v>-0.74076500103397702</v>
      </c>
      <c r="V134" s="3">
        <f ca="1">IFERROR(__xludf.DUMMYFUNCTION("""COMPUTED_VALUE"""),-0.737769396603526)</f>
        <v>-0.73776939660352603</v>
      </c>
      <c r="W134" s="3">
        <f ca="1">IFERROR(__xludf.DUMMYFUNCTION("""COMPUTED_VALUE"""),-0.751092754301388)</f>
        <v>-0.751092754301388</v>
      </c>
      <c r="X134" s="3">
        <f ca="1">IFERROR(__xludf.DUMMYFUNCTION("""COMPUTED_VALUE"""),-0.748168195584368)</f>
        <v>-0.74816819558436798</v>
      </c>
      <c r="Y134" s="3">
        <f ca="1">IFERROR(__xludf.DUMMYFUNCTION("""COMPUTED_VALUE"""),-0.63131756613198)</f>
        <v>-0.63131756613197998</v>
      </c>
      <c r="Z134" s="3">
        <f ca="1">IFERROR(__xludf.DUMMYFUNCTION("""COMPUTED_VALUE"""),-0.597276198503496)</f>
        <v>-0.597276198503496</v>
      </c>
      <c r="AA134" s="3">
        <f ca="1">IFERROR(__xludf.DUMMYFUNCTION("""COMPUTED_VALUE"""),-0.718035164422377)</f>
        <v>-0.71803516442237703</v>
      </c>
      <c r="AB134" s="3">
        <f ca="1">IFERROR(__xludf.DUMMYFUNCTION("""COMPUTED_VALUE"""),-0.743427935780337)</f>
        <v>-0.74342793578033695</v>
      </c>
      <c r="AC134" s="3">
        <f ca="1">IFERROR(__xludf.DUMMYFUNCTION("""COMPUTED_VALUE"""),-0.734793269292306)</f>
        <v>-0.73479326929230604</v>
      </c>
      <c r="AD134" s="3">
        <f ca="1">IFERROR(__xludf.DUMMYFUNCTION("""COMPUTED_VALUE"""),-0.745760241708719)</f>
        <v>-0.74576024170871902</v>
      </c>
      <c r="AE134" s="3">
        <f ca="1">IFERROR(__xludf.DUMMYFUNCTION("""COMPUTED_VALUE"""),-0.740859711031204)</f>
        <v>-0.74085971103120396</v>
      </c>
      <c r="AF134" s="3">
        <f ca="1">IFERROR(__xludf.DUMMYFUNCTION("""COMPUTED_VALUE"""),-0.653347675775613)</f>
        <v>-0.65334767577561303</v>
      </c>
      <c r="AG134" s="3">
        <f ca="1">IFERROR(__xludf.DUMMYFUNCTION("""COMPUTED_VALUE"""),-0.607848783897338)</f>
        <v>-0.60784878389733799</v>
      </c>
      <c r="AH134" s="3">
        <f ca="1">IFERROR(__xludf.DUMMYFUNCTION("""COMPUTED_VALUE"""),-0.732191434344246)</f>
        <v>-0.73219143434424605</v>
      </c>
      <c r="AI134" s="3">
        <f ca="1">IFERROR(__xludf.DUMMYFUNCTION("""COMPUTED_VALUE"""),-0.772838347638926)</f>
        <v>-0.772838347638926</v>
      </c>
      <c r="AJ134" s="3">
        <f ca="1">IFERROR(__xludf.DUMMYFUNCTION("""COMPUTED_VALUE"""),-0.741918345857691)</f>
        <v>-0.74191834585769101</v>
      </c>
      <c r="AK134" s="3">
        <f ca="1">IFERROR(__xludf.DUMMYFUNCTION("""COMPUTED_VALUE"""),-0.769828545334706)</f>
        <v>-0.76982854533470602</v>
      </c>
      <c r="AL134" s="3">
        <f ca="1">IFERROR(__xludf.DUMMYFUNCTION("""COMPUTED_VALUE"""),-0.765022223664221)</f>
        <v>-0.76502222366422101</v>
      </c>
      <c r="AM134" s="3">
        <f ca="1">IFERROR(__xludf.DUMMYFUNCTION("""COMPUTED_VALUE"""),-0.622350145642609)</f>
        <v>-0.62235014564260904</v>
      </c>
      <c r="AN134" s="3">
        <f ca="1">IFERROR(__xludf.DUMMYFUNCTION("""COMPUTED_VALUE"""),-0.639093810665854)</f>
        <v>-0.63909381066585402</v>
      </c>
      <c r="AO134" s="3">
        <f ca="1">IFERROR(__xludf.DUMMYFUNCTION("""COMPUTED_VALUE"""),-0.740372963605035)</f>
        <v>-0.74037296360503502</v>
      </c>
      <c r="AP134" s="3">
        <f ca="1">IFERROR(__xludf.DUMMYFUNCTION("""COMPUTED_VALUE"""),-0.767002552285903)</f>
        <v>-0.76700255228590297</v>
      </c>
      <c r="AQ134" s="3">
        <f ca="1">IFERROR(__xludf.DUMMYFUNCTION("""COMPUTED_VALUE"""),-0.788288669933293)</f>
        <v>-0.78828866993329305</v>
      </c>
      <c r="AR134" s="3">
        <f ca="1">IFERROR(__xludf.DUMMYFUNCTION("""COMPUTED_VALUE"""),-0.770137244988338)</f>
        <v>-0.77013724498833802</v>
      </c>
      <c r="AS134" s="3">
        <f ca="1">IFERROR(__xludf.DUMMYFUNCTION("""COMPUTED_VALUE"""),-0.759769883486535)</f>
        <v>-0.75976988348653496</v>
      </c>
      <c r="AT134" s="3">
        <f ca="1">IFERROR(__xludf.DUMMYFUNCTION("""COMPUTED_VALUE"""),-0.64064379674306)</f>
        <v>-0.64064379674306005</v>
      </c>
      <c r="AU134" s="3">
        <f ca="1">IFERROR(__xludf.DUMMYFUNCTION("""COMPUTED_VALUE"""),-0.665062264672137)</f>
        <v>-0.66506226467213703</v>
      </c>
      <c r="AV134" s="3">
        <f ca="1">IFERROR(__xludf.DUMMYFUNCTION("""COMPUTED_VALUE"""),-0.706196478015403)</f>
        <v>-0.70619647801540297</v>
      </c>
      <c r="AW134" s="3">
        <f ca="1">IFERROR(__xludf.DUMMYFUNCTION("""COMPUTED_VALUE"""),-0.726854007576524)</f>
        <v>-0.72685400757652396</v>
      </c>
      <c r="AX134" s="3">
        <f ca="1">IFERROR(__xludf.DUMMYFUNCTION("""COMPUTED_VALUE"""),-0.715911606817096)</f>
        <v>-0.71591160681709598</v>
      </c>
      <c r="AY134" s="3">
        <f ca="1">IFERROR(__xludf.DUMMYFUNCTION("""COMPUTED_VALUE"""),-0.743532428012575)</f>
        <v>-0.74353242801257502</v>
      </c>
      <c r="AZ134" s="3">
        <f ca="1">IFERROR(__xludf.DUMMYFUNCTION("""COMPUTED_VALUE"""),-0.708839781493994)</f>
        <v>-0.70883978149399396</v>
      </c>
      <c r="BA134" s="3">
        <f ca="1">IFERROR(__xludf.DUMMYFUNCTION("""COMPUTED_VALUE"""),-0.669172048705772)</f>
        <v>-0.66917204870577196</v>
      </c>
      <c r="BB134" s="3">
        <f ca="1">IFERROR(__xludf.DUMMYFUNCTION("""COMPUTED_VALUE"""),-0.608576539933976)</f>
        <v>-0.60857653993397598</v>
      </c>
      <c r="BC134" s="3">
        <f ca="1">IFERROR(__xludf.DUMMYFUNCTION("""COMPUTED_VALUE"""),-0.793349584945916)</f>
        <v>-0.79334958494591601</v>
      </c>
      <c r="BD134" s="3">
        <f ca="1">IFERROR(__xludf.DUMMYFUNCTION("""COMPUTED_VALUE"""),-0.825589000285217)</f>
        <v>-0.82558900028521698</v>
      </c>
      <c r="BE134" s="3">
        <f ca="1">IFERROR(__xludf.DUMMYFUNCTION("""COMPUTED_VALUE"""),-0.812527302193977)</f>
        <v>-0.81252730219397695</v>
      </c>
      <c r="BF134" s="3">
        <f ca="1">IFERROR(__xludf.DUMMYFUNCTION("""COMPUTED_VALUE"""),-0.812610145932101)</f>
        <v>-0.81261014593210101</v>
      </c>
      <c r="BG134" s="3">
        <f ca="1">IFERROR(__xludf.DUMMYFUNCTION("""COMPUTED_VALUE"""),-0.845305176426572)</f>
        <v>-0.84530517642657199</v>
      </c>
      <c r="BH134" s="3">
        <f ca="1">IFERROR(__xludf.DUMMYFUNCTION("""COMPUTED_VALUE"""),-0.614717710550362)</f>
        <v>-0.61471771055036195</v>
      </c>
      <c r="BI134" s="3">
        <f ca="1">IFERROR(__xludf.DUMMYFUNCTION("""COMPUTED_VALUE"""),-0.667715226304904)</f>
        <v>-0.66771522630490399</v>
      </c>
      <c r="BJ134" s="3">
        <f ca="1">IFERROR(__xludf.DUMMYFUNCTION("""COMPUTED_VALUE"""),-0.749578540667955)</f>
        <v>-0.74957854066795504</v>
      </c>
      <c r="BK134" s="3">
        <f ca="1">IFERROR(__xludf.DUMMYFUNCTION("""COMPUTED_VALUE"""),-0.825246727841188)</f>
        <v>-0.82524672784118802</v>
      </c>
      <c r="BL134" s="3">
        <f ca="1">IFERROR(__xludf.DUMMYFUNCTION("""COMPUTED_VALUE"""),-0.781348005081766)</f>
        <v>-0.78134800508176605</v>
      </c>
      <c r="BM134" s="3">
        <f ca="1">IFERROR(__xludf.DUMMYFUNCTION("""COMPUTED_VALUE"""),-0.810604907519337)</f>
        <v>-0.810604907519337</v>
      </c>
      <c r="BN134" s="3">
        <f ca="1">IFERROR(__xludf.DUMMYFUNCTION("""COMPUTED_VALUE"""),-0.805353417302616)</f>
        <v>-0.805353417302616</v>
      </c>
      <c r="BO134" s="3">
        <f ca="1">IFERROR(__xludf.DUMMYFUNCTION("""COMPUTED_VALUE"""),-0.728996667269399)</f>
        <v>-0.72899666726939905</v>
      </c>
      <c r="BP134" s="3">
        <f ca="1">IFERROR(__xludf.DUMMYFUNCTION("""COMPUTED_VALUE"""),-0.715954876037015)</f>
        <v>-0.71595487603701502</v>
      </c>
      <c r="BQ134" s="3">
        <f ca="1">IFERROR(__xludf.DUMMYFUNCTION("""COMPUTED_VALUE"""),-0.802403336039468)</f>
        <v>-0.80240333603946801</v>
      </c>
      <c r="BR134" s="3">
        <f ca="1">IFERROR(__xludf.DUMMYFUNCTION("""COMPUTED_VALUE"""),-0.81108767245158)</f>
        <v>-0.81108767245157998</v>
      </c>
      <c r="BS134" s="3">
        <f ca="1">IFERROR(__xludf.DUMMYFUNCTION("""COMPUTED_VALUE"""),-0.806770489355404)</f>
        <v>-0.80677048935540396</v>
      </c>
      <c r="BT134" s="3">
        <f ca="1">IFERROR(__xludf.DUMMYFUNCTION("""COMPUTED_VALUE"""),-0.810250633430728)</f>
        <v>-0.81025063343072801</v>
      </c>
      <c r="BU134" s="3">
        <f ca="1">IFERROR(__xludf.DUMMYFUNCTION("""COMPUTED_VALUE"""),-0.833091883183221)</f>
        <v>-0.83309188318322103</v>
      </c>
      <c r="BV134" s="3">
        <f ca="1">IFERROR(__xludf.DUMMYFUNCTION("""COMPUTED_VALUE"""),-0.657151337679732)</f>
        <v>-0.65715133767973199</v>
      </c>
      <c r="BW134" s="3">
        <f ca="1">IFERROR(__xludf.DUMMYFUNCTION("""COMPUTED_VALUE"""),-0.662730768953417)</f>
        <v>-0.66273076895341698</v>
      </c>
      <c r="BX134" s="3">
        <f ca="1">IFERROR(__xludf.DUMMYFUNCTION("""COMPUTED_VALUE"""),-0.801466678545621)</f>
        <v>-0.80146667854562104</v>
      </c>
      <c r="BY134" s="3">
        <f ca="1">IFERROR(__xludf.DUMMYFUNCTION("""COMPUTED_VALUE"""),-0.819207536322263)</f>
        <v>-0.81920753632226295</v>
      </c>
      <c r="BZ134" s="3">
        <f ca="1">IFERROR(__xludf.DUMMYFUNCTION("""COMPUTED_VALUE"""),-0.829219293321245)</f>
        <v>-0.829219293321245</v>
      </c>
      <c r="CA134" s="3">
        <f ca="1">IFERROR(__xludf.DUMMYFUNCTION("""COMPUTED_VALUE"""),-0.850597025872083)</f>
        <v>-0.85059702587208297</v>
      </c>
      <c r="CB134" s="3">
        <f ca="1">IFERROR(__xludf.DUMMYFUNCTION("""COMPUTED_VALUE"""),-0.848572723558071)</f>
        <v>-0.84857272355807101</v>
      </c>
      <c r="CC134" s="3">
        <f ca="1">IFERROR(__xludf.DUMMYFUNCTION("""COMPUTED_VALUE"""),-0.737003400322417)</f>
        <v>-0.73700340032241696</v>
      </c>
      <c r="CD134" s="3">
        <f ca="1">IFERROR(__xludf.DUMMYFUNCTION("""COMPUTED_VALUE"""),-0.672246563528985)</f>
        <v>-0.67224656352898504</v>
      </c>
      <c r="CE134" s="3">
        <f ca="1">IFERROR(__xludf.DUMMYFUNCTION("""COMPUTED_VALUE"""),-0.825250896262099)</f>
        <v>-0.82525089626209902</v>
      </c>
      <c r="CF134" s="3">
        <f ca="1">IFERROR(__xludf.DUMMYFUNCTION("""COMPUTED_VALUE"""),-0.825281784978325)</f>
        <v>-0.82528178497832505</v>
      </c>
      <c r="CG134" s="3">
        <f ca="1">IFERROR(__xludf.DUMMYFUNCTION("""COMPUTED_VALUE"""),-0.822622229374804)</f>
        <v>-0.822622229374804</v>
      </c>
      <c r="CH134" s="3">
        <f ca="1">IFERROR(__xludf.DUMMYFUNCTION("""COMPUTED_VALUE"""),-0.832205967867902)</f>
        <v>-0.83220596786790202</v>
      </c>
      <c r="CI134" s="3">
        <f ca="1">IFERROR(__xludf.DUMMYFUNCTION("""COMPUTED_VALUE"""),-0.829664924458684)</f>
        <v>-0.82966492445868401</v>
      </c>
      <c r="CJ134" s="3">
        <f ca="1">IFERROR(__xludf.DUMMYFUNCTION("""COMPUTED_VALUE"""),-0.626744746677239)</f>
        <v>-0.62674474667723901</v>
      </c>
      <c r="CK134" s="3">
        <f ca="1">IFERROR(__xludf.DUMMYFUNCTION("""COMPUTED_VALUE"""),-0.641396871270298)</f>
        <v>-0.64139687127029799</v>
      </c>
      <c r="CL134" s="3">
        <f ca="1">IFERROR(__xludf.DUMMYFUNCTION("""COMPUTED_VALUE"""),-0.794441580706491)</f>
        <v>-0.79444158070649096</v>
      </c>
      <c r="CM134" s="3">
        <f ca="1">IFERROR(__xludf.DUMMYFUNCTION("""COMPUTED_VALUE"""),-0.825628097528299)</f>
        <v>-0.82562809752829902</v>
      </c>
      <c r="CN134" s="3">
        <f ca="1">IFERROR(__xludf.DUMMYFUNCTION("""COMPUTED_VALUE"""),-0.827424898473173)</f>
        <v>-0.82742489847317302</v>
      </c>
      <c r="CO134" s="3">
        <f ca="1">IFERROR(__xludf.DUMMYFUNCTION("""COMPUTED_VALUE"""),-0.823780109209099)</f>
        <v>-0.82378010920909905</v>
      </c>
      <c r="CP134" s="3">
        <f ca="1">IFERROR(__xludf.DUMMYFUNCTION("""COMPUTED_VALUE"""),-0.826947118132883)</f>
        <v>-0.82694711813288302</v>
      </c>
      <c r="CQ134" s="3">
        <f ca="1">IFERROR(__xludf.DUMMYFUNCTION("""COMPUTED_VALUE"""),-0.631501518118967)</f>
        <v>-0.63150151811896704</v>
      </c>
      <c r="CR134" s="3">
        <f ca="1">IFERROR(__xludf.DUMMYFUNCTION("""COMPUTED_VALUE"""),-0.613775572492518)</f>
        <v>-0.61377557249251802</v>
      </c>
      <c r="CS134" s="3">
        <f ca="1">IFERROR(__xludf.DUMMYFUNCTION("""COMPUTED_VALUE"""),-0.76078872810763)</f>
        <v>-0.76078872810762999</v>
      </c>
      <c r="CT134" s="3">
        <f ca="1">IFERROR(__xludf.DUMMYFUNCTION("""COMPUTED_VALUE"""),-0.777488507968484)</f>
        <v>-0.77748850796848401</v>
      </c>
      <c r="CU134" s="3">
        <f ca="1">IFERROR(__xludf.DUMMYFUNCTION("""COMPUTED_VALUE"""),-0.758892437268555)</f>
        <v>-0.75889243726855504</v>
      </c>
      <c r="CV134" s="3">
        <f ca="1">IFERROR(__xludf.DUMMYFUNCTION("""COMPUTED_VALUE"""),-0.762183478632485)</f>
        <v>-0.76218347863248503</v>
      </c>
      <c r="CW134" s="3">
        <f ca="1">IFERROR(__xludf.DUMMYFUNCTION("""COMPUTED_VALUE"""),-0.789825187820796)</f>
        <v>-0.78982518782079603</v>
      </c>
      <c r="CX134" s="3">
        <f ca="1">IFERROR(__xludf.DUMMYFUNCTION("""COMPUTED_VALUE"""),-0.663906208817806)</f>
        <v>-0.66390620881780604</v>
      </c>
      <c r="CY134" s="3">
        <f ca="1">IFERROR(__xludf.DUMMYFUNCTION("""COMPUTED_VALUE"""),-0.623503585811167)</f>
        <v>-0.62350358581116705</v>
      </c>
      <c r="CZ134" s="3">
        <f ca="1">IFERROR(__xludf.DUMMYFUNCTION("""COMPUTED_VALUE"""),-0.851164532613758)</f>
        <v>-0.85116453261375802</v>
      </c>
      <c r="DA134" s="3">
        <f ca="1">IFERROR(__xludf.DUMMYFUNCTION("""COMPUTED_VALUE"""),-0.790885187995882)</f>
        <v>-0.79088518799588203</v>
      </c>
      <c r="DB134" s="3">
        <f ca="1">IFERROR(__xludf.DUMMYFUNCTION("""COMPUTED_VALUE"""),-0.753339087096488)</f>
        <v>-0.753339087096488</v>
      </c>
      <c r="DC134" s="3">
        <f ca="1">IFERROR(__xludf.DUMMYFUNCTION("""COMPUTED_VALUE"""),-0.791942291403959)</f>
        <v>-0.791942291403959</v>
      </c>
      <c r="DD134" s="3">
        <f ca="1">IFERROR(__xludf.DUMMYFUNCTION("""COMPUTED_VALUE"""),-0.795775491862939)</f>
        <v>-0.79577549186293906</v>
      </c>
      <c r="DE134" s="3">
        <f ca="1">IFERROR(__xludf.DUMMYFUNCTION("""COMPUTED_VALUE"""),-0.631645135595656)</f>
        <v>-0.63164513559565605</v>
      </c>
      <c r="DF134" s="3">
        <f ca="1">IFERROR(__xludf.DUMMYFUNCTION("""COMPUTED_VALUE"""),-0.621855190212409)</f>
        <v>-0.62185519021240898</v>
      </c>
      <c r="DG134" s="3">
        <f ca="1">IFERROR(__xludf.DUMMYFUNCTION("""COMPUTED_VALUE"""),-0.883710177766682)</f>
        <v>-0.88371017776668204</v>
      </c>
      <c r="DH134" s="3">
        <f ca="1">IFERROR(__xludf.DUMMYFUNCTION("""COMPUTED_VALUE"""),-0.74813069289855)</f>
        <v>-0.74813069289855005</v>
      </c>
      <c r="DI134" s="3">
        <f ca="1">IFERROR(__xludf.DUMMYFUNCTION("""COMPUTED_VALUE"""),-0.606397682829747)</f>
        <v>-0.60639768282974704</v>
      </c>
      <c r="DJ134" s="3">
        <f ca="1">IFERROR(__xludf.DUMMYFUNCTION("""COMPUTED_VALUE"""),-0.730430425665457)</f>
        <v>-0.73043042566545702</v>
      </c>
      <c r="DK134" s="3">
        <f ca="1">IFERROR(__xludf.DUMMYFUNCTION("""COMPUTED_VALUE"""),-0.69959246169367)</f>
        <v>-0.69959246169366995</v>
      </c>
      <c r="DL134" s="3">
        <f ca="1">IFERROR(__xludf.DUMMYFUNCTION("""COMPUTED_VALUE"""),-0.655238732883473)</f>
        <v>-0.65523873288347301</v>
      </c>
      <c r="DM134" s="3">
        <f ca="1">IFERROR(__xludf.DUMMYFUNCTION("""COMPUTED_VALUE"""),-0.676400166137261)</f>
        <v>-0.67640016613726095</v>
      </c>
      <c r="DN134" s="3">
        <f ca="1">IFERROR(__xludf.DUMMYFUNCTION("""COMPUTED_VALUE"""),-0.715175372306811)</f>
        <v>-0.71517537230681105</v>
      </c>
      <c r="DO134" s="3">
        <f ca="1">IFERROR(__xludf.DUMMYFUNCTION("""COMPUTED_VALUE"""),-0.691186967875976)</f>
        <v>-0.691186967875976</v>
      </c>
      <c r="DP134" s="3">
        <f ca="1">IFERROR(__xludf.DUMMYFUNCTION("""COMPUTED_VALUE"""),-0.635265296636658)</f>
        <v>-0.63526529663665798</v>
      </c>
      <c r="DQ134" s="3">
        <f ca="1">IFERROR(__xludf.DUMMYFUNCTION("""COMPUTED_VALUE"""),-0.681918697138855)</f>
        <v>-0.681918697138855</v>
      </c>
      <c r="DR134" s="3">
        <f ca="1">IFERROR(__xludf.DUMMYFUNCTION("""COMPUTED_VALUE"""),-0.710267799455493)</f>
        <v>-0.71026779945549301</v>
      </c>
      <c r="DS134" s="3">
        <f ca="1">IFERROR(__xludf.DUMMYFUNCTION("""COMPUTED_VALUE"""),-0.687380043198292)</f>
        <v>-0.68738004319829205</v>
      </c>
      <c r="DT134" s="3">
        <f ca="1">IFERROR(__xludf.DUMMYFUNCTION("""COMPUTED_VALUE"""),-0.720455907970448)</f>
        <v>-0.72045590797044801</v>
      </c>
      <c r="DU134" s="3">
        <f ca="1">IFERROR(__xludf.DUMMYFUNCTION("""COMPUTED_VALUE"""),-0.72183657077157)</f>
        <v>-0.72183657077157004</v>
      </c>
      <c r="DV134" s="3">
        <f ca="1">IFERROR(__xludf.DUMMYFUNCTION("""COMPUTED_VALUE"""),-0.764571112219707)</f>
        <v>-0.76457111221970697</v>
      </c>
      <c r="DW134" s="3">
        <f ca="1">IFERROR(__xludf.DUMMYFUNCTION("""COMPUTED_VALUE"""),-0.768437762300992)</f>
        <v>-0.76843776230099203</v>
      </c>
      <c r="DX134" s="3">
        <f ca="1">IFERROR(__xludf.DUMMYFUNCTION("""COMPUTED_VALUE"""),-0.797150798705315)</f>
        <v>-0.79715079870531502</v>
      </c>
      <c r="DY134" s="3">
        <f ca="1">IFERROR(__xludf.DUMMYFUNCTION("""COMPUTED_VALUE"""),-0.799894060776544)</f>
        <v>-0.79989406077654401</v>
      </c>
      <c r="DZ134" s="3">
        <f ca="1">IFERROR(__xludf.DUMMYFUNCTION("""COMPUTED_VALUE"""),-0.671326517552107)</f>
        <v>-0.67132651755210704</v>
      </c>
      <c r="EA134" s="3">
        <f ca="1">IFERROR(__xludf.DUMMYFUNCTION("""COMPUTED_VALUE"""),-0.72938421446691)</f>
        <v>-0.72938421446691004</v>
      </c>
      <c r="EB134" s="3">
        <f ca="1">IFERROR(__xludf.DUMMYFUNCTION("""COMPUTED_VALUE"""),-0.781391316961334)</f>
        <v>-0.78139131696133401</v>
      </c>
      <c r="EC134" s="3">
        <f ca="1">IFERROR(__xludf.DUMMYFUNCTION("""COMPUTED_VALUE"""),-0.793186003159112)</f>
        <v>-0.79318600315911203</v>
      </c>
      <c r="ED134" s="3">
        <f ca="1">IFERROR(__xludf.DUMMYFUNCTION("""COMPUTED_VALUE"""),-0.796505049700659)</f>
        <v>-0.79650504970065905</v>
      </c>
      <c r="EE134" s="3">
        <f ca="1">IFERROR(__xludf.DUMMYFUNCTION("""COMPUTED_VALUE"""),-0.787881508307089)</f>
        <v>-0.78788150830708903</v>
      </c>
      <c r="EF134" s="3">
        <f ca="1">IFERROR(__xludf.DUMMYFUNCTION("""COMPUTED_VALUE"""),-0.776969312582073)</f>
        <v>-0.77696931258207302</v>
      </c>
      <c r="EG134" s="3">
        <f ca="1">IFERROR(__xludf.DUMMYFUNCTION("""COMPUTED_VALUE"""),-0.654980088758514)</f>
        <v>-0.65498008875851399</v>
      </c>
      <c r="EH134" s="3">
        <f ca="1">IFERROR(__xludf.DUMMYFUNCTION("""COMPUTED_VALUE"""),-0.696903697648769)</f>
        <v>-0.69690369764876903</v>
      </c>
      <c r="EI134" s="3">
        <f ca="1">IFERROR(__xludf.DUMMYFUNCTION("""COMPUTED_VALUE"""),-0.75755212281329)</f>
        <v>-0.75755212281328999</v>
      </c>
      <c r="EJ134" s="3">
        <f ca="1">IFERROR(__xludf.DUMMYFUNCTION("""COMPUTED_VALUE"""),-0.789192684971539)</f>
        <v>-0.78919268497153905</v>
      </c>
      <c r="EK134" s="3">
        <f ca="1">IFERROR(__xludf.DUMMYFUNCTION("""COMPUTED_VALUE"""),-0.780607768947129)</f>
        <v>-0.78060776894712902</v>
      </c>
      <c r="EL134" s="3">
        <f ca="1">IFERROR(__xludf.DUMMYFUNCTION("""COMPUTED_VALUE"""),-0.790266963932214)</f>
        <v>-0.79026696393221396</v>
      </c>
      <c r="EM134" s="3">
        <f ca="1">IFERROR(__xludf.DUMMYFUNCTION("""COMPUTED_VALUE"""),-0.792838485772176)</f>
        <v>-0.79283848577217597</v>
      </c>
      <c r="EN134" s="3">
        <f ca="1">IFERROR(__xludf.DUMMYFUNCTION("""COMPUTED_VALUE"""),-0.658686484753709)</f>
        <v>-0.65868648475370895</v>
      </c>
      <c r="EO134" s="3">
        <f ca="1">IFERROR(__xludf.DUMMYFUNCTION("""COMPUTED_VALUE"""),-0.644120000108468)</f>
        <v>-0.64412000010846804</v>
      </c>
      <c r="EP134" s="3">
        <f ca="1">IFERROR(__xludf.DUMMYFUNCTION("""COMPUTED_VALUE"""),-0.712480357126877)</f>
        <v>-0.71248035712687696</v>
      </c>
      <c r="EQ134" s="3">
        <f ca="1">IFERROR(__xludf.DUMMYFUNCTION("""COMPUTED_VALUE"""),-0.728456010710043)</f>
        <v>-0.72845601071004296</v>
      </c>
      <c r="ER134" s="3">
        <f ca="1">IFERROR(__xludf.DUMMYFUNCTION("""COMPUTED_VALUE"""),-0.706639805003875)</f>
        <v>-0.70663980500387502</v>
      </c>
      <c r="ES134" s="3">
        <f ca="1">IFERROR(__xludf.DUMMYFUNCTION("""COMPUTED_VALUE"""),-0.698130742737658)</f>
        <v>-0.69813074273765796</v>
      </c>
      <c r="ET134" s="3">
        <f ca="1">IFERROR(__xludf.DUMMYFUNCTION("""COMPUTED_VALUE"""),-0.639945846546638)</f>
        <v>-0.639945846546638</v>
      </c>
      <c r="EU134" s="3">
        <f ca="1">IFERROR(__xludf.DUMMYFUNCTION("""COMPUTED_VALUE"""),-0.557246692397752)</f>
        <v>-0.55724669239775204</v>
      </c>
      <c r="EV134" s="3">
        <f ca="1">IFERROR(__xludf.DUMMYFUNCTION("""COMPUTED_VALUE"""),-0.51881546822659)</f>
        <v>-0.51881546822658997</v>
      </c>
      <c r="EW134" s="3">
        <f ca="1">IFERROR(__xludf.DUMMYFUNCTION("""COMPUTED_VALUE"""),-0.627595597263469)</f>
        <v>-0.62759559726346903</v>
      </c>
      <c r="EX134" s="3">
        <f ca="1">IFERROR(__xludf.DUMMYFUNCTION("""COMPUTED_VALUE"""),-0.602235304487703)</f>
        <v>-0.60223530448770302</v>
      </c>
      <c r="EY134" s="3">
        <f ca="1">IFERROR(__xludf.DUMMYFUNCTION("""COMPUTED_VALUE"""),-0.722698669329827)</f>
        <v>-0.72269866932982696</v>
      </c>
      <c r="EZ134" s="3">
        <f ca="1">IFERROR(__xludf.DUMMYFUNCTION("""COMPUTED_VALUE"""),-0.598056536294535)</f>
        <v>-0.59805653629453503</v>
      </c>
      <c r="FA134" s="3">
        <f ca="1">IFERROR(__xludf.DUMMYFUNCTION("""COMPUTED_VALUE"""),-0.664634544426609)</f>
        <v>-0.66463454442660896</v>
      </c>
      <c r="FB134" s="3">
        <f ca="1">IFERROR(__xludf.DUMMYFUNCTION("""COMPUTED_VALUE"""),-0.456573400238531)</f>
        <v>-0.45657340023853099</v>
      </c>
      <c r="FC134" s="3">
        <f ca="1">IFERROR(__xludf.DUMMYFUNCTION("""COMPUTED_VALUE"""),-0.625600284419233)</f>
        <v>-0.62560028441923299</v>
      </c>
      <c r="FD134" s="3">
        <f ca="1">IFERROR(__xludf.DUMMYFUNCTION("""COMPUTED_VALUE"""),-0.69928309928364)</f>
        <v>-0.69928309928363996</v>
      </c>
      <c r="FE134" s="3">
        <f ca="1">IFERROR(__xludf.DUMMYFUNCTION("""COMPUTED_VALUE"""),-0.736916136901643)</f>
        <v>-0.73691613690164304</v>
      </c>
      <c r="FF134" s="3">
        <f ca="1">IFERROR(__xludf.DUMMYFUNCTION("""COMPUTED_VALUE"""),-0.746486209895963)</f>
        <v>-0.74648620989596304</v>
      </c>
      <c r="FG134" s="3">
        <f ca="1">IFERROR(__xludf.DUMMYFUNCTION("""COMPUTED_VALUE"""),-0.754065714616313)</f>
        <v>-0.754065714616313</v>
      </c>
      <c r="FH134" s="3">
        <f ca="1">IFERROR(__xludf.DUMMYFUNCTION("""COMPUTED_VALUE"""),-0.722796842104478)</f>
        <v>-0.72279684210447803</v>
      </c>
      <c r="FI134" s="3">
        <f ca="1">IFERROR(__xludf.DUMMYFUNCTION("""COMPUTED_VALUE"""),-0.579803661481552)</f>
        <v>-0.57980366148155205</v>
      </c>
      <c r="FJ134" s="3">
        <f ca="1">IFERROR(__xludf.DUMMYFUNCTION("""COMPUTED_VALUE"""),-0.586258263758699)</f>
        <v>-0.58625826375869905</v>
      </c>
      <c r="FK134" s="3">
        <f ca="1">IFERROR(__xludf.DUMMYFUNCTION("""COMPUTED_VALUE"""),-0.718901234317266)</f>
        <v>-0.71890123431726605</v>
      </c>
      <c r="FL134" s="3">
        <f ca="1">IFERROR(__xludf.DUMMYFUNCTION("""COMPUTED_VALUE"""),-0.789480106225313)</f>
        <v>-0.78948010622531295</v>
      </c>
      <c r="FM134" s="3">
        <f ca="1">IFERROR(__xludf.DUMMYFUNCTION("""COMPUTED_VALUE"""),-0.774855443287649)</f>
        <v>-0.77485544328764899</v>
      </c>
      <c r="FN134" s="3">
        <f ca="1">IFERROR(__xludf.DUMMYFUNCTION("""COMPUTED_VALUE"""),-0.767396102444461)</f>
        <v>-0.76739610244446099</v>
      </c>
      <c r="FO134" s="3">
        <f ca="1">IFERROR(__xludf.DUMMYFUNCTION("""COMPUTED_VALUE"""),-0.843827811357746)</f>
        <v>-0.84382781135774598</v>
      </c>
      <c r="FP134" s="3">
        <f ca="1">IFERROR(__xludf.DUMMYFUNCTION("""COMPUTED_VALUE"""),-0.630546965174714)</f>
        <v>-0.63054696517471398</v>
      </c>
      <c r="FQ134" s="3">
        <f ca="1">IFERROR(__xludf.DUMMYFUNCTION("""COMPUTED_VALUE"""),-0.655773427534003)</f>
        <v>-0.65577342753400303</v>
      </c>
      <c r="FR134" s="3">
        <f ca="1">IFERROR(__xludf.DUMMYFUNCTION("""COMPUTED_VALUE"""),-0.715382583756705)</f>
        <v>-0.71538258375670505</v>
      </c>
      <c r="FS134" s="3">
        <f ca="1">IFERROR(__xludf.DUMMYFUNCTION("""COMPUTED_VALUE"""),-0.767161010647317)</f>
        <v>-0.76716101064731701</v>
      </c>
      <c r="FT134" s="3">
        <f ca="1">IFERROR(__xludf.DUMMYFUNCTION("""COMPUTED_VALUE"""),-0.750190362707668)</f>
        <v>-0.75019036270766803</v>
      </c>
      <c r="FU134" s="3">
        <f ca="1">IFERROR(__xludf.DUMMYFUNCTION("""COMPUTED_VALUE"""),-0.716246080782819)</f>
        <v>-0.71624608078281904</v>
      </c>
      <c r="FV134" s="3">
        <f ca="1">IFERROR(__xludf.DUMMYFUNCTION("""COMPUTED_VALUE"""),-0.688175413516554)</f>
        <v>-0.68817541351655398</v>
      </c>
      <c r="FW134" s="3">
        <f ca="1">IFERROR(__xludf.DUMMYFUNCTION("""COMPUTED_VALUE"""),-0.553782008446594)</f>
        <v>-0.55378200844659398</v>
      </c>
      <c r="FX134" s="3">
        <f ca="1">IFERROR(__xludf.DUMMYFUNCTION("""COMPUTED_VALUE"""),-0.616149676404867)</f>
        <v>-0.61614967640486695</v>
      </c>
      <c r="FY134" s="3">
        <f ca="1">IFERROR(__xludf.DUMMYFUNCTION("""COMPUTED_VALUE"""),-0.712492404765946)</f>
        <v>-0.712492404765946</v>
      </c>
      <c r="FZ134" s="3">
        <f ca="1">IFERROR(__xludf.DUMMYFUNCTION("""COMPUTED_VALUE"""),-0.749743719863788)</f>
        <v>-0.74974371986378796</v>
      </c>
      <c r="GA134" s="3">
        <f ca="1">IFERROR(__xludf.DUMMYFUNCTION("""COMPUTED_VALUE"""),-0.780038905738032)</f>
        <v>-0.78003890573803203</v>
      </c>
      <c r="GB134" s="3">
        <f ca="1">IFERROR(__xludf.DUMMYFUNCTION("""COMPUTED_VALUE"""),-0.756799307947111)</f>
        <v>-0.75679930794711103</v>
      </c>
      <c r="GC134" s="3">
        <f ca="1">IFERROR(__xludf.DUMMYFUNCTION("""COMPUTED_VALUE"""),-0.85702000212853)</f>
        <v>-0.85702000212853002</v>
      </c>
      <c r="GD134" s="3">
        <f ca="1">IFERROR(__xludf.DUMMYFUNCTION("""COMPUTED_VALUE"""),-0.589097173536787)</f>
        <v>-0.58909717353678703</v>
      </c>
      <c r="GE134" s="3">
        <f ca="1">IFERROR(__xludf.DUMMYFUNCTION("""COMPUTED_VALUE"""),-0.652522213624928)</f>
        <v>-0.65252221362492802</v>
      </c>
      <c r="GF134" s="3">
        <f ca="1">IFERROR(__xludf.DUMMYFUNCTION("""COMPUTED_VALUE"""),-0.735254027270764)</f>
        <v>-0.73525402727076405</v>
      </c>
      <c r="GG134" s="3">
        <f ca="1">IFERROR(__xludf.DUMMYFUNCTION("""COMPUTED_VALUE"""),-0.775895711890685)</f>
        <v>-0.77589571189068496</v>
      </c>
      <c r="GH134" s="3">
        <f ca="1">IFERROR(__xludf.DUMMYFUNCTION("""COMPUTED_VALUE"""),-0.769058466064752)</f>
        <v>-0.76905846606475203</v>
      </c>
      <c r="GI134" s="3">
        <f ca="1">IFERROR(__xludf.DUMMYFUNCTION("""COMPUTED_VALUE"""),-0.776504135207377)</f>
        <v>-0.77650413520737704</v>
      </c>
      <c r="GJ134" s="3">
        <f ca="1">IFERROR(__xludf.DUMMYFUNCTION("""COMPUTED_VALUE"""),-0.668624271884046)</f>
        <v>-0.66862427188404605</v>
      </c>
      <c r="GK134" s="3">
        <f ca="1">IFERROR(__xludf.DUMMYFUNCTION("""COMPUTED_VALUE"""),-0.59525855290741)</f>
        <v>-0.59525855290741003</v>
      </c>
      <c r="GL134" s="3">
        <f ca="1">IFERROR(__xludf.DUMMYFUNCTION("""COMPUTED_VALUE"""),-0.587898801782765)</f>
        <v>-0.58789880178276499</v>
      </c>
      <c r="GM134" s="3">
        <f ca="1">IFERROR(__xludf.DUMMYFUNCTION("""COMPUTED_VALUE"""),-0.734175176977933)</f>
        <v>-0.734175176977933</v>
      </c>
      <c r="GN134" s="3">
        <f ca="1">IFERROR(__xludf.DUMMYFUNCTION("""COMPUTED_VALUE"""),-0.78430437212627)</f>
        <v>-0.78430437212627002</v>
      </c>
      <c r="GO134" s="3">
        <f ca="1">IFERROR(__xludf.DUMMYFUNCTION("""COMPUTED_VALUE"""),-0.761593597472349)</f>
        <v>-0.761593597472349</v>
      </c>
      <c r="GP134" s="3">
        <f ca="1">IFERROR(__xludf.DUMMYFUNCTION("""COMPUTED_VALUE"""),-0.758295591539598)</f>
        <v>-0.75829559153959802</v>
      </c>
      <c r="GQ134" s="3">
        <f ca="1">IFERROR(__xludf.DUMMYFUNCTION("""COMPUTED_VALUE"""),-0.7542761888782)</f>
        <v>-0.75427618887820003</v>
      </c>
      <c r="GR134" s="3">
        <f ca="1">IFERROR(__xludf.DUMMYFUNCTION("""COMPUTED_VALUE"""),-0.542995447001222)</f>
        <v>-0.54299544700122204</v>
      </c>
      <c r="GS134" s="3">
        <f ca="1">IFERROR(__xludf.DUMMYFUNCTION("""COMPUTED_VALUE"""),-0.64035632575282)</f>
        <v>-0.64035632575281998</v>
      </c>
      <c r="GT134" s="3">
        <f ca="1">IFERROR(__xludf.DUMMYFUNCTION("""COMPUTED_VALUE"""),-0.747855698441631)</f>
        <v>-0.74785569844163102</v>
      </c>
      <c r="GU134" s="3">
        <f ca="1">IFERROR(__xludf.DUMMYFUNCTION("""COMPUTED_VALUE"""),-0.763428954854249)</f>
        <v>-0.763428954854249</v>
      </c>
      <c r="GV134" s="3">
        <f ca="1">IFERROR(__xludf.DUMMYFUNCTION("""COMPUTED_VALUE"""),-0.766037734845606)</f>
        <v>-0.766037734845606</v>
      </c>
      <c r="GW134" s="3">
        <f ca="1">IFERROR(__xludf.DUMMYFUNCTION("""COMPUTED_VALUE"""),-0.770616544988753)</f>
        <v>-0.77061654498875298</v>
      </c>
      <c r="GX134" s="3">
        <f ca="1">IFERROR(__xludf.DUMMYFUNCTION("""COMPUTED_VALUE"""),-0.756129450583895)</f>
        <v>-0.75612945058389502</v>
      </c>
      <c r="GY134" s="3">
        <f ca="1">IFERROR(__xludf.DUMMYFUNCTION("""COMPUTED_VALUE"""),-0.570263606887593)</f>
        <v>-0.57026360688759303</v>
      </c>
      <c r="GZ134" s="3">
        <f ca="1">IFERROR(__xludf.DUMMYFUNCTION("""COMPUTED_VALUE"""),-0.618513943374578)</f>
        <v>-0.61851394337457799</v>
      </c>
      <c r="HA134" s="3">
        <f ca="1">IFERROR(__xludf.DUMMYFUNCTION("""COMPUTED_VALUE"""),-0.726632637584466)</f>
        <v>-0.72663263758446595</v>
      </c>
      <c r="HB134" s="3">
        <f ca="1">IFERROR(__xludf.DUMMYFUNCTION("""COMPUTED_VALUE"""),-0.768415158636862)</f>
        <v>-0.76841515863686205</v>
      </c>
      <c r="HC134" s="3">
        <f ca="1">IFERROR(__xludf.DUMMYFUNCTION("""COMPUTED_VALUE"""),-0.74253445546951)</f>
        <v>-0.74253445546951002</v>
      </c>
      <c r="HD134" s="3">
        <f ca="1">IFERROR(__xludf.DUMMYFUNCTION("""COMPUTED_VALUE"""),-0.760279532422055)</f>
        <v>-0.76027953242205504</v>
      </c>
      <c r="HE134" s="3">
        <f ca="1">IFERROR(__xludf.DUMMYFUNCTION("""COMPUTED_VALUE"""),-0.744636876468976)</f>
        <v>-0.74463687646897603</v>
      </c>
      <c r="HF134" s="3">
        <f ca="1">IFERROR(__xludf.DUMMYFUNCTION("""COMPUTED_VALUE"""),-0.596059029110307)</f>
        <v>-0.59605902911030695</v>
      </c>
      <c r="HG134" s="3">
        <f ca="1">IFERROR(__xludf.DUMMYFUNCTION("""COMPUTED_VALUE"""),-0.607700166106596)</f>
        <v>-0.60770016610659605</v>
      </c>
      <c r="HH134" s="3">
        <f ca="1">IFERROR(__xludf.DUMMYFUNCTION("""COMPUTED_VALUE"""),-0.708441393925753)</f>
        <v>-0.708441393925753</v>
      </c>
      <c r="HI134" s="3">
        <f ca="1">IFERROR(__xludf.DUMMYFUNCTION("""COMPUTED_VALUE"""),-0.729238611279192)</f>
        <v>-0.72923861127919198</v>
      </c>
      <c r="HJ134" s="3">
        <f ca="1">IFERROR(__xludf.DUMMYFUNCTION("""COMPUTED_VALUE"""),-0.788416585232777)</f>
        <v>-0.78841658523277702</v>
      </c>
      <c r="HK134" s="3">
        <f ca="1">IFERROR(__xludf.DUMMYFUNCTION("""COMPUTED_VALUE"""),-0.784089740500489)</f>
        <v>-0.78408974050048896</v>
      </c>
      <c r="HL134" s="3">
        <f ca="1">IFERROR(__xludf.DUMMYFUNCTION("""COMPUTED_VALUE"""),-0.861930810177359)</f>
        <v>-0.86193081017735895</v>
      </c>
      <c r="HM134" s="3">
        <f ca="1">IFERROR(__xludf.DUMMYFUNCTION("""COMPUTED_VALUE"""),-0.573636388160215)</f>
        <v>-0.573636388160215</v>
      </c>
      <c r="HN134" s="3">
        <f ca="1">IFERROR(__xludf.DUMMYFUNCTION("""COMPUTED_VALUE"""),-0.611981395223405)</f>
        <v>-0.611981395223405</v>
      </c>
      <c r="HO134" s="3">
        <f ca="1">IFERROR(__xludf.DUMMYFUNCTION("""COMPUTED_VALUE"""),-0.794370496857699)</f>
        <v>-0.794370496857699</v>
      </c>
      <c r="HP134" s="3">
        <f ca="1">IFERROR(__xludf.DUMMYFUNCTION("""COMPUTED_VALUE"""),-0.826438705507874)</f>
        <v>-0.82643870550787402</v>
      </c>
      <c r="HQ134" s="3">
        <f ca="1">IFERROR(__xludf.DUMMYFUNCTION("""COMPUTED_VALUE"""),-0.845958551426701)</f>
        <v>-0.84595855142670096</v>
      </c>
      <c r="HR134" s="3">
        <f ca="1">IFERROR(__xludf.DUMMYFUNCTION("""COMPUTED_VALUE"""),-0.798471347395512)</f>
        <v>-0.79847134739551195</v>
      </c>
      <c r="HS134" s="3">
        <f ca="1">IFERROR(__xludf.DUMMYFUNCTION("""COMPUTED_VALUE"""),-0.724027035538559)</f>
        <v>-0.72402703553855896</v>
      </c>
      <c r="HT134" s="3">
        <f ca="1">IFERROR(__xludf.DUMMYFUNCTION("""COMPUTED_VALUE"""),-0.55741572110532)</f>
        <v>-0.55741572110532001</v>
      </c>
      <c r="HU134" s="3">
        <f ca="1">IFERROR(__xludf.DUMMYFUNCTION("""COMPUTED_VALUE"""),-0.557950339305882)</f>
        <v>-0.557950339305882</v>
      </c>
      <c r="HV134" s="3">
        <f ca="1">IFERROR(__xludf.DUMMYFUNCTION("""COMPUTED_VALUE"""),-0.758517558160219)</f>
        <v>-0.75851755816021904</v>
      </c>
      <c r="HW134" s="3">
        <f ca="1">IFERROR(__xludf.DUMMYFUNCTION("""COMPUTED_VALUE"""),-0.796713872784044)</f>
        <v>-0.79671387278404404</v>
      </c>
      <c r="HX134" s="3">
        <f ca="1">IFERROR(__xludf.DUMMYFUNCTION("""COMPUTED_VALUE"""),-0.794965069614074)</f>
        <v>-0.79496506961407398</v>
      </c>
      <c r="HY134" s="3">
        <f ca="1">IFERROR(__xludf.DUMMYFUNCTION("""COMPUTED_VALUE"""),-0.718085558851279)</f>
        <v>-0.718085558851279</v>
      </c>
      <c r="HZ134" s="3">
        <f ca="1">IFERROR(__xludf.DUMMYFUNCTION("""COMPUTED_VALUE"""),-0.516018970327446)</f>
        <v>-0.51601897032744604</v>
      </c>
      <c r="IA134" s="3">
        <f ca="1">IFERROR(__xludf.DUMMYFUNCTION("""COMPUTED_VALUE"""),-0.511332712179525)</f>
        <v>-0.51133271217952503</v>
      </c>
      <c r="IB134" s="3">
        <f ca="1">IFERROR(__xludf.DUMMYFUNCTION("""COMPUTED_VALUE"""),-0.499262229796129)</f>
        <v>-0.499262229796129</v>
      </c>
      <c r="IC134" s="3">
        <f ca="1">IFERROR(__xludf.DUMMYFUNCTION("""COMPUTED_VALUE"""),-0.527929165194991)</f>
        <v>-0.527929165194991</v>
      </c>
      <c r="ID134" s="3">
        <f ca="1">IFERROR(__xludf.DUMMYFUNCTION("""COMPUTED_VALUE"""),-0.531417321259702)</f>
        <v>-0.53141732125970198</v>
      </c>
      <c r="IE134" s="3">
        <f ca="1">IFERROR(__xludf.DUMMYFUNCTION("""COMPUTED_VALUE"""),-0.513576534132656)</f>
        <v>-0.51357653413265603</v>
      </c>
      <c r="IF134" s="3">
        <f ca="1">IFERROR(__xludf.DUMMYFUNCTION("""COMPUTED_VALUE"""),-0.491547960684537)</f>
        <v>-0.49154796068453699</v>
      </c>
      <c r="IG134" s="3">
        <f ca="1">IFERROR(__xludf.DUMMYFUNCTION("""COMPUTED_VALUE"""),-0.458136335203515)</f>
        <v>-0.45813633520351499</v>
      </c>
      <c r="IH134" s="3">
        <f ca="1">IFERROR(__xludf.DUMMYFUNCTION("""COMPUTED_VALUE"""),-0.442466356180464)</f>
        <v>-0.44246635618046398</v>
      </c>
      <c r="II134" s="3">
        <f ca="1">IFERROR(__xludf.DUMMYFUNCTION("""COMPUTED_VALUE"""),-0.453619318680818)</f>
        <v>-0.45361931868081801</v>
      </c>
      <c r="IJ134" s="3">
        <f ca="1">IFERROR(__xludf.DUMMYFUNCTION("""COMPUTED_VALUE"""),-0.482473375114328)</f>
        <v>-0.48247337511432797</v>
      </c>
      <c r="IK134" s="3">
        <f ca="1">IFERROR(__xludf.DUMMYFUNCTION("""COMPUTED_VALUE"""),-0.509209713252939)</f>
        <v>-0.50920971325293896</v>
      </c>
      <c r="IL134" s="3">
        <f ca="1">IFERROR(__xludf.DUMMYFUNCTION("""COMPUTED_VALUE"""),-0.520469669409527)</f>
        <v>-0.52046966940952699</v>
      </c>
      <c r="IM134" s="3">
        <f ca="1">IFERROR(__xludf.DUMMYFUNCTION("""COMPUTED_VALUE"""),-0.506625663136525)</f>
        <v>-0.50662566313652502</v>
      </c>
      <c r="IN134" s="3">
        <f ca="1">IFERROR(__xludf.DUMMYFUNCTION("""COMPUTED_VALUE"""),-0.40357557325131)</f>
        <v>-0.40357557325130999</v>
      </c>
      <c r="IO134" s="3">
        <f ca="1">IFERROR(__xludf.DUMMYFUNCTION("""COMPUTED_VALUE"""),-0.456503874242487)</f>
        <v>-0.45650387424248701</v>
      </c>
      <c r="IP134" s="3">
        <f ca="1">IFERROR(__xludf.DUMMYFUNCTION("""COMPUTED_VALUE"""),-0.476907986798178)</f>
        <v>-0.47690798679817797</v>
      </c>
      <c r="IQ134" s="3">
        <f ca="1">IFERROR(__xludf.DUMMYFUNCTION("""COMPUTED_VALUE"""),-0.50810383199076)</f>
        <v>-0.50810383199076004</v>
      </c>
      <c r="IR134" s="3">
        <f ca="1">IFERROR(__xludf.DUMMYFUNCTION("""COMPUTED_VALUE"""),-0.482875222361935)</f>
        <v>-0.48287522236193497</v>
      </c>
      <c r="IS134" s="3">
        <f ca="1">IFERROR(__xludf.DUMMYFUNCTION("""COMPUTED_VALUE"""),-0.474176928083336)</f>
        <v>-0.474176928083336</v>
      </c>
      <c r="IT134" s="3">
        <f ca="1">IFERROR(__xludf.DUMMYFUNCTION("""COMPUTED_VALUE"""),-0.505793567400939)</f>
        <v>-0.50579356740093895</v>
      </c>
      <c r="IU134" s="3">
        <f ca="1">IFERROR(__xludf.DUMMYFUNCTION("""COMPUTED_VALUE"""),-0.607396477883959)</f>
        <v>-0.60739647788395901</v>
      </c>
      <c r="IV134" s="3">
        <f ca="1">IFERROR(__xludf.DUMMYFUNCTION("""COMPUTED_VALUE"""),-0.482308130152341)</f>
        <v>-0.48230813015234097</v>
      </c>
      <c r="IW134" s="3">
        <f ca="1">IFERROR(__xludf.DUMMYFUNCTION("""COMPUTED_VALUE"""),-0.483336197962584)</f>
        <v>-0.48333619796258398</v>
      </c>
      <c r="IX134" s="3">
        <f ca="1">IFERROR(__xludf.DUMMYFUNCTION("""COMPUTED_VALUE"""),-0.531460205328876)</f>
        <v>-0.53146020532887595</v>
      </c>
      <c r="IY134" s="3">
        <f ca="1">IFERROR(__xludf.DUMMYFUNCTION("""COMPUTED_VALUE"""),-0.505399137366108)</f>
        <v>-0.50539913736610798</v>
      </c>
      <c r="IZ134" s="3">
        <f ca="1">IFERROR(__xludf.DUMMYFUNCTION("""COMPUTED_VALUE"""),-0.498441362456462)</f>
        <v>-0.49844136245646198</v>
      </c>
      <c r="JA134" s="3">
        <f ca="1">IFERROR(__xludf.DUMMYFUNCTION("""COMPUTED_VALUE"""),-0.560367968060258)</f>
        <v>-0.56036796806025801</v>
      </c>
      <c r="JB134" s="3">
        <f ca="1">IFERROR(__xludf.DUMMYFUNCTION("""COMPUTED_VALUE"""),-0.443241500127217)</f>
        <v>-0.44324150012721703</v>
      </c>
      <c r="JC134" s="3">
        <f ca="1">IFERROR(__xludf.DUMMYFUNCTION("""COMPUTED_VALUE"""),-0.437225955964935)</f>
        <v>-0.43722595596493502</v>
      </c>
      <c r="JD134" s="3">
        <f ca="1">IFERROR(__xludf.DUMMYFUNCTION("""COMPUTED_VALUE"""),-0.520940092451697)</f>
        <v>-0.52094009245169703</v>
      </c>
      <c r="JE134" s="3">
        <f ca="1">IFERROR(__xludf.DUMMYFUNCTION("""COMPUTED_VALUE"""),-0.523186778985638)</f>
        <v>-0.52318677898563803</v>
      </c>
      <c r="JF134" s="3">
        <f ca="1">IFERROR(__xludf.DUMMYFUNCTION("""COMPUTED_VALUE"""),-0.524526337579877)</f>
        <v>-0.52452633757987699</v>
      </c>
      <c r="JG134" s="3">
        <f ca="1">IFERROR(__xludf.DUMMYFUNCTION("""COMPUTED_VALUE"""),-0.557780130630811)</f>
        <v>-0.557780130630811</v>
      </c>
      <c r="JH134" s="3">
        <f ca="1">IFERROR(__xludf.DUMMYFUNCTION("""COMPUTED_VALUE"""),-0.563252951618192)</f>
        <v>-0.563252951618192</v>
      </c>
      <c r="JI134" s="3">
        <f ca="1">IFERROR(__xludf.DUMMYFUNCTION("""COMPUTED_VALUE"""),-0.536568144458921)</f>
        <v>-0.53656814445892098</v>
      </c>
      <c r="JJ134" s="3">
        <f ca="1">IFERROR(__xludf.DUMMYFUNCTION("""COMPUTED_VALUE"""),-0.469818419168926)</f>
        <v>-0.46981841916892603</v>
      </c>
      <c r="JK134" s="3">
        <f ca="1">IFERROR(__xludf.DUMMYFUNCTION("""COMPUTED_VALUE"""),-0.509164844795573)</f>
        <v>-0.509164844795573</v>
      </c>
      <c r="JL134" s="3">
        <f ca="1">IFERROR(__xludf.DUMMYFUNCTION("""COMPUTED_VALUE"""),-0.556658833013792)</f>
        <v>-0.55665883301379204</v>
      </c>
      <c r="JM134" s="3">
        <f ca="1">IFERROR(__xludf.DUMMYFUNCTION("""COMPUTED_VALUE"""),-0.551973065034947)</f>
        <v>-0.55197306503494703</v>
      </c>
      <c r="JN134" s="3">
        <f ca="1">IFERROR(__xludf.DUMMYFUNCTION("""COMPUTED_VALUE"""),-0.560788365419174)</f>
        <v>-0.56078836541917398</v>
      </c>
      <c r="JO134" s="3">
        <f ca="1">IFERROR(__xludf.DUMMYFUNCTION("""COMPUTED_VALUE"""),-0.562833639006688)</f>
        <v>-0.56283363900668804</v>
      </c>
      <c r="JP134" s="3">
        <f ca="1">IFERROR(__xludf.DUMMYFUNCTION("""COMPUTED_VALUE"""),-0.524647729474303)</f>
        <v>-0.52464772947430305</v>
      </c>
      <c r="JQ134" s="3">
        <f ca="1">IFERROR(__xludf.DUMMYFUNCTION("""COMPUTED_VALUE"""),-0.556756938304802)</f>
        <v>-0.556756938304802</v>
      </c>
      <c r="JR134" s="3">
        <f ca="1">IFERROR(__xludf.DUMMYFUNCTION("""COMPUTED_VALUE"""),-0.51113071412117)</f>
        <v>-0.51113071412116995</v>
      </c>
      <c r="JS134" s="3">
        <f ca="1">IFERROR(__xludf.DUMMYFUNCTION("""COMPUTED_VALUE"""),-0.574493307046625)</f>
        <v>-0.57449330704662505</v>
      </c>
      <c r="JT134" s="3">
        <f ca="1">IFERROR(__xludf.DUMMYFUNCTION("""COMPUTED_VALUE"""),-0.578068344242365)</f>
        <v>-0.57806834424236497</v>
      </c>
      <c r="JU134" s="3">
        <f ca="1">IFERROR(__xludf.DUMMYFUNCTION("""COMPUTED_VALUE"""),-0.649643790762994)</f>
        <v>-0.64964379076299394</v>
      </c>
      <c r="JV134" s="3">
        <f ca="1">IFERROR(__xludf.DUMMYFUNCTION("""COMPUTED_VALUE"""),-0.543893418012291)</f>
        <v>-0.54389341801229096</v>
      </c>
      <c r="JW134" s="3">
        <f ca="1">IFERROR(__xludf.DUMMYFUNCTION("""COMPUTED_VALUE"""),-0.490369459342914)</f>
        <v>-0.49036945934291398</v>
      </c>
      <c r="JX134" s="3">
        <f ca="1">IFERROR(__xludf.DUMMYFUNCTION("""COMPUTED_VALUE"""),-0.560403186884937)</f>
        <v>-0.56040318688493695</v>
      </c>
      <c r="JY134" s="3">
        <f ca="1">IFERROR(__xludf.DUMMYFUNCTION("""COMPUTED_VALUE"""),-0.507565785980098)</f>
        <v>-0.50756578598009805</v>
      </c>
      <c r="JZ134" s="3">
        <f ca="1">IFERROR(__xludf.DUMMYFUNCTION("""COMPUTED_VALUE"""),-0.581996773027719)</f>
        <v>-0.58199677302771902</v>
      </c>
      <c r="KA134" s="3">
        <f ca="1">IFERROR(__xludf.DUMMYFUNCTION("""COMPUTED_VALUE"""),-0.643329060639529)</f>
        <v>-0.64332906063952899</v>
      </c>
      <c r="KB134" s="3">
        <f ca="1">IFERROR(__xludf.DUMMYFUNCTION("""COMPUTED_VALUE"""),-0.682643361839469)</f>
        <v>-0.68264336183946905</v>
      </c>
      <c r="KC134" s="3">
        <f ca="1">IFERROR(__xludf.DUMMYFUNCTION("""COMPUTED_VALUE"""),-0.620105644165456)</f>
        <v>-0.62010564416545599</v>
      </c>
      <c r="KD134" s="3">
        <f ca="1">IFERROR(__xludf.DUMMYFUNCTION("""COMPUTED_VALUE"""),-0.589608967703989)</f>
        <v>-0.58960896770398896</v>
      </c>
      <c r="KE134" s="3">
        <f ca="1">IFERROR(__xludf.DUMMYFUNCTION("""COMPUTED_VALUE"""),-0.564939552891991)</f>
        <v>-0.56493955289199105</v>
      </c>
      <c r="KF134" s="3">
        <f ca="1">IFERROR(__xludf.DUMMYFUNCTION("""COMPUTED_VALUE"""),-0.587758629154992)</f>
        <v>-0.587758629154992</v>
      </c>
      <c r="KG134" s="3">
        <f ca="1">IFERROR(__xludf.DUMMYFUNCTION("""COMPUTED_VALUE"""),-0.66934399618596)</f>
        <v>-0.66934399618595997</v>
      </c>
      <c r="KH134" s="3">
        <f ca="1">IFERROR(__xludf.DUMMYFUNCTION("""COMPUTED_VALUE"""),-0.66112259171844)</f>
        <v>-0.66112259171844001</v>
      </c>
      <c r="KI134" s="3">
        <f ca="1">IFERROR(__xludf.DUMMYFUNCTION("""COMPUTED_VALUE"""),-0.680762483785929)</f>
        <v>-0.68076248378592896</v>
      </c>
      <c r="KJ134" s="3">
        <f ca="1">IFERROR(__xludf.DUMMYFUNCTION("""COMPUTED_VALUE"""),-0.649585995438425)</f>
        <v>-0.64958599543842499</v>
      </c>
      <c r="KK134" s="3">
        <f ca="1">IFERROR(__xludf.DUMMYFUNCTION("""COMPUTED_VALUE"""),-0.628268327757209)</f>
        <v>-0.62826832775720898</v>
      </c>
      <c r="KL134" s="3">
        <f ca="1">IFERROR(__xludf.DUMMYFUNCTION("""COMPUTED_VALUE"""),-0.578616886983532)</f>
        <v>-0.57861688698353198</v>
      </c>
      <c r="KM134" s="3">
        <f ca="1">IFERROR(__xludf.DUMMYFUNCTION("""COMPUTED_VALUE"""),-0.540263174936846)</f>
        <v>-0.54026317493684595</v>
      </c>
      <c r="KN134" s="3">
        <f ca="1">IFERROR(__xludf.DUMMYFUNCTION("""COMPUTED_VALUE"""),-0.67308011240192)</f>
        <v>-0.67308011240192001</v>
      </c>
      <c r="KO134" s="3">
        <f ca="1">IFERROR(__xludf.DUMMYFUNCTION("""COMPUTED_VALUE"""),-0.719933864244969)</f>
        <v>-0.71993386424496897</v>
      </c>
      <c r="KP134" s="3">
        <f ca="1">IFERROR(__xludf.DUMMYFUNCTION("""COMPUTED_VALUE"""),-0.748632148136231)</f>
        <v>-0.74863214813623102</v>
      </c>
      <c r="KQ134" s="3">
        <f ca="1">IFERROR(__xludf.DUMMYFUNCTION("""COMPUTED_VALUE"""),-0.706718663590574)</f>
        <v>-0.706718663590574</v>
      </c>
      <c r="KR134" s="3">
        <f ca="1">IFERROR(__xludf.DUMMYFUNCTION("""COMPUTED_VALUE"""),-0.731277838439289)</f>
        <v>-0.73127783843928895</v>
      </c>
      <c r="KS134" s="3">
        <f ca="1">IFERROR(__xludf.DUMMYFUNCTION("""COMPUTED_VALUE"""),-0.613665494623104)</f>
        <v>-0.61366549462310405</v>
      </c>
      <c r="KT134" s="3">
        <f ca="1">IFERROR(__xludf.DUMMYFUNCTION("""COMPUTED_VALUE"""),-0.593425800473199)</f>
        <v>-0.59342580047319904</v>
      </c>
      <c r="KU134" s="3">
        <f ca="1">IFERROR(__xludf.DUMMYFUNCTION("""COMPUTED_VALUE"""),-0.700055911100188)</f>
        <v>-0.70005591110018806</v>
      </c>
      <c r="KV134" s="3">
        <f ca="1">IFERROR(__xludf.DUMMYFUNCTION("""COMPUTED_VALUE"""),-0.7249685379966)</f>
        <v>-0.72496853799659999</v>
      </c>
      <c r="KW134" s="3">
        <f ca="1">IFERROR(__xludf.DUMMYFUNCTION("""COMPUTED_VALUE"""),-0.698495843036892)</f>
        <v>-0.69849584303689205</v>
      </c>
      <c r="KX134" s="3">
        <f ca="1">IFERROR(__xludf.DUMMYFUNCTION("""COMPUTED_VALUE"""),-0.747355649886545)</f>
        <v>-0.74735564988654501</v>
      </c>
      <c r="KY134" s="3">
        <f ca="1">IFERROR(__xludf.DUMMYFUNCTION("""COMPUTED_VALUE"""),-0.691433311011449)</f>
        <v>-0.691433311011449</v>
      </c>
      <c r="KZ134" s="3">
        <f ca="1">IFERROR(__xludf.DUMMYFUNCTION("""COMPUTED_VALUE"""),-0.437743067349516)</f>
        <v>-0.43774306734951601</v>
      </c>
      <c r="LA134" s="3">
        <f ca="1">IFERROR(__xludf.DUMMYFUNCTION("""COMPUTED_VALUE"""),-0.559358060388178)</f>
        <v>-0.55935806038817804</v>
      </c>
      <c r="LB134" s="3">
        <f ca="1">IFERROR(__xludf.DUMMYFUNCTION("""COMPUTED_VALUE"""),-0.617455720675674)</f>
        <v>-0.617455720675674</v>
      </c>
      <c r="LC134" s="3">
        <f ca="1">IFERROR(__xludf.DUMMYFUNCTION("""COMPUTED_VALUE"""),-0.615331628865834)</f>
        <v>-0.61533162886583403</v>
      </c>
      <c r="LD134" s="3">
        <f ca="1">IFERROR(__xludf.DUMMYFUNCTION("""COMPUTED_VALUE"""),-0.64113589912019)</f>
        <v>-0.64113589912018998</v>
      </c>
      <c r="LE134" s="3">
        <f ca="1">IFERROR(__xludf.DUMMYFUNCTION("""COMPUTED_VALUE"""),-0.588769617888343)</f>
        <v>-0.58876961788834303</v>
      </c>
      <c r="LF134" s="3">
        <f ca="1">IFERROR(__xludf.DUMMYFUNCTION("""COMPUTED_VALUE"""),-0.622753195021069)</f>
        <v>-0.62275319502106896</v>
      </c>
      <c r="LG134" s="3">
        <f ca="1">IFERROR(__xludf.DUMMYFUNCTION("""COMPUTED_VALUE"""),-0.522276923835289)</f>
        <v>-0.52227692383528901</v>
      </c>
      <c r="LH134" s="3">
        <f ca="1">IFERROR(__xludf.DUMMYFUNCTION("""COMPUTED_VALUE"""),-0.531653471623996)</f>
        <v>-0.53165347162399601</v>
      </c>
      <c r="LI134" s="3">
        <f ca="1">IFERROR(__xludf.DUMMYFUNCTION("""COMPUTED_VALUE"""),-0.666435385556609)</f>
        <v>-0.66643538555660897</v>
      </c>
      <c r="LJ134" s="3">
        <f ca="1">IFERROR(__xludf.DUMMYFUNCTION("""COMPUTED_VALUE"""),-0.651315406073711)</f>
        <v>-0.65131540607371097</v>
      </c>
      <c r="LK134" s="3">
        <f ca="1">IFERROR(__xludf.DUMMYFUNCTION("""COMPUTED_VALUE"""),-0.697060913666529)</f>
        <v>-0.697060913666529</v>
      </c>
      <c r="LL134" s="3">
        <f ca="1">IFERROR(__xludf.DUMMYFUNCTION("""COMPUTED_VALUE"""),-0.714794670149575)</f>
        <v>-0.71479467014957498</v>
      </c>
      <c r="LM134" s="3">
        <f ca="1">IFERROR(__xludf.DUMMYFUNCTION("""COMPUTED_VALUE"""),-0.62447963153771)</f>
        <v>-0.62447963153771002</v>
      </c>
      <c r="LN134" s="3">
        <f ca="1">IFERROR(__xludf.DUMMYFUNCTION("""COMPUTED_VALUE"""),-0.480735536395051)</f>
        <v>-0.48073553639505101</v>
      </c>
      <c r="LO134" s="3">
        <f ca="1">IFERROR(__xludf.DUMMYFUNCTION("""COMPUTED_VALUE"""),-0.532408040395681)</f>
        <v>-0.53240804039568101</v>
      </c>
      <c r="LP134" s="3">
        <f ca="1">IFERROR(__xludf.DUMMYFUNCTION("""COMPUTED_VALUE"""),-0.696105091230323)</f>
        <v>-0.69610509123032305</v>
      </c>
      <c r="LQ134" s="3">
        <f ca="1">IFERROR(__xludf.DUMMYFUNCTION("""COMPUTED_VALUE"""),-0.691978411762554)</f>
        <v>-0.69197841176255404</v>
      </c>
      <c r="LR134" s="3">
        <f ca="1">IFERROR(__xludf.DUMMYFUNCTION("""COMPUTED_VALUE"""),-0.71750119840069)</f>
        <v>-0.71750119840069004</v>
      </c>
      <c r="LS134" s="3">
        <f ca="1">IFERROR(__xludf.DUMMYFUNCTION("""COMPUTED_VALUE"""),-0.679448073281336)</f>
        <v>-0.67944807328133605</v>
      </c>
      <c r="LT134" s="3">
        <f ca="1">IFERROR(__xludf.DUMMYFUNCTION("""COMPUTED_VALUE"""),-0.753698109402612)</f>
        <v>-0.75369810940261195</v>
      </c>
      <c r="LU134" s="3">
        <f ca="1">IFERROR(__xludf.DUMMYFUNCTION("""COMPUTED_VALUE"""),-0.59926670278003)</f>
        <v>-0.59926670278003003</v>
      </c>
      <c r="LV134" s="3">
        <f ca="1">IFERROR(__xludf.DUMMYFUNCTION("""COMPUTED_VALUE"""),-0.621263792941027)</f>
        <v>-0.62126379294102696</v>
      </c>
      <c r="LW134" s="3">
        <f ca="1">IFERROR(__xludf.DUMMYFUNCTION("""COMPUTED_VALUE"""),-0.747298597976323)</f>
        <v>-0.74729859797632303</v>
      </c>
      <c r="LX134" s="3">
        <f ca="1">IFERROR(__xludf.DUMMYFUNCTION("""COMPUTED_VALUE"""),-0.763842954598991)</f>
        <v>-0.76384295459899099</v>
      </c>
      <c r="LY134" s="3">
        <f ca="1">IFERROR(__xludf.DUMMYFUNCTION("""COMPUTED_VALUE"""),-0.773576649719721)</f>
        <v>-0.77357664971972095</v>
      </c>
      <c r="LZ134" s="3">
        <f ca="1">IFERROR(__xludf.DUMMYFUNCTION("""COMPUTED_VALUE"""),-0.757071333894186)</f>
        <v>-0.75707133389418602</v>
      </c>
      <c r="MA134" s="3">
        <f ca="1">IFERROR(__xludf.DUMMYFUNCTION("""COMPUTED_VALUE"""),-0.726318745363466)</f>
        <v>-0.72631874536346597</v>
      </c>
      <c r="MB134" s="3">
        <f ca="1">IFERROR(__xludf.DUMMYFUNCTION("""COMPUTED_VALUE"""),-0.614537579795947)</f>
        <v>-0.61453757979594703</v>
      </c>
      <c r="MC134" s="3">
        <f ca="1">IFERROR(__xludf.DUMMYFUNCTION("""COMPUTED_VALUE"""),-0.718369778718717)</f>
        <v>-0.71836977871871699</v>
      </c>
      <c r="MD134" s="3">
        <f ca="1">IFERROR(__xludf.DUMMYFUNCTION("""COMPUTED_VALUE"""),-0.76551369438842)</f>
        <v>-0.76551369438841999</v>
      </c>
      <c r="ME134" s="3">
        <f ca="1">IFERROR(__xludf.DUMMYFUNCTION("""COMPUTED_VALUE"""),-0.757525636224594)</f>
        <v>-0.75752563622459401</v>
      </c>
      <c r="MF134" s="3">
        <f ca="1">IFERROR(__xludf.DUMMYFUNCTION("""COMPUTED_VALUE"""),-0.766471074633923)</f>
        <v>-0.76647107463392306</v>
      </c>
      <c r="MG134" s="3">
        <f ca="1">IFERROR(__xludf.DUMMYFUNCTION("""COMPUTED_VALUE"""),-0.742780400043297)</f>
        <v>-0.74278040004329704</v>
      </c>
      <c r="MH134" s="3">
        <f ca="1">IFERROR(__xludf.DUMMYFUNCTION("""COMPUTED_VALUE"""),-0.770378714562061)</f>
        <v>-0.77037871456206097</v>
      </c>
      <c r="MI134" s="3">
        <f ca="1">IFERROR(__xludf.DUMMYFUNCTION("""COMPUTED_VALUE"""),-0.648487752990396)</f>
        <v>-0.64848775299039596</v>
      </c>
      <c r="MJ134" s="3">
        <f ca="1">IFERROR(__xludf.DUMMYFUNCTION("""COMPUTED_VALUE"""),-0.707674242260808)</f>
        <v>-0.707674242260808</v>
      </c>
      <c r="MK134" s="3">
        <f ca="1">IFERROR(__xludf.DUMMYFUNCTION("""COMPUTED_VALUE"""),-0.788512063160241)</f>
        <v>-0.78851206316024103</v>
      </c>
      <c r="ML134" s="3">
        <f ca="1">IFERROR(__xludf.DUMMYFUNCTION("""COMPUTED_VALUE"""),-0.784349558866373)</f>
        <v>-0.78434955886637303</v>
      </c>
      <c r="MM134" s="3">
        <f ca="1">IFERROR(__xludf.DUMMYFUNCTION("""COMPUTED_VALUE"""),-0.758803768289112)</f>
        <v>-0.758803768289112</v>
      </c>
      <c r="MN134" s="3">
        <f ca="1">IFERROR(__xludf.DUMMYFUNCTION("""COMPUTED_VALUE"""),-0.765741366357964)</f>
        <v>-0.76574136635796397</v>
      </c>
      <c r="MO134" s="3">
        <f ca="1">IFERROR(__xludf.DUMMYFUNCTION("""COMPUTED_VALUE"""),-0.78802940206191)</f>
        <v>-0.78802940206190997</v>
      </c>
      <c r="MP134" s="3">
        <f ca="1">IFERROR(__xludf.DUMMYFUNCTION("""COMPUTED_VALUE"""),-0.690632606559785)</f>
        <v>-0.69063260655978498</v>
      </c>
      <c r="MQ134" s="3">
        <f ca="1">IFERROR(__xludf.DUMMYFUNCTION("""COMPUTED_VALUE"""),-0.719537184562936)</f>
        <v>-0.71953718456293603</v>
      </c>
      <c r="MR134" s="3">
        <f ca="1">IFERROR(__xludf.DUMMYFUNCTION("""COMPUTED_VALUE"""),-0.765200559529945)</f>
        <v>-0.76520055952994503</v>
      </c>
      <c r="MS134" s="3">
        <f ca="1">IFERROR(__xludf.DUMMYFUNCTION("""COMPUTED_VALUE"""),-0.8200632624246)</f>
        <v>-0.82006326242460004</v>
      </c>
      <c r="MT134" s="3">
        <f ca="1">IFERROR(__xludf.DUMMYFUNCTION("""COMPUTED_VALUE"""),-0.802372936457808)</f>
        <v>-0.80237293645780805</v>
      </c>
      <c r="MU134" s="3">
        <f ca="1">IFERROR(__xludf.DUMMYFUNCTION("""COMPUTED_VALUE"""),-0.79541625861737)</f>
        <v>-0.79541625861736998</v>
      </c>
      <c r="MV134" s="3">
        <f ca="1">IFERROR(__xludf.DUMMYFUNCTION("""COMPUTED_VALUE"""),-0.804032248037805)</f>
        <v>-0.80403224803780504</v>
      </c>
      <c r="MW134" s="3">
        <f ca="1">IFERROR(__xludf.DUMMYFUNCTION("""COMPUTED_VALUE"""),-0.719781201550619)</f>
        <v>-0.71978120155061898</v>
      </c>
      <c r="MX134" s="3">
        <f ca="1">IFERROR(__xludf.DUMMYFUNCTION("""COMPUTED_VALUE"""),-0.746951661476036)</f>
        <v>-0.74695166147603598</v>
      </c>
      <c r="MY134" s="3">
        <f ca="1">IFERROR(__xludf.DUMMYFUNCTION("""COMPUTED_VALUE"""),-0.761360746131772)</f>
        <v>-0.76136074613177196</v>
      </c>
      <c r="MZ134" s="3">
        <f ca="1">IFERROR(__xludf.DUMMYFUNCTION("""COMPUTED_VALUE"""),-0.849784092312111)</f>
        <v>-0.84978409231211105</v>
      </c>
      <c r="NA134" s="3">
        <f ca="1">IFERROR(__xludf.DUMMYFUNCTION("""COMPUTED_VALUE"""),-0.833868634012406)</f>
        <v>-0.83386863401240596</v>
      </c>
      <c r="NB134" s="3">
        <f ca="1">IFERROR(__xludf.DUMMYFUNCTION("""COMPUTED_VALUE"""),-0.834598624031594)</f>
        <v>-0.83459862403159402</v>
      </c>
      <c r="NC134" s="3">
        <f ca="1">IFERROR(__xludf.DUMMYFUNCTION("""COMPUTED_VALUE"""),-0.837514932363442)</f>
        <v>-0.83751493236344199</v>
      </c>
      <c r="ND134" s="3">
        <f ca="1">IFERROR(__xludf.DUMMYFUNCTION("""COMPUTED_VALUE"""),-0.762302750140525)</f>
        <v>-0.76230275014052495</v>
      </c>
      <c r="NE134" s="3">
        <f ca="1">IFERROR(__xludf.DUMMYFUNCTION("""COMPUTED_VALUE"""),-0.788037007050206)</f>
        <v>-0.78803700705020596</v>
      </c>
      <c r="NF134" s="3">
        <f ca="1">IFERROR(__xludf.DUMMYFUNCTION("""COMPUTED_VALUE"""),-0.85219743927345)</f>
        <v>-0.85219743927345004</v>
      </c>
      <c r="NG134" s="3">
        <f ca="1">IFERROR(__xludf.DUMMYFUNCTION("""COMPUTED_VALUE"""),-0.847545605432895)</f>
        <v>-0.84754560543289503</v>
      </c>
      <c r="NH134" s="3">
        <f ca="1">IFERROR(__xludf.DUMMYFUNCTION("""COMPUTED_VALUE"""),-0.845817174003474)</f>
        <v>-0.845817174003474</v>
      </c>
      <c r="NI134" s="3">
        <f ca="1">IFERROR(__xludf.DUMMYFUNCTION("""COMPUTED_VALUE"""),-0.86666695752607)</f>
        <v>-0.86666695752607004</v>
      </c>
      <c r="NJ134" s="3">
        <f ca="1">IFERROR(__xludf.DUMMYFUNCTION("""COMPUTED_VALUE"""),-0.854377991823038)</f>
        <v>-0.85437799182303797</v>
      </c>
      <c r="NK134" s="3">
        <f ca="1">IFERROR(__xludf.DUMMYFUNCTION("""COMPUTED_VALUE"""),-0.742623485683852)</f>
        <v>-0.74262348568385195</v>
      </c>
      <c r="NL134" s="3">
        <f ca="1">IFERROR(__xludf.DUMMYFUNCTION("""COMPUTED_VALUE"""),-0.794070941712638)</f>
        <v>-0.79407094171263803</v>
      </c>
      <c r="NM134" s="3">
        <f ca="1">IFERROR(__xludf.DUMMYFUNCTION("""COMPUTED_VALUE"""),-0.821157395014738)</f>
        <v>-0.82115739501473795</v>
      </c>
      <c r="NN134" s="3">
        <f ca="1">IFERROR(__xludf.DUMMYFUNCTION("""COMPUTED_VALUE"""),-0.855746421857913)</f>
        <v>-0.85574642185791305</v>
      </c>
      <c r="NO134" s="3">
        <f ca="1">IFERROR(__xludf.DUMMYFUNCTION("""COMPUTED_VALUE"""),-0.862395558232527)</f>
        <v>-0.862395558232527</v>
      </c>
      <c r="NP134" s="3">
        <f ca="1">IFERROR(__xludf.DUMMYFUNCTION("""COMPUTED_VALUE"""),-0.85643189559484)</f>
        <v>-0.85643189559484001</v>
      </c>
      <c r="NQ134" s="3">
        <f ca="1">IFERROR(__xludf.DUMMYFUNCTION("""COMPUTED_VALUE"""),-0.854757717339924)</f>
        <v>-0.85475771733992401</v>
      </c>
      <c r="NR134" s="3">
        <f ca="1">IFERROR(__xludf.DUMMYFUNCTION("""COMPUTED_VALUE"""),-0.726090719167881)</f>
        <v>-0.72609071916788104</v>
      </c>
      <c r="NS134" s="3">
        <f ca="1">IFERROR(__xludf.DUMMYFUNCTION("""COMPUTED_VALUE"""),-0.761811387917499)</f>
        <v>-0.76181138791749903</v>
      </c>
      <c r="NT134" s="3">
        <f ca="1">IFERROR(__xludf.DUMMYFUNCTION("""COMPUTED_VALUE"""),-0.851367676131159)</f>
        <v>-0.85136767613115905</v>
      </c>
      <c r="NU134" s="3">
        <f ca="1">IFERROR(__xludf.DUMMYFUNCTION("""COMPUTED_VALUE"""),-0.874965775298707)</f>
        <v>-0.874965775298707</v>
      </c>
      <c r="NV134" s="3">
        <f ca="1">IFERROR(__xludf.DUMMYFUNCTION("""COMPUTED_VALUE"""),-0.861939750189344)</f>
        <v>-0.86193975018934399</v>
      </c>
      <c r="NW134" s="3">
        <f ca="1">IFERROR(__xludf.DUMMYFUNCTION("""COMPUTED_VALUE"""),-0.86221206041684)</f>
        <v>-0.86221206041683995</v>
      </c>
      <c r="NX134" s="3">
        <f ca="1">IFERROR(__xludf.DUMMYFUNCTION("""COMPUTED_VALUE"""),-0.820298010846198)</f>
        <v>-0.82029801084619802</v>
      </c>
      <c r="NY134" s="3">
        <f ca="1">IFERROR(__xludf.DUMMYFUNCTION("""COMPUTED_VALUE"""),-0.681226286992835)</f>
        <v>-0.68122628699283505</v>
      </c>
      <c r="NZ134" s="3">
        <f ca="1">IFERROR(__xludf.DUMMYFUNCTION("""COMPUTED_VALUE"""),-0.667108242849857)</f>
        <v>-0.66710824284985704</v>
      </c>
      <c r="OA134" s="3">
        <f ca="1">IFERROR(__xludf.DUMMYFUNCTION("""COMPUTED_VALUE"""),-0.763549886516098)</f>
        <v>-0.76354988651609801</v>
      </c>
      <c r="OB134" s="3">
        <f ca="1">IFERROR(__xludf.DUMMYFUNCTION("""COMPUTED_VALUE"""),-0.770288346832269)</f>
        <v>-0.77028834683226899</v>
      </c>
      <c r="OC134" s="3">
        <f ca="1">IFERROR(__xludf.DUMMYFUNCTION("""COMPUTED_VALUE"""),-0.713969453744874)</f>
        <v>-0.71396945374487397</v>
      </c>
      <c r="OD134" s="3">
        <f ca="1">IFERROR(__xludf.DUMMYFUNCTION("""COMPUTED_VALUE"""),-0.640393602045877)</f>
        <v>-0.64039360204587703</v>
      </c>
      <c r="OE134" s="3">
        <f ca="1">IFERROR(__xludf.DUMMYFUNCTION("""COMPUTED_VALUE"""),-0.50800025722323)</f>
        <v>-0.50800025722322995</v>
      </c>
      <c r="OF134" s="3">
        <f ca="1">IFERROR(__xludf.DUMMYFUNCTION("""COMPUTED_VALUE"""),-0.228502216530034)</f>
        <v>-0.228502216530034</v>
      </c>
      <c r="OG134" s="3">
        <f ca="1">IFERROR(__xludf.DUMMYFUNCTION("""COMPUTED_VALUE"""),-0.270648406021153)</f>
        <v>-0.27064840602115298</v>
      </c>
      <c r="OH134" s="3">
        <f ca="1">IFERROR(__xludf.DUMMYFUNCTION("""COMPUTED_VALUE"""),-0.0803382324399304)</f>
        <v>-8.0338232439930393E-2</v>
      </c>
      <c r="OI134" s="3">
        <f ca="1">IFERROR(__xludf.DUMMYFUNCTION("""COMPUTED_VALUE"""),0.0216333100653951)</f>
        <v>2.1633310065395098E-2</v>
      </c>
      <c r="OJ134" s="3">
        <f ca="1">IFERROR(__xludf.DUMMYFUNCTION("""COMPUTED_VALUE"""),0.0784823444181355)</f>
        <v>7.8482344418135494E-2</v>
      </c>
      <c r="OK134" s="3">
        <f ca="1">IFERROR(__xludf.DUMMYFUNCTION("""COMPUTED_VALUE"""),0.0683936074234066)</f>
        <v>6.8393607423406597E-2</v>
      </c>
      <c r="OL134" s="3">
        <f ca="1">IFERROR(__xludf.DUMMYFUNCTION("""COMPUTED_VALUE"""),0.101549670198219)</f>
        <v>0.10154967019821901</v>
      </c>
      <c r="OM134" s="3">
        <f ca="1">IFERROR(__xludf.DUMMYFUNCTION("""COMPUTED_VALUE"""),-0.0972715924565056)</f>
        <v>-9.7271592456505601E-2</v>
      </c>
      <c r="ON134" s="3">
        <f ca="1">IFERROR(__xludf.DUMMYFUNCTION("""COMPUTED_VALUE"""),-0.0390590282709103)</f>
        <v>-3.9059028270910297E-2</v>
      </c>
      <c r="OO134" s="3">
        <f ca="1">IFERROR(__xludf.DUMMYFUNCTION("""COMPUTED_VALUE"""),0.0184737395647032)</f>
        <v>1.84737395647032E-2</v>
      </c>
      <c r="OP134" s="3">
        <f ca="1">IFERROR(__xludf.DUMMYFUNCTION("""COMPUTED_VALUE"""),0.104393810669957)</f>
        <v>0.104393810669957</v>
      </c>
      <c r="OQ134" s="3">
        <f ca="1">IFERROR(__xludf.DUMMYFUNCTION("""COMPUTED_VALUE"""),0.0753943578419185)</f>
        <v>7.5394357841918502E-2</v>
      </c>
      <c r="OR134" s="3">
        <f ca="1">IFERROR(__xludf.DUMMYFUNCTION("""COMPUTED_VALUE"""),0.0113341005159535)</f>
        <v>1.13341005159535E-2</v>
      </c>
      <c r="OS134" s="3">
        <f ca="1">IFERROR(__xludf.DUMMYFUNCTION("""COMPUTED_VALUE"""),0.0576201512655365)</f>
        <v>5.7620151265536497E-2</v>
      </c>
      <c r="OT134" s="3">
        <f ca="1">IFERROR(__xludf.DUMMYFUNCTION("""COMPUTED_VALUE"""),-0.0570423071587982)</f>
        <v>-5.7042307158798197E-2</v>
      </c>
      <c r="OU134" s="3">
        <f ca="1">IFERROR(__xludf.DUMMYFUNCTION("""COMPUTED_VALUE"""),0.0809354185581028)</f>
        <v>8.0935418558102795E-2</v>
      </c>
      <c r="OV134" s="3">
        <f ca="1">IFERROR(__xludf.DUMMYFUNCTION("""COMPUTED_VALUE"""),0.229629380875958)</f>
        <v>0.22962938087595799</v>
      </c>
      <c r="OW134" s="3">
        <f ca="1">IFERROR(__xludf.DUMMYFUNCTION("""COMPUTED_VALUE"""),0.213547712701325)</f>
        <v>0.213547712701325</v>
      </c>
      <c r="OX134" s="3">
        <f ca="1">IFERROR(__xludf.DUMMYFUNCTION("""COMPUTED_VALUE"""),0.259241681742028)</f>
        <v>0.259241681742028</v>
      </c>
      <c r="OY134" s="3">
        <f ca="1">IFERROR(__xludf.DUMMYFUNCTION("""COMPUTED_VALUE"""),0.261909160155237)</f>
        <v>0.26190916015523702</v>
      </c>
      <c r="OZ134" s="3">
        <f ca="1">IFERROR(__xludf.DUMMYFUNCTION("""COMPUTED_VALUE"""),0.37974659772945)</f>
        <v>0.37974659772945002</v>
      </c>
      <c r="PA134" s="3">
        <f ca="1">IFERROR(__xludf.DUMMYFUNCTION("""COMPUTED_VALUE"""),0.0189209006930606)</f>
        <v>1.8920900693060599E-2</v>
      </c>
      <c r="PB134" s="3">
        <f ca="1">IFERROR(__xludf.DUMMYFUNCTION("""COMPUTED_VALUE"""),-0.0486373442456543)</f>
        <v>-4.8637344245654301E-2</v>
      </c>
      <c r="PC134" s="3">
        <f ca="1">IFERROR(__xludf.DUMMYFUNCTION("""COMPUTED_VALUE"""),-0.374481800978059)</f>
        <v>-0.374481800978059</v>
      </c>
      <c r="PD134" s="3">
        <f ca="1">IFERROR(__xludf.DUMMYFUNCTION("""COMPUTED_VALUE"""),-0.415362947748056)</f>
        <v>-0.41536294774805599</v>
      </c>
      <c r="PE134" s="3">
        <f ca="1">IFERROR(__xludf.DUMMYFUNCTION("""COMPUTED_VALUE"""),-0.517308934143744)</f>
        <v>-0.51730893414374401</v>
      </c>
      <c r="PF134" s="3">
        <f ca="1">IFERROR(__xludf.DUMMYFUNCTION("""COMPUTED_VALUE"""),-0.481937802964113)</f>
        <v>-0.48193780296411298</v>
      </c>
      <c r="PG134" s="3">
        <f ca="1">IFERROR(__xludf.DUMMYFUNCTION("""COMPUTED_VALUE"""),-0.642439152405974)</f>
        <v>-0.64243915240597405</v>
      </c>
      <c r="PH134" s="3">
        <f ca="1">IFERROR(__xludf.DUMMYFUNCTION("""COMPUTED_VALUE"""),-0.0542232426080631)</f>
        <v>-5.4223242608063098E-2</v>
      </c>
      <c r="PI134" s="3">
        <f ca="1">IFERROR(__xludf.DUMMYFUNCTION("""COMPUTED_VALUE"""),-0.101747943291418)</f>
        <v>-0.10174794329141799</v>
      </c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</row>
    <row r="135" spans="1:477" ht="13">
      <c r="A135" s="1" t="str">
        <f ca="1">IFERROR(__xludf.DUMMYFUNCTION("""COMPUTED_VALUE"""),"Pierce Transit")</f>
        <v>Pierce Transit</v>
      </c>
      <c r="B135" s="1" t="str">
        <f ca="1">IFERROR(__xludf.DUMMYFUNCTION("""COMPUTED_VALUE"""),"Seattle")</f>
        <v>Seattle</v>
      </c>
      <c r="C135" s="1" t="str">
        <f ca="1">IFERROR(__xludf.DUMMYFUNCTION("""COMPUTED_VALUE"""),"United States")</f>
        <v>United States</v>
      </c>
      <c r="D135" s="1" t="str">
        <f ca="1">IFERROR(__xludf.DUMMYFUNCTION("""COMPUTED_VALUE"""),"Washington")</f>
        <v>Washington</v>
      </c>
      <c r="E135" s="3">
        <f ca="1">IFERROR(__xludf.DUMMYFUNCTION("""COMPUTED_VALUE"""),-0.50747317369897)</f>
        <v>-0.50747317369897005</v>
      </c>
      <c r="F135" s="3">
        <f ca="1">IFERROR(__xludf.DUMMYFUNCTION("""COMPUTED_VALUE"""),-0.591893756096266)</f>
        <v>-0.59189375609626604</v>
      </c>
      <c r="G135" s="3">
        <f ca="1">IFERROR(__xludf.DUMMYFUNCTION("""COMPUTED_VALUE"""),-0.609069208988216)</f>
        <v>-0.60906920898821604</v>
      </c>
      <c r="H135" s="3">
        <f ca="1">IFERROR(__xludf.DUMMYFUNCTION("""COMPUTED_VALUE"""),-0.648248986668877)</f>
        <v>-0.64824898666887698</v>
      </c>
      <c r="I135" s="3">
        <f ca="1">IFERROR(__xludf.DUMMYFUNCTION("""COMPUTED_VALUE"""),-0.632605059633496)</f>
        <v>-0.632605059633496</v>
      </c>
      <c r="J135" s="3">
        <f ca="1">IFERROR(__xludf.DUMMYFUNCTION("""COMPUTED_VALUE"""),-0.613337806697149)</f>
        <v>-0.61333780669714899</v>
      </c>
      <c r="K135" s="3">
        <f ca="1">IFERROR(__xludf.DUMMYFUNCTION("""COMPUTED_VALUE"""),-0.595244386293337)</f>
        <v>-0.59524438629333698</v>
      </c>
      <c r="L135" s="3">
        <f ca="1">IFERROR(__xludf.DUMMYFUNCTION("""COMPUTED_VALUE"""),-0.509152978040834)</f>
        <v>-0.50915297804083404</v>
      </c>
      <c r="M135" s="3">
        <f ca="1">IFERROR(__xludf.DUMMYFUNCTION("""COMPUTED_VALUE"""),-0.610234798700211)</f>
        <v>-0.61023479870021102</v>
      </c>
      <c r="N135" s="3">
        <f ca="1">IFERROR(__xludf.DUMMYFUNCTION("""COMPUTED_VALUE"""),-0.605220513743484)</f>
        <v>-0.60522051374348396</v>
      </c>
      <c r="O135" s="3">
        <f ca="1">IFERROR(__xludf.DUMMYFUNCTION("""COMPUTED_VALUE"""),-0.648680306553754)</f>
        <v>-0.64868030655375397</v>
      </c>
      <c r="P135" s="3">
        <f ca="1">IFERROR(__xludf.DUMMYFUNCTION("""COMPUTED_VALUE"""),-0.635047795299159)</f>
        <v>-0.635047795299159</v>
      </c>
      <c r="Q135" s="3">
        <f ca="1">IFERROR(__xludf.DUMMYFUNCTION("""COMPUTED_VALUE"""),-0.633437760057385)</f>
        <v>-0.63343776005738495</v>
      </c>
      <c r="R135" s="3">
        <f ca="1">IFERROR(__xludf.DUMMYFUNCTION("""COMPUTED_VALUE"""),-0.594865086808186)</f>
        <v>-0.59486508680818595</v>
      </c>
      <c r="S135" s="3">
        <f ca="1">IFERROR(__xludf.DUMMYFUNCTION("""COMPUTED_VALUE"""),-0.56927863081849)</f>
        <v>-0.56927863081848995</v>
      </c>
      <c r="T135" s="3">
        <f ca="1">IFERROR(__xludf.DUMMYFUNCTION("""COMPUTED_VALUE"""),-0.578530166417173)</f>
        <v>-0.57853016641717303</v>
      </c>
      <c r="U135" s="3">
        <f ca="1">IFERROR(__xludf.DUMMYFUNCTION("""COMPUTED_VALUE"""),-0.638998646890523)</f>
        <v>-0.63899864689052299</v>
      </c>
      <c r="V135" s="3">
        <f ca="1">IFERROR(__xludf.DUMMYFUNCTION("""COMPUTED_VALUE"""),-0.660181516034158)</f>
        <v>-0.66018151603415798</v>
      </c>
      <c r="W135" s="3">
        <f ca="1">IFERROR(__xludf.DUMMYFUNCTION("""COMPUTED_VALUE"""),-0.617574432927651)</f>
        <v>-0.61757443292765102</v>
      </c>
      <c r="X135" s="3">
        <f ca="1">IFERROR(__xludf.DUMMYFUNCTION("""COMPUTED_VALUE"""),-0.609843691982765)</f>
        <v>-0.609843691982765</v>
      </c>
      <c r="Y135" s="3">
        <f ca="1">IFERROR(__xludf.DUMMYFUNCTION("""COMPUTED_VALUE"""),-0.6257588001267)</f>
        <v>-0.62575880012670004</v>
      </c>
      <c r="Z135" s="3">
        <f ca="1">IFERROR(__xludf.DUMMYFUNCTION("""COMPUTED_VALUE"""),-0.593971575082225)</f>
        <v>-0.59397157508222498</v>
      </c>
      <c r="AA135" s="3">
        <f ca="1">IFERROR(__xludf.DUMMYFUNCTION("""COMPUTED_VALUE"""),-0.653314180807774)</f>
        <v>-0.65331418080777404</v>
      </c>
      <c r="AB135" s="3">
        <f ca="1">IFERROR(__xludf.DUMMYFUNCTION("""COMPUTED_VALUE"""),-0.651372987424316)</f>
        <v>-0.65137298742431604</v>
      </c>
      <c r="AC135" s="3">
        <f ca="1">IFERROR(__xludf.DUMMYFUNCTION("""COMPUTED_VALUE"""),-0.647451658156957)</f>
        <v>-0.64745165815695704</v>
      </c>
      <c r="AD135" s="3">
        <f ca="1">IFERROR(__xludf.DUMMYFUNCTION("""COMPUTED_VALUE"""),-0.656137025604044)</f>
        <v>-0.65613702560404397</v>
      </c>
      <c r="AE135" s="3">
        <f ca="1">IFERROR(__xludf.DUMMYFUNCTION("""COMPUTED_VALUE"""),-0.666072955969984)</f>
        <v>-0.66607295596998395</v>
      </c>
      <c r="AF135" s="3">
        <f ca="1">IFERROR(__xludf.DUMMYFUNCTION("""COMPUTED_VALUE"""),-0.610274547543006)</f>
        <v>-0.61027454754300603</v>
      </c>
      <c r="AG135" s="3">
        <f ca="1">IFERROR(__xludf.DUMMYFUNCTION("""COMPUTED_VALUE"""),-0.585882685870452)</f>
        <v>-0.585882685870452</v>
      </c>
      <c r="AH135" s="3">
        <f ca="1">IFERROR(__xludf.DUMMYFUNCTION("""COMPUTED_VALUE"""),-0.634616574454095)</f>
        <v>-0.63461657445409503</v>
      </c>
      <c r="AI135" s="3">
        <f ca="1">IFERROR(__xludf.DUMMYFUNCTION("""COMPUTED_VALUE"""),-0.65045928910918)</f>
        <v>-0.65045928910918005</v>
      </c>
      <c r="AJ135" s="3">
        <f ca="1">IFERROR(__xludf.DUMMYFUNCTION("""COMPUTED_VALUE"""),-0.645580151835569)</f>
        <v>-0.64558015183556905</v>
      </c>
      <c r="AK135" s="3">
        <f ca="1">IFERROR(__xludf.DUMMYFUNCTION("""COMPUTED_VALUE"""),-0.635327100062334)</f>
        <v>-0.63532710006233395</v>
      </c>
      <c r="AL135" s="3">
        <f ca="1">IFERROR(__xludf.DUMMYFUNCTION("""COMPUTED_VALUE"""),-0.638152225941748)</f>
        <v>-0.63815222594174803</v>
      </c>
      <c r="AM135" s="3">
        <f ca="1">IFERROR(__xludf.DUMMYFUNCTION("""COMPUTED_VALUE"""),-0.595943932260048)</f>
        <v>-0.59594393226004805</v>
      </c>
      <c r="AN135" s="3">
        <f ca="1">IFERROR(__xludf.DUMMYFUNCTION("""COMPUTED_VALUE"""),-0.580973983582139)</f>
        <v>-0.58097398358213903</v>
      </c>
      <c r="AO135" s="3">
        <f ca="1">IFERROR(__xludf.DUMMYFUNCTION("""COMPUTED_VALUE"""),-0.660671481035485)</f>
        <v>-0.66067148103548501</v>
      </c>
      <c r="AP135" s="3">
        <f ca="1">IFERROR(__xludf.DUMMYFUNCTION("""COMPUTED_VALUE"""),-0.678339765558341)</f>
        <v>-0.67833976555834097</v>
      </c>
      <c r="AQ135" s="3">
        <f ca="1">IFERROR(__xludf.DUMMYFUNCTION("""COMPUTED_VALUE"""),-0.636115356492661)</f>
        <v>-0.63611535649266104</v>
      </c>
      <c r="AR135" s="3">
        <f ca="1">IFERROR(__xludf.DUMMYFUNCTION("""COMPUTED_VALUE"""),-0.644970753340777)</f>
        <v>-0.64497075334077703</v>
      </c>
      <c r="AS135" s="3">
        <f ca="1">IFERROR(__xludf.DUMMYFUNCTION("""COMPUTED_VALUE"""),-0.622471224371583)</f>
        <v>-0.62247122437158298</v>
      </c>
      <c r="AT135" s="3">
        <f ca="1">IFERROR(__xludf.DUMMYFUNCTION("""COMPUTED_VALUE"""),-0.554471935141561)</f>
        <v>-0.55447193514156101</v>
      </c>
      <c r="AU135" s="3">
        <f ca="1">IFERROR(__xludf.DUMMYFUNCTION("""COMPUTED_VALUE"""),-0.5848224106947)</f>
        <v>-0.58482241069469998</v>
      </c>
      <c r="AV135" s="3">
        <f ca="1">IFERROR(__xludf.DUMMYFUNCTION("""COMPUTED_VALUE"""),-0.651276621049886)</f>
        <v>-0.65127662104988604</v>
      </c>
      <c r="AW135" s="3">
        <f ca="1">IFERROR(__xludf.DUMMYFUNCTION("""COMPUTED_VALUE"""),-0.685028941461208)</f>
        <v>-0.68502894146120796</v>
      </c>
      <c r="AX135" s="3">
        <f ca="1">IFERROR(__xludf.DUMMYFUNCTION("""COMPUTED_VALUE"""),-0.680656327327331)</f>
        <v>-0.68065632732733095</v>
      </c>
      <c r="AY135" s="3">
        <f ca="1">IFERROR(__xludf.DUMMYFUNCTION("""COMPUTED_VALUE"""),-0.662607941806393)</f>
        <v>-0.66260794180639304</v>
      </c>
      <c r="AZ135" s="3">
        <f ca="1">IFERROR(__xludf.DUMMYFUNCTION("""COMPUTED_VALUE"""),-0.625565813793211)</f>
        <v>-0.62556581379321097</v>
      </c>
      <c r="BA135" s="3">
        <f ca="1">IFERROR(__xludf.DUMMYFUNCTION("""COMPUTED_VALUE"""),-0.542530918558066)</f>
        <v>-0.54253091855806601</v>
      </c>
      <c r="BB135" s="3">
        <f ca="1">IFERROR(__xludf.DUMMYFUNCTION("""COMPUTED_VALUE"""),-0.533668540621787)</f>
        <v>-0.53366854062178704</v>
      </c>
      <c r="BC135" s="3">
        <f ca="1">IFERROR(__xludf.DUMMYFUNCTION("""COMPUTED_VALUE"""),-0.672436346489682)</f>
        <v>-0.67243634648968198</v>
      </c>
      <c r="BD135" s="3">
        <f ca="1">IFERROR(__xludf.DUMMYFUNCTION("""COMPUTED_VALUE"""),-0.698039001523264)</f>
        <v>-0.69803900152326404</v>
      </c>
      <c r="BE135" s="3">
        <f ca="1">IFERROR(__xludf.DUMMYFUNCTION("""COMPUTED_VALUE"""),-0.632627858307319)</f>
        <v>-0.63262785830731905</v>
      </c>
      <c r="BF135" s="3">
        <f ca="1">IFERROR(__xludf.DUMMYFUNCTION("""COMPUTED_VALUE"""),-0.640225287465132)</f>
        <v>-0.64022528746513196</v>
      </c>
      <c r="BG135" s="3">
        <f ca="1">IFERROR(__xludf.DUMMYFUNCTION("""COMPUTED_VALUE"""),-0.59326424975876)</f>
        <v>-0.59326424975876002</v>
      </c>
      <c r="BH135" s="3">
        <f ca="1">IFERROR(__xludf.DUMMYFUNCTION("""COMPUTED_VALUE"""),-0.483621950094449)</f>
        <v>-0.48362195009444903</v>
      </c>
      <c r="BI135" s="3">
        <f ca="1">IFERROR(__xludf.DUMMYFUNCTION("""COMPUTED_VALUE"""),-0.423260756168529)</f>
        <v>-0.42326075616852898</v>
      </c>
      <c r="BJ135" s="3">
        <f ca="1">IFERROR(__xludf.DUMMYFUNCTION("""COMPUTED_VALUE"""),-0.703817990710507)</f>
        <v>-0.70381799071050699</v>
      </c>
      <c r="BK135" s="3">
        <f ca="1">IFERROR(__xludf.DUMMYFUNCTION("""COMPUTED_VALUE"""),-0.72703948072265)</f>
        <v>-0.72703948072265001</v>
      </c>
      <c r="BL135" s="3">
        <f ca="1">IFERROR(__xludf.DUMMYFUNCTION("""COMPUTED_VALUE"""),-0.684177550066514)</f>
        <v>-0.68417755006651404</v>
      </c>
      <c r="BM135" s="3">
        <f ca="1">IFERROR(__xludf.DUMMYFUNCTION("""COMPUTED_VALUE"""),-0.689946473693201)</f>
        <v>-0.68994647369320095</v>
      </c>
      <c r="BN135" s="3">
        <f ca="1">IFERROR(__xludf.DUMMYFUNCTION("""COMPUTED_VALUE"""),-0.649050815940806)</f>
        <v>-0.64905081594080605</v>
      </c>
      <c r="BO135" s="3">
        <f ca="1">IFERROR(__xludf.DUMMYFUNCTION("""COMPUTED_VALUE"""),-0.556987585519396)</f>
        <v>-0.55698758551939598</v>
      </c>
      <c r="BP135" s="3">
        <f ca="1">IFERROR(__xludf.DUMMYFUNCTION("""COMPUTED_VALUE"""),-0.583246099896606)</f>
        <v>-0.58324609989660603</v>
      </c>
      <c r="BQ135" s="3">
        <f ca="1">IFERROR(__xludf.DUMMYFUNCTION("""COMPUTED_VALUE"""),-0.677276132748767)</f>
        <v>-0.67727613274876697</v>
      </c>
      <c r="BR135" s="3">
        <f ca="1">IFERROR(__xludf.DUMMYFUNCTION("""COMPUTED_VALUE"""),-0.72434480975379)</f>
        <v>-0.72434480975379001</v>
      </c>
      <c r="BS135" s="3">
        <f ca="1">IFERROR(__xludf.DUMMYFUNCTION("""COMPUTED_VALUE"""),-0.700448384833592)</f>
        <v>-0.70044838483359195</v>
      </c>
      <c r="BT135" s="3">
        <f ca="1">IFERROR(__xludf.DUMMYFUNCTION("""COMPUTED_VALUE"""),-0.699647792133087)</f>
        <v>-0.69964779213308703</v>
      </c>
      <c r="BU135" s="3">
        <f ca="1">IFERROR(__xludf.DUMMYFUNCTION("""COMPUTED_VALUE"""),-0.669011760747029)</f>
        <v>-0.66901176074702895</v>
      </c>
      <c r="BV135" s="3">
        <f ca="1">IFERROR(__xludf.DUMMYFUNCTION("""COMPUTED_VALUE"""),-0.615310390614732)</f>
        <v>-0.61531039061473203</v>
      </c>
      <c r="BW135" s="3">
        <f ca="1">IFERROR(__xludf.DUMMYFUNCTION("""COMPUTED_VALUE"""),-0.5667348301565)</f>
        <v>-0.56673483015649995</v>
      </c>
      <c r="BX135" s="3">
        <f ca="1">IFERROR(__xludf.DUMMYFUNCTION("""COMPUTED_VALUE"""),-0.68946500608144)</f>
        <v>-0.68946500608144001</v>
      </c>
      <c r="BY135" s="3">
        <f ca="1">IFERROR(__xludf.DUMMYFUNCTION("""COMPUTED_VALUE"""),-0.735736645952448)</f>
        <v>-0.73573664595244803</v>
      </c>
      <c r="BZ135" s="3">
        <f ca="1">IFERROR(__xludf.DUMMYFUNCTION("""COMPUTED_VALUE"""),-0.745364044047857)</f>
        <v>-0.74536404404785706</v>
      </c>
      <c r="CA135" s="3">
        <f ca="1">IFERROR(__xludf.DUMMYFUNCTION("""COMPUTED_VALUE"""),-0.697674560113813)</f>
        <v>-0.69767456011381301</v>
      </c>
      <c r="CB135" s="3">
        <f ca="1">IFERROR(__xludf.DUMMYFUNCTION("""COMPUTED_VALUE"""),-0.634838677968715)</f>
        <v>-0.63483867796871496</v>
      </c>
      <c r="CC135" s="3">
        <f ca="1">IFERROR(__xludf.DUMMYFUNCTION("""COMPUTED_VALUE"""),-0.591332833426038)</f>
        <v>-0.59133283342603804</v>
      </c>
      <c r="CD135" s="3">
        <f ca="1">IFERROR(__xludf.DUMMYFUNCTION("""COMPUTED_VALUE"""),-0.558955884047205)</f>
        <v>-0.55895588404720498</v>
      </c>
      <c r="CE135" s="3">
        <f ca="1">IFERROR(__xludf.DUMMYFUNCTION("""COMPUTED_VALUE"""),-0.699525678691804)</f>
        <v>-0.69952567869180404</v>
      </c>
      <c r="CF135" s="3">
        <f ca="1">IFERROR(__xludf.DUMMYFUNCTION("""COMPUTED_VALUE"""),-0.719744307836255)</f>
        <v>-0.71974430783625498</v>
      </c>
      <c r="CG135" s="3">
        <f ca="1">IFERROR(__xludf.DUMMYFUNCTION("""COMPUTED_VALUE"""),-0.711267050675208)</f>
        <v>-0.71126705067520801</v>
      </c>
      <c r="CH135" s="3">
        <f ca="1">IFERROR(__xludf.DUMMYFUNCTION("""COMPUTED_VALUE"""),-0.704259371284328)</f>
        <v>-0.70425937128432803</v>
      </c>
      <c r="CI135" s="3">
        <f ca="1">IFERROR(__xludf.DUMMYFUNCTION("""COMPUTED_VALUE"""),-0.660161127142858)</f>
        <v>-0.66016112714285802</v>
      </c>
      <c r="CJ135" s="3">
        <f ca="1">IFERROR(__xludf.DUMMYFUNCTION("""COMPUTED_VALUE"""),-0.56090562303337)</f>
        <v>-0.56090562303336999</v>
      </c>
      <c r="CK135" s="3">
        <f ca="1">IFERROR(__xludf.DUMMYFUNCTION("""COMPUTED_VALUE"""),-0.580594514489246)</f>
        <v>-0.58059451448924604</v>
      </c>
      <c r="CL135" s="3">
        <f ca="1">IFERROR(__xludf.DUMMYFUNCTION("""COMPUTED_VALUE"""),-0.716850262646337)</f>
        <v>-0.716850262646337</v>
      </c>
      <c r="CM135" s="3">
        <f ca="1">IFERROR(__xludf.DUMMYFUNCTION("""COMPUTED_VALUE"""),-0.742517961974681)</f>
        <v>-0.74251796197468101</v>
      </c>
      <c r="CN135" s="3">
        <f ca="1">IFERROR(__xludf.DUMMYFUNCTION("""COMPUTED_VALUE"""),-0.703482410022559)</f>
        <v>-0.70348241002255896</v>
      </c>
      <c r="CO135" s="3">
        <f ca="1">IFERROR(__xludf.DUMMYFUNCTION("""COMPUTED_VALUE"""),-0.738074813409065)</f>
        <v>-0.738074813409065</v>
      </c>
      <c r="CP135" s="3">
        <f ca="1">IFERROR(__xludf.DUMMYFUNCTION("""COMPUTED_VALUE"""),-0.691249833539653)</f>
        <v>-0.69124983353965297</v>
      </c>
      <c r="CQ135" s="3">
        <f ca="1">IFERROR(__xludf.DUMMYFUNCTION("""COMPUTED_VALUE"""),-0.566703057694231)</f>
        <v>-0.56670305769423102</v>
      </c>
      <c r="CR135" s="3">
        <f ca="1">IFERROR(__xludf.DUMMYFUNCTION("""COMPUTED_VALUE"""),-0.579987234276395)</f>
        <v>-0.57998723427639498</v>
      </c>
      <c r="CS135" s="3">
        <f ca="1">IFERROR(__xludf.DUMMYFUNCTION("""COMPUTED_VALUE"""),-0.697489617196713)</f>
        <v>-0.69748961719671299</v>
      </c>
      <c r="CT135" s="3">
        <f ca="1">IFERROR(__xludf.DUMMYFUNCTION("""COMPUTED_VALUE"""),-0.710635373088801)</f>
        <v>-0.71063537308880098</v>
      </c>
      <c r="CU135" s="3">
        <f ca="1">IFERROR(__xludf.DUMMYFUNCTION("""COMPUTED_VALUE"""),-0.699212934306194)</f>
        <v>-0.69921293430619402</v>
      </c>
      <c r="CV135" s="3">
        <f ca="1">IFERROR(__xludf.DUMMYFUNCTION("""COMPUTED_VALUE"""),-0.718471827710612)</f>
        <v>-0.71847182771061202</v>
      </c>
      <c r="CW135" s="3">
        <f ca="1">IFERROR(__xludf.DUMMYFUNCTION("""COMPUTED_VALUE"""),-0.689323058175334)</f>
        <v>-0.68932305817533401</v>
      </c>
      <c r="CX135" s="3">
        <f ca="1">IFERROR(__xludf.DUMMYFUNCTION("""COMPUTED_VALUE"""),-0.610890125860086)</f>
        <v>-0.61089012586008595</v>
      </c>
      <c r="CY135" s="3">
        <f ca="1">IFERROR(__xludf.DUMMYFUNCTION("""COMPUTED_VALUE"""),-0.614327207158657)</f>
        <v>-0.61432720715865696</v>
      </c>
      <c r="CZ135" s="3">
        <f ca="1">IFERROR(__xludf.DUMMYFUNCTION("""COMPUTED_VALUE"""),-0.748330001886834)</f>
        <v>-0.74833000188683396</v>
      </c>
      <c r="DA135" s="3">
        <f ca="1">IFERROR(__xludf.DUMMYFUNCTION("""COMPUTED_VALUE"""),-0.651275911768857)</f>
        <v>-0.65127591176885702</v>
      </c>
      <c r="DB135" s="3">
        <f ca="1">IFERROR(__xludf.DUMMYFUNCTION("""COMPUTED_VALUE"""),-0.596908935668288)</f>
        <v>-0.59690893566828795</v>
      </c>
      <c r="DC135" s="3">
        <f ca="1">IFERROR(__xludf.DUMMYFUNCTION("""COMPUTED_VALUE"""),-0.651357859306785)</f>
        <v>-0.65135785930678503</v>
      </c>
      <c r="DD135" s="3">
        <f ca="1">IFERROR(__xludf.DUMMYFUNCTION("""COMPUTED_VALUE"""),-0.657599802311579)</f>
        <v>-0.657599802311579</v>
      </c>
      <c r="DE135" s="3">
        <f ca="1">IFERROR(__xludf.DUMMYFUNCTION("""COMPUTED_VALUE"""),-0.592509782538921)</f>
        <v>-0.59250978253892095</v>
      </c>
      <c r="DF135" s="3">
        <f ca="1">IFERROR(__xludf.DUMMYFUNCTION("""COMPUTED_VALUE"""),-0.615389106438653)</f>
        <v>-0.61538910643865297</v>
      </c>
      <c r="DG135" s="3">
        <f ca="1">IFERROR(__xludf.DUMMYFUNCTION("""COMPUTED_VALUE"""),-0.844348970328639)</f>
        <v>-0.84434897032863898</v>
      </c>
      <c r="DH135" s="3">
        <f ca="1">IFERROR(__xludf.DUMMYFUNCTION("""COMPUTED_VALUE"""),-0.657387380200449)</f>
        <v>-0.65738738020044896</v>
      </c>
      <c r="DI135" s="3">
        <f ca="1">IFERROR(__xludf.DUMMYFUNCTION("""COMPUTED_VALUE"""),-0.450593520937117)</f>
        <v>-0.45059352093711702</v>
      </c>
      <c r="DJ135" s="3">
        <f ca="1">IFERROR(__xludf.DUMMYFUNCTION("""COMPUTED_VALUE"""),-0.616162964137811)</f>
        <v>-0.61616296413781102</v>
      </c>
      <c r="DK135" s="3">
        <f ca="1">IFERROR(__xludf.DUMMYFUNCTION("""COMPUTED_VALUE"""),-0.641668617945306)</f>
        <v>-0.64166861794530605</v>
      </c>
      <c r="DL135" s="3">
        <f ca="1">IFERROR(__xludf.DUMMYFUNCTION("""COMPUTED_VALUE"""),-0.562562299069548)</f>
        <v>-0.56256229906954802</v>
      </c>
      <c r="DM135" s="3">
        <f ca="1">IFERROR(__xludf.DUMMYFUNCTION("""COMPUTED_VALUE"""),-0.581031700610295)</f>
        <v>-0.58103170061029497</v>
      </c>
      <c r="DN135" s="3">
        <f ca="1">IFERROR(__xludf.DUMMYFUNCTION("""COMPUTED_VALUE"""),-0.658812795616672)</f>
        <v>-0.65881279561667205</v>
      </c>
      <c r="DO135" s="3">
        <f ca="1">IFERROR(__xludf.DUMMYFUNCTION("""COMPUTED_VALUE"""),-0.671924380279733)</f>
        <v>-0.671924380279733</v>
      </c>
      <c r="DP135" s="3">
        <f ca="1">IFERROR(__xludf.DUMMYFUNCTION("""COMPUTED_VALUE"""),-0.61817630201762)</f>
        <v>-0.61817630201761997</v>
      </c>
      <c r="DQ135" s="3">
        <f ca="1">IFERROR(__xludf.DUMMYFUNCTION("""COMPUTED_VALUE"""),-0.661606078793495)</f>
        <v>-0.66160607879349498</v>
      </c>
      <c r="DR135" s="3">
        <f ca="1">IFERROR(__xludf.DUMMYFUNCTION("""COMPUTED_VALUE"""),-0.662479428663443)</f>
        <v>-0.662479428663443</v>
      </c>
      <c r="DS135" s="3">
        <f ca="1">IFERROR(__xludf.DUMMYFUNCTION("""COMPUTED_VALUE"""),-0.592827270899448)</f>
        <v>-0.59282727089944798</v>
      </c>
      <c r="DT135" s="3">
        <f ca="1">IFERROR(__xludf.DUMMYFUNCTION("""COMPUTED_VALUE"""),-0.525454378064864)</f>
        <v>-0.52545437806486395</v>
      </c>
      <c r="DU135" s="3">
        <f ca="1">IFERROR(__xludf.DUMMYFUNCTION("""COMPUTED_VALUE"""),-0.685821330577871)</f>
        <v>-0.68582133057787098</v>
      </c>
      <c r="DV135" s="3">
        <f ca="1">IFERROR(__xludf.DUMMYFUNCTION("""COMPUTED_VALUE"""),-0.702449492297017)</f>
        <v>-0.70244949229701703</v>
      </c>
      <c r="DW135" s="3">
        <f ca="1">IFERROR(__xludf.DUMMYFUNCTION("""COMPUTED_VALUE"""),-0.719495578979033)</f>
        <v>-0.71949557897903305</v>
      </c>
      <c r="DX135" s="3">
        <f ca="1">IFERROR(__xludf.DUMMYFUNCTION("""COMPUTED_VALUE"""),-0.706871149616112)</f>
        <v>-0.70687114961611197</v>
      </c>
      <c r="DY135" s="3">
        <f ca="1">IFERROR(__xludf.DUMMYFUNCTION("""COMPUTED_VALUE"""),-0.674097769733686)</f>
        <v>-0.67409776973368596</v>
      </c>
      <c r="DZ135" s="3">
        <f ca="1">IFERROR(__xludf.DUMMYFUNCTION("""COMPUTED_VALUE"""),-0.556386099528771)</f>
        <v>-0.55638609952877105</v>
      </c>
      <c r="EA135" s="3">
        <f ca="1">IFERROR(__xludf.DUMMYFUNCTION("""COMPUTED_VALUE"""),-0.547289396390865)</f>
        <v>-0.54728939639086505</v>
      </c>
      <c r="EB135" s="3">
        <f ca="1">IFERROR(__xludf.DUMMYFUNCTION("""COMPUTED_VALUE"""),-0.64827899955884)</f>
        <v>-0.64827899955884005</v>
      </c>
      <c r="EC135" s="3">
        <f ca="1">IFERROR(__xludf.DUMMYFUNCTION("""COMPUTED_VALUE"""),-0.639796289722782)</f>
        <v>-0.63979628972278202</v>
      </c>
      <c r="ED135" s="3">
        <f ca="1">IFERROR(__xludf.DUMMYFUNCTION("""COMPUTED_VALUE"""),-0.687658915383679)</f>
        <v>-0.68765891538367896</v>
      </c>
      <c r="EE135" s="3">
        <f ca="1">IFERROR(__xludf.DUMMYFUNCTION("""COMPUTED_VALUE"""),-0.692920653438015)</f>
        <v>-0.69292065343801501</v>
      </c>
      <c r="EF135" s="3">
        <f ca="1">IFERROR(__xludf.DUMMYFUNCTION("""COMPUTED_VALUE"""),-0.672603721803787)</f>
        <v>-0.67260372180378702</v>
      </c>
      <c r="EG135" s="3">
        <f ca="1">IFERROR(__xludf.DUMMYFUNCTION("""COMPUTED_VALUE"""),-0.568143821277145)</f>
        <v>-0.56814382127714502</v>
      </c>
      <c r="EH135" s="3">
        <f ca="1">IFERROR(__xludf.DUMMYFUNCTION("""COMPUTED_VALUE"""),-0.590099626026114)</f>
        <v>-0.59009962602611399</v>
      </c>
      <c r="EI135" s="3">
        <f ca="1">IFERROR(__xludf.DUMMYFUNCTION("""COMPUTED_VALUE"""),-0.711086795080762)</f>
        <v>-0.711086795080762</v>
      </c>
      <c r="EJ135" s="3">
        <f ca="1">IFERROR(__xludf.DUMMYFUNCTION("""COMPUTED_VALUE"""),-0.788105451047585)</f>
        <v>-0.788105451047585</v>
      </c>
      <c r="EK135" s="3">
        <f ca="1">IFERROR(__xludf.DUMMYFUNCTION("""COMPUTED_VALUE"""),-0.720548626766093)</f>
        <v>-0.72054862676609299</v>
      </c>
      <c r="EL135" s="3">
        <f ca="1">IFERROR(__xludf.DUMMYFUNCTION("""COMPUTED_VALUE"""),-0.698673709697667)</f>
        <v>-0.69867370969766696</v>
      </c>
      <c r="EM135" s="3">
        <f ca="1">IFERROR(__xludf.DUMMYFUNCTION("""COMPUTED_VALUE"""),-0.661190306860302)</f>
        <v>-0.661190306860302</v>
      </c>
      <c r="EN135" s="3">
        <f ca="1">IFERROR(__xludf.DUMMYFUNCTION("""COMPUTED_VALUE"""),-0.528869710955232)</f>
        <v>-0.52886971095523205</v>
      </c>
      <c r="EO135" s="3">
        <f ca="1">IFERROR(__xludf.DUMMYFUNCTION("""COMPUTED_VALUE"""),-0.557116112177892)</f>
        <v>-0.55711611217789203</v>
      </c>
      <c r="EP135" s="3">
        <f ca="1">IFERROR(__xludf.DUMMYFUNCTION("""COMPUTED_VALUE"""),-0.68924626146261)</f>
        <v>-0.68924626146261003</v>
      </c>
      <c r="EQ135" s="3">
        <f ca="1">IFERROR(__xludf.DUMMYFUNCTION("""COMPUTED_VALUE"""),-0.659189624694251)</f>
        <v>-0.65918962469425102</v>
      </c>
      <c r="ER135" s="3">
        <f ca="1">IFERROR(__xludf.DUMMYFUNCTION("""COMPUTED_VALUE"""),-0.711877066916901)</f>
        <v>-0.711877066916901</v>
      </c>
      <c r="ES135" s="3">
        <f ca="1">IFERROR(__xludf.DUMMYFUNCTION("""COMPUTED_VALUE"""),-0.705008765329396)</f>
        <v>-0.70500876532939605</v>
      </c>
      <c r="ET135" s="3">
        <f ca="1">IFERROR(__xludf.DUMMYFUNCTION("""COMPUTED_VALUE"""),-0.66458042826517)</f>
        <v>-0.66458042826517005</v>
      </c>
      <c r="EU135" s="3">
        <f ca="1">IFERROR(__xludf.DUMMYFUNCTION("""COMPUTED_VALUE"""),-0.516038581046949)</f>
        <v>-0.516038581046949</v>
      </c>
      <c r="EV135" s="3">
        <f ca="1">IFERROR(__xludf.DUMMYFUNCTION("""COMPUTED_VALUE"""),-0.553103880403489)</f>
        <v>-0.55310388040348901</v>
      </c>
      <c r="EW135" s="3">
        <f ca="1">IFERROR(__xludf.DUMMYFUNCTION("""COMPUTED_VALUE"""),-0.705833677985628)</f>
        <v>-0.70583367798562802</v>
      </c>
      <c r="EX135" s="3">
        <f ca="1">IFERROR(__xludf.DUMMYFUNCTION("""COMPUTED_VALUE"""),-0.701143707096109)</f>
        <v>-0.70114370709610896</v>
      </c>
      <c r="EY135" s="3">
        <f ca="1">IFERROR(__xludf.DUMMYFUNCTION("""COMPUTED_VALUE"""),-0.727039030107949)</f>
        <v>-0.72703903010794901</v>
      </c>
      <c r="EZ135" s="3">
        <f ca="1">IFERROR(__xludf.DUMMYFUNCTION("""COMPUTED_VALUE"""),-0.713495767912125)</f>
        <v>-0.71349576791212499</v>
      </c>
      <c r="FA135" s="3">
        <f ca="1">IFERROR(__xludf.DUMMYFUNCTION("""COMPUTED_VALUE"""),-0.683280378890669)</f>
        <v>-0.68328037889066895</v>
      </c>
      <c r="FB135" s="3">
        <f ca="1">IFERROR(__xludf.DUMMYFUNCTION("""COMPUTED_VALUE"""),-0.565473252850838)</f>
        <v>-0.56547325285083805</v>
      </c>
      <c r="FC135" s="3">
        <f ca="1">IFERROR(__xludf.DUMMYFUNCTION("""COMPUTED_VALUE"""),-0.536076929734246)</f>
        <v>-0.53607692973424603</v>
      </c>
      <c r="FD135" s="3">
        <f ca="1">IFERROR(__xludf.DUMMYFUNCTION("""COMPUTED_VALUE"""),-0.722219135842507)</f>
        <v>-0.72221913584250697</v>
      </c>
      <c r="FE135" s="3">
        <f ca="1">IFERROR(__xludf.DUMMYFUNCTION("""COMPUTED_VALUE"""),-0.733089235415545)</f>
        <v>-0.73308923541554505</v>
      </c>
      <c r="FF135" s="3">
        <f ca="1">IFERROR(__xludf.DUMMYFUNCTION("""COMPUTED_VALUE"""),-0.718503010503481)</f>
        <v>-0.71850301050348098</v>
      </c>
      <c r="FG135" s="3">
        <f ca="1">IFERROR(__xludf.DUMMYFUNCTION("""COMPUTED_VALUE"""),-0.724379562657503)</f>
        <v>-0.72437956265750303</v>
      </c>
      <c r="FH135" s="3">
        <f ca="1">IFERROR(__xludf.DUMMYFUNCTION("""COMPUTED_VALUE"""),-0.638245248674825)</f>
        <v>-0.63824524867482502</v>
      </c>
      <c r="FI135" s="3">
        <f ca="1">IFERROR(__xludf.DUMMYFUNCTION("""COMPUTED_VALUE"""),-0.512227719834122)</f>
        <v>-0.51222771983412196</v>
      </c>
      <c r="FJ135" s="3">
        <f ca="1">IFERROR(__xludf.DUMMYFUNCTION("""COMPUTED_VALUE"""),-0.538434862444094)</f>
        <v>-0.538434862444094</v>
      </c>
      <c r="FK135" s="3">
        <f ca="1">IFERROR(__xludf.DUMMYFUNCTION("""COMPUTED_VALUE"""),-0.727656609021348)</f>
        <v>-0.72765660902134799</v>
      </c>
      <c r="FL135" s="3">
        <f ca="1">IFERROR(__xludf.DUMMYFUNCTION("""COMPUTED_VALUE"""),-0.729502299290162)</f>
        <v>-0.72950229929016197</v>
      </c>
      <c r="FM135" s="3">
        <f ca="1">IFERROR(__xludf.DUMMYFUNCTION("""COMPUTED_VALUE"""),-0.720184533560282)</f>
        <v>-0.720184533560282</v>
      </c>
      <c r="FN135" s="3">
        <f ca="1">IFERROR(__xludf.DUMMYFUNCTION("""COMPUTED_VALUE"""),-0.733539137143438)</f>
        <v>-0.73353913714343799</v>
      </c>
      <c r="FO135" s="3">
        <f ca="1">IFERROR(__xludf.DUMMYFUNCTION("""COMPUTED_VALUE"""),-0.691790091633198)</f>
        <v>-0.69179009163319805</v>
      </c>
      <c r="FP135" s="3">
        <f ca="1">IFERROR(__xludf.DUMMYFUNCTION("""COMPUTED_VALUE"""),-0.589474506057546)</f>
        <v>-0.58947450605754603</v>
      </c>
      <c r="FQ135" s="3">
        <f ca="1">IFERROR(__xludf.DUMMYFUNCTION("""COMPUTED_VALUE"""),-0.589788957396069)</f>
        <v>-0.58978895739606896</v>
      </c>
      <c r="FR135" s="3">
        <f ca="1">IFERROR(__xludf.DUMMYFUNCTION("""COMPUTED_VALUE"""),-0.734156153211651)</f>
        <v>-0.73415615321165095</v>
      </c>
      <c r="FS135" s="3">
        <f ca="1">IFERROR(__xludf.DUMMYFUNCTION("""COMPUTED_VALUE"""),-0.717035435365493)</f>
        <v>-0.71703543536549297</v>
      </c>
      <c r="FT135" s="3">
        <f ca="1">IFERROR(__xludf.DUMMYFUNCTION("""COMPUTED_VALUE"""),-0.712737287819137)</f>
        <v>-0.71273728781913703</v>
      </c>
      <c r="FU135" s="3">
        <f ca="1">IFERROR(__xludf.DUMMYFUNCTION("""COMPUTED_VALUE"""),-0.720907012641722)</f>
        <v>-0.72090701264172197</v>
      </c>
      <c r="FV135" s="3">
        <f ca="1">IFERROR(__xludf.DUMMYFUNCTION("""COMPUTED_VALUE"""),-0.650299190871834)</f>
        <v>-0.65029919087183397</v>
      </c>
      <c r="FW135" s="3">
        <f ca="1">IFERROR(__xludf.DUMMYFUNCTION("""COMPUTED_VALUE"""),-0.55241198310345)</f>
        <v>-0.55241198310344997</v>
      </c>
      <c r="FX135" s="3">
        <f ca="1">IFERROR(__xludf.DUMMYFUNCTION("""COMPUTED_VALUE"""),-0.591397954211917)</f>
        <v>-0.59139795421191699</v>
      </c>
      <c r="FY135" s="3">
        <f ca="1">IFERROR(__xludf.DUMMYFUNCTION("""COMPUTED_VALUE"""),-0.700020223309114)</f>
        <v>-0.70002022330911395</v>
      </c>
      <c r="FZ135" s="3">
        <f ca="1">IFERROR(__xludf.DUMMYFUNCTION("""COMPUTED_VALUE"""),-0.710146402587456)</f>
        <v>-0.71014640258745598</v>
      </c>
      <c r="GA135" s="3">
        <f ca="1">IFERROR(__xludf.DUMMYFUNCTION("""COMPUTED_VALUE"""),-0.717294430226715)</f>
        <v>-0.71729443022671502</v>
      </c>
      <c r="GB135" s="3">
        <f ca="1">IFERROR(__xludf.DUMMYFUNCTION("""COMPUTED_VALUE"""),-0.727706748355451)</f>
        <v>-0.72770674835545102</v>
      </c>
      <c r="GC135" s="3">
        <f ca="1">IFERROR(__xludf.DUMMYFUNCTION("""COMPUTED_VALUE"""),-0.696232940603562)</f>
        <v>-0.696232940603562</v>
      </c>
      <c r="GD135" s="3">
        <f ca="1">IFERROR(__xludf.DUMMYFUNCTION("""COMPUTED_VALUE"""),-0.60820982588736)</f>
        <v>-0.60820982588735995</v>
      </c>
      <c r="GE135" s="3">
        <f ca="1">IFERROR(__xludf.DUMMYFUNCTION("""COMPUTED_VALUE"""),-0.6120288014871)</f>
        <v>-0.61202880148710004</v>
      </c>
      <c r="GF135" s="3">
        <f ca="1">IFERROR(__xludf.DUMMYFUNCTION("""COMPUTED_VALUE"""),-0.707348557703333)</f>
        <v>-0.70734855770333305</v>
      </c>
      <c r="GG135" s="3">
        <f ca="1">IFERROR(__xludf.DUMMYFUNCTION("""COMPUTED_VALUE"""),-0.736563997389589)</f>
        <v>-0.736563997389589</v>
      </c>
      <c r="GH135" s="3">
        <f ca="1">IFERROR(__xludf.DUMMYFUNCTION("""COMPUTED_VALUE"""),-0.723456382915041)</f>
        <v>-0.723456382915041</v>
      </c>
      <c r="GI135" s="3">
        <f ca="1">IFERROR(__xludf.DUMMYFUNCTION("""COMPUTED_VALUE"""),-0.730884825629941)</f>
        <v>-0.73088482562994095</v>
      </c>
      <c r="GJ135" s="3">
        <f ca="1">IFERROR(__xludf.DUMMYFUNCTION("""COMPUTED_VALUE"""),-0.676757004749399)</f>
        <v>-0.67675700474939904</v>
      </c>
      <c r="GK135" s="3">
        <f ca="1">IFERROR(__xludf.DUMMYFUNCTION("""COMPUTED_VALUE"""),-0.579752433110628)</f>
        <v>-0.57975243311062796</v>
      </c>
      <c r="GL135" s="3">
        <f ca="1">IFERROR(__xludf.DUMMYFUNCTION("""COMPUTED_VALUE"""),-0.577376747161521)</f>
        <v>-0.57737674716152099</v>
      </c>
      <c r="GM135" s="3">
        <f ca="1">IFERROR(__xludf.DUMMYFUNCTION("""COMPUTED_VALUE"""),-0.712549369916211)</f>
        <v>-0.71254936991621098</v>
      </c>
      <c r="GN135" s="3">
        <f ca="1">IFERROR(__xludf.DUMMYFUNCTION("""COMPUTED_VALUE"""),-0.713040426176956)</f>
        <v>-0.71304042617695595</v>
      </c>
      <c r="GO135" s="3">
        <f ca="1">IFERROR(__xludf.DUMMYFUNCTION("""COMPUTED_VALUE"""),-0.715174914183584)</f>
        <v>-0.71517491418358403</v>
      </c>
      <c r="GP135" s="3">
        <f ca="1">IFERROR(__xludf.DUMMYFUNCTION("""COMPUTED_VALUE"""),-0.722712580789111)</f>
        <v>-0.72271258078911105</v>
      </c>
      <c r="GQ135" s="3">
        <f ca="1">IFERROR(__xludf.DUMMYFUNCTION("""COMPUTED_VALUE"""),-0.678975258241186)</f>
        <v>-0.67897525824118599</v>
      </c>
      <c r="GR135" s="3">
        <f ca="1">IFERROR(__xludf.DUMMYFUNCTION("""COMPUTED_VALUE"""),-0.508958473028549)</f>
        <v>-0.50895847302854902</v>
      </c>
      <c r="GS135" s="3">
        <f ca="1">IFERROR(__xludf.DUMMYFUNCTION("""COMPUTED_VALUE"""),-0.54752593447962)</f>
        <v>-0.54752593447961995</v>
      </c>
      <c r="GT135" s="3">
        <f ca="1">IFERROR(__xludf.DUMMYFUNCTION("""COMPUTED_VALUE"""),-0.700105940621572)</f>
        <v>-0.70010594062157205</v>
      </c>
      <c r="GU135" s="3">
        <f ca="1">IFERROR(__xludf.DUMMYFUNCTION("""COMPUTED_VALUE"""),-0.708185663946473)</f>
        <v>-0.70818566394647298</v>
      </c>
      <c r="GV135" s="3">
        <f ca="1">IFERROR(__xludf.DUMMYFUNCTION("""COMPUTED_VALUE"""),-0.723538139815075)</f>
        <v>-0.72353813981507498</v>
      </c>
      <c r="GW135" s="3">
        <f ca="1">IFERROR(__xludf.DUMMYFUNCTION("""COMPUTED_VALUE"""),-0.686512192491366)</f>
        <v>-0.68651219249136597</v>
      </c>
      <c r="GX135" s="3">
        <f ca="1">IFERROR(__xludf.DUMMYFUNCTION("""COMPUTED_VALUE"""),-0.619869922944109)</f>
        <v>-0.61986992294410903</v>
      </c>
      <c r="GY135" s="3">
        <f ca="1">IFERROR(__xludf.DUMMYFUNCTION("""COMPUTED_VALUE"""),-0.474250287553399)</f>
        <v>-0.47425028755339899</v>
      </c>
      <c r="GZ135" s="3">
        <f ca="1">IFERROR(__xludf.DUMMYFUNCTION("""COMPUTED_VALUE"""),-0.574976680483398)</f>
        <v>-0.57497668048339801</v>
      </c>
      <c r="HA135" s="3">
        <f ca="1">IFERROR(__xludf.DUMMYFUNCTION("""COMPUTED_VALUE"""),-0.696693767595976)</f>
        <v>-0.69669376759597601</v>
      </c>
      <c r="HB135" s="3">
        <f ca="1">IFERROR(__xludf.DUMMYFUNCTION("""COMPUTED_VALUE"""),-0.723674944876189)</f>
        <v>-0.723674944876189</v>
      </c>
      <c r="HC135" s="3">
        <f ca="1">IFERROR(__xludf.DUMMYFUNCTION("""COMPUTED_VALUE"""),-0.712586675732541)</f>
        <v>-0.71258667573254098</v>
      </c>
      <c r="HD135" s="3">
        <f ca="1">IFERROR(__xludf.DUMMYFUNCTION("""COMPUTED_VALUE"""),-0.72088147855047)</f>
        <v>-0.72088147855047002</v>
      </c>
      <c r="HE135" s="3">
        <f ca="1">IFERROR(__xludf.DUMMYFUNCTION("""COMPUTED_VALUE"""),-0.686122385715034)</f>
        <v>-0.68612238571503403</v>
      </c>
      <c r="HF135" s="3">
        <f ca="1">IFERROR(__xludf.DUMMYFUNCTION("""COMPUTED_VALUE"""),-0.563862849577121)</f>
        <v>-0.56386284957712096</v>
      </c>
      <c r="HG135" s="3">
        <f ca="1">IFERROR(__xludf.DUMMYFUNCTION("""COMPUTED_VALUE"""),-0.614575294264388)</f>
        <v>-0.61457529426438795</v>
      </c>
      <c r="HH135" s="3">
        <f ca="1">IFERROR(__xludf.DUMMYFUNCTION("""COMPUTED_VALUE"""),-0.690351165891127)</f>
        <v>-0.69035116589112699</v>
      </c>
      <c r="HI135" s="3">
        <f ca="1">IFERROR(__xludf.DUMMYFUNCTION("""COMPUTED_VALUE"""),-0.675123839978163)</f>
        <v>-0.67512383997816305</v>
      </c>
      <c r="HJ135" s="3">
        <f ca="1">IFERROR(__xludf.DUMMYFUNCTION("""COMPUTED_VALUE"""),-0.681699386565134)</f>
        <v>-0.68169938656513396</v>
      </c>
      <c r="HK135" s="3">
        <f ca="1">IFERROR(__xludf.DUMMYFUNCTION("""COMPUTED_VALUE"""),-0.651828212950349)</f>
        <v>-0.65182821295034898</v>
      </c>
      <c r="HL135" s="3">
        <f ca="1">IFERROR(__xludf.DUMMYFUNCTION("""COMPUTED_VALUE"""),-0.6273935068655)</f>
        <v>-0.62739350686549999</v>
      </c>
      <c r="HM135" s="3">
        <f ca="1">IFERROR(__xludf.DUMMYFUNCTION("""COMPUTED_VALUE"""),-0.522058997285529)</f>
        <v>-0.52205899728552896</v>
      </c>
      <c r="HN135" s="3">
        <f ca="1">IFERROR(__xludf.DUMMYFUNCTION("""COMPUTED_VALUE"""),-0.593547515579173)</f>
        <v>-0.59354751557917296</v>
      </c>
      <c r="HO135" s="3">
        <f ca="1">IFERROR(__xludf.DUMMYFUNCTION("""COMPUTED_VALUE"""),-0.635683195572531)</f>
        <v>-0.63568319557253095</v>
      </c>
      <c r="HP135" s="3">
        <f ca="1">IFERROR(__xludf.DUMMYFUNCTION("""COMPUTED_VALUE"""),-0.644983209601412)</f>
        <v>-0.64498320960141198</v>
      </c>
      <c r="HQ135" s="3">
        <f ca="1">IFERROR(__xludf.DUMMYFUNCTION("""COMPUTED_VALUE"""),-0.65698140585855)</f>
        <v>-0.65698140585855003</v>
      </c>
      <c r="HR135" s="3">
        <f ca="1">IFERROR(__xludf.DUMMYFUNCTION("""COMPUTED_VALUE"""),-0.631126982933881)</f>
        <v>-0.63112698293388103</v>
      </c>
      <c r="HS135" s="3">
        <f ca="1">IFERROR(__xludf.DUMMYFUNCTION("""COMPUTED_VALUE"""),-0.615948226265771)</f>
        <v>-0.61594822626577095</v>
      </c>
      <c r="HT135" s="3">
        <f ca="1">IFERROR(__xludf.DUMMYFUNCTION("""COMPUTED_VALUE"""),-0.583422254261297)</f>
        <v>-0.58342225426129701</v>
      </c>
      <c r="HU135" s="3">
        <f ca="1">IFERROR(__xludf.DUMMYFUNCTION("""COMPUTED_VALUE"""),-0.550877050342552)</f>
        <v>-0.55087705034255197</v>
      </c>
      <c r="HV135" s="3">
        <f ca="1">IFERROR(__xludf.DUMMYFUNCTION("""COMPUTED_VALUE"""),-0.628843023050482)</f>
        <v>-0.62884302305048201</v>
      </c>
      <c r="HW135" s="3">
        <f ca="1">IFERROR(__xludf.DUMMYFUNCTION("""COMPUTED_VALUE"""),-0.65999347438891)</f>
        <v>-0.65999347438890998</v>
      </c>
      <c r="HX135" s="3">
        <f ca="1">IFERROR(__xludf.DUMMYFUNCTION("""COMPUTED_VALUE"""),-0.674048849079156)</f>
        <v>-0.67404884907915597</v>
      </c>
      <c r="HY135" s="3">
        <f ca="1">IFERROR(__xludf.DUMMYFUNCTION("""COMPUTED_VALUE"""),-0.647062522092493)</f>
        <v>-0.64706252209249304</v>
      </c>
      <c r="HZ135" s="3">
        <f ca="1">IFERROR(__xludf.DUMMYFUNCTION("""COMPUTED_VALUE"""),-0.594162857529278)</f>
        <v>-0.594162857529278</v>
      </c>
      <c r="IA135" s="3">
        <f ca="1">IFERROR(__xludf.DUMMYFUNCTION("""COMPUTED_VALUE"""),-0.603421460835264)</f>
        <v>-0.60342146083526405</v>
      </c>
      <c r="IB135" s="3">
        <f ca="1">IFERROR(__xludf.DUMMYFUNCTION("""COMPUTED_VALUE"""),-0.557567814582236)</f>
        <v>-0.55756781458223603</v>
      </c>
      <c r="IC135" s="3">
        <f ca="1">IFERROR(__xludf.DUMMYFUNCTION("""COMPUTED_VALUE"""),-0.656515510495838)</f>
        <v>-0.65651551049583801</v>
      </c>
      <c r="ID135" s="3">
        <f ca="1">IFERROR(__xludf.DUMMYFUNCTION("""COMPUTED_VALUE"""),-0.664325406254708)</f>
        <v>-0.66432540625470804</v>
      </c>
      <c r="IE135" s="3">
        <f ca="1">IFERROR(__xludf.DUMMYFUNCTION("""COMPUTED_VALUE"""),-0.679630877485662)</f>
        <v>-0.67963087748566198</v>
      </c>
      <c r="IF135" s="3">
        <f ca="1">IFERROR(__xludf.DUMMYFUNCTION("""COMPUTED_VALUE"""),-0.652771022414801)</f>
        <v>-0.65277102241480101</v>
      </c>
      <c r="IG135" s="3">
        <f ca="1">IFERROR(__xludf.DUMMYFUNCTION("""COMPUTED_VALUE"""),-0.642956919473729)</f>
        <v>-0.64295691947372902</v>
      </c>
      <c r="IH135" s="3">
        <f ca="1">IFERROR(__xludf.DUMMYFUNCTION("""COMPUTED_VALUE"""),-0.552728789504737)</f>
        <v>-0.55272878950473703</v>
      </c>
      <c r="II135" s="3">
        <f ca="1">IFERROR(__xludf.DUMMYFUNCTION("""COMPUTED_VALUE"""),-0.57819634577267)</f>
        <v>-0.57819634577266998</v>
      </c>
      <c r="IJ135" s="3">
        <f ca="1">IFERROR(__xludf.DUMMYFUNCTION("""COMPUTED_VALUE"""),-0.640096896384743)</f>
        <v>-0.64009689638474299</v>
      </c>
      <c r="IK135" s="3">
        <f ca="1">IFERROR(__xludf.DUMMYFUNCTION("""COMPUTED_VALUE"""),-0.668492938701186)</f>
        <v>-0.66849293870118598</v>
      </c>
      <c r="IL135" s="3">
        <f ca="1">IFERROR(__xludf.DUMMYFUNCTION("""COMPUTED_VALUE"""),-0.678185322860302)</f>
        <v>-0.67818532286030198</v>
      </c>
      <c r="IM135" s="3">
        <f ca="1">IFERROR(__xludf.DUMMYFUNCTION("""COMPUTED_VALUE"""),-0.665626198940102)</f>
        <v>-0.665626198940102</v>
      </c>
      <c r="IN135" s="3">
        <f ca="1">IFERROR(__xludf.DUMMYFUNCTION("""COMPUTED_VALUE"""),-0.672366183750423)</f>
        <v>-0.67236618375042301</v>
      </c>
      <c r="IO135" s="3">
        <f ca="1">IFERROR(__xludf.DUMMYFUNCTION("""COMPUTED_VALUE"""),-0.592076939319972)</f>
        <v>-0.59207693931997196</v>
      </c>
      <c r="IP135" s="3">
        <f ca="1">IFERROR(__xludf.DUMMYFUNCTION("""COMPUTED_VALUE"""),-0.594024782228183)</f>
        <v>-0.594024782228183</v>
      </c>
      <c r="IQ135" s="3">
        <f ca="1">IFERROR(__xludf.DUMMYFUNCTION("""COMPUTED_VALUE"""),-0.666395244394908)</f>
        <v>-0.66639524439490805</v>
      </c>
      <c r="IR135" s="3">
        <f ca="1">IFERROR(__xludf.DUMMYFUNCTION("""COMPUTED_VALUE"""),-0.69121746922164)</f>
        <v>-0.69121746922163996</v>
      </c>
      <c r="IS135" s="3">
        <f ca="1">IFERROR(__xludf.DUMMYFUNCTION("""COMPUTED_VALUE"""),-0.691057985120112)</f>
        <v>-0.69105798512011196</v>
      </c>
      <c r="IT135" s="3">
        <f ca="1">IFERROR(__xludf.DUMMYFUNCTION("""COMPUTED_VALUE"""),-0.698513708056995)</f>
        <v>-0.69851370805699498</v>
      </c>
      <c r="IU135" s="3">
        <f ca="1">IFERROR(__xludf.DUMMYFUNCTION("""COMPUTED_VALUE"""),-0.657102990498)</f>
        <v>-0.65710299049800003</v>
      </c>
      <c r="IV135" s="3">
        <f ca="1">IFERROR(__xludf.DUMMYFUNCTION("""COMPUTED_VALUE"""),-0.571034375667766)</f>
        <v>-0.57103437566776605</v>
      </c>
      <c r="IW135" s="3">
        <f ca="1">IFERROR(__xludf.DUMMYFUNCTION("""COMPUTED_VALUE"""),-0.600876442960621)</f>
        <v>-0.60087644296062104</v>
      </c>
      <c r="IX135" s="3">
        <f ca="1">IFERROR(__xludf.DUMMYFUNCTION("""COMPUTED_VALUE"""),-0.671888206598439)</f>
        <v>-0.67188820659843895</v>
      </c>
      <c r="IY135" s="3">
        <f ca="1">IFERROR(__xludf.DUMMYFUNCTION("""COMPUTED_VALUE"""),-0.697542877717139)</f>
        <v>-0.69754287771713896</v>
      </c>
      <c r="IZ135" s="3">
        <f ca="1">IFERROR(__xludf.DUMMYFUNCTION("""COMPUTED_VALUE"""),-0.681709987375636)</f>
        <v>-0.68170998737563604</v>
      </c>
      <c r="JA135" s="3">
        <f ca="1">IFERROR(__xludf.DUMMYFUNCTION("""COMPUTED_VALUE"""),-0.674212962046409)</f>
        <v>-0.67421296204640901</v>
      </c>
      <c r="JB135" s="3">
        <f ca="1">IFERROR(__xludf.DUMMYFUNCTION("""COMPUTED_VALUE"""),-0.624789632442146)</f>
        <v>-0.62478963244214603</v>
      </c>
      <c r="JC135" s="3">
        <f ca="1">IFERROR(__xludf.DUMMYFUNCTION("""COMPUTED_VALUE"""),-0.594298701475775)</f>
        <v>-0.59429870147577502</v>
      </c>
      <c r="JD135" s="3">
        <f ca="1">IFERROR(__xludf.DUMMYFUNCTION("""COMPUTED_VALUE"""),-0.612067557216844)</f>
        <v>-0.61206755721684403</v>
      </c>
      <c r="JE135" s="3">
        <f ca="1">IFERROR(__xludf.DUMMYFUNCTION("""COMPUTED_VALUE"""),-0.698823059817009)</f>
        <v>-0.69882305981700898</v>
      </c>
      <c r="JF135" s="3">
        <f ca="1">IFERROR(__xludf.DUMMYFUNCTION("""COMPUTED_VALUE"""),-0.706977346054144)</f>
        <v>-0.70697734605414397</v>
      </c>
      <c r="JG135" s="3">
        <f ca="1">IFERROR(__xludf.DUMMYFUNCTION("""COMPUTED_VALUE"""),-0.703773528613251)</f>
        <v>-0.70377352861325104</v>
      </c>
      <c r="JH135" s="3">
        <f ca="1">IFERROR(__xludf.DUMMYFUNCTION("""COMPUTED_VALUE"""),-0.693979833980318)</f>
        <v>-0.69397983398031804</v>
      </c>
      <c r="JI135" s="3">
        <f ca="1">IFERROR(__xludf.DUMMYFUNCTION("""COMPUTED_VALUE"""),-0.660096708233017)</f>
        <v>-0.66009670823301703</v>
      </c>
      <c r="JJ135" s="3">
        <f ca="1">IFERROR(__xludf.DUMMYFUNCTION("""COMPUTED_VALUE"""),-0.623568902247337)</f>
        <v>-0.62356890224733696</v>
      </c>
      <c r="JK135" s="3">
        <f ca="1">IFERROR(__xludf.DUMMYFUNCTION("""COMPUTED_VALUE"""),-0.607813284243819)</f>
        <v>-0.60781328424381897</v>
      </c>
      <c r="JL135" s="3">
        <f ca="1">IFERROR(__xludf.DUMMYFUNCTION("""COMPUTED_VALUE"""),-0.711482496551373)</f>
        <v>-0.71148249655137297</v>
      </c>
      <c r="JM135" s="3">
        <f ca="1">IFERROR(__xludf.DUMMYFUNCTION("""COMPUTED_VALUE"""),-0.706247947050188)</f>
        <v>-0.70624794705018801</v>
      </c>
      <c r="JN135" s="3">
        <f ca="1">IFERROR(__xludf.DUMMYFUNCTION("""COMPUTED_VALUE"""),-0.677685355743631)</f>
        <v>-0.67768535574363098</v>
      </c>
      <c r="JO135" s="3">
        <f ca="1">IFERROR(__xludf.DUMMYFUNCTION("""COMPUTED_VALUE"""),-0.700168191711319)</f>
        <v>-0.70016819171131905</v>
      </c>
      <c r="JP135" s="3">
        <f ca="1">IFERROR(__xludf.DUMMYFUNCTION("""COMPUTED_VALUE"""),-0.653885753972414)</f>
        <v>-0.653885753972414</v>
      </c>
      <c r="JQ135" s="3">
        <f ca="1">IFERROR(__xludf.DUMMYFUNCTION("""COMPUTED_VALUE"""),-0.640390445248795)</f>
        <v>-0.64039044524879496</v>
      </c>
      <c r="JR135" s="3">
        <f ca="1">IFERROR(__xludf.DUMMYFUNCTION("""COMPUTED_VALUE"""),-0.593796436805772)</f>
        <v>-0.59379643680577199</v>
      </c>
      <c r="JS135" s="3">
        <f ca="1">IFERROR(__xludf.DUMMYFUNCTION("""COMPUTED_VALUE"""),-0.655985402822614)</f>
        <v>-0.65598540282261397</v>
      </c>
      <c r="JT135" s="3">
        <f ca="1">IFERROR(__xludf.DUMMYFUNCTION("""COMPUTED_VALUE"""),-0.668484214453063)</f>
        <v>-0.66848421445306305</v>
      </c>
      <c r="JU135" s="3">
        <f ca="1">IFERROR(__xludf.DUMMYFUNCTION("""COMPUTED_VALUE"""),-0.70712846694053)</f>
        <v>-0.70712846694053</v>
      </c>
      <c r="JV135" s="3">
        <f ca="1">IFERROR(__xludf.DUMMYFUNCTION("""COMPUTED_VALUE"""),-0.690711620275253)</f>
        <v>-0.69071162027525301</v>
      </c>
      <c r="JW135" s="3">
        <f ca="1">IFERROR(__xludf.DUMMYFUNCTION("""COMPUTED_VALUE"""),-0.674867585206091)</f>
        <v>-0.67486758520609103</v>
      </c>
      <c r="JX135" s="3">
        <f ca="1">IFERROR(__xludf.DUMMYFUNCTION("""COMPUTED_VALUE"""),-0.637118785648318)</f>
        <v>-0.63711878564831803</v>
      </c>
      <c r="JY135" s="3">
        <f ca="1">IFERROR(__xludf.DUMMYFUNCTION("""COMPUTED_VALUE"""),-0.668171930151691)</f>
        <v>-0.66817193015169096</v>
      </c>
      <c r="JZ135" s="3">
        <f ca="1">IFERROR(__xludf.DUMMYFUNCTION("""COMPUTED_VALUE"""),-0.589076181606784)</f>
        <v>-0.58907618160678399</v>
      </c>
      <c r="KA135" s="3">
        <f ca="1">IFERROR(__xludf.DUMMYFUNCTION("""COMPUTED_VALUE"""),-0.692858600304164)</f>
        <v>-0.69285860030416402</v>
      </c>
      <c r="KB135" s="3">
        <f ca="1">IFERROR(__xludf.DUMMYFUNCTION("""COMPUTED_VALUE"""),-0.706822252385544)</f>
        <v>-0.70682225238554397</v>
      </c>
      <c r="KC135" s="3">
        <f ca="1">IFERROR(__xludf.DUMMYFUNCTION("""COMPUTED_VALUE"""),-0.726534447446565)</f>
        <v>-0.72653444744656503</v>
      </c>
      <c r="KD135" s="3">
        <f ca="1">IFERROR(__xludf.DUMMYFUNCTION("""COMPUTED_VALUE"""),-0.671665427820928)</f>
        <v>-0.67166542782092797</v>
      </c>
      <c r="KE135" s="3">
        <f ca="1">IFERROR(__xludf.DUMMYFUNCTION("""COMPUTED_VALUE"""),-0.664526509355513)</f>
        <v>-0.66452650935551305</v>
      </c>
      <c r="KF135" s="3">
        <f ca="1">IFERROR(__xludf.DUMMYFUNCTION("""COMPUTED_VALUE"""),-0.651928083176765)</f>
        <v>-0.65192808317676498</v>
      </c>
      <c r="KG135" s="3">
        <f ca="1">IFERROR(__xludf.DUMMYFUNCTION("""COMPUTED_VALUE"""),-0.619141851385831)</f>
        <v>-0.619141851385831</v>
      </c>
      <c r="KH135" s="3">
        <f ca="1">IFERROR(__xludf.DUMMYFUNCTION("""COMPUTED_VALUE"""),-0.636791180994227)</f>
        <v>-0.63679118099422705</v>
      </c>
      <c r="KI135" s="3">
        <f ca="1">IFERROR(__xludf.DUMMYFUNCTION("""COMPUTED_VALUE"""),-0.673764151165684)</f>
        <v>-0.673764151165684</v>
      </c>
      <c r="KJ135" s="3">
        <f ca="1">IFERROR(__xludf.DUMMYFUNCTION("""COMPUTED_VALUE"""),-0.699673926530656)</f>
        <v>-0.69967392653065597</v>
      </c>
      <c r="KK135" s="3">
        <f ca="1">IFERROR(__xludf.DUMMYFUNCTION("""COMPUTED_VALUE"""),-0.665776660496495)</f>
        <v>-0.66577666049649498</v>
      </c>
      <c r="KL135" s="3">
        <f ca="1">IFERROR(__xludf.DUMMYFUNCTION("""COMPUTED_VALUE"""),-0.661005228876682)</f>
        <v>-0.66100522887668201</v>
      </c>
      <c r="KM135" s="3">
        <f ca="1">IFERROR(__xludf.DUMMYFUNCTION("""COMPUTED_VALUE"""),-0.631543810349996)</f>
        <v>-0.63154381034999596</v>
      </c>
      <c r="KN135" s="3">
        <f ca="1">IFERROR(__xludf.DUMMYFUNCTION("""COMPUTED_VALUE"""),-0.660945173203553)</f>
        <v>-0.66094517320355295</v>
      </c>
      <c r="KO135" s="3">
        <f ca="1">IFERROR(__xludf.DUMMYFUNCTION("""COMPUTED_VALUE"""),-0.69634919725598)</f>
        <v>-0.69634919725597999</v>
      </c>
      <c r="KP135" s="3">
        <f ca="1">IFERROR(__xludf.DUMMYFUNCTION("""COMPUTED_VALUE"""),-0.695802082886271)</f>
        <v>-0.69580208288627099</v>
      </c>
      <c r="KQ135" s="3">
        <f ca="1">IFERROR(__xludf.DUMMYFUNCTION("""COMPUTED_VALUE"""),-0.707134619526802)</f>
        <v>-0.70713461952680201</v>
      </c>
      <c r="KR135" s="3">
        <f ca="1">IFERROR(__xludf.DUMMYFUNCTION("""COMPUTED_VALUE"""),-0.701164120851119)</f>
        <v>-0.70116412085111901</v>
      </c>
      <c r="KS135" s="3">
        <f ca="1">IFERROR(__xludf.DUMMYFUNCTION("""COMPUTED_VALUE"""),-0.605874632562525)</f>
        <v>-0.60587463256252505</v>
      </c>
      <c r="KT135" s="3">
        <f ca="1">IFERROR(__xludf.DUMMYFUNCTION("""COMPUTED_VALUE"""),-0.623424410260629)</f>
        <v>-0.623424410260629</v>
      </c>
      <c r="KU135" s="3">
        <f ca="1">IFERROR(__xludf.DUMMYFUNCTION("""COMPUTED_VALUE"""),-0.711536739726652)</f>
        <v>-0.71153673972665199</v>
      </c>
      <c r="KV135" s="3">
        <f ca="1">IFERROR(__xludf.DUMMYFUNCTION("""COMPUTED_VALUE"""),-0.737393979594462)</f>
        <v>-0.73739397959446196</v>
      </c>
      <c r="KW135" s="3">
        <f ca="1">IFERROR(__xludf.DUMMYFUNCTION("""COMPUTED_VALUE"""),-0.72935768066109)</f>
        <v>-0.72935768066108997</v>
      </c>
      <c r="KX135" s="3">
        <f ca="1">IFERROR(__xludf.DUMMYFUNCTION("""COMPUTED_VALUE"""),-0.74974225511118)</f>
        <v>-0.74974225511117998</v>
      </c>
      <c r="KY135" s="3">
        <f ca="1">IFERROR(__xludf.DUMMYFUNCTION("""COMPUTED_VALUE"""),-0.695998965433228)</f>
        <v>-0.69599896543322803</v>
      </c>
      <c r="KZ135" s="3">
        <f ca="1">IFERROR(__xludf.DUMMYFUNCTION("""COMPUTED_VALUE"""),-0.707962373801897)</f>
        <v>-0.70796237380189697</v>
      </c>
      <c r="LA135" s="3">
        <f ca="1">IFERROR(__xludf.DUMMYFUNCTION("""COMPUTED_VALUE"""),-0.666847606301411)</f>
        <v>-0.66684760630141104</v>
      </c>
      <c r="LB135" s="3">
        <f ca="1">IFERROR(__xludf.DUMMYFUNCTION("""COMPUTED_VALUE"""),-0.751796074790519)</f>
        <v>-0.75179607479051902</v>
      </c>
      <c r="LC135" s="3">
        <f ca="1">IFERROR(__xludf.DUMMYFUNCTION("""COMPUTED_VALUE"""),-0.742040650645031)</f>
        <v>-0.742040650645031</v>
      </c>
      <c r="LD135" s="3">
        <f ca="1">IFERROR(__xludf.DUMMYFUNCTION("""COMPUTED_VALUE"""),-0.711981606358827)</f>
        <v>-0.71198160635882701</v>
      </c>
      <c r="LE135" s="3">
        <f ca="1">IFERROR(__xludf.DUMMYFUNCTION("""COMPUTED_VALUE"""),-0.724208580303356)</f>
        <v>-0.724208580303356</v>
      </c>
      <c r="LF135" s="3">
        <f ca="1">IFERROR(__xludf.DUMMYFUNCTION("""COMPUTED_VALUE"""),-0.641611240886931)</f>
        <v>-0.641611240886931</v>
      </c>
      <c r="LG135" s="3">
        <f ca="1">IFERROR(__xludf.DUMMYFUNCTION("""COMPUTED_VALUE"""),-0.642916545601715)</f>
        <v>-0.64291654560171496</v>
      </c>
      <c r="LH135" s="3">
        <f ca="1">IFERROR(__xludf.DUMMYFUNCTION("""COMPUTED_VALUE"""),-0.690913664692018)</f>
        <v>-0.69091366469201798</v>
      </c>
      <c r="LI135" s="3">
        <f ca="1">IFERROR(__xludf.DUMMYFUNCTION("""COMPUTED_VALUE"""),-0.693310766828684)</f>
        <v>-0.69331076682868398</v>
      </c>
      <c r="LJ135" s="3">
        <f ca="1">IFERROR(__xludf.DUMMYFUNCTION("""COMPUTED_VALUE"""),-0.736877177505597)</f>
        <v>-0.736877177505597</v>
      </c>
      <c r="LK135" s="3">
        <f ca="1">IFERROR(__xludf.DUMMYFUNCTION("""COMPUTED_VALUE"""),-0.705377222365216)</f>
        <v>-0.70537722236521605</v>
      </c>
      <c r="LL135" s="3">
        <f ca="1">IFERROR(__xludf.DUMMYFUNCTION("""COMPUTED_VALUE"""),-0.738517423777828)</f>
        <v>-0.73851742377782803</v>
      </c>
      <c r="LM135" s="3">
        <f ca="1">IFERROR(__xludf.DUMMYFUNCTION("""COMPUTED_VALUE"""),-0.746090552518392)</f>
        <v>-0.74609055251839196</v>
      </c>
      <c r="LN135" s="3">
        <f ca="1">IFERROR(__xludf.DUMMYFUNCTION("""COMPUTED_VALUE"""),-0.670241922807768)</f>
        <v>-0.67024192280776795</v>
      </c>
      <c r="LO135" s="3">
        <f ca="1">IFERROR(__xludf.DUMMYFUNCTION("""COMPUTED_VALUE"""),-0.732097091746347)</f>
        <v>-0.73209709174634696</v>
      </c>
      <c r="LP135" s="3">
        <f ca="1">IFERROR(__xludf.DUMMYFUNCTION("""COMPUTED_VALUE"""),-0.757473336704661)</f>
        <v>-0.75747333670466099</v>
      </c>
      <c r="LQ135" s="3">
        <f ca="1">IFERROR(__xludf.DUMMYFUNCTION("""COMPUTED_VALUE"""),-0.782516801905024)</f>
        <v>-0.78251680190502404</v>
      </c>
      <c r="LR135" s="3">
        <f ca="1">IFERROR(__xludf.DUMMYFUNCTION("""COMPUTED_VALUE"""),-0.746486972802523)</f>
        <v>-0.74648697280252296</v>
      </c>
      <c r="LS135" s="3">
        <f ca="1">IFERROR(__xludf.DUMMYFUNCTION("""COMPUTED_VALUE"""),-0.744086905779525)</f>
        <v>-0.74408690577952497</v>
      </c>
      <c r="LT135" s="3">
        <f ca="1">IFERROR(__xludf.DUMMYFUNCTION("""COMPUTED_VALUE"""),-0.712073386545809)</f>
        <v>-0.71207338654580898</v>
      </c>
      <c r="LU135" s="3">
        <f ca="1">IFERROR(__xludf.DUMMYFUNCTION("""COMPUTED_VALUE"""),-0.659009214789407)</f>
        <v>-0.65900921478940699</v>
      </c>
      <c r="LV135" s="3">
        <f ca="1">IFERROR(__xludf.DUMMYFUNCTION("""COMPUTED_VALUE"""),-0.713132195684065)</f>
        <v>-0.71313219568406505</v>
      </c>
      <c r="LW135" s="3">
        <f ca="1">IFERROR(__xludf.DUMMYFUNCTION("""COMPUTED_VALUE"""),-0.778575344644029)</f>
        <v>-0.778575344644029</v>
      </c>
      <c r="LX135" s="3">
        <f ca="1">IFERROR(__xludf.DUMMYFUNCTION("""COMPUTED_VALUE"""),-0.784980337881467)</f>
        <v>-0.78498033788146704</v>
      </c>
      <c r="LY135" s="3">
        <f ca="1">IFERROR(__xludf.DUMMYFUNCTION("""COMPUTED_VALUE"""),-0.769040321864842)</f>
        <v>-0.76904032186484195</v>
      </c>
      <c r="LZ135" s="3">
        <f ca="1">IFERROR(__xludf.DUMMYFUNCTION("""COMPUTED_VALUE"""),-0.791586950697464)</f>
        <v>-0.79158695069746399</v>
      </c>
      <c r="MA135" s="3">
        <f ca="1">IFERROR(__xludf.DUMMYFUNCTION("""COMPUTED_VALUE"""),-0.774279258684973)</f>
        <v>-0.77427925868497305</v>
      </c>
      <c r="MB135" s="3">
        <f ca="1">IFERROR(__xludf.DUMMYFUNCTION("""COMPUTED_VALUE"""),-0.689212113174017)</f>
        <v>-0.68921211317401698</v>
      </c>
      <c r="MC135" s="3">
        <f ca="1">IFERROR(__xludf.DUMMYFUNCTION("""COMPUTED_VALUE"""),-0.699558601822106)</f>
        <v>-0.69955860182210605</v>
      </c>
      <c r="MD135" s="3">
        <f ca="1">IFERROR(__xludf.DUMMYFUNCTION("""COMPUTED_VALUE"""),-0.785105102494823)</f>
        <v>-0.78510510249482302</v>
      </c>
      <c r="ME135" s="3">
        <f ca="1">IFERROR(__xludf.DUMMYFUNCTION("""COMPUTED_VALUE"""),-0.79071544106299)</f>
        <v>-0.79071544106298997</v>
      </c>
      <c r="MF135" s="3">
        <f ca="1">IFERROR(__xludf.DUMMYFUNCTION("""COMPUTED_VALUE"""),-0.795437592383155)</f>
        <v>-0.79543759238315503</v>
      </c>
      <c r="MG135" s="3">
        <f ca="1">IFERROR(__xludf.DUMMYFUNCTION("""COMPUTED_VALUE"""),-0.785810460176127)</f>
        <v>-0.78581046017612699</v>
      </c>
      <c r="MH135" s="3">
        <f ca="1">IFERROR(__xludf.DUMMYFUNCTION("""COMPUTED_VALUE"""),-0.763735665364134)</f>
        <v>-0.76373566536413395</v>
      </c>
      <c r="MI135" s="3">
        <f ca="1">IFERROR(__xludf.DUMMYFUNCTION("""COMPUTED_VALUE"""),-0.72423262445207)</f>
        <v>-0.72423262445207004</v>
      </c>
      <c r="MJ135" s="3">
        <f ca="1">IFERROR(__xludf.DUMMYFUNCTION("""COMPUTED_VALUE"""),-0.765583309618534)</f>
        <v>-0.76558330961853405</v>
      </c>
      <c r="MK135" s="3">
        <f ca="1">IFERROR(__xludf.DUMMYFUNCTION("""COMPUTED_VALUE"""),-0.771092972984348)</f>
        <v>-0.77109297298434798</v>
      </c>
      <c r="ML135" s="3">
        <f ca="1">IFERROR(__xludf.DUMMYFUNCTION("""COMPUTED_VALUE"""),-0.780701808784499)</f>
        <v>-0.78070180878449902</v>
      </c>
      <c r="MM135" s="3">
        <f ca="1">IFERROR(__xludf.DUMMYFUNCTION("""COMPUTED_VALUE"""),-0.80038850257809)</f>
        <v>-0.80038850257809002</v>
      </c>
      <c r="MN135" s="3">
        <f ca="1">IFERROR(__xludf.DUMMYFUNCTION("""COMPUTED_VALUE"""),-0.771555414577819)</f>
        <v>-0.77155541457781895</v>
      </c>
      <c r="MO135" s="3">
        <f ca="1">IFERROR(__xludf.DUMMYFUNCTION("""COMPUTED_VALUE"""),-0.759565124774773)</f>
        <v>-0.759565124774773</v>
      </c>
      <c r="MP135" s="3">
        <f ca="1">IFERROR(__xludf.DUMMYFUNCTION("""COMPUTED_VALUE"""),-0.68258128712156)</f>
        <v>-0.68258128712155997</v>
      </c>
      <c r="MQ135" s="3">
        <f ca="1">IFERROR(__xludf.DUMMYFUNCTION("""COMPUTED_VALUE"""),-0.771933887174461)</f>
        <v>-0.77193388717446099</v>
      </c>
      <c r="MR135" s="3">
        <f ca="1">IFERROR(__xludf.DUMMYFUNCTION("""COMPUTED_VALUE"""),-0.794129017931344)</f>
        <v>-0.79412901793134405</v>
      </c>
      <c r="MS135" s="3">
        <f ca="1">IFERROR(__xludf.DUMMYFUNCTION("""COMPUTED_VALUE"""),-0.804993963864008)</f>
        <v>-0.80499396386400801</v>
      </c>
      <c r="MT135" s="3">
        <f ca="1">IFERROR(__xludf.DUMMYFUNCTION("""COMPUTED_VALUE"""),-0.815527855570809)</f>
        <v>-0.81552785557080898</v>
      </c>
      <c r="MU135" s="3">
        <f ca="1">IFERROR(__xludf.DUMMYFUNCTION("""COMPUTED_VALUE"""),-0.769052245100398)</f>
        <v>-0.76905224510039805</v>
      </c>
      <c r="MV135" s="3">
        <f ca="1">IFERROR(__xludf.DUMMYFUNCTION("""COMPUTED_VALUE"""),-0.739389364129019)</f>
        <v>-0.73938936412901901</v>
      </c>
      <c r="MW135" s="3">
        <f ca="1">IFERROR(__xludf.DUMMYFUNCTION("""COMPUTED_VALUE"""),-0.709721390334068)</f>
        <v>-0.709721390334068</v>
      </c>
      <c r="MX135" s="3">
        <f ca="1">IFERROR(__xludf.DUMMYFUNCTION("""COMPUTED_VALUE"""),-0.751476851301661)</f>
        <v>-0.75147685130166098</v>
      </c>
      <c r="MY135" s="3">
        <f ca="1">IFERROR(__xludf.DUMMYFUNCTION("""COMPUTED_VALUE"""),-0.776573887678283)</f>
        <v>-0.77657388767828295</v>
      </c>
      <c r="MZ135" s="3">
        <f ca="1">IFERROR(__xludf.DUMMYFUNCTION("""COMPUTED_VALUE"""),-0.776533426089626)</f>
        <v>-0.77653342608962606</v>
      </c>
      <c r="NA135" s="3">
        <f ca="1">IFERROR(__xludf.DUMMYFUNCTION("""COMPUTED_VALUE"""),-0.789662781094083)</f>
        <v>-0.78966278109408305</v>
      </c>
      <c r="NB135" s="3">
        <f ca="1">IFERROR(__xludf.DUMMYFUNCTION("""COMPUTED_VALUE"""),-0.788087695922141)</f>
        <v>-0.78808769592214101</v>
      </c>
      <c r="NC135" s="3">
        <f ca="1">IFERROR(__xludf.DUMMYFUNCTION("""COMPUTED_VALUE"""),-0.750742692467191)</f>
        <v>-0.75074269246719105</v>
      </c>
      <c r="ND135" s="3">
        <f ca="1">IFERROR(__xludf.DUMMYFUNCTION("""COMPUTED_VALUE"""),-0.695050727724928)</f>
        <v>-0.69505072772492804</v>
      </c>
      <c r="NE135" s="3">
        <f ca="1">IFERROR(__xludf.DUMMYFUNCTION("""COMPUTED_VALUE"""),-0.717827155541439)</f>
        <v>-0.71782715554143905</v>
      </c>
      <c r="NF135" s="3">
        <f ca="1">IFERROR(__xludf.DUMMYFUNCTION("""COMPUTED_VALUE"""),-0.756483768637777)</f>
        <v>-0.756483768637777</v>
      </c>
      <c r="NG135" s="3">
        <f ca="1">IFERROR(__xludf.DUMMYFUNCTION("""COMPUTED_VALUE"""),-0.768215822490917)</f>
        <v>-0.76821582249091702</v>
      </c>
      <c r="NH135" s="3">
        <f ca="1">IFERROR(__xludf.DUMMYFUNCTION("""COMPUTED_VALUE"""),-0.782193146076365)</f>
        <v>-0.78219314607636503</v>
      </c>
      <c r="NI135" s="3">
        <f ca="1">IFERROR(__xludf.DUMMYFUNCTION("""COMPUTED_VALUE"""),-0.778141014088483)</f>
        <v>-0.77814101408848302</v>
      </c>
      <c r="NJ135" s="3">
        <f ca="1">IFERROR(__xludf.DUMMYFUNCTION("""COMPUTED_VALUE"""),-0.706498130899238)</f>
        <v>-0.70649813089923796</v>
      </c>
      <c r="NK135" s="3">
        <f ca="1">IFERROR(__xludf.DUMMYFUNCTION("""COMPUTED_VALUE"""),-0.719103225404879)</f>
        <v>-0.71910322540487903</v>
      </c>
      <c r="NL135" s="3">
        <f ca="1">IFERROR(__xludf.DUMMYFUNCTION("""COMPUTED_VALUE"""),-0.746471729862611)</f>
        <v>-0.74647172986261101</v>
      </c>
      <c r="NM135" s="3">
        <f ca="1">IFERROR(__xludf.DUMMYFUNCTION("""COMPUTED_VALUE"""),-0.750665563459135)</f>
        <v>-0.75066556345913504</v>
      </c>
      <c r="NN135" s="3">
        <f ca="1">IFERROR(__xludf.DUMMYFUNCTION("""COMPUTED_VALUE"""),-0.755095736469814)</f>
        <v>-0.75509573646981398</v>
      </c>
      <c r="NO135" s="3">
        <f ca="1">IFERROR(__xludf.DUMMYFUNCTION("""COMPUTED_VALUE"""),-0.768049614544742)</f>
        <v>-0.76804961454474197</v>
      </c>
      <c r="NP135" s="3">
        <f ca="1">IFERROR(__xludf.DUMMYFUNCTION("""COMPUTED_VALUE"""),-0.747505189463293)</f>
        <v>-0.74750518946329303</v>
      </c>
      <c r="NQ135" s="3">
        <f ca="1">IFERROR(__xludf.DUMMYFUNCTION("""COMPUTED_VALUE"""),-0.734497161455017)</f>
        <v>-0.73449716145501698</v>
      </c>
      <c r="NR135" s="3">
        <f ca="1">IFERROR(__xludf.DUMMYFUNCTION("""COMPUTED_VALUE"""),-0.731433974712461)</f>
        <v>-0.73143397471246097</v>
      </c>
      <c r="NS135" s="3">
        <f ca="1">IFERROR(__xludf.DUMMYFUNCTION("""COMPUTED_VALUE"""),-0.742534040362537)</f>
        <v>-0.74253404036253701</v>
      </c>
      <c r="NT135" s="3">
        <f ca="1">IFERROR(__xludf.DUMMYFUNCTION("""COMPUTED_VALUE"""),-0.763849449648681)</f>
        <v>-0.76384944964868096</v>
      </c>
      <c r="NU135" s="3">
        <f ca="1">IFERROR(__xludf.DUMMYFUNCTION("""COMPUTED_VALUE"""),-0.770200222102934)</f>
        <v>-0.77020022210293404</v>
      </c>
      <c r="NV135" s="3">
        <f ca="1">IFERROR(__xludf.DUMMYFUNCTION("""COMPUTED_VALUE"""),-0.743913818627731)</f>
        <v>-0.74391381862773098</v>
      </c>
      <c r="NW135" s="3">
        <f ca="1">IFERROR(__xludf.DUMMYFUNCTION("""COMPUTED_VALUE"""),-0.692179906115613)</f>
        <v>-0.69217990611561298</v>
      </c>
      <c r="NX135" s="3">
        <f ca="1">IFERROR(__xludf.DUMMYFUNCTION("""COMPUTED_VALUE"""),-0.705916678548323)</f>
        <v>-0.70591667854832296</v>
      </c>
      <c r="NY135" s="3">
        <f ca="1">IFERROR(__xludf.DUMMYFUNCTION("""COMPUTED_VALUE"""),-0.683467193016342)</f>
        <v>-0.68346719301634196</v>
      </c>
      <c r="NZ135" s="3">
        <f ca="1">IFERROR(__xludf.DUMMYFUNCTION("""COMPUTED_VALUE"""),-0.665799135556564)</f>
        <v>-0.665799135556564</v>
      </c>
      <c r="OA135" s="3">
        <f ca="1">IFERROR(__xludf.DUMMYFUNCTION("""COMPUTED_VALUE"""),-0.660319094676845)</f>
        <v>-0.66031909467684502</v>
      </c>
      <c r="OB135" s="3">
        <f ca="1">IFERROR(__xludf.DUMMYFUNCTION("""COMPUTED_VALUE"""),-0.668193222254762)</f>
        <v>-0.66819322225476196</v>
      </c>
      <c r="OC135" s="3">
        <f ca="1">IFERROR(__xludf.DUMMYFUNCTION("""COMPUTED_VALUE"""),-0.643481133159697)</f>
        <v>-0.64348113315969702</v>
      </c>
      <c r="OD135" s="3">
        <f ca="1">IFERROR(__xludf.DUMMYFUNCTION("""COMPUTED_VALUE"""),-0.624002247380136)</f>
        <v>-0.62400224738013599</v>
      </c>
      <c r="OE135" s="3">
        <f ca="1">IFERROR(__xludf.DUMMYFUNCTION("""COMPUTED_VALUE"""),-0.577841002221553)</f>
        <v>-0.57784100222155299</v>
      </c>
      <c r="OF135" s="3">
        <f ca="1">IFERROR(__xludf.DUMMYFUNCTION("""COMPUTED_VALUE"""),-0.49151958839271)</f>
        <v>-0.49151958839270998</v>
      </c>
      <c r="OG135" s="3">
        <f ca="1">IFERROR(__xludf.DUMMYFUNCTION("""COMPUTED_VALUE"""),-0.471743267919015)</f>
        <v>-0.471743267919015</v>
      </c>
      <c r="OH135" s="3">
        <f ca="1">IFERROR(__xludf.DUMMYFUNCTION("""COMPUTED_VALUE"""),-0.408420020282593)</f>
        <v>-0.408420020282593</v>
      </c>
      <c r="OI135" s="3">
        <f ca="1">IFERROR(__xludf.DUMMYFUNCTION("""COMPUTED_VALUE"""),-0.348827806002577)</f>
        <v>-0.34882780600257701</v>
      </c>
      <c r="OJ135" s="3">
        <f ca="1">IFERROR(__xludf.DUMMYFUNCTION("""COMPUTED_VALUE"""),-0.272774055845321)</f>
        <v>-0.272774055845321</v>
      </c>
      <c r="OK135" s="3">
        <f ca="1">IFERROR(__xludf.DUMMYFUNCTION("""COMPUTED_VALUE"""),-0.238533673187914)</f>
        <v>-0.23853367318791399</v>
      </c>
      <c r="OL135" s="3">
        <f ca="1">IFERROR(__xludf.DUMMYFUNCTION("""COMPUTED_VALUE"""),-0.232412296193902)</f>
        <v>-0.232412296193902</v>
      </c>
      <c r="OM135" s="3">
        <f ca="1">IFERROR(__xludf.DUMMYFUNCTION("""COMPUTED_VALUE"""),-0.323623881216247)</f>
        <v>-0.32362388121624702</v>
      </c>
      <c r="ON135" s="3">
        <f ca="1">IFERROR(__xludf.DUMMYFUNCTION("""COMPUTED_VALUE"""),-0.336848782469318)</f>
        <v>-0.33684878246931799</v>
      </c>
      <c r="OO135" s="3">
        <f ca="1">IFERROR(__xludf.DUMMYFUNCTION("""COMPUTED_VALUE"""),-0.20558673489287)</f>
        <v>-0.20558673489286999</v>
      </c>
      <c r="OP135" s="3">
        <f ca="1">IFERROR(__xludf.DUMMYFUNCTION("""COMPUTED_VALUE"""),-0.203350446140769)</f>
        <v>-0.203350446140769</v>
      </c>
      <c r="OQ135" s="3">
        <f ca="1">IFERROR(__xludf.DUMMYFUNCTION("""COMPUTED_VALUE"""),-0.12729971859053)</f>
        <v>-0.12729971859052999</v>
      </c>
      <c r="OR135" s="3">
        <f ca="1">IFERROR(__xludf.DUMMYFUNCTION("""COMPUTED_VALUE"""),-0.0814346500113658)</f>
        <v>-8.1434650011365795E-2</v>
      </c>
      <c r="OS135" s="3">
        <f ca="1">IFERROR(__xludf.DUMMYFUNCTION("""COMPUTED_VALUE"""),-0.099602417568096)</f>
        <v>-9.9602417568095999E-2</v>
      </c>
      <c r="OT135" s="3">
        <f ca="1">IFERROR(__xludf.DUMMYFUNCTION("""COMPUTED_VALUE"""),-0.117497760287967)</f>
        <v>-0.117497760287967</v>
      </c>
      <c r="OU135" s="3">
        <f ca="1">IFERROR(__xludf.DUMMYFUNCTION("""COMPUTED_VALUE"""),-0.124545783517525)</f>
        <v>-0.124545783517525</v>
      </c>
      <c r="OV135" s="3">
        <f ca="1">IFERROR(__xludf.DUMMYFUNCTION("""COMPUTED_VALUE"""),0.0450393865943417)</f>
        <v>4.5039386594341702E-2</v>
      </c>
      <c r="OW135" s="3">
        <f ca="1">IFERROR(__xludf.DUMMYFUNCTION("""COMPUTED_VALUE"""),0.0175044958879193)</f>
        <v>1.7504495887919299E-2</v>
      </c>
      <c r="OX135" s="3">
        <f ca="1">IFERROR(__xludf.DUMMYFUNCTION("""COMPUTED_VALUE"""),0.0264985299497044)</f>
        <v>2.6498529949704398E-2</v>
      </c>
      <c r="OY135" s="3">
        <f ca="1">IFERROR(__xludf.DUMMYFUNCTION("""COMPUTED_VALUE"""),0.046519437014775)</f>
        <v>4.6519437014774997E-2</v>
      </c>
      <c r="OZ135" s="3">
        <f ca="1">IFERROR(__xludf.DUMMYFUNCTION("""COMPUTED_VALUE"""),0.023895653233096)</f>
        <v>2.3895653233096E-2</v>
      </c>
      <c r="PA135" s="3">
        <f ca="1">IFERROR(__xludf.DUMMYFUNCTION("""COMPUTED_VALUE"""),-0.10764780894824)</f>
        <v>-0.10764780894824</v>
      </c>
      <c r="PB135" s="3">
        <f ca="1">IFERROR(__xludf.DUMMYFUNCTION("""COMPUTED_VALUE"""),-0.111438838851912)</f>
        <v>-0.111438838851912</v>
      </c>
      <c r="PC135" s="3">
        <f ca="1">IFERROR(__xludf.DUMMYFUNCTION("""COMPUTED_VALUE"""),0.0277005681266671)</f>
        <v>2.7700568126667099E-2</v>
      </c>
      <c r="PD135" s="3">
        <f ca="1">IFERROR(__xludf.DUMMYFUNCTION("""COMPUTED_VALUE"""),0.031059071549349)</f>
        <v>3.1059071549349001E-2</v>
      </c>
      <c r="PE135" s="3">
        <f ca="1">IFERROR(__xludf.DUMMYFUNCTION("""COMPUTED_VALUE"""),0.0796550080471452)</f>
        <v>7.9655008047145204E-2</v>
      </c>
      <c r="PF135" s="3">
        <f ca="1">IFERROR(__xludf.DUMMYFUNCTION("""COMPUTED_VALUE"""),0.106105626997743)</f>
        <v>0.10610562699774299</v>
      </c>
      <c r="PG135" s="3">
        <f ca="1">IFERROR(__xludf.DUMMYFUNCTION("""COMPUTED_VALUE"""),-0.0531680502181793)</f>
        <v>-5.3168050218179302E-2</v>
      </c>
      <c r="PH135" s="3">
        <f ca="1">IFERROR(__xludf.DUMMYFUNCTION("""COMPUTED_VALUE"""),0.0390560888617472)</f>
        <v>3.9056088861747197E-2</v>
      </c>
      <c r="PI135" s="3">
        <f ca="1">IFERROR(__xludf.DUMMYFUNCTION("""COMPUTED_VALUE"""),0.0385352391314772)</f>
        <v>3.8535239131477203E-2</v>
      </c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</row>
    <row r="136" spans="1:477" ht="13">
      <c r="A136" s="1" t="str">
        <f ca="1">IFERROR(__xludf.DUMMYFUNCTION("""COMPUTED_VALUE"""),"City of Seattle")</f>
        <v>City of Seattle</v>
      </c>
      <c r="B136" s="1" t="str">
        <f ca="1">IFERROR(__xludf.DUMMYFUNCTION("""COMPUTED_VALUE"""),"Seattle")</f>
        <v>Seattle</v>
      </c>
      <c r="C136" s="1" t="str">
        <f ca="1">IFERROR(__xludf.DUMMYFUNCTION("""COMPUTED_VALUE"""),"United States")</f>
        <v>United States</v>
      </c>
      <c r="D136" s="1" t="str">
        <f ca="1">IFERROR(__xludf.DUMMYFUNCTION("""COMPUTED_VALUE"""),"Washington")</f>
        <v>Washington</v>
      </c>
      <c r="E136" s="3">
        <f ca="1">IFERROR(__xludf.DUMMYFUNCTION("""COMPUTED_VALUE"""),-0.208692581118318)</f>
        <v>-0.20869258111831801</v>
      </c>
      <c r="F136" s="3">
        <f ca="1">IFERROR(__xludf.DUMMYFUNCTION("""COMPUTED_VALUE"""),-0.398265082694988)</f>
        <v>-0.398265082694988</v>
      </c>
      <c r="G136" s="3">
        <f ca="1">IFERROR(__xludf.DUMMYFUNCTION("""COMPUTED_VALUE"""),-0.418918337083282)</f>
        <v>-0.41891833708328202</v>
      </c>
      <c r="H136" s="3">
        <f ca="1">IFERROR(__xludf.DUMMYFUNCTION("""COMPUTED_VALUE"""),-0.46378271327754)</f>
        <v>-0.46378271327754</v>
      </c>
      <c r="I136" s="3">
        <f ca="1">IFERROR(__xludf.DUMMYFUNCTION("""COMPUTED_VALUE"""),-0.471500369492445)</f>
        <v>-0.471500369492445</v>
      </c>
      <c r="J136" s="3">
        <f ca="1">IFERROR(__xludf.DUMMYFUNCTION("""COMPUTED_VALUE"""),-0.391015594448974)</f>
        <v>-0.39101559444897399</v>
      </c>
      <c r="K136" s="3">
        <f ca="1">IFERROR(__xludf.DUMMYFUNCTION("""COMPUTED_VALUE"""),-0.488527107973885)</f>
        <v>-0.48852710797388499</v>
      </c>
      <c r="L136" s="3">
        <f ca="1">IFERROR(__xludf.DUMMYFUNCTION("""COMPUTED_VALUE"""),-0.351564519657149)</f>
        <v>-0.35156451965714902</v>
      </c>
      <c r="M136" s="3">
        <f ca="1">IFERROR(__xludf.DUMMYFUNCTION("""COMPUTED_VALUE"""),-0.405451000223707)</f>
        <v>-0.405451000223707</v>
      </c>
      <c r="N136" s="3">
        <f ca="1">IFERROR(__xludf.DUMMYFUNCTION("""COMPUTED_VALUE"""),-0.453231484917524)</f>
        <v>-0.45323148491752402</v>
      </c>
      <c r="O136" s="3">
        <f ca="1">IFERROR(__xludf.DUMMYFUNCTION("""COMPUTED_VALUE"""),-0.478071711770261)</f>
        <v>-0.47807171177026098</v>
      </c>
      <c r="P136" s="3">
        <f ca="1">IFERROR(__xludf.DUMMYFUNCTION("""COMPUTED_VALUE"""),-0.528380519278772)</f>
        <v>-0.52838051927877205</v>
      </c>
      <c r="Q136" s="3">
        <f ca="1">IFERROR(__xludf.DUMMYFUNCTION("""COMPUTED_VALUE"""),-0.511234253843576)</f>
        <v>-0.51123425384357601</v>
      </c>
      <c r="R136" s="3">
        <f ca="1">IFERROR(__xludf.DUMMYFUNCTION("""COMPUTED_VALUE"""),-0.51937051256066)</f>
        <v>-0.51937051256066002</v>
      </c>
      <c r="S136" s="3">
        <f ca="1">IFERROR(__xludf.DUMMYFUNCTION("""COMPUTED_VALUE"""),-0.449319793507645)</f>
        <v>-0.449319793507645</v>
      </c>
      <c r="T136" s="3">
        <f ca="1">IFERROR(__xludf.DUMMYFUNCTION("""COMPUTED_VALUE"""),-0.629873418018331)</f>
        <v>-0.62987341801833097</v>
      </c>
      <c r="U136" s="3">
        <f ca="1">IFERROR(__xludf.DUMMYFUNCTION("""COMPUTED_VALUE"""),-0.636530805048206)</f>
        <v>-0.63653080504820603</v>
      </c>
      <c r="V136" s="3">
        <f ca="1">IFERROR(__xludf.DUMMYFUNCTION("""COMPUTED_VALUE"""),-0.679988132048365)</f>
        <v>-0.67998813204836495</v>
      </c>
      <c r="W136" s="3">
        <f ca="1">IFERROR(__xludf.DUMMYFUNCTION("""COMPUTED_VALUE"""),-0.720543552464729)</f>
        <v>-0.72054355246472901</v>
      </c>
      <c r="X136" s="3">
        <f ca="1">IFERROR(__xludf.DUMMYFUNCTION("""COMPUTED_VALUE"""),-0.698569262272724)</f>
        <v>-0.69856926227272398</v>
      </c>
      <c r="Y136" s="3">
        <f ca="1">IFERROR(__xludf.DUMMYFUNCTION("""COMPUTED_VALUE"""),-0.714881703160598)</f>
        <v>-0.71488170316059796</v>
      </c>
      <c r="Z136" s="3">
        <f ca="1">IFERROR(__xludf.DUMMYFUNCTION("""COMPUTED_VALUE"""),-0.643466666692407)</f>
        <v>-0.64346666669240704</v>
      </c>
      <c r="AA136" s="3">
        <f ca="1">IFERROR(__xludf.DUMMYFUNCTION("""COMPUTED_VALUE"""),-0.671354062986687)</f>
        <v>-0.67135406298668698</v>
      </c>
      <c r="AB136" s="3">
        <f ca="1">IFERROR(__xludf.DUMMYFUNCTION("""COMPUTED_VALUE"""),-0.743177540524)</f>
        <v>-0.74317754052399998</v>
      </c>
      <c r="AC136" s="3">
        <f ca="1">IFERROR(__xludf.DUMMYFUNCTION("""COMPUTED_VALUE"""),-0.716533060520434)</f>
        <v>-0.71653306052043397</v>
      </c>
      <c r="AD136" s="3">
        <f ca="1">IFERROR(__xludf.DUMMYFUNCTION("""COMPUTED_VALUE"""),-0.735727221905355)</f>
        <v>-0.735727221905355</v>
      </c>
      <c r="AE136" s="3">
        <f ca="1">IFERROR(__xludf.DUMMYFUNCTION("""COMPUTED_VALUE"""),-0.769815186502893)</f>
        <v>-0.76981518650289305</v>
      </c>
      <c r="AF136" s="3">
        <f ca="1">IFERROR(__xludf.DUMMYFUNCTION("""COMPUTED_VALUE"""),-0.712232136607786)</f>
        <v>-0.71223213660778595</v>
      </c>
      <c r="AG136" s="3">
        <f ca="1">IFERROR(__xludf.DUMMYFUNCTION("""COMPUTED_VALUE"""),-0.637322591461038)</f>
        <v>-0.63732259146103798</v>
      </c>
      <c r="AH136" s="3">
        <f ca="1">IFERROR(__xludf.DUMMYFUNCTION("""COMPUTED_VALUE"""),-0.661788482504826)</f>
        <v>-0.66178848250482603</v>
      </c>
      <c r="AI136" s="3">
        <f ca="1">IFERROR(__xludf.DUMMYFUNCTION("""COMPUTED_VALUE"""),-0.700333781796941)</f>
        <v>-0.70033378179694095</v>
      </c>
      <c r="AJ136" s="3">
        <f ca="1">IFERROR(__xludf.DUMMYFUNCTION("""COMPUTED_VALUE"""),-0.70456542897129)</f>
        <v>-0.70456542897129004</v>
      </c>
      <c r="AK136" s="3">
        <f ca="1">IFERROR(__xludf.DUMMYFUNCTION("""COMPUTED_VALUE"""),-0.698541449317817)</f>
        <v>-0.69854144931781703</v>
      </c>
      <c r="AL136" s="3">
        <f ca="1">IFERROR(__xludf.DUMMYFUNCTION("""COMPUTED_VALUE"""),-0.695378468108893)</f>
        <v>-0.69537846810889303</v>
      </c>
      <c r="AM136" s="3">
        <f ca="1">IFERROR(__xludf.DUMMYFUNCTION("""COMPUTED_VALUE"""),-0.723722177276)</f>
        <v>-0.72372217727599997</v>
      </c>
      <c r="AN136" s="3">
        <f ca="1">IFERROR(__xludf.DUMMYFUNCTION("""COMPUTED_VALUE"""),-0.611741212255664)</f>
        <v>-0.61174121225566402</v>
      </c>
      <c r="AO136" s="3">
        <f ca="1">IFERROR(__xludf.DUMMYFUNCTION("""COMPUTED_VALUE"""),-0.713469304332596)</f>
        <v>-0.71346930433259603</v>
      </c>
      <c r="AP136" s="3">
        <f ca="1">IFERROR(__xludf.DUMMYFUNCTION("""COMPUTED_VALUE"""),-0.747698767048302)</f>
        <v>-0.74769876704830196</v>
      </c>
      <c r="AQ136" s="3">
        <f ca="1">IFERROR(__xludf.DUMMYFUNCTION("""COMPUTED_VALUE"""),-0.697235157812748)</f>
        <v>-0.69723515781274803</v>
      </c>
      <c r="AR136" s="3">
        <f ca="1">IFERROR(__xludf.DUMMYFUNCTION("""COMPUTED_VALUE"""),-0.719134734838309)</f>
        <v>-0.71913473483830903</v>
      </c>
      <c r="AS136" s="3">
        <f ca="1">IFERROR(__xludf.DUMMYFUNCTION("""COMPUTED_VALUE"""),-0.708293200062795)</f>
        <v>-0.70829320006279495</v>
      </c>
      <c r="AT136" s="3">
        <f ca="1">IFERROR(__xludf.DUMMYFUNCTION("""COMPUTED_VALUE"""),-0.656745811232146)</f>
        <v>-0.65674581123214604</v>
      </c>
      <c r="AU136" s="3">
        <f ca="1">IFERROR(__xludf.DUMMYFUNCTION("""COMPUTED_VALUE"""),-0.612337292241518)</f>
        <v>-0.61233729224151801</v>
      </c>
      <c r="AV136" s="3">
        <f ca="1">IFERROR(__xludf.DUMMYFUNCTION("""COMPUTED_VALUE"""),-0.684083532299974)</f>
        <v>-0.68408353229997398</v>
      </c>
      <c r="AW136" s="3">
        <f ca="1">IFERROR(__xludf.DUMMYFUNCTION("""COMPUTED_VALUE"""),-0.752562654026312)</f>
        <v>-0.75256265402631195</v>
      </c>
      <c r="AX136" s="3">
        <f ca="1">IFERROR(__xludf.DUMMYFUNCTION("""COMPUTED_VALUE"""),-0.711846627892232)</f>
        <v>-0.71184662789223196</v>
      </c>
      <c r="AY136" s="3">
        <f ca="1">IFERROR(__xludf.DUMMYFUNCTION("""COMPUTED_VALUE"""),-0.709277883567277)</f>
        <v>-0.70927788356727695</v>
      </c>
      <c r="AZ136" s="3">
        <f ca="1">IFERROR(__xludf.DUMMYFUNCTION("""COMPUTED_VALUE"""),-0.689329160466839)</f>
        <v>-0.68932916046683901</v>
      </c>
      <c r="BA136" s="3">
        <f ca="1">IFERROR(__xludf.DUMMYFUNCTION("""COMPUTED_VALUE"""),-0.622170735982166)</f>
        <v>-0.62217073598216599</v>
      </c>
      <c r="BB136" s="3">
        <f ca="1">IFERROR(__xludf.DUMMYFUNCTION("""COMPUTED_VALUE"""),-0.681565459505663)</f>
        <v>-0.68156545950566305</v>
      </c>
      <c r="BC136" s="3">
        <f ca="1">IFERROR(__xludf.DUMMYFUNCTION("""COMPUTED_VALUE"""),-0.744878912205873)</f>
        <v>-0.74487891220587299</v>
      </c>
      <c r="BD136" s="3">
        <f ca="1">IFERROR(__xludf.DUMMYFUNCTION("""COMPUTED_VALUE"""),-0.736415917165053)</f>
        <v>-0.73641591716505295</v>
      </c>
      <c r="BE136" s="3">
        <f ca="1">IFERROR(__xludf.DUMMYFUNCTION("""COMPUTED_VALUE"""),-0.750483030254198)</f>
        <v>-0.75048303025419805</v>
      </c>
      <c r="BF136" s="3">
        <f ca="1">IFERROR(__xludf.DUMMYFUNCTION("""COMPUTED_VALUE"""),-0.724937599337486)</f>
        <v>-0.72493759933748603</v>
      </c>
      <c r="BG136" s="3">
        <f ca="1">IFERROR(__xludf.DUMMYFUNCTION("""COMPUTED_VALUE"""),-0.757644954350287)</f>
        <v>-0.757644954350287</v>
      </c>
      <c r="BH136" s="3">
        <f ca="1">IFERROR(__xludf.DUMMYFUNCTION("""COMPUTED_VALUE"""),-0.524726301047542)</f>
        <v>-0.52472630104754203</v>
      </c>
      <c r="BI136" s="3">
        <f ca="1">IFERROR(__xludf.DUMMYFUNCTION("""COMPUTED_VALUE"""),-0.517058045946701)</f>
        <v>-0.51705804594670102</v>
      </c>
      <c r="BJ136" s="3">
        <f ca="1">IFERROR(__xludf.DUMMYFUNCTION("""COMPUTED_VALUE"""),-0.712978125655384)</f>
        <v>-0.71297812565538399</v>
      </c>
      <c r="BK136" s="3">
        <f ca="1">IFERROR(__xludf.DUMMYFUNCTION("""COMPUTED_VALUE"""),-0.742809037865936)</f>
        <v>-0.74280903786593599</v>
      </c>
      <c r="BL136" s="3">
        <f ca="1">IFERROR(__xludf.DUMMYFUNCTION("""COMPUTED_VALUE"""),-0.739102446589501)</f>
        <v>-0.73910244658950097</v>
      </c>
      <c r="BM136" s="3">
        <f ca="1">IFERROR(__xludf.DUMMYFUNCTION("""COMPUTED_VALUE"""),-0.766181035285943)</f>
        <v>-0.76618103528594295</v>
      </c>
      <c r="BN136" s="3">
        <f ca="1">IFERROR(__xludf.DUMMYFUNCTION("""COMPUTED_VALUE"""),-0.737084303189718)</f>
        <v>-0.73708430318971796</v>
      </c>
      <c r="BO136" s="3">
        <f ca="1">IFERROR(__xludf.DUMMYFUNCTION("""COMPUTED_VALUE"""),-0.682809747863505)</f>
        <v>-0.68280974786350501</v>
      </c>
      <c r="BP136" s="3">
        <f ca="1">IFERROR(__xludf.DUMMYFUNCTION("""COMPUTED_VALUE"""),-0.731130429639344)</f>
        <v>-0.73113042963934405</v>
      </c>
      <c r="BQ136" s="3">
        <f ca="1">IFERROR(__xludf.DUMMYFUNCTION("""COMPUTED_VALUE"""),-0.72687149412506)</f>
        <v>-0.72687149412506002</v>
      </c>
      <c r="BR136" s="3">
        <f ca="1">IFERROR(__xludf.DUMMYFUNCTION("""COMPUTED_VALUE"""),-0.775509866918331)</f>
        <v>-0.77550986691833101</v>
      </c>
      <c r="BS136" s="3">
        <f ca="1">IFERROR(__xludf.DUMMYFUNCTION("""COMPUTED_VALUE"""),-0.76829616724235)</f>
        <v>-0.76829616724234995</v>
      </c>
      <c r="BT136" s="3">
        <f ca="1">IFERROR(__xludf.DUMMYFUNCTION("""COMPUTED_VALUE"""),-0.738293314663786)</f>
        <v>-0.738293314663786</v>
      </c>
      <c r="BU136" s="3">
        <f ca="1">IFERROR(__xludf.DUMMYFUNCTION("""COMPUTED_VALUE"""),-0.745934775250187)</f>
        <v>-0.74593477525018703</v>
      </c>
      <c r="BV136" s="3">
        <f ca="1">IFERROR(__xludf.DUMMYFUNCTION("""COMPUTED_VALUE"""),-0.706508981712524)</f>
        <v>-0.70650898171252396</v>
      </c>
      <c r="BW136" s="3">
        <f ca="1">IFERROR(__xludf.DUMMYFUNCTION("""COMPUTED_VALUE"""),-0.684425386198373)</f>
        <v>-0.68442538619837301</v>
      </c>
      <c r="BX136" s="3">
        <f ca="1">IFERROR(__xludf.DUMMYFUNCTION("""COMPUTED_VALUE"""),-0.732937738557995)</f>
        <v>-0.73293773855799504</v>
      </c>
      <c r="BY136" s="3">
        <f ca="1">IFERROR(__xludf.DUMMYFUNCTION("""COMPUTED_VALUE"""),-0.799008927205963)</f>
        <v>-0.79900892720596295</v>
      </c>
      <c r="BZ136" s="3">
        <f ca="1">IFERROR(__xludf.DUMMYFUNCTION("""COMPUTED_VALUE"""),-0.797931870455007)</f>
        <v>-0.79793187045500702</v>
      </c>
      <c r="CA136" s="3">
        <f ca="1">IFERROR(__xludf.DUMMYFUNCTION("""COMPUTED_VALUE"""),-0.757276393457393)</f>
        <v>-0.75727639345739295</v>
      </c>
      <c r="CB136" s="3">
        <f ca="1">IFERROR(__xludf.DUMMYFUNCTION("""COMPUTED_VALUE"""),-0.646221025661786)</f>
        <v>-0.64622102566178596</v>
      </c>
      <c r="CC136" s="3">
        <f ca="1">IFERROR(__xludf.DUMMYFUNCTION("""COMPUTED_VALUE"""),-0.677053424473216)</f>
        <v>-0.67705342447321604</v>
      </c>
      <c r="CD136" s="3">
        <f ca="1">IFERROR(__xludf.DUMMYFUNCTION("""COMPUTED_VALUE"""),-0.729225530877047)</f>
        <v>-0.729225530877047</v>
      </c>
      <c r="CE136" s="3">
        <f ca="1">IFERROR(__xludf.DUMMYFUNCTION("""COMPUTED_VALUE"""),-0.754422009802286)</f>
        <v>-0.75442200980228602</v>
      </c>
      <c r="CF136" s="3">
        <f ca="1">IFERROR(__xludf.DUMMYFUNCTION("""COMPUTED_VALUE"""),-0.751402273776091)</f>
        <v>-0.75140227377609103</v>
      </c>
      <c r="CG136" s="3">
        <f ca="1">IFERROR(__xludf.DUMMYFUNCTION("""COMPUTED_VALUE"""),-0.779214560402916)</f>
        <v>-0.77921456040291603</v>
      </c>
      <c r="CH136" s="3">
        <f ca="1">IFERROR(__xludf.DUMMYFUNCTION("""COMPUTED_VALUE"""),-0.765010360623578)</f>
        <v>-0.76501036062357797</v>
      </c>
      <c r="CI136" s="3">
        <f ca="1">IFERROR(__xludf.DUMMYFUNCTION("""COMPUTED_VALUE"""),-0.765005823257726)</f>
        <v>-0.76500582325772604</v>
      </c>
      <c r="CJ136" s="3">
        <f ca="1">IFERROR(__xludf.DUMMYFUNCTION("""COMPUTED_VALUE"""),-0.660677762801943)</f>
        <v>-0.66067776280194301</v>
      </c>
      <c r="CK136" s="3">
        <f ca="1">IFERROR(__xludf.DUMMYFUNCTION("""COMPUTED_VALUE"""),-0.704349463191987)</f>
        <v>-0.70434946319198699</v>
      </c>
      <c r="CL136" s="3">
        <f ca="1">IFERROR(__xludf.DUMMYFUNCTION("""COMPUTED_VALUE"""),-0.762936056754906)</f>
        <v>-0.76293605675490594</v>
      </c>
      <c r="CM136" s="3">
        <f ca="1">IFERROR(__xludf.DUMMYFUNCTION("""COMPUTED_VALUE"""),-0.772511596423044)</f>
        <v>-0.77251159642304401</v>
      </c>
      <c r="CN136" s="3">
        <f ca="1">IFERROR(__xludf.DUMMYFUNCTION("""COMPUTED_VALUE"""),-0.746690584250121)</f>
        <v>-0.74669058425012103</v>
      </c>
      <c r="CO136" s="3">
        <f ca="1">IFERROR(__xludf.DUMMYFUNCTION("""COMPUTED_VALUE"""),-0.78629952926966)</f>
        <v>-0.78629952926965996</v>
      </c>
      <c r="CP136" s="3">
        <f ca="1">IFERROR(__xludf.DUMMYFUNCTION("""COMPUTED_VALUE"""),-0.774767230957026)</f>
        <v>-0.77476723095702604</v>
      </c>
      <c r="CQ136" s="3">
        <f ca="1">IFERROR(__xludf.DUMMYFUNCTION("""COMPUTED_VALUE"""),-0.709615412397564)</f>
        <v>-0.70961541239756398</v>
      </c>
      <c r="CR136" s="3">
        <f ca="1">IFERROR(__xludf.DUMMYFUNCTION("""COMPUTED_VALUE"""),-0.657707409514311)</f>
        <v>-0.65770740951431095</v>
      </c>
      <c r="CS136" s="3">
        <f ca="1">IFERROR(__xludf.DUMMYFUNCTION("""COMPUTED_VALUE"""),-0.706870108142009)</f>
        <v>-0.70687010814200901</v>
      </c>
      <c r="CT136" s="3">
        <f ca="1">IFERROR(__xludf.DUMMYFUNCTION("""COMPUTED_VALUE"""),-0.734672898701111)</f>
        <v>-0.73467289870111097</v>
      </c>
      <c r="CU136" s="3">
        <f ca="1">IFERROR(__xludf.DUMMYFUNCTION("""COMPUTED_VALUE"""),-0.768776395937759)</f>
        <v>-0.76877639593775904</v>
      </c>
      <c r="CV136" s="3">
        <f ca="1">IFERROR(__xludf.DUMMYFUNCTION("""COMPUTED_VALUE"""),-0.729749224068931)</f>
        <v>-0.72974922406893095</v>
      </c>
      <c r="CW136" s="3">
        <f ca="1">IFERROR(__xludf.DUMMYFUNCTION("""COMPUTED_VALUE"""),-0.741149121583806)</f>
        <v>-0.74114912158380597</v>
      </c>
      <c r="CX136" s="3">
        <f ca="1">IFERROR(__xludf.DUMMYFUNCTION("""COMPUTED_VALUE"""),-0.69399659645444)</f>
        <v>-0.69399659645444001</v>
      </c>
      <c r="CY136" s="3">
        <f ca="1">IFERROR(__xludf.DUMMYFUNCTION("""COMPUTED_VALUE"""),-0.737730782706024)</f>
        <v>-0.73773078270602399</v>
      </c>
      <c r="CZ136" s="3">
        <f ca="1">IFERROR(__xludf.DUMMYFUNCTION("""COMPUTED_VALUE"""),-0.822907701927653)</f>
        <v>-0.82290770192765295</v>
      </c>
      <c r="DA136" s="3">
        <f ca="1">IFERROR(__xludf.DUMMYFUNCTION("""COMPUTED_VALUE"""),-0.716276886947235)</f>
        <v>-0.71627688694723501</v>
      </c>
      <c r="DB136" s="3">
        <f ca="1">IFERROR(__xludf.DUMMYFUNCTION("""COMPUTED_VALUE"""),-0.723730345927219)</f>
        <v>-0.72373034592721897</v>
      </c>
      <c r="DC136" s="3">
        <f ca="1">IFERROR(__xludf.DUMMYFUNCTION("""COMPUTED_VALUE"""),-0.72273989549203)</f>
        <v>-0.72273989549202999</v>
      </c>
      <c r="DD136" s="3">
        <f ca="1">IFERROR(__xludf.DUMMYFUNCTION("""COMPUTED_VALUE"""),-0.722783111834461)</f>
        <v>-0.72278311183446098</v>
      </c>
      <c r="DE136" s="3">
        <f ca="1">IFERROR(__xludf.DUMMYFUNCTION("""COMPUTED_VALUE"""),-0.739617550523995)</f>
        <v>-0.73961755052399503</v>
      </c>
      <c r="DF136" s="3">
        <f ca="1">IFERROR(__xludf.DUMMYFUNCTION("""COMPUTED_VALUE"""),-0.71928771592971)</f>
        <v>-0.71928771592970997</v>
      </c>
      <c r="DG136" s="3">
        <f ca="1">IFERROR(__xludf.DUMMYFUNCTION("""COMPUTED_VALUE"""),-0.874799010665669)</f>
        <v>-0.87479901066566901</v>
      </c>
      <c r="DH136" s="3">
        <f ca="1">IFERROR(__xludf.DUMMYFUNCTION("""COMPUTED_VALUE"""),-0.671842539923107)</f>
        <v>-0.67184253992310705</v>
      </c>
      <c r="DI136" s="3">
        <f ca="1">IFERROR(__xludf.DUMMYFUNCTION("""COMPUTED_VALUE"""),-0.481010086489982)</f>
        <v>-0.481010086489982</v>
      </c>
      <c r="DJ136" s="3">
        <f ca="1">IFERROR(__xludf.DUMMYFUNCTION("""COMPUTED_VALUE"""),-0.640632982762358)</f>
        <v>-0.64063298276235803</v>
      </c>
      <c r="DK136" s="3">
        <f ca="1">IFERROR(__xludf.DUMMYFUNCTION("""COMPUTED_VALUE"""),-0.628339986975548)</f>
        <v>-0.62833998697554805</v>
      </c>
      <c r="DL136" s="3">
        <f ca="1">IFERROR(__xludf.DUMMYFUNCTION("""COMPUTED_VALUE"""),-0.610480398140638)</f>
        <v>-0.61048039814063804</v>
      </c>
      <c r="DM136" s="3">
        <f ca="1">IFERROR(__xludf.DUMMYFUNCTION("""COMPUTED_VALUE"""),-0.620840697387787)</f>
        <v>-0.62084069738778702</v>
      </c>
      <c r="DN136" s="3">
        <f ca="1">IFERROR(__xludf.DUMMYFUNCTION("""COMPUTED_VALUE"""),-0.730774760053574)</f>
        <v>-0.730774760053574</v>
      </c>
      <c r="DO136" s="3">
        <f ca="1">IFERROR(__xludf.DUMMYFUNCTION("""COMPUTED_VALUE"""),-0.72950779599784)</f>
        <v>-0.72950779599783999</v>
      </c>
      <c r="DP136" s="3">
        <f ca="1">IFERROR(__xludf.DUMMYFUNCTION("""COMPUTED_VALUE"""),-0.700769172213375)</f>
        <v>-0.70076917221337498</v>
      </c>
      <c r="DQ136" s="3">
        <f ca="1">IFERROR(__xludf.DUMMYFUNCTION("""COMPUTED_VALUE"""),-0.690516679973474)</f>
        <v>-0.69051667997347399</v>
      </c>
      <c r="DR136" s="3">
        <f ca="1">IFERROR(__xludf.DUMMYFUNCTION("""COMPUTED_VALUE"""),-0.708903835940064)</f>
        <v>-0.70890383594006401</v>
      </c>
      <c r="DS136" s="3">
        <f ca="1">IFERROR(__xludf.DUMMYFUNCTION("""COMPUTED_VALUE"""),-0.63785036802667)</f>
        <v>-0.63785036802666994</v>
      </c>
      <c r="DT136" s="3">
        <f ca="1">IFERROR(__xludf.DUMMYFUNCTION("""COMPUTED_VALUE"""),-0.609772399460304)</f>
        <v>-0.60977239946030404</v>
      </c>
      <c r="DU136" s="3">
        <f ca="1">IFERROR(__xludf.DUMMYFUNCTION("""COMPUTED_VALUE"""),-0.73978612167373)</f>
        <v>-0.73978612167373003</v>
      </c>
      <c r="DV136" s="3">
        <f ca="1">IFERROR(__xludf.DUMMYFUNCTION("""COMPUTED_VALUE"""),-0.76510942284848)</f>
        <v>-0.76510942284848005</v>
      </c>
      <c r="DW136" s="3">
        <f ca="1">IFERROR(__xludf.DUMMYFUNCTION("""COMPUTED_VALUE"""),-0.744946532298944)</f>
        <v>-0.74494653229894403</v>
      </c>
      <c r="DX136" s="3">
        <f ca="1">IFERROR(__xludf.DUMMYFUNCTION("""COMPUTED_VALUE"""),-0.750381696607965)</f>
        <v>-0.75038169660796505</v>
      </c>
      <c r="DY136" s="3">
        <f ca="1">IFERROR(__xludf.DUMMYFUNCTION("""COMPUTED_VALUE"""),-0.747898046701188)</f>
        <v>-0.74789804670118798</v>
      </c>
      <c r="DZ136" s="3">
        <f ca="1">IFERROR(__xludf.DUMMYFUNCTION("""COMPUTED_VALUE"""),-0.681231849263319)</f>
        <v>-0.68123184926331903</v>
      </c>
      <c r="EA136" s="3">
        <f ca="1">IFERROR(__xludf.DUMMYFUNCTION("""COMPUTED_VALUE"""),-0.606964645612708)</f>
        <v>-0.60696464561270802</v>
      </c>
      <c r="EB136" s="3">
        <f ca="1">IFERROR(__xludf.DUMMYFUNCTION("""COMPUTED_VALUE"""),-0.679990302811559)</f>
        <v>-0.67999030281155903</v>
      </c>
      <c r="EC136" s="3">
        <f ca="1">IFERROR(__xludf.DUMMYFUNCTION("""COMPUTED_VALUE"""),-0.721564692663508)</f>
        <v>-0.72156469266350798</v>
      </c>
      <c r="ED136" s="3">
        <f ca="1">IFERROR(__xludf.DUMMYFUNCTION("""COMPUTED_VALUE"""),-0.723074455075092)</f>
        <v>-0.72307445507509205</v>
      </c>
      <c r="EE136" s="3">
        <f ca="1">IFERROR(__xludf.DUMMYFUNCTION("""COMPUTED_VALUE"""),-0.743416771351864)</f>
        <v>-0.74341677135186401</v>
      </c>
      <c r="EF136" s="3">
        <f ca="1">IFERROR(__xludf.DUMMYFUNCTION("""COMPUTED_VALUE"""),-0.668854041008245)</f>
        <v>-0.66885404100824497</v>
      </c>
      <c r="EG136" s="3">
        <f ca="1">IFERROR(__xludf.DUMMYFUNCTION("""COMPUTED_VALUE"""),-0.702834194753598)</f>
        <v>-0.70283419475359799</v>
      </c>
      <c r="EH136" s="3">
        <f ca="1">IFERROR(__xludf.DUMMYFUNCTION("""COMPUTED_VALUE"""),-0.703414541515391)</f>
        <v>-0.70341454151539096</v>
      </c>
      <c r="EI136" s="3">
        <f ca="1">IFERROR(__xludf.DUMMYFUNCTION("""COMPUTED_VALUE"""),-0.811189603461588)</f>
        <v>-0.81118960346158797</v>
      </c>
      <c r="EJ136" s="3">
        <f ca="1">IFERROR(__xludf.DUMMYFUNCTION("""COMPUTED_VALUE"""),-0.838979421020533)</f>
        <v>-0.83897942102053302</v>
      </c>
      <c r="EK136" s="3">
        <f ca="1">IFERROR(__xludf.DUMMYFUNCTION("""COMPUTED_VALUE"""),-0.771161694044203)</f>
        <v>-0.77116169404420298</v>
      </c>
      <c r="EL136" s="3">
        <f ca="1">IFERROR(__xludf.DUMMYFUNCTION("""COMPUTED_VALUE"""),-0.738836075822102)</f>
        <v>-0.73883607582210198</v>
      </c>
      <c r="EM136" s="3">
        <f ca="1">IFERROR(__xludf.DUMMYFUNCTION("""COMPUTED_VALUE"""),-0.769337362127417)</f>
        <v>-0.76933736212741699</v>
      </c>
      <c r="EN136" s="3">
        <f ca="1">IFERROR(__xludf.DUMMYFUNCTION("""COMPUTED_VALUE"""),-0.700472527156777)</f>
        <v>-0.70047252715677699</v>
      </c>
      <c r="EO136" s="3">
        <f ca="1">IFERROR(__xludf.DUMMYFUNCTION("""COMPUTED_VALUE"""),-0.702490721575681)</f>
        <v>-0.70249072157568104</v>
      </c>
      <c r="EP136" s="3">
        <f ca="1">IFERROR(__xludf.DUMMYFUNCTION("""COMPUTED_VALUE"""),-0.705486037850171)</f>
        <v>-0.70548603785017105</v>
      </c>
      <c r="EQ136" s="3">
        <f ca="1">IFERROR(__xludf.DUMMYFUNCTION("""COMPUTED_VALUE"""),-0.737658599140598)</f>
        <v>-0.73765859914059795</v>
      </c>
      <c r="ER136" s="3">
        <f ca="1">IFERROR(__xludf.DUMMYFUNCTION("""COMPUTED_VALUE"""),-0.75959988307613)</f>
        <v>-0.75959988307613002</v>
      </c>
      <c r="ES136" s="3">
        <f ca="1">IFERROR(__xludf.DUMMYFUNCTION("""COMPUTED_VALUE"""),-0.79107625685912)</f>
        <v>-0.79107625685911998</v>
      </c>
      <c r="ET136" s="3">
        <f ca="1">IFERROR(__xludf.DUMMYFUNCTION("""COMPUTED_VALUE"""),-0.761869998643973)</f>
        <v>-0.76186999864397298</v>
      </c>
      <c r="EU136" s="3">
        <f ca="1">IFERROR(__xludf.DUMMYFUNCTION("""COMPUTED_VALUE"""),-0.707803387211226)</f>
        <v>-0.70780338721122604</v>
      </c>
      <c r="EV136" s="3">
        <f ca="1">IFERROR(__xludf.DUMMYFUNCTION("""COMPUTED_VALUE"""),-0.691659747528433)</f>
        <v>-0.69165974752843296</v>
      </c>
      <c r="EW136" s="3">
        <f ca="1">IFERROR(__xludf.DUMMYFUNCTION("""COMPUTED_VALUE"""),-0.75375895900797)</f>
        <v>-0.75375895900796996</v>
      </c>
      <c r="EX136" s="3">
        <f ca="1">IFERROR(__xludf.DUMMYFUNCTION("""COMPUTED_VALUE"""),-0.76950038840625)</f>
        <v>-0.76950038840625001</v>
      </c>
      <c r="EY136" s="3">
        <f ca="1">IFERROR(__xludf.DUMMYFUNCTION("""COMPUTED_VALUE"""),-0.742022594094247)</f>
        <v>-0.74202259409424698</v>
      </c>
      <c r="EZ136" s="3">
        <f ca="1">IFERROR(__xludf.DUMMYFUNCTION("""COMPUTED_VALUE"""),-0.789514949126591)</f>
        <v>-0.78951494912659104</v>
      </c>
      <c r="FA136" s="3">
        <f ca="1">IFERROR(__xludf.DUMMYFUNCTION("""COMPUTED_VALUE"""),-0.748349256696599)</f>
        <v>-0.74834925669659902</v>
      </c>
      <c r="FB136" s="3">
        <f ca="1">IFERROR(__xludf.DUMMYFUNCTION("""COMPUTED_VALUE"""),-0.639564164166325)</f>
        <v>-0.639564164166325</v>
      </c>
      <c r="FC136" s="3">
        <f ca="1">IFERROR(__xludf.DUMMYFUNCTION("""COMPUTED_VALUE"""),-0.680018285285444)</f>
        <v>-0.68001828528544395</v>
      </c>
      <c r="FD136" s="3">
        <f ca="1">IFERROR(__xludf.DUMMYFUNCTION("""COMPUTED_VALUE"""),-0.785262130722876)</f>
        <v>-0.78526213072287598</v>
      </c>
      <c r="FE136" s="3">
        <f ca="1">IFERROR(__xludf.DUMMYFUNCTION("""COMPUTED_VALUE"""),-0.800580823716649)</f>
        <v>-0.80058082371664896</v>
      </c>
      <c r="FF136" s="3">
        <f ca="1">IFERROR(__xludf.DUMMYFUNCTION("""COMPUTED_VALUE"""),-0.801522436473507)</f>
        <v>-0.80152243647350696</v>
      </c>
      <c r="FG136" s="3">
        <f ca="1">IFERROR(__xludf.DUMMYFUNCTION("""COMPUTED_VALUE"""),-0.81485447802275)</f>
        <v>-0.81485447802275002</v>
      </c>
      <c r="FH136" s="3">
        <f ca="1">IFERROR(__xludf.DUMMYFUNCTION("""COMPUTED_VALUE"""),-0.733296726742187)</f>
        <v>-0.73329672674218704</v>
      </c>
      <c r="FI136" s="3">
        <f ca="1">IFERROR(__xludf.DUMMYFUNCTION("""COMPUTED_VALUE"""),-0.685343691654727)</f>
        <v>-0.68534369165472697</v>
      </c>
      <c r="FJ136" s="3">
        <f ca="1">IFERROR(__xludf.DUMMYFUNCTION("""COMPUTED_VALUE"""),-0.747382395753499)</f>
        <v>-0.74738239575349896</v>
      </c>
      <c r="FK136" s="3">
        <f ca="1">IFERROR(__xludf.DUMMYFUNCTION("""COMPUTED_VALUE"""),-0.811982771429116)</f>
        <v>-0.81198277142911601</v>
      </c>
      <c r="FL136" s="3">
        <f ca="1">IFERROR(__xludf.DUMMYFUNCTION("""COMPUTED_VALUE"""),-0.838017799263453)</f>
        <v>-0.83801779926345299</v>
      </c>
      <c r="FM136" s="3">
        <f ca="1">IFERROR(__xludf.DUMMYFUNCTION("""COMPUTED_VALUE"""),-0.800936780125699)</f>
        <v>-0.80093678012569902</v>
      </c>
      <c r="FN136" s="3">
        <f ca="1">IFERROR(__xludf.DUMMYFUNCTION("""COMPUTED_VALUE"""),-0.81555448718999)</f>
        <v>-0.81555448718999002</v>
      </c>
      <c r="FO136" s="3">
        <f ca="1">IFERROR(__xludf.DUMMYFUNCTION("""COMPUTED_VALUE"""),-0.779954282697493)</f>
        <v>-0.77995428269749301</v>
      </c>
      <c r="FP136" s="3">
        <f ca="1">IFERROR(__xludf.DUMMYFUNCTION("""COMPUTED_VALUE"""),-0.741349491877489)</f>
        <v>-0.741349491877489</v>
      </c>
      <c r="FQ136" s="3">
        <f ca="1">IFERROR(__xludf.DUMMYFUNCTION("""COMPUTED_VALUE"""),-0.723329405146401)</f>
        <v>-0.72332940514640098</v>
      </c>
      <c r="FR136" s="3">
        <f ca="1">IFERROR(__xludf.DUMMYFUNCTION("""COMPUTED_VALUE"""),-0.811741648754589)</f>
        <v>-0.81174164875458898</v>
      </c>
      <c r="FS136" s="3">
        <f ca="1">IFERROR(__xludf.DUMMYFUNCTION("""COMPUTED_VALUE"""),-0.81940923007631)</f>
        <v>-0.81940923007630995</v>
      </c>
      <c r="FT136" s="3">
        <f ca="1">IFERROR(__xludf.DUMMYFUNCTION("""COMPUTED_VALUE"""),-0.804071585654612)</f>
        <v>-0.80407158565461201</v>
      </c>
      <c r="FU136" s="3">
        <f ca="1">IFERROR(__xludf.DUMMYFUNCTION("""COMPUTED_VALUE"""),-0.76165936193437)</f>
        <v>-0.76165936193437001</v>
      </c>
      <c r="FV136" s="3">
        <f ca="1">IFERROR(__xludf.DUMMYFUNCTION("""COMPUTED_VALUE"""),-0.737099769526244)</f>
        <v>-0.73709976952624401</v>
      </c>
      <c r="FW136" s="3">
        <f ca="1">IFERROR(__xludf.DUMMYFUNCTION("""COMPUTED_VALUE"""),-0.702767785795193)</f>
        <v>-0.70276778579519295</v>
      </c>
      <c r="FX136" s="3">
        <f ca="1">IFERROR(__xludf.DUMMYFUNCTION("""COMPUTED_VALUE"""),-0.723357669705446)</f>
        <v>-0.72335766970544602</v>
      </c>
      <c r="FY136" s="3">
        <f ca="1">IFERROR(__xludf.DUMMYFUNCTION("""COMPUTED_VALUE"""),-0.808686006477406)</f>
        <v>-0.80868600647740596</v>
      </c>
      <c r="FZ136" s="3">
        <f ca="1">IFERROR(__xludf.DUMMYFUNCTION("""COMPUTED_VALUE"""),-0.796798132744579)</f>
        <v>-0.796798132744579</v>
      </c>
      <c r="GA136" s="3">
        <f ca="1">IFERROR(__xludf.DUMMYFUNCTION("""COMPUTED_VALUE"""),-0.843045844329091)</f>
        <v>-0.84304584432909102</v>
      </c>
      <c r="GB136" s="3">
        <f ca="1">IFERROR(__xludf.DUMMYFUNCTION("""COMPUTED_VALUE"""),-0.805140048044343)</f>
        <v>-0.80514004804434303</v>
      </c>
      <c r="GC136" s="3">
        <f ca="1">IFERROR(__xludf.DUMMYFUNCTION("""COMPUTED_VALUE"""),-0.80484239839196)</f>
        <v>-0.80484239839196003</v>
      </c>
      <c r="GD136" s="3">
        <f ca="1">IFERROR(__xludf.DUMMYFUNCTION("""COMPUTED_VALUE"""),-0.741067289157997)</f>
        <v>-0.74106728915799702</v>
      </c>
      <c r="GE136" s="3">
        <f ca="1">IFERROR(__xludf.DUMMYFUNCTION("""COMPUTED_VALUE"""),-0.751873463816424)</f>
        <v>-0.75187346381642395</v>
      </c>
      <c r="GF136" s="3">
        <f ca="1">IFERROR(__xludf.DUMMYFUNCTION("""COMPUTED_VALUE"""),-0.821926788269308)</f>
        <v>-0.82192678826930798</v>
      </c>
      <c r="GG136" s="3">
        <f ca="1">IFERROR(__xludf.DUMMYFUNCTION("""COMPUTED_VALUE"""),-0.830484086915369)</f>
        <v>-0.83048408691536901</v>
      </c>
      <c r="GH136" s="3">
        <f ca="1">IFERROR(__xludf.DUMMYFUNCTION("""COMPUTED_VALUE"""),-0.803696274243292)</f>
        <v>-0.80369627424329204</v>
      </c>
      <c r="GI136" s="3">
        <f ca="1">IFERROR(__xludf.DUMMYFUNCTION("""COMPUTED_VALUE"""),-0.832619792329871)</f>
        <v>-0.83261979232987104</v>
      </c>
      <c r="GJ136" s="3">
        <f ca="1">IFERROR(__xludf.DUMMYFUNCTION("""COMPUTED_VALUE"""),-0.802126017105739)</f>
        <v>-0.80212601710573905</v>
      </c>
      <c r="GK136" s="3">
        <f ca="1">IFERROR(__xludf.DUMMYFUNCTION("""COMPUTED_VALUE"""),-0.758667841109164)</f>
        <v>-0.75866784110916397</v>
      </c>
      <c r="GL136" s="3">
        <f ca="1">IFERROR(__xludf.DUMMYFUNCTION("""COMPUTED_VALUE"""),-0.774124525074528)</f>
        <v>-0.774124525074528</v>
      </c>
      <c r="GM136" s="3">
        <f ca="1">IFERROR(__xludf.DUMMYFUNCTION("""COMPUTED_VALUE"""),-0.82101146994699)</f>
        <v>-0.82101146994699004</v>
      </c>
      <c r="GN136" s="3">
        <f ca="1">IFERROR(__xludf.DUMMYFUNCTION("""COMPUTED_VALUE"""),-0.82879385940544)</f>
        <v>-0.82879385940544004</v>
      </c>
      <c r="GO136" s="3">
        <f ca="1">IFERROR(__xludf.DUMMYFUNCTION("""COMPUTED_VALUE"""),-0.833066081490761)</f>
        <v>-0.833066081490761</v>
      </c>
      <c r="GP136" s="3">
        <f ca="1">IFERROR(__xludf.DUMMYFUNCTION("""COMPUTED_VALUE"""),-0.836990055062134)</f>
        <v>-0.83699005506213398</v>
      </c>
      <c r="GQ136" s="3">
        <f ca="1">IFERROR(__xludf.DUMMYFUNCTION("""COMPUTED_VALUE"""),-0.804360747739578)</f>
        <v>-0.804360747739578</v>
      </c>
      <c r="GR136" s="3">
        <f ca="1">IFERROR(__xludf.DUMMYFUNCTION("""COMPUTED_VALUE"""),-0.745971426775649)</f>
        <v>-0.74597142677564898</v>
      </c>
      <c r="GS136" s="3">
        <f ca="1">IFERROR(__xludf.DUMMYFUNCTION("""COMPUTED_VALUE"""),-0.702732436253947)</f>
        <v>-0.70273243625394699</v>
      </c>
      <c r="GT136" s="3">
        <f ca="1">IFERROR(__xludf.DUMMYFUNCTION("""COMPUTED_VALUE"""),-0.787442568901479)</f>
        <v>-0.78744256890147901</v>
      </c>
      <c r="GU136" s="3">
        <f ca="1">IFERROR(__xludf.DUMMYFUNCTION("""COMPUTED_VALUE"""),-0.810464664304719)</f>
        <v>-0.81046466430471897</v>
      </c>
      <c r="GV136" s="3">
        <f ca="1">IFERROR(__xludf.DUMMYFUNCTION("""COMPUTED_VALUE"""),-0.823390925885699)</f>
        <v>-0.82339092588569895</v>
      </c>
      <c r="GW136" s="3">
        <f ca="1">IFERROR(__xludf.DUMMYFUNCTION("""COMPUTED_VALUE"""),-0.810703404245702)</f>
        <v>-0.81070340424570198</v>
      </c>
      <c r="GX136" s="3">
        <f ca="1">IFERROR(__xludf.DUMMYFUNCTION("""COMPUTED_VALUE"""),-0.804422504610754)</f>
        <v>-0.80442250461075404</v>
      </c>
      <c r="GY136" s="3">
        <f ca="1">IFERROR(__xludf.DUMMYFUNCTION("""COMPUTED_VALUE"""),-0.663161910960824)</f>
        <v>-0.663161910960824</v>
      </c>
      <c r="GZ136" s="3">
        <f ca="1">IFERROR(__xludf.DUMMYFUNCTION("""COMPUTED_VALUE"""),-0.738032945544045)</f>
        <v>-0.73803294554404497</v>
      </c>
      <c r="HA136" s="3">
        <f ca="1">IFERROR(__xludf.DUMMYFUNCTION("""COMPUTED_VALUE"""),-0.822950628258141)</f>
        <v>-0.82295062825814103</v>
      </c>
      <c r="HB136" s="3">
        <f ca="1">IFERROR(__xludf.DUMMYFUNCTION("""COMPUTED_VALUE"""),-0.817871507894474)</f>
        <v>-0.81787150789447405</v>
      </c>
      <c r="HC136" s="3">
        <f ca="1">IFERROR(__xludf.DUMMYFUNCTION("""COMPUTED_VALUE"""),-0.787489502656114)</f>
        <v>-0.78748950265611395</v>
      </c>
      <c r="HD136" s="3">
        <f ca="1">IFERROR(__xludf.DUMMYFUNCTION("""COMPUTED_VALUE"""),-0.856815742417757)</f>
        <v>-0.85681574241775704</v>
      </c>
      <c r="HE136" s="3">
        <f ca="1">IFERROR(__xludf.DUMMYFUNCTION("""COMPUTED_VALUE"""),-0.833150410753976)</f>
        <v>-0.833150410753976</v>
      </c>
      <c r="HF136" s="3">
        <f ca="1">IFERROR(__xludf.DUMMYFUNCTION("""COMPUTED_VALUE"""),-0.770280330131377)</f>
        <v>-0.77028033013137698</v>
      </c>
      <c r="HG136" s="3">
        <f ca="1">IFERROR(__xludf.DUMMYFUNCTION("""COMPUTED_VALUE"""),-0.75683364840154)</f>
        <v>-0.75683364840153999</v>
      </c>
      <c r="HH136" s="3">
        <f ca="1">IFERROR(__xludf.DUMMYFUNCTION("""COMPUTED_VALUE"""),-0.82583565351224)</f>
        <v>-0.82583565351223998</v>
      </c>
      <c r="HI136" s="3">
        <f ca="1">IFERROR(__xludf.DUMMYFUNCTION("""COMPUTED_VALUE"""),-0.802192693127233)</f>
        <v>-0.80219269312723296</v>
      </c>
      <c r="HJ136" s="3">
        <f ca="1">IFERROR(__xludf.DUMMYFUNCTION("""COMPUTED_VALUE"""),-0.796578108232197)</f>
        <v>-0.79657810823219699</v>
      </c>
      <c r="HK136" s="3">
        <f ca="1">IFERROR(__xludf.DUMMYFUNCTION("""COMPUTED_VALUE"""),-0.778174220698856)</f>
        <v>-0.778174220698856</v>
      </c>
      <c r="HL136" s="3">
        <f ca="1">IFERROR(__xludf.DUMMYFUNCTION("""COMPUTED_VALUE"""),-0.735671101120799)</f>
        <v>-0.73567110112079903</v>
      </c>
      <c r="HM136" s="3">
        <f ca="1">IFERROR(__xludf.DUMMYFUNCTION("""COMPUTED_VALUE"""),-0.660094302001697)</f>
        <v>-0.66009430200169705</v>
      </c>
      <c r="HN136" s="3">
        <f ca="1">IFERROR(__xludf.DUMMYFUNCTION("""COMPUTED_VALUE"""),-0.71985034690976)</f>
        <v>-0.71985034690976002</v>
      </c>
      <c r="HO136" s="3">
        <f ca="1">IFERROR(__xludf.DUMMYFUNCTION("""COMPUTED_VALUE"""),-0.820588676433483)</f>
        <v>-0.82058867643348299</v>
      </c>
      <c r="HP136" s="3">
        <f ca="1">IFERROR(__xludf.DUMMYFUNCTION("""COMPUTED_VALUE"""),-0.795404241188363)</f>
        <v>-0.79540424118836295</v>
      </c>
      <c r="HQ136" s="3">
        <f ca="1">IFERROR(__xludf.DUMMYFUNCTION("""COMPUTED_VALUE"""),-0.813279565875283)</f>
        <v>-0.81327956587528305</v>
      </c>
      <c r="HR136" s="3">
        <f ca="1">IFERROR(__xludf.DUMMYFUNCTION("""COMPUTED_VALUE"""),-0.765227238593344)</f>
        <v>-0.76522723859334396</v>
      </c>
      <c r="HS136" s="3">
        <f ca="1">IFERROR(__xludf.DUMMYFUNCTION("""COMPUTED_VALUE"""),-0.763094482585644)</f>
        <v>-0.76309448258564405</v>
      </c>
      <c r="HT136" s="3">
        <f ca="1">IFERROR(__xludf.DUMMYFUNCTION("""COMPUTED_VALUE"""),-0.687783486512626)</f>
        <v>-0.687783486512626</v>
      </c>
      <c r="HU136" s="3">
        <f ca="1">IFERROR(__xludf.DUMMYFUNCTION("""COMPUTED_VALUE"""),-0.777318548290216)</f>
        <v>-0.77731854829021596</v>
      </c>
      <c r="HV136" s="3">
        <f ca="1">IFERROR(__xludf.DUMMYFUNCTION("""COMPUTED_VALUE"""),-0.825139396934814)</f>
        <v>-0.82513939693481397</v>
      </c>
      <c r="HW136" s="3">
        <f ca="1">IFERROR(__xludf.DUMMYFUNCTION("""COMPUTED_VALUE"""),-0.818900234168344)</f>
        <v>-0.81890023416834401</v>
      </c>
      <c r="HX136" s="3">
        <f ca="1">IFERROR(__xludf.DUMMYFUNCTION("""COMPUTED_VALUE"""),-0.847437175632344)</f>
        <v>-0.847437175632344</v>
      </c>
      <c r="HY136" s="3">
        <f ca="1">IFERROR(__xludf.DUMMYFUNCTION("""COMPUTED_VALUE"""),-0.837784764343402)</f>
        <v>-0.83778476434340199</v>
      </c>
      <c r="HZ136" s="3">
        <f ca="1">IFERROR(__xludf.DUMMYFUNCTION("""COMPUTED_VALUE"""),-0.77676330462704)</f>
        <v>-0.77676330462704002</v>
      </c>
      <c r="IA136" s="3">
        <f ca="1">IFERROR(__xludf.DUMMYFUNCTION("""COMPUTED_VALUE"""),-0.734024377352045)</f>
        <v>-0.73402437735204495</v>
      </c>
      <c r="IB136" s="3">
        <f ca="1">IFERROR(__xludf.DUMMYFUNCTION("""COMPUTED_VALUE"""),-0.760853460919261)</f>
        <v>-0.76085346091926098</v>
      </c>
      <c r="IC136" s="3">
        <f ca="1">IFERROR(__xludf.DUMMYFUNCTION("""COMPUTED_VALUE"""),-0.832209845818084)</f>
        <v>-0.83220984581808399</v>
      </c>
      <c r="ID136" s="3">
        <f ca="1">IFERROR(__xludf.DUMMYFUNCTION("""COMPUTED_VALUE"""),-0.84134945307241)</f>
        <v>-0.84134945307241005</v>
      </c>
      <c r="IE136" s="3">
        <f ca="1">IFERROR(__xludf.DUMMYFUNCTION("""COMPUTED_VALUE"""),-0.816737272550962)</f>
        <v>-0.81673727255096196</v>
      </c>
      <c r="IF136" s="3">
        <f ca="1">IFERROR(__xludf.DUMMYFUNCTION("""COMPUTED_VALUE"""),-0.784239543643198)</f>
        <v>-0.78423954364319803</v>
      </c>
      <c r="IG136" s="3">
        <f ca="1">IFERROR(__xludf.DUMMYFUNCTION("""COMPUTED_VALUE"""),-0.77796634265966)</f>
        <v>-0.77796634265966003</v>
      </c>
      <c r="IH136" s="3">
        <f ca="1">IFERROR(__xludf.DUMMYFUNCTION("""COMPUTED_VALUE"""),-0.703214994846026)</f>
        <v>-0.70321499484602601</v>
      </c>
      <c r="II136" s="3">
        <f ca="1">IFERROR(__xludf.DUMMYFUNCTION("""COMPUTED_VALUE"""),-0.75260676379811)</f>
        <v>-0.75260676379810998</v>
      </c>
      <c r="IJ136" s="3">
        <f ca="1">IFERROR(__xludf.DUMMYFUNCTION("""COMPUTED_VALUE"""),-0.752806193323318)</f>
        <v>-0.752806193323318</v>
      </c>
      <c r="IK136" s="3">
        <f ca="1">IFERROR(__xludf.DUMMYFUNCTION("""COMPUTED_VALUE"""),-0.834238555457417)</f>
        <v>-0.83423855545741699</v>
      </c>
      <c r="IL136" s="3">
        <f ca="1">IFERROR(__xludf.DUMMYFUNCTION("""COMPUTED_VALUE"""),-0.832610332051545)</f>
        <v>-0.832610332051545</v>
      </c>
      <c r="IM136" s="3">
        <f ca="1">IFERROR(__xludf.DUMMYFUNCTION("""COMPUTED_VALUE"""),-0.803735386639742)</f>
        <v>-0.80373538663974198</v>
      </c>
      <c r="IN136" s="3">
        <f ca="1">IFERROR(__xludf.DUMMYFUNCTION("""COMPUTED_VALUE"""),-0.776562236780259)</f>
        <v>-0.77656223678025904</v>
      </c>
      <c r="IO136" s="3">
        <f ca="1">IFERROR(__xludf.DUMMYFUNCTION("""COMPUTED_VALUE"""),-0.771956327022776)</f>
        <v>-0.77195632702277595</v>
      </c>
      <c r="IP136" s="3">
        <f ca="1">IFERROR(__xludf.DUMMYFUNCTION("""COMPUTED_VALUE"""),-0.778614031515746)</f>
        <v>-0.77861403151574604</v>
      </c>
      <c r="IQ136" s="3">
        <f ca="1">IFERROR(__xludf.DUMMYFUNCTION("""COMPUTED_VALUE"""),-0.828168183415256)</f>
        <v>-0.828168183415256</v>
      </c>
      <c r="IR136" s="3">
        <f ca="1">IFERROR(__xludf.DUMMYFUNCTION("""COMPUTED_VALUE"""),-0.865380494650656)</f>
        <v>-0.86538049465065603</v>
      </c>
      <c r="IS136" s="3">
        <f ca="1">IFERROR(__xludf.DUMMYFUNCTION("""COMPUTED_VALUE"""),-0.843960240716671)</f>
        <v>-0.84396024071667097</v>
      </c>
      <c r="IT136" s="3">
        <f ca="1">IFERROR(__xludf.DUMMYFUNCTION("""COMPUTED_VALUE"""),-0.835873730073158)</f>
        <v>-0.83587373007315802</v>
      </c>
      <c r="IU136" s="3">
        <f ca="1">IFERROR(__xludf.DUMMYFUNCTION("""COMPUTED_VALUE"""),-0.802718149036134)</f>
        <v>-0.80271814903613403</v>
      </c>
      <c r="IV136" s="3">
        <f ca="1">IFERROR(__xludf.DUMMYFUNCTION("""COMPUTED_VALUE"""),-0.779396515851154)</f>
        <v>-0.77939651585115399</v>
      </c>
      <c r="IW136" s="3">
        <f ca="1">IFERROR(__xludf.DUMMYFUNCTION("""COMPUTED_VALUE"""),-0.764895471642346)</f>
        <v>-0.76489547164234595</v>
      </c>
      <c r="IX136" s="3">
        <f ca="1">IFERROR(__xludf.DUMMYFUNCTION("""COMPUTED_VALUE"""),-0.829390071005555)</f>
        <v>-0.82939007100555495</v>
      </c>
      <c r="IY136" s="3">
        <f ca="1">IFERROR(__xludf.DUMMYFUNCTION("""COMPUTED_VALUE"""),-0.837916583936497)</f>
        <v>-0.83791658393649704</v>
      </c>
      <c r="IZ136" s="3">
        <f ca="1">IFERROR(__xludf.DUMMYFUNCTION("""COMPUTED_VALUE"""),-0.849398403189997)</f>
        <v>-0.84939840318999704</v>
      </c>
      <c r="JA136" s="3">
        <f ca="1">IFERROR(__xludf.DUMMYFUNCTION("""COMPUTED_VALUE"""),-0.835950905924875)</f>
        <v>-0.83595090592487498</v>
      </c>
      <c r="JB136" s="3">
        <f ca="1">IFERROR(__xludf.DUMMYFUNCTION("""COMPUTED_VALUE"""),-0.771276308818249)</f>
        <v>-0.77127630881824905</v>
      </c>
      <c r="JC136" s="3">
        <f ca="1">IFERROR(__xludf.DUMMYFUNCTION("""COMPUTED_VALUE"""),-0.766413089268009)</f>
        <v>-0.766413089268009</v>
      </c>
      <c r="JD136" s="3">
        <f ca="1">IFERROR(__xludf.DUMMYFUNCTION("""COMPUTED_VALUE"""),-0.788482874252658)</f>
        <v>-0.78848287425265795</v>
      </c>
      <c r="JE136" s="3">
        <f ca="1">IFERROR(__xludf.DUMMYFUNCTION("""COMPUTED_VALUE"""),-0.846447129292586)</f>
        <v>-0.84644712929258603</v>
      </c>
      <c r="JF136" s="3">
        <f ca="1">IFERROR(__xludf.DUMMYFUNCTION("""COMPUTED_VALUE"""),-0.854708859115208)</f>
        <v>-0.854708859115208</v>
      </c>
      <c r="JG136" s="3">
        <f ca="1">IFERROR(__xludf.DUMMYFUNCTION("""COMPUTED_VALUE"""),-0.83912688066095)</f>
        <v>-0.83912688066094998</v>
      </c>
      <c r="JH136" s="3">
        <f ca="1">IFERROR(__xludf.DUMMYFUNCTION("""COMPUTED_VALUE"""),-0.83729546330455)</f>
        <v>-0.83729546330454996</v>
      </c>
      <c r="JI136" s="3">
        <f ca="1">IFERROR(__xludf.DUMMYFUNCTION("""COMPUTED_VALUE"""),-0.750793411858615)</f>
        <v>-0.75079341185861503</v>
      </c>
      <c r="JJ136" s="3">
        <f ca="1">IFERROR(__xludf.DUMMYFUNCTION("""COMPUTED_VALUE"""),-0.765081125170572)</f>
        <v>-0.76508112517057203</v>
      </c>
      <c r="JK136" s="3">
        <f ca="1">IFERROR(__xludf.DUMMYFUNCTION("""COMPUTED_VALUE"""),-0.790300104978137)</f>
        <v>-0.79030010497813696</v>
      </c>
      <c r="JL136" s="3">
        <f ca="1">IFERROR(__xludf.DUMMYFUNCTION("""COMPUTED_VALUE"""),-0.81629907760439)</f>
        <v>-0.81629907760439002</v>
      </c>
      <c r="JM136" s="3">
        <f ca="1">IFERROR(__xludf.DUMMYFUNCTION("""COMPUTED_VALUE"""),-0.845995917062033)</f>
        <v>-0.84599591706203303</v>
      </c>
      <c r="JN136" s="3">
        <f ca="1">IFERROR(__xludf.DUMMYFUNCTION("""COMPUTED_VALUE"""),-0.817258646392623)</f>
        <v>-0.81725864639262302</v>
      </c>
      <c r="JO136" s="3">
        <f ca="1">IFERROR(__xludf.DUMMYFUNCTION("""COMPUTED_VALUE"""),-0.838042194599924)</f>
        <v>-0.83804219459992402</v>
      </c>
      <c r="JP136" s="3">
        <f ca="1">IFERROR(__xludf.DUMMYFUNCTION("""COMPUTED_VALUE"""),-0.840163532200384)</f>
        <v>-0.84016353220038398</v>
      </c>
      <c r="JQ136" s="3">
        <f ca="1">IFERROR(__xludf.DUMMYFUNCTION("""COMPUTED_VALUE"""),-0.816475912900553)</f>
        <v>-0.81647591290055299</v>
      </c>
      <c r="JR136" s="3">
        <f ca="1">IFERROR(__xludf.DUMMYFUNCTION("""COMPUTED_VALUE"""),-0.773615755004359)</f>
        <v>-0.77361575500435897</v>
      </c>
      <c r="JS136" s="3">
        <f ca="1">IFERROR(__xludf.DUMMYFUNCTION("""COMPUTED_VALUE"""),-0.788655180415935)</f>
        <v>-0.78865518041593496</v>
      </c>
      <c r="JT136" s="3">
        <f ca="1">IFERROR(__xludf.DUMMYFUNCTION("""COMPUTED_VALUE"""),-0.837803891018375)</f>
        <v>-0.83780389101837505</v>
      </c>
      <c r="JU136" s="3">
        <f ca="1">IFERROR(__xludf.DUMMYFUNCTION("""COMPUTED_VALUE"""),-0.844604441376934)</f>
        <v>-0.84460444137693402</v>
      </c>
      <c r="JV136" s="3">
        <f ca="1">IFERROR(__xludf.DUMMYFUNCTION("""COMPUTED_VALUE"""),-0.815431538500221)</f>
        <v>-0.81543153850022099</v>
      </c>
      <c r="JW136" s="3">
        <f ca="1">IFERROR(__xludf.DUMMYFUNCTION("""COMPUTED_VALUE"""),-0.812017421048102)</f>
        <v>-0.81201742104810204</v>
      </c>
      <c r="JX136" s="3">
        <f ca="1">IFERROR(__xludf.DUMMYFUNCTION("""COMPUTED_VALUE"""),-0.830119473953905)</f>
        <v>-0.83011947395390495</v>
      </c>
      <c r="JY136" s="3">
        <f ca="1">IFERROR(__xludf.DUMMYFUNCTION("""COMPUTED_VALUE"""),-0.821264391515822)</f>
        <v>-0.82126439151582198</v>
      </c>
      <c r="JZ136" s="3">
        <f ca="1">IFERROR(__xludf.DUMMYFUNCTION("""COMPUTED_VALUE"""),-0.768858721145715)</f>
        <v>-0.76885872114571496</v>
      </c>
      <c r="KA136" s="3">
        <f ca="1">IFERROR(__xludf.DUMMYFUNCTION("""COMPUTED_VALUE"""),-0.821312109395831)</f>
        <v>-0.82131210939583099</v>
      </c>
      <c r="KB136" s="3">
        <f ca="1">IFERROR(__xludf.DUMMYFUNCTION("""COMPUTED_VALUE"""),-0.854195106120314)</f>
        <v>-0.85419510612031402</v>
      </c>
      <c r="KC136" s="3">
        <f ca="1">IFERROR(__xludf.DUMMYFUNCTION("""COMPUTED_VALUE"""),-0.835297433915546)</f>
        <v>-0.83529743391554601</v>
      </c>
      <c r="KD136" s="3">
        <f ca="1">IFERROR(__xludf.DUMMYFUNCTION("""COMPUTED_VALUE"""),-0.835145633611091)</f>
        <v>-0.83514563361109095</v>
      </c>
      <c r="KE136" s="3">
        <f ca="1">IFERROR(__xludf.DUMMYFUNCTION("""COMPUTED_VALUE"""),-0.847429441108912)</f>
        <v>-0.84742944110891205</v>
      </c>
      <c r="KF136" s="3">
        <f ca="1">IFERROR(__xludf.DUMMYFUNCTION("""COMPUTED_VALUE"""),-0.813932422817545)</f>
        <v>-0.81393242281754496</v>
      </c>
      <c r="KG136" s="3">
        <f ca="1">IFERROR(__xludf.DUMMYFUNCTION("""COMPUTED_VALUE"""),-0.776316134401014)</f>
        <v>-0.77631613440101399</v>
      </c>
      <c r="KH136" s="3">
        <f ca="1">IFERROR(__xludf.DUMMYFUNCTION("""COMPUTED_VALUE"""),-0.77698592868709)</f>
        <v>-0.77698592868709004</v>
      </c>
      <c r="KI136" s="3">
        <f ca="1">IFERROR(__xludf.DUMMYFUNCTION("""COMPUTED_VALUE"""),-0.837191080598854)</f>
        <v>-0.83719108059885405</v>
      </c>
      <c r="KJ136" s="3">
        <f ca="1">IFERROR(__xludf.DUMMYFUNCTION("""COMPUTED_VALUE"""),-0.862868254652105)</f>
        <v>-0.86286825465210504</v>
      </c>
      <c r="KK136" s="3">
        <f ca="1">IFERROR(__xludf.DUMMYFUNCTION("""COMPUTED_VALUE"""),-0.85027800486357)</f>
        <v>-0.85027800486356997</v>
      </c>
      <c r="KL136" s="3">
        <f ca="1">IFERROR(__xludf.DUMMYFUNCTION("""COMPUTED_VALUE"""),-0.845205429029817)</f>
        <v>-0.84520542902981699</v>
      </c>
      <c r="KM136" s="3">
        <f ca="1">IFERROR(__xludf.DUMMYFUNCTION("""COMPUTED_VALUE"""),-0.796983586617213)</f>
        <v>-0.79698358661721302</v>
      </c>
      <c r="KN136" s="3">
        <f ca="1">IFERROR(__xludf.DUMMYFUNCTION("""COMPUTED_VALUE"""),-0.794565293161863)</f>
        <v>-0.79456529316186297</v>
      </c>
      <c r="KO136" s="3">
        <f ca="1">IFERROR(__xludf.DUMMYFUNCTION("""COMPUTED_VALUE"""),-0.788461635815135)</f>
        <v>-0.78846163581513495</v>
      </c>
      <c r="KP136" s="3">
        <f ca="1">IFERROR(__xludf.DUMMYFUNCTION("""COMPUTED_VALUE"""),-0.857505485020378)</f>
        <v>-0.85750548502037804</v>
      </c>
      <c r="KQ136" s="3">
        <f ca="1">IFERROR(__xludf.DUMMYFUNCTION("""COMPUTED_VALUE"""),-0.847734396452804)</f>
        <v>-0.84773439645280402</v>
      </c>
      <c r="KR136" s="3">
        <f ca="1">IFERROR(__xludf.DUMMYFUNCTION("""COMPUTED_VALUE"""),-0.742382029032624)</f>
        <v>-0.74238202903262396</v>
      </c>
      <c r="KS136" s="3">
        <f ca="1">IFERROR(__xludf.DUMMYFUNCTION("""COMPUTED_VALUE"""),-0.627992892911203)</f>
        <v>-0.62799289291120297</v>
      </c>
      <c r="KT136" s="3">
        <f ca="1">IFERROR(__xludf.DUMMYFUNCTION("""COMPUTED_VALUE"""),-0.656392193807584)</f>
        <v>-0.65639219380758396</v>
      </c>
      <c r="KU136" s="3">
        <f ca="1">IFERROR(__xludf.DUMMYFUNCTION("""COMPUTED_VALUE"""),-0.732821620978544)</f>
        <v>-0.73282162097854397</v>
      </c>
      <c r="KV136" s="3">
        <f ca="1">IFERROR(__xludf.DUMMYFUNCTION("""COMPUTED_VALUE"""),-0.843059524399338)</f>
        <v>-0.84305952439933796</v>
      </c>
      <c r="KW136" s="3">
        <f ca="1">IFERROR(__xludf.DUMMYFUNCTION("""COMPUTED_VALUE"""),-0.795937362933822)</f>
        <v>-0.795937362933822</v>
      </c>
      <c r="KX136" s="3">
        <f ca="1">IFERROR(__xludf.DUMMYFUNCTION("""COMPUTED_VALUE"""),-0.84687736119981)</f>
        <v>-0.84687736119981005</v>
      </c>
      <c r="KY136" s="3">
        <f ca="1">IFERROR(__xludf.DUMMYFUNCTION("""COMPUTED_VALUE"""),-0.819007464461507)</f>
        <v>-0.81900746446150696</v>
      </c>
      <c r="KZ136" s="3">
        <f ca="1">IFERROR(__xludf.DUMMYFUNCTION("""COMPUTED_VALUE"""),-0.777872902458736)</f>
        <v>-0.77787290245873597</v>
      </c>
      <c r="LA136" s="3">
        <f ca="1">IFERROR(__xludf.DUMMYFUNCTION("""COMPUTED_VALUE"""),-0.751692074943727)</f>
        <v>-0.75169207494372703</v>
      </c>
      <c r="LB136" s="3">
        <f ca="1">IFERROR(__xludf.DUMMYFUNCTION("""COMPUTED_VALUE"""),-0.803042979984219)</f>
        <v>-0.80304297998421903</v>
      </c>
      <c r="LC136" s="3">
        <f ca="1">IFERROR(__xludf.DUMMYFUNCTION("""COMPUTED_VALUE"""),-0.821075123267422)</f>
        <v>-0.82107512326742205</v>
      </c>
      <c r="LD136" s="3">
        <f ca="1">IFERROR(__xludf.DUMMYFUNCTION("""COMPUTED_VALUE"""),-0.723945959813685)</f>
        <v>-0.72394595981368504</v>
      </c>
      <c r="LE136" s="3">
        <f ca="1">IFERROR(__xludf.DUMMYFUNCTION("""COMPUTED_VALUE"""),-0.769723255502113)</f>
        <v>-0.76972325550211296</v>
      </c>
      <c r="LF136" s="3">
        <f ca="1">IFERROR(__xludf.DUMMYFUNCTION("""COMPUTED_VALUE"""),-0.784221258874303)</f>
        <v>-0.78422125887430305</v>
      </c>
      <c r="LG136" s="3">
        <f ca="1">IFERROR(__xludf.DUMMYFUNCTION("""COMPUTED_VALUE"""),-0.77103687716522)</f>
        <v>-0.77103687716521996</v>
      </c>
      <c r="LH136" s="3">
        <f ca="1">IFERROR(__xludf.DUMMYFUNCTION("""COMPUTED_VALUE"""),-0.732405245724939)</f>
        <v>-0.73240524572493904</v>
      </c>
      <c r="LI136" s="3">
        <f ca="1">IFERROR(__xludf.DUMMYFUNCTION("""COMPUTED_VALUE"""),-0.793902170104266)</f>
        <v>-0.793902170104266</v>
      </c>
      <c r="LJ136" s="3">
        <f ca="1">IFERROR(__xludf.DUMMYFUNCTION("""COMPUTED_VALUE"""),-0.837970860509316)</f>
        <v>-0.83797086050931602</v>
      </c>
      <c r="LK136" s="3">
        <f ca="1">IFERROR(__xludf.DUMMYFUNCTION("""COMPUTED_VALUE"""),-0.798734086949354)</f>
        <v>-0.79873408694935399</v>
      </c>
      <c r="LL136" s="3">
        <f ca="1">IFERROR(__xludf.DUMMYFUNCTION("""COMPUTED_VALUE"""),-0.820997505015215)</f>
        <v>-0.82099750501521496</v>
      </c>
      <c r="LM136" s="3">
        <f ca="1">IFERROR(__xludf.DUMMYFUNCTION("""COMPUTED_VALUE"""),-0.825283551798516)</f>
        <v>-0.82528355179851598</v>
      </c>
      <c r="LN136" s="3">
        <f ca="1">IFERROR(__xludf.DUMMYFUNCTION("""COMPUTED_VALUE"""),-0.815250725993149)</f>
        <v>-0.81525072599314896</v>
      </c>
      <c r="LO136" s="3">
        <f ca="1">IFERROR(__xludf.DUMMYFUNCTION("""COMPUTED_VALUE"""),-0.785627217537645)</f>
        <v>-0.78562721753764497</v>
      </c>
      <c r="LP136" s="3">
        <f ca="1">IFERROR(__xludf.DUMMYFUNCTION("""COMPUTED_VALUE"""),-0.79329816963268)</f>
        <v>-0.79329816963267996</v>
      </c>
      <c r="LQ136" s="3">
        <f ca="1">IFERROR(__xludf.DUMMYFUNCTION("""COMPUTED_VALUE"""),-0.82549244755583)</f>
        <v>-0.82549244755582996</v>
      </c>
      <c r="LR136" s="3">
        <f ca="1">IFERROR(__xludf.DUMMYFUNCTION("""COMPUTED_VALUE"""),-0.798309279217633)</f>
        <v>-0.79830927921763295</v>
      </c>
      <c r="LS136" s="3">
        <f ca="1">IFERROR(__xludf.DUMMYFUNCTION("""COMPUTED_VALUE"""),-0.811373445035261)</f>
        <v>-0.81137344503526099</v>
      </c>
      <c r="LT136" s="3">
        <f ca="1">IFERROR(__xludf.DUMMYFUNCTION("""COMPUTED_VALUE"""),-0.807438166193678)</f>
        <v>-0.80743816619367803</v>
      </c>
      <c r="LU136" s="3">
        <f ca="1">IFERROR(__xludf.DUMMYFUNCTION("""COMPUTED_VALUE"""),-0.810771124109475)</f>
        <v>-0.81077112410947505</v>
      </c>
      <c r="LV136" s="3">
        <f ca="1">IFERROR(__xludf.DUMMYFUNCTION("""COMPUTED_VALUE"""),-0.811014511546121)</f>
        <v>-0.81101451154612103</v>
      </c>
      <c r="LW136" s="3">
        <f ca="1">IFERROR(__xludf.DUMMYFUNCTION("""COMPUTED_VALUE"""),-0.823918446944837)</f>
        <v>-0.82391844694483696</v>
      </c>
      <c r="LX136" s="3">
        <f ca="1">IFERROR(__xludf.DUMMYFUNCTION("""COMPUTED_VALUE"""),-0.835622098245709)</f>
        <v>-0.83562209824570899</v>
      </c>
      <c r="LY136" s="3">
        <f ca="1">IFERROR(__xludf.DUMMYFUNCTION("""COMPUTED_VALUE"""),-0.841030618568936)</f>
        <v>-0.84103061856893602</v>
      </c>
      <c r="LZ136" s="3">
        <f ca="1">IFERROR(__xludf.DUMMYFUNCTION("""COMPUTED_VALUE"""),-0.855042103242446)</f>
        <v>-0.85504210324244601</v>
      </c>
      <c r="MA136" s="3">
        <f ca="1">IFERROR(__xludf.DUMMYFUNCTION("""COMPUTED_VALUE"""),-0.809468174264935)</f>
        <v>-0.809468174264935</v>
      </c>
      <c r="MB136" s="3">
        <f ca="1">IFERROR(__xludf.DUMMYFUNCTION("""COMPUTED_VALUE"""),-0.788029083877029)</f>
        <v>-0.78802908387702897</v>
      </c>
      <c r="MC136" s="3">
        <f ca="1">IFERROR(__xludf.DUMMYFUNCTION("""COMPUTED_VALUE"""),-0.757190452212106)</f>
        <v>-0.75719045221210601</v>
      </c>
      <c r="MD136" s="3">
        <f ca="1">IFERROR(__xludf.DUMMYFUNCTION("""COMPUTED_VALUE"""),-0.848940196283427)</f>
        <v>-0.84894019628342698</v>
      </c>
      <c r="ME136" s="3">
        <f ca="1">IFERROR(__xludf.DUMMYFUNCTION("""COMPUTED_VALUE"""),-0.836832282840488)</f>
        <v>-0.83683228284048805</v>
      </c>
      <c r="MF136" s="3">
        <f ca="1">IFERROR(__xludf.DUMMYFUNCTION("""COMPUTED_VALUE"""),-0.854939989540799)</f>
        <v>-0.85493998954079897</v>
      </c>
      <c r="MG136" s="3">
        <f ca="1">IFERROR(__xludf.DUMMYFUNCTION("""COMPUTED_VALUE"""),-0.836124373882486)</f>
        <v>-0.83612437388248595</v>
      </c>
      <c r="MH136" s="3">
        <f ca="1">IFERROR(__xludf.DUMMYFUNCTION("""COMPUTED_VALUE"""),-0.813550348576162)</f>
        <v>-0.81355034857616204</v>
      </c>
      <c r="MI136" s="3">
        <f ca="1">IFERROR(__xludf.DUMMYFUNCTION("""COMPUTED_VALUE"""),-0.836306314470989)</f>
        <v>-0.83630631447098902</v>
      </c>
      <c r="MJ136" s="3">
        <f ca="1">IFERROR(__xludf.DUMMYFUNCTION("""COMPUTED_VALUE"""),-0.859922143377448)</f>
        <v>-0.85992214337744799</v>
      </c>
      <c r="MK136" s="3">
        <f ca="1">IFERROR(__xludf.DUMMYFUNCTION("""COMPUTED_VALUE"""),-0.809254745498026)</f>
        <v>-0.80925474549802601</v>
      </c>
      <c r="ML136" s="3">
        <f ca="1">IFERROR(__xludf.DUMMYFUNCTION("""COMPUTED_VALUE"""),-0.834632838540358)</f>
        <v>-0.83463283854035797</v>
      </c>
      <c r="MM136" s="3">
        <f ca="1">IFERROR(__xludf.DUMMYFUNCTION("""COMPUTED_VALUE"""),-0.846010233470466)</f>
        <v>-0.846010233470466</v>
      </c>
      <c r="MN136" s="3">
        <f ca="1">IFERROR(__xludf.DUMMYFUNCTION("""COMPUTED_VALUE"""),-0.855063706859066)</f>
        <v>-0.85506370685906596</v>
      </c>
      <c r="MO136" s="3">
        <f ca="1">IFERROR(__xludf.DUMMYFUNCTION("""COMPUTED_VALUE"""),-0.8633729883933)</f>
        <v>-0.86337298839330001</v>
      </c>
      <c r="MP136" s="3">
        <f ca="1">IFERROR(__xludf.DUMMYFUNCTION("""COMPUTED_VALUE"""),-0.810808385007794)</f>
        <v>-0.81080838500779395</v>
      </c>
      <c r="MQ136" s="3">
        <f ca="1">IFERROR(__xludf.DUMMYFUNCTION("""COMPUTED_VALUE"""),-0.836733870572972)</f>
        <v>-0.83673387057297199</v>
      </c>
      <c r="MR136" s="3">
        <f ca="1">IFERROR(__xludf.DUMMYFUNCTION("""COMPUTED_VALUE"""),-0.836108789722086)</f>
        <v>-0.83610878972208602</v>
      </c>
      <c r="MS136" s="3">
        <f ca="1">IFERROR(__xludf.DUMMYFUNCTION("""COMPUTED_VALUE"""),-0.853648488615557)</f>
        <v>-0.85364848861555698</v>
      </c>
      <c r="MT136" s="3">
        <f ca="1">IFERROR(__xludf.DUMMYFUNCTION("""COMPUTED_VALUE"""),-0.853728087009423)</f>
        <v>-0.85372808700942304</v>
      </c>
      <c r="MU136" s="3">
        <f ca="1">IFERROR(__xludf.DUMMYFUNCTION("""COMPUTED_VALUE"""),-0.835031998127365)</f>
        <v>-0.83503199812736495</v>
      </c>
      <c r="MV136" s="3">
        <f ca="1">IFERROR(__xludf.DUMMYFUNCTION("""COMPUTED_VALUE"""),-0.786343253196479)</f>
        <v>-0.78634325319647902</v>
      </c>
      <c r="MW136" s="3">
        <f ca="1">IFERROR(__xludf.DUMMYFUNCTION("""COMPUTED_VALUE"""),-0.893300783644682)</f>
        <v>-0.89330078364468202</v>
      </c>
      <c r="MX136" s="3">
        <f ca="1">IFERROR(__xludf.DUMMYFUNCTION("""COMPUTED_VALUE"""),-0.864089221517605)</f>
        <v>-0.86408922151760503</v>
      </c>
      <c r="MY136" s="3">
        <f ca="1">IFERROR(__xludf.DUMMYFUNCTION("""COMPUTED_VALUE"""),-0.837399063935999)</f>
        <v>-0.83739906393599906</v>
      </c>
      <c r="MZ136" s="3">
        <f ca="1">IFERROR(__xludf.DUMMYFUNCTION("""COMPUTED_VALUE"""),-0.822297905746736)</f>
        <v>-0.822297905746736</v>
      </c>
      <c r="NA136" s="3">
        <f ca="1">IFERROR(__xludf.DUMMYFUNCTION("""COMPUTED_VALUE"""),-0.828328624942272)</f>
        <v>-0.828328624942272</v>
      </c>
      <c r="NB136" s="3">
        <f ca="1">IFERROR(__xludf.DUMMYFUNCTION("""COMPUTED_VALUE"""),-0.819564173720045)</f>
        <v>-0.81956417372004498</v>
      </c>
      <c r="NC136" s="3">
        <f ca="1">IFERROR(__xludf.DUMMYFUNCTION("""COMPUTED_VALUE"""),-0.838345391637157)</f>
        <v>-0.83834539163715704</v>
      </c>
      <c r="ND136" s="3">
        <f ca="1">IFERROR(__xludf.DUMMYFUNCTION("""COMPUTED_VALUE"""),-0.832806720176025)</f>
        <v>-0.83280672017602497</v>
      </c>
      <c r="NE136" s="3">
        <f ca="1">IFERROR(__xludf.DUMMYFUNCTION("""COMPUTED_VALUE"""),-0.812530795057747)</f>
        <v>-0.81253079505774695</v>
      </c>
      <c r="NF136" s="3">
        <f ca="1">IFERROR(__xludf.DUMMYFUNCTION("""COMPUTED_VALUE"""),-0.845607003757752)</f>
        <v>-0.845607003757752</v>
      </c>
      <c r="NG136" s="3">
        <f ca="1">IFERROR(__xludf.DUMMYFUNCTION("""COMPUTED_VALUE"""),-0.86807665803995)</f>
        <v>-0.86807665803995004</v>
      </c>
      <c r="NH136" s="3">
        <f ca="1">IFERROR(__xludf.DUMMYFUNCTION("""COMPUTED_VALUE"""),-0.823858113770778)</f>
        <v>-0.823858113770778</v>
      </c>
      <c r="NI136" s="3">
        <f ca="1">IFERROR(__xludf.DUMMYFUNCTION("""COMPUTED_VALUE"""),-0.809302991129593)</f>
        <v>-0.80930299112959303</v>
      </c>
      <c r="NJ136" s="3">
        <f ca="1">IFERROR(__xludf.DUMMYFUNCTION("""COMPUTED_VALUE"""),-0.812510275558977)</f>
        <v>-0.81251027555897704</v>
      </c>
      <c r="NK136" s="3">
        <f ca="1">IFERROR(__xludf.DUMMYFUNCTION("""COMPUTED_VALUE"""),-0.892662030119722)</f>
        <v>-0.89266203011972201</v>
      </c>
      <c r="NL136" s="3">
        <f ca="1">IFERROR(__xludf.DUMMYFUNCTION("""COMPUTED_VALUE"""),-0.897694634191847)</f>
        <v>-0.89769463419184703</v>
      </c>
      <c r="NM136" s="3">
        <f ca="1">IFERROR(__xludf.DUMMYFUNCTION("""COMPUTED_VALUE"""),-0.876051649199179)</f>
        <v>-0.87605164919917899</v>
      </c>
      <c r="NN136" s="3">
        <f ca="1">IFERROR(__xludf.DUMMYFUNCTION("""COMPUTED_VALUE"""),-0.835992643121209)</f>
        <v>-0.83599264312120902</v>
      </c>
      <c r="NO136" s="3">
        <f ca="1">IFERROR(__xludf.DUMMYFUNCTION("""COMPUTED_VALUE"""),-0.844137148413847)</f>
        <v>-0.84413714841384702</v>
      </c>
      <c r="NP136" s="3">
        <f ca="1">IFERROR(__xludf.DUMMYFUNCTION("""COMPUTED_VALUE"""),-0.830985127925649)</f>
        <v>-0.83098512792564905</v>
      </c>
      <c r="NQ136" s="3">
        <f ca="1">IFERROR(__xludf.DUMMYFUNCTION("""COMPUTED_VALUE"""),-0.781536522551295)</f>
        <v>-0.78153652255129502</v>
      </c>
      <c r="NR136" s="3">
        <f ca="1">IFERROR(__xludf.DUMMYFUNCTION("""COMPUTED_VALUE"""),-0.800017800680834)</f>
        <v>-0.80001780068083395</v>
      </c>
      <c r="NS136" s="3">
        <f ca="1">IFERROR(__xludf.DUMMYFUNCTION("""COMPUTED_VALUE"""),-0.843986600808924)</f>
        <v>-0.84398660080892396</v>
      </c>
      <c r="NT136" s="3">
        <f ca="1">IFERROR(__xludf.DUMMYFUNCTION("""COMPUTED_VALUE"""),-0.833052555204394)</f>
        <v>-0.83305255520439403</v>
      </c>
      <c r="NU136" s="3">
        <f ca="1">IFERROR(__xludf.DUMMYFUNCTION("""COMPUTED_VALUE"""),-0.855297444323709)</f>
        <v>-0.85529744432370902</v>
      </c>
      <c r="NV136" s="3">
        <f ca="1">IFERROR(__xludf.DUMMYFUNCTION("""COMPUTED_VALUE"""),-0.814171614748668)</f>
        <v>-0.81417161474866795</v>
      </c>
      <c r="NW136" s="3">
        <f ca="1">IFERROR(__xludf.DUMMYFUNCTION("""COMPUTED_VALUE"""),-0.788876073362898)</f>
        <v>-0.788876073362898</v>
      </c>
      <c r="NX136" s="3">
        <f ca="1">IFERROR(__xludf.DUMMYFUNCTION("""COMPUTED_VALUE"""),-0.774759828368134)</f>
        <v>-0.77475982836813395</v>
      </c>
      <c r="NY136" s="3">
        <f ca="1">IFERROR(__xludf.DUMMYFUNCTION("""COMPUTED_VALUE"""),-0.787937474777628)</f>
        <v>-0.78793747477762799</v>
      </c>
      <c r="NZ136" s="3">
        <f ca="1">IFERROR(__xludf.DUMMYFUNCTION("""COMPUTED_VALUE"""),-0.734766694626581)</f>
        <v>-0.73476669462658095</v>
      </c>
      <c r="OA136" s="3">
        <f ca="1">IFERROR(__xludf.DUMMYFUNCTION("""COMPUTED_VALUE"""),-0.731392637659493)</f>
        <v>-0.73139263765949303</v>
      </c>
      <c r="OB136" s="3">
        <f ca="1">IFERROR(__xludf.DUMMYFUNCTION("""COMPUTED_VALUE"""),-0.763823583967006)</f>
        <v>-0.763823583967006</v>
      </c>
      <c r="OC136" s="3">
        <f ca="1">IFERROR(__xludf.DUMMYFUNCTION("""COMPUTED_VALUE"""),-0.780635375388406)</f>
        <v>-0.78063537538840599</v>
      </c>
      <c r="OD136" s="3">
        <f ca="1">IFERROR(__xludf.DUMMYFUNCTION("""COMPUTED_VALUE"""),-0.750884402517629)</f>
        <v>-0.750884402517629</v>
      </c>
      <c r="OE136" s="3">
        <f ca="1">IFERROR(__xludf.DUMMYFUNCTION("""COMPUTED_VALUE"""),-0.685025777303126)</f>
        <v>-0.68502577730312597</v>
      </c>
      <c r="OF136" s="3">
        <f ca="1">IFERROR(__xludf.DUMMYFUNCTION("""COMPUTED_VALUE"""),-0.548558081273657)</f>
        <v>-0.54855808127365702</v>
      </c>
      <c r="OG136" s="3">
        <f ca="1">IFERROR(__xludf.DUMMYFUNCTION("""COMPUTED_VALUE"""),-0.558817111258778)</f>
        <v>-0.55881711125877798</v>
      </c>
      <c r="OH136" s="3">
        <f ca="1">IFERROR(__xludf.DUMMYFUNCTION("""COMPUTED_VALUE"""),-0.533893593529634)</f>
        <v>-0.53389359352963395</v>
      </c>
      <c r="OI136" s="3">
        <f ca="1">IFERROR(__xludf.DUMMYFUNCTION("""COMPUTED_VALUE"""),-0.524241135702484)</f>
        <v>-0.52424113570248398</v>
      </c>
      <c r="OJ136" s="3">
        <f ca="1">IFERROR(__xludf.DUMMYFUNCTION("""COMPUTED_VALUE"""),-0.480723636239004)</f>
        <v>-0.48072363623900399</v>
      </c>
      <c r="OK136" s="3">
        <f ca="1">IFERROR(__xludf.DUMMYFUNCTION("""COMPUTED_VALUE"""),-0.4569888344888)</f>
        <v>-0.45698883448880001</v>
      </c>
      <c r="OL136" s="3">
        <f ca="1">IFERROR(__xludf.DUMMYFUNCTION("""COMPUTED_VALUE"""),-0.420593612701501)</f>
        <v>-0.42059361270150097</v>
      </c>
      <c r="OM136" s="3">
        <f ca="1">IFERROR(__xludf.DUMMYFUNCTION("""COMPUTED_VALUE"""),-0.440867794235398)</f>
        <v>-0.44086779423539801</v>
      </c>
      <c r="ON136" s="3">
        <f ca="1">IFERROR(__xludf.DUMMYFUNCTION("""COMPUTED_VALUE"""),-0.418834567437155)</f>
        <v>-0.41883456743715503</v>
      </c>
      <c r="OO136" s="3">
        <f ca="1">IFERROR(__xludf.DUMMYFUNCTION("""COMPUTED_VALUE"""),-0.366451472742132)</f>
        <v>-0.36645147274213202</v>
      </c>
      <c r="OP136" s="3">
        <f ca="1">IFERROR(__xludf.DUMMYFUNCTION("""COMPUTED_VALUE"""),-0.30967249666979)</f>
        <v>-0.30967249666979002</v>
      </c>
      <c r="OQ136" s="3">
        <f ca="1">IFERROR(__xludf.DUMMYFUNCTION("""COMPUTED_VALUE"""),-0.227967581647273)</f>
        <v>-0.22796758164727299</v>
      </c>
      <c r="OR136" s="3">
        <f ca="1">IFERROR(__xludf.DUMMYFUNCTION("""COMPUTED_VALUE"""),-0.159918665259439)</f>
        <v>-0.15991866525943901</v>
      </c>
      <c r="OS136" s="3">
        <f ca="1">IFERROR(__xludf.DUMMYFUNCTION("""COMPUTED_VALUE"""),-0.140590375534563)</f>
        <v>-0.14059037553456299</v>
      </c>
      <c r="OT136" s="3">
        <f ca="1">IFERROR(__xludf.DUMMYFUNCTION("""COMPUTED_VALUE"""),-0.0160170150277891)</f>
        <v>-1.60170150277891E-2</v>
      </c>
      <c r="OU136" s="3">
        <f ca="1">IFERROR(__xludf.DUMMYFUNCTION("""COMPUTED_VALUE"""),0.0221557782278194)</f>
        <v>2.21557782278194E-2</v>
      </c>
      <c r="OV136" s="3">
        <f ca="1">IFERROR(__xludf.DUMMYFUNCTION("""COMPUTED_VALUE"""),0.00537785247525657)</f>
        <v>5.37785247525657E-3</v>
      </c>
      <c r="OW136" s="3">
        <f ca="1">IFERROR(__xludf.DUMMYFUNCTION("""COMPUTED_VALUE"""),0.0792322203008193)</f>
        <v>7.9232220300819306E-2</v>
      </c>
      <c r="OX136" s="3">
        <f ca="1">IFERROR(__xludf.DUMMYFUNCTION("""COMPUTED_VALUE"""),-0.0260918407216907)</f>
        <v>-2.6091840721690698E-2</v>
      </c>
      <c r="OY136" s="3">
        <f ca="1">IFERROR(__xludf.DUMMYFUNCTION("""COMPUTED_VALUE"""),-0.0142960562315181)</f>
        <v>-1.42960562315181E-2</v>
      </c>
      <c r="OZ136" s="3">
        <f ca="1">IFERROR(__xludf.DUMMYFUNCTION("""COMPUTED_VALUE"""),-0.136686420342036)</f>
        <v>-0.13668642034203601</v>
      </c>
      <c r="PA136" s="3">
        <f ca="1">IFERROR(__xludf.DUMMYFUNCTION("""COMPUTED_VALUE"""),0.0215275207709835)</f>
        <v>2.1527520770983501E-2</v>
      </c>
      <c r="PB136" s="3">
        <f ca="1">IFERROR(__xludf.DUMMYFUNCTION("""COMPUTED_VALUE"""),-0.0136814107036173)</f>
        <v>-1.36814107036173E-2</v>
      </c>
      <c r="PC136" s="3">
        <f ca="1">IFERROR(__xludf.DUMMYFUNCTION("""COMPUTED_VALUE"""),0.00779620634775479)</f>
        <v>7.7962063477547902E-3</v>
      </c>
      <c r="PD136" s="3">
        <f ca="1">IFERROR(__xludf.DUMMYFUNCTION("""COMPUTED_VALUE"""),0.00904029610427414)</f>
        <v>9.0402961042741394E-3</v>
      </c>
      <c r="PE136" s="3">
        <f ca="1">IFERROR(__xludf.DUMMYFUNCTION("""COMPUTED_VALUE"""),-0.0630048321618956)</f>
        <v>-6.3004832161895605E-2</v>
      </c>
      <c r="PF136" s="3">
        <f ca="1">IFERROR(__xludf.DUMMYFUNCTION("""COMPUTED_VALUE"""),-0.0243556970270319)</f>
        <v>-2.43556970270319E-2</v>
      </c>
      <c r="PG136" s="3">
        <f ca="1">IFERROR(__xludf.DUMMYFUNCTION("""COMPUTED_VALUE"""),-0.153060324342403)</f>
        <v>-0.15306032434240299</v>
      </c>
      <c r="PH136" s="3">
        <f ca="1">IFERROR(__xludf.DUMMYFUNCTION("""COMPUTED_VALUE"""),0.165835311580533)</f>
        <v>0.165835311580533</v>
      </c>
      <c r="PI136" s="3">
        <f ca="1">IFERROR(__xludf.DUMMYFUNCTION("""COMPUTED_VALUE"""),0.182913099231768)</f>
        <v>0.18291309923176799</v>
      </c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</row>
    <row r="137" spans="1:477" ht="13">
      <c r="A137" s="1" t="str">
        <f ca="1">IFERROR(__xludf.DUMMYFUNCTION("""COMPUTED_VALUE"""),"Sound Transit")</f>
        <v>Sound Transit</v>
      </c>
      <c r="B137" s="1" t="str">
        <f ca="1">IFERROR(__xludf.DUMMYFUNCTION("""COMPUTED_VALUE"""),"Seattle")</f>
        <v>Seattle</v>
      </c>
      <c r="C137" s="1" t="str">
        <f ca="1">IFERROR(__xludf.DUMMYFUNCTION("""COMPUTED_VALUE"""),"United States")</f>
        <v>United States</v>
      </c>
      <c r="D137" s="1" t="str">
        <f ca="1">IFERROR(__xludf.DUMMYFUNCTION("""COMPUTED_VALUE"""),"Washington")</f>
        <v>Washington</v>
      </c>
      <c r="E137" s="3">
        <f ca="1">IFERROR(__xludf.DUMMYFUNCTION("""COMPUTED_VALUE"""),-0.25017134037431)</f>
        <v>-0.25017134037430999</v>
      </c>
      <c r="F137" s="3">
        <f ca="1">IFERROR(__xludf.DUMMYFUNCTION("""COMPUTED_VALUE"""),-0.297364367053614)</f>
        <v>-0.29736436705361402</v>
      </c>
      <c r="G137" s="3">
        <f ca="1">IFERROR(__xludf.DUMMYFUNCTION("""COMPUTED_VALUE"""),-0.399142583369597)</f>
        <v>-0.39914258336959701</v>
      </c>
      <c r="H137" s="3">
        <f ca="1">IFERROR(__xludf.DUMMYFUNCTION("""COMPUTED_VALUE"""),-0.486441938605886)</f>
        <v>-0.48644193860588603</v>
      </c>
      <c r="I137" s="3">
        <f ca="1">IFERROR(__xludf.DUMMYFUNCTION("""COMPUTED_VALUE"""),-0.487247400020427)</f>
        <v>-0.48724740002042699</v>
      </c>
      <c r="J137" s="3">
        <f ca="1">IFERROR(__xludf.DUMMYFUNCTION("""COMPUTED_VALUE"""),-0.423064508893891)</f>
        <v>-0.42306450889389102</v>
      </c>
      <c r="K137" s="3">
        <f ca="1">IFERROR(__xludf.DUMMYFUNCTION("""COMPUTED_VALUE"""),-0.377683585294321)</f>
        <v>-0.377683585294321</v>
      </c>
      <c r="L137" s="3">
        <f ca="1">IFERROR(__xludf.DUMMYFUNCTION("""COMPUTED_VALUE"""),-0.342945879422067)</f>
        <v>-0.342945879422067</v>
      </c>
      <c r="M137" s="3">
        <f ca="1">IFERROR(__xludf.DUMMYFUNCTION("""COMPUTED_VALUE"""),-0.41730320299239)</f>
        <v>-0.41730320299238999</v>
      </c>
      <c r="N137" s="3">
        <f ca="1">IFERROR(__xludf.DUMMYFUNCTION("""COMPUTED_VALUE"""),-0.494346505752657)</f>
        <v>-0.49434650575265698</v>
      </c>
      <c r="O137" s="3">
        <f ca="1">IFERROR(__xludf.DUMMYFUNCTION("""COMPUTED_VALUE"""),-0.495560885752752)</f>
        <v>-0.49556088575275198</v>
      </c>
      <c r="P137" s="3">
        <f ca="1">IFERROR(__xludf.DUMMYFUNCTION("""COMPUTED_VALUE"""),-0.436696369770431)</f>
        <v>-0.43669636977043103</v>
      </c>
      <c r="Q137" s="3">
        <f ca="1">IFERROR(__xludf.DUMMYFUNCTION("""COMPUTED_VALUE"""),-0.555634154651347)</f>
        <v>-0.55563415465134702</v>
      </c>
      <c r="R137" s="3">
        <f ca="1">IFERROR(__xludf.DUMMYFUNCTION("""COMPUTED_VALUE"""),-0.584142761505624)</f>
        <v>-0.58414276150562405</v>
      </c>
      <c r="S137" s="3">
        <f ca="1">IFERROR(__xludf.DUMMYFUNCTION("""COMPUTED_VALUE"""),-0.512659109687905)</f>
        <v>-0.51265910968790496</v>
      </c>
      <c r="T137" s="3">
        <f ca="1">IFERROR(__xludf.DUMMYFUNCTION("""COMPUTED_VALUE"""),-0.581825264856797)</f>
        <v>-0.58182526485679698</v>
      </c>
      <c r="U137" s="3">
        <f ca="1">IFERROR(__xludf.DUMMYFUNCTION("""COMPUTED_VALUE"""),-0.648760181970295)</f>
        <v>-0.64876018197029495</v>
      </c>
      <c r="V137" s="3">
        <f ca="1">IFERROR(__xludf.DUMMYFUNCTION("""COMPUTED_VALUE"""),-0.678162487637688)</f>
        <v>-0.67816248763768805</v>
      </c>
      <c r="W137" s="3">
        <f ca="1">IFERROR(__xludf.DUMMYFUNCTION("""COMPUTED_VALUE"""),-0.623878747027581)</f>
        <v>-0.62387874702758095</v>
      </c>
      <c r="X137" s="3">
        <f ca="1">IFERROR(__xludf.DUMMYFUNCTION("""COMPUTED_VALUE"""),-0.635155810806182)</f>
        <v>-0.635155810806182</v>
      </c>
      <c r="Y137" s="3">
        <f ca="1">IFERROR(__xludf.DUMMYFUNCTION("""COMPUTED_VALUE"""),-0.70045376009489)</f>
        <v>-0.70045376009489002</v>
      </c>
      <c r="Z137" s="3">
        <f ca="1">IFERROR(__xludf.DUMMYFUNCTION("""COMPUTED_VALUE"""),-0.610802742135461)</f>
        <v>-0.61080274213546104</v>
      </c>
      <c r="AA137" s="3">
        <f ca="1">IFERROR(__xludf.DUMMYFUNCTION("""COMPUTED_VALUE"""),-0.673829374348223)</f>
        <v>-0.67382937434822299</v>
      </c>
      <c r="AB137" s="3">
        <f ca="1">IFERROR(__xludf.DUMMYFUNCTION("""COMPUTED_VALUE"""),-0.678259554418878)</f>
        <v>-0.67825955441887797</v>
      </c>
      <c r="AC137" s="3">
        <f ca="1">IFERROR(__xludf.DUMMYFUNCTION("""COMPUTED_VALUE"""),-0.65589482109181)</f>
        <v>-0.65589482109180997</v>
      </c>
      <c r="AD137" s="3">
        <f ca="1">IFERROR(__xludf.DUMMYFUNCTION("""COMPUTED_VALUE"""),-0.687235989460078)</f>
        <v>-0.68723598946007802</v>
      </c>
      <c r="AE137" s="3">
        <f ca="1">IFERROR(__xludf.DUMMYFUNCTION("""COMPUTED_VALUE"""),-0.673190946238365)</f>
        <v>-0.67319094623836495</v>
      </c>
      <c r="AF137" s="3">
        <f ca="1">IFERROR(__xludf.DUMMYFUNCTION("""COMPUTED_VALUE"""),-0.518744238395353)</f>
        <v>-0.518744238395353</v>
      </c>
      <c r="AG137" s="3">
        <f ca="1">IFERROR(__xludf.DUMMYFUNCTION("""COMPUTED_VALUE"""),-0.554671945210455)</f>
        <v>-0.55467194521045504</v>
      </c>
      <c r="AH137" s="3">
        <f ca="1">IFERROR(__xludf.DUMMYFUNCTION("""COMPUTED_VALUE"""),-0.627919918301452)</f>
        <v>-0.627919918301452</v>
      </c>
      <c r="AI137" s="3">
        <f ca="1">IFERROR(__xludf.DUMMYFUNCTION("""COMPUTED_VALUE"""),-0.716927339657969)</f>
        <v>-0.71692733965796895</v>
      </c>
      <c r="AJ137" s="3">
        <f ca="1">IFERROR(__xludf.DUMMYFUNCTION("""COMPUTED_VALUE"""),-0.6614860449863)</f>
        <v>-0.66148604498630004</v>
      </c>
      <c r="AK137" s="3">
        <f ca="1">IFERROR(__xludf.DUMMYFUNCTION("""COMPUTED_VALUE"""),-0.654935380286696)</f>
        <v>-0.65493538028669596</v>
      </c>
      <c r="AL137" s="3">
        <f ca="1">IFERROR(__xludf.DUMMYFUNCTION("""COMPUTED_VALUE"""),-0.62038290520326)</f>
        <v>-0.62038290520326</v>
      </c>
      <c r="AM137" s="3">
        <f ca="1">IFERROR(__xludf.DUMMYFUNCTION("""COMPUTED_VALUE"""),-0.508394815221924)</f>
        <v>-0.50839481522192398</v>
      </c>
      <c r="AN137" s="3">
        <f ca="1">IFERROR(__xludf.DUMMYFUNCTION("""COMPUTED_VALUE"""),-0.56017134892218)</f>
        <v>-0.56017134892218001</v>
      </c>
      <c r="AO137" s="3">
        <f ca="1">IFERROR(__xludf.DUMMYFUNCTION("""COMPUTED_VALUE"""),-0.659759120081828)</f>
        <v>-0.65975912008182802</v>
      </c>
      <c r="AP137" s="3">
        <f ca="1">IFERROR(__xludf.DUMMYFUNCTION("""COMPUTED_VALUE"""),-0.689420843288016)</f>
        <v>-0.68942084328801601</v>
      </c>
      <c r="AQ137" s="3">
        <f ca="1">IFERROR(__xludf.DUMMYFUNCTION("""COMPUTED_VALUE"""),-0.670486795120481)</f>
        <v>-0.67048679512048104</v>
      </c>
      <c r="AR137" s="3">
        <f ca="1">IFERROR(__xludf.DUMMYFUNCTION("""COMPUTED_VALUE"""),-0.666641215208287)</f>
        <v>-0.66664121520828701</v>
      </c>
      <c r="AS137" s="3">
        <f ca="1">IFERROR(__xludf.DUMMYFUNCTION("""COMPUTED_VALUE"""),-0.645398130641927)</f>
        <v>-0.64539813064192697</v>
      </c>
      <c r="AT137" s="3">
        <f ca="1">IFERROR(__xludf.DUMMYFUNCTION("""COMPUTED_VALUE"""),-0.479400204373943)</f>
        <v>-0.47940020437394298</v>
      </c>
      <c r="AU137" s="3">
        <f ca="1">IFERROR(__xludf.DUMMYFUNCTION("""COMPUTED_VALUE"""),-0.576016275900296)</f>
        <v>-0.57601627590029603</v>
      </c>
      <c r="AV137" s="3">
        <f ca="1">IFERROR(__xludf.DUMMYFUNCTION("""COMPUTED_VALUE"""),-0.652267820719366)</f>
        <v>-0.65226782071936595</v>
      </c>
      <c r="AW137" s="3">
        <f ca="1">IFERROR(__xludf.DUMMYFUNCTION("""COMPUTED_VALUE"""),-0.711672209864234)</f>
        <v>-0.71167220986423396</v>
      </c>
      <c r="AX137" s="3">
        <f ca="1">IFERROR(__xludf.DUMMYFUNCTION("""COMPUTED_VALUE"""),-0.730580581206291)</f>
        <v>-0.73058058120629099</v>
      </c>
      <c r="AY137" s="3">
        <f ca="1">IFERROR(__xludf.DUMMYFUNCTION("""COMPUTED_VALUE"""),-0.70078903445985)</f>
        <v>-0.70078903445984997</v>
      </c>
      <c r="AZ137" s="3">
        <f ca="1">IFERROR(__xludf.DUMMYFUNCTION("""COMPUTED_VALUE"""),-0.62447648149644)</f>
        <v>-0.62447648149643997</v>
      </c>
      <c r="BA137" s="3">
        <f ca="1">IFERROR(__xludf.DUMMYFUNCTION("""COMPUTED_VALUE"""),-0.536097571787173)</f>
        <v>-0.53609757178717299</v>
      </c>
      <c r="BB137" s="3">
        <f ca="1">IFERROR(__xludf.DUMMYFUNCTION("""COMPUTED_VALUE"""),-0.421731196604511)</f>
        <v>-0.42173119660451103</v>
      </c>
      <c r="BC137" s="3">
        <f ca="1">IFERROR(__xludf.DUMMYFUNCTION("""COMPUTED_VALUE"""),-0.65609388413067)</f>
        <v>-0.65609388413067005</v>
      </c>
      <c r="BD137" s="3">
        <f ca="1">IFERROR(__xludf.DUMMYFUNCTION("""COMPUTED_VALUE"""),-0.688006903096721)</f>
        <v>-0.68800690309672097</v>
      </c>
      <c r="BE137" s="3">
        <f ca="1">IFERROR(__xludf.DUMMYFUNCTION("""COMPUTED_VALUE"""),-0.579268476336943)</f>
        <v>-0.57926847633694301</v>
      </c>
      <c r="BF137" s="3">
        <f ca="1">IFERROR(__xludf.DUMMYFUNCTION("""COMPUTED_VALUE"""),-0.6232119725132)</f>
        <v>-0.62321197251320004</v>
      </c>
      <c r="BG137" s="3">
        <f ca="1">IFERROR(__xludf.DUMMYFUNCTION("""COMPUTED_VALUE"""),-0.526358979082674)</f>
        <v>-0.52635897908267404</v>
      </c>
      <c r="BH137" s="3">
        <f ca="1">IFERROR(__xludf.DUMMYFUNCTION("""COMPUTED_VALUE"""),-0.403518909588589)</f>
        <v>-0.40351890958858899</v>
      </c>
      <c r="BI137" s="3">
        <f ca="1">IFERROR(__xludf.DUMMYFUNCTION("""COMPUTED_VALUE"""),-0.500132486919387)</f>
        <v>-0.50013248691938705</v>
      </c>
      <c r="BJ137" s="3">
        <f ca="1">IFERROR(__xludf.DUMMYFUNCTION("""COMPUTED_VALUE"""),-0.681035743814397)</f>
        <v>-0.68103574381439702</v>
      </c>
      <c r="BK137" s="3">
        <f ca="1">IFERROR(__xludf.DUMMYFUNCTION("""COMPUTED_VALUE"""),-0.737457937714297)</f>
        <v>-0.73745793771429702</v>
      </c>
      <c r="BL137" s="3">
        <f ca="1">IFERROR(__xludf.DUMMYFUNCTION("""COMPUTED_VALUE"""),-0.697007214734231)</f>
        <v>-0.697007214734231</v>
      </c>
      <c r="BM137" s="3">
        <f ca="1">IFERROR(__xludf.DUMMYFUNCTION("""COMPUTED_VALUE"""),-0.708662563464702)</f>
        <v>-0.70866256346470202</v>
      </c>
      <c r="BN137" s="3">
        <f ca="1">IFERROR(__xludf.DUMMYFUNCTION("""COMPUTED_VALUE"""),-0.715438715563668)</f>
        <v>-0.715438715563668</v>
      </c>
      <c r="BO137" s="3">
        <f ca="1">IFERROR(__xludf.DUMMYFUNCTION("""COMPUTED_VALUE"""),-0.566090628004237)</f>
        <v>-0.56609062800423704</v>
      </c>
      <c r="BP137" s="3">
        <f ca="1">IFERROR(__xludf.DUMMYFUNCTION("""COMPUTED_VALUE"""),-0.660259143063036)</f>
        <v>-0.66025914306303601</v>
      </c>
      <c r="BQ137" s="3">
        <f ca="1">IFERROR(__xludf.DUMMYFUNCTION("""COMPUTED_VALUE"""),-0.608390970095193)</f>
        <v>-0.60839097009519305</v>
      </c>
      <c r="BR137" s="3">
        <f ca="1">IFERROR(__xludf.DUMMYFUNCTION("""COMPUTED_VALUE"""),-0.70244508589882)</f>
        <v>-0.70244508589882004</v>
      </c>
      <c r="BS137" s="3">
        <f ca="1">IFERROR(__xludf.DUMMYFUNCTION("""COMPUTED_VALUE"""),-0.690830862508669)</f>
        <v>-0.69083086250866899</v>
      </c>
      <c r="BT137" s="3">
        <f ca="1">IFERROR(__xludf.DUMMYFUNCTION("""COMPUTED_VALUE"""),-0.717709604482879)</f>
        <v>-0.71770960448287902</v>
      </c>
      <c r="BU137" s="3">
        <f ca="1">IFERROR(__xludf.DUMMYFUNCTION("""COMPUTED_VALUE"""),-0.730260917661153)</f>
        <v>-0.73026091766115298</v>
      </c>
      <c r="BV137" s="3">
        <f ca="1">IFERROR(__xludf.DUMMYFUNCTION("""COMPUTED_VALUE"""),-0.650295583520297)</f>
        <v>-0.65029558352029704</v>
      </c>
      <c r="BW137" s="3">
        <f ca="1">IFERROR(__xludf.DUMMYFUNCTION("""COMPUTED_VALUE"""),-0.573759250236019)</f>
        <v>-0.57375925023601904</v>
      </c>
      <c r="BX137" s="3">
        <f ca="1">IFERROR(__xludf.DUMMYFUNCTION("""COMPUTED_VALUE"""),-0.633275694953923)</f>
        <v>-0.633275694953923</v>
      </c>
      <c r="BY137" s="3">
        <f ca="1">IFERROR(__xludf.DUMMYFUNCTION("""COMPUTED_VALUE"""),-0.744589157820769)</f>
        <v>-0.74458915782076895</v>
      </c>
      <c r="BZ137" s="3">
        <f ca="1">IFERROR(__xludf.DUMMYFUNCTION("""COMPUTED_VALUE"""),-0.744837680497017)</f>
        <v>-0.74483768049701704</v>
      </c>
      <c r="CA137" s="3">
        <f ca="1">IFERROR(__xludf.DUMMYFUNCTION("""COMPUTED_VALUE"""),-0.675251384322793)</f>
        <v>-0.67525138432279297</v>
      </c>
      <c r="CB137" s="3">
        <f ca="1">IFERROR(__xludf.DUMMYFUNCTION("""COMPUTED_VALUE"""),-0.654752130642347)</f>
        <v>-0.65475213064234705</v>
      </c>
      <c r="CC137" s="3">
        <f ca="1">IFERROR(__xludf.DUMMYFUNCTION("""COMPUTED_VALUE"""),-0.466845110777914)</f>
        <v>-0.46684511077791402</v>
      </c>
      <c r="CD137" s="3">
        <f ca="1">IFERROR(__xludf.DUMMYFUNCTION("""COMPUTED_VALUE"""),-0.553090752339718)</f>
        <v>-0.55309075233971805</v>
      </c>
      <c r="CE137" s="3">
        <f ca="1">IFERROR(__xludf.DUMMYFUNCTION("""COMPUTED_VALUE"""),-0.662342157385819)</f>
        <v>-0.66234215738581903</v>
      </c>
      <c r="CF137" s="3">
        <f ca="1">IFERROR(__xludf.DUMMYFUNCTION("""COMPUTED_VALUE"""),-0.679804072981229)</f>
        <v>-0.67980407298122902</v>
      </c>
      <c r="CG137" s="3">
        <f ca="1">IFERROR(__xludf.DUMMYFUNCTION("""COMPUTED_VALUE"""),-0.629024086798084)</f>
        <v>-0.62902408679808397</v>
      </c>
      <c r="CH137" s="3">
        <f ca="1">IFERROR(__xludf.DUMMYFUNCTION("""COMPUTED_VALUE"""),-0.638888066529522)</f>
        <v>-0.63888806652952201</v>
      </c>
      <c r="CI137" s="3">
        <f ca="1">IFERROR(__xludf.DUMMYFUNCTION("""COMPUTED_VALUE"""),-0.673507649945774)</f>
        <v>-0.67350764994577395</v>
      </c>
      <c r="CJ137" s="3">
        <f ca="1">IFERROR(__xludf.DUMMYFUNCTION("""COMPUTED_VALUE"""),-0.4990001768943)</f>
        <v>-0.49900017689429998</v>
      </c>
      <c r="CK137" s="3">
        <f ca="1">IFERROR(__xludf.DUMMYFUNCTION("""COMPUTED_VALUE"""),-0.623385905673659)</f>
        <v>-0.62338590567365904</v>
      </c>
      <c r="CL137" s="3">
        <f ca="1">IFERROR(__xludf.DUMMYFUNCTION("""COMPUTED_VALUE"""),-0.657832730025643)</f>
        <v>-0.65783273002564302</v>
      </c>
      <c r="CM137" s="3">
        <f ca="1">IFERROR(__xludf.DUMMYFUNCTION("""COMPUTED_VALUE"""),-0.735254102505531)</f>
        <v>-0.73525410250553103</v>
      </c>
      <c r="CN137" s="3">
        <f ca="1">IFERROR(__xludf.DUMMYFUNCTION("""COMPUTED_VALUE"""),-0.703795859860162)</f>
        <v>-0.70379585986016202</v>
      </c>
      <c r="CO137" s="3">
        <f ca="1">IFERROR(__xludf.DUMMYFUNCTION("""COMPUTED_VALUE"""),-0.708751196665911)</f>
        <v>-0.70875119666591102</v>
      </c>
      <c r="CP137" s="3">
        <f ca="1">IFERROR(__xludf.DUMMYFUNCTION("""COMPUTED_VALUE"""),-0.664191997544902)</f>
        <v>-0.66419199754490199</v>
      </c>
      <c r="CQ137" s="3">
        <f ca="1">IFERROR(__xludf.DUMMYFUNCTION("""COMPUTED_VALUE"""),-0.437030171616946)</f>
        <v>-0.43703017161694602</v>
      </c>
      <c r="CR137" s="3">
        <f ca="1">IFERROR(__xludf.DUMMYFUNCTION("""COMPUTED_VALUE"""),-0.59072267106635)</f>
        <v>-0.59072267106635001</v>
      </c>
      <c r="CS137" s="3">
        <f ca="1">IFERROR(__xludf.DUMMYFUNCTION("""COMPUTED_VALUE"""),-0.687413011077467)</f>
        <v>-0.687413011077467</v>
      </c>
      <c r="CT137" s="3">
        <f ca="1">IFERROR(__xludf.DUMMYFUNCTION("""COMPUTED_VALUE"""),-0.702901832170517)</f>
        <v>-0.70290183217051705</v>
      </c>
      <c r="CU137" s="3">
        <f ca="1">IFERROR(__xludf.DUMMYFUNCTION("""COMPUTED_VALUE"""),-0.707449261362093)</f>
        <v>-0.70744926136209296</v>
      </c>
      <c r="CV137" s="3">
        <f ca="1">IFERROR(__xludf.DUMMYFUNCTION("""COMPUTED_VALUE"""),-0.71564906144649)</f>
        <v>-0.71564906144648999</v>
      </c>
      <c r="CW137" s="3">
        <f ca="1">IFERROR(__xludf.DUMMYFUNCTION("""COMPUTED_VALUE"""),-0.699765236786564)</f>
        <v>-0.69976523678656399</v>
      </c>
      <c r="CX137" s="3">
        <f ca="1">IFERROR(__xludf.DUMMYFUNCTION("""COMPUTED_VALUE"""),-0.567545361412107)</f>
        <v>-0.56754536141210699</v>
      </c>
      <c r="CY137" s="3">
        <f ca="1">IFERROR(__xludf.DUMMYFUNCTION("""COMPUTED_VALUE"""),-0.705066942750649)</f>
        <v>-0.70506694275064896</v>
      </c>
      <c r="CZ137" s="3">
        <f ca="1">IFERROR(__xludf.DUMMYFUNCTION("""COMPUTED_VALUE"""),-0.777039356118823)</f>
        <v>-0.77703935611882302</v>
      </c>
      <c r="DA137" s="3">
        <f ca="1">IFERROR(__xludf.DUMMYFUNCTION("""COMPUTED_VALUE"""),-0.624760651704702)</f>
        <v>-0.62476065170470196</v>
      </c>
      <c r="DB137" s="3">
        <f ca="1">IFERROR(__xludf.DUMMYFUNCTION("""COMPUTED_VALUE"""),-0.464643986490722)</f>
        <v>-0.46464398649072203</v>
      </c>
      <c r="DC137" s="3">
        <f ca="1">IFERROR(__xludf.DUMMYFUNCTION("""COMPUTED_VALUE"""),-0.630234534185054)</f>
        <v>-0.63023453418505404</v>
      </c>
      <c r="DD137" s="3">
        <f ca="1">IFERROR(__xludf.DUMMYFUNCTION("""COMPUTED_VALUE"""),-0.659398899696545)</f>
        <v>-0.65939889969654497</v>
      </c>
      <c r="DE137" s="3">
        <f ca="1">IFERROR(__xludf.DUMMYFUNCTION("""COMPUTED_VALUE"""),-0.622218489937863)</f>
        <v>-0.622218489937863</v>
      </c>
      <c r="DF137" s="3">
        <f ca="1">IFERROR(__xludf.DUMMYFUNCTION("""COMPUTED_VALUE"""),-0.827621299360678)</f>
        <v>-0.82762129936067796</v>
      </c>
      <c r="DG137" s="3">
        <f ca="1">IFERROR(__xludf.DUMMYFUNCTION("""COMPUTED_VALUE"""),-0.878371183243721)</f>
        <v>-0.87837118324372099</v>
      </c>
      <c r="DH137" s="3">
        <f ca="1">IFERROR(__xludf.DUMMYFUNCTION("""COMPUTED_VALUE"""),-0.614267732741178)</f>
        <v>-0.61426773274117796</v>
      </c>
      <c r="DI137" s="3">
        <f ca="1">IFERROR(__xludf.DUMMYFUNCTION("""COMPUTED_VALUE"""),-0.370956236579394)</f>
        <v>-0.37095623657939403</v>
      </c>
      <c r="DJ137" s="3">
        <f ca="1">IFERROR(__xludf.DUMMYFUNCTION("""COMPUTED_VALUE"""),-0.584052097002928)</f>
        <v>-0.58405209700292804</v>
      </c>
      <c r="DK137" s="3">
        <f ca="1">IFERROR(__xludf.DUMMYFUNCTION("""COMPUTED_VALUE"""),-0.663159993823494)</f>
        <v>-0.663159993823494</v>
      </c>
      <c r="DL137" s="3">
        <f ca="1">IFERROR(__xludf.DUMMYFUNCTION("""COMPUTED_VALUE"""),-0.542620115367)</f>
        <v>-0.54262011536700006</v>
      </c>
      <c r="DM137" s="3">
        <f ca="1">IFERROR(__xludf.DUMMYFUNCTION("""COMPUTED_VALUE"""),-0.506645060691675)</f>
        <v>-0.50664506069167503</v>
      </c>
      <c r="DN137" s="3">
        <f ca="1">IFERROR(__xludf.DUMMYFUNCTION("""COMPUTED_VALUE"""),-0.709414511810516)</f>
        <v>-0.70941451181051596</v>
      </c>
      <c r="DO137" s="3">
        <f ca="1">IFERROR(__xludf.DUMMYFUNCTION("""COMPUTED_VALUE"""),-0.672787057747062)</f>
        <v>-0.67278705774706205</v>
      </c>
      <c r="DP137" s="3">
        <f ca="1">IFERROR(__xludf.DUMMYFUNCTION("""COMPUTED_VALUE"""),-0.579675558956247)</f>
        <v>-0.57967555895624701</v>
      </c>
      <c r="DQ137" s="3">
        <f ca="1">IFERROR(__xludf.DUMMYFUNCTION("""COMPUTED_VALUE"""),-0.675417642285815)</f>
        <v>-0.67541764228581502</v>
      </c>
      <c r="DR137" s="3">
        <f ca="1">IFERROR(__xludf.DUMMYFUNCTION("""COMPUTED_VALUE"""),-0.66955910690787)</f>
        <v>-0.66955910690787002</v>
      </c>
      <c r="DS137" s="3">
        <f ca="1">IFERROR(__xludf.DUMMYFUNCTION("""COMPUTED_VALUE"""),-0.391912509452168)</f>
        <v>-0.39191250945216799</v>
      </c>
      <c r="DT137" s="3">
        <f ca="1">IFERROR(__xludf.DUMMYFUNCTION("""COMPUTED_VALUE"""),-0.522591939820788)</f>
        <v>-0.522591939820788</v>
      </c>
      <c r="DU137" s="3">
        <f ca="1">IFERROR(__xludf.DUMMYFUNCTION("""COMPUTED_VALUE"""),-0.71883877162514)</f>
        <v>-0.71883877162513998</v>
      </c>
      <c r="DV137" s="3">
        <f ca="1">IFERROR(__xludf.DUMMYFUNCTION("""COMPUTED_VALUE"""),-0.758326999534441)</f>
        <v>-0.75832699953444105</v>
      </c>
      <c r="DW137" s="3">
        <f ca="1">IFERROR(__xludf.DUMMYFUNCTION("""COMPUTED_VALUE"""),-0.755035454810278)</f>
        <v>-0.75503545481027801</v>
      </c>
      <c r="DX137" s="3">
        <f ca="1">IFERROR(__xludf.DUMMYFUNCTION("""COMPUTED_VALUE"""),-0.725019014677413)</f>
        <v>-0.72501901467741303</v>
      </c>
      <c r="DY137" s="3">
        <f ca="1">IFERROR(__xludf.DUMMYFUNCTION("""COMPUTED_VALUE"""),-0.696528728356443)</f>
        <v>-0.69652872835644297</v>
      </c>
      <c r="DZ137" s="3">
        <f ca="1">IFERROR(__xludf.DUMMYFUNCTION("""COMPUTED_VALUE"""),-0.496632712350449)</f>
        <v>-0.49663271235044898</v>
      </c>
      <c r="EA137" s="3">
        <f ca="1">IFERROR(__xludf.DUMMYFUNCTION("""COMPUTED_VALUE"""),-0.507716592225058)</f>
        <v>-0.50771659222505805</v>
      </c>
      <c r="EB137" s="3">
        <f ca="1">IFERROR(__xludf.DUMMYFUNCTION("""COMPUTED_VALUE"""),-0.597816457906607)</f>
        <v>-0.59781645790660698</v>
      </c>
      <c r="EC137" s="3">
        <f ca="1">IFERROR(__xludf.DUMMYFUNCTION("""COMPUTED_VALUE"""),-0.633148017379693)</f>
        <v>-0.63314801737969295</v>
      </c>
      <c r="ED137" s="3">
        <f ca="1">IFERROR(__xludf.DUMMYFUNCTION("""COMPUTED_VALUE"""),-0.653620460497217)</f>
        <v>-0.653620460497217</v>
      </c>
      <c r="EE137" s="3">
        <f ca="1">IFERROR(__xludf.DUMMYFUNCTION("""COMPUTED_VALUE"""),-0.70457680302319)</f>
        <v>-0.70457680302319003</v>
      </c>
      <c r="EF137" s="3">
        <f ca="1">IFERROR(__xludf.DUMMYFUNCTION("""COMPUTED_VALUE"""),-0.610724897939179)</f>
        <v>-0.61072489793917895</v>
      </c>
      <c r="EG137" s="3">
        <f ca="1">IFERROR(__xludf.DUMMYFUNCTION("""COMPUTED_VALUE"""),-0.354660329874402)</f>
        <v>-0.35466032987440199</v>
      </c>
      <c r="EH137" s="3">
        <f ca="1">IFERROR(__xludf.DUMMYFUNCTION("""COMPUTED_VALUE"""),-0.630030928563325)</f>
        <v>-0.63003092856332499</v>
      </c>
      <c r="EI137" s="3">
        <f ca="1">IFERROR(__xludf.DUMMYFUNCTION("""COMPUTED_VALUE"""),-0.793099626103115)</f>
        <v>-0.79309962610311502</v>
      </c>
      <c r="EJ137" s="3">
        <f ca="1">IFERROR(__xludf.DUMMYFUNCTION("""COMPUTED_VALUE"""),-0.846722515229177)</f>
        <v>-0.84672251522917696</v>
      </c>
      <c r="EK137" s="3">
        <f ca="1">IFERROR(__xludf.DUMMYFUNCTION("""COMPUTED_VALUE"""),-0.758614385866009)</f>
        <v>-0.75861438586600904</v>
      </c>
      <c r="EL137" s="3">
        <f ca="1">IFERROR(__xludf.DUMMYFUNCTION("""COMPUTED_VALUE"""),-0.67589559741173)</f>
        <v>-0.67589559741173</v>
      </c>
      <c r="EM137" s="3">
        <f ca="1">IFERROR(__xludf.DUMMYFUNCTION("""COMPUTED_VALUE"""),-0.651458360100143)</f>
        <v>-0.65145836010014302</v>
      </c>
      <c r="EN137" s="3">
        <f ca="1">IFERROR(__xludf.DUMMYFUNCTION("""COMPUTED_VALUE"""),-0.553784833696843)</f>
        <v>-0.55378483369684295</v>
      </c>
      <c r="EO137" s="3">
        <f ca="1">IFERROR(__xludf.DUMMYFUNCTION("""COMPUTED_VALUE"""),-0.528336022711219)</f>
        <v>-0.52833602271121904</v>
      </c>
      <c r="EP137" s="3">
        <f ca="1">IFERROR(__xludf.DUMMYFUNCTION("""COMPUTED_VALUE"""),-0.66660730018157)</f>
        <v>-0.66660730018156999</v>
      </c>
      <c r="EQ137" s="3">
        <f ca="1">IFERROR(__xludf.DUMMYFUNCTION("""COMPUTED_VALUE"""),-0.60415737170896)</f>
        <v>-0.60415737170896</v>
      </c>
      <c r="ER137" s="3">
        <f ca="1">IFERROR(__xludf.DUMMYFUNCTION("""COMPUTED_VALUE"""),-0.690577219082374)</f>
        <v>-0.69057721908237402</v>
      </c>
      <c r="ES137" s="3">
        <f ca="1">IFERROR(__xludf.DUMMYFUNCTION("""COMPUTED_VALUE"""),-0.656086909891746)</f>
        <v>-0.65608690989174601</v>
      </c>
      <c r="ET137" s="3">
        <f ca="1">IFERROR(__xludf.DUMMYFUNCTION("""COMPUTED_VALUE"""),-0.701336562733331)</f>
        <v>-0.701336562733331</v>
      </c>
      <c r="EU137" s="3">
        <f ca="1">IFERROR(__xludf.DUMMYFUNCTION("""COMPUTED_VALUE"""),-0.440685786657719)</f>
        <v>-0.44068578665771901</v>
      </c>
      <c r="EV137" s="3">
        <f ca="1">IFERROR(__xludf.DUMMYFUNCTION("""COMPUTED_VALUE"""),-0.530486080337918)</f>
        <v>-0.530486080337918</v>
      </c>
      <c r="EW137" s="3">
        <f ca="1">IFERROR(__xludf.DUMMYFUNCTION("""COMPUTED_VALUE"""),-0.672464718660688)</f>
        <v>-0.67246471866068802</v>
      </c>
      <c r="EX137" s="3">
        <f ca="1">IFERROR(__xludf.DUMMYFUNCTION("""COMPUTED_VALUE"""),-0.693918997157156)</f>
        <v>-0.69391899715715599</v>
      </c>
      <c r="EY137" s="3">
        <f ca="1">IFERROR(__xludf.DUMMYFUNCTION("""COMPUTED_VALUE"""),-0.730084094592561)</f>
        <v>-0.73008409459256096</v>
      </c>
      <c r="EZ137" s="3">
        <f ca="1">IFERROR(__xludf.DUMMYFUNCTION("""COMPUTED_VALUE"""),-0.691028143425958)</f>
        <v>-0.69102814342595797</v>
      </c>
      <c r="FA137" s="3">
        <f ca="1">IFERROR(__xludf.DUMMYFUNCTION("""COMPUTED_VALUE"""),-0.676010608799211)</f>
        <v>-0.67601060879921104</v>
      </c>
      <c r="FB137" s="3">
        <f ca="1">IFERROR(__xludf.DUMMYFUNCTION("""COMPUTED_VALUE"""),-0.612469288451003)</f>
        <v>-0.61246928845100301</v>
      </c>
      <c r="FC137" s="3">
        <f ca="1">IFERROR(__xludf.DUMMYFUNCTION("""COMPUTED_VALUE"""),-0.375783209237267)</f>
        <v>-0.37578320923726699</v>
      </c>
      <c r="FD137" s="3">
        <f ca="1">IFERROR(__xludf.DUMMYFUNCTION("""COMPUTED_VALUE"""),-0.73036340507209)</f>
        <v>-0.73036340507208997</v>
      </c>
      <c r="FE137" s="3">
        <f ca="1">IFERROR(__xludf.DUMMYFUNCTION("""COMPUTED_VALUE"""),-0.707687565923418)</f>
        <v>-0.70768756592341797</v>
      </c>
      <c r="FF137" s="3">
        <f ca="1">IFERROR(__xludf.DUMMYFUNCTION("""COMPUTED_VALUE"""),-0.673131457449316)</f>
        <v>-0.67313145744931602</v>
      </c>
      <c r="FG137" s="3">
        <f ca="1">IFERROR(__xludf.DUMMYFUNCTION("""COMPUTED_VALUE"""),-0.640390518425548)</f>
        <v>-0.64039051842554795</v>
      </c>
      <c r="FH137" s="3">
        <f ca="1">IFERROR(__xludf.DUMMYFUNCTION("""COMPUTED_VALUE"""),-0.592906546916535)</f>
        <v>-0.59290654691653499</v>
      </c>
      <c r="FI137" s="3">
        <f ca="1">IFERROR(__xludf.DUMMYFUNCTION("""COMPUTED_VALUE"""),-0.466871796213056)</f>
        <v>-0.46687179621305602</v>
      </c>
      <c r="FJ137" s="3">
        <f ca="1">IFERROR(__xludf.DUMMYFUNCTION("""COMPUTED_VALUE"""),-0.416003315514842)</f>
        <v>-0.41600331551484199</v>
      </c>
      <c r="FK137" s="3">
        <f ca="1">IFERROR(__xludf.DUMMYFUNCTION("""COMPUTED_VALUE"""),-0.718155871201396)</f>
        <v>-0.71815587120139601</v>
      </c>
      <c r="FL137" s="3">
        <f ca="1">IFERROR(__xludf.DUMMYFUNCTION("""COMPUTED_VALUE"""),-0.76980759679489)</f>
        <v>-0.76980759679488997</v>
      </c>
      <c r="FM137" s="3">
        <f ca="1">IFERROR(__xludf.DUMMYFUNCTION("""COMPUTED_VALUE"""),-0.704695352358956)</f>
        <v>-0.70469535235895597</v>
      </c>
      <c r="FN137" s="3">
        <f ca="1">IFERROR(__xludf.DUMMYFUNCTION("""COMPUTED_VALUE"""),-0.733452586631708)</f>
        <v>-0.73345258663170798</v>
      </c>
      <c r="FO137" s="3">
        <f ca="1">IFERROR(__xludf.DUMMYFUNCTION("""COMPUTED_VALUE"""),-0.713626065564225)</f>
        <v>-0.71362606556422503</v>
      </c>
      <c r="FP137" s="3">
        <f ca="1">IFERROR(__xludf.DUMMYFUNCTION("""COMPUTED_VALUE"""),-0.6982662531045)</f>
        <v>-0.69826625310449997</v>
      </c>
      <c r="FQ137" s="3">
        <f ca="1">IFERROR(__xludf.DUMMYFUNCTION("""COMPUTED_VALUE"""),-0.526252920529596)</f>
        <v>-0.52625292052959605</v>
      </c>
      <c r="FR137" s="3">
        <f ca="1">IFERROR(__xludf.DUMMYFUNCTION("""COMPUTED_VALUE"""),-0.700962324174258)</f>
        <v>-0.70096232417425797</v>
      </c>
      <c r="FS137" s="3">
        <f ca="1">IFERROR(__xludf.DUMMYFUNCTION("""COMPUTED_VALUE"""),-0.673578667887779)</f>
        <v>-0.67357866788777898</v>
      </c>
      <c r="FT137" s="3">
        <f ca="1">IFERROR(__xludf.DUMMYFUNCTION("""COMPUTED_VALUE"""),-0.667694087999137)</f>
        <v>-0.66769408799913699</v>
      </c>
      <c r="FU137" s="3">
        <f ca="1">IFERROR(__xludf.DUMMYFUNCTION("""COMPUTED_VALUE"""),-0.67243044289469)</f>
        <v>-0.67243044289469001</v>
      </c>
      <c r="FV137" s="3">
        <f ca="1">IFERROR(__xludf.DUMMYFUNCTION("""COMPUTED_VALUE"""),-0.605973881233733)</f>
        <v>-0.60597388123373297</v>
      </c>
      <c r="FW137" s="3">
        <f ca="1">IFERROR(__xludf.DUMMYFUNCTION("""COMPUTED_VALUE"""),-0.538160951271877)</f>
        <v>-0.53816095127187702</v>
      </c>
      <c r="FX137" s="3">
        <f ca="1">IFERROR(__xludf.DUMMYFUNCTION("""COMPUTED_VALUE"""),-0.527181777172462)</f>
        <v>-0.52718177717246195</v>
      </c>
      <c r="FY137" s="3">
        <f ca="1">IFERROR(__xludf.DUMMYFUNCTION("""COMPUTED_VALUE"""),-0.642908478818596)</f>
        <v>-0.64290847881859603</v>
      </c>
      <c r="FZ137" s="3">
        <f ca="1">IFERROR(__xludf.DUMMYFUNCTION("""COMPUTED_VALUE"""),-0.67437743461153)</f>
        <v>-0.67437743461152999</v>
      </c>
      <c r="GA137" s="3">
        <f ca="1">IFERROR(__xludf.DUMMYFUNCTION("""COMPUTED_VALUE"""),-0.721008530580682)</f>
        <v>-0.72100853058068204</v>
      </c>
      <c r="GB137" s="3">
        <f ca="1">IFERROR(__xludf.DUMMYFUNCTION("""COMPUTED_VALUE"""),-0.695580058668121)</f>
        <v>-0.695580058668121</v>
      </c>
      <c r="GC137" s="3">
        <f ca="1">IFERROR(__xludf.DUMMYFUNCTION("""COMPUTED_VALUE"""),-0.689065968897767)</f>
        <v>-0.68906596889776695</v>
      </c>
      <c r="GD137" s="3">
        <f ca="1">IFERROR(__xludf.DUMMYFUNCTION("""COMPUTED_VALUE"""),-0.58272798215919)</f>
        <v>-0.58272798215918997</v>
      </c>
      <c r="GE137" s="3">
        <f ca="1">IFERROR(__xludf.DUMMYFUNCTION("""COMPUTED_VALUE"""),-0.596881702619547)</f>
        <v>-0.59688170261954698</v>
      </c>
      <c r="GF137" s="3">
        <f ca="1">IFERROR(__xludf.DUMMYFUNCTION("""COMPUTED_VALUE"""),-0.624530669918674)</f>
        <v>-0.62453066991867401</v>
      </c>
      <c r="GG137" s="3">
        <f ca="1">IFERROR(__xludf.DUMMYFUNCTION("""COMPUTED_VALUE"""),-0.639468917054818)</f>
        <v>-0.63946891705481801</v>
      </c>
      <c r="GH137" s="3">
        <f ca="1">IFERROR(__xludf.DUMMYFUNCTION("""COMPUTED_VALUE"""),-0.66513085173586)</f>
        <v>-0.66513085173585995</v>
      </c>
      <c r="GI137" s="3">
        <f ca="1">IFERROR(__xludf.DUMMYFUNCTION("""COMPUTED_VALUE"""),-0.746103050351648)</f>
        <v>-0.74610305035164803</v>
      </c>
      <c r="GJ137" s="3">
        <f ca="1">IFERROR(__xludf.DUMMYFUNCTION("""COMPUTED_VALUE"""),-0.62431286492033)</f>
        <v>-0.62431286492033</v>
      </c>
      <c r="GK137" s="3">
        <f ca="1">IFERROR(__xludf.DUMMYFUNCTION("""COMPUTED_VALUE"""),-0.536001194258059)</f>
        <v>-0.53600119425805903</v>
      </c>
      <c r="GL137" s="3">
        <f ca="1">IFERROR(__xludf.DUMMYFUNCTION("""COMPUTED_VALUE"""),-0.549924557479879)</f>
        <v>-0.54992455747987901</v>
      </c>
      <c r="GM137" s="3">
        <f ca="1">IFERROR(__xludf.DUMMYFUNCTION("""COMPUTED_VALUE"""),-0.660900010481235)</f>
        <v>-0.66090001048123503</v>
      </c>
      <c r="GN137" s="3">
        <f ca="1">IFERROR(__xludf.DUMMYFUNCTION("""COMPUTED_VALUE"""),-0.679738424208965)</f>
        <v>-0.67973842420896502</v>
      </c>
      <c r="GO137" s="3">
        <f ca="1">IFERROR(__xludf.DUMMYFUNCTION("""COMPUTED_VALUE"""),-0.679939814917411)</f>
        <v>-0.67993981491741096</v>
      </c>
      <c r="GP137" s="3">
        <f ca="1">IFERROR(__xludf.DUMMYFUNCTION("""COMPUTED_VALUE"""),-0.692411017164476)</f>
        <v>-0.69241101716447595</v>
      </c>
      <c r="GQ137" s="3">
        <f ca="1">IFERROR(__xludf.DUMMYFUNCTION("""COMPUTED_VALUE"""),-0.664168280976606)</f>
        <v>-0.66416828097660596</v>
      </c>
      <c r="GR137" s="3">
        <f ca="1">IFERROR(__xludf.DUMMYFUNCTION("""COMPUTED_VALUE"""),-0.434326741402246)</f>
        <v>-0.43432674140224597</v>
      </c>
      <c r="GS137" s="3">
        <f ca="1">IFERROR(__xludf.DUMMYFUNCTION("""COMPUTED_VALUE"""),-0.553212616797373)</f>
        <v>-0.55321261679737299</v>
      </c>
      <c r="GT137" s="3">
        <f ca="1">IFERROR(__xludf.DUMMYFUNCTION("""COMPUTED_VALUE"""),-0.632988524581619)</f>
        <v>-0.63298852458161903</v>
      </c>
      <c r="GU137" s="3">
        <f ca="1">IFERROR(__xludf.DUMMYFUNCTION("""COMPUTED_VALUE"""),-0.655885304813864)</f>
        <v>-0.65588530481386398</v>
      </c>
      <c r="GV137" s="3">
        <f ca="1">IFERROR(__xludf.DUMMYFUNCTION("""COMPUTED_VALUE"""),-0.649935217761359)</f>
        <v>-0.64993521776135899</v>
      </c>
      <c r="GW137" s="3">
        <f ca="1">IFERROR(__xludf.DUMMYFUNCTION("""COMPUTED_VALUE"""),-0.623775317759005)</f>
        <v>-0.62377531775900497</v>
      </c>
      <c r="GX137" s="3">
        <f ca="1">IFERROR(__xludf.DUMMYFUNCTION("""COMPUTED_VALUE"""),-0.524498541804947)</f>
        <v>-0.52449854180494704</v>
      </c>
      <c r="GY137" s="3">
        <f ca="1">IFERROR(__xludf.DUMMYFUNCTION("""COMPUTED_VALUE"""),-0.400504958068777)</f>
        <v>-0.40050495806877701</v>
      </c>
      <c r="GZ137" s="3">
        <f ca="1">IFERROR(__xludf.DUMMYFUNCTION("""COMPUTED_VALUE"""),-0.667142601579495)</f>
        <v>-0.66714260157949501</v>
      </c>
      <c r="HA137" s="3">
        <f ca="1">IFERROR(__xludf.DUMMYFUNCTION("""COMPUTED_VALUE"""),-0.685353680542167)</f>
        <v>-0.68535368054216705</v>
      </c>
      <c r="HB137" s="3">
        <f ca="1">IFERROR(__xludf.DUMMYFUNCTION("""COMPUTED_VALUE"""),-0.707545524279261)</f>
        <v>-0.70754552427926098</v>
      </c>
      <c r="HC137" s="3">
        <f ca="1">IFERROR(__xludf.DUMMYFUNCTION("""COMPUTED_VALUE"""),-0.640110731862193)</f>
        <v>-0.64011073186219303</v>
      </c>
      <c r="HD137" s="3">
        <f ca="1">IFERROR(__xludf.DUMMYFUNCTION("""COMPUTED_VALUE"""),-0.712165445577806)</f>
        <v>-0.71216544557780603</v>
      </c>
      <c r="HE137" s="3">
        <f ca="1">IFERROR(__xludf.DUMMYFUNCTION("""COMPUTED_VALUE"""),-0.648157695470214)</f>
        <v>-0.64815769547021396</v>
      </c>
      <c r="HF137" s="3">
        <f ca="1">IFERROR(__xludf.DUMMYFUNCTION("""COMPUTED_VALUE"""),-0.742067790977689)</f>
        <v>-0.74206779097768905</v>
      </c>
      <c r="HG137" s="3">
        <f ca="1">IFERROR(__xludf.DUMMYFUNCTION("""COMPUTED_VALUE"""),-0.648630513888449)</f>
        <v>-0.64863051388844895</v>
      </c>
      <c r="HH137" s="3">
        <f ca="1">IFERROR(__xludf.DUMMYFUNCTION("""COMPUTED_VALUE"""),-0.724563555343068)</f>
        <v>-0.72456355534306804</v>
      </c>
      <c r="HI137" s="3">
        <f ca="1">IFERROR(__xludf.DUMMYFUNCTION("""COMPUTED_VALUE"""),-0.619114242934578)</f>
        <v>-0.61911424293457795</v>
      </c>
      <c r="HJ137" s="3">
        <f ca="1">IFERROR(__xludf.DUMMYFUNCTION("""COMPUTED_VALUE"""),-0.67481548307697)</f>
        <v>-0.67481548307697004</v>
      </c>
      <c r="HK137" s="3">
        <f ca="1">IFERROR(__xludf.DUMMYFUNCTION("""COMPUTED_VALUE"""),-0.668901634784642)</f>
        <v>-0.66890163478464204</v>
      </c>
      <c r="HL137" s="3">
        <f ca="1">IFERROR(__xludf.DUMMYFUNCTION("""COMPUTED_VALUE"""),-0.768833423402237)</f>
        <v>-0.76883342340223704</v>
      </c>
      <c r="HM137" s="3">
        <f ca="1">IFERROR(__xludf.DUMMYFUNCTION("""COMPUTED_VALUE"""),-0.512386204290053)</f>
        <v>-0.51238620429005299</v>
      </c>
      <c r="HN137" s="3">
        <f ca="1">IFERROR(__xludf.DUMMYFUNCTION("""COMPUTED_VALUE"""),-0.656675503830963)</f>
        <v>-0.65667550383096296</v>
      </c>
      <c r="HO137" s="3">
        <f ca="1">IFERROR(__xludf.DUMMYFUNCTION("""COMPUTED_VALUE"""),-0.639047866332178)</f>
        <v>-0.63904786633217803</v>
      </c>
      <c r="HP137" s="3">
        <f ca="1">IFERROR(__xludf.DUMMYFUNCTION("""COMPUTED_VALUE"""),-0.588961447805138)</f>
        <v>-0.58896144780513804</v>
      </c>
      <c r="HQ137" s="3">
        <f ca="1">IFERROR(__xludf.DUMMYFUNCTION("""COMPUTED_VALUE"""),-0.63613287964872)</f>
        <v>-0.63613287964872001</v>
      </c>
      <c r="HR137" s="3">
        <f ca="1">IFERROR(__xludf.DUMMYFUNCTION("""COMPUTED_VALUE"""),-0.637065859104466)</f>
        <v>-0.637065859104466</v>
      </c>
      <c r="HS137" s="3">
        <f ca="1">IFERROR(__xludf.DUMMYFUNCTION("""COMPUTED_VALUE"""),-0.612815965278351)</f>
        <v>-0.61281596527835103</v>
      </c>
      <c r="HT137" s="3">
        <f ca="1">IFERROR(__xludf.DUMMYFUNCTION("""COMPUTED_VALUE"""),-0.687026832504694)</f>
        <v>-0.68702683250469399</v>
      </c>
      <c r="HU137" s="3">
        <f ca="1">IFERROR(__xludf.DUMMYFUNCTION("""COMPUTED_VALUE"""),-0.5611615372182)</f>
        <v>-0.56116153721819995</v>
      </c>
      <c r="HV137" s="3">
        <f ca="1">IFERROR(__xludf.DUMMYFUNCTION("""COMPUTED_VALUE"""),-0.550993464392592)</f>
        <v>-0.550993464392592</v>
      </c>
      <c r="HW137" s="3">
        <f ca="1">IFERROR(__xludf.DUMMYFUNCTION("""COMPUTED_VALUE"""),-0.653120377806407)</f>
        <v>-0.65312037780640697</v>
      </c>
      <c r="HX137" s="3">
        <f ca="1">IFERROR(__xludf.DUMMYFUNCTION("""COMPUTED_VALUE"""),-0.622317572330395)</f>
        <v>-0.62231757233039497</v>
      </c>
      <c r="HY137" s="3">
        <f ca="1">IFERROR(__xludf.DUMMYFUNCTION("""COMPUTED_VALUE"""),-0.556451843734179)</f>
        <v>-0.556451843734179</v>
      </c>
      <c r="HZ137" s="3">
        <f ca="1">IFERROR(__xludf.DUMMYFUNCTION("""COMPUTED_VALUE"""),-0.432772319166314)</f>
        <v>-0.43277231916631398</v>
      </c>
      <c r="IA137" s="3">
        <f ca="1">IFERROR(__xludf.DUMMYFUNCTION("""COMPUTED_VALUE"""),-0.665478378869843)</f>
        <v>-0.66547837886984296</v>
      </c>
      <c r="IB137" s="3">
        <f ca="1">IFERROR(__xludf.DUMMYFUNCTION("""COMPUTED_VALUE"""),-0.480404018831135)</f>
        <v>-0.48040401883113498</v>
      </c>
      <c r="IC137" s="3">
        <f ca="1">IFERROR(__xludf.DUMMYFUNCTION("""COMPUTED_VALUE"""),-0.62183981929888)</f>
        <v>-0.62183981929887999</v>
      </c>
      <c r="ID137" s="3">
        <f ca="1">IFERROR(__xludf.DUMMYFUNCTION("""COMPUTED_VALUE"""),-0.683105446628311)</f>
        <v>-0.68310544662831096</v>
      </c>
      <c r="IE137" s="3">
        <f ca="1">IFERROR(__xludf.DUMMYFUNCTION("""COMPUTED_VALUE"""),-0.641885579417593)</f>
        <v>-0.64188557941759306</v>
      </c>
      <c r="IF137" s="3">
        <f ca="1">IFERROR(__xludf.DUMMYFUNCTION("""COMPUTED_VALUE"""),-0.53459896271748)</f>
        <v>-0.53459896271747998</v>
      </c>
      <c r="IG137" s="3">
        <f ca="1">IFERROR(__xludf.DUMMYFUNCTION("""COMPUTED_VALUE"""),-0.608246601590453)</f>
        <v>-0.60824660159045296</v>
      </c>
      <c r="IH137" s="3">
        <f ca="1">IFERROR(__xludf.DUMMYFUNCTION("""COMPUTED_VALUE"""),-0.595306129142217)</f>
        <v>-0.59530612914221703</v>
      </c>
      <c r="II137" s="3">
        <f ca="1">IFERROR(__xludf.DUMMYFUNCTION("""COMPUTED_VALUE"""),-0.475732674652561)</f>
        <v>-0.47573267465256103</v>
      </c>
      <c r="IJ137" s="3">
        <f ca="1">IFERROR(__xludf.DUMMYFUNCTION("""COMPUTED_VALUE"""),-0.608047103592485)</f>
        <v>-0.60804710359248504</v>
      </c>
      <c r="IK137" s="3">
        <f ca="1">IFERROR(__xludf.DUMMYFUNCTION("""COMPUTED_VALUE"""),-0.642686299820817)</f>
        <v>-0.64268629982081704</v>
      </c>
      <c r="IL137" s="3">
        <f ca="1">IFERROR(__xludf.DUMMYFUNCTION("""COMPUTED_VALUE"""),-0.584874450457128)</f>
        <v>-0.58487445045712805</v>
      </c>
      <c r="IM137" s="3">
        <f ca="1">IFERROR(__xludf.DUMMYFUNCTION("""COMPUTED_VALUE"""),-0.588163326227223)</f>
        <v>-0.588163326227223</v>
      </c>
      <c r="IN137" s="3">
        <f ca="1">IFERROR(__xludf.DUMMYFUNCTION("""COMPUTED_VALUE"""),-0.662698866857704)</f>
        <v>-0.66269886685770396</v>
      </c>
      <c r="IO137" s="3">
        <f ca="1">IFERROR(__xludf.DUMMYFUNCTION("""COMPUTED_VALUE"""),-0.542818825218806)</f>
        <v>-0.54281882521880598</v>
      </c>
      <c r="IP137" s="3">
        <f ca="1">IFERROR(__xludf.DUMMYFUNCTION("""COMPUTED_VALUE"""),-0.45751869968198)</f>
        <v>-0.45751869968198</v>
      </c>
      <c r="IQ137" s="3">
        <f ca="1">IFERROR(__xludf.DUMMYFUNCTION("""COMPUTED_VALUE"""),-0.653986733620646)</f>
        <v>-0.65398673362064597</v>
      </c>
      <c r="IR137" s="3">
        <f ca="1">IFERROR(__xludf.DUMMYFUNCTION("""COMPUTED_VALUE"""),-0.684670724669763)</f>
        <v>-0.68467072466976298</v>
      </c>
      <c r="IS137" s="3">
        <f ca="1">IFERROR(__xludf.DUMMYFUNCTION("""COMPUTED_VALUE"""),-0.626918936210348)</f>
        <v>-0.626918936210348</v>
      </c>
      <c r="IT137" s="3">
        <f ca="1">IFERROR(__xludf.DUMMYFUNCTION("""COMPUTED_VALUE"""),-0.652864402868703)</f>
        <v>-0.65286440286870295</v>
      </c>
      <c r="IU137" s="3">
        <f ca="1">IFERROR(__xludf.DUMMYFUNCTION("""COMPUTED_VALUE"""),-0.644481966086183)</f>
        <v>-0.64448196608618302</v>
      </c>
      <c r="IV137" s="3">
        <f ca="1">IFERROR(__xludf.DUMMYFUNCTION("""COMPUTED_VALUE"""),-0.416024242898639)</f>
        <v>-0.41602424289863899</v>
      </c>
      <c r="IW137" s="3">
        <f ca="1">IFERROR(__xludf.DUMMYFUNCTION("""COMPUTED_VALUE"""),-0.454719509553519)</f>
        <v>-0.45471950955351897</v>
      </c>
      <c r="IX137" s="3">
        <f ca="1">IFERROR(__xludf.DUMMYFUNCTION("""COMPUTED_VALUE"""),-0.559330092939178)</f>
        <v>-0.55933009293917801</v>
      </c>
      <c r="IY137" s="3">
        <f ca="1">IFERROR(__xludf.DUMMYFUNCTION("""COMPUTED_VALUE"""),-0.671644382521179)</f>
        <v>-0.67164438252117897</v>
      </c>
      <c r="IZ137" s="3">
        <f ca="1">IFERROR(__xludf.DUMMYFUNCTION("""COMPUTED_VALUE"""),-0.699424164182038)</f>
        <v>-0.69942416418203801</v>
      </c>
      <c r="JA137" s="3">
        <f ca="1">IFERROR(__xludf.DUMMYFUNCTION("""COMPUTED_VALUE"""),-0.597544341655069)</f>
        <v>-0.59754434165506898</v>
      </c>
      <c r="JB137" s="3">
        <f ca="1">IFERROR(__xludf.DUMMYFUNCTION("""COMPUTED_VALUE"""),-0.62352407587398)</f>
        <v>-0.62352407587397995</v>
      </c>
      <c r="JC137" s="3">
        <f ca="1">IFERROR(__xludf.DUMMYFUNCTION("""COMPUTED_VALUE"""),-0.678524521280616)</f>
        <v>-0.67852452128061602</v>
      </c>
      <c r="JD137" s="3">
        <f ca="1">IFERROR(__xludf.DUMMYFUNCTION("""COMPUTED_VALUE"""),-0.579092706074098)</f>
        <v>-0.57909270607409802</v>
      </c>
      <c r="JE137" s="3">
        <f ca="1">IFERROR(__xludf.DUMMYFUNCTION("""COMPUTED_VALUE"""),-0.640430322314564)</f>
        <v>-0.64043032231456398</v>
      </c>
      <c r="JF137" s="3">
        <f ca="1">IFERROR(__xludf.DUMMYFUNCTION("""COMPUTED_VALUE"""),-0.715508706276604)</f>
        <v>-0.71550870627660401</v>
      </c>
      <c r="JG137" s="3">
        <f ca="1">IFERROR(__xludf.DUMMYFUNCTION("""COMPUTED_VALUE"""),-0.689777018823159)</f>
        <v>-0.689777018823159</v>
      </c>
      <c r="JH137" s="3">
        <f ca="1">IFERROR(__xludf.DUMMYFUNCTION("""COMPUTED_VALUE"""),-0.698903645457112)</f>
        <v>-0.69890364545711203</v>
      </c>
      <c r="JI137" s="3">
        <f ca="1">IFERROR(__xludf.DUMMYFUNCTION("""COMPUTED_VALUE"""),-0.707300070780035)</f>
        <v>-0.70730007078003498</v>
      </c>
      <c r="JJ137" s="3">
        <f ca="1">IFERROR(__xludf.DUMMYFUNCTION("""COMPUTED_VALUE"""),-0.680863835796068)</f>
        <v>-0.68086383579606802</v>
      </c>
      <c r="JK137" s="3">
        <f ca="1">IFERROR(__xludf.DUMMYFUNCTION("""COMPUTED_VALUE"""),-0.579266276191154)</f>
        <v>-0.57926627619115401</v>
      </c>
      <c r="JL137" s="3">
        <f ca="1">IFERROR(__xludf.DUMMYFUNCTION("""COMPUTED_VALUE"""),-0.707836803469299)</f>
        <v>-0.707836803469299</v>
      </c>
      <c r="JM137" s="3">
        <f ca="1">IFERROR(__xludf.DUMMYFUNCTION("""COMPUTED_VALUE"""),-0.697461895818169)</f>
        <v>-0.69746189581816898</v>
      </c>
      <c r="JN137" s="3">
        <f ca="1">IFERROR(__xludf.DUMMYFUNCTION("""COMPUTED_VALUE"""),-0.665893421097375)</f>
        <v>-0.66589342109737504</v>
      </c>
      <c r="JO137" s="3">
        <f ca="1">IFERROR(__xludf.DUMMYFUNCTION("""COMPUTED_VALUE"""),-0.712381861714462)</f>
        <v>-0.71238186171446205</v>
      </c>
      <c r="JP137" s="3">
        <f ca="1">IFERROR(__xludf.DUMMYFUNCTION("""COMPUTED_VALUE"""),-0.657854800966479)</f>
        <v>-0.65785480096647897</v>
      </c>
      <c r="JQ137" s="3">
        <f ca="1">IFERROR(__xludf.DUMMYFUNCTION("""COMPUTED_VALUE"""),-0.555387898875187)</f>
        <v>-0.55538789887518702</v>
      </c>
      <c r="JR137" s="3">
        <f ca="1">IFERROR(__xludf.DUMMYFUNCTION("""COMPUTED_VALUE"""),-0.556336597164215)</f>
        <v>-0.55633659716421502</v>
      </c>
      <c r="JS137" s="3">
        <f ca="1">IFERROR(__xludf.DUMMYFUNCTION("""COMPUTED_VALUE"""),-0.613141266695496)</f>
        <v>-0.61314126669549596</v>
      </c>
      <c r="JT137" s="3">
        <f ca="1">IFERROR(__xludf.DUMMYFUNCTION("""COMPUTED_VALUE"""),-0.635038716267896)</f>
        <v>-0.63503871626789599</v>
      </c>
      <c r="JU137" s="3">
        <f ca="1">IFERROR(__xludf.DUMMYFUNCTION("""COMPUTED_VALUE"""),-0.724265795859369)</f>
        <v>-0.72426579585936901</v>
      </c>
      <c r="JV137" s="3">
        <f ca="1">IFERROR(__xludf.DUMMYFUNCTION("""COMPUTED_VALUE"""),-0.703373334681652)</f>
        <v>-0.70337333468165197</v>
      </c>
      <c r="JW137" s="3">
        <f ca="1">IFERROR(__xludf.DUMMYFUNCTION("""COMPUTED_VALUE"""),-0.689464225710199)</f>
        <v>-0.68946422571019905</v>
      </c>
      <c r="JX137" s="3">
        <f ca="1">IFERROR(__xludf.DUMMYFUNCTION("""COMPUTED_VALUE"""),-0.729161557024489)</f>
        <v>-0.72916155702448904</v>
      </c>
      <c r="JY137" s="3">
        <f ca="1">IFERROR(__xludf.DUMMYFUNCTION("""COMPUTED_VALUE"""),-0.724316838999179)</f>
        <v>-0.72431683899917898</v>
      </c>
      <c r="JZ137" s="3">
        <f ca="1">IFERROR(__xludf.DUMMYFUNCTION("""COMPUTED_VALUE"""),-0.674586018488766)</f>
        <v>-0.67458601848876598</v>
      </c>
      <c r="KA137" s="3">
        <f ca="1">IFERROR(__xludf.DUMMYFUNCTION("""COMPUTED_VALUE"""),-0.690901740585809)</f>
        <v>-0.690901740585809</v>
      </c>
      <c r="KB137" s="3">
        <f ca="1">IFERROR(__xludf.DUMMYFUNCTION("""COMPUTED_VALUE"""),-0.723823732775299)</f>
        <v>-0.72382373277529899</v>
      </c>
      <c r="KC137" s="3">
        <f ca="1">IFERROR(__xludf.DUMMYFUNCTION("""COMPUTED_VALUE"""),-0.726451637511125)</f>
        <v>-0.72645163751112496</v>
      </c>
      <c r="KD137" s="3">
        <f ca="1">IFERROR(__xludf.DUMMYFUNCTION("""COMPUTED_VALUE"""),-0.688328877106926)</f>
        <v>-0.68832887710692603</v>
      </c>
      <c r="KE137" s="3">
        <f ca="1">IFERROR(__xludf.DUMMYFUNCTION("""COMPUTED_VALUE"""),-0.695005517797636)</f>
        <v>-0.69500551779763597</v>
      </c>
      <c r="KF137" s="3">
        <f ca="1">IFERROR(__xludf.DUMMYFUNCTION("""COMPUTED_VALUE"""),-0.614671037320904)</f>
        <v>-0.614671037320904</v>
      </c>
      <c r="KG137" s="3">
        <f ca="1">IFERROR(__xludf.DUMMYFUNCTION("""COMPUTED_VALUE"""),-0.565199630102113)</f>
        <v>-0.56519963010211305</v>
      </c>
      <c r="KH137" s="3">
        <f ca="1">IFERROR(__xludf.DUMMYFUNCTION("""COMPUTED_VALUE"""),-0.65859750320019)</f>
        <v>-0.65859750320018995</v>
      </c>
      <c r="KI137" s="3">
        <f ca="1">IFERROR(__xludf.DUMMYFUNCTION("""COMPUTED_VALUE"""),-0.713126042173423)</f>
        <v>-0.71312604217342301</v>
      </c>
      <c r="KJ137" s="3">
        <f ca="1">IFERROR(__xludf.DUMMYFUNCTION("""COMPUTED_VALUE"""),-0.685837808753574)</f>
        <v>-0.68583780875357403</v>
      </c>
      <c r="KK137" s="3">
        <f ca="1">IFERROR(__xludf.DUMMYFUNCTION("""COMPUTED_VALUE"""),-0.724257983312159)</f>
        <v>-0.72425798331215896</v>
      </c>
      <c r="KL137" s="3">
        <f ca="1">IFERROR(__xludf.DUMMYFUNCTION("""COMPUTED_VALUE"""),-0.582247364052231)</f>
        <v>-0.58224736405223099</v>
      </c>
      <c r="KM137" s="3">
        <f ca="1">IFERROR(__xludf.DUMMYFUNCTION("""COMPUTED_VALUE"""),-0.52601919141247)</f>
        <v>-0.52601919141247</v>
      </c>
      <c r="KN137" s="3">
        <f ca="1">IFERROR(__xludf.DUMMYFUNCTION("""COMPUTED_VALUE"""),-0.578872424227529)</f>
        <v>-0.57887242422752905</v>
      </c>
      <c r="KO137" s="3">
        <f ca="1">IFERROR(__xludf.DUMMYFUNCTION("""COMPUTED_VALUE"""),-0.614523515715201)</f>
        <v>-0.61452351571520103</v>
      </c>
      <c r="KP137" s="3">
        <f ca="1">IFERROR(__xludf.DUMMYFUNCTION("""COMPUTED_VALUE"""),-0.562501101108529)</f>
        <v>-0.56250110110852902</v>
      </c>
      <c r="KQ137" s="3">
        <f ca="1">IFERROR(__xludf.DUMMYFUNCTION("""COMPUTED_VALUE"""),-0.700135095039958)</f>
        <v>-0.70013509503995797</v>
      </c>
      <c r="KR137" s="3">
        <f ca="1">IFERROR(__xludf.DUMMYFUNCTION("""COMPUTED_VALUE"""),-0.72943756393293)</f>
        <v>-0.72943756393293002</v>
      </c>
      <c r="KS137" s="3">
        <f ca="1">IFERROR(__xludf.DUMMYFUNCTION("""COMPUTED_VALUE"""),-0.590501320833322)</f>
        <v>-0.59050132083332196</v>
      </c>
      <c r="KT137" s="3">
        <f ca="1">IFERROR(__xludf.DUMMYFUNCTION("""COMPUTED_VALUE"""),-0.605735796227635)</f>
        <v>-0.60573579622763496</v>
      </c>
      <c r="KU137" s="3">
        <f ca="1">IFERROR(__xludf.DUMMYFUNCTION("""COMPUTED_VALUE"""),-0.652386469130106)</f>
        <v>-0.65238646913010601</v>
      </c>
      <c r="KV137" s="3">
        <f ca="1">IFERROR(__xludf.DUMMYFUNCTION("""COMPUTED_VALUE"""),-0.618411003321805)</f>
        <v>-0.61841100332180499</v>
      </c>
      <c r="KW137" s="3">
        <f ca="1">IFERROR(__xludf.DUMMYFUNCTION("""COMPUTED_VALUE"""),-0.661667329400551)</f>
        <v>-0.66166732940055095</v>
      </c>
      <c r="KX137" s="3">
        <f ca="1">IFERROR(__xludf.DUMMYFUNCTION("""COMPUTED_VALUE"""),-0.733172778578368)</f>
        <v>-0.73317277857836805</v>
      </c>
      <c r="KY137" s="3">
        <f ca="1">IFERROR(__xludf.DUMMYFUNCTION("""COMPUTED_VALUE"""),-0.618874121845762)</f>
        <v>-0.61887412184576196</v>
      </c>
      <c r="KZ137" s="3">
        <f ca="1">IFERROR(__xludf.DUMMYFUNCTION("""COMPUTED_VALUE"""),-0.561035579814544)</f>
        <v>-0.56103557981454399</v>
      </c>
      <c r="LA137" s="3">
        <f ca="1">IFERROR(__xludf.DUMMYFUNCTION("""COMPUTED_VALUE"""),-0.532650288397339)</f>
        <v>-0.53265028839733897</v>
      </c>
      <c r="LB137" s="3">
        <f ca="1">IFERROR(__xludf.DUMMYFUNCTION("""COMPUTED_VALUE"""),-0.688812199902217)</f>
        <v>-0.68881219990221698</v>
      </c>
      <c r="LC137" s="3">
        <f ca="1">IFERROR(__xludf.DUMMYFUNCTION("""COMPUTED_VALUE"""),-0.685279309201244)</f>
        <v>-0.68527930920124402</v>
      </c>
      <c r="LD137" s="3">
        <f ca="1">IFERROR(__xludf.DUMMYFUNCTION("""COMPUTED_VALUE"""),-0.645900464004416)</f>
        <v>-0.64590046400441603</v>
      </c>
      <c r="LE137" s="3">
        <f ca="1">IFERROR(__xludf.DUMMYFUNCTION("""COMPUTED_VALUE"""),-0.649470278384192)</f>
        <v>-0.64947027838419202</v>
      </c>
      <c r="LF137" s="3">
        <f ca="1">IFERROR(__xludf.DUMMYFUNCTION("""COMPUTED_VALUE"""),-0.430845589266396)</f>
        <v>-0.43084558926639599</v>
      </c>
      <c r="LG137" s="3">
        <f ca="1">IFERROR(__xludf.DUMMYFUNCTION("""COMPUTED_VALUE"""),-0.394228477389229)</f>
        <v>-0.394228477389229</v>
      </c>
      <c r="LH137" s="3">
        <f ca="1">IFERROR(__xludf.DUMMYFUNCTION("""COMPUTED_VALUE"""),-0.705563127349511)</f>
        <v>-0.70556312734951099</v>
      </c>
      <c r="LI137" s="3">
        <f ca="1">IFERROR(__xludf.DUMMYFUNCTION("""COMPUTED_VALUE"""),-0.646880467835319)</f>
        <v>-0.64688046783531905</v>
      </c>
      <c r="LJ137" s="3">
        <f ca="1">IFERROR(__xludf.DUMMYFUNCTION("""COMPUTED_VALUE"""),-0.723362947693662)</f>
        <v>-0.72336294769366205</v>
      </c>
      <c r="LK137" s="3">
        <f ca="1">IFERROR(__xludf.DUMMYFUNCTION("""COMPUTED_VALUE"""),-0.647256686622206)</f>
        <v>-0.64725668662220603</v>
      </c>
      <c r="LL137" s="3">
        <f ca="1">IFERROR(__xludf.DUMMYFUNCTION("""COMPUTED_VALUE"""),-0.706879115720893)</f>
        <v>-0.70687911572089301</v>
      </c>
      <c r="LM137" s="3">
        <f ca="1">IFERROR(__xludf.DUMMYFUNCTION("""COMPUTED_VALUE"""),-0.848063605662004)</f>
        <v>-0.84806360566200401</v>
      </c>
      <c r="LN137" s="3">
        <f ca="1">IFERROR(__xludf.DUMMYFUNCTION("""COMPUTED_VALUE"""),-0.538695551689389)</f>
        <v>-0.53869555168938899</v>
      </c>
      <c r="LO137" s="3">
        <f ca="1">IFERROR(__xludf.DUMMYFUNCTION("""COMPUTED_VALUE"""),-0.690348280222145)</f>
        <v>-0.69034828022214501</v>
      </c>
      <c r="LP137" s="3">
        <f ca="1">IFERROR(__xludf.DUMMYFUNCTION("""COMPUTED_VALUE"""),-0.632707195626069)</f>
        <v>-0.63270719562606903</v>
      </c>
      <c r="LQ137" s="3">
        <f ca="1">IFERROR(__xludf.DUMMYFUNCTION("""COMPUTED_VALUE"""),-0.707968784976525)</f>
        <v>-0.70796878497652505</v>
      </c>
      <c r="LR137" s="3">
        <f ca="1">IFERROR(__xludf.DUMMYFUNCTION("""COMPUTED_VALUE"""),-0.633316757100134)</f>
        <v>-0.63331675710013402</v>
      </c>
      <c r="LS137" s="3">
        <f ca="1">IFERROR(__xludf.DUMMYFUNCTION("""COMPUTED_VALUE"""),-0.680808810587593)</f>
        <v>-0.68080881058759302</v>
      </c>
      <c r="LT137" s="3">
        <f ca="1">IFERROR(__xludf.DUMMYFUNCTION("""COMPUTED_VALUE"""),-0.417773847020186)</f>
        <v>-0.417773847020186</v>
      </c>
      <c r="LU137" s="3">
        <f ca="1">IFERROR(__xludf.DUMMYFUNCTION("""COMPUTED_VALUE"""),-0.133224386483997)</f>
        <v>-0.13322438648399701</v>
      </c>
      <c r="LV137" s="3">
        <f ca="1">IFERROR(__xludf.DUMMYFUNCTION("""COMPUTED_VALUE"""),-0.704925818744522)</f>
        <v>-0.70492581874452198</v>
      </c>
      <c r="LW137" s="3">
        <f ca="1">IFERROR(__xludf.DUMMYFUNCTION("""COMPUTED_VALUE"""),-0.742556318504906)</f>
        <v>-0.742556318504906</v>
      </c>
      <c r="LX137" s="3">
        <f ca="1">IFERROR(__xludf.DUMMYFUNCTION("""COMPUTED_VALUE"""),-0.680239793317787)</f>
        <v>-0.68023979331778694</v>
      </c>
      <c r="LY137" s="3">
        <f ca="1">IFERROR(__xludf.DUMMYFUNCTION("""COMPUTED_VALUE"""),-0.635126319417622)</f>
        <v>-0.63512631941762199</v>
      </c>
      <c r="LZ137" s="3">
        <f ca="1">IFERROR(__xludf.DUMMYFUNCTION("""COMPUTED_VALUE"""),-0.741274635687275)</f>
        <v>-0.74127463568727503</v>
      </c>
      <c r="MA137" s="3">
        <f ca="1">IFERROR(__xludf.DUMMYFUNCTION("""COMPUTED_VALUE"""),-0.665034725317904)</f>
        <v>-0.66503472531790397</v>
      </c>
      <c r="MB137" s="3">
        <f ca="1">IFERROR(__xludf.DUMMYFUNCTION("""COMPUTED_VALUE"""),-0.439473278810439)</f>
        <v>-0.43947327881043902</v>
      </c>
      <c r="MC137" s="3">
        <f ca="1">IFERROR(__xludf.DUMMYFUNCTION("""COMPUTED_VALUE"""),-0.611013756452988)</f>
        <v>-0.61101375645298805</v>
      </c>
      <c r="MD137" s="3">
        <f ca="1">IFERROR(__xludf.DUMMYFUNCTION("""COMPUTED_VALUE"""),-0.719351806843065)</f>
        <v>-0.71935180684306499</v>
      </c>
      <c r="ME137" s="3">
        <f ca="1">IFERROR(__xludf.DUMMYFUNCTION("""COMPUTED_VALUE"""),-0.719672004753465)</f>
        <v>-0.71967200475346504</v>
      </c>
      <c r="MF137" s="3">
        <f ca="1">IFERROR(__xludf.DUMMYFUNCTION("""COMPUTED_VALUE"""),-0.742559501695143)</f>
        <v>-0.74255950169514295</v>
      </c>
      <c r="MG137" s="3">
        <f ca="1">IFERROR(__xludf.DUMMYFUNCTION("""COMPUTED_VALUE"""),-0.719849424165213)</f>
        <v>-0.71984942416521303</v>
      </c>
      <c r="MH137" s="3">
        <f ca="1">IFERROR(__xludf.DUMMYFUNCTION("""COMPUTED_VALUE"""),-0.694984152732032)</f>
        <v>-0.69498415273203196</v>
      </c>
      <c r="MI137" s="3">
        <f ca="1">IFERROR(__xludf.DUMMYFUNCTION("""COMPUTED_VALUE"""),-0.566354048029618)</f>
        <v>-0.56635404802961797</v>
      </c>
      <c r="MJ137" s="3">
        <f ca="1">IFERROR(__xludf.DUMMYFUNCTION("""COMPUTED_VALUE"""),-0.69032729631953)</f>
        <v>-0.69032729631953005</v>
      </c>
      <c r="MK137" s="3">
        <f ca="1">IFERROR(__xludf.DUMMYFUNCTION("""COMPUTED_VALUE"""),-0.741857211818058)</f>
        <v>-0.74185721181805797</v>
      </c>
      <c r="ML137" s="3">
        <f ca="1">IFERROR(__xludf.DUMMYFUNCTION("""COMPUTED_VALUE"""),-0.719533063974516)</f>
        <v>-0.719533063974516</v>
      </c>
      <c r="MM137" s="3">
        <f ca="1">IFERROR(__xludf.DUMMYFUNCTION("""COMPUTED_VALUE"""),-0.705621771731016)</f>
        <v>-0.70562177173101603</v>
      </c>
      <c r="MN137" s="3">
        <f ca="1">IFERROR(__xludf.DUMMYFUNCTION("""COMPUTED_VALUE"""),-0.722601227791675)</f>
        <v>-0.72260122779167502</v>
      </c>
      <c r="MO137" s="3">
        <f ca="1">IFERROR(__xludf.DUMMYFUNCTION("""COMPUTED_VALUE"""),-0.697342030882672)</f>
        <v>-0.69734203088267199</v>
      </c>
      <c r="MP137" s="3">
        <f ca="1">IFERROR(__xludf.DUMMYFUNCTION("""COMPUTED_VALUE"""),-0.575396879091766)</f>
        <v>-0.57539687909176596</v>
      </c>
      <c r="MQ137" s="3">
        <f ca="1">IFERROR(__xludf.DUMMYFUNCTION("""COMPUTED_VALUE"""),-0.539457053457614)</f>
        <v>-0.53945705345761397</v>
      </c>
      <c r="MR137" s="3">
        <f ca="1">IFERROR(__xludf.DUMMYFUNCTION("""COMPUTED_VALUE"""),-0.759344550216699)</f>
        <v>-0.759344550216699</v>
      </c>
      <c r="MS137" s="3">
        <f ca="1">IFERROR(__xludf.DUMMYFUNCTION("""COMPUTED_VALUE"""),-0.7466551077764)</f>
        <v>-0.74665510777639998</v>
      </c>
      <c r="MT137" s="3">
        <f ca="1">IFERROR(__xludf.DUMMYFUNCTION("""COMPUTED_VALUE"""),-0.717723826740985)</f>
        <v>-0.717723826740985</v>
      </c>
      <c r="MU137" s="3">
        <f ca="1">IFERROR(__xludf.DUMMYFUNCTION("""COMPUTED_VALUE"""),-0.606436197721338)</f>
        <v>-0.60643619772133806</v>
      </c>
      <c r="MV137" s="3">
        <f ca="1">IFERROR(__xludf.DUMMYFUNCTION("""COMPUTED_VALUE"""),-0.684068362703901)</f>
        <v>-0.68406836270390103</v>
      </c>
      <c r="MW137" s="3">
        <f ca="1">IFERROR(__xludf.DUMMYFUNCTION("""COMPUTED_VALUE"""),-0.658659557869465)</f>
        <v>-0.65865955786946495</v>
      </c>
      <c r="MX137" s="3">
        <f ca="1">IFERROR(__xludf.DUMMYFUNCTION("""COMPUTED_VALUE"""),-0.680121653992024)</f>
        <v>-0.68012165399202396</v>
      </c>
      <c r="MY137" s="3">
        <f ca="1">IFERROR(__xludf.DUMMYFUNCTION("""COMPUTED_VALUE"""),-0.69064302442579)</f>
        <v>-0.69064302442578995</v>
      </c>
      <c r="MZ137" s="3">
        <f ca="1">IFERROR(__xludf.DUMMYFUNCTION("""COMPUTED_VALUE"""),-0.720031169880258)</f>
        <v>-0.72003116988025795</v>
      </c>
      <c r="NA137" s="3">
        <f ca="1">IFERROR(__xludf.DUMMYFUNCTION("""COMPUTED_VALUE"""),-0.746811809161368)</f>
        <v>-0.74681180916136802</v>
      </c>
      <c r="NB137" s="3">
        <f ca="1">IFERROR(__xludf.DUMMYFUNCTION("""COMPUTED_VALUE"""),-0.719233770047648)</f>
        <v>-0.71923377004764799</v>
      </c>
      <c r="NC137" s="3">
        <f ca="1">IFERROR(__xludf.DUMMYFUNCTION("""COMPUTED_VALUE"""),-0.638965143495648)</f>
        <v>-0.63896514349564804</v>
      </c>
      <c r="ND137" s="3">
        <f ca="1">IFERROR(__xludf.DUMMYFUNCTION("""COMPUTED_VALUE"""),-0.557875791656325)</f>
        <v>-0.55787579165632495</v>
      </c>
      <c r="NE137" s="3">
        <f ca="1">IFERROR(__xludf.DUMMYFUNCTION("""COMPUTED_VALUE"""),-0.602017331968016)</f>
        <v>-0.60201733196801599</v>
      </c>
      <c r="NF137" s="3">
        <f ca="1">IFERROR(__xludf.DUMMYFUNCTION("""COMPUTED_VALUE"""),-0.664926039202098)</f>
        <v>-0.66492603920209803</v>
      </c>
      <c r="NG137" s="3">
        <f ca="1">IFERROR(__xludf.DUMMYFUNCTION("""COMPUTED_VALUE"""),-0.669698030839381)</f>
        <v>-0.66969803083938095</v>
      </c>
      <c r="NH137" s="3">
        <f ca="1">IFERROR(__xludf.DUMMYFUNCTION("""COMPUTED_VALUE"""),-0.668128473643082)</f>
        <v>-0.66812847364308203</v>
      </c>
      <c r="NI137" s="3">
        <f ca="1">IFERROR(__xludf.DUMMYFUNCTION("""COMPUTED_VALUE"""),-0.617200083254116)</f>
        <v>-0.61720008325411602</v>
      </c>
      <c r="NJ137" s="3">
        <f ca="1">IFERROR(__xludf.DUMMYFUNCTION("""COMPUTED_VALUE"""),-0.547240015820163)</f>
        <v>-0.54724001582016302</v>
      </c>
      <c r="NK137" s="3">
        <f ca="1">IFERROR(__xludf.DUMMYFUNCTION("""COMPUTED_VALUE"""),-0.774282775813719)</f>
        <v>-0.77428277581371896</v>
      </c>
      <c r="NL137" s="3">
        <f ca="1">IFERROR(__xludf.DUMMYFUNCTION("""COMPUTED_VALUE"""),-0.780749456579975)</f>
        <v>-0.78074945657997497</v>
      </c>
      <c r="NM137" s="3">
        <f ca="1">IFERROR(__xludf.DUMMYFUNCTION("""COMPUTED_VALUE"""),-0.721951857707702)</f>
        <v>-0.72195185770770198</v>
      </c>
      <c r="NN137" s="3">
        <f ca="1">IFERROR(__xludf.DUMMYFUNCTION("""COMPUTED_VALUE"""),-0.684630501880924)</f>
        <v>-0.684630501880924</v>
      </c>
      <c r="NO137" s="3">
        <f ca="1">IFERROR(__xludf.DUMMYFUNCTION("""COMPUTED_VALUE"""),-0.707864655291225)</f>
        <v>-0.707864655291225</v>
      </c>
      <c r="NP137" s="3">
        <f ca="1">IFERROR(__xludf.DUMMYFUNCTION("""COMPUTED_VALUE"""),-0.675857609329106)</f>
        <v>-0.67585760932910599</v>
      </c>
      <c r="NQ137" s="3">
        <f ca="1">IFERROR(__xludf.DUMMYFUNCTION("""COMPUTED_VALUE"""),-0.658007989773634)</f>
        <v>-0.65800798977363395</v>
      </c>
      <c r="NR137" s="3">
        <f ca="1">IFERROR(__xludf.DUMMYFUNCTION("""COMPUTED_VALUE"""),-0.705803123831106)</f>
        <v>-0.70580312383110599</v>
      </c>
      <c r="NS137" s="3">
        <f ca="1">IFERROR(__xludf.DUMMYFUNCTION("""COMPUTED_VALUE"""),-0.738777988635332)</f>
        <v>-0.73877798863533195</v>
      </c>
      <c r="NT137" s="3">
        <f ca="1">IFERROR(__xludf.DUMMYFUNCTION("""COMPUTED_VALUE"""),-0.762886700859799)</f>
        <v>-0.76288670085979904</v>
      </c>
      <c r="NU137" s="3">
        <f ca="1">IFERROR(__xludf.DUMMYFUNCTION("""COMPUTED_VALUE"""),-0.754951990607657)</f>
        <v>-0.75495199060765705</v>
      </c>
      <c r="NV137" s="3">
        <f ca="1">IFERROR(__xludf.DUMMYFUNCTION("""COMPUTED_VALUE"""),-0.746414924116343)</f>
        <v>-0.74641492411634303</v>
      </c>
      <c r="NW137" s="3">
        <f ca="1">IFERROR(__xludf.DUMMYFUNCTION("""COMPUTED_VALUE"""),-0.679481604609858)</f>
        <v>-0.67948160460985796</v>
      </c>
      <c r="NX137" s="3">
        <f ca="1">IFERROR(__xludf.DUMMYFUNCTION("""COMPUTED_VALUE"""),-0.675902691431534)</f>
        <v>-0.67590269143153403</v>
      </c>
      <c r="NY137" s="3">
        <f ca="1">IFERROR(__xludf.DUMMYFUNCTION("""COMPUTED_VALUE"""),-0.724784413402762)</f>
        <v>-0.72478441340276201</v>
      </c>
      <c r="NZ137" s="3">
        <f ca="1">IFERROR(__xludf.DUMMYFUNCTION("""COMPUTED_VALUE"""),-0.704820963839096)</f>
        <v>-0.70482096383909598</v>
      </c>
      <c r="OA137" s="3">
        <f ca="1">IFERROR(__xludf.DUMMYFUNCTION("""COMPUTED_VALUE"""),-0.730125949996501)</f>
        <v>-0.73012594999650104</v>
      </c>
      <c r="OB137" s="3">
        <f ca="1">IFERROR(__xludf.DUMMYFUNCTION("""COMPUTED_VALUE"""),-0.701516298729781)</f>
        <v>-0.70151629872978105</v>
      </c>
      <c r="OC137" s="3">
        <f ca="1">IFERROR(__xludf.DUMMYFUNCTION("""COMPUTED_VALUE"""),-0.557818558163044)</f>
        <v>-0.55781855816304404</v>
      </c>
      <c r="OD137" s="3">
        <f ca="1">IFERROR(__xludf.DUMMYFUNCTION("""COMPUTED_VALUE"""),-0.565534619372435)</f>
        <v>-0.56553461937243499</v>
      </c>
      <c r="OE137" s="3">
        <f ca="1">IFERROR(__xludf.DUMMYFUNCTION("""COMPUTED_VALUE"""),-0.543383611800333)</f>
        <v>-0.54338361180033301</v>
      </c>
      <c r="OF137" s="3">
        <f ca="1">IFERROR(__xludf.DUMMYFUNCTION("""COMPUTED_VALUE"""),-0.490758441251157)</f>
        <v>-0.49075844125115697</v>
      </c>
      <c r="OG137" s="3">
        <f ca="1">IFERROR(__xludf.DUMMYFUNCTION("""COMPUTED_VALUE"""),-0.496421220036964)</f>
        <v>-0.49642122003696398</v>
      </c>
      <c r="OH137" s="3">
        <f ca="1">IFERROR(__xludf.DUMMYFUNCTION("""COMPUTED_VALUE"""),-0.399542019012849)</f>
        <v>-0.39954201901284903</v>
      </c>
      <c r="OI137" s="3">
        <f ca="1">IFERROR(__xludf.DUMMYFUNCTION("""COMPUTED_VALUE"""),-0.306377809758497)</f>
        <v>-0.30637780975849699</v>
      </c>
      <c r="OJ137" s="3">
        <f ca="1">IFERROR(__xludf.DUMMYFUNCTION("""COMPUTED_VALUE"""),-0.137484750804518)</f>
        <v>-0.137484750804518</v>
      </c>
      <c r="OK137" s="3">
        <f ca="1">IFERROR(__xludf.DUMMYFUNCTION("""COMPUTED_VALUE"""),-0.0888353304396539)</f>
        <v>-8.8835330439653901E-2</v>
      </c>
      <c r="OL137" s="3">
        <f ca="1">IFERROR(__xludf.DUMMYFUNCTION("""COMPUTED_VALUE"""),-0.14322643523275)</f>
        <v>-0.14322643523275</v>
      </c>
      <c r="OM137" s="3">
        <f ca="1">IFERROR(__xludf.DUMMYFUNCTION("""COMPUTED_VALUE"""),-0.0853248851931075)</f>
        <v>-8.5324885193107505E-2</v>
      </c>
      <c r="ON137" s="3">
        <f ca="1">IFERROR(__xludf.DUMMYFUNCTION("""COMPUTED_VALUE"""),-0.280405184472555)</f>
        <v>-0.28040518447255502</v>
      </c>
      <c r="OO137" s="3">
        <f ca="1">IFERROR(__xludf.DUMMYFUNCTION("""COMPUTED_VALUE"""),-0.114856235589303)</f>
        <v>-0.114856235589303</v>
      </c>
      <c r="OP137" s="3">
        <f ca="1">IFERROR(__xludf.DUMMYFUNCTION("""COMPUTED_VALUE"""),-0.20610027575257)</f>
        <v>-0.20610027575257001</v>
      </c>
      <c r="OQ137" s="3">
        <f ca="1">IFERROR(__xludf.DUMMYFUNCTION("""COMPUTED_VALUE"""),-0.0783637171981549)</f>
        <v>-7.8363717198154895E-2</v>
      </c>
      <c r="OR137" s="3">
        <f ca="1">IFERROR(__xludf.DUMMYFUNCTION("""COMPUTED_VALUE"""),-0.0716074402566477)</f>
        <v>-7.1607440256647698E-2</v>
      </c>
      <c r="OS137" s="3">
        <f ca="1">IFERROR(__xludf.DUMMYFUNCTION("""COMPUTED_VALUE"""),-0.0526895676527411)</f>
        <v>-5.2689567652741097E-2</v>
      </c>
      <c r="OT137" s="3">
        <f ca="1">IFERROR(__xludf.DUMMYFUNCTION("""COMPUTED_VALUE"""),0.271734254113426)</f>
        <v>0.271734254113426</v>
      </c>
      <c r="OU137" s="3">
        <f ca="1">IFERROR(__xludf.DUMMYFUNCTION("""COMPUTED_VALUE"""),-0.104803985065436)</f>
        <v>-0.10480398506543601</v>
      </c>
      <c r="OV137" s="3">
        <f ca="1">IFERROR(__xludf.DUMMYFUNCTION("""COMPUTED_VALUE"""),0.0434498946209764)</f>
        <v>4.3449894620976398E-2</v>
      </c>
      <c r="OW137" s="3">
        <f ca="1">IFERROR(__xludf.DUMMYFUNCTION("""COMPUTED_VALUE"""),-0.0820381121661146)</f>
        <v>-8.2038112166114605E-2</v>
      </c>
      <c r="OX137" s="3">
        <f ca="1">IFERROR(__xludf.DUMMYFUNCTION("""COMPUTED_VALUE"""),0.022599989359002)</f>
        <v>2.2599989359001999E-2</v>
      </c>
      <c r="OY137" s="3">
        <f ca="1">IFERROR(__xludf.DUMMYFUNCTION("""COMPUTED_VALUE"""),0.00721508164834161)</f>
        <v>7.2150816483416104E-3</v>
      </c>
      <c r="OZ137" s="3">
        <f ca="1">IFERROR(__xludf.DUMMYFUNCTION("""COMPUTED_VALUE"""),0.0487288212451919)</f>
        <v>4.87288212451919E-2</v>
      </c>
      <c r="PA137" s="3">
        <f ca="1">IFERROR(__xludf.DUMMYFUNCTION("""COMPUTED_VALUE"""),0.0234808542534215)</f>
        <v>2.3480854253421501E-2</v>
      </c>
      <c r="PB137" s="3">
        <f ca="1">IFERROR(__xludf.DUMMYFUNCTION("""COMPUTED_VALUE"""),0.059281149770648)</f>
        <v>5.9281149770648002E-2</v>
      </c>
      <c r="PC137" s="3">
        <f ca="1">IFERROR(__xludf.DUMMYFUNCTION("""COMPUTED_VALUE"""),0.00833633219835627)</f>
        <v>8.3363321983562708E-3</v>
      </c>
      <c r="PD137" s="3">
        <f ca="1">IFERROR(__xludf.DUMMYFUNCTION("""COMPUTED_VALUE"""),-0.00351593909451819)</f>
        <v>-3.5159390945181902E-3</v>
      </c>
      <c r="PE137" s="3">
        <f ca="1">IFERROR(__xludf.DUMMYFUNCTION("""COMPUTED_VALUE"""),-0.0180477271544697)</f>
        <v>-1.80477271544697E-2</v>
      </c>
      <c r="PF137" s="3">
        <f ca="1">IFERROR(__xludf.DUMMYFUNCTION("""COMPUTED_VALUE"""),0.0549993761585441)</f>
        <v>5.4999376158544097E-2</v>
      </c>
      <c r="PG137" s="3">
        <f ca="1">IFERROR(__xludf.DUMMYFUNCTION("""COMPUTED_VALUE"""),-0.0631899844223878)</f>
        <v>-6.3189984422387796E-2</v>
      </c>
      <c r="PH137" s="3">
        <f ca="1">IFERROR(__xludf.DUMMYFUNCTION("""COMPUTED_VALUE"""),0.165628525966901)</f>
        <v>0.165628525966901</v>
      </c>
      <c r="PI137" s="3">
        <f ca="1">IFERROR(__xludf.DUMMYFUNCTION("""COMPUTED_VALUE"""),0.296142088230751)</f>
        <v>0.296142088230751</v>
      </c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</row>
    <row r="138" spans="1:477" ht="13">
      <c r="A138" s="1" t="str">
        <f ca="1">IFERROR(__xludf.DUMMYFUNCTION("""COMPUTED_VALUE"""),"Community Transit")</f>
        <v>Community Transit</v>
      </c>
      <c r="B138" s="1" t="str">
        <f ca="1">IFERROR(__xludf.DUMMYFUNCTION("""COMPUTED_VALUE"""),"Seattle")</f>
        <v>Seattle</v>
      </c>
      <c r="C138" s="1" t="str">
        <f ca="1">IFERROR(__xludf.DUMMYFUNCTION("""COMPUTED_VALUE"""),"United States")</f>
        <v>United States</v>
      </c>
      <c r="D138" s="1" t="str">
        <f ca="1">IFERROR(__xludf.DUMMYFUNCTION("""COMPUTED_VALUE"""),"Washington")</f>
        <v>Washington</v>
      </c>
      <c r="E138" s="3">
        <f ca="1">IFERROR(__xludf.DUMMYFUNCTION("""COMPUTED_VALUE"""),-0.626694148781893)</f>
        <v>-0.626694148781893</v>
      </c>
      <c r="F138" s="3">
        <f ca="1">IFERROR(__xludf.DUMMYFUNCTION("""COMPUTED_VALUE"""),-0.740444288154828)</f>
        <v>-0.74044428815482799</v>
      </c>
      <c r="G138" s="3">
        <f ca="1">IFERROR(__xludf.DUMMYFUNCTION("""COMPUTED_VALUE"""),-0.747696815115672)</f>
        <v>-0.74769681511567199</v>
      </c>
      <c r="H138" s="3">
        <f ca="1">IFERROR(__xludf.DUMMYFUNCTION("""COMPUTED_VALUE"""),-0.762277663395571)</f>
        <v>-0.76227766339557101</v>
      </c>
      <c r="I138" s="3">
        <f ca="1">IFERROR(__xludf.DUMMYFUNCTION("""COMPUTED_VALUE"""),-0.74879084111946)</f>
        <v>-0.74879084111946004</v>
      </c>
      <c r="J138" s="3">
        <f ca="1">IFERROR(__xludf.DUMMYFUNCTION("""COMPUTED_VALUE"""),-0.750086070005268)</f>
        <v>-0.75008607000526795</v>
      </c>
      <c r="K138" s="3">
        <f ca="1">IFERROR(__xludf.DUMMYFUNCTION("""COMPUTED_VALUE"""),-0.72606614799788)</f>
        <v>-0.72606614799788005</v>
      </c>
      <c r="L138" s="3">
        <f ca="1">IFERROR(__xludf.DUMMYFUNCTION("""COMPUTED_VALUE"""),-0.679814416142529)</f>
        <v>-0.67981441614252902</v>
      </c>
      <c r="M138" s="3">
        <f ca="1">IFERROR(__xludf.DUMMYFUNCTION("""COMPUTED_VALUE"""),-0.71782102243297)</f>
        <v>-0.71782102243296997</v>
      </c>
      <c r="N138" s="3">
        <f ca="1">IFERROR(__xludf.DUMMYFUNCTION("""COMPUTED_VALUE"""),-0.762237449697296)</f>
        <v>-0.76223744969729601</v>
      </c>
      <c r="O138" s="3">
        <f ca="1">IFERROR(__xludf.DUMMYFUNCTION("""COMPUTED_VALUE"""),-0.741122046339958)</f>
        <v>-0.74112204633995804</v>
      </c>
      <c r="P138" s="3">
        <f ca="1">IFERROR(__xludf.DUMMYFUNCTION("""COMPUTED_VALUE"""),-0.767485972749146)</f>
        <v>-0.76748597274914598</v>
      </c>
      <c r="Q138" s="3">
        <f ca="1">IFERROR(__xludf.DUMMYFUNCTION("""COMPUTED_VALUE"""),-0.742743250511575)</f>
        <v>-0.74274325051157497</v>
      </c>
      <c r="R138" s="3">
        <f ca="1">IFERROR(__xludf.DUMMYFUNCTION("""COMPUTED_VALUE"""),-0.708229269770782)</f>
        <v>-0.70822926977078204</v>
      </c>
      <c r="S138" s="3">
        <f ca="1">IFERROR(__xludf.DUMMYFUNCTION("""COMPUTED_VALUE"""),-0.66704760867118)</f>
        <v>-0.66704760867117996</v>
      </c>
      <c r="T138" s="3">
        <f ca="1">IFERROR(__xludf.DUMMYFUNCTION("""COMPUTED_VALUE"""),-0.72950132657504)</f>
        <v>-0.72950132657503997</v>
      </c>
      <c r="U138" s="3">
        <f ca="1">IFERROR(__xludf.DUMMYFUNCTION("""COMPUTED_VALUE"""),-0.731256072167029)</f>
        <v>-0.73125607216702904</v>
      </c>
      <c r="V138" s="3">
        <f ca="1">IFERROR(__xludf.DUMMYFUNCTION("""COMPUTED_VALUE"""),-0.745489002172802)</f>
        <v>-0.74548900217280201</v>
      </c>
      <c r="W138" s="3">
        <f ca="1">IFERROR(__xludf.DUMMYFUNCTION("""COMPUTED_VALUE"""),-0.751603558147521)</f>
        <v>-0.751603558147521</v>
      </c>
      <c r="X138" s="3">
        <f ca="1">IFERROR(__xludf.DUMMYFUNCTION("""COMPUTED_VALUE"""),-0.739611063135192)</f>
        <v>-0.73961106313519198</v>
      </c>
      <c r="Y138" s="3">
        <f ca="1">IFERROR(__xludf.DUMMYFUNCTION("""COMPUTED_VALUE"""),-0.74159470895987)</f>
        <v>-0.74159470895987001</v>
      </c>
      <c r="Z138" s="3">
        <f ca="1">IFERROR(__xludf.DUMMYFUNCTION("""COMPUTED_VALUE"""),-0.721014964022561)</f>
        <v>-0.72101496402256104</v>
      </c>
      <c r="AA138" s="3">
        <f ca="1">IFERROR(__xludf.DUMMYFUNCTION("""COMPUTED_VALUE"""),-0.734805735656554)</f>
        <v>-0.73480573565655405</v>
      </c>
      <c r="AB138" s="3">
        <f ca="1">IFERROR(__xludf.DUMMYFUNCTION("""COMPUTED_VALUE"""),-0.75776212379856)</f>
        <v>-0.75776212379856001</v>
      </c>
      <c r="AC138" s="3">
        <f ca="1">IFERROR(__xludf.DUMMYFUNCTION("""COMPUTED_VALUE"""),-0.719120600533908)</f>
        <v>-0.71912060053390803</v>
      </c>
      <c r="AD138" s="3">
        <f ca="1">IFERROR(__xludf.DUMMYFUNCTION("""COMPUTED_VALUE"""),-0.742952564997916)</f>
        <v>-0.74295256499791595</v>
      </c>
      <c r="AE138" s="3">
        <f ca="1">IFERROR(__xludf.DUMMYFUNCTION("""COMPUTED_VALUE"""),-0.756288176130458)</f>
        <v>-0.75628817613045796</v>
      </c>
      <c r="AF138" s="3">
        <f ca="1">IFERROR(__xludf.DUMMYFUNCTION("""COMPUTED_VALUE"""),-0.746536105579235)</f>
        <v>-0.746536105579235</v>
      </c>
      <c r="AG138" s="3">
        <f ca="1">IFERROR(__xludf.DUMMYFUNCTION("""COMPUTED_VALUE"""),-0.661001489488559)</f>
        <v>-0.66100148948855897</v>
      </c>
      <c r="AH138" s="3">
        <f ca="1">IFERROR(__xludf.DUMMYFUNCTION("""COMPUTED_VALUE"""),-0.719934982403925)</f>
        <v>-0.71993498240392495</v>
      </c>
      <c r="AI138" s="3">
        <f ca="1">IFERROR(__xludf.DUMMYFUNCTION("""COMPUTED_VALUE"""),-0.752586948976948)</f>
        <v>-0.752586948976948</v>
      </c>
      <c r="AJ138" s="3">
        <f ca="1">IFERROR(__xludf.DUMMYFUNCTION("""COMPUTED_VALUE"""),-0.732388533527172)</f>
        <v>-0.73238853352717204</v>
      </c>
      <c r="AK138" s="3">
        <f ca="1">IFERROR(__xludf.DUMMYFUNCTION("""COMPUTED_VALUE"""),-0.748556032687259)</f>
        <v>-0.74855603268725901</v>
      </c>
      <c r="AL138" s="3">
        <f ca="1">IFERROR(__xludf.DUMMYFUNCTION("""COMPUTED_VALUE"""),-0.746061476620007)</f>
        <v>-0.74606147662000699</v>
      </c>
      <c r="AM138" s="3">
        <f ca="1">IFERROR(__xludf.DUMMYFUNCTION("""COMPUTED_VALUE"""),-0.70234192807177)</f>
        <v>-0.70234192807176998</v>
      </c>
      <c r="AN138" s="3">
        <f ca="1">IFERROR(__xludf.DUMMYFUNCTION("""COMPUTED_VALUE"""),-0.688500878683099)</f>
        <v>-0.68850087868309895</v>
      </c>
      <c r="AO138" s="3">
        <f ca="1">IFERROR(__xludf.DUMMYFUNCTION("""COMPUTED_VALUE"""),-0.744046485723834)</f>
        <v>-0.74404648572383403</v>
      </c>
      <c r="AP138" s="3">
        <f ca="1">IFERROR(__xludf.DUMMYFUNCTION("""COMPUTED_VALUE"""),-0.762153982172658)</f>
        <v>-0.76215398217265795</v>
      </c>
      <c r="AQ138" s="3">
        <f ca="1">IFERROR(__xludf.DUMMYFUNCTION("""COMPUTED_VALUE"""),-0.727133609854319)</f>
        <v>-0.72713360985431896</v>
      </c>
      <c r="AR138" s="3">
        <f ca="1">IFERROR(__xludf.DUMMYFUNCTION("""COMPUTED_VALUE"""),-0.738707223409241)</f>
        <v>-0.738707223409241</v>
      </c>
      <c r="AS138" s="3">
        <f ca="1">IFERROR(__xludf.DUMMYFUNCTION("""COMPUTED_VALUE"""),-0.750792621452856)</f>
        <v>-0.75079262145285597</v>
      </c>
      <c r="AT138" s="3">
        <f ca="1">IFERROR(__xludf.DUMMYFUNCTION("""COMPUTED_VALUE"""),-0.694517155259977)</f>
        <v>-0.69451715525997704</v>
      </c>
      <c r="AU138" s="3">
        <f ca="1">IFERROR(__xludf.DUMMYFUNCTION("""COMPUTED_VALUE"""),-0.677737103510182)</f>
        <v>-0.67773710351018202</v>
      </c>
      <c r="AV138" s="3">
        <f ca="1">IFERROR(__xludf.DUMMYFUNCTION("""COMPUTED_VALUE"""),-0.733285364904755)</f>
        <v>-0.73328536490475504</v>
      </c>
      <c r="AW138" s="3">
        <f ca="1">IFERROR(__xludf.DUMMYFUNCTION("""COMPUTED_VALUE"""),-0.782466086709881)</f>
        <v>-0.78246608670988105</v>
      </c>
      <c r="AX138" s="3">
        <f ca="1">IFERROR(__xludf.DUMMYFUNCTION("""COMPUTED_VALUE"""),-0.783570618017932)</f>
        <v>-0.78357061801793204</v>
      </c>
      <c r="AY138" s="3">
        <f ca="1">IFERROR(__xludf.DUMMYFUNCTION("""COMPUTED_VALUE"""),-0.767596413033023)</f>
        <v>-0.76759641303302295</v>
      </c>
      <c r="AZ138" s="3">
        <f ca="1">IFERROR(__xludf.DUMMYFUNCTION("""COMPUTED_VALUE"""),-0.764110088709776)</f>
        <v>-0.76411008870977604</v>
      </c>
      <c r="BA138" s="3">
        <f ca="1">IFERROR(__xludf.DUMMYFUNCTION("""COMPUTED_VALUE"""),-0.664097547339788)</f>
        <v>-0.66409754733978799</v>
      </c>
      <c r="BB138" s="3">
        <f ca="1">IFERROR(__xludf.DUMMYFUNCTION("""COMPUTED_VALUE"""),-0.664715934015337)</f>
        <v>-0.66471593401533702</v>
      </c>
      <c r="BC138" s="3">
        <f ca="1">IFERROR(__xludf.DUMMYFUNCTION("""COMPUTED_VALUE"""),-0.737833669637719)</f>
        <v>-0.73783366963771901</v>
      </c>
      <c r="BD138" s="3">
        <f ca="1">IFERROR(__xludf.DUMMYFUNCTION("""COMPUTED_VALUE"""),-0.772997161544188)</f>
        <v>-0.77299716154418796</v>
      </c>
      <c r="BE138" s="3">
        <f ca="1">IFERROR(__xludf.DUMMYFUNCTION("""COMPUTED_VALUE"""),-0.758586356157617)</f>
        <v>-0.75858635615761705</v>
      </c>
      <c r="BF138" s="3">
        <f ca="1">IFERROR(__xludf.DUMMYFUNCTION("""COMPUTED_VALUE"""),-0.73397184400352)</f>
        <v>-0.73397184400352</v>
      </c>
      <c r="BG138" s="3">
        <f ca="1">IFERROR(__xludf.DUMMYFUNCTION("""COMPUTED_VALUE"""),-0.725712320305889)</f>
        <v>-0.72571232030588895</v>
      </c>
      <c r="BH138" s="3">
        <f ca="1">IFERROR(__xludf.DUMMYFUNCTION("""COMPUTED_VALUE"""),-0.601166684645143)</f>
        <v>-0.601166684645143</v>
      </c>
      <c r="BI138" s="3">
        <f ca="1">IFERROR(__xludf.DUMMYFUNCTION("""COMPUTED_VALUE"""),-0.508362382405211)</f>
        <v>-0.50836238240521103</v>
      </c>
      <c r="BJ138" s="3">
        <f ca="1">IFERROR(__xludf.DUMMYFUNCTION("""COMPUTED_VALUE"""),-0.785248304271227)</f>
        <v>-0.78524830427122705</v>
      </c>
      <c r="BK138" s="3">
        <f ca="1">IFERROR(__xludf.DUMMYFUNCTION("""COMPUTED_VALUE"""),-0.802880979710454)</f>
        <v>-0.80288097971045402</v>
      </c>
      <c r="BL138" s="3">
        <f ca="1">IFERROR(__xludf.DUMMYFUNCTION("""COMPUTED_VALUE"""),-0.783712366131848)</f>
        <v>-0.78371236613184803</v>
      </c>
      <c r="BM138" s="3">
        <f ca="1">IFERROR(__xludf.DUMMYFUNCTION("""COMPUTED_VALUE"""),-0.77937997870579)</f>
        <v>-0.77937997870579001</v>
      </c>
      <c r="BN138" s="3">
        <f ca="1">IFERROR(__xludf.DUMMYFUNCTION("""COMPUTED_VALUE"""),-0.761089480724465)</f>
        <v>-0.76108948072446503</v>
      </c>
      <c r="BO138" s="3">
        <f ca="1">IFERROR(__xludf.DUMMYFUNCTION("""COMPUTED_VALUE"""),-0.692694188171132)</f>
        <v>-0.69269418817113204</v>
      </c>
      <c r="BP138" s="3">
        <f ca="1">IFERROR(__xludf.DUMMYFUNCTION("""COMPUTED_VALUE"""),-0.717802308461472)</f>
        <v>-0.71780230846147197</v>
      </c>
      <c r="BQ138" s="3">
        <f ca="1">IFERROR(__xludf.DUMMYFUNCTION("""COMPUTED_VALUE"""),-0.767997392807062)</f>
        <v>-0.76799739280706203</v>
      </c>
      <c r="BR138" s="3">
        <f ca="1">IFERROR(__xludf.DUMMYFUNCTION("""COMPUTED_VALUE"""),-0.815400098795075)</f>
        <v>-0.81540009879507502</v>
      </c>
      <c r="BS138" s="3">
        <f ca="1">IFERROR(__xludf.DUMMYFUNCTION("""COMPUTED_VALUE"""),-0.788761610876501)</f>
        <v>-0.78876161087650098</v>
      </c>
      <c r="BT138" s="3">
        <f ca="1">IFERROR(__xludf.DUMMYFUNCTION("""COMPUTED_VALUE"""),-0.780614065737978)</f>
        <v>-0.78061406573797798</v>
      </c>
      <c r="BU138" s="3">
        <f ca="1">IFERROR(__xludf.DUMMYFUNCTION("""COMPUTED_VALUE"""),-0.756728624384617)</f>
        <v>-0.75672862438461697</v>
      </c>
      <c r="BV138" s="3">
        <f ca="1">IFERROR(__xludf.DUMMYFUNCTION("""COMPUTED_VALUE"""),-0.7092979086979)</f>
        <v>-0.70929790869789999</v>
      </c>
      <c r="BW138" s="3">
        <f ca="1">IFERROR(__xludf.DUMMYFUNCTION("""COMPUTED_VALUE"""),-0.677980355641513)</f>
        <v>-0.67798035564151304</v>
      </c>
      <c r="BX138" s="3">
        <f ca="1">IFERROR(__xludf.DUMMYFUNCTION("""COMPUTED_VALUE"""),-0.768394396060786)</f>
        <v>-0.76839439606078597</v>
      </c>
      <c r="BY138" s="3">
        <f ca="1">IFERROR(__xludf.DUMMYFUNCTION("""COMPUTED_VALUE"""),-0.827212401099574)</f>
        <v>-0.82721240109957395</v>
      </c>
      <c r="BZ138" s="3">
        <f ca="1">IFERROR(__xludf.DUMMYFUNCTION("""COMPUTED_VALUE"""),-0.827393048945595)</f>
        <v>-0.82739304894559496</v>
      </c>
      <c r="CA138" s="3">
        <f ca="1">IFERROR(__xludf.DUMMYFUNCTION("""COMPUTED_VALUE"""),-0.809389973779842)</f>
        <v>-0.80938997377984201</v>
      </c>
      <c r="CB138" s="3">
        <f ca="1">IFERROR(__xludf.DUMMYFUNCTION("""COMPUTED_VALUE"""),-0.749796244892696)</f>
        <v>-0.74979624489269603</v>
      </c>
      <c r="CC138" s="3">
        <f ca="1">IFERROR(__xludf.DUMMYFUNCTION("""COMPUTED_VALUE"""),-0.692971617744955)</f>
        <v>-0.69297161774495497</v>
      </c>
      <c r="CD138" s="3">
        <f ca="1">IFERROR(__xludf.DUMMYFUNCTION("""COMPUTED_VALUE"""),-0.682758309591274)</f>
        <v>-0.68275830959127404</v>
      </c>
      <c r="CE138" s="3">
        <f ca="1">IFERROR(__xludf.DUMMYFUNCTION("""COMPUTED_VALUE"""),-0.804050861830479)</f>
        <v>-0.80405086183047902</v>
      </c>
      <c r="CF138" s="3">
        <f ca="1">IFERROR(__xludf.DUMMYFUNCTION("""COMPUTED_VALUE"""),-0.804384971089116)</f>
        <v>-0.804384971089116</v>
      </c>
      <c r="CG138" s="3">
        <f ca="1">IFERROR(__xludf.DUMMYFUNCTION("""COMPUTED_VALUE"""),-0.804505518130624)</f>
        <v>-0.80450551813062399</v>
      </c>
      <c r="CH138" s="3">
        <f ca="1">IFERROR(__xludf.DUMMYFUNCTION("""COMPUTED_VALUE"""),-0.806253498431652)</f>
        <v>-0.80625349843165195</v>
      </c>
      <c r="CI138" s="3">
        <f ca="1">IFERROR(__xludf.DUMMYFUNCTION("""COMPUTED_VALUE"""),-0.755412126145837)</f>
        <v>-0.75541212614583697</v>
      </c>
      <c r="CJ138" s="3">
        <f ca="1">IFERROR(__xludf.DUMMYFUNCTION("""COMPUTED_VALUE"""),-0.693421022247066)</f>
        <v>-0.69342102224706603</v>
      </c>
      <c r="CK138" s="3">
        <f ca="1">IFERROR(__xludf.DUMMYFUNCTION("""COMPUTED_VALUE"""),-0.689750548261569)</f>
        <v>-0.68975054826156901</v>
      </c>
      <c r="CL138" s="3">
        <f ca="1">IFERROR(__xludf.DUMMYFUNCTION("""COMPUTED_VALUE"""),-0.80984501646917)</f>
        <v>-0.80984501646916995</v>
      </c>
      <c r="CM138" s="3">
        <f ca="1">IFERROR(__xludf.DUMMYFUNCTION("""COMPUTED_VALUE"""),-0.83457709436784)</f>
        <v>-0.83457709436784</v>
      </c>
      <c r="CN138" s="3">
        <f ca="1">IFERROR(__xludf.DUMMYFUNCTION("""COMPUTED_VALUE"""),-0.810626020902097)</f>
        <v>-0.81062602090209701</v>
      </c>
      <c r="CO138" s="3">
        <f ca="1">IFERROR(__xludf.DUMMYFUNCTION("""COMPUTED_VALUE"""),-0.816140512152505)</f>
        <v>-0.81614051215250505</v>
      </c>
      <c r="CP138" s="3">
        <f ca="1">IFERROR(__xludf.DUMMYFUNCTION("""COMPUTED_VALUE"""),-0.798061503887483)</f>
        <v>-0.79806150388748298</v>
      </c>
      <c r="CQ138" s="3">
        <f ca="1">IFERROR(__xludf.DUMMYFUNCTION("""COMPUTED_VALUE"""),-0.730653036986466)</f>
        <v>-0.730653036986466</v>
      </c>
      <c r="CR138" s="3">
        <f ca="1">IFERROR(__xludf.DUMMYFUNCTION("""COMPUTED_VALUE"""),-0.667365447099543)</f>
        <v>-0.66736544709954304</v>
      </c>
      <c r="CS138" s="3">
        <f ca="1">IFERROR(__xludf.DUMMYFUNCTION("""COMPUTED_VALUE"""),-0.774746561983828)</f>
        <v>-0.77474656198382796</v>
      </c>
      <c r="CT138" s="3">
        <f ca="1">IFERROR(__xludf.DUMMYFUNCTION("""COMPUTED_VALUE"""),-0.79540626923847)</f>
        <v>-0.79540626923847002</v>
      </c>
      <c r="CU138" s="3">
        <f ca="1">IFERROR(__xludf.DUMMYFUNCTION("""COMPUTED_VALUE"""),-0.793054693456512)</f>
        <v>-0.79305469345651203</v>
      </c>
      <c r="CV138" s="3">
        <f ca="1">IFERROR(__xludf.DUMMYFUNCTION("""COMPUTED_VALUE"""),-0.796201476368739)</f>
        <v>-0.79620147636873895</v>
      </c>
      <c r="CW138" s="3">
        <f ca="1">IFERROR(__xludf.DUMMYFUNCTION("""COMPUTED_VALUE"""),-0.789969739537154)</f>
        <v>-0.78996973953715399</v>
      </c>
      <c r="CX138" s="3">
        <f ca="1">IFERROR(__xludf.DUMMYFUNCTION("""COMPUTED_VALUE"""),-0.732302574851679)</f>
        <v>-0.73230257485167904</v>
      </c>
      <c r="CY138" s="3">
        <f ca="1">IFERROR(__xludf.DUMMYFUNCTION("""COMPUTED_VALUE"""),-0.718969117287064)</f>
        <v>-0.71896911728706403</v>
      </c>
      <c r="CZ138" s="3">
        <f ca="1">IFERROR(__xludf.DUMMYFUNCTION("""COMPUTED_VALUE"""),-0.830845294855456)</f>
        <v>-0.830845294855456</v>
      </c>
      <c r="DA138" s="3">
        <f ca="1">IFERROR(__xludf.DUMMYFUNCTION("""COMPUTED_VALUE"""),-0.734102195514544)</f>
        <v>-0.73410219551454403</v>
      </c>
      <c r="DB138" s="3">
        <f ca="1">IFERROR(__xludf.DUMMYFUNCTION("""COMPUTED_VALUE"""),-0.71413306593581)</f>
        <v>-0.71413306593581005</v>
      </c>
      <c r="DC138" s="3">
        <f ca="1">IFERROR(__xludf.DUMMYFUNCTION("""COMPUTED_VALUE"""),-0.74864188324157)</f>
        <v>-0.74864188324156999</v>
      </c>
      <c r="DD138" s="3">
        <f ca="1">IFERROR(__xludf.DUMMYFUNCTION("""COMPUTED_VALUE"""),-0.763317808970668)</f>
        <v>-0.76331780897066803</v>
      </c>
      <c r="DE138" s="3">
        <f ca="1">IFERROR(__xludf.DUMMYFUNCTION("""COMPUTED_VALUE"""),-0.731802834401015)</f>
        <v>-0.73180283440101501</v>
      </c>
      <c r="DF138" s="3">
        <f ca="1">IFERROR(__xludf.DUMMYFUNCTION("""COMPUTED_VALUE"""),-0.684160405892682)</f>
        <v>-0.68416040589268201</v>
      </c>
      <c r="DG138" s="3">
        <f ca="1">IFERROR(__xludf.DUMMYFUNCTION("""COMPUTED_VALUE"""),-0.886038861849956)</f>
        <v>-0.88603886184995595</v>
      </c>
      <c r="DH138" s="3">
        <f ca="1">IFERROR(__xludf.DUMMYFUNCTION("""COMPUTED_VALUE"""),-0.728208192933969)</f>
        <v>-0.72820819293396899</v>
      </c>
      <c r="DI138" s="3">
        <f ca="1">IFERROR(__xludf.DUMMYFUNCTION("""COMPUTED_VALUE"""),-0.539769383890612)</f>
        <v>-0.53976938389061202</v>
      </c>
      <c r="DJ138" s="3">
        <f ca="1">IFERROR(__xludf.DUMMYFUNCTION("""COMPUTED_VALUE"""),-0.703092002575963)</f>
        <v>-0.70309200257596305</v>
      </c>
      <c r="DK138" s="3">
        <f ca="1">IFERROR(__xludf.DUMMYFUNCTION("""COMPUTED_VALUE"""),-0.715000042484709)</f>
        <v>-0.71500004248470905</v>
      </c>
      <c r="DL138" s="3">
        <f ca="1">IFERROR(__xludf.DUMMYFUNCTION("""COMPUTED_VALUE"""),-0.687606177153094)</f>
        <v>-0.68760617715309402</v>
      </c>
      <c r="DM138" s="3">
        <f ca="1">IFERROR(__xludf.DUMMYFUNCTION("""COMPUTED_VALUE"""),-0.63236361205811)</f>
        <v>-0.63236361205810998</v>
      </c>
      <c r="DN138" s="3">
        <f ca="1">IFERROR(__xludf.DUMMYFUNCTION("""COMPUTED_VALUE"""),-0.72236620261891)</f>
        <v>-0.72236620261891005</v>
      </c>
      <c r="DO138" s="3">
        <f ca="1">IFERROR(__xludf.DUMMYFUNCTION("""COMPUTED_VALUE"""),-0.731887687100159)</f>
        <v>-0.73188768710015895</v>
      </c>
      <c r="DP138" s="3">
        <f ca="1">IFERROR(__xludf.DUMMYFUNCTION("""COMPUTED_VALUE"""),-0.728511803647508)</f>
        <v>-0.728511803647508</v>
      </c>
      <c r="DQ138" s="3">
        <f ca="1">IFERROR(__xludf.DUMMYFUNCTION("""COMPUTED_VALUE"""),-0.736811027558672)</f>
        <v>-0.736811027558672</v>
      </c>
      <c r="DR138" s="3">
        <f ca="1">IFERROR(__xludf.DUMMYFUNCTION("""COMPUTED_VALUE"""),-0.740299849019005)</f>
        <v>-0.74029984901900503</v>
      </c>
      <c r="DS138" s="3">
        <f ca="1">IFERROR(__xludf.DUMMYFUNCTION("""COMPUTED_VALUE"""),-0.69600321032819)</f>
        <v>-0.69600321032819001</v>
      </c>
      <c r="DT138" s="3">
        <f ca="1">IFERROR(__xludf.DUMMYFUNCTION("""COMPUTED_VALUE"""),-0.637833527858786)</f>
        <v>-0.637833527858786</v>
      </c>
      <c r="DU138" s="3">
        <f ca="1">IFERROR(__xludf.DUMMYFUNCTION("""COMPUTED_VALUE"""),-0.759684365531604)</f>
        <v>-0.75968436553160401</v>
      </c>
      <c r="DV138" s="3">
        <f ca="1">IFERROR(__xludf.DUMMYFUNCTION("""COMPUTED_VALUE"""),-0.766847745166918)</f>
        <v>-0.766847745166918</v>
      </c>
      <c r="DW138" s="3">
        <f ca="1">IFERROR(__xludf.DUMMYFUNCTION("""COMPUTED_VALUE"""),-0.784283411073599)</f>
        <v>-0.784283411073599</v>
      </c>
      <c r="DX138" s="3">
        <f ca="1">IFERROR(__xludf.DUMMYFUNCTION("""COMPUTED_VALUE"""),-0.768606483338162)</f>
        <v>-0.76860648333816195</v>
      </c>
      <c r="DY138" s="3">
        <f ca="1">IFERROR(__xludf.DUMMYFUNCTION("""COMPUTED_VALUE"""),-0.774317753664207)</f>
        <v>-0.77431775366420696</v>
      </c>
      <c r="DZ138" s="3">
        <f ca="1">IFERROR(__xludf.DUMMYFUNCTION("""COMPUTED_VALUE"""),-0.662230935600679)</f>
        <v>-0.66223093560067903</v>
      </c>
      <c r="EA138" s="3">
        <f ca="1">IFERROR(__xludf.DUMMYFUNCTION("""COMPUTED_VALUE"""),-0.633463341323386)</f>
        <v>-0.633463341323386</v>
      </c>
      <c r="EB138" s="3">
        <f ca="1">IFERROR(__xludf.DUMMYFUNCTION("""COMPUTED_VALUE"""),-0.705212192733692)</f>
        <v>-0.70521219273369196</v>
      </c>
      <c r="EC138" s="3">
        <f ca="1">IFERROR(__xludf.DUMMYFUNCTION("""COMPUTED_VALUE"""),-0.743880309838884)</f>
        <v>-0.74388030983888398</v>
      </c>
      <c r="ED138" s="3">
        <f ca="1">IFERROR(__xludf.DUMMYFUNCTION("""COMPUTED_VALUE"""),-0.778075345816598)</f>
        <v>-0.77807534581659799</v>
      </c>
      <c r="EE138" s="3">
        <f ca="1">IFERROR(__xludf.DUMMYFUNCTION("""COMPUTED_VALUE"""),-0.781692766515066)</f>
        <v>-0.78169276651506603</v>
      </c>
      <c r="EF138" s="3">
        <f ca="1">IFERROR(__xludf.DUMMYFUNCTION("""COMPUTED_VALUE"""),-0.769127961967721)</f>
        <v>-0.76912796196772104</v>
      </c>
      <c r="EG138" s="3">
        <f ca="1">IFERROR(__xludf.DUMMYFUNCTION("""COMPUTED_VALUE"""),-0.682379246047446)</f>
        <v>-0.68237924604744604</v>
      </c>
      <c r="EH138" s="3">
        <f ca="1">IFERROR(__xludf.DUMMYFUNCTION("""COMPUTED_VALUE"""),-0.690071132960592)</f>
        <v>-0.69007113296059197</v>
      </c>
      <c r="EI138" s="3">
        <f ca="1">IFERROR(__xludf.DUMMYFUNCTION("""COMPUTED_VALUE"""),-0.789396576758082)</f>
        <v>-0.78939657675808195</v>
      </c>
      <c r="EJ138" s="3">
        <f ca="1">IFERROR(__xludf.DUMMYFUNCTION("""COMPUTED_VALUE"""),-0.848365020914762)</f>
        <v>-0.84836502091476196</v>
      </c>
      <c r="EK138" s="3">
        <f ca="1">IFERROR(__xludf.DUMMYFUNCTION("""COMPUTED_VALUE"""),-0.789223801407012)</f>
        <v>-0.78922380140701198</v>
      </c>
      <c r="EL138" s="3">
        <f ca="1">IFERROR(__xludf.DUMMYFUNCTION("""COMPUTED_VALUE"""),-0.785220523852659)</f>
        <v>-0.78522052385265895</v>
      </c>
      <c r="EM138" s="3">
        <f ca="1">IFERROR(__xludf.DUMMYFUNCTION("""COMPUTED_VALUE"""),-0.757693769959511)</f>
        <v>-0.75769376995951099</v>
      </c>
      <c r="EN138" s="3">
        <f ca="1">IFERROR(__xludf.DUMMYFUNCTION("""COMPUTED_VALUE"""),-0.680283942935703)</f>
        <v>-0.68028394293570305</v>
      </c>
      <c r="EO138" s="3">
        <f ca="1">IFERROR(__xludf.DUMMYFUNCTION("""COMPUTED_VALUE"""),-0.648084927200539)</f>
        <v>-0.64808492720053901</v>
      </c>
      <c r="EP138" s="3">
        <f ca="1">IFERROR(__xludf.DUMMYFUNCTION("""COMPUTED_VALUE"""),-0.749418536176827)</f>
        <v>-0.74941853617682697</v>
      </c>
      <c r="EQ138" s="3">
        <f ca="1">IFERROR(__xludf.DUMMYFUNCTION("""COMPUTED_VALUE"""),-0.752060136043475)</f>
        <v>-0.75206013604347499</v>
      </c>
      <c r="ER138" s="3">
        <f ca="1">IFERROR(__xludf.DUMMYFUNCTION("""COMPUTED_VALUE"""),-0.780979682670979)</f>
        <v>-0.78097968267097895</v>
      </c>
      <c r="ES138" s="3">
        <f ca="1">IFERROR(__xludf.DUMMYFUNCTION("""COMPUTED_VALUE"""),-0.788128686243849)</f>
        <v>-0.78812868624384902</v>
      </c>
      <c r="ET138" s="3">
        <f ca="1">IFERROR(__xludf.DUMMYFUNCTION("""COMPUTED_VALUE"""),-0.797984665775698)</f>
        <v>-0.79798466577569804</v>
      </c>
      <c r="EU138" s="3">
        <f ca="1">IFERROR(__xludf.DUMMYFUNCTION("""COMPUTED_VALUE"""),-0.706999562182834)</f>
        <v>-0.706999562182834</v>
      </c>
      <c r="EV138" s="3">
        <f ca="1">IFERROR(__xludf.DUMMYFUNCTION("""COMPUTED_VALUE"""),-0.672123942260873)</f>
        <v>-0.67212394226087302</v>
      </c>
      <c r="EW138" s="3">
        <f ca="1">IFERROR(__xludf.DUMMYFUNCTION("""COMPUTED_VALUE"""),-0.744254630066404)</f>
        <v>-0.74425463006640402</v>
      </c>
      <c r="EX138" s="3">
        <f ca="1">IFERROR(__xludf.DUMMYFUNCTION("""COMPUTED_VALUE"""),-0.772610415174878)</f>
        <v>-0.77261041517487805</v>
      </c>
      <c r="EY138" s="3">
        <f ca="1">IFERROR(__xludf.DUMMYFUNCTION("""COMPUTED_VALUE"""),-0.79409204958486)</f>
        <v>-0.79409204958486002</v>
      </c>
      <c r="EZ138" s="3">
        <f ca="1">IFERROR(__xludf.DUMMYFUNCTION("""COMPUTED_VALUE"""),-0.790900087046821)</f>
        <v>-0.79090008704682102</v>
      </c>
      <c r="FA138" s="3">
        <f ca="1">IFERROR(__xludf.DUMMYFUNCTION("""COMPUTED_VALUE"""),-0.775571599024605)</f>
        <v>-0.77557159902460504</v>
      </c>
      <c r="FB138" s="3">
        <f ca="1">IFERROR(__xludf.DUMMYFUNCTION("""COMPUTED_VALUE"""),-0.614254175542566)</f>
        <v>-0.61425417554256601</v>
      </c>
      <c r="FC138" s="3">
        <f ca="1">IFERROR(__xludf.DUMMYFUNCTION("""COMPUTED_VALUE"""),-0.666300728577259)</f>
        <v>-0.66630072857725897</v>
      </c>
      <c r="FD138" s="3">
        <f ca="1">IFERROR(__xludf.DUMMYFUNCTION("""COMPUTED_VALUE"""),-0.790854295757757)</f>
        <v>-0.79085429575775701</v>
      </c>
      <c r="FE138" s="3">
        <f ca="1">IFERROR(__xludf.DUMMYFUNCTION("""COMPUTED_VALUE"""),-0.816207378631266)</f>
        <v>-0.81620737863126602</v>
      </c>
      <c r="FF138" s="3">
        <f ca="1">IFERROR(__xludf.DUMMYFUNCTION("""COMPUTED_VALUE"""),-0.79768064000019)</f>
        <v>-0.79768064000019001</v>
      </c>
      <c r="FG138" s="3">
        <f ca="1">IFERROR(__xludf.DUMMYFUNCTION("""COMPUTED_VALUE"""),-0.786275258262728)</f>
        <v>-0.78627525826272804</v>
      </c>
      <c r="FH138" s="3">
        <f ca="1">IFERROR(__xludf.DUMMYFUNCTION("""COMPUTED_VALUE"""),-0.699060825621573)</f>
        <v>-0.69906082562157301</v>
      </c>
      <c r="FI138" s="3">
        <f ca="1">IFERROR(__xludf.DUMMYFUNCTION("""COMPUTED_VALUE"""),-0.661136136893626)</f>
        <v>-0.66113613689362605</v>
      </c>
      <c r="FJ138" s="3">
        <f ca="1">IFERROR(__xludf.DUMMYFUNCTION("""COMPUTED_VALUE"""),-0.659643911227723)</f>
        <v>-0.65964391122772303</v>
      </c>
      <c r="FK138" s="3">
        <f ca="1">IFERROR(__xludf.DUMMYFUNCTION("""COMPUTED_VALUE"""),-0.775100938689302)</f>
        <v>-0.77510093868930197</v>
      </c>
      <c r="FL138" s="3">
        <f ca="1">IFERROR(__xludf.DUMMYFUNCTION("""COMPUTED_VALUE"""),-0.790787241305579)</f>
        <v>-0.79078724130557898</v>
      </c>
      <c r="FM138" s="3">
        <f ca="1">IFERROR(__xludf.DUMMYFUNCTION("""COMPUTED_VALUE"""),-0.774605972080796)</f>
        <v>-0.77460597208079596</v>
      </c>
      <c r="FN138" s="3">
        <f ca="1">IFERROR(__xludf.DUMMYFUNCTION("""COMPUTED_VALUE"""),-0.790941579899935)</f>
        <v>-0.79094157989993497</v>
      </c>
      <c r="FO138" s="3">
        <f ca="1">IFERROR(__xludf.DUMMYFUNCTION("""COMPUTED_VALUE"""),-0.760563411196978)</f>
        <v>-0.76056341119697801</v>
      </c>
      <c r="FP138" s="3">
        <f ca="1">IFERROR(__xludf.DUMMYFUNCTION("""COMPUTED_VALUE"""),-0.684138359675928)</f>
        <v>-0.68413835967592795</v>
      </c>
      <c r="FQ138" s="3">
        <f ca="1">IFERROR(__xludf.DUMMYFUNCTION("""COMPUTED_VALUE"""),-0.646007734798091)</f>
        <v>-0.64600773479809104</v>
      </c>
      <c r="FR138" s="3">
        <f ca="1">IFERROR(__xludf.DUMMYFUNCTION("""COMPUTED_VALUE"""),-0.793381930893632)</f>
        <v>-0.79338193089363196</v>
      </c>
      <c r="FS138" s="3">
        <f ca="1">IFERROR(__xludf.DUMMYFUNCTION("""COMPUTED_VALUE"""),-0.775583993437325)</f>
        <v>-0.77558399343732498</v>
      </c>
      <c r="FT138" s="3">
        <f ca="1">IFERROR(__xludf.DUMMYFUNCTION("""COMPUTED_VALUE"""),-0.783036491577559)</f>
        <v>-0.78303649157755895</v>
      </c>
      <c r="FU138" s="3">
        <f ca="1">IFERROR(__xludf.DUMMYFUNCTION("""COMPUTED_VALUE"""),-0.762875117106462)</f>
        <v>-0.76287511710646205</v>
      </c>
      <c r="FV138" s="3">
        <f ca="1">IFERROR(__xludf.DUMMYFUNCTION("""COMPUTED_VALUE"""),-0.737167631453796)</f>
        <v>-0.73716763145379605</v>
      </c>
      <c r="FW138" s="3">
        <f ca="1">IFERROR(__xludf.DUMMYFUNCTION("""COMPUTED_VALUE"""),-0.632431515398168)</f>
        <v>-0.632431515398168</v>
      </c>
      <c r="FX138" s="3">
        <f ca="1">IFERROR(__xludf.DUMMYFUNCTION("""COMPUTED_VALUE"""),-0.677215077881569)</f>
        <v>-0.67721507788156898</v>
      </c>
      <c r="FY138" s="3">
        <f ca="1">IFERROR(__xludf.DUMMYFUNCTION("""COMPUTED_VALUE"""),-0.756996781998274)</f>
        <v>-0.75699678199827403</v>
      </c>
      <c r="FZ138" s="3">
        <f ca="1">IFERROR(__xludf.DUMMYFUNCTION("""COMPUTED_VALUE"""),-0.765408344283354)</f>
        <v>-0.76540834428335403</v>
      </c>
      <c r="GA138" s="3">
        <f ca="1">IFERROR(__xludf.DUMMYFUNCTION("""COMPUTED_VALUE"""),-0.784007938622713)</f>
        <v>-0.78400793862271301</v>
      </c>
      <c r="GB138" s="3">
        <f ca="1">IFERROR(__xludf.DUMMYFUNCTION("""COMPUTED_VALUE"""),-0.757606938384583)</f>
        <v>-0.75760693838458304</v>
      </c>
      <c r="GC138" s="3">
        <f ca="1">IFERROR(__xludf.DUMMYFUNCTION("""COMPUTED_VALUE"""),-0.758484632663182)</f>
        <v>-0.758484632663182</v>
      </c>
      <c r="GD138" s="3">
        <f ca="1">IFERROR(__xludf.DUMMYFUNCTION("""COMPUTED_VALUE"""),-0.678395180659341)</f>
        <v>-0.67839518065934101</v>
      </c>
      <c r="GE138" s="3">
        <f ca="1">IFERROR(__xludf.DUMMYFUNCTION("""COMPUTED_VALUE"""),-0.707135364487578)</f>
        <v>-0.70713536448757797</v>
      </c>
      <c r="GF138" s="3">
        <f ca="1">IFERROR(__xludf.DUMMYFUNCTION("""COMPUTED_VALUE"""),-0.77154321224307)</f>
        <v>-0.77154321224306999</v>
      </c>
      <c r="GG138" s="3">
        <f ca="1">IFERROR(__xludf.DUMMYFUNCTION("""COMPUTED_VALUE"""),-0.782270917209182)</f>
        <v>-0.78227091720918196</v>
      </c>
      <c r="GH138" s="3">
        <f ca="1">IFERROR(__xludf.DUMMYFUNCTION("""COMPUTED_VALUE"""),-0.766723653786561)</f>
        <v>-0.76672365378656104</v>
      </c>
      <c r="GI138" s="3">
        <f ca="1">IFERROR(__xludf.DUMMYFUNCTION("""COMPUTED_VALUE"""),-0.797532609894923)</f>
        <v>-0.79753260989492303</v>
      </c>
      <c r="GJ138" s="3">
        <f ca="1">IFERROR(__xludf.DUMMYFUNCTION("""COMPUTED_VALUE"""),-0.755411383625636)</f>
        <v>-0.75541138362563598</v>
      </c>
      <c r="GK138" s="3">
        <f ca="1">IFERROR(__xludf.DUMMYFUNCTION("""COMPUTED_VALUE"""),-0.665231172939982)</f>
        <v>-0.66523117293998202</v>
      </c>
      <c r="GL138" s="3">
        <f ca="1">IFERROR(__xludf.DUMMYFUNCTION("""COMPUTED_VALUE"""),-0.654663521012577)</f>
        <v>-0.65466352101257697</v>
      </c>
      <c r="GM138" s="3">
        <f ca="1">IFERROR(__xludf.DUMMYFUNCTION("""COMPUTED_VALUE"""),-0.777472827480213)</f>
        <v>-0.77747282748021296</v>
      </c>
      <c r="GN138" s="3">
        <f ca="1">IFERROR(__xludf.DUMMYFUNCTION("""COMPUTED_VALUE"""),-0.767399737916395)</f>
        <v>-0.76739973791639504</v>
      </c>
      <c r="GO138" s="3">
        <f ca="1">IFERROR(__xludf.DUMMYFUNCTION("""COMPUTED_VALUE"""),-0.767912541901928)</f>
        <v>-0.76791254190192804</v>
      </c>
      <c r="GP138" s="3">
        <f ca="1">IFERROR(__xludf.DUMMYFUNCTION("""COMPUTED_VALUE"""),-0.772240902955146)</f>
        <v>-0.77224090295514602</v>
      </c>
      <c r="GQ138" s="3">
        <f ca="1">IFERROR(__xludf.DUMMYFUNCTION("""COMPUTED_VALUE"""),-0.748081776379128)</f>
        <v>-0.74808177637912798</v>
      </c>
      <c r="GR138" s="3">
        <f ca="1">IFERROR(__xludf.DUMMYFUNCTION("""COMPUTED_VALUE"""),-0.623828956424969)</f>
        <v>-0.62382895642496905</v>
      </c>
      <c r="GS138" s="3">
        <f ca="1">IFERROR(__xludf.DUMMYFUNCTION("""COMPUTED_VALUE"""),-0.6228839757467)</f>
        <v>-0.62288397574669996</v>
      </c>
      <c r="GT138" s="3">
        <f ca="1">IFERROR(__xludf.DUMMYFUNCTION("""COMPUTED_VALUE"""),-0.764917850563389)</f>
        <v>-0.76491785056338901</v>
      </c>
      <c r="GU138" s="3">
        <f ca="1">IFERROR(__xludf.DUMMYFUNCTION("""COMPUTED_VALUE"""),-0.766041093228689)</f>
        <v>-0.76604109322868896</v>
      </c>
      <c r="GV138" s="3">
        <f ca="1">IFERROR(__xludf.DUMMYFUNCTION("""COMPUTED_VALUE"""),-0.766305155812254)</f>
        <v>-0.766305155812254</v>
      </c>
      <c r="GW138" s="3">
        <f ca="1">IFERROR(__xludf.DUMMYFUNCTION("""COMPUTED_VALUE"""),-0.778007558935232)</f>
        <v>-0.77800755893523199</v>
      </c>
      <c r="GX138" s="3">
        <f ca="1">IFERROR(__xludf.DUMMYFUNCTION("""COMPUTED_VALUE"""),-0.715427388007949)</f>
        <v>-0.71542738800794903</v>
      </c>
      <c r="GY138" s="3">
        <f ca="1">IFERROR(__xludf.DUMMYFUNCTION("""COMPUTED_VALUE"""),-0.575306980882936)</f>
        <v>-0.57530698088293597</v>
      </c>
      <c r="GZ138" s="3">
        <f ca="1">IFERROR(__xludf.DUMMYFUNCTION("""COMPUTED_VALUE"""),-0.649088174654475)</f>
        <v>-0.64908817465447499</v>
      </c>
      <c r="HA138" s="3">
        <f ca="1">IFERROR(__xludf.DUMMYFUNCTION("""COMPUTED_VALUE"""),-0.768413753158754)</f>
        <v>-0.76841375315875404</v>
      </c>
      <c r="HB138" s="3">
        <f ca="1">IFERROR(__xludf.DUMMYFUNCTION("""COMPUTED_VALUE"""),-0.777582363548101)</f>
        <v>-0.77758236354810095</v>
      </c>
      <c r="HC138" s="3">
        <f ca="1">IFERROR(__xludf.DUMMYFUNCTION("""COMPUTED_VALUE"""),-0.78360947442645)</f>
        <v>-0.78360947442645001</v>
      </c>
      <c r="HD138" s="3">
        <f ca="1">IFERROR(__xludf.DUMMYFUNCTION("""COMPUTED_VALUE"""),-0.779782851746297)</f>
        <v>-0.77978285174629702</v>
      </c>
      <c r="HE138" s="3">
        <f ca="1">IFERROR(__xludf.DUMMYFUNCTION("""COMPUTED_VALUE"""),-0.775521697605282)</f>
        <v>-0.775521697605282</v>
      </c>
      <c r="HF138" s="3">
        <f ca="1">IFERROR(__xludf.DUMMYFUNCTION("""COMPUTED_VALUE"""),-0.690156038445668)</f>
        <v>-0.69015603844566797</v>
      </c>
      <c r="HG138" s="3">
        <f ca="1">IFERROR(__xludf.DUMMYFUNCTION("""COMPUTED_VALUE"""),-0.701644275826167)</f>
        <v>-0.70164427582616695</v>
      </c>
      <c r="HH138" s="3">
        <f ca="1">IFERROR(__xludf.DUMMYFUNCTION("""COMPUTED_VALUE"""),-0.74623711814807)</f>
        <v>-0.74623711814807003</v>
      </c>
      <c r="HI138" s="3">
        <f ca="1">IFERROR(__xludf.DUMMYFUNCTION("""COMPUTED_VALUE"""),-0.716714740987882)</f>
        <v>-0.71671474098788202</v>
      </c>
      <c r="HJ138" s="3">
        <f ca="1">IFERROR(__xludf.DUMMYFUNCTION("""COMPUTED_VALUE"""),-0.74807391825324)</f>
        <v>-0.74807391825323999</v>
      </c>
      <c r="HK138" s="3">
        <f ca="1">IFERROR(__xludf.DUMMYFUNCTION("""COMPUTED_VALUE"""),-0.752196982643615)</f>
        <v>-0.75219698264361501</v>
      </c>
      <c r="HL138" s="3">
        <f ca="1">IFERROR(__xludf.DUMMYFUNCTION("""COMPUTED_VALUE"""),-0.714829209496911)</f>
        <v>-0.71482920949691098</v>
      </c>
      <c r="HM138" s="3">
        <f ca="1">IFERROR(__xludf.DUMMYFUNCTION("""COMPUTED_VALUE"""),-0.589360427609902)</f>
        <v>-0.58936042760990204</v>
      </c>
      <c r="HN138" s="3">
        <f ca="1">IFERROR(__xludf.DUMMYFUNCTION("""COMPUTED_VALUE"""),-0.667865910340658)</f>
        <v>-0.66786591034065801</v>
      </c>
      <c r="HO138" s="3">
        <f ca="1">IFERROR(__xludf.DUMMYFUNCTION("""COMPUTED_VALUE"""),-0.708876420544238)</f>
        <v>-0.70887642054423805</v>
      </c>
      <c r="HP138" s="3">
        <f ca="1">IFERROR(__xludf.DUMMYFUNCTION("""COMPUTED_VALUE"""),-0.735657669448771)</f>
        <v>-0.73565766944877098</v>
      </c>
      <c r="HQ138" s="3">
        <f ca="1">IFERROR(__xludf.DUMMYFUNCTION("""COMPUTED_VALUE"""),-0.73969020651516)</f>
        <v>-0.73969020651516004</v>
      </c>
      <c r="HR138" s="3">
        <f ca="1">IFERROR(__xludf.DUMMYFUNCTION("""COMPUTED_VALUE"""),-0.718764175386653)</f>
        <v>-0.71876417538665305</v>
      </c>
      <c r="HS138" s="3">
        <f ca="1">IFERROR(__xludf.DUMMYFUNCTION("""COMPUTED_VALUE"""),-0.658254028379921)</f>
        <v>-0.65825402837992097</v>
      </c>
      <c r="HT138" s="3">
        <f ca="1">IFERROR(__xludf.DUMMYFUNCTION("""COMPUTED_VALUE"""),-0.650489898769092)</f>
        <v>-0.65048989876909202</v>
      </c>
      <c r="HU138" s="3">
        <f ca="1">IFERROR(__xludf.DUMMYFUNCTION("""COMPUTED_VALUE"""),-0.640992350491017)</f>
        <v>-0.64099235049101699</v>
      </c>
      <c r="HV138" s="3">
        <f ca="1">IFERROR(__xludf.DUMMYFUNCTION("""COMPUTED_VALUE"""),-0.724134991892207)</f>
        <v>-0.72413499189220698</v>
      </c>
      <c r="HW138" s="3">
        <f ca="1">IFERROR(__xludf.DUMMYFUNCTION("""COMPUTED_VALUE"""),-0.746432046033791)</f>
        <v>-0.74643204603379099</v>
      </c>
      <c r="HX138" s="3">
        <f ca="1">IFERROR(__xludf.DUMMYFUNCTION("""COMPUTED_VALUE"""),-0.751663222476146)</f>
        <v>-0.75166322247614603</v>
      </c>
      <c r="HY138" s="3">
        <f ca="1">IFERROR(__xludf.DUMMYFUNCTION("""COMPUTED_VALUE"""),-0.750872038552516)</f>
        <v>-0.75087203855251605</v>
      </c>
      <c r="HZ138" s="3">
        <f ca="1">IFERROR(__xludf.DUMMYFUNCTION("""COMPUTED_VALUE"""),-0.703864196727726)</f>
        <v>-0.70386419672772604</v>
      </c>
      <c r="IA138" s="3">
        <f ca="1">IFERROR(__xludf.DUMMYFUNCTION("""COMPUTED_VALUE"""),-0.637092092721633)</f>
        <v>-0.63709209272163303</v>
      </c>
      <c r="IB138" s="3">
        <f ca="1">IFERROR(__xludf.DUMMYFUNCTION("""COMPUTED_VALUE"""),-0.631955889426539)</f>
        <v>-0.63195588942653902</v>
      </c>
      <c r="IC138" s="3">
        <f ca="1">IFERROR(__xludf.DUMMYFUNCTION("""COMPUTED_VALUE"""),-0.718770460630786)</f>
        <v>-0.71877046063078598</v>
      </c>
      <c r="ID138" s="3">
        <f ca="1">IFERROR(__xludf.DUMMYFUNCTION("""COMPUTED_VALUE"""),-0.74442322875273)</f>
        <v>-0.74442322875273004</v>
      </c>
      <c r="IE138" s="3">
        <f ca="1">IFERROR(__xludf.DUMMYFUNCTION("""COMPUTED_VALUE"""),-0.75671080413929)</f>
        <v>-0.75671080413929004</v>
      </c>
      <c r="IF138" s="3">
        <f ca="1">IFERROR(__xludf.DUMMYFUNCTION("""COMPUTED_VALUE"""),-0.742293679456971)</f>
        <v>-0.742293679456971</v>
      </c>
      <c r="IG138" s="3">
        <f ca="1">IFERROR(__xludf.DUMMYFUNCTION("""COMPUTED_VALUE"""),-0.719703736594181)</f>
        <v>-0.71970373659418097</v>
      </c>
      <c r="IH138" s="3">
        <f ca="1">IFERROR(__xludf.DUMMYFUNCTION("""COMPUTED_VALUE"""),-0.617795494911671)</f>
        <v>-0.61779549491167096</v>
      </c>
      <c r="II138" s="3">
        <f ca="1">IFERROR(__xludf.DUMMYFUNCTION("""COMPUTED_VALUE"""),-0.641328888981355)</f>
        <v>-0.64132888898135498</v>
      </c>
      <c r="IJ138" s="3">
        <f ca="1">IFERROR(__xludf.DUMMYFUNCTION("""COMPUTED_VALUE"""),-0.749807826379865)</f>
        <v>-0.74980782637986498</v>
      </c>
      <c r="IK138" s="3">
        <f ca="1">IFERROR(__xludf.DUMMYFUNCTION("""COMPUTED_VALUE"""),-0.772414690977924)</f>
        <v>-0.77241469097792403</v>
      </c>
      <c r="IL138" s="3">
        <f ca="1">IFERROR(__xludf.DUMMYFUNCTION("""COMPUTED_VALUE"""),-0.754366973386119)</f>
        <v>-0.75436697338611902</v>
      </c>
      <c r="IM138" s="3">
        <f ca="1">IFERROR(__xludf.DUMMYFUNCTION("""COMPUTED_VALUE"""),-0.744099376286085)</f>
        <v>-0.74409937628608502</v>
      </c>
      <c r="IN138" s="3">
        <f ca="1">IFERROR(__xludf.DUMMYFUNCTION("""COMPUTED_VALUE"""),-0.735260396934342)</f>
        <v>-0.73526039693434198</v>
      </c>
      <c r="IO138" s="3">
        <f ca="1">IFERROR(__xludf.DUMMYFUNCTION("""COMPUTED_VALUE"""),-0.637438168526797)</f>
        <v>-0.63743816852679702</v>
      </c>
      <c r="IP138" s="3">
        <f ca="1">IFERROR(__xludf.DUMMYFUNCTION("""COMPUTED_VALUE"""),-0.676554484094182)</f>
        <v>-0.67655448409418195</v>
      </c>
      <c r="IQ138" s="3">
        <f ca="1">IFERROR(__xludf.DUMMYFUNCTION("""COMPUTED_VALUE"""),-0.75078638569523)</f>
        <v>-0.75078638569523004</v>
      </c>
      <c r="IR138" s="3">
        <f ca="1">IFERROR(__xludf.DUMMYFUNCTION("""COMPUTED_VALUE"""),-0.803198899347592)</f>
        <v>-0.80319889934759203</v>
      </c>
      <c r="IS138" s="3">
        <f ca="1">IFERROR(__xludf.DUMMYFUNCTION("""COMPUTED_VALUE"""),-0.767283608655728)</f>
        <v>-0.76728360865572798</v>
      </c>
      <c r="IT138" s="3">
        <f ca="1">IFERROR(__xludf.DUMMYFUNCTION("""COMPUTED_VALUE"""),-0.765470499532111)</f>
        <v>-0.76547049953211099</v>
      </c>
      <c r="IU138" s="3">
        <f ca="1">IFERROR(__xludf.DUMMYFUNCTION("""COMPUTED_VALUE"""),-0.738388468576261)</f>
        <v>-0.73838846857626095</v>
      </c>
      <c r="IV138" s="3">
        <f ca="1">IFERROR(__xludf.DUMMYFUNCTION("""COMPUTED_VALUE"""),-0.688396537125059)</f>
        <v>-0.68839653712505899</v>
      </c>
      <c r="IW138" s="3">
        <f ca="1">IFERROR(__xludf.DUMMYFUNCTION("""COMPUTED_VALUE"""),-0.66748739786108)</f>
        <v>-0.66748739786108002</v>
      </c>
      <c r="IX138" s="3">
        <f ca="1">IFERROR(__xludf.DUMMYFUNCTION("""COMPUTED_VALUE"""),-0.761077742886906)</f>
        <v>-0.76107774288690599</v>
      </c>
      <c r="IY138" s="3">
        <f ca="1">IFERROR(__xludf.DUMMYFUNCTION("""COMPUTED_VALUE"""),-0.766734590335386)</f>
        <v>-0.76673459033538605</v>
      </c>
      <c r="IZ138" s="3">
        <f ca="1">IFERROR(__xludf.DUMMYFUNCTION("""COMPUTED_VALUE"""),-0.761902494622043)</f>
        <v>-0.76190249462204296</v>
      </c>
      <c r="JA138" s="3">
        <f ca="1">IFERROR(__xludf.DUMMYFUNCTION("""COMPUTED_VALUE"""),-0.760151017264366)</f>
        <v>-0.76015101726436596</v>
      </c>
      <c r="JB138" s="3">
        <f ca="1">IFERROR(__xludf.DUMMYFUNCTION("""COMPUTED_VALUE"""),-0.733551910933308)</f>
        <v>-0.73355191093330796</v>
      </c>
      <c r="JC138" s="3">
        <f ca="1">IFERROR(__xludf.DUMMYFUNCTION("""COMPUTED_VALUE"""),-0.653085032402882)</f>
        <v>-0.65308503240288196</v>
      </c>
      <c r="JD138" s="3">
        <f ca="1">IFERROR(__xludf.DUMMYFUNCTION("""COMPUTED_VALUE"""),-0.702855470465514)</f>
        <v>-0.702855470465514</v>
      </c>
      <c r="JE138" s="3">
        <f ca="1">IFERROR(__xludf.DUMMYFUNCTION("""COMPUTED_VALUE"""),-0.756546577201614)</f>
        <v>-0.756546577201614</v>
      </c>
      <c r="JF138" s="3">
        <f ca="1">IFERROR(__xludf.DUMMYFUNCTION("""COMPUTED_VALUE"""),-0.770135955944872)</f>
        <v>-0.77013595594487205</v>
      </c>
      <c r="JG138" s="3">
        <f ca="1">IFERROR(__xludf.DUMMYFUNCTION("""COMPUTED_VALUE"""),-0.779924653591696)</f>
        <v>-0.77992465359169605</v>
      </c>
      <c r="JH138" s="3">
        <f ca="1">IFERROR(__xludf.DUMMYFUNCTION("""COMPUTED_VALUE"""),-0.766576348701842)</f>
        <v>-0.76657634870184199</v>
      </c>
      <c r="JI138" s="3">
        <f ca="1">IFERROR(__xludf.DUMMYFUNCTION("""COMPUTED_VALUE"""),-0.732051069093603)</f>
        <v>-0.73205106909360296</v>
      </c>
      <c r="JJ138" s="3">
        <f ca="1">IFERROR(__xludf.DUMMYFUNCTION("""COMPUTED_VALUE"""),-0.695293590390878)</f>
        <v>-0.69529359039087801</v>
      </c>
      <c r="JK138" s="3">
        <f ca="1">IFERROR(__xludf.DUMMYFUNCTION("""COMPUTED_VALUE"""),-0.716189010867927)</f>
        <v>-0.71618901086792697</v>
      </c>
      <c r="JL138" s="3">
        <f ca="1">IFERROR(__xludf.DUMMYFUNCTION("""COMPUTED_VALUE"""),-0.762995313687982)</f>
        <v>-0.76299531368798201</v>
      </c>
      <c r="JM138" s="3">
        <f ca="1">IFERROR(__xludf.DUMMYFUNCTION("""COMPUTED_VALUE"""),-0.768704093408916)</f>
        <v>-0.76870409340891599</v>
      </c>
      <c r="JN138" s="3">
        <f ca="1">IFERROR(__xludf.DUMMYFUNCTION("""COMPUTED_VALUE"""),-0.784733368003955)</f>
        <v>-0.78473336800395499</v>
      </c>
      <c r="JO138" s="3">
        <f ca="1">IFERROR(__xludf.DUMMYFUNCTION("""COMPUTED_VALUE"""),-0.77347759859021)</f>
        <v>-0.77347759859021004</v>
      </c>
      <c r="JP138" s="3">
        <f ca="1">IFERROR(__xludf.DUMMYFUNCTION("""COMPUTED_VALUE"""),-0.745051569000179)</f>
        <v>-0.74505156900017899</v>
      </c>
      <c r="JQ138" s="3">
        <f ca="1">IFERROR(__xludf.DUMMYFUNCTION("""COMPUTED_VALUE"""),-0.707754266190763)</f>
        <v>-0.70775426619076298</v>
      </c>
      <c r="JR138" s="3">
        <f ca="1">IFERROR(__xludf.DUMMYFUNCTION("""COMPUTED_VALUE"""),-0.701726265002294)</f>
        <v>-0.70172626500229396</v>
      </c>
      <c r="JS138" s="3">
        <f ca="1">IFERROR(__xludf.DUMMYFUNCTION("""COMPUTED_VALUE"""),-0.719629514737775)</f>
        <v>-0.71962951473777503</v>
      </c>
      <c r="JT138" s="3">
        <f ca="1">IFERROR(__xludf.DUMMYFUNCTION("""COMPUTED_VALUE"""),-0.748498263737648)</f>
        <v>-0.74849826373764805</v>
      </c>
      <c r="JU138" s="3">
        <f ca="1">IFERROR(__xludf.DUMMYFUNCTION("""COMPUTED_VALUE"""),-0.782799745804786)</f>
        <v>-0.78279974580478595</v>
      </c>
      <c r="JV138" s="3">
        <f ca="1">IFERROR(__xludf.DUMMYFUNCTION("""COMPUTED_VALUE"""),-0.759009768350252)</f>
        <v>-0.75900976835025202</v>
      </c>
      <c r="JW138" s="3">
        <f ca="1">IFERROR(__xludf.DUMMYFUNCTION("""COMPUTED_VALUE"""),-0.749541303936343)</f>
        <v>-0.749541303936343</v>
      </c>
      <c r="JX138" s="3">
        <f ca="1">IFERROR(__xludf.DUMMYFUNCTION("""COMPUTED_VALUE"""),-0.723276325043748)</f>
        <v>-0.72327632504374795</v>
      </c>
      <c r="JY138" s="3">
        <f ca="1">IFERROR(__xludf.DUMMYFUNCTION("""COMPUTED_VALUE"""),-0.709090090401694)</f>
        <v>-0.70909009040169402</v>
      </c>
      <c r="JZ138" s="3">
        <f ca="1">IFERROR(__xludf.DUMMYFUNCTION("""COMPUTED_VALUE"""),-0.701281040604246)</f>
        <v>-0.70128104060424601</v>
      </c>
      <c r="KA138" s="3">
        <f ca="1">IFERROR(__xludf.DUMMYFUNCTION("""COMPUTED_VALUE"""),-0.738168613899576)</f>
        <v>-0.738168613899576</v>
      </c>
      <c r="KB138" s="3">
        <f ca="1">IFERROR(__xludf.DUMMYFUNCTION("""COMPUTED_VALUE"""),-0.784967777254573)</f>
        <v>-0.78496777725457301</v>
      </c>
      <c r="KC138" s="3">
        <f ca="1">IFERROR(__xludf.DUMMYFUNCTION("""COMPUTED_VALUE"""),-0.78289075306848)</f>
        <v>-0.78289075306847999</v>
      </c>
      <c r="KD138" s="3">
        <f ca="1">IFERROR(__xludf.DUMMYFUNCTION("""COMPUTED_VALUE"""),-0.753716775630142)</f>
        <v>-0.75371677563014206</v>
      </c>
      <c r="KE138" s="3">
        <f ca="1">IFERROR(__xludf.DUMMYFUNCTION("""COMPUTED_VALUE"""),-0.731070490236604)</f>
        <v>-0.73107049023660398</v>
      </c>
      <c r="KF138" s="3">
        <f ca="1">IFERROR(__xludf.DUMMYFUNCTION("""COMPUTED_VALUE"""),-0.712737949948001)</f>
        <v>-0.71273794994800099</v>
      </c>
      <c r="KG138" s="3">
        <f ca="1">IFERROR(__xludf.DUMMYFUNCTION("""COMPUTED_VALUE"""),-0.726492811213299)</f>
        <v>-0.72649281121329901</v>
      </c>
      <c r="KH138" s="3">
        <f ca="1">IFERROR(__xludf.DUMMYFUNCTION("""COMPUTED_VALUE"""),-0.69500365496735)</f>
        <v>-0.69500365496734995</v>
      </c>
      <c r="KI138" s="3">
        <f ca="1">IFERROR(__xludf.DUMMYFUNCTION("""COMPUTED_VALUE"""),-0.79228049477169)</f>
        <v>-0.79228049477169005</v>
      </c>
      <c r="KJ138" s="3">
        <f ca="1">IFERROR(__xludf.DUMMYFUNCTION("""COMPUTED_VALUE"""),-0.784642551981924)</f>
        <v>-0.78464255198192401</v>
      </c>
      <c r="KK138" s="3">
        <f ca="1">IFERROR(__xludf.DUMMYFUNCTION("""COMPUTED_VALUE"""),-0.77204435519574)</f>
        <v>-0.77204435519574</v>
      </c>
      <c r="KL138" s="3">
        <f ca="1">IFERROR(__xludf.DUMMYFUNCTION("""COMPUTED_VALUE"""),-0.724111184084221)</f>
        <v>-0.72411118408422104</v>
      </c>
      <c r="KM138" s="3">
        <f ca="1">IFERROR(__xludf.DUMMYFUNCTION("""COMPUTED_VALUE"""),-0.712253449827967)</f>
        <v>-0.71225344982796701</v>
      </c>
      <c r="KN138" s="3">
        <f ca="1">IFERROR(__xludf.DUMMYFUNCTION("""COMPUTED_VALUE"""),-0.748456317049947)</f>
        <v>-0.74845631704994697</v>
      </c>
      <c r="KO138" s="3">
        <f ca="1">IFERROR(__xludf.DUMMYFUNCTION("""COMPUTED_VALUE"""),-0.77775843039901)</f>
        <v>-0.77775843039901005</v>
      </c>
      <c r="KP138" s="3">
        <f ca="1">IFERROR(__xludf.DUMMYFUNCTION("""COMPUTED_VALUE"""),-0.790607019898038)</f>
        <v>-0.79060701989803805</v>
      </c>
      <c r="KQ138" s="3">
        <f ca="1">IFERROR(__xludf.DUMMYFUNCTION("""COMPUTED_VALUE"""),-0.777356791440729)</f>
        <v>-0.777356791440729</v>
      </c>
      <c r="KR138" s="3">
        <f ca="1">IFERROR(__xludf.DUMMYFUNCTION("""COMPUTED_VALUE"""),-0.739987500024674)</f>
        <v>-0.73998750002467395</v>
      </c>
      <c r="KS138" s="3">
        <f ca="1">IFERROR(__xludf.DUMMYFUNCTION("""COMPUTED_VALUE"""),-0.653603064346518)</f>
        <v>-0.65360306434651805</v>
      </c>
      <c r="KT138" s="3">
        <f ca="1">IFERROR(__xludf.DUMMYFUNCTION("""COMPUTED_VALUE"""),-0.701419571730032)</f>
        <v>-0.701419571730032</v>
      </c>
      <c r="KU138" s="3">
        <f ca="1">IFERROR(__xludf.DUMMYFUNCTION("""COMPUTED_VALUE"""),-0.771764301373828)</f>
        <v>-0.77176430137382801</v>
      </c>
      <c r="KV138" s="3">
        <f ca="1">IFERROR(__xludf.DUMMYFUNCTION("""COMPUTED_VALUE"""),-0.822460341077444)</f>
        <v>-0.82246034107744403</v>
      </c>
      <c r="KW138" s="3">
        <f ca="1">IFERROR(__xludf.DUMMYFUNCTION("""COMPUTED_VALUE"""),-0.804269386108077)</f>
        <v>-0.80426938610807697</v>
      </c>
      <c r="KX138" s="3">
        <f ca="1">IFERROR(__xludf.DUMMYFUNCTION("""COMPUTED_VALUE"""),-0.822514050046743)</f>
        <v>-0.82251405004674305</v>
      </c>
      <c r="KY138" s="3">
        <f ca="1">IFERROR(__xludf.DUMMYFUNCTION("""COMPUTED_VALUE"""),-0.795622964573625)</f>
        <v>-0.79562296457362502</v>
      </c>
      <c r="KZ138" s="3">
        <f ca="1">IFERROR(__xludf.DUMMYFUNCTION("""COMPUTED_VALUE"""),-0.774940058756484)</f>
        <v>-0.77494005875648397</v>
      </c>
      <c r="LA138" s="3">
        <f ca="1">IFERROR(__xludf.DUMMYFUNCTION("""COMPUTED_VALUE"""),-0.750187917954815)</f>
        <v>-0.75018791795481499</v>
      </c>
      <c r="LB138" s="3">
        <f ca="1">IFERROR(__xludf.DUMMYFUNCTION("""COMPUTED_VALUE"""),-0.80729570124134)</f>
        <v>-0.80729570124133998</v>
      </c>
      <c r="LC138" s="3">
        <f ca="1">IFERROR(__xludf.DUMMYFUNCTION("""COMPUTED_VALUE"""),-0.842611668722079)</f>
        <v>-0.84261166872207904</v>
      </c>
      <c r="LD138" s="3">
        <f ca="1">IFERROR(__xludf.DUMMYFUNCTION("""COMPUTED_VALUE"""),-0.782470144564061)</f>
        <v>-0.78247014456406105</v>
      </c>
      <c r="LE138" s="3">
        <f ca="1">IFERROR(__xludf.DUMMYFUNCTION("""COMPUTED_VALUE"""),-0.802819241902696)</f>
        <v>-0.80281924190269605</v>
      </c>
      <c r="LF138" s="3">
        <f ca="1">IFERROR(__xludf.DUMMYFUNCTION("""COMPUTED_VALUE"""),-0.766404219342882)</f>
        <v>-0.76640421934288205</v>
      </c>
      <c r="LG138" s="3">
        <f ca="1">IFERROR(__xludf.DUMMYFUNCTION("""COMPUTED_VALUE"""),-0.758288052603757)</f>
        <v>-0.75828805260375698</v>
      </c>
      <c r="LH138" s="3">
        <f ca="1">IFERROR(__xludf.DUMMYFUNCTION("""COMPUTED_VALUE"""),-0.708664568573498)</f>
        <v>-0.70866456857349802</v>
      </c>
      <c r="LI138" s="3">
        <f ca="1">IFERROR(__xludf.DUMMYFUNCTION("""COMPUTED_VALUE"""),-0.78171251301272)</f>
        <v>-0.78171251301272004</v>
      </c>
      <c r="LJ138" s="3">
        <f ca="1">IFERROR(__xludf.DUMMYFUNCTION("""COMPUTED_VALUE"""),-0.816524417963427)</f>
        <v>-0.81652441796342701</v>
      </c>
      <c r="LK138" s="3">
        <f ca="1">IFERROR(__xludf.DUMMYFUNCTION("""COMPUTED_VALUE"""),-0.812139607978342)</f>
        <v>-0.81213960797834195</v>
      </c>
      <c r="LL138" s="3">
        <f ca="1">IFERROR(__xludf.DUMMYFUNCTION("""COMPUTED_VALUE"""),-0.813035943481887)</f>
        <v>-0.81303594348188701</v>
      </c>
      <c r="LM138" s="3">
        <f ca="1">IFERROR(__xludf.DUMMYFUNCTION("""COMPUTED_VALUE"""),-0.818872079274233)</f>
        <v>-0.818872079274233</v>
      </c>
      <c r="LN138" s="3">
        <f ca="1">IFERROR(__xludf.DUMMYFUNCTION("""COMPUTED_VALUE"""),-0.76864885494033)</f>
        <v>-0.76864885494032997</v>
      </c>
      <c r="LO138" s="3">
        <f ca="1">IFERROR(__xludf.DUMMYFUNCTION("""COMPUTED_VALUE"""),-0.813960893998876)</f>
        <v>-0.81396089399887595</v>
      </c>
      <c r="LP138" s="3">
        <f ca="1">IFERROR(__xludf.DUMMYFUNCTION("""COMPUTED_VALUE"""),-0.800510394415847)</f>
        <v>-0.80051039441584704</v>
      </c>
      <c r="LQ138" s="3">
        <f ca="1">IFERROR(__xludf.DUMMYFUNCTION("""COMPUTED_VALUE"""),-0.838963656589481)</f>
        <v>-0.83896365658948102</v>
      </c>
      <c r="LR138" s="3">
        <f ca="1">IFERROR(__xludf.DUMMYFUNCTION("""COMPUTED_VALUE"""),-0.819229717334288)</f>
        <v>-0.81922971733428795</v>
      </c>
      <c r="LS138" s="3">
        <f ca="1">IFERROR(__xludf.DUMMYFUNCTION("""COMPUTED_VALUE"""),-0.796990700157816)</f>
        <v>-0.79699070015781603</v>
      </c>
      <c r="LT138" s="3">
        <f ca="1">IFERROR(__xludf.DUMMYFUNCTION("""COMPUTED_VALUE"""),-0.7657229624823)</f>
        <v>-0.76572296248229998</v>
      </c>
      <c r="LU138" s="3">
        <f ca="1">IFERROR(__xludf.DUMMYFUNCTION("""COMPUTED_VALUE"""),-0.750442047347459)</f>
        <v>-0.75044204734745901</v>
      </c>
      <c r="LV138" s="3">
        <f ca="1">IFERROR(__xludf.DUMMYFUNCTION("""COMPUTED_VALUE"""),-0.78150957222399)</f>
        <v>-0.78150957222398998</v>
      </c>
      <c r="LW138" s="3">
        <f ca="1">IFERROR(__xludf.DUMMYFUNCTION("""COMPUTED_VALUE"""),-0.835782618423277)</f>
        <v>-0.83578261842327695</v>
      </c>
      <c r="LX138" s="3">
        <f ca="1">IFERROR(__xludf.DUMMYFUNCTION("""COMPUTED_VALUE"""),-0.818191896512779)</f>
        <v>-0.81819189651277902</v>
      </c>
      <c r="LY138" s="3">
        <f ca="1">IFERROR(__xludf.DUMMYFUNCTION("""COMPUTED_VALUE"""),-0.822652452684408)</f>
        <v>-0.82265245268440801</v>
      </c>
      <c r="LZ138" s="3">
        <f ca="1">IFERROR(__xludf.DUMMYFUNCTION("""COMPUTED_VALUE"""),-0.833871451712326)</f>
        <v>-0.83387145171232602</v>
      </c>
      <c r="MA138" s="3">
        <f ca="1">IFERROR(__xludf.DUMMYFUNCTION("""COMPUTED_VALUE"""),-0.830039246480784)</f>
        <v>-0.83003924648078398</v>
      </c>
      <c r="MB138" s="3">
        <f ca="1">IFERROR(__xludf.DUMMYFUNCTION("""COMPUTED_VALUE"""),-0.790703535019963)</f>
        <v>-0.79070353501996304</v>
      </c>
      <c r="MC138" s="3">
        <f ca="1">IFERROR(__xludf.DUMMYFUNCTION("""COMPUTED_VALUE"""),-0.766722530092826)</f>
        <v>-0.76672253009282598</v>
      </c>
      <c r="MD138" s="3">
        <f ca="1">IFERROR(__xludf.DUMMYFUNCTION("""COMPUTED_VALUE"""),-0.842596707673022)</f>
        <v>-0.84259670767302197</v>
      </c>
      <c r="ME138" s="3">
        <f ca="1">IFERROR(__xludf.DUMMYFUNCTION("""COMPUTED_VALUE"""),-0.834249248592363)</f>
        <v>-0.83424924859236305</v>
      </c>
      <c r="MF138" s="3">
        <f ca="1">IFERROR(__xludf.DUMMYFUNCTION("""COMPUTED_VALUE"""),-0.849583986299209)</f>
        <v>-0.84958398629920895</v>
      </c>
      <c r="MG138" s="3">
        <f ca="1">IFERROR(__xludf.DUMMYFUNCTION("""COMPUTED_VALUE"""),-0.826594494768868)</f>
        <v>-0.82659449476886804</v>
      </c>
      <c r="MH138" s="3">
        <f ca="1">IFERROR(__xludf.DUMMYFUNCTION("""COMPUTED_VALUE"""),-0.822642480674248)</f>
        <v>-0.82264248067424794</v>
      </c>
      <c r="MI138" s="3">
        <f ca="1">IFERROR(__xludf.DUMMYFUNCTION("""COMPUTED_VALUE"""),-0.816007798015779)</f>
        <v>-0.81600779801577905</v>
      </c>
      <c r="MJ138" s="3">
        <f ca="1">IFERROR(__xludf.DUMMYFUNCTION("""COMPUTED_VALUE"""),-0.817791518583254)</f>
        <v>-0.81779151858325405</v>
      </c>
      <c r="MK138" s="3">
        <f ca="1">IFERROR(__xludf.DUMMYFUNCTION("""COMPUTED_VALUE"""),-0.835029042987354)</f>
        <v>-0.83502904298735403</v>
      </c>
      <c r="ML138" s="3">
        <f ca="1">IFERROR(__xludf.DUMMYFUNCTION("""COMPUTED_VALUE"""),-0.8278650094625)</f>
        <v>-0.82786500946249997</v>
      </c>
      <c r="MM138" s="3">
        <f ca="1">IFERROR(__xludf.DUMMYFUNCTION("""COMPUTED_VALUE"""),-0.84647865788727)</f>
        <v>-0.84647865788726995</v>
      </c>
      <c r="MN138" s="3">
        <f ca="1">IFERROR(__xludf.DUMMYFUNCTION("""COMPUTED_VALUE"""),-0.847411733792776)</f>
        <v>-0.84741173379277601</v>
      </c>
      <c r="MO138" s="3">
        <f ca="1">IFERROR(__xludf.DUMMYFUNCTION("""COMPUTED_VALUE"""),-0.839817803198402)</f>
        <v>-0.83981780319840205</v>
      </c>
      <c r="MP138" s="3">
        <f ca="1">IFERROR(__xludf.DUMMYFUNCTION("""COMPUTED_VALUE"""),-0.80915224757565)</f>
        <v>-0.80915224757564996</v>
      </c>
      <c r="MQ138" s="3">
        <f ca="1">IFERROR(__xludf.DUMMYFUNCTION("""COMPUTED_VALUE"""),-0.822373520383889)</f>
        <v>-0.822373520383889</v>
      </c>
      <c r="MR138" s="3">
        <f ca="1">IFERROR(__xludf.DUMMYFUNCTION("""COMPUTED_VALUE"""),-0.854345006160376)</f>
        <v>-0.85434500616037601</v>
      </c>
      <c r="MS138" s="3">
        <f ca="1">IFERROR(__xludf.DUMMYFUNCTION("""COMPUTED_VALUE"""),-0.843903365152162)</f>
        <v>-0.84390336515216202</v>
      </c>
      <c r="MT138" s="3">
        <f ca="1">IFERROR(__xludf.DUMMYFUNCTION("""COMPUTED_VALUE"""),-0.865384273541413)</f>
        <v>-0.86538427354141301</v>
      </c>
      <c r="MU138" s="3">
        <f ca="1">IFERROR(__xludf.DUMMYFUNCTION("""COMPUTED_VALUE"""),-0.842670990865564)</f>
        <v>-0.84267099086556396</v>
      </c>
      <c r="MV138" s="3">
        <f ca="1">IFERROR(__xludf.DUMMYFUNCTION("""COMPUTED_VALUE"""),-0.820078230368654)</f>
        <v>-0.82007823036865402</v>
      </c>
      <c r="MW138" s="3">
        <f ca="1">IFERROR(__xludf.DUMMYFUNCTION("""COMPUTED_VALUE"""),-0.823813814768295)</f>
        <v>-0.82381381476829496</v>
      </c>
      <c r="MX138" s="3">
        <f ca="1">IFERROR(__xludf.DUMMYFUNCTION("""COMPUTED_VALUE"""),-0.816947971869287)</f>
        <v>-0.81694797186928703</v>
      </c>
      <c r="MY138" s="3">
        <f ca="1">IFERROR(__xludf.DUMMYFUNCTION("""COMPUTED_VALUE"""),-0.824352606358173)</f>
        <v>-0.82435260635817298</v>
      </c>
      <c r="MZ138" s="3">
        <f ca="1">IFERROR(__xludf.DUMMYFUNCTION("""COMPUTED_VALUE"""),-0.842878776441181)</f>
        <v>-0.84287877644118103</v>
      </c>
      <c r="NA138" s="3">
        <f ca="1">IFERROR(__xludf.DUMMYFUNCTION("""COMPUTED_VALUE"""),-0.850433346499745)</f>
        <v>-0.850433346499745</v>
      </c>
      <c r="NB138" s="3">
        <f ca="1">IFERROR(__xludf.DUMMYFUNCTION("""COMPUTED_VALUE"""),-0.84333002051575)</f>
        <v>-0.84333002051575001</v>
      </c>
      <c r="NC138" s="3">
        <f ca="1">IFERROR(__xludf.DUMMYFUNCTION("""COMPUTED_VALUE"""),-0.839239780460169)</f>
        <v>-0.839239780460169</v>
      </c>
      <c r="ND138" s="3">
        <f ca="1">IFERROR(__xludf.DUMMYFUNCTION("""COMPUTED_VALUE"""),-0.810328028364352)</f>
        <v>-0.81032802836435203</v>
      </c>
      <c r="NE138" s="3">
        <f ca="1">IFERROR(__xludf.DUMMYFUNCTION("""COMPUTED_VALUE"""),-0.803492535951262)</f>
        <v>-0.80349253595126202</v>
      </c>
      <c r="NF138" s="3">
        <f ca="1">IFERROR(__xludf.DUMMYFUNCTION("""COMPUTED_VALUE"""),-0.82917468265005)</f>
        <v>-0.82917468265005001</v>
      </c>
      <c r="NG138" s="3">
        <f ca="1">IFERROR(__xludf.DUMMYFUNCTION("""COMPUTED_VALUE"""),-0.838284337881722)</f>
        <v>-0.83828433788172196</v>
      </c>
      <c r="NH138" s="3">
        <f ca="1">IFERROR(__xludf.DUMMYFUNCTION("""COMPUTED_VALUE"""),-0.842462147275205)</f>
        <v>-0.84246214727520496</v>
      </c>
      <c r="NI138" s="3">
        <f ca="1">IFERROR(__xludf.DUMMYFUNCTION("""COMPUTED_VALUE"""),-0.834481330867042)</f>
        <v>-0.83448133086704201</v>
      </c>
      <c r="NJ138" s="3">
        <f ca="1">IFERROR(__xludf.DUMMYFUNCTION("""COMPUTED_VALUE"""),-0.803431437958533)</f>
        <v>-0.803431437958533</v>
      </c>
      <c r="NK138" s="3">
        <f ca="1">IFERROR(__xludf.DUMMYFUNCTION("""COMPUTED_VALUE"""),-0.823325774364795)</f>
        <v>-0.82332577436479504</v>
      </c>
      <c r="NL138" s="3">
        <f ca="1">IFERROR(__xludf.DUMMYFUNCTION("""COMPUTED_VALUE"""),-0.836324757995257)</f>
        <v>-0.83632475799525696</v>
      </c>
      <c r="NM138" s="3">
        <f ca="1">IFERROR(__xludf.DUMMYFUNCTION("""COMPUTED_VALUE"""),-0.862838866657287)</f>
        <v>-0.86283886665728704</v>
      </c>
      <c r="NN138" s="3">
        <f ca="1">IFERROR(__xludf.DUMMYFUNCTION("""COMPUTED_VALUE"""),-0.838209187756086)</f>
        <v>-0.83820918775608599</v>
      </c>
      <c r="NO138" s="3">
        <f ca="1">IFERROR(__xludf.DUMMYFUNCTION("""COMPUTED_VALUE"""),-0.84637304755294)</f>
        <v>-0.84637304755293996</v>
      </c>
      <c r="NP138" s="3">
        <f ca="1">IFERROR(__xludf.DUMMYFUNCTION("""COMPUTED_VALUE"""),-0.839324033055424)</f>
        <v>-0.83932403305542402</v>
      </c>
      <c r="NQ138" s="3">
        <f ca="1">IFERROR(__xludf.DUMMYFUNCTION("""COMPUTED_VALUE"""),-0.800069235545546)</f>
        <v>-0.80006923554554599</v>
      </c>
      <c r="NR138" s="3">
        <f ca="1">IFERROR(__xludf.DUMMYFUNCTION("""COMPUTED_VALUE"""),-0.748939512624974)</f>
        <v>-0.74893951262497405</v>
      </c>
      <c r="NS138" s="3">
        <f ca="1">IFERROR(__xludf.DUMMYFUNCTION("""COMPUTED_VALUE"""),-0.791023410854205)</f>
        <v>-0.79102341085420502</v>
      </c>
      <c r="NT138" s="3">
        <f ca="1">IFERROR(__xludf.DUMMYFUNCTION("""COMPUTED_VALUE"""),-0.831805938696189)</f>
        <v>-0.83180593869618902</v>
      </c>
      <c r="NU138" s="3">
        <f ca="1">IFERROR(__xludf.DUMMYFUNCTION("""COMPUTED_VALUE"""),-0.843056921265517)</f>
        <v>-0.84305692126551701</v>
      </c>
      <c r="NV138" s="3">
        <f ca="1">IFERROR(__xludf.DUMMYFUNCTION("""COMPUTED_VALUE"""),-0.800675741866348)</f>
        <v>-0.80067574186634805</v>
      </c>
      <c r="NW138" s="3">
        <f ca="1">IFERROR(__xludf.DUMMYFUNCTION("""COMPUTED_VALUE"""),-0.743356664327718)</f>
        <v>-0.74335666432771796</v>
      </c>
      <c r="NX138" s="3">
        <f ca="1">IFERROR(__xludf.DUMMYFUNCTION("""COMPUTED_VALUE"""),-0.707793547040301)</f>
        <v>-0.70779354704030095</v>
      </c>
      <c r="NY138" s="3">
        <f ca="1">IFERROR(__xludf.DUMMYFUNCTION("""COMPUTED_VALUE"""),-0.716916885022153)</f>
        <v>-0.71691688502215301</v>
      </c>
      <c r="NZ138" s="3">
        <f ca="1">IFERROR(__xludf.DUMMYFUNCTION("""COMPUTED_VALUE"""),-0.658225657376637)</f>
        <v>-0.65822565737663696</v>
      </c>
      <c r="OA138" s="3">
        <f ca="1">IFERROR(__xludf.DUMMYFUNCTION("""COMPUTED_VALUE"""),-0.701054669568811)</f>
        <v>-0.70105466956881102</v>
      </c>
      <c r="OB138" s="3">
        <f ca="1">IFERROR(__xludf.DUMMYFUNCTION("""COMPUTED_VALUE"""),-0.748887342748537)</f>
        <v>-0.74888734274853697</v>
      </c>
      <c r="OC138" s="3">
        <f ca="1">IFERROR(__xludf.DUMMYFUNCTION("""COMPUTED_VALUE"""),-0.721830840353318)</f>
        <v>-0.72183084035331802</v>
      </c>
      <c r="OD138" s="3">
        <f ca="1">IFERROR(__xludf.DUMMYFUNCTION("""COMPUTED_VALUE"""),-0.704997904673389)</f>
        <v>-0.70499790467338896</v>
      </c>
      <c r="OE138" s="3">
        <f ca="1">IFERROR(__xludf.DUMMYFUNCTION("""COMPUTED_VALUE"""),-0.609526519483196)</f>
        <v>-0.60952651948319603</v>
      </c>
      <c r="OF138" s="3">
        <f ca="1">IFERROR(__xludf.DUMMYFUNCTION("""COMPUTED_VALUE"""),-0.541432600280579)</f>
        <v>-0.54143260028057905</v>
      </c>
      <c r="OG138" s="3">
        <f ca="1">IFERROR(__xludf.DUMMYFUNCTION("""COMPUTED_VALUE"""),-0.504977070424716)</f>
        <v>-0.50497707042471596</v>
      </c>
      <c r="OH138" s="3">
        <f ca="1">IFERROR(__xludf.DUMMYFUNCTION("""COMPUTED_VALUE"""),-0.543728946859729)</f>
        <v>-0.54372894685972895</v>
      </c>
      <c r="OI138" s="3">
        <f ca="1">IFERROR(__xludf.DUMMYFUNCTION("""COMPUTED_VALUE"""),-0.498004340261113)</f>
        <v>-0.49800434026111301</v>
      </c>
      <c r="OJ138" s="3">
        <f ca="1">IFERROR(__xludf.DUMMYFUNCTION("""COMPUTED_VALUE"""),-0.424288098255143)</f>
        <v>-0.42428809825514302</v>
      </c>
      <c r="OK138" s="3">
        <f ca="1">IFERROR(__xludf.DUMMYFUNCTION("""COMPUTED_VALUE"""),-0.418109437911977)</f>
        <v>-0.41810943791197702</v>
      </c>
      <c r="OL138" s="3">
        <f ca="1">IFERROR(__xludf.DUMMYFUNCTION("""COMPUTED_VALUE"""),-0.358144444843594)</f>
        <v>-0.35814444484359398</v>
      </c>
      <c r="OM138" s="3">
        <f ca="1">IFERROR(__xludf.DUMMYFUNCTION("""COMPUTED_VALUE"""),-0.36200235120857)</f>
        <v>-0.36200235120856999</v>
      </c>
      <c r="ON138" s="3">
        <f ca="1">IFERROR(__xludf.DUMMYFUNCTION("""COMPUTED_VALUE"""),-0.416648246097144)</f>
        <v>-0.41664824609714401</v>
      </c>
      <c r="OO138" s="3">
        <f ca="1">IFERROR(__xludf.DUMMYFUNCTION("""COMPUTED_VALUE"""),-0.317125190016022)</f>
        <v>-0.31712519001602202</v>
      </c>
      <c r="OP138" s="3">
        <f ca="1">IFERROR(__xludf.DUMMYFUNCTION("""COMPUTED_VALUE"""),-0.271486817831964)</f>
        <v>-0.27148681783196399</v>
      </c>
      <c r="OQ138" s="3">
        <f ca="1">IFERROR(__xludf.DUMMYFUNCTION("""COMPUTED_VALUE"""),-0.175845057375673)</f>
        <v>-0.17584505737567299</v>
      </c>
      <c r="OR138" s="3">
        <f ca="1">IFERROR(__xludf.DUMMYFUNCTION("""COMPUTED_VALUE"""),-0.120486089004539)</f>
        <v>-0.120486089004539</v>
      </c>
      <c r="OS138" s="3">
        <f ca="1">IFERROR(__xludf.DUMMYFUNCTION("""COMPUTED_VALUE"""),-0.100714828022249)</f>
        <v>-0.100714828022249</v>
      </c>
      <c r="OT138" s="3">
        <f ca="1">IFERROR(__xludf.DUMMYFUNCTION("""COMPUTED_VALUE"""),-0.119774022720483)</f>
        <v>-0.119774022720483</v>
      </c>
      <c r="OU138" s="3">
        <f ca="1">IFERROR(__xludf.DUMMYFUNCTION("""COMPUTED_VALUE"""),-0.0849940655564481)</f>
        <v>-8.4994065556448103E-2</v>
      </c>
      <c r="OV138" s="3">
        <f ca="1">IFERROR(__xludf.DUMMYFUNCTION("""COMPUTED_VALUE"""),0.023733413466987)</f>
        <v>2.3733413466986999E-2</v>
      </c>
      <c r="OW138" s="3">
        <f ca="1">IFERROR(__xludf.DUMMYFUNCTION("""COMPUTED_VALUE"""),0.00401022107797333)</f>
        <v>4.0102210779733296E-3</v>
      </c>
      <c r="OX138" s="3">
        <f ca="1">IFERROR(__xludf.DUMMYFUNCTION("""COMPUTED_VALUE"""),-0.0211784905685251)</f>
        <v>-2.11784905685251E-2</v>
      </c>
      <c r="OY138" s="3">
        <f ca="1">IFERROR(__xludf.DUMMYFUNCTION("""COMPUTED_VALUE"""),-0.0170708699338315)</f>
        <v>-1.7070869933831501E-2</v>
      </c>
      <c r="OZ138" s="3">
        <f ca="1">IFERROR(__xludf.DUMMYFUNCTION("""COMPUTED_VALUE"""),0.00949366600841394)</f>
        <v>9.4936660084139392E-3</v>
      </c>
      <c r="PA138" s="3">
        <f ca="1">IFERROR(__xludf.DUMMYFUNCTION("""COMPUTED_VALUE"""),-0.128822854278935)</f>
        <v>-0.128822854278935</v>
      </c>
      <c r="PB138" s="3">
        <f ca="1">IFERROR(__xludf.DUMMYFUNCTION("""COMPUTED_VALUE"""),-0.0548124486835125)</f>
        <v>-5.4812448683512503E-2</v>
      </c>
      <c r="PC138" s="3">
        <f ca="1">IFERROR(__xludf.DUMMYFUNCTION("""COMPUTED_VALUE"""),0.0724093497512334)</f>
        <v>7.2409349751233407E-2</v>
      </c>
      <c r="PD138" s="3">
        <f ca="1">IFERROR(__xludf.DUMMYFUNCTION("""COMPUTED_VALUE"""),0.0481885365832244)</f>
        <v>4.8188536583224403E-2</v>
      </c>
      <c r="PE138" s="3">
        <f ca="1">IFERROR(__xludf.DUMMYFUNCTION("""COMPUTED_VALUE"""),0.0283388480243684)</f>
        <v>2.8338848024368399E-2</v>
      </c>
      <c r="PF138" s="3">
        <f ca="1">IFERROR(__xludf.DUMMYFUNCTION("""COMPUTED_VALUE"""),0.045120141145154)</f>
        <v>4.5120141145154002E-2</v>
      </c>
      <c r="PG138" s="3">
        <f ca="1">IFERROR(__xludf.DUMMYFUNCTION("""COMPUTED_VALUE"""),-0.0816381842091336)</f>
        <v>-8.1638184209133602E-2</v>
      </c>
      <c r="PH138" s="3">
        <f ca="1">IFERROR(__xludf.DUMMYFUNCTION("""COMPUTED_VALUE"""),0.0317232963178197)</f>
        <v>3.1723296317819699E-2</v>
      </c>
      <c r="PI138" s="3">
        <f ca="1">IFERROR(__xludf.DUMMYFUNCTION("""COMPUTED_VALUE"""),0.159587789895194)</f>
        <v>0.15958778989519401</v>
      </c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</row>
    <row r="139" spans="1:477" ht="13">
      <c r="A139" s="1" t="str">
        <f ca="1">IFERROR(__xludf.DUMMYFUNCTION("""COMPUTED_VALUE"""),"King County Metro")</f>
        <v>King County Metro</v>
      </c>
      <c r="B139" s="1" t="str">
        <f ca="1">IFERROR(__xludf.DUMMYFUNCTION("""COMPUTED_VALUE"""),"Seattle")</f>
        <v>Seattle</v>
      </c>
      <c r="C139" s="1" t="str">
        <f ca="1">IFERROR(__xludf.DUMMYFUNCTION("""COMPUTED_VALUE"""),"United States")</f>
        <v>United States</v>
      </c>
      <c r="D139" s="1" t="str">
        <f ca="1">IFERROR(__xludf.DUMMYFUNCTION("""COMPUTED_VALUE"""),"Washington")</f>
        <v>Washington</v>
      </c>
      <c r="E139" s="3">
        <f ca="1">IFERROR(__xludf.DUMMYFUNCTION("""COMPUTED_VALUE"""),-0.55082045211287)</f>
        <v>-0.55082045211287001</v>
      </c>
      <c r="F139" s="3">
        <f ca="1">IFERROR(__xludf.DUMMYFUNCTION("""COMPUTED_VALUE"""),-0.678041940114647)</f>
        <v>-0.67804194011464702</v>
      </c>
      <c r="G139" s="3">
        <f ca="1">IFERROR(__xludf.DUMMYFUNCTION("""COMPUTED_VALUE"""),-0.694715857344079)</f>
        <v>-0.69471585734407904</v>
      </c>
      <c r="H139" s="3">
        <f ca="1">IFERROR(__xludf.DUMMYFUNCTION("""COMPUTED_VALUE"""),-0.716077233874615)</f>
        <v>-0.71607723387461497</v>
      </c>
      <c r="I139" s="3">
        <f ca="1">IFERROR(__xludf.DUMMYFUNCTION("""COMPUTED_VALUE"""),-0.704822426447612)</f>
        <v>-0.70482242644761195</v>
      </c>
      <c r="J139" s="3">
        <f ca="1">IFERROR(__xludf.DUMMYFUNCTION("""COMPUTED_VALUE"""),-0.701230396657732)</f>
        <v>-0.70123039665773201</v>
      </c>
      <c r="K139" s="3">
        <f ca="1">IFERROR(__xludf.DUMMYFUNCTION("""COMPUTED_VALUE"""),-0.630861073222949)</f>
        <v>-0.63086107322294904</v>
      </c>
      <c r="L139" s="3">
        <f ca="1">IFERROR(__xludf.DUMMYFUNCTION("""COMPUTED_VALUE"""),-0.577934625583935)</f>
        <v>-0.57793462558393505</v>
      </c>
      <c r="M139" s="3">
        <f ca="1">IFERROR(__xludf.DUMMYFUNCTION("""COMPUTED_VALUE"""),-0.695170395145519)</f>
        <v>-0.69517039514551904</v>
      </c>
      <c r="N139" s="3">
        <f ca="1">IFERROR(__xludf.DUMMYFUNCTION("""COMPUTED_VALUE"""),-0.696899870897475)</f>
        <v>-0.69689987089747496</v>
      </c>
      <c r="O139" s="3">
        <f ca="1">IFERROR(__xludf.DUMMYFUNCTION("""COMPUTED_VALUE"""),-0.70136637841253)</f>
        <v>-0.70136637841253002</v>
      </c>
      <c r="P139" s="3">
        <f ca="1">IFERROR(__xludf.DUMMYFUNCTION("""COMPUTED_VALUE"""),-0.714502343679482)</f>
        <v>-0.71450234367948195</v>
      </c>
      <c r="Q139" s="3">
        <f ca="1">IFERROR(__xludf.DUMMYFUNCTION("""COMPUTED_VALUE"""),-0.718194796864792)</f>
        <v>-0.71819479686479204</v>
      </c>
      <c r="R139" s="3">
        <f ca="1">IFERROR(__xludf.DUMMYFUNCTION("""COMPUTED_VALUE"""),-0.64198925723108)</f>
        <v>-0.64198925723108002</v>
      </c>
      <c r="S139" s="3">
        <f ca="1">IFERROR(__xludf.DUMMYFUNCTION("""COMPUTED_VALUE"""),-0.607376765273627)</f>
        <v>-0.60737676527362705</v>
      </c>
      <c r="T139" s="3">
        <f ca="1">IFERROR(__xludf.DUMMYFUNCTION("""COMPUTED_VALUE"""),-0.690553456443148)</f>
        <v>-0.69055345644314803</v>
      </c>
      <c r="U139" s="3">
        <f ca="1">IFERROR(__xludf.DUMMYFUNCTION("""COMPUTED_VALUE"""),-0.705854637404739)</f>
        <v>-0.70585463740473897</v>
      </c>
      <c r="V139" s="3">
        <f ca="1">IFERROR(__xludf.DUMMYFUNCTION("""COMPUTED_VALUE"""),-0.720443138703582)</f>
        <v>-0.72044313870358201</v>
      </c>
      <c r="W139" s="3">
        <f ca="1">IFERROR(__xludf.DUMMYFUNCTION("""COMPUTED_VALUE"""),-0.718253501024292)</f>
        <v>-0.71825350102429197</v>
      </c>
      <c r="X139" s="3">
        <f ca="1">IFERROR(__xludf.DUMMYFUNCTION("""COMPUTED_VALUE"""),-0.717421020008523)</f>
        <v>-0.71742102000852304</v>
      </c>
      <c r="Y139" s="3">
        <f ca="1">IFERROR(__xludf.DUMMYFUNCTION("""COMPUTED_VALUE"""),-0.667192827611717)</f>
        <v>-0.66719282761171705</v>
      </c>
      <c r="Z139" s="3">
        <f ca="1">IFERROR(__xludf.DUMMYFUNCTION("""COMPUTED_VALUE"""),-0.640014239910423)</f>
        <v>-0.64001423991042306</v>
      </c>
      <c r="AA139" s="3">
        <f ca="1">IFERROR(__xludf.DUMMYFUNCTION("""COMPUTED_VALUE"""),-0.708855515995933)</f>
        <v>-0.70885551599593299</v>
      </c>
      <c r="AB139" s="3">
        <f ca="1">IFERROR(__xludf.DUMMYFUNCTION("""COMPUTED_VALUE"""),-0.73686542428869)</f>
        <v>-0.73686542428868995</v>
      </c>
      <c r="AC139" s="3">
        <f ca="1">IFERROR(__xludf.DUMMYFUNCTION("""COMPUTED_VALUE"""),-0.708102213798651)</f>
        <v>-0.70810221379865101</v>
      </c>
      <c r="AD139" s="3">
        <f ca="1">IFERROR(__xludf.DUMMYFUNCTION("""COMPUTED_VALUE"""),-0.729291408684122)</f>
        <v>-0.72929140868412201</v>
      </c>
      <c r="AE139" s="3">
        <f ca="1">IFERROR(__xludf.DUMMYFUNCTION("""COMPUTED_VALUE"""),-0.735483507512283)</f>
        <v>-0.73548350751228297</v>
      </c>
      <c r="AF139" s="3">
        <f ca="1">IFERROR(__xludf.DUMMYFUNCTION("""COMPUTED_VALUE"""),-0.646121474115216)</f>
        <v>-0.64612147411521603</v>
      </c>
      <c r="AG139" s="3">
        <f ca="1">IFERROR(__xludf.DUMMYFUNCTION("""COMPUTED_VALUE"""),-0.613603166017921)</f>
        <v>-0.61360316601792098</v>
      </c>
      <c r="AH139" s="3">
        <f ca="1">IFERROR(__xludf.DUMMYFUNCTION("""COMPUTED_VALUE"""),-0.694677641377014)</f>
        <v>-0.69467764137701404</v>
      </c>
      <c r="AI139" s="3">
        <f ca="1">IFERROR(__xludf.DUMMYFUNCTION("""COMPUTED_VALUE"""),-0.723385931513668)</f>
        <v>-0.72338593151366803</v>
      </c>
      <c r="AJ139" s="3">
        <f ca="1">IFERROR(__xludf.DUMMYFUNCTION("""COMPUTED_VALUE"""),-0.719283833270937)</f>
        <v>-0.71928383327093703</v>
      </c>
      <c r="AK139" s="3">
        <f ca="1">IFERROR(__xludf.DUMMYFUNCTION("""COMPUTED_VALUE"""),-0.724510055148342)</f>
        <v>-0.72451005514834199</v>
      </c>
      <c r="AL139" s="3">
        <f ca="1">IFERROR(__xludf.DUMMYFUNCTION("""COMPUTED_VALUE"""),-0.718363388012477)</f>
        <v>-0.71836338801247701</v>
      </c>
      <c r="AM139" s="3">
        <f ca="1">IFERROR(__xludf.DUMMYFUNCTION("""COMPUTED_VALUE"""),-0.624385174923043)</f>
        <v>-0.62438517492304302</v>
      </c>
      <c r="AN139" s="3">
        <f ca="1">IFERROR(__xludf.DUMMYFUNCTION("""COMPUTED_VALUE"""),-0.632134933324663)</f>
        <v>-0.63213493332466297</v>
      </c>
      <c r="AO139" s="3">
        <f ca="1">IFERROR(__xludf.DUMMYFUNCTION("""COMPUTED_VALUE"""),-0.727426081957246)</f>
        <v>-0.72742608195724601</v>
      </c>
      <c r="AP139" s="3">
        <f ca="1">IFERROR(__xludf.DUMMYFUNCTION("""COMPUTED_VALUE"""),-0.740995317558476)</f>
        <v>-0.74099531755847603</v>
      </c>
      <c r="AQ139" s="3">
        <f ca="1">IFERROR(__xludf.DUMMYFUNCTION("""COMPUTED_VALUE"""),-0.722106031849752)</f>
        <v>-0.72210603184975197</v>
      </c>
      <c r="AR139" s="3">
        <f ca="1">IFERROR(__xludf.DUMMYFUNCTION("""COMPUTED_VALUE"""),-0.733317340825591)</f>
        <v>-0.73331734082559097</v>
      </c>
      <c r="AS139" s="3">
        <f ca="1">IFERROR(__xludf.DUMMYFUNCTION("""COMPUTED_VALUE"""),-0.729112850688283)</f>
        <v>-0.72911285068828302</v>
      </c>
      <c r="AT139" s="3">
        <f ca="1">IFERROR(__xludf.DUMMYFUNCTION("""COMPUTED_VALUE"""),-0.614220855524166)</f>
        <v>-0.61422085552416605</v>
      </c>
      <c r="AU139" s="3">
        <f ca="1">IFERROR(__xludf.DUMMYFUNCTION("""COMPUTED_VALUE"""),-0.635189624242384)</f>
        <v>-0.63518962424238401</v>
      </c>
      <c r="AV139" s="3">
        <f ca="1">IFERROR(__xludf.DUMMYFUNCTION("""COMPUTED_VALUE"""),-0.721988755273137)</f>
        <v>-0.721988755273137</v>
      </c>
      <c r="AW139" s="3">
        <f ca="1">IFERROR(__xludf.DUMMYFUNCTION("""COMPUTED_VALUE"""),-0.748739426162205)</f>
        <v>-0.74873942616220501</v>
      </c>
      <c r="AX139" s="3">
        <f ca="1">IFERROR(__xludf.DUMMYFUNCTION("""COMPUTED_VALUE"""),-0.735530817797384)</f>
        <v>-0.73553081779738405</v>
      </c>
      <c r="AY139" s="3">
        <f ca="1">IFERROR(__xludf.DUMMYFUNCTION("""COMPUTED_VALUE"""),-0.740126945376672)</f>
        <v>-0.74012694537667201</v>
      </c>
      <c r="AZ139" s="3">
        <f ca="1">IFERROR(__xludf.DUMMYFUNCTION("""COMPUTED_VALUE"""),-0.707212189663951)</f>
        <v>-0.70721218966395105</v>
      </c>
      <c r="BA139" s="3">
        <f ca="1">IFERROR(__xludf.DUMMYFUNCTION("""COMPUTED_VALUE"""),-0.602849198274684)</f>
        <v>-0.60284919827468397</v>
      </c>
      <c r="BB139" s="3">
        <f ca="1">IFERROR(__xludf.DUMMYFUNCTION("""COMPUTED_VALUE"""),-0.619003457396842)</f>
        <v>-0.61900345739684204</v>
      </c>
      <c r="BC139" s="3">
        <f ca="1">IFERROR(__xludf.DUMMYFUNCTION("""COMPUTED_VALUE"""),-0.727236227759878)</f>
        <v>-0.72723622775987795</v>
      </c>
      <c r="BD139" s="3">
        <f ca="1">IFERROR(__xludf.DUMMYFUNCTION("""COMPUTED_VALUE"""),-0.760911701725684)</f>
        <v>-0.76091170172568401</v>
      </c>
      <c r="BE139" s="3">
        <f ca="1">IFERROR(__xludf.DUMMYFUNCTION("""COMPUTED_VALUE"""),-0.725978900095468)</f>
        <v>-0.72597890009546795</v>
      </c>
      <c r="BF139" s="3">
        <f ca="1">IFERROR(__xludf.DUMMYFUNCTION("""COMPUTED_VALUE"""),-0.710213310518752)</f>
        <v>-0.71021331051875203</v>
      </c>
      <c r="BG139" s="3">
        <f ca="1">IFERROR(__xludf.DUMMYFUNCTION("""COMPUTED_VALUE"""),-0.685246055112917)</f>
        <v>-0.68524605511291703</v>
      </c>
      <c r="BH139" s="3">
        <f ca="1">IFERROR(__xludf.DUMMYFUNCTION("""COMPUTED_VALUE"""),-0.53140563581964)</f>
        <v>-0.53140563581963995</v>
      </c>
      <c r="BI139" s="3">
        <f ca="1">IFERROR(__xludf.DUMMYFUNCTION("""COMPUTED_VALUE"""),-0.442732680666174)</f>
        <v>-0.44273268066617399</v>
      </c>
      <c r="BJ139" s="3">
        <f ca="1">IFERROR(__xludf.DUMMYFUNCTION("""COMPUTED_VALUE"""),-0.748590560082318)</f>
        <v>-0.74859056008231795</v>
      </c>
      <c r="BK139" s="3">
        <f ca="1">IFERROR(__xludf.DUMMYFUNCTION("""COMPUTED_VALUE"""),-0.769389859804468)</f>
        <v>-0.76938985980446795</v>
      </c>
      <c r="BL139" s="3">
        <f ca="1">IFERROR(__xludf.DUMMYFUNCTION("""COMPUTED_VALUE"""),-0.74910336347385)</f>
        <v>-0.74910336347384998</v>
      </c>
      <c r="BM139" s="3">
        <f ca="1">IFERROR(__xludf.DUMMYFUNCTION("""COMPUTED_VALUE"""),-0.751580759239392)</f>
        <v>-0.75158075923939205</v>
      </c>
      <c r="BN139" s="3">
        <f ca="1">IFERROR(__xludf.DUMMYFUNCTION("""COMPUTED_VALUE"""),-0.737796066627213)</f>
        <v>-0.73779606662721298</v>
      </c>
      <c r="BO139" s="3">
        <f ca="1">IFERROR(__xludf.DUMMYFUNCTION("""COMPUTED_VALUE"""),-0.631442719745287)</f>
        <v>-0.63144271974528698</v>
      </c>
      <c r="BP139" s="3">
        <f ca="1">IFERROR(__xludf.DUMMYFUNCTION("""COMPUTED_VALUE"""),-0.643398390834775)</f>
        <v>-0.64339839083477501</v>
      </c>
      <c r="BQ139" s="3">
        <f ca="1">IFERROR(__xludf.DUMMYFUNCTION("""COMPUTED_VALUE"""),-0.752555124743528)</f>
        <v>-0.75255512474352804</v>
      </c>
      <c r="BR139" s="3">
        <f ca="1">IFERROR(__xludf.DUMMYFUNCTION("""COMPUTED_VALUE"""),-0.774534931560537)</f>
        <v>-0.77453493156053699</v>
      </c>
      <c r="BS139" s="3">
        <f ca="1">IFERROR(__xludf.DUMMYFUNCTION("""COMPUTED_VALUE"""),-0.762997253386368)</f>
        <v>-0.76299725338636804</v>
      </c>
      <c r="BT139" s="3">
        <f ca="1">IFERROR(__xludf.DUMMYFUNCTION("""COMPUTED_VALUE"""),-0.77127109000191)</f>
        <v>-0.77127109000190996</v>
      </c>
      <c r="BU139" s="3">
        <f ca="1">IFERROR(__xludf.DUMMYFUNCTION("""COMPUTED_VALUE"""),-0.761004723624188)</f>
        <v>-0.76100472362418803</v>
      </c>
      <c r="BV139" s="3">
        <f ca="1">IFERROR(__xludf.DUMMYFUNCTION("""COMPUTED_VALUE"""),-0.661473198079043)</f>
        <v>-0.66147319807904303</v>
      </c>
      <c r="BW139" s="3">
        <f ca="1">IFERROR(__xludf.DUMMYFUNCTION("""COMPUTED_VALUE"""),-0.655428348851245)</f>
        <v>-0.65542834885124501</v>
      </c>
      <c r="BX139" s="3">
        <f ca="1">IFERROR(__xludf.DUMMYFUNCTION("""COMPUTED_VALUE"""),-0.756760802199289)</f>
        <v>-0.75676080219928898</v>
      </c>
      <c r="BY139" s="3">
        <f ca="1">IFERROR(__xludf.DUMMYFUNCTION("""COMPUTED_VALUE"""),-0.789164183865178)</f>
        <v>-0.78916418386517795</v>
      </c>
      <c r="BZ139" s="3">
        <f ca="1">IFERROR(__xludf.DUMMYFUNCTION("""COMPUTED_VALUE"""),-0.790646393134084)</f>
        <v>-0.79064639313408402</v>
      </c>
      <c r="CA139" s="3">
        <f ca="1">IFERROR(__xludf.DUMMYFUNCTION("""COMPUTED_VALUE"""),-0.775339042516139)</f>
        <v>-0.77533904251613905</v>
      </c>
      <c r="CB139" s="3">
        <f ca="1">IFERROR(__xludf.DUMMYFUNCTION("""COMPUTED_VALUE"""),-0.73750696256656)</f>
        <v>-0.73750696256656001</v>
      </c>
      <c r="CC139" s="3">
        <f ca="1">IFERROR(__xludf.DUMMYFUNCTION("""COMPUTED_VALUE"""),-0.663581857699517)</f>
        <v>-0.66358185769951705</v>
      </c>
      <c r="CD139" s="3">
        <f ca="1">IFERROR(__xludf.DUMMYFUNCTION("""COMPUTED_VALUE"""),-0.630836992195174)</f>
        <v>-0.63083699219517397</v>
      </c>
      <c r="CE139" s="3">
        <f ca="1">IFERROR(__xludf.DUMMYFUNCTION("""COMPUTED_VALUE"""),-0.75907508174641)</f>
        <v>-0.75907508174641003</v>
      </c>
      <c r="CF139" s="3">
        <f ca="1">IFERROR(__xludf.DUMMYFUNCTION("""COMPUTED_VALUE"""),-0.776793560941347)</f>
        <v>-0.77679356094134699</v>
      </c>
      <c r="CG139" s="3">
        <f ca="1">IFERROR(__xludf.DUMMYFUNCTION("""COMPUTED_VALUE"""),-0.774977224098466)</f>
        <v>-0.77497722409846603</v>
      </c>
      <c r="CH139" s="3">
        <f ca="1">IFERROR(__xludf.DUMMYFUNCTION("""COMPUTED_VALUE"""),-0.782828594126606)</f>
        <v>-0.78282859412660599</v>
      </c>
      <c r="CI139" s="3">
        <f ca="1">IFERROR(__xludf.DUMMYFUNCTION("""COMPUTED_VALUE"""),-0.766816567025371)</f>
        <v>-0.76681656702537104</v>
      </c>
      <c r="CJ139" s="3">
        <f ca="1">IFERROR(__xludf.DUMMYFUNCTION("""COMPUTED_VALUE"""),-0.643601590036769)</f>
        <v>-0.64360159003676898</v>
      </c>
      <c r="CK139" s="3">
        <f ca="1">IFERROR(__xludf.DUMMYFUNCTION("""COMPUTED_VALUE"""),-0.650856357601089)</f>
        <v>-0.65085635760108895</v>
      </c>
      <c r="CL139" s="3">
        <f ca="1">IFERROR(__xludf.DUMMYFUNCTION("""COMPUTED_VALUE"""),-0.773859027158904)</f>
        <v>-0.77385902715890398</v>
      </c>
      <c r="CM139" s="3">
        <f ca="1">IFERROR(__xludf.DUMMYFUNCTION("""COMPUTED_VALUE"""),-0.793205359118062)</f>
        <v>-0.793205359118062</v>
      </c>
      <c r="CN139" s="3">
        <f ca="1">IFERROR(__xludf.DUMMYFUNCTION("""COMPUTED_VALUE"""),-0.773159719424993)</f>
        <v>-0.77315971942499295</v>
      </c>
      <c r="CO139" s="3">
        <f ca="1">IFERROR(__xludf.DUMMYFUNCTION("""COMPUTED_VALUE"""),-0.79672363454634)</f>
        <v>-0.79672363454633999</v>
      </c>
      <c r="CP139" s="3">
        <f ca="1">IFERROR(__xludf.DUMMYFUNCTION("""COMPUTED_VALUE"""),-0.775016700223135)</f>
        <v>-0.77501670022313496</v>
      </c>
      <c r="CQ139" s="3">
        <f ca="1">IFERROR(__xludf.DUMMYFUNCTION("""COMPUTED_VALUE"""),-0.636988756993517)</f>
        <v>-0.63698875699351698</v>
      </c>
      <c r="CR139" s="3">
        <f ca="1">IFERROR(__xludf.DUMMYFUNCTION("""COMPUTED_VALUE"""),-0.639360965430202)</f>
        <v>-0.63936096543020204</v>
      </c>
      <c r="CS139" s="3">
        <f ca="1">IFERROR(__xludf.DUMMYFUNCTION("""COMPUTED_VALUE"""),-0.756307262121752)</f>
        <v>-0.75630726212175203</v>
      </c>
      <c r="CT139" s="3">
        <f ca="1">IFERROR(__xludf.DUMMYFUNCTION("""COMPUTED_VALUE"""),-0.776884192261971)</f>
        <v>-0.77688419226197103</v>
      </c>
      <c r="CU139" s="3">
        <f ca="1">IFERROR(__xludf.DUMMYFUNCTION("""COMPUTED_VALUE"""),-0.746773420991282)</f>
        <v>-0.74677342099128197</v>
      </c>
      <c r="CV139" s="3">
        <f ca="1">IFERROR(__xludf.DUMMYFUNCTION("""COMPUTED_VALUE"""),-0.767279601814755)</f>
        <v>-0.76727960181475496</v>
      </c>
      <c r="CW139" s="3">
        <f ca="1">IFERROR(__xludf.DUMMYFUNCTION("""COMPUTED_VALUE"""),-0.752998800418838)</f>
        <v>-0.75299880041883804</v>
      </c>
      <c r="CX139" s="3">
        <f ca="1">IFERROR(__xludf.DUMMYFUNCTION("""COMPUTED_VALUE"""),-0.667643434906854)</f>
        <v>-0.66764343490685396</v>
      </c>
      <c r="CY139" s="3">
        <f ca="1">IFERROR(__xludf.DUMMYFUNCTION("""COMPUTED_VALUE"""),-0.666747382308418)</f>
        <v>-0.66674738230841801</v>
      </c>
      <c r="CZ139" s="3">
        <f ca="1">IFERROR(__xludf.DUMMYFUNCTION("""COMPUTED_VALUE"""),-0.815635208555075)</f>
        <v>-0.81563520855507499</v>
      </c>
      <c r="DA139" s="3">
        <f ca="1">IFERROR(__xludf.DUMMYFUNCTION("""COMPUTED_VALUE"""),-0.729025804728254)</f>
        <v>-0.72902580472825396</v>
      </c>
      <c r="DB139" s="3">
        <f ca="1">IFERROR(__xludf.DUMMYFUNCTION("""COMPUTED_VALUE"""),-0.663547935555496)</f>
        <v>-0.66354793555549596</v>
      </c>
      <c r="DC139" s="3">
        <f ca="1">IFERROR(__xludf.DUMMYFUNCTION("""COMPUTED_VALUE"""),-0.695316826573622)</f>
        <v>-0.69531682657362204</v>
      </c>
      <c r="DD139" s="3">
        <f ca="1">IFERROR(__xludf.DUMMYFUNCTION("""COMPUTED_VALUE"""),-0.736501200314469)</f>
        <v>-0.73650120031446897</v>
      </c>
      <c r="DE139" s="3">
        <f ca="1">IFERROR(__xludf.DUMMYFUNCTION("""COMPUTED_VALUE"""),-0.654529722396057)</f>
        <v>-0.654529722396057</v>
      </c>
      <c r="DF139" s="3">
        <f ca="1">IFERROR(__xludf.DUMMYFUNCTION("""COMPUTED_VALUE"""),-0.677798325367676)</f>
        <v>-0.67779832536767604</v>
      </c>
      <c r="DG139" s="3">
        <f ca="1">IFERROR(__xludf.DUMMYFUNCTION("""COMPUTED_VALUE"""),-0.867942227693201)</f>
        <v>-0.86794222769320095</v>
      </c>
      <c r="DH139" s="3">
        <f ca="1">IFERROR(__xludf.DUMMYFUNCTION("""COMPUTED_VALUE"""),-0.748672824486353)</f>
        <v>-0.74867282448635297</v>
      </c>
      <c r="DI139" s="3">
        <f ca="1">IFERROR(__xludf.DUMMYFUNCTION("""COMPUTED_VALUE"""),-0.551820720042733)</f>
        <v>-0.55182072004273297</v>
      </c>
      <c r="DJ139" s="3">
        <f ca="1">IFERROR(__xludf.DUMMYFUNCTION("""COMPUTED_VALUE"""),-0.653546120376785)</f>
        <v>-0.65354612037678494</v>
      </c>
      <c r="DK139" s="3">
        <f ca="1">IFERROR(__xludf.DUMMYFUNCTION("""COMPUTED_VALUE"""),-0.698546291565479)</f>
        <v>-0.69854629156547898</v>
      </c>
      <c r="DL139" s="3">
        <f ca="1">IFERROR(__xludf.DUMMYFUNCTION("""COMPUTED_VALUE"""),-0.629157276627204)</f>
        <v>-0.629157276627204</v>
      </c>
      <c r="DM139" s="3">
        <f ca="1">IFERROR(__xludf.DUMMYFUNCTION("""COMPUTED_VALUE"""),-0.64039643387844)</f>
        <v>-0.64039643387844003</v>
      </c>
      <c r="DN139" s="3">
        <f ca="1">IFERROR(__xludf.DUMMYFUNCTION("""COMPUTED_VALUE"""),-0.722352622170787)</f>
        <v>-0.722352622170787</v>
      </c>
      <c r="DO139" s="3">
        <f ca="1">IFERROR(__xludf.DUMMYFUNCTION("""COMPUTED_VALUE"""),-0.734139360320396)</f>
        <v>-0.73413936032039595</v>
      </c>
      <c r="DP139" s="3">
        <f ca="1">IFERROR(__xludf.DUMMYFUNCTION("""COMPUTED_VALUE"""),-0.692696009476901)</f>
        <v>-0.69269600947690102</v>
      </c>
      <c r="DQ139" s="3">
        <f ca="1">IFERROR(__xludf.DUMMYFUNCTION("""COMPUTED_VALUE"""),-0.717218410887312)</f>
        <v>-0.71721841088731197</v>
      </c>
      <c r="DR139" s="3">
        <f ca="1">IFERROR(__xludf.DUMMYFUNCTION("""COMPUTED_VALUE"""),-0.731039952744205)</f>
        <v>-0.73103995274420497</v>
      </c>
      <c r="DS139" s="3">
        <f ca="1">IFERROR(__xludf.DUMMYFUNCTION("""COMPUTED_VALUE"""),-0.661859160677901)</f>
        <v>-0.66185916067790096</v>
      </c>
      <c r="DT139" s="3">
        <f ca="1">IFERROR(__xludf.DUMMYFUNCTION("""COMPUTED_VALUE"""),-0.622102102013878)</f>
        <v>-0.62210210201387794</v>
      </c>
      <c r="DU139" s="3">
        <f ca="1">IFERROR(__xludf.DUMMYFUNCTION("""COMPUTED_VALUE"""),-0.741182632838417)</f>
        <v>-0.74118263283841701</v>
      </c>
      <c r="DV139" s="3">
        <f ca="1">IFERROR(__xludf.DUMMYFUNCTION("""COMPUTED_VALUE"""),-0.756989421911003)</f>
        <v>-0.75698942191100305</v>
      </c>
      <c r="DW139" s="3">
        <f ca="1">IFERROR(__xludf.DUMMYFUNCTION("""COMPUTED_VALUE"""),-0.768154960353149)</f>
        <v>-0.76815496035314901</v>
      </c>
      <c r="DX139" s="3">
        <f ca="1">IFERROR(__xludf.DUMMYFUNCTION("""COMPUTED_VALUE"""),-0.765383752062574)</f>
        <v>-0.76538375206257403</v>
      </c>
      <c r="DY139" s="3">
        <f ca="1">IFERROR(__xludf.DUMMYFUNCTION("""COMPUTED_VALUE"""),-0.75241266793473)</f>
        <v>-0.75241266793473005</v>
      </c>
      <c r="DZ139" s="3">
        <f ca="1">IFERROR(__xludf.DUMMYFUNCTION("""COMPUTED_VALUE"""),-0.618525736064537)</f>
        <v>-0.61852573606453698</v>
      </c>
      <c r="EA139" s="3">
        <f ca="1">IFERROR(__xludf.DUMMYFUNCTION("""COMPUTED_VALUE"""),-0.614355974805827)</f>
        <v>-0.61435597480582704</v>
      </c>
      <c r="EB139" s="3">
        <f ca="1">IFERROR(__xludf.DUMMYFUNCTION("""COMPUTED_VALUE"""),-0.697341005821038)</f>
        <v>-0.69734100582103797</v>
      </c>
      <c r="EC139" s="3">
        <f ca="1">IFERROR(__xludf.DUMMYFUNCTION("""COMPUTED_VALUE"""),-0.707474066917333)</f>
        <v>-0.70747406691733306</v>
      </c>
      <c r="ED139" s="3">
        <f ca="1">IFERROR(__xludf.DUMMYFUNCTION("""COMPUTED_VALUE"""),-0.753878390520674)</f>
        <v>-0.75387839052067396</v>
      </c>
      <c r="EE139" s="3">
        <f ca="1">IFERROR(__xludf.DUMMYFUNCTION("""COMPUTED_VALUE"""),-0.763673467203698)</f>
        <v>-0.763673467203698</v>
      </c>
      <c r="EF139" s="3">
        <f ca="1">IFERROR(__xludf.DUMMYFUNCTION("""COMPUTED_VALUE"""),-0.754807974899523)</f>
        <v>-0.754807974899523</v>
      </c>
      <c r="EG139" s="3">
        <f ca="1">IFERROR(__xludf.DUMMYFUNCTION("""COMPUTED_VALUE"""),-0.644748332968622)</f>
        <v>-0.644748332968622</v>
      </c>
      <c r="EH139" s="3">
        <f ca="1">IFERROR(__xludf.DUMMYFUNCTION("""COMPUTED_VALUE"""),-0.658509041588441)</f>
        <v>-0.65850904158844104</v>
      </c>
      <c r="EI139" s="3">
        <f ca="1">IFERROR(__xludf.DUMMYFUNCTION("""COMPUTED_VALUE"""),-0.760079895938141)</f>
        <v>-0.76007989593814096</v>
      </c>
      <c r="EJ139" s="3">
        <f ca="1">IFERROR(__xludf.DUMMYFUNCTION("""COMPUTED_VALUE"""),-0.820221476973151)</f>
        <v>-0.82022147697315095</v>
      </c>
      <c r="EK139" s="3">
        <f ca="1">IFERROR(__xludf.DUMMYFUNCTION("""COMPUTED_VALUE"""),-0.777796877174096)</f>
        <v>-0.77779687717409596</v>
      </c>
      <c r="EL139" s="3">
        <f ca="1">IFERROR(__xludf.DUMMYFUNCTION("""COMPUTED_VALUE"""),-0.770333940017399)</f>
        <v>-0.77033394001739897</v>
      </c>
      <c r="EM139" s="3">
        <f ca="1">IFERROR(__xludf.DUMMYFUNCTION("""COMPUTED_VALUE"""),-0.760264696079377)</f>
        <v>-0.76026469607937697</v>
      </c>
      <c r="EN139" s="3">
        <f ca="1">IFERROR(__xludf.DUMMYFUNCTION("""COMPUTED_VALUE"""),-0.655037116900241)</f>
        <v>-0.65503711690024102</v>
      </c>
      <c r="EO139" s="3">
        <f ca="1">IFERROR(__xludf.DUMMYFUNCTION("""COMPUTED_VALUE"""),-0.611270529243832)</f>
        <v>-0.61127052924383196</v>
      </c>
      <c r="EP139" s="3">
        <f ca="1">IFERROR(__xludf.DUMMYFUNCTION("""COMPUTED_VALUE"""),-0.717037085720088)</f>
        <v>-0.71703708572008795</v>
      </c>
      <c r="EQ139" s="3">
        <f ca="1">IFERROR(__xludf.DUMMYFUNCTION("""COMPUTED_VALUE"""),-0.720745443577399)</f>
        <v>-0.720745443577399</v>
      </c>
      <c r="ER139" s="3">
        <f ca="1">IFERROR(__xludf.DUMMYFUNCTION("""COMPUTED_VALUE"""),-0.771847887815025)</f>
        <v>-0.771847887815025</v>
      </c>
      <c r="ES139" s="3">
        <f ca="1">IFERROR(__xludf.DUMMYFUNCTION("""COMPUTED_VALUE"""),-0.771360984457627)</f>
        <v>-0.77136098445762702</v>
      </c>
      <c r="ET139" s="3">
        <f ca="1">IFERROR(__xludf.DUMMYFUNCTION("""COMPUTED_VALUE"""),-0.755978258246427)</f>
        <v>-0.75597825824642695</v>
      </c>
      <c r="EU139" s="3">
        <f ca="1">IFERROR(__xludf.DUMMYFUNCTION("""COMPUTED_VALUE"""),-0.635788286179186)</f>
        <v>-0.63578828617918604</v>
      </c>
      <c r="EV139" s="3">
        <f ca="1">IFERROR(__xludf.DUMMYFUNCTION("""COMPUTED_VALUE"""),-0.637954568570388)</f>
        <v>-0.63795456857038801</v>
      </c>
      <c r="EW139" s="3">
        <f ca="1">IFERROR(__xludf.DUMMYFUNCTION("""COMPUTED_VALUE"""),-0.738795288432874)</f>
        <v>-0.73879528843287401</v>
      </c>
      <c r="EX139" s="3">
        <f ca="1">IFERROR(__xludf.DUMMYFUNCTION("""COMPUTED_VALUE"""),-0.764887733006908)</f>
        <v>-0.76488773300690804</v>
      </c>
      <c r="EY139" s="3">
        <f ca="1">IFERROR(__xludf.DUMMYFUNCTION("""COMPUTED_VALUE"""),-0.774453405176302)</f>
        <v>-0.77445340517630201</v>
      </c>
      <c r="EZ139" s="3">
        <f ca="1">IFERROR(__xludf.DUMMYFUNCTION("""COMPUTED_VALUE"""),-0.758935448187442)</f>
        <v>-0.75893544818744196</v>
      </c>
      <c r="FA139" s="3">
        <f ca="1">IFERROR(__xludf.DUMMYFUNCTION("""COMPUTED_VALUE"""),-0.746195214477671)</f>
        <v>-0.74619521447767101</v>
      </c>
      <c r="FB139" s="3">
        <f ca="1">IFERROR(__xludf.DUMMYFUNCTION("""COMPUTED_VALUE"""),-0.626671110544003)</f>
        <v>-0.62667111054400304</v>
      </c>
      <c r="FC139" s="3">
        <f ca="1">IFERROR(__xludf.DUMMYFUNCTION("""COMPUTED_VALUE"""),-0.621855409218038)</f>
        <v>-0.62185540921803795</v>
      </c>
      <c r="FD139" s="3">
        <f ca="1">IFERROR(__xludf.DUMMYFUNCTION("""COMPUTED_VALUE"""),-0.756315415004263)</f>
        <v>-0.75631541500426303</v>
      </c>
      <c r="FE139" s="3">
        <f ca="1">IFERROR(__xludf.DUMMYFUNCTION("""COMPUTED_VALUE"""),-0.775617842195629)</f>
        <v>-0.77561784219562901</v>
      </c>
      <c r="FF139" s="3">
        <f ca="1">IFERROR(__xludf.DUMMYFUNCTION("""COMPUTED_VALUE"""),-0.763428042886255)</f>
        <v>-0.76342804288625499</v>
      </c>
      <c r="FG139" s="3">
        <f ca="1">IFERROR(__xludf.DUMMYFUNCTION("""COMPUTED_VALUE"""),-0.778301079333832)</f>
        <v>-0.77830107933383197</v>
      </c>
      <c r="FH139" s="3">
        <f ca="1">IFERROR(__xludf.DUMMYFUNCTION("""COMPUTED_VALUE"""),-0.722160523523755)</f>
        <v>-0.72216052352375504</v>
      </c>
      <c r="FI139" s="3">
        <f ca="1">IFERROR(__xludf.DUMMYFUNCTION("""COMPUTED_VALUE"""),-0.605631301950636)</f>
        <v>-0.60563130195063597</v>
      </c>
      <c r="FJ139" s="3">
        <f ca="1">IFERROR(__xludf.DUMMYFUNCTION("""COMPUTED_VALUE"""),-0.611903527118305)</f>
        <v>-0.61190352711830498</v>
      </c>
      <c r="FK139" s="3">
        <f ca="1">IFERROR(__xludf.DUMMYFUNCTION("""COMPUTED_VALUE"""),-0.744685664368596)</f>
        <v>-0.74468566436859596</v>
      </c>
      <c r="FL139" s="3">
        <f ca="1">IFERROR(__xludf.DUMMYFUNCTION("""COMPUTED_VALUE"""),-0.77131805469795)</f>
        <v>-0.77131805469795001</v>
      </c>
      <c r="FM139" s="3">
        <f ca="1">IFERROR(__xludf.DUMMYFUNCTION("""COMPUTED_VALUE"""),-0.764839285814782)</f>
        <v>-0.764839285814782</v>
      </c>
      <c r="FN139" s="3">
        <f ca="1">IFERROR(__xludf.DUMMYFUNCTION("""COMPUTED_VALUE"""),-0.771574681330497)</f>
        <v>-0.771574681330497</v>
      </c>
      <c r="FO139" s="3">
        <f ca="1">IFERROR(__xludf.DUMMYFUNCTION("""COMPUTED_VALUE"""),-0.764893228350266)</f>
        <v>-0.76489322835026596</v>
      </c>
      <c r="FP139" s="3">
        <f ca="1">IFERROR(__xludf.DUMMYFUNCTION("""COMPUTED_VALUE"""),-0.640875582214401)</f>
        <v>-0.640875582214401</v>
      </c>
      <c r="FQ139" s="3">
        <f ca="1">IFERROR(__xludf.DUMMYFUNCTION("""COMPUTED_VALUE"""),-0.620857555247397)</f>
        <v>-0.62085755524739705</v>
      </c>
      <c r="FR139" s="3">
        <f ca="1">IFERROR(__xludf.DUMMYFUNCTION("""COMPUTED_VALUE"""),-0.762253453892518)</f>
        <v>-0.76225345389251797</v>
      </c>
      <c r="FS139" s="3">
        <f ca="1">IFERROR(__xludf.DUMMYFUNCTION("""COMPUTED_VALUE"""),-0.76060658430827)</f>
        <v>-0.76060658430827</v>
      </c>
      <c r="FT139" s="3">
        <f ca="1">IFERROR(__xludf.DUMMYFUNCTION("""COMPUTED_VALUE"""),-0.763511917586053)</f>
        <v>-0.76351191758605297</v>
      </c>
      <c r="FU139" s="3">
        <f ca="1">IFERROR(__xludf.DUMMYFUNCTION("""COMPUTED_VALUE"""),-0.756043788110329)</f>
        <v>-0.75604378811032902</v>
      </c>
      <c r="FV139" s="3">
        <f ca="1">IFERROR(__xludf.DUMMYFUNCTION("""COMPUTED_VALUE"""),-0.745954537538833)</f>
        <v>-0.74595453753883301</v>
      </c>
      <c r="FW139" s="3">
        <f ca="1">IFERROR(__xludf.DUMMYFUNCTION("""COMPUTED_VALUE"""),-0.615978221634435)</f>
        <v>-0.61597822163443505</v>
      </c>
      <c r="FX139" s="3">
        <f ca="1">IFERROR(__xludf.DUMMYFUNCTION("""COMPUTED_VALUE"""),-0.634431533256183)</f>
        <v>-0.63443153325618296</v>
      </c>
      <c r="FY139" s="3">
        <f ca="1">IFERROR(__xludf.DUMMYFUNCTION("""COMPUTED_VALUE"""),-0.738381347106117)</f>
        <v>-0.73838134710611703</v>
      </c>
      <c r="FZ139" s="3">
        <f ca="1">IFERROR(__xludf.DUMMYFUNCTION("""COMPUTED_VALUE"""),-0.748183962778945)</f>
        <v>-0.74818396277894506</v>
      </c>
      <c r="GA139" s="3">
        <f ca="1">IFERROR(__xludf.DUMMYFUNCTION("""COMPUTED_VALUE"""),-0.751565520357515)</f>
        <v>-0.751565520357515</v>
      </c>
      <c r="GB139" s="3">
        <f ca="1">IFERROR(__xludf.DUMMYFUNCTION("""COMPUTED_VALUE"""),-0.748719111876244)</f>
        <v>-0.74871911187624396</v>
      </c>
      <c r="GC139" s="3">
        <f ca="1">IFERROR(__xludf.DUMMYFUNCTION("""COMPUTED_VALUE"""),-0.763607346445868)</f>
        <v>-0.76360734644586803</v>
      </c>
      <c r="GD139" s="3">
        <f ca="1">IFERROR(__xludf.DUMMYFUNCTION("""COMPUTED_VALUE"""),-0.670245480232368)</f>
        <v>-0.67024548023236796</v>
      </c>
      <c r="GE139" s="3">
        <f ca="1">IFERROR(__xludf.DUMMYFUNCTION("""COMPUTED_VALUE"""),-0.655199297543219)</f>
        <v>-0.65519929754321904</v>
      </c>
      <c r="GF139" s="3">
        <f ca="1">IFERROR(__xludf.DUMMYFUNCTION("""COMPUTED_VALUE"""),-0.734225463491426)</f>
        <v>-0.73422546349142603</v>
      </c>
      <c r="GG139" s="3">
        <f ca="1">IFERROR(__xludf.DUMMYFUNCTION("""COMPUTED_VALUE"""),-0.759640156039305)</f>
        <v>-0.75964015603930501</v>
      </c>
      <c r="GH139" s="3">
        <f ca="1">IFERROR(__xludf.DUMMYFUNCTION("""COMPUTED_VALUE"""),-0.752360917402567)</f>
        <v>-0.75236091740256705</v>
      </c>
      <c r="GI139" s="3">
        <f ca="1">IFERROR(__xludf.DUMMYFUNCTION("""COMPUTED_VALUE"""),-0.743851621603177)</f>
        <v>-0.74385162160317697</v>
      </c>
      <c r="GJ139" s="3">
        <f ca="1">IFERROR(__xludf.DUMMYFUNCTION("""COMPUTED_VALUE"""),-0.744023270756719)</f>
        <v>-0.74402327075671904</v>
      </c>
      <c r="GK139" s="3">
        <f ca="1">IFERROR(__xludf.DUMMYFUNCTION("""COMPUTED_VALUE"""),-0.63680762521926)</f>
        <v>-0.63680762521926004</v>
      </c>
      <c r="GL139" s="3">
        <f ca="1">IFERROR(__xludf.DUMMYFUNCTION("""COMPUTED_VALUE"""),-0.611415123240162)</f>
        <v>-0.61141512324016201</v>
      </c>
      <c r="GM139" s="3">
        <f ca="1">IFERROR(__xludf.DUMMYFUNCTION("""COMPUTED_VALUE"""),-0.742733176070459)</f>
        <v>-0.74273317607045897</v>
      </c>
      <c r="GN139" s="3">
        <f ca="1">IFERROR(__xludf.DUMMYFUNCTION("""COMPUTED_VALUE"""),-0.749211872232942)</f>
        <v>-0.74921187223294194</v>
      </c>
      <c r="GO139" s="3">
        <f ca="1">IFERROR(__xludf.DUMMYFUNCTION("""COMPUTED_VALUE"""),-0.737806850806729)</f>
        <v>-0.73780685080672903</v>
      </c>
      <c r="GP139" s="3">
        <f ca="1">IFERROR(__xludf.DUMMYFUNCTION("""COMPUTED_VALUE"""),-0.734565112508697)</f>
        <v>-0.73456511250869705</v>
      </c>
      <c r="GQ139" s="3">
        <f ca="1">IFERROR(__xludf.DUMMYFUNCTION("""COMPUTED_VALUE"""),-0.725682955103875)</f>
        <v>-0.72568295510387504</v>
      </c>
      <c r="GR139" s="3">
        <f ca="1">IFERROR(__xludf.DUMMYFUNCTION("""COMPUTED_VALUE"""),-0.573981952383865)</f>
        <v>-0.57398195238386496</v>
      </c>
      <c r="GS139" s="3">
        <f ca="1">IFERROR(__xludf.DUMMYFUNCTION("""COMPUTED_VALUE"""),-0.583770124922966)</f>
        <v>-0.58377012492296598</v>
      </c>
      <c r="GT139" s="3">
        <f ca="1">IFERROR(__xludf.DUMMYFUNCTION("""COMPUTED_VALUE"""),-0.726375365436089)</f>
        <v>-0.72637536543608905</v>
      </c>
      <c r="GU139" s="3">
        <f ca="1">IFERROR(__xludf.DUMMYFUNCTION("""COMPUTED_VALUE"""),-0.737197505186327)</f>
        <v>-0.73719750518632698</v>
      </c>
      <c r="GV139" s="3">
        <f ca="1">IFERROR(__xludf.DUMMYFUNCTION("""COMPUTED_VALUE"""),-0.750074637452404)</f>
        <v>-0.75007463745240399</v>
      </c>
      <c r="GW139" s="3">
        <f ca="1">IFERROR(__xludf.DUMMYFUNCTION("""COMPUTED_VALUE"""),-0.71751769816268)</f>
        <v>-0.71751769816267996</v>
      </c>
      <c r="GX139" s="3">
        <f ca="1">IFERROR(__xludf.DUMMYFUNCTION("""COMPUTED_VALUE"""),-0.7019322147788)</f>
        <v>-0.70193221477879997</v>
      </c>
      <c r="GY139" s="3">
        <f ca="1">IFERROR(__xludf.DUMMYFUNCTION("""COMPUTED_VALUE"""),-0.544439075832933)</f>
        <v>-0.54443907583293305</v>
      </c>
      <c r="GZ139" s="3">
        <f ca="1">IFERROR(__xludf.DUMMYFUNCTION("""COMPUTED_VALUE"""),-0.597643736238528)</f>
        <v>-0.59764373623852796</v>
      </c>
      <c r="HA139" s="3">
        <f ca="1">IFERROR(__xludf.DUMMYFUNCTION("""COMPUTED_VALUE"""),-0.724662066725345)</f>
        <v>-0.72466206672534506</v>
      </c>
      <c r="HB139" s="3">
        <f ca="1">IFERROR(__xludf.DUMMYFUNCTION("""COMPUTED_VALUE"""),-0.736767969256471)</f>
        <v>-0.73676796925647103</v>
      </c>
      <c r="HC139" s="3">
        <f ca="1">IFERROR(__xludf.DUMMYFUNCTION("""COMPUTED_VALUE"""),-0.740449851244606)</f>
        <v>-0.74044985124460605</v>
      </c>
      <c r="HD139" s="3">
        <f ca="1">IFERROR(__xludf.DUMMYFUNCTION("""COMPUTED_VALUE"""),-0.734598926282727)</f>
        <v>-0.73459892628272705</v>
      </c>
      <c r="HE139" s="3">
        <f ca="1">IFERROR(__xludf.DUMMYFUNCTION("""COMPUTED_VALUE"""),-0.735230131604432)</f>
        <v>-0.73523013160443196</v>
      </c>
      <c r="HF139" s="3">
        <f ca="1">IFERROR(__xludf.DUMMYFUNCTION("""COMPUTED_VALUE"""),-0.622813238935487)</f>
        <v>-0.62281323893548701</v>
      </c>
      <c r="HG139" s="3">
        <f ca="1">IFERROR(__xludf.DUMMYFUNCTION("""COMPUTED_VALUE"""),-0.645648962286534)</f>
        <v>-0.64564896228653401</v>
      </c>
      <c r="HH139" s="3">
        <f ca="1">IFERROR(__xludf.DUMMYFUNCTION("""COMPUTED_VALUE"""),-0.715527437894303)</f>
        <v>-0.71552743789430295</v>
      </c>
      <c r="HI139" s="3">
        <f ca="1">IFERROR(__xludf.DUMMYFUNCTION("""COMPUTED_VALUE"""),-0.704100876200688)</f>
        <v>-0.70410087620068795</v>
      </c>
      <c r="HJ139" s="3">
        <f ca="1">IFERROR(__xludf.DUMMYFUNCTION("""COMPUTED_VALUE"""),-0.714338221739606)</f>
        <v>-0.71433822173960604</v>
      </c>
      <c r="HK139" s="3">
        <f ca="1">IFERROR(__xludf.DUMMYFUNCTION("""COMPUTED_VALUE"""),-0.700708070142242)</f>
        <v>-0.70070807014224201</v>
      </c>
      <c r="HL139" s="3">
        <f ca="1">IFERROR(__xludf.DUMMYFUNCTION("""COMPUTED_VALUE"""),-0.675547427142488)</f>
        <v>-0.67554742714248806</v>
      </c>
      <c r="HM139" s="3">
        <f ca="1">IFERROR(__xludf.DUMMYFUNCTION("""COMPUTED_VALUE"""),-0.559750554933386)</f>
        <v>-0.55975055493338599</v>
      </c>
      <c r="HN139" s="3">
        <f ca="1">IFERROR(__xludf.DUMMYFUNCTION("""COMPUTED_VALUE"""),-0.605708958616983)</f>
        <v>-0.60570895861698304</v>
      </c>
      <c r="HO139" s="3">
        <f ca="1">IFERROR(__xludf.DUMMYFUNCTION("""COMPUTED_VALUE"""),-0.666781262321044)</f>
        <v>-0.66678126232104395</v>
      </c>
      <c r="HP139" s="3">
        <f ca="1">IFERROR(__xludf.DUMMYFUNCTION("""COMPUTED_VALUE"""),-0.690845806549592)</f>
        <v>-0.69084580654959205</v>
      </c>
      <c r="HQ139" s="3">
        <f ca="1">IFERROR(__xludf.DUMMYFUNCTION("""COMPUTED_VALUE"""),-0.700781773921199)</f>
        <v>-0.700781773921199</v>
      </c>
      <c r="HR139" s="3">
        <f ca="1">IFERROR(__xludf.DUMMYFUNCTION("""COMPUTED_VALUE"""),-0.689120413636731)</f>
        <v>-0.68912041363673104</v>
      </c>
      <c r="HS139" s="3">
        <f ca="1">IFERROR(__xludf.DUMMYFUNCTION("""COMPUTED_VALUE"""),-0.663971238454274)</f>
        <v>-0.66397123845427397</v>
      </c>
      <c r="HT139" s="3">
        <f ca="1">IFERROR(__xludf.DUMMYFUNCTION("""COMPUTED_VALUE"""),-0.598384860635893)</f>
        <v>-0.59838486063589302</v>
      </c>
      <c r="HU139" s="3">
        <f ca="1">IFERROR(__xludf.DUMMYFUNCTION("""COMPUTED_VALUE"""),-0.58193142952928)</f>
        <v>-0.58193142952928001</v>
      </c>
      <c r="HV139" s="3">
        <f ca="1">IFERROR(__xludf.DUMMYFUNCTION("""COMPUTED_VALUE"""),-0.672820454682875)</f>
        <v>-0.67282045468287499</v>
      </c>
      <c r="HW139" s="3">
        <f ca="1">IFERROR(__xludf.DUMMYFUNCTION("""COMPUTED_VALUE"""),-0.700741941189665)</f>
        <v>-0.70074194118966504</v>
      </c>
      <c r="HX139" s="3">
        <f ca="1">IFERROR(__xludf.DUMMYFUNCTION("""COMPUTED_VALUE"""),-0.714994707525776)</f>
        <v>-0.71499470752577599</v>
      </c>
      <c r="HY139" s="3">
        <f ca="1">IFERROR(__xludf.DUMMYFUNCTION("""COMPUTED_VALUE"""),-0.705746492038119)</f>
        <v>-0.70574649203811901</v>
      </c>
      <c r="HZ139" s="3">
        <f ca="1">IFERROR(__xludf.DUMMYFUNCTION("""COMPUTED_VALUE"""),-0.663178325262233)</f>
        <v>-0.66317832526223297</v>
      </c>
      <c r="IA139" s="3">
        <f ca="1">IFERROR(__xludf.DUMMYFUNCTION("""COMPUTED_VALUE"""),-0.611333748312473)</f>
        <v>-0.611333748312473</v>
      </c>
      <c r="IB139" s="3">
        <f ca="1">IFERROR(__xludf.DUMMYFUNCTION("""COMPUTED_VALUE"""),-0.564945246067285)</f>
        <v>-0.56494524606728502</v>
      </c>
      <c r="IC139" s="3">
        <f ca="1">IFERROR(__xludf.DUMMYFUNCTION("""COMPUTED_VALUE"""),-0.702152672312078)</f>
        <v>-0.70215267231207801</v>
      </c>
      <c r="ID139" s="3">
        <f ca="1">IFERROR(__xludf.DUMMYFUNCTION("""COMPUTED_VALUE"""),-0.699853839551874)</f>
        <v>-0.69985383955187397</v>
      </c>
      <c r="IE139" s="3">
        <f ca="1">IFERROR(__xludf.DUMMYFUNCTION("""COMPUTED_VALUE"""),-0.713271806965204)</f>
        <v>-0.71327180696520398</v>
      </c>
      <c r="IF139" s="3">
        <f ca="1">IFERROR(__xludf.DUMMYFUNCTION("""COMPUTED_VALUE"""),-0.687395100542548)</f>
        <v>-0.68739510054254804</v>
      </c>
      <c r="IG139" s="3">
        <f ca="1">IFERROR(__xludf.DUMMYFUNCTION("""COMPUTED_VALUE"""),-0.696776344430933)</f>
        <v>-0.69677634443093295</v>
      </c>
      <c r="IH139" s="3">
        <f ca="1">IFERROR(__xludf.DUMMYFUNCTION("""COMPUTED_VALUE"""),-0.58185768121)</f>
        <v>-0.58185768121000003</v>
      </c>
      <c r="II139" s="3">
        <f ca="1">IFERROR(__xludf.DUMMYFUNCTION("""COMPUTED_VALUE"""),-0.58580234378898)</f>
        <v>-0.58580234378898</v>
      </c>
      <c r="IJ139" s="3">
        <f ca="1">IFERROR(__xludf.DUMMYFUNCTION("""COMPUTED_VALUE"""),-0.686871328126653)</f>
        <v>-0.68687132812665297</v>
      </c>
      <c r="IK139" s="3">
        <f ca="1">IFERROR(__xludf.DUMMYFUNCTION("""COMPUTED_VALUE"""),-0.707720454658384)</f>
        <v>-0.70772045465838396</v>
      </c>
      <c r="IL139" s="3">
        <f ca="1">IFERROR(__xludf.DUMMYFUNCTION("""COMPUTED_VALUE"""),-0.720784121918651)</f>
        <v>-0.72078412191865104</v>
      </c>
      <c r="IM139" s="3">
        <f ca="1">IFERROR(__xludf.DUMMYFUNCTION("""COMPUTED_VALUE"""),-0.707894913548242)</f>
        <v>-0.70789491354824197</v>
      </c>
      <c r="IN139" s="3">
        <f ca="1">IFERROR(__xludf.DUMMYFUNCTION("""COMPUTED_VALUE"""),-0.717110447880537)</f>
        <v>-0.71711044788053702</v>
      </c>
      <c r="IO139" s="3">
        <f ca="1">IFERROR(__xludf.DUMMYFUNCTION("""COMPUTED_VALUE"""),-0.612367366309911)</f>
        <v>-0.61236736630991095</v>
      </c>
      <c r="IP139" s="3">
        <f ca="1">IFERROR(__xludf.DUMMYFUNCTION("""COMPUTED_VALUE"""),-0.617976008342178)</f>
        <v>-0.61797600834217803</v>
      </c>
      <c r="IQ139" s="3">
        <f ca="1">IFERROR(__xludf.DUMMYFUNCTION("""COMPUTED_VALUE"""),-0.703076173387187)</f>
        <v>-0.70307617338718698</v>
      </c>
      <c r="IR139" s="3">
        <f ca="1">IFERROR(__xludf.DUMMYFUNCTION("""COMPUTED_VALUE"""),-0.733135536053807)</f>
        <v>-0.73313553605380699</v>
      </c>
      <c r="IS139" s="3">
        <f ca="1">IFERROR(__xludf.DUMMYFUNCTION("""COMPUTED_VALUE"""),-0.725913262141917)</f>
        <v>-0.72591326214191698</v>
      </c>
      <c r="IT139" s="3">
        <f ca="1">IFERROR(__xludf.DUMMYFUNCTION("""COMPUTED_VALUE"""),-0.728942456581178)</f>
        <v>-0.72894245658117796</v>
      </c>
      <c r="IU139" s="3">
        <f ca="1">IFERROR(__xludf.DUMMYFUNCTION("""COMPUTED_VALUE"""),-0.723324633959608)</f>
        <v>-0.723324633959608</v>
      </c>
      <c r="IV139" s="3">
        <f ca="1">IFERROR(__xludf.DUMMYFUNCTION("""COMPUTED_VALUE"""),-0.612607842731237)</f>
        <v>-0.61260784273123703</v>
      </c>
      <c r="IW139" s="3">
        <f ca="1">IFERROR(__xludf.DUMMYFUNCTION("""COMPUTED_VALUE"""),-0.608162664770639)</f>
        <v>-0.60816266477063896</v>
      </c>
      <c r="IX139" s="3">
        <f ca="1">IFERROR(__xludf.DUMMYFUNCTION("""COMPUTED_VALUE"""),-0.710513780485509)</f>
        <v>-0.71051378048550895</v>
      </c>
      <c r="IY139" s="3">
        <f ca="1">IFERROR(__xludf.DUMMYFUNCTION("""COMPUTED_VALUE"""),-0.725103980515851)</f>
        <v>-0.72510398051585101</v>
      </c>
      <c r="IZ139" s="3">
        <f ca="1">IFERROR(__xludf.DUMMYFUNCTION("""COMPUTED_VALUE"""),-0.722760271166737)</f>
        <v>-0.72276027116673702</v>
      </c>
      <c r="JA139" s="3">
        <f ca="1">IFERROR(__xludf.DUMMYFUNCTION("""COMPUTED_VALUE"""),-0.72788389467034)</f>
        <v>-0.72788389467033998</v>
      </c>
      <c r="JB139" s="3">
        <f ca="1">IFERROR(__xludf.DUMMYFUNCTION("""COMPUTED_VALUE"""),-0.706128246349996)</f>
        <v>-0.70612824634999605</v>
      </c>
      <c r="JC139" s="3">
        <f ca="1">IFERROR(__xludf.DUMMYFUNCTION("""COMPUTED_VALUE"""),-0.610435437106972)</f>
        <v>-0.61043543710697201</v>
      </c>
      <c r="JD139" s="3">
        <f ca="1">IFERROR(__xludf.DUMMYFUNCTION("""COMPUTED_VALUE"""),-0.639773600949255)</f>
        <v>-0.63977360094925495</v>
      </c>
      <c r="JE139" s="3">
        <f ca="1">IFERROR(__xludf.DUMMYFUNCTION("""COMPUTED_VALUE"""),-0.72638551812933)</f>
        <v>-0.72638551812933005</v>
      </c>
      <c r="JF139" s="3">
        <f ca="1">IFERROR(__xludf.DUMMYFUNCTION("""COMPUTED_VALUE"""),-0.728766412850683)</f>
        <v>-0.728766412850683</v>
      </c>
      <c r="JG139" s="3">
        <f ca="1">IFERROR(__xludf.DUMMYFUNCTION("""COMPUTED_VALUE"""),-0.733389648261229)</f>
        <v>-0.73338964826122899</v>
      </c>
      <c r="JH139" s="3">
        <f ca="1">IFERROR(__xludf.DUMMYFUNCTION("""COMPUTED_VALUE"""),-0.730530566300212)</f>
        <v>-0.73053056630021196</v>
      </c>
      <c r="JI139" s="3">
        <f ca="1">IFERROR(__xludf.DUMMYFUNCTION("""COMPUTED_VALUE"""),-0.7102995985187)</f>
        <v>-0.71029959851869995</v>
      </c>
      <c r="JJ139" s="3">
        <f ca="1">IFERROR(__xludf.DUMMYFUNCTION("""COMPUTED_VALUE"""),-0.638062305942118)</f>
        <v>-0.63806230594211799</v>
      </c>
      <c r="JK139" s="3">
        <f ca="1">IFERROR(__xludf.DUMMYFUNCTION("""COMPUTED_VALUE"""),-0.636924438244346)</f>
        <v>-0.63692443824434597</v>
      </c>
      <c r="JL139" s="3">
        <f ca="1">IFERROR(__xludf.DUMMYFUNCTION("""COMPUTED_VALUE"""),-0.748143179656578)</f>
        <v>-0.74814317965657795</v>
      </c>
      <c r="JM139" s="3">
        <f ca="1">IFERROR(__xludf.DUMMYFUNCTION("""COMPUTED_VALUE"""),-0.738395795838337)</f>
        <v>-0.73839579583833703</v>
      </c>
      <c r="JN139" s="3">
        <f ca="1">IFERROR(__xludf.DUMMYFUNCTION("""COMPUTED_VALUE"""),-0.734794081618376)</f>
        <v>-0.734794081618376</v>
      </c>
      <c r="JO139" s="3">
        <f ca="1">IFERROR(__xludf.DUMMYFUNCTION("""COMPUTED_VALUE"""),-0.741329911714809)</f>
        <v>-0.741329911714809</v>
      </c>
      <c r="JP139" s="3">
        <f ca="1">IFERROR(__xludf.DUMMYFUNCTION("""COMPUTED_VALUE"""),-0.729682024597674)</f>
        <v>-0.72968202459767395</v>
      </c>
      <c r="JQ139" s="3">
        <f ca="1">IFERROR(__xludf.DUMMYFUNCTION("""COMPUTED_VALUE"""),-0.657993985772316)</f>
        <v>-0.65799398577231605</v>
      </c>
      <c r="JR139" s="3">
        <f ca="1">IFERROR(__xludf.DUMMYFUNCTION("""COMPUTED_VALUE"""),-0.639660914128599)</f>
        <v>-0.63966091412859905</v>
      </c>
      <c r="JS139" s="3">
        <f ca="1">IFERROR(__xludf.DUMMYFUNCTION("""COMPUTED_VALUE"""),-0.70541657765615)</f>
        <v>-0.70541657765614996</v>
      </c>
      <c r="JT139" s="3">
        <f ca="1">IFERROR(__xludf.DUMMYFUNCTION("""COMPUTED_VALUE"""),-0.710955882018254)</f>
        <v>-0.71095588201825399</v>
      </c>
      <c r="JU139" s="3">
        <f ca="1">IFERROR(__xludf.DUMMYFUNCTION("""COMPUTED_VALUE"""),-0.747561095815309)</f>
        <v>-0.74756109581530905</v>
      </c>
      <c r="JV139" s="3">
        <f ca="1">IFERROR(__xludf.DUMMYFUNCTION("""COMPUTED_VALUE"""),-0.740243534915708)</f>
        <v>-0.74024353491570805</v>
      </c>
      <c r="JW139" s="3">
        <f ca="1">IFERROR(__xludf.DUMMYFUNCTION("""COMPUTED_VALUE"""),-0.738957873047359)</f>
        <v>-0.73895787304735905</v>
      </c>
      <c r="JX139" s="3">
        <f ca="1">IFERROR(__xludf.DUMMYFUNCTION("""COMPUTED_VALUE"""),-0.684558877775878)</f>
        <v>-0.68455887777587798</v>
      </c>
      <c r="JY139" s="3">
        <f ca="1">IFERROR(__xludf.DUMMYFUNCTION("""COMPUTED_VALUE"""),-0.702066607246382)</f>
        <v>-0.70206660724638204</v>
      </c>
      <c r="JZ139" s="3">
        <f ca="1">IFERROR(__xludf.DUMMYFUNCTION("""COMPUTED_VALUE"""),-0.678729334272485)</f>
        <v>-0.67872933427248505</v>
      </c>
      <c r="KA139" s="3">
        <f ca="1">IFERROR(__xludf.DUMMYFUNCTION("""COMPUTED_VALUE"""),-0.717489151997863)</f>
        <v>-0.71748915199786301</v>
      </c>
      <c r="KB139" s="3">
        <f ca="1">IFERROR(__xludf.DUMMYFUNCTION("""COMPUTED_VALUE"""),-0.750970514966529)</f>
        <v>-0.750970514966529</v>
      </c>
      <c r="KC139" s="3">
        <f ca="1">IFERROR(__xludf.DUMMYFUNCTION("""COMPUTED_VALUE"""),-0.753434524711012)</f>
        <v>-0.75343452471101202</v>
      </c>
      <c r="KD139" s="3">
        <f ca="1">IFERROR(__xludf.DUMMYFUNCTION("""COMPUTED_VALUE"""),-0.737275071489496)</f>
        <v>-0.737275071489496</v>
      </c>
      <c r="KE139" s="3">
        <f ca="1">IFERROR(__xludf.DUMMYFUNCTION("""COMPUTED_VALUE"""),-0.673372049094396)</f>
        <v>-0.67337204909439596</v>
      </c>
      <c r="KF139" s="3">
        <f ca="1">IFERROR(__xludf.DUMMYFUNCTION("""COMPUTED_VALUE"""),-0.669893748521154)</f>
        <v>-0.66989374852115402</v>
      </c>
      <c r="KG139" s="3">
        <f ca="1">IFERROR(__xludf.DUMMYFUNCTION("""COMPUTED_VALUE"""),-0.682032094108423)</f>
        <v>-0.68203209410842303</v>
      </c>
      <c r="KH139" s="3">
        <f ca="1">IFERROR(__xludf.DUMMYFUNCTION("""COMPUTED_VALUE"""),-0.678373964892398)</f>
        <v>-0.67837396489239798</v>
      </c>
      <c r="KI139" s="3">
        <f ca="1">IFERROR(__xludf.DUMMYFUNCTION("""COMPUTED_VALUE"""),-0.740151793524785)</f>
        <v>-0.740151793524785</v>
      </c>
      <c r="KJ139" s="3">
        <f ca="1">IFERROR(__xludf.DUMMYFUNCTION("""COMPUTED_VALUE"""),-0.746436065384929)</f>
        <v>-0.74643606538492902</v>
      </c>
      <c r="KK139" s="3">
        <f ca="1">IFERROR(__xludf.DUMMYFUNCTION("""COMPUTED_VALUE"""),-0.747026345817807)</f>
        <v>-0.74702634581780702</v>
      </c>
      <c r="KL139" s="3">
        <f ca="1">IFERROR(__xludf.DUMMYFUNCTION("""COMPUTED_VALUE"""),-0.686538556069456)</f>
        <v>-0.68653855606945602</v>
      </c>
      <c r="KM139" s="3">
        <f ca="1">IFERROR(__xludf.DUMMYFUNCTION("""COMPUTED_VALUE"""),-0.676153114193551)</f>
        <v>-0.67615311419355095</v>
      </c>
      <c r="KN139" s="3">
        <f ca="1">IFERROR(__xludf.DUMMYFUNCTION("""COMPUTED_VALUE"""),-0.72170565007659)</f>
        <v>-0.72170565007659004</v>
      </c>
      <c r="KO139" s="3">
        <f ca="1">IFERROR(__xludf.DUMMYFUNCTION("""COMPUTED_VALUE"""),-0.744051921148589)</f>
        <v>-0.74405192114858898</v>
      </c>
      <c r="KP139" s="3">
        <f ca="1">IFERROR(__xludf.DUMMYFUNCTION("""COMPUTED_VALUE"""),-0.76419851869162)</f>
        <v>-0.76419851869162003</v>
      </c>
      <c r="KQ139" s="3">
        <f ca="1">IFERROR(__xludf.DUMMYFUNCTION("""COMPUTED_VALUE"""),-0.773409492429459)</f>
        <v>-0.773409492429459</v>
      </c>
      <c r="KR139" s="3">
        <f ca="1">IFERROR(__xludf.DUMMYFUNCTION("""COMPUTED_VALUE"""),-0.769823580428912)</f>
        <v>-0.76982358042891197</v>
      </c>
      <c r="KS139" s="3">
        <f ca="1">IFERROR(__xludf.DUMMYFUNCTION("""COMPUTED_VALUE"""),-0.718474877949902)</f>
        <v>-0.71847487794990195</v>
      </c>
      <c r="KT139" s="3">
        <f ca="1">IFERROR(__xludf.DUMMYFUNCTION("""COMPUTED_VALUE"""),-0.7125375473331)</f>
        <v>-0.71253754733310004</v>
      </c>
      <c r="KU139" s="3">
        <f ca="1">IFERROR(__xludf.DUMMYFUNCTION("""COMPUTED_VALUE"""),-0.747433687195361)</f>
        <v>-0.74743368719536096</v>
      </c>
      <c r="KV139" s="3">
        <f ca="1">IFERROR(__xludf.DUMMYFUNCTION("""COMPUTED_VALUE"""),-0.78847299684432)</f>
        <v>-0.78847299684432004</v>
      </c>
      <c r="KW139" s="3">
        <f ca="1">IFERROR(__xludf.DUMMYFUNCTION("""COMPUTED_VALUE"""),-0.785595940677958)</f>
        <v>-0.78559594067795802</v>
      </c>
      <c r="KX139" s="3">
        <f ca="1">IFERROR(__xludf.DUMMYFUNCTION("""COMPUTED_VALUE"""),-0.798255200400461)</f>
        <v>-0.79825520040046105</v>
      </c>
      <c r="KY139" s="3">
        <f ca="1">IFERROR(__xludf.DUMMYFUNCTION("""COMPUTED_VALUE"""),-0.781635932944396)</f>
        <v>-0.78163593294439604</v>
      </c>
      <c r="KZ139" s="3">
        <f ca="1">IFERROR(__xludf.DUMMYFUNCTION("""COMPUTED_VALUE"""),-0.735056966756909)</f>
        <v>-0.73505696675690901</v>
      </c>
      <c r="LA139" s="3">
        <f ca="1">IFERROR(__xludf.DUMMYFUNCTION("""COMPUTED_VALUE"""),-0.712177646779128)</f>
        <v>-0.71217764677912798</v>
      </c>
      <c r="LB139" s="3">
        <f ca="1">IFERROR(__xludf.DUMMYFUNCTION("""COMPUTED_VALUE"""),-0.787950367838718)</f>
        <v>-0.78795036783871797</v>
      </c>
      <c r="LC139" s="3">
        <f ca="1">IFERROR(__xludf.DUMMYFUNCTION("""COMPUTED_VALUE"""),-0.807199195304568)</f>
        <v>-0.80719919530456796</v>
      </c>
      <c r="LD139" s="3">
        <f ca="1">IFERROR(__xludf.DUMMYFUNCTION("""COMPUTED_VALUE"""),-0.785795502188504)</f>
        <v>-0.78579550218850402</v>
      </c>
      <c r="LE139" s="3">
        <f ca="1">IFERROR(__xludf.DUMMYFUNCTION("""COMPUTED_VALUE"""),-0.78855255195628)</f>
        <v>-0.78855255195628005</v>
      </c>
      <c r="LF139" s="3">
        <f ca="1">IFERROR(__xludf.DUMMYFUNCTION("""COMPUTED_VALUE"""),-0.742883075149375)</f>
        <v>-0.74288307514937502</v>
      </c>
      <c r="LG139" s="3">
        <f ca="1">IFERROR(__xludf.DUMMYFUNCTION("""COMPUTED_VALUE"""),-0.738969576571496)</f>
        <v>-0.73896957657149598</v>
      </c>
      <c r="LH139" s="3">
        <f ca="1">IFERROR(__xludf.DUMMYFUNCTION("""COMPUTED_VALUE"""),-0.717744249971728)</f>
        <v>-0.71774424997172803</v>
      </c>
      <c r="LI139" s="3">
        <f ca="1">IFERROR(__xludf.DUMMYFUNCTION("""COMPUTED_VALUE"""),-0.766726322791682)</f>
        <v>-0.76672632279168196</v>
      </c>
      <c r="LJ139" s="3">
        <f ca="1">IFERROR(__xludf.DUMMYFUNCTION("""COMPUTED_VALUE"""),-0.799805271719839)</f>
        <v>-0.79980527171983895</v>
      </c>
      <c r="LK139" s="3">
        <f ca="1">IFERROR(__xludf.DUMMYFUNCTION("""COMPUTED_VALUE"""),-0.781895280053617)</f>
        <v>-0.78189528005361697</v>
      </c>
      <c r="LL139" s="3">
        <f ca="1">IFERROR(__xludf.DUMMYFUNCTION("""COMPUTED_VALUE"""),-0.786088208081965)</f>
        <v>-0.786088208081965</v>
      </c>
      <c r="LM139" s="3">
        <f ca="1">IFERROR(__xludf.DUMMYFUNCTION("""COMPUTED_VALUE"""),-0.806069481076191)</f>
        <v>-0.80606948107619103</v>
      </c>
      <c r="LN139" s="3">
        <f ca="1">IFERROR(__xludf.DUMMYFUNCTION("""COMPUTED_VALUE"""),-0.726022744637031)</f>
        <v>-0.72602274463703098</v>
      </c>
      <c r="LO139" s="3">
        <f ca="1">IFERROR(__xludf.DUMMYFUNCTION("""COMPUTED_VALUE"""),-0.76124815060295)</f>
        <v>-0.76124815060295004</v>
      </c>
      <c r="LP139" s="3">
        <f ca="1">IFERROR(__xludf.DUMMYFUNCTION("""COMPUTED_VALUE"""),-0.794318355643983)</f>
        <v>-0.79431835564398301</v>
      </c>
      <c r="LQ139" s="3">
        <f ca="1">IFERROR(__xludf.DUMMYFUNCTION("""COMPUTED_VALUE"""),-0.805282225217231)</f>
        <v>-0.80528222521723103</v>
      </c>
      <c r="LR139" s="3">
        <f ca="1">IFERROR(__xludf.DUMMYFUNCTION("""COMPUTED_VALUE"""),-0.79852894278953)</f>
        <v>-0.79852894278953002</v>
      </c>
      <c r="LS139" s="3">
        <f ca="1">IFERROR(__xludf.DUMMYFUNCTION("""COMPUTED_VALUE"""),-0.797579559477638)</f>
        <v>-0.79757955947763803</v>
      </c>
      <c r="LT139" s="3">
        <f ca="1">IFERROR(__xludf.DUMMYFUNCTION("""COMPUTED_VALUE"""),-0.765393308983476)</f>
        <v>-0.76539330898347602</v>
      </c>
      <c r="LU139" s="3">
        <f ca="1">IFERROR(__xludf.DUMMYFUNCTION("""COMPUTED_VALUE"""),-0.723229700104679)</f>
        <v>-0.72322970010467902</v>
      </c>
      <c r="LV139" s="3">
        <f ca="1">IFERROR(__xludf.DUMMYFUNCTION("""COMPUTED_VALUE"""),-0.753640985084747)</f>
        <v>-0.75364098508474697</v>
      </c>
      <c r="LW139" s="3">
        <f ca="1">IFERROR(__xludf.DUMMYFUNCTION("""COMPUTED_VALUE"""),-0.800331153760033)</f>
        <v>-0.80033115376003305</v>
      </c>
      <c r="LX139" s="3">
        <f ca="1">IFERROR(__xludf.DUMMYFUNCTION("""COMPUTED_VALUE"""),-0.79704066938505)</f>
        <v>-0.79704066938505003</v>
      </c>
      <c r="LY139" s="3">
        <f ca="1">IFERROR(__xludf.DUMMYFUNCTION("""COMPUTED_VALUE"""),-0.800554412360533)</f>
        <v>-0.80055441236053304</v>
      </c>
      <c r="LZ139" s="3">
        <f ca="1">IFERROR(__xludf.DUMMYFUNCTION("""COMPUTED_VALUE"""),-0.806529702112269)</f>
        <v>-0.80652970211226904</v>
      </c>
      <c r="MA139" s="3">
        <f ca="1">IFERROR(__xludf.DUMMYFUNCTION("""COMPUTED_VALUE"""),-0.80803866291539)</f>
        <v>-0.80803866291538995</v>
      </c>
      <c r="MB139" s="3">
        <f ca="1">IFERROR(__xludf.DUMMYFUNCTION("""COMPUTED_VALUE"""),-0.738888622355828)</f>
        <v>-0.73888862235582797</v>
      </c>
      <c r="MC139" s="3">
        <f ca="1">IFERROR(__xludf.DUMMYFUNCTION("""COMPUTED_VALUE"""),-0.740311410027586)</f>
        <v>-0.74031141002758605</v>
      </c>
      <c r="MD139" s="3">
        <f ca="1">IFERROR(__xludf.DUMMYFUNCTION("""COMPUTED_VALUE"""),-0.800389802488636)</f>
        <v>-0.800389802488636</v>
      </c>
      <c r="ME139" s="3">
        <f ca="1">IFERROR(__xludf.DUMMYFUNCTION("""COMPUTED_VALUE"""),-0.806119377257784)</f>
        <v>-0.80611937725778404</v>
      </c>
      <c r="MF139" s="3">
        <f ca="1">IFERROR(__xludf.DUMMYFUNCTION("""COMPUTED_VALUE"""),-0.820656587125663)</f>
        <v>-0.82065658712566303</v>
      </c>
      <c r="MG139" s="3">
        <f ca="1">IFERROR(__xludf.DUMMYFUNCTION("""COMPUTED_VALUE"""),-0.808432995657036)</f>
        <v>-0.80843299565703597</v>
      </c>
      <c r="MH139" s="3">
        <f ca="1">IFERROR(__xludf.DUMMYFUNCTION("""COMPUTED_VALUE"""),-0.805089861569607)</f>
        <v>-0.80508986156960705</v>
      </c>
      <c r="MI139" s="3">
        <f ca="1">IFERROR(__xludf.DUMMYFUNCTION("""COMPUTED_VALUE"""),-0.754506520548639)</f>
        <v>-0.75450652054863898</v>
      </c>
      <c r="MJ139" s="3">
        <f ca="1">IFERROR(__xludf.DUMMYFUNCTION("""COMPUTED_VALUE"""),-0.794596033488281)</f>
        <v>-0.79459603348828101</v>
      </c>
      <c r="MK139" s="3">
        <f ca="1">IFERROR(__xludf.DUMMYFUNCTION("""COMPUTED_VALUE"""),-0.800435347661143)</f>
        <v>-0.80043534766114299</v>
      </c>
      <c r="ML139" s="3">
        <f ca="1">IFERROR(__xludf.DUMMYFUNCTION("""COMPUTED_VALUE"""),-0.822095825153829)</f>
        <v>-0.82209582515382895</v>
      </c>
      <c r="MM139" s="3">
        <f ca="1">IFERROR(__xludf.DUMMYFUNCTION("""COMPUTED_VALUE"""),-0.808426191339011)</f>
        <v>-0.80842619133901095</v>
      </c>
      <c r="MN139" s="3">
        <f ca="1">IFERROR(__xludf.DUMMYFUNCTION("""COMPUTED_VALUE"""),-0.814967134587754)</f>
        <v>-0.81496713458775405</v>
      </c>
      <c r="MO139" s="3">
        <f ca="1">IFERROR(__xludf.DUMMYFUNCTION("""COMPUTED_VALUE"""),-0.811651324374196)</f>
        <v>-0.81165132437419596</v>
      </c>
      <c r="MP139" s="3">
        <f ca="1">IFERROR(__xludf.DUMMYFUNCTION("""COMPUTED_VALUE"""),-0.732068127831831)</f>
        <v>-0.73206812783183095</v>
      </c>
      <c r="MQ139" s="3">
        <f ca="1">IFERROR(__xludf.DUMMYFUNCTION("""COMPUTED_VALUE"""),-0.781877641446289)</f>
        <v>-0.78187764144628902</v>
      </c>
      <c r="MR139" s="3">
        <f ca="1">IFERROR(__xludf.DUMMYFUNCTION("""COMPUTED_VALUE"""),-0.817164219899145)</f>
        <v>-0.81716421989914501</v>
      </c>
      <c r="MS139" s="3">
        <f ca="1">IFERROR(__xludf.DUMMYFUNCTION("""COMPUTED_VALUE"""),-0.824024120392704)</f>
        <v>-0.82402412039270401</v>
      </c>
      <c r="MT139" s="3">
        <f ca="1">IFERROR(__xludf.DUMMYFUNCTION("""COMPUTED_VALUE"""),-0.836449582162823)</f>
        <v>-0.83644958216282295</v>
      </c>
      <c r="MU139" s="3">
        <f ca="1">IFERROR(__xludf.DUMMYFUNCTION("""COMPUTED_VALUE"""),-0.810794011318217)</f>
        <v>-0.81079401131821704</v>
      </c>
      <c r="MV139" s="3">
        <f ca="1">IFERROR(__xludf.DUMMYFUNCTION("""COMPUTED_VALUE"""),-0.793030990732281)</f>
        <v>-0.793030990732281</v>
      </c>
      <c r="MW139" s="3">
        <f ca="1">IFERROR(__xludf.DUMMYFUNCTION("""COMPUTED_VALUE"""),-0.760593292444762)</f>
        <v>-0.76059329244476204</v>
      </c>
      <c r="MX139" s="3">
        <f ca="1">IFERROR(__xludf.DUMMYFUNCTION("""COMPUTED_VALUE"""),-0.775110129920137)</f>
        <v>-0.77511012992013695</v>
      </c>
      <c r="MY139" s="3">
        <f ca="1">IFERROR(__xludf.DUMMYFUNCTION("""COMPUTED_VALUE"""),-0.807055325201798)</f>
        <v>-0.80705532520179801</v>
      </c>
      <c r="MZ139" s="3">
        <f ca="1">IFERROR(__xludf.DUMMYFUNCTION("""COMPUTED_VALUE"""),-0.8226582366356)</f>
        <v>-0.8226582366356</v>
      </c>
      <c r="NA139" s="3">
        <f ca="1">IFERROR(__xludf.DUMMYFUNCTION("""COMPUTED_VALUE"""),-0.820945688211343)</f>
        <v>-0.82094568821134295</v>
      </c>
      <c r="NB139" s="3">
        <f ca="1">IFERROR(__xludf.DUMMYFUNCTION("""COMPUTED_VALUE"""),-0.817758269435447)</f>
        <v>-0.81775826943544705</v>
      </c>
      <c r="NC139" s="3">
        <f ca="1">IFERROR(__xludf.DUMMYFUNCTION("""COMPUTED_VALUE"""),-0.81192044082179)</f>
        <v>-0.81192044082179005</v>
      </c>
      <c r="ND139" s="3">
        <f ca="1">IFERROR(__xludf.DUMMYFUNCTION("""COMPUTED_VALUE"""),-0.742372828318197)</f>
        <v>-0.74237282831819695</v>
      </c>
      <c r="NE139" s="3">
        <f ca="1">IFERROR(__xludf.DUMMYFUNCTION("""COMPUTED_VALUE"""),-0.769620461814011)</f>
        <v>-0.769620461814011</v>
      </c>
      <c r="NF139" s="3">
        <f ca="1">IFERROR(__xludf.DUMMYFUNCTION("""COMPUTED_VALUE"""),-0.795303238489188)</f>
        <v>-0.79530323848918805</v>
      </c>
      <c r="NG139" s="3">
        <f ca="1">IFERROR(__xludf.DUMMYFUNCTION("""COMPUTED_VALUE"""),-0.810395973973954)</f>
        <v>-0.81039597397395402</v>
      </c>
      <c r="NH139" s="3">
        <f ca="1">IFERROR(__xludf.DUMMYFUNCTION("""COMPUTED_VALUE"""),-0.808324573494193)</f>
        <v>-0.80832457349419296</v>
      </c>
      <c r="NI139" s="3">
        <f ca="1">IFERROR(__xludf.DUMMYFUNCTION("""COMPUTED_VALUE"""),-0.819801503348797)</f>
        <v>-0.81980150334879698</v>
      </c>
      <c r="NJ139" s="3">
        <f ca="1">IFERROR(__xludf.DUMMYFUNCTION("""COMPUTED_VALUE"""),-0.786794740956036)</f>
        <v>-0.78679474095603597</v>
      </c>
      <c r="NK139" s="3">
        <f ca="1">IFERROR(__xludf.DUMMYFUNCTION("""COMPUTED_VALUE"""),-0.762547193713556)</f>
        <v>-0.76254719371355595</v>
      </c>
      <c r="NL139" s="3">
        <f ca="1">IFERROR(__xludf.DUMMYFUNCTION("""COMPUTED_VALUE"""),-0.776871495109091)</f>
        <v>-0.77687149510909104</v>
      </c>
      <c r="NM139" s="3">
        <f ca="1">IFERROR(__xludf.DUMMYFUNCTION("""COMPUTED_VALUE"""),-0.797006566032316)</f>
        <v>-0.79700656603231601</v>
      </c>
      <c r="NN139" s="3">
        <f ca="1">IFERROR(__xludf.DUMMYFUNCTION("""COMPUTED_VALUE"""),-0.791177789041064)</f>
        <v>-0.79117778904106395</v>
      </c>
      <c r="NO139" s="3">
        <f ca="1">IFERROR(__xludf.DUMMYFUNCTION("""COMPUTED_VALUE"""),-0.804582474725812)</f>
        <v>-0.80458247472581201</v>
      </c>
      <c r="NP139" s="3">
        <f ca="1">IFERROR(__xludf.DUMMYFUNCTION("""COMPUTED_VALUE"""),-0.806111209139268)</f>
        <v>-0.80611120913926804</v>
      </c>
      <c r="NQ139" s="3">
        <f ca="1">IFERROR(__xludf.DUMMYFUNCTION("""COMPUTED_VALUE"""),-0.796847186912801)</f>
        <v>-0.79684718691280099</v>
      </c>
      <c r="NR139" s="3">
        <f ca="1">IFERROR(__xludf.DUMMYFUNCTION("""COMPUTED_VALUE"""),-0.748195748804042)</f>
        <v>-0.74819574880404205</v>
      </c>
      <c r="NS139" s="3">
        <f ca="1">IFERROR(__xludf.DUMMYFUNCTION("""COMPUTED_VALUE"""),-0.768323463235909)</f>
        <v>-0.76832346323590905</v>
      </c>
      <c r="NT139" s="3">
        <f ca="1">IFERROR(__xludf.DUMMYFUNCTION("""COMPUTED_VALUE"""),-0.788994043844788)</f>
        <v>-0.788994043844788</v>
      </c>
      <c r="NU139" s="3">
        <f ca="1">IFERROR(__xludf.DUMMYFUNCTION("""COMPUTED_VALUE"""),-0.802933187829614)</f>
        <v>-0.80293318782961398</v>
      </c>
      <c r="NV139" s="3">
        <f ca="1">IFERROR(__xludf.DUMMYFUNCTION("""COMPUTED_VALUE"""),-0.779813731868523)</f>
        <v>-0.77981373186852299</v>
      </c>
      <c r="NW139" s="3">
        <f ca="1">IFERROR(__xludf.DUMMYFUNCTION("""COMPUTED_VALUE"""),-0.725732539334183)</f>
        <v>-0.72573253933418302</v>
      </c>
      <c r="NX139" s="3">
        <f ca="1">IFERROR(__xludf.DUMMYFUNCTION("""COMPUTED_VALUE"""),-0.724526891838541)</f>
        <v>-0.72452689183854102</v>
      </c>
      <c r="NY139" s="3">
        <f ca="1">IFERROR(__xludf.DUMMYFUNCTION("""COMPUTED_VALUE"""),-0.689784601218622)</f>
        <v>-0.68978460121862195</v>
      </c>
      <c r="NZ139" s="3">
        <f ca="1">IFERROR(__xludf.DUMMYFUNCTION("""COMPUTED_VALUE"""),-0.665081716234745)</f>
        <v>-0.66508171623474499</v>
      </c>
      <c r="OA139" s="3">
        <f ca="1">IFERROR(__xludf.DUMMYFUNCTION("""COMPUTED_VALUE"""),-0.692180132538657)</f>
        <v>-0.69218013253865696</v>
      </c>
      <c r="OB139" s="3">
        <f ca="1">IFERROR(__xludf.DUMMYFUNCTION("""COMPUTED_VALUE"""),-0.69839091168247)</f>
        <v>-0.69839091168247003</v>
      </c>
      <c r="OC139" s="3">
        <f ca="1">IFERROR(__xludf.DUMMYFUNCTION("""COMPUTED_VALUE"""),-0.684729311892866)</f>
        <v>-0.68472931189286601</v>
      </c>
      <c r="OD139" s="3">
        <f ca="1">IFERROR(__xludf.DUMMYFUNCTION("""COMPUTED_VALUE"""),-0.673298502826556)</f>
        <v>-0.67329850282655601</v>
      </c>
      <c r="OE139" s="3">
        <f ca="1">IFERROR(__xludf.DUMMYFUNCTION("""COMPUTED_VALUE"""),-0.618112694715407)</f>
        <v>-0.61811269471540697</v>
      </c>
      <c r="OF139" s="3">
        <f ca="1">IFERROR(__xludf.DUMMYFUNCTION("""COMPUTED_VALUE"""),-0.472667501281172)</f>
        <v>-0.47266750128117202</v>
      </c>
      <c r="OG139" s="3">
        <f ca="1">IFERROR(__xludf.DUMMYFUNCTION("""COMPUTED_VALUE"""),-0.475902971646065)</f>
        <v>-0.47590297164606499</v>
      </c>
      <c r="OH139" s="3">
        <f ca="1">IFERROR(__xludf.DUMMYFUNCTION("""COMPUTED_VALUE"""),-0.487796784993669)</f>
        <v>-0.48779678499366902</v>
      </c>
      <c r="OI139" s="3">
        <f ca="1">IFERROR(__xludf.DUMMYFUNCTION("""COMPUTED_VALUE"""),-0.473124835285392)</f>
        <v>-0.47312483528539201</v>
      </c>
      <c r="OJ139" s="3">
        <f ca="1">IFERROR(__xludf.DUMMYFUNCTION("""COMPUTED_VALUE"""),-0.3722242606897)</f>
        <v>-0.37222426068969999</v>
      </c>
      <c r="OK139" s="3">
        <f ca="1">IFERROR(__xludf.DUMMYFUNCTION("""COMPUTED_VALUE"""),-0.373921098634751)</f>
        <v>-0.37392109863475098</v>
      </c>
      <c r="OL139" s="3">
        <f ca="1">IFERROR(__xludf.DUMMYFUNCTION("""COMPUTED_VALUE"""),-0.334011377807675)</f>
        <v>-0.33401137780767498</v>
      </c>
      <c r="OM139" s="3">
        <f ca="1">IFERROR(__xludf.DUMMYFUNCTION("""COMPUTED_VALUE"""),-0.286605654371207)</f>
        <v>-0.286605654371207</v>
      </c>
      <c r="ON139" s="3">
        <f ca="1">IFERROR(__xludf.DUMMYFUNCTION("""COMPUTED_VALUE"""),-0.325465057533422)</f>
        <v>-0.32546505753342198</v>
      </c>
      <c r="OO139" s="3">
        <f ca="1">IFERROR(__xludf.DUMMYFUNCTION("""COMPUTED_VALUE"""),-0.289839927193908)</f>
        <v>-0.289839927193908</v>
      </c>
      <c r="OP139" s="3">
        <f ca="1">IFERROR(__xludf.DUMMYFUNCTION("""COMPUTED_VALUE"""),-0.26423606390184)</f>
        <v>-0.26423606390184001</v>
      </c>
      <c r="OQ139" s="3">
        <f ca="1">IFERROR(__xludf.DUMMYFUNCTION("""COMPUTED_VALUE"""),-0.156868090181074)</f>
        <v>-0.156868090181074</v>
      </c>
      <c r="OR139" s="3">
        <f ca="1">IFERROR(__xludf.DUMMYFUNCTION("""COMPUTED_VALUE"""),-0.140723485100848)</f>
        <v>-0.14072348510084801</v>
      </c>
      <c r="OS139" s="3">
        <f ca="1">IFERROR(__xludf.DUMMYFUNCTION("""COMPUTED_VALUE"""),-0.108903377245094)</f>
        <v>-0.108903377245094</v>
      </c>
      <c r="OT139" s="3">
        <f ca="1">IFERROR(__xludf.DUMMYFUNCTION("""COMPUTED_VALUE"""),-0.0529334601097822)</f>
        <v>-5.2933460109782199E-2</v>
      </c>
      <c r="OU139" s="3">
        <f ca="1">IFERROR(__xludf.DUMMYFUNCTION("""COMPUTED_VALUE"""),-0.00724203833035708)</f>
        <v>-7.2420383303570804E-3</v>
      </c>
      <c r="OV139" s="3">
        <f ca="1">IFERROR(__xludf.DUMMYFUNCTION("""COMPUTED_VALUE"""),0.032238987173671)</f>
        <v>3.2238987173670998E-2</v>
      </c>
      <c r="OW139" s="3">
        <f ca="1">IFERROR(__xludf.DUMMYFUNCTION("""COMPUTED_VALUE"""),0.0155804125665159)</f>
        <v>1.55804125665159E-2</v>
      </c>
      <c r="OX139" s="3">
        <f ca="1">IFERROR(__xludf.DUMMYFUNCTION("""COMPUTED_VALUE"""),0.00252058783321285)</f>
        <v>2.5205878332128502E-3</v>
      </c>
      <c r="OY139" s="3">
        <f ca="1">IFERROR(__xludf.DUMMYFUNCTION("""COMPUTED_VALUE"""),-0.0101974628641074)</f>
        <v>-1.0197462864107399E-2</v>
      </c>
      <c r="OZ139" s="3">
        <f ca="1">IFERROR(__xludf.DUMMYFUNCTION("""COMPUTED_VALUE"""),0.0768724154026625)</f>
        <v>7.68724154026625E-2</v>
      </c>
      <c r="PA139" s="3">
        <f ca="1">IFERROR(__xludf.DUMMYFUNCTION("""COMPUTED_VALUE"""),-0.0476783957506815)</f>
        <v>-4.7678395750681501E-2</v>
      </c>
      <c r="PB139" s="3">
        <f ca="1">IFERROR(__xludf.DUMMYFUNCTION("""COMPUTED_VALUE"""),-0.0566188557456933)</f>
        <v>-5.6618855745693301E-2</v>
      </c>
      <c r="PC139" s="3">
        <f ca="1">IFERROR(__xludf.DUMMYFUNCTION("""COMPUTED_VALUE"""),-0.00738489860716362)</f>
        <v>-7.3848986071636197E-3</v>
      </c>
      <c r="PD139" s="3">
        <f ca="1">IFERROR(__xludf.DUMMYFUNCTION("""COMPUTED_VALUE"""),-0.0260563895847786)</f>
        <v>-2.60563895847786E-2</v>
      </c>
      <c r="PE139" s="3">
        <f ca="1">IFERROR(__xludf.DUMMYFUNCTION("""COMPUTED_VALUE"""),-0.0272425523953071)</f>
        <v>-2.7242552395307099E-2</v>
      </c>
      <c r="PF139" s="3">
        <f ca="1">IFERROR(__xludf.DUMMYFUNCTION("""COMPUTED_VALUE"""),0.0873292167733197)</f>
        <v>8.7329216773319701E-2</v>
      </c>
      <c r="PG139" s="3">
        <f ca="1">IFERROR(__xludf.DUMMYFUNCTION("""COMPUTED_VALUE"""),-0.0945362640422123)</f>
        <v>-9.4536264042212298E-2</v>
      </c>
      <c r="PH139" s="3">
        <f ca="1">IFERROR(__xludf.DUMMYFUNCTION("""COMPUTED_VALUE"""),0.0310357996176315)</f>
        <v>3.1035799617631501E-2</v>
      </c>
      <c r="PI139" s="3">
        <f ca="1">IFERROR(__xludf.DUMMYFUNCTION("""COMPUTED_VALUE"""),0.0624434384183361)</f>
        <v>6.2443438418336099E-2</v>
      </c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</row>
    <row r="140" spans="1:477" ht="13">
      <c r="A140" s="1" t="str">
        <f ca="1">IFERROR(__xludf.DUMMYFUNCTION("""COMPUTED_VALUE"""),"STS")</f>
        <v>STS</v>
      </c>
      <c r="B140" s="1" t="str">
        <f ca="1">IFERROR(__xludf.DUMMYFUNCTION("""COMPUTED_VALUE"""),"Sherbrooke")</f>
        <v>Sherbrooke</v>
      </c>
      <c r="C140" s="1" t="str">
        <f ca="1">IFERROR(__xludf.DUMMYFUNCTION("""COMPUTED_VALUE"""),"Canada")</f>
        <v>Canada</v>
      </c>
      <c r="D140" s="1" t="str">
        <f ca="1">IFERROR(__xludf.DUMMYFUNCTION("""COMPUTED_VALUE"""),"Quebec")</f>
        <v>Quebec</v>
      </c>
      <c r="E140" s="3">
        <f ca="1">IFERROR(__xludf.DUMMYFUNCTION("""COMPUTED_VALUE"""),-0.474143736852528)</f>
        <v>-0.47414373685252797</v>
      </c>
      <c r="F140" s="3">
        <f ca="1">IFERROR(__xludf.DUMMYFUNCTION("""COMPUTED_VALUE"""),-0.544931442620661)</f>
        <v>-0.54493144262066096</v>
      </c>
      <c r="G140" s="3">
        <f ca="1">IFERROR(__xludf.DUMMYFUNCTION("""COMPUTED_VALUE"""),-0.589585782573136)</f>
        <v>-0.58958578257313599</v>
      </c>
      <c r="H140" s="3">
        <f ca="1">IFERROR(__xludf.DUMMYFUNCTION("""COMPUTED_VALUE"""),-0.596184529710519)</f>
        <v>-0.59618452971051905</v>
      </c>
      <c r="I140" s="3">
        <f ca="1">IFERROR(__xludf.DUMMYFUNCTION("""COMPUTED_VALUE"""),-0.600292628002336)</f>
        <v>-0.60029262800233596</v>
      </c>
      <c r="J140" s="3">
        <f ca="1">IFERROR(__xludf.DUMMYFUNCTION("""COMPUTED_VALUE"""),-0.731749347366184)</f>
        <v>-0.73174934736618402</v>
      </c>
      <c r="K140" s="3">
        <f ca="1">IFERROR(__xludf.DUMMYFUNCTION("""COMPUTED_VALUE"""),-0.700905730290597)</f>
        <v>-0.700905730290597</v>
      </c>
      <c r="L140" s="3">
        <f ca="1">IFERROR(__xludf.DUMMYFUNCTION("""COMPUTED_VALUE"""),-0.605527996291451)</f>
        <v>-0.60552799629145104</v>
      </c>
      <c r="M140" s="3">
        <f ca="1">IFERROR(__xludf.DUMMYFUNCTION("""COMPUTED_VALUE"""),-0.693434690735657)</f>
        <v>-0.693434690735657</v>
      </c>
      <c r="N140" s="3">
        <f ca="1">IFERROR(__xludf.DUMMYFUNCTION("""COMPUTED_VALUE"""),-0.591354511383328)</f>
        <v>-0.59135451138332795</v>
      </c>
      <c r="O140" s="3">
        <f ca="1">IFERROR(__xludf.DUMMYFUNCTION("""COMPUTED_VALUE"""),-0.62454065337956)</f>
        <v>-0.62454065337956</v>
      </c>
      <c r="P140" s="3">
        <f ca="1">IFERROR(__xludf.DUMMYFUNCTION("""COMPUTED_VALUE"""),-0.627214486370586)</f>
        <v>-0.62721448637058597</v>
      </c>
      <c r="Q140" s="3">
        <f ca="1">IFERROR(__xludf.DUMMYFUNCTION("""COMPUTED_VALUE"""),-0.592785908008288)</f>
        <v>-0.59278590800828801</v>
      </c>
      <c r="R140" s="3">
        <f ca="1">IFERROR(__xludf.DUMMYFUNCTION("""COMPUTED_VALUE"""),-0.572630007466012)</f>
        <v>-0.572630007466012</v>
      </c>
      <c r="S140" s="3">
        <f ca="1">IFERROR(__xludf.DUMMYFUNCTION("""COMPUTED_VALUE"""),-0.539486787060928)</f>
        <v>-0.53948678706092801</v>
      </c>
      <c r="T140" s="3">
        <f ca="1">IFERROR(__xludf.DUMMYFUNCTION("""COMPUTED_VALUE"""),-0.614283935022601)</f>
        <v>-0.61428393502260104</v>
      </c>
      <c r="U140" s="3">
        <f ca="1">IFERROR(__xludf.DUMMYFUNCTION("""COMPUTED_VALUE"""),-0.579627197906841)</f>
        <v>-0.57962719790684103</v>
      </c>
      <c r="V140" s="3">
        <f ca="1">IFERROR(__xludf.DUMMYFUNCTION("""COMPUTED_VALUE"""),-0.568754899284488)</f>
        <v>-0.56875489928448797</v>
      </c>
      <c r="W140" s="3">
        <f ca="1">IFERROR(__xludf.DUMMYFUNCTION("""COMPUTED_VALUE"""),-0.554385137115219)</f>
        <v>-0.55438513711521897</v>
      </c>
      <c r="X140" s="3">
        <f ca="1">IFERROR(__xludf.DUMMYFUNCTION("""COMPUTED_VALUE"""),-0.570449765596304)</f>
        <v>-0.570449765596304</v>
      </c>
      <c r="Y140" s="3">
        <f ca="1">IFERROR(__xludf.DUMMYFUNCTION("""COMPUTED_VALUE"""),-0.520351557742797)</f>
        <v>-0.52035155774279696</v>
      </c>
      <c r="Z140" s="3">
        <f ca="1">IFERROR(__xludf.DUMMYFUNCTION("""COMPUTED_VALUE"""),-0.550628341665573)</f>
        <v>-0.55062834166557295</v>
      </c>
      <c r="AA140" s="3">
        <f ca="1">IFERROR(__xludf.DUMMYFUNCTION("""COMPUTED_VALUE"""),-0.607553186769107)</f>
        <v>-0.60755318676910697</v>
      </c>
      <c r="AB140" s="3">
        <f ca="1">IFERROR(__xludf.DUMMYFUNCTION("""COMPUTED_VALUE"""),-0.593371050974779)</f>
        <v>-0.59337105097477905</v>
      </c>
      <c r="AC140" s="3">
        <f ca="1">IFERROR(__xludf.DUMMYFUNCTION("""COMPUTED_VALUE"""),-0.585569697117251)</f>
        <v>-0.58556969711725104</v>
      </c>
      <c r="AD140" s="3">
        <f ca="1">IFERROR(__xludf.DUMMYFUNCTION("""COMPUTED_VALUE"""),-0.549684022953888)</f>
        <v>-0.54968402295388796</v>
      </c>
      <c r="AE140" s="3">
        <f ca="1">IFERROR(__xludf.DUMMYFUNCTION("""COMPUTED_VALUE"""),-0.592336487936935)</f>
        <v>-0.59233648793693505</v>
      </c>
      <c r="AF140" s="3">
        <f ca="1">IFERROR(__xludf.DUMMYFUNCTION("""COMPUTED_VALUE"""),-0.576869380114572)</f>
        <v>-0.57686938011457201</v>
      </c>
      <c r="AG140" s="3">
        <f ca="1">IFERROR(__xludf.DUMMYFUNCTION("""COMPUTED_VALUE"""),-0.509399935566631)</f>
        <v>-0.50939993556663099</v>
      </c>
      <c r="AH140" s="3">
        <f ca="1">IFERROR(__xludf.DUMMYFUNCTION("""COMPUTED_VALUE"""),-0.564470592030635)</f>
        <v>-0.56447059203063499</v>
      </c>
      <c r="AI140" s="3">
        <f ca="1">IFERROR(__xludf.DUMMYFUNCTION("""COMPUTED_VALUE"""),-0.52089498666523)</f>
        <v>-0.52089498666523004</v>
      </c>
      <c r="AJ140" s="3">
        <f ca="1">IFERROR(__xludf.DUMMYFUNCTION("""COMPUTED_VALUE"""),-0.509868705378265)</f>
        <v>-0.50986870537826501</v>
      </c>
      <c r="AK140" s="3">
        <f ca="1">IFERROR(__xludf.DUMMYFUNCTION("""COMPUTED_VALUE"""),-0.517223691839861)</f>
        <v>-0.51722369183986106</v>
      </c>
      <c r="AL140" s="3">
        <f ca="1">IFERROR(__xludf.DUMMYFUNCTION("""COMPUTED_VALUE"""),-0.522915973128767)</f>
        <v>-0.52291597312876703</v>
      </c>
      <c r="AM140" s="3">
        <f ca="1">IFERROR(__xludf.DUMMYFUNCTION("""COMPUTED_VALUE"""),-0.59439210508787)</f>
        <v>-0.59439210508786999</v>
      </c>
      <c r="AN140" s="3">
        <f ca="1">IFERROR(__xludf.DUMMYFUNCTION("""COMPUTED_VALUE"""),-0.619107096222812)</f>
        <v>-0.61910709622281201</v>
      </c>
      <c r="AO140" s="3">
        <f ca="1">IFERROR(__xludf.DUMMYFUNCTION("""COMPUTED_VALUE"""),-0.713979698808149)</f>
        <v>-0.71397969880814904</v>
      </c>
      <c r="AP140" s="3">
        <f ca="1">IFERROR(__xludf.DUMMYFUNCTION("""COMPUTED_VALUE"""),-0.752693987599327)</f>
        <v>-0.75269398759932704</v>
      </c>
      <c r="AQ140" s="3">
        <f ca="1">IFERROR(__xludf.DUMMYFUNCTION("""COMPUTED_VALUE"""),-0.709618945242561)</f>
        <v>-0.70961894524256097</v>
      </c>
      <c r="AR140" s="3">
        <f ca="1">IFERROR(__xludf.DUMMYFUNCTION("""COMPUTED_VALUE"""),-0.716621666458211)</f>
        <v>-0.71662166645821102</v>
      </c>
      <c r="AS140" s="3">
        <f ca="1">IFERROR(__xludf.DUMMYFUNCTION("""COMPUTED_VALUE"""),-0.696131262663659)</f>
        <v>-0.69613126266365899</v>
      </c>
      <c r="AT140" s="3">
        <f ca="1">IFERROR(__xludf.DUMMYFUNCTION("""COMPUTED_VALUE"""),-0.607909450992053)</f>
        <v>-0.60790945099205296</v>
      </c>
      <c r="AU140" s="3">
        <f ca="1">IFERROR(__xludf.DUMMYFUNCTION("""COMPUTED_VALUE"""),-0.583101592260337)</f>
        <v>-0.58310159226033698</v>
      </c>
      <c r="AV140" s="3">
        <f ca="1">IFERROR(__xludf.DUMMYFUNCTION("""COMPUTED_VALUE"""),-0.56276951941128)</f>
        <v>-0.56276951941127995</v>
      </c>
      <c r="AW140" s="3">
        <f ca="1">IFERROR(__xludf.DUMMYFUNCTION("""COMPUTED_VALUE"""),-0.547156688406225)</f>
        <v>-0.547156688406225</v>
      </c>
      <c r="AX140" s="3">
        <f ca="1">IFERROR(__xludf.DUMMYFUNCTION("""COMPUTED_VALUE"""),-0.552183322159307)</f>
        <v>-0.55218332215930699</v>
      </c>
      <c r="AY140" s="3">
        <f ca="1">IFERROR(__xludf.DUMMYFUNCTION("""COMPUTED_VALUE"""),-0.580200036060252)</f>
        <v>-0.58020003606025194</v>
      </c>
      <c r="AZ140" s="3">
        <f ca="1">IFERROR(__xludf.DUMMYFUNCTION("""COMPUTED_VALUE"""),-0.544120236610762)</f>
        <v>-0.54412023661076203</v>
      </c>
      <c r="BA140" s="3">
        <f ca="1">IFERROR(__xludf.DUMMYFUNCTION("""COMPUTED_VALUE"""),-0.617942811522171)</f>
        <v>-0.61794281152217101</v>
      </c>
      <c r="BB140" s="3">
        <f ca="1">IFERROR(__xludf.DUMMYFUNCTION("""COMPUTED_VALUE"""),-0.598580816207215)</f>
        <v>-0.59858081620721504</v>
      </c>
      <c r="BC140" s="3">
        <f ca="1">IFERROR(__xludf.DUMMYFUNCTION("""COMPUTED_VALUE"""),-0.651871711738814)</f>
        <v>-0.65187171173881397</v>
      </c>
      <c r="BD140" s="3">
        <f ca="1">IFERROR(__xludf.DUMMYFUNCTION("""COMPUTED_VALUE"""),-0.674450769422172)</f>
        <v>-0.67445076942217197</v>
      </c>
      <c r="BE140" s="3">
        <f ca="1">IFERROR(__xludf.DUMMYFUNCTION("""COMPUTED_VALUE"""),-0.644881035043155)</f>
        <v>-0.64488103504315497</v>
      </c>
      <c r="BF140" s="3">
        <f ca="1">IFERROR(__xludf.DUMMYFUNCTION("""COMPUTED_VALUE"""),-0.675920148570724)</f>
        <v>-0.67592014857072402</v>
      </c>
      <c r="BG140" s="3">
        <f ca="1">IFERROR(__xludf.DUMMYFUNCTION("""COMPUTED_VALUE"""),-0.633930736295142)</f>
        <v>-0.63393073629514196</v>
      </c>
      <c r="BH140" s="3">
        <f ca="1">IFERROR(__xludf.DUMMYFUNCTION("""COMPUTED_VALUE"""),-0.582810949968956)</f>
        <v>-0.58281094996895599</v>
      </c>
      <c r="BI140" s="3">
        <f ca="1">IFERROR(__xludf.DUMMYFUNCTION("""COMPUTED_VALUE"""),-0.602390948768455)</f>
        <v>-0.602390948768455</v>
      </c>
      <c r="BJ140" s="3">
        <f ca="1">IFERROR(__xludf.DUMMYFUNCTION("""COMPUTED_VALUE"""),-0.658216622631949)</f>
        <v>-0.65821662263194902</v>
      </c>
      <c r="BK140" s="3">
        <f ca="1">IFERROR(__xludf.DUMMYFUNCTION("""COMPUTED_VALUE"""),-0.667614879776162)</f>
        <v>-0.66761487977616196</v>
      </c>
      <c r="BL140" s="3">
        <f ca="1">IFERROR(__xludf.DUMMYFUNCTION("""COMPUTED_VALUE"""),-0.648364457839622)</f>
        <v>-0.64836445783962204</v>
      </c>
      <c r="BM140" s="3">
        <f ca="1">IFERROR(__xludf.DUMMYFUNCTION("""COMPUTED_VALUE"""),-0.642224606267145)</f>
        <v>-0.64222460626714495</v>
      </c>
      <c r="BN140" s="3">
        <f ca="1">IFERROR(__xludf.DUMMYFUNCTION("""COMPUTED_VALUE"""),-0.694496019736847)</f>
        <v>-0.69449601973684705</v>
      </c>
      <c r="BO140" s="3">
        <f ca="1">IFERROR(__xludf.DUMMYFUNCTION("""COMPUTED_VALUE"""),-0.699553326832933)</f>
        <v>-0.69955332683293303</v>
      </c>
      <c r="BP140" s="3">
        <f ca="1">IFERROR(__xludf.DUMMYFUNCTION("""COMPUTED_VALUE"""),-0.717579513364677)</f>
        <v>-0.71757951336467696</v>
      </c>
      <c r="BQ140" s="3">
        <f ca="1">IFERROR(__xludf.DUMMYFUNCTION("""COMPUTED_VALUE"""),-0.701594068373719)</f>
        <v>-0.70159406837371896</v>
      </c>
      <c r="BR140" s="3">
        <f ca="1">IFERROR(__xludf.DUMMYFUNCTION("""COMPUTED_VALUE"""),-0.708753988236555)</f>
        <v>-0.708753988236555</v>
      </c>
      <c r="BS140" s="3">
        <f ca="1">IFERROR(__xludf.DUMMYFUNCTION("""COMPUTED_VALUE"""),-0.677935216288453)</f>
        <v>-0.67793521628845299</v>
      </c>
      <c r="BT140" s="3">
        <f ca="1">IFERROR(__xludf.DUMMYFUNCTION("""COMPUTED_VALUE"""),-0.761559265918059)</f>
        <v>-0.761559265918059</v>
      </c>
      <c r="BU140" s="3">
        <f ca="1">IFERROR(__xludf.DUMMYFUNCTION("""COMPUTED_VALUE"""),-0.699602635208509)</f>
        <v>-0.69960263520850896</v>
      </c>
      <c r="BV140" s="3">
        <f ca="1">IFERROR(__xludf.DUMMYFUNCTION("""COMPUTED_VALUE"""),-0.698095820368904)</f>
        <v>-0.69809582036890405</v>
      </c>
      <c r="BW140" s="3">
        <f ca="1">IFERROR(__xludf.DUMMYFUNCTION("""COMPUTED_VALUE"""),-0.716516778622215)</f>
        <v>-0.71651677862221497</v>
      </c>
      <c r="BX140" s="3">
        <f ca="1">IFERROR(__xludf.DUMMYFUNCTION("""COMPUTED_VALUE"""),-0.730088396363996)</f>
        <v>-0.73008839636399603</v>
      </c>
      <c r="BY140" s="3">
        <f ca="1">IFERROR(__xludf.DUMMYFUNCTION("""COMPUTED_VALUE"""),-0.755489096232109)</f>
        <v>-0.75548909623210903</v>
      </c>
      <c r="BZ140" s="3">
        <f ca="1">IFERROR(__xludf.DUMMYFUNCTION("""COMPUTED_VALUE"""),-0.728205811045503)</f>
        <v>-0.72820581104550297</v>
      </c>
      <c r="CA140" s="3">
        <f ca="1">IFERROR(__xludf.DUMMYFUNCTION("""COMPUTED_VALUE"""),-0.72110547868821)</f>
        <v>-0.72110547868820996</v>
      </c>
      <c r="CB140" s="3">
        <f ca="1">IFERROR(__xludf.DUMMYFUNCTION("""COMPUTED_VALUE"""),-0.704896178641605)</f>
        <v>-0.70489617864160503</v>
      </c>
      <c r="CC140" s="3">
        <f ca="1">IFERROR(__xludf.DUMMYFUNCTION("""COMPUTED_VALUE"""),-0.72714647663659)</f>
        <v>-0.72714647663659004</v>
      </c>
      <c r="CD140" s="3">
        <f ca="1">IFERROR(__xludf.DUMMYFUNCTION("""COMPUTED_VALUE"""),-0.74000509247409)</f>
        <v>-0.74000509247408996</v>
      </c>
      <c r="CE140" s="3">
        <f ca="1">IFERROR(__xludf.DUMMYFUNCTION("""COMPUTED_VALUE"""),-0.708760621796571)</f>
        <v>-0.70876062179657096</v>
      </c>
      <c r="CF140" s="3">
        <f ca="1">IFERROR(__xludf.DUMMYFUNCTION("""COMPUTED_VALUE"""),-0.716121663388092)</f>
        <v>-0.71612166338809202</v>
      </c>
      <c r="CG140" s="3">
        <f ca="1">IFERROR(__xludf.DUMMYFUNCTION("""COMPUTED_VALUE"""),-0.663336384079425)</f>
        <v>-0.66333638407942497</v>
      </c>
      <c r="CH140" s="3">
        <f ca="1">IFERROR(__xludf.DUMMYFUNCTION("""COMPUTED_VALUE"""),-0.684580403380076)</f>
        <v>-0.68458040338007597</v>
      </c>
      <c r="CI140" s="3">
        <f ca="1">IFERROR(__xludf.DUMMYFUNCTION("""COMPUTED_VALUE"""),-0.680564460151141)</f>
        <v>-0.68056446015114103</v>
      </c>
      <c r="CJ140" s="3">
        <f ca="1">IFERROR(__xludf.DUMMYFUNCTION("""COMPUTED_VALUE"""),-0.699309288981906)</f>
        <v>-0.69930928898190603</v>
      </c>
      <c r="CK140" s="3">
        <f ca="1">IFERROR(__xludf.DUMMYFUNCTION("""COMPUTED_VALUE"""),-0.740377166973543)</f>
        <v>-0.74037716697354305</v>
      </c>
      <c r="CL140" s="3">
        <f ca="1">IFERROR(__xludf.DUMMYFUNCTION("""COMPUTED_VALUE"""),-0.73539588982764)</f>
        <v>-0.73539588982764004</v>
      </c>
      <c r="CM140" s="3">
        <f ca="1">IFERROR(__xludf.DUMMYFUNCTION("""COMPUTED_VALUE"""),-0.817141903260319)</f>
        <v>-0.81714190326031899</v>
      </c>
      <c r="CN140" s="3">
        <f ca="1">IFERROR(__xludf.DUMMYFUNCTION("""COMPUTED_VALUE"""),-0.794889831719209)</f>
        <v>-0.79488983171920902</v>
      </c>
      <c r="CO140" s="3">
        <f ca="1">IFERROR(__xludf.DUMMYFUNCTION("""COMPUTED_VALUE"""),-0.798946212884819)</f>
        <v>-0.79894621288481904</v>
      </c>
      <c r="CP140" s="3">
        <f ca="1">IFERROR(__xludf.DUMMYFUNCTION("""COMPUTED_VALUE"""),-0.764219719699078)</f>
        <v>-0.76421971969907798</v>
      </c>
      <c r="CQ140" s="3">
        <f ca="1">IFERROR(__xludf.DUMMYFUNCTION("""COMPUTED_VALUE"""),-0.748756860630087)</f>
        <v>-0.74875686063008695</v>
      </c>
      <c r="CR140" s="3">
        <f ca="1">IFERROR(__xludf.DUMMYFUNCTION("""COMPUTED_VALUE"""),-0.743871212587885)</f>
        <v>-0.74387121258788502</v>
      </c>
      <c r="CS140" s="3">
        <f ca="1">IFERROR(__xludf.DUMMYFUNCTION("""COMPUTED_VALUE"""),-0.75930487355728)</f>
        <v>-0.75930487355728005</v>
      </c>
      <c r="CT140" s="3">
        <f ca="1">IFERROR(__xludf.DUMMYFUNCTION("""COMPUTED_VALUE"""),-0.771615211325196)</f>
        <v>-0.77161521132519595</v>
      </c>
      <c r="CU140" s="3">
        <f ca="1">IFERROR(__xludf.DUMMYFUNCTION("""COMPUTED_VALUE"""),-0.736553847519584)</f>
        <v>-0.73655384751958397</v>
      </c>
      <c r="CV140" s="3">
        <f ca="1">IFERROR(__xludf.DUMMYFUNCTION("""COMPUTED_VALUE"""),-0.760515670939333)</f>
        <v>-0.76051567093933303</v>
      </c>
      <c r="CW140" s="3">
        <f ca="1">IFERROR(__xludf.DUMMYFUNCTION("""COMPUTED_VALUE"""),-0.771101554621533)</f>
        <v>-0.77110155462153296</v>
      </c>
      <c r="CX140" s="3">
        <f ca="1">IFERROR(__xludf.DUMMYFUNCTION("""COMPUTED_VALUE"""),-0.711010696425851)</f>
        <v>-0.71101069642585102</v>
      </c>
      <c r="CY140" s="3">
        <f ca="1">IFERROR(__xludf.DUMMYFUNCTION("""COMPUTED_VALUE"""),-0.720516381017331)</f>
        <v>-0.72051638101733095</v>
      </c>
      <c r="CZ140" s="3">
        <f ca="1">IFERROR(__xludf.DUMMYFUNCTION("""COMPUTED_VALUE"""),-0.963627227425894)</f>
        <v>-0.96362722742589402</v>
      </c>
      <c r="DA140" s="3">
        <f ca="1">IFERROR(__xludf.DUMMYFUNCTION("""COMPUTED_VALUE"""),-0.75138936951434)</f>
        <v>-0.75138936951433999</v>
      </c>
      <c r="DB140" s="3">
        <f ca="1">IFERROR(__xludf.DUMMYFUNCTION("""COMPUTED_VALUE"""),-0.519831387290225)</f>
        <v>-0.51983138729022504</v>
      </c>
      <c r="DC140" s="3">
        <f ca="1">IFERROR(__xludf.DUMMYFUNCTION("""COMPUTED_VALUE"""),-0.703367489549202)</f>
        <v>-0.70336748954920203</v>
      </c>
      <c r="DD140" s="3">
        <f ca="1">IFERROR(__xludf.DUMMYFUNCTION("""COMPUTED_VALUE"""),-0.783884193476947)</f>
        <v>-0.78388419347694704</v>
      </c>
      <c r="DE140" s="3">
        <f ca="1">IFERROR(__xludf.DUMMYFUNCTION("""COMPUTED_VALUE"""),-0.733152715286732)</f>
        <v>-0.73315271528673198</v>
      </c>
      <c r="DF140" s="3">
        <f ca="1">IFERROR(__xludf.DUMMYFUNCTION("""COMPUTED_VALUE"""),-0.665569759289995)</f>
        <v>-0.66556975928999496</v>
      </c>
      <c r="DG140" s="3">
        <f ca="1">IFERROR(__xludf.DUMMYFUNCTION("""COMPUTED_VALUE"""),-0.957576518530141)</f>
        <v>-0.95757651853014103</v>
      </c>
      <c r="DH140" s="3">
        <f ca="1">IFERROR(__xludf.DUMMYFUNCTION("""COMPUTED_VALUE"""),-0.647413036301787)</f>
        <v>-0.64741303630178704</v>
      </c>
      <c r="DI140" s="3">
        <f ca="1">IFERROR(__xludf.DUMMYFUNCTION("""COMPUTED_VALUE"""),-0.30057244481853)</f>
        <v>-0.30057244481853002</v>
      </c>
      <c r="DJ140" s="3">
        <f ca="1">IFERROR(__xludf.DUMMYFUNCTION("""COMPUTED_VALUE"""),-0.535467578404056)</f>
        <v>-0.53546757840405601</v>
      </c>
      <c r="DK140" s="3">
        <f ca="1">IFERROR(__xludf.DUMMYFUNCTION("""COMPUTED_VALUE"""),-0.551491144713122)</f>
        <v>-0.55149114471312199</v>
      </c>
      <c r="DL140" s="3">
        <f ca="1">IFERROR(__xludf.DUMMYFUNCTION("""COMPUTED_VALUE"""),-0.615112354273828)</f>
        <v>-0.61511235427382804</v>
      </c>
      <c r="DM140" s="3">
        <f ca="1">IFERROR(__xludf.DUMMYFUNCTION("""COMPUTED_VALUE"""),-0.568926612521007)</f>
        <v>-0.56892661252100696</v>
      </c>
      <c r="DN140" s="3">
        <f ca="1">IFERROR(__xludf.DUMMYFUNCTION("""COMPUTED_VALUE"""),-0.550375453146613)</f>
        <v>-0.55037545314661296</v>
      </c>
      <c r="DO140" s="3">
        <f ca="1">IFERROR(__xludf.DUMMYFUNCTION("""COMPUTED_VALUE"""),-0.539612314107087)</f>
        <v>-0.53961231410708699</v>
      </c>
      <c r="DP140" s="3">
        <f ca="1">IFERROR(__xludf.DUMMYFUNCTION("""COMPUTED_VALUE"""),-0.446044217925728)</f>
        <v>-0.44604421792572801</v>
      </c>
      <c r="DQ140" s="3">
        <f ca="1">IFERROR(__xludf.DUMMYFUNCTION("""COMPUTED_VALUE"""),-0.520507133933707)</f>
        <v>-0.52050713393370696</v>
      </c>
      <c r="DR140" s="3">
        <f ca="1">IFERROR(__xludf.DUMMYFUNCTION("""COMPUTED_VALUE"""),-0.540113723513525)</f>
        <v>-0.54011372351352505</v>
      </c>
      <c r="DS140" s="3">
        <f ca="1">IFERROR(__xludf.DUMMYFUNCTION("""COMPUTED_VALUE"""),-0.605691167365296)</f>
        <v>-0.60569116736529605</v>
      </c>
      <c r="DT140" s="3">
        <f ca="1">IFERROR(__xludf.DUMMYFUNCTION("""COMPUTED_VALUE"""),-0.526738306969175)</f>
        <v>-0.52673830696917501</v>
      </c>
      <c r="DU140" s="3">
        <f ca="1">IFERROR(__xludf.DUMMYFUNCTION("""COMPUTED_VALUE"""),-0.581527733119507)</f>
        <v>-0.58152773311950701</v>
      </c>
      <c r="DV140" s="3">
        <f ca="1">IFERROR(__xludf.DUMMYFUNCTION("""COMPUTED_VALUE"""),-0.585787840576048)</f>
        <v>-0.58578784057604805</v>
      </c>
      <c r="DW140" s="3">
        <f ca="1">IFERROR(__xludf.DUMMYFUNCTION("""COMPUTED_VALUE"""),-0.648032339880049)</f>
        <v>-0.64803233988004905</v>
      </c>
      <c r="DX140" s="3">
        <f ca="1">IFERROR(__xludf.DUMMYFUNCTION("""COMPUTED_VALUE"""),-0.61844380888559)</f>
        <v>-0.61844380888559003</v>
      </c>
      <c r="DY140" s="3">
        <f ca="1">IFERROR(__xludf.DUMMYFUNCTION("""COMPUTED_VALUE"""),-0.627027495149831)</f>
        <v>-0.62702749514983103</v>
      </c>
      <c r="DZ140" s="3">
        <f ca="1">IFERROR(__xludf.DUMMYFUNCTION("""COMPUTED_VALUE"""),-0.601404574827668)</f>
        <v>-0.60140457482766796</v>
      </c>
      <c r="EA140" s="3">
        <f ca="1">IFERROR(__xludf.DUMMYFUNCTION("""COMPUTED_VALUE"""),-0.66213585463021)</f>
        <v>-0.66213585463020996</v>
      </c>
      <c r="EB140" s="3">
        <f ca="1">IFERROR(__xludf.DUMMYFUNCTION("""COMPUTED_VALUE"""),-0.634879042044754)</f>
        <v>-0.63487904204475398</v>
      </c>
      <c r="EC140" s="3">
        <f ca="1">IFERROR(__xludf.DUMMYFUNCTION("""COMPUTED_VALUE"""),-0.67104112865911)</f>
        <v>-0.67104112865911003</v>
      </c>
      <c r="ED140" s="3">
        <f ca="1">IFERROR(__xludf.DUMMYFUNCTION("""COMPUTED_VALUE"""),-0.639047469261535)</f>
        <v>-0.63904746926153499</v>
      </c>
      <c r="EE140" s="3">
        <f ca="1">IFERROR(__xludf.DUMMYFUNCTION("""COMPUTED_VALUE"""),-0.647157775587346)</f>
        <v>-0.647157775587346</v>
      </c>
      <c r="EF140" s="3">
        <f ca="1">IFERROR(__xludf.DUMMYFUNCTION("""COMPUTED_VALUE"""),-0.637430969079114)</f>
        <v>-0.63743096907911401</v>
      </c>
      <c r="EG140" s="3">
        <f ca="1">IFERROR(__xludf.DUMMYFUNCTION("""COMPUTED_VALUE"""),-0.62442028468147)</f>
        <v>-0.62442028468147004</v>
      </c>
      <c r="EH140" s="3">
        <f ca="1">IFERROR(__xludf.DUMMYFUNCTION("""COMPUTED_VALUE"""),-0.595181945566388)</f>
        <v>-0.59518194556638804</v>
      </c>
      <c r="EI140" s="3">
        <f ca="1">IFERROR(__xludf.DUMMYFUNCTION("""COMPUTED_VALUE"""),-0.633809926743743)</f>
        <v>-0.63380992674374304</v>
      </c>
      <c r="EJ140" s="3">
        <f ca="1">IFERROR(__xludf.DUMMYFUNCTION("""COMPUTED_VALUE"""),-0.659064743795478)</f>
        <v>-0.65906474379547797</v>
      </c>
      <c r="EK140" s="3">
        <f ca="1">IFERROR(__xludf.DUMMYFUNCTION("""COMPUTED_VALUE"""),-0.615963678514578)</f>
        <v>-0.61596367851457801</v>
      </c>
      <c r="EL140" s="3">
        <f ca="1">IFERROR(__xludf.DUMMYFUNCTION("""COMPUTED_VALUE"""),-0.670460537060786)</f>
        <v>-0.67046053706078601</v>
      </c>
      <c r="EM140" s="3">
        <f ca="1">IFERROR(__xludf.DUMMYFUNCTION("""COMPUTED_VALUE"""),-0.680525932045466)</f>
        <v>-0.68052593204546596</v>
      </c>
      <c r="EN140" s="3">
        <f ca="1">IFERROR(__xludf.DUMMYFUNCTION("""COMPUTED_VALUE"""),-0.609335567087809)</f>
        <v>-0.609335567087809</v>
      </c>
      <c r="EO140" s="3">
        <f ca="1">IFERROR(__xludf.DUMMYFUNCTION("""COMPUTED_VALUE"""),-0.634896894293488)</f>
        <v>-0.63489689429348795</v>
      </c>
      <c r="EP140" s="3">
        <f ca="1">IFERROR(__xludf.DUMMYFUNCTION("""COMPUTED_VALUE"""),-0.647359122414092)</f>
        <v>-0.64735912241409199</v>
      </c>
      <c r="EQ140" s="3">
        <f ca="1">IFERROR(__xludf.DUMMYFUNCTION("""COMPUTED_VALUE"""),-0.681541182948225)</f>
        <v>-0.68154118294822497</v>
      </c>
      <c r="ER140" s="3">
        <f ca="1">IFERROR(__xludf.DUMMYFUNCTION("""COMPUTED_VALUE"""),-0.668393870022728)</f>
        <v>-0.66839387002272799</v>
      </c>
      <c r="ES140" s="3">
        <f ca="1">IFERROR(__xludf.DUMMYFUNCTION("""COMPUTED_VALUE"""),-0.672506968167199)</f>
        <v>-0.67250696816719902</v>
      </c>
      <c r="ET140" s="3">
        <f ca="1">IFERROR(__xludf.DUMMYFUNCTION("""COMPUTED_VALUE"""),-0.658638031338556)</f>
        <v>-0.65863803133855603</v>
      </c>
      <c r="EU140" s="3">
        <f ca="1">IFERROR(__xludf.DUMMYFUNCTION("""COMPUTED_VALUE"""),-0.660111129783431)</f>
        <v>-0.66011112978343101</v>
      </c>
      <c r="EV140" s="3">
        <f ca="1">IFERROR(__xludf.DUMMYFUNCTION("""COMPUTED_VALUE"""),-0.631542543102385)</f>
        <v>-0.631542543102385</v>
      </c>
      <c r="EW140" s="3">
        <f ca="1">IFERROR(__xludf.DUMMYFUNCTION("""COMPUTED_VALUE"""),-0.649578988148756)</f>
        <v>-0.64957898814875603</v>
      </c>
      <c r="EX140" s="3">
        <f ca="1">IFERROR(__xludf.DUMMYFUNCTION("""COMPUTED_VALUE"""),-0.615939350919305)</f>
        <v>-0.61593935091930496</v>
      </c>
      <c r="EY140" s="3">
        <f ca="1">IFERROR(__xludf.DUMMYFUNCTION("""COMPUTED_VALUE"""),-0.491478186700012)</f>
        <v>-0.49147818670001198</v>
      </c>
      <c r="EZ140" s="3">
        <f ca="1">IFERROR(__xludf.DUMMYFUNCTION("""COMPUTED_VALUE"""),-0.48752483747042)</f>
        <v>-0.48752483747042002</v>
      </c>
      <c r="FA140" s="3">
        <f ca="1">IFERROR(__xludf.DUMMYFUNCTION("""COMPUTED_VALUE"""),-0.488059320288857)</f>
        <v>-0.48805932028885701</v>
      </c>
      <c r="FB140" s="3">
        <f ca="1">IFERROR(__xludf.DUMMYFUNCTION("""COMPUTED_VALUE"""),-0.492511038802161)</f>
        <v>-0.49251103880216102</v>
      </c>
      <c r="FC140" s="3">
        <f ca="1">IFERROR(__xludf.DUMMYFUNCTION("""COMPUTED_VALUE"""),-0.52108906884929)</f>
        <v>-0.52108906884928996</v>
      </c>
      <c r="FD140" s="3">
        <f ca="1">IFERROR(__xludf.DUMMYFUNCTION("""COMPUTED_VALUE"""),-0.463170485433127)</f>
        <v>-0.463170485433127</v>
      </c>
      <c r="FE140" s="3">
        <f ca="1">IFERROR(__xludf.DUMMYFUNCTION("""COMPUTED_VALUE"""),-0.523664995356681)</f>
        <v>-0.52366499535668098</v>
      </c>
      <c r="FF140" s="3">
        <f ca="1">IFERROR(__xludf.DUMMYFUNCTION("""COMPUTED_VALUE"""),-0.43426148614004)</f>
        <v>-0.43426148614004001</v>
      </c>
      <c r="FG140" s="3">
        <f ca="1">IFERROR(__xludf.DUMMYFUNCTION("""COMPUTED_VALUE"""),-0.472519596308219)</f>
        <v>-0.47251959630821899</v>
      </c>
      <c r="FH140" s="3">
        <f ca="1">IFERROR(__xludf.DUMMYFUNCTION("""COMPUTED_VALUE"""),-0.468310761028341)</f>
        <v>-0.46831076102834102</v>
      </c>
      <c r="FI140" s="3">
        <f ca="1">IFERROR(__xludf.DUMMYFUNCTION("""COMPUTED_VALUE"""),-0.507378844987232)</f>
        <v>-0.50737884498723196</v>
      </c>
      <c r="FJ140" s="3">
        <f ca="1">IFERROR(__xludf.DUMMYFUNCTION("""COMPUTED_VALUE"""),-0.426513953321629)</f>
        <v>-0.426513953321629</v>
      </c>
      <c r="FK140" s="3">
        <f ca="1">IFERROR(__xludf.DUMMYFUNCTION("""COMPUTED_VALUE"""),-0.466105634737982)</f>
        <v>-0.466105634737982</v>
      </c>
      <c r="FL140" s="3">
        <f ca="1">IFERROR(__xludf.DUMMYFUNCTION("""COMPUTED_VALUE"""),-0.51533432936802)</f>
        <v>-0.51533432936802004</v>
      </c>
      <c r="FM140" s="3">
        <f ca="1">IFERROR(__xludf.DUMMYFUNCTION("""COMPUTED_VALUE"""),-0.427947647845412)</f>
        <v>-0.427947647845412</v>
      </c>
      <c r="FN140" s="3">
        <f ca="1">IFERROR(__xludf.DUMMYFUNCTION("""COMPUTED_VALUE"""),-0.418447845126911)</f>
        <v>-0.41844784512691102</v>
      </c>
      <c r="FO140" s="3">
        <f ca="1">IFERROR(__xludf.DUMMYFUNCTION("""COMPUTED_VALUE"""),-0.402179726220393)</f>
        <v>-0.402179726220393</v>
      </c>
      <c r="FP140" s="3">
        <f ca="1">IFERROR(__xludf.DUMMYFUNCTION("""COMPUTED_VALUE"""),-0.494892810340594)</f>
        <v>-0.49489281034059401</v>
      </c>
      <c r="FQ140" s="3">
        <f ca="1">IFERROR(__xludf.DUMMYFUNCTION("""COMPUTED_VALUE"""),-0.56384689188364)</f>
        <v>-0.56384689188364001</v>
      </c>
      <c r="FR140" s="3">
        <f ca="1">IFERROR(__xludf.DUMMYFUNCTION("""COMPUTED_VALUE"""),-0.500116908827824)</f>
        <v>-0.500116908827824</v>
      </c>
      <c r="FS140" s="3">
        <f ca="1">IFERROR(__xludf.DUMMYFUNCTION("""COMPUTED_VALUE"""),-0.565656450324107)</f>
        <v>-0.56565645032410705</v>
      </c>
      <c r="FT140" s="3">
        <f ca="1">IFERROR(__xludf.DUMMYFUNCTION("""COMPUTED_VALUE"""),-0.546452900942642)</f>
        <v>-0.54645290094264198</v>
      </c>
      <c r="FU140" s="3">
        <f ca="1">IFERROR(__xludf.DUMMYFUNCTION("""COMPUTED_VALUE"""),-0.542726487052779)</f>
        <v>-0.54272648705277904</v>
      </c>
      <c r="FV140" s="3">
        <f ca="1">IFERROR(__xludf.DUMMYFUNCTION("""COMPUTED_VALUE"""),-0.435386023900098)</f>
        <v>-0.43538602390009801</v>
      </c>
      <c r="FW140" s="3">
        <f ca="1">IFERROR(__xludf.DUMMYFUNCTION("""COMPUTED_VALUE"""),-0.455660669187798)</f>
        <v>-0.45566066918779802</v>
      </c>
      <c r="FX140" s="3">
        <f ca="1">IFERROR(__xludf.DUMMYFUNCTION("""COMPUTED_VALUE"""),-0.430160076276661)</f>
        <v>-0.43016007627666097</v>
      </c>
      <c r="FY140" s="3">
        <f ca="1">IFERROR(__xludf.DUMMYFUNCTION("""COMPUTED_VALUE"""),-0.386721640150099)</f>
        <v>-0.38672164015009902</v>
      </c>
      <c r="FZ140" s="3">
        <f ca="1">IFERROR(__xludf.DUMMYFUNCTION("""COMPUTED_VALUE"""),-0.426239015429553)</f>
        <v>-0.426239015429553</v>
      </c>
      <c r="GA140" s="3">
        <f ca="1">IFERROR(__xludf.DUMMYFUNCTION("""COMPUTED_VALUE"""),-0.429466089138534)</f>
        <v>-0.42946608913853401</v>
      </c>
      <c r="GB140" s="3">
        <f ca="1">IFERROR(__xludf.DUMMYFUNCTION("""COMPUTED_VALUE"""),-0.384616159292274)</f>
        <v>-0.384616159292274</v>
      </c>
      <c r="GC140" s="3">
        <f ca="1">IFERROR(__xludf.DUMMYFUNCTION("""COMPUTED_VALUE"""),-0.643994051522323)</f>
        <v>-0.64399405152232303</v>
      </c>
      <c r="GD140" s="3">
        <f ca="1">IFERROR(__xludf.DUMMYFUNCTION("""COMPUTED_VALUE"""),-0.439020937434773)</f>
        <v>-0.439020937434773</v>
      </c>
      <c r="GE140" s="3">
        <f ca="1">IFERROR(__xludf.DUMMYFUNCTION("""COMPUTED_VALUE"""),-0.527454096635137)</f>
        <v>-0.52745409663513698</v>
      </c>
      <c r="GF140" s="3">
        <f ca="1">IFERROR(__xludf.DUMMYFUNCTION("""COMPUTED_VALUE"""),-0.430255851600373)</f>
        <v>-0.430255851600373</v>
      </c>
      <c r="GG140" s="3">
        <f ca="1">IFERROR(__xludf.DUMMYFUNCTION("""COMPUTED_VALUE"""),-0.458408231665017)</f>
        <v>-0.45840823166501699</v>
      </c>
      <c r="GH140" s="3">
        <f ca="1">IFERROR(__xludf.DUMMYFUNCTION("""COMPUTED_VALUE"""),-0.479687261691627)</f>
        <v>-0.47968726169162701</v>
      </c>
      <c r="GI140" s="3">
        <f ca="1">IFERROR(__xludf.DUMMYFUNCTION("""COMPUTED_VALUE"""),-0.433330707463571)</f>
        <v>-0.433330707463571</v>
      </c>
      <c r="GJ140" s="3">
        <f ca="1">IFERROR(__xludf.DUMMYFUNCTION("""COMPUTED_VALUE"""),-0.347263066095901)</f>
        <v>-0.34726306609590102</v>
      </c>
      <c r="GK140" s="3">
        <f ca="1">IFERROR(__xludf.DUMMYFUNCTION("""COMPUTED_VALUE"""),-0.410635948218972)</f>
        <v>-0.41063594821897198</v>
      </c>
      <c r="GL140" s="3">
        <f ca="1">IFERROR(__xludf.DUMMYFUNCTION("""COMPUTED_VALUE"""),-0.467907434411501)</f>
        <v>-0.46790743441150101</v>
      </c>
      <c r="GM140" s="3">
        <f ca="1">IFERROR(__xludf.DUMMYFUNCTION("""COMPUTED_VALUE"""),-0.448793399802594)</f>
        <v>-0.44879339980259397</v>
      </c>
      <c r="GN140" s="3">
        <f ca="1">IFERROR(__xludf.DUMMYFUNCTION("""COMPUTED_VALUE"""),-0.470130609555044)</f>
        <v>-0.47013060955504399</v>
      </c>
      <c r="GO140" s="3">
        <f ca="1">IFERROR(__xludf.DUMMYFUNCTION("""COMPUTED_VALUE"""),-0.398245747032874)</f>
        <v>-0.39824574703287402</v>
      </c>
      <c r="GP140" s="3">
        <f ca="1">IFERROR(__xludf.DUMMYFUNCTION("""COMPUTED_VALUE"""),-0.420872535650174)</f>
        <v>-0.42087253565017402</v>
      </c>
      <c r="GQ140" s="3">
        <f ca="1">IFERROR(__xludf.DUMMYFUNCTION("""COMPUTED_VALUE"""),-0.428918414251363)</f>
        <v>-0.42891841425136301</v>
      </c>
      <c r="GR140" s="3">
        <f ca="1">IFERROR(__xludf.DUMMYFUNCTION("""COMPUTED_VALUE"""),-0.500340789423419)</f>
        <v>-0.50034078942341897</v>
      </c>
      <c r="GS140" s="3">
        <f ca="1">IFERROR(__xludf.DUMMYFUNCTION("""COMPUTED_VALUE"""),-0.450636872978185)</f>
        <v>-0.450636872978185</v>
      </c>
      <c r="GT140" s="3">
        <f ca="1">IFERROR(__xludf.DUMMYFUNCTION("""COMPUTED_VALUE"""),-0.410364279038176)</f>
        <v>-0.41036427903817602</v>
      </c>
      <c r="GU140" s="3">
        <f ca="1">IFERROR(__xludf.DUMMYFUNCTION("""COMPUTED_VALUE"""),-0.471282195936719)</f>
        <v>-0.471282195936719</v>
      </c>
      <c r="GV140" s="3">
        <f ca="1">IFERROR(__xludf.DUMMYFUNCTION("""COMPUTED_VALUE"""),-0.412963816795958)</f>
        <v>-0.41296381679595801</v>
      </c>
      <c r="GW140" s="3">
        <f ca="1">IFERROR(__xludf.DUMMYFUNCTION("""COMPUTED_VALUE"""),-0.433588463227747)</f>
        <v>-0.43358846322774702</v>
      </c>
      <c r="GX140" s="3">
        <f ca="1">IFERROR(__xludf.DUMMYFUNCTION("""COMPUTED_VALUE"""),-0.4111257997515)</f>
        <v>-0.41112579975149999</v>
      </c>
      <c r="GY140" s="3">
        <f ca="1">IFERROR(__xludf.DUMMYFUNCTION("""COMPUTED_VALUE"""),-0.415105298961639)</f>
        <v>-0.415105298961639</v>
      </c>
      <c r="GZ140" s="3">
        <f ca="1">IFERROR(__xludf.DUMMYFUNCTION("""COMPUTED_VALUE"""),-0.389637520042087)</f>
        <v>-0.38963752004208702</v>
      </c>
      <c r="HA140" s="3">
        <f ca="1">IFERROR(__xludf.DUMMYFUNCTION("""COMPUTED_VALUE"""),-0.441196872866671)</f>
        <v>-0.44119687286667097</v>
      </c>
      <c r="HB140" s="3">
        <f ca="1">IFERROR(__xludf.DUMMYFUNCTION("""COMPUTED_VALUE"""),-0.426172756672107)</f>
        <v>-0.42617275667210702</v>
      </c>
      <c r="HC140" s="3">
        <f ca="1">IFERROR(__xludf.DUMMYFUNCTION("""COMPUTED_VALUE"""),-0.36582126136306)</f>
        <v>-0.36582126136305998</v>
      </c>
      <c r="HD140" s="3">
        <f ca="1">IFERROR(__xludf.DUMMYFUNCTION("""COMPUTED_VALUE"""),-0.343638805903634)</f>
        <v>-0.34363880590363399</v>
      </c>
      <c r="HE140" s="3">
        <f ca="1">IFERROR(__xludf.DUMMYFUNCTION("""COMPUTED_VALUE"""),-0.342218880211092)</f>
        <v>-0.34221888021109198</v>
      </c>
      <c r="HF140" s="3">
        <f ca="1">IFERROR(__xludf.DUMMYFUNCTION("""COMPUTED_VALUE"""),-0.30269183175706)</f>
        <v>-0.30269183175705999</v>
      </c>
      <c r="HG140" s="3">
        <f ca="1">IFERROR(__xludf.DUMMYFUNCTION("""COMPUTED_VALUE"""),-0.364097049139706)</f>
        <v>-0.36409704913970597</v>
      </c>
      <c r="HH140" s="3">
        <f ca="1">IFERROR(__xludf.DUMMYFUNCTION("""COMPUTED_VALUE"""),-0.314854960326661)</f>
        <v>-0.31485496032666099</v>
      </c>
      <c r="HI140" s="3">
        <f ca="1">IFERROR(__xludf.DUMMYFUNCTION("""COMPUTED_VALUE"""),-0.366553156854952)</f>
        <v>-0.36655315685495199</v>
      </c>
      <c r="HJ140" s="3">
        <f ca="1">IFERROR(__xludf.DUMMYFUNCTION("""COMPUTED_VALUE"""),-0.275225513303483)</f>
        <v>-0.27522551330348299</v>
      </c>
      <c r="HK140" s="3">
        <f ca="1">IFERROR(__xludf.DUMMYFUNCTION("""COMPUTED_VALUE"""),-0.25223262167155)</f>
        <v>-0.25223262167154997</v>
      </c>
      <c r="HL140" s="3">
        <f ca="1">IFERROR(__xludf.DUMMYFUNCTION("""COMPUTED_VALUE"""),-0.665872681959734)</f>
        <v>-0.66587268195973404</v>
      </c>
      <c r="HM140" s="3">
        <f ca="1">IFERROR(__xludf.DUMMYFUNCTION("""COMPUTED_VALUE"""),-0.324026832853481)</f>
        <v>-0.32402683285348099</v>
      </c>
      <c r="HN140" s="3">
        <f ca="1">IFERROR(__xludf.DUMMYFUNCTION("""COMPUTED_VALUE"""),-0.432086407515115)</f>
        <v>-0.43208640751511501</v>
      </c>
      <c r="HO140" s="3">
        <f ca="1">IFERROR(__xludf.DUMMYFUNCTION("""COMPUTED_VALUE"""),-0.357306684476847)</f>
        <v>-0.35730668447684699</v>
      </c>
      <c r="HP140" s="3">
        <f ca="1">IFERROR(__xludf.DUMMYFUNCTION("""COMPUTED_VALUE"""),-0.450467244401365)</f>
        <v>-0.45046724440136499</v>
      </c>
      <c r="HQ140" s="3">
        <f ca="1">IFERROR(__xludf.DUMMYFUNCTION("""COMPUTED_VALUE"""),-0.287436454272262)</f>
        <v>-0.287436454272262</v>
      </c>
      <c r="HR140" s="3">
        <f ca="1">IFERROR(__xludf.DUMMYFUNCTION("""COMPUTED_VALUE"""),-0.276365032844353)</f>
        <v>-0.27636503284435299</v>
      </c>
      <c r="HS140" s="3">
        <f ca="1">IFERROR(__xludf.DUMMYFUNCTION("""COMPUTED_VALUE"""),-0.043298245291352)</f>
        <v>-4.3298245291351997E-2</v>
      </c>
      <c r="HT140" s="3">
        <f ca="1">IFERROR(__xludf.DUMMYFUNCTION("""COMPUTED_VALUE"""),-0.332026360720494)</f>
        <v>-0.33202636072049402</v>
      </c>
      <c r="HU140" s="3">
        <f ca="1">IFERROR(__xludf.DUMMYFUNCTION("""COMPUTED_VALUE"""),-0.4319180787305)</f>
        <v>-0.43191807873049998</v>
      </c>
      <c r="HV140" s="3">
        <f ca="1">IFERROR(__xludf.DUMMYFUNCTION("""COMPUTED_VALUE"""),-0.452354919165015)</f>
        <v>-0.45235491916501502</v>
      </c>
      <c r="HW140" s="3">
        <f ca="1">IFERROR(__xludf.DUMMYFUNCTION("""COMPUTED_VALUE"""),-0.489925841065722)</f>
        <v>-0.48992584106572201</v>
      </c>
      <c r="HX140" s="3">
        <f ca="1">IFERROR(__xludf.DUMMYFUNCTION("""COMPUTED_VALUE"""),-0.479875548866534)</f>
        <v>-0.479875548866534</v>
      </c>
      <c r="HY140" s="3">
        <f ca="1">IFERROR(__xludf.DUMMYFUNCTION("""COMPUTED_VALUE"""),-0.509063397197278)</f>
        <v>-0.509063397197278</v>
      </c>
      <c r="HZ140" s="3">
        <f ca="1">IFERROR(__xludf.DUMMYFUNCTION("""COMPUTED_VALUE"""),-0.329818886081147)</f>
        <v>-0.32981888608114701</v>
      </c>
      <c r="IA140" s="3">
        <f ca="1">IFERROR(__xludf.DUMMYFUNCTION("""COMPUTED_VALUE"""),-0.397626942497824)</f>
        <v>-0.39762694249782399</v>
      </c>
      <c r="IB140" s="3">
        <f ca="1">IFERROR(__xludf.DUMMYFUNCTION("""COMPUTED_VALUE"""),-0.415330282671006)</f>
        <v>-0.41533028267100602</v>
      </c>
      <c r="IC140" s="3">
        <f ca="1">IFERROR(__xludf.DUMMYFUNCTION("""COMPUTED_VALUE"""),-0.574574209664574)</f>
        <v>-0.57457420966457395</v>
      </c>
      <c r="ID140" s="3">
        <f ca="1">IFERROR(__xludf.DUMMYFUNCTION("""COMPUTED_VALUE"""),-0.619221146106776)</f>
        <v>-0.61922114610677603</v>
      </c>
      <c r="IE140" s="3">
        <f ca="1">IFERROR(__xludf.DUMMYFUNCTION("""COMPUTED_VALUE"""),-0.596291285326527)</f>
        <v>-0.59629128532652698</v>
      </c>
      <c r="IF140" s="3">
        <f ca="1">IFERROR(__xludf.DUMMYFUNCTION("""COMPUTED_VALUE"""),-0.598771671901684)</f>
        <v>-0.59877167190168401</v>
      </c>
      <c r="IG140" s="3">
        <f ca="1">IFERROR(__xludf.DUMMYFUNCTION("""COMPUTED_VALUE"""),-0.634496558820328)</f>
        <v>-0.63449655882032796</v>
      </c>
      <c r="IH140" s="3">
        <f ca="1">IFERROR(__xludf.DUMMYFUNCTION("""COMPUTED_VALUE"""),-0.536649871941528)</f>
        <v>-0.53664987194152802</v>
      </c>
      <c r="II140" s="3">
        <f ca="1">IFERROR(__xludf.DUMMYFUNCTION("""COMPUTED_VALUE"""),-0.437680195205214)</f>
        <v>-0.43768019520521401</v>
      </c>
      <c r="IJ140" s="3">
        <f ca="1">IFERROR(__xludf.DUMMYFUNCTION("""COMPUTED_VALUE"""),-0.513092006546888)</f>
        <v>-0.51309200654688802</v>
      </c>
      <c r="IK140" s="3">
        <f ca="1">IFERROR(__xludf.DUMMYFUNCTION("""COMPUTED_VALUE"""),-0.490756107314123)</f>
        <v>-0.490756107314123</v>
      </c>
      <c r="IL140" s="3">
        <f ca="1">IFERROR(__xludf.DUMMYFUNCTION("""COMPUTED_VALUE"""),-0.472427519719043)</f>
        <v>-0.47242751971904301</v>
      </c>
      <c r="IM140" s="3">
        <f ca="1">IFERROR(__xludf.DUMMYFUNCTION("""COMPUTED_VALUE"""),-0.490798951268138)</f>
        <v>-0.490798951268138</v>
      </c>
      <c r="IN140" s="3">
        <f ca="1">IFERROR(__xludf.DUMMYFUNCTION("""COMPUTED_VALUE"""),-0.511754164585158)</f>
        <v>-0.51175416458515799</v>
      </c>
      <c r="IO140" s="3">
        <f ca="1">IFERROR(__xludf.DUMMYFUNCTION("""COMPUTED_VALUE"""),-0.470565925337299)</f>
        <v>-0.47056592533729902</v>
      </c>
      <c r="IP140" s="3">
        <f ca="1">IFERROR(__xludf.DUMMYFUNCTION("""COMPUTED_VALUE"""),-0.33401307911235)</f>
        <v>-0.33401307911235001</v>
      </c>
      <c r="IQ140" s="3">
        <f ca="1">IFERROR(__xludf.DUMMYFUNCTION("""COMPUTED_VALUE"""),-0.451392348403533)</f>
        <v>-0.45139234840353298</v>
      </c>
      <c r="IR140" s="3">
        <f ca="1">IFERROR(__xludf.DUMMYFUNCTION("""COMPUTED_VALUE"""),-0.454642255428715)</f>
        <v>-0.454642255428715</v>
      </c>
      <c r="IS140" s="3">
        <f ca="1">IFERROR(__xludf.DUMMYFUNCTION("""COMPUTED_VALUE"""),-0.42029266621878)</f>
        <v>-0.42029266621877998</v>
      </c>
      <c r="IT140" s="3">
        <f ca="1">IFERROR(__xludf.DUMMYFUNCTION("""COMPUTED_VALUE"""),-0.529981498631396)</f>
        <v>-0.52998149863139599</v>
      </c>
      <c r="IU140" s="3">
        <f ca="1">IFERROR(__xludf.DUMMYFUNCTION("""COMPUTED_VALUE"""),-0.490362218040916)</f>
        <v>-0.49036221804091601</v>
      </c>
      <c r="IV140" s="3">
        <f ca="1">IFERROR(__xludf.DUMMYFUNCTION("""COMPUTED_VALUE"""),-0.466563363393115)</f>
        <v>-0.46656336339311499</v>
      </c>
      <c r="IW140" s="3">
        <f ca="1">IFERROR(__xludf.DUMMYFUNCTION("""COMPUTED_VALUE"""),-0.405600913295115)</f>
        <v>-0.405600913295115</v>
      </c>
      <c r="IX140" s="3">
        <f ca="1">IFERROR(__xludf.DUMMYFUNCTION("""COMPUTED_VALUE"""),-0.406052208757387)</f>
        <v>-0.40605220875738701</v>
      </c>
      <c r="IY140" s="3">
        <f ca="1">IFERROR(__xludf.DUMMYFUNCTION("""COMPUTED_VALUE"""),-0.527436543079967)</f>
        <v>-0.52743654307996701</v>
      </c>
      <c r="IZ140" s="3">
        <f ca="1">IFERROR(__xludf.DUMMYFUNCTION("""COMPUTED_VALUE"""),-0.533487174685442)</f>
        <v>-0.53348717468544204</v>
      </c>
      <c r="JA140" s="3">
        <f ca="1">IFERROR(__xludf.DUMMYFUNCTION("""COMPUTED_VALUE"""),-0.490863186164713)</f>
        <v>-0.49086318616471297</v>
      </c>
      <c r="JB140" s="3">
        <f ca="1">IFERROR(__xludf.DUMMYFUNCTION("""COMPUTED_VALUE"""),-0.50624374084842)</f>
        <v>-0.50624374084842005</v>
      </c>
      <c r="JC140" s="3">
        <f ca="1">IFERROR(__xludf.DUMMYFUNCTION("""COMPUTED_VALUE"""),-0.428325861419625)</f>
        <v>-0.42832586141962498</v>
      </c>
      <c r="JD140" s="3">
        <f ca="1">IFERROR(__xludf.DUMMYFUNCTION("""COMPUTED_VALUE"""),-0.439637089428846)</f>
        <v>-0.439637089428846</v>
      </c>
      <c r="JE140" s="3">
        <f ca="1">IFERROR(__xludf.DUMMYFUNCTION("""COMPUTED_VALUE"""),-0.457460846279155)</f>
        <v>-0.45746084627915501</v>
      </c>
      <c r="JF140" s="3">
        <f ca="1">IFERROR(__xludf.DUMMYFUNCTION("""COMPUTED_VALUE"""),-0.53293501173763)</f>
        <v>-0.53293501173763003</v>
      </c>
      <c r="JG140" s="3">
        <f ca="1">IFERROR(__xludf.DUMMYFUNCTION("""COMPUTED_VALUE"""),-0.485625942241948)</f>
        <v>-0.48562594224194799</v>
      </c>
      <c r="JH140" s="3">
        <f ca="1">IFERROR(__xludf.DUMMYFUNCTION("""COMPUTED_VALUE"""),-0.499576523626153)</f>
        <v>-0.49957652362615301</v>
      </c>
      <c r="JI140" s="3">
        <f ca="1">IFERROR(__xludf.DUMMYFUNCTION("""COMPUTED_VALUE"""),-0.469705980573618)</f>
        <v>-0.46970598057361801</v>
      </c>
      <c r="JJ140" s="3">
        <f ca="1">IFERROR(__xludf.DUMMYFUNCTION("""COMPUTED_VALUE"""),-0.388443793416836)</f>
        <v>-0.38844379341683599</v>
      </c>
      <c r="JK140" s="3">
        <f ca="1">IFERROR(__xludf.DUMMYFUNCTION("""COMPUTED_VALUE"""),-0.437153135031789)</f>
        <v>-0.43715313503178899</v>
      </c>
      <c r="JL140" s="3">
        <f ca="1">IFERROR(__xludf.DUMMYFUNCTION("""COMPUTED_VALUE"""),-0.486114490974149)</f>
        <v>-0.48611449097414899</v>
      </c>
      <c r="JM140" s="3">
        <f ca="1">IFERROR(__xludf.DUMMYFUNCTION("""COMPUTED_VALUE"""),-0.55050609174539)</f>
        <v>-0.55050609174539</v>
      </c>
      <c r="JN140" s="3">
        <f ca="1">IFERROR(__xludf.DUMMYFUNCTION("""COMPUTED_VALUE"""),-0.43528107904713)</f>
        <v>-0.43528107904712998</v>
      </c>
      <c r="JO140" s="3">
        <f ca="1">IFERROR(__xludf.DUMMYFUNCTION("""COMPUTED_VALUE"""),-0.482924834833214)</f>
        <v>-0.48292483483321402</v>
      </c>
      <c r="JP140" s="3">
        <f ca="1">IFERROR(__xludf.DUMMYFUNCTION("""COMPUTED_VALUE"""),-0.451056766708256)</f>
        <v>-0.45105676670825601</v>
      </c>
      <c r="JQ140" s="3">
        <f ca="1">IFERROR(__xludf.DUMMYFUNCTION("""COMPUTED_VALUE"""),-0.438359654779758)</f>
        <v>-0.43835965477975802</v>
      </c>
      <c r="JR140" s="3">
        <f ca="1">IFERROR(__xludf.DUMMYFUNCTION("""COMPUTED_VALUE"""),-0.420972393385231)</f>
        <v>-0.42097239338523101</v>
      </c>
      <c r="JS140" s="3">
        <f ca="1">IFERROR(__xludf.DUMMYFUNCTION("""COMPUTED_VALUE"""),-0.468661590528925)</f>
        <v>-0.46866159052892498</v>
      </c>
      <c r="JT140" s="3">
        <f ca="1">IFERROR(__xludf.DUMMYFUNCTION("""COMPUTED_VALUE"""),-0.51056954650105)</f>
        <v>-0.51056954650105002</v>
      </c>
      <c r="JU140" s="3">
        <f ca="1">IFERROR(__xludf.DUMMYFUNCTION("""COMPUTED_VALUE"""),-0.478142836648183)</f>
        <v>-0.47814283664818302</v>
      </c>
      <c r="JV140" s="3">
        <f ca="1">IFERROR(__xludf.DUMMYFUNCTION("""COMPUTED_VALUE"""),-0.483302210172218)</f>
        <v>-0.48330221017221803</v>
      </c>
      <c r="JW140" s="3">
        <f ca="1">IFERROR(__xludf.DUMMYFUNCTION("""COMPUTED_VALUE"""),-0.359144617309982)</f>
        <v>-0.35914461730998198</v>
      </c>
      <c r="JX140" s="3">
        <f ca="1">IFERROR(__xludf.DUMMYFUNCTION("""COMPUTED_VALUE"""),-0.341410540802311)</f>
        <v>-0.34141054080231098</v>
      </c>
      <c r="JY140" s="3">
        <f ca="1">IFERROR(__xludf.DUMMYFUNCTION("""COMPUTED_VALUE"""),-0.346127181434782)</f>
        <v>-0.34612718143478199</v>
      </c>
      <c r="JZ140" s="3">
        <f ca="1">IFERROR(__xludf.DUMMYFUNCTION("""COMPUTED_VALUE"""),-0.466790832448447)</f>
        <v>-0.46679083244844699</v>
      </c>
      <c r="KA140" s="3">
        <f ca="1">IFERROR(__xludf.DUMMYFUNCTION("""COMPUTED_VALUE"""),-0.466252389530237)</f>
        <v>-0.46625238953023701</v>
      </c>
      <c r="KB140" s="3">
        <f ca="1">IFERROR(__xludf.DUMMYFUNCTION("""COMPUTED_VALUE"""),-0.570118205167396)</f>
        <v>-0.57011820516739597</v>
      </c>
      <c r="KC140" s="3">
        <f ca="1">IFERROR(__xludf.DUMMYFUNCTION("""COMPUTED_VALUE"""),-0.436473547393039)</f>
        <v>-0.43647354739303901</v>
      </c>
      <c r="KD140" s="3">
        <f ca="1">IFERROR(__xludf.DUMMYFUNCTION("""COMPUTED_VALUE"""),-0.351750509747604)</f>
        <v>-0.35175050974760402</v>
      </c>
      <c r="KE140" s="3">
        <f ca="1">IFERROR(__xludf.DUMMYFUNCTION("""COMPUTED_VALUE"""),-0.297800705708931)</f>
        <v>-0.29780070570893102</v>
      </c>
      <c r="KF140" s="3">
        <f ca="1">IFERROR(__xludf.DUMMYFUNCTION("""COMPUTED_VALUE"""),-0.339974056791542)</f>
        <v>-0.33997405679154202</v>
      </c>
      <c r="KG140" s="3">
        <f ca="1">IFERROR(__xludf.DUMMYFUNCTION("""COMPUTED_VALUE"""),-0.502689344195613)</f>
        <v>-0.50268934419561295</v>
      </c>
      <c r="KH140" s="3">
        <f ca="1">IFERROR(__xludf.DUMMYFUNCTION("""COMPUTED_VALUE"""),-0.522712004945727)</f>
        <v>-0.522712004945727</v>
      </c>
      <c r="KI140" s="3">
        <f ca="1">IFERROR(__xludf.DUMMYFUNCTION("""COMPUTED_VALUE"""),-0.644918896912809)</f>
        <v>-0.64491889691280901</v>
      </c>
      <c r="KJ140" s="3">
        <f ca="1">IFERROR(__xludf.DUMMYFUNCTION("""COMPUTED_VALUE"""),-0.476548572227812)</f>
        <v>-0.476548572227812</v>
      </c>
      <c r="KK140" s="3">
        <f ca="1">IFERROR(__xludf.DUMMYFUNCTION("""COMPUTED_VALUE"""),-0.259067943777296)</f>
        <v>-0.25906794377729597</v>
      </c>
      <c r="KL140" s="3">
        <f ca="1">IFERROR(__xludf.DUMMYFUNCTION("""COMPUTED_VALUE"""),-0.245085752414231)</f>
        <v>-0.245085752414231</v>
      </c>
      <c r="KM140" s="3">
        <f ca="1">IFERROR(__xludf.DUMMYFUNCTION("""COMPUTED_VALUE"""),-0.27862182045163)</f>
        <v>-0.27862182045162998</v>
      </c>
      <c r="KN140" s="3">
        <f ca="1">IFERROR(__xludf.DUMMYFUNCTION("""COMPUTED_VALUE"""),-0.40485417381721)</f>
        <v>-0.40485417381721001</v>
      </c>
      <c r="KO140" s="3">
        <f ca="1">IFERROR(__xludf.DUMMYFUNCTION("""COMPUTED_VALUE"""),-0.509716404275426)</f>
        <v>-0.50971640427542597</v>
      </c>
      <c r="KP140" s="3">
        <f ca="1">IFERROR(__xludf.DUMMYFUNCTION("""COMPUTED_VALUE"""),-0.430732684593079)</f>
        <v>-0.43073268459307901</v>
      </c>
      <c r="KQ140" s="3">
        <f ca="1">IFERROR(__xludf.DUMMYFUNCTION("""COMPUTED_VALUE"""),-0.503409905372197)</f>
        <v>-0.50340990537219699</v>
      </c>
      <c r="KR140" s="3">
        <f ca="1">IFERROR(__xludf.DUMMYFUNCTION("""COMPUTED_VALUE"""),-0.439072777185474)</f>
        <v>-0.43907277718547399</v>
      </c>
      <c r="KS140" s="3">
        <f ca="1">IFERROR(__xludf.DUMMYFUNCTION("""COMPUTED_VALUE"""),-0.366346118569409)</f>
        <v>-0.36634611856940902</v>
      </c>
      <c r="KT140" s="3">
        <f ca="1">IFERROR(__xludf.DUMMYFUNCTION("""COMPUTED_VALUE"""),-0.364473010300998)</f>
        <v>-0.36447301030099799</v>
      </c>
      <c r="KU140" s="3">
        <f ca="1">IFERROR(__xludf.DUMMYFUNCTION("""COMPUTED_VALUE"""),-0.538769351663167)</f>
        <v>-0.53876935166316697</v>
      </c>
      <c r="KV140" s="3">
        <f ca="1">IFERROR(__xludf.DUMMYFUNCTION("""COMPUTED_VALUE"""),-0.55747275175697)</f>
        <v>-0.55747275175696998</v>
      </c>
      <c r="KW140" s="3">
        <f ca="1">IFERROR(__xludf.DUMMYFUNCTION("""COMPUTED_VALUE"""),-0.555135453561071)</f>
        <v>-0.55513545356107097</v>
      </c>
      <c r="KX140" s="3">
        <f ca="1">IFERROR(__xludf.DUMMYFUNCTION("""COMPUTED_VALUE"""),-0.53579903632035)</f>
        <v>-0.53579903632034998</v>
      </c>
      <c r="KY140" s="3">
        <f ca="1">IFERROR(__xludf.DUMMYFUNCTION("""COMPUTED_VALUE"""),-0.592755769304268)</f>
        <v>-0.59275576930426799</v>
      </c>
      <c r="KZ140" s="3">
        <f ca="1">IFERROR(__xludf.DUMMYFUNCTION("""COMPUTED_VALUE"""),-0.17674230313531)</f>
        <v>-0.17674230313531</v>
      </c>
      <c r="LA140" s="3">
        <f ca="1">IFERROR(__xludf.DUMMYFUNCTION("""COMPUTED_VALUE"""),-0.45374584985753)</f>
        <v>-0.45374584985753003</v>
      </c>
      <c r="LB140" s="3">
        <f ca="1">IFERROR(__xludf.DUMMYFUNCTION("""COMPUTED_VALUE"""),-0.527686460684315)</f>
        <v>-0.52768646068431502</v>
      </c>
      <c r="LC140" s="3">
        <f ca="1">IFERROR(__xludf.DUMMYFUNCTION("""COMPUTED_VALUE"""),-0.554174610710253)</f>
        <v>-0.55417461071025298</v>
      </c>
      <c r="LD140" s="3">
        <f ca="1">IFERROR(__xludf.DUMMYFUNCTION("""COMPUTED_VALUE"""),-0.625245882152644)</f>
        <v>-0.62524588215264398</v>
      </c>
      <c r="LE140" s="3">
        <f ca="1">IFERROR(__xludf.DUMMYFUNCTION("""COMPUTED_VALUE"""),-0.573788609812823)</f>
        <v>-0.57378860981282298</v>
      </c>
      <c r="LF140" s="3">
        <f ca="1">IFERROR(__xludf.DUMMYFUNCTION("""COMPUTED_VALUE"""),-0.553828369455949)</f>
        <v>-0.55382836945594904</v>
      </c>
      <c r="LG140" s="3">
        <f ca="1">IFERROR(__xludf.DUMMYFUNCTION("""COMPUTED_VALUE"""),-0.609422635179302)</f>
        <v>-0.60942263517930195</v>
      </c>
      <c r="LH140" s="3">
        <f ca="1">IFERROR(__xludf.DUMMYFUNCTION("""COMPUTED_VALUE"""),-0.588650467621692)</f>
        <v>-0.58865046762169204</v>
      </c>
      <c r="LI140" s="3">
        <f ca="1">IFERROR(__xludf.DUMMYFUNCTION("""COMPUTED_VALUE"""),-0.716442572092403)</f>
        <v>-0.71644257209240303</v>
      </c>
      <c r="LJ140" s="3">
        <f ca="1">IFERROR(__xludf.DUMMYFUNCTION("""COMPUTED_VALUE"""),-0.708057777065655)</f>
        <v>-0.70805777706565498</v>
      </c>
      <c r="LK140" s="3">
        <f ca="1">IFERROR(__xludf.DUMMYFUNCTION("""COMPUTED_VALUE"""),-0.672813131013939)</f>
        <v>-0.67281313101393903</v>
      </c>
      <c r="LL140" s="3">
        <f ca="1">IFERROR(__xludf.DUMMYFUNCTION("""COMPUTED_VALUE"""),-0.664540018725547)</f>
        <v>-0.66454001872554702</v>
      </c>
      <c r="LM140" s="3">
        <f ca="1">IFERROR(__xludf.DUMMYFUNCTION("""COMPUTED_VALUE"""),-0.652209186250429)</f>
        <v>-0.65220918625042901</v>
      </c>
      <c r="LN140" s="3">
        <f ca="1">IFERROR(__xludf.DUMMYFUNCTION("""COMPUTED_VALUE"""),-0.500802893298385)</f>
        <v>-0.50080289329838501</v>
      </c>
      <c r="LO140" s="3">
        <f ca="1">IFERROR(__xludf.DUMMYFUNCTION("""COMPUTED_VALUE"""),-0.607109729354348)</f>
        <v>-0.60710972935434804</v>
      </c>
      <c r="LP140" s="3">
        <f ca="1">IFERROR(__xludf.DUMMYFUNCTION("""COMPUTED_VALUE"""),-0.718219733203875)</f>
        <v>-0.718219733203875</v>
      </c>
      <c r="LQ140" s="3">
        <f ca="1">IFERROR(__xludf.DUMMYFUNCTION("""COMPUTED_VALUE"""),-0.744882491011138)</f>
        <v>-0.74488249101113801</v>
      </c>
      <c r="LR140" s="3">
        <f ca="1">IFERROR(__xludf.DUMMYFUNCTION("""COMPUTED_VALUE"""),-0.723103730337645)</f>
        <v>-0.72310373033764497</v>
      </c>
      <c r="LS140" s="3">
        <f ca="1">IFERROR(__xludf.DUMMYFUNCTION("""COMPUTED_VALUE"""),-0.742594746884397)</f>
        <v>-0.74259474688439697</v>
      </c>
      <c r="LT140" s="3">
        <f ca="1">IFERROR(__xludf.DUMMYFUNCTION("""COMPUTED_VALUE"""),-0.741299959359325)</f>
        <v>-0.74129995935932502</v>
      </c>
      <c r="LU140" s="3">
        <f ca="1">IFERROR(__xludf.DUMMYFUNCTION("""COMPUTED_VALUE"""),-0.697195136930256)</f>
        <v>-0.69719513693025603</v>
      </c>
      <c r="LV140" s="3">
        <f ca="1">IFERROR(__xludf.DUMMYFUNCTION("""COMPUTED_VALUE"""),-0.706535403252181)</f>
        <v>-0.706535403252181</v>
      </c>
      <c r="LW140" s="3">
        <f ca="1">IFERROR(__xludf.DUMMYFUNCTION("""COMPUTED_VALUE"""),-0.787296956329393)</f>
        <v>-0.78729695632939301</v>
      </c>
      <c r="LX140" s="3">
        <f ca="1">IFERROR(__xludf.DUMMYFUNCTION("""COMPUTED_VALUE"""),-0.790292234718269)</f>
        <v>-0.79029223471826904</v>
      </c>
      <c r="LY140" s="3">
        <f ca="1">IFERROR(__xludf.DUMMYFUNCTION("""COMPUTED_VALUE"""),-0.787235518534439)</f>
        <v>-0.78723551853443896</v>
      </c>
      <c r="LZ140" s="3">
        <f ca="1">IFERROR(__xludf.DUMMYFUNCTION("""COMPUTED_VALUE"""),-0.789375361145223)</f>
        <v>-0.789375361145223</v>
      </c>
      <c r="MA140" s="3">
        <f ca="1">IFERROR(__xludf.DUMMYFUNCTION("""COMPUTED_VALUE"""),-0.75253449350156)</f>
        <v>-0.75253449350155999</v>
      </c>
      <c r="MB140" s="3">
        <f ca="1">IFERROR(__xludf.DUMMYFUNCTION("""COMPUTED_VALUE"""),-0.777682681786639)</f>
        <v>-0.77768268178663902</v>
      </c>
      <c r="MC140" s="3">
        <f ca="1">IFERROR(__xludf.DUMMYFUNCTION("""COMPUTED_VALUE"""),-0.759805859118548)</f>
        <v>-0.75980585911854803</v>
      </c>
      <c r="MD140" s="3">
        <f ca="1">IFERROR(__xludf.DUMMYFUNCTION("""COMPUTED_VALUE"""),-0.807458328052214)</f>
        <v>-0.80745832805221396</v>
      </c>
      <c r="ME140" s="3">
        <f ca="1">IFERROR(__xludf.DUMMYFUNCTION("""COMPUTED_VALUE"""),-0.837711094045098)</f>
        <v>-0.83771109404509803</v>
      </c>
      <c r="MF140" s="3">
        <f ca="1">IFERROR(__xludf.DUMMYFUNCTION("""COMPUTED_VALUE"""),-0.808243428086361)</f>
        <v>-0.80824342808636096</v>
      </c>
      <c r="MG140" s="3">
        <f ca="1">IFERROR(__xludf.DUMMYFUNCTION("""COMPUTED_VALUE"""),-0.860486867947041)</f>
        <v>-0.86048686794704099</v>
      </c>
      <c r="MH140" s="3">
        <f ca="1">IFERROR(__xludf.DUMMYFUNCTION("""COMPUTED_VALUE"""),-0.829008558148212)</f>
        <v>-0.82900855814821195</v>
      </c>
      <c r="MI140" s="3">
        <f ca="1">IFERROR(__xludf.DUMMYFUNCTION("""COMPUTED_VALUE"""),-0.81640084360042)</f>
        <v>-0.81640084360041998</v>
      </c>
      <c r="MJ140" s="3">
        <f ca="1">IFERROR(__xludf.DUMMYFUNCTION("""COMPUTED_VALUE"""),-0.767995523297001)</f>
        <v>-0.76799552329700105</v>
      </c>
      <c r="MK140" s="3">
        <f ca="1">IFERROR(__xludf.DUMMYFUNCTION("""COMPUTED_VALUE"""),-0.867930895864786)</f>
        <v>-0.867930895864786</v>
      </c>
      <c r="ML140" s="3">
        <f ca="1">IFERROR(__xludf.DUMMYFUNCTION("""COMPUTED_VALUE"""),-0.901746538043628)</f>
        <v>-0.90174653804362803</v>
      </c>
      <c r="MM140" s="3">
        <f ca="1">IFERROR(__xludf.DUMMYFUNCTION("""COMPUTED_VALUE"""),-0.878176643548624)</f>
        <v>-0.87817664354862401</v>
      </c>
      <c r="MN140" s="3">
        <f ca="1">IFERROR(__xludf.DUMMYFUNCTION("""COMPUTED_VALUE"""),-0.87990461675155)</f>
        <v>-0.87990461675154996</v>
      </c>
      <c r="MO140" s="3">
        <f ca="1">IFERROR(__xludf.DUMMYFUNCTION("""COMPUTED_VALUE"""),-0.855709656030933)</f>
        <v>-0.85570965603093296</v>
      </c>
      <c r="MP140" s="3">
        <f ca="1">IFERROR(__xludf.DUMMYFUNCTION("""COMPUTED_VALUE"""),-0.853190407446508)</f>
        <v>-0.85319040744650798</v>
      </c>
      <c r="MQ140" s="3">
        <f ca="1">IFERROR(__xludf.DUMMYFUNCTION("""COMPUTED_VALUE"""),-0.784949773159195)</f>
        <v>-0.78494977315919501</v>
      </c>
      <c r="MR140" s="3">
        <f ca="1">IFERROR(__xludf.DUMMYFUNCTION("""COMPUTED_VALUE"""),-0.857894430619748)</f>
        <v>-0.85789443061974802</v>
      </c>
      <c r="MS140" s="3">
        <f ca="1">IFERROR(__xludf.DUMMYFUNCTION("""COMPUTED_VALUE"""),-0.886737120359449)</f>
        <v>-0.88673712035944896</v>
      </c>
      <c r="MT140" s="3">
        <f ca="1">IFERROR(__xludf.DUMMYFUNCTION("""COMPUTED_VALUE"""),-0.899707763545179)</f>
        <v>-0.89970776354517901</v>
      </c>
      <c r="MU140" s="3">
        <f ca="1">IFERROR(__xludf.DUMMYFUNCTION("""COMPUTED_VALUE"""),-0.885826712088484)</f>
        <v>-0.88582671208848396</v>
      </c>
      <c r="MV140" s="3">
        <f ca="1">IFERROR(__xludf.DUMMYFUNCTION("""COMPUTED_VALUE"""),-0.861024975072397)</f>
        <v>-0.86102497507239695</v>
      </c>
      <c r="MW140" s="3">
        <f ca="1">IFERROR(__xludf.DUMMYFUNCTION("""COMPUTED_VALUE"""),-0.891914431866607)</f>
        <v>-0.89191443186660702</v>
      </c>
      <c r="MX140" s="3">
        <f ca="1">IFERROR(__xludf.DUMMYFUNCTION("""COMPUTED_VALUE"""),-0.844120366896325)</f>
        <v>-0.84412036689632497</v>
      </c>
      <c r="MY140" s="3">
        <f ca="1">IFERROR(__xludf.DUMMYFUNCTION("""COMPUTED_VALUE"""),-0.899262838717122)</f>
        <v>-0.89926283871712198</v>
      </c>
      <c r="MZ140" s="3">
        <f ca="1">IFERROR(__xludf.DUMMYFUNCTION("""COMPUTED_VALUE"""),-0.902074145538038)</f>
        <v>-0.902074145538038</v>
      </c>
      <c r="NA140" s="3">
        <f ca="1">IFERROR(__xludf.DUMMYFUNCTION("""COMPUTED_VALUE"""),-0.902005952643335)</f>
        <v>-0.90200595264333505</v>
      </c>
      <c r="NB140" s="3">
        <f ca="1">IFERROR(__xludf.DUMMYFUNCTION("""COMPUTED_VALUE"""),-0.893865957741392)</f>
        <v>-0.89386595774139199</v>
      </c>
      <c r="NC140" s="3">
        <f ca="1">IFERROR(__xludf.DUMMYFUNCTION("""COMPUTED_VALUE"""),-0.899031836419525)</f>
        <v>-0.899031836419525</v>
      </c>
      <c r="ND140" s="3">
        <f ca="1">IFERROR(__xludf.DUMMYFUNCTION("""COMPUTED_VALUE"""),-0.862423359209082)</f>
        <v>-0.86242335920908197</v>
      </c>
      <c r="NE140" s="3">
        <f ca="1">IFERROR(__xludf.DUMMYFUNCTION("""COMPUTED_VALUE"""),-0.838358867268363)</f>
        <v>-0.83835886726836295</v>
      </c>
      <c r="NF140" s="3">
        <f ca="1">IFERROR(__xludf.DUMMYFUNCTION("""COMPUTED_VALUE"""),-0.892478989253333)</f>
        <v>-0.89247898925333302</v>
      </c>
      <c r="NG140" s="3">
        <f ca="1">IFERROR(__xludf.DUMMYFUNCTION("""COMPUTED_VALUE"""),-0.914034629887105)</f>
        <v>-0.91403462988710504</v>
      </c>
      <c r="NH140" s="3">
        <f ca="1">IFERROR(__xludf.DUMMYFUNCTION("""COMPUTED_VALUE"""),-0.905746486315382)</f>
        <v>-0.90574648631538202</v>
      </c>
      <c r="NI140" s="3">
        <f ca="1">IFERROR(__xludf.DUMMYFUNCTION("""COMPUTED_VALUE"""),-0.916963797507575)</f>
        <v>-0.91696379750757495</v>
      </c>
      <c r="NJ140" s="3">
        <f ca="1">IFERROR(__xludf.DUMMYFUNCTION("""COMPUTED_VALUE"""),-0.892628157718286)</f>
        <v>-0.89262815771828596</v>
      </c>
      <c r="NK140" s="3">
        <f ca="1">IFERROR(__xludf.DUMMYFUNCTION("""COMPUTED_VALUE"""),-0.862392515428053)</f>
        <v>-0.86239251542805295</v>
      </c>
      <c r="NL140" s="3">
        <f ca="1">IFERROR(__xludf.DUMMYFUNCTION("""COMPUTED_VALUE"""),-0.859212655335012)</f>
        <v>-0.85921265533501201</v>
      </c>
      <c r="NM140" s="3">
        <f ca="1">IFERROR(__xludf.DUMMYFUNCTION("""COMPUTED_VALUE"""),-0.895091919408682)</f>
        <v>-0.89509191940868205</v>
      </c>
      <c r="NN140" s="3">
        <f ca="1">IFERROR(__xludf.DUMMYFUNCTION("""COMPUTED_VALUE"""),-0.911071697851099)</f>
        <v>-0.91107169785109898</v>
      </c>
      <c r="NO140" s="3">
        <f ca="1">IFERROR(__xludf.DUMMYFUNCTION("""COMPUTED_VALUE"""),-0.912718655231498)</f>
        <v>-0.91271865523149798</v>
      </c>
      <c r="NP140" s="3">
        <f ca="1">IFERROR(__xludf.DUMMYFUNCTION("""COMPUTED_VALUE"""),-0.881464514099403)</f>
        <v>-0.88146451409940296</v>
      </c>
      <c r="NQ140" s="3">
        <f ca="1">IFERROR(__xludf.DUMMYFUNCTION("""COMPUTED_VALUE"""),-0.898598635388632)</f>
        <v>-0.89859863538863205</v>
      </c>
      <c r="NR140" s="3">
        <f ca="1">IFERROR(__xludf.DUMMYFUNCTION("""COMPUTED_VALUE"""),-0.836070539757276)</f>
        <v>-0.83607053975727597</v>
      </c>
      <c r="NS140" s="3">
        <f ca="1">IFERROR(__xludf.DUMMYFUNCTION("""COMPUTED_VALUE"""),-0.821924706172223)</f>
        <v>-0.82192470617222302</v>
      </c>
      <c r="NT140" s="3">
        <f ca="1">IFERROR(__xludf.DUMMYFUNCTION("""COMPUTED_VALUE"""),-0.903558452369523)</f>
        <v>-0.90355845236952304</v>
      </c>
      <c r="NU140" s="3">
        <f ca="1">IFERROR(__xludf.DUMMYFUNCTION("""COMPUTED_VALUE"""),-0.890179777328203)</f>
        <v>-0.89017977732820297</v>
      </c>
      <c r="NV140" s="3">
        <f ca="1">IFERROR(__xludf.DUMMYFUNCTION("""COMPUTED_VALUE"""),-0.883901850814084)</f>
        <v>-0.88390185081408401</v>
      </c>
      <c r="NW140" s="3">
        <f ca="1">IFERROR(__xludf.DUMMYFUNCTION("""COMPUTED_VALUE"""),-0.871677663886869)</f>
        <v>-0.87167766388686896</v>
      </c>
      <c r="NX140" s="3">
        <f ca="1">IFERROR(__xludf.DUMMYFUNCTION("""COMPUTED_VALUE"""),-0.843486972157969)</f>
        <v>-0.84348697215796897</v>
      </c>
      <c r="NY140" s="3">
        <f ca="1">IFERROR(__xludf.DUMMYFUNCTION("""COMPUTED_VALUE"""),-0.732634674767598)</f>
        <v>-0.73263467476759803</v>
      </c>
      <c r="NZ140" s="3">
        <f ca="1">IFERROR(__xludf.DUMMYFUNCTION("""COMPUTED_VALUE"""),-0.759454541823053)</f>
        <v>-0.75945454182305305</v>
      </c>
      <c r="OA140" s="3">
        <f ca="1">IFERROR(__xludf.DUMMYFUNCTION("""COMPUTED_VALUE"""),-0.831074112093697)</f>
        <v>-0.83107411209369697</v>
      </c>
      <c r="OB140" s="3">
        <f ca="1">IFERROR(__xludf.DUMMYFUNCTION("""COMPUTED_VALUE"""),-0.791076675297989)</f>
        <v>-0.79107667529798897</v>
      </c>
      <c r="OC140" s="3">
        <f ca="1">IFERROR(__xludf.DUMMYFUNCTION("""COMPUTED_VALUE"""),-0.753837037384581)</f>
        <v>-0.75383703738458097</v>
      </c>
      <c r="OD140" s="3">
        <f ca="1">IFERROR(__xludf.DUMMYFUNCTION("""COMPUTED_VALUE"""),-0.744429333680037)</f>
        <v>-0.74442933368003705</v>
      </c>
      <c r="OE140" s="3">
        <f ca="1">IFERROR(__xludf.DUMMYFUNCTION("""COMPUTED_VALUE"""),-0.637971306134075)</f>
        <v>-0.63797130613407504</v>
      </c>
      <c r="OF140" s="3">
        <f ca="1">IFERROR(__xludf.DUMMYFUNCTION("""COMPUTED_VALUE"""),-0.29547390198053)</f>
        <v>-0.29547390198052997</v>
      </c>
      <c r="OG140" s="3">
        <f ca="1">IFERROR(__xludf.DUMMYFUNCTION("""COMPUTED_VALUE"""),-0.254889327754231)</f>
        <v>-0.25488932775423101</v>
      </c>
      <c r="OH140" s="3">
        <f ca="1">IFERROR(__xludf.DUMMYFUNCTION("""COMPUTED_VALUE"""),-0.087125697539024)</f>
        <v>-8.7125697539023994E-2</v>
      </c>
      <c r="OI140" s="3">
        <f ca="1">IFERROR(__xludf.DUMMYFUNCTION("""COMPUTED_VALUE"""),-0.00971597261635659)</f>
        <v>-9.7159726163565906E-3</v>
      </c>
      <c r="OJ140" s="3">
        <f ca="1">IFERROR(__xludf.DUMMYFUNCTION("""COMPUTED_VALUE"""),0.0370882956690394)</f>
        <v>3.7088295669039401E-2</v>
      </c>
      <c r="OK140" s="3">
        <f ca="1">IFERROR(__xludf.DUMMYFUNCTION("""COMPUTED_VALUE"""),0.0923559743129689)</f>
        <v>9.2355974312968894E-2</v>
      </c>
      <c r="OL140" s="3">
        <f ca="1">IFERROR(__xludf.DUMMYFUNCTION("""COMPUTED_VALUE"""),0.0468904949057138)</f>
        <v>4.68904949057138E-2</v>
      </c>
      <c r="OM140" s="3">
        <f ca="1">IFERROR(__xludf.DUMMYFUNCTION("""COMPUTED_VALUE"""),-0.122939820311938)</f>
        <v>-0.12293982031193799</v>
      </c>
      <c r="ON140" s="3">
        <f ca="1">IFERROR(__xludf.DUMMYFUNCTION("""COMPUTED_VALUE"""),-0.135534049089351)</f>
        <v>-0.13553404908935099</v>
      </c>
      <c r="OO140" s="3">
        <f ca="1">IFERROR(__xludf.DUMMYFUNCTION("""COMPUTED_VALUE"""),-0.344940105105923)</f>
        <v>-0.34494010510592299</v>
      </c>
      <c r="OP140" s="3">
        <f ca="1">IFERROR(__xludf.DUMMYFUNCTION("""COMPUTED_VALUE"""),-0.335145472786629)</f>
        <v>-0.33514547278662898</v>
      </c>
      <c r="OQ140" s="3">
        <f ca="1">IFERROR(__xludf.DUMMYFUNCTION("""COMPUTED_VALUE"""),-0.361935859793258)</f>
        <v>-0.36193585979325799</v>
      </c>
      <c r="OR140" s="3">
        <f ca="1">IFERROR(__xludf.DUMMYFUNCTION("""COMPUTED_VALUE"""),-0.308714874186792)</f>
        <v>-0.308714874186792</v>
      </c>
      <c r="OS140" s="3">
        <f ca="1">IFERROR(__xludf.DUMMYFUNCTION("""COMPUTED_VALUE"""),-0.315304829639485)</f>
        <v>-0.31530482963948497</v>
      </c>
      <c r="OT140" s="3">
        <f ca="1">IFERROR(__xludf.DUMMYFUNCTION("""COMPUTED_VALUE"""),-0.132241706011359)</f>
        <v>-0.13224170601135901</v>
      </c>
      <c r="OU140" s="3">
        <f ca="1">IFERROR(__xludf.DUMMYFUNCTION("""COMPUTED_VALUE"""),-0.0491430404755479)</f>
        <v>-4.9143040475547899E-2</v>
      </c>
      <c r="OV140" s="3">
        <f ca="1">IFERROR(__xludf.DUMMYFUNCTION("""COMPUTED_VALUE"""),0.18332547016222)</f>
        <v>0.18332547016222001</v>
      </c>
      <c r="OW140" s="3">
        <f ca="1">IFERROR(__xludf.DUMMYFUNCTION("""COMPUTED_VALUE"""),0.203358144840606)</f>
        <v>0.20335814484060599</v>
      </c>
      <c r="OX140" s="3">
        <f ca="1">IFERROR(__xludf.DUMMYFUNCTION("""COMPUTED_VALUE"""),0.0891056693112601)</f>
        <v>8.9105669311260099E-2</v>
      </c>
      <c r="OY140" s="3">
        <f ca="1">IFERROR(__xludf.DUMMYFUNCTION("""COMPUTED_VALUE"""),0.140532337069811)</f>
        <v>0.140532337069811</v>
      </c>
      <c r="OZ140" s="3">
        <f ca="1">IFERROR(__xludf.DUMMYFUNCTION("""COMPUTED_VALUE"""),0.11632732822829)</f>
        <v>0.11632732822829001</v>
      </c>
      <c r="PA140" s="3">
        <f ca="1">IFERROR(__xludf.DUMMYFUNCTION("""COMPUTED_VALUE"""),0.0459295175150873)</f>
        <v>4.5929517515087302E-2</v>
      </c>
      <c r="PB140" s="3">
        <f ca="1">IFERROR(__xludf.DUMMYFUNCTION("""COMPUTED_VALUE"""),0.0787348617037169)</f>
        <v>7.8734861703716894E-2</v>
      </c>
      <c r="PC140" s="3">
        <f ca="1">IFERROR(__xludf.DUMMYFUNCTION("""COMPUTED_VALUE"""),-0.0160586244091966)</f>
        <v>-1.6058624409196601E-2</v>
      </c>
      <c r="PD140" s="3">
        <f ca="1">IFERROR(__xludf.DUMMYFUNCTION("""COMPUTED_VALUE"""),-0.0757160767042178)</f>
        <v>-7.5716076704217802E-2</v>
      </c>
      <c r="PE140" s="3">
        <f ca="1">IFERROR(__xludf.DUMMYFUNCTION("""COMPUTED_VALUE"""),0.0307324671767788)</f>
        <v>3.0732467176778799E-2</v>
      </c>
      <c r="PF140" s="3">
        <f ca="1">IFERROR(__xludf.DUMMYFUNCTION("""COMPUTED_VALUE"""),-0.040357785359955)</f>
        <v>-4.0357785359954997E-2</v>
      </c>
      <c r="PG140" s="3">
        <f ca="1">IFERROR(__xludf.DUMMYFUNCTION("""COMPUTED_VALUE"""),0.0439774884167805)</f>
        <v>4.3977488416780501E-2</v>
      </c>
      <c r="PH140" s="3">
        <f ca="1">IFERROR(__xludf.DUMMYFUNCTION("""COMPUTED_VALUE"""),0.102717584301476)</f>
        <v>0.102717584301476</v>
      </c>
      <c r="PI140" s="3">
        <f ca="1">IFERROR(__xludf.DUMMYFUNCTION("""COMPUTED_VALUE"""),0.0551279678625771)</f>
        <v>5.51279678625771E-2</v>
      </c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</row>
    <row r="141" spans="1:477" ht="13">
      <c r="A141" s="1" t="str">
        <f ca="1">IFERROR(__xludf.DUMMYFUNCTION("""COMPUTED_VALUE"""),"Metro Transit")</f>
        <v>Metro Transit</v>
      </c>
      <c r="B141" s="1" t="str">
        <f ca="1">IFERROR(__xludf.DUMMYFUNCTION("""COMPUTED_VALUE"""),"St. Louis")</f>
        <v>St. Louis</v>
      </c>
      <c r="C141" s="1" t="str">
        <f ca="1">IFERROR(__xludf.DUMMYFUNCTION("""COMPUTED_VALUE"""),"United States")</f>
        <v>United States</v>
      </c>
      <c r="D141" s="1" t="str">
        <f ca="1">IFERROR(__xludf.DUMMYFUNCTION("""COMPUTED_VALUE"""),"Missouri")</f>
        <v>Missouri</v>
      </c>
      <c r="E141" s="3">
        <f ca="1">IFERROR(__xludf.DUMMYFUNCTION("""COMPUTED_VALUE"""),-0.483224240885919)</f>
        <v>-0.48322424088591898</v>
      </c>
      <c r="F141" s="3">
        <f ca="1">IFERROR(__xludf.DUMMYFUNCTION("""COMPUTED_VALUE"""),-0.44025792802417)</f>
        <v>-0.44025792802417002</v>
      </c>
      <c r="G141" s="3">
        <f ca="1">IFERROR(__xludf.DUMMYFUNCTION("""COMPUTED_VALUE"""),-0.449740400275023)</f>
        <v>-0.44974040027502299</v>
      </c>
      <c r="H141" s="3">
        <f ca="1">IFERROR(__xludf.DUMMYFUNCTION("""COMPUTED_VALUE"""),-0.48082314994562)</f>
        <v>-0.48082314994561998</v>
      </c>
      <c r="I141" s="3">
        <f ca="1">IFERROR(__xludf.DUMMYFUNCTION("""COMPUTED_VALUE"""),-0.443432897432318)</f>
        <v>-0.44343289743231801</v>
      </c>
      <c r="J141" s="3">
        <f ca="1">IFERROR(__xludf.DUMMYFUNCTION("""COMPUTED_VALUE"""),-0.437117270187195)</f>
        <v>-0.43711727018719498</v>
      </c>
      <c r="K141" s="3">
        <f ca="1">IFERROR(__xludf.DUMMYFUNCTION("""COMPUTED_VALUE"""),-0.450068895383448)</f>
        <v>-0.45006889538344802</v>
      </c>
      <c r="L141" s="3">
        <f ca="1">IFERROR(__xludf.DUMMYFUNCTION("""COMPUTED_VALUE"""),-0.412843679965189)</f>
        <v>-0.412843679965189</v>
      </c>
      <c r="M141" s="3">
        <f ca="1">IFERROR(__xludf.DUMMYFUNCTION("""COMPUTED_VALUE"""),-0.47772240729329)</f>
        <v>-0.47772240729329002</v>
      </c>
      <c r="N141" s="3">
        <f ca="1">IFERROR(__xludf.DUMMYFUNCTION("""COMPUTED_VALUE"""),-0.438322494497818)</f>
        <v>-0.43832249449781802</v>
      </c>
      <c r="O141" s="3">
        <f ca="1">IFERROR(__xludf.DUMMYFUNCTION("""COMPUTED_VALUE"""),-0.465387027513168)</f>
        <v>-0.46538702751316802</v>
      </c>
      <c r="P141" s="3">
        <f ca="1">IFERROR(__xludf.DUMMYFUNCTION("""COMPUTED_VALUE"""),-0.441947013077749)</f>
        <v>-0.44194701307774897</v>
      </c>
      <c r="Q141" s="3">
        <f ca="1">IFERROR(__xludf.DUMMYFUNCTION("""COMPUTED_VALUE"""),-0.454983616810993)</f>
        <v>-0.45498361681099297</v>
      </c>
      <c r="R141" s="3">
        <f ca="1">IFERROR(__xludf.DUMMYFUNCTION("""COMPUTED_VALUE"""),-0.428812555299617)</f>
        <v>-0.42881255529961698</v>
      </c>
      <c r="S141" s="3">
        <f ca="1">IFERROR(__xludf.DUMMYFUNCTION("""COMPUTED_VALUE"""),-0.45200041486517)</f>
        <v>-0.45200041486517001</v>
      </c>
      <c r="T141" s="3">
        <f ca="1">IFERROR(__xludf.DUMMYFUNCTION("""COMPUTED_VALUE"""),-0.443470104330925)</f>
        <v>-0.44347010433092499</v>
      </c>
      <c r="U141" s="3">
        <f ca="1">IFERROR(__xludf.DUMMYFUNCTION("""COMPUTED_VALUE"""),-0.461188169714935)</f>
        <v>-0.46118816971493498</v>
      </c>
      <c r="V141" s="3">
        <f ca="1">IFERROR(__xludf.DUMMYFUNCTION("""COMPUTED_VALUE"""),-0.430145469153431)</f>
        <v>-0.43014546915343099</v>
      </c>
      <c r="W141" s="3">
        <f ca="1">IFERROR(__xludf.DUMMYFUNCTION("""COMPUTED_VALUE"""),-0.47675496636112)</f>
        <v>-0.47675496636112003</v>
      </c>
      <c r="X141" s="3">
        <f ca="1">IFERROR(__xludf.DUMMYFUNCTION("""COMPUTED_VALUE"""),-0.393462262444105)</f>
        <v>-0.39346226244410498</v>
      </c>
      <c r="Y141" s="3">
        <f ca="1">IFERROR(__xludf.DUMMYFUNCTION("""COMPUTED_VALUE"""),-0.360295819956926)</f>
        <v>-0.360295819956926</v>
      </c>
      <c r="Z141" s="3">
        <f ca="1">IFERROR(__xludf.DUMMYFUNCTION("""COMPUTED_VALUE"""),-0.385759418861335)</f>
        <v>-0.38575941886133502</v>
      </c>
      <c r="AA141" s="3">
        <f ca="1">IFERROR(__xludf.DUMMYFUNCTION("""COMPUTED_VALUE"""),-0.374694709571634)</f>
        <v>-0.37469470957163398</v>
      </c>
      <c r="AB141" s="3">
        <f ca="1">IFERROR(__xludf.DUMMYFUNCTION("""COMPUTED_VALUE"""),-0.482512615151024)</f>
        <v>-0.482512615151024</v>
      </c>
      <c r="AC141" s="3">
        <f ca="1">IFERROR(__xludf.DUMMYFUNCTION("""COMPUTED_VALUE"""),-0.456540851648487)</f>
        <v>-0.45654085164848701</v>
      </c>
      <c r="AD141" s="3">
        <f ca="1">IFERROR(__xludf.DUMMYFUNCTION("""COMPUTED_VALUE"""),-0.38156762727814)</f>
        <v>-0.38156762727813998</v>
      </c>
      <c r="AE141" s="3">
        <f ca="1">IFERROR(__xludf.DUMMYFUNCTION("""COMPUTED_VALUE"""),-0.391415806147672)</f>
        <v>-0.39141580614767202</v>
      </c>
      <c r="AF141" s="3">
        <f ca="1">IFERROR(__xludf.DUMMYFUNCTION("""COMPUTED_VALUE"""),-0.431643010793473)</f>
        <v>-0.431643010793473</v>
      </c>
      <c r="AG141" s="3">
        <f ca="1">IFERROR(__xludf.DUMMYFUNCTION("""COMPUTED_VALUE"""),-0.425061578462691)</f>
        <v>-0.42506157846269099</v>
      </c>
      <c r="AH141" s="3">
        <f ca="1">IFERROR(__xludf.DUMMYFUNCTION("""COMPUTED_VALUE"""),-0.467352434392944)</f>
        <v>-0.46735243439294399</v>
      </c>
      <c r="AI141" s="3">
        <f ca="1">IFERROR(__xludf.DUMMYFUNCTION("""COMPUTED_VALUE"""),-0.508253899148285)</f>
        <v>-0.508253899148285</v>
      </c>
      <c r="AJ141" s="3">
        <f ca="1">IFERROR(__xludf.DUMMYFUNCTION("""COMPUTED_VALUE"""),-0.452847673032609)</f>
        <v>-0.45284767303260898</v>
      </c>
      <c r="AK141" s="3">
        <f ca="1">IFERROR(__xludf.DUMMYFUNCTION("""COMPUTED_VALUE"""),-0.40986443826658)</f>
        <v>-0.40986443826657998</v>
      </c>
      <c r="AL141" s="3">
        <f ca="1">IFERROR(__xludf.DUMMYFUNCTION("""COMPUTED_VALUE"""),-0.363593056336096)</f>
        <v>-0.36359305633609601</v>
      </c>
      <c r="AM141" s="3">
        <f ca="1">IFERROR(__xludf.DUMMYFUNCTION("""COMPUTED_VALUE"""),-0.300372679465286)</f>
        <v>-0.30037267946528601</v>
      </c>
      <c r="AN141" s="3">
        <f ca="1">IFERROR(__xludf.DUMMYFUNCTION("""COMPUTED_VALUE"""),-0.365816539826837)</f>
        <v>-0.36581653982683698</v>
      </c>
      <c r="AO141" s="3">
        <f ca="1">IFERROR(__xludf.DUMMYFUNCTION("""COMPUTED_VALUE"""),-0.399170229844347)</f>
        <v>-0.39917022984434702</v>
      </c>
      <c r="AP141" s="3">
        <f ca="1">IFERROR(__xludf.DUMMYFUNCTION("""COMPUTED_VALUE"""),-0.366669821085493)</f>
        <v>-0.36666982108549301</v>
      </c>
      <c r="AQ141" s="3">
        <f ca="1">IFERROR(__xludf.DUMMYFUNCTION("""COMPUTED_VALUE"""),-0.351352505896608)</f>
        <v>-0.35135250589660799</v>
      </c>
      <c r="AR141" s="3">
        <f ca="1">IFERROR(__xludf.DUMMYFUNCTION("""COMPUTED_VALUE"""),-0.364716271989003)</f>
        <v>-0.36471627198900303</v>
      </c>
      <c r="AS141" s="3">
        <f ca="1">IFERROR(__xludf.DUMMYFUNCTION("""COMPUTED_VALUE"""),-0.352065012150248)</f>
        <v>-0.35206501215024799</v>
      </c>
      <c r="AT141" s="3">
        <f ca="1">IFERROR(__xludf.DUMMYFUNCTION("""COMPUTED_VALUE"""),-0.331937160100593)</f>
        <v>-0.33193716010059299</v>
      </c>
      <c r="AU141" s="3">
        <f ca="1">IFERROR(__xludf.DUMMYFUNCTION("""COMPUTED_VALUE"""),-0.311528363454085)</f>
        <v>-0.31152836345408502</v>
      </c>
      <c r="AV141" s="3">
        <f ca="1">IFERROR(__xludf.DUMMYFUNCTION("""COMPUTED_VALUE"""),-0.405417495985517)</f>
        <v>-0.40541749598551702</v>
      </c>
      <c r="AW141" s="3">
        <f ca="1">IFERROR(__xludf.DUMMYFUNCTION("""COMPUTED_VALUE"""),-0.365684012462886)</f>
        <v>-0.36568401246288601</v>
      </c>
      <c r="AX141" s="3">
        <f ca="1">IFERROR(__xludf.DUMMYFUNCTION("""COMPUTED_VALUE"""),-0.353131804116125)</f>
        <v>-0.35313180411612499</v>
      </c>
      <c r="AY141" s="3">
        <f ca="1">IFERROR(__xludf.DUMMYFUNCTION("""COMPUTED_VALUE"""),-0.365395539194903)</f>
        <v>-0.36539553919490297</v>
      </c>
      <c r="AZ141" s="3">
        <f ca="1">IFERROR(__xludf.DUMMYFUNCTION("""COMPUTED_VALUE"""),-0.292827892313651)</f>
        <v>-0.29282789231365097</v>
      </c>
      <c r="BA141" s="3">
        <f ca="1">IFERROR(__xludf.DUMMYFUNCTION("""COMPUTED_VALUE"""),-0.354877463111835)</f>
        <v>-0.35487746311183499</v>
      </c>
      <c r="BB141" s="3">
        <f ca="1">IFERROR(__xludf.DUMMYFUNCTION("""COMPUTED_VALUE"""),-0.380316113189227)</f>
        <v>-0.38031611318922698</v>
      </c>
      <c r="BC141" s="3">
        <f ca="1">IFERROR(__xludf.DUMMYFUNCTION("""COMPUTED_VALUE"""),-0.388228468247092)</f>
        <v>-0.38822846824709201</v>
      </c>
      <c r="BD141" s="3">
        <f ca="1">IFERROR(__xludf.DUMMYFUNCTION("""COMPUTED_VALUE"""),-0.386883539701204)</f>
        <v>-0.38688353970120398</v>
      </c>
      <c r="BE141" s="3">
        <f ca="1">IFERROR(__xludf.DUMMYFUNCTION("""COMPUTED_VALUE"""),-0.463881716087915)</f>
        <v>-0.46388171608791501</v>
      </c>
      <c r="BF141" s="3">
        <f ca="1">IFERROR(__xludf.DUMMYFUNCTION("""COMPUTED_VALUE"""),-0.513328750465187)</f>
        <v>-0.513328750465187</v>
      </c>
      <c r="BG141" s="3">
        <f ca="1">IFERROR(__xludf.DUMMYFUNCTION("""COMPUTED_VALUE"""),-0.544547999435689)</f>
        <v>-0.54454799943568899</v>
      </c>
      <c r="BH141" s="3">
        <f ca="1">IFERROR(__xludf.DUMMYFUNCTION("""COMPUTED_VALUE"""),-0.473468034538794)</f>
        <v>-0.47346803453879399</v>
      </c>
      <c r="BI141" s="3">
        <f ca="1">IFERROR(__xludf.DUMMYFUNCTION("""COMPUTED_VALUE"""),-0.49460471689786)</f>
        <v>-0.49460471689786001</v>
      </c>
      <c r="BJ141" s="3">
        <f ca="1">IFERROR(__xludf.DUMMYFUNCTION("""COMPUTED_VALUE"""),-0.452375728989889)</f>
        <v>-0.45237572898988898</v>
      </c>
      <c r="BK141" s="3">
        <f ca="1">IFERROR(__xludf.DUMMYFUNCTION("""COMPUTED_VALUE"""),-0.472466580926634)</f>
        <v>-0.47246658092663402</v>
      </c>
      <c r="BL141" s="3">
        <f ca="1">IFERROR(__xludf.DUMMYFUNCTION("""COMPUTED_VALUE"""),-0.429734368245102)</f>
        <v>-0.42973436824510203</v>
      </c>
      <c r="BM141" s="3">
        <f ca="1">IFERROR(__xludf.DUMMYFUNCTION("""COMPUTED_VALUE"""),-0.483730304248028)</f>
        <v>-0.48373030424802799</v>
      </c>
      <c r="BN141" s="3">
        <f ca="1">IFERROR(__xludf.DUMMYFUNCTION("""COMPUTED_VALUE"""),-0.471628927385524)</f>
        <v>-0.47162892738552398</v>
      </c>
      <c r="BO141" s="3">
        <f ca="1">IFERROR(__xludf.DUMMYFUNCTION("""COMPUTED_VALUE"""),-0.453180022824302)</f>
        <v>-0.45318002282430198</v>
      </c>
      <c r="BP141" s="3">
        <f ca="1">IFERROR(__xludf.DUMMYFUNCTION("""COMPUTED_VALUE"""),-0.411963791642863)</f>
        <v>-0.41196379164286301</v>
      </c>
      <c r="BQ141" s="3">
        <f ca="1">IFERROR(__xludf.DUMMYFUNCTION("""COMPUTED_VALUE"""),-0.410526663728468)</f>
        <v>-0.41052666372846802</v>
      </c>
      <c r="BR141" s="3">
        <f ca="1">IFERROR(__xludf.DUMMYFUNCTION("""COMPUTED_VALUE"""),-0.441304975787534)</f>
        <v>-0.44130497578753403</v>
      </c>
      <c r="BS141" s="3">
        <f ca="1">IFERROR(__xludf.DUMMYFUNCTION("""COMPUTED_VALUE"""),-0.362165470601479)</f>
        <v>-0.36216547060147902</v>
      </c>
      <c r="BT141" s="3">
        <f ca="1">IFERROR(__xludf.DUMMYFUNCTION("""COMPUTED_VALUE"""),-0.438693875907195)</f>
        <v>-0.438693875907195</v>
      </c>
      <c r="BU141" s="3">
        <f ca="1">IFERROR(__xludf.DUMMYFUNCTION("""COMPUTED_VALUE"""),-0.45435698650232)</f>
        <v>-0.45435698650231998</v>
      </c>
      <c r="BV141" s="3">
        <f ca="1">IFERROR(__xludf.DUMMYFUNCTION("""COMPUTED_VALUE"""),-0.378943378260658)</f>
        <v>-0.37894337826065799</v>
      </c>
      <c r="BW141" s="3">
        <f ca="1">IFERROR(__xludf.DUMMYFUNCTION("""COMPUTED_VALUE"""),-0.46403708752598)</f>
        <v>-0.46403708752598</v>
      </c>
      <c r="BX141" s="3">
        <f ca="1">IFERROR(__xludf.DUMMYFUNCTION("""COMPUTED_VALUE"""),-0.438744110562912)</f>
        <v>-0.43874411056291202</v>
      </c>
      <c r="BY141" s="3">
        <f ca="1">IFERROR(__xludf.DUMMYFUNCTION("""COMPUTED_VALUE"""),-0.443892479394908)</f>
        <v>-0.443892479394908</v>
      </c>
      <c r="BZ141" s="3">
        <f ca="1">IFERROR(__xludf.DUMMYFUNCTION("""COMPUTED_VALUE"""),-0.465470930345084)</f>
        <v>-0.46547093034508402</v>
      </c>
      <c r="CA141" s="3">
        <f ca="1">IFERROR(__xludf.DUMMYFUNCTION("""COMPUTED_VALUE"""),-0.444609251567328)</f>
        <v>-0.444609251567328</v>
      </c>
      <c r="CB141" s="3">
        <f ca="1">IFERROR(__xludf.DUMMYFUNCTION("""COMPUTED_VALUE"""),-0.455323032554238)</f>
        <v>-0.45532303255423801</v>
      </c>
      <c r="CC141" s="3">
        <f ca="1">IFERROR(__xludf.DUMMYFUNCTION("""COMPUTED_VALUE"""),-0.381091313003331)</f>
        <v>-0.38109131300333099</v>
      </c>
      <c r="CD141" s="3">
        <f ca="1">IFERROR(__xludf.DUMMYFUNCTION("""COMPUTED_VALUE"""),-0.404826529947736)</f>
        <v>-0.40482652994773599</v>
      </c>
      <c r="CE141" s="3">
        <f ca="1">IFERROR(__xludf.DUMMYFUNCTION("""COMPUTED_VALUE"""),-0.387744745666194)</f>
        <v>-0.38774474566619399</v>
      </c>
      <c r="CF141" s="3">
        <f ca="1">IFERROR(__xludf.DUMMYFUNCTION("""COMPUTED_VALUE"""),-0.394967926457095)</f>
        <v>-0.394967926457095</v>
      </c>
      <c r="CG141" s="3">
        <f ca="1">IFERROR(__xludf.DUMMYFUNCTION("""COMPUTED_VALUE"""),-0.443834791209163)</f>
        <v>-0.44383479120916303</v>
      </c>
      <c r="CH141" s="3">
        <f ca="1">IFERROR(__xludf.DUMMYFUNCTION("""COMPUTED_VALUE"""),-0.46245299340804)</f>
        <v>-0.46245299340804003</v>
      </c>
      <c r="CI141" s="3">
        <f ca="1">IFERROR(__xludf.DUMMYFUNCTION("""COMPUTED_VALUE"""),-0.467842715237553)</f>
        <v>-0.467842715237553</v>
      </c>
      <c r="CJ141" s="3">
        <f ca="1">IFERROR(__xludf.DUMMYFUNCTION("""COMPUTED_VALUE"""),-0.37935778878022)</f>
        <v>-0.37935778878021997</v>
      </c>
      <c r="CK141" s="3">
        <f ca="1">IFERROR(__xludf.DUMMYFUNCTION("""COMPUTED_VALUE"""),-0.417261196751716)</f>
        <v>-0.41726119675171602</v>
      </c>
      <c r="CL141" s="3">
        <f ca="1">IFERROR(__xludf.DUMMYFUNCTION("""COMPUTED_VALUE"""),-0.454686199931371)</f>
        <v>-0.45468619993137099</v>
      </c>
      <c r="CM141" s="3">
        <f ca="1">IFERROR(__xludf.DUMMYFUNCTION("""COMPUTED_VALUE"""),-0.467343087470502)</f>
        <v>-0.46734308747050202</v>
      </c>
      <c r="CN141" s="3">
        <f ca="1">IFERROR(__xludf.DUMMYFUNCTION("""COMPUTED_VALUE"""),-0.438808956675792)</f>
        <v>-0.43880895667579201</v>
      </c>
      <c r="CO141" s="3">
        <f ca="1">IFERROR(__xludf.DUMMYFUNCTION("""COMPUTED_VALUE"""),-0.470767124430023)</f>
        <v>-0.470767124430023</v>
      </c>
      <c r="CP141" s="3">
        <f ca="1">IFERROR(__xludf.DUMMYFUNCTION("""COMPUTED_VALUE"""),-0.410448543954803)</f>
        <v>-0.41044854395480301</v>
      </c>
      <c r="CQ141" s="3">
        <f ca="1">IFERROR(__xludf.DUMMYFUNCTION("""COMPUTED_VALUE"""),-0.392105172326875)</f>
        <v>-0.39210517232687497</v>
      </c>
      <c r="CR141" s="3">
        <f ca="1">IFERROR(__xludf.DUMMYFUNCTION("""COMPUTED_VALUE"""),-0.411262492210187)</f>
        <v>-0.41126249221018701</v>
      </c>
      <c r="CS141" s="3">
        <f ca="1">IFERROR(__xludf.DUMMYFUNCTION("""COMPUTED_VALUE"""),-0.427979047047921)</f>
        <v>-0.427979047047921</v>
      </c>
      <c r="CT141" s="3">
        <f ca="1">IFERROR(__xludf.DUMMYFUNCTION("""COMPUTED_VALUE"""),-0.462781964578885)</f>
        <v>-0.46278196457888499</v>
      </c>
      <c r="CU141" s="3">
        <f ca="1">IFERROR(__xludf.DUMMYFUNCTION("""COMPUTED_VALUE"""),-0.39916289982477)</f>
        <v>-0.39916289982476999</v>
      </c>
      <c r="CV141" s="3">
        <f ca="1">IFERROR(__xludf.DUMMYFUNCTION("""COMPUTED_VALUE"""),-0.439669744844839)</f>
        <v>-0.43966974484483901</v>
      </c>
      <c r="CW141" s="3">
        <f ca="1">IFERROR(__xludf.DUMMYFUNCTION("""COMPUTED_VALUE"""),-0.427744830321271)</f>
        <v>-0.42774483032127097</v>
      </c>
      <c r="CX141" s="3">
        <f ca="1">IFERROR(__xludf.DUMMYFUNCTION("""COMPUTED_VALUE"""),-0.417455449029752)</f>
        <v>-0.41745544902975201</v>
      </c>
      <c r="CY141" s="3">
        <f ca="1">IFERROR(__xludf.DUMMYFUNCTION("""COMPUTED_VALUE"""),-0.460547351791201)</f>
        <v>-0.46054735179120099</v>
      </c>
      <c r="CZ141" s="3">
        <f ca="1">IFERROR(__xludf.DUMMYFUNCTION("""COMPUTED_VALUE"""),-0.638825194308069)</f>
        <v>-0.63882519430806906</v>
      </c>
      <c r="DA141" s="3">
        <f ca="1">IFERROR(__xludf.DUMMYFUNCTION("""COMPUTED_VALUE"""),-0.450590930323927)</f>
        <v>-0.450590930323927</v>
      </c>
      <c r="DB141" s="3">
        <f ca="1">IFERROR(__xludf.DUMMYFUNCTION("""COMPUTED_VALUE"""),-0.321613213777108)</f>
        <v>-0.321613213777108</v>
      </c>
      <c r="DC141" s="3">
        <f ca="1">IFERROR(__xludf.DUMMYFUNCTION("""COMPUTED_VALUE"""),-0.448800358629712)</f>
        <v>-0.44880035862971202</v>
      </c>
      <c r="DD141" s="3">
        <f ca="1">IFERROR(__xludf.DUMMYFUNCTION("""COMPUTED_VALUE"""),-0.463248832216271)</f>
        <v>-0.463248832216271</v>
      </c>
      <c r="DE141" s="3">
        <f ca="1">IFERROR(__xludf.DUMMYFUNCTION("""COMPUTED_VALUE"""),-0.421674918568178)</f>
        <v>-0.42167491856817801</v>
      </c>
      <c r="DF141" s="3">
        <f ca="1">IFERROR(__xludf.DUMMYFUNCTION("""COMPUTED_VALUE"""),-0.472531947700007)</f>
        <v>-0.472531947700007</v>
      </c>
      <c r="DG141" s="3">
        <f ca="1">IFERROR(__xludf.DUMMYFUNCTION("""COMPUTED_VALUE"""),-0.792119884557958)</f>
        <v>-0.79211988455795801</v>
      </c>
      <c r="DH141" s="3">
        <f ca="1">IFERROR(__xludf.DUMMYFUNCTION("""COMPUTED_VALUE"""),-0.554703482815542)</f>
        <v>-0.55470348281554205</v>
      </c>
      <c r="DI141" s="3">
        <f ca="1">IFERROR(__xludf.DUMMYFUNCTION("""COMPUTED_VALUE"""),-0.232195333796332)</f>
        <v>-0.232195333796332</v>
      </c>
      <c r="DJ141" s="3">
        <f ca="1">IFERROR(__xludf.DUMMYFUNCTION("""COMPUTED_VALUE"""),-0.342860680612534)</f>
        <v>-0.342860680612534</v>
      </c>
      <c r="DK141" s="3">
        <f ca="1">IFERROR(__xludf.DUMMYFUNCTION("""COMPUTED_VALUE"""),-0.399188034498002)</f>
        <v>-0.399188034498002</v>
      </c>
      <c r="DL141" s="3">
        <f ca="1">IFERROR(__xludf.DUMMYFUNCTION("""COMPUTED_VALUE"""),-0.434323410695246)</f>
        <v>-0.43432341069524599</v>
      </c>
      <c r="DM141" s="3">
        <f ca="1">IFERROR(__xludf.DUMMYFUNCTION("""COMPUTED_VALUE"""),-0.404360352296941)</f>
        <v>-0.40436035229694101</v>
      </c>
      <c r="DN141" s="3">
        <f ca="1">IFERROR(__xludf.DUMMYFUNCTION("""COMPUTED_VALUE"""),-0.475495858301318)</f>
        <v>-0.47549585830131802</v>
      </c>
      <c r="DO141" s="3">
        <f ca="1">IFERROR(__xludf.DUMMYFUNCTION("""COMPUTED_VALUE"""),-0.447388765140745)</f>
        <v>-0.44738876514074499</v>
      </c>
      <c r="DP141" s="3">
        <f ca="1">IFERROR(__xludf.DUMMYFUNCTION("""COMPUTED_VALUE"""),-0.402440845386933)</f>
        <v>-0.40244084538693298</v>
      </c>
      <c r="DQ141" s="3">
        <f ca="1">IFERROR(__xludf.DUMMYFUNCTION("""COMPUTED_VALUE"""),-0.43585192341182)</f>
        <v>-0.43585192341182</v>
      </c>
      <c r="DR141" s="3">
        <f ca="1">IFERROR(__xludf.DUMMYFUNCTION("""COMPUTED_VALUE"""),-0.444053101489683)</f>
        <v>-0.44405310148968302</v>
      </c>
      <c r="DS141" s="3">
        <f ca="1">IFERROR(__xludf.DUMMYFUNCTION("""COMPUTED_VALUE"""),-0.456697646939556)</f>
        <v>-0.456697646939556</v>
      </c>
      <c r="DT141" s="3">
        <f ca="1">IFERROR(__xludf.DUMMYFUNCTION("""COMPUTED_VALUE"""),-0.470276047235779)</f>
        <v>-0.47027604723577898</v>
      </c>
      <c r="DU141" s="3">
        <f ca="1">IFERROR(__xludf.DUMMYFUNCTION("""COMPUTED_VALUE"""),-0.497537939520038)</f>
        <v>-0.497537939520038</v>
      </c>
      <c r="DV141" s="3">
        <f ca="1">IFERROR(__xludf.DUMMYFUNCTION("""COMPUTED_VALUE"""),-0.45537633017231)</f>
        <v>-0.45537633017231</v>
      </c>
      <c r="DW141" s="3">
        <f ca="1">IFERROR(__xludf.DUMMYFUNCTION("""COMPUTED_VALUE"""),-0.467954758676411)</f>
        <v>-0.46795475867641101</v>
      </c>
      <c r="DX141" s="3">
        <f ca="1">IFERROR(__xludf.DUMMYFUNCTION("""COMPUTED_VALUE"""),-0.462440069706778)</f>
        <v>-0.46244006970677798</v>
      </c>
      <c r="DY141" s="3">
        <f ca="1">IFERROR(__xludf.DUMMYFUNCTION("""COMPUTED_VALUE"""),-0.471250773261048)</f>
        <v>-0.47125077326104797</v>
      </c>
      <c r="DZ141" s="3">
        <f ca="1">IFERROR(__xludf.DUMMYFUNCTION("""COMPUTED_VALUE"""),-0.454604517780033)</f>
        <v>-0.45460451778003302</v>
      </c>
      <c r="EA141" s="3">
        <f ca="1">IFERROR(__xludf.DUMMYFUNCTION("""COMPUTED_VALUE"""),-0.453723236546146)</f>
        <v>-0.45372323654614599</v>
      </c>
      <c r="EB141" s="3">
        <f ca="1">IFERROR(__xludf.DUMMYFUNCTION("""COMPUTED_VALUE"""),-0.456803372948891)</f>
        <v>-0.45680337294889101</v>
      </c>
      <c r="EC141" s="3">
        <f ca="1">IFERROR(__xludf.DUMMYFUNCTION("""COMPUTED_VALUE"""),-0.38917008565577)</f>
        <v>-0.38917008565576999</v>
      </c>
      <c r="ED141" s="3">
        <f ca="1">IFERROR(__xludf.DUMMYFUNCTION("""COMPUTED_VALUE"""),-0.500042885009484)</f>
        <v>-0.50004288500948402</v>
      </c>
      <c r="EE141" s="3">
        <f ca="1">IFERROR(__xludf.DUMMYFUNCTION("""COMPUTED_VALUE"""),-0.5071987687756)</f>
        <v>-0.5071987687756</v>
      </c>
      <c r="EF141" s="3">
        <f ca="1">IFERROR(__xludf.DUMMYFUNCTION("""COMPUTED_VALUE"""),-0.516442324735337)</f>
        <v>-0.51644232473533702</v>
      </c>
      <c r="EG141" s="3">
        <f ca="1">IFERROR(__xludf.DUMMYFUNCTION("""COMPUTED_VALUE"""),-0.446587282225899)</f>
        <v>-0.446587282225899</v>
      </c>
      <c r="EH141" s="3">
        <f ca="1">IFERROR(__xludf.DUMMYFUNCTION("""COMPUTED_VALUE"""),-0.478143708015783)</f>
        <v>-0.47814370801578299</v>
      </c>
      <c r="EI141" s="3">
        <f ca="1">IFERROR(__xludf.DUMMYFUNCTION("""COMPUTED_VALUE"""),-0.517363680890888)</f>
        <v>-0.51736368089088802</v>
      </c>
      <c r="EJ141" s="3">
        <f ca="1">IFERROR(__xludf.DUMMYFUNCTION("""COMPUTED_VALUE"""),-0.671224255766017)</f>
        <v>-0.67122425576601696</v>
      </c>
      <c r="EK141" s="3">
        <f ca="1">IFERROR(__xludf.DUMMYFUNCTION("""COMPUTED_VALUE"""),-0.517133942217593)</f>
        <v>-0.51713394221759301</v>
      </c>
      <c r="EL141" s="3">
        <f ca="1">IFERROR(__xludf.DUMMYFUNCTION("""COMPUTED_VALUE"""),-0.536904297949136)</f>
        <v>-0.53690429794913597</v>
      </c>
      <c r="EM141" s="3">
        <f ca="1">IFERROR(__xludf.DUMMYFUNCTION("""COMPUTED_VALUE"""),-0.528546960445414)</f>
        <v>-0.52854696044541405</v>
      </c>
      <c r="EN141" s="3">
        <f ca="1">IFERROR(__xludf.DUMMYFUNCTION("""COMPUTED_VALUE"""),-0.478845437361703)</f>
        <v>-0.47884543736170299</v>
      </c>
      <c r="EO141" s="3">
        <f ca="1">IFERROR(__xludf.DUMMYFUNCTION("""COMPUTED_VALUE"""),-0.508471792914713)</f>
        <v>-0.50847179291471301</v>
      </c>
      <c r="EP141" s="3">
        <f ca="1">IFERROR(__xludf.DUMMYFUNCTION("""COMPUTED_VALUE"""),-0.465836060516478)</f>
        <v>-0.46583606051647802</v>
      </c>
      <c r="EQ141" s="3">
        <f ca="1">IFERROR(__xludf.DUMMYFUNCTION("""COMPUTED_VALUE"""),-0.418339284588404)</f>
        <v>-0.41833928458840403</v>
      </c>
      <c r="ER141" s="3">
        <f ca="1">IFERROR(__xludf.DUMMYFUNCTION("""COMPUTED_VALUE"""),-0.501074826383034)</f>
        <v>-0.50107482638303402</v>
      </c>
      <c r="ES141" s="3">
        <f ca="1">IFERROR(__xludf.DUMMYFUNCTION("""COMPUTED_VALUE"""),-0.498864273248005)</f>
        <v>-0.49886427324800497</v>
      </c>
      <c r="ET141" s="3">
        <f ca="1">IFERROR(__xludf.DUMMYFUNCTION("""COMPUTED_VALUE"""),-0.506130990692735)</f>
        <v>-0.50613099069273504</v>
      </c>
      <c r="EU141" s="3">
        <f ca="1">IFERROR(__xludf.DUMMYFUNCTION("""COMPUTED_VALUE"""),-0.455082471790913)</f>
        <v>-0.45508247179091299</v>
      </c>
      <c r="EV141" s="3">
        <f ca="1">IFERROR(__xludf.DUMMYFUNCTION("""COMPUTED_VALUE"""),-0.53351029064328)</f>
        <v>-0.53351029064328004</v>
      </c>
      <c r="EW141" s="3">
        <f ca="1">IFERROR(__xludf.DUMMYFUNCTION("""COMPUTED_VALUE"""),-0.515171403099859)</f>
        <v>-0.51517140309985898</v>
      </c>
      <c r="EX141" s="3">
        <f ca="1">IFERROR(__xludf.DUMMYFUNCTION("""COMPUTED_VALUE"""),-0.503118207144857)</f>
        <v>-0.503118207144857</v>
      </c>
      <c r="EY141" s="3">
        <f ca="1">IFERROR(__xludf.DUMMYFUNCTION("""COMPUTED_VALUE"""),-0.533170675318506)</f>
        <v>-0.53317067531850604</v>
      </c>
      <c r="EZ141" s="3">
        <f ca="1">IFERROR(__xludf.DUMMYFUNCTION("""COMPUTED_VALUE"""),-0.521209518729876)</f>
        <v>-0.52120951872987598</v>
      </c>
      <c r="FA141" s="3">
        <f ca="1">IFERROR(__xludf.DUMMYFUNCTION("""COMPUTED_VALUE"""),-0.496337032599964)</f>
        <v>-0.49633703259996398</v>
      </c>
      <c r="FB141" s="3">
        <f ca="1">IFERROR(__xludf.DUMMYFUNCTION("""COMPUTED_VALUE"""),-0.473155200465932)</f>
        <v>-0.47315520046593201</v>
      </c>
      <c r="FC141" s="3">
        <f ca="1">IFERROR(__xludf.DUMMYFUNCTION("""COMPUTED_VALUE"""),-0.478514150845849)</f>
        <v>-0.47851415084584897</v>
      </c>
      <c r="FD141" s="3">
        <f ca="1">IFERROR(__xludf.DUMMYFUNCTION("""COMPUTED_VALUE"""),-0.496820098068216)</f>
        <v>-0.49682009806821598</v>
      </c>
      <c r="FE141" s="3">
        <f ca="1">IFERROR(__xludf.DUMMYFUNCTION("""COMPUTED_VALUE"""),-0.520828976163737)</f>
        <v>-0.52082897616373702</v>
      </c>
      <c r="FF141" s="3">
        <f ca="1">IFERROR(__xludf.DUMMYFUNCTION("""COMPUTED_VALUE"""),-0.48264226221448)</f>
        <v>-0.48264226221447998</v>
      </c>
      <c r="FG141" s="3">
        <f ca="1">IFERROR(__xludf.DUMMYFUNCTION("""COMPUTED_VALUE"""),-0.490840101246081)</f>
        <v>-0.49084010124608102</v>
      </c>
      <c r="FH141" s="3">
        <f ca="1">IFERROR(__xludf.DUMMYFUNCTION("""COMPUTED_VALUE"""),-0.505326673053114)</f>
        <v>-0.50532667305311396</v>
      </c>
      <c r="FI141" s="3">
        <f ca="1">IFERROR(__xludf.DUMMYFUNCTION("""COMPUTED_VALUE"""),-0.477389801400342)</f>
        <v>-0.47738980140034198</v>
      </c>
      <c r="FJ141" s="3">
        <f ca="1">IFERROR(__xludf.DUMMYFUNCTION("""COMPUTED_VALUE"""),-0.451004465637)</f>
        <v>-0.45100446563699997</v>
      </c>
      <c r="FK141" s="3">
        <f ca="1">IFERROR(__xludf.DUMMYFUNCTION("""COMPUTED_VALUE"""),-0.486591640377129)</f>
        <v>-0.48659164037712899</v>
      </c>
      <c r="FL141" s="3">
        <f ca="1">IFERROR(__xludf.DUMMYFUNCTION("""COMPUTED_VALUE"""),-0.555590998588394)</f>
        <v>-0.555590998588394</v>
      </c>
      <c r="FM141" s="3">
        <f ca="1">IFERROR(__xludf.DUMMYFUNCTION("""COMPUTED_VALUE"""),-0.526342240301137)</f>
        <v>-0.52634224030113697</v>
      </c>
      <c r="FN141" s="3">
        <f ca="1">IFERROR(__xludf.DUMMYFUNCTION("""COMPUTED_VALUE"""),-0.57345305656378)</f>
        <v>-0.57345305656377998</v>
      </c>
      <c r="FO141" s="3">
        <f ca="1">IFERROR(__xludf.DUMMYFUNCTION("""COMPUTED_VALUE"""),-0.579034425099552)</f>
        <v>-0.57903442509955205</v>
      </c>
      <c r="FP141" s="3">
        <f ca="1">IFERROR(__xludf.DUMMYFUNCTION("""COMPUTED_VALUE"""),-0.516469855994744)</f>
        <v>-0.51646985599474404</v>
      </c>
      <c r="FQ141" s="3">
        <f ca="1">IFERROR(__xludf.DUMMYFUNCTION("""COMPUTED_VALUE"""),-0.494386332638263)</f>
        <v>-0.49438633263826298</v>
      </c>
      <c r="FR141" s="3">
        <f ca="1">IFERROR(__xludf.DUMMYFUNCTION("""COMPUTED_VALUE"""),-0.551278559695505)</f>
        <v>-0.55127855969550499</v>
      </c>
      <c r="FS141" s="3">
        <f ca="1">IFERROR(__xludf.DUMMYFUNCTION("""COMPUTED_VALUE"""),-0.507698793881661)</f>
        <v>-0.50769879388166095</v>
      </c>
      <c r="FT141" s="3">
        <f ca="1">IFERROR(__xludf.DUMMYFUNCTION("""COMPUTED_VALUE"""),-0.55330042193554)</f>
        <v>-0.55330042193553997</v>
      </c>
      <c r="FU141" s="3">
        <f ca="1">IFERROR(__xludf.DUMMYFUNCTION("""COMPUTED_VALUE"""),-0.563754230282446)</f>
        <v>-0.56375423028244598</v>
      </c>
      <c r="FV141" s="3">
        <f ca="1">IFERROR(__xludf.DUMMYFUNCTION("""COMPUTED_VALUE"""),-0.575327352142466)</f>
        <v>-0.575327352142466</v>
      </c>
      <c r="FW141" s="3">
        <f ca="1">IFERROR(__xludf.DUMMYFUNCTION("""COMPUTED_VALUE"""),-0.526924686318199)</f>
        <v>-0.526924686318199</v>
      </c>
      <c r="FX141" s="3">
        <f ca="1">IFERROR(__xludf.DUMMYFUNCTION("""COMPUTED_VALUE"""),-0.501771253267185)</f>
        <v>-0.50177125326718497</v>
      </c>
      <c r="FY141" s="3">
        <f ca="1">IFERROR(__xludf.DUMMYFUNCTION("""COMPUTED_VALUE"""),-0.54764671049236)</f>
        <v>-0.54764671049236002</v>
      </c>
      <c r="FZ141" s="3">
        <f ca="1">IFERROR(__xludf.DUMMYFUNCTION("""COMPUTED_VALUE"""),-0.581086408779442)</f>
        <v>-0.58108640877944195</v>
      </c>
      <c r="GA141" s="3">
        <f ca="1">IFERROR(__xludf.DUMMYFUNCTION("""COMPUTED_VALUE"""),-0.579140240408179)</f>
        <v>-0.57914024040817902</v>
      </c>
      <c r="GB141" s="3">
        <f ca="1">IFERROR(__xludf.DUMMYFUNCTION("""COMPUTED_VALUE"""),-0.561092494495302)</f>
        <v>-0.56109249449530196</v>
      </c>
      <c r="GC141" s="3">
        <f ca="1">IFERROR(__xludf.DUMMYFUNCTION("""COMPUTED_VALUE"""),-0.586819073509176)</f>
        <v>-0.58681907350917595</v>
      </c>
      <c r="GD141" s="3">
        <f ca="1">IFERROR(__xludf.DUMMYFUNCTION("""COMPUTED_VALUE"""),-0.478741136863335)</f>
        <v>-0.47874113686333503</v>
      </c>
      <c r="GE141" s="3">
        <f ca="1">IFERROR(__xludf.DUMMYFUNCTION("""COMPUTED_VALUE"""),-0.521106068767699)</f>
        <v>-0.52110606876769905</v>
      </c>
      <c r="GF141" s="3">
        <f ca="1">IFERROR(__xludf.DUMMYFUNCTION("""COMPUTED_VALUE"""),-0.575327789927918)</f>
        <v>-0.575327789927918</v>
      </c>
      <c r="GG141" s="3">
        <f ca="1">IFERROR(__xludf.DUMMYFUNCTION("""COMPUTED_VALUE"""),-0.593919110021157)</f>
        <v>-0.59391911002115705</v>
      </c>
      <c r="GH141" s="3">
        <f ca="1">IFERROR(__xludf.DUMMYFUNCTION("""COMPUTED_VALUE"""),-0.613863273828473)</f>
        <v>-0.61386327382847306</v>
      </c>
      <c r="GI141" s="3">
        <f ca="1">IFERROR(__xludf.DUMMYFUNCTION("""COMPUTED_VALUE"""),-0.612131558321949)</f>
        <v>-0.61213155832194899</v>
      </c>
      <c r="GJ141" s="3">
        <f ca="1">IFERROR(__xludf.DUMMYFUNCTION("""COMPUTED_VALUE"""),-0.649537820030663)</f>
        <v>-0.64953782003066296</v>
      </c>
      <c r="GK141" s="3">
        <f ca="1">IFERROR(__xludf.DUMMYFUNCTION("""COMPUTED_VALUE"""),-0.523444471238488)</f>
        <v>-0.52344447123848803</v>
      </c>
      <c r="GL141" s="3">
        <f ca="1">IFERROR(__xludf.DUMMYFUNCTION("""COMPUTED_VALUE"""),-0.570054820240571)</f>
        <v>-0.57005482024057097</v>
      </c>
      <c r="GM141" s="3">
        <f ca="1">IFERROR(__xludf.DUMMYFUNCTION("""COMPUTED_VALUE"""),-0.593008456759462)</f>
        <v>-0.59300845675946201</v>
      </c>
      <c r="GN141" s="3">
        <f ca="1">IFERROR(__xludf.DUMMYFUNCTION("""COMPUTED_VALUE"""),-0.587614895792488)</f>
        <v>-0.58761489579248805</v>
      </c>
      <c r="GO141" s="3">
        <f ca="1">IFERROR(__xludf.DUMMYFUNCTION("""COMPUTED_VALUE"""),-0.611418268859229)</f>
        <v>-0.61141826885922901</v>
      </c>
      <c r="GP141" s="3">
        <f ca="1">IFERROR(__xludf.DUMMYFUNCTION("""COMPUTED_VALUE"""),-0.615079790167482)</f>
        <v>-0.61507979016748204</v>
      </c>
      <c r="GQ141" s="3">
        <f ca="1">IFERROR(__xludf.DUMMYFUNCTION("""COMPUTED_VALUE"""),-0.658388492111899)</f>
        <v>-0.65838849211189898</v>
      </c>
      <c r="GR141" s="3">
        <f ca="1">IFERROR(__xludf.DUMMYFUNCTION("""COMPUTED_VALUE"""),-0.523672216519189)</f>
        <v>-0.52367221651918905</v>
      </c>
      <c r="GS141" s="3">
        <f ca="1">IFERROR(__xludf.DUMMYFUNCTION("""COMPUTED_VALUE"""),-0.524089341466563)</f>
        <v>-0.52408934146656305</v>
      </c>
      <c r="GT141" s="3">
        <f ca="1">IFERROR(__xludf.DUMMYFUNCTION("""COMPUTED_VALUE"""),-0.589027860222837)</f>
        <v>-0.58902786022283704</v>
      </c>
      <c r="GU141" s="3">
        <f ca="1">IFERROR(__xludf.DUMMYFUNCTION("""COMPUTED_VALUE"""),-0.605145436143808)</f>
        <v>-0.605145436143808</v>
      </c>
      <c r="GV141" s="3">
        <f ca="1">IFERROR(__xludf.DUMMYFUNCTION("""COMPUTED_VALUE"""),-0.615190217083628)</f>
        <v>-0.61519021708362798</v>
      </c>
      <c r="GW141" s="3">
        <f ca="1">IFERROR(__xludf.DUMMYFUNCTION("""COMPUTED_VALUE"""),-0.621159422503965)</f>
        <v>-0.62115942250396505</v>
      </c>
      <c r="GX141" s="3">
        <f ca="1">IFERROR(__xludf.DUMMYFUNCTION("""COMPUTED_VALUE"""),-0.647574276491614)</f>
        <v>-0.64757427649161403</v>
      </c>
      <c r="GY141" s="3">
        <f ca="1">IFERROR(__xludf.DUMMYFUNCTION("""COMPUTED_VALUE"""),-0.517549401437007)</f>
        <v>-0.51754940143700701</v>
      </c>
      <c r="GZ141" s="3">
        <f ca="1">IFERROR(__xludf.DUMMYFUNCTION("""COMPUTED_VALUE"""),-0.521407494811817)</f>
        <v>-0.52140749481181703</v>
      </c>
      <c r="HA141" s="3">
        <f ca="1">IFERROR(__xludf.DUMMYFUNCTION("""COMPUTED_VALUE"""),-0.563861016284602)</f>
        <v>-0.56386101628460195</v>
      </c>
      <c r="HB141" s="3">
        <f ca="1">IFERROR(__xludf.DUMMYFUNCTION("""COMPUTED_VALUE"""),-0.568207358852874)</f>
        <v>-0.56820735885287399</v>
      </c>
      <c r="HC141" s="3">
        <f ca="1">IFERROR(__xludf.DUMMYFUNCTION("""COMPUTED_VALUE"""),-0.578691573408724)</f>
        <v>-0.57869157340872401</v>
      </c>
      <c r="HD141" s="3">
        <f ca="1">IFERROR(__xludf.DUMMYFUNCTION("""COMPUTED_VALUE"""),-0.582785624235319)</f>
        <v>-0.58278562423531899</v>
      </c>
      <c r="HE141" s="3">
        <f ca="1">IFERROR(__xludf.DUMMYFUNCTION("""COMPUTED_VALUE"""),-0.564384680366549)</f>
        <v>-0.56438468036654899</v>
      </c>
      <c r="HF141" s="3">
        <f ca="1">IFERROR(__xludf.DUMMYFUNCTION("""COMPUTED_VALUE"""),-0.500869744942232)</f>
        <v>-0.50086974494223202</v>
      </c>
      <c r="HG141" s="3">
        <f ca="1">IFERROR(__xludf.DUMMYFUNCTION("""COMPUTED_VALUE"""),-0.549368008939208)</f>
        <v>-0.54936800893920801</v>
      </c>
      <c r="HH141" s="3">
        <f ca="1">IFERROR(__xludf.DUMMYFUNCTION("""COMPUTED_VALUE"""),-0.561138481714146)</f>
        <v>-0.56113848171414604</v>
      </c>
      <c r="HI141" s="3">
        <f ca="1">IFERROR(__xludf.DUMMYFUNCTION("""COMPUTED_VALUE"""),-0.585654818994843)</f>
        <v>-0.58565481899484295</v>
      </c>
      <c r="HJ141" s="3">
        <f ca="1">IFERROR(__xludf.DUMMYFUNCTION("""COMPUTED_VALUE"""),-0.574508004999312)</f>
        <v>-0.57450800499931198</v>
      </c>
      <c r="HK141" s="3">
        <f ca="1">IFERROR(__xludf.DUMMYFUNCTION("""COMPUTED_VALUE"""),-0.596697973244926)</f>
        <v>-0.59669797324492602</v>
      </c>
      <c r="HL141" s="3">
        <f ca="1">IFERROR(__xludf.DUMMYFUNCTION("""COMPUTED_VALUE"""),-0.623061562691831)</f>
        <v>-0.62306156269183099</v>
      </c>
      <c r="HM141" s="3">
        <f ca="1">IFERROR(__xludf.DUMMYFUNCTION("""COMPUTED_VALUE"""),-0.505430985117828)</f>
        <v>-0.50543098511782802</v>
      </c>
      <c r="HN141" s="3">
        <f ca="1">IFERROR(__xludf.DUMMYFUNCTION("""COMPUTED_VALUE"""),-0.546963199046182)</f>
        <v>-0.54696319904618196</v>
      </c>
      <c r="HO141" s="3">
        <f ca="1">IFERROR(__xludf.DUMMYFUNCTION("""COMPUTED_VALUE"""),-0.57135573475274)</f>
        <v>-0.57135573475274004</v>
      </c>
      <c r="HP141" s="3">
        <f ca="1">IFERROR(__xludf.DUMMYFUNCTION("""COMPUTED_VALUE"""),-0.55961204296251)</f>
        <v>-0.55961204296250999</v>
      </c>
      <c r="HQ141" s="3">
        <f ca="1">IFERROR(__xludf.DUMMYFUNCTION("""COMPUTED_VALUE"""),-0.593093084231361)</f>
        <v>-0.59309308423136098</v>
      </c>
      <c r="HR141" s="3">
        <f ca="1">IFERROR(__xludf.DUMMYFUNCTION("""COMPUTED_VALUE"""),-0.619227233448647)</f>
        <v>-0.61922723344864705</v>
      </c>
      <c r="HS141" s="3">
        <f ca="1">IFERROR(__xludf.DUMMYFUNCTION("""COMPUTED_VALUE"""),-0.546576589869968)</f>
        <v>-0.54657658986996804</v>
      </c>
      <c r="HT141" s="3">
        <f ca="1">IFERROR(__xludf.DUMMYFUNCTION("""COMPUTED_VALUE"""),-0.507987841106634)</f>
        <v>-0.50798784110663397</v>
      </c>
      <c r="HU141" s="3">
        <f ca="1">IFERROR(__xludf.DUMMYFUNCTION("""COMPUTED_VALUE"""),-0.564382973104451)</f>
        <v>-0.56438297310445096</v>
      </c>
      <c r="HV141" s="3">
        <f ca="1">IFERROR(__xludf.DUMMYFUNCTION("""COMPUTED_VALUE"""),-0.58864780819178)</f>
        <v>-0.58864780819177998</v>
      </c>
      <c r="HW141" s="3">
        <f ca="1">IFERROR(__xludf.DUMMYFUNCTION("""COMPUTED_VALUE"""),-0.601574785048549)</f>
        <v>-0.601574785048549</v>
      </c>
      <c r="HX141" s="3">
        <f ca="1">IFERROR(__xludf.DUMMYFUNCTION("""COMPUTED_VALUE"""),-0.591732162303861)</f>
        <v>-0.59173216230386105</v>
      </c>
      <c r="HY141" s="3">
        <f ca="1">IFERROR(__xludf.DUMMYFUNCTION("""COMPUTED_VALUE"""),-0.591196019665645)</f>
        <v>-0.59119601966564495</v>
      </c>
      <c r="HZ141" s="3">
        <f ca="1">IFERROR(__xludf.DUMMYFUNCTION("""COMPUTED_VALUE"""),-0.625961071982539)</f>
        <v>-0.62596107198253903</v>
      </c>
      <c r="IA141" s="3">
        <f ca="1">IFERROR(__xludf.DUMMYFUNCTION("""COMPUTED_VALUE"""),-0.500842233852287)</f>
        <v>-0.50084223385228699</v>
      </c>
      <c r="IB141" s="3">
        <f ca="1">IFERROR(__xludf.DUMMYFUNCTION("""COMPUTED_VALUE"""),-0.556799651271736)</f>
        <v>-0.55679965127173603</v>
      </c>
      <c r="IC141" s="3">
        <f ca="1">IFERROR(__xludf.DUMMYFUNCTION("""COMPUTED_VALUE"""),-0.583856054716417)</f>
        <v>-0.58385605471641699</v>
      </c>
      <c r="ID141" s="3">
        <f ca="1">IFERROR(__xludf.DUMMYFUNCTION("""COMPUTED_VALUE"""),-0.576272093694427)</f>
        <v>-0.576272093694427</v>
      </c>
      <c r="IE141" s="3">
        <f ca="1">IFERROR(__xludf.DUMMYFUNCTION("""COMPUTED_VALUE"""),-0.599701703685674)</f>
        <v>-0.59970170368567399</v>
      </c>
      <c r="IF141" s="3">
        <f ca="1">IFERROR(__xludf.DUMMYFUNCTION("""COMPUTED_VALUE"""),-0.589585617833747)</f>
        <v>-0.58958561783374697</v>
      </c>
      <c r="IG141" s="3">
        <f ca="1">IFERROR(__xludf.DUMMYFUNCTION("""COMPUTED_VALUE"""),-0.652201434723513)</f>
        <v>-0.652201434723513</v>
      </c>
      <c r="IH141" s="3">
        <f ca="1">IFERROR(__xludf.DUMMYFUNCTION("""COMPUTED_VALUE"""),-0.524022334290428)</f>
        <v>-0.52402233429042799</v>
      </c>
      <c r="II141" s="3">
        <f ca="1">IFERROR(__xludf.DUMMYFUNCTION("""COMPUTED_VALUE"""),-0.543160133853652)</f>
        <v>-0.54316013385365203</v>
      </c>
      <c r="IJ141" s="3">
        <f ca="1">IFERROR(__xludf.DUMMYFUNCTION("""COMPUTED_VALUE"""),-0.592178692244071)</f>
        <v>-0.59217869224407105</v>
      </c>
      <c r="IK141" s="3">
        <f ca="1">IFERROR(__xludf.DUMMYFUNCTION("""COMPUTED_VALUE"""),-0.581891628530776)</f>
        <v>-0.58189162853077603</v>
      </c>
      <c r="IL141" s="3">
        <f ca="1">IFERROR(__xludf.DUMMYFUNCTION("""COMPUTED_VALUE"""),-0.629782982501385)</f>
        <v>-0.62978298250138498</v>
      </c>
      <c r="IM141" s="3">
        <f ca="1">IFERROR(__xludf.DUMMYFUNCTION("""COMPUTED_VALUE"""),-0.605409439961724)</f>
        <v>-0.60540943996172403</v>
      </c>
      <c r="IN141" s="3">
        <f ca="1">IFERROR(__xludf.DUMMYFUNCTION("""COMPUTED_VALUE"""),-0.66074682113076)</f>
        <v>-0.66074682113076</v>
      </c>
      <c r="IO141" s="3">
        <f ca="1">IFERROR(__xludf.DUMMYFUNCTION("""COMPUTED_VALUE"""),-0.540799935111794)</f>
        <v>-0.54079993511179403</v>
      </c>
      <c r="IP141" s="3">
        <f ca="1">IFERROR(__xludf.DUMMYFUNCTION("""COMPUTED_VALUE"""),-0.585090879952531)</f>
        <v>-0.58509087995253095</v>
      </c>
      <c r="IQ141" s="3">
        <f ca="1">IFERROR(__xludf.DUMMYFUNCTION("""COMPUTED_VALUE"""),-0.597824099350118)</f>
        <v>-0.59782409935011804</v>
      </c>
      <c r="IR141" s="3">
        <f ca="1">IFERROR(__xludf.DUMMYFUNCTION("""COMPUTED_VALUE"""),-0.588504809302682)</f>
        <v>-0.58850480930268201</v>
      </c>
      <c r="IS141" s="3">
        <f ca="1">IFERROR(__xludf.DUMMYFUNCTION("""COMPUTED_VALUE"""),-0.572676270061168)</f>
        <v>-0.57267627006116795</v>
      </c>
      <c r="IT141" s="3">
        <f ca="1">IFERROR(__xludf.DUMMYFUNCTION("""COMPUTED_VALUE"""),-0.578738738334986)</f>
        <v>-0.57873873833498601</v>
      </c>
      <c r="IU141" s="3">
        <f ca="1">IFERROR(__xludf.DUMMYFUNCTION("""COMPUTED_VALUE"""),-0.55006643617435)</f>
        <v>-0.55006643617435003</v>
      </c>
      <c r="IV141" s="3">
        <f ca="1">IFERROR(__xludf.DUMMYFUNCTION("""COMPUTED_VALUE"""),-0.568634672621731)</f>
        <v>-0.56863467262173095</v>
      </c>
      <c r="IW141" s="3">
        <f ca="1">IFERROR(__xludf.DUMMYFUNCTION("""COMPUTED_VALUE"""),-0.57742941111585)</f>
        <v>-0.57742941111585</v>
      </c>
      <c r="IX141" s="3">
        <f ca="1">IFERROR(__xludf.DUMMYFUNCTION("""COMPUTED_VALUE"""),-0.619473800526854)</f>
        <v>-0.61947380052685397</v>
      </c>
      <c r="IY141" s="3">
        <f ca="1">IFERROR(__xludf.DUMMYFUNCTION("""COMPUTED_VALUE"""),-0.626514840960883)</f>
        <v>-0.62651484096088295</v>
      </c>
      <c r="IZ141" s="3">
        <f ca="1">IFERROR(__xludf.DUMMYFUNCTION("""COMPUTED_VALUE"""),-0.604429830086631)</f>
        <v>-0.60442983008663098</v>
      </c>
      <c r="JA141" s="3">
        <f ca="1">IFERROR(__xludf.DUMMYFUNCTION("""COMPUTED_VALUE"""),-0.576560008210904)</f>
        <v>-0.57656000821090403</v>
      </c>
      <c r="JB141" s="3">
        <f ca="1">IFERROR(__xludf.DUMMYFUNCTION("""COMPUTED_VALUE"""),-0.607188356330698)</f>
        <v>-0.60718835633069801</v>
      </c>
      <c r="JC141" s="3">
        <f ca="1">IFERROR(__xludf.DUMMYFUNCTION("""COMPUTED_VALUE"""),-0.563200474889857)</f>
        <v>-0.56320047488985703</v>
      </c>
      <c r="JD141" s="3">
        <f ca="1">IFERROR(__xludf.DUMMYFUNCTION("""COMPUTED_VALUE"""),-0.557475444632714)</f>
        <v>-0.55747544463271403</v>
      </c>
      <c r="JE141" s="3">
        <f ca="1">IFERROR(__xludf.DUMMYFUNCTION("""COMPUTED_VALUE"""),-0.577214513270948)</f>
        <v>-0.57721451327094797</v>
      </c>
      <c r="JF141" s="3">
        <f ca="1">IFERROR(__xludf.DUMMYFUNCTION("""COMPUTED_VALUE"""),-0.591990555184045)</f>
        <v>-0.59199055518404498</v>
      </c>
      <c r="JG141" s="3">
        <f ca="1">IFERROR(__xludf.DUMMYFUNCTION("""COMPUTED_VALUE"""),-0.584491826865426)</f>
        <v>-0.584491826865426</v>
      </c>
      <c r="JH141" s="3">
        <f ca="1">IFERROR(__xludf.DUMMYFUNCTION("""COMPUTED_VALUE"""),-0.598567626394987)</f>
        <v>-0.59856762639498695</v>
      </c>
      <c r="JI141" s="3">
        <f ca="1">IFERROR(__xludf.DUMMYFUNCTION("""COMPUTED_VALUE"""),-0.57804132822337)</f>
        <v>-0.57804132822336995</v>
      </c>
      <c r="JJ141" s="3">
        <f ca="1">IFERROR(__xludf.DUMMYFUNCTION("""COMPUTED_VALUE"""),-0.563266317852326)</f>
        <v>-0.56326631785232595</v>
      </c>
      <c r="JK141" s="3">
        <f ca="1">IFERROR(__xludf.DUMMYFUNCTION("""COMPUTED_VALUE"""),-0.540399668517638)</f>
        <v>-0.54039966851763799</v>
      </c>
      <c r="JL141" s="3">
        <f ca="1">IFERROR(__xludf.DUMMYFUNCTION("""COMPUTED_VALUE"""),-0.607107496729592)</f>
        <v>-0.60710749672959197</v>
      </c>
      <c r="JM141" s="3">
        <f ca="1">IFERROR(__xludf.DUMMYFUNCTION("""COMPUTED_VALUE"""),-0.58614599626344)</f>
        <v>-0.58614599626343999</v>
      </c>
      <c r="JN141" s="3">
        <f ca="1">IFERROR(__xludf.DUMMYFUNCTION("""COMPUTED_VALUE"""),-0.611312343417958)</f>
        <v>-0.61131234341795804</v>
      </c>
      <c r="JO141" s="3">
        <f ca="1">IFERROR(__xludf.DUMMYFUNCTION("""COMPUTED_VALUE"""),-0.571840688390063)</f>
        <v>-0.57184068839006297</v>
      </c>
      <c r="JP141" s="3">
        <f ca="1">IFERROR(__xludf.DUMMYFUNCTION("""COMPUTED_VALUE"""),-0.569303228841858)</f>
        <v>-0.56930322884185802</v>
      </c>
      <c r="JQ141" s="3">
        <f ca="1">IFERROR(__xludf.DUMMYFUNCTION("""COMPUTED_VALUE"""),-0.552188203538118)</f>
        <v>-0.55218820353811804</v>
      </c>
      <c r="JR141" s="3">
        <f ca="1">IFERROR(__xludf.DUMMYFUNCTION("""COMPUTED_VALUE"""),-0.558314897686634)</f>
        <v>-0.558314897686634</v>
      </c>
      <c r="JS141" s="3">
        <f ca="1">IFERROR(__xludf.DUMMYFUNCTION("""COMPUTED_VALUE"""),-0.588465658499956)</f>
        <v>-0.58846565849995602</v>
      </c>
      <c r="JT141" s="3">
        <f ca="1">IFERROR(__xludf.DUMMYFUNCTION("""COMPUTED_VALUE"""),-0.551074034135489)</f>
        <v>-0.55107403413548905</v>
      </c>
      <c r="JU141" s="3">
        <f ca="1">IFERROR(__xludf.DUMMYFUNCTION("""COMPUTED_VALUE"""),-0.58351685096774)</f>
        <v>-0.58351685096773998</v>
      </c>
      <c r="JV141" s="3">
        <f ca="1">IFERROR(__xludf.DUMMYFUNCTION("""COMPUTED_VALUE"""),-0.570708999488864)</f>
        <v>-0.570708999488864</v>
      </c>
      <c r="JW141" s="3">
        <f ca="1">IFERROR(__xludf.DUMMYFUNCTION("""COMPUTED_VALUE"""),-0.570137591047799)</f>
        <v>-0.57013759104779904</v>
      </c>
      <c r="JX141" s="3">
        <f ca="1">IFERROR(__xludf.DUMMYFUNCTION("""COMPUTED_VALUE"""),-0.601424411697677)</f>
        <v>-0.60142441169767702</v>
      </c>
      <c r="JY141" s="3">
        <f ca="1">IFERROR(__xludf.DUMMYFUNCTION("""COMPUTED_VALUE"""),-0.668079527904435)</f>
        <v>-0.66807952790443503</v>
      </c>
      <c r="JZ141" s="3">
        <f ca="1">IFERROR(__xludf.DUMMYFUNCTION("""COMPUTED_VALUE"""),-0.577402010497248)</f>
        <v>-0.57740201049724804</v>
      </c>
      <c r="KA141" s="3">
        <f ca="1">IFERROR(__xludf.DUMMYFUNCTION("""COMPUTED_VALUE"""),-0.550940593426327)</f>
        <v>-0.55094059342632695</v>
      </c>
      <c r="KB141" s="3">
        <f ca="1">IFERROR(__xludf.DUMMYFUNCTION("""COMPUTED_VALUE"""),-0.609070813192358)</f>
        <v>-0.60907081319235801</v>
      </c>
      <c r="KC141" s="3">
        <f ca="1">IFERROR(__xludf.DUMMYFUNCTION("""COMPUTED_VALUE"""),-0.638702595016947)</f>
        <v>-0.63870259501694704</v>
      </c>
      <c r="KD141" s="3">
        <f ca="1">IFERROR(__xludf.DUMMYFUNCTION("""COMPUTED_VALUE"""),-0.609303456912534)</f>
        <v>-0.60930345691253396</v>
      </c>
      <c r="KE141" s="3">
        <f ca="1">IFERROR(__xludf.DUMMYFUNCTION("""COMPUTED_VALUE"""),-0.590866674344734)</f>
        <v>-0.59086667434473406</v>
      </c>
      <c r="KF141" s="3">
        <f ca="1">IFERROR(__xludf.DUMMYFUNCTION("""COMPUTED_VALUE"""),-0.601498453823298)</f>
        <v>-0.60149845382329803</v>
      </c>
      <c r="KG141" s="3">
        <f ca="1">IFERROR(__xludf.DUMMYFUNCTION("""COMPUTED_VALUE"""),-0.59881921911333)</f>
        <v>-0.59881921911333003</v>
      </c>
      <c r="KH141" s="3">
        <f ca="1">IFERROR(__xludf.DUMMYFUNCTION("""COMPUTED_VALUE"""),-0.593793780717347)</f>
        <v>-0.59379378071734701</v>
      </c>
      <c r="KI141" s="3">
        <f ca="1">IFERROR(__xludf.DUMMYFUNCTION("""COMPUTED_VALUE"""),-0.601782435343639)</f>
        <v>-0.60178243534363896</v>
      </c>
      <c r="KJ141" s="3">
        <f ca="1">IFERROR(__xludf.DUMMYFUNCTION("""COMPUTED_VALUE"""),-0.58269150662522)</f>
        <v>-0.58269150662521996</v>
      </c>
      <c r="KK141" s="3">
        <f ca="1">IFERROR(__xludf.DUMMYFUNCTION("""COMPUTED_VALUE"""),-0.555382201309758)</f>
        <v>-0.55538220130975802</v>
      </c>
      <c r="KL141" s="3">
        <f ca="1">IFERROR(__xludf.DUMMYFUNCTION("""COMPUTED_VALUE"""),-0.606791940979746)</f>
        <v>-0.60679194097974598</v>
      </c>
      <c r="KM141" s="3">
        <f ca="1">IFERROR(__xludf.DUMMYFUNCTION("""COMPUTED_VALUE"""),-0.634675119994788)</f>
        <v>-0.63467511999478798</v>
      </c>
      <c r="KN141" s="3">
        <f ca="1">IFERROR(__xludf.DUMMYFUNCTION("""COMPUTED_VALUE"""),-0.620336219994931)</f>
        <v>-0.62033621999493105</v>
      </c>
      <c r="KO141" s="3">
        <f ca="1">IFERROR(__xludf.DUMMYFUNCTION("""COMPUTED_VALUE"""),-0.620304072351205)</f>
        <v>-0.62030407235120499</v>
      </c>
      <c r="KP141" s="3">
        <f ca="1">IFERROR(__xludf.DUMMYFUNCTION("""COMPUTED_VALUE"""),-0.626800784568354)</f>
        <v>-0.62680078456835397</v>
      </c>
      <c r="KQ141" s="3">
        <f ca="1">IFERROR(__xludf.DUMMYFUNCTION("""COMPUTED_VALUE"""),-0.626165533292815)</f>
        <v>-0.62616553329281499</v>
      </c>
      <c r="KR141" s="3">
        <f ca="1">IFERROR(__xludf.DUMMYFUNCTION("""COMPUTED_VALUE"""),-0.592994502913662)</f>
        <v>-0.59299450291366196</v>
      </c>
      <c r="KS141" s="3">
        <f ca="1">IFERROR(__xludf.DUMMYFUNCTION("""COMPUTED_VALUE"""),-0.623610807593915)</f>
        <v>-0.62361080759391496</v>
      </c>
      <c r="KT141" s="3">
        <f ca="1">IFERROR(__xludf.DUMMYFUNCTION("""COMPUTED_VALUE"""),-0.615240794244472)</f>
        <v>-0.61524079424447198</v>
      </c>
      <c r="KU141" s="3">
        <f ca="1">IFERROR(__xludf.DUMMYFUNCTION("""COMPUTED_VALUE"""),-0.642165019410392)</f>
        <v>-0.64216501941039195</v>
      </c>
      <c r="KV141" s="3">
        <f ca="1">IFERROR(__xludf.DUMMYFUNCTION("""COMPUTED_VALUE"""),-0.651967685980217)</f>
        <v>-0.65196768598021704</v>
      </c>
      <c r="KW141" s="3">
        <f ca="1">IFERROR(__xludf.DUMMYFUNCTION("""COMPUTED_VALUE"""),-0.666625815774802)</f>
        <v>-0.66662581577480196</v>
      </c>
      <c r="KX141" s="3">
        <f ca="1">IFERROR(__xludf.DUMMYFUNCTION("""COMPUTED_VALUE"""),-0.671113419612674)</f>
        <v>-0.67111341961267401</v>
      </c>
      <c r="KY141" s="3">
        <f ca="1">IFERROR(__xludf.DUMMYFUNCTION("""COMPUTED_VALUE"""),-0.632202582599361)</f>
        <v>-0.63220258259936102</v>
      </c>
      <c r="KZ141" s="3">
        <f ca="1">IFERROR(__xludf.DUMMYFUNCTION("""COMPUTED_VALUE"""),-0.625168735690329)</f>
        <v>-0.62516873569032905</v>
      </c>
      <c r="LA141" s="3">
        <f ca="1">IFERROR(__xludf.DUMMYFUNCTION("""COMPUTED_VALUE"""),-0.626107315703861)</f>
        <v>-0.62610731570386102</v>
      </c>
      <c r="LB141" s="3">
        <f ca="1">IFERROR(__xludf.DUMMYFUNCTION("""COMPUTED_VALUE"""),-0.649156447483714)</f>
        <v>-0.64915644748371404</v>
      </c>
      <c r="LC141" s="3">
        <f ca="1">IFERROR(__xludf.DUMMYFUNCTION("""COMPUTED_VALUE"""),-0.65358592401898)</f>
        <v>-0.65358592401897997</v>
      </c>
      <c r="LD141" s="3">
        <f ca="1">IFERROR(__xludf.DUMMYFUNCTION("""COMPUTED_VALUE"""),-0.634988769194087)</f>
        <v>-0.63498876919408698</v>
      </c>
      <c r="LE141" s="3">
        <f ca="1">IFERROR(__xludf.DUMMYFUNCTION("""COMPUTED_VALUE"""),-0.653120543976971)</f>
        <v>-0.65312054397697095</v>
      </c>
      <c r="LF141" s="3">
        <f ca="1">IFERROR(__xludf.DUMMYFUNCTION("""COMPUTED_VALUE"""),-0.6031775485136)</f>
        <v>-0.60317754851359995</v>
      </c>
      <c r="LG141" s="3">
        <f ca="1">IFERROR(__xludf.DUMMYFUNCTION("""COMPUTED_VALUE"""),-0.534240788141597)</f>
        <v>-0.53424078814159703</v>
      </c>
      <c r="LH141" s="3">
        <f ca="1">IFERROR(__xludf.DUMMYFUNCTION("""COMPUTED_VALUE"""),-0.551357715026849)</f>
        <v>-0.55135771502684905</v>
      </c>
      <c r="LI141" s="3">
        <f ca="1">IFERROR(__xludf.DUMMYFUNCTION("""COMPUTED_VALUE"""),-0.577192282237565)</f>
        <v>-0.57719228223756502</v>
      </c>
      <c r="LJ141" s="3">
        <f ca="1">IFERROR(__xludf.DUMMYFUNCTION("""COMPUTED_VALUE"""),-0.615316258211573)</f>
        <v>-0.61531625821157299</v>
      </c>
      <c r="LK141" s="3">
        <f ca="1">IFERROR(__xludf.DUMMYFUNCTION("""COMPUTED_VALUE"""),-0.603310485941403)</f>
        <v>-0.60331048594140302</v>
      </c>
      <c r="LL141" s="3">
        <f ca="1">IFERROR(__xludf.DUMMYFUNCTION("""COMPUTED_VALUE"""),-0.576609991911782)</f>
        <v>-0.57660999191178197</v>
      </c>
      <c r="LM141" s="3">
        <f ca="1">IFERROR(__xludf.DUMMYFUNCTION("""COMPUTED_VALUE"""),-0.614728787512024)</f>
        <v>-0.61472878751202398</v>
      </c>
      <c r="LN141" s="3">
        <f ca="1">IFERROR(__xludf.DUMMYFUNCTION("""COMPUTED_VALUE"""),-0.583384220620193)</f>
        <v>-0.58338422062019302</v>
      </c>
      <c r="LO141" s="3">
        <f ca="1">IFERROR(__xludf.DUMMYFUNCTION("""COMPUTED_VALUE"""),-0.570198823185301)</f>
        <v>-0.57019882318530102</v>
      </c>
      <c r="LP141" s="3">
        <f ca="1">IFERROR(__xludf.DUMMYFUNCTION("""COMPUTED_VALUE"""),-0.604694174260462)</f>
        <v>-0.60469417426046201</v>
      </c>
      <c r="LQ141" s="3">
        <f ca="1">IFERROR(__xludf.DUMMYFUNCTION("""COMPUTED_VALUE"""),-0.597380304239179)</f>
        <v>-0.59738030423917898</v>
      </c>
      <c r="LR141" s="3">
        <f ca="1">IFERROR(__xludf.DUMMYFUNCTION("""COMPUTED_VALUE"""),-0.595412168629276)</f>
        <v>-0.59541216862927604</v>
      </c>
      <c r="LS141" s="3">
        <f ca="1">IFERROR(__xludf.DUMMYFUNCTION("""COMPUTED_VALUE"""),-0.59137846984151)</f>
        <v>-0.59137846984150999</v>
      </c>
      <c r="LT141" s="3">
        <f ca="1">IFERROR(__xludf.DUMMYFUNCTION("""COMPUTED_VALUE"""),-0.524822227151827)</f>
        <v>-0.52482222715182703</v>
      </c>
      <c r="LU141" s="3">
        <f ca="1">IFERROR(__xludf.DUMMYFUNCTION("""COMPUTED_VALUE"""),-0.56322642497936)</f>
        <v>-0.56322642497936004</v>
      </c>
      <c r="LV141" s="3">
        <f ca="1">IFERROR(__xludf.DUMMYFUNCTION("""COMPUTED_VALUE"""),-0.61681352796831)</f>
        <v>-0.61681352796831002</v>
      </c>
      <c r="LW141" s="3">
        <f ca="1">IFERROR(__xludf.DUMMYFUNCTION("""COMPUTED_VALUE"""),-0.637969738329731)</f>
        <v>-0.63796973832973103</v>
      </c>
      <c r="LX141" s="3">
        <f ca="1">IFERROR(__xludf.DUMMYFUNCTION("""COMPUTED_VALUE"""),-0.617910632314631)</f>
        <v>-0.61791063231463095</v>
      </c>
      <c r="LY141" s="3">
        <f ca="1">IFERROR(__xludf.DUMMYFUNCTION("""COMPUTED_VALUE"""),-0.637867070631028)</f>
        <v>-0.63786707063102799</v>
      </c>
      <c r="LZ141" s="3">
        <f ca="1">IFERROR(__xludf.DUMMYFUNCTION("""COMPUTED_VALUE"""),-0.61739416803391)</f>
        <v>-0.61739416803391001</v>
      </c>
      <c r="MA141" s="3">
        <f ca="1">IFERROR(__xludf.DUMMYFUNCTION("""COMPUTED_VALUE"""),-0.599206026430373)</f>
        <v>-0.59920602643037302</v>
      </c>
      <c r="MB141" s="3">
        <f ca="1">IFERROR(__xludf.DUMMYFUNCTION("""COMPUTED_VALUE"""),-0.580847241913933)</f>
        <v>-0.580847241913933</v>
      </c>
      <c r="MC141" s="3">
        <f ca="1">IFERROR(__xludf.DUMMYFUNCTION("""COMPUTED_VALUE"""),-0.57143101139137)</f>
        <v>-0.57143101139136998</v>
      </c>
      <c r="MD141" s="3">
        <f ca="1">IFERROR(__xludf.DUMMYFUNCTION("""COMPUTED_VALUE"""),-0.649414786405578)</f>
        <v>-0.64941478640557804</v>
      </c>
      <c r="ME141" s="3">
        <f ca="1">IFERROR(__xludf.DUMMYFUNCTION("""COMPUTED_VALUE"""),-0.584910924460172)</f>
        <v>-0.58491092446017201</v>
      </c>
      <c r="MF141" s="3">
        <f ca="1">IFERROR(__xludf.DUMMYFUNCTION("""COMPUTED_VALUE"""),-0.571173336824906)</f>
        <v>-0.57117333682490601</v>
      </c>
      <c r="MG141" s="3">
        <f ca="1">IFERROR(__xludf.DUMMYFUNCTION("""COMPUTED_VALUE"""),-0.630003644962378)</f>
        <v>-0.63000364496237804</v>
      </c>
      <c r="MH141" s="3">
        <f ca="1">IFERROR(__xludf.DUMMYFUNCTION("""COMPUTED_VALUE"""),-0.615409987903183)</f>
        <v>-0.61540998790318302</v>
      </c>
      <c r="MI141" s="3">
        <f ca="1">IFERROR(__xludf.DUMMYFUNCTION("""COMPUTED_VALUE"""),-0.565131427068497)</f>
        <v>-0.56513142706849695</v>
      </c>
      <c r="MJ141" s="3">
        <f ca="1">IFERROR(__xludf.DUMMYFUNCTION("""COMPUTED_VALUE"""),-0.557520169964474)</f>
        <v>-0.55752016996447396</v>
      </c>
      <c r="MK141" s="3">
        <f ca="1">IFERROR(__xludf.DUMMYFUNCTION("""COMPUTED_VALUE"""),-0.629281716176842)</f>
        <v>-0.62928171617684203</v>
      </c>
      <c r="ML141" s="3">
        <f ca="1">IFERROR(__xludf.DUMMYFUNCTION("""COMPUTED_VALUE"""),-0.596180531876424)</f>
        <v>-0.59618053187642395</v>
      </c>
      <c r="MM141" s="3">
        <f ca="1">IFERROR(__xludf.DUMMYFUNCTION("""COMPUTED_VALUE"""),-0.63465696202817)</f>
        <v>-0.63465696202817001</v>
      </c>
      <c r="MN141" s="3">
        <f ca="1">IFERROR(__xludf.DUMMYFUNCTION("""COMPUTED_VALUE"""),-0.595165724587666)</f>
        <v>-0.59516572458766603</v>
      </c>
      <c r="MO141" s="3">
        <f ca="1">IFERROR(__xludf.DUMMYFUNCTION("""COMPUTED_VALUE"""),-0.572491210643185)</f>
        <v>-0.57249121064318498</v>
      </c>
      <c r="MP141" s="3">
        <f ca="1">IFERROR(__xludf.DUMMYFUNCTION("""COMPUTED_VALUE"""),-0.535350098214133)</f>
        <v>-0.53535009821413304</v>
      </c>
      <c r="MQ141" s="3">
        <f ca="1">IFERROR(__xludf.DUMMYFUNCTION("""COMPUTED_VALUE"""),-0.639083935651772)</f>
        <v>-0.63908393565177202</v>
      </c>
      <c r="MR141" s="3">
        <f ca="1">IFERROR(__xludf.DUMMYFUNCTION("""COMPUTED_VALUE"""),-0.60379127497711)</f>
        <v>-0.60379127497711005</v>
      </c>
      <c r="MS141" s="3">
        <f ca="1">IFERROR(__xludf.DUMMYFUNCTION("""COMPUTED_VALUE"""),-0.587354083678368)</f>
        <v>-0.58735408367836806</v>
      </c>
      <c r="MT141" s="3">
        <f ca="1">IFERROR(__xludf.DUMMYFUNCTION("""COMPUTED_VALUE"""),-0.595817552762752)</f>
        <v>-0.59581755276275195</v>
      </c>
      <c r="MU141" s="3">
        <f ca="1">IFERROR(__xludf.DUMMYFUNCTION("""COMPUTED_VALUE"""),-0.552819917890824)</f>
        <v>-0.55281991789082396</v>
      </c>
      <c r="MV141" s="3">
        <f ca="1">IFERROR(__xludf.DUMMYFUNCTION("""COMPUTED_VALUE"""),-0.479609648150307)</f>
        <v>-0.47960964815030699</v>
      </c>
      <c r="MW141" s="3">
        <f ca="1">IFERROR(__xludf.DUMMYFUNCTION("""COMPUTED_VALUE"""),-0.437558909661013)</f>
        <v>-0.43755890966101302</v>
      </c>
      <c r="MX141" s="3">
        <f ca="1">IFERROR(__xludf.DUMMYFUNCTION("""COMPUTED_VALUE"""),-0.487654951234437)</f>
        <v>-0.48765495123443697</v>
      </c>
      <c r="MY141" s="3">
        <f ca="1">IFERROR(__xludf.DUMMYFUNCTION("""COMPUTED_VALUE"""),-0.626526023248636)</f>
        <v>-0.62652602324863604</v>
      </c>
      <c r="MZ141" s="3">
        <f ca="1">IFERROR(__xludf.DUMMYFUNCTION("""COMPUTED_VALUE"""),-0.585440329594476)</f>
        <v>-0.58544032959447601</v>
      </c>
      <c r="NA141" s="3">
        <f ca="1">IFERROR(__xludf.DUMMYFUNCTION("""COMPUTED_VALUE"""),-0.570277379314303)</f>
        <v>-0.570277379314303</v>
      </c>
      <c r="NB141" s="3">
        <f ca="1">IFERROR(__xludf.DUMMYFUNCTION("""COMPUTED_VALUE"""),-0.588119508000259)</f>
        <v>-0.58811950800025903</v>
      </c>
      <c r="NC141" s="3">
        <f ca="1">IFERROR(__xludf.DUMMYFUNCTION("""COMPUTED_VALUE"""),-0.540892387830368)</f>
        <v>-0.54089238783036797</v>
      </c>
      <c r="ND141" s="3">
        <f ca="1">IFERROR(__xludf.DUMMYFUNCTION("""COMPUTED_VALUE"""),-0.498613532132791)</f>
        <v>-0.49861353213279103</v>
      </c>
      <c r="NE141" s="3">
        <f ca="1">IFERROR(__xludf.DUMMYFUNCTION("""COMPUTED_VALUE"""),-0.474931037184601)</f>
        <v>-0.474931037184601</v>
      </c>
      <c r="NF141" s="3">
        <f ca="1">IFERROR(__xludf.DUMMYFUNCTION("""COMPUTED_VALUE"""),-0.56944577689389)</f>
        <v>-0.56944577689388998</v>
      </c>
      <c r="NG141" s="3">
        <f ca="1">IFERROR(__xludf.DUMMYFUNCTION("""COMPUTED_VALUE"""),-0.53425918640268)</f>
        <v>-0.53425918640268</v>
      </c>
      <c r="NH141" s="3">
        <f ca="1">IFERROR(__xludf.DUMMYFUNCTION("""COMPUTED_VALUE"""),-0.513292211083038)</f>
        <v>-0.51329221108303802</v>
      </c>
      <c r="NI141" s="3">
        <f ca="1">IFERROR(__xludf.DUMMYFUNCTION("""COMPUTED_VALUE"""),-0.566517907476436)</f>
        <v>-0.56651790747643604</v>
      </c>
      <c r="NJ141" s="3">
        <f ca="1">IFERROR(__xludf.DUMMYFUNCTION("""COMPUTED_VALUE"""),-0.532235688156559)</f>
        <v>-0.53223568815655897</v>
      </c>
      <c r="NK141" s="3">
        <f ca="1">IFERROR(__xludf.DUMMYFUNCTION("""COMPUTED_VALUE"""),-0.402745045609637)</f>
        <v>-0.40274504560963698</v>
      </c>
      <c r="NL141" s="3">
        <f ca="1">IFERROR(__xludf.DUMMYFUNCTION("""COMPUTED_VALUE"""),-0.442060592994944)</f>
        <v>-0.44206059299494399</v>
      </c>
      <c r="NM141" s="3">
        <f ca="1">IFERROR(__xludf.DUMMYFUNCTION("""COMPUTED_VALUE"""),-0.510025625223289)</f>
        <v>-0.51002562522328898</v>
      </c>
      <c r="NN141" s="3">
        <f ca="1">IFERROR(__xludf.DUMMYFUNCTION("""COMPUTED_VALUE"""),-0.507847753623683)</f>
        <v>-0.50784775362368295</v>
      </c>
      <c r="NO141" s="3">
        <f ca="1">IFERROR(__xludf.DUMMYFUNCTION("""COMPUTED_VALUE"""),-0.508592178039043)</f>
        <v>-0.508592178039043</v>
      </c>
      <c r="NP141" s="3">
        <f ca="1">IFERROR(__xludf.DUMMYFUNCTION("""COMPUTED_VALUE"""),-0.517907821815813)</f>
        <v>-0.51790782181581296</v>
      </c>
      <c r="NQ141" s="3">
        <f ca="1">IFERROR(__xludf.DUMMYFUNCTION("""COMPUTED_VALUE"""),-0.469455767118665)</f>
        <v>-0.46945576711866499</v>
      </c>
      <c r="NR141" s="3">
        <f ca="1">IFERROR(__xludf.DUMMYFUNCTION("""COMPUTED_VALUE"""),-0.408517991674107)</f>
        <v>-0.40851799167410702</v>
      </c>
      <c r="NS141" s="3">
        <f ca="1">IFERROR(__xludf.DUMMYFUNCTION("""COMPUTED_VALUE"""),-0.525573034245399)</f>
        <v>-0.52557303424539903</v>
      </c>
      <c r="NT141" s="3">
        <f ca="1">IFERROR(__xludf.DUMMYFUNCTION("""COMPUTED_VALUE"""),-0.494602355954957)</f>
        <v>-0.494602355954957</v>
      </c>
      <c r="NU141" s="3">
        <f ca="1">IFERROR(__xludf.DUMMYFUNCTION("""COMPUTED_VALUE"""),-0.494676489602091)</f>
        <v>-0.49467648960209099</v>
      </c>
      <c r="NV141" s="3">
        <f ca="1">IFERROR(__xludf.DUMMYFUNCTION("""COMPUTED_VALUE"""),-0.477923005075815)</f>
        <v>-0.47792300507581498</v>
      </c>
      <c r="NW141" s="3">
        <f ca="1">IFERROR(__xludf.DUMMYFUNCTION("""COMPUTED_VALUE"""),-0.44272977910586)</f>
        <v>-0.44272977910585998</v>
      </c>
      <c r="NX141" s="3">
        <f ca="1">IFERROR(__xludf.DUMMYFUNCTION("""COMPUTED_VALUE"""),-0.426209172782766)</f>
        <v>-0.42620917278276599</v>
      </c>
      <c r="NY141" s="3">
        <f ca="1">IFERROR(__xludf.DUMMYFUNCTION("""COMPUTED_VALUE"""),-0.476686095046497)</f>
        <v>-0.476686095046497</v>
      </c>
      <c r="NZ141" s="3">
        <f ca="1">IFERROR(__xludf.DUMMYFUNCTION("""COMPUTED_VALUE"""),-0.487595854920467)</f>
        <v>-0.48759585492046698</v>
      </c>
      <c r="OA141" s="3">
        <f ca="1">IFERROR(__xludf.DUMMYFUNCTION("""COMPUTED_VALUE"""),-0.475929173460514)</f>
        <v>-0.475929173460514</v>
      </c>
      <c r="OB141" s="3">
        <f ca="1">IFERROR(__xludf.DUMMYFUNCTION("""COMPUTED_VALUE"""),-0.515008703969275)</f>
        <v>-0.51500870396927501</v>
      </c>
      <c r="OC141" s="3">
        <f ca="1">IFERROR(__xludf.DUMMYFUNCTION("""COMPUTED_VALUE"""),-0.480683223556247)</f>
        <v>-0.48068322355624699</v>
      </c>
      <c r="OD141" s="3">
        <f ca="1">IFERROR(__xludf.DUMMYFUNCTION("""COMPUTED_VALUE"""),-0.38417890676375)</f>
        <v>-0.38417890676374999</v>
      </c>
      <c r="OE141" s="3">
        <f ca="1">IFERROR(__xludf.DUMMYFUNCTION("""COMPUTED_VALUE"""),-0.311273749547385)</f>
        <v>-0.31127374954738501</v>
      </c>
      <c r="OF141" s="3">
        <f ca="1">IFERROR(__xludf.DUMMYFUNCTION("""COMPUTED_VALUE"""),-0.286948442971765)</f>
        <v>-0.28694844297176503</v>
      </c>
      <c r="OG141" s="3">
        <f ca="1">IFERROR(__xludf.DUMMYFUNCTION("""COMPUTED_VALUE"""),-0.323799214563282)</f>
        <v>-0.32379921456328198</v>
      </c>
      <c r="OH141" s="3">
        <f ca="1">IFERROR(__xludf.DUMMYFUNCTION("""COMPUTED_VALUE"""),-0.258869522287994)</f>
        <v>-0.25886952228799398</v>
      </c>
      <c r="OI141" s="3">
        <f ca="1">IFERROR(__xludf.DUMMYFUNCTION("""COMPUTED_VALUE"""),-0.285661339633022)</f>
        <v>-0.28566133963302198</v>
      </c>
      <c r="OJ141" s="3">
        <f ca="1">IFERROR(__xludf.DUMMYFUNCTION("""COMPUTED_VALUE"""),-0.209655181858747)</f>
        <v>-0.20965518185874699</v>
      </c>
      <c r="OK141" s="3">
        <f ca="1">IFERROR(__xludf.DUMMYFUNCTION("""COMPUTED_VALUE"""),-0.144093757291205)</f>
        <v>-0.14409375729120499</v>
      </c>
      <c r="OL141" s="3">
        <f ca="1">IFERROR(__xludf.DUMMYFUNCTION("""COMPUTED_VALUE"""),-0.148893856746656)</f>
        <v>-0.14889385674665601</v>
      </c>
      <c r="OM141" s="3">
        <f ca="1">IFERROR(__xludf.DUMMYFUNCTION("""COMPUTED_VALUE"""),-0.0931009855436925)</f>
        <v>-9.3100985543692505E-2</v>
      </c>
      <c r="ON141" s="3">
        <f ca="1">IFERROR(__xludf.DUMMYFUNCTION("""COMPUTED_VALUE"""),-0.0957787322467451)</f>
        <v>-9.5778732246745102E-2</v>
      </c>
      <c r="OO141" s="3">
        <f ca="1">IFERROR(__xludf.DUMMYFUNCTION("""COMPUTED_VALUE"""),-0.107072121411353)</f>
        <v>-0.107072121411353</v>
      </c>
      <c r="OP141" s="3">
        <f ca="1">IFERROR(__xludf.DUMMYFUNCTION("""COMPUTED_VALUE"""),-0.0322015593571498)</f>
        <v>-3.22015593571498E-2</v>
      </c>
      <c r="OQ141" s="3">
        <f ca="1">IFERROR(__xludf.DUMMYFUNCTION("""COMPUTED_VALUE"""),-0.0978144774553204)</f>
        <v>-9.7814477455320403E-2</v>
      </c>
      <c r="OR141" s="3">
        <f ca="1">IFERROR(__xludf.DUMMYFUNCTION("""COMPUTED_VALUE"""),-0.0407977550418265)</f>
        <v>-4.0797755041826499E-2</v>
      </c>
      <c r="OS141" s="3">
        <f ca="1">IFERROR(__xludf.DUMMYFUNCTION("""COMPUTED_VALUE"""),-0.00843064934964743)</f>
        <v>-8.4306493496474292E-3</v>
      </c>
      <c r="OT141" s="3">
        <f ca="1">IFERROR(__xludf.DUMMYFUNCTION("""COMPUTED_VALUE"""),-0.0460673891773533)</f>
        <v>-4.6067389177353299E-2</v>
      </c>
      <c r="OU141" s="3">
        <f ca="1">IFERROR(__xludf.DUMMYFUNCTION("""COMPUTED_VALUE"""),0.0557654275220471)</f>
        <v>5.5765427522047099E-2</v>
      </c>
      <c r="OV141" s="3">
        <f ca="1">IFERROR(__xludf.DUMMYFUNCTION("""COMPUTED_VALUE"""),-0.054478922062834)</f>
        <v>-5.4478922062834001E-2</v>
      </c>
      <c r="OW141" s="3">
        <f ca="1">IFERROR(__xludf.DUMMYFUNCTION("""COMPUTED_VALUE"""),-0.0475028038373945)</f>
        <v>-4.7502803837394497E-2</v>
      </c>
      <c r="OX141" s="3">
        <f ca="1">IFERROR(__xludf.DUMMYFUNCTION("""COMPUTED_VALUE"""),-0.116683778237881)</f>
        <v>-0.11668377823788099</v>
      </c>
      <c r="OY141" s="3">
        <f ca="1">IFERROR(__xludf.DUMMYFUNCTION("""COMPUTED_VALUE"""),0.014066212210974)</f>
        <v>1.4066212210974E-2</v>
      </c>
      <c r="OZ141" s="3">
        <f ca="1">IFERROR(__xludf.DUMMYFUNCTION("""COMPUTED_VALUE"""),0.0492630797643314)</f>
        <v>4.9263079764331398E-2</v>
      </c>
      <c r="PA141" s="3">
        <f ca="1">IFERROR(__xludf.DUMMYFUNCTION("""COMPUTED_VALUE"""),0.0931875474490404)</f>
        <v>9.3187547449040398E-2</v>
      </c>
      <c r="PB141" s="3">
        <f ca="1">IFERROR(__xludf.DUMMYFUNCTION("""COMPUTED_VALUE"""),0.0254312809874732)</f>
        <v>2.5431280987473201E-2</v>
      </c>
      <c r="PC141" s="3">
        <f ca="1">IFERROR(__xludf.DUMMYFUNCTION("""COMPUTED_VALUE"""),-0.0163514799495385)</f>
        <v>-1.6351479949538499E-2</v>
      </c>
      <c r="PD141" s="3">
        <f ca="1">IFERROR(__xludf.DUMMYFUNCTION("""COMPUTED_VALUE"""),0.112477136859828)</f>
        <v>0.11247713685982801</v>
      </c>
      <c r="PE141" s="3">
        <f ca="1">IFERROR(__xludf.DUMMYFUNCTION("""COMPUTED_VALUE"""),-0.0255844080528591)</f>
        <v>-2.5584408052859098E-2</v>
      </c>
      <c r="PF141" s="3">
        <f ca="1">IFERROR(__xludf.DUMMYFUNCTION("""COMPUTED_VALUE"""),-0.0162188715875984)</f>
        <v>-1.62188715875984E-2</v>
      </c>
      <c r="PG141" s="3">
        <f ca="1">IFERROR(__xludf.DUMMYFUNCTION("""COMPUTED_VALUE"""),-0.0654510006914885)</f>
        <v>-6.5451000691488501E-2</v>
      </c>
      <c r="PH141" s="3">
        <f ca="1">IFERROR(__xludf.DUMMYFUNCTION("""COMPUTED_VALUE"""),0.0784128253580831)</f>
        <v>7.8412825358083096E-2</v>
      </c>
      <c r="PI141" s="3">
        <f ca="1">IFERROR(__xludf.DUMMYFUNCTION("""COMPUTED_VALUE"""),-0.0419650493713741)</f>
        <v>-4.1965049371374102E-2</v>
      </c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</row>
    <row r="142" spans="1:477" ht="13">
      <c r="A142" s="1" t="str">
        <f ca="1">IFERROR(__xludf.DUMMYFUNCTION("""COMPUTED_VALUE"""),"CTS")</f>
        <v>CTS</v>
      </c>
      <c r="B142" s="1" t="str">
        <f ca="1">IFERROR(__xludf.DUMMYFUNCTION("""COMPUTED_VALUE"""),"Strasbourg")</f>
        <v>Strasbourg</v>
      </c>
      <c r="C142" s="1" t="str">
        <f ca="1">IFERROR(__xludf.DUMMYFUNCTION("""COMPUTED_VALUE"""),"France")</f>
        <v>France</v>
      </c>
      <c r="D142" s="1" t="str">
        <f ca="1">IFERROR(__xludf.DUMMYFUNCTION("""COMPUTED_VALUE"""),"Grand-Est")</f>
        <v>Grand-Est</v>
      </c>
      <c r="E142" s="3">
        <f ca="1">IFERROR(__xludf.DUMMYFUNCTION("""COMPUTED_VALUE"""),-0.0775044647566823)</f>
        <v>-7.7504464756682295E-2</v>
      </c>
      <c r="F142" s="3">
        <f ca="1">IFERROR(__xludf.DUMMYFUNCTION("""COMPUTED_VALUE"""),-0.112941451620093)</f>
        <v>-0.112941451620093</v>
      </c>
      <c r="G142" s="3">
        <f ca="1">IFERROR(__xludf.DUMMYFUNCTION("""COMPUTED_VALUE"""),-0.178200884444102)</f>
        <v>-0.17820088444410201</v>
      </c>
      <c r="H142" s="3">
        <f ca="1">IFERROR(__xludf.DUMMYFUNCTION("""COMPUTED_VALUE"""),-0.119543062029847)</f>
        <v>-0.11954306202984701</v>
      </c>
      <c r="I142" s="3">
        <f ca="1">IFERROR(__xludf.DUMMYFUNCTION("""COMPUTED_VALUE"""),-0.155560103646367)</f>
        <v>-0.15556010364636699</v>
      </c>
      <c r="J142" s="3">
        <f ca="1">IFERROR(__xludf.DUMMYFUNCTION("""COMPUTED_VALUE"""),-0.263911305805726)</f>
        <v>-0.26391130580572603</v>
      </c>
      <c r="K142" s="3">
        <f ca="1">IFERROR(__xludf.DUMMYFUNCTION("""COMPUTED_VALUE"""),0.0596683106327498)</f>
        <v>5.9668310632749799E-2</v>
      </c>
      <c r="L142" s="3">
        <f ca="1">IFERROR(__xludf.DUMMYFUNCTION("""COMPUTED_VALUE"""),-0.0446109428479547)</f>
        <v>-4.46109428479547E-2</v>
      </c>
      <c r="M142" s="3">
        <f ca="1">IFERROR(__xludf.DUMMYFUNCTION("""COMPUTED_VALUE"""),-0.173127879958694)</f>
        <v>-0.173127879958694</v>
      </c>
      <c r="N142" s="3">
        <f ca="1">IFERROR(__xludf.DUMMYFUNCTION("""COMPUTED_VALUE"""),0.114999968158107)</f>
        <v>0.11499996815810699</v>
      </c>
      <c r="O142" s="3">
        <f ca="1">IFERROR(__xludf.DUMMYFUNCTION("""COMPUTED_VALUE"""),0.157190169313395)</f>
        <v>0.157190169313395</v>
      </c>
      <c r="P142" s="3">
        <f ca="1">IFERROR(__xludf.DUMMYFUNCTION("""COMPUTED_VALUE"""),0.100262670380345)</f>
        <v>0.100262670380345</v>
      </c>
      <c r="Q142" s="3">
        <f ca="1">IFERROR(__xludf.DUMMYFUNCTION("""COMPUTED_VALUE"""),0.118043670362744)</f>
        <v>0.118043670362744</v>
      </c>
      <c r="R142" s="3">
        <f ca="1">IFERROR(__xludf.DUMMYFUNCTION("""COMPUTED_VALUE"""),0.177514413448812)</f>
        <v>0.177514413448812</v>
      </c>
      <c r="S142" s="3">
        <f ca="1">IFERROR(__xludf.DUMMYFUNCTION("""COMPUTED_VALUE"""),-0.0509843958159186)</f>
        <v>-5.0984395815918598E-2</v>
      </c>
      <c r="T142" s="3">
        <f ca="1">IFERROR(__xludf.DUMMYFUNCTION("""COMPUTED_VALUE"""),0.0102476272155509)</f>
        <v>1.0247627215550901E-2</v>
      </c>
      <c r="U142" s="3">
        <f ca="1">IFERROR(__xludf.DUMMYFUNCTION("""COMPUTED_VALUE"""),0.0387500332666284)</f>
        <v>3.8750033266628403E-2</v>
      </c>
      <c r="V142" s="3">
        <f ca="1">IFERROR(__xludf.DUMMYFUNCTION("""COMPUTED_VALUE"""),0.0143974944037934)</f>
        <v>1.43974944037934E-2</v>
      </c>
      <c r="W142" s="3">
        <f ca="1">IFERROR(__xludf.DUMMYFUNCTION("""COMPUTED_VALUE"""),-0.0986338560183113)</f>
        <v>-9.8633856018311303E-2</v>
      </c>
      <c r="X142" s="3">
        <f ca="1">IFERROR(__xludf.DUMMYFUNCTION("""COMPUTED_VALUE"""),0.0572686848058958)</f>
        <v>5.7268684805895802E-2</v>
      </c>
      <c r="Y142" s="3">
        <f ca="1">IFERROR(__xludf.DUMMYFUNCTION("""COMPUTED_VALUE"""),0.0353886373862526)</f>
        <v>3.53886373862526E-2</v>
      </c>
      <c r="Z142" s="3">
        <f ca="1">IFERROR(__xludf.DUMMYFUNCTION("""COMPUTED_VALUE"""),-0.0257652140299637)</f>
        <v>-2.57652140299637E-2</v>
      </c>
      <c r="AA142" s="3">
        <f ca="1">IFERROR(__xludf.DUMMYFUNCTION("""COMPUTED_VALUE"""),0.00190147452872069)</f>
        <v>1.9014745287206901E-3</v>
      </c>
      <c r="AB142" s="3">
        <f ca="1">IFERROR(__xludf.DUMMYFUNCTION("""COMPUTED_VALUE"""),0.0190804594099933)</f>
        <v>1.9080459409993301E-2</v>
      </c>
      <c r="AC142" s="3">
        <f ca="1">IFERROR(__xludf.DUMMYFUNCTION("""COMPUTED_VALUE"""),-0.0481012529123453)</f>
        <v>-4.8101252912345301E-2</v>
      </c>
      <c r="AD142" s="3">
        <f ca="1">IFERROR(__xludf.DUMMYFUNCTION("""COMPUTED_VALUE"""),-0.122827706783471)</f>
        <v>-0.12282770678347101</v>
      </c>
      <c r="AE142" s="3">
        <f ca="1">IFERROR(__xludf.DUMMYFUNCTION("""COMPUTED_VALUE"""),0.0604509346133599)</f>
        <v>6.0450934613359902E-2</v>
      </c>
      <c r="AF142" s="3">
        <f ca="1">IFERROR(__xludf.DUMMYFUNCTION("""COMPUTED_VALUE"""),0.0400116577996279)</f>
        <v>4.0011657799627898E-2</v>
      </c>
      <c r="AG142" s="3">
        <f ca="1">IFERROR(__xludf.DUMMYFUNCTION("""COMPUTED_VALUE"""),-0.155429054615195)</f>
        <v>-0.15542905461519499</v>
      </c>
      <c r="AH142" s="3">
        <f ca="1">IFERROR(__xludf.DUMMYFUNCTION("""COMPUTED_VALUE"""),-0.0912196827489649)</f>
        <v>-9.12196827489649E-2</v>
      </c>
      <c r="AI142" s="3">
        <f ca="1">IFERROR(__xludf.DUMMYFUNCTION("""COMPUTED_VALUE"""),-0.048889850621994)</f>
        <v>-4.8889850621993997E-2</v>
      </c>
      <c r="AJ142" s="3">
        <f ca="1">IFERROR(__xludf.DUMMYFUNCTION("""COMPUTED_VALUE"""),-0.0665932554028927)</f>
        <v>-6.6593255402892695E-2</v>
      </c>
      <c r="AK142" s="3">
        <f ca="1">IFERROR(__xludf.DUMMYFUNCTION("""COMPUTED_VALUE"""),-0.152757615973055)</f>
        <v>-0.15275761597305501</v>
      </c>
      <c r="AL142" s="3">
        <f ca="1">IFERROR(__xludf.DUMMYFUNCTION("""COMPUTED_VALUE"""),0.028147915405555)</f>
        <v>2.8147915405554998E-2</v>
      </c>
      <c r="AM142" s="3">
        <f ca="1">IFERROR(__xludf.DUMMYFUNCTION("""COMPUTED_VALUE"""),0.00912239701812334)</f>
        <v>9.1223970181233405E-3</v>
      </c>
      <c r="AN142" s="3">
        <f ca="1">IFERROR(__xludf.DUMMYFUNCTION("""COMPUTED_VALUE"""),-0.140659483840785)</f>
        <v>-0.140659483840785</v>
      </c>
      <c r="AO142" s="3">
        <f ca="1">IFERROR(__xludf.DUMMYFUNCTION("""COMPUTED_VALUE"""),-0.291292208625156)</f>
        <v>-0.29129220862515598</v>
      </c>
      <c r="AP142" s="3">
        <f ca="1">IFERROR(__xludf.DUMMYFUNCTION("""COMPUTED_VALUE"""),-0.280247077855127)</f>
        <v>-0.28024707785512698</v>
      </c>
      <c r="AQ142" s="3">
        <f ca="1">IFERROR(__xludf.DUMMYFUNCTION("""COMPUTED_VALUE"""),-0.24128668512346)</f>
        <v>-0.24128668512345999</v>
      </c>
      <c r="AR142" s="3">
        <f ca="1">IFERROR(__xludf.DUMMYFUNCTION("""COMPUTED_VALUE"""),-0.230507781484912)</f>
        <v>-0.23050778148491199</v>
      </c>
      <c r="AS142" s="3">
        <f ca="1">IFERROR(__xludf.DUMMYFUNCTION("""COMPUTED_VALUE"""),-0.151203140122645)</f>
        <v>-0.15120314012264499</v>
      </c>
      <c r="AT142" s="3">
        <f ca="1">IFERROR(__xludf.DUMMYFUNCTION("""COMPUTED_VALUE"""),0.137101654077508)</f>
        <v>0.13710165407750799</v>
      </c>
      <c r="AU142" s="3">
        <f ca="1">IFERROR(__xludf.DUMMYFUNCTION("""COMPUTED_VALUE"""),-0.118837735292009)</f>
        <v>-0.118837735292009</v>
      </c>
      <c r="AV142" s="3">
        <f ca="1">IFERROR(__xludf.DUMMYFUNCTION("""COMPUTED_VALUE"""),-0.205506352700716)</f>
        <v>-0.20550635270071599</v>
      </c>
      <c r="AW142" s="3">
        <f ca="1">IFERROR(__xludf.DUMMYFUNCTION("""COMPUTED_VALUE"""),-0.149305861172982)</f>
        <v>-0.149305861172982</v>
      </c>
      <c r="AX142" s="3">
        <f ca="1">IFERROR(__xludf.DUMMYFUNCTION("""COMPUTED_VALUE"""),-0.186471295117251)</f>
        <v>-0.186471295117251</v>
      </c>
      <c r="AY142" s="3">
        <f ca="1">IFERROR(__xludf.DUMMYFUNCTION("""COMPUTED_VALUE"""),-0.106417508375213)</f>
        <v>-0.10641750837521299</v>
      </c>
      <c r="AZ142" s="3">
        <f ca="1">IFERROR(__xludf.DUMMYFUNCTION("""COMPUTED_VALUE"""),-0.14051896873668)</f>
        <v>-0.14051896873667999</v>
      </c>
      <c r="BA142" s="3">
        <f ca="1">IFERROR(__xludf.DUMMYFUNCTION("""COMPUTED_VALUE"""),0.189541428083424)</f>
        <v>0.189541428083424</v>
      </c>
      <c r="BB142" s="3">
        <f ca="1">IFERROR(__xludf.DUMMYFUNCTION("""COMPUTED_VALUE"""),0.0271304553995472)</f>
        <v>2.7130455399547199E-2</v>
      </c>
      <c r="BC142" s="3">
        <f ca="1">IFERROR(__xludf.DUMMYFUNCTION("""COMPUTED_VALUE"""),0.0893619890195562)</f>
        <v>8.9361989019556207E-2</v>
      </c>
      <c r="BD142" s="3">
        <f ca="1">IFERROR(__xludf.DUMMYFUNCTION("""COMPUTED_VALUE"""),0.0717012786750563)</f>
        <v>7.1701278675056296E-2</v>
      </c>
      <c r="BE142" s="3">
        <f ca="1">IFERROR(__xludf.DUMMYFUNCTION("""COMPUTED_VALUE"""),0.0263976377569221)</f>
        <v>2.6397637756922099E-2</v>
      </c>
      <c r="BF142" s="3">
        <f ca="1">IFERROR(__xludf.DUMMYFUNCTION("""COMPUTED_VALUE"""),0.174252852420312)</f>
        <v>0.17425285242031199</v>
      </c>
      <c r="BG142" s="3">
        <f ca="1">IFERROR(__xludf.DUMMYFUNCTION("""COMPUTED_VALUE"""),0.147907944674103)</f>
        <v>0.14790794467410301</v>
      </c>
      <c r="BH142" s="3">
        <f ca="1">IFERROR(__xludf.DUMMYFUNCTION("""COMPUTED_VALUE"""),0.102542649293649)</f>
        <v>0.10254264929364899</v>
      </c>
      <c r="BI142" s="3">
        <f ca="1">IFERROR(__xludf.DUMMYFUNCTION("""COMPUTED_VALUE"""),0.000316186619821357)</f>
        <v>3.1618661982135698E-4</v>
      </c>
      <c r="BJ142" s="3">
        <f ca="1">IFERROR(__xludf.DUMMYFUNCTION("""COMPUTED_VALUE"""),-0.0898393612242667)</f>
        <v>-8.9839361224266695E-2</v>
      </c>
      <c r="BK142" s="3">
        <f ca="1">IFERROR(__xludf.DUMMYFUNCTION("""COMPUTED_VALUE"""),-0.0233391007022775)</f>
        <v>-2.3339100702277502E-2</v>
      </c>
      <c r="BL142" s="3">
        <f ca="1">IFERROR(__xludf.DUMMYFUNCTION("""COMPUTED_VALUE"""),-0.017642113223526)</f>
        <v>-1.7642113223526001E-2</v>
      </c>
      <c r="BM142" s="3">
        <f ca="1">IFERROR(__xludf.DUMMYFUNCTION("""COMPUTED_VALUE"""),-0.0906058141514147)</f>
        <v>-9.0605814151414693E-2</v>
      </c>
      <c r="BN142" s="3">
        <f ca="1">IFERROR(__xludf.DUMMYFUNCTION("""COMPUTED_VALUE"""),-0.0734671464422371)</f>
        <v>-7.3467146442237105E-2</v>
      </c>
      <c r="BO142" s="3">
        <f ca="1">IFERROR(__xludf.DUMMYFUNCTION("""COMPUTED_VALUE"""),-0.0935494512966789)</f>
        <v>-9.3549451296678895E-2</v>
      </c>
      <c r="BP142" s="3">
        <f ca="1">IFERROR(__xludf.DUMMYFUNCTION("""COMPUTED_VALUE"""),-0.235959826589874)</f>
        <v>-0.23595982658987399</v>
      </c>
      <c r="BQ142" s="3">
        <f ca="1">IFERROR(__xludf.DUMMYFUNCTION("""COMPUTED_VALUE"""),-0.169779966510336)</f>
        <v>-0.169779966510336</v>
      </c>
      <c r="BR142" s="3">
        <f ca="1">IFERROR(__xludf.DUMMYFUNCTION("""COMPUTED_VALUE"""),-0.170496595015618)</f>
        <v>-0.17049659501561801</v>
      </c>
      <c r="BS142" s="3">
        <f ca="1">IFERROR(__xludf.DUMMYFUNCTION("""COMPUTED_VALUE"""),-0.184662475292749)</f>
        <v>-0.18466247529274901</v>
      </c>
      <c r="BT142" s="3">
        <f ca="1">IFERROR(__xludf.DUMMYFUNCTION("""COMPUTED_VALUE"""),-0.198863917730843)</f>
        <v>-0.198863917730843</v>
      </c>
      <c r="BU142" s="3">
        <f ca="1">IFERROR(__xludf.DUMMYFUNCTION("""COMPUTED_VALUE"""),-0.13367702886572)</f>
        <v>-0.13367702886572</v>
      </c>
      <c r="BV142" s="3">
        <f ca="1">IFERROR(__xludf.DUMMYFUNCTION("""COMPUTED_VALUE"""),-0.0628596001842242)</f>
        <v>-6.2859600184224207E-2</v>
      </c>
      <c r="BW142" s="3">
        <f ca="1">IFERROR(__xludf.DUMMYFUNCTION("""COMPUTED_VALUE"""),-0.200877485503732)</f>
        <v>-0.200877485503732</v>
      </c>
      <c r="BX142" s="3">
        <f ca="1">IFERROR(__xludf.DUMMYFUNCTION("""COMPUTED_VALUE"""),-0.216038091970562)</f>
        <v>-0.21603809197056201</v>
      </c>
      <c r="BY142" s="3">
        <f ca="1">IFERROR(__xludf.DUMMYFUNCTION("""COMPUTED_VALUE"""),-0.194177175446198)</f>
        <v>-0.194177175446198</v>
      </c>
      <c r="BZ142" s="3">
        <f ca="1">IFERROR(__xludf.DUMMYFUNCTION("""COMPUTED_VALUE"""),-0.170155061773745)</f>
        <v>-0.17015506177374501</v>
      </c>
      <c r="CA142" s="3">
        <f ca="1">IFERROR(__xludf.DUMMYFUNCTION("""COMPUTED_VALUE"""),-0.136265914734401)</f>
        <v>-0.136265914734401</v>
      </c>
      <c r="CB142" s="3">
        <f ca="1">IFERROR(__xludf.DUMMYFUNCTION("""COMPUTED_VALUE"""),-0.143879239159546)</f>
        <v>-0.14387923915954601</v>
      </c>
      <c r="CC142" s="3">
        <f ca="1">IFERROR(__xludf.DUMMYFUNCTION("""COMPUTED_VALUE"""),-0.049134566035102)</f>
        <v>-4.9134566035102002E-2</v>
      </c>
      <c r="CD142" s="3">
        <f ca="1">IFERROR(__xludf.DUMMYFUNCTION("""COMPUTED_VALUE"""),-0.196985770764035)</f>
        <v>-0.19698577076403501</v>
      </c>
      <c r="CE142" s="3">
        <f ca="1">IFERROR(__xludf.DUMMYFUNCTION("""COMPUTED_VALUE"""),-0.214947191582722)</f>
        <v>-0.21494719158272199</v>
      </c>
      <c r="CF142" s="3">
        <f ca="1">IFERROR(__xludf.DUMMYFUNCTION("""COMPUTED_VALUE"""),-0.246264704112622)</f>
        <v>-0.246264704112622</v>
      </c>
      <c r="CG142" s="3">
        <f ca="1">IFERROR(__xludf.DUMMYFUNCTION("""COMPUTED_VALUE"""),-0.194011438833402)</f>
        <v>-0.19401143883340199</v>
      </c>
      <c r="CH142" s="3">
        <f ca="1">IFERROR(__xludf.DUMMYFUNCTION("""COMPUTED_VALUE"""),-0.171883485450252)</f>
        <v>-0.171883485450252</v>
      </c>
      <c r="CI142" s="3">
        <f ca="1">IFERROR(__xludf.DUMMYFUNCTION("""COMPUTED_VALUE"""),-0.173001132272262)</f>
        <v>-0.17300113227226199</v>
      </c>
      <c r="CJ142" s="3">
        <f ca="1">IFERROR(__xludf.DUMMYFUNCTION("""COMPUTED_VALUE"""),-0.110870099993472)</f>
        <v>-0.110870099993472</v>
      </c>
      <c r="CK142" s="3">
        <f ca="1">IFERROR(__xludf.DUMMYFUNCTION("""COMPUTED_VALUE"""),-0.211073663383534)</f>
        <v>-0.211073663383534</v>
      </c>
      <c r="CL142" s="3">
        <f ca="1">IFERROR(__xludf.DUMMYFUNCTION("""COMPUTED_VALUE"""),-0.242081155931408)</f>
        <v>-0.242081155931408</v>
      </c>
      <c r="CM142" s="3">
        <f ca="1">IFERROR(__xludf.DUMMYFUNCTION("""COMPUTED_VALUE"""),-0.284432144761845)</f>
        <v>-0.28443214476184497</v>
      </c>
      <c r="CN142" s="3">
        <f ca="1">IFERROR(__xludf.DUMMYFUNCTION("""COMPUTED_VALUE"""),-0.0945167717458236)</f>
        <v>-9.4516771745823597E-2</v>
      </c>
      <c r="CO142" s="3">
        <f ca="1">IFERROR(__xludf.DUMMYFUNCTION("""COMPUTED_VALUE"""),-0.138547944655856)</f>
        <v>-0.13854794465585599</v>
      </c>
      <c r="CP142" s="3">
        <f ca="1">IFERROR(__xludf.DUMMYFUNCTION("""COMPUTED_VALUE"""),-0.152678920799328)</f>
        <v>-0.15267892079932799</v>
      </c>
      <c r="CQ142" s="3">
        <f ca="1">IFERROR(__xludf.DUMMYFUNCTION("""COMPUTED_VALUE"""),-0.204489973695774)</f>
        <v>-0.20448997369577401</v>
      </c>
      <c r="CR142" s="3">
        <f ca="1">IFERROR(__xludf.DUMMYFUNCTION("""COMPUTED_VALUE"""),-0.219021263549451)</f>
        <v>-0.21902126354945101</v>
      </c>
      <c r="CS142" s="3">
        <f ca="1">IFERROR(__xludf.DUMMYFUNCTION("""COMPUTED_VALUE"""),-0.155191037566436)</f>
        <v>-0.15519103756643601</v>
      </c>
      <c r="CT142" s="3">
        <f ca="1">IFERROR(__xludf.DUMMYFUNCTION("""COMPUTED_VALUE"""),-0.229914390833534)</f>
        <v>-0.22991439083353399</v>
      </c>
      <c r="CU142" s="3">
        <f ca="1">IFERROR(__xludf.DUMMYFUNCTION("""COMPUTED_VALUE"""),-0.0808986903173351)</f>
        <v>-8.0898690317335098E-2</v>
      </c>
      <c r="CV142" s="3">
        <f ca="1">IFERROR(__xludf.DUMMYFUNCTION("""COMPUTED_VALUE"""),-0.161705611175349)</f>
        <v>-0.16170561117534901</v>
      </c>
      <c r="CW142" s="3">
        <f ca="1">IFERROR(__xludf.DUMMYFUNCTION("""COMPUTED_VALUE"""),-0.16974194997355)</f>
        <v>-0.16974194997354999</v>
      </c>
      <c r="CX142" s="3">
        <f ca="1">IFERROR(__xludf.DUMMYFUNCTION("""COMPUTED_VALUE"""),-0.295675060500281)</f>
        <v>-0.29567506050028097</v>
      </c>
      <c r="CY142" s="3">
        <f ca="1">IFERROR(__xludf.DUMMYFUNCTION("""COMPUTED_VALUE"""),-0.433529648960583)</f>
        <v>-0.43352964896058299</v>
      </c>
      <c r="CZ142" s="3">
        <f ca="1">IFERROR(__xludf.DUMMYFUNCTION("""COMPUTED_VALUE"""),-0.525145241581517)</f>
        <v>-0.52514524158151699</v>
      </c>
      <c r="DA142" s="3">
        <f ca="1">IFERROR(__xludf.DUMMYFUNCTION("""COMPUTED_VALUE"""),-0.284893277482286)</f>
        <v>-0.28489327748228599</v>
      </c>
      <c r="DB142" s="3">
        <f ca="1">IFERROR(__xludf.DUMMYFUNCTION("""COMPUTED_VALUE"""),-0.124468155155639)</f>
        <v>-0.124468155155639</v>
      </c>
      <c r="DC142" s="3">
        <f ca="1">IFERROR(__xludf.DUMMYFUNCTION("""COMPUTED_VALUE"""),-0.318884509358342)</f>
        <v>-0.31888450935834201</v>
      </c>
      <c r="DD142" s="3">
        <f ca="1">IFERROR(__xludf.DUMMYFUNCTION("""COMPUTED_VALUE"""),-0.24782345605069)</f>
        <v>-0.24782345605069001</v>
      </c>
      <c r="DE142" s="3">
        <f ca="1">IFERROR(__xludf.DUMMYFUNCTION("""COMPUTED_VALUE"""),-0.214682995435599)</f>
        <v>-0.21468299543559899</v>
      </c>
      <c r="DF142" s="3">
        <f ca="1">IFERROR(__xludf.DUMMYFUNCTION("""COMPUTED_VALUE"""),-0.419517976039664)</f>
        <v>-0.41951797603966401</v>
      </c>
      <c r="DG142" s="3">
        <f ca="1">IFERROR(__xludf.DUMMYFUNCTION("""COMPUTED_VALUE"""),-0.532210347058027)</f>
        <v>-0.53221034705802694</v>
      </c>
      <c r="DH142" s="3">
        <f ca="1">IFERROR(__xludf.DUMMYFUNCTION("""COMPUTED_VALUE"""),-0.346972330799202)</f>
        <v>-0.34697233079920198</v>
      </c>
      <c r="DI142" s="3">
        <f ca="1">IFERROR(__xludf.DUMMYFUNCTION("""COMPUTED_VALUE"""),-0.0914920550909397)</f>
        <v>-9.1492055090939703E-2</v>
      </c>
      <c r="DJ142" s="3">
        <f ca="1">IFERROR(__xludf.DUMMYFUNCTION("""COMPUTED_VALUE"""),-0.29583037504196)</f>
        <v>-0.29583037504196003</v>
      </c>
      <c r="DK142" s="3">
        <f ca="1">IFERROR(__xludf.DUMMYFUNCTION("""COMPUTED_VALUE"""),-0.246673040377702)</f>
        <v>-0.24667304037770199</v>
      </c>
      <c r="DL142" s="3">
        <f ca="1">IFERROR(__xludf.DUMMYFUNCTION("""COMPUTED_VALUE"""),-0.120302310034185)</f>
        <v>-0.120302310034185</v>
      </c>
      <c r="DM142" s="3">
        <f ca="1">IFERROR(__xludf.DUMMYFUNCTION("""COMPUTED_VALUE"""),-0.254234632244648)</f>
        <v>-0.25423463224464798</v>
      </c>
      <c r="DN142" s="3">
        <f ca="1">IFERROR(__xludf.DUMMYFUNCTION("""COMPUTED_VALUE"""),-0.206607091608954)</f>
        <v>-0.20660709160895399</v>
      </c>
      <c r="DO142" s="3">
        <f ca="1">IFERROR(__xludf.DUMMYFUNCTION("""COMPUTED_VALUE"""),-0.169456407035298)</f>
        <v>-0.16945640703529799</v>
      </c>
      <c r="DP142" s="3">
        <f ca="1">IFERROR(__xludf.DUMMYFUNCTION("""COMPUTED_VALUE"""),-0.098966279030087)</f>
        <v>-9.8966279030087007E-2</v>
      </c>
      <c r="DQ142" s="3">
        <f ca="1">IFERROR(__xludf.DUMMYFUNCTION("""COMPUTED_VALUE"""),-0.136872916520044)</f>
        <v>-0.13687291652004399</v>
      </c>
      <c r="DR142" s="3">
        <f ca="1">IFERROR(__xludf.DUMMYFUNCTION("""COMPUTED_VALUE"""),-0.17335969323258)</f>
        <v>-0.17335969323257999</v>
      </c>
      <c r="DS142" s="3">
        <f ca="1">IFERROR(__xludf.DUMMYFUNCTION("""COMPUTED_VALUE"""),-0.1651033503774)</f>
        <v>-0.16510335037740001</v>
      </c>
      <c r="DT142" s="3">
        <f ca="1">IFERROR(__xludf.DUMMYFUNCTION("""COMPUTED_VALUE"""),-0.240856226707478)</f>
        <v>-0.240856226707478</v>
      </c>
      <c r="DU142" s="3">
        <f ca="1">IFERROR(__xludf.DUMMYFUNCTION("""COMPUTED_VALUE"""),-0.22711694553786)</f>
        <v>-0.22711694553785999</v>
      </c>
      <c r="DV142" s="3">
        <f ca="1">IFERROR(__xludf.DUMMYFUNCTION("""COMPUTED_VALUE"""),-0.203495973092566)</f>
        <v>-0.20349597309256601</v>
      </c>
      <c r="DW142" s="3">
        <f ca="1">IFERROR(__xludf.DUMMYFUNCTION("""COMPUTED_VALUE"""),-0.261312590772391)</f>
        <v>-0.261312590772391</v>
      </c>
      <c r="DX142" s="3">
        <f ca="1">IFERROR(__xludf.DUMMYFUNCTION("""COMPUTED_VALUE"""),-0.256992048297662)</f>
        <v>-0.25699204829766198</v>
      </c>
      <c r="DY142" s="3">
        <f ca="1">IFERROR(__xludf.DUMMYFUNCTION("""COMPUTED_VALUE"""),-0.225218987705556)</f>
        <v>-0.22521898770555601</v>
      </c>
      <c r="DZ142" s="3">
        <f ca="1">IFERROR(__xludf.DUMMYFUNCTION("""COMPUTED_VALUE"""),-0.217413977889804)</f>
        <v>-0.21741397788980399</v>
      </c>
      <c r="EA142" s="3">
        <f ca="1">IFERROR(__xludf.DUMMYFUNCTION("""COMPUTED_VALUE"""),-0.317423245316544)</f>
        <v>-0.31742324531654398</v>
      </c>
      <c r="EB142" s="3">
        <f ca="1">IFERROR(__xludf.DUMMYFUNCTION("""COMPUTED_VALUE"""),-0.314318046865027)</f>
        <v>-0.31431804686502701</v>
      </c>
      <c r="EC142" s="3">
        <f ca="1">IFERROR(__xludf.DUMMYFUNCTION("""COMPUTED_VALUE"""),-0.281413107642956)</f>
        <v>-0.28141310764295602</v>
      </c>
      <c r="ED142" s="3">
        <f ca="1">IFERROR(__xludf.DUMMYFUNCTION("""COMPUTED_VALUE"""),-0.355265789143935)</f>
        <v>-0.35526578914393497</v>
      </c>
      <c r="EE142" s="3">
        <f ca="1">IFERROR(__xludf.DUMMYFUNCTION("""COMPUTED_VALUE"""),-0.268518857382986)</f>
        <v>-0.26851885738298598</v>
      </c>
      <c r="EF142" s="3">
        <f ca="1">IFERROR(__xludf.DUMMYFUNCTION("""COMPUTED_VALUE"""),-0.251496549923669)</f>
        <v>-0.25149654992366899</v>
      </c>
      <c r="EG142" s="3">
        <f ca="1">IFERROR(__xludf.DUMMYFUNCTION("""COMPUTED_VALUE"""),-0.305816157702475)</f>
        <v>-0.305816157702475</v>
      </c>
      <c r="EH142" s="3">
        <f ca="1">IFERROR(__xludf.DUMMYFUNCTION("""COMPUTED_VALUE"""),-0.357153595745871)</f>
        <v>-0.35715359574587102</v>
      </c>
      <c r="EI142" s="3">
        <f ca="1">IFERROR(__xludf.DUMMYFUNCTION("""COMPUTED_VALUE"""),-0.362178150077648)</f>
        <v>-0.36217815007764798</v>
      </c>
      <c r="EJ142" s="3">
        <f ca="1">IFERROR(__xludf.DUMMYFUNCTION("""COMPUTED_VALUE"""),-0.303964578110345)</f>
        <v>-0.303964578110345</v>
      </c>
      <c r="EK142" s="3">
        <f ca="1">IFERROR(__xludf.DUMMYFUNCTION("""COMPUTED_VALUE"""),-0.376367217575239)</f>
        <v>-0.376367217575239</v>
      </c>
      <c r="EL142" s="3">
        <f ca="1">IFERROR(__xludf.DUMMYFUNCTION("""COMPUTED_VALUE"""),-0.281571761151777)</f>
        <v>-0.28157176115177701</v>
      </c>
      <c r="EM142" s="3">
        <f ca="1">IFERROR(__xludf.DUMMYFUNCTION("""COMPUTED_VALUE"""),-0.288530450929947)</f>
        <v>-0.288530450929947</v>
      </c>
      <c r="EN142" s="3">
        <f ca="1">IFERROR(__xludf.DUMMYFUNCTION("""COMPUTED_VALUE"""),-0.389121291439566)</f>
        <v>-0.38912129143956597</v>
      </c>
      <c r="EO142" s="3">
        <f ca="1">IFERROR(__xludf.DUMMYFUNCTION("""COMPUTED_VALUE"""),-0.521653080894822)</f>
        <v>-0.52165308089482199</v>
      </c>
      <c r="EP142" s="3">
        <f ca="1">IFERROR(__xludf.DUMMYFUNCTION("""COMPUTED_VALUE"""),-0.409500627548325)</f>
        <v>-0.409500627548325</v>
      </c>
      <c r="EQ142" s="3">
        <f ca="1">IFERROR(__xludf.DUMMYFUNCTION("""COMPUTED_VALUE"""),-0.376813486819038)</f>
        <v>-0.37681348681903798</v>
      </c>
      <c r="ER142" s="3">
        <f ca="1">IFERROR(__xludf.DUMMYFUNCTION("""COMPUTED_VALUE"""),-0.408843922153327)</f>
        <v>-0.40884392215332699</v>
      </c>
      <c r="ES142" s="3">
        <f ca="1">IFERROR(__xludf.DUMMYFUNCTION("""COMPUTED_VALUE"""),-0.330304852493391)</f>
        <v>-0.33030485249339098</v>
      </c>
      <c r="ET142" s="3">
        <f ca="1">IFERROR(__xludf.DUMMYFUNCTION("""COMPUTED_VALUE"""),-0.26142363177873)</f>
        <v>-0.26142363177873001</v>
      </c>
      <c r="EU142" s="3">
        <f ca="1">IFERROR(__xludf.DUMMYFUNCTION("""COMPUTED_VALUE"""),-0.46248689664812)</f>
        <v>-0.46248689664811998</v>
      </c>
      <c r="EV142" s="3">
        <f ca="1">IFERROR(__xludf.DUMMYFUNCTION("""COMPUTED_VALUE"""),-0.525676924083111)</f>
        <v>-0.52567692408311095</v>
      </c>
      <c r="EW142" s="3">
        <f ca="1">IFERROR(__xludf.DUMMYFUNCTION("""COMPUTED_VALUE"""),-0.401557776019348)</f>
        <v>-0.401557776019348</v>
      </c>
      <c r="EX142" s="3">
        <f ca="1">IFERROR(__xludf.DUMMYFUNCTION("""COMPUTED_VALUE"""),-0.356494520694774)</f>
        <v>-0.356494520694774</v>
      </c>
      <c r="EY142" s="3">
        <f ca="1">IFERROR(__xludf.DUMMYFUNCTION("""COMPUTED_VALUE"""),-0.654574422049713)</f>
        <v>-0.65457442204971295</v>
      </c>
      <c r="EZ142" s="3">
        <f ca="1">IFERROR(__xludf.DUMMYFUNCTION("""COMPUTED_VALUE"""),-0.356336055496536)</f>
        <v>-0.35633605549653602</v>
      </c>
      <c r="FA142" s="3">
        <f ca="1">IFERROR(__xludf.DUMMYFUNCTION("""COMPUTED_VALUE"""),-0.177862010209667)</f>
        <v>-0.17786201020966699</v>
      </c>
      <c r="FB142" s="3">
        <f ca="1">IFERROR(__xludf.DUMMYFUNCTION("""COMPUTED_VALUE"""),-0.470011318204171)</f>
        <v>-0.47001131820417102</v>
      </c>
      <c r="FC142" s="3">
        <f ca="1">IFERROR(__xludf.DUMMYFUNCTION("""COMPUTED_VALUE"""),-0.54272851245447)</f>
        <v>-0.54272851245446996</v>
      </c>
      <c r="FD142" s="3">
        <f ca="1">IFERROR(__xludf.DUMMYFUNCTION("""COMPUTED_VALUE"""),-0.261047538555035)</f>
        <v>-0.26104753855503499</v>
      </c>
      <c r="FE142" s="3">
        <f ca="1">IFERROR(__xludf.DUMMYFUNCTION("""COMPUTED_VALUE"""),-0.328875646518024)</f>
        <v>-0.32887564651802398</v>
      </c>
      <c r="FF142" s="3">
        <f ca="1">IFERROR(__xludf.DUMMYFUNCTION("""COMPUTED_VALUE"""),-0.352086763472161)</f>
        <v>-0.352086763472161</v>
      </c>
      <c r="FG142" s="3">
        <f ca="1">IFERROR(__xludf.DUMMYFUNCTION("""COMPUTED_VALUE"""),-0.313714314287562)</f>
        <v>-0.31371431428756202</v>
      </c>
      <c r="FH142" s="3">
        <f ca="1">IFERROR(__xludf.DUMMYFUNCTION("""COMPUTED_VALUE"""),-0.105137302659131)</f>
        <v>-0.105137302659131</v>
      </c>
      <c r="FI142" s="3">
        <f ca="1">IFERROR(__xludf.DUMMYFUNCTION("""COMPUTED_VALUE"""),-0.528644118354356)</f>
        <v>-0.52864411835435599</v>
      </c>
      <c r="FJ142" s="3">
        <f ca="1">IFERROR(__xludf.DUMMYFUNCTION("""COMPUTED_VALUE"""),-0.575086003031521)</f>
        <v>-0.57508600303152102</v>
      </c>
      <c r="FK142" s="3">
        <f ca="1">IFERROR(__xludf.DUMMYFUNCTION("""COMPUTED_VALUE"""),-0.530276624773678)</f>
        <v>-0.53027662477367798</v>
      </c>
      <c r="FL142" s="3">
        <f ca="1">IFERROR(__xludf.DUMMYFUNCTION("""COMPUTED_VALUE"""),-0.026503578943561)</f>
        <v>-2.6503578943561E-2</v>
      </c>
      <c r="FM142" s="3">
        <f ca="1">IFERROR(__xludf.DUMMYFUNCTION("""COMPUTED_VALUE"""),-0.20513092425321)</f>
        <v>-0.20513092425321</v>
      </c>
      <c r="FN142" s="3">
        <f ca="1">IFERROR(__xludf.DUMMYFUNCTION("""COMPUTED_VALUE"""),-0.192975020757575)</f>
        <v>-0.192975020757575</v>
      </c>
      <c r="FO142" s="3">
        <f ca="1">IFERROR(__xludf.DUMMYFUNCTION("""COMPUTED_VALUE"""),-0.179027572404115)</f>
        <v>-0.17902757240411499</v>
      </c>
      <c r="FP142" s="3">
        <f ca="1">IFERROR(__xludf.DUMMYFUNCTION("""COMPUTED_VALUE"""),0.022405988134267)</f>
        <v>2.2405988134266999E-2</v>
      </c>
      <c r="FQ142" s="3">
        <f ca="1">IFERROR(__xludf.DUMMYFUNCTION("""COMPUTED_VALUE"""),-0.148595936781115)</f>
        <v>-0.14859593678111499</v>
      </c>
      <c r="FR142" s="3">
        <f ca="1">IFERROR(__xludf.DUMMYFUNCTION("""COMPUTED_VALUE"""),-0.0249879921170196)</f>
        <v>-2.4987992117019599E-2</v>
      </c>
      <c r="FS142" s="3">
        <f ca="1">IFERROR(__xludf.DUMMYFUNCTION("""COMPUTED_VALUE"""),-0.0861989438510558)</f>
        <v>-8.6198943851055795E-2</v>
      </c>
      <c r="FT142" s="3">
        <f ca="1">IFERROR(__xludf.DUMMYFUNCTION("""COMPUTED_VALUE"""),-0.083088893006565)</f>
        <v>-8.3088893006564996E-2</v>
      </c>
      <c r="FU142" s="3">
        <f ca="1">IFERROR(__xludf.DUMMYFUNCTION("""COMPUTED_VALUE"""),0.0165729767596636)</f>
        <v>1.6572976759663599E-2</v>
      </c>
      <c r="FV142" s="3">
        <f ca="1">IFERROR(__xludf.DUMMYFUNCTION("""COMPUTED_VALUE"""),0.020624922523821)</f>
        <v>2.0624922523821001E-2</v>
      </c>
      <c r="FW142" s="3">
        <f ca="1">IFERROR(__xludf.DUMMYFUNCTION("""COMPUTED_VALUE"""),0.0341118112332881)</f>
        <v>3.4111811233288103E-2</v>
      </c>
      <c r="FX142" s="3">
        <f ca="1">IFERROR(__xludf.DUMMYFUNCTION("""COMPUTED_VALUE"""),-0.00305655181830855)</f>
        <v>-3.0565518183085501E-3</v>
      </c>
      <c r="FY142" s="3">
        <f ca="1">IFERROR(__xludf.DUMMYFUNCTION("""COMPUTED_VALUE"""),0.127997069825995)</f>
        <v>0.12799706982599501</v>
      </c>
      <c r="FZ142" s="3">
        <f ca="1">IFERROR(__xludf.DUMMYFUNCTION("""COMPUTED_VALUE"""),0.101027455762475)</f>
        <v>0.101027455762475</v>
      </c>
      <c r="GA142" s="3">
        <f ca="1">IFERROR(__xludf.DUMMYFUNCTION("""COMPUTED_VALUE"""),0.0259961752683284)</f>
        <v>2.5996175268328401E-2</v>
      </c>
      <c r="GB142" s="3">
        <f ca="1">IFERROR(__xludf.DUMMYFUNCTION("""COMPUTED_VALUE"""),0.106098103736831)</f>
        <v>0.106098103736831</v>
      </c>
      <c r="GC142" s="3">
        <f ca="1">IFERROR(__xludf.DUMMYFUNCTION("""COMPUTED_VALUE"""),0.0909898519306309)</f>
        <v>9.0989851930630902E-2</v>
      </c>
      <c r="GD142" s="3">
        <f ca="1">IFERROR(__xludf.DUMMYFUNCTION("""COMPUTED_VALUE"""),0.0295357620026022)</f>
        <v>2.95357620026022E-2</v>
      </c>
      <c r="GE142" s="3">
        <f ca="1">IFERROR(__xludf.DUMMYFUNCTION("""COMPUTED_VALUE"""),0.00839190144193069)</f>
        <v>8.3919014419306902E-3</v>
      </c>
      <c r="GF142" s="3">
        <f ca="1">IFERROR(__xludf.DUMMYFUNCTION("""COMPUTED_VALUE"""),0.0541636136537375)</f>
        <v>5.4163613653737501E-2</v>
      </c>
      <c r="GG142" s="3">
        <f ca="1">IFERROR(__xludf.DUMMYFUNCTION("""COMPUTED_VALUE"""),0.0622099283276815)</f>
        <v>6.2209928327681498E-2</v>
      </c>
      <c r="GH142" s="3">
        <f ca="1">IFERROR(__xludf.DUMMYFUNCTION("""COMPUTED_VALUE"""),0.0525031155294324)</f>
        <v>5.2503115529432397E-2</v>
      </c>
      <c r="GI142" s="3">
        <f ca="1">IFERROR(__xludf.DUMMYFUNCTION("""COMPUTED_VALUE"""),0.145605296043268)</f>
        <v>0.145605296043268</v>
      </c>
      <c r="GJ142" s="3">
        <f ca="1">IFERROR(__xludf.DUMMYFUNCTION("""COMPUTED_VALUE"""),0.150606841615976)</f>
        <v>0.15060684161597601</v>
      </c>
      <c r="GK142" s="3">
        <f ca="1">IFERROR(__xludf.DUMMYFUNCTION("""COMPUTED_VALUE"""),0.10828072564022)</f>
        <v>0.10828072564022</v>
      </c>
      <c r="GL142" s="3">
        <f ca="1">IFERROR(__xludf.DUMMYFUNCTION("""COMPUTED_VALUE"""),0.00608535673279275)</f>
        <v>6.0853567327927502E-3</v>
      </c>
      <c r="GM142" s="3">
        <f ca="1">IFERROR(__xludf.DUMMYFUNCTION("""COMPUTED_VALUE"""),0.00743635862694525)</f>
        <v>7.4363586269452497E-3</v>
      </c>
      <c r="GN142" s="3">
        <f ca="1">IFERROR(__xludf.DUMMYFUNCTION("""COMPUTED_VALUE"""),0.0361969701069955)</f>
        <v>3.6196970106995498E-2</v>
      </c>
      <c r="GO142" s="3">
        <f ca="1">IFERROR(__xludf.DUMMYFUNCTION("""COMPUTED_VALUE"""),0.0727510114229159)</f>
        <v>7.2751011422915901E-2</v>
      </c>
      <c r="GP142" s="3">
        <f ca="1">IFERROR(__xludf.DUMMYFUNCTION("""COMPUTED_VALUE"""),-0.0235409970050733)</f>
        <v>-2.35409970050733E-2</v>
      </c>
      <c r="GQ142" s="3">
        <f ca="1">IFERROR(__xludf.DUMMYFUNCTION("""COMPUTED_VALUE"""),0.157992836336001)</f>
        <v>0.157992836336001</v>
      </c>
      <c r="GR142" s="3">
        <f ca="1">IFERROR(__xludf.DUMMYFUNCTION("""COMPUTED_VALUE"""),0.0339298794411477)</f>
        <v>3.3929879441147698E-2</v>
      </c>
      <c r="GS142" s="3">
        <f ca="1">IFERROR(__xludf.DUMMYFUNCTION("""COMPUTED_VALUE"""),0.03343203819706)</f>
        <v>3.3432038197059998E-2</v>
      </c>
      <c r="GT142" s="3">
        <f ca="1">IFERROR(__xludf.DUMMYFUNCTION("""COMPUTED_VALUE"""),0.0629699641018797)</f>
        <v>6.2969964101879702E-2</v>
      </c>
      <c r="GU142" s="3">
        <f ca="1">IFERROR(__xludf.DUMMYFUNCTION("""COMPUTED_VALUE"""),0.107958552524263)</f>
        <v>0.10795855252426299</v>
      </c>
      <c r="GV142" s="3">
        <f ca="1">IFERROR(__xludf.DUMMYFUNCTION("""COMPUTED_VALUE"""),0.0928528922837752)</f>
        <v>9.2852892283775204E-2</v>
      </c>
      <c r="GW142" s="3">
        <f ca="1">IFERROR(__xludf.DUMMYFUNCTION("""COMPUTED_VALUE"""),-0.000500280177247791)</f>
        <v>-5.0028017724779096E-4</v>
      </c>
      <c r="GX142" s="3">
        <f ca="1">IFERROR(__xludf.DUMMYFUNCTION("""COMPUTED_VALUE"""),0.205995861489574)</f>
        <v>0.20599586148957399</v>
      </c>
      <c r="GY142" s="3">
        <f ca="1">IFERROR(__xludf.DUMMYFUNCTION("""COMPUTED_VALUE"""),0.167095767818305)</f>
        <v>0.16709576781830501</v>
      </c>
      <c r="GZ142" s="3">
        <f ca="1">IFERROR(__xludf.DUMMYFUNCTION("""COMPUTED_VALUE"""),0.155418294914581)</f>
        <v>0.15541829491458101</v>
      </c>
      <c r="HA142" s="3">
        <f ca="1">IFERROR(__xludf.DUMMYFUNCTION("""COMPUTED_VALUE"""),0.107090163655245)</f>
        <v>0.107090163655245</v>
      </c>
      <c r="HB142" s="3">
        <f ca="1">IFERROR(__xludf.DUMMYFUNCTION("""COMPUTED_VALUE"""),0.209002550648972)</f>
        <v>0.209002550648972</v>
      </c>
      <c r="HC142" s="3">
        <f ca="1">IFERROR(__xludf.DUMMYFUNCTION("""COMPUTED_VALUE"""),0.115121469688002)</f>
        <v>0.11512146968800201</v>
      </c>
      <c r="HD142" s="3">
        <f ca="1">IFERROR(__xludf.DUMMYFUNCTION("""COMPUTED_VALUE"""),0.11344967315872)</f>
        <v>0.11344967315872</v>
      </c>
      <c r="HE142" s="3">
        <f ca="1">IFERROR(__xludf.DUMMYFUNCTION("""COMPUTED_VALUE"""),0.176482079764032)</f>
        <v>0.17648207976403199</v>
      </c>
      <c r="HF142" s="3">
        <f ca="1">IFERROR(__xludf.DUMMYFUNCTION("""COMPUTED_VALUE"""),0.172585350580704)</f>
        <v>0.17258535058070401</v>
      </c>
      <c r="HG142" s="3">
        <f ca="1">IFERROR(__xludf.DUMMYFUNCTION("""COMPUTED_VALUE"""),0.126236186228434)</f>
        <v>0.12623618622843399</v>
      </c>
      <c r="HH142" s="3">
        <f ca="1">IFERROR(__xludf.DUMMYFUNCTION("""COMPUTED_VALUE"""),0.149232688053335)</f>
        <v>0.14923268805333501</v>
      </c>
      <c r="HI142" s="3">
        <f ca="1">IFERROR(__xludf.DUMMYFUNCTION("""COMPUTED_VALUE"""),0.146328117222088)</f>
        <v>0.14632811722208799</v>
      </c>
      <c r="HJ142" s="3">
        <f ca="1">IFERROR(__xludf.DUMMYFUNCTION("""COMPUTED_VALUE"""),0.134418105374639)</f>
        <v>0.134418105374639</v>
      </c>
      <c r="HK142" s="3">
        <f ca="1">IFERROR(__xludf.DUMMYFUNCTION("""COMPUTED_VALUE"""),0.149684403826713)</f>
        <v>0.149684403826713</v>
      </c>
      <c r="HL142" s="3">
        <f ca="1">IFERROR(__xludf.DUMMYFUNCTION("""COMPUTED_VALUE"""),0.256450932111145)</f>
        <v>0.256450932111145</v>
      </c>
      <c r="HM142" s="3">
        <f ca="1">IFERROR(__xludf.DUMMYFUNCTION("""COMPUTED_VALUE"""),0.0942659886902714)</f>
        <v>9.4265988690271404E-2</v>
      </c>
      <c r="HN142" s="3">
        <f ca="1">IFERROR(__xludf.DUMMYFUNCTION("""COMPUTED_VALUE"""),0.0978282460396366)</f>
        <v>9.7828246039636593E-2</v>
      </c>
      <c r="HO142" s="3">
        <f ca="1">IFERROR(__xludf.DUMMYFUNCTION("""COMPUTED_VALUE"""),0.236091779879047)</f>
        <v>0.236091779879047</v>
      </c>
      <c r="HP142" s="3">
        <f ca="1">IFERROR(__xludf.DUMMYFUNCTION("""COMPUTED_VALUE"""),0.313861453434501)</f>
        <v>0.313861453434501</v>
      </c>
      <c r="HQ142" s="3">
        <f ca="1">IFERROR(__xludf.DUMMYFUNCTION("""COMPUTED_VALUE"""),0.180689051501349)</f>
        <v>0.18068905150134901</v>
      </c>
      <c r="HR142" s="3">
        <f ca="1">IFERROR(__xludf.DUMMYFUNCTION("""COMPUTED_VALUE"""),0.139848051527616)</f>
        <v>0.13984805152761601</v>
      </c>
      <c r="HS142" s="3">
        <f ca="1">IFERROR(__xludf.DUMMYFUNCTION("""COMPUTED_VALUE"""),-0.0187786906871688)</f>
        <v>-1.8778690687168802E-2</v>
      </c>
      <c r="HT142" s="3">
        <f ca="1">IFERROR(__xludf.DUMMYFUNCTION("""COMPUTED_VALUE"""),0.0733547112678618)</f>
        <v>7.3354711267861805E-2</v>
      </c>
      <c r="HU142" s="3">
        <f ca="1">IFERROR(__xludf.DUMMYFUNCTION("""COMPUTED_VALUE"""),0.0310531930698632)</f>
        <v>3.1053193069863198E-2</v>
      </c>
      <c r="HV142" s="3">
        <f ca="1">IFERROR(__xludf.DUMMYFUNCTION("""COMPUTED_VALUE"""),-0.0906422269643045)</f>
        <v>-9.0642226964304504E-2</v>
      </c>
      <c r="HW142" s="3">
        <f ca="1">IFERROR(__xludf.DUMMYFUNCTION("""COMPUTED_VALUE"""),0.00597206270572892)</f>
        <v>5.97206270572892E-3</v>
      </c>
      <c r="HX142" s="3">
        <f ca="1">IFERROR(__xludf.DUMMYFUNCTION("""COMPUTED_VALUE"""),-0.0207143032615706)</f>
        <v>-2.0714303261570598E-2</v>
      </c>
      <c r="HY142" s="3">
        <f ca="1">IFERROR(__xludf.DUMMYFUNCTION("""COMPUTED_VALUE"""),-0.0378921706379284)</f>
        <v>-3.78921706379284E-2</v>
      </c>
      <c r="HZ142" s="3">
        <f ca="1">IFERROR(__xludf.DUMMYFUNCTION("""COMPUTED_VALUE"""),0.0197315719920492)</f>
        <v>1.97315719920492E-2</v>
      </c>
      <c r="IA142" s="3">
        <f ca="1">IFERROR(__xludf.DUMMYFUNCTION("""COMPUTED_VALUE"""),0.137257901976299)</f>
        <v>0.137257901976299</v>
      </c>
      <c r="IB142" s="3">
        <f ca="1">IFERROR(__xludf.DUMMYFUNCTION("""COMPUTED_VALUE"""),0.108017437316187)</f>
        <v>0.108017437316187</v>
      </c>
      <c r="IC142" s="3">
        <f ca="1">IFERROR(__xludf.DUMMYFUNCTION("""COMPUTED_VALUE"""),0.118399743300919)</f>
        <v>0.118399743300919</v>
      </c>
      <c r="ID142" s="3">
        <f ca="1">IFERROR(__xludf.DUMMYFUNCTION("""COMPUTED_VALUE"""),0.282571086540405)</f>
        <v>0.28257108654040503</v>
      </c>
      <c r="IE142" s="3">
        <f ca="1">IFERROR(__xludf.DUMMYFUNCTION("""COMPUTED_VALUE"""),0.125009138696033)</f>
        <v>0.125009138696033</v>
      </c>
      <c r="IF142" s="3">
        <f ca="1">IFERROR(__xludf.DUMMYFUNCTION("""COMPUTED_VALUE"""),0.19379722620542)</f>
        <v>0.19379722620542</v>
      </c>
      <c r="IG142" s="3">
        <f ca="1">IFERROR(__xludf.DUMMYFUNCTION("""COMPUTED_VALUE"""),0.197442693989477)</f>
        <v>0.197442693989477</v>
      </c>
      <c r="IH142" s="3">
        <f ca="1">IFERROR(__xludf.DUMMYFUNCTION("""COMPUTED_VALUE"""),0.207652203470597)</f>
        <v>0.20765220347059701</v>
      </c>
      <c r="II142" s="3">
        <f ca="1">IFERROR(__xludf.DUMMYFUNCTION("""COMPUTED_VALUE"""),0.182281206430093)</f>
        <v>0.18228120643009299</v>
      </c>
      <c r="IJ142" s="3">
        <f ca="1">IFERROR(__xludf.DUMMYFUNCTION("""COMPUTED_VALUE"""),0.137400549327931)</f>
        <v>0.137400549327931</v>
      </c>
      <c r="IK142" s="3">
        <f ca="1">IFERROR(__xludf.DUMMYFUNCTION("""COMPUTED_VALUE"""),0.215523731914823)</f>
        <v>0.21552373191482299</v>
      </c>
      <c r="IL142" s="3">
        <f ca="1">IFERROR(__xludf.DUMMYFUNCTION("""COMPUTED_VALUE"""),0.147920208294452)</f>
        <v>0.14792020829445199</v>
      </c>
      <c r="IM142" s="3">
        <f ca="1">IFERROR(__xludf.DUMMYFUNCTION("""COMPUTED_VALUE"""),0.202384718552751)</f>
        <v>0.202384718552751</v>
      </c>
      <c r="IN142" s="3">
        <f ca="1">IFERROR(__xludf.DUMMYFUNCTION("""COMPUTED_VALUE"""),0.235112259716183)</f>
        <v>0.23511225971618299</v>
      </c>
      <c r="IO142" s="3">
        <f ca="1">IFERROR(__xludf.DUMMYFUNCTION("""COMPUTED_VALUE"""),0.237796133654008)</f>
        <v>0.23779613365400801</v>
      </c>
      <c r="IP142" s="3">
        <f ca="1">IFERROR(__xludf.DUMMYFUNCTION("""COMPUTED_VALUE"""),0.287920600128135)</f>
        <v>0.28792060012813497</v>
      </c>
      <c r="IQ142" s="3">
        <f ca="1">IFERROR(__xludf.DUMMYFUNCTION("""COMPUTED_VALUE"""),0.181414712454747)</f>
        <v>0.181414712454747</v>
      </c>
      <c r="IR142" s="3">
        <f ca="1">IFERROR(__xludf.DUMMYFUNCTION("""COMPUTED_VALUE"""),0.260354978561389)</f>
        <v>0.26035497856138901</v>
      </c>
      <c r="IS142" s="3">
        <f ca="1">IFERROR(__xludf.DUMMYFUNCTION("""COMPUTED_VALUE"""),0.160005620673881)</f>
        <v>0.16000562067388099</v>
      </c>
      <c r="IT142" s="3">
        <f ca="1">IFERROR(__xludf.DUMMYFUNCTION("""COMPUTED_VALUE"""),0.0606539621067179)</f>
        <v>6.0653962106717897E-2</v>
      </c>
      <c r="IU142" s="3">
        <f ca="1">IFERROR(__xludf.DUMMYFUNCTION("""COMPUTED_VALUE"""),0.0922993333512254)</f>
        <v>9.2299333351225393E-2</v>
      </c>
      <c r="IV142" s="3">
        <f ca="1">IFERROR(__xludf.DUMMYFUNCTION("""COMPUTED_VALUE"""),0.12326015304547)</f>
        <v>0.12326015304547</v>
      </c>
      <c r="IW142" s="3">
        <f ca="1">IFERROR(__xludf.DUMMYFUNCTION("""COMPUTED_VALUE"""),0.088993183151119)</f>
        <v>8.8993183151118996E-2</v>
      </c>
      <c r="IX142" s="3">
        <f ca="1">IFERROR(__xludf.DUMMYFUNCTION("""COMPUTED_VALUE"""),0.0850518145234178)</f>
        <v>8.5051814523417799E-2</v>
      </c>
      <c r="IY142" s="3">
        <f ca="1">IFERROR(__xludf.DUMMYFUNCTION("""COMPUTED_VALUE"""),0.137644235214724)</f>
        <v>0.13764423521472399</v>
      </c>
      <c r="IZ142" s="3">
        <f ca="1">IFERROR(__xludf.DUMMYFUNCTION("""COMPUTED_VALUE"""),0.226236651711369)</f>
        <v>0.226236651711369</v>
      </c>
      <c r="JA142" s="3">
        <f ca="1">IFERROR(__xludf.DUMMYFUNCTION("""COMPUTED_VALUE"""),0.103346782043344)</f>
        <v>0.10334678204334399</v>
      </c>
      <c r="JB142" s="3">
        <f ca="1">IFERROR(__xludf.DUMMYFUNCTION("""COMPUTED_VALUE"""),0.146649119158917)</f>
        <v>0.14664911915891701</v>
      </c>
      <c r="JC142" s="3">
        <f ca="1">IFERROR(__xludf.DUMMYFUNCTION("""COMPUTED_VALUE"""),0.212886824298731)</f>
        <v>0.21288682429873099</v>
      </c>
      <c r="JD142" s="3">
        <f ca="1">IFERROR(__xludf.DUMMYFUNCTION("""COMPUTED_VALUE"""),0.113290403969836)</f>
        <v>0.113290403969836</v>
      </c>
      <c r="JE142" s="3">
        <f ca="1">IFERROR(__xludf.DUMMYFUNCTION("""COMPUTED_VALUE"""),0.0847043920251813)</f>
        <v>8.4704392025181305E-2</v>
      </c>
      <c r="JF142" s="3">
        <f ca="1">IFERROR(__xludf.DUMMYFUNCTION("""COMPUTED_VALUE"""),0.108337300511808)</f>
        <v>0.108337300511808</v>
      </c>
      <c r="JG142" s="3">
        <f ca="1">IFERROR(__xludf.DUMMYFUNCTION("""COMPUTED_VALUE"""),0.171582475884484)</f>
        <v>0.171582475884484</v>
      </c>
      <c r="JH142" s="3">
        <f ca="1">IFERROR(__xludf.DUMMYFUNCTION("""COMPUTED_VALUE"""),0.127218419321322)</f>
        <v>0.127218419321322</v>
      </c>
      <c r="JI142" s="3">
        <f ca="1">IFERROR(__xludf.DUMMYFUNCTION("""COMPUTED_VALUE"""),0.126194265416168)</f>
        <v>0.12619426541616799</v>
      </c>
      <c r="JJ142" s="3">
        <f ca="1">IFERROR(__xludf.DUMMYFUNCTION("""COMPUTED_VALUE"""),0.240950433305513)</f>
        <v>0.240950433305513</v>
      </c>
      <c r="JK142" s="3">
        <f ca="1">IFERROR(__xludf.DUMMYFUNCTION("""COMPUTED_VALUE"""),0.1919940058418)</f>
        <v>0.19199400584179999</v>
      </c>
      <c r="JL142" s="3">
        <f ca="1">IFERROR(__xludf.DUMMYFUNCTION("""COMPUTED_VALUE"""),0.0714518773312415)</f>
        <v>7.1451877331241503E-2</v>
      </c>
      <c r="JM142" s="3">
        <f ca="1">IFERROR(__xludf.DUMMYFUNCTION("""COMPUTED_VALUE"""),0.119947216876113)</f>
        <v>0.119947216876113</v>
      </c>
      <c r="JN142" s="3">
        <f ca="1">IFERROR(__xludf.DUMMYFUNCTION("""COMPUTED_VALUE"""),0.028140554308218)</f>
        <v>2.8140554308218001E-2</v>
      </c>
      <c r="JO142" s="3">
        <f ca="1">IFERROR(__xludf.DUMMYFUNCTION("""COMPUTED_VALUE"""),-0.137839347561455)</f>
        <v>-0.13783934756145499</v>
      </c>
      <c r="JP142" s="3">
        <f ca="1">IFERROR(__xludf.DUMMYFUNCTION("""COMPUTED_VALUE"""),0.0397651270503349)</f>
        <v>3.97651270503349E-2</v>
      </c>
      <c r="JQ142" s="3">
        <f ca="1">IFERROR(__xludf.DUMMYFUNCTION("""COMPUTED_VALUE"""),0.048302275952613)</f>
        <v>4.8302275952613001E-2</v>
      </c>
      <c r="JR142" s="3">
        <f ca="1">IFERROR(__xludf.DUMMYFUNCTION("""COMPUTED_VALUE"""),0.0355578156966809)</f>
        <v>3.55578156966809E-2</v>
      </c>
      <c r="JS142" s="3">
        <f ca="1">IFERROR(__xludf.DUMMYFUNCTION("""COMPUTED_VALUE"""),-0.028806650142546)</f>
        <v>-2.8806650142545999E-2</v>
      </c>
      <c r="JT142" s="3">
        <f ca="1">IFERROR(__xludf.DUMMYFUNCTION("""COMPUTED_VALUE"""),0.15919839496571)</f>
        <v>0.15919839496571001</v>
      </c>
      <c r="JU142" s="3">
        <f ca="1">IFERROR(__xludf.DUMMYFUNCTION("""COMPUTED_VALUE"""),0.01244885990539)</f>
        <v>1.244885990539E-2</v>
      </c>
      <c r="JV142" s="3">
        <f ca="1">IFERROR(__xludf.DUMMYFUNCTION("""COMPUTED_VALUE"""),0.0166527577875503)</f>
        <v>1.66527577875503E-2</v>
      </c>
      <c r="JW142" s="3">
        <f ca="1">IFERROR(__xludf.DUMMYFUNCTION("""COMPUTED_VALUE"""),0.0293614383177815)</f>
        <v>2.9361438317781499E-2</v>
      </c>
      <c r="JX142" s="3">
        <f ca="1">IFERROR(__xludf.DUMMYFUNCTION("""COMPUTED_VALUE"""),-0.0846873421902705)</f>
        <v>-8.4687342190270506E-2</v>
      </c>
      <c r="JY142" s="3">
        <f ca="1">IFERROR(__xludf.DUMMYFUNCTION("""COMPUTED_VALUE"""),-0.0304779015192)</f>
        <v>-3.0477901519200001E-2</v>
      </c>
      <c r="JZ142" s="3">
        <f ca="1">IFERROR(__xludf.DUMMYFUNCTION("""COMPUTED_VALUE"""),-0.0881577771786994)</f>
        <v>-8.8157777178699395E-2</v>
      </c>
      <c r="KA142" s="3">
        <f ca="1">IFERROR(__xludf.DUMMYFUNCTION("""COMPUTED_VALUE"""),-0.0427796022733204)</f>
        <v>-4.2779602273320401E-2</v>
      </c>
      <c r="KB142" s="3">
        <f ca="1">IFERROR(__xludf.DUMMYFUNCTION("""COMPUTED_VALUE"""),-0.168137578522876)</f>
        <v>-0.168137578522876</v>
      </c>
      <c r="KC142" s="3">
        <f ca="1">IFERROR(__xludf.DUMMYFUNCTION("""COMPUTED_VALUE"""),-0.0749143795003524)</f>
        <v>-7.4914379500352402E-2</v>
      </c>
      <c r="KD142" s="3">
        <f ca="1">IFERROR(__xludf.DUMMYFUNCTION("""COMPUTED_VALUE"""),-0.0695115085725138)</f>
        <v>-6.95115085725138E-2</v>
      </c>
      <c r="KE142" s="3">
        <f ca="1">IFERROR(__xludf.DUMMYFUNCTION("""COMPUTED_VALUE"""),-0.147470496781009)</f>
        <v>-0.14747049678100899</v>
      </c>
      <c r="KF142" s="3">
        <f ca="1">IFERROR(__xludf.DUMMYFUNCTION("""COMPUTED_VALUE"""),-0.0778121602422339)</f>
        <v>-7.7812160242233905E-2</v>
      </c>
      <c r="KG142" s="3">
        <f ca="1">IFERROR(__xludf.DUMMYFUNCTION("""COMPUTED_VALUE"""),-0.185071181353994)</f>
        <v>-0.185071181353994</v>
      </c>
      <c r="KH142" s="3">
        <f ca="1">IFERROR(__xludf.DUMMYFUNCTION("""COMPUTED_VALUE"""),-0.0461446930022303)</f>
        <v>-4.61446930022303E-2</v>
      </c>
      <c r="KI142" s="3">
        <f ca="1">IFERROR(__xludf.DUMMYFUNCTION("""COMPUTED_VALUE"""),-0.18915032158299)</f>
        <v>-0.18915032158299</v>
      </c>
      <c r="KJ142" s="3">
        <f ca="1">IFERROR(__xludf.DUMMYFUNCTION("""COMPUTED_VALUE"""),-0.143669702851292)</f>
        <v>-0.14366970285129199</v>
      </c>
      <c r="KK142" s="3">
        <f ca="1">IFERROR(__xludf.DUMMYFUNCTION("""COMPUTED_VALUE"""),-0.187198520472724)</f>
        <v>-0.18719852047272401</v>
      </c>
      <c r="KL142" s="3">
        <f ca="1">IFERROR(__xludf.DUMMYFUNCTION("""COMPUTED_VALUE"""),-0.0023302256988994)</f>
        <v>-2.3302256988994002E-3</v>
      </c>
      <c r="KM142" s="3">
        <f ca="1">IFERROR(__xludf.DUMMYFUNCTION("""COMPUTED_VALUE"""),-0.177850759177052)</f>
        <v>-0.17785075917705201</v>
      </c>
      <c r="KN142" s="3">
        <f ca="1">IFERROR(__xludf.DUMMYFUNCTION("""COMPUTED_VALUE"""),-0.23676513351418)</f>
        <v>-0.23676513351417999</v>
      </c>
      <c r="KO142" s="3">
        <f ca="1">IFERROR(__xludf.DUMMYFUNCTION("""COMPUTED_VALUE"""),-0.127860024350813)</f>
        <v>-0.12786002435081301</v>
      </c>
      <c r="KP142" s="3">
        <f ca="1">IFERROR(__xludf.DUMMYFUNCTION("""COMPUTED_VALUE"""),-0.294265834427982)</f>
        <v>-0.29426583442798199</v>
      </c>
      <c r="KQ142" s="3">
        <f ca="1">IFERROR(__xludf.DUMMYFUNCTION("""COMPUTED_VALUE"""),-0.235034381798559)</f>
        <v>-0.23503438179855901</v>
      </c>
      <c r="KR142" s="3">
        <f ca="1">IFERROR(__xludf.DUMMYFUNCTION("""COMPUTED_VALUE"""),-0.118493808194364)</f>
        <v>-0.118493808194364</v>
      </c>
      <c r="KS142" s="3">
        <f ca="1">IFERROR(__xludf.DUMMYFUNCTION("""COMPUTED_VALUE"""),-0.199144657499011)</f>
        <v>-0.199144657499011</v>
      </c>
      <c r="KT142" s="3">
        <f ca="1">IFERROR(__xludf.DUMMYFUNCTION("""COMPUTED_VALUE"""),-0.1888321625125)</f>
        <v>-0.18883216251250001</v>
      </c>
      <c r="KU142" s="3">
        <f ca="1">IFERROR(__xludf.DUMMYFUNCTION("""COMPUTED_VALUE"""),-0.218199020774854)</f>
        <v>-0.21819902077485401</v>
      </c>
      <c r="KV142" s="3">
        <f ca="1">IFERROR(__xludf.DUMMYFUNCTION("""COMPUTED_VALUE"""),-0.219878929982831)</f>
        <v>-0.21987892998283101</v>
      </c>
      <c r="KW142" s="3">
        <f ca="1">IFERROR(__xludf.DUMMYFUNCTION("""COMPUTED_VALUE"""),-0.313844909762959)</f>
        <v>-0.31384490976295898</v>
      </c>
      <c r="KX142" s="3">
        <f ca="1">IFERROR(__xludf.DUMMYFUNCTION("""COMPUTED_VALUE"""),-0.327092122278666)</f>
        <v>-0.32709212227866602</v>
      </c>
      <c r="KY142" s="3">
        <f ca="1">IFERROR(__xludf.DUMMYFUNCTION("""COMPUTED_VALUE"""),-0.142349055953639)</f>
        <v>-0.142349055953639</v>
      </c>
      <c r="KZ142" s="3">
        <f ca="1">IFERROR(__xludf.DUMMYFUNCTION("""COMPUTED_VALUE"""),-0.24758482310599)</f>
        <v>-0.24758482310599</v>
      </c>
      <c r="LA142" s="3">
        <f ca="1">IFERROR(__xludf.DUMMYFUNCTION("""COMPUTED_VALUE"""),-0.243240431442774)</f>
        <v>-0.24324043144277399</v>
      </c>
      <c r="LB142" s="3">
        <f ca="1">IFERROR(__xludf.DUMMYFUNCTION("""COMPUTED_VALUE"""),-0.252281887705611)</f>
        <v>-0.252281887705611</v>
      </c>
      <c r="LC142" s="3">
        <f ca="1">IFERROR(__xludf.DUMMYFUNCTION("""COMPUTED_VALUE"""),-0.256754980290965)</f>
        <v>-0.256754980290965</v>
      </c>
      <c r="LD142" s="3">
        <f ca="1">IFERROR(__xludf.DUMMYFUNCTION("""COMPUTED_VALUE"""),-0.256804177457907)</f>
        <v>-0.25680417745790701</v>
      </c>
      <c r="LE142" s="3">
        <f ca="1">IFERROR(__xludf.DUMMYFUNCTION("""COMPUTED_VALUE"""),-0.285666501216124)</f>
        <v>-0.28566650121612402</v>
      </c>
      <c r="LF142" s="3">
        <f ca="1">IFERROR(__xludf.DUMMYFUNCTION("""COMPUTED_VALUE"""),-0.380407424772582)</f>
        <v>-0.38040742477258199</v>
      </c>
      <c r="LG142" s="3">
        <f ca="1">IFERROR(__xludf.DUMMYFUNCTION("""COMPUTED_VALUE"""),-0.304772626574938)</f>
        <v>-0.30477262657493798</v>
      </c>
      <c r="LH142" s="3">
        <f ca="1">IFERROR(__xludf.DUMMYFUNCTION("""COMPUTED_VALUE"""),-0.325424077513167)</f>
        <v>-0.32542407751316699</v>
      </c>
      <c r="LI142" s="3">
        <f ca="1">IFERROR(__xludf.DUMMYFUNCTION("""COMPUTED_VALUE"""),-0.430698557252964)</f>
        <v>-0.43069855725296402</v>
      </c>
      <c r="LJ142" s="3">
        <f ca="1">IFERROR(__xludf.DUMMYFUNCTION("""COMPUTED_VALUE"""),-0.425288102205878)</f>
        <v>-0.42528810220587798</v>
      </c>
      <c r="LK142" s="3">
        <f ca="1">IFERROR(__xludf.DUMMYFUNCTION("""COMPUTED_VALUE"""),-0.463974530887144)</f>
        <v>-0.46397453088714402</v>
      </c>
      <c r="LL142" s="3">
        <f ca="1">IFERROR(__xludf.DUMMYFUNCTION("""COMPUTED_VALUE"""),-0.407589444329948)</f>
        <v>-0.40758944432994798</v>
      </c>
      <c r="LM142" s="3">
        <f ca="1">IFERROR(__xludf.DUMMYFUNCTION("""COMPUTED_VALUE"""),-0.456010965608828)</f>
        <v>-0.45601096560882798</v>
      </c>
      <c r="LN142" s="3">
        <f ca="1">IFERROR(__xludf.DUMMYFUNCTION("""COMPUTED_VALUE"""),-0.20771801651773)</f>
        <v>-0.20771801651773</v>
      </c>
      <c r="LO142" s="3">
        <f ca="1">IFERROR(__xludf.DUMMYFUNCTION("""COMPUTED_VALUE"""),-0.505339008734531)</f>
        <v>-0.50533900873453097</v>
      </c>
      <c r="LP142" s="3">
        <f ca="1">IFERROR(__xludf.DUMMYFUNCTION("""COMPUTED_VALUE"""),-0.477723267377792)</f>
        <v>-0.47772326737779203</v>
      </c>
      <c r="LQ142" s="3">
        <f ca="1">IFERROR(__xludf.DUMMYFUNCTION("""COMPUTED_VALUE"""),-0.494894977346431)</f>
        <v>-0.49489497734643101</v>
      </c>
      <c r="LR142" s="3">
        <f ca="1">IFERROR(__xludf.DUMMYFUNCTION("""COMPUTED_VALUE"""),-0.50706694712785)</f>
        <v>-0.50706694712785005</v>
      </c>
      <c r="LS142" s="3">
        <f ca="1">IFERROR(__xludf.DUMMYFUNCTION("""COMPUTED_VALUE"""),-0.53265684811475)</f>
        <v>-0.53265684811475</v>
      </c>
      <c r="LT142" s="3">
        <f ca="1">IFERROR(__xludf.DUMMYFUNCTION("""COMPUTED_VALUE"""),-0.486252937688651)</f>
        <v>-0.48625293768865102</v>
      </c>
      <c r="LU142" s="3">
        <f ca="1">IFERROR(__xludf.DUMMYFUNCTION("""COMPUTED_VALUE"""),-0.421474738275298)</f>
        <v>-0.42147473827529802</v>
      </c>
      <c r="LV142" s="3">
        <f ca="1">IFERROR(__xludf.DUMMYFUNCTION("""COMPUTED_VALUE"""),-0.50126009285072)</f>
        <v>-0.50126009285072004</v>
      </c>
      <c r="LW142" s="3">
        <f ca="1">IFERROR(__xludf.DUMMYFUNCTION("""COMPUTED_VALUE"""),-0.611642997767121)</f>
        <v>-0.61164299776712105</v>
      </c>
      <c r="LX142" s="3">
        <f ca="1">IFERROR(__xludf.DUMMYFUNCTION("""COMPUTED_VALUE"""),-0.563467274217179)</f>
        <v>-0.56346727421717901</v>
      </c>
      <c r="LY142" s="3">
        <f ca="1">IFERROR(__xludf.DUMMYFUNCTION("""COMPUTED_VALUE"""),-0.539436769162335)</f>
        <v>-0.53943676916233496</v>
      </c>
      <c r="LZ142" s="3">
        <f ca="1">IFERROR(__xludf.DUMMYFUNCTION("""COMPUTED_VALUE"""),-0.538181349619453)</f>
        <v>-0.53818134961945296</v>
      </c>
      <c r="MA142" s="3">
        <f ca="1">IFERROR(__xludf.DUMMYFUNCTION("""COMPUTED_VALUE"""),-0.558054742087707)</f>
        <v>-0.558054742087707</v>
      </c>
      <c r="MB142" s="3">
        <f ca="1">IFERROR(__xludf.DUMMYFUNCTION("""COMPUTED_VALUE"""),-0.690247880423061)</f>
        <v>-0.69024788042306096</v>
      </c>
      <c r="MC142" s="3">
        <f ca="1">IFERROR(__xludf.DUMMYFUNCTION("""COMPUTED_VALUE"""),-0.730094059686598)</f>
        <v>-0.73009405968659802</v>
      </c>
      <c r="MD142" s="3">
        <f ca="1">IFERROR(__xludf.DUMMYFUNCTION("""COMPUTED_VALUE"""),-0.813617202247423)</f>
        <v>-0.81361720224742295</v>
      </c>
      <c r="ME142" s="3">
        <f ca="1">IFERROR(__xludf.DUMMYFUNCTION("""COMPUTED_VALUE"""),-0.737438659902104)</f>
        <v>-0.737438659902104</v>
      </c>
      <c r="MF142" s="3">
        <f ca="1">IFERROR(__xludf.DUMMYFUNCTION("""COMPUTED_VALUE"""),-0.515395205236635)</f>
        <v>-0.51539520523663496</v>
      </c>
      <c r="MG142" s="3">
        <f ca="1">IFERROR(__xludf.DUMMYFUNCTION("""COMPUTED_VALUE"""),-0.770123255177269)</f>
        <v>-0.77012325517726898</v>
      </c>
      <c r="MH142" s="3">
        <f ca="1">IFERROR(__xludf.DUMMYFUNCTION("""COMPUTED_VALUE"""),-0.727692788832486)</f>
        <v>-0.727692788832486</v>
      </c>
      <c r="MI142" s="3">
        <f ca="1">IFERROR(__xludf.DUMMYFUNCTION("""COMPUTED_VALUE"""),-0.785567517214229)</f>
        <v>-0.78556751721422902</v>
      </c>
      <c r="MJ142" s="3">
        <f ca="1">IFERROR(__xludf.DUMMYFUNCTION("""COMPUTED_VALUE"""),-0.763036239374121)</f>
        <v>-0.76303623937412102</v>
      </c>
      <c r="MK142" s="3">
        <f ca="1">IFERROR(__xludf.DUMMYFUNCTION("""COMPUTED_VALUE"""),-0.958926868736048)</f>
        <v>-0.95892686873604804</v>
      </c>
      <c r="ML142" s="3">
        <f ca="1">IFERROR(__xludf.DUMMYFUNCTION("""COMPUTED_VALUE"""),-0.793670521364207)</f>
        <v>-0.79367052136420702</v>
      </c>
      <c r="MM142" s="3">
        <f ca="1">IFERROR(__xludf.DUMMYFUNCTION("""COMPUTED_VALUE"""),-0.665128442506605)</f>
        <v>-0.66512844250660497</v>
      </c>
      <c r="MN142" s="3">
        <f ca="1">IFERROR(__xludf.DUMMYFUNCTION("""COMPUTED_VALUE"""),-0.792387096686978)</f>
        <v>-0.79238709668697804</v>
      </c>
      <c r="MO142" s="3">
        <f ca="1">IFERROR(__xludf.DUMMYFUNCTION("""COMPUTED_VALUE"""),-0.724751568737255)</f>
        <v>-0.72475156873725499</v>
      </c>
      <c r="MP142" s="3">
        <f ca="1">IFERROR(__xludf.DUMMYFUNCTION("""COMPUTED_VALUE"""),-0.728156161961532)</f>
        <v>-0.72815616196153199</v>
      </c>
      <c r="MQ142" s="3">
        <f ca="1">IFERROR(__xludf.DUMMYFUNCTION("""COMPUTED_VALUE"""),-0.815190987714841)</f>
        <v>-0.815190987714841</v>
      </c>
      <c r="MR142" s="3">
        <f ca="1">IFERROR(__xludf.DUMMYFUNCTION("""COMPUTED_VALUE"""),-0.824632695954839)</f>
        <v>-0.82463269595483901</v>
      </c>
      <c r="MS142" s="3">
        <f ca="1">IFERROR(__xludf.DUMMYFUNCTION("""COMPUTED_VALUE"""),-0.769250323105136)</f>
        <v>-0.76925032310513597</v>
      </c>
      <c r="MT142" s="3">
        <f ca="1">IFERROR(__xludf.DUMMYFUNCTION("""COMPUTED_VALUE"""),-0.707021115006384)</f>
        <v>-0.70702111500638398</v>
      </c>
      <c r="MU142" s="3">
        <f ca="1">IFERROR(__xludf.DUMMYFUNCTION("""COMPUTED_VALUE"""),-0.780884287695555)</f>
        <v>-0.78088428769555496</v>
      </c>
      <c r="MV142" s="3">
        <f ca="1">IFERROR(__xludf.DUMMYFUNCTION("""COMPUTED_VALUE"""),-0.719887244660552)</f>
        <v>-0.71988724466055198</v>
      </c>
      <c r="MW142" s="3">
        <f ca="1">IFERROR(__xludf.DUMMYFUNCTION("""COMPUTED_VALUE"""),-0.735172333239722)</f>
        <v>-0.73517233323972198</v>
      </c>
      <c r="MX142" s="3">
        <f ca="1">IFERROR(__xludf.DUMMYFUNCTION("""COMPUTED_VALUE"""),-0.778849721159658)</f>
        <v>-0.778849721159658</v>
      </c>
      <c r="MY142" s="3">
        <f ca="1">IFERROR(__xludf.DUMMYFUNCTION("""COMPUTED_VALUE"""),-0.821214221099418)</f>
        <v>-0.821214221099418</v>
      </c>
      <c r="MZ142" s="3">
        <f ca="1">IFERROR(__xludf.DUMMYFUNCTION("""COMPUTED_VALUE"""),-0.792703228282095)</f>
        <v>-0.79270322828209505</v>
      </c>
      <c r="NA142" s="3">
        <f ca="1">IFERROR(__xludf.DUMMYFUNCTION("""COMPUTED_VALUE"""),-0.760477277741102)</f>
        <v>-0.76047727774110196</v>
      </c>
      <c r="NB142" s="3">
        <f ca="1">IFERROR(__xludf.DUMMYFUNCTION("""COMPUTED_VALUE"""),-0.797669950068401)</f>
        <v>-0.79766995006840102</v>
      </c>
      <c r="NC142" s="3">
        <f ca="1">IFERROR(__xludf.DUMMYFUNCTION("""COMPUTED_VALUE"""),-0.806441472208119)</f>
        <v>-0.80644147220811901</v>
      </c>
      <c r="ND142" s="3">
        <f ca="1">IFERROR(__xludf.DUMMYFUNCTION("""COMPUTED_VALUE"""),-0.780951555571695)</f>
        <v>-0.78095155557169504</v>
      </c>
      <c r="NE142" s="3">
        <f ca="1">IFERROR(__xludf.DUMMYFUNCTION("""COMPUTED_VALUE"""),-0.761501130737911)</f>
        <v>-0.76150113073791104</v>
      </c>
      <c r="NF142" s="3">
        <f ca="1">IFERROR(__xludf.DUMMYFUNCTION("""COMPUTED_VALUE"""),-0.829543085433611)</f>
        <v>-0.82954308543361099</v>
      </c>
      <c r="NG142" s="3">
        <f ca="1">IFERROR(__xludf.DUMMYFUNCTION("""COMPUTED_VALUE"""),-0.806136701484608)</f>
        <v>-0.80613670148460803</v>
      </c>
      <c r="NH142" s="3">
        <f ca="1">IFERROR(__xludf.DUMMYFUNCTION("""COMPUTED_VALUE"""),-0.760649494723331)</f>
        <v>-0.76064949472333099</v>
      </c>
      <c r="NI142" s="3">
        <f ca="1">IFERROR(__xludf.DUMMYFUNCTION("""COMPUTED_VALUE"""),-0.794401521738608)</f>
        <v>-0.79440152173860801</v>
      </c>
      <c r="NJ142" s="3">
        <f ca="1">IFERROR(__xludf.DUMMYFUNCTION("""COMPUTED_VALUE"""),-0.731851184850292)</f>
        <v>-0.73185118485029199</v>
      </c>
      <c r="NK142" s="3">
        <f ca="1">IFERROR(__xludf.DUMMYFUNCTION("""COMPUTED_VALUE"""),-0.81911934961615)</f>
        <v>-0.81911934961614996</v>
      </c>
      <c r="NL142" s="3">
        <f ca="1">IFERROR(__xludf.DUMMYFUNCTION("""COMPUTED_VALUE"""),-0.816102259704629)</f>
        <v>-0.81610225970462902</v>
      </c>
      <c r="NM142" s="3">
        <f ca="1">IFERROR(__xludf.DUMMYFUNCTION("""COMPUTED_VALUE"""),-0.803847032208375)</f>
        <v>-0.80384703220837495</v>
      </c>
      <c r="NN142" s="3">
        <f ca="1">IFERROR(__xludf.DUMMYFUNCTION("""COMPUTED_VALUE"""),-0.817048984816506)</f>
        <v>-0.81704898481650601</v>
      </c>
      <c r="NO142" s="3">
        <f ca="1">IFERROR(__xludf.DUMMYFUNCTION("""COMPUTED_VALUE"""),-0.850142012639559)</f>
        <v>-0.85014201263955902</v>
      </c>
      <c r="NP142" s="3">
        <f ca="1">IFERROR(__xludf.DUMMYFUNCTION("""COMPUTED_VALUE"""),-0.837849386088781)</f>
        <v>-0.83784938608878101</v>
      </c>
      <c r="NQ142" s="3">
        <f ca="1">IFERROR(__xludf.DUMMYFUNCTION("""COMPUTED_VALUE"""),-0.841413585894447)</f>
        <v>-0.84141358589444704</v>
      </c>
      <c r="NR142" s="3">
        <f ca="1">IFERROR(__xludf.DUMMYFUNCTION("""COMPUTED_VALUE"""),-0.845936940888017)</f>
        <v>-0.84593694088801696</v>
      </c>
      <c r="NS142" s="3">
        <f ca="1">IFERROR(__xludf.DUMMYFUNCTION("""COMPUTED_VALUE"""),-0.858088408683303)</f>
        <v>-0.85808840868330305</v>
      </c>
      <c r="NT142" s="3">
        <f ca="1">IFERROR(__xludf.DUMMYFUNCTION("""COMPUTED_VALUE"""),-0.88569430986072)</f>
        <v>-0.88569430986071995</v>
      </c>
      <c r="NU142" s="3">
        <f ca="1">IFERROR(__xludf.DUMMYFUNCTION("""COMPUTED_VALUE"""),-0.853582746184584)</f>
        <v>-0.85358274618458396</v>
      </c>
      <c r="NV142" s="3">
        <f ca="1">IFERROR(__xludf.DUMMYFUNCTION("""COMPUTED_VALUE"""),-0.872519966120784)</f>
        <v>-0.87251996612078397</v>
      </c>
      <c r="NW142" s="3">
        <f ca="1">IFERROR(__xludf.DUMMYFUNCTION("""COMPUTED_VALUE"""),-0.837499759123348)</f>
        <v>-0.83749975912334795</v>
      </c>
      <c r="NX142" s="3">
        <f ca="1">IFERROR(__xludf.DUMMYFUNCTION("""COMPUTED_VALUE"""),-0.811757308745168)</f>
        <v>-0.81175730874516805</v>
      </c>
      <c r="NY142" s="3">
        <f ca="1">IFERROR(__xludf.DUMMYFUNCTION("""COMPUTED_VALUE"""),-0.804757880101115)</f>
        <v>-0.80475788010111504</v>
      </c>
      <c r="NZ142" s="3">
        <f ca="1">IFERROR(__xludf.DUMMYFUNCTION("""COMPUTED_VALUE"""),-0.824321497820199)</f>
        <v>-0.82432149782019903</v>
      </c>
      <c r="OA142" s="3">
        <f ca="1">IFERROR(__xludf.DUMMYFUNCTION("""COMPUTED_VALUE"""),-0.825356623706002)</f>
        <v>-0.82535662370600205</v>
      </c>
      <c r="OB142" s="3">
        <f ca="1">IFERROR(__xludf.DUMMYFUNCTION("""COMPUTED_VALUE"""),-0.842162622448283)</f>
        <v>-0.84216262244828299</v>
      </c>
      <c r="OC142" s="3">
        <f ca="1">IFERROR(__xludf.DUMMYFUNCTION("""COMPUTED_VALUE"""),-0.775108362842208)</f>
        <v>-0.77510836284220797</v>
      </c>
      <c r="OD142" s="3">
        <f ca="1">IFERROR(__xludf.DUMMYFUNCTION("""COMPUTED_VALUE"""),-0.792820258364096)</f>
        <v>-0.79282025836409598</v>
      </c>
      <c r="OE142" s="3">
        <f ca="1">IFERROR(__xludf.DUMMYFUNCTION("""COMPUTED_VALUE"""),-0.55932310695581)</f>
        <v>-0.55932310695581</v>
      </c>
      <c r="OF142" s="3">
        <f ca="1">IFERROR(__xludf.DUMMYFUNCTION("""COMPUTED_VALUE"""),-0.266066780281682)</f>
        <v>-0.26606678028168201</v>
      </c>
      <c r="OG142" s="3">
        <f ca="1">IFERROR(__xludf.DUMMYFUNCTION("""COMPUTED_VALUE"""),-0.210695096290218)</f>
        <v>-0.21069509629021799</v>
      </c>
      <c r="OH142" s="3">
        <f ca="1">IFERROR(__xludf.DUMMYFUNCTION("""COMPUTED_VALUE"""),-0.138196483006157)</f>
        <v>-0.138196483006157</v>
      </c>
      <c r="OI142" s="3">
        <f ca="1">IFERROR(__xludf.DUMMYFUNCTION("""COMPUTED_VALUE"""),-0.0174838897553567)</f>
        <v>-1.74838897553567E-2</v>
      </c>
      <c r="OJ142" s="3">
        <f ca="1">IFERROR(__xludf.DUMMYFUNCTION("""COMPUTED_VALUE"""),0.018448135400803)</f>
        <v>1.8448135400802999E-2</v>
      </c>
      <c r="OK142" s="3">
        <f ca="1">IFERROR(__xludf.DUMMYFUNCTION("""COMPUTED_VALUE"""),-0.135296292834818)</f>
        <v>-0.135296292834818</v>
      </c>
      <c r="OL142" s="3">
        <f ca="1">IFERROR(__xludf.DUMMYFUNCTION("""COMPUTED_VALUE"""),0.0857348616286823)</f>
        <v>8.5734861628682296E-2</v>
      </c>
      <c r="OM142" s="3">
        <f ca="1">IFERROR(__xludf.DUMMYFUNCTION("""COMPUTED_VALUE"""),-0.0512182083379075)</f>
        <v>-5.1218208337907502E-2</v>
      </c>
      <c r="ON142" s="3">
        <f ca="1">IFERROR(__xludf.DUMMYFUNCTION("""COMPUTED_VALUE"""),0.021689217946377)</f>
        <v>2.1689217946377001E-2</v>
      </c>
      <c r="OO142" s="3">
        <f ca="1">IFERROR(__xludf.DUMMYFUNCTION("""COMPUTED_VALUE"""),0.0668409424643194)</f>
        <v>6.6840942464319403E-2</v>
      </c>
      <c r="OP142" s="3">
        <f ca="1">IFERROR(__xludf.DUMMYFUNCTION("""COMPUTED_VALUE"""),0.0152057617690739)</f>
        <v>1.52057617690739E-2</v>
      </c>
      <c r="OQ142" s="3">
        <f ca="1">IFERROR(__xludf.DUMMYFUNCTION("""COMPUTED_VALUE"""),0.0490177128037911)</f>
        <v>4.9017712803791101E-2</v>
      </c>
      <c r="OR142" s="3">
        <f ca="1">IFERROR(__xludf.DUMMYFUNCTION("""COMPUTED_VALUE"""),0.0790491284861758)</f>
        <v>7.9049128486175804E-2</v>
      </c>
      <c r="OS142" s="3">
        <f ca="1">IFERROR(__xludf.DUMMYFUNCTION("""COMPUTED_VALUE"""),0.0472539894365684)</f>
        <v>4.7253989436568403E-2</v>
      </c>
      <c r="OT142" s="3">
        <f ca="1">IFERROR(__xludf.DUMMYFUNCTION("""COMPUTED_VALUE"""),-0.0701943227802672)</f>
        <v>-7.0194322780267202E-2</v>
      </c>
      <c r="OU142" s="3">
        <f ca="1">IFERROR(__xludf.DUMMYFUNCTION("""COMPUTED_VALUE"""),-0.00864091018989832)</f>
        <v>-8.6409101898983192E-3</v>
      </c>
      <c r="OV142" s="3">
        <f ca="1">IFERROR(__xludf.DUMMYFUNCTION("""COMPUTED_VALUE"""),-0.140316692211485)</f>
        <v>-0.14031669221148499</v>
      </c>
      <c r="OW142" s="3">
        <f ca="1">IFERROR(__xludf.DUMMYFUNCTION("""COMPUTED_VALUE"""),-0.169655182749795)</f>
        <v>-0.16965518274979499</v>
      </c>
      <c r="OX142" s="3">
        <f ca="1">IFERROR(__xludf.DUMMYFUNCTION("""COMPUTED_VALUE"""),-0.136149931928627)</f>
        <v>-0.13614993192862701</v>
      </c>
      <c r="OY142" s="3">
        <f ca="1">IFERROR(__xludf.DUMMYFUNCTION("""COMPUTED_VALUE"""),-0.131783076984484)</f>
        <v>-0.13178307698448399</v>
      </c>
      <c r="OZ142" s="3">
        <f ca="1">IFERROR(__xludf.DUMMYFUNCTION("""COMPUTED_VALUE"""),-0.0923122821656989)</f>
        <v>-9.2312282165698895E-2</v>
      </c>
      <c r="PA142" s="3">
        <f ca="1">IFERROR(__xludf.DUMMYFUNCTION("""COMPUTED_VALUE"""),0.062704188278833)</f>
        <v>6.2704188278833006E-2</v>
      </c>
      <c r="PB142" s="3">
        <f ca="1">IFERROR(__xludf.DUMMYFUNCTION("""COMPUTED_VALUE"""),0.0102087482555717)</f>
        <v>1.0208748255571699E-2</v>
      </c>
      <c r="PC142" s="3">
        <f ca="1">IFERROR(__xludf.DUMMYFUNCTION("""COMPUTED_VALUE"""),-0.0155355096814205)</f>
        <v>-1.5535509681420499E-2</v>
      </c>
      <c r="PD142" s="3">
        <f ca="1">IFERROR(__xludf.DUMMYFUNCTION("""COMPUTED_VALUE"""),0.0617185462477896)</f>
        <v>6.17185462477896E-2</v>
      </c>
      <c r="PE142" s="3">
        <f ca="1">IFERROR(__xludf.DUMMYFUNCTION("""COMPUTED_VALUE"""),0.0522134095966742)</f>
        <v>5.2213409596674198E-2</v>
      </c>
      <c r="PF142" s="3">
        <f ca="1">IFERROR(__xludf.DUMMYFUNCTION("""COMPUTED_VALUE"""),0.0868822266524345)</f>
        <v>8.6882226652434502E-2</v>
      </c>
      <c r="PG142" s="3">
        <f ca="1">IFERROR(__xludf.DUMMYFUNCTION("""COMPUTED_VALUE"""),-0.0330055121859402)</f>
        <v>-3.3005512185940201E-2</v>
      </c>
      <c r="PH142" s="3">
        <f ca="1">IFERROR(__xludf.DUMMYFUNCTION("""COMPUTED_VALUE"""),0.142155905087051)</f>
        <v>0.142155905087051</v>
      </c>
      <c r="PI142" s="3">
        <f ca="1">IFERROR(__xludf.DUMMYFUNCTION("""COMPUTED_VALUE"""),0.163333061147823)</f>
        <v>0.16333306114782301</v>
      </c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</row>
    <row r="143" spans="1:477" ht="13">
      <c r="A143" s="1" t="str">
        <f ca="1">IFERROR(__xludf.DUMMYFUNCTION("""COMPUTED_VALUE"""),"PSTA")</f>
        <v>PSTA</v>
      </c>
      <c r="B143" s="1" t="str">
        <f ca="1">IFERROR(__xludf.DUMMYFUNCTION("""COMPUTED_VALUE"""),"Tampa")</f>
        <v>Tampa</v>
      </c>
      <c r="C143" s="1" t="str">
        <f ca="1">IFERROR(__xludf.DUMMYFUNCTION("""COMPUTED_VALUE"""),"United States")</f>
        <v>United States</v>
      </c>
      <c r="D143" s="1" t="str">
        <f ca="1">IFERROR(__xludf.DUMMYFUNCTION("""COMPUTED_VALUE"""),"Florida")</f>
        <v>Florida</v>
      </c>
      <c r="E143" s="3">
        <f ca="1">IFERROR(__xludf.DUMMYFUNCTION("""COMPUTED_VALUE"""),-0.0646276293255043)</f>
        <v>-6.4627629325504296E-2</v>
      </c>
      <c r="F143" s="3">
        <f ca="1">IFERROR(__xludf.DUMMYFUNCTION("""COMPUTED_VALUE"""),0.00270385531408989)</f>
        <v>2.7038553140898902E-3</v>
      </c>
      <c r="G143" s="3">
        <f ca="1">IFERROR(__xludf.DUMMYFUNCTION("""COMPUTED_VALUE"""),-0.166558212651349)</f>
        <v>-0.16655821265134901</v>
      </c>
      <c r="H143" s="3">
        <f ca="1">IFERROR(__xludf.DUMMYFUNCTION("""COMPUTED_VALUE"""),-0.205758886079408)</f>
        <v>-0.20575888607940801</v>
      </c>
      <c r="I143" s="3">
        <f ca="1">IFERROR(__xludf.DUMMYFUNCTION("""COMPUTED_VALUE"""),-0.163760400153373)</f>
        <v>-0.16376040015337301</v>
      </c>
      <c r="J143" s="3">
        <f ca="1">IFERROR(__xludf.DUMMYFUNCTION("""COMPUTED_VALUE"""),-0.129183038105648)</f>
        <v>-0.12918303810564799</v>
      </c>
      <c r="K143" s="3">
        <f ca="1">IFERROR(__xludf.DUMMYFUNCTION("""COMPUTED_VALUE"""),-0.0749704049889645)</f>
        <v>-7.4970404988964498E-2</v>
      </c>
      <c r="L143" s="3">
        <f ca="1">IFERROR(__xludf.DUMMYFUNCTION("""COMPUTED_VALUE"""),-0.080664276008234)</f>
        <v>-8.0664276008234004E-2</v>
      </c>
      <c r="M143" s="3">
        <f ca="1">IFERROR(__xludf.DUMMYFUNCTION("""COMPUTED_VALUE"""),-0.158298572659763)</f>
        <v>-0.15829857265976299</v>
      </c>
      <c r="N143" s="3">
        <f ca="1">IFERROR(__xludf.DUMMYFUNCTION("""COMPUTED_VALUE"""),-0.221698956951324)</f>
        <v>-0.22169895695132399</v>
      </c>
      <c r="O143" s="3">
        <f ca="1">IFERROR(__xludf.DUMMYFUNCTION("""COMPUTED_VALUE"""),-0.221305296995463)</f>
        <v>-0.221305296995463</v>
      </c>
      <c r="P143" s="3">
        <f ca="1">IFERROR(__xludf.DUMMYFUNCTION("""COMPUTED_VALUE"""),-0.146278500410275)</f>
        <v>-0.14627850041027499</v>
      </c>
      <c r="Q143" s="3">
        <f ca="1">IFERROR(__xludf.DUMMYFUNCTION("""COMPUTED_VALUE"""),-0.177651545252569)</f>
        <v>-0.17765154525256899</v>
      </c>
      <c r="R143" s="3">
        <f ca="1">IFERROR(__xludf.DUMMYFUNCTION("""COMPUTED_VALUE"""),0.0731739629807917)</f>
        <v>7.3173962980791707E-2</v>
      </c>
      <c r="S143" s="3">
        <f ca="1">IFERROR(__xludf.DUMMYFUNCTION("""COMPUTED_VALUE"""),-0.0581908889987237)</f>
        <v>-5.8190888998723697E-2</v>
      </c>
      <c r="T143" s="3">
        <f ca="1">IFERROR(__xludf.DUMMYFUNCTION("""COMPUTED_VALUE"""),-0.126058414644346)</f>
        <v>-0.126058414644346</v>
      </c>
      <c r="U143" s="3">
        <f ca="1">IFERROR(__xludf.DUMMYFUNCTION("""COMPUTED_VALUE"""),-0.195070316000674)</f>
        <v>-0.19507031600067401</v>
      </c>
      <c r="V143" s="3">
        <f ca="1">IFERROR(__xludf.DUMMYFUNCTION("""COMPUTED_VALUE"""),-0.206154103365203)</f>
        <v>-0.20615410336520301</v>
      </c>
      <c r="W143" s="3">
        <f ca="1">IFERROR(__xludf.DUMMYFUNCTION("""COMPUTED_VALUE"""),-0.182367071267474)</f>
        <v>-0.18236707126747401</v>
      </c>
      <c r="X143" s="3">
        <f ca="1">IFERROR(__xludf.DUMMYFUNCTION("""COMPUTED_VALUE"""),-0.19025080098693)</f>
        <v>-0.19025080098693001</v>
      </c>
      <c r="Y143" s="3">
        <f ca="1">IFERROR(__xludf.DUMMYFUNCTION("""COMPUTED_VALUE"""),-0.0955241078158356)</f>
        <v>-9.5524107815835604E-2</v>
      </c>
      <c r="Z143" s="3">
        <f ca="1">IFERROR(__xludf.DUMMYFUNCTION("""COMPUTED_VALUE"""),-0.0361320489334953)</f>
        <v>-3.6132048933495302E-2</v>
      </c>
      <c r="AA143" s="3">
        <f ca="1">IFERROR(__xludf.DUMMYFUNCTION("""COMPUTED_VALUE"""),-0.102866178316731)</f>
        <v>-0.10286617831673101</v>
      </c>
      <c r="AB143" s="3">
        <f ca="1">IFERROR(__xludf.DUMMYFUNCTION("""COMPUTED_VALUE"""),-0.255453072019028)</f>
        <v>-0.255453072019028</v>
      </c>
      <c r="AC143" s="3">
        <f ca="1">IFERROR(__xludf.DUMMYFUNCTION("""COMPUTED_VALUE"""),-0.186994854372403)</f>
        <v>-0.18699485437240301</v>
      </c>
      <c r="AD143" s="3">
        <f ca="1">IFERROR(__xludf.DUMMYFUNCTION("""COMPUTED_VALUE"""),-0.167638623582643)</f>
        <v>-0.167638623582643</v>
      </c>
      <c r="AE143" s="3">
        <f ca="1">IFERROR(__xludf.DUMMYFUNCTION("""COMPUTED_VALUE"""),-0.20230428805451)</f>
        <v>-0.20230428805451001</v>
      </c>
      <c r="AF143" s="3">
        <f ca="1">IFERROR(__xludf.DUMMYFUNCTION("""COMPUTED_VALUE"""),-0.0581307491830419)</f>
        <v>-5.8130749183041897E-2</v>
      </c>
      <c r="AG143" s="3">
        <f ca="1">IFERROR(__xludf.DUMMYFUNCTION("""COMPUTED_VALUE"""),0.0164169012644685)</f>
        <v>1.64169012644685E-2</v>
      </c>
      <c r="AH143" s="3">
        <f ca="1">IFERROR(__xludf.DUMMYFUNCTION("""COMPUTED_VALUE"""),-0.0507545850586619)</f>
        <v>-5.07545850586619E-2</v>
      </c>
      <c r="AI143" s="3">
        <f ca="1">IFERROR(__xludf.DUMMYFUNCTION("""COMPUTED_VALUE"""),-0.168181732424366)</f>
        <v>-0.16818173242436599</v>
      </c>
      <c r="AJ143" s="3">
        <f ca="1">IFERROR(__xludf.DUMMYFUNCTION("""COMPUTED_VALUE"""),-0.152714683796242)</f>
        <v>-0.15271468379624201</v>
      </c>
      <c r="AK143" s="3">
        <f ca="1">IFERROR(__xludf.DUMMYFUNCTION("""COMPUTED_VALUE"""),-0.154547724109105)</f>
        <v>-0.154547724109105</v>
      </c>
      <c r="AL143" s="3">
        <f ca="1">IFERROR(__xludf.DUMMYFUNCTION("""COMPUTED_VALUE"""),-0.149327025956516)</f>
        <v>-0.14932702595651601</v>
      </c>
      <c r="AM143" s="3">
        <f ca="1">IFERROR(__xludf.DUMMYFUNCTION("""COMPUTED_VALUE"""),-0.0535504501856443)</f>
        <v>-5.3550450185644298E-2</v>
      </c>
      <c r="AN143" s="3">
        <f ca="1">IFERROR(__xludf.DUMMYFUNCTION("""COMPUTED_VALUE"""),-0.143541751779413)</f>
        <v>-0.143541751779413</v>
      </c>
      <c r="AO143" s="3">
        <f ca="1">IFERROR(__xludf.DUMMYFUNCTION("""COMPUTED_VALUE"""),-0.144939797556122)</f>
        <v>-0.14493979755612199</v>
      </c>
      <c r="AP143" s="3">
        <f ca="1">IFERROR(__xludf.DUMMYFUNCTION("""COMPUTED_VALUE"""),-0.212232656349738)</f>
        <v>-0.21223265634973801</v>
      </c>
      <c r="AQ143" s="3">
        <f ca="1">IFERROR(__xludf.DUMMYFUNCTION("""COMPUTED_VALUE"""),-0.210722458643044)</f>
        <v>-0.21072245864304401</v>
      </c>
      <c r="AR143" s="3">
        <f ca="1">IFERROR(__xludf.DUMMYFUNCTION("""COMPUTED_VALUE"""),-0.159782606706824)</f>
        <v>-0.15978260670682401</v>
      </c>
      <c r="AS143" s="3">
        <f ca="1">IFERROR(__xludf.DUMMYFUNCTION("""COMPUTED_VALUE"""),-0.206796094579471)</f>
        <v>-0.20679609457947101</v>
      </c>
      <c r="AT143" s="3">
        <f ca="1">IFERROR(__xludf.DUMMYFUNCTION("""COMPUTED_VALUE"""),-0.00303510664259276)</f>
        <v>-3.0351066425927599E-3</v>
      </c>
      <c r="AU143" s="3">
        <f ca="1">IFERROR(__xludf.DUMMYFUNCTION("""COMPUTED_VALUE"""),-0.0246471024158643)</f>
        <v>-2.4647102415864298E-2</v>
      </c>
      <c r="AV143" s="3">
        <f ca="1">IFERROR(__xludf.DUMMYFUNCTION("""COMPUTED_VALUE"""),-0.176914549645017)</f>
        <v>-0.17691454964501699</v>
      </c>
      <c r="AW143" s="3">
        <f ca="1">IFERROR(__xludf.DUMMYFUNCTION("""COMPUTED_VALUE"""),-0.23118237289085)</f>
        <v>-0.23118237289085</v>
      </c>
      <c r="AX143" s="3">
        <f ca="1">IFERROR(__xludf.DUMMYFUNCTION("""COMPUTED_VALUE"""),-0.172976714052311)</f>
        <v>-0.17297671405231099</v>
      </c>
      <c r="AY143" s="3">
        <f ca="1">IFERROR(__xludf.DUMMYFUNCTION("""COMPUTED_VALUE"""),-0.132665030443199)</f>
        <v>-0.13266503044319899</v>
      </c>
      <c r="AZ143" s="3">
        <f ca="1">IFERROR(__xludf.DUMMYFUNCTION("""COMPUTED_VALUE"""),-0.20035438522888)</f>
        <v>-0.20035438522887999</v>
      </c>
      <c r="BA143" s="3">
        <f ca="1">IFERROR(__xludf.DUMMYFUNCTION("""COMPUTED_VALUE"""),-0.0560900081577131)</f>
        <v>-5.6090008157713103E-2</v>
      </c>
      <c r="BB143" s="3">
        <f ca="1">IFERROR(__xludf.DUMMYFUNCTION("""COMPUTED_VALUE"""),-0.15113142476687)</f>
        <v>-0.15113142476687</v>
      </c>
      <c r="BC143" s="3">
        <f ca="1">IFERROR(__xludf.DUMMYFUNCTION("""COMPUTED_VALUE"""),-0.263769611840224)</f>
        <v>-0.26376961184022402</v>
      </c>
      <c r="BD143" s="3">
        <f ca="1">IFERROR(__xludf.DUMMYFUNCTION("""COMPUTED_VALUE"""),-0.201780214631883)</f>
        <v>-0.201780214631883</v>
      </c>
      <c r="BE143" s="3">
        <f ca="1">IFERROR(__xludf.DUMMYFUNCTION("""COMPUTED_VALUE"""),-0.20196078477453)</f>
        <v>-0.20196078477453</v>
      </c>
      <c r="BF143" s="3">
        <f ca="1">IFERROR(__xludf.DUMMYFUNCTION("""COMPUTED_VALUE"""),-0.117182210864987)</f>
        <v>-0.11718221086498699</v>
      </c>
      <c r="BG143" s="3">
        <f ca="1">IFERROR(__xludf.DUMMYFUNCTION("""COMPUTED_VALUE"""),-0.264062074261847)</f>
        <v>-0.26406207426184702</v>
      </c>
      <c r="BH143" s="3">
        <f ca="1">IFERROR(__xludf.DUMMYFUNCTION("""COMPUTED_VALUE"""),-0.0137715940642887)</f>
        <v>-1.3771594064288699E-2</v>
      </c>
      <c r="BI143" s="3">
        <f ca="1">IFERROR(__xludf.DUMMYFUNCTION("""COMPUTED_VALUE"""),-0.17735264637778)</f>
        <v>-0.17735264637778</v>
      </c>
      <c r="BJ143" s="3">
        <f ca="1">IFERROR(__xludf.DUMMYFUNCTION("""COMPUTED_VALUE"""),-0.224850376234023)</f>
        <v>-0.22485037623402299</v>
      </c>
      <c r="BK143" s="3">
        <f ca="1">IFERROR(__xludf.DUMMYFUNCTION("""COMPUTED_VALUE"""),-0.262480837818781)</f>
        <v>-0.26248083781878101</v>
      </c>
      <c r="BL143" s="3">
        <f ca="1">IFERROR(__xludf.DUMMYFUNCTION("""COMPUTED_VALUE"""),-0.275511233038255)</f>
        <v>-0.27551123303825498</v>
      </c>
      <c r="BM143" s="3">
        <f ca="1">IFERROR(__xludf.DUMMYFUNCTION("""COMPUTED_VALUE"""),-0.256645568296175)</f>
        <v>-0.25664556829617502</v>
      </c>
      <c r="BN143" s="3">
        <f ca="1">IFERROR(__xludf.DUMMYFUNCTION("""COMPUTED_VALUE"""),-0.211330589557821)</f>
        <v>-0.211330589557821</v>
      </c>
      <c r="BO143" s="3">
        <f ca="1">IFERROR(__xludf.DUMMYFUNCTION("""COMPUTED_VALUE"""),-0.114017653921191)</f>
        <v>-0.114017653921191</v>
      </c>
      <c r="BP143" s="3">
        <f ca="1">IFERROR(__xludf.DUMMYFUNCTION("""COMPUTED_VALUE"""),-0.18704271248544)</f>
        <v>-0.18704271248543999</v>
      </c>
      <c r="BQ143" s="3">
        <f ca="1">IFERROR(__xludf.DUMMYFUNCTION("""COMPUTED_VALUE"""),-0.276729531561124)</f>
        <v>-0.27672953156112401</v>
      </c>
      <c r="BR143" s="3">
        <f ca="1">IFERROR(__xludf.DUMMYFUNCTION("""COMPUTED_VALUE"""),-0.329046996630648)</f>
        <v>-0.32904699663064801</v>
      </c>
      <c r="BS143" s="3">
        <f ca="1">IFERROR(__xludf.DUMMYFUNCTION("""COMPUTED_VALUE"""),-0.340862894473301)</f>
        <v>-0.34086289447330098</v>
      </c>
      <c r="BT143" s="3">
        <f ca="1">IFERROR(__xludf.DUMMYFUNCTION("""COMPUTED_VALUE"""),-0.348508986634923)</f>
        <v>-0.34850898663492302</v>
      </c>
      <c r="BU143" s="3">
        <f ca="1">IFERROR(__xludf.DUMMYFUNCTION("""COMPUTED_VALUE"""),-0.332278810968142)</f>
        <v>-0.33227881096814199</v>
      </c>
      <c r="BV143" s="3">
        <f ca="1">IFERROR(__xludf.DUMMYFUNCTION("""COMPUTED_VALUE"""),-0.194458793277661)</f>
        <v>-0.194458793277661</v>
      </c>
      <c r="BW143" s="3">
        <f ca="1">IFERROR(__xludf.DUMMYFUNCTION("""COMPUTED_VALUE"""),-0.269698256031861)</f>
        <v>-0.26969825603186098</v>
      </c>
      <c r="BX143" s="3">
        <f ca="1">IFERROR(__xludf.DUMMYFUNCTION("""COMPUTED_VALUE"""),-0.309631088302531)</f>
        <v>-0.309631088302531</v>
      </c>
      <c r="BY143" s="3">
        <f ca="1">IFERROR(__xludf.DUMMYFUNCTION("""COMPUTED_VALUE"""),-0.356899730707805)</f>
        <v>-0.35689973070780501</v>
      </c>
      <c r="BZ143" s="3">
        <f ca="1">IFERROR(__xludf.DUMMYFUNCTION("""COMPUTED_VALUE"""),-0.33237596688768)</f>
        <v>-0.33237596688768001</v>
      </c>
      <c r="CA143" s="3">
        <f ca="1">IFERROR(__xludf.DUMMYFUNCTION("""COMPUTED_VALUE"""),-0.334716734902455)</f>
        <v>-0.33471673490245502</v>
      </c>
      <c r="CB143" s="3">
        <f ca="1">IFERROR(__xludf.DUMMYFUNCTION("""COMPUTED_VALUE"""),-0.290614573421417)</f>
        <v>-0.290614573421417</v>
      </c>
      <c r="CC143" s="3">
        <f ca="1">IFERROR(__xludf.DUMMYFUNCTION("""COMPUTED_VALUE"""),-0.167545103711012)</f>
        <v>-0.167545103711012</v>
      </c>
      <c r="CD143" s="3">
        <f ca="1">IFERROR(__xludf.DUMMYFUNCTION("""COMPUTED_VALUE"""),-0.253559128873372)</f>
        <v>-0.25355912887337201</v>
      </c>
      <c r="CE143" s="3">
        <f ca="1">IFERROR(__xludf.DUMMYFUNCTION("""COMPUTED_VALUE"""),-0.355301158561197)</f>
        <v>-0.35530115856119698</v>
      </c>
      <c r="CF143" s="3">
        <f ca="1">IFERROR(__xludf.DUMMYFUNCTION("""COMPUTED_VALUE"""),-0.348509669581974)</f>
        <v>-0.34850966958197399</v>
      </c>
      <c r="CG143" s="3">
        <f ca="1">IFERROR(__xludf.DUMMYFUNCTION("""COMPUTED_VALUE"""),-0.370425156997793)</f>
        <v>-0.37042515699779299</v>
      </c>
      <c r="CH143" s="3">
        <f ca="1">IFERROR(__xludf.DUMMYFUNCTION("""COMPUTED_VALUE"""),-0.367283655189847)</f>
        <v>-0.36728365518984701</v>
      </c>
      <c r="CI143" s="3">
        <f ca="1">IFERROR(__xludf.DUMMYFUNCTION("""COMPUTED_VALUE"""),-0.375155130092503)</f>
        <v>-0.37515513009250301</v>
      </c>
      <c r="CJ143" s="3">
        <f ca="1">IFERROR(__xludf.DUMMYFUNCTION("""COMPUTED_VALUE"""),-0.178122107988276)</f>
        <v>-0.17812210798827599</v>
      </c>
      <c r="CK143" s="3">
        <f ca="1">IFERROR(__xludf.DUMMYFUNCTION("""COMPUTED_VALUE"""),-0.350524881176042)</f>
        <v>-0.35052488117604202</v>
      </c>
      <c r="CL143" s="3">
        <f ca="1">IFERROR(__xludf.DUMMYFUNCTION("""COMPUTED_VALUE"""),-0.367957654768865)</f>
        <v>-0.36795765476886499</v>
      </c>
      <c r="CM143" s="3">
        <f ca="1">IFERROR(__xludf.DUMMYFUNCTION("""COMPUTED_VALUE"""),-0.343632219583189)</f>
        <v>-0.34363221958318901</v>
      </c>
      <c r="CN143" s="3">
        <f ca="1">IFERROR(__xludf.DUMMYFUNCTION("""COMPUTED_VALUE"""),-0.407143530140041)</f>
        <v>-0.40714353014004101</v>
      </c>
      <c r="CO143" s="3">
        <f ca="1">IFERROR(__xludf.DUMMYFUNCTION("""COMPUTED_VALUE"""),-0.374312514536525)</f>
        <v>-0.37431251453652498</v>
      </c>
      <c r="CP143" s="3">
        <f ca="1">IFERROR(__xludf.DUMMYFUNCTION("""COMPUTED_VALUE"""),-0.305825055971406)</f>
        <v>-0.30582505597140602</v>
      </c>
      <c r="CQ143" s="3">
        <f ca="1">IFERROR(__xludf.DUMMYFUNCTION("""COMPUTED_VALUE"""),-0.198041173018811)</f>
        <v>-0.198041173018811</v>
      </c>
      <c r="CR143" s="3">
        <f ca="1">IFERROR(__xludf.DUMMYFUNCTION("""COMPUTED_VALUE"""),-0.301914631247831)</f>
        <v>-0.30191463124783102</v>
      </c>
      <c r="CS143" s="3">
        <f ca="1">IFERROR(__xludf.DUMMYFUNCTION("""COMPUTED_VALUE"""),-0.35052895355428)</f>
        <v>-0.35052895355427999</v>
      </c>
      <c r="CT143" s="3">
        <f ca="1">IFERROR(__xludf.DUMMYFUNCTION("""COMPUTED_VALUE"""),-0.341824387698562)</f>
        <v>-0.34182438769856199</v>
      </c>
      <c r="CU143" s="3">
        <f ca="1">IFERROR(__xludf.DUMMYFUNCTION("""COMPUTED_VALUE"""),-0.294983958015732)</f>
        <v>-0.29498395801573202</v>
      </c>
      <c r="CV143" s="3">
        <f ca="1">IFERROR(__xludf.DUMMYFUNCTION("""COMPUTED_VALUE"""),-0.278887194243794)</f>
        <v>-0.27888719424379399</v>
      </c>
      <c r="CW143" s="3">
        <f ca="1">IFERROR(__xludf.DUMMYFUNCTION("""COMPUTED_VALUE"""),-0.271414803836653)</f>
        <v>-0.27141480383665301</v>
      </c>
      <c r="CX143" s="3">
        <f ca="1">IFERROR(__xludf.DUMMYFUNCTION("""COMPUTED_VALUE"""),-0.228331061267547)</f>
        <v>-0.22833106126754699</v>
      </c>
      <c r="CY143" s="3">
        <f ca="1">IFERROR(__xludf.DUMMYFUNCTION("""COMPUTED_VALUE"""),-0.225138231144456)</f>
        <v>-0.225138231144456</v>
      </c>
      <c r="CZ143" s="3">
        <f ca="1">IFERROR(__xludf.DUMMYFUNCTION("""COMPUTED_VALUE"""),-0.43631877167989)</f>
        <v>-0.43631877167989003</v>
      </c>
      <c r="DA143" s="3">
        <f ca="1">IFERROR(__xludf.DUMMYFUNCTION("""COMPUTED_VALUE"""),-0.307925716019986)</f>
        <v>-0.30792571601998597</v>
      </c>
      <c r="DB143" s="3">
        <f ca="1">IFERROR(__xludf.DUMMYFUNCTION("""COMPUTED_VALUE"""),-0.0117467779502095)</f>
        <v>-1.17467779502095E-2</v>
      </c>
      <c r="DC143" s="3">
        <f ca="1">IFERROR(__xludf.DUMMYFUNCTION("""COMPUTED_VALUE"""),-0.266679626427272)</f>
        <v>-0.266679626427272</v>
      </c>
      <c r="DD143" s="3">
        <f ca="1">IFERROR(__xludf.DUMMYFUNCTION("""COMPUTED_VALUE"""),-0.322488615591836)</f>
        <v>-0.322488615591836</v>
      </c>
      <c r="DE143" s="3">
        <f ca="1">IFERROR(__xludf.DUMMYFUNCTION("""COMPUTED_VALUE"""),-0.127664060142094)</f>
        <v>-0.127664060142094</v>
      </c>
      <c r="DF143" s="3">
        <f ca="1">IFERROR(__xludf.DUMMYFUNCTION("""COMPUTED_VALUE"""),-0.290104292543457)</f>
        <v>-0.29010429254345699</v>
      </c>
      <c r="DG143" s="3">
        <f ca="1">IFERROR(__xludf.DUMMYFUNCTION("""COMPUTED_VALUE"""),-0.713977669094469)</f>
        <v>-0.71397766909446903</v>
      </c>
      <c r="DH143" s="3">
        <f ca="1">IFERROR(__xludf.DUMMYFUNCTION("""COMPUTED_VALUE"""),-0.364444831181808)</f>
        <v>-0.36444483118180798</v>
      </c>
      <c r="DI143" s="3">
        <f ca="1">IFERROR(__xludf.DUMMYFUNCTION("""COMPUTED_VALUE"""),0.0587743452651134)</f>
        <v>5.8774345265113402E-2</v>
      </c>
      <c r="DJ143" s="3">
        <f ca="1">IFERROR(__xludf.DUMMYFUNCTION("""COMPUTED_VALUE"""),-0.227500894209754)</f>
        <v>-0.227500894209754</v>
      </c>
      <c r="DK143" s="3">
        <f ca="1">IFERROR(__xludf.DUMMYFUNCTION("""COMPUTED_VALUE"""),-0.249686409117608)</f>
        <v>-0.249686409117608</v>
      </c>
      <c r="DL143" s="3">
        <f ca="1">IFERROR(__xludf.DUMMYFUNCTION("""COMPUTED_VALUE"""),-0.167573817520161)</f>
        <v>-0.16757381752016101</v>
      </c>
      <c r="DM143" s="3">
        <f ca="1">IFERROR(__xludf.DUMMYFUNCTION("""COMPUTED_VALUE"""),-0.237791769644022)</f>
        <v>-0.23779176964402199</v>
      </c>
      <c r="DN143" s="3">
        <f ca="1">IFERROR(__xludf.DUMMYFUNCTION("""COMPUTED_VALUE"""),-0.354798405066678)</f>
        <v>-0.35479840506667798</v>
      </c>
      <c r="DO143" s="3">
        <f ca="1">IFERROR(__xludf.DUMMYFUNCTION("""COMPUTED_VALUE"""),-0.271126788755936)</f>
        <v>-0.27112678875593599</v>
      </c>
      <c r="DP143" s="3">
        <f ca="1">IFERROR(__xludf.DUMMYFUNCTION("""COMPUTED_VALUE"""),-0.200160597415986)</f>
        <v>-0.20016059741598599</v>
      </c>
      <c r="DQ143" s="3">
        <f ca="1">IFERROR(__xludf.DUMMYFUNCTION("""COMPUTED_VALUE"""),-0.239493028552588)</f>
        <v>-0.239493028552588</v>
      </c>
      <c r="DR143" s="3">
        <f ca="1">IFERROR(__xludf.DUMMYFUNCTION("""COMPUTED_VALUE"""),-0.338495741341136)</f>
        <v>-0.33849574134113602</v>
      </c>
      <c r="DS143" s="3">
        <f ca="1">IFERROR(__xludf.DUMMYFUNCTION("""COMPUTED_VALUE"""),-0.06935981287906)</f>
        <v>-6.9359812879059998E-2</v>
      </c>
      <c r="DT143" s="3">
        <f ca="1">IFERROR(__xludf.DUMMYFUNCTION("""COMPUTED_VALUE"""),-0.212112917906639)</f>
        <v>-0.212112917906639</v>
      </c>
      <c r="DU143" s="3">
        <f ca="1">IFERROR(__xludf.DUMMYFUNCTION("""COMPUTED_VALUE"""),-0.294422183136494)</f>
        <v>-0.29442218313649399</v>
      </c>
      <c r="DV143" s="3">
        <f ca="1">IFERROR(__xludf.DUMMYFUNCTION("""COMPUTED_VALUE"""),-0.328649315211126)</f>
        <v>-0.328649315211126</v>
      </c>
      <c r="DW143" s="3">
        <f ca="1">IFERROR(__xludf.DUMMYFUNCTION("""COMPUTED_VALUE"""),-0.345617605490035)</f>
        <v>-0.34561760549003501</v>
      </c>
      <c r="DX143" s="3">
        <f ca="1">IFERROR(__xludf.DUMMYFUNCTION("""COMPUTED_VALUE"""),-0.302425755715676)</f>
        <v>-0.30242575571567598</v>
      </c>
      <c r="DY143" s="3">
        <f ca="1">IFERROR(__xludf.DUMMYFUNCTION("""COMPUTED_VALUE"""),-0.36386880736858)</f>
        <v>-0.36386880736858002</v>
      </c>
      <c r="DZ143" s="3">
        <f ca="1">IFERROR(__xludf.DUMMYFUNCTION("""COMPUTED_VALUE"""),-0.127235652931825)</f>
        <v>-0.12723565293182501</v>
      </c>
      <c r="EA143" s="3">
        <f ca="1">IFERROR(__xludf.DUMMYFUNCTION("""COMPUTED_VALUE"""),-0.258881255091624)</f>
        <v>-0.25888125509162402</v>
      </c>
      <c r="EB143" s="3">
        <f ca="1">IFERROR(__xludf.DUMMYFUNCTION("""COMPUTED_VALUE"""),-0.261063233212793)</f>
        <v>-0.26106323321279301</v>
      </c>
      <c r="EC143" s="3">
        <f ca="1">IFERROR(__xludf.DUMMYFUNCTION("""COMPUTED_VALUE"""),-0.107662991536336)</f>
        <v>-0.107662991536336</v>
      </c>
      <c r="ED143" s="3">
        <f ca="1">IFERROR(__xludf.DUMMYFUNCTION("""COMPUTED_VALUE"""),-0.326813299172478)</f>
        <v>-0.32681329917247798</v>
      </c>
      <c r="EE143" s="3">
        <f ca="1">IFERROR(__xludf.DUMMYFUNCTION("""COMPUTED_VALUE"""),-0.302646091553873)</f>
        <v>-0.30264609155387301</v>
      </c>
      <c r="EF143" s="3">
        <f ca="1">IFERROR(__xludf.DUMMYFUNCTION("""COMPUTED_VALUE"""),-0.312254879163061)</f>
        <v>-0.31225487916306099</v>
      </c>
      <c r="EG143" s="3">
        <f ca="1">IFERROR(__xludf.DUMMYFUNCTION("""COMPUTED_VALUE"""),-0.154909147020829)</f>
        <v>-0.154909147020829</v>
      </c>
      <c r="EH143" s="3">
        <f ca="1">IFERROR(__xludf.DUMMYFUNCTION("""COMPUTED_VALUE"""),-0.270229595253385)</f>
        <v>-0.27022959525338502</v>
      </c>
      <c r="EI143" s="3">
        <f ca="1">IFERROR(__xludf.DUMMYFUNCTION("""COMPUTED_VALUE"""),-0.363278310203482)</f>
        <v>-0.363278310203482</v>
      </c>
      <c r="EJ143" s="3">
        <f ca="1">IFERROR(__xludf.DUMMYFUNCTION("""COMPUTED_VALUE"""),-0.539472305926158)</f>
        <v>-0.53947230592615802</v>
      </c>
      <c r="EK143" s="3">
        <f ca="1">IFERROR(__xludf.DUMMYFUNCTION("""COMPUTED_VALUE"""),-0.338784489587127)</f>
        <v>-0.33878448958712698</v>
      </c>
      <c r="EL143" s="3">
        <f ca="1">IFERROR(__xludf.DUMMYFUNCTION("""COMPUTED_VALUE"""),-0.321865284747414)</f>
        <v>-0.32186528474741399</v>
      </c>
      <c r="EM143" s="3">
        <f ca="1">IFERROR(__xludf.DUMMYFUNCTION("""COMPUTED_VALUE"""),-0.306741987363796)</f>
        <v>-0.30674198736379599</v>
      </c>
      <c r="EN143" s="3">
        <f ca="1">IFERROR(__xludf.DUMMYFUNCTION("""COMPUTED_VALUE"""),-0.0764732309614801)</f>
        <v>-7.6473230961480093E-2</v>
      </c>
      <c r="EO143" s="3">
        <f ca="1">IFERROR(__xludf.DUMMYFUNCTION("""COMPUTED_VALUE"""),-0.292960610351325)</f>
        <v>-0.29296061035132498</v>
      </c>
      <c r="EP143" s="3">
        <f ca="1">IFERROR(__xludf.DUMMYFUNCTION("""COMPUTED_VALUE"""),-0.25055842973884)</f>
        <v>-0.25055842973884002</v>
      </c>
      <c r="EQ143" s="3">
        <f ca="1">IFERROR(__xludf.DUMMYFUNCTION("""COMPUTED_VALUE"""),-0.159429122369964)</f>
        <v>-0.15942912236996401</v>
      </c>
      <c r="ER143" s="3">
        <f ca="1">IFERROR(__xludf.DUMMYFUNCTION("""COMPUTED_VALUE"""),-0.314971269778564)</f>
        <v>-0.31497126977856399</v>
      </c>
      <c r="ES143" s="3">
        <f ca="1">IFERROR(__xludf.DUMMYFUNCTION("""COMPUTED_VALUE"""),-0.339773402760917)</f>
        <v>-0.339773402760917</v>
      </c>
      <c r="ET143" s="3">
        <f ca="1">IFERROR(__xludf.DUMMYFUNCTION("""COMPUTED_VALUE"""),-0.284254883384332)</f>
        <v>-0.28425488338433202</v>
      </c>
      <c r="EU143" s="3">
        <f ca="1">IFERROR(__xludf.DUMMYFUNCTION("""COMPUTED_VALUE"""),-0.114425156426906)</f>
        <v>-0.114425156426906</v>
      </c>
      <c r="EV143" s="3">
        <f ca="1">IFERROR(__xludf.DUMMYFUNCTION("""COMPUTED_VALUE"""),-0.274650289192074)</f>
        <v>-0.27465028919207402</v>
      </c>
      <c r="EW143" s="3">
        <f ca="1">IFERROR(__xludf.DUMMYFUNCTION("""COMPUTED_VALUE"""),-0.315548241204861)</f>
        <v>-0.31554824120486102</v>
      </c>
      <c r="EX143" s="3">
        <f ca="1">IFERROR(__xludf.DUMMYFUNCTION("""COMPUTED_VALUE"""),-0.394270094589127)</f>
        <v>-0.39427009458912698</v>
      </c>
      <c r="EY143" s="3">
        <f ca="1">IFERROR(__xludf.DUMMYFUNCTION("""COMPUTED_VALUE"""),-0.651162841190199)</f>
        <v>-0.65116284119019896</v>
      </c>
      <c r="EZ143" s="3">
        <f ca="1">IFERROR(__xludf.DUMMYFUNCTION("""COMPUTED_VALUE"""),-0.376519958049273)</f>
        <v>-0.37651995804927302</v>
      </c>
      <c r="FA143" s="3">
        <f ca="1">IFERROR(__xludf.DUMMYFUNCTION("""COMPUTED_VALUE"""),-0.36249068944782)</f>
        <v>-0.36249068944781998</v>
      </c>
      <c r="FB143" s="3">
        <f ca="1">IFERROR(__xludf.DUMMYFUNCTION("""COMPUTED_VALUE"""),-0.173125199025489)</f>
        <v>-0.17312519902548901</v>
      </c>
      <c r="FC143" s="3">
        <f ca="1">IFERROR(__xludf.DUMMYFUNCTION("""COMPUTED_VALUE"""),-0.310302088115256)</f>
        <v>-0.310302088115256</v>
      </c>
      <c r="FD143" s="3">
        <f ca="1">IFERROR(__xludf.DUMMYFUNCTION("""COMPUTED_VALUE"""),-0.315948906522089)</f>
        <v>-0.31594890652208901</v>
      </c>
      <c r="FE143" s="3">
        <f ca="1">IFERROR(__xludf.DUMMYFUNCTION("""COMPUTED_VALUE"""),-0.36937324306363)</f>
        <v>-0.36937324306363001</v>
      </c>
      <c r="FF143" s="3">
        <f ca="1">IFERROR(__xludf.DUMMYFUNCTION("""COMPUTED_VALUE"""),-0.37995794377874)</f>
        <v>-0.37995794377873998</v>
      </c>
      <c r="FG143" s="3">
        <f ca="1">IFERROR(__xludf.DUMMYFUNCTION("""COMPUTED_VALUE"""),-0.362120005838785)</f>
        <v>-0.36212000583878501</v>
      </c>
      <c r="FH143" s="3">
        <f ca="1">IFERROR(__xludf.DUMMYFUNCTION("""COMPUTED_VALUE"""),-0.33037685728588)</f>
        <v>-0.33037685728588001</v>
      </c>
      <c r="FI143" s="3">
        <f ca="1">IFERROR(__xludf.DUMMYFUNCTION("""COMPUTED_VALUE"""),-0.152467433144335)</f>
        <v>-0.152467433144335</v>
      </c>
      <c r="FJ143" s="3">
        <f ca="1">IFERROR(__xludf.DUMMYFUNCTION("""COMPUTED_VALUE"""),-0.268332487119771)</f>
        <v>-0.26833248711977098</v>
      </c>
      <c r="FK143" s="3">
        <f ca="1">IFERROR(__xludf.DUMMYFUNCTION("""COMPUTED_VALUE"""),-0.316352258319899)</f>
        <v>-0.31635225831989899</v>
      </c>
      <c r="FL143" s="3">
        <f ca="1">IFERROR(__xludf.DUMMYFUNCTION("""COMPUTED_VALUE"""),-0.398212823563924)</f>
        <v>-0.39821282356392401</v>
      </c>
      <c r="FM143" s="3">
        <f ca="1">IFERROR(__xludf.DUMMYFUNCTION("""COMPUTED_VALUE"""),-0.322319658447966)</f>
        <v>-0.32231965844796601</v>
      </c>
      <c r="FN143" s="3">
        <f ca="1">IFERROR(__xludf.DUMMYFUNCTION("""COMPUTED_VALUE"""),-0.328518550341025)</f>
        <v>-0.32851855034102501</v>
      </c>
      <c r="FO143" s="3">
        <f ca="1">IFERROR(__xludf.DUMMYFUNCTION("""COMPUTED_VALUE"""),-0.334408194191801)</f>
        <v>-0.33440819419180101</v>
      </c>
      <c r="FP143" s="3">
        <f ca="1">IFERROR(__xludf.DUMMYFUNCTION("""COMPUTED_VALUE"""),-0.14831751873172)</f>
        <v>-0.14831751873172</v>
      </c>
      <c r="FQ143" s="3">
        <f ca="1">IFERROR(__xludf.DUMMYFUNCTION("""COMPUTED_VALUE"""),-0.249938467837379)</f>
        <v>-0.249938467837379</v>
      </c>
      <c r="FR143" s="3">
        <f ca="1">IFERROR(__xludf.DUMMYFUNCTION("""COMPUTED_VALUE"""),-0.332113737210474)</f>
        <v>-0.33211373721047399</v>
      </c>
      <c r="FS143" s="3">
        <f ca="1">IFERROR(__xludf.DUMMYFUNCTION("""COMPUTED_VALUE"""),-0.386416968543608)</f>
        <v>-0.38641696854360802</v>
      </c>
      <c r="FT143" s="3">
        <f ca="1">IFERROR(__xludf.DUMMYFUNCTION("""COMPUTED_VALUE"""),-0.356959095964712)</f>
        <v>-0.35695909596471198</v>
      </c>
      <c r="FU143" s="3">
        <f ca="1">IFERROR(__xludf.DUMMYFUNCTION("""COMPUTED_VALUE"""),-0.356123559131982)</f>
        <v>-0.35612355913198201</v>
      </c>
      <c r="FV143" s="3">
        <f ca="1">IFERROR(__xludf.DUMMYFUNCTION("""COMPUTED_VALUE"""),-0.325032277664008)</f>
        <v>-0.325032277664008</v>
      </c>
      <c r="FW143" s="3">
        <f ca="1">IFERROR(__xludf.DUMMYFUNCTION("""COMPUTED_VALUE"""),-0.221139216838162)</f>
        <v>-0.22113921683816201</v>
      </c>
      <c r="FX143" s="3">
        <f ca="1">IFERROR(__xludf.DUMMYFUNCTION("""COMPUTED_VALUE"""),-0.213533925382395)</f>
        <v>-0.21353392538239499</v>
      </c>
      <c r="FY143" s="3">
        <f ca="1">IFERROR(__xludf.DUMMYFUNCTION("""COMPUTED_VALUE"""),-0.290569434501305)</f>
        <v>-0.29056943450130501</v>
      </c>
      <c r="FZ143" s="3">
        <f ca="1">IFERROR(__xludf.DUMMYFUNCTION("""COMPUTED_VALUE"""),-0.398780115020878)</f>
        <v>-0.39878011502087801</v>
      </c>
      <c r="GA143" s="3">
        <f ca="1">IFERROR(__xludf.DUMMYFUNCTION("""COMPUTED_VALUE"""),-0.372510544932332)</f>
        <v>-0.37251054493233199</v>
      </c>
      <c r="GB143" s="3">
        <f ca="1">IFERROR(__xludf.DUMMYFUNCTION("""COMPUTED_VALUE"""),-0.313402252093121)</f>
        <v>-0.313402252093121</v>
      </c>
      <c r="GC143" s="3">
        <f ca="1">IFERROR(__xludf.DUMMYFUNCTION("""COMPUTED_VALUE"""),-0.33401912135368)</f>
        <v>-0.33401912135368</v>
      </c>
      <c r="GD143" s="3">
        <f ca="1">IFERROR(__xludf.DUMMYFUNCTION("""COMPUTED_VALUE"""),-0.221528954537726)</f>
        <v>-0.221528954537726</v>
      </c>
      <c r="GE143" s="3">
        <f ca="1">IFERROR(__xludf.DUMMYFUNCTION("""COMPUTED_VALUE"""),-0.283171767322525)</f>
        <v>-0.28317176732252503</v>
      </c>
      <c r="GF143" s="3">
        <f ca="1">IFERROR(__xludf.DUMMYFUNCTION("""COMPUTED_VALUE"""),-0.326831318012939)</f>
        <v>-0.32683131801293902</v>
      </c>
      <c r="GG143" s="3">
        <f ca="1">IFERROR(__xludf.DUMMYFUNCTION("""COMPUTED_VALUE"""),-0.378658197083497)</f>
        <v>-0.37865819708349702</v>
      </c>
      <c r="GH143" s="3">
        <f ca="1">IFERROR(__xludf.DUMMYFUNCTION("""COMPUTED_VALUE"""),-0.397328945043651)</f>
        <v>-0.39732894504365102</v>
      </c>
      <c r="GI143" s="3">
        <f ca="1">IFERROR(__xludf.DUMMYFUNCTION("""COMPUTED_VALUE"""),-0.356050966475033)</f>
        <v>-0.35605096647503298</v>
      </c>
      <c r="GJ143" s="3">
        <f ca="1">IFERROR(__xludf.DUMMYFUNCTION("""COMPUTED_VALUE"""),-0.363988431399904)</f>
        <v>-0.363988431399904</v>
      </c>
      <c r="GK143" s="3">
        <f ca="1">IFERROR(__xludf.DUMMYFUNCTION("""COMPUTED_VALUE"""),-0.271652666223916)</f>
        <v>-0.27165266622391598</v>
      </c>
      <c r="GL143" s="3">
        <f ca="1">IFERROR(__xludf.DUMMYFUNCTION("""COMPUTED_VALUE"""),-0.339991323594808)</f>
        <v>-0.33999132359480799</v>
      </c>
      <c r="GM143" s="3">
        <f ca="1">IFERROR(__xludf.DUMMYFUNCTION("""COMPUTED_VALUE"""),-0.33005266353276)</f>
        <v>-0.33005266353276003</v>
      </c>
      <c r="GN143" s="3">
        <f ca="1">IFERROR(__xludf.DUMMYFUNCTION("""COMPUTED_VALUE"""),-0.412514679985466)</f>
        <v>-0.41251467998546598</v>
      </c>
      <c r="GO143" s="3">
        <f ca="1">IFERROR(__xludf.DUMMYFUNCTION("""COMPUTED_VALUE"""),-0.366643806279175)</f>
        <v>-0.36664380627917498</v>
      </c>
      <c r="GP143" s="3">
        <f ca="1">IFERROR(__xludf.DUMMYFUNCTION("""COMPUTED_VALUE"""),-0.421844078314283)</f>
        <v>-0.421844078314283</v>
      </c>
      <c r="GQ143" s="3">
        <f ca="1">IFERROR(__xludf.DUMMYFUNCTION("""COMPUTED_VALUE"""),-0.355620508922669)</f>
        <v>-0.355620508922669</v>
      </c>
      <c r="GR143" s="3">
        <f ca="1">IFERROR(__xludf.DUMMYFUNCTION("""COMPUTED_VALUE"""),-0.243273982847832)</f>
        <v>-0.243273982847832</v>
      </c>
      <c r="GS143" s="3">
        <f ca="1">IFERROR(__xludf.DUMMYFUNCTION("""COMPUTED_VALUE"""),-0.279202671401518)</f>
        <v>-0.279202671401518</v>
      </c>
      <c r="GT143" s="3">
        <f ca="1">IFERROR(__xludf.DUMMYFUNCTION("""COMPUTED_VALUE"""),-0.343557424864865)</f>
        <v>-0.34355742486486501</v>
      </c>
      <c r="GU143" s="3">
        <f ca="1">IFERROR(__xludf.DUMMYFUNCTION("""COMPUTED_VALUE"""),-0.389698268062837)</f>
        <v>-0.38969826806283703</v>
      </c>
      <c r="GV143" s="3">
        <f ca="1">IFERROR(__xludf.DUMMYFUNCTION("""COMPUTED_VALUE"""),-0.413527627572228)</f>
        <v>-0.413527627572228</v>
      </c>
      <c r="GW143" s="3">
        <f ca="1">IFERROR(__xludf.DUMMYFUNCTION("""COMPUTED_VALUE"""),-0.402222644090584)</f>
        <v>-0.402222644090584</v>
      </c>
      <c r="GX143" s="3">
        <f ca="1">IFERROR(__xludf.DUMMYFUNCTION("""COMPUTED_VALUE"""),-0.384238012229235)</f>
        <v>-0.38423801222923498</v>
      </c>
      <c r="GY143" s="3">
        <f ca="1">IFERROR(__xludf.DUMMYFUNCTION("""COMPUTED_VALUE"""),-0.272411454585453)</f>
        <v>-0.27241145458545302</v>
      </c>
      <c r="GZ143" s="3">
        <f ca="1">IFERROR(__xludf.DUMMYFUNCTION("""COMPUTED_VALUE"""),-0.297181175647476)</f>
        <v>-0.29718117564747598</v>
      </c>
      <c r="HA143" s="3">
        <f ca="1">IFERROR(__xludf.DUMMYFUNCTION("""COMPUTED_VALUE"""),-0.326904559149519)</f>
        <v>-0.32690455914951899</v>
      </c>
      <c r="HB143" s="3">
        <f ca="1">IFERROR(__xludf.DUMMYFUNCTION("""COMPUTED_VALUE"""),-0.418996699579117)</f>
        <v>-0.418996699579117</v>
      </c>
      <c r="HC143" s="3">
        <f ca="1">IFERROR(__xludf.DUMMYFUNCTION("""COMPUTED_VALUE"""),-0.380180719712889)</f>
        <v>-0.38018071971288903</v>
      </c>
      <c r="HD143" s="3">
        <f ca="1">IFERROR(__xludf.DUMMYFUNCTION("""COMPUTED_VALUE"""),-0.431642246530408)</f>
        <v>-0.431642246530408</v>
      </c>
      <c r="HE143" s="3">
        <f ca="1">IFERROR(__xludf.DUMMYFUNCTION("""COMPUTED_VALUE"""),-0.402430841144034)</f>
        <v>-0.40243084114403399</v>
      </c>
      <c r="HF143" s="3">
        <f ca="1">IFERROR(__xludf.DUMMYFUNCTION("""COMPUTED_VALUE"""),-0.368120024859199)</f>
        <v>-0.36812002485919898</v>
      </c>
      <c r="HG143" s="3">
        <f ca="1">IFERROR(__xludf.DUMMYFUNCTION("""COMPUTED_VALUE"""),-0.415086240727915)</f>
        <v>-0.415086240727915</v>
      </c>
      <c r="HH143" s="3">
        <f ca="1">IFERROR(__xludf.DUMMYFUNCTION("""COMPUTED_VALUE"""),-0.402862722011623)</f>
        <v>-0.40286272201162299</v>
      </c>
      <c r="HI143" s="3">
        <f ca="1">IFERROR(__xludf.DUMMYFUNCTION("""COMPUTED_VALUE"""),-0.405657911178096)</f>
        <v>-0.40565791117809602</v>
      </c>
      <c r="HJ143" s="3">
        <f ca="1">IFERROR(__xludf.DUMMYFUNCTION("""COMPUTED_VALUE"""),-0.453584257832121)</f>
        <v>-0.45358425783212097</v>
      </c>
      <c r="HK143" s="3">
        <f ca="1">IFERROR(__xludf.DUMMYFUNCTION("""COMPUTED_VALUE"""),-0.384904710858347)</f>
        <v>-0.38490471085834699</v>
      </c>
      <c r="HL143" s="3">
        <f ca="1">IFERROR(__xludf.DUMMYFUNCTION("""COMPUTED_VALUE"""),-0.435715742485669)</f>
        <v>-0.43571574248566902</v>
      </c>
      <c r="HM143" s="3">
        <f ca="1">IFERROR(__xludf.DUMMYFUNCTION("""COMPUTED_VALUE"""),-0.184788096207837)</f>
        <v>-0.18478809620783701</v>
      </c>
      <c r="HN143" s="3">
        <f ca="1">IFERROR(__xludf.DUMMYFUNCTION("""COMPUTED_VALUE"""),-0.339564662342147)</f>
        <v>-0.33956466234214699</v>
      </c>
      <c r="HO143" s="3">
        <f ca="1">IFERROR(__xludf.DUMMYFUNCTION("""COMPUTED_VALUE"""),-0.335133815949257)</f>
        <v>-0.33513381594925701</v>
      </c>
      <c r="HP143" s="3">
        <f ca="1">IFERROR(__xludf.DUMMYFUNCTION("""COMPUTED_VALUE"""),-0.327663075109914)</f>
        <v>-0.32766307510991399</v>
      </c>
      <c r="HQ143" s="3">
        <f ca="1">IFERROR(__xludf.DUMMYFUNCTION("""COMPUTED_VALUE"""),-0.437624990148434)</f>
        <v>-0.43762499014843398</v>
      </c>
      <c r="HR143" s="3">
        <f ca="1">IFERROR(__xludf.DUMMYFUNCTION("""COMPUTED_VALUE"""),-0.387272446598846)</f>
        <v>-0.38727244659884602</v>
      </c>
      <c r="HS143" s="3">
        <f ca="1">IFERROR(__xludf.DUMMYFUNCTION("""COMPUTED_VALUE"""),-0.301367503951848)</f>
        <v>-0.30136750395184803</v>
      </c>
      <c r="HT143" s="3">
        <f ca="1">IFERROR(__xludf.DUMMYFUNCTION("""COMPUTED_VALUE"""),-0.342476879032973)</f>
        <v>-0.34247687903297303</v>
      </c>
      <c r="HU143" s="3">
        <f ca="1">IFERROR(__xludf.DUMMYFUNCTION("""COMPUTED_VALUE"""),-0.415105522781203)</f>
        <v>-0.415105522781203</v>
      </c>
      <c r="HV143" s="3">
        <f ca="1">IFERROR(__xludf.DUMMYFUNCTION("""COMPUTED_VALUE"""),-0.298874667961005)</f>
        <v>-0.29887466796100498</v>
      </c>
      <c r="HW143" s="3">
        <f ca="1">IFERROR(__xludf.DUMMYFUNCTION("""COMPUTED_VALUE"""),-0.366375433916692)</f>
        <v>-0.36637543391669197</v>
      </c>
      <c r="HX143" s="3">
        <f ca="1">IFERROR(__xludf.DUMMYFUNCTION("""COMPUTED_VALUE"""),-0.406554463138965)</f>
        <v>-0.40655446313896498</v>
      </c>
      <c r="HY143" s="3">
        <f ca="1">IFERROR(__xludf.DUMMYFUNCTION("""COMPUTED_VALUE"""),-0.352044232819662)</f>
        <v>-0.35204423281966202</v>
      </c>
      <c r="HZ143" s="3">
        <f ca="1">IFERROR(__xludf.DUMMYFUNCTION("""COMPUTED_VALUE"""),-0.269317502948317)</f>
        <v>-0.26931750294831702</v>
      </c>
      <c r="IA143" s="3">
        <f ca="1">IFERROR(__xludf.DUMMYFUNCTION("""COMPUTED_VALUE"""),-0.299595830754591)</f>
        <v>-0.29959583075459101</v>
      </c>
      <c r="IB143" s="3">
        <f ca="1">IFERROR(__xludf.DUMMYFUNCTION("""COMPUTED_VALUE"""),-0.371574678406245)</f>
        <v>-0.37157467840624497</v>
      </c>
      <c r="IC143" s="3">
        <f ca="1">IFERROR(__xludf.DUMMYFUNCTION("""COMPUTED_VALUE"""),-0.370800263528309)</f>
        <v>-0.37080026352830903</v>
      </c>
      <c r="ID143" s="3">
        <f ca="1">IFERROR(__xludf.DUMMYFUNCTION("""COMPUTED_VALUE"""),-0.408511861788391)</f>
        <v>-0.408511861788391</v>
      </c>
      <c r="IE143" s="3">
        <f ca="1">IFERROR(__xludf.DUMMYFUNCTION("""COMPUTED_VALUE"""),-0.486062629545866)</f>
        <v>-0.48606262954586599</v>
      </c>
      <c r="IF143" s="3">
        <f ca="1">IFERROR(__xludf.DUMMYFUNCTION("""COMPUTED_VALUE"""),-0.454583629280665)</f>
        <v>-0.45458362928066498</v>
      </c>
      <c r="IG143" s="3">
        <f ca="1">IFERROR(__xludf.DUMMYFUNCTION("""COMPUTED_VALUE"""),-0.442091800492419)</f>
        <v>-0.44209180049241897</v>
      </c>
      <c r="IH143" s="3">
        <f ca="1">IFERROR(__xludf.DUMMYFUNCTION("""COMPUTED_VALUE"""),-0.252452445664378)</f>
        <v>-0.25245244566437802</v>
      </c>
      <c r="II143" s="3">
        <f ca="1">IFERROR(__xludf.DUMMYFUNCTION("""COMPUTED_VALUE"""),-0.327321364333272)</f>
        <v>-0.32732136433327202</v>
      </c>
      <c r="IJ143" s="3">
        <f ca="1">IFERROR(__xludf.DUMMYFUNCTION("""COMPUTED_VALUE"""),-0.391435508874802)</f>
        <v>-0.391435508874802</v>
      </c>
      <c r="IK143" s="3">
        <f ca="1">IFERROR(__xludf.DUMMYFUNCTION("""COMPUTED_VALUE"""),-0.40545900186433)</f>
        <v>-0.40545900186432998</v>
      </c>
      <c r="IL143" s="3">
        <f ca="1">IFERROR(__xludf.DUMMYFUNCTION("""COMPUTED_VALUE"""),-0.404507676308952)</f>
        <v>-0.40450767630895201</v>
      </c>
      <c r="IM143" s="3">
        <f ca="1">IFERROR(__xludf.DUMMYFUNCTION("""COMPUTED_VALUE"""),-0.420983056405901)</f>
        <v>-0.420983056405901</v>
      </c>
      <c r="IN143" s="3">
        <f ca="1">IFERROR(__xludf.DUMMYFUNCTION("""COMPUTED_VALUE"""),-0.4160416667162)</f>
        <v>-0.41604166671620002</v>
      </c>
      <c r="IO143" s="3">
        <f ca="1">IFERROR(__xludf.DUMMYFUNCTION("""COMPUTED_VALUE"""),-0.228313582988553)</f>
        <v>-0.228313582988553</v>
      </c>
      <c r="IP143" s="3">
        <f ca="1">IFERROR(__xludf.DUMMYFUNCTION("""COMPUTED_VALUE"""),-0.283799102674807)</f>
        <v>-0.28379910267480701</v>
      </c>
      <c r="IQ143" s="3">
        <f ca="1">IFERROR(__xludf.DUMMYFUNCTION("""COMPUTED_VALUE"""),-0.370792164137369)</f>
        <v>-0.37079216413736898</v>
      </c>
      <c r="IR143" s="3">
        <f ca="1">IFERROR(__xludf.DUMMYFUNCTION("""COMPUTED_VALUE"""),-0.380354737752387)</f>
        <v>-0.38035473775238698</v>
      </c>
      <c r="IS143" s="3">
        <f ca="1">IFERROR(__xludf.DUMMYFUNCTION("""COMPUTED_VALUE"""),-0.372462528645047)</f>
        <v>-0.37246252864504698</v>
      </c>
      <c r="IT143" s="3">
        <f ca="1">IFERROR(__xludf.DUMMYFUNCTION("""COMPUTED_VALUE"""),-0.40699322419941)</f>
        <v>-0.40699322419940998</v>
      </c>
      <c r="IU143" s="3">
        <f ca="1">IFERROR(__xludf.DUMMYFUNCTION("""COMPUTED_VALUE"""),-0.406694642208014)</f>
        <v>-0.40669464220801399</v>
      </c>
      <c r="IV143" s="3">
        <f ca="1">IFERROR(__xludf.DUMMYFUNCTION("""COMPUTED_VALUE"""),-0.287627931085068)</f>
        <v>-0.28762793108506801</v>
      </c>
      <c r="IW143" s="3">
        <f ca="1">IFERROR(__xludf.DUMMYFUNCTION("""COMPUTED_VALUE"""),-0.343753787258618)</f>
        <v>-0.34375378725861799</v>
      </c>
      <c r="IX143" s="3">
        <f ca="1">IFERROR(__xludf.DUMMYFUNCTION("""COMPUTED_VALUE"""),-0.302220743725667)</f>
        <v>-0.30222074372566698</v>
      </c>
      <c r="IY143" s="3">
        <f ca="1">IFERROR(__xludf.DUMMYFUNCTION("""COMPUTED_VALUE"""),-0.394836026548482)</f>
        <v>-0.39483602654848199</v>
      </c>
      <c r="IZ143" s="3">
        <f ca="1">IFERROR(__xludf.DUMMYFUNCTION("""COMPUTED_VALUE"""),-0.366196543464787)</f>
        <v>-0.36619654346478703</v>
      </c>
      <c r="JA143" s="3">
        <f ca="1">IFERROR(__xludf.DUMMYFUNCTION("""COMPUTED_VALUE"""),-0.398872969092434)</f>
        <v>-0.39887296909243403</v>
      </c>
      <c r="JB143" s="3">
        <f ca="1">IFERROR(__xludf.DUMMYFUNCTION("""COMPUTED_VALUE"""),-0.322872292812921)</f>
        <v>-0.32287229281292101</v>
      </c>
      <c r="JC143" s="3">
        <f ca="1">IFERROR(__xludf.DUMMYFUNCTION("""COMPUTED_VALUE"""),-0.252122160941961)</f>
        <v>-0.25212216094196099</v>
      </c>
      <c r="JD143" s="3">
        <f ca="1">IFERROR(__xludf.DUMMYFUNCTION("""COMPUTED_VALUE"""),-0.332970067254768)</f>
        <v>-0.33297006725476802</v>
      </c>
      <c r="JE143" s="3">
        <f ca="1">IFERROR(__xludf.DUMMYFUNCTION("""COMPUTED_VALUE"""),-0.378137327363872)</f>
        <v>-0.37813732736387201</v>
      </c>
      <c r="JF143" s="3">
        <f ca="1">IFERROR(__xludf.DUMMYFUNCTION("""COMPUTED_VALUE"""),-0.471635001403652)</f>
        <v>-0.471635001403652</v>
      </c>
      <c r="JG143" s="3">
        <f ca="1">IFERROR(__xludf.DUMMYFUNCTION("""COMPUTED_VALUE"""),-0.372790323466066)</f>
        <v>-0.372790323466066</v>
      </c>
      <c r="JH143" s="3">
        <f ca="1">IFERROR(__xludf.DUMMYFUNCTION("""COMPUTED_VALUE"""),-0.465402052044044)</f>
        <v>-0.465402052044044</v>
      </c>
      <c r="JI143" s="3">
        <f ca="1">IFERROR(__xludf.DUMMYFUNCTION("""COMPUTED_VALUE"""),-0.358529348342398)</f>
        <v>-0.35852934834239802</v>
      </c>
      <c r="JJ143" s="3">
        <f ca="1">IFERROR(__xludf.DUMMYFUNCTION("""COMPUTED_VALUE"""),-0.230440837800024)</f>
        <v>-0.230440837800024</v>
      </c>
      <c r="JK143" s="3">
        <f ca="1">IFERROR(__xludf.DUMMYFUNCTION("""COMPUTED_VALUE"""),-0.328070645178576)</f>
        <v>-0.32807064517857598</v>
      </c>
      <c r="JL143" s="3">
        <f ca="1">IFERROR(__xludf.DUMMYFUNCTION("""COMPUTED_VALUE"""),-0.376958737471667)</f>
        <v>-0.37695873747166703</v>
      </c>
      <c r="JM143" s="3">
        <f ca="1">IFERROR(__xludf.DUMMYFUNCTION("""COMPUTED_VALUE"""),-0.39774991897043)</f>
        <v>-0.39774991897042999</v>
      </c>
      <c r="JN143" s="3">
        <f ca="1">IFERROR(__xludf.DUMMYFUNCTION("""COMPUTED_VALUE"""),-0.401818094725001)</f>
        <v>-0.40181809472500102</v>
      </c>
      <c r="JO143" s="3">
        <f ca="1">IFERROR(__xludf.DUMMYFUNCTION("""COMPUTED_VALUE"""),-0.390708055681053)</f>
        <v>-0.39070805568105299</v>
      </c>
      <c r="JP143" s="3">
        <f ca="1">IFERROR(__xludf.DUMMYFUNCTION("""COMPUTED_VALUE"""),-0.353425422350898)</f>
        <v>-0.35342542235089802</v>
      </c>
      <c r="JQ143" s="3">
        <f ca="1">IFERROR(__xludf.DUMMYFUNCTION("""COMPUTED_VALUE"""),-0.230315557903568)</f>
        <v>-0.230315557903568</v>
      </c>
      <c r="JR143" s="3">
        <f ca="1">IFERROR(__xludf.DUMMYFUNCTION("""COMPUTED_VALUE"""),-0.353889789846157)</f>
        <v>-0.35388978984615699</v>
      </c>
      <c r="JS143" s="3">
        <f ca="1">IFERROR(__xludf.DUMMYFUNCTION("""COMPUTED_VALUE"""),-0.393320308229708)</f>
        <v>-0.39332030822970798</v>
      </c>
      <c r="JT143" s="3">
        <f ca="1">IFERROR(__xludf.DUMMYFUNCTION("""COMPUTED_VALUE"""),-0.347091094171907)</f>
        <v>-0.34709109417190698</v>
      </c>
      <c r="JU143" s="3">
        <f ca="1">IFERROR(__xludf.DUMMYFUNCTION("""COMPUTED_VALUE"""),-0.421297590992978)</f>
        <v>-0.42129759099297798</v>
      </c>
      <c r="JV143" s="3">
        <f ca="1">IFERROR(__xludf.DUMMYFUNCTION("""COMPUTED_VALUE"""),-0.414522913678413)</f>
        <v>-0.41452291367841299</v>
      </c>
      <c r="JW143" s="3">
        <f ca="1">IFERROR(__xludf.DUMMYFUNCTION("""COMPUTED_VALUE"""),-0.385065165580067)</f>
        <v>-0.38506516558006698</v>
      </c>
      <c r="JX143" s="3">
        <f ca="1">IFERROR(__xludf.DUMMYFUNCTION("""COMPUTED_VALUE"""),-0.26872487293542)</f>
        <v>-0.26872487293542002</v>
      </c>
      <c r="JY143" s="3">
        <f ca="1">IFERROR(__xludf.DUMMYFUNCTION("""COMPUTED_VALUE"""),-0.299891435431913)</f>
        <v>-0.29989143543191299</v>
      </c>
      <c r="JZ143" s="3">
        <f ca="1">IFERROR(__xludf.DUMMYFUNCTION("""COMPUTED_VALUE"""),-0.406854967805785)</f>
        <v>-0.40685496780578501</v>
      </c>
      <c r="KA143" s="3">
        <f ca="1">IFERROR(__xludf.DUMMYFUNCTION("""COMPUTED_VALUE"""),-0.343756091753076)</f>
        <v>-0.34375609175307598</v>
      </c>
      <c r="KB143" s="3">
        <f ca="1">IFERROR(__xludf.DUMMYFUNCTION("""COMPUTED_VALUE"""),-0.448283994273293)</f>
        <v>-0.44828399427329302</v>
      </c>
      <c r="KC143" s="3">
        <f ca="1">IFERROR(__xludf.DUMMYFUNCTION("""COMPUTED_VALUE"""),-0.413486293065972)</f>
        <v>-0.41348629306597201</v>
      </c>
      <c r="KD143" s="3">
        <f ca="1">IFERROR(__xludf.DUMMYFUNCTION("""COMPUTED_VALUE"""),-0.405182223453874)</f>
        <v>-0.405182223453874</v>
      </c>
      <c r="KE143" s="3">
        <f ca="1">IFERROR(__xludf.DUMMYFUNCTION("""COMPUTED_VALUE"""),-0.266141419073471)</f>
        <v>-0.266141419073471</v>
      </c>
      <c r="KF143" s="3">
        <f ca="1">IFERROR(__xludf.DUMMYFUNCTION("""COMPUTED_VALUE"""),-0.377006866254544)</f>
        <v>-0.37700686625454399</v>
      </c>
      <c r="KG143" s="3">
        <f ca="1">IFERROR(__xludf.DUMMYFUNCTION("""COMPUTED_VALUE"""),-0.258573430283121)</f>
        <v>-0.25857343028312102</v>
      </c>
      <c r="KH143" s="3">
        <f ca="1">IFERROR(__xludf.DUMMYFUNCTION("""COMPUTED_VALUE"""),-0.207098601267726)</f>
        <v>-0.207098601267726</v>
      </c>
      <c r="KI143" s="3">
        <f ca="1">IFERROR(__xludf.DUMMYFUNCTION("""COMPUTED_VALUE"""),-0.395879548271925)</f>
        <v>-0.39587954827192501</v>
      </c>
      <c r="KJ143" s="3">
        <f ca="1">IFERROR(__xludf.DUMMYFUNCTION("""COMPUTED_VALUE"""),-0.419354643768758)</f>
        <v>-0.41935464376875797</v>
      </c>
      <c r="KK143" s="3">
        <f ca="1">IFERROR(__xludf.DUMMYFUNCTION("""COMPUTED_VALUE"""),-0.326366253209833)</f>
        <v>-0.32636625320983298</v>
      </c>
      <c r="KL143" s="3">
        <f ca="1">IFERROR(__xludf.DUMMYFUNCTION("""COMPUTED_VALUE"""),-0.179891870379235)</f>
        <v>-0.17989187037923501</v>
      </c>
      <c r="KM143" s="3">
        <f ca="1">IFERROR(__xludf.DUMMYFUNCTION("""COMPUTED_VALUE"""),-0.349897319379439)</f>
        <v>-0.34989731937943902</v>
      </c>
      <c r="KN143" s="3">
        <f ca="1">IFERROR(__xludf.DUMMYFUNCTION("""COMPUTED_VALUE"""),-0.341981989484024)</f>
        <v>-0.34198198948402397</v>
      </c>
      <c r="KO143" s="3">
        <f ca="1">IFERROR(__xludf.DUMMYFUNCTION("""COMPUTED_VALUE"""),-0.257256108596226)</f>
        <v>-0.257256108596226</v>
      </c>
      <c r="KP143" s="3">
        <f ca="1">IFERROR(__xludf.DUMMYFUNCTION("""COMPUTED_VALUE"""),-0.328915069584648)</f>
        <v>-0.328915069584648</v>
      </c>
      <c r="KQ143" s="3">
        <f ca="1">IFERROR(__xludf.DUMMYFUNCTION("""COMPUTED_VALUE"""),-0.388686421143977)</f>
        <v>-0.388686421143977</v>
      </c>
      <c r="KR143" s="3">
        <f ca="1">IFERROR(__xludf.DUMMYFUNCTION("""COMPUTED_VALUE"""),-0.293147984700829)</f>
        <v>-0.29314798470082898</v>
      </c>
      <c r="KS143" s="3">
        <f ca="1">IFERROR(__xludf.DUMMYFUNCTION("""COMPUTED_VALUE"""),-0.130400252969326)</f>
        <v>-0.130400252969326</v>
      </c>
      <c r="KT143" s="3">
        <f ca="1">IFERROR(__xludf.DUMMYFUNCTION("""COMPUTED_VALUE"""),-0.341676434578164)</f>
        <v>-0.34167643457816399</v>
      </c>
      <c r="KU143" s="3">
        <f ca="1">IFERROR(__xludf.DUMMYFUNCTION("""COMPUTED_VALUE"""),-0.300777340055799)</f>
        <v>-0.30077734005579898</v>
      </c>
      <c r="KV143" s="3">
        <f ca="1">IFERROR(__xludf.DUMMYFUNCTION("""COMPUTED_VALUE"""),-0.342070803979123)</f>
        <v>-0.34207080397912298</v>
      </c>
      <c r="KW143" s="3">
        <f ca="1">IFERROR(__xludf.DUMMYFUNCTION("""COMPUTED_VALUE"""),-0.372769849133188)</f>
        <v>-0.372769849133188</v>
      </c>
      <c r="KX143" s="3">
        <f ca="1">IFERROR(__xludf.DUMMYFUNCTION("""COMPUTED_VALUE"""),-0.314228962186707)</f>
        <v>-0.31422896218670698</v>
      </c>
      <c r="KY143" s="3">
        <f ca="1">IFERROR(__xludf.DUMMYFUNCTION("""COMPUTED_VALUE"""),-0.343852060522085)</f>
        <v>-0.343852060522085</v>
      </c>
      <c r="KZ143" s="3">
        <f ca="1">IFERROR(__xludf.DUMMYFUNCTION("""COMPUTED_VALUE"""),-0.29851587839116)</f>
        <v>-0.29851587839116001</v>
      </c>
      <c r="LA143" s="3">
        <f ca="1">IFERROR(__xludf.DUMMYFUNCTION("""COMPUTED_VALUE"""),-0.491137226074506)</f>
        <v>-0.49113722607450599</v>
      </c>
      <c r="LB143" s="3">
        <f ca="1">IFERROR(__xludf.DUMMYFUNCTION("""COMPUTED_VALUE"""),-0.268222746897245)</f>
        <v>-0.26822274689724501</v>
      </c>
      <c r="LC143" s="3">
        <f ca="1">IFERROR(__xludf.DUMMYFUNCTION("""COMPUTED_VALUE"""),-0.399884237213699)</f>
        <v>-0.39988423721369898</v>
      </c>
      <c r="LD143" s="3">
        <f ca="1">IFERROR(__xludf.DUMMYFUNCTION("""COMPUTED_VALUE"""),-0.410400657648653)</f>
        <v>-0.41040065764865302</v>
      </c>
      <c r="LE143" s="3">
        <f ca="1">IFERROR(__xludf.DUMMYFUNCTION("""COMPUTED_VALUE"""),-0.344887303830138)</f>
        <v>-0.34488730383013799</v>
      </c>
      <c r="LF143" s="3">
        <f ca="1">IFERROR(__xludf.DUMMYFUNCTION("""COMPUTED_VALUE"""),-0.268147658390991)</f>
        <v>-0.26814765839099097</v>
      </c>
      <c r="LG143" s="3">
        <f ca="1">IFERROR(__xludf.DUMMYFUNCTION("""COMPUTED_VALUE"""),-0.303927870245819)</f>
        <v>-0.30392787024581902</v>
      </c>
      <c r="LH143" s="3">
        <f ca="1">IFERROR(__xludf.DUMMYFUNCTION("""COMPUTED_VALUE"""),-0.340567668486561)</f>
        <v>-0.340567668486561</v>
      </c>
      <c r="LI143" s="3">
        <f ca="1">IFERROR(__xludf.DUMMYFUNCTION("""COMPUTED_VALUE"""),-0.314163709705381)</f>
        <v>-0.31416370970538099</v>
      </c>
      <c r="LJ143" s="3">
        <f ca="1">IFERROR(__xludf.DUMMYFUNCTION("""COMPUTED_VALUE"""),-0.377489479953359)</f>
        <v>-0.37748947995335902</v>
      </c>
      <c r="LK143" s="3">
        <f ca="1">IFERROR(__xludf.DUMMYFUNCTION("""COMPUTED_VALUE"""),-0.391101406507237)</f>
        <v>-0.39110140650723701</v>
      </c>
      <c r="LL143" s="3">
        <f ca="1">IFERROR(__xludf.DUMMYFUNCTION("""COMPUTED_VALUE"""),-0.423993415408494)</f>
        <v>-0.423993415408494</v>
      </c>
      <c r="LM143" s="3">
        <f ca="1">IFERROR(__xludf.DUMMYFUNCTION("""COMPUTED_VALUE"""),-0.499620804538585)</f>
        <v>-0.49962080453858498</v>
      </c>
      <c r="LN143" s="3">
        <f ca="1">IFERROR(__xludf.DUMMYFUNCTION("""COMPUTED_VALUE"""),-0.401844887772985)</f>
        <v>-0.40184488777298499</v>
      </c>
      <c r="LO143" s="3">
        <f ca="1">IFERROR(__xludf.DUMMYFUNCTION("""COMPUTED_VALUE"""),-0.295452477793064)</f>
        <v>-0.29545247779306399</v>
      </c>
      <c r="LP143" s="3">
        <f ca="1">IFERROR(__xludf.DUMMYFUNCTION("""COMPUTED_VALUE"""),-0.320083491374482)</f>
        <v>-0.320083491374482</v>
      </c>
      <c r="LQ143" s="3">
        <f ca="1">IFERROR(__xludf.DUMMYFUNCTION("""COMPUTED_VALUE"""),-0.34895804286937)</f>
        <v>-0.34895804286936999</v>
      </c>
      <c r="LR143" s="3">
        <f ca="1">IFERROR(__xludf.DUMMYFUNCTION("""COMPUTED_VALUE"""),-0.362943640526024)</f>
        <v>-0.36294364052602401</v>
      </c>
      <c r="LS143" s="3">
        <f ca="1">IFERROR(__xludf.DUMMYFUNCTION("""COMPUTED_VALUE"""),-0.38364937471243)</f>
        <v>-0.38364937471242999</v>
      </c>
      <c r="LT143" s="3">
        <f ca="1">IFERROR(__xludf.DUMMYFUNCTION("""COMPUTED_VALUE"""),-0.343212000954627)</f>
        <v>-0.34321200095462701</v>
      </c>
      <c r="LU143" s="3">
        <f ca="1">IFERROR(__xludf.DUMMYFUNCTION("""COMPUTED_VALUE"""),-0.353374882777629)</f>
        <v>-0.35337488277762902</v>
      </c>
      <c r="LV143" s="3">
        <f ca="1">IFERROR(__xludf.DUMMYFUNCTION("""COMPUTED_VALUE"""),-0.407775629801157)</f>
        <v>-0.407775629801157</v>
      </c>
      <c r="LW143" s="3">
        <f ca="1">IFERROR(__xludf.DUMMYFUNCTION("""COMPUTED_VALUE"""),-0.411374973970356)</f>
        <v>-0.41137497397035599</v>
      </c>
      <c r="LX143" s="3">
        <f ca="1">IFERROR(__xludf.DUMMYFUNCTION("""COMPUTED_VALUE"""),-0.411840933523537)</f>
        <v>-0.41184093352353701</v>
      </c>
      <c r="LY143" s="3">
        <f ca="1">IFERROR(__xludf.DUMMYFUNCTION("""COMPUTED_VALUE"""),-0.39180355378836)</f>
        <v>-0.39180355378836002</v>
      </c>
      <c r="LZ143" s="3">
        <f ca="1">IFERROR(__xludf.DUMMYFUNCTION("""COMPUTED_VALUE"""),-0.360607428575802)</f>
        <v>-0.36060742857580202</v>
      </c>
      <c r="MA143" s="3">
        <f ca="1">IFERROR(__xludf.DUMMYFUNCTION("""COMPUTED_VALUE"""),-0.472229037568691)</f>
        <v>-0.472229037568691</v>
      </c>
      <c r="MB143" s="3">
        <f ca="1">IFERROR(__xludf.DUMMYFUNCTION("""COMPUTED_VALUE"""),-0.377005454304528)</f>
        <v>-0.37700545430452798</v>
      </c>
      <c r="MC143" s="3">
        <f ca="1">IFERROR(__xludf.DUMMYFUNCTION("""COMPUTED_VALUE"""),-0.476179573677013)</f>
        <v>-0.47617957367701302</v>
      </c>
      <c r="MD143" s="3">
        <f ca="1">IFERROR(__xludf.DUMMYFUNCTION("""COMPUTED_VALUE"""),-0.455932988330924)</f>
        <v>-0.45593298833092399</v>
      </c>
      <c r="ME143" s="3">
        <f ca="1">IFERROR(__xludf.DUMMYFUNCTION("""COMPUTED_VALUE"""),-0.493229102592937)</f>
        <v>-0.49322910259293701</v>
      </c>
      <c r="MF143" s="3">
        <f ca="1">IFERROR(__xludf.DUMMYFUNCTION("""COMPUTED_VALUE"""),-0.456313853474186)</f>
        <v>-0.45631385347418602</v>
      </c>
      <c r="MG143" s="3">
        <f ca="1">IFERROR(__xludf.DUMMYFUNCTION("""COMPUTED_VALUE"""),-0.395630030334962)</f>
        <v>-0.39563003033496202</v>
      </c>
      <c r="MH143" s="3">
        <f ca="1">IFERROR(__xludf.DUMMYFUNCTION("""COMPUTED_VALUE"""),-0.460515947305378)</f>
        <v>-0.46051594730537798</v>
      </c>
      <c r="MI143" s="3">
        <f ca="1">IFERROR(__xludf.DUMMYFUNCTION("""COMPUTED_VALUE"""),-0.438787903661373)</f>
        <v>-0.43878790366137299</v>
      </c>
      <c r="MJ143" s="3">
        <f ca="1">IFERROR(__xludf.DUMMYFUNCTION("""COMPUTED_VALUE"""),-0.503107411652331)</f>
        <v>-0.50310741165233097</v>
      </c>
      <c r="MK143" s="3">
        <f ca="1">IFERROR(__xludf.DUMMYFUNCTION("""COMPUTED_VALUE"""),-0.449457092373907)</f>
        <v>-0.44945709237390702</v>
      </c>
      <c r="ML143" s="3">
        <f ca="1">IFERROR(__xludf.DUMMYFUNCTION("""COMPUTED_VALUE"""),-0.589103433142684)</f>
        <v>-0.58910343314268399</v>
      </c>
      <c r="MM143" s="3">
        <f ca="1">IFERROR(__xludf.DUMMYFUNCTION("""COMPUTED_VALUE"""),-0.54866311205649)</f>
        <v>-0.54866311205648999</v>
      </c>
      <c r="MN143" s="3">
        <f ca="1">IFERROR(__xludf.DUMMYFUNCTION("""COMPUTED_VALUE"""),-0.448702153223806)</f>
        <v>-0.44870215322380602</v>
      </c>
      <c r="MO143" s="3">
        <f ca="1">IFERROR(__xludf.DUMMYFUNCTION("""COMPUTED_VALUE"""),-0.418708413896528)</f>
        <v>-0.41870841389652802</v>
      </c>
      <c r="MP143" s="3">
        <f ca="1">IFERROR(__xludf.DUMMYFUNCTION("""COMPUTED_VALUE"""),-0.392444797661036)</f>
        <v>-0.39244479766103602</v>
      </c>
      <c r="MQ143" s="3">
        <f ca="1">IFERROR(__xludf.DUMMYFUNCTION("""COMPUTED_VALUE"""),-0.575594434400357)</f>
        <v>-0.57559443440035696</v>
      </c>
      <c r="MR143" s="3">
        <f ca="1">IFERROR(__xludf.DUMMYFUNCTION("""COMPUTED_VALUE"""),-0.635758810223274)</f>
        <v>-0.63575881022327396</v>
      </c>
      <c r="MS143" s="3">
        <f ca="1">IFERROR(__xludf.DUMMYFUNCTION("""COMPUTED_VALUE"""),-0.538295560122285)</f>
        <v>-0.53829556012228497</v>
      </c>
      <c r="MT143" s="3">
        <f ca="1">IFERROR(__xludf.DUMMYFUNCTION("""COMPUTED_VALUE"""),-0.480737118634792)</f>
        <v>-0.48073711863479202</v>
      </c>
      <c r="MU143" s="3">
        <f ca="1">IFERROR(__xludf.DUMMYFUNCTION("""COMPUTED_VALUE"""),-0.490717487679284)</f>
        <v>-0.49071748767928403</v>
      </c>
      <c r="MV143" s="3">
        <f ca="1">IFERROR(__xludf.DUMMYFUNCTION("""COMPUTED_VALUE"""),-0.562968588438879)</f>
        <v>-0.56296858843887898</v>
      </c>
      <c r="MW143" s="3">
        <f ca="1">IFERROR(__xludf.DUMMYFUNCTION("""COMPUTED_VALUE"""),-0.500047444137871)</f>
        <v>-0.50004744413787106</v>
      </c>
      <c r="MX143" s="3">
        <f ca="1">IFERROR(__xludf.DUMMYFUNCTION("""COMPUTED_VALUE"""),-0.580278652917612)</f>
        <v>-0.58027865291761205</v>
      </c>
      <c r="MY143" s="3">
        <f ca="1">IFERROR(__xludf.DUMMYFUNCTION("""COMPUTED_VALUE"""),-0.489213074179609)</f>
        <v>-0.48921307417960902</v>
      </c>
      <c r="MZ143" s="3">
        <f ca="1">IFERROR(__xludf.DUMMYFUNCTION("""COMPUTED_VALUE"""),-0.588537747294856)</f>
        <v>-0.58853774729485597</v>
      </c>
      <c r="NA143" s="3">
        <f ca="1">IFERROR(__xludf.DUMMYFUNCTION("""COMPUTED_VALUE"""),-0.583536872519708)</f>
        <v>-0.58353687251970798</v>
      </c>
      <c r="NB143" s="3">
        <f ca="1">IFERROR(__xludf.DUMMYFUNCTION("""COMPUTED_VALUE"""),-0.488379913720657)</f>
        <v>-0.48837991372065698</v>
      </c>
      <c r="NC143" s="3">
        <f ca="1">IFERROR(__xludf.DUMMYFUNCTION("""COMPUTED_VALUE"""),-0.504920960530047)</f>
        <v>-0.50492096053004698</v>
      </c>
      <c r="ND143" s="3">
        <f ca="1">IFERROR(__xludf.DUMMYFUNCTION("""COMPUTED_VALUE"""),-0.482304342927997)</f>
        <v>-0.48230434292799701</v>
      </c>
      <c r="NE143" s="3">
        <f ca="1">IFERROR(__xludf.DUMMYFUNCTION("""COMPUTED_VALUE"""),-0.502706917112418)</f>
        <v>-0.50270691711241799</v>
      </c>
      <c r="NF143" s="3">
        <f ca="1">IFERROR(__xludf.DUMMYFUNCTION("""COMPUTED_VALUE"""),-0.456651674928732)</f>
        <v>-0.45665167492873199</v>
      </c>
      <c r="NG143" s="3">
        <f ca="1">IFERROR(__xludf.DUMMYFUNCTION("""COMPUTED_VALUE"""),-0.564193042024731)</f>
        <v>-0.56419304202473097</v>
      </c>
      <c r="NH143" s="3">
        <f ca="1">IFERROR(__xludf.DUMMYFUNCTION("""COMPUTED_VALUE"""),-0.583041682006637)</f>
        <v>-0.58304168200663697</v>
      </c>
      <c r="NI143" s="3">
        <f ca="1">IFERROR(__xludf.DUMMYFUNCTION("""COMPUTED_VALUE"""),-0.520777586538061)</f>
        <v>-0.52077758653806105</v>
      </c>
      <c r="NJ143" s="3">
        <f ca="1">IFERROR(__xludf.DUMMYFUNCTION("""COMPUTED_VALUE"""),-0.455418999059865)</f>
        <v>-0.45541899905986499</v>
      </c>
      <c r="NK143" s="3">
        <f ca="1">IFERROR(__xludf.DUMMYFUNCTION("""COMPUTED_VALUE"""),-0.558180250420014)</f>
        <v>-0.55818025042001396</v>
      </c>
      <c r="NL143" s="3">
        <f ca="1">IFERROR(__xludf.DUMMYFUNCTION("""COMPUTED_VALUE"""),-0.476492809402636)</f>
        <v>-0.476492809402636</v>
      </c>
      <c r="NM143" s="3">
        <f ca="1">IFERROR(__xludf.DUMMYFUNCTION("""COMPUTED_VALUE"""),-0.448678811139409)</f>
        <v>-0.448678811139409</v>
      </c>
      <c r="NN143" s="3">
        <f ca="1">IFERROR(__xludf.DUMMYFUNCTION("""COMPUTED_VALUE"""),-0.497925898841706)</f>
        <v>-0.49792589884170602</v>
      </c>
      <c r="NO143" s="3">
        <f ca="1">IFERROR(__xludf.DUMMYFUNCTION("""COMPUTED_VALUE"""),-0.474380122916887)</f>
        <v>-0.47438012291688703</v>
      </c>
      <c r="NP143" s="3">
        <f ca="1">IFERROR(__xludf.DUMMYFUNCTION("""COMPUTED_VALUE"""),-0.409027166895575)</f>
        <v>-0.409027166895575</v>
      </c>
      <c r="NQ143" s="3">
        <f ca="1">IFERROR(__xludf.DUMMYFUNCTION("""COMPUTED_VALUE"""),-0.374806279115284)</f>
        <v>-0.37480627911528402</v>
      </c>
      <c r="NR143" s="3">
        <f ca="1">IFERROR(__xludf.DUMMYFUNCTION("""COMPUTED_VALUE"""),-0.397011526663797)</f>
        <v>-0.39701152666379702</v>
      </c>
      <c r="NS143" s="3">
        <f ca="1">IFERROR(__xludf.DUMMYFUNCTION("""COMPUTED_VALUE"""),-0.40756606600845)</f>
        <v>-0.40756606600845002</v>
      </c>
      <c r="NT143" s="3">
        <f ca="1">IFERROR(__xludf.DUMMYFUNCTION("""COMPUTED_VALUE"""),-0.473650165848325)</f>
        <v>-0.47365016584832498</v>
      </c>
      <c r="NU143" s="3">
        <f ca="1">IFERROR(__xludf.DUMMYFUNCTION("""COMPUTED_VALUE"""),-0.506361137545402)</f>
        <v>-0.50636113754540202</v>
      </c>
      <c r="NV143" s="3">
        <f ca="1">IFERROR(__xludf.DUMMYFUNCTION("""COMPUTED_VALUE"""),-0.437609940476759)</f>
        <v>-0.437609940476759</v>
      </c>
      <c r="NW143" s="3">
        <f ca="1">IFERROR(__xludf.DUMMYFUNCTION("""COMPUTED_VALUE"""),-0.364597305558065)</f>
        <v>-0.36459730555806502</v>
      </c>
      <c r="NX143" s="3">
        <f ca="1">IFERROR(__xludf.DUMMYFUNCTION("""COMPUTED_VALUE"""),-0.312315152665495)</f>
        <v>-0.31231515266549498</v>
      </c>
      <c r="NY143" s="3">
        <f ca="1">IFERROR(__xludf.DUMMYFUNCTION("""COMPUTED_VALUE"""),-0.231981172578297)</f>
        <v>-0.23198117257829701</v>
      </c>
      <c r="NZ143" s="3">
        <f ca="1">IFERROR(__xludf.DUMMYFUNCTION("""COMPUTED_VALUE"""),-0.255119424596685)</f>
        <v>-0.25511942459668502</v>
      </c>
      <c r="OA143" s="3">
        <f ca="1">IFERROR(__xludf.DUMMYFUNCTION("""COMPUTED_VALUE"""),-0.182450962958121)</f>
        <v>-0.18245096295812099</v>
      </c>
      <c r="OB143" s="3">
        <f ca="1">IFERROR(__xludf.DUMMYFUNCTION("""COMPUTED_VALUE"""),-0.315314195876669)</f>
        <v>-0.31531419587666898</v>
      </c>
      <c r="OC143" s="3">
        <f ca="1">IFERROR(__xludf.DUMMYFUNCTION("""COMPUTED_VALUE"""),-0.222864430036982)</f>
        <v>-0.222864430036982</v>
      </c>
      <c r="OD143" s="3">
        <f ca="1">IFERROR(__xludf.DUMMYFUNCTION("""COMPUTED_VALUE"""),-0.123851830351256)</f>
        <v>-0.12385183035125601</v>
      </c>
      <c r="OE143" s="3">
        <f ca="1">IFERROR(__xludf.DUMMYFUNCTION("""COMPUTED_VALUE"""),-0.136580994714563)</f>
        <v>-0.136580994714563</v>
      </c>
      <c r="OF143" s="3">
        <f ca="1">IFERROR(__xludf.DUMMYFUNCTION("""COMPUTED_VALUE"""),-0.0360365095895945)</f>
        <v>-3.60365095895945E-2</v>
      </c>
      <c r="OG143" s="3">
        <f ca="1">IFERROR(__xludf.DUMMYFUNCTION("""COMPUTED_VALUE"""),0.0764958569648719)</f>
        <v>7.6495856964871906E-2</v>
      </c>
      <c r="OH143" s="3">
        <f ca="1">IFERROR(__xludf.DUMMYFUNCTION("""COMPUTED_VALUE"""),0.0299018099991068)</f>
        <v>2.9901809999106799E-2</v>
      </c>
      <c r="OI143" s="3">
        <f ca="1">IFERROR(__xludf.DUMMYFUNCTION("""COMPUTED_VALUE"""),-0.0191839090108546)</f>
        <v>-1.9183909010854601E-2</v>
      </c>
      <c r="OJ143" s="3">
        <f ca="1">IFERROR(__xludf.DUMMYFUNCTION("""COMPUTED_VALUE"""),0.00372320746568965)</f>
        <v>3.7232074656896501E-3</v>
      </c>
      <c r="OK143" s="3">
        <f ca="1">IFERROR(__xludf.DUMMYFUNCTION("""COMPUTED_VALUE"""),0.0523610102864264)</f>
        <v>5.2361010286426403E-2</v>
      </c>
      <c r="OL143" s="3">
        <f ca="1">IFERROR(__xludf.DUMMYFUNCTION("""COMPUTED_VALUE"""),-0.0584107623747074)</f>
        <v>-5.8410762374707402E-2</v>
      </c>
      <c r="OM143" s="3">
        <f ca="1">IFERROR(__xludf.DUMMYFUNCTION("""COMPUTED_VALUE"""),-0.0706668394529165)</f>
        <v>-7.0666839452916505E-2</v>
      </c>
      <c r="ON143" s="3">
        <f ca="1">IFERROR(__xludf.DUMMYFUNCTION("""COMPUTED_VALUE"""),0.0329233734228424)</f>
        <v>3.2923373422842399E-2</v>
      </c>
      <c r="OO143" s="3">
        <f ca="1">IFERROR(__xludf.DUMMYFUNCTION("""COMPUTED_VALUE"""),0.0639355894732645)</f>
        <v>6.3935589473264498E-2</v>
      </c>
      <c r="OP143" s="3">
        <f ca="1">IFERROR(__xludf.DUMMYFUNCTION("""COMPUTED_VALUE"""),0.0759079678010563)</f>
        <v>7.5907967801056297E-2</v>
      </c>
      <c r="OQ143" s="3">
        <f ca="1">IFERROR(__xludf.DUMMYFUNCTION("""COMPUTED_VALUE"""),0.0775917649074593)</f>
        <v>7.7591764907459296E-2</v>
      </c>
      <c r="OR143" s="3">
        <f ca="1">IFERROR(__xludf.DUMMYFUNCTION("""COMPUTED_VALUE"""),0.137196830502159)</f>
        <v>0.137196830502159</v>
      </c>
      <c r="OS143" s="3">
        <f ca="1">IFERROR(__xludf.DUMMYFUNCTION("""COMPUTED_VALUE"""),0.0236292741295163)</f>
        <v>2.3629274129516299E-2</v>
      </c>
      <c r="OT143" s="3">
        <f ca="1">IFERROR(__xludf.DUMMYFUNCTION("""COMPUTED_VALUE"""),0.00201165535783576)</f>
        <v>2.0116553578357599E-3</v>
      </c>
      <c r="OU143" s="3">
        <f ca="1">IFERROR(__xludf.DUMMYFUNCTION("""COMPUTED_VALUE"""),-0.0667121794629779)</f>
        <v>-6.6712179462977902E-2</v>
      </c>
      <c r="OV143" s="3">
        <f ca="1">IFERROR(__xludf.DUMMYFUNCTION("""COMPUTED_VALUE"""),0.0240398022524468)</f>
        <v>2.4039802252446799E-2</v>
      </c>
      <c r="OW143" s="3">
        <f ca="1">IFERROR(__xludf.DUMMYFUNCTION("""COMPUTED_VALUE"""),0.0154379080401467)</f>
        <v>1.54379080401467E-2</v>
      </c>
      <c r="OX143" s="3">
        <f ca="1">IFERROR(__xludf.DUMMYFUNCTION("""COMPUTED_VALUE"""),-0.0239247940633808)</f>
        <v>-2.39247940633808E-2</v>
      </c>
      <c r="OY143" s="3">
        <f ca="1">IFERROR(__xludf.DUMMYFUNCTION("""COMPUTED_VALUE"""),0.100186555037501)</f>
        <v>0.100186555037501</v>
      </c>
      <c r="OZ143" s="3">
        <f ca="1">IFERROR(__xludf.DUMMYFUNCTION("""COMPUTED_VALUE"""),-0.0693843455216493)</f>
        <v>-6.9384345521649293E-2</v>
      </c>
      <c r="PA143" s="3">
        <f ca="1">IFERROR(__xludf.DUMMYFUNCTION("""COMPUTED_VALUE"""),-0.0307959279225414)</f>
        <v>-3.0795927922541402E-2</v>
      </c>
      <c r="PB143" s="3">
        <f ca="1">IFERROR(__xludf.DUMMYFUNCTION("""COMPUTED_VALUE"""),-0.0414097587318645)</f>
        <v>-4.1409758731864497E-2</v>
      </c>
      <c r="PC143" s="3">
        <f ca="1">IFERROR(__xludf.DUMMYFUNCTION("""COMPUTED_VALUE"""),0.0309611257156074)</f>
        <v>3.0961125715607399E-2</v>
      </c>
      <c r="PD143" s="3">
        <f ca="1">IFERROR(__xludf.DUMMYFUNCTION("""COMPUTED_VALUE"""),-0.028542487391631)</f>
        <v>-2.8542487391631E-2</v>
      </c>
      <c r="PE143" s="3">
        <f ca="1">IFERROR(__xludf.DUMMYFUNCTION("""COMPUTED_VALUE"""),0.136023088167014)</f>
        <v>0.136023088167014</v>
      </c>
      <c r="PF143" s="3">
        <f ca="1">IFERROR(__xludf.DUMMYFUNCTION("""COMPUTED_VALUE"""),0.174723175191802)</f>
        <v>0.174723175191802</v>
      </c>
      <c r="PG143" s="3">
        <f ca="1">IFERROR(__xludf.DUMMYFUNCTION("""COMPUTED_VALUE"""),-0.126297720265612)</f>
        <v>-0.12629772026561201</v>
      </c>
      <c r="PH143" s="3">
        <f ca="1">IFERROR(__xludf.DUMMYFUNCTION("""COMPUTED_VALUE"""),-0.00422006190729939)</f>
        <v>-4.2200619072993899E-3</v>
      </c>
      <c r="PI143" s="3">
        <f ca="1">IFERROR(__xludf.DUMMYFUNCTION("""COMPUTED_VALUE"""),0.0169534832661821)</f>
        <v>1.6953483266182099E-2</v>
      </c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</row>
    <row r="144" spans="1:477" ht="13">
      <c r="A144" s="1" t="str">
        <f ca="1">IFERROR(__xludf.DUMMYFUNCTION("""COMPUTED_VALUE"""),"Hillsborough Area Regional Transit Authority")</f>
        <v>Hillsborough Area Regional Transit Authority</v>
      </c>
      <c r="B144" s="1" t="str">
        <f ca="1">IFERROR(__xludf.DUMMYFUNCTION("""COMPUTED_VALUE"""),"Tampa")</f>
        <v>Tampa</v>
      </c>
      <c r="C144" s="1" t="str">
        <f ca="1">IFERROR(__xludf.DUMMYFUNCTION("""COMPUTED_VALUE"""),"United States")</f>
        <v>United States</v>
      </c>
      <c r="D144" s="1" t="str">
        <f ca="1">IFERROR(__xludf.DUMMYFUNCTION("""COMPUTED_VALUE"""),"Florida")</f>
        <v>Florida</v>
      </c>
      <c r="E144" s="3">
        <f ca="1">IFERROR(__xludf.DUMMYFUNCTION("""COMPUTED_VALUE"""),-0.367954059173371)</f>
        <v>-0.36795405917337098</v>
      </c>
      <c r="F144" s="3">
        <f ca="1">IFERROR(__xludf.DUMMYFUNCTION("""COMPUTED_VALUE"""),-0.297783609716854)</f>
        <v>-0.29778360971685403</v>
      </c>
      <c r="G144" s="3">
        <f ca="1">IFERROR(__xludf.DUMMYFUNCTION("""COMPUTED_VALUE"""),-0.484930322762639)</f>
        <v>-0.48493032276263898</v>
      </c>
      <c r="H144" s="3">
        <f ca="1">IFERROR(__xludf.DUMMYFUNCTION("""COMPUTED_VALUE"""),-0.524000556210154)</f>
        <v>-0.52400055621015396</v>
      </c>
      <c r="I144" s="3">
        <f ca="1">IFERROR(__xludf.DUMMYFUNCTION("""COMPUTED_VALUE"""),-0.410822049178979)</f>
        <v>-0.41082204917897902</v>
      </c>
      <c r="J144" s="3">
        <f ca="1">IFERROR(__xludf.DUMMYFUNCTION("""COMPUTED_VALUE"""),-0.477465115761515)</f>
        <v>-0.47746511576151501</v>
      </c>
      <c r="K144" s="3">
        <f ca="1">IFERROR(__xludf.DUMMYFUNCTION("""COMPUTED_VALUE"""),-0.314616522901792)</f>
        <v>-0.31461652290179198</v>
      </c>
      <c r="L144" s="3">
        <f ca="1">IFERROR(__xludf.DUMMYFUNCTION("""COMPUTED_VALUE"""),-0.382611643120638)</f>
        <v>-0.382611643120638</v>
      </c>
      <c r="M144" s="3">
        <f ca="1">IFERROR(__xludf.DUMMYFUNCTION("""COMPUTED_VALUE"""),-0.471737923874272)</f>
        <v>-0.47173792387427199</v>
      </c>
      <c r="N144" s="3">
        <f ca="1">IFERROR(__xludf.DUMMYFUNCTION("""COMPUTED_VALUE"""),-0.496490464838172)</f>
        <v>-0.496490464838172</v>
      </c>
      <c r="O144" s="3">
        <f ca="1">IFERROR(__xludf.DUMMYFUNCTION("""COMPUTED_VALUE"""),-0.475110514479563)</f>
        <v>-0.47511051447956298</v>
      </c>
      <c r="P144" s="3">
        <f ca="1">IFERROR(__xludf.DUMMYFUNCTION("""COMPUTED_VALUE"""),-0.501271332392815)</f>
        <v>-0.50127133239281496</v>
      </c>
      <c r="Q144" s="3">
        <f ca="1">IFERROR(__xludf.DUMMYFUNCTION("""COMPUTED_VALUE"""),-0.547275887804398)</f>
        <v>-0.54727588780439795</v>
      </c>
      <c r="R144" s="3">
        <f ca="1">IFERROR(__xludf.DUMMYFUNCTION("""COMPUTED_VALUE"""),-0.349051401685126)</f>
        <v>-0.34905140168512599</v>
      </c>
      <c r="S144" s="3">
        <f ca="1">IFERROR(__xludf.DUMMYFUNCTION("""COMPUTED_VALUE"""),-0.362615717935554)</f>
        <v>-0.36261571793555403</v>
      </c>
      <c r="T144" s="3">
        <f ca="1">IFERROR(__xludf.DUMMYFUNCTION("""COMPUTED_VALUE"""),-0.406189640478471)</f>
        <v>-0.406189640478471</v>
      </c>
      <c r="U144" s="3">
        <f ca="1">IFERROR(__xludf.DUMMYFUNCTION("""COMPUTED_VALUE"""),-0.386694869415357)</f>
        <v>-0.38669486941535702</v>
      </c>
      <c r="V144" s="3">
        <f ca="1">IFERROR(__xludf.DUMMYFUNCTION("""COMPUTED_VALUE"""),-0.375914150227681)</f>
        <v>-0.37591415022768099</v>
      </c>
      <c r="W144" s="3">
        <f ca="1">IFERROR(__xludf.DUMMYFUNCTION("""COMPUTED_VALUE"""),-0.450870321694227)</f>
        <v>-0.45087032169422703</v>
      </c>
      <c r="X144" s="3">
        <f ca="1">IFERROR(__xludf.DUMMYFUNCTION("""COMPUTED_VALUE"""),-0.411274242346406)</f>
        <v>-0.41127424234640603</v>
      </c>
      <c r="Y144" s="3">
        <f ca="1">IFERROR(__xludf.DUMMYFUNCTION("""COMPUTED_VALUE"""),-0.431716553137881)</f>
        <v>-0.43171655313788099</v>
      </c>
      <c r="Z144" s="3">
        <f ca="1">IFERROR(__xludf.DUMMYFUNCTION("""COMPUTED_VALUE"""),-0.48244531293479)</f>
        <v>-0.48244531293478998</v>
      </c>
      <c r="AA144" s="3">
        <f ca="1">IFERROR(__xludf.DUMMYFUNCTION("""COMPUTED_VALUE"""),-0.528884185214909)</f>
        <v>-0.52888418521490899</v>
      </c>
      <c r="AB144" s="3">
        <f ca="1">IFERROR(__xludf.DUMMYFUNCTION("""COMPUTED_VALUE"""),-0.556323766947368)</f>
        <v>-0.55632376694736796</v>
      </c>
      <c r="AC144" s="3">
        <f ca="1">IFERROR(__xludf.DUMMYFUNCTION("""COMPUTED_VALUE"""),-0.445422475918267)</f>
        <v>-0.445422475918267</v>
      </c>
      <c r="AD144" s="3">
        <f ca="1">IFERROR(__xludf.DUMMYFUNCTION("""COMPUTED_VALUE"""),-0.38647992018164)</f>
        <v>-0.38647992018164001</v>
      </c>
      <c r="AE144" s="3">
        <f ca="1">IFERROR(__xludf.DUMMYFUNCTION("""COMPUTED_VALUE"""),-0.447656131275683)</f>
        <v>-0.44765613127568299</v>
      </c>
      <c r="AF144" s="3">
        <f ca="1">IFERROR(__xludf.DUMMYFUNCTION("""COMPUTED_VALUE"""),-0.404834170902442)</f>
        <v>-0.404834170902442</v>
      </c>
      <c r="AG144" s="3">
        <f ca="1">IFERROR(__xludf.DUMMYFUNCTION("""COMPUTED_VALUE"""),-0.357509548582048)</f>
        <v>-0.35750954858204798</v>
      </c>
      <c r="AH144" s="3">
        <f ca="1">IFERROR(__xludf.DUMMYFUNCTION("""COMPUTED_VALUE"""),-0.428064317789264)</f>
        <v>-0.42806431778926401</v>
      </c>
      <c r="AI144" s="3">
        <f ca="1">IFERROR(__xludf.DUMMYFUNCTION("""COMPUTED_VALUE"""),-0.478595968493886)</f>
        <v>-0.47859596849388603</v>
      </c>
      <c r="AJ144" s="3">
        <f ca="1">IFERROR(__xludf.DUMMYFUNCTION("""COMPUTED_VALUE"""),-0.368821172662215)</f>
        <v>-0.36882117266221498</v>
      </c>
      <c r="AK144" s="3">
        <f ca="1">IFERROR(__xludf.DUMMYFUNCTION("""COMPUTED_VALUE"""),-0.361198932568597)</f>
        <v>-0.36119893256859698</v>
      </c>
      <c r="AL144" s="3">
        <f ca="1">IFERROR(__xludf.DUMMYFUNCTION("""COMPUTED_VALUE"""),-0.402811109886655)</f>
        <v>-0.40281110988665503</v>
      </c>
      <c r="AM144" s="3">
        <f ca="1">IFERROR(__xludf.DUMMYFUNCTION("""COMPUTED_VALUE"""),-0.525366087933353)</f>
        <v>-0.52536608793335304</v>
      </c>
      <c r="AN144" s="3">
        <f ca="1">IFERROR(__xludf.DUMMYFUNCTION("""COMPUTED_VALUE"""),-0.457067423202957)</f>
        <v>-0.45706742320295701</v>
      </c>
      <c r="AO144" s="3">
        <f ca="1">IFERROR(__xludf.DUMMYFUNCTION("""COMPUTED_VALUE"""),-0.467055573336054)</f>
        <v>-0.46705557333605402</v>
      </c>
      <c r="AP144" s="3">
        <f ca="1">IFERROR(__xludf.DUMMYFUNCTION("""COMPUTED_VALUE"""),-0.485268881670331)</f>
        <v>-0.485268881670331</v>
      </c>
      <c r="AQ144" s="3">
        <f ca="1">IFERROR(__xludf.DUMMYFUNCTION("""COMPUTED_VALUE"""),-0.529086849281503)</f>
        <v>-0.52908684928150296</v>
      </c>
      <c r="AR144" s="3">
        <f ca="1">IFERROR(__xludf.DUMMYFUNCTION("""COMPUTED_VALUE"""),-0.390791005715378)</f>
        <v>-0.390791005715378</v>
      </c>
      <c r="AS144" s="3">
        <f ca="1">IFERROR(__xludf.DUMMYFUNCTION("""COMPUTED_VALUE"""),-0.446443868598056)</f>
        <v>-0.44644386859805602</v>
      </c>
      <c r="AT144" s="3">
        <f ca="1">IFERROR(__xludf.DUMMYFUNCTION("""COMPUTED_VALUE"""),-0.456501778946489)</f>
        <v>-0.45650177894648902</v>
      </c>
      <c r="AU144" s="3">
        <f ca="1">IFERROR(__xludf.DUMMYFUNCTION("""COMPUTED_VALUE"""),-0.334544851679276)</f>
        <v>-0.334544851679276</v>
      </c>
      <c r="AV144" s="3">
        <f ca="1">IFERROR(__xludf.DUMMYFUNCTION("""COMPUTED_VALUE"""),-0.507279345619748)</f>
        <v>-0.50727934561974797</v>
      </c>
      <c r="AW144" s="3">
        <f ca="1">IFERROR(__xludf.DUMMYFUNCTION("""COMPUTED_VALUE"""),-0.516876690265209)</f>
        <v>-0.51687669026520899</v>
      </c>
      <c r="AX144" s="3">
        <f ca="1">IFERROR(__xludf.DUMMYFUNCTION("""COMPUTED_VALUE"""),-0.539797314485669)</f>
        <v>-0.53979731448566903</v>
      </c>
      <c r="AY144" s="3">
        <f ca="1">IFERROR(__xludf.DUMMYFUNCTION("""COMPUTED_VALUE"""),-0.38982459851546)</f>
        <v>-0.38982459851545997</v>
      </c>
      <c r="AZ144" s="3">
        <f ca="1">IFERROR(__xludf.DUMMYFUNCTION("""COMPUTED_VALUE"""),-0.409888222898092)</f>
        <v>-0.40988822289809201</v>
      </c>
      <c r="BA144" s="3">
        <f ca="1">IFERROR(__xludf.DUMMYFUNCTION("""COMPUTED_VALUE"""),-0.408117095441304)</f>
        <v>-0.40811709544130398</v>
      </c>
      <c r="BB144" s="3">
        <f ca="1">IFERROR(__xludf.DUMMYFUNCTION("""COMPUTED_VALUE"""),-0.463951727280816)</f>
        <v>-0.46395172728081602</v>
      </c>
      <c r="BC144" s="3">
        <f ca="1">IFERROR(__xludf.DUMMYFUNCTION("""COMPUTED_VALUE"""),-0.54170054098833)</f>
        <v>-0.54170054098832998</v>
      </c>
      <c r="BD144" s="3">
        <f ca="1">IFERROR(__xludf.DUMMYFUNCTION("""COMPUTED_VALUE"""),-0.516367764806342)</f>
        <v>-0.51636776480634194</v>
      </c>
      <c r="BE144" s="3">
        <f ca="1">IFERROR(__xludf.DUMMYFUNCTION("""COMPUTED_VALUE"""),-0.544222129672866)</f>
        <v>-0.54422212967286598</v>
      </c>
      <c r="BF144" s="3">
        <f ca="1">IFERROR(__xludf.DUMMYFUNCTION("""COMPUTED_VALUE"""),-0.528034684396013)</f>
        <v>-0.52803468439601298</v>
      </c>
      <c r="BG144" s="3">
        <f ca="1">IFERROR(__xludf.DUMMYFUNCTION("""COMPUTED_VALUE"""),-0.561004209692124)</f>
        <v>-0.56100420969212395</v>
      </c>
      <c r="BH144" s="3">
        <f ca="1">IFERROR(__xludf.DUMMYFUNCTION("""COMPUTED_VALUE"""),-0.505780878639013)</f>
        <v>-0.505780878639013</v>
      </c>
      <c r="BI144" s="3">
        <f ca="1">IFERROR(__xludf.DUMMYFUNCTION("""COMPUTED_VALUE"""),-0.490440115902147)</f>
        <v>-0.49044011590214698</v>
      </c>
      <c r="BJ144" s="3">
        <f ca="1">IFERROR(__xludf.DUMMYFUNCTION("""COMPUTED_VALUE"""),-0.433196946069434)</f>
        <v>-0.43319694606943399</v>
      </c>
      <c r="BK144" s="3">
        <f ca="1">IFERROR(__xludf.DUMMYFUNCTION("""COMPUTED_VALUE"""),-0.538250257711595)</f>
        <v>-0.53825025771159496</v>
      </c>
      <c r="BL144" s="3">
        <f ca="1">IFERROR(__xludf.DUMMYFUNCTION("""COMPUTED_VALUE"""),-0.497298559295748)</f>
        <v>-0.49729855929574801</v>
      </c>
      <c r="BM144" s="3">
        <f ca="1">IFERROR(__xludf.DUMMYFUNCTION("""COMPUTED_VALUE"""),-0.530782491944796)</f>
        <v>-0.53078249194479599</v>
      </c>
      <c r="BN144" s="3">
        <f ca="1">IFERROR(__xludf.DUMMYFUNCTION("""COMPUTED_VALUE"""),-0.49863068415789)</f>
        <v>-0.49863068415789003</v>
      </c>
      <c r="BO144" s="3">
        <f ca="1">IFERROR(__xludf.DUMMYFUNCTION("""COMPUTED_VALUE"""),-0.494257264666878)</f>
        <v>-0.49425726466687803</v>
      </c>
      <c r="BP144" s="3">
        <f ca="1">IFERROR(__xludf.DUMMYFUNCTION("""COMPUTED_VALUE"""),-0.461795321313662)</f>
        <v>-0.46179532131366202</v>
      </c>
      <c r="BQ144" s="3">
        <f ca="1">IFERROR(__xludf.DUMMYFUNCTION("""COMPUTED_VALUE"""),-0.467386183315018)</f>
        <v>-0.46738618331501802</v>
      </c>
      <c r="BR144" s="3">
        <f ca="1">IFERROR(__xludf.DUMMYFUNCTION("""COMPUTED_VALUE"""),-0.600209251370404)</f>
        <v>-0.60020925137040404</v>
      </c>
      <c r="BS144" s="3">
        <f ca="1">IFERROR(__xludf.DUMMYFUNCTION("""COMPUTED_VALUE"""),-0.568343697274549)</f>
        <v>-0.56834369727454903</v>
      </c>
      <c r="BT144" s="3">
        <f ca="1">IFERROR(__xludf.DUMMYFUNCTION("""COMPUTED_VALUE"""),-0.614814083056479)</f>
        <v>-0.614814083056479</v>
      </c>
      <c r="BU144" s="3">
        <f ca="1">IFERROR(__xludf.DUMMYFUNCTION("""COMPUTED_VALUE"""),-0.595292436540982)</f>
        <v>-0.59529243654098196</v>
      </c>
      <c r="BV144" s="3">
        <f ca="1">IFERROR(__xludf.DUMMYFUNCTION("""COMPUTED_VALUE"""),-0.430051070000371)</f>
        <v>-0.43005107000037102</v>
      </c>
      <c r="BW144" s="3">
        <f ca="1">IFERROR(__xludf.DUMMYFUNCTION("""COMPUTED_VALUE"""),-0.547257928857172)</f>
        <v>-0.54725792885717195</v>
      </c>
      <c r="BX144" s="3">
        <f ca="1">IFERROR(__xludf.DUMMYFUNCTION("""COMPUTED_VALUE"""),-0.580495245063526)</f>
        <v>-0.58049524506352601</v>
      </c>
      <c r="BY144" s="3">
        <f ca="1">IFERROR(__xludf.DUMMYFUNCTION("""COMPUTED_VALUE"""),-0.595394017529773)</f>
        <v>-0.59539401752977295</v>
      </c>
      <c r="BZ144" s="3">
        <f ca="1">IFERROR(__xludf.DUMMYFUNCTION("""COMPUTED_VALUE"""),-0.549426002345476)</f>
        <v>-0.54942600234547601</v>
      </c>
      <c r="CA144" s="3">
        <f ca="1">IFERROR(__xludf.DUMMYFUNCTION("""COMPUTED_VALUE"""),-0.566023518768928)</f>
        <v>-0.56602351876892798</v>
      </c>
      <c r="CB144" s="3">
        <f ca="1">IFERROR(__xludf.DUMMYFUNCTION("""COMPUTED_VALUE"""),-0.471267488650393)</f>
        <v>-0.47126748865039297</v>
      </c>
      <c r="CC144" s="3">
        <f ca="1">IFERROR(__xludf.DUMMYFUNCTION("""COMPUTED_VALUE"""),-0.540365974060073)</f>
        <v>-0.54036597406007303</v>
      </c>
      <c r="CD144" s="3">
        <f ca="1">IFERROR(__xludf.DUMMYFUNCTION("""COMPUTED_VALUE"""),-0.508848001097819)</f>
        <v>-0.50884800109781902</v>
      </c>
      <c r="CE144" s="3">
        <f ca="1">IFERROR(__xludf.DUMMYFUNCTION("""COMPUTED_VALUE"""),-0.64436579546128)</f>
        <v>-0.64436579546128003</v>
      </c>
      <c r="CF144" s="3">
        <f ca="1">IFERROR(__xludf.DUMMYFUNCTION("""COMPUTED_VALUE"""),-0.58385123491813)</f>
        <v>-0.58385123491812996</v>
      </c>
      <c r="CG144" s="3">
        <f ca="1">IFERROR(__xludf.DUMMYFUNCTION("""COMPUTED_VALUE"""),-0.620526868690933)</f>
        <v>-0.62052686869093299</v>
      </c>
      <c r="CH144" s="3">
        <f ca="1">IFERROR(__xludf.DUMMYFUNCTION("""COMPUTED_VALUE"""),-0.603217240820335)</f>
        <v>-0.60321724082033501</v>
      </c>
      <c r="CI144" s="3">
        <f ca="1">IFERROR(__xludf.DUMMYFUNCTION("""COMPUTED_VALUE"""),-0.616531569243618)</f>
        <v>-0.61653156924361796</v>
      </c>
      <c r="CJ144" s="3">
        <f ca="1">IFERROR(__xludf.DUMMYFUNCTION("""COMPUTED_VALUE"""),-0.530224283538946)</f>
        <v>-0.53022428353894602</v>
      </c>
      <c r="CK144" s="3">
        <f ca="1">IFERROR(__xludf.DUMMYFUNCTION("""COMPUTED_VALUE"""),-0.526483842247003)</f>
        <v>-0.52648384224700295</v>
      </c>
      <c r="CL144" s="3">
        <f ca="1">IFERROR(__xludf.DUMMYFUNCTION("""COMPUTED_VALUE"""),-0.677782172216231)</f>
        <v>-0.67778217221623105</v>
      </c>
      <c r="CM144" s="3">
        <f ca="1">IFERROR(__xludf.DUMMYFUNCTION("""COMPUTED_VALUE"""),-0.524617207911152)</f>
        <v>-0.52461720791115196</v>
      </c>
      <c r="CN144" s="3">
        <f ca="1">IFERROR(__xludf.DUMMYFUNCTION("""COMPUTED_VALUE"""),-0.581843155023961)</f>
        <v>-0.581843155023961</v>
      </c>
      <c r="CO144" s="3">
        <f ca="1">IFERROR(__xludf.DUMMYFUNCTION("""COMPUTED_VALUE"""),-0.580703632199044)</f>
        <v>-0.58070363219904397</v>
      </c>
      <c r="CP144" s="3">
        <f ca="1">IFERROR(__xludf.DUMMYFUNCTION("""COMPUTED_VALUE"""),-0.580268122602198)</f>
        <v>-0.58026812260219796</v>
      </c>
      <c r="CQ144" s="3">
        <f ca="1">IFERROR(__xludf.DUMMYFUNCTION("""COMPUTED_VALUE"""),-0.555316905399276)</f>
        <v>-0.55531690539927603</v>
      </c>
      <c r="CR144" s="3">
        <f ca="1">IFERROR(__xludf.DUMMYFUNCTION("""COMPUTED_VALUE"""),-0.464360564705112)</f>
        <v>-0.464360564705112</v>
      </c>
      <c r="CS144" s="3">
        <f ca="1">IFERROR(__xludf.DUMMYFUNCTION("""COMPUTED_VALUE"""),-0.534455046976639)</f>
        <v>-0.53445504697663904</v>
      </c>
      <c r="CT144" s="3">
        <f ca="1">IFERROR(__xludf.DUMMYFUNCTION("""COMPUTED_VALUE"""),-0.546703704985823)</f>
        <v>-0.54670370498582299</v>
      </c>
      <c r="CU144" s="3">
        <f ca="1">IFERROR(__xludf.DUMMYFUNCTION("""COMPUTED_VALUE"""),-0.542334187508263)</f>
        <v>-0.54233418750826301</v>
      </c>
      <c r="CV144" s="3">
        <f ca="1">IFERROR(__xludf.DUMMYFUNCTION("""COMPUTED_VALUE"""),-0.554940751881745)</f>
        <v>-0.55494075188174496</v>
      </c>
      <c r="CW144" s="3">
        <f ca="1">IFERROR(__xludf.DUMMYFUNCTION("""COMPUTED_VALUE"""),-0.611740438168162)</f>
        <v>-0.61174043816816204</v>
      </c>
      <c r="CX144" s="3">
        <f ca="1">IFERROR(__xludf.DUMMYFUNCTION("""COMPUTED_VALUE"""),-0.509786666486558)</f>
        <v>-0.50978666648655802</v>
      </c>
      <c r="CY144" s="3">
        <f ca="1">IFERROR(__xludf.DUMMYFUNCTION("""COMPUTED_VALUE"""),-0.471905129613673)</f>
        <v>-0.47190512961367298</v>
      </c>
      <c r="CZ144" s="3">
        <f ca="1">IFERROR(__xludf.DUMMYFUNCTION("""COMPUTED_VALUE"""),-0.715323212477324)</f>
        <v>-0.715323212477324</v>
      </c>
      <c r="DA144" s="3">
        <f ca="1">IFERROR(__xludf.DUMMYFUNCTION("""COMPUTED_VALUE"""),-0.583158203527202)</f>
        <v>-0.58315820352720205</v>
      </c>
      <c r="DB144" s="3">
        <f ca="1">IFERROR(__xludf.DUMMYFUNCTION("""COMPUTED_VALUE"""),-0.481150463222778)</f>
        <v>-0.48115046322277799</v>
      </c>
      <c r="DC144" s="3">
        <f ca="1">IFERROR(__xludf.DUMMYFUNCTION("""COMPUTED_VALUE"""),-0.569467457473286)</f>
        <v>-0.56946745747328598</v>
      </c>
      <c r="DD144" s="3">
        <f ca="1">IFERROR(__xludf.DUMMYFUNCTION("""COMPUTED_VALUE"""),-0.617763230446597)</f>
        <v>-0.61776323044659698</v>
      </c>
      <c r="DE144" s="3">
        <f ca="1">IFERROR(__xludf.DUMMYFUNCTION("""COMPUTED_VALUE"""),-0.511302586140918)</f>
        <v>-0.51130258614091795</v>
      </c>
      <c r="DF144" s="3">
        <f ca="1">IFERROR(__xludf.DUMMYFUNCTION("""COMPUTED_VALUE"""),-0.520055924748919)</f>
        <v>-0.52005592474891904</v>
      </c>
      <c r="DG144" s="3">
        <f ca="1">IFERROR(__xludf.DUMMYFUNCTION("""COMPUTED_VALUE"""),-0.845912858937866)</f>
        <v>-0.84591285893786605</v>
      </c>
      <c r="DH144" s="3">
        <f ca="1">IFERROR(__xludf.DUMMYFUNCTION("""COMPUTED_VALUE"""),-0.548568167630594)</f>
        <v>-0.54856816763059402</v>
      </c>
      <c r="DI144" s="3">
        <f ca="1">IFERROR(__xludf.DUMMYFUNCTION("""COMPUTED_VALUE"""),-0.224289528392694)</f>
        <v>-0.224289528392694</v>
      </c>
      <c r="DJ144" s="3">
        <f ca="1">IFERROR(__xludf.DUMMYFUNCTION("""COMPUTED_VALUE"""),-0.518850942819333)</f>
        <v>-0.51885094281933297</v>
      </c>
      <c r="DK144" s="3">
        <f ca="1">IFERROR(__xludf.DUMMYFUNCTION("""COMPUTED_VALUE"""),-0.58221291479234)</f>
        <v>-0.58221291479234005</v>
      </c>
      <c r="DL144" s="3">
        <f ca="1">IFERROR(__xludf.DUMMYFUNCTION("""COMPUTED_VALUE"""),-0.560341185791666)</f>
        <v>-0.56034118579166603</v>
      </c>
      <c r="DM144" s="3">
        <f ca="1">IFERROR(__xludf.DUMMYFUNCTION("""COMPUTED_VALUE"""),-0.476525506981686)</f>
        <v>-0.476525506981686</v>
      </c>
      <c r="DN144" s="3">
        <f ca="1">IFERROR(__xludf.DUMMYFUNCTION("""COMPUTED_VALUE"""),-0.580686337372812)</f>
        <v>-0.58068633737281194</v>
      </c>
      <c r="DO144" s="3">
        <f ca="1">IFERROR(__xludf.DUMMYFUNCTION("""COMPUTED_VALUE"""),-0.501443100742848)</f>
        <v>-0.50144310074284804</v>
      </c>
      <c r="DP144" s="3">
        <f ca="1">IFERROR(__xludf.DUMMYFUNCTION("""COMPUTED_VALUE"""),-0.525980117211466)</f>
        <v>-0.52598011721146598</v>
      </c>
      <c r="DQ144" s="3">
        <f ca="1">IFERROR(__xludf.DUMMYFUNCTION("""COMPUTED_VALUE"""),-0.501049306350346)</f>
        <v>-0.50104930635034595</v>
      </c>
      <c r="DR144" s="3">
        <f ca="1">IFERROR(__xludf.DUMMYFUNCTION("""COMPUTED_VALUE"""),-0.592908662917741)</f>
        <v>-0.59290866291774103</v>
      </c>
      <c r="DS144" s="3">
        <f ca="1">IFERROR(__xludf.DUMMYFUNCTION("""COMPUTED_VALUE"""),-0.540293143592445)</f>
        <v>-0.54029314359244496</v>
      </c>
      <c r="DT144" s="3">
        <f ca="1">IFERROR(__xludf.DUMMYFUNCTION("""COMPUTED_VALUE"""),-0.565087930034882)</f>
        <v>-0.565087930034882</v>
      </c>
      <c r="DU144" s="3">
        <f ca="1">IFERROR(__xludf.DUMMYFUNCTION("""COMPUTED_VALUE"""),-0.56971938397866)</f>
        <v>-0.56971938397865995</v>
      </c>
      <c r="DV144" s="3">
        <f ca="1">IFERROR(__xludf.DUMMYFUNCTION("""COMPUTED_VALUE"""),-0.521140126292155)</f>
        <v>-0.521140126292155</v>
      </c>
      <c r="DW144" s="3">
        <f ca="1">IFERROR(__xludf.DUMMYFUNCTION("""COMPUTED_VALUE"""),-0.617234549373746)</f>
        <v>-0.617234549373746</v>
      </c>
      <c r="DX144" s="3">
        <f ca="1">IFERROR(__xludf.DUMMYFUNCTION("""COMPUTED_VALUE"""),-0.591521577032196)</f>
        <v>-0.59152157703219599</v>
      </c>
      <c r="DY144" s="3">
        <f ca="1">IFERROR(__xludf.DUMMYFUNCTION("""COMPUTED_VALUE"""),-0.629655381470846)</f>
        <v>-0.62965538147084599</v>
      </c>
      <c r="DZ144" s="3">
        <f ca="1">IFERROR(__xludf.DUMMYFUNCTION("""COMPUTED_VALUE"""),-0.517778746805879)</f>
        <v>-0.51777874680587899</v>
      </c>
      <c r="EA144" s="3">
        <f ca="1">IFERROR(__xludf.DUMMYFUNCTION("""COMPUTED_VALUE"""),-0.488601789739623)</f>
        <v>-0.48860178973962298</v>
      </c>
      <c r="EB144" s="3">
        <f ca="1">IFERROR(__xludf.DUMMYFUNCTION("""COMPUTED_VALUE"""),-0.61893012791888)</f>
        <v>-0.61893012791888002</v>
      </c>
      <c r="EC144" s="3">
        <f ca="1">IFERROR(__xludf.DUMMYFUNCTION("""COMPUTED_VALUE"""),-0.514837266174328)</f>
        <v>-0.51483726617432801</v>
      </c>
      <c r="ED144" s="3">
        <f ca="1">IFERROR(__xludf.DUMMYFUNCTION("""COMPUTED_VALUE"""),-0.686522109544893)</f>
        <v>-0.68652210954489301</v>
      </c>
      <c r="EE144" s="3">
        <f ca="1">IFERROR(__xludf.DUMMYFUNCTION("""COMPUTED_VALUE"""),-0.635878653576359)</f>
        <v>-0.63587865357635898</v>
      </c>
      <c r="EF144" s="3">
        <f ca="1">IFERROR(__xludf.DUMMYFUNCTION("""COMPUTED_VALUE"""),-0.602757798162454)</f>
        <v>-0.60275779816245401</v>
      </c>
      <c r="EG144" s="3">
        <f ca="1">IFERROR(__xludf.DUMMYFUNCTION("""COMPUTED_VALUE"""),-0.564856263507287)</f>
        <v>-0.56485626350728702</v>
      </c>
      <c r="EH144" s="3">
        <f ca="1">IFERROR(__xludf.DUMMYFUNCTION("""COMPUTED_VALUE"""),-0.564283168544691)</f>
        <v>-0.56428316854469096</v>
      </c>
      <c r="EI144" s="3">
        <f ca="1">IFERROR(__xludf.DUMMYFUNCTION("""COMPUTED_VALUE"""),-0.650621890514056)</f>
        <v>-0.65062189051405594</v>
      </c>
      <c r="EJ144" s="3">
        <f ca="1">IFERROR(__xludf.DUMMYFUNCTION("""COMPUTED_VALUE"""),-0.791395685128461)</f>
        <v>-0.79139568512846103</v>
      </c>
      <c r="EK144" s="3">
        <f ca="1">IFERROR(__xludf.DUMMYFUNCTION("""COMPUTED_VALUE"""),-0.656843082852116)</f>
        <v>-0.65684308285211601</v>
      </c>
      <c r="EL144" s="3">
        <f ca="1">IFERROR(__xludf.DUMMYFUNCTION("""COMPUTED_VALUE"""),-0.593529696448487)</f>
        <v>-0.59352969644848697</v>
      </c>
      <c r="EM144" s="3">
        <f ca="1">IFERROR(__xludf.DUMMYFUNCTION("""COMPUTED_VALUE"""),-0.616407873430762)</f>
        <v>-0.61640787343076198</v>
      </c>
      <c r="EN144" s="3">
        <f ca="1">IFERROR(__xludf.DUMMYFUNCTION("""COMPUTED_VALUE"""),-0.561386548040439)</f>
        <v>-0.56138654804043897</v>
      </c>
      <c r="EO144" s="3">
        <f ca="1">IFERROR(__xludf.DUMMYFUNCTION("""COMPUTED_VALUE"""),-0.593158315037143)</f>
        <v>-0.593158315037143</v>
      </c>
      <c r="EP144" s="3">
        <f ca="1">IFERROR(__xludf.DUMMYFUNCTION("""COMPUTED_VALUE"""),-0.571543967435511)</f>
        <v>-0.57154396743551095</v>
      </c>
      <c r="EQ144" s="3">
        <f ca="1">IFERROR(__xludf.DUMMYFUNCTION("""COMPUTED_VALUE"""),-0.520402556785118)</f>
        <v>-0.52040255678511804</v>
      </c>
      <c r="ER144" s="3">
        <f ca="1">IFERROR(__xludf.DUMMYFUNCTION("""COMPUTED_VALUE"""),-0.571185525966315)</f>
        <v>-0.571185525966315</v>
      </c>
      <c r="ES144" s="3">
        <f ca="1">IFERROR(__xludf.DUMMYFUNCTION("""COMPUTED_VALUE"""),-0.613280772944251)</f>
        <v>-0.61328077294425098</v>
      </c>
      <c r="ET144" s="3">
        <f ca="1">IFERROR(__xludf.DUMMYFUNCTION("""COMPUTED_VALUE"""),-0.644785753755319)</f>
        <v>-0.64478575375531899</v>
      </c>
      <c r="EU144" s="3">
        <f ca="1">IFERROR(__xludf.DUMMYFUNCTION("""COMPUTED_VALUE"""),-0.618228959331588)</f>
        <v>-0.61822895933158795</v>
      </c>
      <c r="EV144" s="3">
        <f ca="1">IFERROR(__xludf.DUMMYFUNCTION("""COMPUTED_VALUE"""),-0.615657004287524)</f>
        <v>-0.61565700428752401</v>
      </c>
      <c r="EW144" s="3">
        <f ca="1">IFERROR(__xludf.DUMMYFUNCTION("""COMPUTED_VALUE"""),-0.640078097785824)</f>
        <v>-0.64007809778582403</v>
      </c>
      <c r="EX144" s="3">
        <f ca="1">IFERROR(__xludf.DUMMYFUNCTION("""COMPUTED_VALUE"""),-0.724758476569072)</f>
        <v>-0.724758476569072</v>
      </c>
      <c r="EY144" s="3">
        <f ca="1">IFERROR(__xludf.DUMMYFUNCTION("""COMPUTED_VALUE"""),-0.743557071922624)</f>
        <v>-0.74355707192262399</v>
      </c>
      <c r="EZ144" s="3">
        <f ca="1">IFERROR(__xludf.DUMMYFUNCTION("""COMPUTED_VALUE"""),-0.65113435635037)</f>
        <v>-0.65113435635036998</v>
      </c>
      <c r="FA144" s="3">
        <f ca="1">IFERROR(__xludf.DUMMYFUNCTION("""COMPUTED_VALUE"""),-0.678755034042378)</f>
        <v>-0.67875503404237802</v>
      </c>
      <c r="FB144" s="3">
        <f ca="1">IFERROR(__xludf.DUMMYFUNCTION("""COMPUTED_VALUE"""),-0.62747844515822)</f>
        <v>-0.62747844515822004</v>
      </c>
      <c r="FC144" s="3">
        <f ca="1">IFERROR(__xludf.DUMMYFUNCTION("""COMPUTED_VALUE"""),-0.544570252482631)</f>
        <v>-0.54457025248263102</v>
      </c>
      <c r="FD144" s="3">
        <f ca="1">IFERROR(__xludf.DUMMYFUNCTION("""COMPUTED_VALUE"""),-0.623772273957045)</f>
        <v>-0.62377227395704504</v>
      </c>
      <c r="FE144" s="3">
        <f ca="1">IFERROR(__xludf.DUMMYFUNCTION("""COMPUTED_VALUE"""),-0.651689034173766)</f>
        <v>-0.651689034173766</v>
      </c>
      <c r="FF144" s="3">
        <f ca="1">IFERROR(__xludf.DUMMYFUNCTION("""COMPUTED_VALUE"""),-0.684431294308972)</f>
        <v>-0.68443129430897198</v>
      </c>
      <c r="FG144" s="3">
        <f ca="1">IFERROR(__xludf.DUMMYFUNCTION("""COMPUTED_VALUE"""),-0.690453375826788)</f>
        <v>-0.69045337582678801</v>
      </c>
      <c r="FH144" s="3">
        <f ca="1">IFERROR(__xludf.DUMMYFUNCTION("""COMPUTED_VALUE"""),-0.6218699692826)</f>
        <v>-0.62186996928259997</v>
      </c>
      <c r="FI144" s="3">
        <f ca="1">IFERROR(__xludf.DUMMYFUNCTION("""COMPUTED_VALUE"""),-0.652884539941849)</f>
        <v>-0.65288453994184903</v>
      </c>
      <c r="FJ144" s="3">
        <f ca="1">IFERROR(__xludf.DUMMYFUNCTION("""COMPUTED_VALUE"""),-0.594124960449351)</f>
        <v>-0.59412496044935104</v>
      </c>
      <c r="FK144" s="3">
        <f ca="1">IFERROR(__xludf.DUMMYFUNCTION("""COMPUTED_VALUE"""),-0.66460254847786)</f>
        <v>-0.66460254847786004</v>
      </c>
      <c r="FL144" s="3">
        <f ca="1">IFERROR(__xludf.DUMMYFUNCTION("""COMPUTED_VALUE"""),-0.639471364216702)</f>
        <v>-0.63947136421670203</v>
      </c>
      <c r="FM144" s="3">
        <f ca="1">IFERROR(__xludf.DUMMYFUNCTION("""COMPUTED_VALUE"""),-0.613972749620986)</f>
        <v>-0.61397274962098602</v>
      </c>
      <c r="FN144" s="3">
        <f ca="1">IFERROR(__xludf.DUMMYFUNCTION("""COMPUTED_VALUE"""),-0.702973766148684)</f>
        <v>-0.70297376614868401</v>
      </c>
      <c r="FO144" s="3">
        <f ca="1">IFERROR(__xludf.DUMMYFUNCTION("""COMPUTED_VALUE"""),-0.625890482258969)</f>
        <v>-0.62589048225896904</v>
      </c>
      <c r="FP144" s="3">
        <f ca="1">IFERROR(__xludf.DUMMYFUNCTION("""COMPUTED_VALUE"""),-0.677461292700464)</f>
        <v>-0.67746129270046396</v>
      </c>
      <c r="FQ144" s="3">
        <f ca="1">IFERROR(__xludf.DUMMYFUNCTION("""COMPUTED_VALUE"""),-0.560458742628059)</f>
        <v>-0.56045874262805895</v>
      </c>
      <c r="FR144" s="3">
        <f ca="1">IFERROR(__xludf.DUMMYFUNCTION("""COMPUTED_VALUE"""),-0.676864243931206)</f>
        <v>-0.67686424393120603</v>
      </c>
      <c r="FS144" s="3">
        <f ca="1">IFERROR(__xludf.DUMMYFUNCTION("""COMPUTED_VALUE"""),-0.668309045788434)</f>
        <v>-0.66830904578843398</v>
      </c>
      <c r="FT144" s="3">
        <f ca="1">IFERROR(__xludf.DUMMYFUNCTION("""COMPUTED_VALUE"""),-0.68125056325802)</f>
        <v>-0.68125056325802003</v>
      </c>
      <c r="FU144" s="3">
        <f ca="1">IFERROR(__xludf.DUMMYFUNCTION("""COMPUTED_VALUE"""),-0.652897423664489)</f>
        <v>-0.652897423664489</v>
      </c>
      <c r="FV144" s="3">
        <f ca="1">IFERROR(__xludf.DUMMYFUNCTION("""COMPUTED_VALUE"""),-0.640681352795504)</f>
        <v>-0.64068135279550398</v>
      </c>
      <c r="FW144" s="3">
        <f ca="1">IFERROR(__xludf.DUMMYFUNCTION("""COMPUTED_VALUE"""),-0.639880109648546)</f>
        <v>-0.63988010964854602</v>
      </c>
      <c r="FX144" s="3">
        <f ca="1">IFERROR(__xludf.DUMMYFUNCTION("""COMPUTED_VALUE"""),-0.604910839279285)</f>
        <v>-0.60491083927928502</v>
      </c>
      <c r="FY144" s="3">
        <f ca="1">IFERROR(__xludf.DUMMYFUNCTION("""COMPUTED_VALUE"""),-0.631219021918054)</f>
        <v>-0.63121902191805401</v>
      </c>
      <c r="FZ144" s="3">
        <f ca="1">IFERROR(__xludf.DUMMYFUNCTION("""COMPUTED_VALUE"""),-0.661757279604661)</f>
        <v>-0.66175727960466102</v>
      </c>
      <c r="GA144" s="3">
        <f ca="1">IFERROR(__xludf.DUMMYFUNCTION("""COMPUTED_VALUE"""),-0.710155157764338)</f>
        <v>-0.71015515776433802</v>
      </c>
      <c r="GB144" s="3">
        <f ca="1">IFERROR(__xludf.DUMMYFUNCTION("""COMPUTED_VALUE"""),-0.650243664868046)</f>
        <v>-0.65024366486804597</v>
      </c>
      <c r="GC144" s="3">
        <f ca="1">IFERROR(__xludf.DUMMYFUNCTION("""COMPUTED_VALUE"""),-0.631359731539172)</f>
        <v>-0.63135973153917202</v>
      </c>
      <c r="GD144" s="3">
        <f ca="1">IFERROR(__xludf.DUMMYFUNCTION("""COMPUTED_VALUE"""),-0.61619921307677)</f>
        <v>-0.61619921307676995</v>
      </c>
      <c r="GE144" s="3">
        <f ca="1">IFERROR(__xludf.DUMMYFUNCTION("""COMPUTED_VALUE"""),-0.598825481014473)</f>
        <v>-0.59882548101447297</v>
      </c>
      <c r="GF144" s="3">
        <f ca="1">IFERROR(__xludf.DUMMYFUNCTION("""COMPUTED_VALUE"""),-0.664458304427066)</f>
        <v>-0.66445830442706599</v>
      </c>
      <c r="GG144" s="3">
        <f ca="1">IFERROR(__xludf.DUMMYFUNCTION("""COMPUTED_VALUE"""),-0.675595640106683)</f>
        <v>-0.67559564010668305</v>
      </c>
      <c r="GH144" s="3">
        <f ca="1">IFERROR(__xludf.DUMMYFUNCTION("""COMPUTED_VALUE"""),-0.686698535919013)</f>
        <v>-0.68669853591901298</v>
      </c>
      <c r="GI144" s="3">
        <f ca="1">IFERROR(__xludf.DUMMYFUNCTION("""COMPUTED_VALUE"""),-0.6908522043237)</f>
        <v>-0.69085220432369998</v>
      </c>
      <c r="GJ144" s="3">
        <f ca="1">IFERROR(__xludf.DUMMYFUNCTION("""COMPUTED_VALUE"""),-0.688347500722088)</f>
        <v>-0.68834750072208795</v>
      </c>
      <c r="GK144" s="3">
        <f ca="1">IFERROR(__xludf.DUMMYFUNCTION("""COMPUTED_VALUE"""),-0.619233520208397)</f>
        <v>-0.61923352020839695</v>
      </c>
      <c r="GL144" s="3">
        <f ca="1">IFERROR(__xludf.DUMMYFUNCTION("""COMPUTED_VALUE"""),-0.55768813051167)</f>
        <v>-0.55768813051166999</v>
      </c>
      <c r="GM144" s="3">
        <f ca="1">IFERROR(__xludf.DUMMYFUNCTION("""COMPUTED_VALUE"""),-0.618337694966139)</f>
        <v>-0.618337694966139</v>
      </c>
      <c r="GN144" s="3">
        <f ca="1">IFERROR(__xludf.DUMMYFUNCTION("""COMPUTED_VALUE"""),-0.66338592300378)</f>
        <v>-0.66338592300377996</v>
      </c>
      <c r="GO144" s="3">
        <f ca="1">IFERROR(__xludf.DUMMYFUNCTION("""COMPUTED_VALUE"""),-0.729395622417644)</f>
        <v>-0.729395622417644</v>
      </c>
      <c r="GP144" s="3">
        <f ca="1">IFERROR(__xludf.DUMMYFUNCTION("""COMPUTED_VALUE"""),-0.65274834125045)</f>
        <v>-0.65274834125045</v>
      </c>
      <c r="GQ144" s="3">
        <f ca="1">IFERROR(__xludf.DUMMYFUNCTION("""COMPUTED_VALUE"""),-0.670407240293595)</f>
        <v>-0.670407240293595</v>
      </c>
      <c r="GR144" s="3">
        <f ca="1">IFERROR(__xludf.DUMMYFUNCTION("""COMPUTED_VALUE"""),-0.643924017880636)</f>
        <v>-0.64392401788063602</v>
      </c>
      <c r="GS144" s="3">
        <f ca="1">IFERROR(__xludf.DUMMYFUNCTION("""COMPUTED_VALUE"""),-0.660944589381551)</f>
        <v>-0.66094458938155098</v>
      </c>
      <c r="GT144" s="3">
        <f ca="1">IFERROR(__xludf.DUMMYFUNCTION("""COMPUTED_VALUE"""),-0.622273513251419)</f>
        <v>-0.622273513251419</v>
      </c>
      <c r="GU144" s="3">
        <f ca="1">IFERROR(__xludf.DUMMYFUNCTION("""COMPUTED_VALUE"""),-0.601422084407576)</f>
        <v>-0.60142208440757605</v>
      </c>
      <c r="GV144" s="3">
        <f ca="1">IFERROR(__xludf.DUMMYFUNCTION("""COMPUTED_VALUE"""),-0.727656497413744)</f>
        <v>-0.72765649741374405</v>
      </c>
      <c r="GW144" s="3">
        <f ca="1">IFERROR(__xludf.DUMMYFUNCTION("""COMPUTED_VALUE"""),-0.676181195829207)</f>
        <v>-0.67618119582920699</v>
      </c>
      <c r="GX144" s="3">
        <f ca="1">IFERROR(__xludf.DUMMYFUNCTION("""COMPUTED_VALUE"""),-0.621242046940537)</f>
        <v>-0.62124204694053697</v>
      </c>
      <c r="GY144" s="3">
        <f ca="1">IFERROR(__xludf.DUMMYFUNCTION("""COMPUTED_VALUE"""),-0.607789323368938)</f>
        <v>-0.60778932336893798</v>
      </c>
      <c r="GZ144" s="3">
        <f ca="1">IFERROR(__xludf.DUMMYFUNCTION("""COMPUTED_VALUE"""),-0.590547347057297)</f>
        <v>-0.59054734705729695</v>
      </c>
      <c r="HA144" s="3">
        <f ca="1">IFERROR(__xludf.DUMMYFUNCTION("""COMPUTED_VALUE"""),-0.634170009104478)</f>
        <v>-0.63417000910447796</v>
      </c>
      <c r="HB144" s="3">
        <f ca="1">IFERROR(__xludf.DUMMYFUNCTION("""COMPUTED_VALUE"""),-0.695283071393791)</f>
        <v>-0.69528307139379097</v>
      </c>
      <c r="HC144" s="3">
        <f ca="1">IFERROR(__xludf.DUMMYFUNCTION("""COMPUTED_VALUE"""),-0.684415706194261)</f>
        <v>-0.68441570619426095</v>
      </c>
      <c r="HD144" s="3">
        <f ca="1">IFERROR(__xludf.DUMMYFUNCTION("""COMPUTED_VALUE"""),-0.69133073171353)</f>
        <v>-0.69133073171352999</v>
      </c>
      <c r="HE144" s="3">
        <f ca="1">IFERROR(__xludf.DUMMYFUNCTION("""COMPUTED_VALUE"""),-0.711399790277998)</f>
        <v>-0.71139979027799805</v>
      </c>
      <c r="HF144" s="3">
        <f ca="1">IFERROR(__xludf.DUMMYFUNCTION("""COMPUTED_VALUE"""),-0.625833936572532)</f>
        <v>-0.62583393657253195</v>
      </c>
      <c r="HG144" s="3">
        <f ca="1">IFERROR(__xludf.DUMMYFUNCTION("""COMPUTED_VALUE"""),-0.601264955794197)</f>
        <v>-0.60126495579419703</v>
      </c>
      <c r="HH144" s="3">
        <f ca="1">IFERROR(__xludf.DUMMYFUNCTION("""COMPUTED_VALUE"""),-0.689096832659766)</f>
        <v>-0.68909683265976596</v>
      </c>
      <c r="HI144" s="3">
        <f ca="1">IFERROR(__xludf.DUMMYFUNCTION("""COMPUTED_VALUE"""),-0.726140659404492)</f>
        <v>-0.72614065940449202</v>
      </c>
      <c r="HJ144" s="3">
        <f ca="1">IFERROR(__xludf.DUMMYFUNCTION("""COMPUTED_VALUE"""),-0.683646562791196)</f>
        <v>-0.68364656279119596</v>
      </c>
      <c r="HK144" s="3">
        <f ca="1">IFERROR(__xludf.DUMMYFUNCTION("""COMPUTED_VALUE"""),-0.638971976433428)</f>
        <v>-0.63897197643342796</v>
      </c>
      <c r="HL144" s="3">
        <f ca="1">IFERROR(__xludf.DUMMYFUNCTION("""COMPUTED_VALUE"""),-0.70789101820928)</f>
        <v>-0.70789101820928002</v>
      </c>
      <c r="HM144" s="3">
        <f ca="1">IFERROR(__xludf.DUMMYFUNCTION("""COMPUTED_VALUE"""),-0.487671191350652)</f>
        <v>-0.48767119135065201</v>
      </c>
      <c r="HN144" s="3">
        <f ca="1">IFERROR(__xludf.DUMMYFUNCTION("""COMPUTED_VALUE"""),-0.552314288055703)</f>
        <v>-0.55231428805570304</v>
      </c>
      <c r="HO144" s="3">
        <f ca="1">IFERROR(__xludf.DUMMYFUNCTION("""COMPUTED_VALUE"""),-0.61700129206649)</f>
        <v>-0.61700129206649001</v>
      </c>
      <c r="HP144" s="3">
        <f ca="1">IFERROR(__xludf.DUMMYFUNCTION("""COMPUTED_VALUE"""),-0.620147030385037)</f>
        <v>-0.62014703038503705</v>
      </c>
      <c r="HQ144" s="3">
        <f ca="1">IFERROR(__xludf.DUMMYFUNCTION("""COMPUTED_VALUE"""),-0.665706761262856)</f>
        <v>-0.66570676126285599</v>
      </c>
      <c r="HR144" s="3">
        <f ca="1">IFERROR(__xludf.DUMMYFUNCTION("""COMPUTED_VALUE"""),-0.656454782684336)</f>
        <v>-0.65645478268433599</v>
      </c>
      <c r="HS144" s="3">
        <f ca="1">IFERROR(__xludf.DUMMYFUNCTION("""COMPUTED_VALUE"""),-0.55811904786906)</f>
        <v>-0.55811904786905997</v>
      </c>
      <c r="HT144" s="3">
        <f ca="1">IFERROR(__xludf.DUMMYFUNCTION("""COMPUTED_VALUE"""),-0.556979174327228)</f>
        <v>-0.55697917432722799</v>
      </c>
      <c r="HU144" s="3">
        <f ca="1">IFERROR(__xludf.DUMMYFUNCTION("""COMPUTED_VALUE"""),-0.508143088668774)</f>
        <v>-0.508143088668774</v>
      </c>
      <c r="HV144" s="3">
        <f ca="1">IFERROR(__xludf.DUMMYFUNCTION("""COMPUTED_VALUE"""),-0.66201466713974)</f>
        <v>-0.66201466713974</v>
      </c>
      <c r="HW144" s="3">
        <f ca="1">IFERROR(__xludf.DUMMYFUNCTION("""COMPUTED_VALUE"""),-0.66408659208828)</f>
        <v>-0.66408659208828003</v>
      </c>
      <c r="HX144" s="3">
        <f ca="1">IFERROR(__xludf.DUMMYFUNCTION("""COMPUTED_VALUE"""),-0.73567602656204)</f>
        <v>-0.73567602656204001</v>
      </c>
      <c r="HY144" s="3">
        <f ca="1">IFERROR(__xludf.DUMMYFUNCTION("""COMPUTED_VALUE"""),-0.647049650091073)</f>
        <v>-0.64704965009107296</v>
      </c>
      <c r="HZ144" s="3">
        <f ca="1">IFERROR(__xludf.DUMMYFUNCTION("""COMPUTED_VALUE"""),-0.482357821622964)</f>
        <v>-0.48235782162296398</v>
      </c>
      <c r="IA144" s="3">
        <f ca="1">IFERROR(__xludf.DUMMYFUNCTION("""COMPUTED_VALUE"""),-0.527850343021132)</f>
        <v>-0.52785034302113198</v>
      </c>
      <c r="IB144" s="3">
        <f ca="1">IFERROR(__xludf.DUMMYFUNCTION("""COMPUTED_VALUE"""),-0.620032539817696)</f>
        <v>-0.62003253981769602</v>
      </c>
      <c r="IC144" s="3">
        <f ca="1">IFERROR(__xludf.DUMMYFUNCTION("""COMPUTED_VALUE"""),-0.644904536395183)</f>
        <v>-0.64490453639518297</v>
      </c>
      <c r="ID144" s="3">
        <f ca="1">IFERROR(__xludf.DUMMYFUNCTION("""COMPUTED_VALUE"""),-0.723027336745167)</f>
        <v>-0.72302733674516695</v>
      </c>
      <c r="IE144" s="3">
        <f ca="1">IFERROR(__xludf.DUMMYFUNCTION("""COMPUTED_VALUE"""),-0.672082966323436)</f>
        <v>-0.672082966323436</v>
      </c>
      <c r="IF144" s="3">
        <f ca="1">IFERROR(__xludf.DUMMYFUNCTION("""COMPUTED_VALUE"""),-0.714044638958866)</f>
        <v>-0.71404463895886605</v>
      </c>
      <c r="IG144" s="3">
        <f ca="1">IFERROR(__xludf.DUMMYFUNCTION("""COMPUTED_VALUE"""),-0.665232997317295)</f>
        <v>-0.66523299731729502</v>
      </c>
      <c r="IH144" s="3">
        <f ca="1">IFERROR(__xludf.DUMMYFUNCTION("""COMPUTED_VALUE"""),-0.446208862192285)</f>
        <v>-0.44620886219228501</v>
      </c>
      <c r="II144" s="3">
        <f ca="1">IFERROR(__xludf.DUMMYFUNCTION("""COMPUTED_VALUE"""),-0.561032072984491)</f>
        <v>-0.56103207298449098</v>
      </c>
      <c r="IJ144" s="3">
        <f ca="1">IFERROR(__xludf.DUMMYFUNCTION("""COMPUTED_VALUE"""),-0.596748252530419)</f>
        <v>-0.59674825253041897</v>
      </c>
      <c r="IK144" s="3">
        <f ca="1">IFERROR(__xludf.DUMMYFUNCTION("""COMPUTED_VALUE"""),-0.69623754542435)</f>
        <v>-0.69623754542435001</v>
      </c>
      <c r="IL144" s="3">
        <f ca="1">IFERROR(__xludf.DUMMYFUNCTION("""COMPUTED_VALUE"""),-0.67674875388002)</f>
        <v>-0.67674875388001998</v>
      </c>
      <c r="IM144" s="3">
        <f ca="1">IFERROR(__xludf.DUMMYFUNCTION("""COMPUTED_VALUE"""),-0.694305538245515)</f>
        <v>-0.694305538245515</v>
      </c>
      <c r="IN144" s="3">
        <f ca="1">IFERROR(__xludf.DUMMYFUNCTION("""COMPUTED_VALUE"""),-0.68335289605749)</f>
        <v>-0.68335289605748994</v>
      </c>
      <c r="IO144" s="3">
        <f ca="1">IFERROR(__xludf.DUMMYFUNCTION("""COMPUTED_VALUE"""),-0.584619190977832)</f>
        <v>-0.58461919097783199</v>
      </c>
      <c r="IP144" s="3">
        <f ca="1">IFERROR(__xludf.DUMMYFUNCTION("""COMPUTED_VALUE"""),-0.463003478534968)</f>
        <v>-0.46300347853496798</v>
      </c>
      <c r="IQ144" s="3">
        <f ca="1">IFERROR(__xludf.DUMMYFUNCTION("""COMPUTED_VALUE"""),-0.42942491141584)</f>
        <v>-0.42942491141583999</v>
      </c>
      <c r="IR144" s="3">
        <f ca="1">IFERROR(__xludf.DUMMYFUNCTION("""COMPUTED_VALUE"""),-0.639552942227035)</f>
        <v>-0.63955294222703496</v>
      </c>
      <c r="IS144" s="3">
        <f ca="1">IFERROR(__xludf.DUMMYFUNCTION("""COMPUTED_VALUE"""),-0.671964671467837)</f>
        <v>-0.671964671467837</v>
      </c>
      <c r="IT144" s="3">
        <f ca="1">IFERROR(__xludf.DUMMYFUNCTION("""COMPUTED_VALUE"""),-0.654245160195678)</f>
        <v>-0.65424516019567802</v>
      </c>
      <c r="IU144" s="3">
        <f ca="1">IFERROR(__xludf.DUMMYFUNCTION("""COMPUTED_VALUE"""),-0.564454040014036)</f>
        <v>-0.56445404001403598</v>
      </c>
      <c r="IV144" s="3">
        <f ca="1">IFERROR(__xludf.DUMMYFUNCTION("""COMPUTED_VALUE"""),-0.442664861932346)</f>
        <v>-0.442664861932346</v>
      </c>
      <c r="IW144" s="3">
        <f ca="1">IFERROR(__xludf.DUMMYFUNCTION("""COMPUTED_VALUE"""),-0.587943339467045)</f>
        <v>-0.58794333946704502</v>
      </c>
      <c r="IX144" s="3">
        <f ca="1">IFERROR(__xludf.DUMMYFUNCTION("""COMPUTED_VALUE"""),-0.530849556757635)</f>
        <v>-0.53084955675763501</v>
      </c>
      <c r="IY144" s="3">
        <f ca="1">IFERROR(__xludf.DUMMYFUNCTION("""COMPUTED_VALUE"""),-0.661473945302246)</f>
        <v>-0.66147394530224601</v>
      </c>
      <c r="IZ144" s="3">
        <f ca="1">IFERROR(__xludf.DUMMYFUNCTION("""COMPUTED_VALUE"""),-0.667226282767325)</f>
        <v>-0.66722628276732499</v>
      </c>
      <c r="JA144" s="3">
        <f ca="1">IFERROR(__xludf.DUMMYFUNCTION("""COMPUTED_VALUE"""),-0.651302983032644)</f>
        <v>-0.651302983032644</v>
      </c>
      <c r="JB144" s="3">
        <f ca="1">IFERROR(__xludf.DUMMYFUNCTION("""COMPUTED_VALUE"""),-0.584212033504519)</f>
        <v>-0.584212033504519</v>
      </c>
      <c r="JC144" s="3">
        <f ca="1">IFERROR(__xludf.DUMMYFUNCTION("""COMPUTED_VALUE"""),-0.494244248389681)</f>
        <v>-0.49424424838968101</v>
      </c>
      <c r="JD144" s="3">
        <f ca="1">IFERROR(__xludf.DUMMYFUNCTION("""COMPUTED_VALUE"""),-0.438387841007429)</f>
        <v>-0.438387841007429</v>
      </c>
      <c r="JE144" s="3">
        <f ca="1">IFERROR(__xludf.DUMMYFUNCTION("""COMPUTED_VALUE"""),-0.66561913309414)</f>
        <v>-0.66561913309414</v>
      </c>
      <c r="JF144" s="3">
        <f ca="1">IFERROR(__xludf.DUMMYFUNCTION("""COMPUTED_VALUE"""),-0.689715344617928)</f>
        <v>-0.68971534461792805</v>
      </c>
      <c r="JG144" s="3">
        <f ca="1">IFERROR(__xludf.DUMMYFUNCTION("""COMPUTED_VALUE"""),-0.689287101550067)</f>
        <v>-0.68928710155006701</v>
      </c>
      <c r="JH144" s="3">
        <f ca="1">IFERROR(__xludf.DUMMYFUNCTION("""COMPUTED_VALUE"""),-0.655932827401677)</f>
        <v>-0.65593282740167702</v>
      </c>
      <c r="JI144" s="3">
        <f ca="1">IFERROR(__xludf.DUMMYFUNCTION("""COMPUTED_VALUE"""),-0.601589315911718)</f>
        <v>-0.60158931591171805</v>
      </c>
      <c r="JJ144" s="3">
        <f ca="1">IFERROR(__xludf.DUMMYFUNCTION("""COMPUTED_VALUE"""),-0.474823361047839)</f>
        <v>-0.47482336104783901</v>
      </c>
      <c r="JK144" s="3">
        <f ca="1">IFERROR(__xludf.DUMMYFUNCTION("""COMPUTED_VALUE"""),-0.539603939596898)</f>
        <v>-0.53960393959689801</v>
      </c>
      <c r="JL144" s="3">
        <f ca="1">IFERROR(__xludf.DUMMYFUNCTION("""COMPUTED_VALUE"""),-0.628731836180938)</f>
        <v>-0.62873183618093798</v>
      </c>
      <c r="JM144" s="3">
        <f ca="1">IFERROR(__xludf.DUMMYFUNCTION("""COMPUTED_VALUE"""),-0.678704368792546)</f>
        <v>-0.67870436879254603</v>
      </c>
      <c r="JN144" s="3">
        <f ca="1">IFERROR(__xludf.DUMMYFUNCTION("""COMPUTED_VALUE"""),-0.612998823771163)</f>
        <v>-0.61299882377116299</v>
      </c>
      <c r="JO144" s="3">
        <f ca="1">IFERROR(__xludf.DUMMYFUNCTION("""COMPUTED_VALUE"""),-0.664285434733736)</f>
        <v>-0.66428543473373602</v>
      </c>
      <c r="JP144" s="3">
        <f ca="1">IFERROR(__xludf.DUMMYFUNCTION("""COMPUTED_VALUE"""),-0.603900083163539)</f>
        <v>-0.60390008316353905</v>
      </c>
      <c r="JQ144" s="3">
        <f ca="1">IFERROR(__xludf.DUMMYFUNCTION("""COMPUTED_VALUE"""),-0.379128414228968)</f>
        <v>-0.37912841422896798</v>
      </c>
      <c r="JR144" s="3">
        <f ca="1">IFERROR(__xludf.DUMMYFUNCTION("""COMPUTED_VALUE"""),-0.63928881954317)</f>
        <v>-0.63928881954316996</v>
      </c>
      <c r="JS144" s="3">
        <f ca="1">IFERROR(__xludf.DUMMYFUNCTION("""COMPUTED_VALUE"""),-0.611908695766096)</f>
        <v>-0.61190869576609597</v>
      </c>
      <c r="JT144" s="3">
        <f ca="1">IFERROR(__xludf.DUMMYFUNCTION("""COMPUTED_VALUE"""),-0.657810785271558)</f>
        <v>-0.65781078527155801</v>
      </c>
      <c r="JU144" s="3">
        <f ca="1">IFERROR(__xludf.DUMMYFUNCTION("""COMPUTED_VALUE"""),-0.638302956294009)</f>
        <v>-0.63830295629400902</v>
      </c>
      <c r="JV144" s="3">
        <f ca="1">IFERROR(__xludf.DUMMYFUNCTION("""COMPUTED_VALUE"""),-0.649009798856795)</f>
        <v>-0.64900979885679499</v>
      </c>
      <c r="JW144" s="3">
        <f ca="1">IFERROR(__xludf.DUMMYFUNCTION("""COMPUTED_VALUE"""),-0.669882458820118)</f>
        <v>-0.66988245882011799</v>
      </c>
      <c r="JX144" s="3">
        <f ca="1">IFERROR(__xludf.DUMMYFUNCTION("""COMPUTED_VALUE"""),-0.533310611056031)</f>
        <v>-0.53331061105603095</v>
      </c>
      <c r="JY144" s="3">
        <f ca="1">IFERROR(__xludf.DUMMYFUNCTION("""COMPUTED_VALUE"""),-0.709697149718088)</f>
        <v>-0.70969714971808795</v>
      </c>
      <c r="JZ144" s="3">
        <f ca="1">IFERROR(__xludf.DUMMYFUNCTION("""COMPUTED_VALUE"""),-0.617551258666183)</f>
        <v>-0.61755125866618299</v>
      </c>
      <c r="KA144" s="3">
        <f ca="1">IFERROR(__xludf.DUMMYFUNCTION("""COMPUTED_VALUE"""),-0.592108934204055)</f>
        <v>-0.59210893420405497</v>
      </c>
      <c r="KB144" s="3">
        <f ca="1">IFERROR(__xludf.DUMMYFUNCTION("""COMPUTED_VALUE"""),-0.677658226753888)</f>
        <v>-0.67765822675388798</v>
      </c>
      <c r="KC144" s="3">
        <f ca="1">IFERROR(__xludf.DUMMYFUNCTION("""COMPUTED_VALUE"""),-0.648617579750917)</f>
        <v>-0.64861757975091705</v>
      </c>
      <c r="KD144" s="3">
        <f ca="1">IFERROR(__xludf.DUMMYFUNCTION("""COMPUTED_VALUE"""),-0.618435056057027)</f>
        <v>-0.61843505605702698</v>
      </c>
      <c r="KE144" s="3">
        <f ca="1">IFERROR(__xludf.DUMMYFUNCTION("""COMPUTED_VALUE"""),-0.425783671826444)</f>
        <v>-0.425783671826444</v>
      </c>
      <c r="KF144" s="3">
        <f ca="1">IFERROR(__xludf.DUMMYFUNCTION("""COMPUTED_VALUE"""),-0.479064901931236)</f>
        <v>-0.47906490193123602</v>
      </c>
      <c r="KG144" s="3">
        <f ca="1">IFERROR(__xludf.DUMMYFUNCTION("""COMPUTED_VALUE"""),-0.551641123173099)</f>
        <v>-0.55164112317309899</v>
      </c>
      <c r="KH144" s="3">
        <f ca="1">IFERROR(__xludf.DUMMYFUNCTION("""COMPUTED_VALUE"""),-0.689665697475082)</f>
        <v>-0.689665697475082</v>
      </c>
      <c r="KI144" s="3">
        <f ca="1">IFERROR(__xludf.DUMMYFUNCTION("""COMPUTED_VALUE"""),-0.626163819995171)</f>
        <v>-0.62616381999517101</v>
      </c>
      <c r="KJ144" s="3">
        <f ca="1">IFERROR(__xludf.DUMMYFUNCTION("""COMPUTED_VALUE"""),-0.605665857385026)</f>
        <v>-0.60566585738502599</v>
      </c>
      <c r="KK144" s="3">
        <f ca="1">IFERROR(__xludf.DUMMYFUNCTION("""COMPUTED_VALUE"""),-0.618160686038751)</f>
        <v>-0.61816068603875096</v>
      </c>
      <c r="KL144" s="3">
        <f ca="1">IFERROR(__xludf.DUMMYFUNCTION("""COMPUTED_VALUE"""),-0.493139037714154)</f>
        <v>-0.49313903771415402</v>
      </c>
      <c r="KM144" s="3">
        <f ca="1">IFERROR(__xludf.DUMMYFUNCTION("""COMPUTED_VALUE"""),-0.509705183617519)</f>
        <v>-0.50970518361751904</v>
      </c>
      <c r="KN144" s="3">
        <f ca="1">IFERROR(__xludf.DUMMYFUNCTION("""COMPUTED_VALUE"""),-0.610206755089107)</f>
        <v>-0.61020675508910704</v>
      </c>
      <c r="KO144" s="3">
        <f ca="1">IFERROR(__xludf.DUMMYFUNCTION("""COMPUTED_VALUE"""),-0.477863816848426)</f>
        <v>-0.47786381684842599</v>
      </c>
      <c r="KP144" s="3">
        <f ca="1">IFERROR(__xludf.DUMMYFUNCTION("""COMPUTED_VALUE"""),-0.50484937418892)</f>
        <v>-0.50484937418891995</v>
      </c>
      <c r="KQ144" s="3">
        <f ca="1">IFERROR(__xludf.DUMMYFUNCTION("""COMPUTED_VALUE"""),-0.595068274927251)</f>
        <v>-0.59506827492725101</v>
      </c>
      <c r="KR144" s="3">
        <f ca="1">IFERROR(__xludf.DUMMYFUNCTION("""COMPUTED_VALUE"""),-0.512072778426698)</f>
        <v>-0.51207277842669796</v>
      </c>
      <c r="KS144" s="3">
        <f ca="1">IFERROR(__xludf.DUMMYFUNCTION("""COMPUTED_VALUE"""),-0.381601718393774)</f>
        <v>-0.38160171839377399</v>
      </c>
      <c r="KT144" s="3">
        <f ca="1">IFERROR(__xludf.DUMMYFUNCTION("""COMPUTED_VALUE"""),-0.506939693482314)</f>
        <v>-0.50693969348231405</v>
      </c>
      <c r="KU144" s="3">
        <f ca="1">IFERROR(__xludf.DUMMYFUNCTION("""COMPUTED_VALUE"""),-0.473009017127141)</f>
        <v>-0.473009017127141</v>
      </c>
      <c r="KV144" s="3">
        <f ca="1">IFERROR(__xludf.DUMMYFUNCTION("""COMPUTED_VALUE"""),-0.490715686811981)</f>
        <v>-0.49071568681198102</v>
      </c>
      <c r="KW144" s="3">
        <f ca="1">IFERROR(__xludf.DUMMYFUNCTION("""COMPUTED_VALUE"""),-0.589309650486286)</f>
        <v>-0.58930965048628603</v>
      </c>
      <c r="KX144" s="3">
        <f ca="1">IFERROR(__xludf.DUMMYFUNCTION("""COMPUTED_VALUE"""),-0.51924456507487)</f>
        <v>-0.51924456507487005</v>
      </c>
      <c r="KY144" s="3">
        <f ca="1">IFERROR(__xludf.DUMMYFUNCTION("""COMPUTED_VALUE"""),-0.600898458810741)</f>
        <v>-0.600898458810741</v>
      </c>
      <c r="KZ144" s="3">
        <f ca="1">IFERROR(__xludf.DUMMYFUNCTION("""COMPUTED_VALUE"""),-0.457748077368134)</f>
        <v>-0.457748077368134</v>
      </c>
      <c r="LA144" s="3">
        <f ca="1">IFERROR(__xludf.DUMMYFUNCTION("""COMPUTED_VALUE"""),-0.658817334866409)</f>
        <v>-0.65881733486640903</v>
      </c>
      <c r="LB144" s="3">
        <f ca="1">IFERROR(__xludf.DUMMYFUNCTION("""COMPUTED_VALUE"""),-0.473111869126472)</f>
        <v>-0.47311186912647202</v>
      </c>
      <c r="LC144" s="3">
        <f ca="1">IFERROR(__xludf.DUMMYFUNCTION("""COMPUTED_VALUE"""),-0.605518394377381)</f>
        <v>-0.60551839437738098</v>
      </c>
      <c r="LD144" s="3">
        <f ca="1">IFERROR(__xludf.DUMMYFUNCTION("""COMPUTED_VALUE"""),-0.631667938309378)</f>
        <v>-0.63166793830937795</v>
      </c>
      <c r="LE144" s="3">
        <f ca="1">IFERROR(__xludf.DUMMYFUNCTION("""COMPUTED_VALUE"""),-0.593716862171495)</f>
        <v>-0.593716862171495</v>
      </c>
      <c r="LF144" s="3">
        <f ca="1">IFERROR(__xludf.DUMMYFUNCTION("""COMPUTED_VALUE"""),-0.579049060444345)</f>
        <v>-0.57904906044434501</v>
      </c>
      <c r="LG144" s="3">
        <f ca="1">IFERROR(__xludf.DUMMYFUNCTION("""COMPUTED_VALUE"""),-0.536643746903585)</f>
        <v>-0.53664374690358496</v>
      </c>
      <c r="LH144" s="3">
        <f ca="1">IFERROR(__xludf.DUMMYFUNCTION("""COMPUTED_VALUE"""),-0.517839138634084)</f>
        <v>-0.51783913863408404</v>
      </c>
      <c r="LI144" s="3">
        <f ca="1">IFERROR(__xludf.DUMMYFUNCTION("""COMPUTED_VALUE"""),-0.637878643649942)</f>
        <v>-0.63787864364994196</v>
      </c>
      <c r="LJ144" s="3">
        <f ca="1">IFERROR(__xludf.DUMMYFUNCTION("""COMPUTED_VALUE"""),-0.627155077247816)</f>
        <v>-0.62715507724781605</v>
      </c>
      <c r="LK144" s="3">
        <f ca="1">IFERROR(__xludf.DUMMYFUNCTION("""COMPUTED_VALUE"""),-0.714177403795666)</f>
        <v>-0.71417740379566597</v>
      </c>
      <c r="LL144" s="3">
        <f ca="1">IFERROR(__xludf.DUMMYFUNCTION("""COMPUTED_VALUE"""),-0.601906101780341)</f>
        <v>-0.60190610178034099</v>
      </c>
      <c r="LM144" s="3">
        <f ca="1">IFERROR(__xludf.DUMMYFUNCTION("""COMPUTED_VALUE"""),-0.721676197944065)</f>
        <v>-0.72167619794406501</v>
      </c>
      <c r="LN144" s="3">
        <f ca="1">IFERROR(__xludf.DUMMYFUNCTION("""COMPUTED_VALUE"""),-0.460496958178825)</f>
        <v>-0.46049695817882502</v>
      </c>
      <c r="LO144" s="3">
        <f ca="1">IFERROR(__xludf.DUMMYFUNCTION("""COMPUTED_VALUE"""),-0.512402586520511)</f>
        <v>-0.51240258652051096</v>
      </c>
      <c r="LP144" s="3">
        <f ca="1">IFERROR(__xludf.DUMMYFUNCTION("""COMPUTED_VALUE"""),-0.436324804375395)</f>
        <v>-0.436324804375395</v>
      </c>
      <c r="LQ144" s="3">
        <f ca="1">IFERROR(__xludf.DUMMYFUNCTION("""COMPUTED_VALUE"""),-0.680529088891997)</f>
        <v>-0.68052908889199704</v>
      </c>
      <c r="LR144" s="3">
        <f ca="1">IFERROR(__xludf.DUMMYFUNCTION("""COMPUTED_VALUE"""),-0.631309412271268)</f>
        <v>-0.63130941227126802</v>
      </c>
      <c r="LS144" s="3">
        <f ca="1">IFERROR(__xludf.DUMMYFUNCTION("""COMPUTED_VALUE"""),-0.524156804192559)</f>
        <v>-0.52415680419255894</v>
      </c>
      <c r="LT144" s="3">
        <f ca="1">IFERROR(__xludf.DUMMYFUNCTION("""COMPUTED_VALUE"""),-0.630058325349232)</f>
        <v>-0.63005832534923201</v>
      </c>
      <c r="LU144" s="3">
        <f ca="1">IFERROR(__xludf.DUMMYFUNCTION("""COMPUTED_VALUE"""),-0.456010485390142)</f>
        <v>-0.456010485390142</v>
      </c>
      <c r="LV144" s="3">
        <f ca="1">IFERROR(__xludf.DUMMYFUNCTION("""COMPUTED_VALUE"""),-0.596238951357268)</f>
        <v>-0.59623895135726801</v>
      </c>
      <c r="LW144" s="3">
        <f ca="1">IFERROR(__xludf.DUMMYFUNCTION("""COMPUTED_VALUE"""),-0.570620854008948)</f>
        <v>-0.57062085400894802</v>
      </c>
      <c r="LX144" s="3">
        <f ca="1">IFERROR(__xludf.DUMMYFUNCTION("""COMPUTED_VALUE"""),-0.64789003156318)</f>
        <v>-0.64789003156318004</v>
      </c>
      <c r="LY144" s="3">
        <f ca="1">IFERROR(__xludf.DUMMYFUNCTION("""COMPUTED_VALUE"""),-0.699255257639084)</f>
        <v>-0.69925525763908403</v>
      </c>
      <c r="LZ144" s="3">
        <f ca="1">IFERROR(__xludf.DUMMYFUNCTION("""COMPUTED_VALUE"""),-0.631848397394196)</f>
        <v>-0.63184839739419596</v>
      </c>
      <c r="MA144" s="3">
        <f ca="1">IFERROR(__xludf.DUMMYFUNCTION("""COMPUTED_VALUE"""),-0.590169383346377)</f>
        <v>-0.59016938334637703</v>
      </c>
      <c r="MB144" s="3">
        <f ca="1">IFERROR(__xludf.DUMMYFUNCTION("""COMPUTED_VALUE"""),-0.58530755259873)</f>
        <v>-0.58530755259873002</v>
      </c>
      <c r="MC144" s="3">
        <f ca="1">IFERROR(__xludf.DUMMYFUNCTION("""COMPUTED_VALUE"""),-0.393356648660317)</f>
        <v>-0.393356648660317</v>
      </c>
      <c r="MD144" s="3">
        <f ca="1">IFERROR(__xludf.DUMMYFUNCTION("""COMPUTED_VALUE"""),-0.641314189346715)</f>
        <v>-0.64131418934671502</v>
      </c>
      <c r="ME144" s="3">
        <f ca="1">IFERROR(__xludf.DUMMYFUNCTION("""COMPUTED_VALUE"""),-0.672124328498551)</f>
        <v>-0.67212432849855097</v>
      </c>
      <c r="MF144" s="3">
        <f ca="1">IFERROR(__xludf.DUMMYFUNCTION("""COMPUTED_VALUE"""),-0.664412195788393)</f>
        <v>-0.66441219578839295</v>
      </c>
      <c r="MG144" s="3">
        <f ca="1">IFERROR(__xludf.DUMMYFUNCTION("""COMPUTED_VALUE"""),-0.649679607081059)</f>
        <v>-0.64967960708105899</v>
      </c>
      <c r="MH144" s="3">
        <f ca="1">IFERROR(__xludf.DUMMYFUNCTION("""COMPUTED_VALUE"""),-0.555285733453675)</f>
        <v>-0.55528573345367505</v>
      </c>
      <c r="MI144" s="3">
        <f ca="1">IFERROR(__xludf.DUMMYFUNCTION("""COMPUTED_VALUE"""),-0.644588295965922)</f>
        <v>-0.64458829596592204</v>
      </c>
      <c r="MJ144" s="3">
        <f ca="1">IFERROR(__xludf.DUMMYFUNCTION("""COMPUTED_VALUE"""),-0.545652519863707)</f>
        <v>-0.545652519863707</v>
      </c>
      <c r="MK144" s="3">
        <f ca="1">IFERROR(__xludf.DUMMYFUNCTION("""COMPUTED_VALUE"""),-0.670839886637981)</f>
        <v>-0.670839886637981</v>
      </c>
      <c r="ML144" s="3">
        <f ca="1">IFERROR(__xludf.DUMMYFUNCTION("""COMPUTED_VALUE"""),-0.72504992146986)</f>
        <v>-0.72504992146986003</v>
      </c>
      <c r="MM144" s="3">
        <f ca="1">IFERROR(__xludf.DUMMYFUNCTION("""COMPUTED_VALUE"""),-0.818774934234519)</f>
        <v>-0.81877493423451897</v>
      </c>
      <c r="MN144" s="3">
        <f ca="1">IFERROR(__xludf.DUMMYFUNCTION("""COMPUTED_VALUE"""),-0.640451931006009)</f>
        <v>-0.64045193100600895</v>
      </c>
      <c r="MO144" s="3">
        <f ca="1">IFERROR(__xludf.DUMMYFUNCTION("""COMPUTED_VALUE"""),-0.732557794214101)</f>
        <v>-0.73255779421410105</v>
      </c>
      <c r="MP144" s="3">
        <f ca="1">IFERROR(__xludf.DUMMYFUNCTION("""COMPUTED_VALUE"""),-0.506819009827599)</f>
        <v>-0.50681900982759898</v>
      </c>
      <c r="MQ144" s="3">
        <f ca="1">IFERROR(__xludf.DUMMYFUNCTION("""COMPUTED_VALUE"""),-0.587448981581741)</f>
        <v>-0.58744898158174097</v>
      </c>
      <c r="MR144" s="3">
        <f ca="1">IFERROR(__xludf.DUMMYFUNCTION("""COMPUTED_VALUE"""),-0.696347726919613)</f>
        <v>-0.696347726919613</v>
      </c>
      <c r="MS144" s="3">
        <f ca="1">IFERROR(__xludf.DUMMYFUNCTION("""COMPUTED_VALUE"""),-0.718234368313404)</f>
        <v>-0.71823436831340404</v>
      </c>
      <c r="MT144" s="3">
        <f ca="1">IFERROR(__xludf.DUMMYFUNCTION("""COMPUTED_VALUE"""),-0.757137147654499)</f>
        <v>-0.75713714765449902</v>
      </c>
      <c r="MU144" s="3">
        <f ca="1">IFERROR(__xludf.DUMMYFUNCTION("""COMPUTED_VALUE"""),-0.728494460136582)</f>
        <v>-0.72849446013658203</v>
      </c>
      <c r="MV144" s="3">
        <f ca="1">IFERROR(__xludf.DUMMYFUNCTION("""COMPUTED_VALUE"""),-0.782787219086257)</f>
        <v>-0.78278721908625704</v>
      </c>
      <c r="MW144" s="3">
        <f ca="1">IFERROR(__xludf.DUMMYFUNCTION("""COMPUTED_VALUE"""),-0.696834635771559)</f>
        <v>-0.69683463577155902</v>
      </c>
      <c r="MX144" s="3">
        <f ca="1">IFERROR(__xludf.DUMMYFUNCTION("""COMPUTED_VALUE"""),-0.67809299810043)</f>
        <v>-0.67809299810043</v>
      </c>
      <c r="MY144" s="3">
        <f ca="1">IFERROR(__xludf.DUMMYFUNCTION("""COMPUTED_VALUE"""),-0.699821094860724)</f>
        <v>-0.69982109486072397</v>
      </c>
      <c r="MZ144" s="3">
        <f ca="1">IFERROR(__xludf.DUMMYFUNCTION("""COMPUTED_VALUE"""),-0.709058798419582)</f>
        <v>-0.70905879841958197</v>
      </c>
      <c r="NA144" s="3">
        <f ca="1">IFERROR(__xludf.DUMMYFUNCTION("""COMPUTED_VALUE"""),-0.790899511001761)</f>
        <v>-0.79089951100176104</v>
      </c>
      <c r="NB144" s="3">
        <f ca="1">IFERROR(__xludf.DUMMYFUNCTION("""COMPUTED_VALUE"""),-0.635371628710376)</f>
        <v>-0.635371628710376</v>
      </c>
      <c r="NC144" s="3">
        <f ca="1">IFERROR(__xludf.DUMMYFUNCTION("""COMPUTED_VALUE"""),-0.709480538404978)</f>
        <v>-0.70948053840497805</v>
      </c>
      <c r="ND144" s="3">
        <f ca="1">IFERROR(__xludf.DUMMYFUNCTION("""COMPUTED_VALUE"""),-0.62590955721949)</f>
        <v>-0.62590955721949004</v>
      </c>
      <c r="NE144" s="3">
        <f ca="1">IFERROR(__xludf.DUMMYFUNCTION("""COMPUTED_VALUE"""),-0.652609418101159)</f>
        <v>-0.65260941810115902</v>
      </c>
      <c r="NF144" s="3">
        <f ca="1">IFERROR(__xludf.DUMMYFUNCTION("""COMPUTED_VALUE"""),-0.677893373593006)</f>
        <v>-0.67789337359300605</v>
      </c>
      <c r="NG144" s="3">
        <f ca="1">IFERROR(__xludf.DUMMYFUNCTION("""COMPUTED_VALUE"""),-0.625980741391854)</f>
        <v>-0.625980741391854</v>
      </c>
      <c r="NH144" s="3">
        <f ca="1">IFERROR(__xludf.DUMMYFUNCTION("""COMPUTED_VALUE"""),-0.779205077278204)</f>
        <v>-0.77920507727820398</v>
      </c>
      <c r="NI144" s="3">
        <f ca="1">IFERROR(__xludf.DUMMYFUNCTION("""COMPUTED_VALUE"""),-0.759381523901339)</f>
        <v>-0.75938152390133895</v>
      </c>
      <c r="NJ144" s="3">
        <f ca="1">IFERROR(__xludf.DUMMYFUNCTION("""COMPUTED_VALUE"""),-0.62676079697251)</f>
        <v>-0.62676079697250997</v>
      </c>
      <c r="NK144" s="3">
        <f ca="1">IFERROR(__xludf.DUMMYFUNCTION("""COMPUTED_VALUE"""),-0.646544893776101)</f>
        <v>-0.64654489377610103</v>
      </c>
      <c r="NL144" s="3">
        <f ca="1">IFERROR(__xludf.DUMMYFUNCTION("""COMPUTED_VALUE"""),-0.571639189424442)</f>
        <v>-0.57163918942444203</v>
      </c>
      <c r="NM144" s="3">
        <f ca="1">IFERROR(__xludf.DUMMYFUNCTION("""COMPUTED_VALUE"""),-0.590286247378647)</f>
        <v>-0.59028624737864699</v>
      </c>
      <c r="NN144" s="3">
        <f ca="1">IFERROR(__xludf.DUMMYFUNCTION("""COMPUTED_VALUE"""),-0.556565232021579)</f>
        <v>-0.55656523202157904</v>
      </c>
      <c r="NO144" s="3">
        <f ca="1">IFERROR(__xludf.DUMMYFUNCTION("""COMPUTED_VALUE"""),-0.580344633787182)</f>
        <v>-0.58034463378718204</v>
      </c>
      <c r="NP144" s="3">
        <f ca="1">IFERROR(__xludf.DUMMYFUNCTION("""COMPUTED_VALUE"""),-0.674694147042489)</f>
        <v>-0.67469414704248898</v>
      </c>
      <c r="NQ144" s="3">
        <f ca="1">IFERROR(__xludf.DUMMYFUNCTION("""COMPUTED_VALUE"""),-0.504752653150814)</f>
        <v>-0.50475265315081397</v>
      </c>
      <c r="NR144" s="3">
        <f ca="1">IFERROR(__xludf.DUMMYFUNCTION("""COMPUTED_VALUE"""),-0.635610295508521)</f>
        <v>-0.63561029550852099</v>
      </c>
      <c r="NS144" s="3">
        <f ca="1">IFERROR(__xludf.DUMMYFUNCTION("""COMPUTED_VALUE"""),-0.671416970269881)</f>
        <v>-0.67141697026988101</v>
      </c>
      <c r="NT144" s="3">
        <f ca="1">IFERROR(__xludf.DUMMYFUNCTION("""COMPUTED_VALUE"""),-0.66306467810704)</f>
        <v>-0.66306467810703995</v>
      </c>
      <c r="NU144" s="3">
        <f ca="1">IFERROR(__xludf.DUMMYFUNCTION("""COMPUTED_VALUE"""),-0.533904412062336)</f>
        <v>-0.53390441206233596</v>
      </c>
      <c r="NV144" s="3">
        <f ca="1">IFERROR(__xludf.DUMMYFUNCTION("""COMPUTED_VALUE"""),-0.567764306315901)</f>
        <v>-0.56776430631590102</v>
      </c>
      <c r="NW144" s="3">
        <f ca="1">IFERROR(__xludf.DUMMYFUNCTION("""COMPUTED_VALUE"""),-0.707170979295277)</f>
        <v>-0.70717097929527695</v>
      </c>
      <c r="NX144" s="3">
        <f ca="1">IFERROR(__xludf.DUMMYFUNCTION("""COMPUTED_VALUE"""),-0.578706320231501)</f>
        <v>-0.57870632023150104</v>
      </c>
      <c r="NY144" s="3">
        <f ca="1">IFERROR(__xludf.DUMMYFUNCTION("""COMPUTED_VALUE"""),-0.464400212516997)</f>
        <v>-0.46440021251699698</v>
      </c>
      <c r="NZ144" s="3">
        <f ca="1">IFERROR(__xludf.DUMMYFUNCTION("""COMPUTED_VALUE"""),-0.478433261097075)</f>
        <v>-0.47843326109707501</v>
      </c>
      <c r="OA144" s="3">
        <f ca="1">IFERROR(__xludf.DUMMYFUNCTION("""COMPUTED_VALUE"""),-0.492714413940899)</f>
        <v>-0.49271441394089899</v>
      </c>
      <c r="OB144" s="3">
        <f ca="1">IFERROR(__xludf.DUMMYFUNCTION("""COMPUTED_VALUE"""),-0.483349464944646)</f>
        <v>-0.48334946494464598</v>
      </c>
      <c r="OC144" s="3">
        <f ca="1">IFERROR(__xludf.DUMMYFUNCTION("""COMPUTED_VALUE"""),-0.342699106221767)</f>
        <v>-0.34269910622176702</v>
      </c>
      <c r="OD144" s="3">
        <f ca="1">IFERROR(__xludf.DUMMYFUNCTION("""COMPUTED_VALUE"""),-0.234409050277874)</f>
        <v>-0.23440905027787401</v>
      </c>
      <c r="OE144" s="3">
        <f ca="1">IFERROR(__xludf.DUMMYFUNCTION("""COMPUTED_VALUE"""),-0.211470080883439)</f>
        <v>-0.21147008088343899</v>
      </c>
      <c r="OF144" s="3">
        <f ca="1">IFERROR(__xludf.DUMMYFUNCTION("""COMPUTED_VALUE"""),-0.194588516017153)</f>
        <v>-0.19458851601715299</v>
      </c>
      <c r="OG144" s="3">
        <f ca="1">IFERROR(__xludf.DUMMYFUNCTION("""COMPUTED_VALUE"""),-0.224913020146823)</f>
        <v>-0.22491302014682299</v>
      </c>
      <c r="OH144" s="3">
        <f ca="1">IFERROR(__xludf.DUMMYFUNCTION("""COMPUTED_VALUE"""),0.0236025052404029)</f>
        <v>2.3602505240402898E-2</v>
      </c>
      <c r="OI144" s="3">
        <f ca="1">IFERROR(__xludf.DUMMYFUNCTION("""COMPUTED_VALUE"""),-0.0204757391339889)</f>
        <v>-2.04757391339889E-2</v>
      </c>
      <c r="OJ144" s="3">
        <f ca="1">IFERROR(__xludf.DUMMYFUNCTION("""COMPUTED_VALUE"""),-0.118870243656106)</f>
        <v>-0.118870243656106</v>
      </c>
      <c r="OK144" s="3">
        <f ca="1">IFERROR(__xludf.DUMMYFUNCTION("""COMPUTED_VALUE"""),0.187069880009399)</f>
        <v>0.187069880009399</v>
      </c>
      <c r="OL144" s="3">
        <f ca="1">IFERROR(__xludf.DUMMYFUNCTION("""COMPUTED_VALUE"""),-0.00852114333275899)</f>
        <v>-8.5211433327589906E-3</v>
      </c>
      <c r="OM144" s="3">
        <f ca="1">IFERROR(__xludf.DUMMYFUNCTION("""COMPUTED_VALUE"""),-0.197993755096664)</f>
        <v>-0.197993755096664</v>
      </c>
      <c r="ON144" s="3">
        <f ca="1">IFERROR(__xludf.DUMMYFUNCTION("""COMPUTED_VALUE"""),0.0409740815575809)</f>
        <v>4.0974081557580901E-2</v>
      </c>
      <c r="OO144" s="3">
        <f ca="1">IFERROR(__xludf.DUMMYFUNCTION("""COMPUTED_VALUE"""),-0.0898849062486777)</f>
        <v>-8.9884906248677704E-2</v>
      </c>
      <c r="OP144" s="3">
        <f ca="1">IFERROR(__xludf.DUMMYFUNCTION("""COMPUTED_VALUE"""),-0.0872618029357094)</f>
        <v>-8.7261802935709398E-2</v>
      </c>
      <c r="OQ144" s="3">
        <f ca="1">IFERROR(__xludf.DUMMYFUNCTION("""COMPUTED_VALUE"""),-0.121174922793986)</f>
        <v>-0.12117492279398601</v>
      </c>
      <c r="OR144" s="3">
        <f ca="1">IFERROR(__xludf.DUMMYFUNCTION("""COMPUTED_VALUE"""),0.248255920283676)</f>
        <v>0.24825592028367599</v>
      </c>
      <c r="OS144" s="3">
        <f ca="1">IFERROR(__xludf.DUMMYFUNCTION("""COMPUTED_VALUE"""),-0.125774817768838)</f>
        <v>-0.125774817768838</v>
      </c>
      <c r="OT144" s="3">
        <f ca="1">IFERROR(__xludf.DUMMYFUNCTION("""COMPUTED_VALUE"""),-0.187113138435168)</f>
        <v>-0.187113138435168</v>
      </c>
      <c r="OU144" s="3">
        <f ca="1">IFERROR(__xludf.DUMMYFUNCTION("""COMPUTED_VALUE"""),-0.0504121717797145)</f>
        <v>-5.04121717797145E-2</v>
      </c>
      <c r="OV144" s="3">
        <f ca="1">IFERROR(__xludf.DUMMYFUNCTION("""COMPUTED_VALUE"""),-0.157929758397156)</f>
        <v>-0.15792975839715601</v>
      </c>
      <c r="OW144" s="3">
        <f ca="1">IFERROR(__xludf.DUMMYFUNCTION("""COMPUTED_VALUE"""),0.0284461611294448)</f>
        <v>2.84461611294448E-2</v>
      </c>
      <c r="OX144" s="3">
        <f ca="1">IFERROR(__xludf.DUMMYFUNCTION("""COMPUTED_VALUE"""),-0.0111993253917145)</f>
        <v>-1.1199325391714501E-2</v>
      </c>
      <c r="OY144" s="3">
        <f ca="1">IFERROR(__xludf.DUMMYFUNCTION("""COMPUTED_VALUE"""),0.223909355303038)</f>
        <v>0.22390935530303799</v>
      </c>
      <c r="OZ144" s="3">
        <f ca="1">IFERROR(__xludf.DUMMYFUNCTION("""COMPUTED_VALUE"""),0.090922223651106)</f>
        <v>9.0922223651105999E-2</v>
      </c>
      <c r="PA144" s="3">
        <f ca="1">IFERROR(__xludf.DUMMYFUNCTION("""COMPUTED_VALUE"""),-0.226741269385491)</f>
        <v>-0.226741269385491</v>
      </c>
      <c r="PB144" s="3">
        <f ca="1">IFERROR(__xludf.DUMMYFUNCTION("""COMPUTED_VALUE"""),-0.0718835180680467)</f>
        <v>-7.1883518068046701E-2</v>
      </c>
      <c r="PC144" s="3">
        <f ca="1">IFERROR(__xludf.DUMMYFUNCTION("""COMPUTED_VALUE"""),-0.00714919316118611)</f>
        <v>-7.1491931611861103E-3</v>
      </c>
      <c r="PD144" s="3">
        <f ca="1">IFERROR(__xludf.DUMMYFUNCTION("""COMPUTED_VALUE"""),-0.0591549468240264)</f>
        <v>-5.9154946824026403E-2</v>
      </c>
      <c r="PE144" s="3">
        <f ca="1">IFERROR(__xludf.DUMMYFUNCTION("""COMPUTED_VALUE"""),-0.0241527009615751)</f>
        <v>-2.41527009615751E-2</v>
      </c>
      <c r="PF144" s="3">
        <f ca="1">IFERROR(__xludf.DUMMYFUNCTION("""COMPUTED_VALUE"""),0.0678735959444551)</f>
        <v>6.7873595944455106E-2</v>
      </c>
      <c r="PG144" s="3">
        <f ca="1">IFERROR(__xludf.DUMMYFUNCTION("""COMPUTED_VALUE"""),-0.189546233277768)</f>
        <v>-0.18954623327776801</v>
      </c>
      <c r="PH144" s="3">
        <f ca="1">IFERROR(__xludf.DUMMYFUNCTION("""COMPUTED_VALUE"""),0.0771211142557262)</f>
        <v>7.7121114255726195E-2</v>
      </c>
      <c r="PI144" s="3">
        <f ca="1">IFERROR(__xludf.DUMMYFUNCTION("""COMPUTED_VALUE"""),0.179776406306096)</f>
        <v>0.17977640630609601</v>
      </c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</row>
    <row r="145" spans="1:477" ht="13">
      <c r="A145" s="1" t="str">
        <f ca="1">IFERROR(__xludf.DUMMYFUNCTION("""COMPUTED_VALUE"""),"Thunder Bay Transit")</f>
        <v>Thunder Bay Transit</v>
      </c>
      <c r="B145" s="1" t="str">
        <f ca="1">IFERROR(__xludf.DUMMYFUNCTION("""COMPUTED_VALUE"""),"Thunder Bay")</f>
        <v>Thunder Bay</v>
      </c>
      <c r="C145" s="1" t="str">
        <f ca="1">IFERROR(__xludf.DUMMYFUNCTION("""COMPUTED_VALUE"""),"Canada")</f>
        <v>Canada</v>
      </c>
      <c r="D145" s="1" t="str">
        <f ca="1">IFERROR(__xludf.DUMMYFUNCTION("""COMPUTED_VALUE"""),"Ontario")</f>
        <v>Ontario</v>
      </c>
      <c r="E145" s="3">
        <f ca="1">IFERROR(__xludf.DUMMYFUNCTION("""COMPUTED_VALUE"""),-0.708199634607952)</f>
        <v>-0.70819963460795199</v>
      </c>
      <c r="F145" s="3">
        <f ca="1">IFERROR(__xludf.DUMMYFUNCTION("""COMPUTED_VALUE"""),-0.652297335469807)</f>
        <v>-0.65229733546980695</v>
      </c>
      <c r="G145" s="3">
        <f ca="1">IFERROR(__xludf.DUMMYFUNCTION("""COMPUTED_VALUE"""),-0.726195508050408)</f>
        <v>-0.726195508050408</v>
      </c>
      <c r="H145" s="3">
        <f ca="1">IFERROR(__xludf.DUMMYFUNCTION("""COMPUTED_VALUE"""),-0.666102113094438)</f>
        <v>-0.66610211309443801</v>
      </c>
      <c r="I145" s="3">
        <f ca="1">IFERROR(__xludf.DUMMYFUNCTION("""COMPUTED_VALUE"""),-0.694435956650078)</f>
        <v>-0.69443595665007796</v>
      </c>
      <c r="J145" s="3">
        <f ca="1">IFERROR(__xludf.DUMMYFUNCTION("""COMPUTED_VALUE"""),-0.715518071261612)</f>
        <v>-0.71551807126161204</v>
      </c>
      <c r="K145" s="3">
        <f ca="1">IFERROR(__xludf.DUMMYFUNCTION("""COMPUTED_VALUE"""),-0.721617272207963)</f>
        <v>-0.72161727220796301</v>
      </c>
      <c r="L145" s="3">
        <f ca="1">IFERROR(__xludf.DUMMYFUNCTION("""COMPUTED_VALUE"""),-0.633143358263617)</f>
        <v>-0.63314335826361701</v>
      </c>
      <c r="M145" s="3">
        <f ca="1">IFERROR(__xludf.DUMMYFUNCTION("""COMPUTED_VALUE"""),-0.806529819991419)</f>
        <v>-0.80652981999141904</v>
      </c>
      <c r="N145" s="3">
        <f ca="1">IFERROR(__xludf.DUMMYFUNCTION("""COMPUTED_VALUE"""),-0.649583285942408)</f>
        <v>-0.649583285942408</v>
      </c>
      <c r="O145" s="3">
        <f ca="1">IFERROR(__xludf.DUMMYFUNCTION("""COMPUTED_VALUE"""),-0.667070786440142)</f>
        <v>-0.66707078644014195</v>
      </c>
      <c r="P145" s="3">
        <f ca="1">IFERROR(__xludf.DUMMYFUNCTION("""COMPUTED_VALUE"""),-0.691363947842052)</f>
        <v>-0.69136394784205202</v>
      </c>
      <c r="Q145" s="3">
        <f ca="1">IFERROR(__xludf.DUMMYFUNCTION("""COMPUTED_VALUE"""),-0.661493605057839)</f>
        <v>-0.66149360505783905</v>
      </c>
      <c r="R145" s="3">
        <f ca="1">IFERROR(__xludf.DUMMYFUNCTION("""COMPUTED_VALUE"""),-0.692256649434429)</f>
        <v>-0.69225664943442899</v>
      </c>
      <c r="S145" s="3">
        <f ca="1">IFERROR(__xludf.DUMMYFUNCTION("""COMPUTED_VALUE"""),-0.70151451999736)</f>
        <v>-0.70151451999736003</v>
      </c>
      <c r="T145" s="3">
        <f ca="1">IFERROR(__xludf.DUMMYFUNCTION("""COMPUTED_VALUE"""),-0.751386966297665)</f>
        <v>-0.75138696629766499</v>
      </c>
      <c r="U145" s="3">
        <f ca="1">IFERROR(__xludf.DUMMYFUNCTION("""COMPUTED_VALUE"""),-0.718496354516763)</f>
        <v>-0.71849635451676297</v>
      </c>
      <c r="V145" s="3">
        <f ca="1">IFERROR(__xludf.DUMMYFUNCTION("""COMPUTED_VALUE"""),-0.750159799454151)</f>
        <v>-0.75015979945415101</v>
      </c>
      <c r="W145" s="3">
        <f ca="1">IFERROR(__xludf.DUMMYFUNCTION("""COMPUTED_VALUE"""),-0.683446174196123)</f>
        <v>-0.68344617419612297</v>
      </c>
      <c r="X145" s="3">
        <f ca="1">IFERROR(__xludf.DUMMYFUNCTION("""COMPUTED_VALUE"""),-0.717299509160875)</f>
        <v>-0.71729950916087504</v>
      </c>
      <c r="Y145" s="3">
        <f ca="1">IFERROR(__xludf.DUMMYFUNCTION("""COMPUTED_VALUE"""),-0.711936214613772)</f>
        <v>-0.71193621461377199</v>
      </c>
      <c r="Z145" s="3">
        <f ca="1">IFERROR(__xludf.DUMMYFUNCTION("""COMPUTED_VALUE"""),-0.652879375063067)</f>
        <v>-0.65287937506306704</v>
      </c>
      <c r="AA145" s="3">
        <f ca="1">IFERROR(__xludf.DUMMYFUNCTION("""COMPUTED_VALUE"""),-0.705238115143651)</f>
        <v>-0.70523811514365098</v>
      </c>
      <c r="AB145" s="3">
        <f ca="1">IFERROR(__xludf.DUMMYFUNCTION("""COMPUTED_VALUE"""),-0.706253358950283)</f>
        <v>-0.70625335895028296</v>
      </c>
      <c r="AC145" s="3">
        <f ca="1">IFERROR(__xludf.DUMMYFUNCTION("""COMPUTED_VALUE"""),-0.722255793695948)</f>
        <v>-0.72225579369594795</v>
      </c>
      <c r="AD145" s="3">
        <f ca="1">IFERROR(__xludf.DUMMYFUNCTION("""COMPUTED_VALUE"""),-0.704400667838777)</f>
        <v>-0.70440066783877697</v>
      </c>
      <c r="AE145" s="3">
        <f ca="1">IFERROR(__xludf.DUMMYFUNCTION("""COMPUTED_VALUE"""),-0.722674680085195)</f>
        <v>-0.72267468008519498</v>
      </c>
      <c r="AF145" s="3">
        <f ca="1">IFERROR(__xludf.DUMMYFUNCTION("""COMPUTED_VALUE"""),-0.657173914483413)</f>
        <v>-0.657173914483413</v>
      </c>
      <c r="AG145" s="3">
        <f ca="1">IFERROR(__xludf.DUMMYFUNCTION("""COMPUTED_VALUE"""),-0.68236465562019)</f>
        <v>-0.68236465562019</v>
      </c>
      <c r="AH145" s="3">
        <f ca="1">IFERROR(__xludf.DUMMYFUNCTION("""COMPUTED_VALUE"""),-0.758165383785178)</f>
        <v>-0.75816538378517795</v>
      </c>
      <c r="AI145" s="3">
        <f ca="1">IFERROR(__xludf.DUMMYFUNCTION("""COMPUTED_VALUE"""),-0.748996782252404)</f>
        <v>-0.74899678225240396</v>
      </c>
      <c r="AJ145" s="3">
        <f ca="1">IFERROR(__xludf.DUMMYFUNCTION("""COMPUTED_VALUE"""),-0.722335200756217)</f>
        <v>-0.72233520075621704</v>
      </c>
      <c r="AK145" s="3">
        <f ca="1">IFERROR(__xludf.DUMMYFUNCTION("""COMPUTED_VALUE"""),-0.753843641688968)</f>
        <v>-0.753843641688968</v>
      </c>
      <c r="AL145" s="3">
        <f ca="1">IFERROR(__xludf.DUMMYFUNCTION("""COMPUTED_VALUE"""),-0.757215889607684)</f>
        <v>-0.75721588960768405</v>
      </c>
      <c r="AM145" s="3">
        <f ca="1">IFERROR(__xludf.DUMMYFUNCTION("""COMPUTED_VALUE"""),-0.637384536090614)</f>
        <v>-0.63738453609061396</v>
      </c>
      <c r="AN145" s="3">
        <f ca="1">IFERROR(__xludf.DUMMYFUNCTION("""COMPUTED_VALUE"""),-0.697579487648122)</f>
        <v>-0.69757948764812205</v>
      </c>
      <c r="AO145" s="3">
        <f ca="1">IFERROR(__xludf.DUMMYFUNCTION("""COMPUTED_VALUE"""),-0.686582629833715)</f>
        <v>-0.68658262983371499</v>
      </c>
      <c r="AP145" s="3">
        <f ca="1">IFERROR(__xludf.DUMMYFUNCTION("""COMPUTED_VALUE"""),-0.697253692811379)</f>
        <v>-0.69725369281137906</v>
      </c>
      <c r="AQ145" s="3">
        <f ca="1">IFERROR(__xludf.DUMMYFUNCTION("""COMPUTED_VALUE"""),-0.67817686499406)</f>
        <v>-0.67817686499406005</v>
      </c>
      <c r="AR145" s="3">
        <f ca="1">IFERROR(__xludf.DUMMYFUNCTION("""COMPUTED_VALUE"""),-0.716243647003425)</f>
        <v>-0.71624364700342502</v>
      </c>
      <c r="AS145" s="3">
        <f ca="1">IFERROR(__xludf.DUMMYFUNCTION("""COMPUTED_VALUE"""),-0.738784161976247)</f>
        <v>-0.73878416197624697</v>
      </c>
      <c r="AT145" s="3">
        <f ca="1">IFERROR(__xludf.DUMMYFUNCTION("""COMPUTED_VALUE"""),-0.637178262460373)</f>
        <v>-0.63717826246037301</v>
      </c>
      <c r="AU145" s="3">
        <f ca="1">IFERROR(__xludf.DUMMYFUNCTION("""COMPUTED_VALUE"""),-0.646535936186154)</f>
        <v>-0.64653593618615401</v>
      </c>
      <c r="AV145" s="3">
        <f ca="1">IFERROR(__xludf.DUMMYFUNCTION("""COMPUTED_VALUE"""),-0.694658582709045)</f>
        <v>-0.69465858270904501</v>
      </c>
      <c r="AW145" s="3">
        <f ca="1">IFERROR(__xludf.DUMMYFUNCTION("""COMPUTED_VALUE"""),-0.652634759779069)</f>
        <v>-0.65263475977906904</v>
      </c>
      <c r="AX145" s="3">
        <f ca="1">IFERROR(__xludf.DUMMYFUNCTION("""COMPUTED_VALUE"""),-0.700731890109966)</f>
        <v>-0.70073189010996595</v>
      </c>
      <c r="AY145" s="3">
        <f ca="1">IFERROR(__xludf.DUMMYFUNCTION("""COMPUTED_VALUE"""),-0.649526055804384)</f>
        <v>-0.64952605580438405</v>
      </c>
      <c r="AZ145" s="3">
        <f ca="1">IFERROR(__xludf.DUMMYFUNCTION("""COMPUTED_VALUE"""),-0.621022799844369)</f>
        <v>-0.62102279984436903</v>
      </c>
      <c r="BA145" s="3">
        <f ca="1">IFERROR(__xludf.DUMMYFUNCTION("""COMPUTED_VALUE"""),-0.682360381508793)</f>
        <v>-0.68236038150879297</v>
      </c>
      <c r="BB145" s="3">
        <f ca="1">IFERROR(__xludf.DUMMYFUNCTION("""COMPUTED_VALUE"""),-0.66348247705337)</f>
        <v>-0.66348247705337005</v>
      </c>
      <c r="BC145" s="3">
        <f ca="1">IFERROR(__xludf.DUMMYFUNCTION("""COMPUTED_VALUE"""),-0.636014901044771)</f>
        <v>-0.63601490104477099</v>
      </c>
      <c r="BD145" s="3">
        <f ca="1">IFERROR(__xludf.DUMMYFUNCTION("""COMPUTED_VALUE"""),-0.646106791724983)</f>
        <v>-0.64610679172498298</v>
      </c>
      <c r="BE145" s="3">
        <f ca="1">IFERROR(__xludf.DUMMYFUNCTION("""COMPUTED_VALUE"""),-0.71982238603176)</f>
        <v>-0.71982238603175996</v>
      </c>
      <c r="BF145" s="3">
        <f ca="1">IFERROR(__xludf.DUMMYFUNCTION("""COMPUTED_VALUE"""),-0.70019692134633)</f>
        <v>-0.70019692134633005</v>
      </c>
      <c r="BG145" s="3">
        <f ca="1">IFERROR(__xludf.DUMMYFUNCTION("""COMPUTED_VALUE"""),-0.808362537000145)</f>
        <v>-0.80836253700014504</v>
      </c>
      <c r="BH145" s="3">
        <f ca="1">IFERROR(__xludf.DUMMYFUNCTION("""COMPUTED_VALUE"""),-0.639370311527017)</f>
        <v>-0.63937031152701695</v>
      </c>
      <c r="BI145" s="3">
        <f ca="1">IFERROR(__xludf.DUMMYFUNCTION("""COMPUTED_VALUE"""),-0.714218905077051)</f>
        <v>-0.71421890507705099</v>
      </c>
      <c r="BJ145" s="3">
        <f ca="1">IFERROR(__xludf.DUMMYFUNCTION("""COMPUTED_VALUE"""),-0.762049237808229)</f>
        <v>-0.76204923780822897</v>
      </c>
      <c r="BK145" s="3">
        <f ca="1">IFERROR(__xludf.DUMMYFUNCTION("""COMPUTED_VALUE"""),-0.695758265782602)</f>
        <v>-0.69575826578260203</v>
      </c>
      <c r="BL145" s="3">
        <f ca="1">IFERROR(__xludf.DUMMYFUNCTION("""COMPUTED_VALUE"""),-0.747604697737655)</f>
        <v>-0.74760469773765503</v>
      </c>
      <c r="BM145" s="3">
        <f ca="1">IFERROR(__xludf.DUMMYFUNCTION("""COMPUTED_VALUE"""),-0.736344677844811)</f>
        <v>-0.73634467784481095</v>
      </c>
      <c r="BN145" s="3">
        <f ca="1">IFERROR(__xludf.DUMMYFUNCTION("""COMPUTED_VALUE"""),-0.716711718269592)</f>
        <v>-0.71671171826959201</v>
      </c>
      <c r="BO145" s="3">
        <f ca="1">IFERROR(__xludf.DUMMYFUNCTION("""COMPUTED_VALUE"""),-0.729294696698291)</f>
        <v>-0.72929469669829095</v>
      </c>
      <c r="BP145" s="3">
        <f ca="1">IFERROR(__xludf.DUMMYFUNCTION("""COMPUTED_VALUE"""),-0.753550681197685)</f>
        <v>-0.75355068119768498</v>
      </c>
      <c r="BQ145" s="3">
        <f ca="1">IFERROR(__xludf.DUMMYFUNCTION("""COMPUTED_VALUE"""),-0.770260020974043)</f>
        <v>-0.770260020974043</v>
      </c>
      <c r="BR145" s="3">
        <f ca="1">IFERROR(__xludf.DUMMYFUNCTION("""COMPUTED_VALUE"""),-0.719039078791116)</f>
        <v>-0.71903907879111595</v>
      </c>
      <c r="BS145" s="3">
        <f ca="1">IFERROR(__xludf.DUMMYFUNCTION("""COMPUTED_VALUE"""),-0.689519604745427)</f>
        <v>-0.68951960474542695</v>
      </c>
      <c r="BT145" s="3">
        <f ca="1">IFERROR(__xludf.DUMMYFUNCTION("""COMPUTED_VALUE"""),-0.728812460171893)</f>
        <v>-0.72881246017189305</v>
      </c>
      <c r="BU145" s="3">
        <f ca="1">IFERROR(__xludf.DUMMYFUNCTION("""COMPUTED_VALUE"""),-0.720458517609026)</f>
        <v>-0.72045851760902602</v>
      </c>
      <c r="BV145" s="3">
        <f ca="1">IFERROR(__xludf.DUMMYFUNCTION("""COMPUTED_VALUE"""),-0.628161033923863)</f>
        <v>-0.62816103392386302</v>
      </c>
      <c r="BW145" s="3">
        <f ca="1">IFERROR(__xludf.DUMMYFUNCTION("""COMPUTED_VALUE"""),-0.696312347546968)</f>
        <v>-0.69631234754696802</v>
      </c>
      <c r="BX145" s="3">
        <f ca="1">IFERROR(__xludf.DUMMYFUNCTION("""COMPUTED_VALUE"""),-0.735673362727533)</f>
        <v>-0.73567336272753303</v>
      </c>
      <c r="BY145" s="3">
        <f ca="1">IFERROR(__xludf.DUMMYFUNCTION("""COMPUTED_VALUE"""),-0.72232254795548)</f>
        <v>-0.72232254795548001</v>
      </c>
      <c r="BZ145" s="3">
        <f ca="1">IFERROR(__xludf.DUMMYFUNCTION("""COMPUTED_VALUE"""),-0.793313956128389)</f>
        <v>-0.79331395612838895</v>
      </c>
      <c r="CA145" s="3">
        <f ca="1">IFERROR(__xludf.DUMMYFUNCTION("""COMPUTED_VALUE"""),-0.779544578292114)</f>
        <v>-0.77954457829211399</v>
      </c>
      <c r="CB145" s="3">
        <f ca="1">IFERROR(__xludf.DUMMYFUNCTION("""COMPUTED_VALUE"""),-0.743706105386928)</f>
        <v>-0.74370610538692805</v>
      </c>
      <c r="CC145" s="3">
        <f ca="1">IFERROR(__xludf.DUMMYFUNCTION("""COMPUTED_VALUE"""),-0.702099347228366)</f>
        <v>-0.70209934722836598</v>
      </c>
      <c r="CD145" s="3">
        <f ca="1">IFERROR(__xludf.DUMMYFUNCTION("""COMPUTED_VALUE"""),-0.758261351200053)</f>
        <v>-0.758261351200053</v>
      </c>
      <c r="CE145" s="3">
        <f ca="1">IFERROR(__xludf.DUMMYFUNCTION("""COMPUTED_VALUE"""),-0.759303362536891)</f>
        <v>-0.75930336253689101</v>
      </c>
      <c r="CF145" s="3">
        <f ca="1">IFERROR(__xludf.DUMMYFUNCTION("""COMPUTED_VALUE"""),-0.744585480853247)</f>
        <v>-0.74458548085324705</v>
      </c>
      <c r="CG145" s="3">
        <f ca="1">IFERROR(__xludf.DUMMYFUNCTION("""COMPUTED_VALUE"""),-0.73781319264471)</f>
        <v>-0.73781319264471001</v>
      </c>
      <c r="CH145" s="3">
        <f ca="1">IFERROR(__xludf.DUMMYFUNCTION("""COMPUTED_VALUE"""),-0.764873206615697)</f>
        <v>-0.76487320661569702</v>
      </c>
      <c r="CI145" s="3">
        <f ca="1">IFERROR(__xludf.DUMMYFUNCTION("""COMPUTED_VALUE"""),-0.742358871870563)</f>
        <v>-0.74235887187056304</v>
      </c>
      <c r="CJ145" s="3">
        <f ca="1">IFERROR(__xludf.DUMMYFUNCTION("""COMPUTED_VALUE"""),-0.709008148396215)</f>
        <v>-0.70900814839621495</v>
      </c>
      <c r="CK145" s="3">
        <f ca="1">IFERROR(__xludf.DUMMYFUNCTION("""COMPUTED_VALUE"""),-0.739631730755603)</f>
        <v>-0.73963173075560296</v>
      </c>
      <c r="CL145" s="3">
        <f ca="1">IFERROR(__xludf.DUMMYFUNCTION("""COMPUTED_VALUE"""),-0.729811732304829)</f>
        <v>-0.72981173230482899</v>
      </c>
      <c r="CM145" s="3">
        <f ca="1">IFERROR(__xludf.DUMMYFUNCTION("""COMPUTED_VALUE"""),-0.708786387509697)</f>
        <v>-0.70878638750969702</v>
      </c>
      <c r="CN145" s="3">
        <f ca="1">IFERROR(__xludf.DUMMYFUNCTION("""COMPUTED_VALUE"""),-0.76395599199177)</f>
        <v>-0.76395599199177</v>
      </c>
      <c r="CO145" s="3">
        <f ca="1">IFERROR(__xludf.DUMMYFUNCTION("""COMPUTED_VALUE"""),-0.734462132127988)</f>
        <v>-0.73446213212798805</v>
      </c>
      <c r="CP145" s="3">
        <f ca="1">IFERROR(__xludf.DUMMYFUNCTION("""COMPUTED_VALUE"""),-0.782399289571682)</f>
        <v>-0.78239928957168203</v>
      </c>
      <c r="CQ145" s="3">
        <f ca="1">IFERROR(__xludf.DUMMYFUNCTION("""COMPUTED_VALUE"""),-0.672816950097696)</f>
        <v>-0.67281695009769604</v>
      </c>
      <c r="CR145" s="3">
        <f ca="1">IFERROR(__xludf.DUMMYFUNCTION("""COMPUTED_VALUE"""),-0.61464806326577)</f>
        <v>-0.61464806326577004</v>
      </c>
      <c r="CS145" s="3">
        <f ca="1">IFERROR(__xludf.DUMMYFUNCTION("""COMPUTED_VALUE"""),-0.701451308820079)</f>
        <v>-0.701451308820079</v>
      </c>
      <c r="CT145" s="3">
        <f ca="1">IFERROR(__xludf.DUMMYFUNCTION("""COMPUTED_VALUE"""),-0.707298135300248)</f>
        <v>-0.70729813530024799</v>
      </c>
      <c r="CU145" s="3">
        <f ca="1">IFERROR(__xludf.DUMMYFUNCTION("""COMPUTED_VALUE"""),-0.688383586577642)</f>
        <v>-0.68838358657764198</v>
      </c>
      <c r="CV145" s="3">
        <f ca="1">IFERROR(__xludf.DUMMYFUNCTION("""COMPUTED_VALUE"""),-0.671834130847492)</f>
        <v>-0.67183413084749199</v>
      </c>
      <c r="CW145" s="3">
        <f ca="1">IFERROR(__xludf.DUMMYFUNCTION("""COMPUTED_VALUE"""),-0.703358101985958)</f>
        <v>-0.70335810198595805</v>
      </c>
      <c r="CX145" s="3">
        <f ca="1">IFERROR(__xludf.DUMMYFUNCTION("""COMPUTED_VALUE"""),-0.607255808520082)</f>
        <v>-0.60725580852008199</v>
      </c>
      <c r="CY145" s="3">
        <f ca="1">IFERROR(__xludf.DUMMYFUNCTION("""COMPUTED_VALUE"""),-0.655631268068956)</f>
        <v>-0.655631268068956</v>
      </c>
      <c r="CZ145" s="3">
        <f ca="1">IFERROR(__xludf.DUMMYFUNCTION("""COMPUTED_VALUE"""),-0.845809695824566)</f>
        <v>-0.845809695824566</v>
      </c>
      <c r="DA145" s="3">
        <f ca="1">IFERROR(__xludf.DUMMYFUNCTION("""COMPUTED_VALUE"""),-0.6145453890501)</f>
        <v>-0.61454538905010003</v>
      </c>
      <c r="DB145" s="3">
        <f ca="1">IFERROR(__xludf.DUMMYFUNCTION("""COMPUTED_VALUE"""),-0.498464644596591)</f>
        <v>-0.49846464459659101</v>
      </c>
      <c r="DC145" s="3">
        <f ca="1">IFERROR(__xludf.DUMMYFUNCTION("""COMPUTED_VALUE"""),-0.622399141709438)</f>
        <v>-0.622399141709438</v>
      </c>
      <c r="DD145" s="3">
        <f ca="1">IFERROR(__xludf.DUMMYFUNCTION("""COMPUTED_VALUE"""),-0.685133813656551)</f>
        <v>-0.68513381365655102</v>
      </c>
      <c r="DE145" s="3">
        <f ca="1">IFERROR(__xludf.DUMMYFUNCTION("""COMPUTED_VALUE"""),-0.58152527439083)</f>
        <v>-0.58152527439083002</v>
      </c>
      <c r="DF145" s="3">
        <f ca="1">IFERROR(__xludf.DUMMYFUNCTION("""COMPUTED_VALUE"""),-0.63050967160862)</f>
        <v>-0.63050967160862004</v>
      </c>
      <c r="DG145" s="3">
        <f ca="1">IFERROR(__xludf.DUMMYFUNCTION("""COMPUTED_VALUE"""),-0.765978531058747)</f>
        <v>-0.76597853105874703</v>
      </c>
      <c r="DH145" s="3">
        <f ca="1">IFERROR(__xludf.DUMMYFUNCTION("""COMPUTED_VALUE"""),-0.527933362023518)</f>
        <v>-0.52793336202351804</v>
      </c>
      <c r="DI145" s="3">
        <f ca="1">IFERROR(__xludf.DUMMYFUNCTION("""COMPUTED_VALUE"""),-0.0545059863906634)</f>
        <v>-5.4505986390663397E-2</v>
      </c>
      <c r="DJ145" s="3">
        <f ca="1">IFERROR(__xludf.DUMMYFUNCTION("""COMPUTED_VALUE"""),-0.405628348817024)</f>
        <v>-0.40562834881702398</v>
      </c>
      <c r="DK145" s="3">
        <f ca="1">IFERROR(__xludf.DUMMYFUNCTION("""COMPUTED_VALUE"""),-0.505271326623048)</f>
        <v>-0.50527132662304797</v>
      </c>
      <c r="DL145" s="3">
        <f ca="1">IFERROR(__xludf.DUMMYFUNCTION("""COMPUTED_VALUE"""),-0.449911916033303)</f>
        <v>-0.44991191603330299</v>
      </c>
      <c r="DM145" s="3">
        <f ca="1">IFERROR(__xludf.DUMMYFUNCTION("""COMPUTED_VALUE"""),-0.482898271339125)</f>
        <v>-0.482898271339125</v>
      </c>
      <c r="DN145" s="3">
        <f ca="1">IFERROR(__xludf.DUMMYFUNCTION("""COMPUTED_VALUE"""),-0.53123084021521)</f>
        <v>-0.53123084021521005</v>
      </c>
      <c r="DO145" s="3">
        <f ca="1">IFERROR(__xludf.DUMMYFUNCTION("""COMPUTED_VALUE"""),-0.469599879607415)</f>
        <v>-0.46959987960741501</v>
      </c>
      <c r="DP145" s="3">
        <f ca="1">IFERROR(__xludf.DUMMYFUNCTION("""COMPUTED_VALUE"""),-0.347233474467119)</f>
        <v>-0.347233474467119</v>
      </c>
      <c r="DQ145" s="3">
        <f ca="1">IFERROR(__xludf.DUMMYFUNCTION("""COMPUTED_VALUE"""),-0.508041818266309)</f>
        <v>-0.50804181826630901</v>
      </c>
      <c r="DR145" s="3">
        <f ca="1">IFERROR(__xludf.DUMMYFUNCTION("""COMPUTED_VALUE"""),-0.591425440980072)</f>
        <v>-0.59142544098007199</v>
      </c>
      <c r="DS145" s="3">
        <f ca="1">IFERROR(__xludf.DUMMYFUNCTION("""COMPUTED_VALUE"""),-0.534664072754168)</f>
        <v>-0.53466407275416805</v>
      </c>
      <c r="DT145" s="3">
        <f ca="1">IFERROR(__xludf.DUMMYFUNCTION("""COMPUTED_VALUE"""),-0.522758511820998)</f>
        <v>-0.52275851182099797</v>
      </c>
      <c r="DU145" s="3">
        <f ca="1">IFERROR(__xludf.DUMMYFUNCTION("""COMPUTED_VALUE"""),-0.556820966753041)</f>
        <v>-0.55682096675304105</v>
      </c>
      <c r="DV145" s="3">
        <f ca="1">IFERROR(__xludf.DUMMYFUNCTION("""COMPUTED_VALUE"""),-0.541578445048605)</f>
        <v>-0.54157844504860497</v>
      </c>
      <c r="DW145" s="3">
        <f ca="1">IFERROR(__xludf.DUMMYFUNCTION("""COMPUTED_VALUE"""),-0.562413559215613)</f>
        <v>-0.56241355921561298</v>
      </c>
      <c r="DX145" s="3">
        <f ca="1">IFERROR(__xludf.DUMMYFUNCTION("""COMPUTED_VALUE"""),-0.58631937682605)</f>
        <v>-0.58631937682604995</v>
      </c>
      <c r="DY145" s="3">
        <f ca="1">IFERROR(__xludf.DUMMYFUNCTION("""COMPUTED_VALUE"""),-0.608422474402219)</f>
        <v>-0.60842247440221897</v>
      </c>
      <c r="DZ145" s="3">
        <f ca="1">IFERROR(__xludf.DUMMYFUNCTION("""COMPUTED_VALUE"""),-0.565113975152957)</f>
        <v>-0.56511397515295703</v>
      </c>
      <c r="EA145" s="3">
        <f ca="1">IFERROR(__xludf.DUMMYFUNCTION("""COMPUTED_VALUE"""),-0.582157863103902)</f>
        <v>-0.58215786310390205</v>
      </c>
      <c r="EB145" s="3">
        <f ca="1">IFERROR(__xludf.DUMMYFUNCTION("""COMPUTED_VALUE"""),-0.650839310243636)</f>
        <v>-0.65083931024363595</v>
      </c>
      <c r="EC145" s="3">
        <f ca="1">IFERROR(__xludf.DUMMYFUNCTION("""COMPUTED_VALUE"""),-0.599610763943001)</f>
        <v>-0.59961076394300095</v>
      </c>
      <c r="ED145" s="3">
        <f ca="1">IFERROR(__xludf.DUMMYFUNCTION("""COMPUTED_VALUE"""),-0.592364003460461)</f>
        <v>-0.59236400346046103</v>
      </c>
      <c r="EE145" s="3">
        <f ca="1">IFERROR(__xludf.DUMMYFUNCTION("""COMPUTED_VALUE"""),-0.63939297567328)</f>
        <v>-0.63939297567328002</v>
      </c>
      <c r="EF145" s="3">
        <f ca="1">IFERROR(__xludf.DUMMYFUNCTION("""COMPUTED_VALUE"""),-0.620390127945399)</f>
        <v>-0.62039012794539905</v>
      </c>
      <c r="EG145" s="3">
        <f ca="1">IFERROR(__xludf.DUMMYFUNCTION("""COMPUTED_VALUE"""),-0.609548549768234)</f>
        <v>-0.60954854976823403</v>
      </c>
      <c r="EH145" s="3">
        <f ca="1">IFERROR(__xludf.DUMMYFUNCTION("""COMPUTED_VALUE"""),-0.604284830189196)</f>
        <v>-0.60428483018919599</v>
      </c>
      <c r="EI145" s="3">
        <f ca="1">IFERROR(__xludf.DUMMYFUNCTION("""COMPUTED_VALUE"""),-0.593225555896327)</f>
        <v>-0.59322555589632697</v>
      </c>
      <c r="EJ145" s="3">
        <f ca="1">IFERROR(__xludf.DUMMYFUNCTION("""COMPUTED_VALUE"""),-0.610340935884609)</f>
        <v>-0.61034093588460903</v>
      </c>
      <c r="EK145" s="3">
        <f ca="1">IFERROR(__xludf.DUMMYFUNCTION("""COMPUTED_VALUE"""),-0.646879923145987)</f>
        <v>-0.64687992314598697</v>
      </c>
      <c r="EL145" s="3">
        <f ca="1">IFERROR(__xludf.DUMMYFUNCTION("""COMPUTED_VALUE"""),-0.66187648665277)</f>
        <v>-0.66187648665276999</v>
      </c>
      <c r="EM145" s="3">
        <f ca="1">IFERROR(__xludf.DUMMYFUNCTION("""COMPUTED_VALUE"""),-0.685162237446883)</f>
        <v>-0.68516223744688298</v>
      </c>
      <c r="EN145" s="3">
        <f ca="1">IFERROR(__xludf.DUMMYFUNCTION("""COMPUTED_VALUE"""),-0.571323816980493)</f>
        <v>-0.57132381698049295</v>
      </c>
      <c r="EO145" s="3">
        <f ca="1">IFERROR(__xludf.DUMMYFUNCTION("""COMPUTED_VALUE"""),-0.591923714964015)</f>
        <v>-0.59192371496401497</v>
      </c>
      <c r="EP145" s="3">
        <f ca="1">IFERROR(__xludf.DUMMYFUNCTION("""COMPUTED_VALUE"""),-0.605946110290388)</f>
        <v>-0.60594611029038803</v>
      </c>
      <c r="EQ145" s="3">
        <f ca="1">IFERROR(__xludf.DUMMYFUNCTION("""COMPUTED_VALUE"""),-0.581434560484292)</f>
        <v>-0.58143456048429198</v>
      </c>
      <c r="ER145" s="3">
        <f ca="1">IFERROR(__xludf.DUMMYFUNCTION("""COMPUTED_VALUE"""),-0.616219409512639)</f>
        <v>-0.61621940951263898</v>
      </c>
      <c r="ES145" s="3">
        <f ca="1">IFERROR(__xludf.DUMMYFUNCTION("""COMPUTED_VALUE"""),-0.669805069656148)</f>
        <v>-0.66980506965614806</v>
      </c>
      <c r="ET145" s="3">
        <f ca="1">IFERROR(__xludf.DUMMYFUNCTION("""COMPUTED_VALUE"""),-0.662494679648464)</f>
        <v>-0.66249467964846398</v>
      </c>
      <c r="EU145" s="3">
        <f ca="1">IFERROR(__xludf.DUMMYFUNCTION("""COMPUTED_VALUE"""),-0.572280016678032)</f>
        <v>-0.57228001667803197</v>
      </c>
      <c r="EV145" s="3">
        <f ca="1">IFERROR(__xludf.DUMMYFUNCTION("""COMPUTED_VALUE"""),-0.593593715336523)</f>
        <v>-0.59359371533652305</v>
      </c>
      <c r="EW145" s="3">
        <f ca="1">IFERROR(__xludf.DUMMYFUNCTION("""COMPUTED_VALUE"""),-0.621339905165878)</f>
        <v>-0.621339905165878</v>
      </c>
      <c r="EX145" s="3">
        <f ca="1">IFERROR(__xludf.DUMMYFUNCTION("""COMPUTED_VALUE"""),-0.66082417010636)</f>
        <v>-0.66082417010635996</v>
      </c>
      <c r="EY145" s="3">
        <f ca="1">IFERROR(__xludf.DUMMYFUNCTION("""COMPUTED_VALUE"""),-0.644220569712055)</f>
        <v>-0.64422056971205499</v>
      </c>
      <c r="EZ145" s="3">
        <f ca="1">IFERROR(__xludf.DUMMYFUNCTION("""COMPUTED_VALUE"""),-0.592955503977702)</f>
        <v>-0.59295550397770203</v>
      </c>
      <c r="FA145" s="3">
        <f ca="1">IFERROR(__xludf.DUMMYFUNCTION("""COMPUTED_VALUE"""),-0.619877084135191)</f>
        <v>-0.61987708413519105</v>
      </c>
      <c r="FB145" s="3">
        <f ca="1">IFERROR(__xludf.DUMMYFUNCTION("""COMPUTED_VALUE"""),-0.515768713337001)</f>
        <v>-0.51576871333700103</v>
      </c>
      <c r="FC145" s="3">
        <f ca="1">IFERROR(__xludf.DUMMYFUNCTION("""COMPUTED_VALUE"""),-0.554990580494508)</f>
        <v>-0.554990580494508</v>
      </c>
      <c r="FD145" s="3">
        <f ca="1">IFERROR(__xludf.DUMMYFUNCTION("""COMPUTED_VALUE"""),-0.561217372632753)</f>
        <v>-0.56121737263275295</v>
      </c>
      <c r="FE145" s="3">
        <f ca="1">IFERROR(__xludf.DUMMYFUNCTION("""COMPUTED_VALUE"""),-0.603517159096146)</f>
        <v>-0.60351715909614601</v>
      </c>
      <c r="FF145" s="3">
        <f ca="1">IFERROR(__xludf.DUMMYFUNCTION("""COMPUTED_VALUE"""),-0.585661142401112)</f>
        <v>-0.585661142401112</v>
      </c>
      <c r="FG145" s="3">
        <f ca="1">IFERROR(__xludf.DUMMYFUNCTION("""COMPUTED_VALUE"""),-0.589603270381835)</f>
        <v>-0.58960327038183502</v>
      </c>
      <c r="FH145" s="3">
        <f ca="1">IFERROR(__xludf.DUMMYFUNCTION("""COMPUTED_VALUE"""),-0.591325899782141)</f>
        <v>-0.59132589978214101</v>
      </c>
      <c r="FI145" s="3">
        <f ca="1">IFERROR(__xludf.DUMMYFUNCTION("""COMPUTED_VALUE"""),-0.54361745560394)</f>
        <v>-0.54361745560394004</v>
      </c>
      <c r="FJ145" s="3">
        <f ca="1">IFERROR(__xludf.DUMMYFUNCTION("""COMPUTED_VALUE"""),-0.472881929488768)</f>
        <v>-0.472881929488768</v>
      </c>
      <c r="FK145" s="3">
        <f ca="1">IFERROR(__xludf.DUMMYFUNCTION("""COMPUTED_VALUE"""),-0.478049351833773)</f>
        <v>-0.47804935183377301</v>
      </c>
      <c r="FL145" s="3">
        <f ca="1">IFERROR(__xludf.DUMMYFUNCTION("""COMPUTED_VALUE"""),-0.558354706381917)</f>
        <v>-0.55835470638191698</v>
      </c>
      <c r="FM145" s="3">
        <f ca="1">IFERROR(__xludf.DUMMYFUNCTION("""COMPUTED_VALUE"""),-0.57671903982295)</f>
        <v>-0.57671903982295003</v>
      </c>
      <c r="FN145" s="3">
        <f ca="1">IFERROR(__xludf.DUMMYFUNCTION("""COMPUTED_VALUE"""),-0.609201235523543)</f>
        <v>-0.60920123552354299</v>
      </c>
      <c r="FO145" s="3">
        <f ca="1">IFERROR(__xludf.DUMMYFUNCTION("""COMPUTED_VALUE"""),-0.575549974907095)</f>
        <v>-0.57554997490709503</v>
      </c>
      <c r="FP145" s="3">
        <f ca="1">IFERROR(__xludf.DUMMYFUNCTION("""COMPUTED_VALUE"""),-0.463992583452901)</f>
        <v>-0.46399258345290101</v>
      </c>
      <c r="FQ145" s="3">
        <f ca="1">IFERROR(__xludf.DUMMYFUNCTION("""COMPUTED_VALUE"""),-0.53148060795752)</f>
        <v>-0.53148060795751995</v>
      </c>
      <c r="FR145" s="3">
        <f ca="1">IFERROR(__xludf.DUMMYFUNCTION("""COMPUTED_VALUE"""),-0.50454377372328)</f>
        <v>-0.50454377372327996</v>
      </c>
      <c r="FS145" s="3">
        <f ca="1">IFERROR(__xludf.DUMMYFUNCTION("""COMPUTED_VALUE"""),-0.55170439243481)</f>
        <v>-0.55170439243480995</v>
      </c>
      <c r="FT145" s="3">
        <f ca="1">IFERROR(__xludf.DUMMYFUNCTION("""COMPUTED_VALUE"""),-0.526235848850251)</f>
        <v>-0.52623584885025099</v>
      </c>
      <c r="FU145" s="3">
        <f ca="1">IFERROR(__xludf.DUMMYFUNCTION("""COMPUTED_VALUE"""),-0.543938486630674)</f>
        <v>-0.54393848663067401</v>
      </c>
      <c r="FV145" s="3">
        <f ca="1">IFERROR(__xludf.DUMMYFUNCTION("""COMPUTED_VALUE"""),-0.480704064395347)</f>
        <v>-0.48070406439534702</v>
      </c>
      <c r="FW145" s="3">
        <f ca="1">IFERROR(__xludf.DUMMYFUNCTION("""COMPUTED_VALUE"""),-0.47140292116754)</f>
        <v>-0.47140292116754001</v>
      </c>
      <c r="FX145" s="3">
        <f ca="1">IFERROR(__xludf.DUMMYFUNCTION("""COMPUTED_VALUE"""),-0.496701588015835)</f>
        <v>-0.49670158801583503</v>
      </c>
      <c r="FY145" s="3">
        <f ca="1">IFERROR(__xludf.DUMMYFUNCTION("""COMPUTED_VALUE"""),-0.528401933124806)</f>
        <v>-0.52840193312480599</v>
      </c>
      <c r="FZ145" s="3">
        <f ca="1">IFERROR(__xludf.DUMMYFUNCTION("""COMPUTED_VALUE"""),-0.569082753979878)</f>
        <v>-0.56908275397987795</v>
      </c>
      <c r="GA145" s="3">
        <f ca="1">IFERROR(__xludf.DUMMYFUNCTION("""COMPUTED_VALUE"""),-0.624261125056466)</f>
        <v>-0.62426112505646603</v>
      </c>
      <c r="GB145" s="3">
        <f ca="1">IFERROR(__xludf.DUMMYFUNCTION("""COMPUTED_VALUE"""),-0.63338509981833)</f>
        <v>-0.63338509981833002</v>
      </c>
      <c r="GC145" s="3">
        <f ca="1">IFERROR(__xludf.DUMMYFUNCTION("""COMPUTED_VALUE"""),-0.757750809733353)</f>
        <v>-0.75775080973335296</v>
      </c>
      <c r="GD145" s="3">
        <f ca="1">IFERROR(__xludf.DUMMYFUNCTION("""COMPUTED_VALUE"""),-0.511214143415669)</f>
        <v>-0.51121414341566895</v>
      </c>
      <c r="GE145" s="3">
        <f ca="1">IFERROR(__xludf.DUMMYFUNCTION("""COMPUTED_VALUE"""),-0.502282251354638)</f>
        <v>-0.502282251354638</v>
      </c>
      <c r="GF145" s="3">
        <f ca="1">IFERROR(__xludf.DUMMYFUNCTION("""COMPUTED_VALUE"""),-0.540168403574055)</f>
        <v>-0.54016840357405504</v>
      </c>
      <c r="GG145" s="3">
        <f ca="1">IFERROR(__xludf.DUMMYFUNCTION("""COMPUTED_VALUE"""),-0.575307763771199)</f>
        <v>-0.57530776377119897</v>
      </c>
      <c r="GH145" s="3">
        <f ca="1">IFERROR(__xludf.DUMMYFUNCTION("""COMPUTED_VALUE"""),-0.617076697294367)</f>
        <v>-0.61707669729436698</v>
      </c>
      <c r="GI145" s="3">
        <f ca="1">IFERROR(__xludf.DUMMYFUNCTION("""COMPUTED_VALUE"""),-0.632100281767334)</f>
        <v>-0.63210028176733402</v>
      </c>
      <c r="GJ145" s="3">
        <f ca="1">IFERROR(__xludf.DUMMYFUNCTION("""COMPUTED_VALUE"""),-0.50694838401757)</f>
        <v>-0.50694838401757003</v>
      </c>
      <c r="GK145" s="3">
        <f ca="1">IFERROR(__xludf.DUMMYFUNCTION("""COMPUTED_VALUE"""),-0.502927304855406)</f>
        <v>-0.50292730485540604</v>
      </c>
      <c r="GL145" s="3">
        <f ca="1">IFERROR(__xludf.DUMMYFUNCTION("""COMPUTED_VALUE"""),-0.537825857093044)</f>
        <v>-0.53782585709304398</v>
      </c>
      <c r="GM145" s="3">
        <f ca="1">IFERROR(__xludf.DUMMYFUNCTION("""COMPUTED_VALUE"""),-0.62499579337048)</f>
        <v>-0.62499579337047995</v>
      </c>
      <c r="GN145" s="3">
        <f ca="1">IFERROR(__xludf.DUMMYFUNCTION("""COMPUTED_VALUE"""),-0.632736984837207)</f>
        <v>-0.63273698483720697</v>
      </c>
      <c r="GO145" s="3">
        <f ca="1">IFERROR(__xludf.DUMMYFUNCTION("""COMPUTED_VALUE"""),-0.591116132921178)</f>
        <v>-0.59111613292117804</v>
      </c>
      <c r="GP145" s="3">
        <f ca="1">IFERROR(__xludf.DUMMYFUNCTION("""COMPUTED_VALUE"""),-0.63808439081576)</f>
        <v>-0.63808439081575996</v>
      </c>
      <c r="GQ145" s="3">
        <f ca="1">IFERROR(__xludf.DUMMYFUNCTION("""COMPUTED_VALUE"""),-0.691248976289503)</f>
        <v>-0.69124897628950299</v>
      </c>
      <c r="GR145" s="3">
        <f ca="1">IFERROR(__xludf.DUMMYFUNCTION("""COMPUTED_VALUE"""),-0.605104713947047)</f>
        <v>-0.60510471394704701</v>
      </c>
      <c r="GS145" s="3">
        <f ca="1">IFERROR(__xludf.DUMMYFUNCTION("""COMPUTED_VALUE"""),-0.589899222955758)</f>
        <v>-0.58989922295575803</v>
      </c>
      <c r="GT145" s="3">
        <f ca="1">IFERROR(__xludf.DUMMYFUNCTION("""COMPUTED_VALUE"""),-0.66149352077992)</f>
        <v>-0.66149352077991996</v>
      </c>
      <c r="GU145" s="3">
        <f ca="1">IFERROR(__xludf.DUMMYFUNCTION("""COMPUTED_VALUE"""),-0.621312497281264)</f>
        <v>-0.62131249728126403</v>
      </c>
      <c r="GV145" s="3">
        <f ca="1">IFERROR(__xludf.DUMMYFUNCTION("""COMPUTED_VALUE"""),-0.685652880775812)</f>
        <v>-0.68565288077581199</v>
      </c>
      <c r="GW145" s="3">
        <f ca="1">IFERROR(__xludf.DUMMYFUNCTION("""COMPUTED_VALUE"""),-0.655306122890238)</f>
        <v>-0.65530612289023804</v>
      </c>
      <c r="GX145" s="3">
        <f ca="1">IFERROR(__xludf.DUMMYFUNCTION("""COMPUTED_VALUE"""),-0.647537160682206)</f>
        <v>-0.64753716068220601</v>
      </c>
      <c r="GY145" s="3">
        <f ca="1">IFERROR(__xludf.DUMMYFUNCTION("""COMPUTED_VALUE"""),-0.606138666487864)</f>
        <v>-0.60613866648786396</v>
      </c>
      <c r="GZ145" s="3">
        <f ca="1">IFERROR(__xludf.DUMMYFUNCTION("""COMPUTED_VALUE"""),-0.664792044905814)</f>
        <v>-0.66479204490581401</v>
      </c>
      <c r="HA145" s="3">
        <f ca="1">IFERROR(__xludf.DUMMYFUNCTION("""COMPUTED_VALUE"""),-0.675309079735511)</f>
        <v>-0.67530907973551102</v>
      </c>
      <c r="HB145" s="3">
        <f ca="1">IFERROR(__xludf.DUMMYFUNCTION("""COMPUTED_VALUE"""),-0.661188476909466)</f>
        <v>-0.66118847690946603</v>
      </c>
      <c r="HC145" s="3">
        <f ca="1">IFERROR(__xludf.DUMMYFUNCTION("""COMPUTED_VALUE"""),-0.633448736961214)</f>
        <v>-0.63344873696121395</v>
      </c>
      <c r="HD145" s="3">
        <f ca="1">IFERROR(__xludf.DUMMYFUNCTION("""COMPUTED_VALUE"""),-0.654039483014933)</f>
        <v>-0.65403948301493298</v>
      </c>
      <c r="HE145" s="3">
        <f ca="1">IFERROR(__xludf.DUMMYFUNCTION("""COMPUTED_VALUE"""),-0.642909528213809)</f>
        <v>-0.64290952821380898</v>
      </c>
      <c r="HF145" s="3">
        <f ca="1">IFERROR(__xludf.DUMMYFUNCTION("""COMPUTED_VALUE"""),-0.53778147447088)</f>
        <v>-0.53778147447087998</v>
      </c>
      <c r="HG145" s="3">
        <f ca="1">IFERROR(__xludf.DUMMYFUNCTION("""COMPUTED_VALUE"""),-0.580204702688161)</f>
        <v>-0.58020470268816104</v>
      </c>
      <c r="HH145" s="3">
        <f ca="1">IFERROR(__xludf.DUMMYFUNCTION("""COMPUTED_VALUE"""),-0.623937453008554)</f>
        <v>-0.62393745300855397</v>
      </c>
      <c r="HI145" s="3">
        <f ca="1">IFERROR(__xludf.DUMMYFUNCTION("""COMPUTED_VALUE"""),-0.633217680010899)</f>
        <v>-0.63321768001089895</v>
      </c>
      <c r="HJ145" s="3">
        <f ca="1">IFERROR(__xludf.DUMMYFUNCTION("""COMPUTED_VALUE"""),-0.659268784147369)</f>
        <v>-0.659268784147369</v>
      </c>
      <c r="HK145" s="3">
        <f ca="1">IFERROR(__xludf.DUMMYFUNCTION("""COMPUTED_VALUE"""),-0.645562679660044)</f>
        <v>-0.64556267966004399</v>
      </c>
      <c r="HL145" s="3">
        <f ca="1">IFERROR(__xludf.DUMMYFUNCTION("""COMPUTED_VALUE"""),-0.759604155413948)</f>
        <v>-0.75960415541394799</v>
      </c>
      <c r="HM145" s="3">
        <f ca="1">IFERROR(__xludf.DUMMYFUNCTION("""COMPUTED_VALUE"""),-0.5368953161526)</f>
        <v>-0.5368953161526</v>
      </c>
      <c r="HN145" s="3">
        <f ca="1">IFERROR(__xludf.DUMMYFUNCTION("""COMPUTED_VALUE"""),-0.550353245214034)</f>
        <v>-0.55035324521403395</v>
      </c>
      <c r="HO145" s="3">
        <f ca="1">IFERROR(__xludf.DUMMYFUNCTION("""COMPUTED_VALUE"""),-0.627075568715534)</f>
        <v>-0.62707556871553405</v>
      </c>
      <c r="HP145" s="3">
        <f ca="1">IFERROR(__xludf.DUMMYFUNCTION("""COMPUTED_VALUE"""),-0.650501074776264)</f>
        <v>-0.65050107477626395</v>
      </c>
      <c r="HQ145" s="3">
        <f ca="1">IFERROR(__xludf.DUMMYFUNCTION("""COMPUTED_VALUE"""),-0.683715444853243)</f>
        <v>-0.68371544485324298</v>
      </c>
      <c r="HR145" s="3">
        <f ca="1">IFERROR(__xludf.DUMMYFUNCTION("""COMPUTED_VALUE"""),-0.617932492427585)</f>
        <v>-0.61793249242758497</v>
      </c>
      <c r="HS145" s="3">
        <f ca="1">IFERROR(__xludf.DUMMYFUNCTION("""COMPUTED_VALUE"""),-0.591205299385608)</f>
        <v>-0.59120529938560795</v>
      </c>
      <c r="HT145" s="3">
        <f ca="1">IFERROR(__xludf.DUMMYFUNCTION("""COMPUTED_VALUE"""),-0.598856048669224)</f>
        <v>-0.59885604866922404</v>
      </c>
      <c r="HU145" s="3">
        <f ca="1">IFERROR(__xludf.DUMMYFUNCTION("""COMPUTED_VALUE"""),-0.538036814015151)</f>
        <v>-0.53803681401515102</v>
      </c>
      <c r="HV145" s="3">
        <f ca="1">IFERROR(__xludf.DUMMYFUNCTION("""COMPUTED_VALUE"""),-0.631091114657693)</f>
        <v>-0.63109111465769296</v>
      </c>
      <c r="HW145" s="3">
        <f ca="1">IFERROR(__xludf.DUMMYFUNCTION("""COMPUTED_VALUE"""),-0.598935311243271)</f>
        <v>-0.59893531124327104</v>
      </c>
      <c r="HX145" s="3">
        <f ca="1">IFERROR(__xludf.DUMMYFUNCTION("""COMPUTED_VALUE"""),-0.598468793399736)</f>
        <v>-0.59846879339973602</v>
      </c>
      <c r="HY145" s="3">
        <f ca="1">IFERROR(__xludf.DUMMYFUNCTION("""COMPUTED_VALUE"""),-0.602869273999916)</f>
        <v>-0.60286927399991597</v>
      </c>
      <c r="HZ145" s="3">
        <f ca="1">IFERROR(__xludf.DUMMYFUNCTION("""COMPUTED_VALUE"""),-0.366074956032218)</f>
        <v>-0.36607495603221801</v>
      </c>
      <c r="IA145" s="3">
        <f ca="1">IFERROR(__xludf.DUMMYFUNCTION("""COMPUTED_VALUE"""),-0.506165530383265)</f>
        <v>-0.50616553038326495</v>
      </c>
      <c r="IB145" s="3">
        <f ca="1">IFERROR(__xludf.DUMMYFUNCTION("""COMPUTED_VALUE"""),-0.479790032486912)</f>
        <v>-0.47979003248691199</v>
      </c>
      <c r="IC145" s="3">
        <f ca="1">IFERROR(__xludf.DUMMYFUNCTION("""COMPUTED_VALUE"""),-0.454757013721042)</f>
        <v>-0.45475701372104199</v>
      </c>
      <c r="ID145" s="3">
        <f ca="1">IFERROR(__xludf.DUMMYFUNCTION("""COMPUTED_VALUE"""),-0.423044011998715)</f>
        <v>-0.423044011998715</v>
      </c>
      <c r="IE145" s="3">
        <f ca="1">IFERROR(__xludf.DUMMYFUNCTION("""COMPUTED_VALUE"""),-0.48940559355963)</f>
        <v>-0.48940559355962998</v>
      </c>
      <c r="IF145" s="3">
        <f ca="1">IFERROR(__xludf.DUMMYFUNCTION("""COMPUTED_VALUE"""),-0.457224186808841)</f>
        <v>-0.45722418680884103</v>
      </c>
      <c r="IG145" s="3">
        <f ca="1">IFERROR(__xludf.DUMMYFUNCTION("""COMPUTED_VALUE"""),-0.417335710369823)</f>
        <v>-0.41733571036982298</v>
      </c>
      <c r="IH145" s="3">
        <f ca="1">IFERROR(__xludf.DUMMYFUNCTION("""COMPUTED_VALUE"""),-0.44660146452928)</f>
        <v>-0.44660146452928001</v>
      </c>
      <c r="II145" s="3">
        <f ca="1">IFERROR(__xludf.DUMMYFUNCTION("""COMPUTED_VALUE"""),-0.357657605992323)</f>
        <v>-0.35765760599232299</v>
      </c>
      <c r="IJ145" s="3">
        <f ca="1">IFERROR(__xludf.DUMMYFUNCTION("""COMPUTED_VALUE"""),-0.371200337702392)</f>
        <v>-0.37120033770239202</v>
      </c>
      <c r="IK145" s="3">
        <f ca="1">IFERROR(__xludf.DUMMYFUNCTION("""COMPUTED_VALUE"""),-0.327171231603697)</f>
        <v>-0.32717123160369699</v>
      </c>
      <c r="IL145" s="3">
        <f ca="1">IFERROR(__xludf.DUMMYFUNCTION("""COMPUTED_VALUE"""),-0.372640254821607)</f>
        <v>-0.37264025482160701</v>
      </c>
      <c r="IM145" s="3">
        <f ca="1">IFERROR(__xludf.DUMMYFUNCTION("""COMPUTED_VALUE"""),-0.392223463141982)</f>
        <v>-0.39222346314198198</v>
      </c>
      <c r="IN145" s="3">
        <f ca="1">IFERROR(__xludf.DUMMYFUNCTION("""COMPUTED_VALUE"""),-0.326041982491353)</f>
        <v>-0.32604198249135302</v>
      </c>
      <c r="IO145" s="3">
        <f ca="1">IFERROR(__xludf.DUMMYFUNCTION("""COMPUTED_VALUE"""),-0.363006586125896)</f>
        <v>-0.36300658612589598</v>
      </c>
      <c r="IP145" s="3">
        <f ca="1">IFERROR(__xludf.DUMMYFUNCTION("""COMPUTED_VALUE"""),-0.445704728033766)</f>
        <v>-0.44570472803376598</v>
      </c>
      <c r="IQ145" s="3">
        <f ca="1">IFERROR(__xludf.DUMMYFUNCTION("""COMPUTED_VALUE"""),-0.378201920535722)</f>
        <v>-0.37820192053572199</v>
      </c>
      <c r="IR145" s="3">
        <f ca="1">IFERROR(__xludf.DUMMYFUNCTION("""COMPUTED_VALUE"""),-0.430925917347308)</f>
        <v>-0.43092591734730801</v>
      </c>
      <c r="IS145" s="3">
        <f ca="1">IFERROR(__xludf.DUMMYFUNCTION("""COMPUTED_VALUE"""),-0.406615744085457)</f>
        <v>-0.40661574408545698</v>
      </c>
      <c r="IT145" s="3">
        <f ca="1">IFERROR(__xludf.DUMMYFUNCTION("""COMPUTED_VALUE"""),-0.370126988204355)</f>
        <v>-0.37012698820435502</v>
      </c>
      <c r="IU145" s="3">
        <f ca="1">IFERROR(__xludf.DUMMYFUNCTION("""COMPUTED_VALUE"""),-0.523899670722926)</f>
        <v>-0.52389967072292598</v>
      </c>
      <c r="IV145" s="3">
        <f ca="1">IFERROR(__xludf.DUMMYFUNCTION("""COMPUTED_VALUE"""),-0.395226783096187)</f>
        <v>-0.39522678309618697</v>
      </c>
      <c r="IW145" s="3">
        <f ca="1">IFERROR(__xludf.DUMMYFUNCTION("""COMPUTED_VALUE"""),-0.447509484376892)</f>
        <v>-0.44750948437689198</v>
      </c>
      <c r="IX145" s="3">
        <f ca="1">IFERROR(__xludf.DUMMYFUNCTION("""COMPUTED_VALUE"""),-0.35534600883506)</f>
        <v>-0.35534600883506001</v>
      </c>
      <c r="IY145" s="3">
        <f ca="1">IFERROR(__xludf.DUMMYFUNCTION("""COMPUTED_VALUE"""),-0.38029444694152)</f>
        <v>-0.38029444694151998</v>
      </c>
      <c r="IZ145" s="3">
        <f ca="1">IFERROR(__xludf.DUMMYFUNCTION("""COMPUTED_VALUE"""),-0.379958306456798)</f>
        <v>-0.37995830645679801</v>
      </c>
      <c r="JA145" s="3">
        <f ca="1">IFERROR(__xludf.DUMMYFUNCTION("""COMPUTED_VALUE"""),-0.381098022017471)</f>
        <v>-0.38109802201747101</v>
      </c>
      <c r="JB145" s="3">
        <f ca="1">IFERROR(__xludf.DUMMYFUNCTION("""COMPUTED_VALUE"""),-0.446334981066331)</f>
        <v>-0.44633498106633102</v>
      </c>
      <c r="JC145" s="3">
        <f ca="1">IFERROR(__xludf.DUMMYFUNCTION("""COMPUTED_VALUE"""),-0.345168759288171)</f>
        <v>-0.34516875928817098</v>
      </c>
      <c r="JD145" s="3">
        <f ca="1">IFERROR(__xludf.DUMMYFUNCTION("""COMPUTED_VALUE"""),-0.360288699940033)</f>
        <v>-0.36028869994003299</v>
      </c>
      <c r="JE145" s="3">
        <f ca="1">IFERROR(__xludf.DUMMYFUNCTION("""COMPUTED_VALUE"""),-0.397232914544716)</f>
        <v>-0.39723291454471599</v>
      </c>
      <c r="JF145" s="3">
        <f ca="1">IFERROR(__xludf.DUMMYFUNCTION("""COMPUTED_VALUE"""),-0.332375249246545)</f>
        <v>-0.33237524924654499</v>
      </c>
      <c r="JG145" s="3">
        <f ca="1">IFERROR(__xludf.DUMMYFUNCTION("""COMPUTED_VALUE"""),-0.353213952070836)</f>
        <v>-0.353213952070836</v>
      </c>
      <c r="JH145" s="3">
        <f ca="1">IFERROR(__xludf.DUMMYFUNCTION("""COMPUTED_VALUE"""),-0.403208746114975)</f>
        <v>-0.40320874611497498</v>
      </c>
      <c r="JI145" s="3">
        <f ca="1">IFERROR(__xludf.DUMMYFUNCTION("""COMPUTED_VALUE"""),-0.30085217117629)</f>
        <v>-0.30085217117628998</v>
      </c>
      <c r="JJ145" s="3">
        <f ca="1">IFERROR(__xludf.DUMMYFUNCTION("""COMPUTED_VALUE"""),-0.0556100301942026)</f>
        <v>-5.5610030194202603E-2</v>
      </c>
      <c r="JK145" s="3">
        <f ca="1">IFERROR(__xludf.DUMMYFUNCTION("""COMPUTED_VALUE"""),-0.303957736964394)</f>
        <v>-0.30395773696439399</v>
      </c>
      <c r="JL145" s="3">
        <f ca="1">IFERROR(__xludf.DUMMYFUNCTION("""COMPUTED_VALUE"""),-0.277307678187409)</f>
        <v>-0.27730767818740898</v>
      </c>
      <c r="JM145" s="3">
        <f ca="1">IFERROR(__xludf.DUMMYFUNCTION("""COMPUTED_VALUE"""),-0.37609910889414)</f>
        <v>-0.37609910889414</v>
      </c>
      <c r="JN145" s="3">
        <f ca="1">IFERROR(__xludf.DUMMYFUNCTION("""COMPUTED_VALUE"""),-0.268566188892517)</f>
        <v>-0.26856618889251699</v>
      </c>
      <c r="JO145" s="3">
        <f ca="1">IFERROR(__xludf.DUMMYFUNCTION("""COMPUTED_VALUE"""),-0.376406309592629)</f>
        <v>-0.376406309592629</v>
      </c>
      <c r="JP145" s="3">
        <f ca="1">IFERROR(__xludf.DUMMYFUNCTION("""COMPUTED_VALUE"""),-0.416158640242691)</f>
        <v>-0.416158640242691</v>
      </c>
      <c r="JQ145" s="3">
        <f ca="1">IFERROR(__xludf.DUMMYFUNCTION("""COMPUTED_VALUE"""),-0.35275003135088)</f>
        <v>-0.35275003135088001</v>
      </c>
      <c r="JR145" s="3">
        <f ca="1">IFERROR(__xludf.DUMMYFUNCTION("""COMPUTED_VALUE"""),-0.327889687817615)</f>
        <v>-0.32788968781761502</v>
      </c>
      <c r="JS145" s="3">
        <f ca="1">IFERROR(__xludf.DUMMYFUNCTION("""COMPUTED_VALUE"""),-0.35420597834733)</f>
        <v>-0.35420597834732997</v>
      </c>
      <c r="JT145" s="3">
        <f ca="1">IFERROR(__xludf.DUMMYFUNCTION("""COMPUTED_VALUE"""),-0.401498076892684)</f>
        <v>-0.40149807689268402</v>
      </c>
      <c r="JU145" s="3">
        <f ca="1">IFERROR(__xludf.DUMMYFUNCTION("""COMPUTED_VALUE"""),-0.364370419310535)</f>
        <v>-0.36437041931053499</v>
      </c>
      <c r="JV145" s="3">
        <f ca="1">IFERROR(__xludf.DUMMYFUNCTION("""COMPUTED_VALUE"""),-0.309434009499639)</f>
        <v>-0.30943400949963901</v>
      </c>
      <c r="JW145" s="3">
        <f ca="1">IFERROR(__xludf.DUMMYFUNCTION("""COMPUTED_VALUE"""),-0.386773942832055)</f>
        <v>-0.38677394283205502</v>
      </c>
      <c r="JX145" s="3">
        <f ca="1">IFERROR(__xludf.DUMMYFUNCTION("""COMPUTED_VALUE"""),-0.317888722506143)</f>
        <v>-0.31788872250614297</v>
      </c>
      <c r="JY145" s="3">
        <f ca="1">IFERROR(__xludf.DUMMYFUNCTION("""COMPUTED_VALUE"""),-0.357343058381591)</f>
        <v>-0.35734305838159097</v>
      </c>
      <c r="JZ145" s="3">
        <f ca="1">IFERROR(__xludf.DUMMYFUNCTION("""COMPUTED_VALUE"""),-0.439221462385923)</f>
        <v>-0.43922146238592302</v>
      </c>
      <c r="KA145" s="3">
        <f ca="1">IFERROR(__xludf.DUMMYFUNCTION("""COMPUTED_VALUE"""),-0.333173607311998)</f>
        <v>-0.33317360731199802</v>
      </c>
      <c r="KB145" s="3">
        <f ca="1">IFERROR(__xludf.DUMMYFUNCTION("""COMPUTED_VALUE"""),-0.598079593790864)</f>
        <v>-0.59807959379086395</v>
      </c>
      <c r="KC145" s="3">
        <f ca="1">IFERROR(__xludf.DUMMYFUNCTION("""COMPUTED_VALUE"""),-0.277854065539372)</f>
        <v>-0.27785406553937197</v>
      </c>
      <c r="KD145" s="3">
        <f ca="1">IFERROR(__xludf.DUMMYFUNCTION("""COMPUTED_VALUE"""),-0.358138502414783)</f>
        <v>-0.35813850241478301</v>
      </c>
      <c r="KE145" s="3">
        <f ca="1">IFERROR(__xludf.DUMMYFUNCTION("""COMPUTED_VALUE"""),-0.302796710929484)</f>
        <v>-0.30279671092948401</v>
      </c>
      <c r="KF145" s="3">
        <f ca="1">IFERROR(__xludf.DUMMYFUNCTION("""COMPUTED_VALUE"""),-0.228296131510039)</f>
        <v>-0.228296131510039</v>
      </c>
      <c r="KG145" s="3">
        <f ca="1">IFERROR(__xludf.DUMMYFUNCTION("""COMPUTED_VALUE"""),-0.414168228384559)</f>
        <v>-0.41416822838455902</v>
      </c>
      <c r="KH145" s="3">
        <f ca="1">IFERROR(__xludf.DUMMYFUNCTION("""COMPUTED_VALUE"""),-0.37808274744932)</f>
        <v>-0.37808274744932002</v>
      </c>
      <c r="KI145" s="3">
        <f ca="1">IFERROR(__xludf.DUMMYFUNCTION("""COMPUTED_VALUE"""),-0.410797227126958)</f>
        <v>-0.41079722712695799</v>
      </c>
      <c r="KJ145" s="3">
        <f ca="1">IFERROR(__xludf.DUMMYFUNCTION("""COMPUTED_VALUE"""),-0.482705126797992)</f>
        <v>-0.48270512679799199</v>
      </c>
      <c r="KK145" s="3">
        <f ca="1">IFERROR(__xludf.DUMMYFUNCTION("""COMPUTED_VALUE"""),-0.379663672716162)</f>
        <v>-0.37966367271616203</v>
      </c>
      <c r="KL145" s="3">
        <f ca="1">IFERROR(__xludf.DUMMYFUNCTION("""COMPUTED_VALUE"""),-0.320414901663188)</f>
        <v>-0.32041490166318798</v>
      </c>
      <c r="KM145" s="3">
        <f ca="1">IFERROR(__xludf.DUMMYFUNCTION("""COMPUTED_VALUE"""),-0.430850012235524)</f>
        <v>-0.43085001223552399</v>
      </c>
      <c r="KN145" s="3">
        <f ca="1">IFERROR(__xludf.DUMMYFUNCTION("""COMPUTED_VALUE"""),-0.38792586304506)</f>
        <v>-0.38792586304505999</v>
      </c>
      <c r="KO145" s="3">
        <f ca="1">IFERROR(__xludf.DUMMYFUNCTION("""COMPUTED_VALUE"""),-0.492444464695652)</f>
        <v>-0.49244446469565201</v>
      </c>
      <c r="KP145" s="3">
        <f ca="1">IFERROR(__xludf.DUMMYFUNCTION("""COMPUTED_VALUE"""),-0.429097230015792)</f>
        <v>-0.42909723001579197</v>
      </c>
      <c r="KQ145" s="3">
        <f ca="1">IFERROR(__xludf.DUMMYFUNCTION("""COMPUTED_VALUE"""),-0.44542040508859)</f>
        <v>-0.44542040508858999</v>
      </c>
      <c r="KR145" s="3">
        <f ca="1">IFERROR(__xludf.DUMMYFUNCTION("""COMPUTED_VALUE"""),-0.417763932321579)</f>
        <v>-0.41776393232157899</v>
      </c>
      <c r="KS145" s="3">
        <f ca="1">IFERROR(__xludf.DUMMYFUNCTION("""COMPUTED_VALUE"""),-0.367229961597657)</f>
        <v>-0.36722996159765697</v>
      </c>
      <c r="KT145" s="3">
        <f ca="1">IFERROR(__xludf.DUMMYFUNCTION("""COMPUTED_VALUE"""),-0.449385988581776)</f>
        <v>-0.44938598858177597</v>
      </c>
      <c r="KU145" s="3">
        <f ca="1">IFERROR(__xludf.DUMMYFUNCTION("""COMPUTED_VALUE"""),-0.389424369368049)</f>
        <v>-0.38942436936804897</v>
      </c>
      <c r="KV145" s="3">
        <f ca="1">IFERROR(__xludf.DUMMYFUNCTION("""COMPUTED_VALUE"""),-0.613720185486594)</f>
        <v>-0.61372018548659402</v>
      </c>
      <c r="KW145" s="3">
        <f ca="1">IFERROR(__xludf.DUMMYFUNCTION("""COMPUTED_VALUE"""),-0.538796175503673)</f>
        <v>-0.53879617550367298</v>
      </c>
      <c r="KX145" s="3">
        <f ca="1">IFERROR(__xludf.DUMMYFUNCTION("""COMPUTED_VALUE"""),-0.56233785625336)</f>
        <v>-0.56233785625335997</v>
      </c>
      <c r="KY145" s="3">
        <f ca="1">IFERROR(__xludf.DUMMYFUNCTION("""COMPUTED_VALUE"""),-0.580041256907715)</f>
        <v>-0.58004125690771502</v>
      </c>
      <c r="KZ145" s="3">
        <f ca="1">IFERROR(__xludf.DUMMYFUNCTION("""COMPUTED_VALUE"""),-0.500713701159196)</f>
        <v>-0.500713701159196</v>
      </c>
      <c r="LA145" s="3">
        <f ca="1">IFERROR(__xludf.DUMMYFUNCTION("""COMPUTED_VALUE"""),-0.550426094450162)</f>
        <v>-0.550426094450162</v>
      </c>
      <c r="LB145" s="3">
        <f ca="1">IFERROR(__xludf.DUMMYFUNCTION("""COMPUTED_VALUE"""),-0.46541323925413)</f>
        <v>-0.46541323925412997</v>
      </c>
      <c r="LC145" s="3">
        <f ca="1">IFERROR(__xludf.DUMMYFUNCTION("""COMPUTED_VALUE"""),-0.462509055109967)</f>
        <v>-0.46250905510996698</v>
      </c>
      <c r="LD145" s="3">
        <f ca="1">IFERROR(__xludf.DUMMYFUNCTION("""COMPUTED_VALUE"""),-0.503695830406963)</f>
        <v>-0.50369583040696297</v>
      </c>
      <c r="LE145" s="3">
        <f ca="1">IFERROR(__xludf.DUMMYFUNCTION("""COMPUTED_VALUE"""),-0.521177743265681)</f>
        <v>-0.521177743265681</v>
      </c>
      <c r="LF145" s="3">
        <f ca="1">IFERROR(__xludf.DUMMYFUNCTION("""COMPUTED_VALUE"""),-0.630390659737911)</f>
        <v>-0.63039065973791097</v>
      </c>
      <c r="LG145" s="3">
        <f ca="1">IFERROR(__xludf.DUMMYFUNCTION("""COMPUTED_VALUE"""),-0.494610433261559)</f>
        <v>-0.49461043326155901</v>
      </c>
      <c r="LH145" s="3">
        <f ca="1">IFERROR(__xludf.DUMMYFUNCTION("""COMPUTED_VALUE"""),-0.505226488439884)</f>
        <v>-0.50522648843988405</v>
      </c>
      <c r="LI145" s="3">
        <f ca="1">IFERROR(__xludf.DUMMYFUNCTION("""COMPUTED_VALUE"""),-0.577512400078794)</f>
        <v>-0.57751240007879401</v>
      </c>
      <c r="LJ145" s="3">
        <f ca="1">IFERROR(__xludf.DUMMYFUNCTION("""COMPUTED_VALUE"""),-0.527789592512024)</f>
        <v>-0.52778959251202395</v>
      </c>
      <c r="LK145" s="3">
        <f ca="1">IFERROR(__xludf.DUMMYFUNCTION("""COMPUTED_VALUE"""),-0.483976952154106)</f>
        <v>-0.48397695215410602</v>
      </c>
      <c r="LL145" s="3">
        <f ca="1">IFERROR(__xludf.DUMMYFUNCTION("""COMPUTED_VALUE"""),-0.502266311815863)</f>
        <v>-0.50226631181586301</v>
      </c>
      <c r="LM145" s="3">
        <f ca="1">IFERROR(__xludf.DUMMYFUNCTION("""COMPUTED_VALUE"""),-0.536373068668409)</f>
        <v>-0.53637306866840895</v>
      </c>
      <c r="LN145" s="3">
        <f ca="1">IFERROR(__xludf.DUMMYFUNCTION("""COMPUTED_VALUE"""),-0.455674310892467)</f>
        <v>-0.45567431089246702</v>
      </c>
      <c r="LO145" s="3">
        <f ca="1">IFERROR(__xludf.DUMMYFUNCTION("""COMPUTED_VALUE"""),-0.43979300669733)</f>
        <v>-0.43979300669733001</v>
      </c>
      <c r="LP145" s="3">
        <f ca="1">IFERROR(__xludf.DUMMYFUNCTION("""COMPUTED_VALUE"""),-0.561818216889827)</f>
        <v>-0.56181821688982703</v>
      </c>
      <c r="LQ145" s="3">
        <f ca="1">IFERROR(__xludf.DUMMYFUNCTION("""COMPUTED_VALUE"""),-0.539533957782523)</f>
        <v>-0.539533957782523</v>
      </c>
      <c r="LR145" s="3">
        <f ca="1">IFERROR(__xludf.DUMMYFUNCTION("""COMPUTED_VALUE"""),-0.505024630121691)</f>
        <v>-0.50502463012169097</v>
      </c>
      <c r="LS145" s="3">
        <f ca="1">IFERROR(__xludf.DUMMYFUNCTION("""COMPUTED_VALUE"""),-0.492391372718443)</f>
        <v>-0.49239137271844302</v>
      </c>
      <c r="LT145" s="3">
        <f ca="1">IFERROR(__xludf.DUMMYFUNCTION("""COMPUTED_VALUE"""),-0.688304688544758)</f>
        <v>-0.68830468854475801</v>
      </c>
      <c r="LU145" s="3">
        <f ca="1">IFERROR(__xludf.DUMMYFUNCTION("""COMPUTED_VALUE"""),-0.504360898552076)</f>
        <v>-0.504360898552076</v>
      </c>
      <c r="LV145" s="3">
        <f ca="1">IFERROR(__xludf.DUMMYFUNCTION("""COMPUTED_VALUE"""),-0.523311452510975)</f>
        <v>-0.52331145251097499</v>
      </c>
      <c r="LW145" s="3">
        <f ca="1">IFERROR(__xludf.DUMMYFUNCTION("""COMPUTED_VALUE"""),-0.622285576980808)</f>
        <v>-0.622285576980808</v>
      </c>
      <c r="LX145" s="3">
        <f ca="1">IFERROR(__xludf.DUMMYFUNCTION("""COMPUTED_VALUE"""),-0.595327835308074)</f>
        <v>-0.59532783530807398</v>
      </c>
      <c r="LY145" s="3">
        <f ca="1">IFERROR(__xludf.DUMMYFUNCTION("""COMPUTED_VALUE"""),-0.59685405635004)</f>
        <v>-0.59685405635003996</v>
      </c>
      <c r="LZ145" s="3">
        <f ca="1">IFERROR(__xludf.DUMMYFUNCTION("""COMPUTED_VALUE"""),-0.579438760655836)</f>
        <v>-0.57943876065583599</v>
      </c>
      <c r="MA145" s="3">
        <f ca="1">IFERROR(__xludf.DUMMYFUNCTION("""COMPUTED_VALUE"""),-0.570051385691527)</f>
        <v>-0.57005138569152702</v>
      </c>
      <c r="MB145" s="3">
        <f ca="1">IFERROR(__xludf.DUMMYFUNCTION("""COMPUTED_VALUE"""),-0.634835268330618)</f>
        <v>-0.63483526833061799</v>
      </c>
      <c r="MC145" s="3">
        <f ca="1">IFERROR(__xludf.DUMMYFUNCTION("""COMPUTED_VALUE"""),-0.596789488043959)</f>
        <v>-0.59678948804395904</v>
      </c>
      <c r="MD145" s="3">
        <f ca="1">IFERROR(__xludf.DUMMYFUNCTION("""COMPUTED_VALUE"""),-0.659516400433902)</f>
        <v>-0.65951640043390203</v>
      </c>
      <c r="ME145" s="3">
        <f ca="1">IFERROR(__xludf.DUMMYFUNCTION("""COMPUTED_VALUE"""),-0.608768795997974)</f>
        <v>-0.60876879599797395</v>
      </c>
      <c r="MF145" s="3">
        <f ca="1">IFERROR(__xludf.DUMMYFUNCTION("""COMPUTED_VALUE"""),-0.664406252908848)</f>
        <v>-0.66440625290884803</v>
      </c>
      <c r="MG145" s="3">
        <f ca="1">IFERROR(__xludf.DUMMYFUNCTION("""COMPUTED_VALUE"""),-0.607160086401351)</f>
        <v>-0.607160086401351</v>
      </c>
      <c r="MH145" s="3">
        <f ca="1">IFERROR(__xludf.DUMMYFUNCTION("""COMPUTED_VALUE"""),-0.622218489320324)</f>
        <v>-0.62221848932032398</v>
      </c>
      <c r="MI145" s="3">
        <f ca="1">IFERROR(__xludf.DUMMYFUNCTION("""COMPUTED_VALUE"""),-0.589662472186524)</f>
        <v>-0.58966247218652401</v>
      </c>
      <c r="MJ145" s="3">
        <f ca="1">IFERROR(__xludf.DUMMYFUNCTION("""COMPUTED_VALUE"""),-0.593550343969557)</f>
        <v>-0.59355034396955697</v>
      </c>
      <c r="MK145" s="3">
        <f ca="1">IFERROR(__xludf.DUMMYFUNCTION("""COMPUTED_VALUE"""),-0.657977702794304)</f>
        <v>-0.65797770279430401</v>
      </c>
      <c r="ML145" s="3">
        <f ca="1">IFERROR(__xludf.DUMMYFUNCTION("""COMPUTED_VALUE"""),-0.573963306828699)</f>
        <v>-0.573963306828699</v>
      </c>
      <c r="MM145" s="3">
        <f ca="1">IFERROR(__xludf.DUMMYFUNCTION("""COMPUTED_VALUE"""),-0.681293796802981)</f>
        <v>-0.68129379680298097</v>
      </c>
      <c r="MN145" s="3">
        <f ca="1">IFERROR(__xludf.DUMMYFUNCTION("""COMPUTED_VALUE"""),-0.712251152479059)</f>
        <v>-0.71225115247905901</v>
      </c>
      <c r="MO145" s="3">
        <f ca="1">IFERROR(__xludf.DUMMYFUNCTION("""COMPUTED_VALUE"""),-0.597215779028232)</f>
        <v>-0.59721577902823197</v>
      </c>
      <c r="MP145" s="3">
        <f ca="1">IFERROR(__xludf.DUMMYFUNCTION("""COMPUTED_VALUE"""),-0.58642026114581)</f>
        <v>-0.58642026114581003</v>
      </c>
      <c r="MQ145" s="3">
        <f ca="1">IFERROR(__xludf.DUMMYFUNCTION("""COMPUTED_VALUE"""),-0.637781483108121)</f>
        <v>-0.63778148310812099</v>
      </c>
      <c r="MR145" s="3">
        <f ca="1">IFERROR(__xludf.DUMMYFUNCTION("""COMPUTED_VALUE"""),-0.635511140640819)</f>
        <v>-0.63551114064081904</v>
      </c>
      <c r="MS145" s="3">
        <f ca="1">IFERROR(__xludf.DUMMYFUNCTION("""COMPUTED_VALUE"""),-0.645036433929169)</f>
        <v>-0.64503643392916898</v>
      </c>
      <c r="MT145" s="3">
        <f ca="1">IFERROR(__xludf.DUMMYFUNCTION("""COMPUTED_VALUE"""),-0.645468819120312)</f>
        <v>-0.64546881912031195</v>
      </c>
      <c r="MU145" s="3">
        <f ca="1">IFERROR(__xludf.DUMMYFUNCTION("""COMPUTED_VALUE"""),-0.666062821993925)</f>
        <v>-0.66606282199392497</v>
      </c>
      <c r="MV145" s="3">
        <f ca="1">IFERROR(__xludf.DUMMYFUNCTION("""COMPUTED_VALUE"""),-0.661754086935204)</f>
        <v>-0.66175408693520399</v>
      </c>
      <c r="MW145" s="3">
        <f ca="1">IFERROR(__xludf.DUMMYFUNCTION("""COMPUTED_VALUE"""),-0.548892303457194)</f>
        <v>-0.54889230345719398</v>
      </c>
      <c r="MX145" s="3">
        <f ca="1">IFERROR(__xludf.DUMMYFUNCTION("""COMPUTED_VALUE"""),-0.668025620428146)</f>
        <v>-0.66802562042814595</v>
      </c>
      <c r="MY145" s="3">
        <f ca="1">IFERROR(__xludf.DUMMYFUNCTION("""COMPUTED_VALUE"""),-0.682933619371056)</f>
        <v>-0.68293361937105601</v>
      </c>
      <c r="MZ145" s="3">
        <f ca="1">IFERROR(__xludf.DUMMYFUNCTION("""COMPUTED_VALUE"""),-0.735012606833901)</f>
        <v>-0.73501260683390102</v>
      </c>
      <c r="NA145" s="3">
        <f ca="1">IFERROR(__xludf.DUMMYFUNCTION("""COMPUTED_VALUE"""),-0.694195110840355)</f>
        <v>-0.69419511084035501</v>
      </c>
      <c r="NB145" s="3">
        <f ca="1">IFERROR(__xludf.DUMMYFUNCTION("""COMPUTED_VALUE"""),-0.722558921961173)</f>
        <v>-0.722558921961173</v>
      </c>
      <c r="NC145" s="3">
        <f ca="1">IFERROR(__xludf.DUMMYFUNCTION("""COMPUTED_VALUE"""),-0.77467696749154)</f>
        <v>-0.77467696749154003</v>
      </c>
      <c r="ND145" s="3">
        <f ca="1">IFERROR(__xludf.DUMMYFUNCTION("""COMPUTED_VALUE"""),-0.7741696476557)</f>
        <v>-0.77416964765569996</v>
      </c>
      <c r="NE145" s="3">
        <f ca="1">IFERROR(__xludf.DUMMYFUNCTION("""COMPUTED_VALUE"""),-0.609632346808535)</f>
        <v>-0.60963234680853495</v>
      </c>
      <c r="NF145" s="3">
        <f ca="1">IFERROR(__xludf.DUMMYFUNCTION("""COMPUTED_VALUE"""),-0.850435910288792)</f>
        <v>-0.85043591028879195</v>
      </c>
      <c r="NG145" s="3">
        <f ca="1">IFERROR(__xludf.DUMMYFUNCTION("""COMPUTED_VALUE"""),-0.608907249094174)</f>
        <v>-0.60890724909417404</v>
      </c>
      <c r="NH145" s="3">
        <f ca="1">IFERROR(__xludf.DUMMYFUNCTION("""COMPUTED_VALUE"""),-0.705512120095908)</f>
        <v>-0.70551212009590802</v>
      </c>
      <c r="NI145" s="3">
        <f ca="1">IFERROR(__xludf.DUMMYFUNCTION("""COMPUTED_VALUE"""),-0.676631025246655)</f>
        <v>-0.67663102524665497</v>
      </c>
      <c r="NJ145" s="3">
        <f ca="1">IFERROR(__xludf.DUMMYFUNCTION("""COMPUTED_VALUE"""),-0.701050596748775)</f>
        <v>-0.70105059674877501</v>
      </c>
      <c r="NK145" s="3">
        <f ca="1">IFERROR(__xludf.DUMMYFUNCTION("""COMPUTED_VALUE"""),-0.657058796191198)</f>
        <v>-0.657058796191198</v>
      </c>
      <c r="NL145" s="3">
        <f ca="1">IFERROR(__xludf.DUMMYFUNCTION("""COMPUTED_VALUE"""),-0.681825756219156)</f>
        <v>-0.68182575621915598</v>
      </c>
      <c r="NM145" s="3">
        <f ca="1">IFERROR(__xludf.DUMMYFUNCTION("""COMPUTED_VALUE"""),-0.715966709829475)</f>
        <v>-0.71596670982947497</v>
      </c>
      <c r="NN145" s="3">
        <f ca="1">IFERROR(__xludf.DUMMYFUNCTION("""COMPUTED_VALUE"""),-0.751459146290884)</f>
        <v>-0.75145914629088395</v>
      </c>
      <c r="NO145" s="3">
        <f ca="1">IFERROR(__xludf.DUMMYFUNCTION("""COMPUTED_VALUE"""),-0.607783827159598)</f>
        <v>-0.607783827159598</v>
      </c>
      <c r="NP145" s="3">
        <f ca="1">IFERROR(__xludf.DUMMYFUNCTION("""COMPUTED_VALUE"""),-0.6860945518296)</f>
        <v>-0.6860945518296</v>
      </c>
      <c r="NQ145" s="3">
        <f ca="1">IFERROR(__xludf.DUMMYFUNCTION("""COMPUTED_VALUE"""),-0.697071185500551)</f>
        <v>-0.69707118550055103</v>
      </c>
      <c r="NR145" s="3">
        <f ca="1">IFERROR(__xludf.DUMMYFUNCTION("""COMPUTED_VALUE"""),-0.564540197980981)</f>
        <v>-0.56454019798098098</v>
      </c>
      <c r="NS145" s="3">
        <f ca="1">IFERROR(__xludf.DUMMYFUNCTION("""COMPUTED_VALUE"""),-0.653976745825759)</f>
        <v>-0.65397674582575904</v>
      </c>
      <c r="NT145" s="3">
        <f ca="1">IFERROR(__xludf.DUMMYFUNCTION("""COMPUTED_VALUE"""),-0.742170434311516)</f>
        <v>-0.74217043431151597</v>
      </c>
      <c r="NU145" s="3">
        <f ca="1">IFERROR(__xludf.DUMMYFUNCTION("""COMPUTED_VALUE"""),-0.710220580226211)</f>
        <v>-0.71022058022621104</v>
      </c>
      <c r="NV145" s="3">
        <f ca="1">IFERROR(__xludf.DUMMYFUNCTION("""COMPUTED_VALUE"""),-0.720269780509494)</f>
        <v>-0.72026978050949397</v>
      </c>
      <c r="NW145" s="3">
        <f ca="1">IFERROR(__xludf.DUMMYFUNCTION("""COMPUTED_VALUE"""),-0.581948778083085)</f>
        <v>-0.58194877808308498</v>
      </c>
      <c r="NX145" s="3">
        <f ca="1">IFERROR(__xludf.DUMMYFUNCTION("""COMPUTED_VALUE"""),-0.65177544790708)</f>
        <v>-0.65177544790707997</v>
      </c>
      <c r="NY145" s="3">
        <f ca="1">IFERROR(__xludf.DUMMYFUNCTION("""COMPUTED_VALUE"""),-0.411279476860934)</f>
        <v>-0.41127947686093402</v>
      </c>
      <c r="NZ145" s="3">
        <f ca="1">IFERROR(__xludf.DUMMYFUNCTION("""COMPUTED_VALUE"""),-0.50667144501391)</f>
        <v>-0.50667144501391004</v>
      </c>
      <c r="OA145" s="3">
        <f ca="1">IFERROR(__xludf.DUMMYFUNCTION("""COMPUTED_VALUE"""),-0.53808139586935)</f>
        <v>-0.53808139586935</v>
      </c>
      <c r="OB145" s="3">
        <f ca="1">IFERROR(__xludf.DUMMYFUNCTION("""COMPUTED_VALUE"""),-0.598752904322748)</f>
        <v>-0.59875290432274797</v>
      </c>
      <c r="OC145" s="3">
        <f ca="1">IFERROR(__xludf.DUMMYFUNCTION("""COMPUTED_VALUE"""),-0.511761689196073)</f>
        <v>-0.51176168919607301</v>
      </c>
      <c r="OD145" s="3">
        <f ca="1">IFERROR(__xludf.DUMMYFUNCTION("""COMPUTED_VALUE"""),-0.475682008948799)</f>
        <v>-0.47568200894879897</v>
      </c>
      <c r="OE145" s="3">
        <f ca="1">IFERROR(__xludf.DUMMYFUNCTION("""COMPUTED_VALUE"""),-0.369415046384193)</f>
        <v>-0.36941504638419298</v>
      </c>
      <c r="OF145" s="3">
        <f ca="1">IFERROR(__xludf.DUMMYFUNCTION("""COMPUTED_VALUE"""),-0.104189352875002)</f>
        <v>-0.104189352875002</v>
      </c>
      <c r="OG145" s="3">
        <f ca="1">IFERROR(__xludf.DUMMYFUNCTION("""COMPUTED_VALUE"""),-0.0609680697754133)</f>
        <v>-6.0968069775413303E-2</v>
      </c>
      <c r="OH145" s="3">
        <f ca="1">IFERROR(__xludf.DUMMYFUNCTION("""COMPUTED_VALUE"""),-0.00931758130542437)</f>
        <v>-9.31758130542437E-3</v>
      </c>
      <c r="OI145" s="3">
        <f ca="1">IFERROR(__xludf.DUMMYFUNCTION("""COMPUTED_VALUE"""),0.0632964028621736)</f>
        <v>6.3296402862173598E-2</v>
      </c>
      <c r="OJ145" s="3">
        <f ca="1">IFERROR(__xludf.DUMMYFUNCTION("""COMPUTED_VALUE"""),0.0754275405420819)</f>
        <v>7.5427540542081895E-2</v>
      </c>
      <c r="OK145" s="3">
        <f ca="1">IFERROR(__xludf.DUMMYFUNCTION("""COMPUTED_VALUE"""),0.118784888019163)</f>
        <v>0.118784888019163</v>
      </c>
      <c r="OL145" s="3">
        <f ca="1">IFERROR(__xludf.DUMMYFUNCTION("""COMPUTED_VALUE"""),-0.00233194884581899)</f>
        <v>-2.3319488458189899E-3</v>
      </c>
      <c r="OM145" s="3">
        <f ca="1">IFERROR(__xludf.DUMMYFUNCTION("""COMPUTED_VALUE"""),0.0159940894879995)</f>
        <v>1.5994089487999501E-2</v>
      </c>
      <c r="ON145" s="3">
        <f ca="1">IFERROR(__xludf.DUMMYFUNCTION("""COMPUTED_VALUE"""),0.00918667539715323)</f>
        <v>9.1866753971532305E-3</v>
      </c>
      <c r="OO145" s="3">
        <f ca="1">IFERROR(__xludf.DUMMYFUNCTION("""COMPUTED_VALUE"""),0.0654414849845366)</f>
        <v>6.5441484984536599E-2</v>
      </c>
      <c r="OP145" s="3">
        <f ca="1">IFERROR(__xludf.DUMMYFUNCTION("""COMPUTED_VALUE"""),0.070343282879534)</f>
        <v>7.0343282879533994E-2</v>
      </c>
      <c r="OQ145" s="3">
        <f ca="1">IFERROR(__xludf.DUMMYFUNCTION("""COMPUTED_VALUE"""),0.0535908185385007)</f>
        <v>5.3590818538500701E-2</v>
      </c>
      <c r="OR145" s="3">
        <f ca="1">IFERROR(__xludf.DUMMYFUNCTION("""COMPUTED_VALUE"""),0.0754328061731033)</f>
        <v>7.5432806173103301E-2</v>
      </c>
      <c r="OS145" s="3">
        <f ca="1">IFERROR(__xludf.DUMMYFUNCTION("""COMPUTED_VALUE"""),0.266106659745022)</f>
        <v>0.26610665974502201</v>
      </c>
      <c r="OT145" s="3">
        <f ca="1">IFERROR(__xludf.DUMMYFUNCTION("""COMPUTED_VALUE"""),0.223772846417642)</f>
        <v>0.223772846417642</v>
      </c>
      <c r="OU145" s="3">
        <f ca="1">IFERROR(__xludf.DUMMYFUNCTION("""COMPUTED_VALUE"""),0.123452276969029)</f>
        <v>0.123452276969029</v>
      </c>
      <c r="OV145" s="3">
        <f ca="1">IFERROR(__xludf.DUMMYFUNCTION("""COMPUTED_VALUE"""),-0.0328384719303505)</f>
        <v>-3.2838471930350499E-2</v>
      </c>
      <c r="OW145" s="3">
        <f ca="1">IFERROR(__xludf.DUMMYFUNCTION("""COMPUTED_VALUE"""),-0.0684239258138058)</f>
        <v>-6.8423925813805797E-2</v>
      </c>
      <c r="OX145" s="3">
        <f ca="1">IFERROR(__xludf.DUMMYFUNCTION("""COMPUTED_VALUE"""),-0.0166542343392788)</f>
        <v>-1.66542343392788E-2</v>
      </c>
      <c r="OY145" s="3">
        <f ca="1">IFERROR(__xludf.DUMMYFUNCTION("""COMPUTED_VALUE"""),-0.117535491006751)</f>
        <v>-0.11753549100675099</v>
      </c>
      <c r="OZ145" s="3">
        <f ca="1">IFERROR(__xludf.DUMMYFUNCTION("""COMPUTED_VALUE"""),0.154067564444478)</f>
        <v>0.154067564444478</v>
      </c>
      <c r="PA145" s="3">
        <f ca="1">IFERROR(__xludf.DUMMYFUNCTION("""COMPUTED_VALUE"""),0.159643472918984)</f>
        <v>0.15964347291898401</v>
      </c>
      <c r="PB145" s="3">
        <f ca="1">IFERROR(__xludf.DUMMYFUNCTION("""COMPUTED_VALUE"""),0.00478204232717738)</f>
        <v>4.78204232717738E-3</v>
      </c>
      <c r="PC145" s="3">
        <f ca="1">IFERROR(__xludf.DUMMYFUNCTION("""COMPUTED_VALUE"""),-0.101984313875995)</f>
        <v>-0.10198431387599501</v>
      </c>
      <c r="PD145" s="3">
        <f ca="1">IFERROR(__xludf.DUMMYFUNCTION("""COMPUTED_VALUE"""),-0.114772159278351)</f>
        <v>-0.11477215927835099</v>
      </c>
      <c r="PE145" s="3">
        <f ca="1">IFERROR(__xludf.DUMMYFUNCTION("""COMPUTED_VALUE"""),-0.0833173049153178)</f>
        <v>-8.3317304915317802E-2</v>
      </c>
      <c r="PF145" s="3">
        <f ca="1">IFERROR(__xludf.DUMMYFUNCTION("""COMPUTED_VALUE"""),0.0915210329263376)</f>
        <v>9.1521032926337606E-2</v>
      </c>
      <c r="PG145" s="3">
        <f ca="1">IFERROR(__xludf.DUMMYFUNCTION("""COMPUTED_VALUE"""),-0.349979908933209)</f>
        <v>-0.34997990893320902</v>
      </c>
      <c r="PH145" s="3">
        <f ca="1">IFERROR(__xludf.DUMMYFUNCTION("""COMPUTED_VALUE"""),0.0124873088243258)</f>
        <v>1.2487308824325799E-2</v>
      </c>
      <c r="PI145" s="3">
        <f ca="1">IFERROR(__xludf.DUMMYFUNCTION("""COMPUTED_VALUE"""),0.000150416849433066)</f>
        <v>1.5041684943306599E-4</v>
      </c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</row>
    <row r="146" spans="1:477" ht="13">
      <c r="A146" s="1" t="str">
        <f ca="1">IFERROR(__xludf.DUMMYFUNCTION("""COMPUTED_VALUE"""),"Brampton Transit")</f>
        <v>Brampton Transit</v>
      </c>
      <c r="B146" s="1" t="str">
        <f ca="1">IFERROR(__xludf.DUMMYFUNCTION("""COMPUTED_VALUE"""),"Toronto")</f>
        <v>Toronto</v>
      </c>
      <c r="C146" s="1" t="str">
        <f ca="1">IFERROR(__xludf.DUMMYFUNCTION("""COMPUTED_VALUE"""),"Canada")</f>
        <v>Canada</v>
      </c>
      <c r="D146" s="1" t="str">
        <f ca="1">IFERROR(__xludf.DUMMYFUNCTION("""COMPUTED_VALUE"""),"Ontario")</f>
        <v>Ontario</v>
      </c>
      <c r="E146" s="3">
        <f ca="1">IFERROR(__xludf.DUMMYFUNCTION("""COMPUTED_VALUE"""),-0.567737623929304)</f>
        <v>-0.56773762392930405</v>
      </c>
      <c r="F146" s="3">
        <f ca="1">IFERROR(__xludf.DUMMYFUNCTION("""COMPUTED_VALUE"""),-0.577701168749326)</f>
        <v>-0.57770116874932598</v>
      </c>
      <c r="G146" s="3">
        <f ca="1">IFERROR(__xludf.DUMMYFUNCTION("""COMPUTED_VALUE"""),-0.658325339191429)</f>
        <v>-0.65832533919142899</v>
      </c>
      <c r="H146" s="3">
        <f ca="1">IFERROR(__xludf.DUMMYFUNCTION("""COMPUTED_VALUE"""),-0.641664722867239)</f>
        <v>-0.64166472286723897</v>
      </c>
      <c r="I146" s="3">
        <f ca="1">IFERROR(__xludf.DUMMYFUNCTION("""COMPUTED_VALUE"""),-0.642588296448896)</f>
        <v>-0.64258829644889603</v>
      </c>
      <c r="J146" s="3">
        <f ca="1">IFERROR(__xludf.DUMMYFUNCTION("""COMPUTED_VALUE"""),-0.649578891819908)</f>
        <v>-0.64957889181990802</v>
      </c>
      <c r="K146" s="3">
        <f ca="1">IFERROR(__xludf.DUMMYFUNCTION("""COMPUTED_VALUE"""),-0.597608242880616)</f>
        <v>-0.59760824288061598</v>
      </c>
      <c r="L146" s="3">
        <f ca="1">IFERROR(__xludf.DUMMYFUNCTION("""COMPUTED_VALUE"""),-0.577522756090863)</f>
        <v>-0.57752275609086301</v>
      </c>
      <c r="M146" s="3">
        <f ca="1">IFERROR(__xludf.DUMMYFUNCTION("""COMPUTED_VALUE"""),-0.738113585797962)</f>
        <v>-0.73811358579796205</v>
      </c>
      <c r="N146" s="3">
        <f ca="1">IFERROR(__xludf.DUMMYFUNCTION("""COMPUTED_VALUE"""),-0.629836951420221)</f>
        <v>-0.629836951420221</v>
      </c>
      <c r="O146" s="3">
        <f ca="1">IFERROR(__xludf.DUMMYFUNCTION("""COMPUTED_VALUE"""),-0.636854019683838)</f>
        <v>-0.63685401968383804</v>
      </c>
      <c r="P146" s="3">
        <f ca="1">IFERROR(__xludf.DUMMYFUNCTION("""COMPUTED_VALUE"""),-0.629288390216251)</f>
        <v>-0.62928839021625105</v>
      </c>
      <c r="Q146" s="3">
        <f ca="1">IFERROR(__xludf.DUMMYFUNCTION("""COMPUTED_VALUE"""),-0.629978586162186)</f>
        <v>-0.62997858616218605</v>
      </c>
      <c r="R146" s="3">
        <f ca="1">IFERROR(__xludf.DUMMYFUNCTION("""COMPUTED_VALUE"""),-0.557409361122554)</f>
        <v>-0.55740936112255401</v>
      </c>
      <c r="S146" s="3">
        <f ca="1">IFERROR(__xludf.DUMMYFUNCTION("""COMPUTED_VALUE"""),-0.52192233874188)</f>
        <v>-0.52192233874187999</v>
      </c>
      <c r="T146" s="3">
        <f ca="1">IFERROR(__xludf.DUMMYFUNCTION("""COMPUTED_VALUE"""),-0.644135167075909)</f>
        <v>-0.64413516707590901</v>
      </c>
      <c r="U146" s="3">
        <f ca="1">IFERROR(__xludf.DUMMYFUNCTION("""COMPUTED_VALUE"""),-0.635406525105476)</f>
        <v>-0.63540652510547602</v>
      </c>
      <c r="V146" s="3">
        <f ca="1">IFERROR(__xludf.DUMMYFUNCTION("""COMPUTED_VALUE"""),-0.664534653086475)</f>
        <v>-0.66453465308647497</v>
      </c>
      <c r="W146" s="3">
        <f ca="1">IFERROR(__xludf.DUMMYFUNCTION("""COMPUTED_VALUE"""),-0.646998981279641)</f>
        <v>-0.64699898127964095</v>
      </c>
      <c r="X146" s="3">
        <f ca="1">IFERROR(__xludf.DUMMYFUNCTION("""COMPUTED_VALUE"""),-0.629221840844045)</f>
        <v>-0.62922184084404498</v>
      </c>
      <c r="Y146" s="3">
        <f ca="1">IFERROR(__xludf.DUMMYFUNCTION("""COMPUTED_VALUE"""),-0.509917494619462)</f>
        <v>-0.50991749461946201</v>
      </c>
      <c r="Z146" s="3">
        <f ca="1">IFERROR(__xludf.DUMMYFUNCTION("""COMPUTED_VALUE"""),-0.521560498325633)</f>
        <v>-0.521560498325633</v>
      </c>
      <c r="AA146" s="3">
        <f ca="1">IFERROR(__xludf.DUMMYFUNCTION("""COMPUTED_VALUE"""),-0.640289458122771)</f>
        <v>-0.64028945812277105</v>
      </c>
      <c r="AB146" s="3">
        <f ca="1">IFERROR(__xludf.DUMMYFUNCTION("""COMPUTED_VALUE"""),-0.657022642149784)</f>
        <v>-0.65702264214978401</v>
      </c>
      <c r="AC146" s="3">
        <f ca="1">IFERROR(__xludf.DUMMYFUNCTION("""COMPUTED_VALUE"""),-0.654678859975834)</f>
        <v>-0.65467885997583397</v>
      </c>
      <c r="AD146" s="3">
        <f ca="1">IFERROR(__xludf.DUMMYFUNCTION("""COMPUTED_VALUE"""),-0.665526456579361)</f>
        <v>-0.66552645657936105</v>
      </c>
      <c r="AE146" s="3">
        <f ca="1">IFERROR(__xludf.DUMMYFUNCTION("""COMPUTED_VALUE"""),-0.637996555068713)</f>
        <v>-0.637996555068713</v>
      </c>
      <c r="AF146" s="3">
        <f ca="1">IFERROR(__xludf.DUMMYFUNCTION("""COMPUTED_VALUE"""),-0.537956474254935)</f>
        <v>-0.53795647425493498</v>
      </c>
      <c r="AG146" s="3">
        <f ca="1">IFERROR(__xludf.DUMMYFUNCTION("""COMPUTED_VALUE"""),-0.550225290052031)</f>
        <v>-0.55022529005203102</v>
      </c>
      <c r="AH146" s="3">
        <f ca="1">IFERROR(__xludf.DUMMYFUNCTION("""COMPUTED_VALUE"""),-0.63549847635197)</f>
        <v>-0.63549847635196999</v>
      </c>
      <c r="AI146" s="3">
        <f ca="1">IFERROR(__xludf.DUMMYFUNCTION("""COMPUTED_VALUE"""),-0.64670443407559)</f>
        <v>-0.64670443407558997</v>
      </c>
      <c r="AJ146" s="3">
        <f ca="1">IFERROR(__xludf.DUMMYFUNCTION("""COMPUTED_VALUE"""),-0.633368854851613)</f>
        <v>-0.63336885485161298</v>
      </c>
      <c r="AK146" s="3">
        <f ca="1">IFERROR(__xludf.DUMMYFUNCTION("""COMPUTED_VALUE"""),-0.637349496266004)</f>
        <v>-0.63734949626600401</v>
      </c>
      <c r="AL146" s="3">
        <f ca="1">IFERROR(__xludf.DUMMYFUNCTION("""COMPUTED_VALUE"""),-0.644574828837092)</f>
        <v>-0.64457482883709205</v>
      </c>
      <c r="AM146" s="3">
        <f ca="1">IFERROR(__xludf.DUMMYFUNCTION("""COMPUTED_VALUE"""),-0.58077668952581)</f>
        <v>-0.58077668952580996</v>
      </c>
      <c r="AN146" s="3">
        <f ca="1">IFERROR(__xludf.DUMMYFUNCTION("""COMPUTED_VALUE"""),-0.595194681139216)</f>
        <v>-0.59519468113921603</v>
      </c>
      <c r="AO146" s="3">
        <f ca="1">IFERROR(__xludf.DUMMYFUNCTION("""COMPUTED_VALUE"""),-0.668541252118435)</f>
        <v>-0.66854125211843496</v>
      </c>
      <c r="AP146" s="3">
        <f ca="1">IFERROR(__xludf.DUMMYFUNCTION("""COMPUTED_VALUE"""),-0.683635275099441)</f>
        <v>-0.683635275099441</v>
      </c>
      <c r="AQ146" s="3">
        <f ca="1">IFERROR(__xludf.DUMMYFUNCTION("""COMPUTED_VALUE"""),-0.663351845637732)</f>
        <v>-0.66335184563773197</v>
      </c>
      <c r="AR146" s="3">
        <f ca="1">IFERROR(__xludf.DUMMYFUNCTION("""COMPUTED_VALUE"""),-0.673408569493485)</f>
        <v>-0.67340856949348504</v>
      </c>
      <c r="AS146" s="3">
        <f ca="1">IFERROR(__xludf.DUMMYFUNCTION("""COMPUTED_VALUE"""),-0.664164262342585)</f>
        <v>-0.66416426234258497</v>
      </c>
      <c r="AT146" s="3">
        <f ca="1">IFERROR(__xludf.DUMMYFUNCTION("""COMPUTED_VALUE"""),-0.567767040465845)</f>
        <v>-0.56776704046584503</v>
      </c>
      <c r="AU146" s="3">
        <f ca="1">IFERROR(__xludf.DUMMYFUNCTION("""COMPUTED_VALUE"""),-0.596109480204152)</f>
        <v>-0.596109480204152</v>
      </c>
      <c r="AV146" s="3">
        <f ca="1">IFERROR(__xludf.DUMMYFUNCTION("""COMPUTED_VALUE"""),-0.662108116968464)</f>
        <v>-0.66210811696846394</v>
      </c>
      <c r="AW146" s="3">
        <f ca="1">IFERROR(__xludf.DUMMYFUNCTION("""COMPUTED_VALUE"""),-0.68184482551511)</f>
        <v>-0.68184482551511005</v>
      </c>
      <c r="AX146" s="3">
        <f ca="1">IFERROR(__xludf.DUMMYFUNCTION("""COMPUTED_VALUE"""),-0.664383214141556)</f>
        <v>-0.66438321414155599</v>
      </c>
      <c r="AY146" s="3">
        <f ca="1">IFERROR(__xludf.DUMMYFUNCTION("""COMPUTED_VALUE"""),-0.674135210460784)</f>
        <v>-0.67413521046078395</v>
      </c>
      <c r="AZ146" s="3">
        <f ca="1">IFERROR(__xludf.DUMMYFUNCTION("""COMPUTED_VALUE"""),-0.595860913527139)</f>
        <v>-0.59586091352713899</v>
      </c>
      <c r="BA146" s="3">
        <f ca="1">IFERROR(__xludf.DUMMYFUNCTION("""COMPUTED_VALUE"""),-0.608843462564462)</f>
        <v>-0.60884346256446198</v>
      </c>
      <c r="BB146" s="3">
        <f ca="1">IFERROR(__xludf.DUMMYFUNCTION("""COMPUTED_VALUE"""),-0.616857707163827)</f>
        <v>-0.61685770716382704</v>
      </c>
      <c r="BC146" s="3">
        <f ca="1">IFERROR(__xludf.DUMMYFUNCTION("""COMPUTED_VALUE"""),-0.6726315810601)</f>
        <v>-0.67263158106010001</v>
      </c>
      <c r="BD146" s="3">
        <f ca="1">IFERROR(__xludf.DUMMYFUNCTION("""COMPUTED_VALUE"""),-0.696794941249523)</f>
        <v>-0.69679494124952301</v>
      </c>
      <c r="BE146" s="3">
        <f ca="1">IFERROR(__xludf.DUMMYFUNCTION("""COMPUTED_VALUE"""),-0.665856850106892)</f>
        <v>-0.665856850106892</v>
      </c>
      <c r="BF146" s="3">
        <f ca="1">IFERROR(__xludf.DUMMYFUNCTION("""COMPUTED_VALUE"""),-0.644926497082617)</f>
        <v>-0.64492649708261696</v>
      </c>
      <c r="BG146" s="3">
        <f ca="1">IFERROR(__xludf.DUMMYFUNCTION("""COMPUTED_VALUE"""),-0.7487355381273)</f>
        <v>-0.74873553812729998</v>
      </c>
      <c r="BH146" s="3">
        <f ca="1">IFERROR(__xludf.DUMMYFUNCTION("""COMPUTED_VALUE"""),-0.594731426667671)</f>
        <v>-0.59473142666767098</v>
      </c>
      <c r="BI146" s="3">
        <f ca="1">IFERROR(__xludf.DUMMYFUNCTION("""COMPUTED_VALUE"""),-0.635067733000684)</f>
        <v>-0.63506773300068398</v>
      </c>
      <c r="BJ146" s="3">
        <f ca="1">IFERROR(__xludf.DUMMYFUNCTION("""COMPUTED_VALUE"""),-0.700200949633646)</f>
        <v>-0.70020094963364599</v>
      </c>
      <c r="BK146" s="3">
        <f ca="1">IFERROR(__xludf.DUMMYFUNCTION("""COMPUTED_VALUE"""),-0.723225703194924)</f>
        <v>-0.72322570319492396</v>
      </c>
      <c r="BL146" s="3">
        <f ca="1">IFERROR(__xludf.DUMMYFUNCTION("""COMPUTED_VALUE"""),-0.731000075295286)</f>
        <v>-0.73100007529528599</v>
      </c>
      <c r="BM146" s="3">
        <f ca="1">IFERROR(__xludf.DUMMYFUNCTION("""COMPUTED_VALUE"""),-0.722347164180779)</f>
        <v>-0.72234716418077904</v>
      </c>
      <c r="BN146" s="3">
        <f ca="1">IFERROR(__xludf.DUMMYFUNCTION("""COMPUTED_VALUE"""),-0.66906915339256)</f>
        <v>-0.66906915339256001</v>
      </c>
      <c r="BO146" s="3">
        <f ca="1">IFERROR(__xludf.DUMMYFUNCTION("""COMPUTED_VALUE"""),-0.640304616213688)</f>
        <v>-0.64030461621368795</v>
      </c>
      <c r="BP146" s="3">
        <f ca="1">IFERROR(__xludf.DUMMYFUNCTION("""COMPUTED_VALUE"""),-0.640719963484475)</f>
        <v>-0.64071996348447502</v>
      </c>
      <c r="BQ146" s="3">
        <f ca="1">IFERROR(__xludf.DUMMYFUNCTION("""COMPUTED_VALUE"""),-0.707635556757171)</f>
        <v>-0.70763555675717105</v>
      </c>
      <c r="BR146" s="3">
        <f ca="1">IFERROR(__xludf.DUMMYFUNCTION("""COMPUTED_VALUE"""),-0.717864509005961)</f>
        <v>-0.71786450900596099</v>
      </c>
      <c r="BS146" s="3">
        <f ca="1">IFERROR(__xludf.DUMMYFUNCTION("""COMPUTED_VALUE"""),-0.739080906942482)</f>
        <v>-0.73908090694248196</v>
      </c>
      <c r="BT146" s="3">
        <f ca="1">IFERROR(__xludf.DUMMYFUNCTION("""COMPUTED_VALUE"""),-0.735703027644585)</f>
        <v>-0.73570302764458495</v>
      </c>
      <c r="BU146" s="3">
        <f ca="1">IFERROR(__xludf.DUMMYFUNCTION("""COMPUTED_VALUE"""),-0.736733928494543)</f>
        <v>-0.736733928494543</v>
      </c>
      <c r="BV146" s="3">
        <f ca="1">IFERROR(__xludf.DUMMYFUNCTION("""COMPUTED_VALUE"""),-0.66354841349132)</f>
        <v>-0.66354841349131999</v>
      </c>
      <c r="BW146" s="3">
        <f ca="1">IFERROR(__xludf.DUMMYFUNCTION("""COMPUTED_VALUE"""),-0.653482339954071)</f>
        <v>-0.65348233995407101</v>
      </c>
      <c r="BX146" s="3">
        <f ca="1">IFERROR(__xludf.DUMMYFUNCTION("""COMPUTED_VALUE"""),-0.734548284777298)</f>
        <v>-0.73454828477729806</v>
      </c>
      <c r="BY146" s="3">
        <f ca="1">IFERROR(__xludf.DUMMYFUNCTION("""COMPUTED_VALUE"""),-0.752078731626714)</f>
        <v>-0.75207873162671401</v>
      </c>
      <c r="BZ146" s="3">
        <f ca="1">IFERROR(__xludf.DUMMYFUNCTION("""COMPUTED_VALUE"""),-0.741027300657334)</f>
        <v>-0.74102730065733402</v>
      </c>
      <c r="CA146" s="3">
        <f ca="1">IFERROR(__xludf.DUMMYFUNCTION("""COMPUTED_VALUE"""),-0.741727370766616)</f>
        <v>-0.74172737076661599</v>
      </c>
      <c r="CB146" s="3">
        <f ca="1">IFERROR(__xludf.DUMMYFUNCTION("""COMPUTED_VALUE"""),-0.730870655588251)</f>
        <v>-0.73087065558825104</v>
      </c>
      <c r="CC146" s="3">
        <f ca="1">IFERROR(__xludf.DUMMYFUNCTION("""COMPUTED_VALUE"""),-0.635388625284509)</f>
        <v>-0.63538862528450901</v>
      </c>
      <c r="CD146" s="3">
        <f ca="1">IFERROR(__xludf.DUMMYFUNCTION("""COMPUTED_VALUE"""),-0.633239390908329)</f>
        <v>-0.63323939090832904</v>
      </c>
      <c r="CE146" s="3">
        <f ca="1">IFERROR(__xludf.DUMMYFUNCTION("""COMPUTED_VALUE"""),-0.736154197751941)</f>
        <v>-0.73615419775194102</v>
      </c>
      <c r="CF146" s="3">
        <f ca="1">IFERROR(__xludf.DUMMYFUNCTION("""COMPUTED_VALUE"""),-0.748241794105297)</f>
        <v>-0.74824179410529701</v>
      </c>
      <c r="CG146" s="3">
        <f ca="1">IFERROR(__xludf.DUMMYFUNCTION("""COMPUTED_VALUE"""),-0.751685451748231)</f>
        <v>-0.75168545174823098</v>
      </c>
      <c r="CH146" s="3">
        <f ca="1">IFERROR(__xludf.DUMMYFUNCTION("""COMPUTED_VALUE"""),-0.744824965923032)</f>
        <v>-0.74482496592303205</v>
      </c>
      <c r="CI146" s="3">
        <f ca="1">IFERROR(__xludf.DUMMYFUNCTION("""COMPUTED_VALUE"""),-0.739915841891658)</f>
        <v>-0.73991584189165804</v>
      </c>
      <c r="CJ146" s="3">
        <f ca="1">IFERROR(__xludf.DUMMYFUNCTION("""COMPUTED_VALUE"""),-0.639359888074609)</f>
        <v>-0.63935988807460897</v>
      </c>
      <c r="CK146" s="3">
        <f ca="1">IFERROR(__xludf.DUMMYFUNCTION("""COMPUTED_VALUE"""),-0.609088856547988)</f>
        <v>-0.60908885654798794</v>
      </c>
      <c r="CL146" s="3">
        <f ca="1">IFERROR(__xludf.DUMMYFUNCTION("""COMPUTED_VALUE"""),-0.738081950076984)</f>
        <v>-0.73808195007698396</v>
      </c>
      <c r="CM146" s="3">
        <f ca="1">IFERROR(__xludf.DUMMYFUNCTION("""COMPUTED_VALUE"""),-0.736479957441188)</f>
        <v>-0.73647995744118799</v>
      </c>
      <c r="CN146" s="3">
        <f ca="1">IFERROR(__xludf.DUMMYFUNCTION("""COMPUTED_VALUE"""),-0.743931157792955)</f>
        <v>-0.74393115779295504</v>
      </c>
      <c r="CO146" s="3">
        <f ca="1">IFERROR(__xludf.DUMMYFUNCTION("""COMPUTED_VALUE"""),-0.747997367786236)</f>
        <v>-0.74799736778623604</v>
      </c>
      <c r="CP146" s="3">
        <f ca="1">IFERROR(__xludf.DUMMYFUNCTION("""COMPUTED_VALUE"""),-0.741570065396048)</f>
        <v>-0.74157006539604797</v>
      </c>
      <c r="CQ146" s="3">
        <f ca="1">IFERROR(__xludf.DUMMYFUNCTION("""COMPUTED_VALUE"""),-0.652587698619899)</f>
        <v>-0.65258769861989896</v>
      </c>
      <c r="CR146" s="3">
        <f ca="1">IFERROR(__xludf.DUMMYFUNCTION("""COMPUTED_VALUE"""),-0.617340543716945)</f>
        <v>-0.61734054371694502</v>
      </c>
      <c r="CS146" s="3">
        <f ca="1">IFERROR(__xludf.DUMMYFUNCTION("""COMPUTED_VALUE"""),-0.722299166248139)</f>
        <v>-0.72229916624813895</v>
      </c>
      <c r="CT146" s="3">
        <f ca="1">IFERROR(__xludf.DUMMYFUNCTION("""COMPUTED_VALUE"""),-0.723029437418113)</f>
        <v>-0.72302943741811299</v>
      </c>
      <c r="CU146" s="3">
        <f ca="1">IFERROR(__xludf.DUMMYFUNCTION("""COMPUTED_VALUE"""),-0.686769725251126)</f>
        <v>-0.68676972525112601</v>
      </c>
      <c r="CV146" s="3">
        <f ca="1">IFERROR(__xludf.DUMMYFUNCTION("""COMPUTED_VALUE"""),-0.705360584440152)</f>
        <v>-0.70536058444015204</v>
      </c>
      <c r="CW146" s="3">
        <f ca="1">IFERROR(__xludf.DUMMYFUNCTION("""COMPUTED_VALUE"""),-0.702328099437893)</f>
        <v>-0.70232809943789298</v>
      </c>
      <c r="CX146" s="3">
        <f ca="1">IFERROR(__xludf.DUMMYFUNCTION("""COMPUTED_VALUE"""),-0.655973476077259)</f>
        <v>-0.65597347607725898</v>
      </c>
      <c r="CY146" s="3">
        <f ca="1">IFERROR(__xludf.DUMMYFUNCTION("""COMPUTED_VALUE"""),-0.678020824234689)</f>
        <v>-0.67802082423468901</v>
      </c>
      <c r="CZ146" s="3">
        <f ca="1">IFERROR(__xludf.DUMMYFUNCTION("""COMPUTED_VALUE"""),-0.836078255074846)</f>
        <v>-0.83607825507484601</v>
      </c>
      <c r="DA146" s="3">
        <f ca="1">IFERROR(__xludf.DUMMYFUNCTION("""COMPUTED_VALUE"""),-0.698639538448872)</f>
        <v>-0.69863953844887206</v>
      </c>
      <c r="DB146" s="3">
        <f ca="1">IFERROR(__xludf.DUMMYFUNCTION("""COMPUTED_VALUE"""),-0.590904569709529)</f>
        <v>-0.59090456970952898</v>
      </c>
      <c r="DC146" s="3">
        <f ca="1">IFERROR(__xludf.DUMMYFUNCTION("""COMPUTED_VALUE"""),-0.679042264439713)</f>
        <v>-0.67904226443971305</v>
      </c>
      <c r="DD146" s="3">
        <f ca="1">IFERROR(__xludf.DUMMYFUNCTION("""COMPUTED_VALUE"""),-0.714678477904585)</f>
        <v>-0.71467847790458505</v>
      </c>
      <c r="DE146" s="3">
        <f ca="1">IFERROR(__xludf.DUMMYFUNCTION("""COMPUTED_VALUE"""),-0.651027751371127)</f>
        <v>-0.65102775137112701</v>
      </c>
      <c r="DF146" s="3">
        <f ca="1">IFERROR(__xludf.DUMMYFUNCTION("""COMPUTED_VALUE"""),-0.728552618782008)</f>
        <v>-0.72855261878200805</v>
      </c>
      <c r="DG146" s="3">
        <f ca="1">IFERROR(__xludf.DUMMYFUNCTION("""COMPUTED_VALUE"""),-0.844994706418361)</f>
        <v>-0.84499470641836105</v>
      </c>
      <c r="DH146" s="3">
        <f ca="1">IFERROR(__xludf.DUMMYFUNCTION("""COMPUTED_VALUE"""),-0.648064277599784)</f>
        <v>-0.64806427759978402</v>
      </c>
      <c r="DI146" s="3">
        <f ca="1">IFERROR(__xludf.DUMMYFUNCTION("""COMPUTED_VALUE"""),-0.409784408171416)</f>
        <v>-0.40978440817141598</v>
      </c>
      <c r="DJ146" s="3">
        <f ca="1">IFERROR(__xludf.DUMMYFUNCTION("""COMPUTED_VALUE"""),-0.563532449739681)</f>
        <v>-0.56353244973968097</v>
      </c>
      <c r="DK146" s="3">
        <f ca="1">IFERROR(__xludf.DUMMYFUNCTION("""COMPUTED_VALUE"""),-0.558795728992273)</f>
        <v>-0.55879572899227303</v>
      </c>
      <c r="DL146" s="3">
        <f ca="1">IFERROR(__xludf.DUMMYFUNCTION("""COMPUTED_VALUE"""),-0.54664328398921)</f>
        <v>-0.54664328398921003</v>
      </c>
      <c r="DM146" s="3">
        <f ca="1">IFERROR(__xludf.DUMMYFUNCTION("""COMPUTED_VALUE"""),-0.546799288879491)</f>
        <v>-0.54679928887949103</v>
      </c>
      <c r="DN146" s="3">
        <f ca="1">IFERROR(__xludf.DUMMYFUNCTION("""COMPUTED_VALUE"""),-0.592460461721121)</f>
        <v>-0.59246046172112099</v>
      </c>
      <c r="DO146" s="3">
        <f ca="1">IFERROR(__xludf.DUMMYFUNCTION("""COMPUTED_VALUE"""),-0.578379997748263)</f>
        <v>-0.57837999774826299</v>
      </c>
      <c r="DP146" s="3">
        <f ca="1">IFERROR(__xludf.DUMMYFUNCTION("""COMPUTED_VALUE"""),-0.551594959986097)</f>
        <v>-0.55159495998609698</v>
      </c>
      <c r="DQ146" s="3">
        <f ca="1">IFERROR(__xludf.DUMMYFUNCTION("""COMPUTED_VALUE"""),-0.595545173283077)</f>
        <v>-0.59554517328307699</v>
      </c>
      <c r="DR146" s="3">
        <f ca="1">IFERROR(__xludf.DUMMYFUNCTION("""COMPUTED_VALUE"""),-0.613178949945394)</f>
        <v>-0.61317894994539401</v>
      </c>
      <c r="DS146" s="3">
        <f ca="1">IFERROR(__xludf.DUMMYFUNCTION("""COMPUTED_VALUE"""),-0.564813348708907)</f>
        <v>-0.56481334870890698</v>
      </c>
      <c r="DT146" s="3">
        <f ca="1">IFERROR(__xludf.DUMMYFUNCTION("""COMPUTED_VALUE"""),-0.578265219485937)</f>
        <v>-0.57826521948593701</v>
      </c>
      <c r="DU146" s="3">
        <f ca="1">IFERROR(__xludf.DUMMYFUNCTION("""COMPUTED_VALUE"""),-0.622558322360001)</f>
        <v>-0.62255832236000097</v>
      </c>
      <c r="DV146" s="3">
        <f ca="1">IFERROR(__xludf.DUMMYFUNCTION("""COMPUTED_VALUE"""),-0.611966737877959)</f>
        <v>-0.61196673787795897</v>
      </c>
      <c r="DW146" s="3">
        <f ca="1">IFERROR(__xludf.DUMMYFUNCTION("""COMPUTED_VALUE"""),-0.629825487546331)</f>
        <v>-0.62982548754633105</v>
      </c>
      <c r="DX146" s="3">
        <f ca="1">IFERROR(__xludf.DUMMYFUNCTION("""COMPUTED_VALUE"""),-0.639319053135213)</f>
        <v>-0.63931905313521298</v>
      </c>
      <c r="DY146" s="3">
        <f ca="1">IFERROR(__xludf.DUMMYFUNCTION("""COMPUTED_VALUE"""),-0.641605270751506)</f>
        <v>-0.64160527075150597</v>
      </c>
      <c r="DZ146" s="3">
        <f ca="1">IFERROR(__xludf.DUMMYFUNCTION("""COMPUTED_VALUE"""),-0.549978273601567)</f>
        <v>-0.54997827360156704</v>
      </c>
      <c r="EA146" s="3">
        <f ca="1">IFERROR(__xludf.DUMMYFUNCTION("""COMPUTED_VALUE"""),-0.556750683668478)</f>
        <v>-0.55675068366847802</v>
      </c>
      <c r="EB146" s="3">
        <f ca="1">IFERROR(__xludf.DUMMYFUNCTION("""COMPUTED_VALUE"""),-0.650876858967204)</f>
        <v>-0.65087685896720404</v>
      </c>
      <c r="EC146" s="3">
        <f ca="1">IFERROR(__xludf.DUMMYFUNCTION("""COMPUTED_VALUE"""),-0.648721854159964)</f>
        <v>-0.64872185415996397</v>
      </c>
      <c r="ED146" s="3">
        <f ca="1">IFERROR(__xludf.DUMMYFUNCTION("""COMPUTED_VALUE"""),-0.641749218919139)</f>
        <v>-0.64174921891913905</v>
      </c>
      <c r="EE146" s="3">
        <f ca="1">IFERROR(__xludf.DUMMYFUNCTION("""COMPUTED_VALUE"""),-0.643331389476289)</f>
        <v>-0.64333138947628898</v>
      </c>
      <c r="EF146" s="3">
        <f ca="1">IFERROR(__xludf.DUMMYFUNCTION("""COMPUTED_VALUE"""),-0.655417757654816)</f>
        <v>-0.65541775765481602</v>
      </c>
      <c r="EG146" s="3">
        <f ca="1">IFERROR(__xludf.DUMMYFUNCTION("""COMPUTED_VALUE"""),-0.519526134189828)</f>
        <v>-0.51952613418982796</v>
      </c>
      <c r="EH146" s="3">
        <f ca="1">IFERROR(__xludf.DUMMYFUNCTION("""COMPUTED_VALUE"""),-0.553266523144116)</f>
        <v>-0.55326652314411595</v>
      </c>
      <c r="EI146" s="3">
        <f ca="1">IFERROR(__xludf.DUMMYFUNCTION("""COMPUTED_VALUE"""),-0.644959047803025)</f>
        <v>-0.64495904780302504</v>
      </c>
      <c r="EJ146" s="3">
        <f ca="1">IFERROR(__xludf.DUMMYFUNCTION("""COMPUTED_VALUE"""),-0.651992015331064)</f>
        <v>-0.65199201533106399</v>
      </c>
      <c r="EK146" s="3">
        <f ca="1">IFERROR(__xludf.DUMMYFUNCTION("""COMPUTED_VALUE"""),-0.651238230122139)</f>
        <v>-0.65123823012213899</v>
      </c>
      <c r="EL146" s="3">
        <f ca="1">IFERROR(__xludf.DUMMYFUNCTION("""COMPUTED_VALUE"""),-0.668192947932193)</f>
        <v>-0.66819294793219297</v>
      </c>
      <c r="EM146" s="3">
        <f ca="1">IFERROR(__xludf.DUMMYFUNCTION("""COMPUTED_VALUE"""),-0.645791025013856)</f>
        <v>-0.64579102501385599</v>
      </c>
      <c r="EN146" s="3">
        <f ca="1">IFERROR(__xludf.DUMMYFUNCTION("""COMPUTED_VALUE"""),-0.496492122910227)</f>
        <v>-0.49649212291022699</v>
      </c>
      <c r="EO146" s="3">
        <f ca="1">IFERROR(__xludf.DUMMYFUNCTION("""COMPUTED_VALUE"""),-0.493695732714685)</f>
        <v>-0.49369573271468498</v>
      </c>
      <c r="EP146" s="3">
        <f ca="1">IFERROR(__xludf.DUMMYFUNCTION("""COMPUTED_VALUE"""),-0.602041618055106)</f>
        <v>-0.60204161805510603</v>
      </c>
      <c r="EQ146" s="3">
        <f ca="1">IFERROR(__xludf.DUMMYFUNCTION("""COMPUTED_VALUE"""),-0.639158747694625)</f>
        <v>-0.639158747694625</v>
      </c>
      <c r="ER146" s="3">
        <f ca="1">IFERROR(__xludf.DUMMYFUNCTION("""COMPUTED_VALUE"""),-0.637637138468194)</f>
        <v>-0.63763713846819403</v>
      </c>
      <c r="ES146" s="3">
        <f ca="1">IFERROR(__xludf.DUMMYFUNCTION("""COMPUTED_VALUE"""),-0.639631279176896)</f>
        <v>-0.63963127917689599</v>
      </c>
      <c r="ET146" s="3">
        <f ca="1">IFERROR(__xludf.DUMMYFUNCTION("""COMPUTED_VALUE"""),-0.625137525513177)</f>
        <v>-0.62513752551317703</v>
      </c>
      <c r="EU146" s="3">
        <f ca="1">IFERROR(__xludf.DUMMYFUNCTION("""COMPUTED_VALUE"""),-0.578388465597838)</f>
        <v>-0.57838846559783796</v>
      </c>
      <c r="EV146" s="3">
        <f ca="1">IFERROR(__xludf.DUMMYFUNCTION("""COMPUTED_VALUE"""),-0.518336377578529)</f>
        <v>-0.51833637757852902</v>
      </c>
      <c r="EW146" s="3">
        <f ca="1">IFERROR(__xludf.DUMMYFUNCTION("""COMPUTED_VALUE"""),-0.594943791082975)</f>
        <v>-0.59494379108297502</v>
      </c>
      <c r="EX146" s="3">
        <f ca="1">IFERROR(__xludf.DUMMYFUNCTION("""COMPUTED_VALUE"""),-0.619482556754882)</f>
        <v>-0.61948255675488195</v>
      </c>
      <c r="EY146" s="3">
        <f ca="1">IFERROR(__xludf.DUMMYFUNCTION("""COMPUTED_VALUE"""),-0.612450565904488)</f>
        <v>-0.61245056590448799</v>
      </c>
      <c r="EZ146" s="3">
        <f ca="1">IFERROR(__xludf.DUMMYFUNCTION("""COMPUTED_VALUE"""),-0.608816523521067)</f>
        <v>-0.60881652352106697</v>
      </c>
      <c r="FA146" s="3">
        <f ca="1">IFERROR(__xludf.DUMMYFUNCTION("""COMPUTED_VALUE"""),-0.59432350405649)</f>
        <v>-0.59432350405649004</v>
      </c>
      <c r="FB146" s="3">
        <f ca="1">IFERROR(__xludf.DUMMYFUNCTION("""COMPUTED_VALUE"""),-0.456979252070517)</f>
        <v>-0.45697925207051698</v>
      </c>
      <c r="FC146" s="3">
        <f ca="1">IFERROR(__xludf.DUMMYFUNCTION("""COMPUTED_VALUE"""),-0.470213883700189)</f>
        <v>-0.47021388370018902</v>
      </c>
      <c r="FD146" s="3">
        <f ca="1">IFERROR(__xludf.DUMMYFUNCTION("""COMPUTED_VALUE"""),-0.573725205571687)</f>
        <v>-0.57372520557168705</v>
      </c>
      <c r="FE146" s="3">
        <f ca="1">IFERROR(__xludf.DUMMYFUNCTION("""COMPUTED_VALUE"""),-0.608251350647248)</f>
        <v>-0.608251350647248</v>
      </c>
      <c r="FF146" s="3">
        <f ca="1">IFERROR(__xludf.DUMMYFUNCTION("""COMPUTED_VALUE"""),-0.612372589863379)</f>
        <v>-0.61237258986337895</v>
      </c>
      <c r="FG146" s="3">
        <f ca="1">IFERROR(__xludf.DUMMYFUNCTION("""COMPUTED_VALUE"""),-0.631874363466245)</f>
        <v>-0.63187436346624504</v>
      </c>
      <c r="FH146" s="3">
        <f ca="1">IFERROR(__xludf.DUMMYFUNCTION("""COMPUTED_VALUE"""),-0.597480189983115)</f>
        <v>-0.59748018998311503</v>
      </c>
      <c r="FI146" s="3">
        <f ca="1">IFERROR(__xludf.DUMMYFUNCTION("""COMPUTED_VALUE"""),-0.520784764054573)</f>
        <v>-0.52078476405457297</v>
      </c>
      <c r="FJ146" s="3">
        <f ca="1">IFERROR(__xludf.DUMMYFUNCTION("""COMPUTED_VALUE"""),-0.492895721412042)</f>
        <v>-0.49289572141204202</v>
      </c>
      <c r="FK146" s="3">
        <f ca="1">IFERROR(__xludf.DUMMYFUNCTION("""COMPUTED_VALUE"""),-0.592905672540327)</f>
        <v>-0.592905672540327</v>
      </c>
      <c r="FL146" s="3">
        <f ca="1">IFERROR(__xludf.DUMMYFUNCTION("""COMPUTED_VALUE"""),-0.620374929597835)</f>
        <v>-0.62037492959783502</v>
      </c>
      <c r="FM146" s="3">
        <f ca="1">IFERROR(__xludf.DUMMYFUNCTION("""COMPUTED_VALUE"""),-0.620729818585573)</f>
        <v>-0.62072981858557297</v>
      </c>
      <c r="FN146" s="3">
        <f ca="1">IFERROR(__xludf.DUMMYFUNCTION("""COMPUTED_VALUE"""),-0.613051679079945)</f>
        <v>-0.61305167907994496</v>
      </c>
      <c r="FO146" s="3">
        <f ca="1">IFERROR(__xludf.DUMMYFUNCTION("""COMPUTED_VALUE"""),-0.591242369900358)</f>
        <v>-0.59124236990035794</v>
      </c>
      <c r="FP146" s="3">
        <f ca="1">IFERROR(__xludf.DUMMYFUNCTION("""COMPUTED_VALUE"""),-0.497767108810431)</f>
        <v>-0.49776710881043101</v>
      </c>
      <c r="FQ146" s="3">
        <f ca="1">IFERROR(__xludf.DUMMYFUNCTION("""COMPUTED_VALUE"""),-0.504491643084521)</f>
        <v>-0.50449164308452099</v>
      </c>
      <c r="FR146" s="3">
        <f ca="1">IFERROR(__xludf.DUMMYFUNCTION("""COMPUTED_VALUE"""),-0.56829333301984)</f>
        <v>-0.56829333301983997</v>
      </c>
      <c r="FS146" s="3">
        <f ca="1">IFERROR(__xludf.DUMMYFUNCTION("""COMPUTED_VALUE"""),-0.615471608802452)</f>
        <v>-0.615471608802452</v>
      </c>
      <c r="FT146" s="3">
        <f ca="1">IFERROR(__xludf.DUMMYFUNCTION("""COMPUTED_VALUE"""),-0.612197803673358)</f>
        <v>-0.61219780367335797</v>
      </c>
      <c r="FU146" s="3">
        <f ca="1">IFERROR(__xludf.DUMMYFUNCTION("""COMPUTED_VALUE"""),-0.586452339123577)</f>
        <v>-0.58645233912357697</v>
      </c>
      <c r="FV146" s="3">
        <f ca="1">IFERROR(__xludf.DUMMYFUNCTION("""COMPUTED_VALUE"""),-0.508571543661418)</f>
        <v>-0.50857154366141799</v>
      </c>
      <c r="FW146" s="3">
        <f ca="1">IFERROR(__xludf.DUMMYFUNCTION("""COMPUTED_VALUE"""),-0.509555758872116)</f>
        <v>-0.50955575887211602</v>
      </c>
      <c r="FX146" s="3">
        <f ca="1">IFERROR(__xludf.DUMMYFUNCTION("""COMPUTED_VALUE"""),-0.494428171359105)</f>
        <v>-0.494428171359105</v>
      </c>
      <c r="FY146" s="3">
        <f ca="1">IFERROR(__xludf.DUMMYFUNCTION("""COMPUTED_VALUE"""),-0.569649467680028)</f>
        <v>-0.569649467680028</v>
      </c>
      <c r="FZ146" s="3">
        <f ca="1">IFERROR(__xludf.DUMMYFUNCTION("""COMPUTED_VALUE"""),-0.60509623406529)</f>
        <v>-0.60509623406529001</v>
      </c>
      <c r="GA146" s="3">
        <f ca="1">IFERROR(__xludf.DUMMYFUNCTION("""COMPUTED_VALUE"""),-0.612945724890056)</f>
        <v>-0.61294572489005605</v>
      </c>
      <c r="GB146" s="3">
        <f ca="1">IFERROR(__xludf.DUMMYFUNCTION("""COMPUTED_VALUE"""),-0.596544763854122)</f>
        <v>-0.59654476385412203</v>
      </c>
      <c r="GC146" s="3">
        <f ca="1">IFERROR(__xludf.DUMMYFUNCTION("""COMPUTED_VALUE"""),-0.689847280398817)</f>
        <v>-0.68984728039881704</v>
      </c>
      <c r="GD146" s="3">
        <f ca="1">IFERROR(__xludf.DUMMYFUNCTION("""COMPUTED_VALUE"""),-0.503061375198242)</f>
        <v>-0.50306137519824201</v>
      </c>
      <c r="GE146" s="3">
        <f ca="1">IFERROR(__xludf.DUMMYFUNCTION("""COMPUTED_VALUE"""),-0.512059706669687)</f>
        <v>-0.51205970666968703</v>
      </c>
      <c r="GF146" s="3">
        <f ca="1">IFERROR(__xludf.DUMMYFUNCTION("""COMPUTED_VALUE"""),-0.577119472328052)</f>
        <v>-0.57711947232805205</v>
      </c>
      <c r="GG146" s="3">
        <f ca="1">IFERROR(__xludf.DUMMYFUNCTION("""COMPUTED_VALUE"""),-0.598687901252146)</f>
        <v>-0.59868790125214599</v>
      </c>
      <c r="GH146" s="3">
        <f ca="1">IFERROR(__xludf.DUMMYFUNCTION("""COMPUTED_VALUE"""),-0.595008395791682)</f>
        <v>-0.59500839579168197</v>
      </c>
      <c r="GI146" s="3">
        <f ca="1">IFERROR(__xludf.DUMMYFUNCTION("""COMPUTED_VALUE"""),-0.58712941089473)</f>
        <v>-0.58712941089473003</v>
      </c>
      <c r="GJ146" s="3">
        <f ca="1">IFERROR(__xludf.DUMMYFUNCTION("""COMPUTED_VALUE"""),-0.485457334811388)</f>
        <v>-0.48545733481138797</v>
      </c>
      <c r="GK146" s="3">
        <f ca="1">IFERROR(__xludf.DUMMYFUNCTION("""COMPUTED_VALUE"""),-0.522774472908419)</f>
        <v>-0.52277447290841905</v>
      </c>
      <c r="GL146" s="3">
        <f ca="1">IFERROR(__xludf.DUMMYFUNCTION("""COMPUTED_VALUE"""),-0.490785142619314)</f>
        <v>-0.490785142619314</v>
      </c>
      <c r="GM146" s="3">
        <f ca="1">IFERROR(__xludf.DUMMYFUNCTION("""COMPUTED_VALUE"""),-0.582691704263412)</f>
        <v>-0.58269170426341199</v>
      </c>
      <c r="GN146" s="3">
        <f ca="1">IFERROR(__xludf.DUMMYFUNCTION("""COMPUTED_VALUE"""),-0.606898378644641)</f>
        <v>-0.60689837864464102</v>
      </c>
      <c r="GO146" s="3">
        <f ca="1">IFERROR(__xludf.DUMMYFUNCTION("""COMPUTED_VALUE"""),-0.602466896880902)</f>
        <v>-0.60246689688090205</v>
      </c>
      <c r="GP146" s="3">
        <f ca="1">IFERROR(__xludf.DUMMYFUNCTION("""COMPUTED_VALUE"""),-0.598650656313225)</f>
        <v>-0.598650656313225</v>
      </c>
      <c r="GQ146" s="3">
        <f ca="1">IFERROR(__xludf.DUMMYFUNCTION("""COMPUTED_VALUE"""),-0.556622069755552)</f>
        <v>-0.55662206975555195</v>
      </c>
      <c r="GR146" s="3">
        <f ca="1">IFERROR(__xludf.DUMMYFUNCTION("""COMPUTED_VALUE"""),-0.441245582614163)</f>
        <v>-0.44124558261416302</v>
      </c>
      <c r="GS146" s="3">
        <f ca="1">IFERROR(__xludf.DUMMYFUNCTION("""COMPUTED_VALUE"""),-0.444258615698437)</f>
        <v>-0.444258615698437</v>
      </c>
      <c r="GT146" s="3">
        <f ca="1">IFERROR(__xludf.DUMMYFUNCTION("""COMPUTED_VALUE"""),-0.547561416187582)</f>
        <v>-0.54756141618758203</v>
      </c>
      <c r="GU146" s="3">
        <f ca="1">IFERROR(__xludf.DUMMYFUNCTION("""COMPUTED_VALUE"""),-0.582298173434084)</f>
        <v>-0.58229817343408397</v>
      </c>
      <c r="GV146" s="3">
        <f ca="1">IFERROR(__xludf.DUMMYFUNCTION("""COMPUTED_VALUE"""),-0.581769034380001)</f>
        <v>-0.58176903438000105</v>
      </c>
      <c r="GW146" s="3">
        <f ca="1">IFERROR(__xludf.DUMMYFUNCTION("""COMPUTED_VALUE"""),-0.58705733520346)</f>
        <v>-0.58705733520346004</v>
      </c>
      <c r="GX146" s="3">
        <f ca="1">IFERROR(__xludf.DUMMYFUNCTION("""COMPUTED_VALUE"""),-0.580687742735926)</f>
        <v>-0.58068774273592605</v>
      </c>
      <c r="GY146" s="3">
        <f ca="1">IFERROR(__xludf.DUMMYFUNCTION("""COMPUTED_VALUE"""),-0.451455593988965)</f>
        <v>-0.45145559398896501</v>
      </c>
      <c r="GZ146" s="3">
        <f ca="1">IFERROR(__xludf.DUMMYFUNCTION("""COMPUTED_VALUE"""),-0.437761348490132)</f>
        <v>-0.43776134849013199</v>
      </c>
      <c r="HA146" s="3">
        <f ca="1">IFERROR(__xludf.DUMMYFUNCTION("""COMPUTED_VALUE"""),-0.562124351727662)</f>
        <v>-0.56212435172766195</v>
      </c>
      <c r="HB146" s="3">
        <f ca="1">IFERROR(__xludf.DUMMYFUNCTION("""COMPUTED_VALUE"""),-0.583352954844559)</f>
        <v>-0.58335295484455896</v>
      </c>
      <c r="HC146" s="3">
        <f ca="1">IFERROR(__xludf.DUMMYFUNCTION("""COMPUTED_VALUE"""),-0.59790133350887)</f>
        <v>-0.59790133350886998</v>
      </c>
      <c r="HD146" s="3">
        <f ca="1">IFERROR(__xludf.DUMMYFUNCTION("""COMPUTED_VALUE"""),-0.59662921156503)</f>
        <v>-0.59662921156503002</v>
      </c>
      <c r="HE146" s="3">
        <f ca="1">IFERROR(__xludf.DUMMYFUNCTION("""COMPUTED_VALUE"""),-0.592963835815025)</f>
        <v>-0.59296383581502499</v>
      </c>
      <c r="HF146" s="3">
        <f ca="1">IFERROR(__xludf.DUMMYFUNCTION("""COMPUTED_VALUE"""),-0.397621216069266)</f>
        <v>-0.39762121606926598</v>
      </c>
      <c r="HG146" s="3">
        <f ca="1">IFERROR(__xludf.DUMMYFUNCTION("""COMPUTED_VALUE"""),-0.418433837308914)</f>
        <v>-0.41843383730891398</v>
      </c>
      <c r="HH146" s="3">
        <f ca="1">IFERROR(__xludf.DUMMYFUNCTION("""COMPUTED_VALUE"""),-0.573234427291215)</f>
        <v>-0.57323442729121499</v>
      </c>
      <c r="HI146" s="3">
        <f ca="1">IFERROR(__xludf.DUMMYFUNCTION("""COMPUTED_VALUE"""),-0.587582126454789)</f>
        <v>-0.58758212645478902</v>
      </c>
      <c r="HJ146" s="3">
        <f ca="1">IFERROR(__xludf.DUMMYFUNCTION("""COMPUTED_VALUE"""),-0.597132660779362)</f>
        <v>-0.597132660779362</v>
      </c>
      <c r="HK146" s="3">
        <f ca="1">IFERROR(__xludf.DUMMYFUNCTION("""COMPUTED_VALUE"""),-0.603042818396565)</f>
        <v>-0.60304281839656504</v>
      </c>
      <c r="HL146" s="3">
        <f ca="1">IFERROR(__xludf.DUMMYFUNCTION("""COMPUTED_VALUE"""),-0.678184499643191)</f>
        <v>-0.67818449964319105</v>
      </c>
      <c r="HM146" s="3">
        <f ca="1">IFERROR(__xludf.DUMMYFUNCTION("""COMPUTED_VALUE"""),-0.399018094053295)</f>
        <v>-0.39901809405329502</v>
      </c>
      <c r="HN146" s="3">
        <f ca="1">IFERROR(__xludf.DUMMYFUNCTION("""COMPUTED_VALUE"""),-0.441992970170559)</f>
        <v>-0.441992970170559</v>
      </c>
      <c r="HO146" s="3">
        <f ca="1">IFERROR(__xludf.DUMMYFUNCTION("""COMPUTED_VALUE"""),-0.582479619107808)</f>
        <v>-0.58247961910780799</v>
      </c>
      <c r="HP146" s="3">
        <f ca="1">IFERROR(__xludf.DUMMYFUNCTION("""COMPUTED_VALUE"""),-0.593665837291407)</f>
        <v>-0.59366583729140698</v>
      </c>
      <c r="HQ146" s="3">
        <f ca="1">IFERROR(__xludf.DUMMYFUNCTION("""COMPUTED_VALUE"""),-0.62312961586721)</f>
        <v>-0.62312961586721005</v>
      </c>
      <c r="HR146" s="3">
        <f ca="1">IFERROR(__xludf.DUMMYFUNCTION("""COMPUTED_VALUE"""),-0.588154621610376)</f>
        <v>-0.58815462161037602</v>
      </c>
      <c r="HS146" s="3">
        <f ca="1">IFERROR(__xludf.DUMMYFUNCTION("""COMPUTED_VALUE"""),-0.497184849665147)</f>
        <v>-0.49718484966514698</v>
      </c>
      <c r="HT146" s="3">
        <f ca="1">IFERROR(__xludf.DUMMYFUNCTION("""COMPUTED_VALUE"""),-0.428590716100885)</f>
        <v>-0.42859071610088501</v>
      </c>
      <c r="HU146" s="3">
        <f ca="1">IFERROR(__xludf.DUMMYFUNCTION("""COMPUTED_VALUE"""),-0.417619910609392)</f>
        <v>-0.41761991060939202</v>
      </c>
      <c r="HV146" s="3">
        <f ca="1">IFERROR(__xludf.DUMMYFUNCTION("""COMPUTED_VALUE"""),-0.540195963932208)</f>
        <v>-0.54019596393220803</v>
      </c>
      <c r="HW146" s="3">
        <f ca="1">IFERROR(__xludf.DUMMYFUNCTION("""COMPUTED_VALUE"""),-0.574857113544491)</f>
        <v>-0.57485711354449098</v>
      </c>
      <c r="HX146" s="3">
        <f ca="1">IFERROR(__xludf.DUMMYFUNCTION("""COMPUTED_VALUE"""),-0.586779945619338)</f>
        <v>-0.58677994561933799</v>
      </c>
      <c r="HY146" s="3">
        <f ca="1">IFERROR(__xludf.DUMMYFUNCTION("""COMPUTED_VALUE"""),-0.552911636361043)</f>
        <v>-0.55291163636104301</v>
      </c>
      <c r="HZ146" s="3">
        <f ca="1">IFERROR(__xludf.DUMMYFUNCTION("""COMPUTED_VALUE"""),-0.418781604066121)</f>
        <v>-0.41878160406612103</v>
      </c>
      <c r="IA146" s="3">
        <f ca="1">IFERROR(__xludf.DUMMYFUNCTION("""COMPUTED_VALUE"""),-0.413250152448285)</f>
        <v>-0.413250152448285</v>
      </c>
      <c r="IB146" s="3">
        <f ca="1">IFERROR(__xludf.DUMMYFUNCTION("""COMPUTED_VALUE"""),-0.393199755614368)</f>
        <v>-0.39319975561436799</v>
      </c>
      <c r="IC146" s="3">
        <f ca="1">IFERROR(__xludf.DUMMYFUNCTION("""COMPUTED_VALUE"""),-0.493236458504598)</f>
        <v>-0.49323645850459802</v>
      </c>
      <c r="ID146" s="3">
        <f ca="1">IFERROR(__xludf.DUMMYFUNCTION("""COMPUTED_VALUE"""),-0.504581446956657)</f>
        <v>-0.50458144695665696</v>
      </c>
      <c r="IE146" s="3">
        <f ca="1">IFERROR(__xludf.DUMMYFUNCTION("""COMPUTED_VALUE"""),-0.518402903268337)</f>
        <v>-0.51840290326833705</v>
      </c>
      <c r="IF146" s="3">
        <f ca="1">IFERROR(__xludf.DUMMYFUNCTION("""COMPUTED_VALUE"""),-0.499426705394429)</f>
        <v>-0.49942670539442902</v>
      </c>
      <c r="IG146" s="3">
        <f ca="1">IFERROR(__xludf.DUMMYFUNCTION("""COMPUTED_VALUE"""),-0.507377920548959)</f>
        <v>-0.50737792054895903</v>
      </c>
      <c r="IH146" s="3">
        <f ca="1">IFERROR(__xludf.DUMMYFUNCTION("""COMPUTED_VALUE"""),-0.460581260230764)</f>
        <v>-0.46058126023076401</v>
      </c>
      <c r="II146" s="3">
        <f ca="1">IFERROR(__xludf.DUMMYFUNCTION("""COMPUTED_VALUE"""),-0.422072613923849)</f>
        <v>-0.42207261392384898</v>
      </c>
      <c r="IJ146" s="3">
        <f ca="1">IFERROR(__xludf.DUMMYFUNCTION("""COMPUTED_VALUE"""),-0.499214135301041)</f>
        <v>-0.49921413530104097</v>
      </c>
      <c r="IK146" s="3">
        <f ca="1">IFERROR(__xludf.DUMMYFUNCTION("""COMPUTED_VALUE"""),-0.504243928737103)</f>
        <v>-0.504243928737103</v>
      </c>
      <c r="IL146" s="3">
        <f ca="1">IFERROR(__xludf.DUMMYFUNCTION("""COMPUTED_VALUE"""),-0.530416424415165)</f>
        <v>-0.53041642441516501</v>
      </c>
      <c r="IM146" s="3">
        <f ca="1">IFERROR(__xludf.DUMMYFUNCTION("""COMPUTED_VALUE"""),-0.519594842365241)</f>
        <v>-0.51959484236524101</v>
      </c>
      <c r="IN146" s="3">
        <f ca="1">IFERROR(__xludf.DUMMYFUNCTION("""COMPUTED_VALUE"""),-0.43343982126839)</f>
        <v>-0.43343982126838998</v>
      </c>
      <c r="IO146" s="3">
        <f ca="1">IFERROR(__xludf.DUMMYFUNCTION("""COMPUTED_VALUE"""),-0.422993620883438)</f>
        <v>-0.422993620883438</v>
      </c>
      <c r="IP146" s="3">
        <f ca="1">IFERROR(__xludf.DUMMYFUNCTION("""COMPUTED_VALUE"""),-0.405845289103625)</f>
        <v>-0.405845289103625</v>
      </c>
      <c r="IQ146" s="3">
        <f ca="1">IFERROR(__xludf.DUMMYFUNCTION("""COMPUTED_VALUE"""),-0.514444017284158)</f>
        <v>-0.51444401728415801</v>
      </c>
      <c r="IR146" s="3">
        <f ca="1">IFERROR(__xludf.DUMMYFUNCTION("""COMPUTED_VALUE"""),-0.531680081691225)</f>
        <v>-0.53168008169122505</v>
      </c>
      <c r="IS146" s="3">
        <f ca="1">IFERROR(__xludf.DUMMYFUNCTION("""COMPUTED_VALUE"""),-0.521036760581293)</f>
        <v>-0.521036760581293</v>
      </c>
      <c r="IT146" s="3">
        <f ca="1">IFERROR(__xludf.DUMMYFUNCTION("""COMPUTED_VALUE"""),-0.541121557884068)</f>
        <v>-0.54112155788406802</v>
      </c>
      <c r="IU146" s="3">
        <f ca="1">IFERROR(__xludf.DUMMYFUNCTION("""COMPUTED_VALUE"""),-0.591962344502878)</f>
        <v>-0.59196234450287799</v>
      </c>
      <c r="IV146" s="3">
        <f ca="1">IFERROR(__xludf.DUMMYFUNCTION("""COMPUTED_VALUE"""),-0.493450644718425)</f>
        <v>-0.49345064471842498</v>
      </c>
      <c r="IW146" s="3">
        <f ca="1">IFERROR(__xludf.DUMMYFUNCTION("""COMPUTED_VALUE"""),-0.452104519861991)</f>
        <v>-0.45210451986199102</v>
      </c>
      <c r="IX146" s="3">
        <f ca="1">IFERROR(__xludf.DUMMYFUNCTION("""COMPUTED_VALUE"""),-0.542395615963644)</f>
        <v>-0.54239561596364405</v>
      </c>
      <c r="IY146" s="3">
        <f ca="1">IFERROR(__xludf.DUMMYFUNCTION("""COMPUTED_VALUE"""),-0.561204729218351)</f>
        <v>-0.56120472921835096</v>
      </c>
      <c r="IZ146" s="3">
        <f ca="1">IFERROR(__xludf.DUMMYFUNCTION("""COMPUTED_VALUE"""),-0.568829242767618)</f>
        <v>-0.56882924276761804</v>
      </c>
      <c r="JA146" s="3">
        <f ca="1">IFERROR(__xludf.DUMMYFUNCTION("""COMPUTED_VALUE"""),-0.54144518565386)</f>
        <v>-0.54144518565386002</v>
      </c>
      <c r="JB146" s="3">
        <f ca="1">IFERROR(__xludf.DUMMYFUNCTION("""COMPUTED_VALUE"""),-0.502672113218832)</f>
        <v>-0.50267211321883198</v>
      </c>
      <c r="JC146" s="3">
        <f ca="1">IFERROR(__xludf.DUMMYFUNCTION("""COMPUTED_VALUE"""),-0.483585319263242)</f>
        <v>-0.483585319263242</v>
      </c>
      <c r="JD146" s="3">
        <f ca="1">IFERROR(__xludf.DUMMYFUNCTION("""COMPUTED_VALUE"""),-0.462853196905063)</f>
        <v>-0.46285319690506299</v>
      </c>
      <c r="JE146" s="3">
        <f ca="1">IFERROR(__xludf.DUMMYFUNCTION("""COMPUTED_VALUE"""),-0.56267887459036)</f>
        <v>-0.56267887459036003</v>
      </c>
      <c r="JF146" s="3">
        <f ca="1">IFERROR(__xludf.DUMMYFUNCTION("""COMPUTED_VALUE"""),-0.582676651972161)</f>
        <v>-0.58267665197216101</v>
      </c>
      <c r="JG146" s="3">
        <f ca="1">IFERROR(__xludf.DUMMYFUNCTION("""COMPUTED_VALUE"""),-0.599308397621402)</f>
        <v>-0.59930839762140198</v>
      </c>
      <c r="JH146" s="3">
        <f ca="1">IFERROR(__xludf.DUMMYFUNCTION("""COMPUTED_VALUE"""),-0.580524387628725)</f>
        <v>-0.58052438762872505</v>
      </c>
      <c r="JI146" s="3">
        <f ca="1">IFERROR(__xludf.DUMMYFUNCTION("""COMPUTED_VALUE"""),-0.556243263711735)</f>
        <v>-0.55624326371173505</v>
      </c>
      <c r="JJ146" s="3">
        <f ca="1">IFERROR(__xludf.DUMMYFUNCTION("""COMPUTED_VALUE"""),-0.535567259387577)</f>
        <v>-0.53556725938757699</v>
      </c>
      <c r="JK146" s="3">
        <f ca="1">IFERROR(__xludf.DUMMYFUNCTION("""COMPUTED_VALUE"""),-0.465247003358648)</f>
        <v>-0.46524700335864799</v>
      </c>
      <c r="JL146" s="3">
        <f ca="1">IFERROR(__xludf.DUMMYFUNCTION("""COMPUTED_VALUE"""),-0.56727958242054)</f>
        <v>-0.56727958242054</v>
      </c>
      <c r="JM146" s="3">
        <f ca="1">IFERROR(__xludf.DUMMYFUNCTION("""COMPUTED_VALUE"""),-0.605316576507058)</f>
        <v>-0.60531657650705795</v>
      </c>
      <c r="JN146" s="3">
        <f ca="1">IFERROR(__xludf.DUMMYFUNCTION("""COMPUTED_VALUE"""),-0.570328129096408)</f>
        <v>-0.57032812909640795</v>
      </c>
      <c r="JO146" s="3">
        <f ca="1">IFERROR(__xludf.DUMMYFUNCTION("""COMPUTED_VALUE"""),-0.585105391661521)</f>
        <v>-0.58510539166152098</v>
      </c>
      <c r="JP146" s="3">
        <f ca="1">IFERROR(__xludf.DUMMYFUNCTION("""COMPUTED_VALUE"""),-0.576112561059176)</f>
        <v>-0.57611256105917596</v>
      </c>
      <c r="JQ146" s="3">
        <f ca="1">IFERROR(__xludf.DUMMYFUNCTION("""COMPUTED_VALUE"""),-0.526571039388514)</f>
        <v>-0.52657103938851402</v>
      </c>
      <c r="JR146" s="3">
        <f ca="1">IFERROR(__xludf.DUMMYFUNCTION("""COMPUTED_VALUE"""),-0.53955289396354)</f>
        <v>-0.53955289396354</v>
      </c>
      <c r="JS146" s="3">
        <f ca="1">IFERROR(__xludf.DUMMYFUNCTION("""COMPUTED_VALUE"""),-0.572344820803236)</f>
        <v>-0.57234482080323601</v>
      </c>
      <c r="JT146" s="3">
        <f ca="1">IFERROR(__xludf.DUMMYFUNCTION("""COMPUTED_VALUE"""),-0.589176053638052)</f>
        <v>-0.58917605363805203</v>
      </c>
      <c r="JU146" s="3">
        <f ca="1">IFERROR(__xludf.DUMMYFUNCTION("""COMPUTED_VALUE"""),-0.603301965688516)</f>
        <v>-0.60330196568851602</v>
      </c>
      <c r="JV146" s="3">
        <f ca="1">IFERROR(__xludf.DUMMYFUNCTION("""COMPUTED_VALUE"""),-0.59330954353098)</f>
        <v>-0.59330954353097998</v>
      </c>
      <c r="JW146" s="3">
        <f ca="1">IFERROR(__xludf.DUMMYFUNCTION("""COMPUTED_VALUE"""),-0.499205136954232)</f>
        <v>-0.49920513695423202</v>
      </c>
      <c r="JX146" s="3">
        <f ca="1">IFERROR(__xludf.DUMMYFUNCTION("""COMPUTED_VALUE"""),-0.499417448119635)</f>
        <v>-0.49941744811963501</v>
      </c>
      <c r="JY146" s="3">
        <f ca="1">IFERROR(__xludf.DUMMYFUNCTION("""COMPUTED_VALUE"""),-0.506933417751946)</f>
        <v>-0.506933417751946</v>
      </c>
      <c r="JZ146" s="3">
        <f ca="1">IFERROR(__xludf.DUMMYFUNCTION("""COMPUTED_VALUE"""),-0.576670680829413)</f>
        <v>-0.57667068082941297</v>
      </c>
      <c r="KA146" s="3">
        <f ca="1">IFERROR(__xludf.DUMMYFUNCTION("""COMPUTED_VALUE"""),-0.58275612763144)</f>
        <v>-0.58275612763144002</v>
      </c>
      <c r="KB146" s="3">
        <f ca="1">IFERROR(__xludf.DUMMYFUNCTION("""COMPUTED_VALUE"""),-0.613557613023878)</f>
        <v>-0.61355761302387801</v>
      </c>
      <c r="KC146" s="3">
        <f ca="1">IFERROR(__xludf.DUMMYFUNCTION("""COMPUTED_VALUE"""),-0.519619988992879)</f>
        <v>-0.51961998899287898</v>
      </c>
      <c r="KD146" s="3">
        <f ca="1">IFERROR(__xludf.DUMMYFUNCTION("""COMPUTED_VALUE"""),-0.415793588667676)</f>
        <v>-0.41579358866767602</v>
      </c>
      <c r="KE146" s="3">
        <f ca="1">IFERROR(__xludf.DUMMYFUNCTION("""COMPUTED_VALUE"""),-0.439064357432089)</f>
        <v>-0.43906435743208899</v>
      </c>
      <c r="KF146" s="3">
        <f ca="1">IFERROR(__xludf.DUMMYFUNCTION("""COMPUTED_VALUE"""),-0.431452257246791)</f>
        <v>-0.43145225724679098</v>
      </c>
      <c r="KG146" s="3">
        <f ca="1">IFERROR(__xludf.DUMMYFUNCTION("""COMPUTED_VALUE"""),-0.545034249291152)</f>
        <v>-0.54503424929115196</v>
      </c>
      <c r="KH146" s="3">
        <f ca="1">IFERROR(__xludf.DUMMYFUNCTION("""COMPUTED_VALUE"""),-0.561475493519501)</f>
        <v>-0.56147549351950099</v>
      </c>
      <c r="KI146" s="3">
        <f ca="1">IFERROR(__xludf.DUMMYFUNCTION("""COMPUTED_VALUE"""),-0.561686748109953)</f>
        <v>-0.561686748109953</v>
      </c>
      <c r="KJ146" s="3">
        <f ca="1">IFERROR(__xludf.DUMMYFUNCTION("""COMPUTED_VALUE"""),-0.59432858651691)</f>
        <v>-0.59432858651691001</v>
      </c>
      <c r="KK146" s="3">
        <f ca="1">IFERROR(__xludf.DUMMYFUNCTION("""COMPUTED_VALUE"""),-0.484792410735339)</f>
        <v>-0.48479241073533902</v>
      </c>
      <c r="KL146" s="3">
        <f ca="1">IFERROR(__xludf.DUMMYFUNCTION("""COMPUTED_VALUE"""),-0.512856820959767)</f>
        <v>-0.51285682095976703</v>
      </c>
      <c r="KM146" s="3">
        <f ca="1">IFERROR(__xludf.DUMMYFUNCTION("""COMPUTED_VALUE"""),-0.482116600417997)</f>
        <v>-0.48211660041799698</v>
      </c>
      <c r="KN146" s="3">
        <f ca="1">IFERROR(__xludf.DUMMYFUNCTION("""COMPUTED_VALUE"""),-0.573024074334573)</f>
        <v>-0.57302407433457303</v>
      </c>
      <c r="KO146" s="3">
        <f ca="1">IFERROR(__xludf.DUMMYFUNCTION("""COMPUTED_VALUE"""),-0.570315743860965)</f>
        <v>-0.57031574386096495</v>
      </c>
      <c r="KP146" s="3">
        <f ca="1">IFERROR(__xludf.DUMMYFUNCTION("""COMPUTED_VALUE"""),-0.576788909218066)</f>
        <v>-0.57678890921806603</v>
      </c>
      <c r="KQ146" s="3">
        <f ca="1">IFERROR(__xludf.DUMMYFUNCTION("""COMPUTED_VALUE"""),-0.581915317883604)</f>
        <v>-0.58191531788360396</v>
      </c>
      <c r="KR146" s="3">
        <f ca="1">IFERROR(__xludf.DUMMYFUNCTION("""COMPUTED_VALUE"""),-0.561182809675665)</f>
        <v>-0.56118280967566503</v>
      </c>
      <c r="KS146" s="3">
        <f ca="1">IFERROR(__xludf.DUMMYFUNCTION("""COMPUTED_VALUE"""),-0.583735710500032)</f>
        <v>-0.58373571050003203</v>
      </c>
      <c r="KT146" s="3">
        <f ca="1">IFERROR(__xludf.DUMMYFUNCTION("""COMPUTED_VALUE"""),-0.599718737384442)</f>
        <v>-0.59971873738444204</v>
      </c>
      <c r="KU146" s="3">
        <f ca="1">IFERROR(__xludf.DUMMYFUNCTION("""COMPUTED_VALUE"""),-0.63002886883277)</f>
        <v>-0.63002886883276998</v>
      </c>
      <c r="KV146" s="3">
        <f ca="1">IFERROR(__xludf.DUMMYFUNCTION("""COMPUTED_VALUE"""),-0.617288145189686)</f>
        <v>-0.617288145189686</v>
      </c>
      <c r="KW146" s="3">
        <f ca="1">IFERROR(__xludf.DUMMYFUNCTION("""COMPUTED_VALUE"""),-0.633745107816371)</f>
        <v>-0.63374510781637095</v>
      </c>
      <c r="KX146" s="3">
        <f ca="1">IFERROR(__xludf.DUMMYFUNCTION("""COMPUTED_VALUE"""),-0.615479338506376)</f>
        <v>-0.61547933850637604</v>
      </c>
      <c r="KY146" s="3">
        <f ca="1">IFERROR(__xludf.DUMMYFUNCTION("""COMPUTED_VALUE"""),-0.620688726903537)</f>
        <v>-0.62068872690353705</v>
      </c>
      <c r="KZ146" s="3">
        <f ca="1">IFERROR(__xludf.DUMMYFUNCTION("""COMPUTED_VALUE"""),-0.584856583425073)</f>
        <v>-0.58485658342507296</v>
      </c>
      <c r="LA146" s="3">
        <f ca="1">IFERROR(__xludf.DUMMYFUNCTION("""COMPUTED_VALUE"""),-0.610435917174124)</f>
        <v>-0.61043591717412404</v>
      </c>
      <c r="LB146" s="3">
        <f ca="1">IFERROR(__xludf.DUMMYFUNCTION("""COMPUTED_VALUE"""),-0.631714807767116)</f>
        <v>-0.63171480776711597</v>
      </c>
      <c r="LC146" s="3">
        <f ca="1">IFERROR(__xludf.DUMMYFUNCTION("""COMPUTED_VALUE"""),-0.631877171563963)</f>
        <v>-0.63187717156396295</v>
      </c>
      <c r="LD146" s="3">
        <f ca="1">IFERROR(__xludf.DUMMYFUNCTION("""COMPUTED_VALUE"""),-0.64379168060052)</f>
        <v>-0.64379168060052006</v>
      </c>
      <c r="LE146" s="3">
        <f ca="1">IFERROR(__xludf.DUMMYFUNCTION("""COMPUTED_VALUE"""),-0.638049698375789)</f>
        <v>-0.63804969837578895</v>
      </c>
      <c r="LF146" s="3">
        <f ca="1">IFERROR(__xludf.DUMMYFUNCTION("""COMPUTED_VALUE"""),-0.634641592411226)</f>
        <v>-0.63464159241122597</v>
      </c>
      <c r="LG146" s="3">
        <f ca="1">IFERROR(__xludf.DUMMYFUNCTION("""COMPUTED_VALUE"""),-0.62712924945168)</f>
        <v>-0.62712924945168003</v>
      </c>
      <c r="LH146" s="3">
        <f ca="1">IFERROR(__xludf.DUMMYFUNCTION("""COMPUTED_VALUE"""),-0.62902271937616)</f>
        <v>-0.62902271937615994</v>
      </c>
      <c r="LI146" s="3">
        <f ca="1">IFERROR(__xludf.DUMMYFUNCTION("""COMPUTED_VALUE"""),-0.693218735839336)</f>
        <v>-0.69321873583933602</v>
      </c>
      <c r="LJ146" s="3">
        <f ca="1">IFERROR(__xludf.DUMMYFUNCTION("""COMPUTED_VALUE"""),-0.693195701713233)</f>
        <v>-0.69319570171323297</v>
      </c>
      <c r="LK146" s="3">
        <f ca="1">IFERROR(__xludf.DUMMYFUNCTION("""COMPUTED_VALUE"""),-0.660208411435371)</f>
        <v>-0.66020841143537101</v>
      </c>
      <c r="LL146" s="3">
        <f ca="1">IFERROR(__xludf.DUMMYFUNCTION("""COMPUTED_VALUE"""),-0.663767177501777)</f>
        <v>-0.66376717750177705</v>
      </c>
      <c r="LM146" s="3">
        <f ca="1">IFERROR(__xludf.DUMMYFUNCTION("""COMPUTED_VALUE"""),-0.597760142878101)</f>
        <v>-0.59776014287810098</v>
      </c>
      <c r="LN146" s="3">
        <f ca="1">IFERROR(__xludf.DUMMYFUNCTION("""COMPUTED_VALUE"""),-0.63460074143946)</f>
        <v>-0.63460074143945999</v>
      </c>
      <c r="LO146" s="3">
        <f ca="1">IFERROR(__xludf.DUMMYFUNCTION("""COMPUTED_VALUE"""),-0.641636055868075)</f>
        <v>-0.64163605586807504</v>
      </c>
      <c r="LP146" s="3">
        <f ca="1">IFERROR(__xludf.DUMMYFUNCTION("""COMPUTED_VALUE"""),-0.692060554781408)</f>
        <v>-0.69206055478140804</v>
      </c>
      <c r="LQ146" s="3">
        <f ca="1">IFERROR(__xludf.DUMMYFUNCTION("""COMPUTED_VALUE"""),-0.70486995247226)</f>
        <v>-0.70486995247226003</v>
      </c>
      <c r="LR146" s="3">
        <f ca="1">IFERROR(__xludf.DUMMYFUNCTION("""COMPUTED_VALUE"""),-0.713170672186496)</f>
        <v>-0.71317067218649599</v>
      </c>
      <c r="LS146" s="3">
        <f ca="1">IFERROR(__xludf.DUMMYFUNCTION("""COMPUTED_VALUE"""),-0.718162872219709)</f>
        <v>-0.71816287221970898</v>
      </c>
      <c r="LT146" s="3">
        <f ca="1">IFERROR(__xludf.DUMMYFUNCTION("""COMPUTED_VALUE"""),-0.799602586391585)</f>
        <v>-0.79960258639158499</v>
      </c>
      <c r="LU146" s="3">
        <f ca="1">IFERROR(__xludf.DUMMYFUNCTION("""COMPUTED_VALUE"""),-0.707655457224785)</f>
        <v>-0.70765545722478496</v>
      </c>
      <c r="LV146" s="3">
        <f ca="1">IFERROR(__xludf.DUMMYFUNCTION("""COMPUTED_VALUE"""),-0.696000078787109)</f>
        <v>-0.69600007878710901</v>
      </c>
      <c r="LW146" s="3">
        <f ca="1">IFERROR(__xludf.DUMMYFUNCTION("""COMPUTED_VALUE"""),-0.745645563270989)</f>
        <v>-0.74564556327098896</v>
      </c>
      <c r="LX146" s="3">
        <f ca="1">IFERROR(__xludf.DUMMYFUNCTION("""COMPUTED_VALUE"""),-0.746779051551665)</f>
        <v>-0.74677905155166502</v>
      </c>
      <c r="LY146" s="3">
        <f ca="1">IFERROR(__xludf.DUMMYFUNCTION("""COMPUTED_VALUE"""),-0.747008207769723)</f>
        <v>-0.74700820776972299</v>
      </c>
      <c r="LZ146" s="3">
        <f ca="1">IFERROR(__xludf.DUMMYFUNCTION("""COMPUTED_VALUE"""),-0.743107170583894)</f>
        <v>-0.74310717058389397</v>
      </c>
      <c r="MA146" s="3">
        <f ca="1">IFERROR(__xludf.DUMMYFUNCTION("""COMPUTED_VALUE"""),-0.701917380499826)</f>
        <v>-0.70191738049982599</v>
      </c>
      <c r="MB146" s="3">
        <f ca="1">IFERROR(__xludf.DUMMYFUNCTION("""COMPUTED_VALUE"""),-0.723810764478173)</f>
        <v>-0.72381076447817305</v>
      </c>
      <c r="MC146" s="3">
        <f ca="1">IFERROR(__xludf.DUMMYFUNCTION("""COMPUTED_VALUE"""),-0.758893942357689)</f>
        <v>-0.75889394235768903</v>
      </c>
      <c r="MD146" s="3">
        <f ca="1">IFERROR(__xludf.DUMMYFUNCTION("""COMPUTED_VALUE"""),-0.754329307945894)</f>
        <v>-0.75432930794589403</v>
      </c>
      <c r="ME146" s="3">
        <f ca="1">IFERROR(__xludf.DUMMYFUNCTION("""COMPUTED_VALUE"""),-0.754729127831012)</f>
        <v>-0.75472912783101198</v>
      </c>
      <c r="MF146" s="3">
        <f ca="1">IFERROR(__xludf.DUMMYFUNCTION("""COMPUTED_VALUE"""),-0.742761308737922)</f>
        <v>-0.74276130873792201</v>
      </c>
      <c r="MG146" s="3">
        <f ca="1">IFERROR(__xludf.DUMMYFUNCTION("""COMPUTED_VALUE"""),-0.756098806368171)</f>
        <v>-0.75609880636817095</v>
      </c>
      <c r="MH146" s="3">
        <f ca="1">IFERROR(__xludf.DUMMYFUNCTION("""COMPUTED_VALUE"""),-0.730369750227446)</f>
        <v>-0.73036975022744599</v>
      </c>
      <c r="MI146" s="3">
        <f ca="1">IFERROR(__xludf.DUMMYFUNCTION("""COMPUTED_VALUE"""),-0.715393984689271)</f>
        <v>-0.71539398468927096</v>
      </c>
      <c r="MJ146" s="3">
        <f ca="1">IFERROR(__xludf.DUMMYFUNCTION("""COMPUTED_VALUE"""),-0.737824530807852)</f>
        <v>-0.73782453080785204</v>
      </c>
      <c r="MK146" s="3">
        <f ca="1">IFERROR(__xludf.DUMMYFUNCTION("""COMPUTED_VALUE"""),-0.753787439660068)</f>
        <v>-0.753787439660068</v>
      </c>
      <c r="ML146" s="3">
        <f ca="1">IFERROR(__xludf.DUMMYFUNCTION("""COMPUTED_VALUE"""),-0.765424748656969)</f>
        <v>-0.76542474865696897</v>
      </c>
      <c r="MM146" s="3">
        <f ca="1">IFERROR(__xludf.DUMMYFUNCTION("""COMPUTED_VALUE"""),-0.770576554715294)</f>
        <v>-0.77057655471529396</v>
      </c>
      <c r="MN146" s="3">
        <f ca="1">IFERROR(__xludf.DUMMYFUNCTION("""COMPUTED_VALUE"""),-0.768818730661479)</f>
        <v>-0.76881873066147899</v>
      </c>
      <c r="MO146" s="3">
        <f ca="1">IFERROR(__xludf.DUMMYFUNCTION("""COMPUTED_VALUE"""),-0.75634573707168)</f>
        <v>-0.75634573707167996</v>
      </c>
      <c r="MP146" s="3">
        <f ca="1">IFERROR(__xludf.DUMMYFUNCTION("""COMPUTED_VALUE"""),-0.744596071464121)</f>
        <v>-0.74459607146412099</v>
      </c>
      <c r="MQ146" s="3">
        <f ca="1">IFERROR(__xludf.DUMMYFUNCTION("""COMPUTED_VALUE"""),-0.754959989460146)</f>
        <v>-0.75495998946014597</v>
      </c>
      <c r="MR146" s="3">
        <f ca="1">IFERROR(__xludf.DUMMYFUNCTION("""COMPUTED_VALUE"""),-0.735964860865287)</f>
        <v>-0.73596486086528701</v>
      </c>
      <c r="MS146" s="3">
        <f ca="1">IFERROR(__xludf.DUMMYFUNCTION("""COMPUTED_VALUE"""),-0.7858478430315)</f>
        <v>-0.78584784303150002</v>
      </c>
      <c r="MT146" s="3">
        <f ca="1">IFERROR(__xludf.DUMMYFUNCTION("""COMPUTED_VALUE"""),-0.773911782559837)</f>
        <v>-0.77391178255983695</v>
      </c>
      <c r="MU146" s="3">
        <f ca="1">IFERROR(__xludf.DUMMYFUNCTION("""COMPUTED_VALUE"""),-0.777758557862129)</f>
        <v>-0.777758557862129</v>
      </c>
      <c r="MV146" s="3">
        <f ca="1">IFERROR(__xludf.DUMMYFUNCTION("""COMPUTED_VALUE"""),-0.744149765387999)</f>
        <v>-0.74414976538799904</v>
      </c>
      <c r="MW146" s="3">
        <f ca="1">IFERROR(__xludf.DUMMYFUNCTION("""COMPUTED_VALUE"""),-0.728196286815892)</f>
        <v>-0.72819628681589199</v>
      </c>
      <c r="MX146" s="3">
        <f ca="1">IFERROR(__xludf.DUMMYFUNCTION("""COMPUTED_VALUE"""),-0.755260970536228)</f>
        <v>-0.75526097053622798</v>
      </c>
      <c r="MY146" s="3">
        <f ca="1">IFERROR(__xludf.DUMMYFUNCTION("""COMPUTED_VALUE"""),-0.714829408851307)</f>
        <v>-0.71482940885130697</v>
      </c>
      <c r="MZ146" s="3">
        <f ca="1">IFERROR(__xludf.DUMMYFUNCTION("""COMPUTED_VALUE"""),-0.784122941210026)</f>
        <v>-0.78412294121002601</v>
      </c>
      <c r="NA146" s="3">
        <f ca="1">IFERROR(__xludf.DUMMYFUNCTION("""COMPUTED_VALUE"""),-0.783265069365616)</f>
        <v>-0.78326506936561602</v>
      </c>
      <c r="NB146" s="3">
        <f ca="1">IFERROR(__xludf.DUMMYFUNCTION("""COMPUTED_VALUE"""),-0.762191261062227)</f>
        <v>-0.76219126106222701</v>
      </c>
      <c r="NC146" s="3">
        <f ca="1">IFERROR(__xludf.DUMMYFUNCTION("""COMPUTED_VALUE"""),-0.742671587026835)</f>
        <v>-0.742671587026835</v>
      </c>
      <c r="ND146" s="3">
        <f ca="1">IFERROR(__xludf.DUMMYFUNCTION("""COMPUTED_VALUE"""),-0.767288024513444)</f>
        <v>-0.76728802451344402</v>
      </c>
      <c r="NE146" s="3">
        <f ca="1">IFERROR(__xludf.DUMMYFUNCTION("""COMPUTED_VALUE"""),-0.760877839369244)</f>
        <v>-0.76087783936924402</v>
      </c>
      <c r="NF146" s="3">
        <f ca="1">IFERROR(__xludf.DUMMYFUNCTION("""COMPUTED_VALUE"""),-0.836804295040019)</f>
        <v>-0.83680429504001896</v>
      </c>
      <c r="NG146" s="3">
        <f ca="1">IFERROR(__xludf.DUMMYFUNCTION("""COMPUTED_VALUE"""),-0.765549263175609)</f>
        <v>-0.76554926317560901</v>
      </c>
      <c r="NH146" s="3">
        <f ca="1">IFERROR(__xludf.DUMMYFUNCTION("""COMPUTED_VALUE"""),-0.780861012968233)</f>
        <v>-0.78086101296823296</v>
      </c>
      <c r="NI146" s="3">
        <f ca="1">IFERROR(__xludf.DUMMYFUNCTION("""COMPUTED_VALUE"""),-0.774791180818915)</f>
        <v>-0.77479118081891496</v>
      </c>
      <c r="NJ146" s="3">
        <f ca="1">IFERROR(__xludf.DUMMYFUNCTION("""COMPUTED_VALUE"""),-0.738239710339891)</f>
        <v>-0.738239710339891</v>
      </c>
      <c r="NK146" s="3">
        <f ca="1">IFERROR(__xludf.DUMMYFUNCTION("""COMPUTED_VALUE"""),-0.690763394179903)</f>
        <v>-0.69076339417990296</v>
      </c>
      <c r="NL146" s="3">
        <f ca="1">IFERROR(__xludf.DUMMYFUNCTION("""COMPUTED_VALUE"""),-0.724644821477866)</f>
        <v>-0.72464482147786602</v>
      </c>
      <c r="NM146" s="3">
        <f ca="1">IFERROR(__xludf.DUMMYFUNCTION("""COMPUTED_VALUE"""),-0.762327346061888)</f>
        <v>-0.76232734606188801</v>
      </c>
      <c r="NN146" s="3">
        <f ca="1">IFERROR(__xludf.DUMMYFUNCTION("""COMPUTED_VALUE"""),-0.750785320155856)</f>
        <v>-0.75078532015585597</v>
      </c>
      <c r="NO146" s="3">
        <f ca="1">IFERROR(__xludf.DUMMYFUNCTION("""COMPUTED_VALUE"""),-0.748254997222919)</f>
        <v>-0.74825499722291899</v>
      </c>
      <c r="NP146" s="3">
        <f ca="1">IFERROR(__xludf.DUMMYFUNCTION("""COMPUTED_VALUE"""),-0.767293712652888)</f>
        <v>-0.76729371265288804</v>
      </c>
      <c r="NQ146" s="3">
        <f ca="1">IFERROR(__xludf.DUMMYFUNCTION("""COMPUTED_VALUE"""),-0.741089322756432)</f>
        <v>-0.74108932275643202</v>
      </c>
      <c r="NR146" s="3">
        <f ca="1">IFERROR(__xludf.DUMMYFUNCTION("""COMPUTED_VALUE"""),-0.728834273180435)</f>
        <v>-0.72883427318043503</v>
      </c>
      <c r="NS146" s="3">
        <f ca="1">IFERROR(__xludf.DUMMYFUNCTION("""COMPUTED_VALUE"""),-0.744014430408559)</f>
        <v>-0.74401443040855897</v>
      </c>
      <c r="NT146" s="3">
        <f ca="1">IFERROR(__xludf.DUMMYFUNCTION("""COMPUTED_VALUE"""),-0.766054228271272)</f>
        <v>-0.76605422827127201</v>
      </c>
      <c r="NU146" s="3">
        <f ca="1">IFERROR(__xludf.DUMMYFUNCTION("""COMPUTED_VALUE"""),-0.759565814611934)</f>
        <v>-0.75956581461193395</v>
      </c>
      <c r="NV146" s="3">
        <f ca="1">IFERROR(__xludf.DUMMYFUNCTION("""COMPUTED_VALUE"""),-0.748129208771945)</f>
        <v>-0.748129208771945</v>
      </c>
      <c r="NW146" s="3">
        <f ca="1">IFERROR(__xludf.DUMMYFUNCTION("""COMPUTED_VALUE"""),-0.66018183283338)</f>
        <v>-0.66018183283337994</v>
      </c>
      <c r="NX146" s="3">
        <f ca="1">IFERROR(__xludf.DUMMYFUNCTION("""COMPUTED_VALUE"""),-0.641781264766045)</f>
        <v>-0.64178126476604502</v>
      </c>
      <c r="NY146" s="3">
        <f ca="1">IFERROR(__xludf.DUMMYFUNCTION("""COMPUTED_VALUE"""),-0.569003034663915)</f>
        <v>-0.569003034663915</v>
      </c>
      <c r="NZ146" s="3">
        <f ca="1">IFERROR(__xludf.DUMMYFUNCTION("""COMPUTED_VALUE"""),-0.591359991164327)</f>
        <v>-0.59135999116432703</v>
      </c>
      <c r="OA146" s="3">
        <f ca="1">IFERROR(__xludf.DUMMYFUNCTION("""COMPUTED_VALUE"""),-0.640876189503013)</f>
        <v>-0.64087618950301295</v>
      </c>
      <c r="OB146" s="3">
        <f ca="1">IFERROR(__xludf.DUMMYFUNCTION("""COMPUTED_VALUE"""),-0.623127484519645)</f>
        <v>-0.62312748451964495</v>
      </c>
      <c r="OC146" s="3">
        <f ca="1">IFERROR(__xludf.DUMMYFUNCTION("""COMPUTED_VALUE"""),-0.604726259449958)</f>
        <v>-0.60472625944995795</v>
      </c>
      <c r="OD146" s="3">
        <f ca="1">IFERROR(__xludf.DUMMYFUNCTION("""COMPUTED_VALUE"""),-0.56723989104097)</f>
        <v>-0.56723989104096995</v>
      </c>
      <c r="OE146" s="3">
        <f ca="1">IFERROR(__xludf.DUMMYFUNCTION("""COMPUTED_VALUE"""),-0.473277861572911)</f>
        <v>-0.47327786157291102</v>
      </c>
      <c r="OF146" s="3">
        <f ca="1">IFERROR(__xludf.DUMMYFUNCTION("""COMPUTED_VALUE"""),-0.266474024051235)</f>
        <v>-0.26647402405123499</v>
      </c>
      <c r="OG146" s="3">
        <f ca="1">IFERROR(__xludf.DUMMYFUNCTION("""COMPUTED_VALUE"""),-0.278699193423059)</f>
        <v>-0.27869919342305899</v>
      </c>
      <c r="OH146" s="3">
        <f ca="1">IFERROR(__xludf.DUMMYFUNCTION("""COMPUTED_VALUE"""),-0.196120812935325)</f>
        <v>-0.19612081293532499</v>
      </c>
      <c r="OI146" s="3">
        <f ca="1">IFERROR(__xludf.DUMMYFUNCTION("""COMPUTED_VALUE"""),-0.0902415179843861)</f>
        <v>-9.0241517984386094E-2</v>
      </c>
      <c r="OJ146" s="3">
        <f ca="1">IFERROR(__xludf.DUMMYFUNCTION("""COMPUTED_VALUE"""),-0.0534544843233907)</f>
        <v>-5.34544843233907E-2</v>
      </c>
      <c r="OK146" s="3">
        <f ca="1">IFERROR(__xludf.DUMMYFUNCTION("""COMPUTED_VALUE"""),-0.0558721462040031)</f>
        <v>-5.5872146204003097E-2</v>
      </c>
      <c r="OL146" s="3">
        <f ca="1">IFERROR(__xludf.DUMMYFUNCTION("""COMPUTED_VALUE"""),-0.0244029361507194)</f>
        <v>-2.4402936150719399E-2</v>
      </c>
      <c r="OM146" s="3">
        <f ca="1">IFERROR(__xludf.DUMMYFUNCTION("""COMPUTED_VALUE"""),0.0052667326492124)</f>
        <v>5.2667326492123996E-3</v>
      </c>
      <c r="ON146" s="3">
        <f ca="1">IFERROR(__xludf.DUMMYFUNCTION("""COMPUTED_VALUE"""),0.0207725769759923)</f>
        <v>2.0772576975992298E-2</v>
      </c>
      <c r="OO146" s="3">
        <f ca="1">IFERROR(__xludf.DUMMYFUNCTION("""COMPUTED_VALUE"""),-0.0275869923383675)</f>
        <v>-2.7586992338367498E-2</v>
      </c>
      <c r="OP146" s="3">
        <f ca="1">IFERROR(__xludf.DUMMYFUNCTION("""COMPUTED_VALUE"""),-0.0028091596214943)</f>
        <v>-2.8091596214942999E-3</v>
      </c>
      <c r="OQ146" s="3">
        <f ca="1">IFERROR(__xludf.DUMMYFUNCTION("""COMPUTED_VALUE"""),0.0549964199892567)</f>
        <v>5.4996419989256702E-2</v>
      </c>
      <c r="OR146" s="3">
        <f ca="1">IFERROR(__xludf.DUMMYFUNCTION("""COMPUTED_VALUE"""),0.0263493877638865)</f>
        <v>2.6349387763886501E-2</v>
      </c>
      <c r="OS146" s="3">
        <f ca="1">IFERROR(__xludf.DUMMYFUNCTION("""COMPUTED_VALUE"""),0.0479878233755335)</f>
        <v>4.7987823375533499E-2</v>
      </c>
      <c r="OT146" s="3">
        <f ca="1">IFERROR(__xludf.DUMMYFUNCTION("""COMPUTED_VALUE"""),0.0426931344997119)</f>
        <v>4.2693134499711898E-2</v>
      </c>
      <c r="OU146" s="3">
        <f ca="1">IFERROR(__xludf.DUMMYFUNCTION("""COMPUTED_VALUE"""),-0.0287959263305791)</f>
        <v>-2.8795926330579098E-2</v>
      </c>
      <c r="OV146" s="3">
        <f ca="1">IFERROR(__xludf.DUMMYFUNCTION("""COMPUTED_VALUE"""),-0.0880130941501212)</f>
        <v>-8.8013094150121193E-2</v>
      </c>
      <c r="OW146" s="3">
        <f ca="1">IFERROR(__xludf.DUMMYFUNCTION("""COMPUTED_VALUE"""),-0.116235163599785)</f>
        <v>-0.116235163599785</v>
      </c>
      <c r="OX146" s="3">
        <f ca="1">IFERROR(__xludf.DUMMYFUNCTION("""COMPUTED_VALUE"""),-0.058659469942952)</f>
        <v>-5.8659469942952E-2</v>
      </c>
      <c r="OY146" s="3">
        <f ca="1">IFERROR(__xludf.DUMMYFUNCTION("""COMPUTED_VALUE"""),-0.0144353369690203)</f>
        <v>-1.44353369690203E-2</v>
      </c>
      <c r="OZ146" s="3">
        <f ca="1">IFERROR(__xludf.DUMMYFUNCTION("""COMPUTED_VALUE"""),0.204924017898872)</f>
        <v>0.20492401789887199</v>
      </c>
      <c r="PA146" s="3">
        <f ca="1">IFERROR(__xludf.DUMMYFUNCTION("""COMPUTED_VALUE"""),0.109325858540214)</f>
        <v>0.109325858540214</v>
      </c>
      <c r="PB146" s="3">
        <f ca="1">IFERROR(__xludf.DUMMYFUNCTION("""COMPUTED_VALUE"""),0.0707330278472828)</f>
        <v>7.0733027847282803E-2</v>
      </c>
      <c r="PC146" s="3">
        <f ca="1">IFERROR(__xludf.DUMMYFUNCTION("""COMPUTED_VALUE"""),-0.0265958701474424)</f>
        <v>-2.6595870147442399E-2</v>
      </c>
      <c r="PD146" s="3">
        <f ca="1">IFERROR(__xludf.DUMMYFUNCTION("""COMPUTED_VALUE"""),-0.051759745605115)</f>
        <v>-5.1759745605115003E-2</v>
      </c>
      <c r="PE146" s="3">
        <f ca="1">IFERROR(__xludf.DUMMYFUNCTION("""COMPUTED_VALUE"""),0.0200002822892573)</f>
        <v>2.00002822892573E-2</v>
      </c>
      <c r="PF146" s="3">
        <f ca="1">IFERROR(__xludf.DUMMYFUNCTION("""COMPUTED_VALUE"""),0.20174116410525)</f>
        <v>0.20174116410525</v>
      </c>
      <c r="PG146" s="3">
        <f ca="1">IFERROR(__xludf.DUMMYFUNCTION("""COMPUTED_VALUE"""),-0.377629476223746)</f>
        <v>-0.37762947622374599</v>
      </c>
      <c r="PH146" s="3">
        <f ca="1">IFERROR(__xludf.DUMMYFUNCTION("""COMPUTED_VALUE"""),0.0568430075596142)</f>
        <v>5.6843007559614203E-2</v>
      </c>
      <c r="PI146" s="3">
        <f ca="1">IFERROR(__xludf.DUMMYFUNCTION("""COMPUTED_VALUE"""),-0.0120682683340822)</f>
        <v>-1.2068268334082199E-2</v>
      </c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</row>
    <row r="147" spans="1:477" ht="13">
      <c r="A147" s="1" t="str">
        <f ca="1">IFERROR(__xludf.DUMMYFUNCTION("""COMPUTED_VALUE"""),"York Region Transit")</f>
        <v>York Region Transit</v>
      </c>
      <c r="B147" s="1" t="str">
        <f ca="1">IFERROR(__xludf.DUMMYFUNCTION("""COMPUTED_VALUE"""),"Toronto")</f>
        <v>Toronto</v>
      </c>
      <c r="C147" s="1" t="str">
        <f ca="1">IFERROR(__xludf.DUMMYFUNCTION("""COMPUTED_VALUE"""),"Canada")</f>
        <v>Canada</v>
      </c>
      <c r="D147" s="1" t="str">
        <f ca="1">IFERROR(__xludf.DUMMYFUNCTION("""COMPUTED_VALUE"""),"Ontario")</f>
        <v>Ontario</v>
      </c>
      <c r="E147" s="3">
        <f ca="1">IFERROR(__xludf.DUMMYFUNCTION("""COMPUTED_VALUE"""),-0.581143165354433)</f>
        <v>-0.581143165354433</v>
      </c>
      <c r="F147" s="3">
        <f ca="1">IFERROR(__xludf.DUMMYFUNCTION("""COMPUTED_VALUE"""),-0.593582080866013)</f>
        <v>-0.59358208086601305</v>
      </c>
      <c r="G147" s="3">
        <f ca="1">IFERROR(__xludf.DUMMYFUNCTION("""COMPUTED_VALUE"""),-0.674383439989536)</f>
        <v>-0.67438343998953598</v>
      </c>
      <c r="H147" s="3">
        <f ca="1">IFERROR(__xludf.DUMMYFUNCTION("""COMPUTED_VALUE"""),-0.657674917922155)</f>
        <v>-0.65767491792215504</v>
      </c>
      <c r="I147" s="3">
        <f ca="1">IFERROR(__xludf.DUMMYFUNCTION("""COMPUTED_VALUE"""),-0.662131420534079)</f>
        <v>-0.66213142053407903</v>
      </c>
      <c r="J147" s="3">
        <f ca="1">IFERROR(__xludf.DUMMYFUNCTION("""COMPUTED_VALUE"""),-0.67012387442549)</f>
        <v>-0.67012387442549004</v>
      </c>
      <c r="K147" s="3">
        <f ca="1">IFERROR(__xludf.DUMMYFUNCTION("""COMPUTED_VALUE"""),-0.611051041276989)</f>
        <v>-0.61105104127698895</v>
      </c>
      <c r="L147" s="3">
        <f ca="1">IFERROR(__xludf.DUMMYFUNCTION("""COMPUTED_VALUE"""),-0.622798501647684)</f>
        <v>-0.62279850164768402</v>
      </c>
      <c r="M147" s="3">
        <f ca="1">IFERROR(__xludf.DUMMYFUNCTION("""COMPUTED_VALUE"""),-0.74194048622319)</f>
        <v>-0.74194048622318998</v>
      </c>
      <c r="N147" s="3">
        <f ca="1">IFERROR(__xludf.DUMMYFUNCTION("""COMPUTED_VALUE"""),-0.622205006267973)</f>
        <v>-0.62220500626797304</v>
      </c>
      <c r="O147" s="3">
        <f ca="1">IFERROR(__xludf.DUMMYFUNCTION("""COMPUTED_VALUE"""),-0.634200586097134)</f>
        <v>-0.63420058609713403</v>
      </c>
      <c r="P147" s="3">
        <f ca="1">IFERROR(__xludf.DUMMYFUNCTION("""COMPUTED_VALUE"""),-0.627091443096026)</f>
        <v>-0.62709144309602605</v>
      </c>
      <c r="Q147" s="3">
        <f ca="1">IFERROR(__xludf.DUMMYFUNCTION("""COMPUTED_VALUE"""),-0.627046703737336)</f>
        <v>-0.62704670373733595</v>
      </c>
      <c r="R147" s="3">
        <f ca="1">IFERROR(__xludf.DUMMYFUNCTION("""COMPUTED_VALUE"""),-0.549868594638402)</f>
        <v>-0.54986859463840199</v>
      </c>
      <c r="S147" s="3">
        <f ca="1">IFERROR(__xludf.DUMMYFUNCTION("""COMPUTED_VALUE"""),-0.535830294506617)</f>
        <v>-0.53583029450661701</v>
      </c>
      <c r="T147" s="3">
        <f ca="1">IFERROR(__xludf.DUMMYFUNCTION("""COMPUTED_VALUE"""),-0.648003188392097)</f>
        <v>-0.64800318839209703</v>
      </c>
      <c r="U147" s="3">
        <f ca="1">IFERROR(__xludf.DUMMYFUNCTION("""COMPUTED_VALUE"""),-0.641693320949231)</f>
        <v>-0.64169332094923104</v>
      </c>
      <c r="V147" s="3">
        <f ca="1">IFERROR(__xludf.DUMMYFUNCTION("""COMPUTED_VALUE"""),-0.659485891410539)</f>
        <v>-0.65948589141053904</v>
      </c>
      <c r="W147" s="3">
        <f ca="1">IFERROR(__xludf.DUMMYFUNCTION("""COMPUTED_VALUE"""),-0.6501180530538)</f>
        <v>-0.65011805305379999</v>
      </c>
      <c r="X147" s="3">
        <f ca="1">IFERROR(__xludf.DUMMYFUNCTION("""COMPUTED_VALUE"""),-0.628441027031915)</f>
        <v>-0.62844102703191496</v>
      </c>
      <c r="Y147" s="3">
        <f ca="1">IFERROR(__xludf.DUMMYFUNCTION("""COMPUTED_VALUE"""),-0.513453429014004)</f>
        <v>-0.51345342901400404</v>
      </c>
      <c r="Z147" s="3">
        <f ca="1">IFERROR(__xludf.DUMMYFUNCTION("""COMPUTED_VALUE"""),-0.505954110986931)</f>
        <v>-0.50595411098693099</v>
      </c>
      <c r="AA147" s="3">
        <f ca="1">IFERROR(__xludf.DUMMYFUNCTION("""COMPUTED_VALUE"""),-0.633634876422208)</f>
        <v>-0.63363487642220795</v>
      </c>
      <c r="AB147" s="3">
        <f ca="1">IFERROR(__xludf.DUMMYFUNCTION("""COMPUTED_VALUE"""),-0.645826025065906)</f>
        <v>-0.64582602506590603</v>
      </c>
      <c r="AC147" s="3">
        <f ca="1">IFERROR(__xludf.DUMMYFUNCTION("""COMPUTED_VALUE"""),-0.64298693569884)</f>
        <v>-0.64298693569884002</v>
      </c>
      <c r="AD147" s="3">
        <f ca="1">IFERROR(__xludf.DUMMYFUNCTION("""COMPUTED_VALUE"""),-0.656019851556893)</f>
        <v>-0.65601985155689302</v>
      </c>
      <c r="AE147" s="3">
        <f ca="1">IFERROR(__xludf.DUMMYFUNCTION("""COMPUTED_VALUE"""),-0.641067607158972)</f>
        <v>-0.64106760715897204</v>
      </c>
      <c r="AF147" s="3">
        <f ca="1">IFERROR(__xludf.DUMMYFUNCTION("""COMPUTED_VALUE"""),-0.524180937686524)</f>
        <v>-0.52418093768652396</v>
      </c>
      <c r="AG147" s="3">
        <f ca="1">IFERROR(__xludf.DUMMYFUNCTION("""COMPUTED_VALUE"""),-0.535457528562146)</f>
        <v>-0.53545752856214601</v>
      </c>
      <c r="AH147" s="3">
        <f ca="1">IFERROR(__xludf.DUMMYFUNCTION("""COMPUTED_VALUE"""),-0.646404956046466)</f>
        <v>-0.64640495604646597</v>
      </c>
      <c r="AI147" s="3">
        <f ca="1">IFERROR(__xludf.DUMMYFUNCTION("""COMPUTED_VALUE"""),-0.65717679663975)</f>
        <v>-0.65717679663975004</v>
      </c>
      <c r="AJ147" s="3">
        <f ca="1">IFERROR(__xludf.DUMMYFUNCTION("""COMPUTED_VALUE"""),-0.644642414793254)</f>
        <v>-0.64464241479325401</v>
      </c>
      <c r="AK147" s="3">
        <f ca="1">IFERROR(__xludf.DUMMYFUNCTION("""COMPUTED_VALUE"""),-0.638220657665492)</f>
        <v>-0.63822065766549196</v>
      </c>
      <c r="AL147" s="3">
        <f ca="1">IFERROR(__xludf.DUMMYFUNCTION("""COMPUTED_VALUE"""),-0.650948568544179)</f>
        <v>-0.65094856854417904</v>
      </c>
      <c r="AM147" s="3">
        <f ca="1">IFERROR(__xludf.DUMMYFUNCTION("""COMPUTED_VALUE"""),-0.558388429843037)</f>
        <v>-0.55838842984303705</v>
      </c>
      <c r="AN147" s="3">
        <f ca="1">IFERROR(__xludf.DUMMYFUNCTION("""COMPUTED_VALUE"""),-0.567700129329022)</f>
        <v>-0.56770012932902203</v>
      </c>
      <c r="AO147" s="3">
        <f ca="1">IFERROR(__xludf.DUMMYFUNCTION("""COMPUTED_VALUE"""),-0.665037548671952)</f>
        <v>-0.66503754867195197</v>
      </c>
      <c r="AP147" s="3">
        <f ca="1">IFERROR(__xludf.DUMMYFUNCTION("""COMPUTED_VALUE"""),-0.668487259616213)</f>
        <v>-0.66848725961621303</v>
      </c>
      <c r="AQ147" s="3">
        <f ca="1">IFERROR(__xludf.DUMMYFUNCTION("""COMPUTED_VALUE"""),-0.656604020619745)</f>
        <v>-0.65660402061974499</v>
      </c>
      <c r="AR147" s="3">
        <f ca="1">IFERROR(__xludf.DUMMYFUNCTION("""COMPUTED_VALUE"""),-0.663987596701363)</f>
        <v>-0.66398759670136298</v>
      </c>
      <c r="AS147" s="3">
        <f ca="1">IFERROR(__xludf.DUMMYFUNCTION("""COMPUTED_VALUE"""),-0.654116145315269)</f>
        <v>-0.65411614531526896</v>
      </c>
      <c r="AT147" s="3">
        <f ca="1">IFERROR(__xludf.DUMMYFUNCTION("""COMPUTED_VALUE"""),-0.566076593352035)</f>
        <v>-0.56607659335203497</v>
      </c>
      <c r="AU147" s="3">
        <f ca="1">IFERROR(__xludf.DUMMYFUNCTION("""COMPUTED_VALUE"""),-0.578316141642241)</f>
        <v>-0.57831614164224099</v>
      </c>
      <c r="AV147" s="3">
        <f ca="1">IFERROR(__xludf.DUMMYFUNCTION("""COMPUTED_VALUE"""),-0.659893215790839)</f>
        <v>-0.65989321579083904</v>
      </c>
      <c r="AW147" s="3">
        <f ca="1">IFERROR(__xludf.DUMMYFUNCTION("""COMPUTED_VALUE"""),-0.673866902222838)</f>
        <v>-0.67386690222283796</v>
      </c>
      <c r="AX147" s="3">
        <f ca="1">IFERROR(__xludf.DUMMYFUNCTION("""COMPUTED_VALUE"""),-0.664254220937941)</f>
        <v>-0.66425422093794095</v>
      </c>
      <c r="AY147" s="3">
        <f ca="1">IFERROR(__xludf.DUMMYFUNCTION("""COMPUTED_VALUE"""),-0.669857400292817)</f>
        <v>-0.66985740029281704</v>
      </c>
      <c r="AZ147" s="3">
        <f ca="1">IFERROR(__xludf.DUMMYFUNCTION("""COMPUTED_VALUE"""),-0.588407892107123)</f>
        <v>-0.58840789210712297</v>
      </c>
      <c r="BA147" s="3">
        <f ca="1">IFERROR(__xludf.DUMMYFUNCTION("""COMPUTED_VALUE"""),-0.607308569981802)</f>
        <v>-0.60730856998180205</v>
      </c>
      <c r="BB147" s="3">
        <f ca="1">IFERROR(__xludf.DUMMYFUNCTION("""COMPUTED_VALUE"""),-0.627857574804463)</f>
        <v>-0.62785757480446303</v>
      </c>
      <c r="BC147" s="3">
        <f ca="1">IFERROR(__xludf.DUMMYFUNCTION("""COMPUTED_VALUE"""),-0.680915376345125)</f>
        <v>-0.680915376345125</v>
      </c>
      <c r="BD147" s="3">
        <f ca="1">IFERROR(__xludf.DUMMYFUNCTION("""COMPUTED_VALUE"""),-0.703543348614373)</f>
        <v>-0.70354334861437295</v>
      </c>
      <c r="BE147" s="3">
        <f ca="1">IFERROR(__xludf.DUMMYFUNCTION("""COMPUTED_VALUE"""),-0.674802287737565)</f>
        <v>-0.67480228773756501</v>
      </c>
      <c r="BF147" s="3">
        <f ca="1">IFERROR(__xludf.DUMMYFUNCTION("""COMPUTED_VALUE"""),-0.6524403304795)</f>
        <v>-0.65244033047950001</v>
      </c>
      <c r="BG147" s="3">
        <f ca="1">IFERROR(__xludf.DUMMYFUNCTION("""COMPUTED_VALUE"""),-0.765405566897026)</f>
        <v>-0.76540556689702599</v>
      </c>
      <c r="BH147" s="3">
        <f ca="1">IFERROR(__xludf.DUMMYFUNCTION("""COMPUTED_VALUE"""),-0.59297840958199)</f>
        <v>-0.59297840958199</v>
      </c>
      <c r="BI147" s="3">
        <f ca="1">IFERROR(__xludf.DUMMYFUNCTION("""COMPUTED_VALUE"""),-0.648180974306928)</f>
        <v>-0.648180974306928</v>
      </c>
      <c r="BJ147" s="3">
        <f ca="1">IFERROR(__xludf.DUMMYFUNCTION("""COMPUTED_VALUE"""),-0.714872098045981)</f>
        <v>-0.71487209804598095</v>
      </c>
      <c r="BK147" s="3">
        <f ca="1">IFERROR(__xludf.DUMMYFUNCTION("""COMPUTED_VALUE"""),-0.739779023552353)</f>
        <v>-0.73977902355235303</v>
      </c>
      <c r="BL147" s="3">
        <f ca="1">IFERROR(__xludf.DUMMYFUNCTION("""COMPUTED_VALUE"""),-0.741598906069077)</f>
        <v>-0.74159890606907697</v>
      </c>
      <c r="BM147" s="3">
        <f ca="1">IFERROR(__xludf.DUMMYFUNCTION("""COMPUTED_VALUE"""),-0.72578582981433)</f>
        <v>-0.72578582981433004</v>
      </c>
      <c r="BN147" s="3">
        <f ca="1">IFERROR(__xludf.DUMMYFUNCTION("""COMPUTED_VALUE"""),-0.679098823110791)</f>
        <v>-0.67909882311079095</v>
      </c>
      <c r="BO147" s="3">
        <f ca="1">IFERROR(__xludf.DUMMYFUNCTION("""COMPUTED_VALUE"""),-0.645200611954792)</f>
        <v>-0.64520061195479195</v>
      </c>
      <c r="BP147" s="3">
        <f ca="1">IFERROR(__xludf.DUMMYFUNCTION("""COMPUTED_VALUE"""),-0.64942981734491)</f>
        <v>-0.64942981734491001</v>
      </c>
      <c r="BQ147" s="3">
        <f ca="1">IFERROR(__xludf.DUMMYFUNCTION("""COMPUTED_VALUE"""),-0.722216132847946)</f>
        <v>-0.72221613284794595</v>
      </c>
      <c r="BR147" s="3">
        <f ca="1">IFERROR(__xludf.DUMMYFUNCTION("""COMPUTED_VALUE"""),-0.736170948739606)</f>
        <v>-0.73617094873960598</v>
      </c>
      <c r="BS147" s="3">
        <f ca="1">IFERROR(__xludf.DUMMYFUNCTION("""COMPUTED_VALUE"""),-0.751691154733027)</f>
        <v>-0.75169115473302694</v>
      </c>
      <c r="BT147" s="3">
        <f ca="1">IFERROR(__xludf.DUMMYFUNCTION("""COMPUTED_VALUE"""),-0.739395140985368)</f>
        <v>-0.73939514098536796</v>
      </c>
      <c r="BU147" s="3">
        <f ca="1">IFERROR(__xludf.DUMMYFUNCTION("""COMPUTED_VALUE"""),-0.736348213990111)</f>
        <v>-0.73634821399011097</v>
      </c>
      <c r="BV147" s="3">
        <f ca="1">IFERROR(__xludf.DUMMYFUNCTION("""COMPUTED_VALUE"""),-0.655331246795414)</f>
        <v>-0.65533124679541399</v>
      </c>
      <c r="BW147" s="3">
        <f ca="1">IFERROR(__xludf.DUMMYFUNCTION("""COMPUTED_VALUE"""),-0.657583018488912)</f>
        <v>-0.65758301848891199</v>
      </c>
      <c r="BX147" s="3">
        <f ca="1">IFERROR(__xludf.DUMMYFUNCTION("""COMPUTED_VALUE"""),-0.750262925184324)</f>
        <v>-0.75026292518432403</v>
      </c>
      <c r="BY147" s="3">
        <f ca="1">IFERROR(__xludf.DUMMYFUNCTION("""COMPUTED_VALUE"""),-0.763141563423767)</f>
        <v>-0.76314156342376704</v>
      </c>
      <c r="BZ147" s="3">
        <f ca="1">IFERROR(__xludf.DUMMYFUNCTION("""COMPUTED_VALUE"""),-0.756535616832747)</f>
        <v>-0.75653561683274695</v>
      </c>
      <c r="CA147" s="3">
        <f ca="1">IFERROR(__xludf.DUMMYFUNCTION("""COMPUTED_VALUE"""),-0.756381153589947)</f>
        <v>-0.75638115358994695</v>
      </c>
      <c r="CB147" s="3">
        <f ca="1">IFERROR(__xludf.DUMMYFUNCTION("""COMPUTED_VALUE"""),-0.74142985166034)</f>
        <v>-0.74142985166034003</v>
      </c>
      <c r="CC147" s="3">
        <f ca="1">IFERROR(__xludf.DUMMYFUNCTION("""COMPUTED_VALUE"""),-0.664982376264539)</f>
        <v>-0.66498237626453904</v>
      </c>
      <c r="CD147" s="3">
        <f ca="1">IFERROR(__xludf.DUMMYFUNCTION("""COMPUTED_VALUE"""),-0.668537651936141)</f>
        <v>-0.66853765193614101</v>
      </c>
      <c r="CE147" s="3">
        <f ca="1">IFERROR(__xludf.DUMMYFUNCTION("""COMPUTED_VALUE"""),-0.74939311383278)</f>
        <v>-0.74939311383277996</v>
      </c>
      <c r="CF147" s="3">
        <f ca="1">IFERROR(__xludf.DUMMYFUNCTION("""COMPUTED_VALUE"""),-0.756577473244267)</f>
        <v>-0.75657747324426705</v>
      </c>
      <c r="CG147" s="3">
        <f ca="1">IFERROR(__xludf.DUMMYFUNCTION("""COMPUTED_VALUE"""),-0.756292645285271)</f>
        <v>-0.75629264528527096</v>
      </c>
      <c r="CH147" s="3">
        <f ca="1">IFERROR(__xludf.DUMMYFUNCTION("""COMPUTED_VALUE"""),-0.754129067670764)</f>
        <v>-0.75412906767076404</v>
      </c>
      <c r="CI147" s="3">
        <f ca="1">IFERROR(__xludf.DUMMYFUNCTION("""COMPUTED_VALUE"""),-0.746868257352654)</f>
        <v>-0.74686825735265405</v>
      </c>
      <c r="CJ147" s="3">
        <f ca="1">IFERROR(__xludf.DUMMYFUNCTION("""COMPUTED_VALUE"""),-0.658610549553238)</f>
        <v>-0.65861054955323795</v>
      </c>
      <c r="CK147" s="3">
        <f ca="1">IFERROR(__xludf.DUMMYFUNCTION("""COMPUTED_VALUE"""),-0.643288388675679)</f>
        <v>-0.64328838867567895</v>
      </c>
      <c r="CL147" s="3">
        <f ca="1">IFERROR(__xludf.DUMMYFUNCTION("""COMPUTED_VALUE"""),-0.74175994255851)</f>
        <v>-0.74175994255850997</v>
      </c>
      <c r="CM147" s="3">
        <f ca="1">IFERROR(__xludf.DUMMYFUNCTION("""COMPUTED_VALUE"""),-0.742546683305437)</f>
        <v>-0.74254668330543705</v>
      </c>
      <c r="CN147" s="3">
        <f ca="1">IFERROR(__xludf.DUMMYFUNCTION("""COMPUTED_VALUE"""),-0.741513200582288)</f>
        <v>-0.74151320058228798</v>
      </c>
      <c r="CO147" s="3">
        <f ca="1">IFERROR(__xludf.DUMMYFUNCTION("""COMPUTED_VALUE"""),-0.745177915690026)</f>
        <v>-0.745177915690026</v>
      </c>
      <c r="CP147" s="3">
        <f ca="1">IFERROR(__xludf.DUMMYFUNCTION("""COMPUTED_VALUE"""),-0.737911685880077)</f>
        <v>-0.73791168588007705</v>
      </c>
      <c r="CQ147" s="3">
        <f ca="1">IFERROR(__xludf.DUMMYFUNCTION("""COMPUTED_VALUE"""),-0.627323640404736)</f>
        <v>-0.62732364040473598</v>
      </c>
      <c r="CR147" s="3">
        <f ca="1">IFERROR(__xludf.DUMMYFUNCTION("""COMPUTED_VALUE"""),-0.605911240217931)</f>
        <v>-0.60591124021793097</v>
      </c>
      <c r="CS147" s="3">
        <f ca="1">IFERROR(__xludf.DUMMYFUNCTION("""COMPUTED_VALUE"""),-0.707393449831105)</f>
        <v>-0.70739344983110497</v>
      </c>
      <c r="CT147" s="3">
        <f ca="1">IFERROR(__xludf.DUMMYFUNCTION("""COMPUTED_VALUE"""),-0.705119517503923)</f>
        <v>-0.70511951750392299</v>
      </c>
      <c r="CU147" s="3">
        <f ca="1">IFERROR(__xludf.DUMMYFUNCTION("""COMPUTED_VALUE"""),-0.672873552635531)</f>
        <v>-0.67287355263553095</v>
      </c>
      <c r="CV147" s="3">
        <f ca="1">IFERROR(__xludf.DUMMYFUNCTION("""COMPUTED_VALUE"""),-0.69500152180365)</f>
        <v>-0.69500152180365005</v>
      </c>
      <c r="CW147" s="3">
        <f ca="1">IFERROR(__xludf.DUMMYFUNCTION("""COMPUTED_VALUE"""),-0.694061256928522)</f>
        <v>-0.69406125692852205</v>
      </c>
      <c r="CX147" s="3">
        <f ca="1">IFERROR(__xludf.DUMMYFUNCTION("""COMPUTED_VALUE"""),-0.633311410126981)</f>
        <v>-0.633311410126981</v>
      </c>
      <c r="CY147" s="3">
        <f ca="1">IFERROR(__xludf.DUMMYFUNCTION("""COMPUTED_VALUE"""),-0.700414676589856)</f>
        <v>-0.70041467658985601</v>
      </c>
      <c r="CZ147" s="3">
        <f ca="1">IFERROR(__xludf.DUMMYFUNCTION("""COMPUTED_VALUE"""),-0.829119278467141)</f>
        <v>-0.82911927846714095</v>
      </c>
      <c r="DA147" s="3">
        <f ca="1">IFERROR(__xludf.DUMMYFUNCTION("""COMPUTED_VALUE"""),-0.685385083440165)</f>
        <v>-0.68538508344016502</v>
      </c>
      <c r="DB147" s="3">
        <f ca="1">IFERROR(__xludf.DUMMYFUNCTION("""COMPUTED_VALUE"""),-0.574093374306376)</f>
        <v>-0.57409337430637597</v>
      </c>
      <c r="DC147" s="3">
        <f ca="1">IFERROR(__xludf.DUMMYFUNCTION("""COMPUTED_VALUE"""),-0.699106311554735)</f>
        <v>-0.69910631155473502</v>
      </c>
      <c r="DD147" s="3">
        <f ca="1">IFERROR(__xludf.DUMMYFUNCTION("""COMPUTED_VALUE"""),-0.744785770537564)</f>
        <v>-0.74478577053756401</v>
      </c>
      <c r="DE147" s="3">
        <f ca="1">IFERROR(__xludf.DUMMYFUNCTION("""COMPUTED_VALUE"""),-0.646971176111175)</f>
        <v>-0.64697117611117505</v>
      </c>
      <c r="DF147" s="3">
        <f ca="1">IFERROR(__xludf.DUMMYFUNCTION("""COMPUTED_VALUE"""),-0.725108543965589)</f>
        <v>-0.72510854396558899</v>
      </c>
      <c r="DG147" s="3">
        <f ca="1">IFERROR(__xludf.DUMMYFUNCTION("""COMPUTED_VALUE"""),-0.832610594155815)</f>
        <v>-0.83261059415581495</v>
      </c>
      <c r="DH147" s="3">
        <f ca="1">IFERROR(__xludf.DUMMYFUNCTION("""COMPUTED_VALUE"""),-0.633956650481873)</f>
        <v>-0.633956650481873</v>
      </c>
      <c r="DI147" s="3">
        <f ca="1">IFERROR(__xludf.DUMMYFUNCTION("""COMPUTED_VALUE"""),-0.374361519815381)</f>
        <v>-0.37436151981538102</v>
      </c>
      <c r="DJ147" s="3">
        <f ca="1">IFERROR(__xludf.DUMMYFUNCTION("""COMPUTED_VALUE"""),-0.552639059875439)</f>
        <v>-0.55263905987543904</v>
      </c>
      <c r="DK147" s="3">
        <f ca="1">IFERROR(__xludf.DUMMYFUNCTION("""COMPUTED_VALUE"""),-0.5700682546381)</f>
        <v>-0.57006825463809996</v>
      </c>
      <c r="DL147" s="3">
        <f ca="1">IFERROR(__xludf.DUMMYFUNCTION("""COMPUTED_VALUE"""),-0.54165142517748)</f>
        <v>-0.54165142517747999</v>
      </c>
      <c r="DM147" s="3">
        <f ca="1">IFERROR(__xludf.DUMMYFUNCTION("""COMPUTED_VALUE"""),-0.583106057638776)</f>
        <v>-0.58310605763877599</v>
      </c>
      <c r="DN147" s="3">
        <f ca="1">IFERROR(__xludf.DUMMYFUNCTION("""COMPUTED_VALUE"""),-0.623224816608955)</f>
        <v>-0.62322481660895501</v>
      </c>
      <c r="DO147" s="3">
        <f ca="1">IFERROR(__xludf.DUMMYFUNCTION("""COMPUTED_VALUE"""),-0.600857354837736)</f>
        <v>-0.60085735483773595</v>
      </c>
      <c r="DP147" s="3">
        <f ca="1">IFERROR(__xludf.DUMMYFUNCTION("""COMPUTED_VALUE"""),-0.569882937084175)</f>
        <v>-0.56988293708417503</v>
      </c>
      <c r="DQ147" s="3">
        <f ca="1">IFERROR(__xludf.DUMMYFUNCTION("""COMPUTED_VALUE"""),-0.598567188207059)</f>
        <v>-0.59856718820705901</v>
      </c>
      <c r="DR147" s="3">
        <f ca="1">IFERROR(__xludf.DUMMYFUNCTION("""COMPUTED_VALUE"""),-0.631407537535698)</f>
        <v>-0.631407537535698</v>
      </c>
      <c r="DS147" s="3">
        <f ca="1">IFERROR(__xludf.DUMMYFUNCTION("""COMPUTED_VALUE"""),-0.555907525680118)</f>
        <v>-0.55590752568011803</v>
      </c>
      <c r="DT147" s="3">
        <f ca="1">IFERROR(__xludf.DUMMYFUNCTION("""COMPUTED_VALUE"""),-0.582667255843291)</f>
        <v>-0.58266725584329104</v>
      </c>
      <c r="DU147" s="3">
        <f ca="1">IFERROR(__xludf.DUMMYFUNCTION("""COMPUTED_VALUE"""),-0.629670687146391)</f>
        <v>-0.62967068714639096</v>
      </c>
      <c r="DV147" s="3">
        <f ca="1">IFERROR(__xludf.DUMMYFUNCTION("""COMPUTED_VALUE"""),-0.601753882092323)</f>
        <v>-0.60175388209232294</v>
      </c>
      <c r="DW147" s="3">
        <f ca="1">IFERROR(__xludf.DUMMYFUNCTION("""COMPUTED_VALUE"""),-0.619274445607443)</f>
        <v>-0.61927444560744305</v>
      </c>
      <c r="DX147" s="3">
        <f ca="1">IFERROR(__xludf.DUMMYFUNCTION("""COMPUTED_VALUE"""),-0.642391638831541)</f>
        <v>-0.64239163883154105</v>
      </c>
      <c r="DY147" s="3">
        <f ca="1">IFERROR(__xludf.DUMMYFUNCTION("""COMPUTED_VALUE"""),-0.658510819669857)</f>
        <v>-0.65851081966985703</v>
      </c>
      <c r="DZ147" s="3">
        <f ca="1">IFERROR(__xludf.DUMMYFUNCTION("""COMPUTED_VALUE"""),-0.583437695204035)</f>
        <v>-0.58343769520403499</v>
      </c>
      <c r="EA147" s="3">
        <f ca="1">IFERROR(__xludf.DUMMYFUNCTION("""COMPUTED_VALUE"""),-0.588767869149604)</f>
        <v>-0.588767869149604</v>
      </c>
      <c r="EB147" s="3">
        <f ca="1">IFERROR(__xludf.DUMMYFUNCTION("""COMPUTED_VALUE"""),-0.661084980938616)</f>
        <v>-0.66108498093861601</v>
      </c>
      <c r="EC147" s="3">
        <f ca="1">IFERROR(__xludf.DUMMYFUNCTION("""COMPUTED_VALUE"""),-0.657238009224592)</f>
        <v>-0.65723800922459197</v>
      </c>
      <c r="ED147" s="3">
        <f ca="1">IFERROR(__xludf.DUMMYFUNCTION("""COMPUTED_VALUE"""),-0.657720433757878)</f>
        <v>-0.65772043375787803</v>
      </c>
      <c r="EE147" s="3">
        <f ca="1">IFERROR(__xludf.DUMMYFUNCTION("""COMPUTED_VALUE"""),-0.656621780290254)</f>
        <v>-0.65662178029025398</v>
      </c>
      <c r="EF147" s="3">
        <f ca="1">IFERROR(__xludf.DUMMYFUNCTION("""COMPUTED_VALUE"""),-0.664842504714798)</f>
        <v>-0.664842504714798</v>
      </c>
      <c r="EG147" s="3">
        <f ca="1">IFERROR(__xludf.DUMMYFUNCTION("""COMPUTED_VALUE"""),-0.546519335375207)</f>
        <v>-0.54651933537520703</v>
      </c>
      <c r="EH147" s="3">
        <f ca="1">IFERROR(__xludf.DUMMYFUNCTION("""COMPUTED_VALUE"""),-0.572222296451514)</f>
        <v>-0.57222229645151401</v>
      </c>
      <c r="EI147" s="3">
        <f ca="1">IFERROR(__xludf.DUMMYFUNCTION("""COMPUTED_VALUE"""),-0.650134313242925)</f>
        <v>-0.65013431324292503</v>
      </c>
      <c r="EJ147" s="3">
        <f ca="1">IFERROR(__xludf.DUMMYFUNCTION("""COMPUTED_VALUE"""),-0.664578526228326)</f>
        <v>-0.66457852622832603</v>
      </c>
      <c r="EK147" s="3">
        <f ca="1">IFERROR(__xludf.DUMMYFUNCTION("""COMPUTED_VALUE"""),-0.662207230458317)</f>
        <v>-0.66220723045831698</v>
      </c>
      <c r="EL147" s="3">
        <f ca="1">IFERROR(__xludf.DUMMYFUNCTION("""COMPUTED_VALUE"""),-0.683490772132989)</f>
        <v>-0.68349077213298903</v>
      </c>
      <c r="EM147" s="3">
        <f ca="1">IFERROR(__xludf.DUMMYFUNCTION("""COMPUTED_VALUE"""),-0.676678075689154)</f>
        <v>-0.67667807568915395</v>
      </c>
      <c r="EN147" s="3">
        <f ca="1">IFERROR(__xludf.DUMMYFUNCTION("""COMPUTED_VALUE"""),-0.526740754672043)</f>
        <v>-0.52674075467204295</v>
      </c>
      <c r="EO147" s="3">
        <f ca="1">IFERROR(__xludf.DUMMYFUNCTION("""COMPUTED_VALUE"""),-0.553425580186075)</f>
        <v>-0.55342558018607502</v>
      </c>
      <c r="EP147" s="3">
        <f ca="1">IFERROR(__xludf.DUMMYFUNCTION("""COMPUTED_VALUE"""),-0.643900997601073)</f>
        <v>-0.643900997601073</v>
      </c>
      <c r="EQ147" s="3">
        <f ca="1">IFERROR(__xludf.DUMMYFUNCTION("""COMPUTED_VALUE"""),-0.680293068801168)</f>
        <v>-0.68029306880116802</v>
      </c>
      <c r="ER147" s="3">
        <f ca="1">IFERROR(__xludf.DUMMYFUNCTION("""COMPUTED_VALUE"""),-0.679450536403889)</f>
        <v>-0.67945053640388897</v>
      </c>
      <c r="ES147" s="3">
        <f ca="1">IFERROR(__xludf.DUMMYFUNCTION("""COMPUTED_VALUE"""),-0.680322126922613)</f>
        <v>-0.68032212692261296</v>
      </c>
      <c r="ET147" s="3">
        <f ca="1">IFERROR(__xludf.DUMMYFUNCTION("""COMPUTED_VALUE"""),-0.672586234333994)</f>
        <v>-0.672586234333994</v>
      </c>
      <c r="EU147" s="3">
        <f ca="1">IFERROR(__xludf.DUMMYFUNCTION("""COMPUTED_VALUE"""),-0.615177445914827)</f>
        <v>-0.61517744591482704</v>
      </c>
      <c r="EV147" s="3">
        <f ca="1">IFERROR(__xludf.DUMMYFUNCTION("""COMPUTED_VALUE"""),-0.568052207977306)</f>
        <v>-0.56805220797730605</v>
      </c>
      <c r="EW147" s="3">
        <f ca="1">IFERROR(__xludf.DUMMYFUNCTION("""COMPUTED_VALUE"""),-0.632228021807396)</f>
        <v>-0.63222802180739601</v>
      </c>
      <c r="EX147" s="3">
        <f ca="1">IFERROR(__xludf.DUMMYFUNCTION("""COMPUTED_VALUE"""),-0.653797330494551)</f>
        <v>-0.65379733049455102</v>
      </c>
      <c r="EY147" s="3">
        <f ca="1">IFERROR(__xludf.DUMMYFUNCTION("""COMPUTED_VALUE"""),-0.661602305847578)</f>
        <v>-0.66160230584757795</v>
      </c>
      <c r="EZ147" s="3">
        <f ca="1">IFERROR(__xludf.DUMMYFUNCTION("""COMPUTED_VALUE"""),-0.665742374833606)</f>
        <v>-0.66574237483360599</v>
      </c>
      <c r="FA147" s="3">
        <f ca="1">IFERROR(__xludf.DUMMYFUNCTION("""COMPUTED_VALUE"""),-0.650830684807585)</f>
        <v>-0.65083068480758499</v>
      </c>
      <c r="FB147" s="3">
        <f ca="1">IFERROR(__xludf.DUMMYFUNCTION("""COMPUTED_VALUE"""),-0.514398132070899)</f>
        <v>-0.51439813207089902</v>
      </c>
      <c r="FC147" s="3">
        <f ca="1">IFERROR(__xludf.DUMMYFUNCTION("""COMPUTED_VALUE"""),-0.511965845255338)</f>
        <v>-0.51196584525533795</v>
      </c>
      <c r="FD147" s="3">
        <f ca="1">IFERROR(__xludf.DUMMYFUNCTION("""COMPUTED_VALUE"""),-0.604891712865849)</f>
        <v>-0.60489171286584897</v>
      </c>
      <c r="FE147" s="3">
        <f ca="1">IFERROR(__xludf.DUMMYFUNCTION("""COMPUTED_VALUE"""),-0.653012030305035)</f>
        <v>-0.65301203030503496</v>
      </c>
      <c r="FF147" s="3">
        <f ca="1">IFERROR(__xludf.DUMMYFUNCTION("""COMPUTED_VALUE"""),-0.649684933837116)</f>
        <v>-0.64968493383711601</v>
      </c>
      <c r="FG147" s="3">
        <f ca="1">IFERROR(__xludf.DUMMYFUNCTION("""COMPUTED_VALUE"""),-0.672548604642462)</f>
        <v>-0.67254860464246202</v>
      </c>
      <c r="FH147" s="3">
        <f ca="1">IFERROR(__xludf.DUMMYFUNCTION("""COMPUTED_VALUE"""),-0.64415921601096)</f>
        <v>-0.64415921601096005</v>
      </c>
      <c r="FI147" s="3">
        <f ca="1">IFERROR(__xludf.DUMMYFUNCTION("""COMPUTED_VALUE"""),-0.556258535800629)</f>
        <v>-0.55625853580062901</v>
      </c>
      <c r="FJ147" s="3">
        <f ca="1">IFERROR(__xludf.DUMMYFUNCTION("""COMPUTED_VALUE"""),-0.53380124284173)</f>
        <v>-0.53380124284173003</v>
      </c>
      <c r="FK147" s="3">
        <f ca="1">IFERROR(__xludf.DUMMYFUNCTION("""COMPUTED_VALUE"""),-0.623000480371579)</f>
        <v>-0.62300048037157896</v>
      </c>
      <c r="FL147" s="3">
        <f ca="1">IFERROR(__xludf.DUMMYFUNCTION("""COMPUTED_VALUE"""),-0.644424721346214)</f>
        <v>-0.64442472134621398</v>
      </c>
      <c r="FM147" s="3">
        <f ca="1">IFERROR(__xludf.DUMMYFUNCTION("""COMPUTED_VALUE"""),-0.646594686891194)</f>
        <v>-0.64659468689119404</v>
      </c>
      <c r="FN147" s="3">
        <f ca="1">IFERROR(__xludf.DUMMYFUNCTION("""COMPUTED_VALUE"""),-0.656221366171902)</f>
        <v>-0.65622136617190197</v>
      </c>
      <c r="FO147" s="3">
        <f ca="1">IFERROR(__xludf.DUMMYFUNCTION("""COMPUTED_VALUE"""),-0.653290278042117)</f>
        <v>-0.65329027804211703</v>
      </c>
      <c r="FP147" s="3">
        <f ca="1">IFERROR(__xludf.DUMMYFUNCTION("""COMPUTED_VALUE"""),-0.546250548001225)</f>
        <v>-0.54625054800122497</v>
      </c>
      <c r="FQ147" s="3">
        <f ca="1">IFERROR(__xludf.DUMMYFUNCTION("""COMPUTED_VALUE"""),-0.552456169695215)</f>
        <v>-0.55245616969521505</v>
      </c>
      <c r="FR147" s="3">
        <f ca="1">IFERROR(__xludf.DUMMYFUNCTION("""COMPUTED_VALUE"""),-0.608588732562696)</f>
        <v>-0.60858873256269597</v>
      </c>
      <c r="FS147" s="3">
        <f ca="1">IFERROR(__xludf.DUMMYFUNCTION("""COMPUTED_VALUE"""),-0.64471441431434)</f>
        <v>-0.64471441431433996</v>
      </c>
      <c r="FT147" s="3">
        <f ca="1">IFERROR(__xludf.DUMMYFUNCTION("""COMPUTED_VALUE"""),-0.634685334480225)</f>
        <v>-0.63468533448022502</v>
      </c>
      <c r="FU147" s="3">
        <f ca="1">IFERROR(__xludf.DUMMYFUNCTION("""COMPUTED_VALUE"""),-0.618543460587183)</f>
        <v>-0.61854346058718301</v>
      </c>
      <c r="FV147" s="3">
        <f ca="1">IFERROR(__xludf.DUMMYFUNCTION("""COMPUTED_VALUE"""),-0.552442567832577)</f>
        <v>-0.55244256783257695</v>
      </c>
      <c r="FW147" s="3">
        <f ca="1">IFERROR(__xludf.DUMMYFUNCTION("""COMPUTED_VALUE"""),-0.551382406379154)</f>
        <v>-0.55138240637915403</v>
      </c>
      <c r="FX147" s="3">
        <f ca="1">IFERROR(__xludf.DUMMYFUNCTION("""COMPUTED_VALUE"""),-0.533884583169956)</f>
        <v>-0.53388458316995602</v>
      </c>
      <c r="FY147" s="3">
        <f ca="1">IFERROR(__xludf.DUMMYFUNCTION("""COMPUTED_VALUE"""),-0.604492544441979)</f>
        <v>-0.60449254444197897</v>
      </c>
      <c r="FZ147" s="3">
        <f ca="1">IFERROR(__xludf.DUMMYFUNCTION("""COMPUTED_VALUE"""),-0.630828281669048)</f>
        <v>-0.63082828166904803</v>
      </c>
      <c r="GA147" s="3">
        <f ca="1">IFERROR(__xludf.DUMMYFUNCTION("""COMPUTED_VALUE"""),-0.618480080520677)</f>
        <v>-0.61848008052067704</v>
      </c>
      <c r="GB147" s="3">
        <f ca="1">IFERROR(__xludf.DUMMYFUNCTION("""COMPUTED_VALUE"""),-0.644553306733109)</f>
        <v>-0.64455330673310895</v>
      </c>
      <c r="GC147" s="3">
        <f ca="1">IFERROR(__xludf.DUMMYFUNCTION("""COMPUTED_VALUE"""),-0.725437559304017)</f>
        <v>-0.72543755930401699</v>
      </c>
      <c r="GD147" s="3">
        <f ca="1">IFERROR(__xludf.DUMMYFUNCTION("""COMPUTED_VALUE"""),-0.564929792255896)</f>
        <v>-0.56492979225589601</v>
      </c>
      <c r="GE147" s="3">
        <f ca="1">IFERROR(__xludf.DUMMYFUNCTION("""COMPUTED_VALUE"""),-0.568384344392006)</f>
        <v>-0.56838434439200602</v>
      </c>
      <c r="GF147" s="3">
        <f ca="1">IFERROR(__xludf.DUMMYFUNCTION("""COMPUTED_VALUE"""),-0.615056750771527)</f>
        <v>-0.61505675077152699</v>
      </c>
      <c r="GG147" s="3">
        <f ca="1">IFERROR(__xludf.DUMMYFUNCTION("""COMPUTED_VALUE"""),-0.644139903946038)</f>
        <v>-0.64413990394603804</v>
      </c>
      <c r="GH147" s="3">
        <f ca="1">IFERROR(__xludf.DUMMYFUNCTION("""COMPUTED_VALUE"""),-0.615900667746676)</f>
        <v>-0.61590066774667596</v>
      </c>
      <c r="GI147" s="3">
        <f ca="1">IFERROR(__xludf.DUMMYFUNCTION("""COMPUTED_VALUE"""),-0.612089205387943)</f>
        <v>-0.61208920538794298</v>
      </c>
      <c r="GJ147" s="3">
        <f ca="1">IFERROR(__xludf.DUMMYFUNCTION("""COMPUTED_VALUE"""),-0.518739147142431)</f>
        <v>-0.51873914714243097</v>
      </c>
      <c r="GK147" s="3">
        <f ca="1">IFERROR(__xludf.DUMMYFUNCTION("""COMPUTED_VALUE"""),-0.575569217209869)</f>
        <v>-0.57556921720986898</v>
      </c>
      <c r="GL147" s="3">
        <f ca="1">IFERROR(__xludf.DUMMYFUNCTION("""COMPUTED_VALUE"""),-0.531210843059323)</f>
        <v>-0.53121084305932298</v>
      </c>
      <c r="GM147" s="3">
        <f ca="1">IFERROR(__xludf.DUMMYFUNCTION("""COMPUTED_VALUE"""),-0.617453444275313)</f>
        <v>-0.61745344427531301</v>
      </c>
      <c r="GN147" s="3">
        <f ca="1">IFERROR(__xludf.DUMMYFUNCTION("""COMPUTED_VALUE"""),-0.640498592281069)</f>
        <v>-0.64049859228106898</v>
      </c>
      <c r="GO147" s="3">
        <f ca="1">IFERROR(__xludf.DUMMYFUNCTION("""COMPUTED_VALUE"""),-0.644107388433979)</f>
        <v>-0.64410738843397897</v>
      </c>
      <c r="GP147" s="3">
        <f ca="1">IFERROR(__xludf.DUMMYFUNCTION("""COMPUTED_VALUE"""),-0.639840278844489)</f>
        <v>-0.63984027884448902</v>
      </c>
      <c r="GQ147" s="3">
        <f ca="1">IFERROR(__xludf.DUMMYFUNCTION("""COMPUTED_VALUE"""),-0.59198822900057)</f>
        <v>-0.59198822900057002</v>
      </c>
      <c r="GR147" s="3">
        <f ca="1">IFERROR(__xludf.DUMMYFUNCTION("""COMPUTED_VALUE"""),-0.515293680641717)</f>
        <v>-0.51529368064171699</v>
      </c>
      <c r="GS147" s="3">
        <f ca="1">IFERROR(__xludf.DUMMYFUNCTION("""COMPUTED_VALUE"""),-0.484244029495543)</f>
        <v>-0.48424402949554302</v>
      </c>
      <c r="GT147" s="3">
        <f ca="1">IFERROR(__xludf.DUMMYFUNCTION("""COMPUTED_VALUE"""),-0.60237800968359)</f>
        <v>-0.60237800968359001</v>
      </c>
      <c r="GU147" s="3">
        <f ca="1">IFERROR(__xludf.DUMMYFUNCTION("""COMPUTED_VALUE"""),-0.616081441075708)</f>
        <v>-0.61608144107570795</v>
      </c>
      <c r="GV147" s="3">
        <f ca="1">IFERROR(__xludf.DUMMYFUNCTION("""COMPUTED_VALUE"""),-0.616017766222091)</f>
        <v>-0.61601776622209103</v>
      </c>
      <c r="GW147" s="3">
        <f ca="1">IFERROR(__xludf.DUMMYFUNCTION("""COMPUTED_VALUE"""),-0.619787560428963)</f>
        <v>-0.61978756042896299</v>
      </c>
      <c r="GX147" s="3">
        <f ca="1">IFERROR(__xludf.DUMMYFUNCTION("""COMPUTED_VALUE"""),-0.596107405656211)</f>
        <v>-0.59610740565621101</v>
      </c>
      <c r="GY147" s="3">
        <f ca="1">IFERROR(__xludf.DUMMYFUNCTION("""COMPUTED_VALUE"""),-0.494908596237845)</f>
        <v>-0.494908596237845</v>
      </c>
      <c r="GZ147" s="3">
        <f ca="1">IFERROR(__xludf.DUMMYFUNCTION("""COMPUTED_VALUE"""),-0.497304860869425)</f>
        <v>-0.49730486086942499</v>
      </c>
      <c r="HA147" s="3">
        <f ca="1">IFERROR(__xludf.DUMMYFUNCTION("""COMPUTED_VALUE"""),-0.597765371511003)</f>
        <v>-0.59776537151100295</v>
      </c>
      <c r="HB147" s="3">
        <f ca="1">IFERROR(__xludf.DUMMYFUNCTION("""COMPUTED_VALUE"""),-0.615009032302668)</f>
        <v>-0.61500903230266801</v>
      </c>
      <c r="HC147" s="3">
        <f ca="1">IFERROR(__xludf.DUMMYFUNCTION("""COMPUTED_VALUE"""),-0.614236091462254)</f>
        <v>-0.614236091462254</v>
      </c>
      <c r="HD147" s="3">
        <f ca="1">IFERROR(__xludf.DUMMYFUNCTION("""COMPUTED_VALUE"""),-0.620305635390826)</f>
        <v>-0.62030563539082595</v>
      </c>
      <c r="HE147" s="3">
        <f ca="1">IFERROR(__xludf.DUMMYFUNCTION("""COMPUTED_VALUE"""),-0.589176428537241)</f>
        <v>-0.58917642853724095</v>
      </c>
      <c r="HF147" s="3">
        <f ca="1">IFERROR(__xludf.DUMMYFUNCTION("""COMPUTED_VALUE"""),-0.456362025106023)</f>
        <v>-0.45636202510602297</v>
      </c>
      <c r="HG147" s="3">
        <f ca="1">IFERROR(__xludf.DUMMYFUNCTION("""COMPUTED_VALUE"""),-0.474236098767467)</f>
        <v>-0.47423609876746697</v>
      </c>
      <c r="HH147" s="3">
        <f ca="1">IFERROR(__xludf.DUMMYFUNCTION("""COMPUTED_VALUE"""),-0.603320706202352)</f>
        <v>-0.60332070620235201</v>
      </c>
      <c r="HI147" s="3">
        <f ca="1">IFERROR(__xludf.DUMMYFUNCTION("""COMPUTED_VALUE"""),-0.637669798342216)</f>
        <v>-0.63766979834221604</v>
      </c>
      <c r="HJ147" s="3">
        <f ca="1">IFERROR(__xludf.DUMMYFUNCTION("""COMPUTED_VALUE"""),-0.63646117117792)</f>
        <v>-0.63646117117792</v>
      </c>
      <c r="HK147" s="3">
        <f ca="1">IFERROR(__xludf.DUMMYFUNCTION("""COMPUTED_VALUE"""),-0.649910876849438)</f>
        <v>-0.64991087684943805</v>
      </c>
      <c r="HL147" s="3">
        <f ca="1">IFERROR(__xludf.DUMMYFUNCTION("""COMPUTED_VALUE"""),-0.716061534877481)</f>
        <v>-0.71606153487748103</v>
      </c>
      <c r="HM147" s="3">
        <f ca="1">IFERROR(__xludf.DUMMYFUNCTION("""COMPUTED_VALUE"""),-0.420140188124693)</f>
        <v>-0.420140188124693</v>
      </c>
      <c r="HN147" s="3">
        <f ca="1">IFERROR(__xludf.DUMMYFUNCTION("""COMPUTED_VALUE"""),-0.45953258991223)</f>
        <v>-0.45953258991223001</v>
      </c>
      <c r="HO147" s="3">
        <f ca="1">IFERROR(__xludf.DUMMYFUNCTION("""COMPUTED_VALUE"""),-0.582067789947869)</f>
        <v>-0.58206778994786901</v>
      </c>
      <c r="HP147" s="3">
        <f ca="1">IFERROR(__xludf.DUMMYFUNCTION("""COMPUTED_VALUE"""),-0.611546734955836)</f>
        <v>-0.611546734955836</v>
      </c>
      <c r="HQ147" s="3">
        <f ca="1">IFERROR(__xludf.DUMMYFUNCTION("""COMPUTED_VALUE"""),-0.641615906094029)</f>
        <v>-0.64161590609402896</v>
      </c>
      <c r="HR147" s="3">
        <f ca="1">IFERROR(__xludf.DUMMYFUNCTION("""COMPUTED_VALUE"""),-0.594544828422408)</f>
        <v>-0.59454482842240797</v>
      </c>
      <c r="HS147" s="3">
        <f ca="1">IFERROR(__xludf.DUMMYFUNCTION("""COMPUTED_VALUE"""),-0.509497121563521)</f>
        <v>-0.509497121563521</v>
      </c>
      <c r="HT147" s="3">
        <f ca="1">IFERROR(__xludf.DUMMYFUNCTION("""COMPUTED_VALUE"""),-0.428707668655618)</f>
        <v>-0.42870766865561799</v>
      </c>
      <c r="HU147" s="3">
        <f ca="1">IFERROR(__xludf.DUMMYFUNCTION("""COMPUTED_VALUE"""),-0.461464393833261)</f>
        <v>-0.46146439383326099</v>
      </c>
      <c r="HV147" s="3">
        <f ca="1">IFERROR(__xludf.DUMMYFUNCTION("""COMPUTED_VALUE"""),-0.557665364912099)</f>
        <v>-0.55766536491209895</v>
      </c>
      <c r="HW147" s="3">
        <f ca="1">IFERROR(__xludf.DUMMYFUNCTION("""COMPUTED_VALUE"""),-0.593554274610599)</f>
        <v>-0.59355427461059895</v>
      </c>
      <c r="HX147" s="3">
        <f ca="1">IFERROR(__xludf.DUMMYFUNCTION("""COMPUTED_VALUE"""),-0.58444894311064)</f>
        <v>-0.58444894311064</v>
      </c>
      <c r="HY147" s="3">
        <f ca="1">IFERROR(__xludf.DUMMYFUNCTION("""COMPUTED_VALUE"""),-0.536516989608118)</f>
        <v>-0.536516989608118</v>
      </c>
      <c r="HZ147" s="3">
        <f ca="1">IFERROR(__xludf.DUMMYFUNCTION("""COMPUTED_VALUE"""),-0.443603528460892)</f>
        <v>-0.44360352846089202</v>
      </c>
      <c r="IA147" s="3">
        <f ca="1">IFERROR(__xludf.DUMMYFUNCTION("""COMPUTED_VALUE"""),-0.430270866538716)</f>
        <v>-0.43027086653871599</v>
      </c>
      <c r="IB147" s="3">
        <f ca="1">IFERROR(__xludf.DUMMYFUNCTION("""COMPUTED_VALUE"""),-0.422477061600202)</f>
        <v>-0.42247706160020199</v>
      </c>
      <c r="IC147" s="3">
        <f ca="1">IFERROR(__xludf.DUMMYFUNCTION("""COMPUTED_VALUE"""),-0.522292228426202)</f>
        <v>-0.52229222842620204</v>
      </c>
      <c r="ID147" s="3">
        <f ca="1">IFERROR(__xludf.DUMMYFUNCTION("""COMPUTED_VALUE"""),-0.530699680567408)</f>
        <v>-0.53069968056740802</v>
      </c>
      <c r="IE147" s="3">
        <f ca="1">IFERROR(__xludf.DUMMYFUNCTION("""COMPUTED_VALUE"""),-0.534017156888792)</f>
        <v>-0.53401715688879203</v>
      </c>
      <c r="IF147" s="3">
        <f ca="1">IFERROR(__xludf.DUMMYFUNCTION("""COMPUTED_VALUE"""),-0.526691532036736)</f>
        <v>-0.52669153203673602</v>
      </c>
      <c r="IG147" s="3">
        <f ca="1">IFERROR(__xludf.DUMMYFUNCTION("""COMPUTED_VALUE"""),-0.541992252979951)</f>
        <v>-0.54199225297995102</v>
      </c>
      <c r="IH147" s="3">
        <f ca="1">IFERROR(__xludf.DUMMYFUNCTION("""COMPUTED_VALUE"""),-0.484110687071707)</f>
        <v>-0.48411068707170701</v>
      </c>
      <c r="II147" s="3">
        <f ca="1">IFERROR(__xludf.DUMMYFUNCTION("""COMPUTED_VALUE"""),-0.446169374223975)</f>
        <v>-0.44616937422397501</v>
      </c>
      <c r="IJ147" s="3">
        <f ca="1">IFERROR(__xludf.DUMMYFUNCTION("""COMPUTED_VALUE"""),-0.517716785426563)</f>
        <v>-0.51771678542656296</v>
      </c>
      <c r="IK147" s="3">
        <f ca="1">IFERROR(__xludf.DUMMYFUNCTION("""COMPUTED_VALUE"""),-0.534394893262331)</f>
        <v>-0.53439489326233103</v>
      </c>
      <c r="IL147" s="3">
        <f ca="1">IFERROR(__xludf.DUMMYFUNCTION("""COMPUTED_VALUE"""),-0.543504930608721)</f>
        <v>-0.54350493060872096</v>
      </c>
      <c r="IM147" s="3">
        <f ca="1">IFERROR(__xludf.DUMMYFUNCTION("""COMPUTED_VALUE"""),-0.525290936369295)</f>
        <v>-0.52529093636929503</v>
      </c>
      <c r="IN147" s="3">
        <f ca="1">IFERROR(__xludf.DUMMYFUNCTION("""COMPUTED_VALUE"""),-0.437052030525523)</f>
        <v>-0.43705203052552299</v>
      </c>
      <c r="IO147" s="3">
        <f ca="1">IFERROR(__xludf.DUMMYFUNCTION("""COMPUTED_VALUE"""),-0.437892555058614)</f>
        <v>-0.43789255505861402</v>
      </c>
      <c r="IP147" s="3">
        <f ca="1">IFERROR(__xludf.DUMMYFUNCTION("""COMPUTED_VALUE"""),-0.433083611352957)</f>
        <v>-0.43308361135295698</v>
      </c>
      <c r="IQ147" s="3">
        <f ca="1">IFERROR(__xludf.DUMMYFUNCTION("""COMPUTED_VALUE"""),-0.537055928628503)</f>
        <v>-0.53705592862850304</v>
      </c>
      <c r="IR147" s="3">
        <f ca="1">IFERROR(__xludf.DUMMYFUNCTION("""COMPUTED_VALUE"""),-0.563501223858626)</f>
        <v>-0.563501223858626</v>
      </c>
      <c r="IS147" s="3">
        <f ca="1">IFERROR(__xludf.DUMMYFUNCTION("""COMPUTED_VALUE"""),-0.558563666113981)</f>
        <v>-0.55856366611398101</v>
      </c>
      <c r="IT147" s="3">
        <f ca="1">IFERROR(__xludf.DUMMYFUNCTION("""COMPUTED_VALUE"""),-0.577729850380308)</f>
        <v>-0.577729850380308</v>
      </c>
      <c r="IU147" s="3">
        <f ca="1">IFERROR(__xludf.DUMMYFUNCTION("""COMPUTED_VALUE"""),-0.613150916112672)</f>
        <v>-0.61315091611267203</v>
      </c>
      <c r="IV147" s="3">
        <f ca="1">IFERROR(__xludf.DUMMYFUNCTION("""COMPUTED_VALUE"""),-0.528911129125508)</f>
        <v>-0.52891112912550797</v>
      </c>
      <c r="IW147" s="3">
        <f ca="1">IFERROR(__xludf.DUMMYFUNCTION("""COMPUTED_VALUE"""),-0.471482325902638)</f>
        <v>-0.471482325902638</v>
      </c>
      <c r="IX147" s="3">
        <f ca="1">IFERROR(__xludf.DUMMYFUNCTION("""COMPUTED_VALUE"""),-0.551487521321819)</f>
        <v>-0.551487521321819</v>
      </c>
      <c r="IY147" s="3">
        <f ca="1">IFERROR(__xludf.DUMMYFUNCTION("""COMPUTED_VALUE"""),-0.57785441832844)</f>
        <v>-0.57785441832843998</v>
      </c>
      <c r="IZ147" s="3">
        <f ca="1">IFERROR(__xludf.DUMMYFUNCTION("""COMPUTED_VALUE"""),-0.595272542708461)</f>
        <v>-0.59527254270846097</v>
      </c>
      <c r="JA147" s="3">
        <f ca="1">IFERROR(__xludf.DUMMYFUNCTION("""COMPUTED_VALUE"""),-0.55313158382315)</f>
        <v>-0.55313158382314997</v>
      </c>
      <c r="JB147" s="3">
        <f ca="1">IFERROR(__xludf.DUMMYFUNCTION("""COMPUTED_VALUE"""),-0.514930513684914)</f>
        <v>-0.51493051368491405</v>
      </c>
      <c r="JC147" s="3">
        <f ca="1">IFERROR(__xludf.DUMMYFUNCTION("""COMPUTED_VALUE"""),-0.505125294847146)</f>
        <v>-0.50512529484714597</v>
      </c>
      <c r="JD147" s="3">
        <f ca="1">IFERROR(__xludf.DUMMYFUNCTION("""COMPUTED_VALUE"""),-0.494714000483266)</f>
        <v>-0.49471400048326603</v>
      </c>
      <c r="JE147" s="3">
        <f ca="1">IFERROR(__xludf.DUMMYFUNCTION("""COMPUTED_VALUE"""),-0.578090529549878)</f>
        <v>-0.57809052954987805</v>
      </c>
      <c r="JF147" s="3">
        <f ca="1">IFERROR(__xludf.DUMMYFUNCTION("""COMPUTED_VALUE"""),-0.611337010170203)</f>
        <v>-0.61133701017020303</v>
      </c>
      <c r="JG147" s="3">
        <f ca="1">IFERROR(__xludf.DUMMYFUNCTION("""COMPUTED_VALUE"""),-0.627489805934048)</f>
        <v>-0.62748980593404802</v>
      </c>
      <c r="JH147" s="3">
        <f ca="1">IFERROR(__xludf.DUMMYFUNCTION("""COMPUTED_VALUE"""),-0.595765421156108)</f>
        <v>-0.59576542115610798</v>
      </c>
      <c r="JI147" s="3">
        <f ca="1">IFERROR(__xludf.DUMMYFUNCTION("""COMPUTED_VALUE"""),-0.579421058883566)</f>
        <v>-0.57942105888356599</v>
      </c>
      <c r="JJ147" s="3">
        <f ca="1">IFERROR(__xludf.DUMMYFUNCTION("""COMPUTED_VALUE"""),-0.56576323758084)</f>
        <v>-0.56576323758084002</v>
      </c>
      <c r="JK147" s="3">
        <f ca="1">IFERROR(__xludf.DUMMYFUNCTION("""COMPUTED_VALUE"""),-0.509363870058942)</f>
        <v>-0.50936387005894201</v>
      </c>
      <c r="JL147" s="3">
        <f ca="1">IFERROR(__xludf.DUMMYFUNCTION("""COMPUTED_VALUE"""),-0.586977683758623)</f>
        <v>-0.58697768375862303</v>
      </c>
      <c r="JM147" s="3">
        <f ca="1">IFERROR(__xludf.DUMMYFUNCTION("""COMPUTED_VALUE"""),-0.641889063944356)</f>
        <v>-0.64188906394435596</v>
      </c>
      <c r="JN147" s="3">
        <f ca="1">IFERROR(__xludf.DUMMYFUNCTION("""COMPUTED_VALUE"""),-0.605045013509354)</f>
        <v>-0.60504501350935402</v>
      </c>
      <c r="JO147" s="3">
        <f ca="1">IFERROR(__xludf.DUMMYFUNCTION("""COMPUTED_VALUE"""),-0.610676685510146)</f>
        <v>-0.61067668551014598</v>
      </c>
      <c r="JP147" s="3">
        <f ca="1">IFERROR(__xludf.DUMMYFUNCTION("""COMPUTED_VALUE"""),-0.594278106282634)</f>
        <v>-0.594278106282634</v>
      </c>
      <c r="JQ147" s="3">
        <f ca="1">IFERROR(__xludf.DUMMYFUNCTION("""COMPUTED_VALUE"""),-0.556198796402184)</f>
        <v>-0.55619879640218395</v>
      </c>
      <c r="JR147" s="3">
        <f ca="1">IFERROR(__xludf.DUMMYFUNCTION("""COMPUTED_VALUE"""),-0.574114672004182)</f>
        <v>-0.57411467200418198</v>
      </c>
      <c r="JS147" s="3">
        <f ca="1">IFERROR(__xludf.DUMMYFUNCTION("""COMPUTED_VALUE"""),-0.601130977551101)</f>
        <v>-0.60113097755110101</v>
      </c>
      <c r="JT147" s="3">
        <f ca="1">IFERROR(__xludf.DUMMYFUNCTION("""COMPUTED_VALUE"""),-0.613269403566504)</f>
        <v>-0.61326940356650395</v>
      </c>
      <c r="JU147" s="3">
        <f ca="1">IFERROR(__xludf.DUMMYFUNCTION("""COMPUTED_VALUE"""),-0.620512947700292)</f>
        <v>-0.62051294770029197</v>
      </c>
      <c r="JV147" s="3">
        <f ca="1">IFERROR(__xludf.DUMMYFUNCTION("""COMPUTED_VALUE"""),-0.59623855726204)</f>
        <v>-0.59623855726204</v>
      </c>
      <c r="JW147" s="3">
        <f ca="1">IFERROR(__xludf.DUMMYFUNCTION("""COMPUTED_VALUE"""),-0.534076807919519)</f>
        <v>-0.53407680791951895</v>
      </c>
      <c r="JX147" s="3">
        <f ca="1">IFERROR(__xludf.DUMMYFUNCTION("""COMPUTED_VALUE"""),-0.555828240398845)</f>
        <v>-0.55582824039884504</v>
      </c>
      <c r="JY147" s="3">
        <f ca="1">IFERROR(__xludf.DUMMYFUNCTION("""COMPUTED_VALUE"""),-0.568818129535462)</f>
        <v>-0.56881812953546196</v>
      </c>
      <c r="JZ147" s="3">
        <f ca="1">IFERROR(__xludf.DUMMYFUNCTION("""COMPUTED_VALUE"""),-0.619991969619457)</f>
        <v>-0.61999196961945702</v>
      </c>
      <c r="KA147" s="3">
        <f ca="1">IFERROR(__xludf.DUMMYFUNCTION("""COMPUTED_VALUE"""),-0.641589045978736)</f>
        <v>-0.64158904597873601</v>
      </c>
      <c r="KB147" s="3">
        <f ca="1">IFERROR(__xludf.DUMMYFUNCTION("""COMPUTED_VALUE"""),-0.697341345696694)</f>
        <v>-0.69734134569669404</v>
      </c>
      <c r="KC147" s="3">
        <f ca="1">IFERROR(__xludf.DUMMYFUNCTION("""COMPUTED_VALUE"""),-0.592877445996128)</f>
        <v>-0.59287744599612802</v>
      </c>
      <c r="KD147" s="3">
        <f ca="1">IFERROR(__xludf.DUMMYFUNCTION("""COMPUTED_VALUE"""),-0.534501317005117)</f>
        <v>-0.53450131700511705</v>
      </c>
      <c r="KE147" s="3">
        <f ca="1">IFERROR(__xludf.DUMMYFUNCTION("""COMPUTED_VALUE"""),-0.551798906243553)</f>
        <v>-0.55179890624355299</v>
      </c>
      <c r="KF147" s="3">
        <f ca="1">IFERROR(__xludf.DUMMYFUNCTION("""COMPUTED_VALUE"""),-0.576327299882901)</f>
        <v>-0.57632729988290099</v>
      </c>
      <c r="KG147" s="3">
        <f ca="1">IFERROR(__xludf.DUMMYFUNCTION("""COMPUTED_VALUE"""),-0.631315793428216)</f>
        <v>-0.63131579342821598</v>
      </c>
      <c r="KH147" s="3">
        <f ca="1">IFERROR(__xludf.DUMMYFUNCTION("""COMPUTED_VALUE"""),-0.655374686436678)</f>
        <v>-0.65537468643667796</v>
      </c>
      <c r="KI147" s="3">
        <f ca="1">IFERROR(__xludf.DUMMYFUNCTION("""COMPUTED_VALUE"""),-0.669473596431181)</f>
        <v>-0.66947359643118098</v>
      </c>
      <c r="KJ147" s="3">
        <f ca="1">IFERROR(__xludf.DUMMYFUNCTION("""COMPUTED_VALUE"""),-0.67665723070254)</f>
        <v>-0.67665723070254002</v>
      </c>
      <c r="KK147" s="3">
        <f ca="1">IFERROR(__xludf.DUMMYFUNCTION("""COMPUTED_VALUE"""),-0.612725235045205)</f>
        <v>-0.61272523504520504</v>
      </c>
      <c r="KL147" s="3">
        <f ca="1">IFERROR(__xludf.DUMMYFUNCTION("""COMPUTED_VALUE"""),-0.613308217067251)</f>
        <v>-0.61330821706725103</v>
      </c>
      <c r="KM147" s="3">
        <f ca="1">IFERROR(__xludf.DUMMYFUNCTION("""COMPUTED_VALUE"""),-0.590387089463029)</f>
        <v>-0.59038708946302898</v>
      </c>
      <c r="KN147" s="3">
        <f ca="1">IFERROR(__xludf.DUMMYFUNCTION("""COMPUTED_VALUE"""),-0.676504325234524)</f>
        <v>-0.67650432523452397</v>
      </c>
      <c r="KO147" s="3">
        <f ca="1">IFERROR(__xludf.DUMMYFUNCTION("""COMPUTED_VALUE"""),-0.679349134583189)</f>
        <v>-0.67934913458318902</v>
      </c>
      <c r="KP147" s="3">
        <f ca="1">IFERROR(__xludf.DUMMYFUNCTION("""COMPUTED_VALUE"""),-0.700869369858298)</f>
        <v>-0.70086936985829795</v>
      </c>
      <c r="KQ147" s="3">
        <f ca="1">IFERROR(__xludf.DUMMYFUNCTION("""COMPUTED_VALUE"""),-0.681741025091281)</f>
        <v>-0.68174102509128098</v>
      </c>
      <c r="KR147" s="3">
        <f ca="1">IFERROR(__xludf.DUMMYFUNCTION("""COMPUTED_VALUE"""),-0.688674340922075)</f>
        <v>-0.68867434092207502</v>
      </c>
      <c r="KS147" s="3">
        <f ca="1">IFERROR(__xludf.DUMMYFUNCTION("""COMPUTED_VALUE"""),-0.678524968950958)</f>
        <v>-0.67852496895095804</v>
      </c>
      <c r="KT147" s="3">
        <f ca="1">IFERROR(__xludf.DUMMYFUNCTION("""COMPUTED_VALUE"""),-0.682877448144741)</f>
        <v>-0.68287744814474105</v>
      </c>
      <c r="KU147" s="3">
        <f ca="1">IFERROR(__xludf.DUMMYFUNCTION("""COMPUTED_VALUE"""),-0.719641766552949)</f>
        <v>-0.71964176655294898</v>
      </c>
      <c r="KV147" s="3">
        <f ca="1">IFERROR(__xludf.DUMMYFUNCTION("""COMPUTED_VALUE"""),-0.712768145730579)</f>
        <v>-0.71276814573057901</v>
      </c>
      <c r="KW147" s="3">
        <f ca="1">IFERROR(__xludf.DUMMYFUNCTION("""COMPUTED_VALUE"""),-0.72142999526041)</f>
        <v>-0.72142999526040996</v>
      </c>
      <c r="KX147" s="3">
        <f ca="1">IFERROR(__xludf.DUMMYFUNCTION("""COMPUTED_VALUE"""),-0.703356219029147)</f>
        <v>-0.70335621902914702</v>
      </c>
      <c r="KY147" s="3">
        <f ca="1">IFERROR(__xludf.DUMMYFUNCTION("""COMPUTED_VALUE"""),-0.698416111295621)</f>
        <v>-0.69841611129562098</v>
      </c>
      <c r="KZ147" s="3">
        <f ca="1">IFERROR(__xludf.DUMMYFUNCTION("""COMPUTED_VALUE"""),-0.683457902224145)</f>
        <v>-0.68345790222414504</v>
      </c>
      <c r="LA147" s="3">
        <f ca="1">IFERROR(__xludf.DUMMYFUNCTION("""COMPUTED_VALUE"""),-0.695655256004235)</f>
        <v>-0.69565525600423495</v>
      </c>
      <c r="LB147" s="3">
        <f ca="1">IFERROR(__xludf.DUMMYFUNCTION("""COMPUTED_VALUE"""),-0.734274006964361)</f>
        <v>-0.73427400696436096</v>
      </c>
      <c r="LC147" s="3">
        <f ca="1">IFERROR(__xludf.DUMMYFUNCTION("""COMPUTED_VALUE"""),-0.7148963970196)</f>
        <v>-0.71489639701959995</v>
      </c>
      <c r="LD147" s="3">
        <f ca="1">IFERROR(__xludf.DUMMYFUNCTION("""COMPUTED_VALUE"""),-0.734747790631962)</f>
        <v>-0.73474779063196205</v>
      </c>
      <c r="LE147" s="3">
        <f ca="1">IFERROR(__xludf.DUMMYFUNCTION("""COMPUTED_VALUE"""),-0.72975518759738)</f>
        <v>-0.72975518759738001</v>
      </c>
      <c r="LF147" s="3">
        <f ca="1">IFERROR(__xludf.DUMMYFUNCTION("""COMPUTED_VALUE"""),-0.720177461022905)</f>
        <v>-0.72017746102290503</v>
      </c>
      <c r="LG147" s="3">
        <f ca="1">IFERROR(__xludf.DUMMYFUNCTION("""COMPUTED_VALUE"""),-0.718742159688028)</f>
        <v>-0.71874215968802802</v>
      </c>
      <c r="LH147" s="3">
        <f ca="1">IFERROR(__xludf.DUMMYFUNCTION("""COMPUTED_VALUE"""),-0.709721124358008)</f>
        <v>-0.70972112435800805</v>
      </c>
      <c r="LI147" s="3">
        <f ca="1">IFERROR(__xludf.DUMMYFUNCTION("""COMPUTED_VALUE"""),-0.773481770050945)</f>
        <v>-0.77348177005094498</v>
      </c>
      <c r="LJ147" s="3">
        <f ca="1">IFERROR(__xludf.DUMMYFUNCTION("""COMPUTED_VALUE"""),-0.764894663066642)</f>
        <v>-0.764894663066642</v>
      </c>
      <c r="LK147" s="3">
        <f ca="1">IFERROR(__xludf.DUMMYFUNCTION("""COMPUTED_VALUE"""),-0.74485437157611)</f>
        <v>-0.74485437157611001</v>
      </c>
      <c r="LL147" s="3">
        <f ca="1">IFERROR(__xludf.DUMMYFUNCTION("""COMPUTED_VALUE"""),-0.737198403077483)</f>
        <v>-0.73719840307748297</v>
      </c>
      <c r="LM147" s="3">
        <f ca="1">IFERROR(__xludf.DUMMYFUNCTION("""COMPUTED_VALUE"""),-0.700506409815941)</f>
        <v>-0.70050640981594103</v>
      </c>
      <c r="LN147" s="3">
        <f ca="1">IFERROR(__xludf.DUMMYFUNCTION("""COMPUTED_VALUE"""),-0.727714203765173)</f>
        <v>-0.72771420376517304</v>
      </c>
      <c r="LO147" s="3">
        <f ca="1">IFERROR(__xludf.DUMMYFUNCTION("""COMPUTED_VALUE"""),-0.72198493637169)</f>
        <v>-0.72198493637169003</v>
      </c>
      <c r="LP147" s="3">
        <f ca="1">IFERROR(__xludf.DUMMYFUNCTION("""COMPUTED_VALUE"""),-0.774902174189471)</f>
        <v>-0.77490217418947105</v>
      </c>
      <c r="LQ147" s="3">
        <f ca="1">IFERROR(__xludf.DUMMYFUNCTION("""COMPUTED_VALUE"""),-0.773547259515996)</f>
        <v>-0.77354725951599601</v>
      </c>
      <c r="LR147" s="3">
        <f ca="1">IFERROR(__xludf.DUMMYFUNCTION("""COMPUTED_VALUE"""),-0.781130205338041)</f>
        <v>-0.78113020533804101</v>
      </c>
      <c r="LS147" s="3">
        <f ca="1">IFERROR(__xludf.DUMMYFUNCTION("""COMPUTED_VALUE"""),-0.792489433599715)</f>
        <v>-0.79248943359971502</v>
      </c>
      <c r="LT147" s="3">
        <f ca="1">IFERROR(__xludf.DUMMYFUNCTION("""COMPUTED_VALUE"""),-0.847649548370975)</f>
        <v>-0.84764954837097495</v>
      </c>
      <c r="LU147" s="3">
        <f ca="1">IFERROR(__xludf.DUMMYFUNCTION("""COMPUTED_VALUE"""),-0.763627660884224)</f>
        <v>-0.76362766088422396</v>
      </c>
      <c r="LV147" s="3">
        <f ca="1">IFERROR(__xludf.DUMMYFUNCTION("""COMPUTED_VALUE"""),-0.763003337951423)</f>
        <v>-0.76300333795142306</v>
      </c>
      <c r="LW147" s="3">
        <f ca="1">IFERROR(__xludf.DUMMYFUNCTION("""COMPUTED_VALUE"""),-0.807535964729265)</f>
        <v>-0.80753596472926503</v>
      </c>
      <c r="LX147" s="3">
        <f ca="1">IFERROR(__xludf.DUMMYFUNCTION("""COMPUTED_VALUE"""),-0.803022899840691)</f>
        <v>-0.80302289984069097</v>
      </c>
      <c r="LY147" s="3">
        <f ca="1">IFERROR(__xludf.DUMMYFUNCTION("""COMPUTED_VALUE"""),-0.80018798353427)</f>
        <v>-0.80018798353427001</v>
      </c>
      <c r="LZ147" s="3">
        <f ca="1">IFERROR(__xludf.DUMMYFUNCTION("""COMPUTED_VALUE"""),-0.797596765452818)</f>
        <v>-0.79759676545281799</v>
      </c>
      <c r="MA147" s="3">
        <f ca="1">IFERROR(__xludf.DUMMYFUNCTION("""COMPUTED_VALUE"""),-0.780349171186907)</f>
        <v>-0.78034917118690705</v>
      </c>
      <c r="MB147" s="3">
        <f ca="1">IFERROR(__xludf.DUMMYFUNCTION("""COMPUTED_VALUE"""),-0.781936430134766)</f>
        <v>-0.78193643013476599</v>
      </c>
      <c r="MC147" s="3">
        <f ca="1">IFERROR(__xludf.DUMMYFUNCTION("""COMPUTED_VALUE"""),-0.807155973170096)</f>
        <v>-0.80715597317009602</v>
      </c>
      <c r="MD147" s="3">
        <f ca="1">IFERROR(__xludf.DUMMYFUNCTION("""COMPUTED_VALUE"""),-0.811488912115107)</f>
        <v>-0.81148891211510699</v>
      </c>
      <c r="ME147" s="3">
        <f ca="1">IFERROR(__xludf.DUMMYFUNCTION("""COMPUTED_VALUE"""),-0.807695335100634)</f>
        <v>-0.80769533510063396</v>
      </c>
      <c r="MF147" s="3">
        <f ca="1">IFERROR(__xludf.DUMMYFUNCTION("""COMPUTED_VALUE"""),-0.808423385005197)</f>
        <v>-0.80842338500519695</v>
      </c>
      <c r="MG147" s="3">
        <f ca="1">IFERROR(__xludf.DUMMYFUNCTION("""COMPUTED_VALUE"""),-0.812902799326915)</f>
        <v>-0.812902799326915</v>
      </c>
      <c r="MH147" s="3">
        <f ca="1">IFERROR(__xludf.DUMMYFUNCTION("""COMPUTED_VALUE"""),-0.804731686111391)</f>
        <v>-0.80473168611139101</v>
      </c>
      <c r="MI147" s="3">
        <f ca="1">IFERROR(__xludf.DUMMYFUNCTION("""COMPUTED_VALUE"""),-0.771346169634116)</f>
        <v>-0.77134616963411595</v>
      </c>
      <c r="MJ147" s="3">
        <f ca="1">IFERROR(__xludf.DUMMYFUNCTION("""COMPUTED_VALUE"""),-0.795466943067055)</f>
        <v>-0.79546694306705501</v>
      </c>
      <c r="MK147" s="3">
        <f ca="1">IFERROR(__xludf.DUMMYFUNCTION("""COMPUTED_VALUE"""),-0.794294356955103)</f>
        <v>-0.79429435695510298</v>
      </c>
      <c r="ML147" s="3">
        <f ca="1">IFERROR(__xludf.DUMMYFUNCTION("""COMPUTED_VALUE"""),-0.77571568824135)</f>
        <v>-0.77571568824134995</v>
      </c>
      <c r="MM147" s="3">
        <f ca="1">IFERROR(__xludf.DUMMYFUNCTION("""COMPUTED_VALUE"""),-0.747873704314945)</f>
        <v>-0.74787370431494504</v>
      </c>
      <c r="MN147" s="3">
        <f ca="1">IFERROR(__xludf.DUMMYFUNCTION("""COMPUTED_VALUE"""),-0.812673598961488)</f>
        <v>-0.81267359896148805</v>
      </c>
      <c r="MO147" s="3">
        <f ca="1">IFERROR(__xludf.DUMMYFUNCTION("""COMPUTED_VALUE"""),-0.802398888931705)</f>
        <v>-0.80239888893170497</v>
      </c>
      <c r="MP147" s="3">
        <f ca="1">IFERROR(__xludf.DUMMYFUNCTION("""COMPUTED_VALUE"""),-0.770020571373762)</f>
        <v>-0.77002057137376201</v>
      </c>
      <c r="MQ147" s="3">
        <f ca="1">IFERROR(__xludf.DUMMYFUNCTION("""COMPUTED_VALUE"""),-0.779511796054012)</f>
        <v>-0.779511796054012</v>
      </c>
      <c r="MR147" s="3">
        <f ca="1">IFERROR(__xludf.DUMMYFUNCTION("""COMPUTED_VALUE"""),-0.776606675793779)</f>
        <v>-0.77660667579377896</v>
      </c>
      <c r="MS147" s="3">
        <f ca="1">IFERROR(__xludf.DUMMYFUNCTION("""COMPUTED_VALUE"""),-0.817391121683722)</f>
        <v>-0.81739112168372197</v>
      </c>
      <c r="MT147" s="3">
        <f ca="1">IFERROR(__xludf.DUMMYFUNCTION("""COMPUTED_VALUE"""),-0.802624840959251)</f>
        <v>-0.80262484095925102</v>
      </c>
      <c r="MU147" s="3">
        <f ca="1">IFERROR(__xludf.DUMMYFUNCTION("""COMPUTED_VALUE"""),-0.805635571167138)</f>
        <v>-0.80563557116713802</v>
      </c>
      <c r="MV147" s="3">
        <f ca="1">IFERROR(__xludf.DUMMYFUNCTION("""COMPUTED_VALUE"""),-0.787789087633362)</f>
        <v>-0.78778908763336197</v>
      </c>
      <c r="MW147" s="3">
        <f ca="1">IFERROR(__xludf.DUMMYFUNCTION("""COMPUTED_VALUE"""),-0.760424286460483)</f>
        <v>-0.76042428646048299</v>
      </c>
      <c r="MX147" s="3">
        <f ca="1">IFERROR(__xludf.DUMMYFUNCTION("""COMPUTED_VALUE"""),-0.767968939025274)</f>
        <v>-0.76796893902527397</v>
      </c>
      <c r="MY147" s="3">
        <f ca="1">IFERROR(__xludf.DUMMYFUNCTION("""COMPUTED_VALUE"""),-0.739924899551251)</f>
        <v>-0.73992489955125096</v>
      </c>
      <c r="MZ147" s="3">
        <f ca="1">IFERROR(__xludf.DUMMYFUNCTION("""COMPUTED_VALUE"""),-0.819492286492492)</f>
        <v>-0.81949228649249195</v>
      </c>
      <c r="NA147" s="3">
        <f ca="1">IFERROR(__xludf.DUMMYFUNCTION("""COMPUTED_VALUE"""),-0.802870246590558)</f>
        <v>-0.80287024659055795</v>
      </c>
      <c r="NB147" s="3">
        <f ca="1">IFERROR(__xludf.DUMMYFUNCTION("""COMPUTED_VALUE"""),-0.788362101875748)</f>
        <v>-0.78836210187574796</v>
      </c>
      <c r="NC147" s="3">
        <f ca="1">IFERROR(__xludf.DUMMYFUNCTION("""COMPUTED_VALUE"""),-0.778073323515028)</f>
        <v>-0.778073323515028</v>
      </c>
      <c r="ND147" s="3">
        <f ca="1">IFERROR(__xludf.DUMMYFUNCTION("""COMPUTED_VALUE"""),-0.786405784852072)</f>
        <v>-0.78640578485207202</v>
      </c>
      <c r="NE147" s="3">
        <f ca="1">IFERROR(__xludf.DUMMYFUNCTION("""COMPUTED_VALUE"""),-0.803473143405738)</f>
        <v>-0.80347314340573806</v>
      </c>
      <c r="NF147" s="3">
        <f ca="1">IFERROR(__xludf.DUMMYFUNCTION("""COMPUTED_VALUE"""),-0.838633873656152)</f>
        <v>-0.83863387365615205</v>
      </c>
      <c r="NG147" s="3">
        <f ca="1">IFERROR(__xludf.DUMMYFUNCTION("""COMPUTED_VALUE"""),-0.797725951968398)</f>
        <v>-0.79772595196839802</v>
      </c>
      <c r="NH147" s="3">
        <f ca="1">IFERROR(__xludf.DUMMYFUNCTION("""COMPUTED_VALUE"""),-0.797612280957796)</f>
        <v>-0.79761228095779602</v>
      </c>
      <c r="NI147" s="3">
        <f ca="1">IFERROR(__xludf.DUMMYFUNCTION("""COMPUTED_VALUE"""),-0.787247600006874)</f>
        <v>-0.78724760000687399</v>
      </c>
      <c r="NJ147" s="3">
        <f ca="1">IFERROR(__xludf.DUMMYFUNCTION("""COMPUTED_VALUE"""),-0.753423678899234)</f>
        <v>-0.75342367889923401</v>
      </c>
      <c r="NK147" s="3">
        <f ca="1">IFERROR(__xludf.DUMMYFUNCTION("""COMPUTED_VALUE"""),-0.733766174463301)</f>
        <v>-0.73376617446330095</v>
      </c>
      <c r="NL147" s="3">
        <f ca="1">IFERROR(__xludf.DUMMYFUNCTION("""COMPUTED_VALUE"""),-0.75319392383644)</f>
        <v>-0.75319392383644002</v>
      </c>
      <c r="NM147" s="3">
        <f ca="1">IFERROR(__xludf.DUMMYFUNCTION("""COMPUTED_VALUE"""),-0.788823941433992)</f>
        <v>-0.78882394143399204</v>
      </c>
      <c r="NN147" s="3">
        <f ca="1">IFERROR(__xludf.DUMMYFUNCTION("""COMPUTED_VALUE"""),-0.780019739275502)</f>
        <v>-0.78001973927550206</v>
      </c>
      <c r="NO147" s="3">
        <f ca="1">IFERROR(__xludf.DUMMYFUNCTION("""COMPUTED_VALUE"""),-0.777897994904952)</f>
        <v>-0.77789799490495204</v>
      </c>
      <c r="NP147" s="3">
        <f ca="1">IFERROR(__xludf.DUMMYFUNCTION("""COMPUTED_VALUE"""),-0.779253125611617)</f>
        <v>-0.77925312561161697</v>
      </c>
      <c r="NQ147" s="3">
        <f ca="1">IFERROR(__xludf.DUMMYFUNCTION("""COMPUTED_VALUE"""),-0.757934021847188)</f>
        <v>-0.75793402184718806</v>
      </c>
      <c r="NR147" s="3">
        <f ca="1">IFERROR(__xludf.DUMMYFUNCTION("""COMPUTED_VALUE"""),-0.764978997195181)</f>
        <v>-0.76497899719518103</v>
      </c>
      <c r="NS147" s="3">
        <f ca="1">IFERROR(__xludf.DUMMYFUNCTION("""COMPUTED_VALUE"""),-0.770940478356307)</f>
        <v>-0.77094047835630697</v>
      </c>
      <c r="NT147" s="3">
        <f ca="1">IFERROR(__xludf.DUMMYFUNCTION("""COMPUTED_VALUE"""),-0.799388318189562)</f>
        <v>-0.79938831818956202</v>
      </c>
      <c r="NU147" s="3">
        <f ca="1">IFERROR(__xludf.DUMMYFUNCTION("""COMPUTED_VALUE"""),-0.783496224508145)</f>
        <v>-0.78349622450814504</v>
      </c>
      <c r="NV147" s="3">
        <f ca="1">IFERROR(__xludf.DUMMYFUNCTION("""COMPUTED_VALUE"""),-0.768664997107249)</f>
        <v>-0.768664997107249</v>
      </c>
      <c r="NW147" s="3">
        <f ca="1">IFERROR(__xludf.DUMMYFUNCTION("""COMPUTED_VALUE"""),-0.696473310133145)</f>
        <v>-0.69647331013314495</v>
      </c>
      <c r="NX147" s="3">
        <f ca="1">IFERROR(__xludf.DUMMYFUNCTION("""COMPUTED_VALUE"""),-0.685255339721368)</f>
        <v>-0.68525533972136798</v>
      </c>
      <c r="NY147" s="3">
        <f ca="1">IFERROR(__xludf.DUMMYFUNCTION("""COMPUTED_VALUE"""),-0.654835094130656)</f>
        <v>-0.65483509413065599</v>
      </c>
      <c r="NZ147" s="3">
        <f ca="1">IFERROR(__xludf.DUMMYFUNCTION("""COMPUTED_VALUE"""),-0.650581148861891)</f>
        <v>-0.650581148861891</v>
      </c>
      <c r="OA147" s="3">
        <f ca="1">IFERROR(__xludf.DUMMYFUNCTION("""COMPUTED_VALUE"""),-0.693516317443438)</f>
        <v>-0.693516317443438</v>
      </c>
      <c r="OB147" s="3">
        <f ca="1">IFERROR(__xludf.DUMMYFUNCTION("""COMPUTED_VALUE"""),-0.666247818202409)</f>
        <v>-0.66624781820240897</v>
      </c>
      <c r="OC147" s="3">
        <f ca="1">IFERROR(__xludf.DUMMYFUNCTION("""COMPUTED_VALUE"""),-0.652349355995238)</f>
        <v>-0.65234935599523802</v>
      </c>
      <c r="OD147" s="3">
        <f ca="1">IFERROR(__xludf.DUMMYFUNCTION("""COMPUTED_VALUE"""),-0.617901391593888)</f>
        <v>-0.61790139159388802</v>
      </c>
      <c r="OE147" s="3">
        <f ca="1">IFERROR(__xludf.DUMMYFUNCTION("""COMPUTED_VALUE"""),-0.519441546391195)</f>
        <v>-0.519441546391195</v>
      </c>
      <c r="OF147" s="3">
        <f ca="1">IFERROR(__xludf.DUMMYFUNCTION("""COMPUTED_VALUE"""),-0.334657344656497)</f>
        <v>-0.33465734465649699</v>
      </c>
      <c r="OG147" s="3">
        <f ca="1">IFERROR(__xludf.DUMMYFUNCTION("""COMPUTED_VALUE"""),-0.306601460048424)</f>
        <v>-0.30660146004842398</v>
      </c>
      <c r="OH147" s="3">
        <f ca="1">IFERROR(__xludf.DUMMYFUNCTION("""COMPUTED_VALUE"""),-0.223712532851426)</f>
        <v>-0.223712532851426</v>
      </c>
      <c r="OI147" s="3">
        <f ca="1">IFERROR(__xludf.DUMMYFUNCTION("""COMPUTED_VALUE"""),-0.0901582197056062)</f>
        <v>-9.0158219705606196E-2</v>
      </c>
      <c r="OJ147" s="3">
        <f ca="1">IFERROR(__xludf.DUMMYFUNCTION("""COMPUTED_VALUE"""),-0.0319483990307561)</f>
        <v>-3.1948399030756101E-2</v>
      </c>
      <c r="OK147" s="3">
        <f ca="1">IFERROR(__xludf.DUMMYFUNCTION("""COMPUTED_VALUE"""),-0.0271782249836795)</f>
        <v>-2.71782249836795E-2</v>
      </c>
      <c r="OL147" s="3">
        <f ca="1">IFERROR(__xludf.DUMMYFUNCTION("""COMPUTED_VALUE"""),-0.0222774320045474)</f>
        <v>-2.22774320045474E-2</v>
      </c>
      <c r="OM147" s="3">
        <f ca="1">IFERROR(__xludf.DUMMYFUNCTION("""COMPUTED_VALUE"""),-0.00888914548856612)</f>
        <v>-8.8891454885661192E-3</v>
      </c>
      <c r="ON147" s="3">
        <f ca="1">IFERROR(__xludf.DUMMYFUNCTION("""COMPUTED_VALUE"""),0.0459327623631624)</f>
        <v>4.5932762363162398E-2</v>
      </c>
      <c r="OO147" s="3">
        <f ca="1">IFERROR(__xludf.DUMMYFUNCTION("""COMPUTED_VALUE"""),-0.037932766416948)</f>
        <v>-3.7932766416947997E-2</v>
      </c>
      <c r="OP147" s="3">
        <f ca="1">IFERROR(__xludf.DUMMYFUNCTION("""COMPUTED_VALUE"""),-0.00543212177143948)</f>
        <v>-5.4321217714394798E-3</v>
      </c>
      <c r="OQ147" s="3">
        <f ca="1">IFERROR(__xludf.DUMMYFUNCTION("""COMPUTED_VALUE"""),0.0672171002620962)</f>
        <v>6.7217100262096194E-2</v>
      </c>
      <c r="OR147" s="3">
        <f ca="1">IFERROR(__xludf.DUMMYFUNCTION("""COMPUTED_VALUE"""),0.063605072227842)</f>
        <v>6.3605072227841994E-2</v>
      </c>
      <c r="OS147" s="3">
        <f ca="1">IFERROR(__xludf.DUMMYFUNCTION("""COMPUTED_VALUE"""),0.044725250842257)</f>
        <v>4.4725250842257001E-2</v>
      </c>
      <c r="OT147" s="3">
        <f ca="1">IFERROR(__xludf.DUMMYFUNCTION("""COMPUTED_VALUE"""),-0.00728286597420646)</f>
        <v>-7.2828659742064598E-3</v>
      </c>
      <c r="OU147" s="3">
        <f ca="1">IFERROR(__xludf.DUMMYFUNCTION("""COMPUTED_VALUE"""),-0.023613572886463)</f>
        <v>-2.3613572886463E-2</v>
      </c>
      <c r="OV147" s="3">
        <f ca="1">IFERROR(__xludf.DUMMYFUNCTION("""COMPUTED_VALUE"""),-0.106340382841089)</f>
        <v>-0.106340382841089</v>
      </c>
      <c r="OW147" s="3">
        <f ca="1">IFERROR(__xludf.DUMMYFUNCTION("""COMPUTED_VALUE"""),-0.125592070206361)</f>
        <v>-0.12559207020636101</v>
      </c>
      <c r="OX147" s="3">
        <f ca="1">IFERROR(__xludf.DUMMYFUNCTION("""COMPUTED_VALUE"""),-0.0319643377433963)</f>
        <v>-3.1964337743396298E-2</v>
      </c>
      <c r="OY147" s="3">
        <f ca="1">IFERROR(__xludf.DUMMYFUNCTION("""COMPUTED_VALUE"""),0.0184149724994289)</f>
        <v>1.8414972499428899E-2</v>
      </c>
      <c r="OZ147" s="3">
        <f ca="1">IFERROR(__xludf.DUMMYFUNCTION("""COMPUTED_VALUE"""),0.226303461274633)</f>
        <v>0.22630346127463299</v>
      </c>
      <c r="PA147" s="3">
        <f ca="1">IFERROR(__xludf.DUMMYFUNCTION("""COMPUTED_VALUE"""),0.0615531095074819)</f>
        <v>6.1553109507481898E-2</v>
      </c>
      <c r="PB147" s="3">
        <f ca="1">IFERROR(__xludf.DUMMYFUNCTION("""COMPUTED_VALUE"""),0.0634516550154087)</f>
        <v>6.3451655015408698E-2</v>
      </c>
      <c r="PC147" s="3">
        <f ca="1">IFERROR(__xludf.DUMMYFUNCTION("""COMPUTED_VALUE"""),-0.0192393036444169)</f>
        <v>-1.9239303644416901E-2</v>
      </c>
      <c r="PD147" s="3">
        <f ca="1">IFERROR(__xludf.DUMMYFUNCTION("""COMPUTED_VALUE"""),-0.0324518915853313)</f>
        <v>-3.2451891585331301E-2</v>
      </c>
      <c r="PE147" s="3">
        <f ca="1">IFERROR(__xludf.DUMMYFUNCTION("""COMPUTED_VALUE"""),0.0305005668768185)</f>
        <v>3.05005668768185E-2</v>
      </c>
      <c r="PF147" s="3">
        <f ca="1">IFERROR(__xludf.DUMMYFUNCTION("""COMPUTED_VALUE"""),0.158681100407094)</f>
        <v>0.15868110040709399</v>
      </c>
      <c r="PG147" s="3">
        <f ca="1">IFERROR(__xludf.DUMMYFUNCTION("""COMPUTED_VALUE"""),-0.42606694432941)</f>
        <v>-0.42606694432941</v>
      </c>
      <c r="PH147" s="3">
        <f ca="1">IFERROR(__xludf.DUMMYFUNCTION("""COMPUTED_VALUE"""),0.0071038556787597)</f>
        <v>7.1038556787597004E-3</v>
      </c>
      <c r="PI147" s="3">
        <f ca="1">IFERROR(__xludf.DUMMYFUNCTION("""COMPUTED_VALUE"""),-0.0493593522973315)</f>
        <v>-4.9359352297331502E-2</v>
      </c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</row>
    <row r="148" spans="1:477" ht="13">
      <c r="A148" s="1" t="str">
        <f ca="1">IFERROR(__xludf.DUMMYFUNCTION("""COMPUTED_VALUE"""),"UP Express")</f>
        <v>UP Express</v>
      </c>
      <c r="B148" s="1" t="str">
        <f ca="1">IFERROR(__xludf.DUMMYFUNCTION("""COMPUTED_VALUE"""),"Toronto")</f>
        <v>Toronto</v>
      </c>
      <c r="C148" s="1" t="str">
        <f ca="1">IFERROR(__xludf.DUMMYFUNCTION("""COMPUTED_VALUE"""),"Canada")</f>
        <v>Canada</v>
      </c>
      <c r="D148" s="1" t="str">
        <f ca="1">IFERROR(__xludf.DUMMYFUNCTION("""COMPUTED_VALUE"""),"Ontario")</f>
        <v>Ontario</v>
      </c>
      <c r="E148" s="3">
        <f ca="1">IFERROR(__xludf.DUMMYFUNCTION("""COMPUTED_VALUE"""),-0.636955927545856)</f>
        <v>-0.63695592754585595</v>
      </c>
      <c r="F148" s="3">
        <f ca="1">IFERROR(__xludf.DUMMYFUNCTION("""COMPUTED_VALUE"""),-0.650306564961174)</f>
        <v>-0.65030656496117401</v>
      </c>
      <c r="G148" s="3">
        <f ca="1">IFERROR(__xludf.DUMMYFUNCTION("""COMPUTED_VALUE"""),-0.693545475711955)</f>
        <v>-0.69354547571195502</v>
      </c>
      <c r="H148" s="3">
        <f ca="1">IFERROR(__xludf.DUMMYFUNCTION("""COMPUTED_VALUE"""),-0.662727073723257)</f>
        <v>-0.66272707372325701</v>
      </c>
      <c r="I148" s="3">
        <f ca="1">IFERROR(__xludf.DUMMYFUNCTION("""COMPUTED_VALUE"""),-0.664093583732195)</f>
        <v>-0.66409358373219496</v>
      </c>
      <c r="J148" s="3">
        <f ca="1">IFERROR(__xludf.DUMMYFUNCTION("""COMPUTED_VALUE"""),-0.612483703428111)</f>
        <v>-0.61248370342811098</v>
      </c>
      <c r="K148" s="3">
        <f ca="1">IFERROR(__xludf.DUMMYFUNCTION("""COMPUTED_VALUE"""),-0.569578023185084)</f>
        <v>-0.56957802318508399</v>
      </c>
      <c r="L148" s="3">
        <f ca="1">IFERROR(__xludf.DUMMYFUNCTION("""COMPUTED_VALUE"""),-0.565364117540487)</f>
        <v>-0.56536411754048699</v>
      </c>
      <c r="M148" s="3">
        <f ca="1">IFERROR(__xludf.DUMMYFUNCTION("""COMPUTED_VALUE"""),-0.645396099368595)</f>
        <v>-0.64539609936859499</v>
      </c>
      <c r="N148" s="3">
        <f ca="1">IFERROR(__xludf.DUMMYFUNCTION("""COMPUTED_VALUE"""),-0.605501500404362)</f>
        <v>-0.60550150040436201</v>
      </c>
      <c r="O148" s="3">
        <f ca="1">IFERROR(__xludf.DUMMYFUNCTION("""COMPUTED_VALUE"""),-0.623926861162254)</f>
        <v>-0.62392686116225404</v>
      </c>
      <c r="P148" s="3">
        <f ca="1">IFERROR(__xludf.DUMMYFUNCTION("""COMPUTED_VALUE"""),-0.61596182003089)</f>
        <v>-0.61596182003088995</v>
      </c>
      <c r="Q148" s="3">
        <f ca="1">IFERROR(__xludf.DUMMYFUNCTION("""COMPUTED_VALUE"""),-0.574646580025089)</f>
        <v>-0.57464658002508895</v>
      </c>
      <c r="R148" s="3">
        <f ca="1">IFERROR(__xludf.DUMMYFUNCTION("""COMPUTED_VALUE"""),-0.558087862427527)</f>
        <v>-0.55808786242752695</v>
      </c>
      <c r="S148" s="3">
        <f ca="1">IFERROR(__xludf.DUMMYFUNCTION("""COMPUTED_VALUE"""),-0.674450399194851)</f>
        <v>-0.67445039919485095</v>
      </c>
      <c r="T148" s="3">
        <f ca="1">IFERROR(__xludf.DUMMYFUNCTION("""COMPUTED_VALUE"""),-0.743429839773592)</f>
        <v>-0.743429839773592</v>
      </c>
      <c r="U148" s="3">
        <f ca="1">IFERROR(__xludf.DUMMYFUNCTION("""COMPUTED_VALUE"""),-0.7370161167477)</f>
        <v>-0.73701611674769996</v>
      </c>
      <c r="V148" s="3">
        <f ca="1">IFERROR(__xludf.DUMMYFUNCTION("""COMPUTED_VALUE"""),-0.745738992533151)</f>
        <v>-0.74573899253315101</v>
      </c>
      <c r="W148" s="3">
        <f ca="1">IFERROR(__xludf.DUMMYFUNCTION("""COMPUTED_VALUE"""),-0.758728017613242)</f>
        <v>-0.75872801761324205</v>
      </c>
      <c r="X148" s="3">
        <f ca="1">IFERROR(__xludf.DUMMYFUNCTION("""COMPUTED_VALUE"""),-0.734858859678774)</f>
        <v>-0.73485885967877396</v>
      </c>
      <c r="Y148" s="3">
        <f ca="1">IFERROR(__xludf.DUMMYFUNCTION("""COMPUTED_VALUE"""),-0.620987051588276)</f>
        <v>-0.62098705158827605</v>
      </c>
      <c r="Z148" s="3">
        <f ca="1">IFERROR(__xludf.DUMMYFUNCTION("""COMPUTED_VALUE"""),-0.680763667532725)</f>
        <v>-0.68076366753272499</v>
      </c>
      <c r="AA148" s="3">
        <f ca="1">IFERROR(__xludf.DUMMYFUNCTION("""COMPUTED_VALUE"""),-0.741334054563031)</f>
        <v>-0.74133405456303103</v>
      </c>
      <c r="AB148" s="3">
        <f ca="1">IFERROR(__xludf.DUMMYFUNCTION("""COMPUTED_VALUE"""),-0.765253011874431)</f>
        <v>-0.76525301187443096</v>
      </c>
      <c r="AC148" s="3">
        <f ca="1">IFERROR(__xludf.DUMMYFUNCTION("""COMPUTED_VALUE"""),-0.743863039683496)</f>
        <v>-0.74386303968349599</v>
      </c>
      <c r="AD148" s="3">
        <f ca="1">IFERROR(__xludf.DUMMYFUNCTION("""COMPUTED_VALUE"""),-0.765539430999503)</f>
        <v>-0.76553943099950295</v>
      </c>
      <c r="AE148" s="3">
        <f ca="1">IFERROR(__xludf.DUMMYFUNCTION("""COMPUTED_VALUE"""),-0.734295153758683)</f>
        <v>-0.73429515375868304</v>
      </c>
      <c r="AF148" s="3">
        <f ca="1">IFERROR(__xludf.DUMMYFUNCTION("""COMPUTED_VALUE"""),-0.682755439386563)</f>
        <v>-0.68275543938656302</v>
      </c>
      <c r="AG148" s="3">
        <f ca="1">IFERROR(__xludf.DUMMYFUNCTION("""COMPUTED_VALUE"""),-0.702782952140243)</f>
        <v>-0.702782952140243</v>
      </c>
      <c r="AH148" s="3">
        <f ca="1">IFERROR(__xludf.DUMMYFUNCTION("""COMPUTED_VALUE"""),-0.771354756836183)</f>
        <v>-0.77135475683618304</v>
      </c>
      <c r="AI148" s="3">
        <f ca="1">IFERROR(__xludf.DUMMYFUNCTION("""COMPUTED_VALUE"""),-0.765027503373104)</f>
        <v>-0.76502750337310399</v>
      </c>
      <c r="AJ148" s="3">
        <f ca="1">IFERROR(__xludf.DUMMYFUNCTION("""COMPUTED_VALUE"""),-0.759907801000363)</f>
        <v>-0.75990780100036304</v>
      </c>
      <c r="AK148" s="3">
        <f ca="1">IFERROR(__xludf.DUMMYFUNCTION("""COMPUTED_VALUE"""),-0.771676842851793)</f>
        <v>-0.77167684285179305</v>
      </c>
      <c r="AL148" s="3">
        <f ca="1">IFERROR(__xludf.DUMMYFUNCTION("""COMPUTED_VALUE"""),-0.783563131071231)</f>
        <v>-0.78356313107123099</v>
      </c>
      <c r="AM148" s="3">
        <f ca="1">IFERROR(__xludf.DUMMYFUNCTION("""COMPUTED_VALUE"""),-0.695225057607499)</f>
        <v>-0.69522505760749898</v>
      </c>
      <c r="AN148" s="3">
        <f ca="1">IFERROR(__xludf.DUMMYFUNCTION("""COMPUTED_VALUE"""),-0.761975272406358)</f>
        <v>-0.76197527240635798</v>
      </c>
      <c r="AO148" s="3">
        <f ca="1">IFERROR(__xludf.DUMMYFUNCTION("""COMPUTED_VALUE"""),-0.814594605202301)</f>
        <v>-0.81459460520230098</v>
      </c>
      <c r="AP148" s="3">
        <f ca="1">IFERROR(__xludf.DUMMYFUNCTION("""COMPUTED_VALUE"""),-0.804474589543083)</f>
        <v>-0.80447458954308304</v>
      </c>
      <c r="AQ148" s="3">
        <f ca="1">IFERROR(__xludf.DUMMYFUNCTION("""COMPUTED_VALUE"""),-0.758068056154896)</f>
        <v>-0.75806805615489603</v>
      </c>
      <c r="AR148" s="3">
        <f ca="1">IFERROR(__xludf.DUMMYFUNCTION("""COMPUTED_VALUE"""),-0.797022706162297)</f>
        <v>-0.79702270616229698</v>
      </c>
      <c r="AS148" s="3">
        <f ca="1">IFERROR(__xludf.DUMMYFUNCTION("""COMPUTED_VALUE"""),-0.795727576539401)</f>
        <v>-0.79572757653940096</v>
      </c>
      <c r="AT148" s="3">
        <f ca="1">IFERROR(__xludf.DUMMYFUNCTION("""COMPUTED_VALUE"""),-0.758846322189371)</f>
        <v>-0.75884632218937098</v>
      </c>
      <c r="AU148" s="3">
        <f ca="1">IFERROR(__xludf.DUMMYFUNCTION("""COMPUTED_VALUE"""),-0.760171452054627)</f>
        <v>-0.76017145205462699</v>
      </c>
      <c r="AV148" s="3">
        <f ca="1">IFERROR(__xludf.DUMMYFUNCTION("""COMPUTED_VALUE"""),-0.794597423634136)</f>
        <v>-0.79459742363413599</v>
      </c>
      <c r="AW148" s="3">
        <f ca="1">IFERROR(__xludf.DUMMYFUNCTION("""COMPUTED_VALUE"""),-0.810961822617852)</f>
        <v>-0.81096182261785199</v>
      </c>
      <c r="AX148" s="3">
        <f ca="1">IFERROR(__xludf.DUMMYFUNCTION("""COMPUTED_VALUE"""),-0.782736007062922)</f>
        <v>-0.78273600706292201</v>
      </c>
      <c r="AY148" s="3">
        <f ca="1">IFERROR(__xludf.DUMMYFUNCTION("""COMPUTED_VALUE"""),-0.798017245507232)</f>
        <v>-0.79801724550723196</v>
      </c>
      <c r="AZ148" s="3">
        <f ca="1">IFERROR(__xludf.DUMMYFUNCTION("""COMPUTED_VALUE"""),-0.743576106493399)</f>
        <v>-0.743576106493399</v>
      </c>
      <c r="BA148" s="3">
        <f ca="1">IFERROR(__xludf.DUMMYFUNCTION("""COMPUTED_VALUE"""),-0.737014244923533)</f>
        <v>-0.73701424492353296</v>
      </c>
      <c r="BB148" s="3">
        <f ca="1">IFERROR(__xludf.DUMMYFUNCTION("""COMPUTED_VALUE"""),-0.766574604258213)</f>
        <v>-0.766574604258213</v>
      </c>
      <c r="BC148" s="3">
        <f ca="1">IFERROR(__xludf.DUMMYFUNCTION("""COMPUTED_VALUE"""),-0.802781380608518)</f>
        <v>-0.802781380608518</v>
      </c>
      <c r="BD148" s="3">
        <f ca="1">IFERROR(__xludf.DUMMYFUNCTION("""COMPUTED_VALUE"""),-0.79711820159866)</f>
        <v>-0.79711820159865998</v>
      </c>
      <c r="BE148" s="3">
        <f ca="1">IFERROR(__xludf.DUMMYFUNCTION("""COMPUTED_VALUE"""),-0.770097027146459)</f>
        <v>-0.770097027146459</v>
      </c>
      <c r="BF148" s="3">
        <f ca="1">IFERROR(__xludf.DUMMYFUNCTION("""COMPUTED_VALUE"""),-0.731494164656823)</f>
        <v>-0.73149416465682304</v>
      </c>
      <c r="BG148" s="3">
        <f ca="1">IFERROR(__xludf.DUMMYFUNCTION("""COMPUTED_VALUE"""),-0.766704412207568)</f>
        <v>-0.76670441220756802</v>
      </c>
      <c r="BH148" s="3">
        <f ca="1">IFERROR(__xludf.DUMMYFUNCTION("""COMPUTED_VALUE"""),-0.710133227119225)</f>
        <v>-0.710133227119225</v>
      </c>
      <c r="BI148" s="3">
        <f ca="1">IFERROR(__xludf.DUMMYFUNCTION("""COMPUTED_VALUE"""),-0.769037833993716)</f>
        <v>-0.76903783399371595</v>
      </c>
      <c r="BJ148" s="3">
        <f ca="1">IFERROR(__xludf.DUMMYFUNCTION("""COMPUTED_VALUE"""),-0.827627712930388)</f>
        <v>-0.82762771293038795</v>
      </c>
      <c r="BK148" s="3">
        <f ca="1">IFERROR(__xludf.DUMMYFUNCTION("""COMPUTED_VALUE"""),-0.853993361406657)</f>
        <v>-0.85399336140665705</v>
      </c>
      <c r="BL148" s="3">
        <f ca="1">IFERROR(__xludf.DUMMYFUNCTION("""COMPUTED_VALUE"""),-0.834373813679156)</f>
        <v>-0.83437381367915597</v>
      </c>
      <c r="BM148" s="3">
        <f ca="1">IFERROR(__xludf.DUMMYFUNCTION("""COMPUTED_VALUE"""),-0.844466272923544)</f>
        <v>-0.84446627292354404</v>
      </c>
      <c r="BN148" s="3">
        <f ca="1">IFERROR(__xludf.DUMMYFUNCTION("""COMPUTED_VALUE"""),-0.803244111549122)</f>
        <v>-0.80324411154912201</v>
      </c>
      <c r="BO148" s="3">
        <f ca="1">IFERROR(__xludf.DUMMYFUNCTION("""COMPUTED_VALUE"""),-0.791771743187271)</f>
        <v>-0.79177174318727095</v>
      </c>
      <c r="BP148" s="3">
        <f ca="1">IFERROR(__xludf.DUMMYFUNCTION("""COMPUTED_VALUE"""),-0.805147509107285)</f>
        <v>-0.80514750910728505</v>
      </c>
      <c r="BQ148" s="3">
        <f ca="1">IFERROR(__xludf.DUMMYFUNCTION("""COMPUTED_VALUE"""),-0.821025058440556)</f>
        <v>-0.82102505844055595</v>
      </c>
      <c r="BR148" s="3">
        <f ca="1">IFERROR(__xludf.DUMMYFUNCTION("""COMPUTED_VALUE"""),-0.836294289822848)</f>
        <v>-0.83629428982284804</v>
      </c>
      <c r="BS148" s="3">
        <f ca="1">IFERROR(__xludf.DUMMYFUNCTION("""COMPUTED_VALUE"""),-0.824386021904105)</f>
        <v>-0.82438602190410504</v>
      </c>
      <c r="BT148" s="3">
        <f ca="1">IFERROR(__xludf.DUMMYFUNCTION("""COMPUTED_VALUE"""),-0.834895285431555)</f>
        <v>-0.834895285431555</v>
      </c>
      <c r="BU148" s="3">
        <f ca="1">IFERROR(__xludf.DUMMYFUNCTION("""COMPUTED_VALUE"""),-0.831127258185604)</f>
        <v>-0.83112725818560396</v>
      </c>
      <c r="BV148" s="3">
        <f ca="1">IFERROR(__xludf.DUMMYFUNCTION("""COMPUTED_VALUE"""),-0.808274151156112)</f>
        <v>-0.80827415115611201</v>
      </c>
      <c r="BW148" s="3">
        <f ca="1">IFERROR(__xludf.DUMMYFUNCTION("""COMPUTED_VALUE"""),-0.815575350316719)</f>
        <v>-0.81557535031671902</v>
      </c>
      <c r="BX148" s="3">
        <f ca="1">IFERROR(__xludf.DUMMYFUNCTION("""COMPUTED_VALUE"""),-0.837526278978652)</f>
        <v>-0.83752627897865195</v>
      </c>
      <c r="BY148" s="3">
        <f ca="1">IFERROR(__xludf.DUMMYFUNCTION("""COMPUTED_VALUE"""),-0.841022371362795)</f>
        <v>-0.84102237136279501</v>
      </c>
      <c r="BZ148" s="3">
        <f ca="1">IFERROR(__xludf.DUMMYFUNCTION("""COMPUTED_VALUE"""),-0.808991496692755)</f>
        <v>-0.80899149669275505</v>
      </c>
      <c r="CA148" s="3">
        <f ca="1">IFERROR(__xludf.DUMMYFUNCTION("""COMPUTED_VALUE"""),-0.834537709200823)</f>
        <v>-0.83453770920082304</v>
      </c>
      <c r="CB148" s="3">
        <f ca="1">IFERROR(__xludf.DUMMYFUNCTION("""COMPUTED_VALUE"""),-0.804458082842482)</f>
        <v>-0.80445808284248199</v>
      </c>
      <c r="CC148" s="3">
        <f ca="1">IFERROR(__xludf.DUMMYFUNCTION("""COMPUTED_VALUE"""),-0.788799938206113)</f>
        <v>-0.78879993820611305</v>
      </c>
      <c r="CD148" s="3">
        <f ca="1">IFERROR(__xludf.DUMMYFUNCTION("""COMPUTED_VALUE"""),-0.796981929490475)</f>
        <v>-0.79698192949047497</v>
      </c>
      <c r="CE148" s="3">
        <f ca="1">IFERROR(__xludf.DUMMYFUNCTION("""COMPUTED_VALUE"""),-0.839717796458665)</f>
        <v>-0.83971779645866496</v>
      </c>
      <c r="CF148" s="3">
        <f ca="1">IFERROR(__xludf.DUMMYFUNCTION("""COMPUTED_VALUE"""),-0.842633124114559)</f>
        <v>-0.84263312411455904</v>
      </c>
      <c r="CG148" s="3">
        <f ca="1">IFERROR(__xludf.DUMMYFUNCTION("""COMPUTED_VALUE"""),-0.838072005151431)</f>
        <v>-0.83807200515143099</v>
      </c>
      <c r="CH148" s="3">
        <f ca="1">IFERROR(__xludf.DUMMYFUNCTION("""COMPUTED_VALUE"""),-0.835183096098484)</f>
        <v>-0.83518309609848396</v>
      </c>
      <c r="CI148" s="3">
        <f ca="1">IFERROR(__xludf.DUMMYFUNCTION("""COMPUTED_VALUE"""),-0.82304888157529)</f>
        <v>-0.82304888157528999</v>
      </c>
      <c r="CJ148" s="3">
        <f ca="1">IFERROR(__xludf.DUMMYFUNCTION("""COMPUTED_VALUE"""),-0.786907600326163)</f>
        <v>-0.78690760032616303</v>
      </c>
      <c r="CK148" s="3">
        <f ca="1">IFERROR(__xludf.DUMMYFUNCTION("""COMPUTED_VALUE"""),-0.789502050564872)</f>
        <v>-0.78950205056487199</v>
      </c>
      <c r="CL148" s="3">
        <f ca="1">IFERROR(__xludf.DUMMYFUNCTION("""COMPUTED_VALUE"""),-0.821816364716556)</f>
        <v>-0.82181636471655595</v>
      </c>
      <c r="CM148" s="3">
        <f ca="1">IFERROR(__xludf.DUMMYFUNCTION("""COMPUTED_VALUE"""),-0.80993893357754)</f>
        <v>-0.80993893357753999</v>
      </c>
      <c r="CN148" s="3">
        <f ca="1">IFERROR(__xludf.DUMMYFUNCTION("""COMPUTED_VALUE"""),-0.807925293227294)</f>
        <v>-0.80792529322729401</v>
      </c>
      <c r="CO148" s="3">
        <f ca="1">IFERROR(__xludf.DUMMYFUNCTION("""COMPUTED_VALUE"""),-0.821036121305141)</f>
        <v>-0.82103612130514103</v>
      </c>
      <c r="CP148" s="3">
        <f ca="1">IFERROR(__xludf.DUMMYFUNCTION("""COMPUTED_VALUE"""),-0.806158361724332)</f>
        <v>-0.80615836172433197</v>
      </c>
      <c r="CQ148" s="3">
        <f ca="1">IFERROR(__xludf.DUMMYFUNCTION("""COMPUTED_VALUE"""),-0.750915493464553)</f>
        <v>-0.750915493464553</v>
      </c>
      <c r="CR148" s="3">
        <f ca="1">IFERROR(__xludf.DUMMYFUNCTION("""COMPUTED_VALUE"""),-0.740919175170079)</f>
        <v>-0.74091917517007899</v>
      </c>
      <c r="CS148" s="3">
        <f ca="1">IFERROR(__xludf.DUMMYFUNCTION("""COMPUTED_VALUE"""),-0.77241934165535)</f>
        <v>-0.77241934165534998</v>
      </c>
      <c r="CT148" s="3">
        <f ca="1">IFERROR(__xludf.DUMMYFUNCTION("""COMPUTED_VALUE"""),-0.783083378893034)</f>
        <v>-0.78308337889303403</v>
      </c>
      <c r="CU148" s="3">
        <f ca="1">IFERROR(__xludf.DUMMYFUNCTION("""COMPUTED_VALUE"""),-0.775639609361941)</f>
        <v>-0.77563960936194098</v>
      </c>
      <c r="CV148" s="3">
        <f ca="1">IFERROR(__xludf.DUMMYFUNCTION("""COMPUTED_VALUE"""),-0.784809706926573)</f>
        <v>-0.78480970692657304</v>
      </c>
      <c r="CW148" s="3">
        <f ca="1">IFERROR(__xludf.DUMMYFUNCTION("""COMPUTED_VALUE"""),-0.796169377488463)</f>
        <v>-0.79616937748846295</v>
      </c>
      <c r="CX148" s="3">
        <f ca="1">IFERROR(__xludf.DUMMYFUNCTION("""COMPUTED_VALUE"""),-0.738227864597968)</f>
        <v>-0.73822786459796796</v>
      </c>
      <c r="CY148" s="3">
        <f ca="1">IFERROR(__xludf.DUMMYFUNCTION("""COMPUTED_VALUE"""),-0.775815154737265)</f>
        <v>-0.77581515473726503</v>
      </c>
      <c r="CZ148" s="3">
        <f ca="1">IFERROR(__xludf.DUMMYFUNCTION("""COMPUTED_VALUE"""),-0.800150694097518)</f>
        <v>-0.80015069409751804</v>
      </c>
      <c r="DA148" s="3">
        <f ca="1">IFERROR(__xludf.DUMMYFUNCTION("""COMPUTED_VALUE"""),-0.781204349346881)</f>
        <v>-0.78120434934688099</v>
      </c>
      <c r="DB148" s="3">
        <f ca="1">IFERROR(__xludf.DUMMYFUNCTION("""COMPUTED_VALUE"""),-0.809773065936535)</f>
        <v>-0.80977306593653497</v>
      </c>
      <c r="DC148" s="3">
        <f ca="1">IFERROR(__xludf.DUMMYFUNCTION("""COMPUTED_VALUE"""),-0.803099693970223)</f>
        <v>-0.80309969397022296</v>
      </c>
      <c r="DD148" s="3">
        <f ca="1">IFERROR(__xludf.DUMMYFUNCTION("""COMPUTED_VALUE"""),-0.828345981669035)</f>
        <v>-0.82834598166903495</v>
      </c>
      <c r="DE148" s="3">
        <f ca="1">IFERROR(__xludf.DUMMYFUNCTION("""COMPUTED_VALUE"""),-0.780299877991947)</f>
        <v>-0.780299877991947</v>
      </c>
      <c r="DF148" s="3">
        <f ca="1">IFERROR(__xludf.DUMMYFUNCTION("""COMPUTED_VALUE"""),-0.799748473848152)</f>
        <v>-0.79974847384815195</v>
      </c>
      <c r="DG148" s="3">
        <f ca="1">IFERROR(__xludf.DUMMYFUNCTION("""COMPUTED_VALUE"""),-0.824720996978145)</f>
        <v>-0.82472099697814505</v>
      </c>
      <c r="DH148" s="3">
        <f ca="1">IFERROR(__xludf.DUMMYFUNCTION("""COMPUTED_VALUE"""),-0.751185774868238)</f>
        <v>-0.75118577486823801</v>
      </c>
      <c r="DI148" s="3">
        <f ca="1">IFERROR(__xludf.DUMMYFUNCTION("""COMPUTED_VALUE"""),-0.674282809725558)</f>
        <v>-0.67428280972555799</v>
      </c>
      <c r="DJ148" s="3">
        <f ca="1">IFERROR(__xludf.DUMMYFUNCTION("""COMPUTED_VALUE"""),-0.69779860815583)</f>
        <v>-0.69779860815582995</v>
      </c>
      <c r="DK148" s="3">
        <f ca="1">IFERROR(__xludf.DUMMYFUNCTION("""COMPUTED_VALUE"""),-0.647759986449204)</f>
        <v>-0.64775998644920396</v>
      </c>
      <c r="DL148" s="3">
        <f ca="1">IFERROR(__xludf.DUMMYFUNCTION("""COMPUTED_VALUE"""),-0.632733221578895)</f>
        <v>-0.632733221578895</v>
      </c>
      <c r="DM148" s="3">
        <f ca="1">IFERROR(__xludf.DUMMYFUNCTION("""COMPUTED_VALUE"""),-0.761996152862863)</f>
        <v>-0.76199615286286304</v>
      </c>
      <c r="DN148" s="3">
        <f ca="1">IFERROR(__xludf.DUMMYFUNCTION("""COMPUTED_VALUE"""),-0.771165313050487)</f>
        <v>-0.77116531305048697</v>
      </c>
      <c r="DO148" s="3">
        <f ca="1">IFERROR(__xludf.DUMMYFUNCTION("""COMPUTED_VALUE"""),-0.743956362408814)</f>
        <v>-0.74395636240881402</v>
      </c>
      <c r="DP148" s="3">
        <f ca="1">IFERROR(__xludf.DUMMYFUNCTION("""COMPUTED_VALUE"""),-0.744200224623032)</f>
        <v>-0.74420022462303204</v>
      </c>
      <c r="DQ148" s="3">
        <f ca="1">IFERROR(__xludf.DUMMYFUNCTION("""COMPUTED_VALUE"""),-0.764092899863444)</f>
        <v>-0.76409289986344398</v>
      </c>
      <c r="DR148" s="3">
        <f ca="1">IFERROR(__xludf.DUMMYFUNCTION("""COMPUTED_VALUE"""),-0.783105410972426)</f>
        <v>-0.78310541097242603</v>
      </c>
      <c r="DS148" s="3">
        <f ca="1">IFERROR(__xludf.DUMMYFUNCTION("""COMPUTED_VALUE"""),-0.751168618778299)</f>
        <v>-0.75116861877829899</v>
      </c>
      <c r="DT148" s="3">
        <f ca="1">IFERROR(__xludf.DUMMYFUNCTION("""COMPUTED_VALUE"""),-0.768749864313447)</f>
        <v>-0.76874986431344705</v>
      </c>
      <c r="DU148" s="3">
        <f ca="1">IFERROR(__xludf.DUMMYFUNCTION("""COMPUTED_VALUE"""),-0.801290103215187)</f>
        <v>-0.80129010321518701</v>
      </c>
      <c r="DV148" s="3">
        <f ca="1">IFERROR(__xludf.DUMMYFUNCTION("""COMPUTED_VALUE"""),-0.758041835662369)</f>
        <v>-0.75804183566236905</v>
      </c>
      <c r="DW148" s="3">
        <f ca="1">IFERROR(__xludf.DUMMYFUNCTION("""COMPUTED_VALUE"""),-0.77954459786146)</f>
        <v>-0.77954459786146002</v>
      </c>
      <c r="DX148" s="3">
        <f ca="1">IFERROR(__xludf.DUMMYFUNCTION("""COMPUTED_VALUE"""),-0.772693372625307)</f>
        <v>-0.77269337262530702</v>
      </c>
      <c r="DY148" s="3">
        <f ca="1">IFERROR(__xludf.DUMMYFUNCTION("""COMPUTED_VALUE"""),-0.772349776997931)</f>
        <v>-0.77234977699793095</v>
      </c>
      <c r="DZ148" s="3">
        <f ca="1">IFERROR(__xludf.DUMMYFUNCTION("""COMPUTED_VALUE"""),-0.733299846889)</f>
        <v>-0.73329984688899996</v>
      </c>
      <c r="EA148" s="3">
        <f ca="1">IFERROR(__xludf.DUMMYFUNCTION("""COMPUTED_VALUE"""),-0.707816003447366)</f>
        <v>-0.70781600344736595</v>
      </c>
      <c r="EB148" s="3">
        <f ca="1">IFERROR(__xludf.DUMMYFUNCTION("""COMPUTED_VALUE"""),-0.779396892273739)</f>
        <v>-0.77939689227373898</v>
      </c>
      <c r="EC148" s="3">
        <f ca="1">IFERROR(__xludf.DUMMYFUNCTION("""COMPUTED_VALUE"""),-0.772490611013014)</f>
        <v>-0.77249061101301397</v>
      </c>
      <c r="ED148" s="3">
        <f ca="1">IFERROR(__xludf.DUMMYFUNCTION("""COMPUTED_VALUE"""),-0.773402214030698)</f>
        <v>-0.77340221403069798</v>
      </c>
      <c r="EE148" s="3">
        <f ca="1">IFERROR(__xludf.DUMMYFUNCTION("""COMPUTED_VALUE"""),-0.755567007111098)</f>
        <v>-0.75556700711109803</v>
      </c>
      <c r="EF148" s="3">
        <f ca="1">IFERROR(__xludf.DUMMYFUNCTION("""COMPUTED_VALUE"""),-0.747825236942717)</f>
        <v>-0.74782523694271696</v>
      </c>
      <c r="EG148" s="3">
        <f ca="1">IFERROR(__xludf.DUMMYFUNCTION("""COMPUTED_VALUE"""),-0.687071912207194)</f>
        <v>-0.68707191220719399</v>
      </c>
      <c r="EH148" s="3">
        <f ca="1">IFERROR(__xludf.DUMMYFUNCTION("""COMPUTED_VALUE"""),-0.740723165255026)</f>
        <v>-0.74072316525502602</v>
      </c>
      <c r="EI148" s="3">
        <f ca="1">IFERROR(__xludf.DUMMYFUNCTION("""COMPUTED_VALUE"""),-0.74718253901137)</f>
        <v>-0.74718253901136999</v>
      </c>
      <c r="EJ148" s="3">
        <f ca="1">IFERROR(__xludf.DUMMYFUNCTION("""COMPUTED_VALUE"""),-0.756662045620528)</f>
        <v>-0.75666204562052797</v>
      </c>
      <c r="EK148" s="3">
        <f ca="1">IFERROR(__xludf.DUMMYFUNCTION("""COMPUTED_VALUE"""),-0.761421643341636)</f>
        <v>-0.76142164334163598</v>
      </c>
      <c r="EL148" s="3">
        <f ca="1">IFERROR(__xludf.DUMMYFUNCTION("""COMPUTED_VALUE"""),-0.782453331111753)</f>
        <v>-0.78245333111175297</v>
      </c>
      <c r="EM148" s="3">
        <f ca="1">IFERROR(__xludf.DUMMYFUNCTION("""COMPUTED_VALUE"""),-0.760556299402846)</f>
        <v>-0.76055629940284597</v>
      </c>
      <c r="EN148" s="3">
        <f ca="1">IFERROR(__xludf.DUMMYFUNCTION("""COMPUTED_VALUE"""),-0.685421736744382)</f>
        <v>-0.685421736744382</v>
      </c>
      <c r="EO148" s="3">
        <f ca="1">IFERROR(__xludf.DUMMYFUNCTION("""COMPUTED_VALUE"""),-0.681149038010429)</f>
        <v>-0.68114903801042903</v>
      </c>
      <c r="EP148" s="3">
        <f ca="1">IFERROR(__xludf.DUMMYFUNCTION("""COMPUTED_VALUE"""),-0.755277329605392)</f>
        <v>-0.75527732960539196</v>
      </c>
      <c r="EQ148" s="3">
        <f ca="1">IFERROR(__xludf.DUMMYFUNCTION("""COMPUTED_VALUE"""),-0.761844259768821)</f>
        <v>-0.76184425976882097</v>
      </c>
      <c r="ER148" s="3">
        <f ca="1">IFERROR(__xludf.DUMMYFUNCTION("""COMPUTED_VALUE"""),-0.777288267018497)</f>
        <v>-0.77728826701849696</v>
      </c>
      <c r="ES148" s="3">
        <f ca="1">IFERROR(__xludf.DUMMYFUNCTION("""COMPUTED_VALUE"""),-0.767941627183779)</f>
        <v>-0.76794162718377901</v>
      </c>
      <c r="ET148" s="3">
        <f ca="1">IFERROR(__xludf.DUMMYFUNCTION("""COMPUTED_VALUE"""),-0.783592851569849)</f>
        <v>-0.78359285156984904</v>
      </c>
      <c r="EU148" s="3">
        <f ca="1">IFERROR(__xludf.DUMMYFUNCTION("""COMPUTED_VALUE"""),-0.740565755717621)</f>
        <v>-0.74056575571762095</v>
      </c>
      <c r="EV148" s="3">
        <f ca="1">IFERROR(__xludf.DUMMYFUNCTION("""COMPUTED_VALUE"""),-0.69369408891565)</f>
        <v>-0.69369408891564999</v>
      </c>
      <c r="EW148" s="3">
        <f ca="1">IFERROR(__xludf.DUMMYFUNCTION("""COMPUTED_VALUE"""),-0.75332190835843)</f>
        <v>-0.75332190835843005</v>
      </c>
      <c r="EX148" s="3">
        <f ca="1">IFERROR(__xludf.DUMMYFUNCTION("""COMPUTED_VALUE"""),-0.754263930959618)</f>
        <v>-0.75426393095961797</v>
      </c>
      <c r="EY148" s="3">
        <f ca="1">IFERROR(__xludf.DUMMYFUNCTION("""COMPUTED_VALUE"""),-0.73503300640276)</f>
        <v>-0.73503300640276004</v>
      </c>
      <c r="EZ148" s="3">
        <f ca="1">IFERROR(__xludf.DUMMYFUNCTION("""COMPUTED_VALUE"""),-0.729938848689622)</f>
        <v>-0.729938848689622</v>
      </c>
      <c r="FA148" s="3">
        <f ca="1">IFERROR(__xludf.DUMMYFUNCTION("""COMPUTED_VALUE"""),-0.710024526302163)</f>
        <v>-0.71002452630216295</v>
      </c>
      <c r="FB148" s="3">
        <f ca="1">IFERROR(__xludf.DUMMYFUNCTION("""COMPUTED_VALUE"""),-0.658915849843822)</f>
        <v>-0.65891584984382201</v>
      </c>
      <c r="FC148" s="3">
        <f ca="1">IFERROR(__xludf.DUMMYFUNCTION("""COMPUTED_VALUE"""),-0.600535006562076)</f>
        <v>-0.60053500656207603</v>
      </c>
      <c r="FD148" s="3">
        <f ca="1">IFERROR(__xludf.DUMMYFUNCTION("""COMPUTED_VALUE"""),-0.726748765369504)</f>
        <v>-0.72674876536950395</v>
      </c>
      <c r="FE148" s="3">
        <f ca="1">IFERROR(__xludf.DUMMYFUNCTION("""COMPUTED_VALUE"""),-0.746971663074799)</f>
        <v>-0.74697166307479901</v>
      </c>
      <c r="FF148" s="3">
        <f ca="1">IFERROR(__xludf.DUMMYFUNCTION("""COMPUTED_VALUE"""),-0.735729409155439)</f>
        <v>-0.73572940915543905</v>
      </c>
      <c r="FG148" s="3">
        <f ca="1">IFERROR(__xludf.DUMMYFUNCTION("""COMPUTED_VALUE"""),-0.74785280061971)</f>
        <v>-0.74785280061971005</v>
      </c>
      <c r="FH148" s="3">
        <f ca="1">IFERROR(__xludf.DUMMYFUNCTION("""COMPUTED_VALUE"""),-0.71692191463198)</f>
        <v>-0.71692191463197996</v>
      </c>
      <c r="FI148" s="3">
        <f ca="1">IFERROR(__xludf.DUMMYFUNCTION("""COMPUTED_VALUE"""),-0.66153302085109)</f>
        <v>-0.66153302085109</v>
      </c>
      <c r="FJ148" s="3">
        <f ca="1">IFERROR(__xludf.DUMMYFUNCTION("""COMPUTED_VALUE"""),-0.678997029394117)</f>
        <v>-0.67899702939411699</v>
      </c>
      <c r="FK148" s="3">
        <f ca="1">IFERROR(__xludf.DUMMYFUNCTION("""COMPUTED_VALUE"""),-0.714012040786149)</f>
        <v>-0.71401204078614899</v>
      </c>
      <c r="FL148" s="3">
        <f ca="1">IFERROR(__xludf.DUMMYFUNCTION("""COMPUTED_VALUE"""),-0.732091108161904)</f>
        <v>-0.73209110816190404</v>
      </c>
      <c r="FM148" s="3">
        <f ca="1">IFERROR(__xludf.DUMMYFUNCTION("""COMPUTED_VALUE"""),-0.720110582960514)</f>
        <v>-0.720110582960514</v>
      </c>
      <c r="FN148" s="3">
        <f ca="1">IFERROR(__xludf.DUMMYFUNCTION("""COMPUTED_VALUE"""),-0.727083044621719)</f>
        <v>-0.72708304462171902</v>
      </c>
      <c r="FO148" s="3">
        <f ca="1">IFERROR(__xludf.DUMMYFUNCTION("""COMPUTED_VALUE"""),-0.709504562627971)</f>
        <v>-0.70950456262797101</v>
      </c>
      <c r="FP148" s="3">
        <f ca="1">IFERROR(__xludf.DUMMYFUNCTION("""COMPUTED_VALUE"""),-0.650921935693341)</f>
        <v>-0.650921935693341</v>
      </c>
      <c r="FQ148" s="3">
        <f ca="1">IFERROR(__xludf.DUMMYFUNCTION("""COMPUTED_VALUE"""),-0.661129358906045)</f>
        <v>-0.66112935890604496</v>
      </c>
      <c r="FR148" s="3">
        <f ca="1">IFERROR(__xludf.DUMMYFUNCTION("""COMPUTED_VALUE"""),-0.715999674399634)</f>
        <v>-0.71599967439963397</v>
      </c>
      <c r="FS148" s="3">
        <f ca="1">IFERROR(__xludf.DUMMYFUNCTION("""COMPUTED_VALUE"""),-0.730465620453913)</f>
        <v>-0.73046562045391294</v>
      </c>
      <c r="FT148" s="3">
        <f ca="1">IFERROR(__xludf.DUMMYFUNCTION("""COMPUTED_VALUE"""),-0.72484572847595)</f>
        <v>-0.72484572847594997</v>
      </c>
      <c r="FU148" s="3">
        <f ca="1">IFERROR(__xludf.DUMMYFUNCTION("""COMPUTED_VALUE"""),-0.724877925371601)</f>
        <v>-0.72487792537160101</v>
      </c>
      <c r="FV148" s="3">
        <f ca="1">IFERROR(__xludf.DUMMYFUNCTION("""COMPUTED_VALUE"""),-0.713887780701434)</f>
        <v>-0.71388778070143399</v>
      </c>
      <c r="FW148" s="3">
        <f ca="1">IFERROR(__xludf.DUMMYFUNCTION("""COMPUTED_VALUE"""),-0.701624308373423)</f>
        <v>-0.70162430837342304</v>
      </c>
      <c r="FX148" s="3">
        <f ca="1">IFERROR(__xludf.DUMMYFUNCTION("""COMPUTED_VALUE"""),-0.660061509894765)</f>
        <v>-0.66006150989476498</v>
      </c>
      <c r="FY148" s="3">
        <f ca="1">IFERROR(__xludf.DUMMYFUNCTION("""COMPUTED_VALUE"""),-0.732599115788045)</f>
        <v>-0.73259911578804504</v>
      </c>
      <c r="FZ148" s="3">
        <f ca="1">IFERROR(__xludf.DUMMYFUNCTION("""COMPUTED_VALUE"""),-0.714554421538356)</f>
        <v>-0.71455442153835602</v>
      </c>
      <c r="GA148" s="3">
        <f ca="1">IFERROR(__xludf.DUMMYFUNCTION("""COMPUTED_VALUE"""),-0.718959760921076)</f>
        <v>-0.71895976092107605</v>
      </c>
      <c r="GB148" s="3">
        <f ca="1">IFERROR(__xludf.DUMMYFUNCTION("""COMPUTED_VALUE"""),-0.704827896548836)</f>
        <v>-0.70482789654883604</v>
      </c>
      <c r="GC148" s="3">
        <f ca="1">IFERROR(__xludf.DUMMYFUNCTION("""COMPUTED_VALUE"""),-0.742412806585145)</f>
        <v>-0.74241280658514497</v>
      </c>
      <c r="GD148" s="3">
        <f ca="1">IFERROR(__xludf.DUMMYFUNCTION("""COMPUTED_VALUE"""),-0.695452588833917)</f>
        <v>-0.69545258883391703</v>
      </c>
      <c r="GE148" s="3">
        <f ca="1">IFERROR(__xludf.DUMMYFUNCTION("""COMPUTED_VALUE"""),-0.681954082702649)</f>
        <v>-0.68195408270264901</v>
      </c>
      <c r="GF148" s="3">
        <f ca="1">IFERROR(__xludf.DUMMYFUNCTION("""COMPUTED_VALUE"""),-0.714134254547037)</f>
        <v>-0.71413425454703705</v>
      </c>
      <c r="GG148" s="3">
        <f ca="1">IFERROR(__xludf.DUMMYFUNCTION("""COMPUTED_VALUE"""),-0.702718535136631)</f>
        <v>-0.70271853513663096</v>
      </c>
      <c r="GH148" s="3">
        <f ca="1">IFERROR(__xludf.DUMMYFUNCTION("""COMPUTED_VALUE"""),-0.727658669032393)</f>
        <v>-0.72765866903239296</v>
      </c>
      <c r="GI148" s="3">
        <f ca="1">IFERROR(__xludf.DUMMYFUNCTION("""COMPUTED_VALUE"""),-0.724207969037221)</f>
        <v>-0.72420796903722096</v>
      </c>
      <c r="GJ148" s="3">
        <f ca="1">IFERROR(__xludf.DUMMYFUNCTION("""COMPUTED_VALUE"""),-0.677739721977482)</f>
        <v>-0.677739721977482</v>
      </c>
      <c r="GK148" s="3">
        <f ca="1">IFERROR(__xludf.DUMMYFUNCTION("""COMPUTED_VALUE"""),-0.683245136897165)</f>
        <v>-0.68324513689716504</v>
      </c>
      <c r="GL148" s="3">
        <f ca="1">IFERROR(__xludf.DUMMYFUNCTION("""COMPUTED_VALUE"""),-0.671983128561723)</f>
        <v>-0.67198312856172304</v>
      </c>
      <c r="GM148" s="3">
        <f ca="1">IFERROR(__xludf.DUMMYFUNCTION("""COMPUTED_VALUE"""),-0.733827195693837)</f>
        <v>-0.73382719569383703</v>
      </c>
      <c r="GN148" s="3">
        <f ca="1">IFERROR(__xludf.DUMMYFUNCTION("""COMPUTED_VALUE"""),-0.74646690154379)</f>
        <v>-0.74646690154379003</v>
      </c>
      <c r="GO148" s="3">
        <f ca="1">IFERROR(__xludf.DUMMYFUNCTION("""COMPUTED_VALUE"""),-0.749749366794756)</f>
        <v>-0.74974936679475601</v>
      </c>
      <c r="GP148" s="3">
        <f ca="1">IFERROR(__xludf.DUMMYFUNCTION("""COMPUTED_VALUE"""),-0.727157000157628)</f>
        <v>-0.72715700015762796</v>
      </c>
      <c r="GQ148" s="3">
        <f ca="1">IFERROR(__xludf.DUMMYFUNCTION("""COMPUTED_VALUE"""),-0.68996316903771)</f>
        <v>-0.68996316903771004</v>
      </c>
      <c r="GR148" s="3">
        <f ca="1">IFERROR(__xludf.DUMMYFUNCTION("""COMPUTED_VALUE"""),-0.658403898765704)</f>
        <v>-0.65840389876570404</v>
      </c>
      <c r="GS148" s="3">
        <f ca="1">IFERROR(__xludf.DUMMYFUNCTION("""COMPUTED_VALUE"""),-0.64139152124408)</f>
        <v>-0.64139152124408005</v>
      </c>
      <c r="GT148" s="3">
        <f ca="1">IFERROR(__xludf.DUMMYFUNCTION("""COMPUTED_VALUE"""),-0.718787237803113)</f>
        <v>-0.71878723780311304</v>
      </c>
      <c r="GU148" s="3">
        <f ca="1">IFERROR(__xludf.DUMMYFUNCTION("""COMPUTED_VALUE"""),-0.737090498164813)</f>
        <v>-0.73709049816481298</v>
      </c>
      <c r="GV148" s="3">
        <f ca="1">IFERROR(__xludf.DUMMYFUNCTION("""COMPUTED_VALUE"""),-0.7015512214985)</f>
        <v>-0.70155122149850002</v>
      </c>
      <c r="GW148" s="3">
        <f ca="1">IFERROR(__xludf.DUMMYFUNCTION("""COMPUTED_VALUE"""),-0.709225041927743)</f>
        <v>-0.70922504192774305</v>
      </c>
      <c r="GX148" s="3">
        <f ca="1">IFERROR(__xludf.DUMMYFUNCTION("""COMPUTED_VALUE"""),-0.684279939763647)</f>
        <v>-0.68427993976364698</v>
      </c>
      <c r="GY148" s="3">
        <f ca="1">IFERROR(__xludf.DUMMYFUNCTION("""COMPUTED_VALUE"""),-0.627194593708363)</f>
        <v>-0.62719459370836295</v>
      </c>
      <c r="GZ148" s="3">
        <f ca="1">IFERROR(__xludf.DUMMYFUNCTION("""COMPUTED_VALUE"""),-0.619914539267318)</f>
        <v>-0.61991453926731799</v>
      </c>
      <c r="HA148" s="3">
        <f ca="1">IFERROR(__xludf.DUMMYFUNCTION("""COMPUTED_VALUE"""),-0.72220129389886)</f>
        <v>-0.72220129389886001</v>
      </c>
      <c r="HB148" s="3">
        <f ca="1">IFERROR(__xludf.DUMMYFUNCTION("""COMPUTED_VALUE"""),-0.698586978593618)</f>
        <v>-0.69858697859361796</v>
      </c>
      <c r="HC148" s="3">
        <f ca="1">IFERROR(__xludf.DUMMYFUNCTION("""COMPUTED_VALUE"""),-0.693713061557866)</f>
        <v>-0.69371306155786605</v>
      </c>
      <c r="HD148" s="3">
        <f ca="1">IFERROR(__xludf.DUMMYFUNCTION("""COMPUTED_VALUE"""),-0.695575668435012)</f>
        <v>-0.69557566843501195</v>
      </c>
      <c r="HE148" s="3">
        <f ca="1">IFERROR(__xludf.DUMMYFUNCTION("""COMPUTED_VALUE"""),-0.676974032830859)</f>
        <v>-0.676974032830859</v>
      </c>
      <c r="HF148" s="3">
        <f ca="1">IFERROR(__xludf.DUMMYFUNCTION("""COMPUTED_VALUE"""),-0.562351447548966)</f>
        <v>-0.56235144754896604</v>
      </c>
      <c r="HG148" s="3">
        <f ca="1">IFERROR(__xludf.DUMMYFUNCTION("""COMPUTED_VALUE"""),-0.580424496518273)</f>
        <v>-0.58042449651827299</v>
      </c>
      <c r="HH148" s="3">
        <f ca="1">IFERROR(__xludf.DUMMYFUNCTION("""COMPUTED_VALUE"""),-0.683414489384568)</f>
        <v>-0.68341448938456795</v>
      </c>
      <c r="HI148" s="3">
        <f ca="1">IFERROR(__xludf.DUMMYFUNCTION("""COMPUTED_VALUE"""),-0.688453130050343)</f>
        <v>-0.68845313005034303</v>
      </c>
      <c r="HJ148" s="3">
        <f ca="1">IFERROR(__xludf.DUMMYFUNCTION("""COMPUTED_VALUE"""),-0.67836027244887)</f>
        <v>-0.67836027244886998</v>
      </c>
      <c r="HK148" s="3">
        <f ca="1">IFERROR(__xludf.DUMMYFUNCTION("""COMPUTED_VALUE"""),-0.676664446905394)</f>
        <v>-0.67666444690539396</v>
      </c>
      <c r="HL148" s="3">
        <f ca="1">IFERROR(__xludf.DUMMYFUNCTION("""COMPUTED_VALUE"""),-0.673722282782812)</f>
        <v>-0.67372228278281199</v>
      </c>
      <c r="HM148" s="3">
        <f ca="1">IFERROR(__xludf.DUMMYFUNCTION("""COMPUTED_VALUE"""),-0.461936461475105)</f>
        <v>-0.46193646147510498</v>
      </c>
      <c r="HN148" s="3">
        <f ca="1">IFERROR(__xludf.DUMMYFUNCTION("""COMPUTED_VALUE"""),-0.585762783846082)</f>
        <v>-0.58576278384608205</v>
      </c>
      <c r="HO148" s="3">
        <f ca="1">IFERROR(__xludf.DUMMYFUNCTION("""COMPUTED_VALUE"""),-0.659408130215387)</f>
        <v>-0.65940813021538702</v>
      </c>
      <c r="HP148" s="3">
        <f ca="1">IFERROR(__xludf.DUMMYFUNCTION("""COMPUTED_VALUE"""),-0.663129954998607)</f>
        <v>-0.66312995499860705</v>
      </c>
      <c r="HQ148" s="3">
        <f ca="1">IFERROR(__xludf.DUMMYFUNCTION("""COMPUTED_VALUE"""),-0.711067402858246)</f>
        <v>-0.71106740285824599</v>
      </c>
      <c r="HR148" s="3">
        <f ca="1">IFERROR(__xludf.DUMMYFUNCTION("""COMPUTED_VALUE"""),-0.708437868397224)</f>
        <v>-0.708437868397224</v>
      </c>
      <c r="HS148" s="3">
        <f ca="1">IFERROR(__xludf.DUMMYFUNCTION("""COMPUTED_VALUE"""),-0.649119589013823)</f>
        <v>-0.64911958901382305</v>
      </c>
      <c r="HT148" s="3">
        <f ca="1">IFERROR(__xludf.DUMMYFUNCTION("""COMPUTED_VALUE"""),-0.528691265736099)</f>
        <v>-0.52869126573609904</v>
      </c>
      <c r="HU148" s="3">
        <f ca="1">IFERROR(__xludf.DUMMYFUNCTION("""COMPUTED_VALUE"""),-0.615492973121609)</f>
        <v>-0.615492973121609</v>
      </c>
      <c r="HV148" s="3">
        <f ca="1">IFERROR(__xludf.DUMMYFUNCTION("""COMPUTED_VALUE"""),-0.651116275593546)</f>
        <v>-0.65111627559354601</v>
      </c>
      <c r="HW148" s="3">
        <f ca="1">IFERROR(__xludf.DUMMYFUNCTION("""COMPUTED_VALUE"""),-0.684725919276713)</f>
        <v>-0.684725919276713</v>
      </c>
      <c r="HX148" s="3">
        <f ca="1">IFERROR(__xludf.DUMMYFUNCTION("""COMPUTED_VALUE"""),-0.665555844304947)</f>
        <v>-0.66555584430494696</v>
      </c>
      <c r="HY148" s="3">
        <f ca="1">IFERROR(__xludf.DUMMYFUNCTION("""COMPUTED_VALUE"""),-0.687546561716496)</f>
        <v>-0.68754656171649597</v>
      </c>
      <c r="HZ148" s="3">
        <f ca="1">IFERROR(__xludf.DUMMYFUNCTION("""COMPUTED_VALUE"""),-0.606071856002833)</f>
        <v>-0.60607185600283298</v>
      </c>
      <c r="IA148" s="3">
        <f ca="1">IFERROR(__xludf.DUMMYFUNCTION("""COMPUTED_VALUE"""),-0.543255856760655)</f>
        <v>-0.54325585676065502</v>
      </c>
      <c r="IB148" s="3">
        <f ca="1">IFERROR(__xludf.DUMMYFUNCTION("""COMPUTED_VALUE"""),-0.540807528271879)</f>
        <v>-0.54080752827187895</v>
      </c>
      <c r="IC148" s="3">
        <f ca="1">IFERROR(__xludf.DUMMYFUNCTION("""COMPUTED_VALUE"""),-0.634624390878263)</f>
        <v>-0.63462439087826295</v>
      </c>
      <c r="ID148" s="3">
        <f ca="1">IFERROR(__xludf.DUMMYFUNCTION("""COMPUTED_VALUE"""),-0.643671853951365)</f>
        <v>-0.64367185395136495</v>
      </c>
      <c r="IE148" s="3">
        <f ca="1">IFERROR(__xludf.DUMMYFUNCTION("""COMPUTED_VALUE"""),-0.630808608258816)</f>
        <v>-0.63080860825881602</v>
      </c>
      <c r="IF148" s="3">
        <f ca="1">IFERROR(__xludf.DUMMYFUNCTION("""COMPUTED_VALUE"""),-0.632319854757226)</f>
        <v>-0.63231985475722596</v>
      </c>
      <c r="IG148" s="3">
        <f ca="1">IFERROR(__xludf.DUMMYFUNCTION("""COMPUTED_VALUE"""),-0.649643643215719)</f>
        <v>-0.64964364321571899</v>
      </c>
      <c r="IH148" s="3">
        <f ca="1">IFERROR(__xludf.DUMMYFUNCTION("""COMPUTED_VALUE"""),-0.580972194178755)</f>
        <v>-0.58097219417875501</v>
      </c>
      <c r="II148" s="3">
        <f ca="1">IFERROR(__xludf.DUMMYFUNCTION("""COMPUTED_VALUE"""),-0.555388527707672)</f>
        <v>-0.555388527707672</v>
      </c>
      <c r="IJ148" s="3">
        <f ca="1">IFERROR(__xludf.DUMMYFUNCTION("""COMPUTED_VALUE"""),-0.64169294959414)</f>
        <v>-0.64169294959414003</v>
      </c>
      <c r="IK148" s="3">
        <f ca="1">IFERROR(__xludf.DUMMYFUNCTION("""COMPUTED_VALUE"""),-0.616155677814266)</f>
        <v>-0.61615567781426595</v>
      </c>
      <c r="IL148" s="3">
        <f ca="1">IFERROR(__xludf.DUMMYFUNCTION("""COMPUTED_VALUE"""),-0.627099120140829)</f>
        <v>-0.62709912014082902</v>
      </c>
      <c r="IM148" s="3">
        <f ca="1">IFERROR(__xludf.DUMMYFUNCTION("""COMPUTED_VALUE"""),-0.6401501528483)</f>
        <v>-0.64015015284830001</v>
      </c>
      <c r="IN148" s="3">
        <f ca="1">IFERROR(__xludf.DUMMYFUNCTION("""COMPUTED_VALUE"""),-0.584497454479335)</f>
        <v>-0.58449745447933499</v>
      </c>
      <c r="IO148" s="3">
        <f ca="1">IFERROR(__xludf.DUMMYFUNCTION("""COMPUTED_VALUE"""),-0.502018475636636)</f>
        <v>-0.50201847563663604</v>
      </c>
      <c r="IP148" s="3">
        <f ca="1">IFERROR(__xludf.DUMMYFUNCTION("""COMPUTED_VALUE"""),-0.539957288377934)</f>
        <v>-0.539957288377934</v>
      </c>
      <c r="IQ148" s="3">
        <f ca="1">IFERROR(__xludf.DUMMYFUNCTION("""COMPUTED_VALUE"""),-0.617174730431557)</f>
        <v>-0.61717473043155702</v>
      </c>
      <c r="IR148" s="3">
        <f ca="1">IFERROR(__xludf.DUMMYFUNCTION("""COMPUTED_VALUE"""),-0.625611113819303)</f>
        <v>-0.62561111381930301</v>
      </c>
      <c r="IS148" s="3">
        <f ca="1">IFERROR(__xludf.DUMMYFUNCTION("""COMPUTED_VALUE"""),-0.620562997019766)</f>
        <v>-0.62056299701976603</v>
      </c>
      <c r="IT148" s="3">
        <f ca="1">IFERROR(__xludf.DUMMYFUNCTION("""COMPUTED_VALUE"""),-0.640426937298251)</f>
        <v>-0.64042693729825095</v>
      </c>
      <c r="IU148" s="3">
        <f ca="1">IFERROR(__xludf.DUMMYFUNCTION("""COMPUTED_VALUE"""),-0.603261480526484)</f>
        <v>-0.60326148052648398</v>
      </c>
      <c r="IV148" s="3">
        <f ca="1">IFERROR(__xludf.DUMMYFUNCTION("""COMPUTED_VALUE"""),-0.590780561107999)</f>
        <v>-0.59078056110799904</v>
      </c>
      <c r="IW148" s="3">
        <f ca="1">IFERROR(__xludf.DUMMYFUNCTION("""COMPUTED_VALUE"""),-0.593476744434855)</f>
        <v>-0.59347674443485499</v>
      </c>
      <c r="IX148" s="3">
        <f ca="1">IFERROR(__xludf.DUMMYFUNCTION("""COMPUTED_VALUE"""),-0.609637592286646)</f>
        <v>-0.60963759228664605</v>
      </c>
      <c r="IY148" s="3">
        <f ca="1">IFERROR(__xludf.DUMMYFUNCTION("""COMPUTED_VALUE"""),-0.629920911791174)</f>
        <v>-0.62992091179117404</v>
      </c>
      <c r="IZ148" s="3">
        <f ca="1">IFERROR(__xludf.DUMMYFUNCTION("""COMPUTED_VALUE"""),-0.662573383453376)</f>
        <v>-0.66257338345337602</v>
      </c>
      <c r="JA148" s="3">
        <f ca="1">IFERROR(__xludf.DUMMYFUNCTION("""COMPUTED_VALUE"""),-0.662092970957297)</f>
        <v>-0.66209297095729702</v>
      </c>
      <c r="JB148" s="3">
        <f ca="1">IFERROR(__xludf.DUMMYFUNCTION("""COMPUTED_VALUE"""),-0.639249785349287)</f>
        <v>-0.639249785349287</v>
      </c>
      <c r="JC148" s="3">
        <f ca="1">IFERROR(__xludf.DUMMYFUNCTION("""COMPUTED_VALUE"""),-0.593496978431426)</f>
        <v>-0.59349697843142601</v>
      </c>
      <c r="JD148" s="3">
        <f ca="1">IFERROR(__xludf.DUMMYFUNCTION("""COMPUTED_VALUE"""),-0.626439400780276)</f>
        <v>-0.62643940078027605</v>
      </c>
      <c r="JE148" s="3">
        <f ca="1">IFERROR(__xludf.DUMMYFUNCTION("""COMPUTED_VALUE"""),-0.65485450713038)</f>
        <v>-0.65485450713037996</v>
      </c>
      <c r="JF148" s="3">
        <f ca="1">IFERROR(__xludf.DUMMYFUNCTION("""COMPUTED_VALUE"""),-0.694328132198857)</f>
        <v>-0.69432813219885703</v>
      </c>
      <c r="JG148" s="3">
        <f ca="1">IFERROR(__xludf.DUMMYFUNCTION("""COMPUTED_VALUE"""),-0.667763961714936)</f>
        <v>-0.66776396171493602</v>
      </c>
      <c r="JH148" s="3">
        <f ca="1">IFERROR(__xludf.DUMMYFUNCTION("""COMPUTED_VALUE"""),-0.634495763121462)</f>
        <v>-0.63449576312146205</v>
      </c>
      <c r="JI148" s="3">
        <f ca="1">IFERROR(__xludf.DUMMYFUNCTION("""COMPUTED_VALUE"""),-0.684197305534346)</f>
        <v>-0.68419730553434599</v>
      </c>
      <c r="JJ148" s="3">
        <f ca="1">IFERROR(__xludf.DUMMYFUNCTION("""COMPUTED_VALUE"""),-0.638980547452467)</f>
        <v>-0.63898054745246702</v>
      </c>
      <c r="JK148" s="3">
        <f ca="1">IFERROR(__xludf.DUMMYFUNCTION("""COMPUTED_VALUE"""),-0.639374075807756)</f>
        <v>-0.63937407580775596</v>
      </c>
      <c r="JL148" s="3">
        <f ca="1">IFERROR(__xludf.DUMMYFUNCTION("""COMPUTED_VALUE"""),-0.684475471070477)</f>
        <v>-0.68447547107047702</v>
      </c>
      <c r="JM148" s="3">
        <f ca="1">IFERROR(__xludf.DUMMYFUNCTION("""COMPUTED_VALUE"""),-0.722175486577696)</f>
        <v>-0.72217548657769604</v>
      </c>
      <c r="JN148" s="3">
        <f ca="1">IFERROR(__xludf.DUMMYFUNCTION("""COMPUTED_VALUE"""),-0.657945682839405)</f>
        <v>-0.65794568283940502</v>
      </c>
      <c r="JO148" s="3">
        <f ca="1">IFERROR(__xludf.DUMMYFUNCTION("""COMPUTED_VALUE"""),-0.672766263171652)</f>
        <v>-0.672766263171652</v>
      </c>
      <c r="JP148" s="3">
        <f ca="1">IFERROR(__xludf.DUMMYFUNCTION("""COMPUTED_VALUE"""),-0.658998889018829)</f>
        <v>-0.65899888901882897</v>
      </c>
      <c r="JQ148" s="3">
        <f ca="1">IFERROR(__xludf.DUMMYFUNCTION("""COMPUTED_VALUE"""),-0.609146390814097)</f>
        <v>-0.60914639081409705</v>
      </c>
      <c r="JR148" s="3">
        <f ca="1">IFERROR(__xludf.DUMMYFUNCTION("""COMPUTED_VALUE"""),-0.679392636023961)</f>
        <v>-0.67939263602396105</v>
      </c>
      <c r="JS148" s="3">
        <f ca="1">IFERROR(__xludf.DUMMYFUNCTION("""COMPUTED_VALUE"""),-0.695367752656199)</f>
        <v>-0.69536775265619899</v>
      </c>
      <c r="JT148" s="3">
        <f ca="1">IFERROR(__xludf.DUMMYFUNCTION("""COMPUTED_VALUE"""),-0.696723282114698)</f>
        <v>-0.69672328211469803</v>
      </c>
      <c r="JU148" s="3">
        <f ca="1">IFERROR(__xludf.DUMMYFUNCTION("""COMPUTED_VALUE"""),-0.682270245574018)</f>
        <v>-0.68227024557401805</v>
      </c>
      <c r="JV148" s="3">
        <f ca="1">IFERROR(__xludf.DUMMYFUNCTION("""COMPUTED_VALUE"""),-0.737183312446286)</f>
        <v>-0.73718331244628599</v>
      </c>
      <c r="JW148" s="3">
        <f ca="1">IFERROR(__xludf.DUMMYFUNCTION("""COMPUTED_VALUE"""),-0.71418053270304)</f>
        <v>-0.71418053270304005</v>
      </c>
      <c r="JX148" s="3">
        <f ca="1">IFERROR(__xludf.DUMMYFUNCTION("""COMPUTED_VALUE"""),-0.627235438480484)</f>
        <v>-0.62723543848048402</v>
      </c>
      <c r="JY148" s="3">
        <f ca="1">IFERROR(__xludf.DUMMYFUNCTION("""COMPUTED_VALUE"""),-0.66019985105415)</f>
        <v>-0.66019985105415002</v>
      </c>
      <c r="JZ148" s="3">
        <f ca="1">IFERROR(__xludf.DUMMYFUNCTION("""COMPUTED_VALUE"""),-0.714738599646825)</f>
        <v>-0.71473859964682496</v>
      </c>
      <c r="KA148" s="3">
        <f ca="1">IFERROR(__xludf.DUMMYFUNCTION("""COMPUTED_VALUE"""),-0.690967927877854)</f>
        <v>-0.69096792787785399</v>
      </c>
      <c r="KB148" s="3">
        <f ca="1">IFERROR(__xludf.DUMMYFUNCTION("""COMPUTED_VALUE"""),-0.683312357934359)</f>
        <v>-0.68331235793435896</v>
      </c>
      <c r="KC148" s="3">
        <f ca="1">IFERROR(__xludf.DUMMYFUNCTION("""COMPUTED_VALUE"""),-0.731753109439912)</f>
        <v>-0.73175310943991201</v>
      </c>
      <c r="KD148" s="3">
        <f ca="1">IFERROR(__xludf.DUMMYFUNCTION("""COMPUTED_VALUE"""),-0.701863701593665)</f>
        <v>-0.70186370159366496</v>
      </c>
      <c r="KE148" s="3">
        <f ca="1">IFERROR(__xludf.DUMMYFUNCTION("""COMPUTED_VALUE"""),-0.628470116867398)</f>
        <v>-0.62847011686739795</v>
      </c>
      <c r="KF148" s="3">
        <f ca="1">IFERROR(__xludf.DUMMYFUNCTION("""COMPUTED_VALUE"""),-0.687206251413402)</f>
        <v>-0.68720625141340197</v>
      </c>
      <c r="KG148" s="3">
        <f ca="1">IFERROR(__xludf.DUMMYFUNCTION("""COMPUTED_VALUE"""),-0.725493867108171)</f>
        <v>-0.72549386710817099</v>
      </c>
      <c r="KH148" s="3">
        <f ca="1">IFERROR(__xludf.DUMMYFUNCTION("""COMPUTED_VALUE"""),-0.748828146762937)</f>
        <v>-0.74882814676293696</v>
      </c>
      <c r="KI148" s="3">
        <f ca="1">IFERROR(__xludf.DUMMYFUNCTION("""COMPUTED_VALUE"""),-0.7574178082983)</f>
        <v>-0.75741780829829997</v>
      </c>
      <c r="KJ148" s="3">
        <f ca="1">IFERROR(__xludf.DUMMYFUNCTION("""COMPUTED_VALUE"""),-0.774798348721259)</f>
        <v>-0.77479834872125897</v>
      </c>
      <c r="KK148" s="3">
        <f ca="1">IFERROR(__xludf.DUMMYFUNCTION("""COMPUTED_VALUE"""),-0.783910967735085)</f>
        <v>-0.78391096773508495</v>
      </c>
      <c r="KL148" s="3">
        <f ca="1">IFERROR(__xludf.DUMMYFUNCTION("""COMPUTED_VALUE"""),-0.683500466750922)</f>
        <v>-0.68350046675092202</v>
      </c>
      <c r="KM148" s="3">
        <f ca="1">IFERROR(__xludf.DUMMYFUNCTION("""COMPUTED_VALUE"""),-0.677378656265128)</f>
        <v>-0.67737865626512805</v>
      </c>
      <c r="KN148" s="3">
        <f ca="1">IFERROR(__xludf.DUMMYFUNCTION("""COMPUTED_VALUE"""),-0.733209328008274)</f>
        <v>-0.73320932800827399</v>
      </c>
      <c r="KO148" s="3">
        <f ca="1">IFERROR(__xludf.DUMMYFUNCTION("""COMPUTED_VALUE"""),-0.77001818497044)</f>
        <v>-0.77001818497043995</v>
      </c>
      <c r="KP148" s="3">
        <f ca="1">IFERROR(__xludf.DUMMYFUNCTION("""COMPUTED_VALUE"""),-0.770454135459159)</f>
        <v>-0.77045413545915897</v>
      </c>
      <c r="KQ148" s="3">
        <f ca="1">IFERROR(__xludf.DUMMYFUNCTION("""COMPUTED_VALUE"""),-0.76149991149303)</f>
        <v>-0.76149991149302998</v>
      </c>
      <c r="KR148" s="3">
        <f ca="1">IFERROR(__xludf.DUMMYFUNCTION("""COMPUTED_VALUE"""),-0.80148164163915)</f>
        <v>-0.80148164163915003</v>
      </c>
      <c r="KS148" s="3">
        <f ca="1">IFERROR(__xludf.DUMMYFUNCTION("""COMPUTED_VALUE"""),-0.74149295828904)</f>
        <v>-0.74149295828904005</v>
      </c>
      <c r="KT148" s="3">
        <f ca="1">IFERROR(__xludf.DUMMYFUNCTION("""COMPUTED_VALUE"""),-0.738320795036301)</f>
        <v>-0.73832079503630099</v>
      </c>
      <c r="KU148" s="3">
        <f ca="1">IFERROR(__xludf.DUMMYFUNCTION("""COMPUTED_VALUE"""),-0.793476849833139)</f>
        <v>-0.79347684983313904</v>
      </c>
      <c r="KV148" s="3">
        <f ca="1">IFERROR(__xludf.DUMMYFUNCTION("""COMPUTED_VALUE"""),-0.806539841008849)</f>
        <v>-0.80653984100884901</v>
      </c>
      <c r="KW148" s="3">
        <f ca="1">IFERROR(__xludf.DUMMYFUNCTION("""COMPUTED_VALUE"""),-0.785606486943451)</f>
        <v>-0.78560648694345103</v>
      </c>
      <c r="KX148" s="3">
        <f ca="1">IFERROR(__xludf.DUMMYFUNCTION("""COMPUTED_VALUE"""),-0.799993807880482)</f>
        <v>-0.79999380788048202</v>
      </c>
      <c r="KY148" s="3">
        <f ca="1">IFERROR(__xludf.DUMMYFUNCTION("""COMPUTED_VALUE"""),-0.779390893389298)</f>
        <v>-0.77939089338929801</v>
      </c>
      <c r="KZ148" s="3">
        <f ca="1">IFERROR(__xludf.DUMMYFUNCTION("""COMPUTED_VALUE"""),-0.695071043593312)</f>
        <v>-0.69507104359331195</v>
      </c>
      <c r="LA148" s="3">
        <f ca="1">IFERROR(__xludf.DUMMYFUNCTION("""COMPUTED_VALUE"""),-0.717459242173338)</f>
        <v>-0.71745924217333801</v>
      </c>
      <c r="LB148" s="3">
        <f ca="1">IFERROR(__xludf.DUMMYFUNCTION("""COMPUTED_VALUE"""),-0.808150647097921)</f>
        <v>-0.80815064709792095</v>
      </c>
      <c r="LC148" s="3">
        <f ca="1">IFERROR(__xludf.DUMMYFUNCTION("""COMPUTED_VALUE"""),-0.774689959317532)</f>
        <v>-0.77468995931753204</v>
      </c>
      <c r="LD148" s="3">
        <f ca="1">IFERROR(__xludf.DUMMYFUNCTION("""COMPUTED_VALUE"""),-0.77164935785916)</f>
        <v>-0.77164935785916</v>
      </c>
      <c r="LE148" s="3">
        <f ca="1">IFERROR(__xludf.DUMMYFUNCTION("""COMPUTED_VALUE"""),-0.801688017879044)</f>
        <v>-0.80168801787904398</v>
      </c>
      <c r="LF148" s="3">
        <f ca="1">IFERROR(__xludf.DUMMYFUNCTION("""COMPUTED_VALUE"""),-0.79888501975338)</f>
        <v>-0.79888501975338</v>
      </c>
      <c r="LG148" s="3">
        <f ca="1">IFERROR(__xludf.DUMMYFUNCTION("""COMPUTED_VALUE"""),-0.777301035570777)</f>
        <v>-0.77730103557077701</v>
      </c>
      <c r="LH148" s="3">
        <f ca="1">IFERROR(__xludf.DUMMYFUNCTION("""COMPUTED_VALUE"""),-0.750576749502305)</f>
        <v>-0.75057674950230502</v>
      </c>
      <c r="LI148" s="3">
        <f ca="1">IFERROR(__xludf.DUMMYFUNCTION("""COMPUTED_VALUE"""),-0.845619461496675)</f>
        <v>-0.845619461496675</v>
      </c>
      <c r="LJ148" s="3">
        <f ca="1">IFERROR(__xludf.DUMMYFUNCTION("""COMPUTED_VALUE"""),-0.822384351765542)</f>
        <v>-0.82238435176554203</v>
      </c>
      <c r="LK148" s="3">
        <f ca="1">IFERROR(__xludf.DUMMYFUNCTION("""COMPUTED_VALUE"""),-0.784251332894666)</f>
        <v>-0.78425133289466598</v>
      </c>
      <c r="LL148" s="3">
        <f ca="1">IFERROR(__xludf.DUMMYFUNCTION("""COMPUTED_VALUE"""),-0.778160850471358)</f>
        <v>-0.77816085047135797</v>
      </c>
      <c r="LM148" s="3">
        <f ca="1">IFERROR(__xludf.DUMMYFUNCTION("""COMPUTED_VALUE"""),-0.791411256134296)</f>
        <v>-0.79141125613429597</v>
      </c>
      <c r="LN148" s="3">
        <f ca="1">IFERROR(__xludf.DUMMYFUNCTION("""COMPUTED_VALUE"""),-0.759270938393393)</f>
        <v>-0.75927093839339299</v>
      </c>
      <c r="LO148" s="3">
        <f ca="1">IFERROR(__xludf.DUMMYFUNCTION("""COMPUTED_VALUE"""),-0.74338019261984)</f>
        <v>-0.74338019261984001</v>
      </c>
      <c r="LP148" s="3">
        <f ca="1">IFERROR(__xludf.DUMMYFUNCTION("""COMPUTED_VALUE"""),-0.823451279494619)</f>
        <v>-0.82345127949461905</v>
      </c>
      <c r="LQ148" s="3">
        <f ca="1">IFERROR(__xludf.DUMMYFUNCTION("""COMPUTED_VALUE"""),-0.809774045890807)</f>
        <v>-0.80977404589080704</v>
      </c>
      <c r="LR148" s="3">
        <f ca="1">IFERROR(__xludf.DUMMYFUNCTION("""COMPUTED_VALUE"""),-0.809593136680243)</f>
        <v>-0.80959313668024302</v>
      </c>
      <c r="LS148" s="3">
        <f ca="1">IFERROR(__xludf.DUMMYFUNCTION("""COMPUTED_VALUE"""),-0.816412773541744)</f>
        <v>-0.81641277354174402</v>
      </c>
      <c r="LT148" s="3">
        <f ca="1">IFERROR(__xludf.DUMMYFUNCTION("""COMPUTED_VALUE"""),-0.819372284897718)</f>
        <v>-0.81937228489771796</v>
      </c>
      <c r="LU148" s="3">
        <f ca="1">IFERROR(__xludf.DUMMYFUNCTION("""COMPUTED_VALUE"""),-0.801121147036065)</f>
        <v>-0.80112114703606496</v>
      </c>
      <c r="LV148" s="3">
        <f ca="1">IFERROR(__xludf.DUMMYFUNCTION("""COMPUTED_VALUE"""),-0.775484754508889)</f>
        <v>-0.77548475450888898</v>
      </c>
      <c r="LW148" s="3">
        <f ca="1">IFERROR(__xludf.DUMMYFUNCTION("""COMPUTED_VALUE"""),-0.847304593521453)</f>
        <v>-0.84730459352145304</v>
      </c>
      <c r="LX148" s="3">
        <f ca="1">IFERROR(__xludf.DUMMYFUNCTION("""COMPUTED_VALUE"""),-0.864998039177582)</f>
        <v>-0.864998039177582</v>
      </c>
      <c r="LY148" s="3">
        <f ca="1">IFERROR(__xludf.DUMMYFUNCTION("""COMPUTED_VALUE"""),-0.861033962191471)</f>
        <v>-0.86103396219147099</v>
      </c>
      <c r="LZ148" s="3">
        <f ca="1">IFERROR(__xludf.DUMMYFUNCTION("""COMPUTED_VALUE"""),-0.839681639184652)</f>
        <v>-0.839681639184652</v>
      </c>
      <c r="MA148" s="3">
        <f ca="1">IFERROR(__xludf.DUMMYFUNCTION("""COMPUTED_VALUE"""),-0.822030699876621)</f>
        <v>-0.82203069987662103</v>
      </c>
      <c r="MB148" s="3">
        <f ca="1">IFERROR(__xludf.DUMMYFUNCTION("""COMPUTED_VALUE"""),-0.81049489528385)</f>
        <v>-0.81049489528384999</v>
      </c>
      <c r="MC148" s="3">
        <f ca="1">IFERROR(__xludf.DUMMYFUNCTION("""COMPUTED_VALUE"""),-0.857213086898377)</f>
        <v>-0.85721308689837705</v>
      </c>
      <c r="MD148" s="3">
        <f ca="1">IFERROR(__xludf.DUMMYFUNCTION("""COMPUTED_VALUE"""),-0.865576123035765)</f>
        <v>-0.86557612303576503</v>
      </c>
      <c r="ME148" s="3">
        <f ca="1">IFERROR(__xludf.DUMMYFUNCTION("""COMPUTED_VALUE"""),-0.846866556301367)</f>
        <v>-0.84686655630136698</v>
      </c>
      <c r="MF148" s="3">
        <f ca="1">IFERROR(__xludf.DUMMYFUNCTION("""COMPUTED_VALUE"""),-0.848125130829127)</f>
        <v>-0.84812513082912699</v>
      </c>
      <c r="MG148" s="3">
        <f ca="1">IFERROR(__xludf.DUMMYFUNCTION("""COMPUTED_VALUE"""),-0.857336433023794)</f>
        <v>-0.85733643302379403</v>
      </c>
      <c r="MH148" s="3">
        <f ca="1">IFERROR(__xludf.DUMMYFUNCTION("""COMPUTED_VALUE"""),-0.82406174928096)</f>
        <v>-0.82406174928095999</v>
      </c>
      <c r="MI148" s="3">
        <f ca="1">IFERROR(__xludf.DUMMYFUNCTION("""COMPUTED_VALUE"""),-0.812627168613433)</f>
        <v>-0.81262716861343298</v>
      </c>
      <c r="MJ148" s="3">
        <f ca="1">IFERROR(__xludf.DUMMYFUNCTION("""COMPUTED_VALUE"""),-0.850763819793401)</f>
        <v>-0.85076381979340099</v>
      </c>
      <c r="MK148" s="3">
        <f ca="1">IFERROR(__xludf.DUMMYFUNCTION("""COMPUTED_VALUE"""),-0.814247222612019)</f>
        <v>-0.81424722261201898</v>
      </c>
      <c r="ML148" s="3">
        <f ca="1">IFERROR(__xludf.DUMMYFUNCTION("""COMPUTED_VALUE"""),-0.653674847179603)</f>
        <v>-0.653674847179603</v>
      </c>
      <c r="MM148" s="3">
        <f ca="1">IFERROR(__xludf.DUMMYFUNCTION("""COMPUTED_VALUE"""),-0.552375264577097)</f>
        <v>-0.55237526457709696</v>
      </c>
      <c r="MN148" s="3">
        <f ca="1">IFERROR(__xludf.DUMMYFUNCTION("""COMPUTED_VALUE"""),-0.862828452870414)</f>
        <v>-0.86282845287041399</v>
      </c>
      <c r="MO148" s="3">
        <f ca="1">IFERROR(__xludf.DUMMYFUNCTION("""COMPUTED_VALUE"""),-0.857028984277553)</f>
        <v>-0.85702898427755303</v>
      </c>
      <c r="MP148" s="3">
        <f ca="1">IFERROR(__xludf.DUMMYFUNCTION("""COMPUTED_VALUE"""),-0.808270686142454)</f>
        <v>-0.80827068614245401</v>
      </c>
      <c r="MQ148" s="3">
        <f ca="1">IFERROR(__xludf.DUMMYFUNCTION("""COMPUTED_VALUE"""),-0.850753715222498)</f>
        <v>-0.85075371522249799</v>
      </c>
      <c r="MR148" s="3">
        <f ca="1">IFERROR(__xludf.DUMMYFUNCTION("""COMPUTED_VALUE"""),-0.830639223213326)</f>
        <v>-0.83063922321332595</v>
      </c>
      <c r="MS148" s="3">
        <f ca="1">IFERROR(__xludf.DUMMYFUNCTION("""COMPUTED_VALUE"""),-0.855064615770575)</f>
        <v>-0.85506461577057502</v>
      </c>
      <c r="MT148" s="3">
        <f ca="1">IFERROR(__xludf.DUMMYFUNCTION("""COMPUTED_VALUE"""),-0.837353133765255)</f>
        <v>-0.837353133765255</v>
      </c>
      <c r="MU148" s="3">
        <f ca="1">IFERROR(__xludf.DUMMYFUNCTION("""COMPUTED_VALUE"""),-0.837093346246921)</f>
        <v>-0.837093346246921</v>
      </c>
      <c r="MV148" s="3">
        <f ca="1">IFERROR(__xludf.DUMMYFUNCTION("""COMPUTED_VALUE"""),-0.812886542738808)</f>
        <v>-0.812886542738808</v>
      </c>
      <c r="MW148" s="3">
        <f ca="1">IFERROR(__xludf.DUMMYFUNCTION("""COMPUTED_VALUE"""),-0.830768210079366)</f>
        <v>-0.83076821007936597</v>
      </c>
      <c r="MX148" s="3">
        <f ca="1">IFERROR(__xludf.DUMMYFUNCTION("""COMPUTED_VALUE"""),-0.862068945573617)</f>
        <v>-0.86206894557361702</v>
      </c>
      <c r="MY148" s="3">
        <f ca="1">IFERROR(__xludf.DUMMYFUNCTION("""COMPUTED_VALUE"""),-0.822493697731466)</f>
        <v>-0.82249369773146597</v>
      </c>
      <c r="MZ148" s="3">
        <f ca="1">IFERROR(__xludf.DUMMYFUNCTION("""COMPUTED_VALUE"""),-0.866399383561478)</f>
        <v>-0.86639938356147805</v>
      </c>
      <c r="NA148" s="3">
        <f ca="1">IFERROR(__xludf.DUMMYFUNCTION("""COMPUTED_VALUE"""),-0.861137769584351)</f>
        <v>-0.86113776958435095</v>
      </c>
      <c r="NB148" s="3">
        <f ca="1">IFERROR(__xludf.DUMMYFUNCTION("""COMPUTED_VALUE"""),-0.844843444500032)</f>
        <v>-0.84484344450003201</v>
      </c>
      <c r="NC148" s="3">
        <f ca="1">IFERROR(__xludf.DUMMYFUNCTION("""COMPUTED_VALUE"""),-0.824891917055288)</f>
        <v>-0.82489191705528797</v>
      </c>
      <c r="ND148" s="3">
        <f ca="1">IFERROR(__xludf.DUMMYFUNCTION("""COMPUTED_VALUE"""),-0.816352503942183)</f>
        <v>-0.81635250394218295</v>
      </c>
      <c r="NE148" s="3">
        <f ca="1">IFERROR(__xludf.DUMMYFUNCTION("""COMPUTED_VALUE"""),-0.817676572819422)</f>
        <v>-0.81767657281942197</v>
      </c>
      <c r="NF148" s="3">
        <f ca="1">IFERROR(__xludf.DUMMYFUNCTION("""COMPUTED_VALUE"""),-0.803742743439591)</f>
        <v>-0.80374274343959096</v>
      </c>
      <c r="NG148" s="3">
        <f ca="1">IFERROR(__xludf.DUMMYFUNCTION("""COMPUTED_VALUE"""),-0.83004504582686)</f>
        <v>-0.83004504582686001</v>
      </c>
      <c r="NH148" s="3">
        <f ca="1">IFERROR(__xludf.DUMMYFUNCTION("""COMPUTED_VALUE"""),-0.808326444267701)</f>
        <v>-0.80832644426770095</v>
      </c>
      <c r="NI148" s="3">
        <f ca="1">IFERROR(__xludf.DUMMYFUNCTION("""COMPUTED_VALUE"""),-0.811851317420149)</f>
        <v>-0.81185131742014904</v>
      </c>
      <c r="NJ148" s="3">
        <f ca="1">IFERROR(__xludf.DUMMYFUNCTION("""COMPUTED_VALUE"""),-0.827175024292732)</f>
        <v>-0.82717502429273204</v>
      </c>
      <c r="NK148" s="3">
        <f ca="1">IFERROR(__xludf.DUMMYFUNCTION("""COMPUTED_VALUE"""),-0.763844147063015)</f>
        <v>-0.76384414706301496</v>
      </c>
      <c r="NL148" s="3">
        <f ca="1">IFERROR(__xludf.DUMMYFUNCTION("""COMPUTED_VALUE"""),-0.806637105563864)</f>
        <v>-0.80663710556386403</v>
      </c>
      <c r="NM148" s="3">
        <f ca="1">IFERROR(__xludf.DUMMYFUNCTION("""COMPUTED_VALUE"""),-0.809148269720961)</f>
        <v>-0.80914826972096099</v>
      </c>
      <c r="NN148" s="3">
        <f ca="1">IFERROR(__xludf.DUMMYFUNCTION("""COMPUTED_VALUE"""),-0.775859794141125)</f>
        <v>-0.77585979414112505</v>
      </c>
      <c r="NO148" s="3">
        <f ca="1">IFERROR(__xludf.DUMMYFUNCTION("""COMPUTED_VALUE"""),-0.760094162991874)</f>
        <v>-0.76009416299187404</v>
      </c>
      <c r="NP148" s="3">
        <f ca="1">IFERROR(__xludf.DUMMYFUNCTION("""COMPUTED_VALUE"""),-0.765523700350577)</f>
        <v>-0.76552370035057704</v>
      </c>
      <c r="NQ148" s="3">
        <f ca="1">IFERROR(__xludf.DUMMYFUNCTION("""COMPUTED_VALUE"""),-0.779039449320126)</f>
        <v>-0.77903944932012603</v>
      </c>
      <c r="NR148" s="3">
        <f ca="1">IFERROR(__xludf.DUMMYFUNCTION("""COMPUTED_VALUE"""),-0.776628138080526)</f>
        <v>-0.776628138080526</v>
      </c>
      <c r="NS148" s="3">
        <f ca="1">IFERROR(__xludf.DUMMYFUNCTION("""COMPUTED_VALUE"""),-0.820684198709692)</f>
        <v>-0.820684198709692</v>
      </c>
      <c r="NT148" s="3">
        <f ca="1">IFERROR(__xludf.DUMMYFUNCTION("""COMPUTED_VALUE"""),-0.837504338344629)</f>
        <v>-0.83750433834462901</v>
      </c>
      <c r="NU148" s="3">
        <f ca="1">IFERROR(__xludf.DUMMYFUNCTION("""COMPUTED_VALUE"""),-0.81337569337868)</f>
        <v>-0.81337569337867999</v>
      </c>
      <c r="NV148" s="3">
        <f ca="1">IFERROR(__xludf.DUMMYFUNCTION("""COMPUTED_VALUE"""),-0.801305694278625)</f>
        <v>-0.80130569427862497</v>
      </c>
      <c r="NW148" s="3">
        <f ca="1">IFERROR(__xludf.DUMMYFUNCTION("""COMPUTED_VALUE"""),-0.746662400832235)</f>
        <v>-0.74666240083223501</v>
      </c>
      <c r="NX148" s="3">
        <f ca="1">IFERROR(__xludf.DUMMYFUNCTION("""COMPUTED_VALUE"""),-0.765082644471469)</f>
        <v>-0.76508264447146901</v>
      </c>
      <c r="NY148" s="3">
        <f ca="1">IFERROR(__xludf.DUMMYFUNCTION("""COMPUTED_VALUE"""),-0.696366669466893)</f>
        <v>-0.69636666946689296</v>
      </c>
      <c r="NZ148" s="3">
        <f ca="1">IFERROR(__xludf.DUMMYFUNCTION("""COMPUTED_VALUE"""),-0.742717023154831)</f>
        <v>-0.74271702315483101</v>
      </c>
      <c r="OA148" s="3">
        <f ca="1">IFERROR(__xludf.DUMMYFUNCTION("""COMPUTED_VALUE"""),-0.748768181923159)</f>
        <v>-0.74876818192315897</v>
      </c>
      <c r="OB148" s="3">
        <f ca="1">IFERROR(__xludf.DUMMYFUNCTION("""COMPUTED_VALUE"""),-0.676651532176829)</f>
        <v>-0.67665153217682905</v>
      </c>
      <c r="OC148" s="3">
        <f ca="1">IFERROR(__xludf.DUMMYFUNCTION("""COMPUTED_VALUE"""),-0.651923782521965)</f>
        <v>-0.65192378252196503</v>
      </c>
      <c r="OD148" s="3">
        <f ca="1">IFERROR(__xludf.DUMMYFUNCTION("""COMPUTED_VALUE"""),-0.606202763009801)</f>
        <v>-0.60620276300980103</v>
      </c>
      <c r="OE148" s="3">
        <f ca="1">IFERROR(__xludf.DUMMYFUNCTION("""COMPUTED_VALUE"""),-0.481657758971857)</f>
        <v>-0.48165775897185698</v>
      </c>
      <c r="OF148" s="3">
        <f ca="1">IFERROR(__xludf.DUMMYFUNCTION("""COMPUTED_VALUE"""),-0.375939594677047)</f>
        <v>-0.37593959467704702</v>
      </c>
      <c r="OG148" s="3">
        <f ca="1">IFERROR(__xludf.DUMMYFUNCTION("""COMPUTED_VALUE"""),-0.373956351685846)</f>
        <v>-0.37395635168584601</v>
      </c>
      <c r="OH148" s="3">
        <f ca="1">IFERROR(__xludf.DUMMYFUNCTION("""COMPUTED_VALUE"""),-0.290640992386331)</f>
        <v>-0.29064099238633101</v>
      </c>
      <c r="OI148" s="3">
        <f ca="1">IFERROR(__xludf.DUMMYFUNCTION("""COMPUTED_VALUE"""),-0.148865861107464)</f>
        <v>-0.148865861107464</v>
      </c>
      <c r="OJ148" s="3">
        <f ca="1">IFERROR(__xludf.DUMMYFUNCTION("""COMPUTED_VALUE"""),-0.0472377496723337)</f>
        <v>-4.7237749672333698E-2</v>
      </c>
      <c r="OK148" s="3">
        <f ca="1">IFERROR(__xludf.DUMMYFUNCTION("""COMPUTED_VALUE"""),-0.10750636156408)</f>
        <v>-0.10750636156408</v>
      </c>
      <c r="OL148" s="3">
        <f ca="1">IFERROR(__xludf.DUMMYFUNCTION("""COMPUTED_VALUE"""),-0.0626683326472817)</f>
        <v>-6.2668332647281694E-2</v>
      </c>
      <c r="OM148" s="3">
        <f ca="1">IFERROR(__xludf.DUMMYFUNCTION("""COMPUTED_VALUE"""),0.0421041814361686)</f>
        <v>4.2104181436168599E-2</v>
      </c>
      <c r="ON148" s="3">
        <f ca="1">IFERROR(__xludf.DUMMYFUNCTION("""COMPUTED_VALUE"""),0.0227369638490142)</f>
        <v>2.2736963849014202E-2</v>
      </c>
      <c r="OO148" s="3">
        <f ca="1">IFERROR(__xludf.DUMMYFUNCTION("""COMPUTED_VALUE"""),-0.099277049626448)</f>
        <v>-9.9277049626447997E-2</v>
      </c>
      <c r="OP148" s="3">
        <f ca="1">IFERROR(__xludf.DUMMYFUNCTION("""COMPUTED_VALUE"""),-0.00746189290419518)</f>
        <v>-7.46189290419518E-3</v>
      </c>
      <c r="OQ148" s="3">
        <f ca="1">IFERROR(__xludf.DUMMYFUNCTION("""COMPUTED_VALUE"""),-0.0556328037675735)</f>
        <v>-5.5632803767573499E-2</v>
      </c>
      <c r="OR148" s="3">
        <f ca="1">IFERROR(__xludf.DUMMYFUNCTION("""COMPUTED_VALUE"""),-0.0278087546876929)</f>
        <v>-2.7808754687692901E-2</v>
      </c>
      <c r="OS148" s="3">
        <f ca="1">IFERROR(__xludf.DUMMYFUNCTION("""COMPUTED_VALUE"""),-0.0663779489114283)</f>
        <v>-6.63779489114283E-2</v>
      </c>
      <c r="OT148" s="3">
        <f ca="1">IFERROR(__xludf.DUMMYFUNCTION("""COMPUTED_VALUE"""),0.038498421046381)</f>
        <v>3.8498421046381001E-2</v>
      </c>
      <c r="OU148" s="3">
        <f ca="1">IFERROR(__xludf.DUMMYFUNCTION("""COMPUTED_VALUE"""),-0.065094917642192)</f>
        <v>-6.5094917642191996E-2</v>
      </c>
      <c r="OV148" s="3">
        <f ca="1">IFERROR(__xludf.DUMMYFUNCTION("""COMPUTED_VALUE"""),-0.10031844501808)</f>
        <v>-0.10031844501808</v>
      </c>
      <c r="OW148" s="3">
        <f ca="1">IFERROR(__xludf.DUMMYFUNCTION("""COMPUTED_VALUE"""),-0.113899731464538)</f>
        <v>-0.113899731464538</v>
      </c>
      <c r="OX148" s="3">
        <f ca="1">IFERROR(__xludf.DUMMYFUNCTION("""COMPUTED_VALUE"""),-0.0414981844621579)</f>
        <v>-4.1498184462157903E-2</v>
      </c>
      <c r="OY148" s="3">
        <f ca="1">IFERROR(__xludf.DUMMYFUNCTION("""COMPUTED_VALUE"""),0.04317534060709)</f>
        <v>4.3175340607090003E-2</v>
      </c>
      <c r="OZ148" s="3">
        <f ca="1">IFERROR(__xludf.DUMMYFUNCTION("""COMPUTED_VALUE"""),0.0574864976713247)</f>
        <v>5.7486497671324702E-2</v>
      </c>
      <c r="PA148" s="3">
        <f ca="1">IFERROR(__xludf.DUMMYFUNCTION("""COMPUTED_VALUE"""),0.187730053924868)</f>
        <v>0.187730053924868</v>
      </c>
      <c r="PB148" s="3">
        <f ca="1">IFERROR(__xludf.DUMMYFUNCTION("""COMPUTED_VALUE"""),0.199390839545545)</f>
        <v>0.19939083954554501</v>
      </c>
      <c r="PC148" s="3">
        <f ca="1">IFERROR(__xludf.DUMMYFUNCTION("""COMPUTED_VALUE"""),0.0560764496681909)</f>
        <v>5.6076449668190899E-2</v>
      </c>
      <c r="PD148" s="3">
        <f ca="1">IFERROR(__xludf.DUMMYFUNCTION("""COMPUTED_VALUE"""),-0.0677008252783762)</f>
        <v>-6.7700825278376203E-2</v>
      </c>
      <c r="PE148" s="3">
        <f ca="1">IFERROR(__xludf.DUMMYFUNCTION("""COMPUTED_VALUE"""),-0.0046014529360101)</f>
        <v>-4.6014529360101E-3</v>
      </c>
      <c r="PF148" s="3">
        <f ca="1">IFERROR(__xludf.DUMMYFUNCTION("""COMPUTED_VALUE"""),0.0778967579096923)</f>
        <v>7.7896757909692305E-2</v>
      </c>
      <c r="PG148" s="3">
        <f ca="1">IFERROR(__xludf.DUMMYFUNCTION("""COMPUTED_VALUE"""),-0.139573934813607)</f>
        <v>-0.139573934813607</v>
      </c>
      <c r="PH148" s="3">
        <f ca="1">IFERROR(__xludf.DUMMYFUNCTION("""COMPUTED_VALUE"""),0.134222997884872)</f>
        <v>0.13422299788487199</v>
      </c>
      <c r="PI148" s="3">
        <f ca="1">IFERROR(__xludf.DUMMYFUNCTION("""COMPUTED_VALUE"""),0.0731532763639311)</f>
        <v>7.3153276363931097E-2</v>
      </c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</row>
    <row r="149" spans="1:477" ht="13">
      <c r="A149" s="1" t="str">
        <f ca="1">IFERROR(__xludf.DUMMYFUNCTION("""COMPUTED_VALUE"""),"Durham Region Transit")</f>
        <v>Durham Region Transit</v>
      </c>
      <c r="B149" s="1" t="str">
        <f ca="1">IFERROR(__xludf.DUMMYFUNCTION("""COMPUTED_VALUE"""),"Toronto")</f>
        <v>Toronto</v>
      </c>
      <c r="C149" s="1" t="str">
        <f ca="1">IFERROR(__xludf.DUMMYFUNCTION("""COMPUTED_VALUE"""),"Canada")</f>
        <v>Canada</v>
      </c>
      <c r="D149" s="1" t="str">
        <f ca="1">IFERROR(__xludf.DUMMYFUNCTION("""COMPUTED_VALUE"""),"Ontario")</f>
        <v>Ontario</v>
      </c>
      <c r="E149" s="3">
        <f ca="1">IFERROR(__xludf.DUMMYFUNCTION("""COMPUTED_VALUE"""),-0.674499841357286)</f>
        <v>-0.67449984135728602</v>
      </c>
      <c r="F149" s="3">
        <f ca="1">IFERROR(__xludf.DUMMYFUNCTION("""COMPUTED_VALUE"""),-0.700353829816099)</f>
        <v>-0.70035382981609895</v>
      </c>
      <c r="G149" s="3">
        <f ca="1">IFERROR(__xludf.DUMMYFUNCTION("""COMPUTED_VALUE"""),-0.754606546719996)</f>
        <v>-0.75460654671999605</v>
      </c>
      <c r="H149" s="3">
        <f ca="1">IFERROR(__xludf.DUMMYFUNCTION("""COMPUTED_VALUE"""),-0.722985692002892)</f>
        <v>-0.72298569200289198</v>
      </c>
      <c r="I149" s="3">
        <f ca="1">IFERROR(__xludf.DUMMYFUNCTION("""COMPUTED_VALUE"""),-0.726790656819279)</f>
        <v>-0.72679065681927901</v>
      </c>
      <c r="J149" s="3">
        <f ca="1">IFERROR(__xludf.DUMMYFUNCTION("""COMPUTED_VALUE"""),-0.738689711594199)</f>
        <v>-0.73868971159419905</v>
      </c>
      <c r="K149" s="3">
        <f ca="1">IFERROR(__xludf.DUMMYFUNCTION("""COMPUTED_VALUE"""),-0.656884053925358)</f>
        <v>-0.65688405392535798</v>
      </c>
      <c r="L149" s="3">
        <f ca="1">IFERROR(__xludf.DUMMYFUNCTION("""COMPUTED_VALUE"""),-0.624395376830364)</f>
        <v>-0.62439537683036395</v>
      </c>
      <c r="M149" s="3">
        <f ca="1">IFERROR(__xludf.DUMMYFUNCTION("""COMPUTED_VALUE"""),-0.786897098943794)</f>
        <v>-0.786897098943794</v>
      </c>
      <c r="N149" s="3">
        <f ca="1">IFERROR(__xludf.DUMMYFUNCTION("""COMPUTED_VALUE"""),-0.697756862924098)</f>
        <v>-0.697756862924098</v>
      </c>
      <c r="O149" s="3">
        <f ca="1">IFERROR(__xludf.DUMMYFUNCTION("""COMPUTED_VALUE"""),-0.710368654298527)</f>
        <v>-0.71036865429852702</v>
      </c>
      <c r="P149" s="3">
        <f ca="1">IFERROR(__xludf.DUMMYFUNCTION("""COMPUTED_VALUE"""),-0.704940287304405)</f>
        <v>-0.70494028730440506</v>
      </c>
      <c r="Q149" s="3">
        <f ca="1">IFERROR(__xludf.DUMMYFUNCTION("""COMPUTED_VALUE"""),-0.703212018311042)</f>
        <v>-0.70321201831104196</v>
      </c>
      <c r="R149" s="3">
        <f ca="1">IFERROR(__xludf.DUMMYFUNCTION("""COMPUTED_VALUE"""),-0.59924350567844)</f>
        <v>-0.59924350567843998</v>
      </c>
      <c r="S149" s="3">
        <f ca="1">IFERROR(__xludf.DUMMYFUNCTION("""COMPUTED_VALUE"""),-0.601907404954898)</f>
        <v>-0.60190740495489803</v>
      </c>
      <c r="T149" s="3">
        <f ca="1">IFERROR(__xludf.DUMMYFUNCTION("""COMPUTED_VALUE"""),-0.738493312224648)</f>
        <v>-0.73849331222464798</v>
      </c>
      <c r="U149" s="3">
        <f ca="1">IFERROR(__xludf.DUMMYFUNCTION("""COMPUTED_VALUE"""),-0.712828280506506)</f>
        <v>-0.71282828050650604</v>
      </c>
      <c r="V149" s="3">
        <f ca="1">IFERROR(__xludf.DUMMYFUNCTION("""COMPUTED_VALUE"""),-0.732723273196025)</f>
        <v>-0.73272327319602504</v>
      </c>
      <c r="W149" s="3">
        <f ca="1">IFERROR(__xludf.DUMMYFUNCTION("""COMPUTED_VALUE"""),-0.705693895166552)</f>
        <v>-0.70569389516655201</v>
      </c>
      <c r="X149" s="3">
        <f ca="1">IFERROR(__xludf.DUMMYFUNCTION("""COMPUTED_VALUE"""),-0.695703013304476)</f>
        <v>-0.69570301330447604</v>
      </c>
      <c r="Y149" s="3">
        <f ca="1">IFERROR(__xludf.DUMMYFUNCTION("""COMPUTED_VALUE"""),-0.556468431131546)</f>
        <v>-0.55646843113154598</v>
      </c>
      <c r="Z149" s="3">
        <f ca="1">IFERROR(__xludf.DUMMYFUNCTION("""COMPUTED_VALUE"""),-0.574813584634155)</f>
        <v>-0.57481358463415499</v>
      </c>
      <c r="AA149" s="3">
        <f ca="1">IFERROR(__xludf.DUMMYFUNCTION("""COMPUTED_VALUE"""),-0.70983012890332)</f>
        <v>-0.70983012890331998</v>
      </c>
      <c r="AB149" s="3">
        <f ca="1">IFERROR(__xludf.DUMMYFUNCTION("""COMPUTED_VALUE"""),-0.710557763527887)</f>
        <v>-0.71055776352788702</v>
      </c>
      <c r="AC149" s="3">
        <f ca="1">IFERROR(__xludf.DUMMYFUNCTION("""COMPUTED_VALUE"""),-0.715974582816158)</f>
        <v>-0.715974582816158</v>
      </c>
      <c r="AD149" s="3">
        <f ca="1">IFERROR(__xludf.DUMMYFUNCTION("""COMPUTED_VALUE"""),-0.725799806685421)</f>
        <v>-0.72579980668542099</v>
      </c>
      <c r="AE149" s="3">
        <f ca="1">IFERROR(__xludf.DUMMYFUNCTION("""COMPUTED_VALUE"""),-0.701146323524321)</f>
        <v>-0.70114632352432105</v>
      </c>
      <c r="AF149" s="3">
        <f ca="1">IFERROR(__xludf.DUMMYFUNCTION("""COMPUTED_VALUE"""),-0.577343909740304)</f>
        <v>-0.57734390974030403</v>
      </c>
      <c r="AG149" s="3">
        <f ca="1">IFERROR(__xludf.DUMMYFUNCTION("""COMPUTED_VALUE"""),-0.595314833758992)</f>
        <v>-0.59531483375899197</v>
      </c>
      <c r="AH149" s="3">
        <f ca="1">IFERROR(__xludf.DUMMYFUNCTION("""COMPUTED_VALUE"""),-0.710104864557216)</f>
        <v>-0.710104864557216</v>
      </c>
      <c r="AI149" s="3">
        <f ca="1">IFERROR(__xludf.DUMMYFUNCTION("""COMPUTED_VALUE"""),-0.716328574105172)</f>
        <v>-0.71632857410517203</v>
      </c>
      <c r="AJ149" s="3">
        <f ca="1">IFERROR(__xludf.DUMMYFUNCTION("""COMPUTED_VALUE"""),-0.714358078047315)</f>
        <v>-0.71435807804731499</v>
      </c>
      <c r="AK149" s="3">
        <f ca="1">IFERROR(__xludf.DUMMYFUNCTION("""COMPUTED_VALUE"""),-0.707129588056958)</f>
        <v>-0.70712958805695802</v>
      </c>
      <c r="AL149" s="3">
        <f ca="1">IFERROR(__xludf.DUMMYFUNCTION("""COMPUTED_VALUE"""),-0.705888866640631)</f>
        <v>-0.705888866640631</v>
      </c>
      <c r="AM149" s="3">
        <f ca="1">IFERROR(__xludf.DUMMYFUNCTION("""COMPUTED_VALUE"""),-0.569634982830038)</f>
        <v>-0.56963498283003799</v>
      </c>
      <c r="AN149" s="3">
        <f ca="1">IFERROR(__xludf.DUMMYFUNCTION("""COMPUTED_VALUE"""),-0.626477865304487)</f>
        <v>-0.62647786530448701</v>
      </c>
      <c r="AO149" s="3">
        <f ca="1">IFERROR(__xludf.DUMMYFUNCTION("""COMPUTED_VALUE"""),-0.736789461495783)</f>
        <v>-0.73678946149578295</v>
      </c>
      <c r="AP149" s="3">
        <f ca="1">IFERROR(__xludf.DUMMYFUNCTION("""COMPUTED_VALUE"""),-0.750885597647902)</f>
        <v>-0.75088559764790197</v>
      </c>
      <c r="AQ149" s="3">
        <f ca="1">IFERROR(__xludf.DUMMYFUNCTION("""COMPUTED_VALUE"""),-0.710619206991748)</f>
        <v>-0.71061920699174796</v>
      </c>
      <c r="AR149" s="3">
        <f ca="1">IFERROR(__xludf.DUMMYFUNCTION("""COMPUTED_VALUE"""),-0.734727086969147)</f>
        <v>-0.73472708696914701</v>
      </c>
      <c r="AS149" s="3">
        <f ca="1">IFERROR(__xludf.DUMMYFUNCTION("""COMPUTED_VALUE"""),-0.725827298353132)</f>
        <v>-0.72582729835313198</v>
      </c>
      <c r="AT149" s="3">
        <f ca="1">IFERROR(__xludf.DUMMYFUNCTION("""COMPUTED_VALUE"""),-0.587984111080773)</f>
        <v>-0.58798411108077298</v>
      </c>
      <c r="AU149" s="3">
        <f ca="1">IFERROR(__xludf.DUMMYFUNCTION("""COMPUTED_VALUE"""),-0.64412785902244)</f>
        <v>-0.64412785902243996</v>
      </c>
      <c r="AV149" s="3">
        <f ca="1">IFERROR(__xludf.DUMMYFUNCTION("""COMPUTED_VALUE"""),-0.707274491066044)</f>
        <v>-0.70727449106604401</v>
      </c>
      <c r="AW149" s="3">
        <f ca="1">IFERROR(__xludf.DUMMYFUNCTION("""COMPUTED_VALUE"""),-0.736477385309049)</f>
        <v>-0.73647738530904905</v>
      </c>
      <c r="AX149" s="3">
        <f ca="1">IFERROR(__xludf.DUMMYFUNCTION("""COMPUTED_VALUE"""),-0.725310333537354)</f>
        <v>-0.72531033353735397</v>
      </c>
      <c r="AY149" s="3">
        <f ca="1">IFERROR(__xludf.DUMMYFUNCTION("""COMPUTED_VALUE"""),-0.727600239338388)</f>
        <v>-0.72760023933838802</v>
      </c>
      <c r="AZ149" s="3">
        <f ca="1">IFERROR(__xludf.DUMMYFUNCTION("""COMPUTED_VALUE"""),-0.665779467683963)</f>
        <v>-0.66577946768396301</v>
      </c>
      <c r="BA149" s="3">
        <f ca="1">IFERROR(__xludf.DUMMYFUNCTION("""COMPUTED_VALUE"""),-0.575765185298806)</f>
        <v>-0.57576518529880605</v>
      </c>
      <c r="BB149" s="3">
        <f ca="1">IFERROR(__xludf.DUMMYFUNCTION("""COMPUTED_VALUE"""),-0.64157334166294)</f>
        <v>-0.64157334166294</v>
      </c>
      <c r="BC149" s="3">
        <f ca="1">IFERROR(__xludf.DUMMYFUNCTION("""COMPUTED_VALUE"""),-0.736198732717341)</f>
        <v>-0.73619873271734104</v>
      </c>
      <c r="BD149" s="3">
        <f ca="1">IFERROR(__xludf.DUMMYFUNCTION("""COMPUTED_VALUE"""),-0.741379878593176)</f>
        <v>-0.741379878593176</v>
      </c>
      <c r="BE149" s="3">
        <f ca="1">IFERROR(__xludf.DUMMYFUNCTION("""COMPUTED_VALUE"""),-0.72193312914098)</f>
        <v>-0.72193312914097996</v>
      </c>
      <c r="BF149" s="3">
        <f ca="1">IFERROR(__xludf.DUMMYFUNCTION("""COMPUTED_VALUE"""),-0.679677646844154)</f>
        <v>-0.67967764684415399</v>
      </c>
      <c r="BG149" s="3">
        <f ca="1">IFERROR(__xludf.DUMMYFUNCTION("""COMPUTED_VALUE"""),-0.781494194136115)</f>
        <v>-0.78149419413611498</v>
      </c>
      <c r="BH149" s="3">
        <f ca="1">IFERROR(__xludf.DUMMYFUNCTION("""COMPUTED_VALUE"""),-0.598497228433842)</f>
        <v>-0.59849722843384201</v>
      </c>
      <c r="BI149" s="3">
        <f ca="1">IFERROR(__xludf.DUMMYFUNCTION("""COMPUTED_VALUE"""),-0.683256718152187)</f>
        <v>-0.68325671815218703</v>
      </c>
      <c r="BJ149" s="3">
        <f ca="1">IFERROR(__xludf.DUMMYFUNCTION("""COMPUTED_VALUE"""),-0.775819725403486)</f>
        <v>-0.77581972540348598</v>
      </c>
      <c r="BK149" s="3">
        <f ca="1">IFERROR(__xludf.DUMMYFUNCTION("""COMPUTED_VALUE"""),-0.774765224693413)</f>
        <v>-0.77476522469341302</v>
      </c>
      <c r="BL149" s="3">
        <f ca="1">IFERROR(__xludf.DUMMYFUNCTION("""COMPUTED_VALUE"""),-0.783276415596401)</f>
        <v>-0.78327641559640104</v>
      </c>
      <c r="BM149" s="3">
        <f ca="1">IFERROR(__xludf.DUMMYFUNCTION("""COMPUTED_VALUE"""),-0.78423554406133)</f>
        <v>-0.78423554406133</v>
      </c>
      <c r="BN149" s="3">
        <f ca="1">IFERROR(__xludf.DUMMYFUNCTION("""COMPUTED_VALUE"""),-0.742260579227994)</f>
        <v>-0.74226057922799404</v>
      </c>
      <c r="BO149" s="3">
        <f ca="1">IFERROR(__xludf.DUMMYFUNCTION("""COMPUTED_VALUE"""),-0.664688635187989)</f>
        <v>-0.66468863518798904</v>
      </c>
      <c r="BP149" s="3">
        <f ca="1">IFERROR(__xludf.DUMMYFUNCTION("""COMPUTED_VALUE"""),-0.708320942147742)</f>
        <v>-0.70832094214774199</v>
      </c>
      <c r="BQ149" s="3">
        <f ca="1">IFERROR(__xludf.DUMMYFUNCTION("""COMPUTED_VALUE"""),-0.813760585311297)</f>
        <v>-0.81376058531129702</v>
      </c>
      <c r="BR149" s="3">
        <f ca="1">IFERROR(__xludf.DUMMYFUNCTION("""COMPUTED_VALUE"""),-0.80135411091781)</f>
        <v>-0.80135411091780995</v>
      </c>
      <c r="BS149" s="3">
        <f ca="1">IFERROR(__xludf.DUMMYFUNCTION("""COMPUTED_VALUE"""),-0.812542747954685)</f>
        <v>-0.81254274795468495</v>
      </c>
      <c r="BT149" s="3">
        <f ca="1">IFERROR(__xludf.DUMMYFUNCTION("""COMPUTED_VALUE"""),-0.80864165079382)</f>
        <v>-0.80864165079382</v>
      </c>
      <c r="BU149" s="3">
        <f ca="1">IFERROR(__xludf.DUMMYFUNCTION("""COMPUTED_VALUE"""),-0.817607287960947)</f>
        <v>-0.81760728796094695</v>
      </c>
      <c r="BV149" s="3">
        <f ca="1">IFERROR(__xludf.DUMMYFUNCTION("""COMPUTED_VALUE"""),-0.694186343547395)</f>
        <v>-0.69418634354739495</v>
      </c>
      <c r="BW149" s="3">
        <f ca="1">IFERROR(__xludf.DUMMYFUNCTION("""COMPUTED_VALUE"""),-0.738145445015811)</f>
        <v>-0.73814544501581103</v>
      </c>
      <c r="BX149" s="3">
        <f ca="1">IFERROR(__xludf.DUMMYFUNCTION("""COMPUTED_VALUE"""),-0.809366282426328)</f>
        <v>-0.80936628242632802</v>
      </c>
      <c r="BY149" s="3">
        <f ca="1">IFERROR(__xludf.DUMMYFUNCTION("""COMPUTED_VALUE"""),-0.824177529036716)</f>
        <v>-0.82417752903671604</v>
      </c>
      <c r="BZ149" s="3">
        <f ca="1">IFERROR(__xludf.DUMMYFUNCTION("""COMPUTED_VALUE"""),-0.822563027902178)</f>
        <v>-0.82256302790217795</v>
      </c>
      <c r="CA149" s="3">
        <f ca="1">IFERROR(__xludf.DUMMYFUNCTION("""COMPUTED_VALUE"""),-0.818141363309788)</f>
        <v>-0.81814136330978804</v>
      </c>
      <c r="CB149" s="3">
        <f ca="1">IFERROR(__xludf.DUMMYFUNCTION("""COMPUTED_VALUE"""),-0.806715997612915)</f>
        <v>-0.80671599761291501</v>
      </c>
      <c r="CC149" s="3">
        <f ca="1">IFERROR(__xludf.DUMMYFUNCTION("""COMPUTED_VALUE"""),-0.658554262052394)</f>
        <v>-0.65855426205239398</v>
      </c>
      <c r="CD149" s="3">
        <f ca="1">IFERROR(__xludf.DUMMYFUNCTION("""COMPUTED_VALUE"""),-0.710384949353137)</f>
        <v>-0.71038494935313701</v>
      </c>
      <c r="CE149" s="3">
        <f ca="1">IFERROR(__xludf.DUMMYFUNCTION("""COMPUTED_VALUE"""),-0.811810000210091)</f>
        <v>-0.81181000021009098</v>
      </c>
      <c r="CF149" s="3">
        <f ca="1">IFERROR(__xludf.DUMMYFUNCTION("""COMPUTED_VALUE"""),-0.81397954849994)</f>
        <v>-0.81397954849994003</v>
      </c>
      <c r="CG149" s="3">
        <f ca="1">IFERROR(__xludf.DUMMYFUNCTION("""COMPUTED_VALUE"""),-0.827659261126634)</f>
        <v>-0.82765926112663402</v>
      </c>
      <c r="CH149" s="3">
        <f ca="1">IFERROR(__xludf.DUMMYFUNCTION("""COMPUTED_VALUE"""),-0.815211014638904)</f>
        <v>-0.815211014638904</v>
      </c>
      <c r="CI149" s="3">
        <f ca="1">IFERROR(__xludf.DUMMYFUNCTION("""COMPUTED_VALUE"""),-0.810491464681662)</f>
        <v>-0.810491464681662</v>
      </c>
      <c r="CJ149" s="3">
        <f ca="1">IFERROR(__xludf.DUMMYFUNCTION("""COMPUTED_VALUE"""),-0.683710804764223)</f>
        <v>-0.68371080476422297</v>
      </c>
      <c r="CK149" s="3">
        <f ca="1">IFERROR(__xludf.DUMMYFUNCTION("""COMPUTED_VALUE"""),-0.690095021347726)</f>
        <v>-0.69009502134772605</v>
      </c>
      <c r="CL149" s="3">
        <f ca="1">IFERROR(__xludf.DUMMYFUNCTION("""COMPUTED_VALUE"""),-0.80543966288312)</f>
        <v>-0.80543966288311997</v>
      </c>
      <c r="CM149" s="3">
        <f ca="1">IFERROR(__xludf.DUMMYFUNCTION("""COMPUTED_VALUE"""),-0.817013886708319)</f>
        <v>-0.81701388670831898</v>
      </c>
      <c r="CN149" s="3">
        <f ca="1">IFERROR(__xludf.DUMMYFUNCTION("""COMPUTED_VALUE"""),-0.799419880482373)</f>
        <v>-0.799419880482373</v>
      </c>
      <c r="CO149" s="3">
        <f ca="1">IFERROR(__xludf.DUMMYFUNCTION("""COMPUTED_VALUE"""),-0.799361834839154)</f>
        <v>-0.79936183483915402</v>
      </c>
      <c r="CP149" s="3">
        <f ca="1">IFERROR(__xludf.DUMMYFUNCTION("""COMPUTED_VALUE"""),-0.794991550037512)</f>
        <v>-0.79499155003751198</v>
      </c>
      <c r="CQ149" s="3">
        <f ca="1">IFERROR(__xludf.DUMMYFUNCTION("""COMPUTED_VALUE"""),-0.642339951260365)</f>
        <v>-0.64233995126036503</v>
      </c>
      <c r="CR149" s="3">
        <f ca="1">IFERROR(__xludf.DUMMYFUNCTION("""COMPUTED_VALUE"""),-0.638149037777527)</f>
        <v>-0.63814903777752696</v>
      </c>
      <c r="CS149" s="3">
        <f ca="1">IFERROR(__xludf.DUMMYFUNCTION("""COMPUTED_VALUE"""),-0.747743634302567)</f>
        <v>-0.74774363430256696</v>
      </c>
      <c r="CT149" s="3">
        <f ca="1">IFERROR(__xludf.DUMMYFUNCTION("""COMPUTED_VALUE"""),-0.76350109460496)</f>
        <v>-0.76350109460495996</v>
      </c>
      <c r="CU149" s="3">
        <f ca="1">IFERROR(__xludf.DUMMYFUNCTION("""COMPUTED_VALUE"""),-0.752118949005674)</f>
        <v>-0.752118949005674</v>
      </c>
      <c r="CV149" s="3">
        <f ca="1">IFERROR(__xludf.DUMMYFUNCTION("""COMPUTED_VALUE"""),-0.768083027943966)</f>
        <v>-0.76808302794396599</v>
      </c>
      <c r="CW149" s="3">
        <f ca="1">IFERROR(__xludf.DUMMYFUNCTION("""COMPUTED_VALUE"""),-0.745515451853799)</f>
        <v>-0.74551545185379897</v>
      </c>
      <c r="CX149" s="3">
        <f ca="1">IFERROR(__xludf.DUMMYFUNCTION("""COMPUTED_VALUE"""),-0.65003171040491)</f>
        <v>-0.65003171040491003</v>
      </c>
      <c r="CY149" s="3">
        <f ca="1">IFERROR(__xludf.DUMMYFUNCTION("""COMPUTED_VALUE"""),-0.660142675831415)</f>
        <v>-0.66014267583141495</v>
      </c>
      <c r="CZ149" s="3">
        <f ca="1">IFERROR(__xludf.DUMMYFUNCTION("""COMPUTED_VALUE"""),-0.832073050087278)</f>
        <v>-0.83207305008727805</v>
      </c>
      <c r="DA149" s="3">
        <f ca="1">IFERROR(__xludf.DUMMYFUNCTION("""COMPUTED_VALUE"""),-0.739961391120624)</f>
        <v>-0.73996139112062398</v>
      </c>
      <c r="DB149" s="3">
        <f ca="1">IFERROR(__xludf.DUMMYFUNCTION("""COMPUTED_VALUE"""),-0.650353927937756)</f>
        <v>-0.65035392793775604</v>
      </c>
      <c r="DC149" s="3">
        <f ca="1">IFERROR(__xludf.DUMMYFUNCTION("""COMPUTED_VALUE"""),-0.71567849927334)</f>
        <v>-0.71567849927334004</v>
      </c>
      <c r="DD149" s="3">
        <f ca="1">IFERROR(__xludf.DUMMYFUNCTION("""COMPUTED_VALUE"""),-0.77659181240119)</f>
        <v>-0.77659181240119002</v>
      </c>
      <c r="DE149" s="3">
        <f ca="1">IFERROR(__xludf.DUMMYFUNCTION("""COMPUTED_VALUE"""),-0.68398691079003)</f>
        <v>-0.68398691079003004</v>
      </c>
      <c r="DF149" s="3">
        <f ca="1">IFERROR(__xludf.DUMMYFUNCTION("""COMPUTED_VALUE"""),-0.719882348841299)</f>
        <v>-0.71988234884129898</v>
      </c>
      <c r="DG149" s="3">
        <f ca="1">IFERROR(__xludf.DUMMYFUNCTION("""COMPUTED_VALUE"""),-0.872125627941746)</f>
        <v>-0.87212562794174597</v>
      </c>
      <c r="DH149" s="3">
        <f ca="1">IFERROR(__xludf.DUMMYFUNCTION("""COMPUTED_VALUE"""),-0.655631595379711)</f>
        <v>-0.65563159537971105</v>
      </c>
      <c r="DI149" s="3">
        <f ca="1">IFERROR(__xludf.DUMMYFUNCTION("""COMPUTED_VALUE"""),-0.373653977675104)</f>
        <v>-0.373653977675104</v>
      </c>
      <c r="DJ149" s="3">
        <f ca="1">IFERROR(__xludf.DUMMYFUNCTION("""COMPUTED_VALUE"""),-0.594510646517702)</f>
        <v>-0.59451064651770202</v>
      </c>
      <c r="DK149" s="3">
        <f ca="1">IFERROR(__xludf.DUMMYFUNCTION("""COMPUTED_VALUE"""),-0.590444912291577)</f>
        <v>-0.59044491229157703</v>
      </c>
      <c r="DL149" s="3">
        <f ca="1">IFERROR(__xludf.DUMMYFUNCTION("""COMPUTED_VALUE"""),-0.546042519222925)</f>
        <v>-0.54604251922292502</v>
      </c>
      <c r="DM149" s="3">
        <f ca="1">IFERROR(__xludf.DUMMYFUNCTION("""COMPUTED_VALUE"""),-0.598597081391794)</f>
        <v>-0.59859708139179402</v>
      </c>
      <c r="DN149" s="3">
        <f ca="1">IFERROR(__xludf.DUMMYFUNCTION("""COMPUTED_VALUE"""),-0.675457614401466)</f>
        <v>-0.67545761440146601</v>
      </c>
      <c r="DO149" s="3">
        <f ca="1">IFERROR(__xludf.DUMMYFUNCTION("""COMPUTED_VALUE"""),-0.64678505515272)</f>
        <v>-0.64678505515272</v>
      </c>
      <c r="DP149" s="3">
        <f ca="1">IFERROR(__xludf.DUMMYFUNCTION("""COMPUTED_VALUE"""),-0.605169239503894)</f>
        <v>-0.60516923950389401</v>
      </c>
      <c r="DQ149" s="3">
        <f ca="1">IFERROR(__xludf.DUMMYFUNCTION("""COMPUTED_VALUE"""),-0.664286763770037)</f>
        <v>-0.66428676377003704</v>
      </c>
      <c r="DR149" s="3">
        <f ca="1">IFERROR(__xludf.DUMMYFUNCTION("""COMPUTED_VALUE"""),-0.689967863488301)</f>
        <v>-0.68996786348830097</v>
      </c>
      <c r="DS149" s="3">
        <f ca="1">IFERROR(__xludf.DUMMYFUNCTION("""COMPUTED_VALUE"""),-0.617557057764498)</f>
        <v>-0.61755705776449799</v>
      </c>
      <c r="DT149" s="3">
        <f ca="1">IFERROR(__xludf.DUMMYFUNCTION("""COMPUTED_VALUE"""),-0.638473254747553)</f>
        <v>-0.63847325474755301</v>
      </c>
      <c r="DU149" s="3">
        <f ca="1">IFERROR(__xludf.DUMMYFUNCTION("""COMPUTED_VALUE"""),-0.698041066555299)</f>
        <v>-0.69804106655529896</v>
      </c>
      <c r="DV149" s="3">
        <f ca="1">IFERROR(__xludf.DUMMYFUNCTION("""COMPUTED_VALUE"""),-0.692627107101435)</f>
        <v>-0.69262710710143505</v>
      </c>
      <c r="DW149" s="3">
        <f ca="1">IFERROR(__xludf.DUMMYFUNCTION("""COMPUTED_VALUE"""),-0.705557227615479)</f>
        <v>-0.70555722761547901</v>
      </c>
      <c r="DX149" s="3">
        <f ca="1">IFERROR(__xludf.DUMMYFUNCTION("""COMPUTED_VALUE"""),-0.710362941460465)</f>
        <v>-0.71036294146046497</v>
      </c>
      <c r="DY149" s="3">
        <f ca="1">IFERROR(__xludf.DUMMYFUNCTION("""COMPUTED_VALUE"""),-0.719016218087269)</f>
        <v>-0.71901621808726901</v>
      </c>
      <c r="DZ149" s="3">
        <f ca="1">IFERROR(__xludf.DUMMYFUNCTION("""COMPUTED_VALUE"""),-0.606451056305435)</f>
        <v>-0.60645105630543505</v>
      </c>
      <c r="EA149" s="3">
        <f ca="1">IFERROR(__xludf.DUMMYFUNCTION("""COMPUTED_VALUE"""),-0.644508600543997)</f>
        <v>-0.64450860054399695</v>
      </c>
      <c r="EB149" s="3">
        <f ca="1">IFERROR(__xludf.DUMMYFUNCTION("""COMPUTED_VALUE"""),-0.730927593428884)</f>
        <v>-0.73092759342888403</v>
      </c>
      <c r="EC149" s="3">
        <f ca="1">IFERROR(__xludf.DUMMYFUNCTION("""COMPUTED_VALUE"""),-0.726225538303257)</f>
        <v>-0.72622553830325698</v>
      </c>
      <c r="ED149" s="3">
        <f ca="1">IFERROR(__xludf.DUMMYFUNCTION("""COMPUTED_VALUE"""),-0.736846520576809)</f>
        <v>-0.73684652057680899</v>
      </c>
      <c r="EE149" s="3">
        <f ca="1">IFERROR(__xludf.DUMMYFUNCTION("""COMPUTED_VALUE"""),-0.739567250065808)</f>
        <v>-0.73956725006580804</v>
      </c>
      <c r="EF149" s="3">
        <f ca="1">IFERROR(__xludf.DUMMYFUNCTION("""COMPUTED_VALUE"""),-0.740158040891243)</f>
        <v>-0.74015804089124304</v>
      </c>
      <c r="EG149" s="3">
        <f ca="1">IFERROR(__xludf.DUMMYFUNCTION("""COMPUTED_VALUE"""),-0.578492195448622)</f>
        <v>-0.57849219544862196</v>
      </c>
      <c r="EH149" s="3">
        <f ca="1">IFERROR(__xludf.DUMMYFUNCTION("""COMPUTED_VALUE"""),-0.629663939497319)</f>
        <v>-0.62966393949731903</v>
      </c>
      <c r="EI149" s="3">
        <f ca="1">IFERROR(__xludf.DUMMYFUNCTION("""COMPUTED_VALUE"""),-0.712499739096916)</f>
        <v>-0.712499739096916</v>
      </c>
      <c r="EJ149" s="3">
        <f ca="1">IFERROR(__xludf.DUMMYFUNCTION("""COMPUTED_VALUE"""),-0.724174063340682)</f>
        <v>-0.72417406334068202</v>
      </c>
      <c r="EK149" s="3">
        <f ca="1">IFERROR(__xludf.DUMMYFUNCTION("""COMPUTED_VALUE"""),-0.727554351284932)</f>
        <v>-0.72755435128493195</v>
      </c>
      <c r="EL149" s="3">
        <f ca="1">IFERROR(__xludf.DUMMYFUNCTION("""COMPUTED_VALUE"""),-0.739338991235515)</f>
        <v>-0.73933899123551505</v>
      </c>
      <c r="EM149" s="3">
        <f ca="1">IFERROR(__xludf.DUMMYFUNCTION("""COMPUTED_VALUE"""),-0.732569909396461)</f>
        <v>-0.73256990939646105</v>
      </c>
      <c r="EN149" s="3">
        <f ca="1">IFERROR(__xludf.DUMMYFUNCTION("""COMPUTED_VALUE"""),-0.542900694457639)</f>
        <v>-0.542900694457639</v>
      </c>
      <c r="EO149" s="3">
        <f ca="1">IFERROR(__xludf.DUMMYFUNCTION("""COMPUTED_VALUE"""),-0.598757513204822)</f>
        <v>-0.59875751320482196</v>
      </c>
      <c r="EP149" s="3">
        <f ca="1">IFERROR(__xludf.DUMMYFUNCTION("""COMPUTED_VALUE"""),-0.680219699432869)</f>
        <v>-0.68021969943286897</v>
      </c>
      <c r="EQ149" s="3">
        <f ca="1">IFERROR(__xludf.DUMMYFUNCTION("""COMPUTED_VALUE"""),-0.715218347915578)</f>
        <v>-0.71521834791557803</v>
      </c>
      <c r="ER149" s="3">
        <f ca="1">IFERROR(__xludf.DUMMYFUNCTION("""COMPUTED_VALUE"""),-0.708165018730283)</f>
        <v>-0.70816501873028304</v>
      </c>
      <c r="ES149" s="3">
        <f ca="1">IFERROR(__xludf.DUMMYFUNCTION("""COMPUTED_VALUE"""),-0.717782358844629)</f>
        <v>-0.71778235884462904</v>
      </c>
      <c r="ET149" s="3">
        <f ca="1">IFERROR(__xludf.DUMMYFUNCTION("""COMPUTED_VALUE"""),-0.732684720355814)</f>
        <v>-0.732684720355814</v>
      </c>
      <c r="EU149" s="3">
        <f ca="1">IFERROR(__xludf.DUMMYFUNCTION("""COMPUTED_VALUE"""),-0.617231976097474)</f>
        <v>-0.61723197609747404</v>
      </c>
      <c r="EV149" s="3">
        <f ca="1">IFERROR(__xludf.DUMMYFUNCTION("""COMPUTED_VALUE"""),-0.582640249355567)</f>
        <v>-0.58264024935556702</v>
      </c>
      <c r="EW149" s="3">
        <f ca="1">IFERROR(__xludf.DUMMYFUNCTION("""COMPUTED_VALUE"""),-0.703693160130339)</f>
        <v>-0.703693160130339</v>
      </c>
      <c r="EX149" s="3">
        <f ca="1">IFERROR(__xludf.DUMMYFUNCTION("""COMPUTED_VALUE"""),-0.689355902866575)</f>
        <v>-0.689355902866575</v>
      </c>
      <c r="EY149" s="3">
        <f ca="1">IFERROR(__xludf.DUMMYFUNCTION("""COMPUTED_VALUE"""),-0.705412757324558)</f>
        <v>-0.70541275732455799</v>
      </c>
      <c r="EZ149" s="3">
        <f ca="1">IFERROR(__xludf.DUMMYFUNCTION("""COMPUTED_VALUE"""),-0.710092697490535)</f>
        <v>-0.71009269749053505</v>
      </c>
      <c r="FA149" s="3">
        <f ca="1">IFERROR(__xludf.DUMMYFUNCTION("""COMPUTED_VALUE"""),-0.684259729794633)</f>
        <v>-0.68425972979463301</v>
      </c>
      <c r="FB149" s="3">
        <f ca="1">IFERROR(__xludf.DUMMYFUNCTION("""COMPUTED_VALUE"""),-0.507599018512589)</f>
        <v>-0.50759901851258904</v>
      </c>
      <c r="FC149" s="3">
        <f ca="1">IFERROR(__xludf.DUMMYFUNCTION("""COMPUTED_VALUE"""),-0.545110033550917)</f>
        <v>-0.54511003355091703</v>
      </c>
      <c r="FD149" s="3">
        <f ca="1">IFERROR(__xludf.DUMMYFUNCTION("""COMPUTED_VALUE"""),-0.67053558858587)</f>
        <v>-0.67053558858587003</v>
      </c>
      <c r="FE149" s="3">
        <f ca="1">IFERROR(__xludf.DUMMYFUNCTION("""COMPUTED_VALUE"""),-0.688197669009)</f>
        <v>-0.68819766900900003</v>
      </c>
      <c r="FF149" s="3">
        <f ca="1">IFERROR(__xludf.DUMMYFUNCTION("""COMPUTED_VALUE"""),-0.690152555988207)</f>
        <v>-0.69015255598820702</v>
      </c>
      <c r="FG149" s="3">
        <f ca="1">IFERROR(__xludf.DUMMYFUNCTION("""COMPUTED_VALUE"""),-0.724414940324624)</f>
        <v>-0.72441494032462395</v>
      </c>
      <c r="FH149" s="3">
        <f ca="1">IFERROR(__xludf.DUMMYFUNCTION("""COMPUTED_VALUE"""),-0.705180493013636)</f>
        <v>-0.70518049301363595</v>
      </c>
      <c r="FI149" s="3">
        <f ca="1">IFERROR(__xludf.DUMMYFUNCTION("""COMPUTED_VALUE"""),-0.557022757651318)</f>
        <v>-0.55702275765131803</v>
      </c>
      <c r="FJ149" s="3">
        <f ca="1">IFERROR(__xludf.DUMMYFUNCTION("""COMPUTED_VALUE"""),-0.552084954659389)</f>
        <v>-0.552084954659389</v>
      </c>
      <c r="FK149" s="3">
        <f ca="1">IFERROR(__xludf.DUMMYFUNCTION("""COMPUTED_VALUE"""),-0.668258731196277)</f>
        <v>-0.66825873119627699</v>
      </c>
      <c r="FL149" s="3">
        <f ca="1">IFERROR(__xludf.DUMMYFUNCTION("""COMPUTED_VALUE"""),-0.696684281553388)</f>
        <v>-0.69668428155338802</v>
      </c>
      <c r="FM149" s="3">
        <f ca="1">IFERROR(__xludf.DUMMYFUNCTION("""COMPUTED_VALUE"""),-0.669993818223898)</f>
        <v>-0.66999381822389803</v>
      </c>
      <c r="FN149" s="3">
        <f ca="1">IFERROR(__xludf.DUMMYFUNCTION("""COMPUTED_VALUE"""),-0.702418409821956)</f>
        <v>-0.70241840982195602</v>
      </c>
      <c r="FO149" s="3">
        <f ca="1">IFERROR(__xludf.DUMMYFUNCTION("""COMPUTED_VALUE"""),-0.690761533378318)</f>
        <v>-0.69076153337831803</v>
      </c>
      <c r="FP149" s="3">
        <f ca="1">IFERROR(__xludf.DUMMYFUNCTION("""COMPUTED_VALUE"""),-0.555890219277007)</f>
        <v>-0.55589021927700699</v>
      </c>
      <c r="FQ149" s="3">
        <f ca="1">IFERROR(__xludf.DUMMYFUNCTION("""COMPUTED_VALUE"""),-0.561003365818829)</f>
        <v>-0.56100336581882904</v>
      </c>
      <c r="FR149" s="3">
        <f ca="1">IFERROR(__xludf.DUMMYFUNCTION("""COMPUTED_VALUE"""),-0.653312558710373)</f>
        <v>-0.65331255871037297</v>
      </c>
      <c r="FS149" s="3">
        <f ca="1">IFERROR(__xludf.DUMMYFUNCTION("""COMPUTED_VALUE"""),-0.692163494650236)</f>
        <v>-0.69216349465023597</v>
      </c>
      <c r="FT149" s="3">
        <f ca="1">IFERROR(__xludf.DUMMYFUNCTION("""COMPUTED_VALUE"""),-0.682682668210995)</f>
        <v>-0.68268266821099499</v>
      </c>
      <c r="FU149" s="3">
        <f ca="1">IFERROR(__xludf.DUMMYFUNCTION("""COMPUTED_VALUE"""),-0.674789222858315)</f>
        <v>-0.674789222858315</v>
      </c>
      <c r="FV149" s="3">
        <f ca="1">IFERROR(__xludf.DUMMYFUNCTION("""COMPUTED_VALUE"""),-0.610581647890473)</f>
        <v>-0.61058164789047298</v>
      </c>
      <c r="FW149" s="3">
        <f ca="1">IFERROR(__xludf.DUMMYFUNCTION("""COMPUTED_VALUE"""),-0.534428280934884)</f>
        <v>-0.53442828093488404</v>
      </c>
      <c r="FX149" s="3">
        <f ca="1">IFERROR(__xludf.DUMMYFUNCTION("""COMPUTED_VALUE"""),-0.544559992449257)</f>
        <v>-0.54455999244925701</v>
      </c>
      <c r="FY149" s="3">
        <f ca="1">IFERROR(__xludf.DUMMYFUNCTION("""COMPUTED_VALUE"""),-0.65139364834181)</f>
        <v>-0.65139364834181002</v>
      </c>
      <c r="FZ149" s="3">
        <f ca="1">IFERROR(__xludf.DUMMYFUNCTION("""COMPUTED_VALUE"""),-0.689012243825613)</f>
        <v>-0.68901224382561299</v>
      </c>
      <c r="GA149" s="3">
        <f ca="1">IFERROR(__xludf.DUMMYFUNCTION("""COMPUTED_VALUE"""),-0.652387738567723)</f>
        <v>-0.65238773856772303</v>
      </c>
      <c r="GB149" s="3">
        <f ca="1">IFERROR(__xludf.DUMMYFUNCTION("""COMPUTED_VALUE"""),-0.657119367349095)</f>
        <v>-0.65711936734909504</v>
      </c>
      <c r="GC149" s="3">
        <f ca="1">IFERROR(__xludf.DUMMYFUNCTION("""COMPUTED_VALUE"""),-0.768219074821633)</f>
        <v>-0.76821907482163299</v>
      </c>
      <c r="GD149" s="3">
        <f ca="1">IFERROR(__xludf.DUMMYFUNCTION("""COMPUTED_VALUE"""),-0.555072561910272)</f>
        <v>-0.55507256191027199</v>
      </c>
      <c r="GE149" s="3">
        <f ca="1">IFERROR(__xludf.DUMMYFUNCTION("""COMPUTED_VALUE"""),-0.561156643111654)</f>
        <v>-0.56115664311165403</v>
      </c>
      <c r="GF149" s="3">
        <f ca="1">IFERROR(__xludf.DUMMYFUNCTION("""COMPUTED_VALUE"""),-0.651054685333675)</f>
        <v>-0.65105468533367505</v>
      </c>
      <c r="GG149" s="3">
        <f ca="1">IFERROR(__xludf.DUMMYFUNCTION("""COMPUTED_VALUE"""),-0.684553493583318)</f>
        <v>-0.68455349358331796</v>
      </c>
      <c r="GH149" s="3">
        <f ca="1">IFERROR(__xludf.DUMMYFUNCTION("""COMPUTED_VALUE"""),-0.671037480101111)</f>
        <v>-0.67103748010111097</v>
      </c>
      <c r="GI149" s="3">
        <f ca="1">IFERROR(__xludf.DUMMYFUNCTION("""COMPUTED_VALUE"""),-0.674843689677811)</f>
        <v>-0.67484368967781105</v>
      </c>
      <c r="GJ149" s="3">
        <f ca="1">IFERROR(__xludf.DUMMYFUNCTION("""COMPUTED_VALUE"""),-0.562335520195611)</f>
        <v>-0.56233552019561095</v>
      </c>
      <c r="GK149" s="3">
        <f ca="1">IFERROR(__xludf.DUMMYFUNCTION("""COMPUTED_VALUE"""),-0.509278435449161)</f>
        <v>-0.50927843544916096</v>
      </c>
      <c r="GL149" s="3">
        <f ca="1">IFERROR(__xludf.DUMMYFUNCTION("""COMPUTED_VALUE"""),-0.51201772042946)</f>
        <v>-0.51201772042946003</v>
      </c>
      <c r="GM149" s="3">
        <f ca="1">IFERROR(__xludf.DUMMYFUNCTION("""COMPUTED_VALUE"""),-0.637723932753087)</f>
        <v>-0.63772393275308703</v>
      </c>
      <c r="GN149" s="3">
        <f ca="1">IFERROR(__xludf.DUMMYFUNCTION("""COMPUTED_VALUE"""),-0.649756024281204)</f>
        <v>-0.64975602428120405</v>
      </c>
      <c r="GO149" s="3">
        <f ca="1">IFERROR(__xludf.DUMMYFUNCTION("""COMPUTED_VALUE"""),-0.635325858218264)</f>
        <v>-0.63532585821826404</v>
      </c>
      <c r="GP149" s="3">
        <f ca="1">IFERROR(__xludf.DUMMYFUNCTION("""COMPUTED_VALUE"""),-0.631839325483177)</f>
        <v>-0.63183932548317701</v>
      </c>
      <c r="GQ149" s="3">
        <f ca="1">IFERROR(__xludf.DUMMYFUNCTION("""COMPUTED_VALUE"""),-0.562978563120869)</f>
        <v>-0.56297856312086902</v>
      </c>
      <c r="GR149" s="3">
        <f ca="1">IFERROR(__xludf.DUMMYFUNCTION("""COMPUTED_VALUE"""),-0.534355217542873)</f>
        <v>-0.53435521754287296</v>
      </c>
      <c r="GS149" s="3">
        <f ca="1">IFERROR(__xludf.DUMMYFUNCTION("""COMPUTED_VALUE"""),-0.546756463857276)</f>
        <v>-0.54675646385727605</v>
      </c>
      <c r="GT149" s="3">
        <f ca="1">IFERROR(__xludf.DUMMYFUNCTION("""COMPUTED_VALUE"""),-0.661039853530941)</f>
        <v>-0.66103985353094097</v>
      </c>
      <c r="GU149" s="3">
        <f ca="1">IFERROR(__xludf.DUMMYFUNCTION("""COMPUTED_VALUE"""),-0.674327456889338)</f>
        <v>-0.67432745688933804</v>
      </c>
      <c r="GV149" s="3">
        <f ca="1">IFERROR(__xludf.DUMMYFUNCTION("""COMPUTED_VALUE"""),-0.664342491359899)</f>
        <v>-0.66434249135989898</v>
      </c>
      <c r="GW149" s="3">
        <f ca="1">IFERROR(__xludf.DUMMYFUNCTION("""COMPUTED_VALUE"""),-0.670998794875169)</f>
        <v>-0.670998794875169</v>
      </c>
      <c r="GX149" s="3">
        <f ca="1">IFERROR(__xludf.DUMMYFUNCTION("""COMPUTED_VALUE"""),-0.683180171366734)</f>
        <v>-0.68318017136673403</v>
      </c>
      <c r="GY149" s="3">
        <f ca="1">IFERROR(__xludf.DUMMYFUNCTION("""COMPUTED_VALUE"""),-0.513989487965579)</f>
        <v>-0.51398948796557897</v>
      </c>
      <c r="GZ149" s="3">
        <f ca="1">IFERROR(__xludf.DUMMYFUNCTION("""COMPUTED_VALUE"""),-0.537588851729792)</f>
        <v>-0.53758885172979198</v>
      </c>
      <c r="HA149" s="3">
        <f ca="1">IFERROR(__xludf.DUMMYFUNCTION("""COMPUTED_VALUE"""),-0.654393727019285)</f>
        <v>-0.654393727019285</v>
      </c>
      <c r="HB149" s="3">
        <f ca="1">IFERROR(__xludf.DUMMYFUNCTION("""COMPUTED_VALUE"""),-0.670664489993091)</f>
        <v>-0.67066448999309103</v>
      </c>
      <c r="HC149" s="3">
        <f ca="1">IFERROR(__xludf.DUMMYFUNCTION("""COMPUTED_VALUE"""),-0.66791026228706)</f>
        <v>-0.66791026228705996</v>
      </c>
      <c r="HD149" s="3">
        <f ca="1">IFERROR(__xludf.DUMMYFUNCTION("""COMPUTED_VALUE"""),-0.66877955725932)</f>
        <v>-0.66877955725932003</v>
      </c>
      <c r="HE149" s="3">
        <f ca="1">IFERROR(__xludf.DUMMYFUNCTION("""COMPUTED_VALUE"""),-0.651524171264872)</f>
        <v>-0.65152417126487205</v>
      </c>
      <c r="HF149" s="3">
        <f ca="1">IFERROR(__xludf.DUMMYFUNCTION("""COMPUTED_VALUE"""),-0.511897207031317)</f>
        <v>-0.51189720703131703</v>
      </c>
      <c r="HG149" s="3">
        <f ca="1">IFERROR(__xludf.DUMMYFUNCTION("""COMPUTED_VALUE"""),-0.546540049032299)</f>
        <v>-0.54654004903229902</v>
      </c>
      <c r="HH149" s="3">
        <f ca="1">IFERROR(__xludf.DUMMYFUNCTION("""COMPUTED_VALUE"""),-0.66384199173102)</f>
        <v>-0.66384199173101999</v>
      </c>
      <c r="HI149" s="3">
        <f ca="1">IFERROR(__xludf.DUMMYFUNCTION("""COMPUTED_VALUE"""),-0.674608431224819)</f>
        <v>-0.67460843122481895</v>
      </c>
      <c r="HJ149" s="3">
        <f ca="1">IFERROR(__xludf.DUMMYFUNCTION("""COMPUTED_VALUE"""),-0.682963261820343)</f>
        <v>-0.68296326182034295</v>
      </c>
      <c r="HK149" s="3">
        <f ca="1">IFERROR(__xludf.DUMMYFUNCTION("""COMPUTED_VALUE"""),-0.660171991870178)</f>
        <v>-0.66017199187017805</v>
      </c>
      <c r="HL149" s="3">
        <f ca="1">IFERROR(__xludf.DUMMYFUNCTION("""COMPUTED_VALUE"""),-0.760242858023675)</f>
        <v>-0.76024285802367497</v>
      </c>
      <c r="HM149" s="3">
        <f ca="1">IFERROR(__xludf.DUMMYFUNCTION("""COMPUTED_VALUE"""),-0.462027739273551)</f>
        <v>-0.46202773927355101</v>
      </c>
      <c r="HN149" s="3">
        <f ca="1">IFERROR(__xludf.DUMMYFUNCTION("""COMPUTED_VALUE"""),-0.499022565629864)</f>
        <v>-0.49902256562986402</v>
      </c>
      <c r="HO149" s="3">
        <f ca="1">IFERROR(__xludf.DUMMYFUNCTION("""COMPUTED_VALUE"""),-0.661775036588244)</f>
        <v>-0.66177503658824399</v>
      </c>
      <c r="HP149" s="3">
        <f ca="1">IFERROR(__xludf.DUMMYFUNCTION("""COMPUTED_VALUE"""),-0.65922329950922)</f>
        <v>-0.65922329950921998</v>
      </c>
      <c r="HQ149" s="3">
        <f ca="1">IFERROR(__xludf.DUMMYFUNCTION("""COMPUTED_VALUE"""),-0.689206607125915)</f>
        <v>-0.68920660712591497</v>
      </c>
      <c r="HR149" s="3">
        <f ca="1">IFERROR(__xludf.DUMMYFUNCTION("""COMPUTED_VALUE"""),-0.654957530627395)</f>
        <v>-0.65495753062739503</v>
      </c>
      <c r="HS149" s="3">
        <f ca="1">IFERROR(__xludf.DUMMYFUNCTION("""COMPUTED_VALUE"""),-0.559083272767731)</f>
        <v>-0.55908327276773095</v>
      </c>
      <c r="HT149" s="3">
        <f ca="1">IFERROR(__xludf.DUMMYFUNCTION("""COMPUTED_VALUE"""),-0.481951309792652)</f>
        <v>-0.48195130979265199</v>
      </c>
      <c r="HU149" s="3">
        <f ca="1">IFERROR(__xludf.DUMMYFUNCTION("""COMPUTED_VALUE"""),-0.506082741369696)</f>
        <v>-0.506082741369696</v>
      </c>
      <c r="HV149" s="3">
        <f ca="1">IFERROR(__xludf.DUMMYFUNCTION("""COMPUTED_VALUE"""),-0.626292408957265)</f>
        <v>-0.62629240895726501</v>
      </c>
      <c r="HW149" s="3">
        <f ca="1">IFERROR(__xludf.DUMMYFUNCTION("""COMPUTED_VALUE"""),-0.637692114118253)</f>
        <v>-0.637692114118253</v>
      </c>
      <c r="HX149" s="3">
        <f ca="1">IFERROR(__xludf.DUMMYFUNCTION("""COMPUTED_VALUE"""),-0.62377494819767)</f>
        <v>-0.62377494819766999</v>
      </c>
      <c r="HY149" s="3">
        <f ca="1">IFERROR(__xludf.DUMMYFUNCTION("""COMPUTED_VALUE"""),-0.605576298396046)</f>
        <v>-0.60557629839604599</v>
      </c>
      <c r="HZ149" s="3">
        <f ca="1">IFERROR(__xludf.DUMMYFUNCTION("""COMPUTED_VALUE"""),-0.450886651328313)</f>
        <v>-0.45088665132831302</v>
      </c>
      <c r="IA149" s="3">
        <f ca="1">IFERROR(__xludf.DUMMYFUNCTION("""COMPUTED_VALUE"""),-0.48105020903341)</f>
        <v>-0.48105020903341</v>
      </c>
      <c r="IB149" s="3">
        <f ca="1">IFERROR(__xludf.DUMMYFUNCTION("""COMPUTED_VALUE"""),-0.443879161626875)</f>
        <v>-0.44387916162687502</v>
      </c>
      <c r="IC149" s="3">
        <f ca="1">IFERROR(__xludf.DUMMYFUNCTION("""COMPUTED_VALUE"""),-0.52254910868116)</f>
        <v>-0.52254910868116</v>
      </c>
      <c r="ID149" s="3">
        <f ca="1">IFERROR(__xludf.DUMMYFUNCTION("""COMPUTED_VALUE"""),-0.539697862842649)</f>
        <v>-0.53969786284264898</v>
      </c>
      <c r="IE149" s="3">
        <f ca="1">IFERROR(__xludf.DUMMYFUNCTION("""COMPUTED_VALUE"""),-0.51915067486575)</f>
        <v>-0.51915067486574995</v>
      </c>
      <c r="IF149" s="3">
        <f ca="1">IFERROR(__xludf.DUMMYFUNCTION("""COMPUTED_VALUE"""),-0.527442940805747)</f>
        <v>-0.52744294080574705</v>
      </c>
      <c r="IG149" s="3">
        <f ca="1">IFERROR(__xludf.DUMMYFUNCTION("""COMPUTED_VALUE"""),-0.532813113187855)</f>
        <v>-0.53281311318785496</v>
      </c>
      <c r="IH149" s="3">
        <f ca="1">IFERROR(__xludf.DUMMYFUNCTION("""COMPUTED_VALUE"""),-0.492118176759412)</f>
        <v>-0.492118176759412</v>
      </c>
      <c r="II149" s="3">
        <f ca="1">IFERROR(__xludf.DUMMYFUNCTION("""COMPUTED_VALUE"""),-0.45541598070631)</f>
        <v>-0.45541598070631001</v>
      </c>
      <c r="IJ149" s="3">
        <f ca="1">IFERROR(__xludf.DUMMYFUNCTION("""COMPUTED_VALUE"""),-0.533085151262654)</f>
        <v>-0.53308515126265399</v>
      </c>
      <c r="IK149" s="3">
        <f ca="1">IFERROR(__xludf.DUMMYFUNCTION("""COMPUTED_VALUE"""),-0.541125267460092)</f>
        <v>-0.54112526746009204</v>
      </c>
      <c r="IL149" s="3">
        <f ca="1">IFERROR(__xludf.DUMMYFUNCTION("""COMPUTED_VALUE"""),-0.535743570427115)</f>
        <v>-0.53574357042711496</v>
      </c>
      <c r="IM149" s="3">
        <f ca="1">IFERROR(__xludf.DUMMYFUNCTION("""COMPUTED_VALUE"""),-0.530913544122008)</f>
        <v>-0.53091354412200797</v>
      </c>
      <c r="IN149" s="3">
        <f ca="1">IFERROR(__xludf.DUMMYFUNCTION("""COMPUTED_VALUE"""),-0.46190245453802)</f>
        <v>-0.46190245453801998</v>
      </c>
      <c r="IO149" s="3">
        <f ca="1">IFERROR(__xludf.DUMMYFUNCTION("""COMPUTED_VALUE"""),-0.455343681077587)</f>
        <v>-0.45534368107758699</v>
      </c>
      <c r="IP149" s="3">
        <f ca="1">IFERROR(__xludf.DUMMYFUNCTION("""COMPUTED_VALUE"""),-0.487153164546928)</f>
        <v>-0.48715316454692797</v>
      </c>
      <c r="IQ149" s="3">
        <f ca="1">IFERROR(__xludf.DUMMYFUNCTION("""COMPUTED_VALUE"""),-0.52313617971905)</f>
        <v>-0.52313617971905002</v>
      </c>
      <c r="IR149" s="3">
        <f ca="1">IFERROR(__xludf.DUMMYFUNCTION("""COMPUTED_VALUE"""),-0.568060508187439)</f>
        <v>-0.56806050818743903</v>
      </c>
      <c r="IS149" s="3">
        <f ca="1">IFERROR(__xludf.DUMMYFUNCTION("""COMPUTED_VALUE"""),-0.568035579470171)</f>
        <v>-0.56803557947017103</v>
      </c>
      <c r="IT149" s="3">
        <f ca="1">IFERROR(__xludf.DUMMYFUNCTION("""COMPUTED_VALUE"""),-0.565062641644313)</f>
        <v>-0.56506264164431297</v>
      </c>
      <c r="IU149" s="3">
        <f ca="1">IFERROR(__xludf.DUMMYFUNCTION("""COMPUTED_VALUE"""),-0.566291458462976)</f>
        <v>-0.56629145846297602</v>
      </c>
      <c r="IV149" s="3">
        <f ca="1">IFERROR(__xludf.DUMMYFUNCTION("""COMPUTED_VALUE"""),-0.491590539766129)</f>
        <v>-0.49159053976612899</v>
      </c>
      <c r="IW149" s="3">
        <f ca="1">IFERROR(__xludf.DUMMYFUNCTION("""COMPUTED_VALUE"""),-0.48017216340647)</f>
        <v>-0.48017216340647001</v>
      </c>
      <c r="IX149" s="3">
        <f ca="1">IFERROR(__xludf.DUMMYFUNCTION("""COMPUTED_VALUE"""),-0.56281951357053)</f>
        <v>-0.56281951357052995</v>
      </c>
      <c r="IY149" s="3">
        <f ca="1">IFERROR(__xludf.DUMMYFUNCTION("""COMPUTED_VALUE"""),-0.593296759982574)</f>
        <v>-0.59329675998257403</v>
      </c>
      <c r="IZ149" s="3">
        <f ca="1">IFERROR(__xludf.DUMMYFUNCTION("""COMPUTED_VALUE"""),-0.607866553526129)</f>
        <v>-0.60786655352612895</v>
      </c>
      <c r="JA149" s="3">
        <f ca="1">IFERROR(__xludf.DUMMYFUNCTION("""COMPUTED_VALUE"""),-0.602503372973447)</f>
        <v>-0.60250337297344703</v>
      </c>
      <c r="JB149" s="3">
        <f ca="1">IFERROR(__xludf.DUMMYFUNCTION("""COMPUTED_VALUE"""),-0.561907133957121)</f>
        <v>-0.561907133957121</v>
      </c>
      <c r="JC149" s="3">
        <f ca="1">IFERROR(__xludf.DUMMYFUNCTION("""COMPUTED_VALUE"""),-0.466021760221473)</f>
        <v>-0.46602176022147301</v>
      </c>
      <c r="JD149" s="3">
        <f ca="1">IFERROR(__xludf.DUMMYFUNCTION("""COMPUTED_VALUE"""),-0.535642409753172)</f>
        <v>-0.53564240975317201</v>
      </c>
      <c r="JE149" s="3">
        <f ca="1">IFERROR(__xludf.DUMMYFUNCTION("""COMPUTED_VALUE"""),-0.580922319695259)</f>
        <v>-0.58092231969525898</v>
      </c>
      <c r="JF149" s="3">
        <f ca="1">IFERROR(__xludf.DUMMYFUNCTION("""COMPUTED_VALUE"""),-0.638952257279379)</f>
        <v>-0.63895225727937899</v>
      </c>
      <c r="JG149" s="3">
        <f ca="1">IFERROR(__xludf.DUMMYFUNCTION("""COMPUTED_VALUE"""),-0.648788303936131)</f>
        <v>-0.64878830393613096</v>
      </c>
      <c r="JH149" s="3">
        <f ca="1">IFERROR(__xludf.DUMMYFUNCTION("""COMPUTED_VALUE"""),-0.616571933555814)</f>
        <v>-0.61657193355581397</v>
      </c>
      <c r="JI149" s="3">
        <f ca="1">IFERROR(__xludf.DUMMYFUNCTION("""COMPUTED_VALUE"""),-0.616985050707498)</f>
        <v>-0.61698505070749798</v>
      </c>
      <c r="JJ149" s="3">
        <f ca="1">IFERROR(__xludf.DUMMYFUNCTION("""COMPUTED_VALUE"""),-0.556625327860894)</f>
        <v>-0.55662532786089403</v>
      </c>
      <c r="JK149" s="3">
        <f ca="1">IFERROR(__xludf.DUMMYFUNCTION("""COMPUTED_VALUE"""),-0.51244757483017)</f>
        <v>-0.51244757483017001</v>
      </c>
      <c r="JL149" s="3">
        <f ca="1">IFERROR(__xludf.DUMMYFUNCTION("""COMPUTED_VALUE"""),-0.595034770872563)</f>
        <v>-0.59503477087256296</v>
      </c>
      <c r="JM149" s="3">
        <f ca="1">IFERROR(__xludf.DUMMYFUNCTION("""COMPUTED_VALUE"""),-0.656841091359156)</f>
        <v>-0.65684109135915603</v>
      </c>
      <c r="JN149" s="3">
        <f ca="1">IFERROR(__xludf.DUMMYFUNCTION("""COMPUTED_VALUE"""),-0.622012913257826)</f>
        <v>-0.62201291325782604</v>
      </c>
      <c r="JO149" s="3">
        <f ca="1">IFERROR(__xludf.DUMMYFUNCTION("""COMPUTED_VALUE"""),-0.651984784638047)</f>
        <v>-0.65198478463804699</v>
      </c>
      <c r="JP149" s="3">
        <f ca="1">IFERROR(__xludf.DUMMYFUNCTION("""COMPUTED_VALUE"""),-0.63063037854951)</f>
        <v>-0.63063037854950998</v>
      </c>
      <c r="JQ149" s="3">
        <f ca="1">IFERROR(__xludf.DUMMYFUNCTION("""COMPUTED_VALUE"""),-0.555355219876418)</f>
        <v>-0.555355219876418</v>
      </c>
      <c r="JR149" s="3">
        <f ca="1">IFERROR(__xludf.DUMMYFUNCTION("""COMPUTED_VALUE"""),-0.585130980261475)</f>
        <v>-0.58513098026147503</v>
      </c>
      <c r="JS149" s="3">
        <f ca="1">IFERROR(__xludf.DUMMYFUNCTION("""COMPUTED_VALUE"""),-0.61207441639505)</f>
        <v>-0.61207441639505</v>
      </c>
      <c r="JT149" s="3">
        <f ca="1">IFERROR(__xludf.DUMMYFUNCTION("""COMPUTED_VALUE"""),-0.635275926609795)</f>
        <v>-0.63527592660979504</v>
      </c>
      <c r="JU149" s="3">
        <f ca="1">IFERROR(__xludf.DUMMYFUNCTION("""COMPUTED_VALUE"""),-0.631841870653903)</f>
        <v>-0.63184187065390296</v>
      </c>
      <c r="JV149" s="3">
        <f ca="1">IFERROR(__xludf.DUMMYFUNCTION("""COMPUTED_VALUE"""),-0.627059873915142)</f>
        <v>-0.62705987391514195</v>
      </c>
      <c r="JW149" s="3">
        <f ca="1">IFERROR(__xludf.DUMMYFUNCTION("""COMPUTED_VALUE"""),-0.54760909687705)</f>
        <v>-0.54760909687704995</v>
      </c>
      <c r="JX149" s="3">
        <f ca="1">IFERROR(__xludf.DUMMYFUNCTION("""COMPUTED_VALUE"""),-0.521880476226003)</f>
        <v>-0.52188047622600298</v>
      </c>
      <c r="JY149" s="3">
        <f ca="1">IFERROR(__xludf.DUMMYFUNCTION("""COMPUTED_VALUE"""),-0.536732288840023)</f>
        <v>-0.536732288840023</v>
      </c>
      <c r="JZ149" s="3">
        <f ca="1">IFERROR(__xludf.DUMMYFUNCTION("""COMPUTED_VALUE"""),-0.608689268705931)</f>
        <v>-0.60868926870593099</v>
      </c>
      <c r="KA149" s="3">
        <f ca="1">IFERROR(__xludf.DUMMYFUNCTION("""COMPUTED_VALUE"""),-0.598066175471828)</f>
        <v>-0.59806617547182805</v>
      </c>
      <c r="KB149" s="3">
        <f ca="1">IFERROR(__xludf.DUMMYFUNCTION("""COMPUTED_VALUE"""),-0.655568833010894)</f>
        <v>-0.65556883301089397</v>
      </c>
      <c r="KC149" s="3">
        <f ca="1">IFERROR(__xludf.DUMMYFUNCTION("""COMPUTED_VALUE"""),-0.528944467057969)</f>
        <v>-0.52894446705796905</v>
      </c>
      <c r="KD149" s="3">
        <f ca="1">IFERROR(__xludf.DUMMYFUNCTION("""COMPUTED_VALUE"""),-0.494346169398045)</f>
        <v>-0.49434616939804499</v>
      </c>
      <c r="KE149" s="3">
        <f ca="1">IFERROR(__xludf.DUMMYFUNCTION("""COMPUTED_VALUE"""),-0.459031378054309)</f>
        <v>-0.45903137805430899</v>
      </c>
      <c r="KF149" s="3">
        <f ca="1">IFERROR(__xludf.DUMMYFUNCTION("""COMPUTED_VALUE"""),-0.465586998249619)</f>
        <v>-0.46558699824961902</v>
      </c>
      <c r="KG149" s="3">
        <f ca="1">IFERROR(__xludf.DUMMYFUNCTION("""COMPUTED_VALUE"""),-0.541340648524339)</f>
        <v>-0.54134064852433905</v>
      </c>
      <c r="KH149" s="3">
        <f ca="1">IFERROR(__xludf.DUMMYFUNCTION("""COMPUTED_VALUE"""),-0.566252822342549)</f>
        <v>-0.56625282234254903</v>
      </c>
      <c r="KI149" s="3">
        <f ca="1">IFERROR(__xludf.DUMMYFUNCTION("""COMPUTED_VALUE"""),-0.597323731591314)</f>
        <v>-0.59732373159131402</v>
      </c>
      <c r="KJ149" s="3">
        <f ca="1">IFERROR(__xludf.DUMMYFUNCTION("""COMPUTED_VALUE"""),-0.612232408879912)</f>
        <v>-0.61223240887991204</v>
      </c>
      <c r="KK149" s="3">
        <f ca="1">IFERROR(__xludf.DUMMYFUNCTION("""COMPUTED_VALUE"""),-0.499089364858958)</f>
        <v>-0.499089364858958</v>
      </c>
      <c r="KL149" s="3">
        <f ca="1">IFERROR(__xludf.DUMMYFUNCTION("""COMPUTED_VALUE"""),-0.523104530478478)</f>
        <v>-0.52310453047847805</v>
      </c>
      <c r="KM149" s="3">
        <f ca="1">IFERROR(__xludf.DUMMYFUNCTION("""COMPUTED_VALUE"""),-0.484128082279303)</f>
        <v>-0.48412808227930298</v>
      </c>
      <c r="KN149" s="3">
        <f ca="1">IFERROR(__xludf.DUMMYFUNCTION("""COMPUTED_VALUE"""),-0.612078595425262)</f>
        <v>-0.612078595425262</v>
      </c>
      <c r="KO149" s="3">
        <f ca="1">IFERROR(__xludf.DUMMYFUNCTION("""COMPUTED_VALUE"""),-0.624548258400004)</f>
        <v>-0.62454825840000405</v>
      </c>
      <c r="KP149" s="3">
        <f ca="1">IFERROR(__xludf.DUMMYFUNCTION("""COMPUTED_VALUE"""),-0.64058982310474)</f>
        <v>-0.64058982310474</v>
      </c>
      <c r="KQ149" s="3">
        <f ca="1">IFERROR(__xludf.DUMMYFUNCTION("""COMPUTED_VALUE"""),-0.644847698819798)</f>
        <v>-0.64484769881979798</v>
      </c>
      <c r="KR149" s="3">
        <f ca="1">IFERROR(__xludf.DUMMYFUNCTION("""COMPUTED_VALUE"""),-0.627839540792245)</f>
        <v>-0.62783954079224502</v>
      </c>
      <c r="KS149" s="3">
        <f ca="1">IFERROR(__xludf.DUMMYFUNCTION("""COMPUTED_VALUE"""),-0.539225482323519)</f>
        <v>-0.53922548232351897</v>
      </c>
      <c r="KT149" s="3">
        <f ca="1">IFERROR(__xludf.DUMMYFUNCTION("""COMPUTED_VALUE"""),-0.572490015212575)</f>
        <v>-0.57249001521257503</v>
      </c>
      <c r="KU149" s="3">
        <f ca="1">IFERROR(__xludf.DUMMYFUNCTION("""COMPUTED_VALUE"""),-0.666785291101204)</f>
        <v>-0.66678529110120399</v>
      </c>
      <c r="KV149" s="3">
        <f ca="1">IFERROR(__xludf.DUMMYFUNCTION("""COMPUTED_VALUE"""),-0.626285656092805)</f>
        <v>-0.62628565609280495</v>
      </c>
      <c r="KW149" s="3">
        <f ca="1">IFERROR(__xludf.DUMMYFUNCTION("""COMPUTED_VALUE"""),-0.662798383554192)</f>
        <v>-0.66279838355419196</v>
      </c>
      <c r="KX149" s="3">
        <f ca="1">IFERROR(__xludf.DUMMYFUNCTION("""COMPUTED_VALUE"""),-0.630691297241493)</f>
        <v>-0.63069129724149298</v>
      </c>
      <c r="KY149" s="3">
        <f ca="1">IFERROR(__xludf.DUMMYFUNCTION("""COMPUTED_VALUE"""),-0.613312701918655)</f>
        <v>-0.61331270191865495</v>
      </c>
      <c r="KZ149" s="3">
        <f ca="1">IFERROR(__xludf.DUMMYFUNCTION("""COMPUTED_VALUE"""),-0.508857411008896)</f>
        <v>-0.50885741100889603</v>
      </c>
      <c r="LA149" s="3">
        <f ca="1">IFERROR(__xludf.DUMMYFUNCTION("""COMPUTED_VALUE"""),-0.570878861574183)</f>
        <v>-0.57087886157418299</v>
      </c>
      <c r="LB149" s="3">
        <f ca="1">IFERROR(__xludf.DUMMYFUNCTION("""COMPUTED_VALUE"""),-0.691734148585214)</f>
        <v>-0.69173414858521398</v>
      </c>
      <c r="LC149" s="3">
        <f ca="1">IFERROR(__xludf.DUMMYFUNCTION("""COMPUTED_VALUE"""),-0.682706597077941)</f>
        <v>-0.68270659707794101</v>
      </c>
      <c r="LD149" s="3">
        <f ca="1">IFERROR(__xludf.DUMMYFUNCTION("""COMPUTED_VALUE"""),-0.687888941812956)</f>
        <v>-0.68788894181295601</v>
      </c>
      <c r="LE149" s="3">
        <f ca="1">IFERROR(__xludf.DUMMYFUNCTION("""COMPUTED_VALUE"""),-0.716888310311274)</f>
        <v>-0.71688831031127398</v>
      </c>
      <c r="LF149" s="3">
        <f ca="1">IFERROR(__xludf.DUMMYFUNCTION("""COMPUTED_VALUE"""),-0.679607573732202)</f>
        <v>-0.67960757373220204</v>
      </c>
      <c r="LG149" s="3">
        <f ca="1">IFERROR(__xludf.DUMMYFUNCTION("""COMPUTED_VALUE"""),-0.590101366096758)</f>
        <v>-0.59010136609675801</v>
      </c>
      <c r="LH149" s="3">
        <f ca="1">IFERROR(__xludf.DUMMYFUNCTION("""COMPUTED_VALUE"""),-0.620588624538592)</f>
        <v>-0.62058862453859198</v>
      </c>
      <c r="LI149" s="3">
        <f ca="1">IFERROR(__xludf.DUMMYFUNCTION("""COMPUTED_VALUE"""),-0.729013499529104)</f>
        <v>-0.72901349952910399</v>
      </c>
      <c r="LJ149" s="3">
        <f ca="1">IFERROR(__xludf.DUMMYFUNCTION("""COMPUTED_VALUE"""),-0.742757859234716)</f>
        <v>-0.74275785923471604</v>
      </c>
      <c r="LK149" s="3">
        <f ca="1">IFERROR(__xludf.DUMMYFUNCTION("""COMPUTED_VALUE"""),-0.683810006381889)</f>
        <v>-0.68381000638188905</v>
      </c>
      <c r="LL149" s="3">
        <f ca="1">IFERROR(__xludf.DUMMYFUNCTION("""COMPUTED_VALUE"""),-0.69704955901866)</f>
        <v>-0.69704955901865995</v>
      </c>
      <c r="LM149" s="3">
        <f ca="1">IFERROR(__xludf.DUMMYFUNCTION("""COMPUTED_VALUE"""),-0.650796926271132)</f>
        <v>-0.65079692627113195</v>
      </c>
      <c r="LN149" s="3">
        <f ca="1">IFERROR(__xludf.DUMMYFUNCTION("""COMPUTED_VALUE"""),-0.611835460403743)</f>
        <v>-0.61183546040374304</v>
      </c>
      <c r="LO149" s="3">
        <f ca="1">IFERROR(__xludf.DUMMYFUNCTION("""COMPUTED_VALUE"""),-0.616892024194354)</f>
        <v>-0.61689202419435396</v>
      </c>
      <c r="LP149" s="3">
        <f ca="1">IFERROR(__xludf.DUMMYFUNCTION("""COMPUTED_VALUE"""),-0.72636866646041)</f>
        <v>-0.72636866646040998</v>
      </c>
      <c r="LQ149" s="3">
        <f ca="1">IFERROR(__xludf.DUMMYFUNCTION("""COMPUTED_VALUE"""),-0.738523568462527)</f>
        <v>-0.73852356846252698</v>
      </c>
      <c r="LR149" s="3">
        <f ca="1">IFERROR(__xludf.DUMMYFUNCTION("""COMPUTED_VALUE"""),-0.754572504059726)</f>
        <v>-0.75457250405972598</v>
      </c>
      <c r="LS149" s="3">
        <f ca="1">IFERROR(__xludf.DUMMYFUNCTION("""COMPUTED_VALUE"""),-0.746397462934129)</f>
        <v>-0.74639746293412901</v>
      </c>
      <c r="LT149" s="3">
        <f ca="1">IFERROR(__xludf.DUMMYFUNCTION("""COMPUTED_VALUE"""),-0.787205645833701)</f>
        <v>-0.78720564583370101</v>
      </c>
      <c r="LU149" s="3">
        <f ca="1">IFERROR(__xludf.DUMMYFUNCTION("""COMPUTED_VALUE"""),-0.679461087002593)</f>
        <v>-0.679461087002593</v>
      </c>
      <c r="LV149" s="3">
        <f ca="1">IFERROR(__xludf.DUMMYFUNCTION("""COMPUTED_VALUE"""),-0.657426038283459)</f>
        <v>-0.65742603828345902</v>
      </c>
      <c r="LW149" s="3">
        <f ca="1">IFERROR(__xludf.DUMMYFUNCTION("""COMPUTED_VALUE"""),-0.790623315019196)</f>
        <v>-0.79062331501919603</v>
      </c>
      <c r="LX149" s="3">
        <f ca="1">IFERROR(__xludf.DUMMYFUNCTION("""COMPUTED_VALUE"""),-0.801022277144465)</f>
        <v>-0.80102227714446494</v>
      </c>
      <c r="LY149" s="3">
        <f ca="1">IFERROR(__xludf.DUMMYFUNCTION("""COMPUTED_VALUE"""),-0.77242195300175)</f>
        <v>-0.77242195300174998</v>
      </c>
      <c r="LZ149" s="3">
        <f ca="1">IFERROR(__xludf.DUMMYFUNCTION("""COMPUTED_VALUE"""),-0.782470320679135)</f>
        <v>-0.78247032067913502</v>
      </c>
      <c r="MA149" s="3">
        <f ca="1">IFERROR(__xludf.DUMMYFUNCTION("""COMPUTED_VALUE"""),-0.721790079325084)</f>
        <v>-0.72179007932508399</v>
      </c>
      <c r="MB149" s="3">
        <f ca="1">IFERROR(__xludf.DUMMYFUNCTION("""COMPUTED_VALUE"""),-0.685045726765011)</f>
        <v>-0.68504572676501096</v>
      </c>
      <c r="MC149" s="3">
        <f ca="1">IFERROR(__xludf.DUMMYFUNCTION("""COMPUTED_VALUE"""),-0.726295969591616)</f>
        <v>-0.72629596959161602</v>
      </c>
      <c r="MD149" s="3">
        <f ca="1">IFERROR(__xludf.DUMMYFUNCTION("""COMPUTED_VALUE"""),-0.789624618089387)</f>
        <v>-0.789624618089387</v>
      </c>
      <c r="ME149" s="3">
        <f ca="1">IFERROR(__xludf.DUMMYFUNCTION("""COMPUTED_VALUE"""),-0.79533980983328)</f>
        <v>-0.79533980983328001</v>
      </c>
      <c r="MF149" s="3">
        <f ca="1">IFERROR(__xludf.DUMMYFUNCTION("""COMPUTED_VALUE"""),-0.778489826024723)</f>
        <v>-0.77848982602472305</v>
      </c>
      <c r="MG149" s="3">
        <f ca="1">IFERROR(__xludf.DUMMYFUNCTION("""COMPUTED_VALUE"""),-0.79969467647772)</f>
        <v>-0.79969467647771997</v>
      </c>
      <c r="MH149" s="3">
        <f ca="1">IFERROR(__xludf.DUMMYFUNCTION("""COMPUTED_VALUE"""),-0.768490865385537)</f>
        <v>-0.76849086538553701</v>
      </c>
      <c r="MI149" s="3">
        <f ca="1">IFERROR(__xludf.DUMMYFUNCTION("""COMPUTED_VALUE"""),-0.678395660464637)</f>
        <v>-0.67839566046463695</v>
      </c>
      <c r="MJ149" s="3">
        <f ca="1">IFERROR(__xludf.DUMMYFUNCTION("""COMPUTED_VALUE"""),-0.73224577939223)</f>
        <v>-0.73224577939223001</v>
      </c>
      <c r="MK149" s="3">
        <f ca="1">IFERROR(__xludf.DUMMYFUNCTION("""COMPUTED_VALUE"""),-0.767968595741978)</f>
        <v>-0.76796859574197796</v>
      </c>
      <c r="ML149" s="3">
        <f ca="1">IFERROR(__xludf.DUMMYFUNCTION("""COMPUTED_VALUE"""),-0.762380244985124)</f>
        <v>-0.76238024498512402</v>
      </c>
      <c r="MM149" s="3">
        <f ca="1">IFERROR(__xludf.DUMMYFUNCTION("""COMPUTED_VALUE"""),-0.712584894902738)</f>
        <v>-0.71258489490273802</v>
      </c>
      <c r="MN149" s="3">
        <f ca="1">IFERROR(__xludf.DUMMYFUNCTION("""COMPUTED_VALUE"""),-0.807083151188359)</f>
        <v>-0.80708315118835905</v>
      </c>
      <c r="MO149" s="3">
        <f ca="1">IFERROR(__xludf.DUMMYFUNCTION("""COMPUTED_VALUE"""),-0.761987786025054)</f>
        <v>-0.76198778602505401</v>
      </c>
      <c r="MP149" s="3">
        <f ca="1">IFERROR(__xludf.DUMMYFUNCTION("""COMPUTED_VALUE"""),-0.704834586836378)</f>
        <v>-0.70483458683637801</v>
      </c>
      <c r="MQ149" s="3">
        <f ca="1">IFERROR(__xludf.DUMMYFUNCTION("""COMPUTED_VALUE"""),-0.739720688330752)</f>
        <v>-0.739720688330752</v>
      </c>
      <c r="MR149" s="3">
        <f ca="1">IFERROR(__xludf.DUMMYFUNCTION("""COMPUTED_VALUE"""),-0.754023004405836)</f>
        <v>-0.75402300440583603</v>
      </c>
      <c r="MS149" s="3">
        <f ca="1">IFERROR(__xludf.DUMMYFUNCTION("""COMPUTED_VALUE"""),-0.815039228597422)</f>
        <v>-0.81503922859742195</v>
      </c>
      <c r="MT149" s="3">
        <f ca="1">IFERROR(__xludf.DUMMYFUNCTION("""COMPUTED_VALUE"""),-0.814650066473938)</f>
        <v>-0.81465006647393801</v>
      </c>
      <c r="MU149" s="3">
        <f ca="1">IFERROR(__xludf.DUMMYFUNCTION("""COMPUTED_VALUE"""),-0.815626233432138)</f>
        <v>-0.81562623343213803</v>
      </c>
      <c r="MV149" s="3">
        <f ca="1">IFERROR(__xludf.DUMMYFUNCTION("""COMPUTED_VALUE"""),-0.780834125115182)</f>
        <v>-0.78083412511518202</v>
      </c>
      <c r="MW149" s="3">
        <f ca="1">IFERROR(__xludf.DUMMYFUNCTION("""COMPUTED_VALUE"""),-0.697828948289011)</f>
        <v>-0.69782894828901099</v>
      </c>
      <c r="MX149" s="3">
        <f ca="1">IFERROR(__xludf.DUMMYFUNCTION("""COMPUTED_VALUE"""),-0.744500387233924)</f>
        <v>-0.74450038723392398</v>
      </c>
      <c r="MY149" s="3">
        <f ca="1">IFERROR(__xludf.DUMMYFUNCTION("""COMPUTED_VALUE"""),-0.77239962481646)</f>
        <v>-0.77239962481645996</v>
      </c>
      <c r="MZ149" s="3">
        <f ca="1">IFERROR(__xludf.DUMMYFUNCTION("""COMPUTED_VALUE"""),-0.833525905354397)</f>
        <v>-0.83352590535439697</v>
      </c>
      <c r="NA149" s="3">
        <f ca="1">IFERROR(__xludf.DUMMYFUNCTION("""COMPUTED_VALUE"""),-0.843219842204072)</f>
        <v>-0.84321984220407198</v>
      </c>
      <c r="NB149" s="3">
        <f ca="1">IFERROR(__xludf.DUMMYFUNCTION("""COMPUTED_VALUE"""),-0.820392964927002)</f>
        <v>-0.82039296492700198</v>
      </c>
      <c r="NC149" s="3">
        <f ca="1">IFERROR(__xludf.DUMMYFUNCTION("""COMPUTED_VALUE"""),-0.822719680849605)</f>
        <v>-0.82271968084960501</v>
      </c>
      <c r="ND149" s="3">
        <f ca="1">IFERROR(__xludf.DUMMYFUNCTION("""COMPUTED_VALUE"""),-0.768863321833218)</f>
        <v>-0.76886332183321804</v>
      </c>
      <c r="NE149" s="3">
        <f ca="1">IFERROR(__xludf.DUMMYFUNCTION("""COMPUTED_VALUE"""),-0.746864428746695)</f>
        <v>-0.74686442874669501</v>
      </c>
      <c r="NF149" s="3">
        <f ca="1">IFERROR(__xludf.DUMMYFUNCTION("""COMPUTED_VALUE"""),-0.825986848998021)</f>
        <v>-0.82598684899802099</v>
      </c>
      <c r="NG149" s="3">
        <f ca="1">IFERROR(__xludf.DUMMYFUNCTION("""COMPUTED_VALUE"""),-0.826416458255271)</f>
        <v>-0.82641645825527099</v>
      </c>
      <c r="NH149" s="3">
        <f ca="1">IFERROR(__xludf.DUMMYFUNCTION("""COMPUTED_VALUE"""),-0.832832676433262)</f>
        <v>-0.83283267643326198</v>
      </c>
      <c r="NI149" s="3">
        <f ca="1">IFERROR(__xludf.DUMMYFUNCTION("""COMPUTED_VALUE"""),-0.832730500245856)</f>
        <v>-0.83273050024585604</v>
      </c>
      <c r="NJ149" s="3">
        <f ca="1">IFERROR(__xludf.DUMMYFUNCTION("""COMPUTED_VALUE"""),-0.810679848328056)</f>
        <v>-0.81067984832805595</v>
      </c>
      <c r="NK149" s="3">
        <f ca="1">IFERROR(__xludf.DUMMYFUNCTION("""COMPUTED_VALUE"""),-0.727110717499955)</f>
        <v>-0.72711071749995504</v>
      </c>
      <c r="NL149" s="3">
        <f ca="1">IFERROR(__xludf.DUMMYFUNCTION("""COMPUTED_VALUE"""),-0.743460829637933)</f>
        <v>-0.74346082963793303</v>
      </c>
      <c r="NM149" s="3">
        <f ca="1">IFERROR(__xludf.DUMMYFUNCTION("""COMPUTED_VALUE"""),-0.818313956084219)</f>
        <v>-0.81831395608421897</v>
      </c>
      <c r="NN149" s="3">
        <f ca="1">IFERROR(__xludf.DUMMYFUNCTION("""COMPUTED_VALUE"""),-0.811414343183844)</f>
        <v>-0.81141434318384398</v>
      </c>
      <c r="NO149" s="3">
        <f ca="1">IFERROR(__xludf.DUMMYFUNCTION("""COMPUTED_VALUE"""),-0.808837857852943)</f>
        <v>-0.80883785785294304</v>
      </c>
      <c r="NP149" s="3">
        <f ca="1">IFERROR(__xludf.DUMMYFUNCTION("""COMPUTED_VALUE"""),-0.819979820693595)</f>
        <v>-0.81997982069359499</v>
      </c>
      <c r="NQ149" s="3">
        <f ca="1">IFERROR(__xludf.DUMMYFUNCTION("""COMPUTED_VALUE"""),-0.800793052730245)</f>
        <v>-0.80079305273024504</v>
      </c>
      <c r="NR149" s="3">
        <f ca="1">IFERROR(__xludf.DUMMYFUNCTION("""COMPUTED_VALUE"""),-0.722117391901001)</f>
        <v>-0.72211739190100099</v>
      </c>
      <c r="NS149" s="3">
        <f ca="1">IFERROR(__xludf.DUMMYFUNCTION("""COMPUTED_VALUE"""),-0.730353971396442)</f>
        <v>-0.73035397139644198</v>
      </c>
      <c r="NT149" s="3">
        <f ca="1">IFERROR(__xludf.DUMMYFUNCTION("""COMPUTED_VALUE"""),-0.816090179367392)</f>
        <v>-0.81609017936739203</v>
      </c>
      <c r="NU149" s="3">
        <f ca="1">IFERROR(__xludf.DUMMYFUNCTION("""COMPUTED_VALUE"""),-0.808138843072901)</f>
        <v>-0.80813884307290096</v>
      </c>
      <c r="NV149" s="3">
        <f ca="1">IFERROR(__xludf.DUMMYFUNCTION("""COMPUTED_VALUE"""),-0.81363589103741)</f>
        <v>-0.81363589103740996</v>
      </c>
      <c r="NW149" s="3">
        <f ca="1">IFERROR(__xludf.DUMMYFUNCTION("""COMPUTED_VALUE"""),-0.752839053356993)</f>
        <v>-0.75283905335699297</v>
      </c>
      <c r="NX149" s="3">
        <f ca="1">IFERROR(__xludf.DUMMYFUNCTION("""COMPUTED_VALUE"""),-0.717585224815205)</f>
        <v>-0.71758522481520504</v>
      </c>
      <c r="NY149" s="3">
        <f ca="1">IFERROR(__xludf.DUMMYFUNCTION("""COMPUTED_VALUE"""),-0.581736992052459)</f>
        <v>-0.58173699205245899</v>
      </c>
      <c r="NZ149" s="3">
        <f ca="1">IFERROR(__xludf.DUMMYFUNCTION("""COMPUTED_VALUE"""),-0.595813970454885)</f>
        <v>-0.59581397045488504</v>
      </c>
      <c r="OA149" s="3">
        <f ca="1">IFERROR(__xludf.DUMMYFUNCTION("""COMPUTED_VALUE"""),-0.705644869546622)</f>
        <v>-0.70564486954662198</v>
      </c>
      <c r="OB149" s="3">
        <f ca="1">IFERROR(__xludf.DUMMYFUNCTION("""COMPUTED_VALUE"""),-0.657700807564022)</f>
        <v>-0.65770080756402205</v>
      </c>
      <c r="OC149" s="3">
        <f ca="1">IFERROR(__xludf.DUMMYFUNCTION("""COMPUTED_VALUE"""),-0.665320368286555)</f>
        <v>-0.66532036828655505</v>
      </c>
      <c r="OD149" s="3">
        <f ca="1">IFERROR(__xludf.DUMMYFUNCTION("""COMPUTED_VALUE"""),-0.646017400731078)</f>
        <v>-0.64601740073107805</v>
      </c>
      <c r="OE149" s="3">
        <f ca="1">IFERROR(__xludf.DUMMYFUNCTION("""COMPUTED_VALUE"""),-0.516528332962665)</f>
        <v>-0.51652833296266498</v>
      </c>
      <c r="OF149" s="3">
        <f ca="1">IFERROR(__xludf.DUMMYFUNCTION("""COMPUTED_VALUE"""),-0.236610874950249)</f>
        <v>-0.23661087495024899</v>
      </c>
      <c r="OG149" s="3">
        <f ca="1">IFERROR(__xludf.DUMMYFUNCTION("""COMPUTED_VALUE"""),-0.247186955179811)</f>
        <v>-0.24718695517981101</v>
      </c>
      <c r="OH149" s="3">
        <f ca="1">IFERROR(__xludf.DUMMYFUNCTION("""COMPUTED_VALUE"""),-0.338451670785571)</f>
        <v>-0.33845167078557098</v>
      </c>
      <c r="OI149" s="3">
        <f ca="1">IFERROR(__xludf.DUMMYFUNCTION("""COMPUTED_VALUE"""),-0.0660290284764886)</f>
        <v>-6.6029028476488602E-2</v>
      </c>
      <c r="OJ149" s="3">
        <f ca="1">IFERROR(__xludf.DUMMYFUNCTION("""COMPUTED_VALUE"""),-0.00976451875377937)</f>
        <v>-9.7645187537793703E-3</v>
      </c>
      <c r="OK149" s="3">
        <f ca="1">IFERROR(__xludf.DUMMYFUNCTION("""COMPUTED_VALUE"""),-0.0485684573549534)</f>
        <v>-4.8568457354953402E-2</v>
      </c>
      <c r="OL149" s="3">
        <f ca="1">IFERROR(__xludf.DUMMYFUNCTION("""COMPUTED_VALUE"""),0.040679894238162)</f>
        <v>4.0679894238161998E-2</v>
      </c>
      <c r="OM149" s="3">
        <f ca="1">IFERROR(__xludf.DUMMYFUNCTION("""COMPUTED_VALUE"""),0.0252501876698936)</f>
        <v>2.5250187669893599E-2</v>
      </c>
      <c r="ON149" s="3">
        <f ca="1">IFERROR(__xludf.DUMMYFUNCTION("""COMPUTED_VALUE"""),0.0298018786275369)</f>
        <v>2.9801878627536901E-2</v>
      </c>
      <c r="OO149" s="3">
        <f ca="1">IFERROR(__xludf.DUMMYFUNCTION("""COMPUTED_VALUE"""),0.005966134174054)</f>
        <v>5.9661341740540001E-3</v>
      </c>
      <c r="OP149" s="3">
        <f ca="1">IFERROR(__xludf.DUMMYFUNCTION("""COMPUTED_VALUE"""),-0.00985237968328445)</f>
        <v>-9.8523796832844495E-3</v>
      </c>
      <c r="OQ149" s="3">
        <f ca="1">IFERROR(__xludf.DUMMYFUNCTION("""COMPUTED_VALUE"""),0.0409680744727998)</f>
        <v>4.0968074472799799E-2</v>
      </c>
      <c r="OR149" s="3">
        <f ca="1">IFERROR(__xludf.DUMMYFUNCTION("""COMPUTED_VALUE"""),-0.00691474533627611)</f>
        <v>-6.9147453362761102E-3</v>
      </c>
      <c r="OS149" s="3">
        <f ca="1">IFERROR(__xludf.DUMMYFUNCTION("""COMPUTED_VALUE"""),0.0481962891834824)</f>
        <v>4.8196289183482399E-2</v>
      </c>
      <c r="OT149" s="3">
        <f ca="1">IFERROR(__xludf.DUMMYFUNCTION("""COMPUTED_VALUE"""),0.0446077028844378)</f>
        <v>4.46077028844378E-2</v>
      </c>
      <c r="OU149" s="3">
        <f ca="1">IFERROR(__xludf.DUMMYFUNCTION("""COMPUTED_VALUE"""),0.0129907503505088)</f>
        <v>1.29907503505088E-2</v>
      </c>
      <c r="OV149" s="3">
        <f ca="1">IFERROR(__xludf.DUMMYFUNCTION("""COMPUTED_VALUE"""),-0.0710866474946513)</f>
        <v>-7.1086647494651295E-2</v>
      </c>
      <c r="OW149" s="3">
        <f ca="1">IFERROR(__xludf.DUMMYFUNCTION("""COMPUTED_VALUE"""),-0.142897737189576)</f>
        <v>-0.14289773718957599</v>
      </c>
      <c r="OX149" s="3">
        <f ca="1">IFERROR(__xludf.DUMMYFUNCTION("""COMPUTED_VALUE"""),-0.0902584847373184)</f>
        <v>-9.0258484737318401E-2</v>
      </c>
      <c r="OY149" s="3">
        <f ca="1">IFERROR(__xludf.DUMMYFUNCTION("""COMPUTED_VALUE"""),-0.0672802390945056)</f>
        <v>-6.7280239094505603E-2</v>
      </c>
      <c r="OZ149" s="3">
        <f ca="1">IFERROR(__xludf.DUMMYFUNCTION("""COMPUTED_VALUE"""),0.118990865673091)</f>
        <v>0.118990865673091</v>
      </c>
      <c r="PA149" s="3">
        <f ca="1">IFERROR(__xludf.DUMMYFUNCTION("""COMPUTED_VALUE"""),0.0940367720968595)</f>
        <v>9.4036772096859497E-2</v>
      </c>
      <c r="PB149" s="3">
        <f ca="1">IFERROR(__xludf.DUMMYFUNCTION("""COMPUTED_VALUE"""),0.0474820512904867)</f>
        <v>4.7482051290486701E-2</v>
      </c>
      <c r="PC149" s="3">
        <f ca="1">IFERROR(__xludf.DUMMYFUNCTION("""COMPUTED_VALUE"""),-0.0207557690627421)</f>
        <v>-2.07557690627421E-2</v>
      </c>
      <c r="PD149" s="3">
        <f ca="1">IFERROR(__xludf.DUMMYFUNCTION("""COMPUTED_VALUE"""),-0.039553489504836)</f>
        <v>-3.9553489504835997E-2</v>
      </c>
      <c r="PE149" s="3">
        <f ca="1">IFERROR(__xludf.DUMMYFUNCTION("""COMPUTED_VALUE"""),0.0269707961294813)</f>
        <v>2.6970796129481299E-2</v>
      </c>
      <c r="PF149" s="3">
        <f ca="1">IFERROR(__xludf.DUMMYFUNCTION("""COMPUTED_VALUE"""),0.242577744051241)</f>
        <v>0.242577744051241</v>
      </c>
      <c r="PG149" s="3">
        <f ca="1">IFERROR(__xludf.DUMMYFUNCTION("""COMPUTED_VALUE"""),-0.431309313707103)</f>
        <v>-0.43130931370710301</v>
      </c>
      <c r="PH149" s="3">
        <f ca="1">IFERROR(__xludf.DUMMYFUNCTION("""COMPUTED_VALUE"""),0.0965537046318623)</f>
        <v>9.6553704631862303E-2</v>
      </c>
      <c r="PI149" s="3">
        <f ca="1">IFERROR(__xludf.DUMMYFUNCTION("""COMPUTED_VALUE"""),-0.0131306188127546)</f>
        <v>-1.31306188127546E-2</v>
      </c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</row>
    <row r="150" spans="1:477" ht="13">
      <c r="A150" s="1" t="str">
        <f ca="1">IFERROR(__xludf.DUMMYFUNCTION("""COMPUTED_VALUE"""),"TTC - Buses &amp; Streetcars")</f>
        <v>TTC - Buses &amp; Streetcars</v>
      </c>
      <c r="B150" s="1" t="str">
        <f ca="1">IFERROR(__xludf.DUMMYFUNCTION("""COMPUTED_VALUE"""),"Toronto")</f>
        <v>Toronto</v>
      </c>
      <c r="C150" s="1" t="str">
        <f ca="1">IFERROR(__xludf.DUMMYFUNCTION("""COMPUTED_VALUE"""),"Canada")</f>
        <v>Canada</v>
      </c>
      <c r="D150" s="1" t="str">
        <f ca="1">IFERROR(__xludf.DUMMYFUNCTION("""COMPUTED_VALUE"""),"Ontario")</f>
        <v>Ontario</v>
      </c>
      <c r="E150" s="3">
        <f ca="1">IFERROR(__xludf.DUMMYFUNCTION("""COMPUTED_VALUE"""),-0.573741431122504)</f>
        <v>-0.57374143112250398</v>
      </c>
      <c r="F150" s="3">
        <f ca="1">IFERROR(__xludf.DUMMYFUNCTION("""COMPUTED_VALUE"""),-0.58640245910712)</f>
        <v>-0.58640245910711997</v>
      </c>
      <c r="G150" s="3">
        <f ca="1">IFERROR(__xludf.DUMMYFUNCTION("""COMPUTED_VALUE"""),-0.659982711431309)</f>
        <v>-0.65998271143130904</v>
      </c>
      <c r="H150" s="3">
        <f ca="1">IFERROR(__xludf.DUMMYFUNCTION("""COMPUTED_VALUE"""),-0.635968978287323)</f>
        <v>-0.63596897828732302</v>
      </c>
      <c r="I150" s="3">
        <f ca="1">IFERROR(__xludf.DUMMYFUNCTION("""COMPUTED_VALUE"""),-0.625762542644057)</f>
        <v>-0.62576254264405695</v>
      </c>
      <c r="J150" s="3">
        <f ca="1">IFERROR(__xludf.DUMMYFUNCTION("""COMPUTED_VALUE"""),-0.627323772198653)</f>
        <v>-0.62732377219865298</v>
      </c>
      <c r="K150" s="3">
        <f ca="1">IFERROR(__xludf.DUMMYFUNCTION("""COMPUTED_VALUE"""),-0.574519125399598)</f>
        <v>-0.57451912539959804</v>
      </c>
      <c r="L150" s="3">
        <f ca="1">IFERROR(__xludf.DUMMYFUNCTION("""COMPUTED_VALUE"""),-0.555330376680963)</f>
        <v>-0.55533037668096297</v>
      </c>
      <c r="M150" s="3">
        <f ca="1">IFERROR(__xludf.DUMMYFUNCTION("""COMPUTED_VALUE"""),-0.696087368071197)</f>
        <v>-0.69608736807119698</v>
      </c>
      <c r="N150" s="3">
        <f ca="1">IFERROR(__xludf.DUMMYFUNCTION("""COMPUTED_VALUE"""),-0.580824923087884)</f>
        <v>-0.58082492308788403</v>
      </c>
      <c r="O150" s="3">
        <f ca="1">IFERROR(__xludf.DUMMYFUNCTION("""COMPUTED_VALUE"""),-0.612125434361133)</f>
        <v>-0.61212543436113298</v>
      </c>
      <c r="P150" s="3">
        <f ca="1">IFERROR(__xludf.DUMMYFUNCTION("""COMPUTED_VALUE"""),-0.598335926553389)</f>
        <v>-0.59833592655338896</v>
      </c>
      <c r="Q150" s="3">
        <f ca="1">IFERROR(__xludf.DUMMYFUNCTION("""COMPUTED_VALUE"""),-0.588911486592282)</f>
        <v>-0.58891148659228199</v>
      </c>
      <c r="R150" s="3">
        <f ca="1">IFERROR(__xludf.DUMMYFUNCTION("""COMPUTED_VALUE"""),-0.529051143441799)</f>
        <v>-0.52905114344179904</v>
      </c>
      <c r="S150" s="3">
        <f ca="1">IFERROR(__xludf.DUMMYFUNCTION("""COMPUTED_VALUE"""),-0.532207782891493)</f>
        <v>-0.53220778289149295</v>
      </c>
      <c r="T150" s="3">
        <f ca="1">IFERROR(__xludf.DUMMYFUNCTION("""COMPUTED_VALUE"""),-0.629677448587186)</f>
        <v>-0.62967744858718599</v>
      </c>
      <c r="U150" s="3">
        <f ca="1">IFERROR(__xludf.DUMMYFUNCTION("""COMPUTED_VALUE"""),-0.619934342712663)</f>
        <v>-0.61993434271266301</v>
      </c>
      <c r="V150" s="3">
        <f ca="1">IFERROR(__xludf.DUMMYFUNCTION("""COMPUTED_VALUE"""),-0.635043261058469)</f>
        <v>-0.63504326105846898</v>
      </c>
      <c r="W150" s="3">
        <f ca="1">IFERROR(__xludf.DUMMYFUNCTION("""COMPUTED_VALUE"""),-0.628008006470951)</f>
        <v>-0.62800800647095101</v>
      </c>
      <c r="X150" s="3">
        <f ca="1">IFERROR(__xludf.DUMMYFUNCTION("""COMPUTED_VALUE"""),-0.606144341469716)</f>
        <v>-0.60614434146971596</v>
      </c>
      <c r="Y150" s="3">
        <f ca="1">IFERROR(__xludf.DUMMYFUNCTION("""COMPUTED_VALUE"""),-0.504404978161093)</f>
        <v>-0.50440497816109298</v>
      </c>
      <c r="Z150" s="3">
        <f ca="1">IFERROR(__xludf.DUMMYFUNCTION("""COMPUTED_VALUE"""),-0.509956034472951)</f>
        <v>-0.50995603447295101</v>
      </c>
      <c r="AA150" s="3">
        <f ca="1">IFERROR(__xludf.DUMMYFUNCTION("""COMPUTED_VALUE"""),-0.624153167992878)</f>
        <v>-0.62415316799287801</v>
      </c>
      <c r="AB150" s="3">
        <f ca="1">IFERROR(__xludf.DUMMYFUNCTION("""COMPUTED_VALUE"""),-0.626596060208099)</f>
        <v>-0.62659606020809899</v>
      </c>
      <c r="AC150" s="3">
        <f ca="1">IFERROR(__xludf.DUMMYFUNCTION("""COMPUTED_VALUE"""),-0.627096571493112)</f>
        <v>-0.62709657149311204</v>
      </c>
      <c r="AD150" s="3">
        <f ca="1">IFERROR(__xludf.DUMMYFUNCTION("""COMPUTED_VALUE"""),-0.636550327930936)</f>
        <v>-0.63655032793093602</v>
      </c>
      <c r="AE150" s="3">
        <f ca="1">IFERROR(__xludf.DUMMYFUNCTION("""COMPUTED_VALUE"""),-0.618221317592843)</f>
        <v>-0.61822131759284304</v>
      </c>
      <c r="AF150" s="3">
        <f ca="1">IFERROR(__xludf.DUMMYFUNCTION("""COMPUTED_VALUE"""),-0.53548995656959)</f>
        <v>-0.53548995656958998</v>
      </c>
      <c r="AG150" s="3">
        <f ca="1">IFERROR(__xludf.DUMMYFUNCTION("""COMPUTED_VALUE"""),-0.537489428989846)</f>
        <v>-0.53748942898984597</v>
      </c>
      <c r="AH150" s="3">
        <f ca="1">IFERROR(__xludf.DUMMYFUNCTION("""COMPUTED_VALUE"""),-0.640985575594601)</f>
        <v>-0.64098557559460101</v>
      </c>
      <c r="AI150" s="3">
        <f ca="1">IFERROR(__xludf.DUMMYFUNCTION("""COMPUTED_VALUE"""),-0.64262883201308)</f>
        <v>-0.64262883201307996</v>
      </c>
      <c r="AJ150" s="3">
        <f ca="1">IFERROR(__xludf.DUMMYFUNCTION("""COMPUTED_VALUE"""),-0.63479083869292)</f>
        <v>-0.63479083869291997</v>
      </c>
      <c r="AK150" s="3">
        <f ca="1">IFERROR(__xludf.DUMMYFUNCTION("""COMPUTED_VALUE"""),-0.631717894782478)</f>
        <v>-0.63171789478247797</v>
      </c>
      <c r="AL150" s="3">
        <f ca="1">IFERROR(__xludf.DUMMYFUNCTION("""COMPUTED_VALUE"""),-0.631956445984978)</f>
        <v>-0.63195644598497802</v>
      </c>
      <c r="AM150" s="3">
        <f ca="1">IFERROR(__xludf.DUMMYFUNCTION("""COMPUTED_VALUE"""),-0.570789101695137)</f>
        <v>-0.57078910169513697</v>
      </c>
      <c r="AN150" s="3">
        <f ca="1">IFERROR(__xludf.DUMMYFUNCTION("""COMPUTED_VALUE"""),-0.591186829763331)</f>
        <v>-0.59118682976333103</v>
      </c>
      <c r="AO150" s="3">
        <f ca="1">IFERROR(__xludf.DUMMYFUNCTION("""COMPUTED_VALUE"""),-0.658095798910557)</f>
        <v>-0.65809579891055703</v>
      </c>
      <c r="AP150" s="3">
        <f ca="1">IFERROR(__xludf.DUMMYFUNCTION("""COMPUTED_VALUE"""),-0.667724913261531)</f>
        <v>-0.66772491326153105</v>
      </c>
      <c r="AQ150" s="3">
        <f ca="1">IFERROR(__xludf.DUMMYFUNCTION("""COMPUTED_VALUE"""),-0.660163111821389)</f>
        <v>-0.66016311182138898</v>
      </c>
      <c r="AR150" s="3">
        <f ca="1">IFERROR(__xludf.DUMMYFUNCTION("""COMPUTED_VALUE"""),-0.660444568349469)</f>
        <v>-0.66044456834946896</v>
      </c>
      <c r="AS150" s="3">
        <f ca="1">IFERROR(__xludf.DUMMYFUNCTION("""COMPUTED_VALUE"""),-0.640813403877623)</f>
        <v>-0.64081340387762298</v>
      </c>
      <c r="AT150" s="3">
        <f ca="1">IFERROR(__xludf.DUMMYFUNCTION("""COMPUTED_VALUE"""),-0.583694850706058)</f>
        <v>-0.58369485070605798</v>
      </c>
      <c r="AU150" s="3">
        <f ca="1">IFERROR(__xludf.DUMMYFUNCTION("""COMPUTED_VALUE"""),-0.59808207440281)</f>
        <v>-0.59808207440281003</v>
      </c>
      <c r="AV150" s="3">
        <f ca="1">IFERROR(__xludf.DUMMYFUNCTION("""COMPUTED_VALUE"""),-0.65597833266269)</f>
        <v>-0.65597833266269001</v>
      </c>
      <c r="AW150" s="3">
        <f ca="1">IFERROR(__xludf.DUMMYFUNCTION("""COMPUTED_VALUE"""),-0.675667876136448)</f>
        <v>-0.67566787613644796</v>
      </c>
      <c r="AX150" s="3">
        <f ca="1">IFERROR(__xludf.DUMMYFUNCTION("""COMPUTED_VALUE"""),-0.674780589184697)</f>
        <v>-0.67478058918469697</v>
      </c>
      <c r="AY150" s="3">
        <f ca="1">IFERROR(__xludf.DUMMYFUNCTION("""COMPUTED_VALUE"""),-0.665077551769807)</f>
        <v>-0.66507755176980698</v>
      </c>
      <c r="AZ150" s="3">
        <f ca="1">IFERROR(__xludf.DUMMYFUNCTION("""COMPUTED_VALUE"""),-0.581072945220528)</f>
        <v>-0.58107294522052799</v>
      </c>
      <c r="BA150" s="3">
        <f ca="1">IFERROR(__xludf.DUMMYFUNCTION("""COMPUTED_VALUE"""),-0.57873769161799)</f>
        <v>-0.57873769161799005</v>
      </c>
      <c r="BB150" s="3">
        <f ca="1">IFERROR(__xludf.DUMMYFUNCTION("""COMPUTED_VALUE"""),-0.618926445071767)</f>
        <v>-0.61892644507176697</v>
      </c>
      <c r="BC150" s="3">
        <f ca="1">IFERROR(__xludf.DUMMYFUNCTION("""COMPUTED_VALUE"""),-0.653489629670472)</f>
        <v>-0.65348962967047197</v>
      </c>
      <c r="BD150" s="3">
        <f ca="1">IFERROR(__xludf.DUMMYFUNCTION("""COMPUTED_VALUE"""),-0.686219480827084)</f>
        <v>-0.68621948082708395</v>
      </c>
      <c r="BE150" s="3">
        <f ca="1">IFERROR(__xludf.DUMMYFUNCTION("""COMPUTED_VALUE"""),-0.671955438502963)</f>
        <v>-0.67195543850296302</v>
      </c>
      <c r="BF150" s="3">
        <f ca="1">IFERROR(__xludf.DUMMYFUNCTION("""COMPUTED_VALUE"""),-0.599393983507677)</f>
        <v>-0.59939398350767703</v>
      </c>
      <c r="BG150" s="3">
        <f ca="1">IFERROR(__xludf.DUMMYFUNCTION("""COMPUTED_VALUE"""),-0.725958880905673)</f>
        <v>-0.72595888090567295</v>
      </c>
      <c r="BH150" s="3">
        <f ca="1">IFERROR(__xludf.DUMMYFUNCTION("""COMPUTED_VALUE"""),-0.58124183734783)</f>
        <v>-0.58124183734782997</v>
      </c>
      <c r="BI150" s="3">
        <f ca="1">IFERROR(__xludf.DUMMYFUNCTION("""COMPUTED_VALUE"""),-0.633649025254504)</f>
        <v>-0.63364902525450395</v>
      </c>
      <c r="BJ150" s="3">
        <f ca="1">IFERROR(__xludf.DUMMYFUNCTION("""COMPUTED_VALUE"""),-0.69254162283871)</f>
        <v>-0.69254162283871001</v>
      </c>
      <c r="BK150" s="3">
        <f ca="1">IFERROR(__xludf.DUMMYFUNCTION("""COMPUTED_VALUE"""),-0.716148192427758)</f>
        <v>-0.71614819242775796</v>
      </c>
      <c r="BL150" s="3">
        <f ca="1">IFERROR(__xludf.DUMMYFUNCTION("""COMPUTED_VALUE"""),-0.716137483938188)</f>
        <v>-0.71613748393818799</v>
      </c>
      <c r="BM150" s="3">
        <f ca="1">IFERROR(__xludf.DUMMYFUNCTION("""COMPUTED_VALUE"""),-0.708969241947694)</f>
        <v>-0.70896924194769395</v>
      </c>
      <c r="BN150" s="3">
        <f ca="1">IFERROR(__xludf.DUMMYFUNCTION("""COMPUTED_VALUE"""),-0.661597631881946)</f>
        <v>-0.66159763188194598</v>
      </c>
      <c r="BO150" s="3">
        <f ca="1">IFERROR(__xludf.DUMMYFUNCTION("""COMPUTED_VALUE"""),-0.638508335945026)</f>
        <v>-0.63850833594502598</v>
      </c>
      <c r="BP150" s="3">
        <f ca="1">IFERROR(__xludf.DUMMYFUNCTION("""COMPUTED_VALUE"""),-0.647588212155832)</f>
        <v>-0.64758821215583195</v>
      </c>
      <c r="BQ150" s="3">
        <f ca="1">IFERROR(__xludf.DUMMYFUNCTION("""COMPUTED_VALUE"""),-0.707985201574667)</f>
        <v>-0.70798520157466704</v>
      </c>
      <c r="BR150" s="3">
        <f ca="1">IFERROR(__xludf.DUMMYFUNCTION("""COMPUTED_VALUE"""),-0.719337733349216)</f>
        <v>-0.71933773334921602</v>
      </c>
      <c r="BS150" s="3">
        <f ca="1">IFERROR(__xludf.DUMMYFUNCTION("""COMPUTED_VALUE"""),-0.720243624246102)</f>
        <v>-0.720243624246102</v>
      </c>
      <c r="BT150" s="3">
        <f ca="1">IFERROR(__xludf.DUMMYFUNCTION("""COMPUTED_VALUE"""),-0.724892886146955)</f>
        <v>-0.72489288614695502</v>
      </c>
      <c r="BU150" s="3">
        <f ca="1">IFERROR(__xludf.DUMMYFUNCTION("""COMPUTED_VALUE"""),-0.722576870687229)</f>
        <v>-0.72257687068722898</v>
      </c>
      <c r="BV150" s="3">
        <f ca="1">IFERROR(__xludf.DUMMYFUNCTION("""COMPUTED_VALUE"""),-0.674467633784255)</f>
        <v>-0.67446763378425501</v>
      </c>
      <c r="BW150" s="3">
        <f ca="1">IFERROR(__xludf.DUMMYFUNCTION("""COMPUTED_VALUE"""),-0.665172671609456)</f>
        <v>-0.66517267160945603</v>
      </c>
      <c r="BX150" s="3">
        <f ca="1">IFERROR(__xludf.DUMMYFUNCTION("""COMPUTED_VALUE"""),-0.729592675984585)</f>
        <v>-0.72959267598458499</v>
      </c>
      <c r="BY150" s="3">
        <f ca="1">IFERROR(__xludf.DUMMYFUNCTION("""COMPUTED_VALUE"""),-0.736343308357108)</f>
        <v>-0.73634330835710804</v>
      </c>
      <c r="BZ150" s="3">
        <f ca="1">IFERROR(__xludf.DUMMYFUNCTION("""COMPUTED_VALUE"""),-0.732549979126453)</f>
        <v>-0.73254997912645303</v>
      </c>
      <c r="CA150" s="3">
        <f ca="1">IFERROR(__xludf.DUMMYFUNCTION("""COMPUTED_VALUE"""),-0.732201014383137)</f>
        <v>-0.73220101438313701</v>
      </c>
      <c r="CB150" s="3">
        <f ca="1">IFERROR(__xludf.DUMMYFUNCTION("""COMPUTED_VALUE"""),-0.719901670519191)</f>
        <v>-0.71990167051919096</v>
      </c>
      <c r="CC150" s="3">
        <f ca="1">IFERROR(__xludf.DUMMYFUNCTION("""COMPUTED_VALUE"""),-0.673964407032805)</f>
        <v>-0.67396440703280502</v>
      </c>
      <c r="CD150" s="3">
        <f ca="1">IFERROR(__xludf.DUMMYFUNCTION("""COMPUTED_VALUE"""),-0.667252405056574)</f>
        <v>-0.66725240505657402</v>
      </c>
      <c r="CE150" s="3">
        <f ca="1">IFERROR(__xludf.DUMMYFUNCTION("""COMPUTED_VALUE"""),-0.720836387620194)</f>
        <v>-0.72083638762019397</v>
      </c>
      <c r="CF150" s="3">
        <f ca="1">IFERROR(__xludf.DUMMYFUNCTION("""COMPUTED_VALUE"""),-0.735623181729849)</f>
        <v>-0.73562318172984897</v>
      </c>
      <c r="CG150" s="3">
        <f ca="1">IFERROR(__xludf.DUMMYFUNCTION("""COMPUTED_VALUE"""),-0.740252950876089)</f>
        <v>-0.740252950876089</v>
      </c>
      <c r="CH150" s="3">
        <f ca="1">IFERROR(__xludf.DUMMYFUNCTION("""COMPUTED_VALUE"""),-0.733056566704649)</f>
        <v>-0.73305656670464903</v>
      </c>
      <c r="CI150" s="3">
        <f ca="1">IFERROR(__xludf.DUMMYFUNCTION("""COMPUTED_VALUE"""),-0.727164291641939)</f>
        <v>-0.72716429164193896</v>
      </c>
      <c r="CJ150" s="3">
        <f ca="1">IFERROR(__xludf.DUMMYFUNCTION("""COMPUTED_VALUE"""),-0.677910885513235)</f>
        <v>-0.67791088551323497</v>
      </c>
      <c r="CK150" s="3">
        <f ca="1">IFERROR(__xludf.DUMMYFUNCTION("""COMPUTED_VALUE"""),-0.652167889323339)</f>
        <v>-0.65216788932333902</v>
      </c>
      <c r="CL150" s="3">
        <f ca="1">IFERROR(__xludf.DUMMYFUNCTION("""COMPUTED_VALUE"""),-0.723620357932357)</f>
        <v>-0.72362035793235702</v>
      </c>
      <c r="CM150" s="3">
        <f ca="1">IFERROR(__xludf.DUMMYFUNCTION("""COMPUTED_VALUE"""),-0.726658991972726)</f>
        <v>-0.72665899197272599</v>
      </c>
      <c r="CN150" s="3">
        <f ca="1">IFERROR(__xludf.DUMMYFUNCTION("""COMPUTED_VALUE"""),-0.716356959470233)</f>
        <v>-0.71635695947023303</v>
      </c>
      <c r="CO150" s="3">
        <f ca="1">IFERROR(__xludf.DUMMYFUNCTION("""COMPUTED_VALUE"""),-0.720624659021092)</f>
        <v>-0.72062465902109196</v>
      </c>
      <c r="CP150" s="3">
        <f ca="1">IFERROR(__xludf.DUMMYFUNCTION("""COMPUTED_VALUE"""),-0.707791120502925)</f>
        <v>-0.70779112050292503</v>
      </c>
      <c r="CQ150" s="3">
        <f ca="1">IFERROR(__xludf.DUMMYFUNCTION("""COMPUTED_VALUE"""),-0.622015858198182)</f>
        <v>-0.62201585819818195</v>
      </c>
      <c r="CR150" s="3">
        <f ca="1">IFERROR(__xludf.DUMMYFUNCTION("""COMPUTED_VALUE"""),-0.612335151833886)</f>
        <v>-0.61233515183388598</v>
      </c>
      <c r="CS150" s="3">
        <f ca="1">IFERROR(__xludf.DUMMYFUNCTION("""COMPUTED_VALUE"""),-0.679440489166186)</f>
        <v>-0.67944048916618605</v>
      </c>
      <c r="CT150" s="3">
        <f ca="1">IFERROR(__xludf.DUMMYFUNCTION("""COMPUTED_VALUE"""),-0.67510591149115)</f>
        <v>-0.67510591149114996</v>
      </c>
      <c r="CU150" s="3">
        <f ca="1">IFERROR(__xludf.DUMMYFUNCTION("""COMPUTED_VALUE"""),-0.651649919450763)</f>
        <v>-0.651649919450763</v>
      </c>
      <c r="CV150" s="3">
        <f ca="1">IFERROR(__xludf.DUMMYFUNCTION("""COMPUTED_VALUE"""),-0.667137622011798)</f>
        <v>-0.66713762201179805</v>
      </c>
      <c r="CW150" s="3">
        <f ca="1">IFERROR(__xludf.DUMMYFUNCTION("""COMPUTED_VALUE"""),-0.660895534844049)</f>
        <v>-0.66089553484404895</v>
      </c>
      <c r="CX150" s="3">
        <f ca="1">IFERROR(__xludf.DUMMYFUNCTION("""COMPUTED_VALUE"""),-0.606676134559373)</f>
        <v>-0.60667613455937297</v>
      </c>
      <c r="CY150" s="3">
        <f ca="1">IFERROR(__xludf.DUMMYFUNCTION("""COMPUTED_VALUE"""),-0.640255537985185)</f>
        <v>-0.64025553798518497</v>
      </c>
      <c r="CZ150" s="3">
        <f ca="1">IFERROR(__xludf.DUMMYFUNCTION("""COMPUTED_VALUE"""),-0.791144245063985)</f>
        <v>-0.79114424506398495</v>
      </c>
      <c r="DA150" s="3">
        <f ca="1">IFERROR(__xludf.DUMMYFUNCTION("""COMPUTED_VALUE"""),-0.664952682463768)</f>
        <v>-0.66495268246376804</v>
      </c>
      <c r="DB150" s="3">
        <f ca="1">IFERROR(__xludf.DUMMYFUNCTION("""COMPUTED_VALUE"""),-0.574167770482043)</f>
        <v>-0.57416777048204304</v>
      </c>
      <c r="DC150" s="3">
        <f ca="1">IFERROR(__xludf.DUMMYFUNCTION("""COMPUTED_VALUE"""),-0.659043413402199)</f>
        <v>-0.65904341340219896</v>
      </c>
      <c r="DD150" s="3">
        <f ca="1">IFERROR(__xludf.DUMMYFUNCTION("""COMPUTED_VALUE"""),-0.715874619773121)</f>
        <v>-0.71587461977312095</v>
      </c>
      <c r="DE150" s="3">
        <f ca="1">IFERROR(__xludf.DUMMYFUNCTION("""COMPUTED_VALUE"""),-0.643740058160709)</f>
        <v>-0.64374005816070901</v>
      </c>
      <c r="DF150" s="3">
        <f ca="1">IFERROR(__xludf.DUMMYFUNCTION("""COMPUTED_VALUE"""),-0.687755829882957)</f>
        <v>-0.68775582988295703</v>
      </c>
      <c r="DG150" s="3">
        <f ca="1">IFERROR(__xludf.DUMMYFUNCTION("""COMPUTED_VALUE"""),-0.798921309540423)</f>
        <v>-0.79892130954042295</v>
      </c>
      <c r="DH150" s="3">
        <f ca="1">IFERROR(__xludf.DUMMYFUNCTION("""COMPUTED_VALUE"""),-0.642639909765011)</f>
        <v>-0.64263990976501095</v>
      </c>
      <c r="DI150" s="3">
        <f ca="1">IFERROR(__xludf.DUMMYFUNCTION("""COMPUTED_VALUE"""),-0.452261128838542)</f>
        <v>-0.45226112883854203</v>
      </c>
      <c r="DJ150" s="3">
        <f ca="1">IFERROR(__xludf.DUMMYFUNCTION("""COMPUTED_VALUE"""),-0.578662303075601)</f>
        <v>-0.57866230307560096</v>
      </c>
      <c r="DK150" s="3">
        <f ca="1">IFERROR(__xludf.DUMMYFUNCTION("""COMPUTED_VALUE"""),-0.597929865494167)</f>
        <v>-0.59792986549416705</v>
      </c>
      <c r="DL150" s="3">
        <f ca="1">IFERROR(__xludf.DUMMYFUNCTION("""COMPUTED_VALUE"""),-0.594223017505485)</f>
        <v>-0.59422301750548501</v>
      </c>
      <c r="DM150" s="3">
        <f ca="1">IFERROR(__xludf.DUMMYFUNCTION("""COMPUTED_VALUE"""),-0.581596243363643)</f>
        <v>-0.58159624336364302</v>
      </c>
      <c r="DN150" s="3">
        <f ca="1">IFERROR(__xludf.DUMMYFUNCTION("""COMPUTED_VALUE"""),-0.611640852374572)</f>
        <v>-0.611640852374572</v>
      </c>
      <c r="DO150" s="3">
        <f ca="1">IFERROR(__xludf.DUMMYFUNCTION("""COMPUTED_VALUE"""),-0.600255752194512)</f>
        <v>-0.60025575219451199</v>
      </c>
      <c r="DP150" s="3">
        <f ca="1">IFERROR(__xludf.DUMMYFUNCTION("""COMPUTED_VALUE"""),-0.582825217553079)</f>
        <v>-0.58282521755307903</v>
      </c>
      <c r="DQ150" s="3">
        <f ca="1">IFERROR(__xludf.DUMMYFUNCTION("""COMPUTED_VALUE"""),-0.612238770330813)</f>
        <v>-0.61223877033081298</v>
      </c>
      <c r="DR150" s="3">
        <f ca="1">IFERROR(__xludf.DUMMYFUNCTION("""COMPUTED_VALUE"""),-0.630118501528577)</f>
        <v>-0.63011850152857696</v>
      </c>
      <c r="DS150" s="3">
        <f ca="1">IFERROR(__xludf.DUMMYFUNCTION("""COMPUTED_VALUE"""),-0.604173876073065)</f>
        <v>-0.60417387607306505</v>
      </c>
      <c r="DT150" s="3">
        <f ca="1">IFERROR(__xludf.DUMMYFUNCTION("""COMPUTED_VALUE"""),-0.616200294845746)</f>
        <v>-0.61620029484574601</v>
      </c>
      <c r="DU150" s="3">
        <f ca="1">IFERROR(__xludf.DUMMYFUNCTION("""COMPUTED_VALUE"""),-0.640821206479526)</f>
        <v>-0.64082120647952601</v>
      </c>
      <c r="DV150" s="3">
        <f ca="1">IFERROR(__xludf.DUMMYFUNCTION("""COMPUTED_VALUE"""),-0.606670084769186)</f>
        <v>-0.60667008476918605</v>
      </c>
      <c r="DW150" s="3">
        <f ca="1">IFERROR(__xludf.DUMMYFUNCTION("""COMPUTED_VALUE"""),-0.640185716726404)</f>
        <v>-0.64018571672640401</v>
      </c>
      <c r="DX150" s="3">
        <f ca="1">IFERROR(__xludf.DUMMYFUNCTION("""COMPUTED_VALUE"""),-0.653800273874511)</f>
        <v>-0.65380027387451101</v>
      </c>
      <c r="DY150" s="3">
        <f ca="1">IFERROR(__xludf.DUMMYFUNCTION("""COMPUTED_VALUE"""),-0.659744485838072)</f>
        <v>-0.65974448583807199</v>
      </c>
      <c r="DZ150" s="3">
        <f ca="1">IFERROR(__xludf.DUMMYFUNCTION("""COMPUTED_VALUE"""),-0.610126356117327)</f>
        <v>-0.61012635611732702</v>
      </c>
      <c r="EA150" s="3">
        <f ca="1">IFERROR(__xludf.DUMMYFUNCTION("""COMPUTED_VALUE"""),-0.609450948938299)</f>
        <v>-0.60945094893829899</v>
      </c>
      <c r="EB150" s="3">
        <f ca="1">IFERROR(__xludf.DUMMYFUNCTION("""COMPUTED_VALUE"""),-0.665461337853261)</f>
        <v>-0.665461337853261</v>
      </c>
      <c r="EC150" s="3">
        <f ca="1">IFERROR(__xludf.DUMMYFUNCTION("""COMPUTED_VALUE"""),-0.668748626419871)</f>
        <v>-0.66874862641987098</v>
      </c>
      <c r="ED150" s="3">
        <f ca="1">IFERROR(__xludf.DUMMYFUNCTION("""COMPUTED_VALUE"""),-0.662149450622225)</f>
        <v>-0.66214945062222497</v>
      </c>
      <c r="EE150" s="3">
        <f ca="1">IFERROR(__xludf.DUMMYFUNCTION("""COMPUTED_VALUE"""),-0.660842328444956)</f>
        <v>-0.66084232844495605</v>
      </c>
      <c r="EF150" s="3">
        <f ca="1">IFERROR(__xludf.DUMMYFUNCTION("""COMPUTED_VALUE"""),-0.66563136758312)</f>
        <v>-0.66563136758312003</v>
      </c>
      <c r="EG150" s="3">
        <f ca="1">IFERROR(__xludf.DUMMYFUNCTION("""COMPUTED_VALUE"""),-0.568274522186379)</f>
        <v>-0.56827452218637897</v>
      </c>
      <c r="EH150" s="3">
        <f ca="1">IFERROR(__xludf.DUMMYFUNCTION("""COMPUTED_VALUE"""),-0.59840268960671)</f>
        <v>-0.59840268960670995</v>
      </c>
      <c r="EI150" s="3">
        <f ca="1">IFERROR(__xludf.DUMMYFUNCTION("""COMPUTED_VALUE"""),-0.654401312763208)</f>
        <v>-0.65440131276320801</v>
      </c>
      <c r="EJ150" s="3">
        <f ca="1">IFERROR(__xludf.DUMMYFUNCTION("""COMPUTED_VALUE"""),-0.666596831924132)</f>
        <v>-0.66659683192413199</v>
      </c>
      <c r="EK150" s="3">
        <f ca="1">IFERROR(__xludf.DUMMYFUNCTION("""COMPUTED_VALUE"""),-0.666401496267139)</f>
        <v>-0.66640149626713896</v>
      </c>
      <c r="EL150" s="3">
        <f ca="1">IFERROR(__xludf.DUMMYFUNCTION("""COMPUTED_VALUE"""),-0.675440416213243)</f>
        <v>-0.67544041621324302</v>
      </c>
      <c r="EM150" s="3">
        <f ca="1">IFERROR(__xludf.DUMMYFUNCTION("""COMPUTED_VALUE"""),-0.660955722949012)</f>
        <v>-0.66095572294901195</v>
      </c>
      <c r="EN150" s="3">
        <f ca="1">IFERROR(__xludf.DUMMYFUNCTION("""COMPUTED_VALUE"""),-0.500653654351277)</f>
        <v>-0.50065365435127696</v>
      </c>
      <c r="EO150" s="3">
        <f ca="1">IFERROR(__xludf.DUMMYFUNCTION("""COMPUTED_VALUE"""),-0.534756056596417)</f>
        <v>-0.53475605659641701</v>
      </c>
      <c r="EP150" s="3">
        <f ca="1">IFERROR(__xludf.DUMMYFUNCTION("""COMPUTED_VALUE"""),-0.621650267681459)</f>
        <v>-0.62165026768145903</v>
      </c>
      <c r="EQ150" s="3">
        <f ca="1">IFERROR(__xludf.DUMMYFUNCTION("""COMPUTED_VALUE"""),-0.659888675247527)</f>
        <v>-0.65988867524752703</v>
      </c>
      <c r="ER150" s="3">
        <f ca="1">IFERROR(__xludf.DUMMYFUNCTION("""COMPUTED_VALUE"""),-0.656295147460502)</f>
        <v>-0.65629514746050199</v>
      </c>
      <c r="ES150" s="3">
        <f ca="1">IFERROR(__xludf.DUMMYFUNCTION("""COMPUTED_VALUE"""),-0.658406755115361)</f>
        <v>-0.65840675511536095</v>
      </c>
      <c r="ET150" s="3">
        <f ca="1">IFERROR(__xludf.DUMMYFUNCTION("""COMPUTED_VALUE"""),-0.647460249875434)</f>
        <v>-0.64746024987543405</v>
      </c>
      <c r="EU150" s="3">
        <f ca="1">IFERROR(__xludf.DUMMYFUNCTION("""COMPUTED_VALUE"""),-0.603334833653419)</f>
        <v>-0.603334833653419</v>
      </c>
      <c r="EV150" s="3">
        <f ca="1">IFERROR(__xludf.DUMMYFUNCTION("""COMPUTED_VALUE"""),-0.549982175298636)</f>
        <v>-0.54998217529863602</v>
      </c>
      <c r="EW150" s="3">
        <f ca="1">IFERROR(__xludf.DUMMYFUNCTION("""COMPUTED_VALUE"""),-0.613829124346446)</f>
        <v>-0.61382912434644599</v>
      </c>
      <c r="EX150" s="3">
        <f ca="1">IFERROR(__xludf.DUMMYFUNCTION("""COMPUTED_VALUE"""),-0.639854198624362)</f>
        <v>-0.63985419862436199</v>
      </c>
      <c r="EY150" s="3">
        <f ca="1">IFERROR(__xludf.DUMMYFUNCTION("""COMPUTED_VALUE"""),-0.634612201185208)</f>
        <v>-0.634612201185208</v>
      </c>
      <c r="EZ150" s="3">
        <f ca="1">IFERROR(__xludf.DUMMYFUNCTION("""COMPUTED_VALUE"""),-0.641906297713293)</f>
        <v>-0.64190629771329299</v>
      </c>
      <c r="FA150" s="3">
        <f ca="1">IFERROR(__xludf.DUMMYFUNCTION("""COMPUTED_VALUE"""),-0.619316218043466)</f>
        <v>-0.61931621804346604</v>
      </c>
      <c r="FB150" s="3">
        <f ca="1">IFERROR(__xludf.DUMMYFUNCTION("""COMPUTED_VALUE"""),-0.502555897834723)</f>
        <v>-0.50255589783472299</v>
      </c>
      <c r="FC150" s="3">
        <f ca="1">IFERROR(__xludf.DUMMYFUNCTION("""COMPUTED_VALUE"""),-0.49443022584882)</f>
        <v>-0.49443022584882002</v>
      </c>
      <c r="FD150" s="3">
        <f ca="1">IFERROR(__xludf.DUMMYFUNCTION("""COMPUTED_VALUE"""),-0.591255455817992)</f>
        <v>-0.59125545581799199</v>
      </c>
      <c r="FE150" s="3">
        <f ca="1">IFERROR(__xludf.DUMMYFUNCTION("""COMPUTED_VALUE"""),-0.636928242500021)</f>
        <v>-0.636928242500021</v>
      </c>
      <c r="FF150" s="3">
        <f ca="1">IFERROR(__xludf.DUMMYFUNCTION("""COMPUTED_VALUE"""),-0.63645496165988)</f>
        <v>-0.63645496165988003</v>
      </c>
      <c r="FG150" s="3">
        <f ca="1">IFERROR(__xludf.DUMMYFUNCTION("""COMPUTED_VALUE"""),-0.654991477344567)</f>
        <v>-0.65499147734456697</v>
      </c>
      <c r="FH150" s="3">
        <f ca="1">IFERROR(__xludf.DUMMYFUNCTION("""COMPUTED_VALUE"""),-0.629975018424438)</f>
        <v>-0.62997501842443804</v>
      </c>
      <c r="FI150" s="3">
        <f ca="1">IFERROR(__xludf.DUMMYFUNCTION("""COMPUTED_VALUE"""),-0.542824727794198)</f>
        <v>-0.54282472779419799</v>
      </c>
      <c r="FJ150" s="3">
        <f ca="1">IFERROR(__xludf.DUMMYFUNCTION("""COMPUTED_VALUE"""),-0.53003989889516)</f>
        <v>-0.53003989889516001</v>
      </c>
      <c r="FK150" s="3">
        <f ca="1">IFERROR(__xludf.DUMMYFUNCTION("""COMPUTED_VALUE"""),-0.598567499227192)</f>
        <v>-0.59856749922719199</v>
      </c>
      <c r="FL150" s="3">
        <f ca="1">IFERROR(__xludf.DUMMYFUNCTION("""COMPUTED_VALUE"""),-0.627072554325278)</f>
        <v>-0.62707255432527798</v>
      </c>
      <c r="FM150" s="3">
        <f ca="1">IFERROR(__xludf.DUMMYFUNCTION("""COMPUTED_VALUE"""),-0.623461872094583)</f>
        <v>-0.62346187209458304</v>
      </c>
      <c r="FN150" s="3">
        <f ca="1">IFERROR(__xludf.DUMMYFUNCTION("""COMPUTED_VALUE"""),-0.635175082125241)</f>
        <v>-0.63517508212524099</v>
      </c>
      <c r="FO150" s="3">
        <f ca="1">IFERROR(__xludf.DUMMYFUNCTION("""COMPUTED_VALUE"""),-0.620856887718606)</f>
        <v>-0.62085688771860603</v>
      </c>
      <c r="FP150" s="3">
        <f ca="1">IFERROR(__xludf.DUMMYFUNCTION("""COMPUTED_VALUE"""),-0.531255195366194)</f>
        <v>-0.53125519536619403</v>
      </c>
      <c r="FQ150" s="3">
        <f ca="1">IFERROR(__xludf.DUMMYFUNCTION("""COMPUTED_VALUE"""),-0.529641734836678)</f>
        <v>-0.52964173483667798</v>
      </c>
      <c r="FR150" s="3">
        <f ca="1">IFERROR(__xludf.DUMMYFUNCTION("""COMPUTED_VALUE"""),-0.583071135702615)</f>
        <v>-0.58307113570261504</v>
      </c>
      <c r="FS150" s="3">
        <f ca="1">IFERROR(__xludf.DUMMYFUNCTION("""COMPUTED_VALUE"""),-0.63091682573043)</f>
        <v>-0.63091682573042995</v>
      </c>
      <c r="FT150" s="3">
        <f ca="1">IFERROR(__xludf.DUMMYFUNCTION("""COMPUTED_VALUE"""),-0.628986750984908)</f>
        <v>-0.62898675098490797</v>
      </c>
      <c r="FU150" s="3">
        <f ca="1">IFERROR(__xludf.DUMMYFUNCTION("""COMPUTED_VALUE"""),-0.613822275688162)</f>
        <v>-0.61382227568816194</v>
      </c>
      <c r="FV150" s="3">
        <f ca="1">IFERROR(__xludf.DUMMYFUNCTION("""COMPUTED_VALUE"""),-0.542650178050292)</f>
        <v>-0.54265017805029203</v>
      </c>
      <c r="FW150" s="3">
        <f ca="1">IFERROR(__xludf.DUMMYFUNCTION("""COMPUTED_VALUE"""),-0.535936296646968)</f>
        <v>-0.53593629664696796</v>
      </c>
      <c r="FX150" s="3">
        <f ca="1">IFERROR(__xludf.DUMMYFUNCTION("""COMPUTED_VALUE"""),-0.513641450495645)</f>
        <v>-0.51364145049564502</v>
      </c>
      <c r="FY150" s="3">
        <f ca="1">IFERROR(__xludf.DUMMYFUNCTION("""COMPUTED_VALUE"""),-0.588857424848659)</f>
        <v>-0.58885742484865899</v>
      </c>
      <c r="FZ150" s="3">
        <f ca="1">IFERROR(__xludf.DUMMYFUNCTION("""COMPUTED_VALUE"""),-0.621193384011914)</f>
        <v>-0.62119338401191404</v>
      </c>
      <c r="GA150" s="3">
        <f ca="1">IFERROR(__xludf.DUMMYFUNCTION("""COMPUTED_VALUE"""),-0.62318562708755)</f>
        <v>-0.62318562708754999</v>
      </c>
      <c r="GB150" s="3">
        <f ca="1">IFERROR(__xludf.DUMMYFUNCTION("""COMPUTED_VALUE"""),-0.617460941894168)</f>
        <v>-0.617460941894168</v>
      </c>
      <c r="GC150" s="3">
        <f ca="1">IFERROR(__xludf.DUMMYFUNCTION("""COMPUTED_VALUE"""),-0.696466274602802)</f>
        <v>-0.69646627460280197</v>
      </c>
      <c r="GD150" s="3">
        <f ca="1">IFERROR(__xludf.DUMMYFUNCTION("""COMPUTED_VALUE"""),-0.539868358948911)</f>
        <v>-0.53986835894891105</v>
      </c>
      <c r="GE150" s="3">
        <f ca="1">IFERROR(__xludf.DUMMYFUNCTION("""COMPUTED_VALUE"""),-0.548571084768667)</f>
        <v>-0.54857108476866701</v>
      </c>
      <c r="GF150" s="3">
        <f ca="1">IFERROR(__xludf.DUMMYFUNCTION("""COMPUTED_VALUE"""),-0.585463705314565)</f>
        <v>-0.58546370531456504</v>
      </c>
      <c r="GG150" s="3">
        <f ca="1">IFERROR(__xludf.DUMMYFUNCTION("""COMPUTED_VALUE"""),-0.61929527398747)</f>
        <v>-0.61929527398746997</v>
      </c>
      <c r="GH150" s="3">
        <f ca="1">IFERROR(__xludf.DUMMYFUNCTION("""COMPUTED_VALUE"""),-0.603318246463482)</f>
        <v>-0.60331824646348198</v>
      </c>
      <c r="GI150" s="3">
        <f ca="1">IFERROR(__xludf.DUMMYFUNCTION("""COMPUTED_VALUE"""),-0.6150844851933)</f>
        <v>-0.61508448519329995</v>
      </c>
      <c r="GJ150" s="3">
        <f ca="1">IFERROR(__xludf.DUMMYFUNCTION("""COMPUTED_VALUE"""),-0.513158186275745)</f>
        <v>-0.51315818627574505</v>
      </c>
      <c r="GK150" s="3">
        <f ca="1">IFERROR(__xludf.DUMMYFUNCTION("""COMPUTED_VALUE"""),-0.535564835669991)</f>
        <v>-0.53556483566999102</v>
      </c>
      <c r="GL150" s="3">
        <f ca="1">IFERROR(__xludf.DUMMYFUNCTION("""COMPUTED_VALUE"""),-0.49587139089448)</f>
        <v>-0.49587139089448001</v>
      </c>
      <c r="GM150" s="3">
        <f ca="1">IFERROR(__xludf.DUMMYFUNCTION("""COMPUTED_VALUE"""),-0.593725762238952)</f>
        <v>-0.59372576223895202</v>
      </c>
      <c r="GN150" s="3">
        <f ca="1">IFERROR(__xludf.DUMMYFUNCTION("""COMPUTED_VALUE"""),-0.6184307101516)</f>
        <v>-0.6184307101516</v>
      </c>
      <c r="GO150" s="3">
        <f ca="1">IFERROR(__xludf.DUMMYFUNCTION("""COMPUTED_VALUE"""),-0.620777900053615)</f>
        <v>-0.62077790005361499</v>
      </c>
      <c r="GP150" s="3">
        <f ca="1">IFERROR(__xludf.DUMMYFUNCTION("""COMPUTED_VALUE"""),-0.621901451114856)</f>
        <v>-0.62190145111485595</v>
      </c>
      <c r="GQ150" s="3">
        <f ca="1">IFERROR(__xludf.DUMMYFUNCTION("""COMPUTED_VALUE"""),-0.576282964541216)</f>
        <v>-0.57628296454121597</v>
      </c>
      <c r="GR150" s="3">
        <f ca="1">IFERROR(__xludf.DUMMYFUNCTION("""COMPUTED_VALUE"""),-0.482489725530219)</f>
        <v>-0.48248972553021902</v>
      </c>
      <c r="GS150" s="3">
        <f ca="1">IFERROR(__xludf.DUMMYFUNCTION("""COMPUTED_VALUE"""),-0.464702932213554)</f>
        <v>-0.46470293221355402</v>
      </c>
      <c r="GT150" s="3">
        <f ca="1">IFERROR(__xludf.DUMMYFUNCTION("""COMPUTED_VALUE"""),-0.584111241448727)</f>
        <v>-0.58411124144872695</v>
      </c>
      <c r="GU150" s="3">
        <f ca="1">IFERROR(__xludf.DUMMYFUNCTION("""COMPUTED_VALUE"""),-0.60584347973143)</f>
        <v>-0.60584347973143005</v>
      </c>
      <c r="GV150" s="3">
        <f ca="1">IFERROR(__xludf.DUMMYFUNCTION("""COMPUTED_VALUE"""),-0.583943666536407)</f>
        <v>-0.58394366653640695</v>
      </c>
      <c r="GW150" s="3">
        <f ca="1">IFERROR(__xludf.DUMMYFUNCTION("""COMPUTED_VALUE"""),-0.60083515779653)</f>
        <v>-0.60083515779652996</v>
      </c>
      <c r="GX150" s="3">
        <f ca="1">IFERROR(__xludf.DUMMYFUNCTION("""COMPUTED_VALUE"""),-0.584783686655699)</f>
        <v>-0.58478368665569902</v>
      </c>
      <c r="GY150" s="3">
        <f ca="1">IFERROR(__xludf.DUMMYFUNCTION("""COMPUTED_VALUE"""),-0.461609899645063)</f>
        <v>-0.46160989964506299</v>
      </c>
      <c r="GZ150" s="3">
        <f ca="1">IFERROR(__xludf.DUMMYFUNCTION("""COMPUTED_VALUE"""),-0.478732461526989)</f>
        <v>-0.47873246152698901</v>
      </c>
      <c r="HA150" s="3">
        <f ca="1">IFERROR(__xludf.DUMMYFUNCTION("""COMPUTED_VALUE"""),-0.57808671027273)</f>
        <v>-0.57808671027272995</v>
      </c>
      <c r="HB150" s="3">
        <f ca="1">IFERROR(__xludf.DUMMYFUNCTION("""COMPUTED_VALUE"""),-0.594930913793635)</f>
        <v>-0.59493091379363505</v>
      </c>
      <c r="HC150" s="3">
        <f ca="1">IFERROR(__xludf.DUMMYFUNCTION("""COMPUTED_VALUE"""),-0.591278371199633)</f>
        <v>-0.591278371199633</v>
      </c>
      <c r="HD150" s="3">
        <f ca="1">IFERROR(__xludf.DUMMYFUNCTION("""COMPUTED_VALUE"""),-0.609229319570181)</f>
        <v>-0.609229319570181</v>
      </c>
      <c r="HE150" s="3">
        <f ca="1">IFERROR(__xludf.DUMMYFUNCTION("""COMPUTED_VALUE"""),-0.593386598154477)</f>
        <v>-0.59338659815447703</v>
      </c>
      <c r="HF150" s="3">
        <f ca="1">IFERROR(__xludf.DUMMYFUNCTION("""COMPUTED_VALUE"""),-0.446282382067903)</f>
        <v>-0.44628238206790299</v>
      </c>
      <c r="HG150" s="3">
        <f ca="1">IFERROR(__xludf.DUMMYFUNCTION("""COMPUTED_VALUE"""),-0.451226014428481)</f>
        <v>-0.45122601442848098</v>
      </c>
      <c r="HH150" s="3">
        <f ca="1">IFERROR(__xludf.DUMMYFUNCTION("""COMPUTED_VALUE"""),-0.592181990269758)</f>
        <v>-0.59218199026975804</v>
      </c>
      <c r="HI150" s="3">
        <f ca="1">IFERROR(__xludf.DUMMYFUNCTION("""COMPUTED_VALUE"""),-0.619948655742908)</f>
        <v>-0.61994865574290803</v>
      </c>
      <c r="HJ150" s="3">
        <f ca="1">IFERROR(__xludf.DUMMYFUNCTION("""COMPUTED_VALUE"""),-0.616792685555692)</f>
        <v>-0.616792685555692</v>
      </c>
      <c r="HK150" s="3">
        <f ca="1">IFERROR(__xludf.DUMMYFUNCTION("""COMPUTED_VALUE"""),-0.607795927027846)</f>
        <v>-0.60779592702784602</v>
      </c>
      <c r="HL150" s="3">
        <f ca="1">IFERROR(__xludf.DUMMYFUNCTION("""COMPUTED_VALUE"""),-0.672821732556389)</f>
        <v>-0.672821732556389</v>
      </c>
      <c r="HM150" s="3">
        <f ca="1">IFERROR(__xludf.DUMMYFUNCTION("""COMPUTED_VALUE"""),-0.412162387764817)</f>
        <v>-0.41216238776481701</v>
      </c>
      <c r="HN150" s="3">
        <f ca="1">IFERROR(__xludf.DUMMYFUNCTION("""COMPUTED_VALUE"""),-0.452154080321085)</f>
        <v>-0.45215408032108501</v>
      </c>
      <c r="HO150" s="3">
        <f ca="1">IFERROR(__xludf.DUMMYFUNCTION("""COMPUTED_VALUE"""),-0.561482151340167)</f>
        <v>-0.56148215134016699</v>
      </c>
      <c r="HP150" s="3">
        <f ca="1">IFERROR(__xludf.DUMMYFUNCTION("""COMPUTED_VALUE"""),-0.581768596541715)</f>
        <v>-0.58176859654171498</v>
      </c>
      <c r="HQ150" s="3">
        <f ca="1">IFERROR(__xludf.DUMMYFUNCTION("""COMPUTED_VALUE"""),-0.617256956629044)</f>
        <v>-0.61725695662904401</v>
      </c>
      <c r="HR150" s="3">
        <f ca="1">IFERROR(__xludf.DUMMYFUNCTION("""COMPUTED_VALUE"""),-0.575264062326801)</f>
        <v>-0.57526406232680105</v>
      </c>
      <c r="HS150" s="3">
        <f ca="1">IFERROR(__xludf.DUMMYFUNCTION("""COMPUTED_VALUE"""),-0.500400764044744)</f>
        <v>-0.50040076404474398</v>
      </c>
      <c r="HT150" s="3">
        <f ca="1">IFERROR(__xludf.DUMMYFUNCTION("""COMPUTED_VALUE"""),-0.413348287770323)</f>
        <v>-0.41334828777032301</v>
      </c>
      <c r="HU150" s="3">
        <f ca="1">IFERROR(__xludf.DUMMYFUNCTION("""COMPUTED_VALUE"""),-0.451067531949483)</f>
        <v>-0.45106753194948301</v>
      </c>
      <c r="HV150" s="3">
        <f ca="1">IFERROR(__xludf.DUMMYFUNCTION("""COMPUTED_VALUE"""),-0.540642692425598)</f>
        <v>-0.54064269242559804</v>
      </c>
      <c r="HW150" s="3">
        <f ca="1">IFERROR(__xludf.DUMMYFUNCTION("""COMPUTED_VALUE"""),-0.585640124698889)</f>
        <v>-0.58564012469888904</v>
      </c>
      <c r="HX150" s="3">
        <f ca="1">IFERROR(__xludf.DUMMYFUNCTION("""COMPUTED_VALUE"""),-0.563798038649336)</f>
        <v>-0.56379803864933598</v>
      </c>
      <c r="HY150" s="3">
        <f ca="1">IFERROR(__xludf.DUMMYFUNCTION("""COMPUTED_VALUE"""),-0.534730191689104)</f>
        <v>-0.53473019168910396</v>
      </c>
      <c r="HZ150" s="3">
        <f ca="1">IFERROR(__xludf.DUMMYFUNCTION("""COMPUTED_VALUE"""),-0.438399544397501)</f>
        <v>-0.43839954439750101</v>
      </c>
      <c r="IA150" s="3">
        <f ca="1">IFERROR(__xludf.DUMMYFUNCTION("""COMPUTED_VALUE"""),-0.426403899209169)</f>
        <v>-0.42640389920916899</v>
      </c>
      <c r="IB150" s="3">
        <f ca="1">IFERROR(__xludf.DUMMYFUNCTION("""COMPUTED_VALUE"""),-0.397395040130902)</f>
        <v>-0.39739504013090199</v>
      </c>
      <c r="IC150" s="3">
        <f ca="1">IFERROR(__xludf.DUMMYFUNCTION("""COMPUTED_VALUE"""),-0.501253183010299)</f>
        <v>-0.50125318301029897</v>
      </c>
      <c r="ID150" s="3">
        <f ca="1">IFERROR(__xludf.DUMMYFUNCTION("""COMPUTED_VALUE"""),-0.526732152123186)</f>
        <v>-0.52673215212318603</v>
      </c>
      <c r="IE150" s="3">
        <f ca="1">IFERROR(__xludf.DUMMYFUNCTION("""COMPUTED_VALUE"""),-0.538786210557371)</f>
        <v>-0.53878621055737097</v>
      </c>
      <c r="IF150" s="3">
        <f ca="1">IFERROR(__xludf.DUMMYFUNCTION("""COMPUTED_VALUE"""),-0.517361861356688)</f>
        <v>-0.51736186135668805</v>
      </c>
      <c r="IG150" s="3">
        <f ca="1">IFERROR(__xludf.DUMMYFUNCTION("""COMPUTED_VALUE"""),-0.529593192836782)</f>
        <v>-0.52959319283678197</v>
      </c>
      <c r="IH150" s="3">
        <f ca="1">IFERROR(__xludf.DUMMYFUNCTION("""COMPUTED_VALUE"""),-0.476312351671328)</f>
        <v>-0.47631235167132802</v>
      </c>
      <c r="II150" s="3">
        <f ca="1">IFERROR(__xludf.DUMMYFUNCTION("""COMPUTED_VALUE"""),-0.408509078286384)</f>
        <v>-0.408509078286384</v>
      </c>
      <c r="IJ150" s="3">
        <f ca="1">IFERROR(__xludf.DUMMYFUNCTION("""COMPUTED_VALUE"""),-0.500361615911546)</f>
        <v>-0.50036161591154604</v>
      </c>
      <c r="IK150" s="3">
        <f ca="1">IFERROR(__xludf.DUMMYFUNCTION("""COMPUTED_VALUE"""),-0.517848156199063)</f>
        <v>-0.51784815619906299</v>
      </c>
      <c r="IL150" s="3">
        <f ca="1">IFERROR(__xludf.DUMMYFUNCTION("""COMPUTED_VALUE"""),-0.530899600902818)</f>
        <v>-0.53089960090281796</v>
      </c>
      <c r="IM150" s="3">
        <f ca="1">IFERROR(__xludf.DUMMYFUNCTION("""COMPUTED_VALUE"""),-0.535133102555986)</f>
        <v>-0.53513310255598601</v>
      </c>
      <c r="IN150" s="3">
        <f ca="1">IFERROR(__xludf.DUMMYFUNCTION("""COMPUTED_VALUE"""),-0.456070771197317)</f>
        <v>-0.45607077119731698</v>
      </c>
      <c r="IO150" s="3">
        <f ca="1">IFERROR(__xludf.DUMMYFUNCTION("""COMPUTED_VALUE"""),-0.422343048447242)</f>
        <v>-0.42234304844724202</v>
      </c>
      <c r="IP150" s="3">
        <f ca="1">IFERROR(__xludf.DUMMYFUNCTION("""COMPUTED_VALUE"""),-0.4178194879793)</f>
        <v>-0.41781948797930002</v>
      </c>
      <c r="IQ150" s="3">
        <f ca="1">IFERROR(__xludf.DUMMYFUNCTION("""COMPUTED_VALUE"""),-0.513634183669172)</f>
        <v>-0.51363418366917202</v>
      </c>
      <c r="IR150" s="3">
        <f ca="1">IFERROR(__xludf.DUMMYFUNCTION("""COMPUTED_VALUE"""),-0.54190795590254)</f>
        <v>-0.54190795590254004</v>
      </c>
      <c r="IS150" s="3">
        <f ca="1">IFERROR(__xludf.DUMMYFUNCTION("""COMPUTED_VALUE"""),-0.540802444500914)</f>
        <v>-0.54080244450091397</v>
      </c>
      <c r="IT150" s="3">
        <f ca="1">IFERROR(__xludf.DUMMYFUNCTION("""COMPUTED_VALUE"""),-0.558310118280209)</f>
        <v>-0.55831011828020904</v>
      </c>
      <c r="IU150" s="3">
        <f ca="1">IFERROR(__xludf.DUMMYFUNCTION("""COMPUTED_VALUE"""),-0.567312429002547)</f>
        <v>-0.56731242900254697</v>
      </c>
      <c r="IV150" s="3">
        <f ca="1">IFERROR(__xludf.DUMMYFUNCTION("""COMPUTED_VALUE"""),-0.495151680171514)</f>
        <v>-0.49515168017151401</v>
      </c>
      <c r="IW150" s="3">
        <f ca="1">IFERROR(__xludf.DUMMYFUNCTION("""COMPUTED_VALUE"""),-0.440599802230629)</f>
        <v>-0.440599802230629</v>
      </c>
      <c r="IX150" s="3">
        <f ca="1">IFERROR(__xludf.DUMMYFUNCTION("""COMPUTED_VALUE"""),-0.530192118401219)</f>
        <v>-0.53019211840121905</v>
      </c>
      <c r="IY150" s="3">
        <f ca="1">IFERROR(__xludf.DUMMYFUNCTION("""COMPUTED_VALUE"""),-0.558701663992042)</f>
        <v>-0.55870166399204202</v>
      </c>
      <c r="IZ150" s="3">
        <f ca="1">IFERROR(__xludf.DUMMYFUNCTION("""COMPUTED_VALUE"""),-0.576009047927145)</f>
        <v>-0.57600904792714502</v>
      </c>
      <c r="JA150" s="3">
        <f ca="1">IFERROR(__xludf.DUMMYFUNCTION("""COMPUTED_VALUE"""),-0.557464041326958)</f>
        <v>-0.55746404132695804</v>
      </c>
      <c r="JB150" s="3">
        <f ca="1">IFERROR(__xludf.DUMMYFUNCTION("""COMPUTED_VALUE"""),-0.516359522846858)</f>
        <v>-0.51635952284685804</v>
      </c>
      <c r="JC150" s="3">
        <f ca="1">IFERROR(__xludf.DUMMYFUNCTION("""COMPUTED_VALUE"""),-0.470834752599791)</f>
        <v>-0.47083475259979102</v>
      </c>
      <c r="JD150" s="3">
        <f ca="1">IFERROR(__xludf.DUMMYFUNCTION("""COMPUTED_VALUE"""),-0.47745317150863)</f>
        <v>-0.47745317150862998</v>
      </c>
      <c r="JE150" s="3">
        <f ca="1">IFERROR(__xludf.DUMMYFUNCTION("""COMPUTED_VALUE"""),-0.558140897622618)</f>
        <v>-0.55814089762261798</v>
      </c>
      <c r="JF150" s="3">
        <f ca="1">IFERROR(__xludf.DUMMYFUNCTION("""COMPUTED_VALUE"""),-0.589817568311938)</f>
        <v>-0.58981756831193799</v>
      </c>
      <c r="JG150" s="3">
        <f ca="1">IFERROR(__xludf.DUMMYFUNCTION("""COMPUTED_VALUE"""),-0.606926833054973)</f>
        <v>-0.60692683305497297</v>
      </c>
      <c r="JH150" s="3">
        <f ca="1">IFERROR(__xludf.DUMMYFUNCTION("""COMPUTED_VALUE"""),-0.58058019593044)</f>
        <v>-0.58058019593043997</v>
      </c>
      <c r="JI150" s="3">
        <f ca="1">IFERROR(__xludf.DUMMYFUNCTION("""COMPUTED_VALUE"""),-0.561852467224348)</f>
        <v>-0.56185246722434801</v>
      </c>
      <c r="JJ150" s="3">
        <f ca="1">IFERROR(__xludf.DUMMYFUNCTION("""COMPUTED_VALUE"""),-0.536543096090594)</f>
        <v>-0.53654309609059403</v>
      </c>
      <c r="JK150" s="3">
        <f ca="1">IFERROR(__xludf.DUMMYFUNCTION("""COMPUTED_VALUE"""),-0.459794826127534)</f>
        <v>-0.45979482612753397</v>
      </c>
      <c r="JL150" s="3">
        <f ca="1">IFERROR(__xludf.DUMMYFUNCTION("""COMPUTED_VALUE"""),-0.565084366716143)</f>
        <v>-0.56508436671614304</v>
      </c>
      <c r="JM150" s="3">
        <f ca="1">IFERROR(__xludf.DUMMYFUNCTION("""COMPUTED_VALUE"""),-0.631115758966646)</f>
        <v>-0.63111575896664596</v>
      </c>
      <c r="JN150" s="3">
        <f ca="1">IFERROR(__xludf.DUMMYFUNCTION("""COMPUTED_VALUE"""),-0.582344372055791)</f>
        <v>-0.58234437205579104</v>
      </c>
      <c r="JO150" s="3">
        <f ca="1">IFERROR(__xludf.DUMMYFUNCTION("""COMPUTED_VALUE"""),-0.598886423719934)</f>
        <v>-0.59888642371993395</v>
      </c>
      <c r="JP150" s="3">
        <f ca="1">IFERROR(__xludf.DUMMYFUNCTION("""COMPUTED_VALUE"""),-0.583396961634455)</f>
        <v>-0.58339696163445498</v>
      </c>
      <c r="JQ150" s="3">
        <f ca="1">IFERROR(__xludf.DUMMYFUNCTION("""COMPUTED_VALUE"""),-0.52268010332445)</f>
        <v>-0.52268010332445003</v>
      </c>
      <c r="JR150" s="3">
        <f ca="1">IFERROR(__xludf.DUMMYFUNCTION("""COMPUTED_VALUE"""),-0.568060822642852)</f>
        <v>-0.56806082264285196</v>
      </c>
      <c r="JS150" s="3">
        <f ca="1">IFERROR(__xludf.DUMMYFUNCTION("""COMPUTED_VALUE"""),-0.584864469003883)</f>
        <v>-0.584864469003883</v>
      </c>
      <c r="JT150" s="3">
        <f ca="1">IFERROR(__xludf.DUMMYFUNCTION("""COMPUTED_VALUE"""),-0.605725185996594)</f>
        <v>-0.60572518599659397</v>
      </c>
      <c r="JU150" s="3">
        <f ca="1">IFERROR(__xludf.DUMMYFUNCTION("""COMPUTED_VALUE"""),-0.603930832344527)</f>
        <v>-0.60393083234452705</v>
      </c>
      <c r="JV150" s="3">
        <f ca="1">IFERROR(__xludf.DUMMYFUNCTION("""COMPUTED_VALUE"""),-0.598744059114271)</f>
        <v>-0.59874405911427098</v>
      </c>
      <c r="JW150" s="3">
        <f ca="1">IFERROR(__xludf.DUMMYFUNCTION("""COMPUTED_VALUE"""),-0.54060422308516)</f>
        <v>-0.54060422308515999</v>
      </c>
      <c r="JX150" s="3">
        <f ca="1">IFERROR(__xludf.DUMMYFUNCTION("""COMPUTED_VALUE"""),-0.525660264317759)</f>
        <v>-0.52566026431775903</v>
      </c>
      <c r="JY150" s="3">
        <f ca="1">IFERROR(__xludf.DUMMYFUNCTION("""COMPUTED_VALUE"""),-0.521609536256385)</f>
        <v>-0.52160953625638495</v>
      </c>
      <c r="JZ150" s="3">
        <f ca="1">IFERROR(__xludf.DUMMYFUNCTION("""COMPUTED_VALUE"""),-0.588028324048683)</f>
        <v>-0.58802832404868299</v>
      </c>
      <c r="KA150" s="3">
        <f ca="1">IFERROR(__xludf.DUMMYFUNCTION("""COMPUTED_VALUE"""),-0.599776181410047)</f>
        <v>-0.59977618141004696</v>
      </c>
      <c r="KB150" s="3">
        <f ca="1">IFERROR(__xludf.DUMMYFUNCTION("""COMPUTED_VALUE"""),-0.648602219383683)</f>
        <v>-0.64860221938368301</v>
      </c>
      <c r="KC150" s="3">
        <f ca="1">IFERROR(__xludf.DUMMYFUNCTION("""COMPUTED_VALUE"""),-0.583042529341503)</f>
        <v>-0.58304252934150302</v>
      </c>
      <c r="KD150" s="3">
        <f ca="1">IFERROR(__xludf.DUMMYFUNCTION("""COMPUTED_VALUE"""),-0.536536142460634)</f>
        <v>-0.53653614246063397</v>
      </c>
      <c r="KE150" s="3">
        <f ca="1">IFERROR(__xludf.DUMMYFUNCTION("""COMPUTED_VALUE"""),-0.515846256788305)</f>
        <v>-0.51584625678830498</v>
      </c>
      <c r="KF150" s="3">
        <f ca="1">IFERROR(__xludf.DUMMYFUNCTION("""COMPUTED_VALUE"""),-0.53212000286918)</f>
        <v>-0.53212000286918004</v>
      </c>
      <c r="KG150" s="3">
        <f ca="1">IFERROR(__xludf.DUMMYFUNCTION("""COMPUTED_VALUE"""),-0.597773939103408)</f>
        <v>-0.59777393910340804</v>
      </c>
      <c r="KH150" s="3">
        <f ca="1">IFERROR(__xludf.DUMMYFUNCTION("""COMPUTED_VALUE"""),-0.627696335700053)</f>
        <v>-0.62769633570005301</v>
      </c>
      <c r="KI150" s="3">
        <f ca="1">IFERROR(__xludf.DUMMYFUNCTION("""COMPUTED_VALUE"""),-0.642784995821843)</f>
        <v>-0.64278499582184301</v>
      </c>
      <c r="KJ150" s="3">
        <f ca="1">IFERROR(__xludf.DUMMYFUNCTION("""COMPUTED_VALUE"""),-0.665182916040924)</f>
        <v>-0.66518291604092405</v>
      </c>
      <c r="KK150" s="3">
        <f ca="1">IFERROR(__xludf.DUMMYFUNCTION("""COMPUTED_VALUE"""),-0.596108659326704)</f>
        <v>-0.59610865932670398</v>
      </c>
      <c r="KL150" s="3">
        <f ca="1">IFERROR(__xludf.DUMMYFUNCTION("""COMPUTED_VALUE"""),-0.567222937166308)</f>
        <v>-0.56722293716630801</v>
      </c>
      <c r="KM150" s="3">
        <f ca="1">IFERROR(__xludf.DUMMYFUNCTION("""COMPUTED_VALUE"""),-0.531006815051841)</f>
        <v>-0.531006815051841</v>
      </c>
      <c r="KN150" s="3">
        <f ca="1">IFERROR(__xludf.DUMMYFUNCTION("""COMPUTED_VALUE"""),-0.62021823815253)</f>
        <v>-0.62021823815252997</v>
      </c>
      <c r="KO150" s="3">
        <f ca="1">IFERROR(__xludf.DUMMYFUNCTION("""COMPUTED_VALUE"""),-0.642348936684551)</f>
        <v>-0.64234893668455095</v>
      </c>
      <c r="KP150" s="3">
        <f ca="1">IFERROR(__xludf.DUMMYFUNCTION("""COMPUTED_VALUE"""),-0.658293533756854)</f>
        <v>-0.65829353375685395</v>
      </c>
      <c r="KQ150" s="3">
        <f ca="1">IFERROR(__xludf.DUMMYFUNCTION("""COMPUTED_VALUE"""),-0.659874633109379)</f>
        <v>-0.65987463310937899</v>
      </c>
      <c r="KR150" s="3">
        <f ca="1">IFERROR(__xludf.DUMMYFUNCTION("""COMPUTED_VALUE"""),-0.657779603397799)</f>
        <v>-0.65777960339779895</v>
      </c>
      <c r="KS150" s="3">
        <f ca="1">IFERROR(__xludf.DUMMYFUNCTION("""COMPUTED_VALUE"""),-0.607803355978663)</f>
        <v>-0.60780335597866297</v>
      </c>
      <c r="KT150" s="3">
        <f ca="1">IFERROR(__xludf.DUMMYFUNCTION("""COMPUTED_VALUE"""),-0.608140082769541)</f>
        <v>-0.60814008276954101</v>
      </c>
      <c r="KU150" s="3">
        <f ca="1">IFERROR(__xludf.DUMMYFUNCTION("""COMPUTED_VALUE"""),-0.673368709076742)</f>
        <v>-0.67336870907674196</v>
      </c>
      <c r="KV150" s="3">
        <f ca="1">IFERROR(__xludf.DUMMYFUNCTION("""COMPUTED_VALUE"""),-0.676411844150776)</f>
        <v>-0.67641184415077604</v>
      </c>
      <c r="KW150" s="3">
        <f ca="1">IFERROR(__xludf.DUMMYFUNCTION("""COMPUTED_VALUE"""),-0.684761764379243)</f>
        <v>-0.68476176437924297</v>
      </c>
      <c r="KX150" s="3">
        <f ca="1">IFERROR(__xludf.DUMMYFUNCTION("""COMPUTED_VALUE"""),-0.669512828690961)</f>
        <v>-0.66951282869096096</v>
      </c>
      <c r="KY150" s="3">
        <f ca="1">IFERROR(__xludf.DUMMYFUNCTION("""COMPUTED_VALUE"""),-0.671373866690094)</f>
        <v>-0.67137386669009402</v>
      </c>
      <c r="KZ150" s="3">
        <f ca="1">IFERROR(__xludf.DUMMYFUNCTION("""COMPUTED_VALUE"""),-0.602361734238611)</f>
        <v>-0.60236173423861095</v>
      </c>
      <c r="LA150" s="3">
        <f ca="1">IFERROR(__xludf.DUMMYFUNCTION("""COMPUTED_VALUE"""),-0.632431071071308)</f>
        <v>-0.63243107107130803</v>
      </c>
      <c r="LB150" s="3">
        <f ca="1">IFERROR(__xludf.DUMMYFUNCTION("""COMPUTED_VALUE"""),-0.703550063328055)</f>
        <v>-0.70355006332805503</v>
      </c>
      <c r="LC150" s="3">
        <f ca="1">IFERROR(__xludf.DUMMYFUNCTION("""COMPUTED_VALUE"""),-0.695697576588675)</f>
        <v>-0.69569757658867504</v>
      </c>
      <c r="LD150" s="3">
        <f ca="1">IFERROR(__xludf.DUMMYFUNCTION("""COMPUTED_VALUE"""),-0.707940196918814)</f>
        <v>-0.70794019691881405</v>
      </c>
      <c r="LE150" s="3">
        <f ca="1">IFERROR(__xludf.DUMMYFUNCTION("""COMPUTED_VALUE"""),-0.706276757764312)</f>
        <v>-0.70627675776431198</v>
      </c>
      <c r="LF150" s="3">
        <f ca="1">IFERROR(__xludf.DUMMYFUNCTION("""COMPUTED_VALUE"""),-0.687322850986978)</f>
        <v>-0.68732285098697798</v>
      </c>
      <c r="LG150" s="3">
        <f ca="1">IFERROR(__xludf.DUMMYFUNCTION("""COMPUTED_VALUE"""),-0.659616140454149)</f>
        <v>-0.65961614045414896</v>
      </c>
      <c r="LH150" s="3">
        <f ca="1">IFERROR(__xludf.DUMMYFUNCTION("""COMPUTED_VALUE"""),-0.640633918767237)</f>
        <v>-0.64063391876723697</v>
      </c>
      <c r="LI150" s="3">
        <f ca="1">IFERROR(__xludf.DUMMYFUNCTION("""COMPUTED_VALUE"""),-0.733755536595569)</f>
        <v>-0.73375553659556902</v>
      </c>
      <c r="LJ150" s="3">
        <f ca="1">IFERROR(__xludf.DUMMYFUNCTION("""COMPUTED_VALUE"""),-0.738244423402542)</f>
        <v>-0.73824442340254204</v>
      </c>
      <c r="LK150" s="3">
        <f ca="1">IFERROR(__xludf.DUMMYFUNCTION("""COMPUTED_VALUE"""),-0.7116426257615)</f>
        <v>-0.71164262576149995</v>
      </c>
      <c r="LL150" s="3">
        <f ca="1">IFERROR(__xludf.DUMMYFUNCTION("""COMPUTED_VALUE"""),-0.709533127323067)</f>
        <v>-0.70953312732306695</v>
      </c>
      <c r="LM150" s="3">
        <f ca="1">IFERROR(__xludf.DUMMYFUNCTION("""COMPUTED_VALUE"""),-0.664101345054034)</f>
        <v>-0.66410134505403395</v>
      </c>
      <c r="LN150" s="3">
        <f ca="1">IFERROR(__xludf.DUMMYFUNCTION("""COMPUTED_VALUE"""),-0.663215890811124)</f>
        <v>-0.66321589081112398</v>
      </c>
      <c r="LO150" s="3">
        <f ca="1">IFERROR(__xludf.DUMMYFUNCTION("""COMPUTED_VALUE"""),-0.642736999237846)</f>
        <v>-0.642736999237846</v>
      </c>
      <c r="LP150" s="3">
        <f ca="1">IFERROR(__xludf.DUMMYFUNCTION("""COMPUTED_VALUE"""),-0.732331814380417)</f>
        <v>-0.73233181438041695</v>
      </c>
      <c r="LQ150" s="3">
        <f ca="1">IFERROR(__xludf.DUMMYFUNCTION("""COMPUTED_VALUE"""),-0.746095841642118)</f>
        <v>-0.74609584164211795</v>
      </c>
      <c r="LR150" s="3">
        <f ca="1">IFERROR(__xludf.DUMMYFUNCTION("""COMPUTED_VALUE"""),-0.743191799397688)</f>
        <v>-0.74319179939768798</v>
      </c>
      <c r="LS150" s="3">
        <f ca="1">IFERROR(__xludf.DUMMYFUNCTION("""COMPUTED_VALUE"""),-0.750414221687296)</f>
        <v>-0.75041422168729599</v>
      </c>
      <c r="LT150" s="3">
        <f ca="1">IFERROR(__xludf.DUMMYFUNCTION("""COMPUTED_VALUE"""),-0.802507564185528)</f>
        <v>-0.80250756418552804</v>
      </c>
      <c r="LU150" s="3">
        <f ca="1">IFERROR(__xludf.DUMMYFUNCTION("""COMPUTED_VALUE"""),-0.726582185204474)</f>
        <v>-0.72658218520447404</v>
      </c>
      <c r="LV150" s="3">
        <f ca="1">IFERROR(__xludf.DUMMYFUNCTION("""COMPUTED_VALUE"""),-0.689588473662079)</f>
        <v>-0.68958847366207898</v>
      </c>
      <c r="LW150" s="3">
        <f ca="1">IFERROR(__xludf.DUMMYFUNCTION("""COMPUTED_VALUE"""),-0.774480542633501)</f>
        <v>-0.77448054263350097</v>
      </c>
      <c r="LX150" s="3">
        <f ca="1">IFERROR(__xludf.DUMMYFUNCTION("""COMPUTED_VALUE"""),-0.781039729867508)</f>
        <v>-0.78103972986750803</v>
      </c>
      <c r="LY150" s="3">
        <f ca="1">IFERROR(__xludf.DUMMYFUNCTION("""COMPUTED_VALUE"""),-0.769507943156093)</f>
        <v>-0.76950794315609305</v>
      </c>
      <c r="LZ150" s="3">
        <f ca="1">IFERROR(__xludf.DUMMYFUNCTION("""COMPUTED_VALUE"""),-0.776482471258672)</f>
        <v>-0.77648247125867198</v>
      </c>
      <c r="MA150" s="3">
        <f ca="1">IFERROR(__xludf.DUMMYFUNCTION("""COMPUTED_VALUE"""),-0.735379970618788)</f>
        <v>-0.73537997061878801</v>
      </c>
      <c r="MB150" s="3">
        <f ca="1">IFERROR(__xludf.DUMMYFUNCTION("""COMPUTED_VALUE"""),-0.738558537786489)</f>
        <v>-0.73855853778648894</v>
      </c>
      <c r="MC150" s="3">
        <f ca="1">IFERROR(__xludf.DUMMYFUNCTION("""COMPUTED_VALUE"""),-0.763779563920187)</f>
        <v>-0.76377956392018698</v>
      </c>
      <c r="MD150" s="3">
        <f ca="1">IFERROR(__xludf.DUMMYFUNCTION("""COMPUTED_VALUE"""),-0.778094136987417)</f>
        <v>-0.77809413698741703</v>
      </c>
      <c r="ME150" s="3">
        <f ca="1">IFERROR(__xludf.DUMMYFUNCTION("""COMPUTED_VALUE"""),-0.790658577261521)</f>
        <v>-0.790658577261521</v>
      </c>
      <c r="MF150" s="3">
        <f ca="1">IFERROR(__xludf.DUMMYFUNCTION("""COMPUTED_VALUE"""),-0.782044540080306)</f>
        <v>-0.78204454008030599</v>
      </c>
      <c r="MG150" s="3">
        <f ca="1">IFERROR(__xludf.DUMMYFUNCTION("""COMPUTED_VALUE"""),-0.796029762463253)</f>
        <v>-0.79602976246325297</v>
      </c>
      <c r="MH150" s="3">
        <f ca="1">IFERROR(__xludf.DUMMYFUNCTION("""COMPUTED_VALUE"""),-0.780113110457952)</f>
        <v>-0.78011311045795195</v>
      </c>
      <c r="MI150" s="3">
        <f ca="1">IFERROR(__xludf.DUMMYFUNCTION("""COMPUTED_VALUE"""),-0.718049566029696)</f>
        <v>-0.71804956602969605</v>
      </c>
      <c r="MJ150" s="3">
        <f ca="1">IFERROR(__xludf.DUMMYFUNCTION("""COMPUTED_VALUE"""),-0.766722080251951)</f>
        <v>-0.76672208025195099</v>
      </c>
      <c r="MK150" s="3">
        <f ca="1">IFERROR(__xludf.DUMMYFUNCTION("""COMPUTED_VALUE"""),-0.776684050739779)</f>
        <v>-0.77668405073977898</v>
      </c>
      <c r="ML150" s="3">
        <f ca="1">IFERROR(__xludf.DUMMYFUNCTION("""COMPUTED_VALUE"""),-0.800481438361585)</f>
        <v>-0.80048143836158503</v>
      </c>
      <c r="MM150" s="3">
        <f ca="1">IFERROR(__xludf.DUMMYFUNCTION("""COMPUTED_VALUE"""),-0.813942828236992)</f>
        <v>-0.81394282823699204</v>
      </c>
      <c r="MN150" s="3">
        <f ca="1">IFERROR(__xludf.DUMMYFUNCTION("""COMPUTED_VALUE"""),-0.791795568648034)</f>
        <v>-0.79179556864803402</v>
      </c>
      <c r="MO150" s="3">
        <f ca="1">IFERROR(__xludf.DUMMYFUNCTION("""COMPUTED_VALUE"""),-0.769929717876494)</f>
        <v>-0.769929717876494</v>
      </c>
      <c r="MP150" s="3">
        <f ca="1">IFERROR(__xludf.DUMMYFUNCTION("""COMPUTED_VALUE"""),-0.737260705718383)</f>
        <v>-0.73726070571838298</v>
      </c>
      <c r="MQ150" s="3">
        <f ca="1">IFERROR(__xludf.DUMMYFUNCTION("""COMPUTED_VALUE"""),-0.749717236845126)</f>
        <v>-0.74971723684512603</v>
      </c>
      <c r="MR150" s="3">
        <f ca="1">IFERROR(__xludf.DUMMYFUNCTION("""COMPUTED_VALUE"""),-0.756772025425306)</f>
        <v>-0.75677202542530597</v>
      </c>
      <c r="MS150" s="3">
        <f ca="1">IFERROR(__xludf.DUMMYFUNCTION("""COMPUTED_VALUE"""),-0.797518689167553)</f>
        <v>-0.79751868916755297</v>
      </c>
      <c r="MT150" s="3">
        <f ca="1">IFERROR(__xludf.DUMMYFUNCTION("""COMPUTED_VALUE"""),-0.791751330936071)</f>
        <v>-0.79175133093607097</v>
      </c>
      <c r="MU150" s="3">
        <f ca="1">IFERROR(__xludf.DUMMYFUNCTION("""COMPUTED_VALUE"""),-0.795490991301193)</f>
        <v>-0.79549099130119305</v>
      </c>
      <c r="MV150" s="3">
        <f ca="1">IFERROR(__xludf.DUMMYFUNCTION("""COMPUTED_VALUE"""),-0.765789124688685)</f>
        <v>-0.76578912468868499</v>
      </c>
      <c r="MW150" s="3">
        <f ca="1">IFERROR(__xludf.DUMMYFUNCTION("""COMPUTED_VALUE"""),-0.734578180512379)</f>
        <v>-0.734578180512379</v>
      </c>
      <c r="MX150" s="3">
        <f ca="1">IFERROR(__xludf.DUMMYFUNCTION("""COMPUTED_VALUE"""),-0.757014665160925)</f>
        <v>-0.75701466516092497</v>
      </c>
      <c r="MY150" s="3">
        <f ca="1">IFERROR(__xludf.DUMMYFUNCTION("""COMPUTED_VALUE"""),-0.739590236027788)</f>
        <v>-0.73959023602778795</v>
      </c>
      <c r="MZ150" s="3">
        <f ca="1">IFERROR(__xludf.DUMMYFUNCTION("""COMPUTED_VALUE"""),-0.80420052994042)</f>
        <v>-0.80420052994042002</v>
      </c>
      <c r="NA150" s="3">
        <f ca="1">IFERROR(__xludf.DUMMYFUNCTION("""COMPUTED_VALUE"""),-0.801477625845497)</f>
        <v>-0.80147762584549698</v>
      </c>
      <c r="NB150" s="3">
        <f ca="1">IFERROR(__xludf.DUMMYFUNCTION("""COMPUTED_VALUE"""),-0.787678750030099)</f>
        <v>-0.78767875003009902</v>
      </c>
      <c r="NC150" s="3">
        <f ca="1">IFERROR(__xludf.DUMMYFUNCTION("""COMPUTED_VALUE"""),-0.776104362534151)</f>
        <v>-0.77610436253415105</v>
      </c>
      <c r="ND150" s="3">
        <f ca="1">IFERROR(__xludf.DUMMYFUNCTION("""COMPUTED_VALUE"""),-0.776409639289676)</f>
        <v>-0.77640963928967599</v>
      </c>
      <c r="NE150" s="3">
        <f ca="1">IFERROR(__xludf.DUMMYFUNCTION("""COMPUTED_VALUE"""),-0.763213021137455)</f>
        <v>-0.76321302113745504</v>
      </c>
      <c r="NF150" s="3">
        <f ca="1">IFERROR(__xludf.DUMMYFUNCTION("""COMPUTED_VALUE"""),-0.804516995919107)</f>
        <v>-0.80451699591910697</v>
      </c>
      <c r="NG150" s="3">
        <f ca="1">IFERROR(__xludf.DUMMYFUNCTION("""COMPUTED_VALUE"""),-0.779929281871459)</f>
        <v>-0.77992928187145905</v>
      </c>
      <c r="NH150" s="3">
        <f ca="1">IFERROR(__xludf.DUMMYFUNCTION("""COMPUTED_VALUE"""),-0.798678669989576)</f>
        <v>-0.79867866998957604</v>
      </c>
      <c r="NI150" s="3">
        <f ca="1">IFERROR(__xludf.DUMMYFUNCTION("""COMPUTED_VALUE"""),-0.790051475264072)</f>
        <v>-0.79005147526407205</v>
      </c>
      <c r="NJ150" s="3">
        <f ca="1">IFERROR(__xludf.DUMMYFUNCTION("""COMPUTED_VALUE"""),-0.761839328671172)</f>
        <v>-0.76183932867117199</v>
      </c>
      <c r="NK150" s="3">
        <f ca="1">IFERROR(__xludf.DUMMYFUNCTION("""COMPUTED_VALUE"""),-0.723195034793889)</f>
        <v>-0.72319503479388902</v>
      </c>
      <c r="NL150" s="3">
        <f ca="1">IFERROR(__xludf.DUMMYFUNCTION("""COMPUTED_VALUE"""),-0.755523506592688)</f>
        <v>-0.75552350659268797</v>
      </c>
      <c r="NM150" s="3">
        <f ca="1">IFERROR(__xludf.DUMMYFUNCTION("""COMPUTED_VALUE"""),-0.779534194305639)</f>
        <v>-0.77953419430563897</v>
      </c>
      <c r="NN150" s="3">
        <f ca="1">IFERROR(__xludf.DUMMYFUNCTION("""COMPUTED_VALUE"""),-0.764260706817531)</f>
        <v>-0.764260706817531</v>
      </c>
      <c r="NO150" s="3">
        <f ca="1">IFERROR(__xludf.DUMMYFUNCTION("""COMPUTED_VALUE"""),-0.763017204888062)</f>
        <v>-0.76301720488806202</v>
      </c>
      <c r="NP150" s="3">
        <f ca="1">IFERROR(__xludf.DUMMYFUNCTION("""COMPUTED_VALUE"""),-0.766232172981241)</f>
        <v>-0.76623217298124102</v>
      </c>
      <c r="NQ150" s="3">
        <f ca="1">IFERROR(__xludf.DUMMYFUNCTION("""COMPUTED_VALUE"""),-0.722304781649019)</f>
        <v>-0.72230478164901901</v>
      </c>
      <c r="NR150" s="3">
        <f ca="1">IFERROR(__xludf.DUMMYFUNCTION("""COMPUTED_VALUE"""),-0.715508900889842)</f>
        <v>-0.71550890088984198</v>
      </c>
      <c r="NS150" s="3">
        <f ca="1">IFERROR(__xludf.DUMMYFUNCTION("""COMPUTED_VALUE"""),-0.748639614527655)</f>
        <v>-0.74863961452765504</v>
      </c>
      <c r="NT150" s="3">
        <f ca="1">IFERROR(__xludf.DUMMYFUNCTION("""COMPUTED_VALUE"""),-0.776650044735159)</f>
        <v>-0.77665004473515897</v>
      </c>
      <c r="NU150" s="3">
        <f ca="1">IFERROR(__xludf.DUMMYFUNCTION("""COMPUTED_VALUE"""),-0.772620757319568)</f>
        <v>-0.77262075731956803</v>
      </c>
      <c r="NV150" s="3">
        <f ca="1">IFERROR(__xludf.DUMMYFUNCTION("""COMPUTED_VALUE"""),-0.759520039908647)</f>
        <v>-0.75952003990864703</v>
      </c>
      <c r="NW150" s="3">
        <f ca="1">IFERROR(__xludf.DUMMYFUNCTION("""COMPUTED_VALUE"""),-0.683799672700054)</f>
        <v>-0.68379967270005404</v>
      </c>
      <c r="NX150" s="3">
        <f ca="1">IFERROR(__xludf.DUMMYFUNCTION("""COMPUTED_VALUE"""),-0.688296487495802)</f>
        <v>-0.68829648749580197</v>
      </c>
      <c r="NY150" s="3">
        <f ca="1">IFERROR(__xludf.DUMMYFUNCTION("""COMPUTED_VALUE"""),-0.619201102348605)</f>
        <v>-0.61920110234860504</v>
      </c>
      <c r="NZ150" s="3">
        <f ca="1">IFERROR(__xludf.DUMMYFUNCTION("""COMPUTED_VALUE"""),-0.615593615130446)</f>
        <v>-0.61559361513044597</v>
      </c>
      <c r="OA150" s="3">
        <f ca="1">IFERROR(__xludf.DUMMYFUNCTION("""COMPUTED_VALUE"""),-0.665924024166566)</f>
        <v>-0.66592402416656604</v>
      </c>
      <c r="OB150" s="3">
        <f ca="1">IFERROR(__xludf.DUMMYFUNCTION("""COMPUTED_VALUE"""),-0.636439069016996)</f>
        <v>-0.63643906901699598</v>
      </c>
      <c r="OC150" s="3">
        <f ca="1">IFERROR(__xludf.DUMMYFUNCTION("""COMPUTED_VALUE"""),-0.614479933867994)</f>
        <v>-0.61447993386799404</v>
      </c>
      <c r="OD150" s="3">
        <f ca="1">IFERROR(__xludf.DUMMYFUNCTION("""COMPUTED_VALUE"""),-0.575036292931073)</f>
        <v>-0.57503629293107295</v>
      </c>
      <c r="OE150" s="3">
        <f ca="1">IFERROR(__xludf.DUMMYFUNCTION("""COMPUTED_VALUE"""),-0.468941036447066)</f>
        <v>-0.46894103644706597</v>
      </c>
      <c r="OF150" s="3">
        <f ca="1">IFERROR(__xludf.DUMMYFUNCTION("""COMPUTED_VALUE"""),-0.272376858734682)</f>
        <v>-0.27237685873468198</v>
      </c>
      <c r="OG150" s="3">
        <f ca="1">IFERROR(__xludf.DUMMYFUNCTION("""COMPUTED_VALUE"""),-0.27945001866629)</f>
        <v>-0.27945001866628999</v>
      </c>
      <c r="OH150" s="3">
        <f ca="1">IFERROR(__xludf.DUMMYFUNCTION("""COMPUTED_VALUE"""),-0.222631930787639)</f>
        <v>-0.22263193078763899</v>
      </c>
      <c r="OI150" s="3">
        <f ca="1">IFERROR(__xludf.DUMMYFUNCTION("""COMPUTED_VALUE"""),-0.0873090960410112)</f>
        <v>-8.7309096041011197E-2</v>
      </c>
      <c r="OJ150" s="3">
        <f ca="1">IFERROR(__xludf.DUMMYFUNCTION("""COMPUTED_VALUE"""),-0.037836752468278)</f>
        <v>-3.7836752468278001E-2</v>
      </c>
      <c r="OK150" s="3">
        <f ca="1">IFERROR(__xludf.DUMMYFUNCTION("""COMPUTED_VALUE"""),-0.0443474191583846)</f>
        <v>-4.4347419158384603E-2</v>
      </c>
      <c r="OL150" s="3">
        <f ca="1">IFERROR(__xludf.DUMMYFUNCTION("""COMPUTED_VALUE"""),-0.0128500293368984)</f>
        <v>-1.28500293368984E-2</v>
      </c>
      <c r="OM150" s="3">
        <f ca="1">IFERROR(__xludf.DUMMYFUNCTION("""COMPUTED_VALUE"""),0.0287368654943893)</f>
        <v>2.8736865494389301E-2</v>
      </c>
      <c r="ON150" s="3">
        <f ca="1">IFERROR(__xludf.DUMMYFUNCTION("""COMPUTED_VALUE"""),0.0451474475771529)</f>
        <v>4.5147447577152902E-2</v>
      </c>
      <c r="OO150" s="3">
        <f ca="1">IFERROR(__xludf.DUMMYFUNCTION("""COMPUTED_VALUE"""),-0.0450740918339891)</f>
        <v>-4.5074091833989097E-2</v>
      </c>
      <c r="OP150" s="3">
        <f ca="1">IFERROR(__xludf.DUMMYFUNCTION("""COMPUTED_VALUE"""),-0.0136423109660096)</f>
        <v>-1.36423109660096E-2</v>
      </c>
      <c r="OQ150" s="3">
        <f ca="1">IFERROR(__xludf.DUMMYFUNCTION("""COMPUTED_VALUE"""),0.0146829255656972)</f>
        <v>1.46829255656972E-2</v>
      </c>
      <c r="OR150" s="3">
        <f ca="1">IFERROR(__xludf.DUMMYFUNCTION("""COMPUTED_VALUE"""),0.0390757755463007)</f>
        <v>3.9075775546300699E-2</v>
      </c>
      <c r="OS150" s="3">
        <f ca="1">IFERROR(__xludf.DUMMYFUNCTION("""COMPUTED_VALUE"""),0.024456735916251)</f>
        <v>2.4456735916250999E-2</v>
      </c>
      <c r="OT150" s="3">
        <f ca="1">IFERROR(__xludf.DUMMYFUNCTION("""COMPUTED_VALUE"""),0.044914379857891)</f>
        <v>4.4914379857890999E-2</v>
      </c>
      <c r="OU150" s="3">
        <f ca="1">IFERROR(__xludf.DUMMYFUNCTION("""COMPUTED_VALUE"""),-0.0125131304790464)</f>
        <v>-1.2513130479046401E-2</v>
      </c>
      <c r="OV150" s="3">
        <f ca="1">IFERROR(__xludf.DUMMYFUNCTION("""COMPUTED_VALUE"""),-0.0740578776423408)</f>
        <v>-7.40578776423408E-2</v>
      </c>
      <c r="OW150" s="3">
        <f ca="1">IFERROR(__xludf.DUMMYFUNCTION("""COMPUTED_VALUE"""),-0.063305929526343)</f>
        <v>-6.3305929526342994E-2</v>
      </c>
      <c r="OX150" s="3">
        <f ca="1">IFERROR(__xludf.DUMMYFUNCTION("""COMPUTED_VALUE"""),-0.0763601171796044)</f>
        <v>-7.6360117179604406E-2</v>
      </c>
      <c r="OY150" s="3">
        <f ca="1">IFERROR(__xludf.DUMMYFUNCTION("""COMPUTED_VALUE"""),-0.00298363478635355)</f>
        <v>-2.9836347863535502E-3</v>
      </c>
      <c r="OZ150" s="3">
        <f ca="1">IFERROR(__xludf.DUMMYFUNCTION("""COMPUTED_VALUE"""),0.155761987642374)</f>
        <v>0.15576198764237401</v>
      </c>
      <c r="PA150" s="3">
        <f ca="1">IFERROR(__xludf.DUMMYFUNCTION("""COMPUTED_VALUE"""),0.107779292127767)</f>
        <v>0.107779292127767</v>
      </c>
      <c r="PB150" s="3">
        <f ca="1">IFERROR(__xludf.DUMMYFUNCTION("""COMPUTED_VALUE"""),0.0929923077541348)</f>
        <v>9.2992307754134806E-2</v>
      </c>
      <c r="PC150" s="3">
        <f ca="1">IFERROR(__xludf.DUMMYFUNCTION("""COMPUTED_VALUE"""),-0.00740098795860377)</f>
        <v>-7.4009879586037696E-3</v>
      </c>
      <c r="PD150" s="3">
        <f ca="1">IFERROR(__xludf.DUMMYFUNCTION("""COMPUTED_VALUE"""),-0.060186662901056)</f>
        <v>-6.0186662901056003E-2</v>
      </c>
      <c r="PE150" s="3">
        <f ca="1">IFERROR(__xludf.DUMMYFUNCTION("""COMPUTED_VALUE"""),-0.0330520109348773)</f>
        <v>-3.30520109348773E-2</v>
      </c>
      <c r="PF150" s="3">
        <f ca="1">IFERROR(__xludf.DUMMYFUNCTION("""COMPUTED_VALUE"""),0.183504173706391)</f>
        <v>0.18350417370639099</v>
      </c>
      <c r="PG150" s="3">
        <f ca="1">IFERROR(__xludf.DUMMYFUNCTION("""COMPUTED_VALUE"""),-0.332099252675787)</f>
        <v>-0.33209925267578699</v>
      </c>
      <c r="PH150" s="3">
        <f ca="1">IFERROR(__xludf.DUMMYFUNCTION("""COMPUTED_VALUE"""),0.0767173185704195)</f>
        <v>7.6717318570419496E-2</v>
      </c>
      <c r="PI150" s="3">
        <f ca="1">IFERROR(__xludf.DUMMYFUNCTION("""COMPUTED_VALUE"""),-0.0168838824714757)</f>
        <v>-1.6883882471475702E-2</v>
      </c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</row>
    <row r="151" spans="1:477" ht="13">
      <c r="A151" s="1" t="str">
        <f ca="1">IFERROR(__xludf.DUMMYFUNCTION("""COMPUTED_VALUE"""),"Burlington Transit")</f>
        <v>Burlington Transit</v>
      </c>
      <c r="B151" s="1" t="str">
        <f ca="1">IFERROR(__xludf.DUMMYFUNCTION("""COMPUTED_VALUE"""),"Toronto")</f>
        <v>Toronto</v>
      </c>
      <c r="C151" s="1" t="str">
        <f ca="1">IFERROR(__xludf.DUMMYFUNCTION("""COMPUTED_VALUE"""),"Canada")</f>
        <v>Canada</v>
      </c>
      <c r="D151" s="1" t="str">
        <f ca="1">IFERROR(__xludf.DUMMYFUNCTION("""COMPUTED_VALUE"""),"Ontario")</f>
        <v>Ontario</v>
      </c>
      <c r="E151" s="3">
        <f ca="1">IFERROR(__xludf.DUMMYFUNCTION("""COMPUTED_VALUE"""),-0.668121960929732)</f>
        <v>-0.66812196092973197</v>
      </c>
      <c r="F151" s="3">
        <f ca="1">IFERROR(__xludf.DUMMYFUNCTION("""COMPUTED_VALUE"""),-0.676983488600313)</f>
        <v>-0.67698348860031299</v>
      </c>
      <c r="G151" s="3">
        <f ca="1">IFERROR(__xludf.DUMMYFUNCTION("""COMPUTED_VALUE"""),-0.708134181580221)</f>
        <v>-0.70813418158022101</v>
      </c>
      <c r="H151" s="3">
        <f ca="1">IFERROR(__xludf.DUMMYFUNCTION("""COMPUTED_VALUE"""),-0.660052893403779)</f>
        <v>-0.66005289340377904</v>
      </c>
      <c r="I151" s="3">
        <f ca="1">IFERROR(__xludf.DUMMYFUNCTION("""COMPUTED_VALUE"""),-0.637882666993321)</f>
        <v>-0.63788266699332097</v>
      </c>
      <c r="J151" s="3">
        <f ca="1">IFERROR(__xludf.DUMMYFUNCTION("""COMPUTED_VALUE"""),-0.635658132249512)</f>
        <v>-0.63565813224951195</v>
      </c>
      <c r="K151" s="3">
        <f ca="1">IFERROR(__xludf.DUMMYFUNCTION("""COMPUTED_VALUE"""),-0.64753288992766)</f>
        <v>-0.64753288992766</v>
      </c>
      <c r="L151" s="3">
        <f ca="1">IFERROR(__xludf.DUMMYFUNCTION("""COMPUTED_VALUE"""),-0.609869445642648)</f>
        <v>-0.609869445642648</v>
      </c>
      <c r="M151" s="3">
        <f ca="1">IFERROR(__xludf.DUMMYFUNCTION("""COMPUTED_VALUE"""),-0.713102337536189)</f>
        <v>-0.71310233753618901</v>
      </c>
      <c r="N151" s="3">
        <f ca="1">IFERROR(__xludf.DUMMYFUNCTION("""COMPUTED_VALUE"""),-0.60891813795328)</f>
        <v>-0.60891813795327998</v>
      </c>
      <c r="O151" s="3">
        <f ca="1">IFERROR(__xludf.DUMMYFUNCTION("""COMPUTED_VALUE"""),-0.653485125515305)</f>
        <v>-0.65348512551530502</v>
      </c>
      <c r="P151" s="3">
        <f ca="1">IFERROR(__xludf.DUMMYFUNCTION("""COMPUTED_VALUE"""),-0.65787336572639)</f>
        <v>-0.65787336572638999</v>
      </c>
      <c r="Q151" s="3">
        <f ca="1">IFERROR(__xludf.DUMMYFUNCTION("""COMPUTED_VALUE"""),-0.664195777653533)</f>
        <v>-0.66419577765353299</v>
      </c>
      <c r="R151" s="3">
        <f ca="1">IFERROR(__xludf.DUMMYFUNCTION("""COMPUTED_VALUE"""),-0.625970282431978)</f>
        <v>-0.62597028243197805</v>
      </c>
      <c r="S151" s="3">
        <f ca="1">IFERROR(__xludf.DUMMYFUNCTION("""COMPUTED_VALUE"""),-0.568351220105131)</f>
        <v>-0.56835122010513095</v>
      </c>
      <c r="T151" s="3">
        <f ca="1">IFERROR(__xludf.DUMMYFUNCTION("""COMPUTED_VALUE"""),-0.64982104221669)</f>
        <v>-0.64982104221669001</v>
      </c>
      <c r="U151" s="3">
        <f ca="1">IFERROR(__xludf.DUMMYFUNCTION("""COMPUTED_VALUE"""),-0.620052453553095)</f>
        <v>-0.62005245355309502</v>
      </c>
      <c r="V151" s="3">
        <f ca="1">IFERROR(__xludf.DUMMYFUNCTION("""COMPUTED_VALUE"""),-0.643087018539695)</f>
        <v>-0.64308701853969497</v>
      </c>
      <c r="W151" s="3">
        <f ca="1">IFERROR(__xludf.DUMMYFUNCTION("""COMPUTED_VALUE"""),-0.646320470446873)</f>
        <v>-0.64632047044687302</v>
      </c>
      <c r="X151" s="3">
        <f ca="1">IFERROR(__xludf.DUMMYFUNCTION("""COMPUTED_VALUE"""),-0.639397271695624)</f>
        <v>-0.63939727169562399</v>
      </c>
      <c r="Y151" s="3">
        <f ca="1">IFERROR(__xludf.DUMMYFUNCTION("""COMPUTED_VALUE"""),-0.516728972776324)</f>
        <v>-0.51672897277632401</v>
      </c>
      <c r="Z151" s="3">
        <f ca="1">IFERROR(__xludf.DUMMYFUNCTION("""COMPUTED_VALUE"""),-0.565668479083907)</f>
        <v>-0.56566847908390705</v>
      </c>
      <c r="AA151" s="3">
        <f ca="1">IFERROR(__xludf.DUMMYFUNCTION("""COMPUTED_VALUE"""),-0.655442176179571)</f>
        <v>-0.65544217617957101</v>
      </c>
      <c r="AB151" s="3">
        <f ca="1">IFERROR(__xludf.DUMMYFUNCTION("""COMPUTED_VALUE"""),-0.655492329472426)</f>
        <v>-0.65549232947242597</v>
      </c>
      <c r="AC151" s="3">
        <f ca="1">IFERROR(__xludf.DUMMYFUNCTION("""COMPUTED_VALUE"""),-0.661803888761884)</f>
        <v>-0.66180388876188401</v>
      </c>
      <c r="AD151" s="3">
        <f ca="1">IFERROR(__xludf.DUMMYFUNCTION("""COMPUTED_VALUE"""),-0.686428582392089)</f>
        <v>-0.68642858239208904</v>
      </c>
      <c r="AE151" s="3">
        <f ca="1">IFERROR(__xludf.DUMMYFUNCTION("""COMPUTED_VALUE"""),-0.656492838254582)</f>
        <v>-0.65649283825458205</v>
      </c>
      <c r="AF151" s="3">
        <f ca="1">IFERROR(__xludf.DUMMYFUNCTION("""COMPUTED_VALUE"""),-0.564897355035682)</f>
        <v>-0.56489735503568195</v>
      </c>
      <c r="AG151" s="3">
        <f ca="1">IFERROR(__xludf.DUMMYFUNCTION("""COMPUTED_VALUE"""),-0.601408195389843)</f>
        <v>-0.60140819538984303</v>
      </c>
      <c r="AH151" s="3">
        <f ca="1">IFERROR(__xludf.DUMMYFUNCTION("""COMPUTED_VALUE"""),-0.680809132226588)</f>
        <v>-0.68080913222658801</v>
      </c>
      <c r="AI151" s="3">
        <f ca="1">IFERROR(__xludf.DUMMYFUNCTION("""COMPUTED_VALUE"""),-0.657406209892809)</f>
        <v>-0.65740620989280896</v>
      </c>
      <c r="AJ151" s="3">
        <f ca="1">IFERROR(__xludf.DUMMYFUNCTION("""COMPUTED_VALUE"""),-0.633897655162217)</f>
        <v>-0.63389765516221697</v>
      </c>
      <c r="AK151" s="3">
        <f ca="1">IFERROR(__xludf.DUMMYFUNCTION("""COMPUTED_VALUE"""),-0.664516526725061)</f>
        <v>-0.66451652672506101</v>
      </c>
      <c r="AL151" s="3">
        <f ca="1">IFERROR(__xludf.DUMMYFUNCTION("""COMPUTED_VALUE"""),-0.657100250063223)</f>
        <v>-0.65710025006322303</v>
      </c>
      <c r="AM151" s="3">
        <f ca="1">IFERROR(__xludf.DUMMYFUNCTION("""COMPUTED_VALUE"""),-0.592699601303277)</f>
        <v>-0.59269960130327703</v>
      </c>
      <c r="AN151" s="3">
        <f ca="1">IFERROR(__xludf.DUMMYFUNCTION("""COMPUTED_VALUE"""),-0.609368297669419)</f>
        <v>-0.60936829766941902</v>
      </c>
      <c r="AO151" s="3">
        <f ca="1">IFERROR(__xludf.DUMMYFUNCTION("""COMPUTED_VALUE"""),-0.676050249070187)</f>
        <v>-0.67605024907018696</v>
      </c>
      <c r="AP151" s="3">
        <f ca="1">IFERROR(__xludf.DUMMYFUNCTION("""COMPUTED_VALUE"""),-0.697318982201969)</f>
        <v>-0.69731898220196897</v>
      </c>
      <c r="AQ151" s="3">
        <f ca="1">IFERROR(__xludf.DUMMYFUNCTION("""COMPUTED_VALUE"""),-0.646056806019174)</f>
        <v>-0.64605680601917403</v>
      </c>
      <c r="AR151" s="3">
        <f ca="1">IFERROR(__xludf.DUMMYFUNCTION("""COMPUTED_VALUE"""),-0.683177866402475)</f>
        <v>-0.68317786640247502</v>
      </c>
      <c r="AS151" s="3">
        <f ca="1">IFERROR(__xludf.DUMMYFUNCTION("""COMPUTED_VALUE"""),-0.683136483423777)</f>
        <v>-0.68313648342377697</v>
      </c>
      <c r="AT151" s="3">
        <f ca="1">IFERROR(__xludf.DUMMYFUNCTION("""COMPUTED_VALUE"""),-0.614093558926338)</f>
        <v>-0.61409355892633799</v>
      </c>
      <c r="AU151" s="3">
        <f ca="1">IFERROR(__xludf.DUMMYFUNCTION("""COMPUTED_VALUE"""),-0.61817547593258)</f>
        <v>-0.61817547593258004</v>
      </c>
      <c r="AV151" s="3">
        <f ca="1">IFERROR(__xludf.DUMMYFUNCTION("""COMPUTED_VALUE"""),-0.689285999264208)</f>
        <v>-0.68928599926420797</v>
      </c>
      <c r="AW151" s="3">
        <f ca="1">IFERROR(__xludf.DUMMYFUNCTION("""COMPUTED_VALUE"""),-0.665000277823499)</f>
        <v>-0.66500027782349902</v>
      </c>
      <c r="AX151" s="3">
        <f ca="1">IFERROR(__xludf.DUMMYFUNCTION("""COMPUTED_VALUE"""),-0.63489699918234)</f>
        <v>-0.63489699918233999</v>
      </c>
      <c r="AY151" s="3">
        <f ca="1">IFERROR(__xludf.DUMMYFUNCTION("""COMPUTED_VALUE"""),-0.669407278917991)</f>
        <v>-0.66940727891799101</v>
      </c>
      <c r="AZ151" s="3">
        <f ca="1">IFERROR(__xludf.DUMMYFUNCTION("""COMPUTED_VALUE"""),-0.624621916396919)</f>
        <v>-0.624621916396919</v>
      </c>
      <c r="BA151" s="3">
        <f ca="1">IFERROR(__xludf.DUMMYFUNCTION("""COMPUTED_VALUE"""),-0.63234852361113)</f>
        <v>-0.63234852361113003</v>
      </c>
      <c r="BB151" s="3">
        <f ca="1">IFERROR(__xludf.DUMMYFUNCTION("""COMPUTED_VALUE"""),-0.639382951602086)</f>
        <v>-0.63938295160208602</v>
      </c>
      <c r="BC151" s="3">
        <f ca="1">IFERROR(__xludf.DUMMYFUNCTION("""COMPUTED_VALUE"""),-0.686973708167213)</f>
        <v>-0.68697370816721304</v>
      </c>
      <c r="BD151" s="3">
        <f ca="1">IFERROR(__xludf.DUMMYFUNCTION("""COMPUTED_VALUE"""),-0.699528382279865)</f>
        <v>-0.69952838227986502</v>
      </c>
      <c r="BE151" s="3">
        <f ca="1">IFERROR(__xludf.DUMMYFUNCTION("""COMPUTED_VALUE"""),-0.641033742559511)</f>
        <v>-0.64103374255951096</v>
      </c>
      <c r="BF151" s="3">
        <f ca="1">IFERROR(__xludf.DUMMYFUNCTION("""COMPUTED_VALUE"""),-0.594753845173015)</f>
        <v>-0.59475384517301499</v>
      </c>
      <c r="BG151" s="3">
        <f ca="1">IFERROR(__xludf.DUMMYFUNCTION("""COMPUTED_VALUE"""),-0.726656875085533)</f>
        <v>-0.726656875085533</v>
      </c>
      <c r="BH151" s="3">
        <f ca="1">IFERROR(__xludf.DUMMYFUNCTION("""COMPUTED_VALUE"""),-0.673565916411475)</f>
        <v>-0.67356591641147501</v>
      </c>
      <c r="BI151" s="3">
        <f ca="1">IFERROR(__xludf.DUMMYFUNCTION("""COMPUTED_VALUE"""),-0.701269206115593)</f>
        <v>-0.70126920611559296</v>
      </c>
      <c r="BJ151" s="3">
        <f ca="1">IFERROR(__xludf.DUMMYFUNCTION("""COMPUTED_VALUE"""),-0.729290956907462)</f>
        <v>-0.72929095690746204</v>
      </c>
      <c r="BK151" s="3">
        <f ca="1">IFERROR(__xludf.DUMMYFUNCTION("""COMPUTED_VALUE"""),-0.73795651227999)</f>
        <v>-0.73795651227999004</v>
      </c>
      <c r="BL151" s="3">
        <f ca="1">IFERROR(__xludf.DUMMYFUNCTION("""COMPUTED_VALUE"""),-0.745675012708381)</f>
        <v>-0.74567501270838099</v>
      </c>
      <c r="BM151" s="3">
        <f ca="1">IFERROR(__xludf.DUMMYFUNCTION("""COMPUTED_VALUE"""),-0.730228965214744)</f>
        <v>-0.73022896521474401</v>
      </c>
      <c r="BN151" s="3">
        <f ca="1">IFERROR(__xludf.DUMMYFUNCTION("""COMPUTED_VALUE"""),-0.717729597652255)</f>
        <v>-0.71772959765225497</v>
      </c>
      <c r="BO151" s="3">
        <f ca="1">IFERROR(__xludf.DUMMYFUNCTION("""COMPUTED_VALUE"""),-0.703333584621876)</f>
        <v>-0.70333358462187601</v>
      </c>
      <c r="BP151" s="3">
        <f ca="1">IFERROR(__xludf.DUMMYFUNCTION("""COMPUTED_VALUE"""),-0.713210058783775)</f>
        <v>-0.71321005878377497</v>
      </c>
      <c r="BQ151" s="3">
        <f ca="1">IFERROR(__xludf.DUMMYFUNCTION("""COMPUTED_VALUE"""),-0.771732663864507)</f>
        <v>-0.77173266386450701</v>
      </c>
      <c r="BR151" s="3">
        <f ca="1">IFERROR(__xludf.DUMMYFUNCTION("""COMPUTED_VALUE"""),-0.782103977480919)</f>
        <v>-0.78210397748091898</v>
      </c>
      <c r="BS151" s="3">
        <f ca="1">IFERROR(__xludf.DUMMYFUNCTION("""COMPUTED_VALUE"""),-0.767621435021388)</f>
        <v>-0.76762143502138802</v>
      </c>
      <c r="BT151" s="3">
        <f ca="1">IFERROR(__xludf.DUMMYFUNCTION("""COMPUTED_VALUE"""),-0.786086003153385)</f>
        <v>-0.78608600315338495</v>
      </c>
      <c r="BU151" s="3">
        <f ca="1">IFERROR(__xludf.DUMMYFUNCTION("""COMPUTED_VALUE"""),-0.784662150683516)</f>
        <v>-0.78466215068351597</v>
      </c>
      <c r="BV151" s="3">
        <f ca="1">IFERROR(__xludf.DUMMYFUNCTION("""COMPUTED_VALUE"""),-0.717858608030233)</f>
        <v>-0.71785860803023305</v>
      </c>
      <c r="BW151" s="3">
        <f ca="1">IFERROR(__xludf.DUMMYFUNCTION("""COMPUTED_VALUE"""),-0.729039533766176)</f>
        <v>-0.72903953376617603</v>
      </c>
      <c r="BX151" s="3">
        <f ca="1">IFERROR(__xludf.DUMMYFUNCTION("""COMPUTED_VALUE"""),-0.79000231207109)</f>
        <v>-0.79000231207108995</v>
      </c>
      <c r="BY151" s="3">
        <f ca="1">IFERROR(__xludf.DUMMYFUNCTION("""COMPUTED_VALUE"""),-0.806622679479995)</f>
        <v>-0.806622679479995</v>
      </c>
      <c r="BZ151" s="3">
        <f ca="1">IFERROR(__xludf.DUMMYFUNCTION("""COMPUTED_VALUE"""),-0.780398941253425)</f>
        <v>-0.78039894125342502</v>
      </c>
      <c r="CA151" s="3">
        <f ca="1">IFERROR(__xludf.DUMMYFUNCTION("""COMPUTED_VALUE"""),-0.76845538141307)</f>
        <v>-0.76845538141307002</v>
      </c>
      <c r="CB151" s="3">
        <f ca="1">IFERROR(__xludf.DUMMYFUNCTION("""COMPUTED_VALUE"""),-0.758231884606044)</f>
        <v>-0.75823188460604396</v>
      </c>
      <c r="CC151" s="3">
        <f ca="1">IFERROR(__xludf.DUMMYFUNCTION("""COMPUTED_VALUE"""),-0.712473920158224)</f>
        <v>-0.71247392015822397</v>
      </c>
      <c r="CD151" s="3">
        <f ca="1">IFERROR(__xludf.DUMMYFUNCTION("""COMPUTED_VALUE"""),-0.696056698735174)</f>
        <v>-0.69605669873517395</v>
      </c>
      <c r="CE151" s="3">
        <f ca="1">IFERROR(__xludf.DUMMYFUNCTION("""COMPUTED_VALUE"""),-0.775898492798343)</f>
        <v>-0.775898492798343</v>
      </c>
      <c r="CF151" s="3">
        <f ca="1">IFERROR(__xludf.DUMMYFUNCTION("""COMPUTED_VALUE"""),-0.765461762335694)</f>
        <v>-0.76546176233569396</v>
      </c>
      <c r="CG151" s="3">
        <f ca="1">IFERROR(__xludf.DUMMYFUNCTION("""COMPUTED_VALUE"""),-0.77992134185086)</f>
        <v>-0.77992134185086004</v>
      </c>
      <c r="CH151" s="3">
        <f ca="1">IFERROR(__xludf.DUMMYFUNCTION("""COMPUTED_VALUE"""),-0.786916550764134)</f>
        <v>-0.78691655076413403</v>
      </c>
      <c r="CI151" s="3">
        <f ca="1">IFERROR(__xludf.DUMMYFUNCTION("""COMPUTED_VALUE"""),-0.77097085284517)</f>
        <v>-0.77097085284516997</v>
      </c>
      <c r="CJ151" s="3">
        <f ca="1">IFERROR(__xludf.DUMMYFUNCTION("""COMPUTED_VALUE"""),-0.720560047335401)</f>
        <v>-0.72056004733540102</v>
      </c>
      <c r="CK151" s="3">
        <f ca="1">IFERROR(__xludf.DUMMYFUNCTION("""COMPUTED_VALUE"""),-0.689539046562698)</f>
        <v>-0.68953904656269804</v>
      </c>
      <c r="CL151" s="3">
        <f ca="1">IFERROR(__xludf.DUMMYFUNCTION("""COMPUTED_VALUE"""),-0.776987781853616)</f>
        <v>-0.77698778185361606</v>
      </c>
      <c r="CM151" s="3">
        <f ca="1">IFERROR(__xludf.DUMMYFUNCTION("""COMPUTED_VALUE"""),-0.801934668630147)</f>
        <v>-0.80193466863014695</v>
      </c>
      <c r="CN151" s="3">
        <f ca="1">IFERROR(__xludf.DUMMYFUNCTION("""COMPUTED_VALUE"""),-0.76303611410664)</f>
        <v>-0.76303611410663996</v>
      </c>
      <c r="CO151" s="3">
        <f ca="1">IFERROR(__xludf.DUMMYFUNCTION("""COMPUTED_VALUE"""),-0.773659644121111)</f>
        <v>-0.77365964412111099</v>
      </c>
      <c r="CP151" s="3">
        <f ca="1">IFERROR(__xludf.DUMMYFUNCTION("""COMPUTED_VALUE"""),-0.758445909683579)</f>
        <v>-0.75844590968357894</v>
      </c>
      <c r="CQ151" s="3">
        <f ca="1">IFERROR(__xludf.DUMMYFUNCTION("""COMPUTED_VALUE"""),-0.673939932040361)</f>
        <v>-0.67393993204036096</v>
      </c>
      <c r="CR151" s="3">
        <f ca="1">IFERROR(__xludf.DUMMYFUNCTION("""COMPUTED_VALUE"""),-0.64194722550129)</f>
        <v>-0.64194722550129002</v>
      </c>
      <c r="CS151" s="3">
        <f ca="1">IFERROR(__xludf.DUMMYFUNCTION("""COMPUTED_VALUE"""),-0.719233406478188)</f>
        <v>-0.71923340647818801</v>
      </c>
      <c r="CT151" s="3">
        <f ca="1">IFERROR(__xludf.DUMMYFUNCTION("""COMPUTED_VALUE"""),-0.724836045618288)</f>
        <v>-0.72483604561828796</v>
      </c>
      <c r="CU151" s="3">
        <f ca="1">IFERROR(__xludf.DUMMYFUNCTION("""COMPUTED_VALUE"""),-0.70242039533021)</f>
        <v>-0.70242039533020995</v>
      </c>
      <c r="CV151" s="3">
        <f ca="1">IFERROR(__xludf.DUMMYFUNCTION("""COMPUTED_VALUE"""),-0.722028105420548)</f>
        <v>-0.72202810542054796</v>
      </c>
      <c r="CW151" s="3">
        <f ca="1">IFERROR(__xludf.DUMMYFUNCTION("""COMPUTED_VALUE"""),-0.706563167571401)</f>
        <v>-0.70656316757140103</v>
      </c>
      <c r="CX151" s="3">
        <f ca="1">IFERROR(__xludf.DUMMYFUNCTION("""COMPUTED_VALUE"""),-0.634504400383589)</f>
        <v>-0.63450440038358902</v>
      </c>
      <c r="CY151" s="3">
        <f ca="1">IFERROR(__xludf.DUMMYFUNCTION("""COMPUTED_VALUE"""),-0.653590162969537)</f>
        <v>-0.65359016296953698</v>
      </c>
      <c r="CZ151" s="3">
        <f ca="1">IFERROR(__xludf.DUMMYFUNCTION("""COMPUTED_VALUE"""),-0.77915639695504)</f>
        <v>-0.77915639695504002</v>
      </c>
      <c r="DA151" s="3">
        <f ca="1">IFERROR(__xludf.DUMMYFUNCTION("""COMPUTED_VALUE"""),-0.677808411314215)</f>
        <v>-0.67780841131421499</v>
      </c>
      <c r="DB151" s="3">
        <f ca="1">IFERROR(__xludf.DUMMYFUNCTION("""COMPUTED_VALUE"""),-0.638504268098035)</f>
        <v>-0.63850426809803495</v>
      </c>
      <c r="DC151" s="3">
        <f ca="1">IFERROR(__xludf.DUMMYFUNCTION("""COMPUTED_VALUE"""),-0.720548616138795)</f>
        <v>-0.72054861613879495</v>
      </c>
      <c r="DD151" s="3">
        <f ca="1">IFERROR(__xludf.DUMMYFUNCTION("""COMPUTED_VALUE"""),-0.741397044944534)</f>
        <v>-0.74139704494453396</v>
      </c>
      <c r="DE151" s="3">
        <f ca="1">IFERROR(__xludf.DUMMYFUNCTION("""COMPUTED_VALUE"""),-0.662725984700471)</f>
        <v>-0.66272598470047095</v>
      </c>
      <c r="DF151" s="3">
        <f ca="1">IFERROR(__xludf.DUMMYFUNCTION("""COMPUTED_VALUE"""),-0.707176691534819)</f>
        <v>-0.70717669153481899</v>
      </c>
      <c r="DG151" s="3">
        <f ca="1">IFERROR(__xludf.DUMMYFUNCTION("""COMPUTED_VALUE"""),-0.781163709416036)</f>
        <v>-0.78116370941603597</v>
      </c>
      <c r="DH151" s="3">
        <f ca="1">IFERROR(__xludf.DUMMYFUNCTION("""COMPUTED_VALUE"""),-0.647944310370917)</f>
        <v>-0.64794431037091704</v>
      </c>
      <c r="DI151" s="3">
        <f ca="1">IFERROR(__xludf.DUMMYFUNCTION("""COMPUTED_VALUE"""),-0.367494295576883)</f>
        <v>-0.36749429557688301</v>
      </c>
      <c r="DJ151" s="3">
        <f ca="1">IFERROR(__xludf.DUMMYFUNCTION("""COMPUTED_VALUE"""),-0.587544406253494)</f>
        <v>-0.58754440625349402</v>
      </c>
      <c r="DK151" s="3">
        <f ca="1">IFERROR(__xludf.DUMMYFUNCTION("""COMPUTED_VALUE"""),-0.616344982944859)</f>
        <v>-0.61634498294485895</v>
      </c>
      <c r="DL151" s="3">
        <f ca="1">IFERROR(__xludf.DUMMYFUNCTION("""COMPUTED_VALUE"""),-0.530612293962443)</f>
        <v>-0.53061229396244303</v>
      </c>
      <c r="DM151" s="3">
        <f ca="1">IFERROR(__xludf.DUMMYFUNCTION("""COMPUTED_VALUE"""),-0.560860794959295)</f>
        <v>-0.56086079495929497</v>
      </c>
      <c r="DN151" s="3">
        <f ca="1">IFERROR(__xludf.DUMMYFUNCTION("""COMPUTED_VALUE"""),-0.558644302449401)</f>
        <v>-0.558644302449401</v>
      </c>
      <c r="DO151" s="3">
        <f ca="1">IFERROR(__xludf.DUMMYFUNCTION("""COMPUTED_VALUE"""),-0.596094181117701)</f>
        <v>-0.59609418111770096</v>
      </c>
      <c r="DP151" s="3">
        <f ca="1">IFERROR(__xludf.DUMMYFUNCTION("""COMPUTED_VALUE"""),-0.564882150242523)</f>
        <v>-0.56488215024252297</v>
      </c>
      <c r="DQ151" s="3">
        <f ca="1">IFERROR(__xludf.DUMMYFUNCTION("""COMPUTED_VALUE"""),-0.575413310867305)</f>
        <v>-0.57541331086730496</v>
      </c>
      <c r="DR151" s="3">
        <f ca="1">IFERROR(__xludf.DUMMYFUNCTION("""COMPUTED_VALUE"""),-0.616526872370152)</f>
        <v>-0.61652687237015202</v>
      </c>
      <c r="DS151" s="3">
        <f ca="1">IFERROR(__xludf.DUMMYFUNCTION("""COMPUTED_VALUE"""),-0.565749544374102)</f>
        <v>-0.56574954437410196</v>
      </c>
      <c r="DT151" s="3">
        <f ca="1">IFERROR(__xludf.DUMMYFUNCTION("""COMPUTED_VALUE"""),-0.612603523379599)</f>
        <v>-0.612603523379599</v>
      </c>
      <c r="DU151" s="3">
        <f ca="1">IFERROR(__xludf.DUMMYFUNCTION("""COMPUTED_VALUE"""),-0.640035904614538)</f>
        <v>-0.64003590461453796</v>
      </c>
      <c r="DV151" s="3">
        <f ca="1">IFERROR(__xludf.DUMMYFUNCTION("""COMPUTED_VALUE"""),-0.637277958930569)</f>
        <v>-0.63727795893056904</v>
      </c>
      <c r="DW151" s="3">
        <f ca="1">IFERROR(__xludf.DUMMYFUNCTION("""COMPUTED_VALUE"""),-0.62320253324503)</f>
        <v>-0.62320253324503005</v>
      </c>
      <c r="DX151" s="3">
        <f ca="1">IFERROR(__xludf.DUMMYFUNCTION("""COMPUTED_VALUE"""),-0.655081817449066)</f>
        <v>-0.65508181744906602</v>
      </c>
      <c r="DY151" s="3">
        <f ca="1">IFERROR(__xludf.DUMMYFUNCTION("""COMPUTED_VALUE"""),-0.595504523052699)</f>
        <v>-0.59550452305269896</v>
      </c>
      <c r="DZ151" s="3">
        <f ca="1">IFERROR(__xludf.DUMMYFUNCTION("""COMPUTED_VALUE"""),-0.54643533548589)</f>
        <v>-0.54643533548588996</v>
      </c>
      <c r="EA151" s="3">
        <f ca="1">IFERROR(__xludf.DUMMYFUNCTION("""COMPUTED_VALUE"""),-0.59138350331984)</f>
        <v>-0.59138350331984002</v>
      </c>
      <c r="EB151" s="3">
        <f ca="1">IFERROR(__xludf.DUMMYFUNCTION("""COMPUTED_VALUE"""),-0.66002311212541)</f>
        <v>-0.66002311212540998</v>
      </c>
      <c r="EC151" s="3">
        <f ca="1">IFERROR(__xludf.DUMMYFUNCTION("""COMPUTED_VALUE"""),-0.627809649411554)</f>
        <v>-0.62780964941155404</v>
      </c>
      <c r="ED151" s="3">
        <f ca="1">IFERROR(__xludf.DUMMYFUNCTION("""COMPUTED_VALUE"""),-0.624325535007441)</f>
        <v>-0.62432553500744103</v>
      </c>
      <c r="EE151" s="3">
        <f ca="1">IFERROR(__xludf.DUMMYFUNCTION("""COMPUTED_VALUE"""),-0.640195129313154)</f>
        <v>-0.64019512931315403</v>
      </c>
      <c r="EF151" s="3">
        <f ca="1">IFERROR(__xludf.DUMMYFUNCTION("""COMPUTED_VALUE"""),-0.641245646437239)</f>
        <v>-0.64124564643723903</v>
      </c>
      <c r="EG151" s="3">
        <f ca="1">IFERROR(__xludf.DUMMYFUNCTION("""COMPUTED_VALUE"""),-0.554036632400782)</f>
        <v>-0.55403663240078205</v>
      </c>
      <c r="EH151" s="3">
        <f ca="1">IFERROR(__xludf.DUMMYFUNCTION("""COMPUTED_VALUE"""),-0.596636766040684)</f>
        <v>-0.59663676604068405</v>
      </c>
      <c r="EI151" s="3">
        <f ca="1">IFERROR(__xludf.DUMMYFUNCTION("""COMPUTED_VALUE"""),-0.642958235032124)</f>
        <v>-0.64295823503212401</v>
      </c>
      <c r="EJ151" s="3">
        <f ca="1">IFERROR(__xludf.DUMMYFUNCTION("""COMPUTED_VALUE"""),-0.640925528564558)</f>
        <v>-0.64092552856455798</v>
      </c>
      <c r="EK151" s="3">
        <f ca="1">IFERROR(__xludf.DUMMYFUNCTION("""COMPUTED_VALUE"""),-0.604995238973623)</f>
        <v>-0.60499523897362295</v>
      </c>
      <c r="EL151" s="3">
        <f ca="1">IFERROR(__xludf.DUMMYFUNCTION("""COMPUTED_VALUE"""),-0.644316924079435)</f>
        <v>-0.64431692407943497</v>
      </c>
      <c r="EM151" s="3">
        <f ca="1">IFERROR(__xludf.DUMMYFUNCTION("""COMPUTED_VALUE"""),-0.649126054665964)</f>
        <v>-0.64912605466596396</v>
      </c>
      <c r="EN151" s="3">
        <f ca="1">IFERROR(__xludf.DUMMYFUNCTION("""COMPUTED_VALUE"""),-0.594021177502745)</f>
        <v>-0.59402117750274497</v>
      </c>
      <c r="EO151" s="3">
        <f ca="1">IFERROR(__xludf.DUMMYFUNCTION("""COMPUTED_VALUE"""),-0.572361817882565)</f>
        <v>-0.57236181788256502</v>
      </c>
      <c r="EP151" s="3">
        <f ca="1">IFERROR(__xludf.DUMMYFUNCTION("""COMPUTED_VALUE"""),-0.637189809956849)</f>
        <v>-0.63718980995684904</v>
      </c>
      <c r="EQ151" s="3">
        <f ca="1">IFERROR(__xludf.DUMMYFUNCTION("""COMPUTED_VALUE"""),-0.623805904121449)</f>
        <v>-0.62380590412144898</v>
      </c>
      <c r="ER151" s="3">
        <f ca="1">IFERROR(__xludf.DUMMYFUNCTION("""COMPUTED_VALUE"""),-0.609885396238987)</f>
        <v>-0.60988539623898697</v>
      </c>
      <c r="ES151" s="3">
        <f ca="1">IFERROR(__xludf.DUMMYFUNCTION("""COMPUTED_VALUE"""),-0.631430038209772)</f>
        <v>-0.63143003820977195</v>
      </c>
      <c r="ET151" s="3">
        <f ca="1">IFERROR(__xludf.DUMMYFUNCTION("""COMPUTED_VALUE"""),-0.62736023687467)</f>
        <v>-0.62736023687467002</v>
      </c>
      <c r="EU151" s="3">
        <f ca="1">IFERROR(__xludf.DUMMYFUNCTION("""COMPUTED_VALUE"""),-0.576161370264706)</f>
        <v>-0.57616137026470604</v>
      </c>
      <c r="EV151" s="3">
        <f ca="1">IFERROR(__xludf.DUMMYFUNCTION("""COMPUTED_VALUE"""),-0.56376199157366)</f>
        <v>-0.56376199157366003</v>
      </c>
      <c r="EW151" s="3">
        <f ca="1">IFERROR(__xludf.DUMMYFUNCTION("""COMPUTED_VALUE"""),-0.618880843172443)</f>
        <v>-0.61888084317244296</v>
      </c>
      <c r="EX151" s="3">
        <f ca="1">IFERROR(__xludf.DUMMYFUNCTION("""COMPUTED_VALUE"""),-0.608703592272119)</f>
        <v>-0.60870359227211901</v>
      </c>
      <c r="EY151" s="3">
        <f ca="1">IFERROR(__xludf.DUMMYFUNCTION("""COMPUTED_VALUE"""),-0.558723816347572)</f>
        <v>-0.55872381634757196</v>
      </c>
      <c r="EZ151" s="3">
        <f ca="1">IFERROR(__xludf.DUMMYFUNCTION("""COMPUTED_VALUE"""),-0.594092029125118)</f>
        <v>-0.59409202912511805</v>
      </c>
      <c r="FA151" s="3">
        <f ca="1">IFERROR(__xludf.DUMMYFUNCTION("""COMPUTED_VALUE"""),-0.565162136745542)</f>
        <v>-0.56516213674554205</v>
      </c>
      <c r="FB151" s="3">
        <f ca="1">IFERROR(__xludf.DUMMYFUNCTION("""COMPUTED_VALUE"""),-0.490147559217312)</f>
        <v>-0.49014755921731201</v>
      </c>
      <c r="FC151" s="3">
        <f ca="1">IFERROR(__xludf.DUMMYFUNCTION("""COMPUTED_VALUE"""),-0.498700918641338)</f>
        <v>-0.49870091864133798</v>
      </c>
      <c r="FD151" s="3">
        <f ca="1">IFERROR(__xludf.DUMMYFUNCTION("""COMPUTED_VALUE"""),-0.579869570428235)</f>
        <v>-0.57986957042823495</v>
      </c>
      <c r="FE151" s="3">
        <f ca="1">IFERROR(__xludf.DUMMYFUNCTION("""COMPUTED_VALUE"""),-0.620397299851969)</f>
        <v>-0.62039729985196901</v>
      </c>
      <c r="FF151" s="3">
        <f ca="1">IFERROR(__xludf.DUMMYFUNCTION("""COMPUTED_VALUE"""),-0.582496482103324)</f>
        <v>-0.58249648210332405</v>
      </c>
      <c r="FG151" s="3">
        <f ca="1">IFERROR(__xludf.DUMMYFUNCTION("""COMPUTED_VALUE"""),-0.596762298031855)</f>
        <v>-0.59676229803185499</v>
      </c>
      <c r="FH151" s="3">
        <f ca="1">IFERROR(__xludf.DUMMYFUNCTION("""COMPUTED_VALUE"""),-0.596116908717805)</f>
        <v>-0.59611690871780498</v>
      </c>
      <c r="FI151" s="3">
        <f ca="1">IFERROR(__xludf.DUMMYFUNCTION("""COMPUTED_VALUE"""),-0.520946748469457)</f>
        <v>-0.52094674846945699</v>
      </c>
      <c r="FJ151" s="3">
        <f ca="1">IFERROR(__xludf.DUMMYFUNCTION("""COMPUTED_VALUE"""),-0.487738933617255)</f>
        <v>-0.48773893361725501</v>
      </c>
      <c r="FK151" s="3">
        <f ca="1">IFERROR(__xludf.DUMMYFUNCTION("""COMPUTED_VALUE"""),-0.580786592927048)</f>
        <v>-0.58078659292704804</v>
      </c>
      <c r="FL151" s="3">
        <f ca="1">IFERROR(__xludf.DUMMYFUNCTION("""COMPUTED_VALUE"""),-0.583690961401349)</f>
        <v>-0.58369096140134902</v>
      </c>
      <c r="FM151" s="3">
        <f ca="1">IFERROR(__xludf.DUMMYFUNCTION("""COMPUTED_VALUE"""),-0.568066108674724)</f>
        <v>-0.56806610867472396</v>
      </c>
      <c r="FN151" s="3">
        <f ca="1">IFERROR(__xludf.DUMMYFUNCTION("""COMPUTED_VALUE"""),-0.544602430012231)</f>
        <v>-0.54460243001223096</v>
      </c>
      <c r="FO151" s="3">
        <f ca="1">IFERROR(__xludf.DUMMYFUNCTION("""COMPUTED_VALUE"""),-0.559015948532256)</f>
        <v>-0.559015948532256</v>
      </c>
      <c r="FP151" s="3">
        <f ca="1">IFERROR(__xludf.DUMMYFUNCTION("""COMPUTED_VALUE"""),-0.492192753061595)</f>
        <v>-0.49219275306159499</v>
      </c>
      <c r="FQ151" s="3">
        <f ca="1">IFERROR(__xludf.DUMMYFUNCTION("""COMPUTED_VALUE"""),-0.554572566997555)</f>
        <v>-0.55457256699755497</v>
      </c>
      <c r="FR151" s="3">
        <f ca="1">IFERROR(__xludf.DUMMYFUNCTION("""COMPUTED_VALUE"""),-0.567794378715941)</f>
        <v>-0.56779437871594096</v>
      </c>
      <c r="FS151" s="3">
        <f ca="1">IFERROR(__xludf.DUMMYFUNCTION("""COMPUTED_VALUE"""),-0.609204567870967)</f>
        <v>-0.609204567870967</v>
      </c>
      <c r="FT151" s="3">
        <f ca="1">IFERROR(__xludf.DUMMYFUNCTION("""COMPUTED_VALUE"""),-0.5619859513329)</f>
        <v>-0.56198595133289997</v>
      </c>
      <c r="FU151" s="3">
        <f ca="1">IFERROR(__xludf.DUMMYFUNCTION("""COMPUTED_VALUE"""),-0.563579554990652)</f>
        <v>-0.56357955499065204</v>
      </c>
      <c r="FV151" s="3">
        <f ca="1">IFERROR(__xludf.DUMMYFUNCTION("""COMPUTED_VALUE"""),-0.521406430004098)</f>
        <v>-0.52140643000409803</v>
      </c>
      <c r="FW151" s="3">
        <f ca="1">IFERROR(__xludf.DUMMYFUNCTION("""COMPUTED_VALUE"""),-0.557403399101823)</f>
        <v>-0.55740339910182302</v>
      </c>
      <c r="FX151" s="3">
        <f ca="1">IFERROR(__xludf.DUMMYFUNCTION("""COMPUTED_VALUE"""),-0.510929529941666)</f>
        <v>-0.51092952994166596</v>
      </c>
      <c r="FY151" s="3">
        <f ca="1">IFERROR(__xludf.DUMMYFUNCTION("""COMPUTED_VALUE"""),-0.558683652202844)</f>
        <v>-0.55868365220284399</v>
      </c>
      <c r="FZ151" s="3">
        <f ca="1">IFERROR(__xludf.DUMMYFUNCTION("""COMPUTED_VALUE"""),-0.599208859833426)</f>
        <v>-0.59920885983342598</v>
      </c>
      <c r="GA151" s="3">
        <f ca="1">IFERROR(__xludf.DUMMYFUNCTION("""COMPUTED_VALUE"""),-0.546247581146627)</f>
        <v>-0.54624758114662697</v>
      </c>
      <c r="GB151" s="3">
        <f ca="1">IFERROR(__xludf.DUMMYFUNCTION("""COMPUTED_VALUE"""),-0.557021399409948)</f>
        <v>-0.55702139940994799</v>
      </c>
      <c r="GC151" s="3">
        <f ca="1">IFERROR(__xludf.DUMMYFUNCTION("""COMPUTED_VALUE"""),-0.66305780695456)</f>
        <v>-0.66305780695455996</v>
      </c>
      <c r="GD151" s="3">
        <f ca="1">IFERROR(__xludf.DUMMYFUNCTION("""COMPUTED_VALUE"""),-0.528751802701151)</f>
        <v>-0.52875180270115096</v>
      </c>
      <c r="GE151" s="3">
        <f ca="1">IFERROR(__xludf.DUMMYFUNCTION("""COMPUTED_VALUE"""),-0.557677390636209)</f>
        <v>-0.55767739063620902</v>
      </c>
      <c r="GF151" s="3">
        <f ca="1">IFERROR(__xludf.DUMMYFUNCTION("""COMPUTED_VALUE"""),-0.574247004672581)</f>
        <v>-0.57424700467258105</v>
      </c>
      <c r="GG151" s="3">
        <f ca="1">IFERROR(__xludf.DUMMYFUNCTION("""COMPUTED_VALUE"""),-0.590747642013689)</f>
        <v>-0.59074764201368901</v>
      </c>
      <c r="GH151" s="3">
        <f ca="1">IFERROR(__xludf.DUMMYFUNCTION("""COMPUTED_VALUE"""),-0.550934541164697)</f>
        <v>-0.55093454116469698</v>
      </c>
      <c r="GI151" s="3">
        <f ca="1">IFERROR(__xludf.DUMMYFUNCTION("""COMPUTED_VALUE"""),-0.57837638460318)</f>
        <v>-0.57837638460317997</v>
      </c>
      <c r="GJ151" s="3">
        <f ca="1">IFERROR(__xludf.DUMMYFUNCTION("""COMPUTED_VALUE"""),-0.495974944495226)</f>
        <v>-0.495974944495226</v>
      </c>
      <c r="GK151" s="3">
        <f ca="1">IFERROR(__xludf.DUMMYFUNCTION("""COMPUTED_VALUE"""),-0.536836741106316)</f>
        <v>-0.53683674110631596</v>
      </c>
      <c r="GL151" s="3">
        <f ca="1">IFERROR(__xludf.DUMMYFUNCTION("""COMPUTED_VALUE"""),-0.496091225881568)</f>
        <v>-0.49609122588156801</v>
      </c>
      <c r="GM151" s="3">
        <f ca="1">IFERROR(__xludf.DUMMYFUNCTION("""COMPUTED_VALUE"""),-0.591705912955601)</f>
        <v>-0.59170591295560104</v>
      </c>
      <c r="GN151" s="3">
        <f ca="1">IFERROR(__xludf.DUMMYFUNCTION("""COMPUTED_VALUE"""),-0.603734055583153)</f>
        <v>-0.60373405558315296</v>
      </c>
      <c r="GO151" s="3">
        <f ca="1">IFERROR(__xludf.DUMMYFUNCTION("""COMPUTED_VALUE"""),-0.577513552977032)</f>
        <v>-0.577513552977032</v>
      </c>
      <c r="GP151" s="3">
        <f ca="1">IFERROR(__xludf.DUMMYFUNCTION("""COMPUTED_VALUE"""),-0.582734218012947)</f>
        <v>-0.582734218012947</v>
      </c>
      <c r="GQ151" s="3">
        <f ca="1">IFERROR(__xludf.DUMMYFUNCTION("""COMPUTED_VALUE"""),-0.515918157257198)</f>
        <v>-0.51591815725719803</v>
      </c>
      <c r="GR151" s="3">
        <f ca="1">IFERROR(__xludf.DUMMYFUNCTION("""COMPUTED_VALUE"""),-0.498622203081124)</f>
        <v>-0.49862220308112398</v>
      </c>
      <c r="GS151" s="3">
        <f ca="1">IFERROR(__xludf.DUMMYFUNCTION("""COMPUTED_VALUE"""),-0.507376391503406)</f>
        <v>-0.50737639150340597</v>
      </c>
      <c r="GT151" s="3">
        <f ca="1">IFERROR(__xludf.DUMMYFUNCTION("""COMPUTED_VALUE"""),-0.574180138857848)</f>
        <v>-0.57418013885784802</v>
      </c>
      <c r="GU151" s="3">
        <f ca="1">IFERROR(__xludf.DUMMYFUNCTION("""COMPUTED_VALUE"""),-0.564724357816574)</f>
        <v>-0.56472435781657404</v>
      </c>
      <c r="GV151" s="3">
        <f ca="1">IFERROR(__xludf.DUMMYFUNCTION("""COMPUTED_VALUE"""),-0.560672490013004)</f>
        <v>-0.56067249001300401</v>
      </c>
      <c r="GW151" s="3">
        <f ca="1">IFERROR(__xludf.DUMMYFUNCTION("""COMPUTED_VALUE"""),-0.557928404903361)</f>
        <v>-0.55792840490336104</v>
      </c>
      <c r="GX151" s="3">
        <f ca="1">IFERROR(__xludf.DUMMYFUNCTION("""COMPUTED_VALUE"""),-0.545704602086139)</f>
        <v>-0.54570460208613902</v>
      </c>
      <c r="GY151" s="3">
        <f ca="1">IFERROR(__xludf.DUMMYFUNCTION("""COMPUTED_VALUE"""),-0.515217154553928)</f>
        <v>-0.51521715455392803</v>
      </c>
      <c r="GZ151" s="3">
        <f ca="1">IFERROR(__xludf.DUMMYFUNCTION("""COMPUTED_VALUE"""),-0.504926781733964)</f>
        <v>-0.50492678173396399</v>
      </c>
      <c r="HA151" s="3">
        <f ca="1">IFERROR(__xludf.DUMMYFUNCTION("""COMPUTED_VALUE"""),-0.574347058586632)</f>
        <v>-0.57434705858663204</v>
      </c>
      <c r="HB151" s="3">
        <f ca="1">IFERROR(__xludf.DUMMYFUNCTION("""COMPUTED_VALUE"""),-0.523023280342381)</f>
        <v>-0.52302328034238099</v>
      </c>
      <c r="HC151" s="3">
        <f ca="1">IFERROR(__xludf.DUMMYFUNCTION("""COMPUTED_VALUE"""),-0.536360708319571)</f>
        <v>-0.53636070831957094</v>
      </c>
      <c r="HD151" s="3">
        <f ca="1">IFERROR(__xludf.DUMMYFUNCTION("""COMPUTED_VALUE"""),-0.540760907596838)</f>
        <v>-0.54076090759683804</v>
      </c>
      <c r="HE151" s="3">
        <f ca="1">IFERROR(__xludf.DUMMYFUNCTION("""COMPUTED_VALUE"""),-0.530144202601813)</f>
        <v>-0.53014420260181305</v>
      </c>
      <c r="HF151" s="3">
        <f ca="1">IFERROR(__xludf.DUMMYFUNCTION("""COMPUTED_VALUE"""),-0.492778551419079)</f>
        <v>-0.492778551419079</v>
      </c>
      <c r="HG151" s="3">
        <f ca="1">IFERROR(__xludf.DUMMYFUNCTION("""COMPUTED_VALUE"""),-0.484283499483641)</f>
        <v>-0.48428349948364102</v>
      </c>
      <c r="HH151" s="3">
        <f ca="1">IFERROR(__xludf.DUMMYFUNCTION("""COMPUTED_VALUE"""),-0.569390824660085)</f>
        <v>-0.56939082466008495</v>
      </c>
      <c r="HI151" s="3">
        <f ca="1">IFERROR(__xludf.DUMMYFUNCTION("""COMPUTED_VALUE"""),-0.570419479566062)</f>
        <v>-0.57041947956606198</v>
      </c>
      <c r="HJ151" s="3">
        <f ca="1">IFERROR(__xludf.DUMMYFUNCTION("""COMPUTED_VALUE"""),-0.553475952761295)</f>
        <v>-0.55347595276129502</v>
      </c>
      <c r="HK151" s="3">
        <f ca="1">IFERROR(__xludf.DUMMYFUNCTION("""COMPUTED_VALUE"""),-0.580428275745872)</f>
        <v>-0.58042827574587197</v>
      </c>
      <c r="HL151" s="3">
        <f ca="1">IFERROR(__xludf.DUMMYFUNCTION("""COMPUTED_VALUE"""),-0.626792505488161)</f>
        <v>-0.62679250548816101</v>
      </c>
      <c r="HM151" s="3">
        <f ca="1">IFERROR(__xludf.DUMMYFUNCTION("""COMPUTED_VALUE"""),-0.432596104666411)</f>
        <v>-0.43259610466641102</v>
      </c>
      <c r="HN151" s="3">
        <f ca="1">IFERROR(__xludf.DUMMYFUNCTION("""COMPUTED_VALUE"""),-0.48898189347847)</f>
        <v>-0.48898189347846999</v>
      </c>
      <c r="HO151" s="3">
        <f ca="1">IFERROR(__xludf.DUMMYFUNCTION("""COMPUTED_VALUE"""),-0.605789988439753)</f>
        <v>-0.60578998843975296</v>
      </c>
      <c r="HP151" s="3">
        <f ca="1">IFERROR(__xludf.DUMMYFUNCTION("""COMPUTED_VALUE"""),-0.581926326894635)</f>
        <v>-0.58192632689463497</v>
      </c>
      <c r="HQ151" s="3">
        <f ca="1">IFERROR(__xludf.DUMMYFUNCTION("""COMPUTED_VALUE"""),-0.581871522170722)</f>
        <v>-0.58187152217072202</v>
      </c>
      <c r="HR151" s="3">
        <f ca="1">IFERROR(__xludf.DUMMYFUNCTION("""COMPUTED_VALUE"""),-0.52479783968267)</f>
        <v>-0.52479783968267002</v>
      </c>
      <c r="HS151" s="3">
        <f ca="1">IFERROR(__xludf.DUMMYFUNCTION("""COMPUTED_VALUE"""),-0.461981919358789)</f>
        <v>-0.46198191935878902</v>
      </c>
      <c r="HT151" s="3">
        <f ca="1">IFERROR(__xludf.DUMMYFUNCTION("""COMPUTED_VALUE"""),-0.444773445554638)</f>
        <v>-0.44477344555463799</v>
      </c>
      <c r="HU151" s="3">
        <f ca="1">IFERROR(__xludf.DUMMYFUNCTION("""COMPUTED_VALUE"""),-0.494264872749147)</f>
        <v>-0.49426487274914699</v>
      </c>
      <c r="HV151" s="3">
        <f ca="1">IFERROR(__xludf.DUMMYFUNCTION("""COMPUTED_VALUE"""),-0.548586603417112)</f>
        <v>-0.54858660341711196</v>
      </c>
      <c r="HW151" s="3">
        <f ca="1">IFERROR(__xludf.DUMMYFUNCTION("""COMPUTED_VALUE"""),-0.558338926313172)</f>
        <v>-0.55833892631317195</v>
      </c>
      <c r="HX151" s="3">
        <f ca="1">IFERROR(__xludf.DUMMYFUNCTION("""COMPUTED_VALUE"""),-0.564677834783613)</f>
        <v>-0.564677834783613</v>
      </c>
      <c r="HY151" s="3">
        <f ca="1">IFERROR(__xludf.DUMMYFUNCTION("""COMPUTED_VALUE"""),-0.525020716503866)</f>
        <v>-0.52502071650386595</v>
      </c>
      <c r="HZ151" s="3">
        <f ca="1">IFERROR(__xludf.DUMMYFUNCTION("""COMPUTED_VALUE"""),-0.395767692989733)</f>
        <v>-0.39576769298973302</v>
      </c>
      <c r="IA151" s="3">
        <f ca="1">IFERROR(__xludf.DUMMYFUNCTION("""COMPUTED_VALUE"""),-0.399510939408786)</f>
        <v>-0.39951093940878601</v>
      </c>
      <c r="IB151" s="3">
        <f ca="1">IFERROR(__xludf.DUMMYFUNCTION("""COMPUTED_VALUE"""),-0.425960059812853)</f>
        <v>-0.42596005981285301</v>
      </c>
      <c r="IC151" s="3">
        <f ca="1">IFERROR(__xludf.DUMMYFUNCTION("""COMPUTED_VALUE"""),-0.474788023007196)</f>
        <v>-0.47478802300719603</v>
      </c>
      <c r="ID151" s="3">
        <f ca="1">IFERROR(__xludf.DUMMYFUNCTION("""COMPUTED_VALUE"""),-0.464195444499745)</f>
        <v>-0.46419544449974498</v>
      </c>
      <c r="IE151" s="3">
        <f ca="1">IFERROR(__xludf.DUMMYFUNCTION("""COMPUTED_VALUE"""),-0.453054052030272)</f>
        <v>-0.45305405203027199</v>
      </c>
      <c r="IF151" s="3">
        <f ca="1">IFERROR(__xludf.DUMMYFUNCTION("""COMPUTED_VALUE"""),-0.480256570651295)</f>
        <v>-0.48025657065129501</v>
      </c>
      <c r="IG151" s="3">
        <f ca="1">IFERROR(__xludf.DUMMYFUNCTION("""COMPUTED_VALUE"""),-0.490810439745258)</f>
        <v>-0.49081043974525801</v>
      </c>
      <c r="IH151" s="3">
        <f ca="1">IFERROR(__xludf.DUMMYFUNCTION("""COMPUTED_VALUE"""),-0.427223846603476)</f>
        <v>-0.42722384660347601</v>
      </c>
      <c r="II151" s="3">
        <f ca="1">IFERROR(__xludf.DUMMYFUNCTION("""COMPUTED_VALUE"""),-0.415114871907145)</f>
        <v>-0.41511487190714502</v>
      </c>
      <c r="IJ151" s="3">
        <f ca="1">IFERROR(__xludf.DUMMYFUNCTION("""COMPUTED_VALUE"""),-0.463189449994581)</f>
        <v>-0.463189449994581</v>
      </c>
      <c r="IK151" s="3">
        <f ca="1">IFERROR(__xludf.DUMMYFUNCTION("""COMPUTED_VALUE"""),-0.429163604683227)</f>
        <v>-0.42916360468322701</v>
      </c>
      <c r="IL151" s="3">
        <f ca="1">IFERROR(__xludf.DUMMYFUNCTION("""COMPUTED_VALUE"""),-0.409635221977253)</f>
        <v>-0.40963522197725299</v>
      </c>
      <c r="IM151" s="3">
        <f ca="1">IFERROR(__xludf.DUMMYFUNCTION("""COMPUTED_VALUE"""),-0.420036277894396)</f>
        <v>-0.42003627789439602</v>
      </c>
      <c r="IN151" s="3">
        <f ca="1">IFERROR(__xludf.DUMMYFUNCTION("""COMPUTED_VALUE"""),-0.365900656160124)</f>
        <v>-0.36590065616012402</v>
      </c>
      <c r="IO151" s="3">
        <f ca="1">IFERROR(__xludf.DUMMYFUNCTION("""COMPUTED_VALUE"""),-0.361508042422169)</f>
        <v>-0.361508042422169</v>
      </c>
      <c r="IP151" s="3">
        <f ca="1">IFERROR(__xludf.DUMMYFUNCTION("""COMPUTED_VALUE"""),-0.441689561583615)</f>
        <v>-0.441689561583615</v>
      </c>
      <c r="IQ151" s="3">
        <f ca="1">IFERROR(__xludf.DUMMYFUNCTION("""COMPUTED_VALUE"""),-0.472381666056527)</f>
        <v>-0.47238166605652698</v>
      </c>
      <c r="IR151" s="3">
        <f ca="1">IFERROR(__xludf.DUMMYFUNCTION("""COMPUTED_VALUE"""),-0.480853966689014)</f>
        <v>-0.48085396668901398</v>
      </c>
      <c r="IS151" s="3">
        <f ca="1">IFERROR(__xludf.DUMMYFUNCTION("""COMPUTED_VALUE"""),-0.474374164897123)</f>
        <v>-0.47437416489712297</v>
      </c>
      <c r="IT151" s="3">
        <f ca="1">IFERROR(__xludf.DUMMYFUNCTION("""COMPUTED_VALUE"""),-0.507107751879668)</f>
        <v>-0.50710775187966795</v>
      </c>
      <c r="IU151" s="3">
        <f ca="1">IFERROR(__xludf.DUMMYFUNCTION("""COMPUTED_VALUE"""),-0.515885188056644)</f>
        <v>-0.51588518805664396</v>
      </c>
      <c r="IV151" s="3">
        <f ca="1">IFERROR(__xludf.DUMMYFUNCTION("""COMPUTED_VALUE"""),-0.46167676959799)</f>
        <v>-0.46167676959798998</v>
      </c>
      <c r="IW151" s="3">
        <f ca="1">IFERROR(__xludf.DUMMYFUNCTION("""COMPUTED_VALUE"""),-0.473222800686132)</f>
        <v>-0.47322280068613198</v>
      </c>
      <c r="IX151" s="3">
        <f ca="1">IFERROR(__xludf.DUMMYFUNCTION("""COMPUTED_VALUE"""),-0.441264981509306)</f>
        <v>-0.44126498150930599</v>
      </c>
      <c r="IY151" s="3">
        <f ca="1">IFERROR(__xludf.DUMMYFUNCTION("""COMPUTED_VALUE"""),-0.496354243921577)</f>
        <v>-0.49635424392157701</v>
      </c>
      <c r="IZ151" s="3">
        <f ca="1">IFERROR(__xludf.DUMMYFUNCTION("""COMPUTED_VALUE"""),-0.508381301985404)</f>
        <v>-0.50838130198540399</v>
      </c>
      <c r="JA151" s="3">
        <f ca="1">IFERROR(__xludf.DUMMYFUNCTION("""COMPUTED_VALUE"""),-0.455014897355712)</f>
        <v>-0.45501489735571199</v>
      </c>
      <c r="JB151" s="3">
        <f ca="1">IFERROR(__xludf.DUMMYFUNCTION("""COMPUTED_VALUE"""),-0.423213846178485)</f>
        <v>-0.42321384617848501</v>
      </c>
      <c r="JC151" s="3">
        <f ca="1">IFERROR(__xludf.DUMMYFUNCTION("""COMPUTED_VALUE"""),-0.410845193792719)</f>
        <v>-0.410845193792719</v>
      </c>
      <c r="JD151" s="3">
        <f ca="1">IFERROR(__xludf.DUMMYFUNCTION("""COMPUTED_VALUE"""),-0.419384338756354)</f>
        <v>-0.419384338756354</v>
      </c>
      <c r="JE151" s="3">
        <f ca="1">IFERROR(__xludf.DUMMYFUNCTION("""COMPUTED_VALUE"""),-0.44663480262562)</f>
        <v>-0.44663480262562</v>
      </c>
      <c r="JF151" s="3">
        <f ca="1">IFERROR(__xludf.DUMMYFUNCTION("""COMPUTED_VALUE"""),-0.496293269010906)</f>
        <v>-0.49629326901090598</v>
      </c>
      <c r="JG151" s="3">
        <f ca="1">IFERROR(__xludf.DUMMYFUNCTION("""COMPUTED_VALUE"""),-0.539190159684382)</f>
        <v>-0.539190159684382</v>
      </c>
      <c r="JH151" s="3">
        <f ca="1">IFERROR(__xludf.DUMMYFUNCTION("""COMPUTED_VALUE"""),-0.482294325529352)</f>
        <v>-0.48229432552935197</v>
      </c>
      <c r="JI151" s="3">
        <f ca="1">IFERROR(__xludf.DUMMYFUNCTION("""COMPUTED_VALUE"""),-0.476592003784601)</f>
        <v>-0.47659200378460098</v>
      </c>
      <c r="JJ151" s="3">
        <f ca="1">IFERROR(__xludf.DUMMYFUNCTION("""COMPUTED_VALUE"""),-0.521605491128859)</f>
        <v>-0.52160549112885901</v>
      </c>
      <c r="JK151" s="3">
        <f ca="1">IFERROR(__xludf.DUMMYFUNCTION("""COMPUTED_VALUE"""),-0.496418877146572)</f>
        <v>-0.49641887714657201</v>
      </c>
      <c r="JL151" s="3">
        <f ca="1">IFERROR(__xludf.DUMMYFUNCTION("""COMPUTED_VALUE"""),-0.499635493352415)</f>
        <v>-0.49963549335241503</v>
      </c>
      <c r="JM151" s="3">
        <f ca="1">IFERROR(__xludf.DUMMYFUNCTION("""COMPUTED_VALUE"""),-0.564869219624989)</f>
        <v>-0.56486921962498904</v>
      </c>
      <c r="JN151" s="3">
        <f ca="1">IFERROR(__xludf.DUMMYFUNCTION("""COMPUTED_VALUE"""),-0.528004143611943)</f>
        <v>-0.52800414361194303</v>
      </c>
      <c r="JO151" s="3">
        <f ca="1">IFERROR(__xludf.DUMMYFUNCTION("""COMPUTED_VALUE"""),-0.522953408136481)</f>
        <v>-0.52295340813648095</v>
      </c>
      <c r="JP151" s="3">
        <f ca="1">IFERROR(__xludf.DUMMYFUNCTION("""COMPUTED_VALUE"""),-0.51165940319727)</f>
        <v>-0.51165940319726999</v>
      </c>
      <c r="JQ151" s="3">
        <f ca="1">IFERROR(__xludf.DUMMYFUNCTION("""COMPUTED_VALUE"""),-0.513752564901167)</f>
        <v>-0.51375256490116705</v>
      </c>
      <c r="JR151" s="3">
        <f ca="1">IFERROR(__xludf.DUMMYFUNCTION("""COMPUTED_VALUE"""),-0.570655297681042)</f>
        <v>-0.57065529768104195</v>
      </c>
      <c r="JS151" s="3">
        <f ca="1">IFERROR(__xludf.DUMMYFUNCTION("""COMPUTED_VALUE"""),-0.542516992979558)</f>
        <v>-0.54251699297955802</v>
      </c>
      <c r="JT151" s="3">
        <f ca="1">IFERROR(__xludf.DUMMYFUNCTION("""COMPUTED_VALUE"""),-0.574283761553702)</f>
        <v>-0.57428376155370198</v>
      </c>
      <c r="JU151" s="3">
        <f ca="1">IFERROR(__xludf.DUMMYFUNCTION("""COMPUTED_VALUE"""),-0.54391829399621)</f>
        <v>-0.54391829399620995</v>
      </c>
      <c r="JV151" s="3">
        <f ca="1">IFERROR(__xludf.DUMMYFUNCTION("""COMPUTED_VALUE"""),-0.55748877190133)</f>
        <v>-0.55748877190132995</v>
      </c>
      <c r="JW151" s="3">
        <f ca="1">IFERROR(__xludf.DUMMYFUNCTION("""COMPUTED_VALUE"""),-0.515688203341206)</f>
        <v>-0.51568820334120602</v>
      </c>
      <c r="JX151" s="3">
        <f ca="1">IFERROR(__xludf.DUMMYFUNCTION("""COMPUTED_VALUE"""),-0.46177943117109)</f>
        <v>-0.46177943117108999</v>
      </c>
      <c r="JY151" s="3">
        <f ca="1">IFERROR(__xludf.DUMMYFUNCTION("""COMPUTED_VALUE"""),-0.51452682957924)</f>
        <v>-0.51452682957924001</v>
      </c>
      <c r="JZ151" s="3">
        <f ca="1">IFERROR(__xludf.DUMMYFUNCTION("""COMPUTED_VALUE"""),-0.544337215969568)</f>
        <v>-0.54433721596956797</v>
      </c>
      <c r="KA151" s="3">
        <f ca="1">IFERROR(__xludf.DUMMYFUNCTION("""COMPUTED_VALUE"""),-0.578719949958139)</f>
        <v>-0.57871994995813902</v>
      </c>
      <c r="KB151" s="3">
        <f ca="1">IFERROR(__xludf.DUMMYFUNCTION("""COMPUTED_VALUE"""),-0.635746902697687)</f>
        <v>-0.63574690269768697</v>
      </c>
      <c r="KC151" s="3">
        <f ca="1">IFERROR(__xludf.DUMMYFUNCTION("""COMPUTED_VALUE"""),-0.496120398820977)</f>
        <v>-0.49612039882097703</v>
      </c>
      <c r="KD151" s="3">
        <f ca="1">IFERROR(__xludf.DUMMYFUNCTION("""COMPUTED_VALUE"""),-0.471600042189296)</f>
        <v>-0.47160004218929602</v>
      </c>
      <c r="KE151" s="3">
        <f ca="1">IFERROR(__xludf.DUMMYFUNCTION("""COMPUTED_VALUE"""),-0.457430617240049)</f>
        <v>-0.45743061724004902</v>
      </c>
      <c r="KF151" s="3">
        <f ca="1">IFERROR(__xludf.DUMMYFUNCTION("""COMPUTED_VALUE"""),-0.512280473364836)</f>
        <v>-0.51228047336483595</v>
      </c>
      <c r="KG151" s="3">
        <f ca="1">IFERROR(__xludf.DUMMYFUNCTION("""COMPUTED_VALUE"""),-0.587219861242125)</f>
        <v>-0.587219861242125</v>
      </c>
      <c r="KH151" s="3">
        <f ca="1">IFERROR(__xludf.DUMMYFUNCTION("""COMPUTED_VALUE"""),-0.622440860006531)</f>
        <v>-0.62244086000653098</v>
      </c>
      <c r="KI151" s="3">
        <f ca="1">IFERROR(__xludf.DUMMYFUNCTION("""COMPUTED_VALUE"""),-0.596173753754874)</f>
        <v>-0.59617375375487403</v>
      </c>
      <c r="KJ151" s="3">
        <f ca="1">IFERROR(__xludf.DUMMYFUNCTION("""COMPUTED_VALUE"""),-0.646477009804455)</f>
        <v>-0.64647700980445499</v>
      </c>
      <c r="KK151" s="3">
        <f ca="1">IFERROR(__xludf.DUMMYFUNCTION("""COMPUTED_VALUE"""),-0.587798571892435)</f>
        <v>-0.58779857189243501</v>
      </c>
      <c r="KL151" s="3">
        <f ca="1">IFERROR(__xludf.DUMMYFUNCTION("""COMPUTED_VALUE"""),-0.556871949716657)</f>
        <v>-0.55687194971665699</v>
      </c>
      <c r="KM151" s="3">
        <f ca="1">IFERROR(__xludf.DUMMYFUNCTION("""COMPUTED_VALUE"""),-0.539203069622353)</f>
        <v>-0.53920306962235298</v>
      </c>
      <c r="KN151" s="3">
        <f ca="1">IFERROR(__xludf.DUMMYFUNCTION("""COMPUTED_VALUE"""),-0.633949068609628)</f>
        <v>-0.63394906860962796</v>
      </c>
      <c r="KO151" s="3">
        <f ca="1">IFERROR(__xludf.DUMMYFUNCTION("""COMPUTED_VALUE"""),-0.649865311623558)</f>
        <v>-0.64986531162355798</v>
      </c>
      <c r="KP151" s="3">
        <f ca="1">IFERROR(__xludf.DUMMYFUNCTION("""COMPUTED_VALUE"""),-0.680062710926769)</f>
        <v>-0.68006271092676895</v>
      </c>
      <c r="KQ151" s="3">
        <f ca="1">IFERROR(__xludf.DUMMYFUNCTION("""COMPUTED_VALUE"""),-0.63926428768956)</f>
        <v>-0.63926428768956001</v>
      </c>
      <c r="KR151" s="3">
        <f ca="1">IFERROR(__xludf.DUMMYFUNCTION("""COMPUTED_VALUE"""),-0.596278739909899)</f>
        <v>-0.59627873990989899</v>
      </c>
      <c r="KS151" s="3">
        <f ca="1">IFERROR(__xludf.DUMMYFUNCTION("""COMPUTED_VALUE"""),-0.580720219738372)</f>
        <v>-0.58072021973837196</v>
      </c>
      <c r="KT151" s="3">
        <f ca="1">IFERROR(__xludf.DUMMYFUNCTION("""COMPUTED_VALUE"""),-0.669128775291658)</f>
        <v>-0.66912877529165804</v>
      </c>
      <c r="KU151" s="3">
        <f ca="1">IFERROR(__xludf.DUMMYFUNCTION("""COMPUTED_VALUE"""),-0.673179596859053)</f>
        <v>-0.67317959685905304</v>
      </c>
      <c r="KV151" s="3">
        <f ca="1">IFERROR(__xludf.DUMMYFUNCTION("""COMPUTED_VALUE"""),-0.687006033505603)</f>
        <v>-0.68700603350560296</v>
      </c>
      <c r="KW151" s="3">
        <f ca="1">IFERROR(__xludf.DUMMYFUNCTION("""COMPUTED_VALUE"""),-0.658782091672596)</f>
        <v>-0.65878209167259605</v>
      </c>
      <c r="KX151" s="3">
        <f ca="1">IFERROR(__xludf.DUMMYFUNCTION("""COMPUTED_VALUE"""),-0.646629961841185)</f>
        <v>-0.64662996184118504</v>
      </c>
      <c r="KY151" s="3">
        <f ca="1">IFERROR(__xludf.DUMMYFUNCTION("""COMPUTED_VALUE"""),-0.616707540584941)</f>
        <v>-0.61670754058494104</v>
      </c>
      <c r="KZ151" s="3">
        <f ca="1">IFERROR(__xludf.DUMMYFUNCTION("""COMPUTED_VALUE"""),-0.588329775865786)</f>
        <v>-0.58832977586578605</v>
      </c>
      <c r="LA151" s="3">
        <f ca="1">IFERROR(__xludf.DUMMYFUNCTION("""COMPUTED_VALUE"""),-0.629469695753507)</f>
        <v>-0.62946969575350697</v>
      </c>
      <c r="LB151" s="3">
        <f ca="1">IFERROR(__xludf.DUMMYFUNCTION("""COMPUTED_VALUE"""),-0.675268090121139)</f>
        <v>-0.67526809012113898</v>
      </c>
      <c r="LC151" s="3">
        <f ca="1">IFERROR(__xludf.DUMMYFUNCTION("""COMPUTED_VALUE"""),-0.651456985166137)</f>
        <v>-0.65145698516613704</v>
      </c>
      <c r="LD151" s="3">
        <f ca="1">IFERROR(__xludf.DUMMYFUNCTION("""COMPUTED_VALUE"""),-0.675558601372802)</f>
        <v>-0.67555860137280199</v>
      </c>
      <c r="LE151" s="3">
        <f ca="1">IFERROR(__xludf.DUMMYFUNCTION("""COMPUTED_VALUE"""),-0.649894365475462)</f>
        <v>-0.64989436547546198</v>
      </c>
      <c r="LF151" s="3">
        <f ca="1">IFERROR(__xludf.DUMMYFUNCTION("""COMPUTED_VALUE"""),-0.608100232016733)</f>
        <v>-0.60810023201673302</v>
      </c>
      <c r="LG151" s="3">
        <f ca="1">IFERROR(__xludf.DUMMYFUNCTION("""COMPUTED_VALUE"""),-0.601178599750527)</f>
        <v>-0.60117859975052701</v>
      </c>
      <c r="LH151" s="3">
        <f ca="1">IFERROR(__xludf.DUMMYFUNCTION("""COMPUTED_VALUE"""),-0.63691328564291)</f>
        <v>-0.63691328564291005</v>
      </c>
      <c r="LI151" s="3">
        <f ca="1">IFERROR(__xludf.DUMMYFUNCTION("""COMPUTED_VALUE"""),-0.723553390406087)</f>
        <v>-0.72355339040608702</v>
      </c>
      <c r="LJ151" s="3">
        <f ca="1">IFERROR(__xludf.DUMMYFUNCTION("""COMPUTED_VALUE"""),-0.715669078643934)</f>
        <v>-0.71566907864393403</v>
      </c>
      <c r="LK151" s="3">
        <f ca="1">IFERROR(__xludf.DUMMYFUNCTION("""COMPUTED_VALUE"""),-0.661319218808712)</f>
        <v>-0.66131921880871203</v>
      </c>
      <c r="LL151" s="3">
        <f ca="1">IFERROR(__xludf.DUMMYFUNCTION("""COMPUTED_VALUE"""),-0.687031969225944)</f>
        <v>-0.68703196922594401</v>
      </c>
      <c r="LM151" s="3">
        <f ca="1">IFERROR(__xludf.DUMMYFUNCTION("""COMPUTED_VALUE"""),-0.581535619569491)</f>
        <v>-0.58153561956949096</v>
      </c>
      <c r="LN151" s="3">
        <f ca="1">IFERROR(__xludf.DUMMYFUNCTION("""COMPUTED_VALUE"""),-0.626758387978658)</f>
        <v>-0.62675838797865802</v>
      </c>
      <c r="LO151" s="3">
        <f ca="1">IFERROR(__xludf.DUMMYFUNCTION("""COMPUTED_VALUE"""),-0.680255158658693)</f>
        <v>-0.68025515865869302</v>
      </c>
      <c r="LP151" s="3">
        <f ca="1">IFERROR(__xludf.DUMMYFUNCTION("""COMPUTED_VALUE"""),-0.718784375559213)</f>
        <v>-0.71878437555921304</v>
      </c>
      <c r="LQ151" s="3">
        <f ca="1">IFERROR(__xludf.DUMMYFUNCTION("""COMPUTED_VALUE"""),-0.724106439210186)</f>
        <v>-0.72410643921018603</v>
      </c>
      <c r="LR151" s="3">
        <f ca="1">IFERROR(__xludf.DUMMYFUNCTION("""COMPUTED_VALUE"""),-0.713056009980553)</f>
        <v>-0.71305600998055296</v>
      </c>
      <c r="LS151" s="3">
        <f ca="1">IFERROR(__xludf.DUMMYFUNCTION("""COMPUTED_VALUE"""),-0.710991181684697)</f>
        <v>-0.71099118168469699</v>
      </c>
      <c r="LT151" s="3">
        <f ca="1">IFERROR(__xludf.DUMMYFUNCTION("""COMPUTED_VALUE"""),-0.732207457447626)</f>
        <v>-0.73220745744762605</v>
      </c>
      <c r="LU151" s="3">
        <f ca="1">IFERROR(__xludf.DUMMYFUNCTION("""COMPUTED_VALUE"""),-0.681906819851693)</f>
        <v>-0.68190681985169299</v>
      </c>
      <c r="LV151" s="3">
        <f ca="1">IFERROR(__xludf.DUMMYFUNCTION("""COMPUTED_VALUE"""),-0.690106849923082)</f>
        <v>-0.69010684992308202</v>
      </c>
      <c r="LW151" s="3">
        <f ca="1">IFERROR(__xludf.DUMMYFUNCTION("""COMPUTED_VALUE"""),-0.758185249230434)</f>
        <v>-0.75818524923043396</v>
      </c>
      <c r="LX151" s="3">
        <f ca="1">IFERROR(__xludf.DUMMYFUNCTION("""COMPUTED_VALUE"""),-0.774125723579061)</f>
        <v>-0.77412572357906095</v>
      </c>
      <c r="LY151" s="3">
        <f ca="1">IFERROR(__xludf.DUMMYFUNCTION("""COMPUTED_VALUE"""),-0.758707391374385)</f>
        <v>-0.75870739137438503</v>
      </c>
      <c r="LZ151" s="3">
        <f ca="1">IFERROR(__xludf.DUMMYFUNCTION("""COMPUTED_VALUE"""),-0.780584079446893)</f>
        <v>-0.78058407944689301</v>
      </c>
      <c r="MA151" s="3">
        <f ca="1">IFERROR(__xludf.DUMMYFUNCTION("""COMPUTED_VALUE"""),-0.722046483055756)</f>
        <v>-0.72204648305575603</v>
      </c>
      <c r="MB151" s="3">
        <f ca="1">IFERROR(__xludf.DUMMYFUNCTION("""COMPUTED_VALUE"""),-0.69278395312339)</f>
        <v>-0.69278395312339003</v>
      </c>
      <c r="MC151" s="3">
        <f ca="1">IFERROR(__xludf.DUMMYFUNCTION("""COMPUTED_VALUE"""),-0.779655902632967)</f>
        <v>-0.77965590263296702</v>
      </c>
      <c r="MD151" s="3">
        <f ca="1">IFERROR(__xludf.DUMMYFUNCTION("""COMPUTED_VALUE"""),-0.804152405174219)</f>
        <v>-0.80415240517421904</v>
      </c>
      <c r="ME151" s="3">
        <f ca="1">IFERROR(__xludf.DUMMYFUNCTION("""COMPUTED_VALUE"""),-0.772469943053572)</f>
        <v>-0.77246994305357197</v>
      </c>
      <c r="MF151" s="3">
        <f ca="1">IFERROR(__xludf.DUMMYFUNCTION("""COMPUTED_VALUE"""),-0.774756916314496)</f>
        <v>-0.77475691631449595</v>
      </c>
      <c r="MG151" s="3">
        <f ca="1">IFERROR(__xludf.DUMMYFUNCTION("""COMPUTED_VALUE"""),-0.77940867956192)</f>
        <v>-0.77940867956191995</v>
      </c>
      <c r="MH151" s="3">
        <f ca="1">IFERROR(__xludf.DUMMYFUNCTION("""COMPUTED_VALUE"""),-0.783386780628127)</f>
        <v>-0.78338678062812706</v>
      </c>
      <c r="MI151" s="3">
        <f ca="1">IFERROR(__xludf.DUMMYFUNCTION("""COMPUTED_VALUE"""),-0.726234517762285)</f>
        <v>-0.72623451776228498</v>
      </c>
      <c r="MJ151" s="3">
        <f ca="1">IFERROR(__xludf.DUMMYFUNCTION("""COMPUTED_VALUE"""),-0.784336379238014)</f>
        <v>-0.78433637923801403</v>
      </c>
      <c r="MK151" s="3">
        <f ca="1">IFERROR(__xludf.DUMMYFUNCTION("""COMPUTED_VALUE"""),-0.78728268764056)</f>
        <v>-0.78728268764055997</v>
      </c>
      <c r="ML151" s="3">
        <f ca="1">IFERROR(__xludf.DUMMYFUNCTION("""COMPUTED_VALUE"""),-0.805839845988974)</f>
        <v>-0.80583984598897396</v>
      </c>
      <c r="MM151" s="3">
        <f ca="1">IFERROR(__xludf.DUMMYFUNCTION("""COMPUTED_VALUE"""),-0.784866718628595)</f>
        <v>-0.78486671862859503</v>
      </c>
      <c r="MN151" s="3">
        <f ca="1">IFERROR(__xludf.DUMMYFUNCTION("""COMPUTED_VALUE"""),-0.789674280215988)</f>
        <v>-0.78967428021598796</v>
      </c>
      <c r="MO151" s="3">
        <f ca="1">IFERROR(__xludf.DUMMYFUNCTION("""COMPUTED_VALUE"""),-0.762020775618483)</f>
        <v>-0.76202077561848303</v>
      </c>
      <c r="MP151" s="3">
        <f ca="1">IFERROR(__xludf.DUMMYFUNCTION("""COMPUTED_VALUE"""),-0.756038032494067)</f>
        <v>-0.75603803249406698</v>
      </c>
      <c r="MQ151" s="3">
        <f ca="1">IFERROR(__xludf.DUMMYFUNCTION("""COMPUTED_VALUE"""),-0.802686918172047)</f>
        <v>-0.80268691817204696</v>
      </c>
      <c r="MR151" s="3">
        <f ca="1">IFERROR(__xludf.DUMMYFUNCTION("""COMPUTED_VALUE"""),-0.799784078190865)</f>
        <v>-0.79978407819086506</v>
      </c>
      <c r="MS151" s="3">
        <f ca="1">IFERROR(__xludf.DUMMYFUNCTION("""COMPUTED_VALUE"""),-0.814326908544538)</f>
        <v>-0.81432690854453804</v>
      </c>
      <c r="MT151" s="3">
        <f ca="1">IFERROR(__xludf.DUMMYFUNCTION("""COMPUTED_VALUE"""),-0.798182973347469)</f>
        <v>-0.79818297334746902</v>
      </c>
      <c r="MU151" s="3">
        <f ca="1">IFERROR(__xludf.DUMMYFUNCTION("""COMPUTED_VALUE"""),-0.816716482279092)</f>
        <v>-0.81671648227909199</v>
      </c>
      <c r="MV151" s="3">
        <f ca="1">IFERROR(__xludf.DUMMYFUNCTION("""COMPUTED_VALUE"""),-0.754758534394156)</f>
        <v>-0.75475853439415597</v>
      </c>
      <c r="MW151" s="3">
        <f ca="1">IFERROR(__xludf.DUMMYFUNCTION("""COMPUTED_VALUE"""),-0.749258113231251)</f>
        <v>-0.74925811323125102</v>
      </c>
      <c r="MX151" s="3">
        <f ca="1">IFERROR(__xludf.DUMMYFUNCTION("""COMPUTED_VALUE"""),-0.79205408484486)</f>
        <v>-0.79205408484485995</v>
      </c>
      <c r="MY151" s="3">
        <f ca="1">IFERROR(__xludf.DUMMYFUNCTION("""COMPUTED_VALUE"""),-0.772902391499991)</f>
        <v>-0.77290239149999096</v>
      </c>
      <c r="MZ151" s="3">
        <f ca="1">IFERROR(__xludf.DUMMYFUNCTION("""COMPUTED_VALUE"""),-0.821302610960184)</f>
        <v>-0.82130261096018398</v>
      </c>
      <c r="NA151" s="3">
        <f ca="1">IFERROR(__xludf.DUMMYFUNCTION("""COMPUTED_VALUE"""),-0.805117356745577)</f>
        <v>-0.80511735674557705</v>
      </c>
      <c r="NB151" s="3">
        <f ca="1">IFERROR(__xludf.DUMMYFUNCTION("""COMPUTED_VALUE"""),-0.795175594024327)</f>
        <v>-0.79517559402432703</v>
      </c>
      <c r="NC151" s="3">
        <f ca="1">IFERROR(__xludf.DUMMYFUNCTION("""COMPUTED_VALUE"""),-0.751227968416949)</f>
        <v>-0.75122796841694905</v>
      </c>
      <c r="ND151" s="3">
        <f ca="1">IFERROR(__xludf.DUMMYFUNCTION("""COMPUTED_VALUE"""),-0.767321875540964)</f>
        <v>-0.76732187554096398</v>
      </c>
      <c r="NE151" s="3">
        <f ca="1">IFERROR(__xludf.DUMMYFUNCTION("""COMPUTED_VALUE"""),-0.737917713133333)</f>
        <v>-0.73791771313333299</v>
      </c>
      <c r="NF151" s="3">
        <f ca="1">IFERROR(__xludf.DUMMYFUNCTION("""COMPUTED_VALUE"""),-0.790196354146823)</f>
        <v>-0.79019635414682299</v>
      </c>
      <c r="NG151" s="3">
        <f ca="1">IFERROR(__xludf.DUMMYFUNCTION("""COMPUTED_VALUE"""),-0.765462197458987)</f>
        <v>-0.76546219745898703</v>
      </c>
      <c r="NH151" s="3">
        <f ca="1">IFERROR(__xludf.DUMMYFUNCTION("""COMPUTED_VALUE"""),-0.765009240522284)</f>
        <v>-0.76500924052228403</v>
      </c>
      <c r="NI151" s="3">
        <f ca="1">IFERROR(__xludf.DUMMYFUNCTION("""COMPUTED_VALUE"""),-0.785896919802024)</f>
        <v>-0.78589691980202403</v>
      </c>
      <c r="NJ151" s="3">
        <f ca="1">IFERROR(__xludf.DUMMYFUNCTION("""COMPUTED_VALUE"""),-0.741020614101576)</f>
        <v>-0.74102061410157605</v>
      </c>
      <c r="NK151" s="3">
        <f ca="1">IFERROR(__xludf.DUMMYFUNCTION("""COMPUTED_VALUE"""),-0.710863989546598)</f>
        <v>-0.71086398954659802</v>
      </c>
      <c r="NL151" s="3">
        <f ca="1">IFERROR(__xludf.DUMMYFUNCTION("""COMPUTED_VALUE"""),-0.754040801691336)</f>
        <v>-0.75404080169133603</v>
      </c>
      <c r="NM151" s="3">
        <f ca="1">IFERROR(__xludf.DUMMYFUNCTION("""COMPUTED_VALUE"""),-0.784303753063859)</f>
        <v>-0.78430375306385902</v>
      </c>
      <c r="NN151" s="3">
        <f ca="1">IFERROR(__xludf.DUMMYFUNCTION("""COMPUTED_VALUE"""),-0.749852036417451)</f>
        <v>-0.74985203641745102</v>
      </c>
      <c r="NO151" s="3">
        <f ca="1">IFERROR(__xludf.DUMMYFUNCTION("""COMPUTED_VALUE"""),-0.745162442302379)</f>
        <v>-0.74516244230237905</v>
      </c>
      <c r="NP151" s="3">
        <f ca="1">IFERROR(__xludf.DUMMYFUNCTION("""COMPUTED_VALUE"""),-0.763564660067207)</f>
        <v>-0.76356466006720702</v>
      </c>
      <c r="NQ151" s="3">
        <f ca="1">IFERROR(__xludf.DUMMYFUNCTION("""COMPUTED_VALUE"""),-0.747966034125462)</f>
        <v>-0.74796603412546203</v>
      </c>
      <c r="NR151" s="3">
        <f ca="1">IFERROR(__xludf.DUMMYFUNCTION("""COMPUTED_VALUE"""),-0.723554261006792)</f>
        <v>-0.72355426100679199</v>
      </c>
      <c r="NS151" s="3">
        <f ca="1">IFERROR(__xludf.DUMMYFUNCTION("""COMPUTED_VALUE"""),-0.755215567442739)</f>
        <v>-0.75521556744273899</v>
      </c>
      <c r="NT151" s="3">
        <f ca="1">IFERROR(__xludf.DUMMYFUNCTION("""COMPUTED_VALUE"""),-0.79139248694288)</f>
        <v>-0.79139248694288</v>
      </c>
      <c r="NU151" s="3">
        <f ca="1">IFERROR(__xludf.DUMMYFUNCTION("""COMPUTED_VALUE"""),-0.768577065125854)</f>
        <v>-0.768577065125854</v>
      </c>
      <c r="NV151" s="3">
        <f ca="1">IFERROR(__xludf.DUMMYFUNCTION("""COMPUTED_VALUE"""),-0.760461580774679)</f>
        <v>-0.76046158077467896</v>
      </c>
      <c r="NW151" s="3">
        <f ca="1">IFERROR(__xludf.DUMMYFUNCTION("""COMPUTED_VALUE"""),-0.712324044624041)</f>
        <v>-0.71232404462404098</v>
      </c>
      <c r="NX151" s="3">
        <f ca="1">IFERROR(__xludf.DUMMYFUNCTION("""COMPUTED_VALUE"""),-0.666915818849627)</f>
        <v>-0.66691581884962703</v>
      </c>
      <c r="NY151" s="3">
        <f ca="1">IFERROR(__xludf.DUMMYFUNCTION("""COMPUTED_VALUE"""),-0.645196678001901)</f>
        <v>-0.64519667800190095</v>
      </c>
      <c r="NZ151" s="3">
        <f ca="1">IFERROR(__xludf.DUMMYFUNCTION("""COMPUTED_VALUE"""),-0.647372749370072)</f>
        <v>-0.64737274937007205</v>
      </c>
      <c r="OA151" s="3">
        <f ca="1">IFERROR(__xludf.DUMMYFUNCTION("""COMPUTED_VALUE"""),-0.676555535502885)</f>
        <v>-0.67655553550288505</v>
      </c>
      <c r="OB151" s="3">
        <f ca="1">IFERROR(__xludf.DUMMYFUNCTION("""COMPUTED_VALUE"""),-0.651044677997083)</f>
        <v>-0.65104467799708299</v>
      </c>
      <c r="OC151" s="3">
        <f ca="1">IFERROR(__xludf.DUMMYFUNCTION("""COMPUTED_VALUE"""),-0.661288962654506)</f>
        <v>-0.66128896265450599</v>
      </c>
      <c r="OD151" s="3">
        <f ca="1">IFERROR(__xludf.DUMMYFUNCTION("""COMPUTED_VALUE"""),-0.580098905654277)</f>
        <v>-0.58009890565427702</v>
      </c>
      <c r="OE151" s="3">
        <f ca="1">IFERROR(__xludf.DUMMYFUNCTION("""COMPUTED_VALUE"""),-0.466522968501435)</f>
        <v>-0.46652296850143499</v>
      </c>
      <c r="OF151" s="3">
        <f ca="1">IFERROR(__xludf.DUMMYFUNCTION("""COMPUTED_VALUE"""),-0.309148835610589)</f>
        <v>-0.30914883561058898</v>
      </c>
      <c r="OG151" s="3">
        <f ca="1">IFERROR(__xludf.DUMMYFUNCTION("""COMPUTED_VALUE"""),-0.335612724176822)</f>
        <v>-0.33561272417682197</v>
      </c>
      <c r="OH151" s="3">
        <f ca="1">IFERROR(__xludf.DUMMYFUNCTION("""COMPUTED_VALUE"""),-0.210127854383166)</f>
        <v>-0.210127854383166</v>
      </c>
      <c r="OI151" s="3">
        <f ca="1">IFERROR(__xludf.DUMMYFUNCTION("""COMPUTED_VALUE"""),-0.132723080787895)</f>
        <v>-0.13272308078789499</v>
      </c>
      <c r="OJ151" s="3">
        <f ca="1">IFERROR(__xludf.DUMMYFUNCTION("""COMPUTED_VALUE"""),-0.095326613936533)</f>
        <v>-9.5326613936532995E-2</v>
      </c>
      <c r="OK151" s="3">
        <f ca="1">IFERROR(__xludf.DUMMYFUNCTION("""COMPUTED_VALUE"""),-0.116120359208895)</f>
        <v>-0.116120359208895</v>
      </c>
      <c r="OL151" s="3">
        <f ca="1">IFERROR(__xludf.DUMMYFUNCTION("""COMPUTED_VALUE"""),-0.0520905236529511)</f>
        <v>-5.2090523652951103E-2</v>
      </c>
      <c r="OM151" s="3">
        <f ca="1">IFERROR(__xludf.DUMMYFUNCTION("""COMPUTED_VALUE"""),-0.0609865805885588)</f>
        <v>-6.0986580588558797E-2</v>
      </c>
      <c r="ON151" s="3">
        <f ca="1">IFERROR(__xludf.DUMMYFUNCTION("""COMPUTED_VALUE"""),-0.0930438666665867)</f>
        <v>-9.3043866666586705E-2</v>
      </c>
      <c r="OO151" s="3">
        <f ca="1">IFERROR(__xludf.DUMMYFUNCTION("""COMPUTED_VALUE"""),-0.0583693242419378)</f>
        <v>-5.8369324241937803E-2</v>
      </c>
      <c r="OP151" s="3">
        <f ca="1">IFERROR(__xludf.DUMMYFUNCTION("""COMPUTED_VALUE"""),0.00460342581021344)</f>
        <v>4.6034258102134401E-3</v>
      </c>
      <c r="OQ151" s="3">
        <f ca="1">IFERROR(__xludf.DUMMYFUNCTION("""COMPUTED_VALUE"""),0.03985398803048)</f>
        <v>3.985398803048E-2</v>
      </c>
      <c r="OR151" s="3">
        <f ca="1">IFERROR(__xludf.DUMMYFUNCTION("""COMPUTED_VALUE"""),0.0236673117864656)</f>
        <v>2.3667311786465601E-2</v>
      </c>
      <c r="OS151" s="3">
        <f ca="1">IFERROR(__xludf.DUMMYFUNCTION("""COMPUTED_VALUE"""),-0.0045384194864344)</f>
        <v>-4.5384194864343998E-3</v>
      </c>
      <c r="OT151" s="3">
        <f ca="1">IFERROR(__xludf.DUMMYFUNCTION("""COMPUTED_VALUE"""),0.0182106190074218)</f>
        <v>1.82106190074218E-2</v>
      </c>
      <c r="OU151" s="3">
        <f ca="1">IFERROR(__xludf.DUMMYFUNCTION("""COMPUTED_VALUE"""),-0.0791339233371856)</f>
        <v>-7.9133923337185594E-2</v>
      </c>
      <c r="OV151" s="3">
        <f ca="1">IFERROR(__xludf.DUMMYFUNCTION("""COMPUTED_VALUE"""),-0.0739577791187602)</f>
        <v>-7.3957779118760197E-2</v>
      </c>
      <c r="OW151" s="3">
        <f ca="1">IFERROR(__xludf.DUMMYFUNCTION("""COMPUTED_VALUE"""),-0.0423926447244398)</f>
        <v>-4.23926447244398E-2</v>
      </c>
      <c r="OX151" s="3">
        <f ca="1">IFERROR(__xludf.DUMMYFUNCTION("""COMPUTED_VALUE"""),0.0211165253837641)</f>
        <v>2.1116525383764101E-2</v>
      </c>
      <c r="OY151" s="3">
        <f ca="1">IFERROR(__xludf.DUMMYFUNCTION("""COMPUTED_VALUE"""),0.0116740706045741)</f>
        <v>1.1674070604574101E-2</v>
      </c>
      <c r="OZ151" s="3">
        <f ca="1">IFERROR(__xludf.DUMMYFUNCTION("""COMPUTED_VALUE"""),0.2325364472888)</f>
        <v>0.23253644728879999</v>
      </c>
      <c r="PA151" s="3">
        <f ca="1">IFERROR(__xludf.DUMMYFUNCTION("""COMPUTED_VALUE"""),0.0686912779626962)</f>
        <v>6.8691277962696196E-2</v>
      </c>
      <c r="PB151" s="3">
        <f ca="1">IFERROR(__xludf.DUMMYFUNCTION("""COMPUTED_VALUE"""),-0.0311041487106424)</f>
        <v>-3.1104148710642401E-2</v>
      </c>
      <c r="PC151" s="3">
        <f ca="1">IFERROR(__xludf.DUMMYFUNCTION("""COMPUTED_VALUE"""),-0.0833819206910518)</f>
        <v>-8.3381920691051797E-2</v>
      </c>
      <c r="PD151" s="3">
        <f ca="1">IFERROR(__xludf.DUMMYFUNCTION("""COMPUTED_VALUE"""),-0.0793703900902712)</f>
        <v>-7.9370390090271206E-2</v>
      </c>
      <c r="PE151" s="3">
        <f ca="1">IFERROR(__xludf.DUMMYFUNCTION("""COMPUTED_VALUE"""),0.0817023388936373)</f>
        <v>8.1702338893637302E-2</v>
      </c>
      <c r="PF151" s="3">
        <f ca="1">IFERROR(__xludf.DUMMYFUNCTION("""COMPUTED_VALUE"""),0.138776423843561)</f>
        <v>0.13877642384356101</v>
      </c>
      <c r="PG151" s="3">
        <f ca="1">IFERROR(__xludf.DUMMYFUNCTION("""COMPUTED_VALUE"""),-0.253709046709258)</f>
        <v>-0.25370904670925798</v>
      </c>
      <c r="PH151" s="3">
        <f ca="1">IFERROR(__xludf.DUMMYFUNCTION("""COMPUTED_VALUE"""),-0.0091925428279086)</f>
        <v>-9.1925428279086008E-3</v>
      </c>
      <c r="PI151" s="3">
        <f ca="1">IFERROR(__xludf.DUMMYFUNCTION("""COMPUTED_VALUE"""),-0.0643727609733082)</f>
        <v>-6.4372760973308199E-2</v>
      </c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</row>
    <row r="152" spans="1:477" ht="13">
      <c r="A152" s="1" t="str">
        <f ca="1">IFERROR(__xludf.DUMMYFUNCTION("""COMPUTED_VALUE"""),"Oakville Transit")</f>
        <v>Oakville Transit</v>
      </c>
      <c r="B152" s="1" t="str">
        <f ca="1">IFERROR(__xludf.DUMMYFUNCTION("""COMPUTED_VALUE"""),"Toronto")</f>
        <v>Toronto</v>
      </c>
      <c r="C152" s="1" t="str">
        <f ca="1">IFERROR(__xludf.DUMMYFUNCTION("""COMPUTED_VALUE"""),"Canada")</f>
        <v>Canada</v>
      </c>
      <c r="D152" s="1" t="str">
        <f ca="1">IFERROR(__xludf.DUMMYFUNCTION("""COMPUTED_VALUE"""),"Ontario")</f>
        <v>Ontario</v>
      </c>
      <c r="E152" s="3">
        <f ca="1">IFERROR(__xludf.DUMMYFUNCTION("""COMPUTED_VALUE"""),-0.669114820507696)</f>
        <v>-0.669114820507696</v>
      </c>
      <c r="F152" s="3">
        <f ca="1">IFERROR(__xludf.DUMMYFUNCTION("""COMPUTED_VALUE"""),-0.674698836424153)</f>
        <v>-0.67469883642415296</v>
      </c>
      <c r="G152" s="3">
        <f ca="1">IFERROR(__xludf.DUMMYFUNCTION("""COMPUTED_VALUE"""),-0.715698256479545)</f>
        <v>-0.71569825647954499</v>
      </c>
      <c r="H152" s="3">
        <f ca="1">IFERROR(__xludf.DUMMYFUNCTION("""COMPUTED_VALUE"""),-0.662240922427258)</f>
        <v>-0.66224092242725796</v>
      </c>
      <c r="I152" s="3">
        <f ca="1">IFERROR(__xludf.DUMMYFUNCTION("""COMPUTED_VALUE"""),-0.65660565438986)</f>
        <v>-0.65660565438985996</v>
      </c>
      <c r="J152" s="3">
        <f ca="1">IFERROR(__xludf.DUMMYFUNCTION("""COMPUTED_VALUE"""),-0.64612187092109)</f>
        <v>-0.64612187092108997</v>
      </c>
      <c r="K152" s="3">
        <f ca="1">IFERROR(__xludf.DUMMYFUNCTION("""COMPUTED_VALUE"""),-0.660831238839068)</f>
        <v>-0.66083123883906802</v>
      </c>
      <c r="L152" s="3">
        <f ca="1">IFERROR(__xludf.DUMMYFUNCTION("""COMPUTED_VALUE"""),-0.639774146080786)</f>
        <v>-0.63977414608078598</v>
      </c>
      <c r="M152" s="3">
        <f ca="1">IFERROR(__xludf.DUMMYFUNCTION("""COMPUTED_VALUE"""),-0.755500574991262)</f>
        <v>-0.755500574991262</v>
      </c>
      <c r="N152" s="3">
        <f ca="1">IFERROR(__xludf.DUMMYFUNCTION("""COMPUTED_VALUE"""),-0.636787816584995)</f>
        <v>-0.63678781658499495</v>
      </c>
      <c r="O152" s="3">
        <f ca="1">IFERROR(__xludf.DUMMYFUNCTION("""COMPUTED_VALUE"""),-0.638268822067906)</f>
        <v>-0.63826882206790603</v>
      </c>
      <c r="P152" s="3">
        <f ca="1">IFERROR(__xludf.DUMMYFUNCTION("""COMPUTED_VALUE"""),-0.651072437268761)</f>
        <v>-0.65107243726876096</v>
      </c>
      <c r="Q152" s="3">
        <f ca="1">IFERROR(__xludf.DUMMYFUNCTION("""COMPUTED_VALUE"""),-0.633134833634131)</f>
        <v>-0.63313483363413103</v>
      </c>
      <c r="R152" s="3">
        <f ca="1">IFERROR(__xludf.DUMMYFUNCTION("""COMPUTED_VALUE"""),-0.615815918877923)</f>
        <v>-0.61581591887792297</v>
      </c>
      <c r="S152" s="3">
        <f ca="1">IFERROR(__xludf.DUMMYFUNCTION("""COMPUTED_VALUE"""),-0.572035558803852)</f>
        <v>-0.57203555880385204</v>
      </c>
      <c r="T152" s="3">
        <f ca="1">IFERROR(__xludf.DUMMYFUNCTION("""COMPUTED_VALUE"""),-0.684192291303833)</f>
        <v>-0.68419229130383297</v>
      </c>
      <c r="U152" s="3">
        <f ca="1">IFERROR(__xludf.DUMMYFUNCTION("""COMPUTED_VALUE"""),-0.663830722074537)</f>
        <v>-0.66383072207453697</v>
      </c>
      <c r="V152" s="3">
        <f ca="1">IFERROR(__xludf.DUMMYFUNCTION("""COMPUTED_VALUE"""),-0.68667808705672)</f>
        <v>-0.68667808705671995</v>
      </c>
      <c r="W152" s="3">
        <f ca="1">IFERROR(__xludf.DUMMYFUNCTION("""COMPUTED_VALUE"""),-0.693262474587386)</f>
        <v>-0.69326247458738599</v>
      </c>
      <c r="X152" s="3">
        <f ca="1">IFERROR(__xludf.DUMMYFUNCTION("""COMPUTED_VALUE"""),-0.653425794308358)</f>
        <v>-0.65342579430835801</v>
      </c>
      <c r="Y152" s="3">
        <f ca="1">IFERROR(__xludf.DUMMYFUNCTION("""COMPUTED_VALUE"""),-0.47634163705758)</f>
        <v>-0.47634163705757998</v>
      </c>
      <c r="Z152" s="3">
        <f ca="1">IFERROR(__xludf.DUMMYFUNCTION("""COMPUTED_VALUE"""),-0.543764998752827)</f>
        <v>-0.54376499875282702</v>
      </c>
      <c r="AA152" s="3">
        <f ca="1">IFERROR(__xludf.DUMMYFUNCTION("""COMPUTED_VALUE"""),-0.663524422708236)</f>
        <v>-0.66352442270823597</v>
      </c>
      <c r="AB152" s="3">
        <f ca="1">IFERROR(__xludf.DUMMYFUNCTION("""COMPUTED_VALUE"""),-0.707960897238839)</f>
        <v>-0.70796089723883904</v>
      </c>
      <c r="AC152" s="3">
        <f ca="1">IFERROR(__xludf.DUMMYFUNCTION("""COMPUTED_VALUE"""),-0.71154446958893)</f>
        <v>-0.71154446958893003</v>
      </c>
      <c r="AD152" s="3">
        <f ca="1">IFERROR(__xludf.DUMMYFUNCTION("""COMPUTED_VALUE"""),-0.722612453799306)</f>
        <v>-0.72261245379930605</v>
      </c>
      <c r="AE152" s="3">
        <f ca="1">IFERROR(__xludf.DUMMYFUNCTION("""COMPUTED_VALUE"""),-0.669001449089308)</f>
        <v>-0.66900144908930803</v>
      </c>
      <c r="AF152" s="3">
        <f ca="1">IFERROR(__xludf.DUMMYFUNCTION("""COMPUTED_VALUE"""),-0.555127997032712)</f>
        <v>-0.55512799703271198</v>
      </c>
      <c r="AG152" s="3">
        <f ca="1">IFERROR(__xludf.DUMMYFUNCTION("""COMPUTED_VALUE"""),-0.574071560903943)</f>
        <v>-0.57407156090394296</v>
      </c>
      <c r="AH152" s="3">
        <f ca="1">IFERROR(__xludf.DUMMYFUNCTION("""COMPUTED_VALUE"""),-0.68690328784206)</f>
        <v>-0.68690328784206001</v>
      </c>
      <c r="AI152" s="3">
        <f ca="1">IFERROR(__xludf.DUMMYFUNCTION("""COMPUTED_VALUE"""),-0.68475308193734)</f>
        <v>-0.68475308193733997</v>
      </c>
      <c r="AJ152" s="3">
        <f ca="1">IFERROR(__xludf.DUMMYFUNCTION("""COMPUTED_VALUE"""),-0.671591965980416)</f>
        <v>-0.67159196598041604</v>
      </c>
      <c r="AK152" s="3">
        <f ca="1">IFERROR(__xludf.DUMMYFUNCTION("""COMPUTED_VALUE"""),-0.663981064742404)</f>
        <v>-0.66398106474240404</v>
      </c>
      <c r="AL152" s="3">
        <f ca="1">IFERROR(__xludf.DUMMYFUNCTION("""COMPUTED_VALUE"""),-0.687325022249375)</f>
        <v>-0.68732502224937497</v>
      </c>
      <c r="AM152" s="3">
        <f ca="1">IFERROR(__xludf.DUMMYFUNCTION("""COMPUTED_VALUE"""),-0.619528963870965)</f>
        <v>-0.61952896387096501</v>
      </c>
      <c r="AN152" s="3">
        <f ca="1">IFERROR(__xludf.DUMMYFUNCTION("""COMPUTED_VALUE"""),-0.602812273459294)</f>
        <v>-0.602812273459294</v>
      </c>
      <c r="AO152" s="3">
        <f ca="1">IFERROR(__xludf.DUMMYFUNCTION("""COMPUTED_VALUE"""),-0.689632166582048)</f>
        <v>-0.68963216658204796</v>
      </c>
      <c r="AP152" s="3">
        <f ca="1">IFERROR(__xludf.DUMMYFUNCTION("""COMPUTED_VALUE"""),-0.726562227214188)</f>
        <v>-0.72656222721418795</v>
      </c>
      <c r="AQ152" s="3">
        <f ca="1">IFERROR(__xludf.DUMMYFUNCTION("""COMPUTED_VALUE"""),-0.695894140945618)</f>
        <v>-0.69589414094561797</v>
      </c>
      <c r="AR152" s="3">
        <f ca="1">IFERROR(__xludf.DUMMYFUNCTION("""COMPUTED_VALUE"""),-0.709698103331312)</f>
        <v>-0.709698103331312</v>
      </c>
      <c r="AS152" s="3">
        <f ca="1">IFERROR(__xludf.DUMMYFUNCTION("""COMPUTED_VALUE"""),-0.708217476484019)</f>
        <v>-0.708217476484019</v>
      </c>
      <c r="AT152" s="3">
        <f ca="1">IFERROR(__xludf.DUMMYFUNCTION("""COMPUTED_VALUE"""),-0.61305116656008)</f>
        <v>-0.61305116656007996</v>
      </c>
      <c r="AU152" s="3">
        <f ca="1">IFERROR(__xludf.DUMMYFUNCTION("""COMPUTED_VALUE"""),-0.645132090754731)</f>
        <v>-0.64513209075473099</v>
      </c>
      <c r="AV152" s="3">
        <f ca="1">IFERROR(__xludf.DUMMYFUNCTION("""COMPUTED_VALUE"""),-0.708997481558274)</f>
        <v>-0.70899748155827402</v>
      </c>
      <c r="AW152" s="3">
        <f ca="1">IFERROR(__xludf.DUMMYFUNCTION("""COMPUTED_VALUE"""),-0.707062905062304)</f>
        <v>-0.70706290506230396</v>
      </c>
      <c r="AX152" s="3">
        <f ca="1">IFERROR(__xludf.DUMMYFUNCTION("""COMPUTED_VALUE"""),-0.688807294397177)</f>
        <v>-0.68880729439717703</v>
      </c>
      <c r="AY152" s="3">
        <f ca="1">IFERROR(__xludf.DUMMYFUNCTION("""COMPUTED_VALUE"""),-0.674876878181802)</f>
        <v>-0.67487687818180198</v>
      </c>
      <c r="AZ152" s="3">
        <f ca="1">IFERROR(__xludf.DUMMYFUNCTION("""COMPUTED_VALUE"""),-0.591947217295533)</f>
        <v>-0.59194721729553301</v>
      </c>
      <c r="BA152" s="3">
        <f ca="1">IFERROR(__xludf.DUMMYFUNCTION("""COMPUTED_VALUE"""),-0.687787208717614)</f>
        <v>-0.68778720871761401</v>
      </c>
      <c r="BB152" s="3">
        <f ca="1">IFERROR(__xludf.DUMMYFUNCTION("""COMPUTED_VALUE"""),-0.644569139620497)</f>
        <v>-0.644569139620497</v>
      </c>
      <c r="BC152" s="3">
        <f ca="1">IFERROR(__xludf.DUMMYFUNCTION("""COMPUTED_VALUE"""),-0.732904522850875)</f>
        <v>-0.73290452285087504</v>
      </c>
      <c r="BD152" s="3">
        <f ca="1">IFERROR(__xludf.DUMMYFUNCTION("""COMPUTED_VALUE"""),-0.719026505682778)</f>
        <v>-0.71902650568277804</v>
      </c>
      <c r="BE152" s="3">
        <f ca="1">IFERROR(__xludf.DUMMYFUNCTION("""COMPUTED_VALUE"""),-0.705509430706114)</f>
        <v>-0.70550943070611405</v>
      </c>
      <c r="BF152" s="3">
        <f ca="1">IFERROR(__xludf.DUMMYFUNCTION("""COMPUTED_VALUE"""),-0.678467425177212)</f>
        <v>-0.67846742517721204</v>
      </c>
      <c r="BG152" s="3">
        <f ca="1">IFERROR(__xludf.DUMMYFUNCTION("""COMPUTED_VALUE"""),-0.812520452685941)</f>
        <v>-0.81252045268594097</v>
      </c>
      <c r="BH152" s="3">
        <f ca="1">IFERROR(__xludf.DUMMYFUNCTION("""COMPUTED_VALUE"""),-0.690563182181284)</f>
        <v>-0.69056318218128399</v>
      </c>
      <c r="BI152" s="3">
        <f ca="1">IFERROR(__xludf.DUMMYFUNCTION("""COMPUTED_VALUE"""),-0.678326527062874)</f>
        <v>-0.678326527062874</v>
      </c>
      <c r="BJ152" s="3">
        <f ca="1">IFERROR(__xludf.DUMMYFUNCTION("""COMPUTED_VALUE"""),-0.757326591223684)</f>
        <v>-0.75732659122368395</v>
      </c>
      <c r="BK152" s="3">
        <f ca="1">IFERROR(__xludf.DUMMYFUNCTION("""COMPUTED_VALUE"""),-0.759388739342598)</f>
        <v>-0.75938873934259798</v>
      </c>
      <c r="BL152" s="3">
        <f ca="1">IFERROR(__xludf.DUMMYFUNCTION("""COMPUTED_VALUE"""),-0.791025501095513)</f>
        <v>-0.79102550109551295</v>
      </c>
      <c r="BM152" s="3">
        <f ca="1">IFERROR(__xludf.DUMMYFUNCTION("""COMPUTED_VALUE"""),-0.759759543468889)</f>
        <v>-0.75975954346888896</v>
      </c>
      <c r="BN152" s="3">
        <f ca="1">IFERROR(__xludf.DUMMYFUNCTION("""COMPUTED_VALUE"""),-0.713501290408614)</f>
        <v>-0.71350129040861399</v>
      </c>
      <c r="BO152" s="3">
        <f ca="1">IFERROR(__xludf.DUMMYFUNCTION("""COMPUTED_VALUE"""),-0.722903381742783)</f>
        <v>-0.72290338174278301</v>
      </c>
      <c r="BP152" s="3">
        <f ca="1">IFERROR(__xludf.DUMMYFUNCTION("""COMPUTED_VALUE"""),-0.733693136596213)</f>
        <v>-0.73369313659621305</v>
      </c>
      <c r="BQ152" s="3">
        <f ca="1">IFERROR(__xludf.DUMMYFUNCTION("""COMPUTED_VALUE"""),-0.793916806567671)</f>
        <v>-0.79391680656767105</v>
      </c>
      <c r="BR152" s="3">
        <f ca="1">IFERROR(__xludf.DUMMYFUNCTION("""COMPUTED_VALUE"""),-0.809193261834104)</f>
        <v>-0.80919326183410401</v>
      </c>
      <c r="BS152" s="3">
        <f ca="1">IFERROR(__xludf.DUMMYFUNCTION("""COMPUTED_VALUE"""),-0.793729370868595)</f>
        <v>-0.79372937086859496</v>
      </c>
      <c r="BT152" s="3">
        <f ca="1">IFERROR(__xludf.DUMMYFUNCTION("""COMPUTED_VALUE"""),-0.806356347696691)</f>
        <v>-0.80635634769669096</v>
      </c>
      <c r="BU152" s="3">
        <f ca="1">IFERROR(__xludf.DUMMYFUNCTION("""COMPUTED_VALUE"""),-0.805153697321579)</f>
        <v>-0.80515369732157904</v>
      </c>
      <c r="BV152" s="3">
        <f ca="1">IFERROR(__xludf.DUMMYFUNCTION("""COMPUTED_VALUE"""),-0.750429480288492)</f>
        <v>-0.75042948028849199</v>
      </c>
      <c r="BW152" s="3">
        <f ca="1">IFERROR(__xludf.DUMMYFUNCTION("""COMPUTED_VALUE"""),-0.750907975078521)</f>
        <v>-0.75090797507852103</v>
      </c>
      <c r="BX152" s="3">
        <f ca="1">IFERROR(__xludf.DUMMYFUNCTION("""COMPUTED_VALUE"""),-0.795227044626425)</f>
        <v>-0.79522704462642502</v>
      </c>
      <c r="BY152" s="3">
        <f ca="1">IFERROR(__xludf.DUMMYFUNCTION("""COMPUTED_VALUE"""),-0.811890413397352)</f>
        <v>-0.81189041339735202</v>
      </c>
      <c r="BZ152" s="3">
        <f ca="1">IFERROR(__xludf.DUMMYFUNCTION("""COMPUTED_VALUE"""),-0.803986642465294)</f>
        <v>-0.80398664246529405</v>
      </c>
      <c r="CA152" s="3">
        <f ca="1">IFERROR(__xludf.DUMMYFUNCTION("""COMPUTED_VALUE"""),-0.785435866802925)</f>
        <v>-0.78543586680292499</v>
      </c>
      <c r="CB152" s="3">
        <f ca="1">IFERROR(__xludf.DUMMYFUNCTION("""COMPUTED_VALUE"""),-0.785250110875254)</f>
        <v>-0.78525011087525398</v>
      </c>
      <c r="CC152" s="3">
        <f ca="1">IFERROR(__xludf.DUMMYFUNCTION("""COMPUTED_VALUE"""),-0.747650178674165)</f>
        <v>-0.74765017867416494</v>
      </c>
      <c r="CD152" s="3">
        <f ca="1">IFERROR(__xludf.DUMMYFUNCTION("""COMPUTED_VALUE"""),-0.727656143833664)</f>
        <v>-0.72765614383366395</v>
      </c>
      <c r="CE152" s="3">
        <f ca="1">IFERROR(__xludf.DUMMYFUNCTION("""COMPUTED_VALUE"""),-0.780756655714965)</f>
        <v>-0.780756655714965</v>
      </c>
      <c r="CF152" s="3">
        <f ca="1">IFERROR(__xludf.DUMMYFUNCTION("""COMPUTED_VALUE"""),-0.793794978967273)</f>
        <v>-0.79379497896727302</v>
      </c>
      <c r="CG152" s="3">
        <f ca="1">IFERROR(__xludf.DUMMYFUNCTION("""COMPUTED_VALUE"""),-0.796498864101698)</f>
        <v>-0.79649886410169801</v>
      </c>
      <c r="CH152" s="3">
        <f ca="1">IFERROR(__xludf.DUMMYFUNCTION("""COMPUTED_VALUE"""),-0.798709770851738)</f>
        <v>-0.798709770851738</v>
      </c>
      <c r="CI152" s="3">
        <f ca="1">IFERROR(__xludf.DUMMYFUNCTION("""COMPUTED_VALUE"""),-0.794877619616924)</f>
        <v>-0.79487761961692405</v>
      </c>
      <c r="CJ152" s="3">
        <f ca="1">IFERROR(__xludf.DUMMYFUNCTION("""COMPUTED_VALUE"""),-0.721909638085002)</f>
        <v>-0.72190963808500197</v>
      </c>
      <c r="CK152" s="3">
        <f ca="1">IFERROR(__xludf.DUMMYFUNCTION("""COMPUTED_VALUE"""),-0.667176258894182)</f>
        <v>-0.66717625889418197</v>
      </c>
      <c r="CL152" s="3">
        <f ca="1">IFERROR(__xludf.DUMMYFUNCTION("""COMPUTED_VALUE"""),-0.777591357429905)</f>
        <v>-0.77759135742990504</v>
      </c>
      <c r="CM152" s="3">
        <f ca="1">IFERROR(__xludf.DUMMYFUNCTION("""COMPUTED_VALUE"""),-0.805811692080393)</f>
        <v>-0.80581169208039305</v>
      </c>
      <c r="CN152" s="3">
        <f ca="1">IFERROR(__xludf.DUMMYFUNCTION("""COMPUTED_VALUE"""),-0.792641290136561)</f>
        <v>-0.79264129013656104</v>
      </c>
      <c r="CO152" s="3">
        <f ca="1">IFERROR(__xludf.DUMMYFUNCTION("""COMPUTED_VALUE"""),-0.794281804950038)</f>
        <v>-0.79428180495003797</v>
      </c>
      <c r="CP152" s="3">
        <f ca="1">IFERROR(__xludf.DUMMYFUNCTION("""COMPUTED_VALUE"""),-0.779734161695295)</f>
        <v>-0.77973416169529497</v>
      </c>
      <c r="CQ152" s="3">
        <f ca="1">IFERROR(__xludf.DUMMYFUNCTION("""COMPUTED_VALUE"""),-0.683555595401589)</f>
        <v>-0.68355559540158894</v>
      </c>
      <c r="CR152" s="3">
        <f ca="1">IFERROR(__xludf.DUMMYFUNCTION("""COMPUTED_VALUE"""),-0.611725041713709)</f>
        <v>-0.61172504171370901</v>
      </c>
      <c r="CS152" s="3">
        <f ca="1">IFERROR(__xludf.DUMMYFUNCTION("""COMPUTED_VALUE"""),-0.744084115573133)</f>
        <v>-0.74408411557313303</v>
      </c>
      <c r="CT152" s="3">
        <f ca="1">IFERROR(__xludf.DUMMYFUNCTION("""COMPUTED_VALUE"""),-0.750198444637794)</f>
        <v>-0.75019844463779395</v>
      </c>
      <c r="CU152" s="3">
        <f ca="1">IFERROR(__xludf.DUMMYFUNCTION("""COMPUTED_VALUE"""),-0.697610642371892)</f>
        <v>-0.69761064237189196</v>
      </c>
      <c r="CV152" s="3">
        <f ca="1">IFERROR(__xludf.DUMMYFUNCTION("""COMPUTED_VALUE"""),-0.729584410892705)</f>
        <v>-0.72958441089270498</v>
      </c>
      <c r="CW152" s="3">
        <f ca="1">IFERROR(__xludf.DUMMYFUNCTION("""COMPUTED_VALUE"""),-0.715595647596435)</f>
        <v>-0.71559564759643501</v>
      </c>
      <c r="CX152" s="3">
        <f ca="1">IFERROR(__xludf.DUMMYFUNCTION("""COMPUTED_VALUE"""),-0.645222888107184)</f>
        <v>-0.64522288810718398</v>
      </c>
      <c r="CY152" s="3">
        <f ca="1">IFERROR(__xludf.DUMMYFUNCTION("""COMPUTED_VALUE"""),-0.670964406623834)</f>
        <v>-0.67096440662383405</v>
      </c>
      <c r="CZ152" s="3">
        <f ca="1">IFERROR(__xludf.DUMMYFUNCTION("""COMPUTED_VALUE"""),-0.856950525758346)</f>
        <v>-0.85695052575834596</v>
      </c>
      <c r="DA152" s="3">
        <f ca="1">IFERROR(__xludf.DUMMYFUNCTION("""COMPUTED_VALUE"""),-0.687194261989293)</f>
        <v>-0.68719426198929301</v>
      </c>
      <c r="DB152" s="3">
        <f ca="1">IFERROR(__xludf.DUMMYFUNCTION("""COMPUTED_VALUE"""),-0.587641424246117)</f>
        <v>-0.58764142424611698</v>
      </c>
      <c r="DC152" s="3">
        <f ca="1">IFERROR(__xludf.DUMMYFUNCTION("""COMPUTED_VALUE"""),-0.702946421496973)</f>
        <v>-0.70294642149697295</v>
      </c>
      <c r="DD152" s="3">
        <f ca="1">IFERROR(__xludf.DUMMYFUNCTION("""COMPUTED_VALUE"""),-0.767344491931466)</f>
        <v>-0.76734449193146603</v>
      </c>
      <c r="DE152" s="3">
        <f ca="1">IFERROR(__xludf.DUMMYFUNCTION("""COMPUTED_VALUE"""),-0.701332715174636)</f>
        <v>-0.70133271517463602</v>
      </c>
      <c r="DF152" s="3">
        <f ca="1">IFERROR(__xludf.DUMMYFUNCTION("""COMPUTED_VALUE"""),-0.764639688664024)</f>
        <v>-0.76463968866402399</v>
      </c>
      <c r="DG152" s="3">
        <f ca="1">IFERROR(__xludf.DUMMYFUNCTION("""COMPUTED_VALUE"""),-0.857726326609393)</f>
        <v>-0.85772632660939296</v>
      </c>
      <c r="DH152" s="3">
        <f ca="1">IFERROR(__xludf.DUMMYFUNCTION("""COMPUTED_VALUE"""),-0.626175632782906)</f>
        <v>-0.626175632782906</v>
      </c>
      <c r="DI152" s="3">
        <f ca="1">IFERROR(__xludf.DUMMYFUNCTION("""COMPUTED_VALUE"""),-0.316404526196735)</f>
        <v>-0.31640452619673498</v>
      </c>
      <c r="DJ152" s="3">
        <f ca="1">IFERROR(__xludf.DUMMYFUNCTION("""COMPUTED_VALUE"""),-0.533533068645659)</f>
        <v>-0.53353306864565897</v>
      </c>
      <c r="DK152" s="3">
        <f ca="1">IFERROR(__xludf.DUMMYFUNCTION("""COMPUTED_VALUE"""),-0.575693892265904)</f>
        <v>-0.57569389226590395</v>
      </c>
      <c r="DL152" s="3">
        <f ca="1">IFERROR(__xludf.DUMMYFUNCTION("""COMPUTED_VALUE"""),-0.551913145187953)</f>
        <v>-0.55191314518795298</v>
      </c>
      <c r="DM152" s="3">
        <f ca="1">IFERROR(__xludf.DUMMYFUNCTION("""COMPUTED_VALUE"""),-0.582391020473271)</f>
        <v>-0.58239102047327096</v>
      </c>
      <c r="DN152" s="3">
        <f ca="1">IFERROR(__xludf.DUMMYFUNCTION("""COMPUTED_VALUE"""),-0.644880636627761)</f>
        <v>-0.64488063662776096</v>
      </c>
      <c r="DO152" s="3">
        <f ca="1">IFERROR(__xludf.DUMMYFUNCTION("""COMPUTED_VALUE"""),-0.62116481324738)</f>
        <v>-0.62116481324738004</v>
      </c>
      <c r="DP152" s="3">
        <f ca="1">IFERROR(__xludf.DUMMYFUNCTION("""COMPUTED_VALUE"""),-0.614679819879445)</f>
        <v>-0.61467981987944498</v>
      </c>
      <c r="DQ152" s="3">
        <f ca="1">IFERROR(__xludf.DUMMYFUNCTION("""COMPUTED_VALUE"""),-0.649317605102675)</f>
        <v>-0.649317605102675</v>
      </c>
      <c r="DR152" s="3">
        <f ca="1">IFERROR(__xludf.DUMMYFUNCTION("""COMPUTED_VALUE"""),-0.675543849402866)</f>
        <v>-0.67554384940286605</v>
      </c>
      <c r="DS152" s="3">
        <f ca="1">IFERROR(__xludf.DUMMYFUNCTION("""COMPUTED_VALUE"""),-0.58475063159598)</f>
        <v>-0.58475063159597995</v>
      </c>
      <c r="DT152" s="3">
        <f ca="1">IFERROR(__xludf.DUMMYFUNCTION("""COMPUTED_VALUE"""),-0.634778179412685)</f>
        <v>-0.634778179412685</v>
      </c>
      <c r="DU152" s="3">
        <f ca="1">IFERROR(__xludf.DUMMYFUNCTION("""COMPUTED_VALUE"""),-0.693703704910406)</f>
        <v>-0.693703704910406</v>
      </c>
      <c r="DV152" s="3">
        <f ca="1">IFERROR(__xludf.DUMMYFUNCTION("""COMPUTED_VALUE"""),-0.697207116158146)</f>
        <v>-0.69720711615814601</v>
      </c>
      <c r="DW152" s="3">
        <f ca="1">IFERROR(__xludf.DUMMYFUNCTION("""COMPUTED_VALUE"""),-0.718623238847669)</f>
        <v>-0.71862323884766899</v>
      </c>
      <c r="DX152" s="3">
        <f ca="1">IFERROR(__xludf.DUMMYFUNCTION("""COMPUTED_VALUE"""),-0.711287837843539)</f>
        <v>-0.71128783784353899</v>
      </c>
      <c r="DY152" s="3">
        <f ca="1">IFERROR(__xludf.DUMMYFUNCTION("""COMPUTED_VALUE"""),-0.689695402729096)</f>
        <v>-0.68969540272909602</v>
      </c>
      <c r="DZ152" s="3">
        <f ca="1">IFERROR(__xludf.DUMMYFUNCTION("""COMPUTED_VALUE"""),-0.62241539647538)</f>
        <v>-0.62241539647538002</v>
      </c>
      <c r="EA152" s="3">
        <f ca="1">IFERROR(__xludf.DUMMYFUNCTION("""COMPUTED_VALUE"""),-0.622002782379975)</f>
        <v>-0.62200278237997497</v>
      </c>
      <c r="EB152" s="3">
        <f ca="1">IFERROR(__xludf.DUMMYFUNCTION("""COMPUTED_VALUE"""),-0.735876796098711)</f>
        <v>-0.73587679609871104</v>
      </c>
      <c r="EC152" s="3">
        <f ca="1">IFERROR(__xludf.DUMMYFUNCTION("""COMPUTED_VALUE"""),-0.729022707234297)</f>
        <v>-0.72902270723429696</v>
      </c>
      <c r="ED152" s="3">
        <f ca="1">IFERROR(__xludf.DUMMYFUNCTION("""COMPUTED_VALUE"""),-0.729232719993483)</f>
        <v>-0.72923271999348305</v>
      </c>
      <c r="EE152" s="3">
        <f ca="1">IFERROR(__xludf.DUMMYFUNCTION("""COMPUTED_VALUE"""),-0.747292137557409)</f>
        <v>-0.74729213755740898</v>
      </c>
      <c r="EF152" s="3">
        <f ca="1">IFERROR(__xludf.DUMMYFUNCTION("""COMPUTED_VALUE"""),-0.726018987799028)</f>
        <v>-0.72601898779902796</v>
      </c>
      <c r="EG152" s="3">
        <f ca="1">IFERROR(__xludf.DUMMYFUNCTION("""COMPUTED_VALUE"""),-0.559899382294779)</f>
        <v>-0.55989938229477898</v>
      </c>
      <c r="EH152" s="3">
        <f ca="1">IFERROR(__xludf.DUMMYFUNCTION("""COMPUTED_VALUE"""),-0.606492246093383)</f>
        <v>-0.60649224609338304</v>
      </c>
      <c r="EI152" s="3">
        <f ca="1">IFERROR(__xludf.DUMMYFUNCTION("""COMPUTED_VALUE"""),-0.707705528108894)</f>
        <v>-0.70770552810889398</v>
      </c>
      <c r="EJ152" s="3">
        <f ca="1">IFERROR(__xludf.DUMMYFUNCTION("""COMPUTED_VALUE"""),-0.701790478192013)</f>
        <v>-0.70179047819201301</v>
      </c>
      <c r="EK152" s="3">
        <f ca="1">IFERROR(__xludf.DUMMYFUNCTION("""COMPUTED_VALUE"""),-0.702570182697823)</f>
        <v>-0.70257018269782301</v>
      </c>
      <c r="EL152" s="3">
        <f ca="1">IFERROR(__xludf.DUMMYFUNCTION("""COMPUTED_VALUE"""),-0.74869946737482)</f>
        <v>-0.74869946737481996</v>
      </c>
      <c r="EM152" s="3">
        <f ca="1">IFERROR(__xludf.DUMMYFUNCTION("""COMPUTED_VALUE"""),-0.718487305287054)</f>
        <v>-0.71848730528705396</v>
      </c>
      <c r="EN152" s="3">
        <f ca="1">IFERROR(__xludf.DUMMYFUNCTION("""COMPUTED_VALUE"""),-0.59628032314517)</f>
        <v>-0.59628032314516999</v>
      </c>
      <c r="EO152" s="3">
        <f ca="1">IFERROR(__xludf.DUMMYFUNCTION("""COMPUTED_VALUE"""),-0.576718601716437)</f>
        <v>-0.57671860171643696</v>
      </c>
      <c r="EP152" s="3">
        <f ca="1">IFERROR(__xludf.DUMMYFUNCTION("""COMPUTED_VALUE"""),-0.695128652979163)</f>
        <v>-0.69512865297916304</v>
      </c>
      <c r="EQ152" s="3">
        <f ca="1">IFERROR(__xludf.DUMMYFUNCTION("""COMPUTED_VALUE"""),-0.704355669589045)</f>
        <v>-0.70435566958904505</v>
      </c>
      <c r="ER152" s="3">
        <f ca="1">IFERROR(__xludf.DUMMYFUNCTION("""COMPUTED_VALUE"""),-0.708229916026811)</f>
        <v>-0.70822991602681096</v>
      </c>
      <c r="ES152" s="3">
        <f ca="1">IFERROR(__xludf.DUMMYFUNCTION("""COMPUTED_VALUE"""),-0.711265031828621)</f>
        <v>-0.711265031828621</v>
      </c>
      <c r="ET152" s="3">
        <f ca="1">IFERROR(__xludf.DUMMYFUNCTION("""COMPUTED_VALUE"""),-0.70198675125828)</f>
        <v>-0.70198675125828003</v>
      </c>
      <c r="EU152" s="3">
        <f ca="1">IFERROR(__xludf.DUMMYFUNCTION("""COMPUTED_VALUE"""),-0.613819208355754)</f>
        <v>-0.61381920835575399</v>
      </c>
      <c r="EV152" s="3">
        <f ca="1">IFERROR(__xludf.DUMMYFUNCTION("""COMPUTED_VALUE"""),-0.584844771799437)</f>
        <v>-0.58484477179943695</v>
      </c>
      <c r="EW152" s="3">
        <f ca="1">IFERROR(__xludf.DUMMYFUNCTION("""COMPUTED_VALUE"""),-0.705437090488444)</f>
        <v>-0.70543709048844405</v>
      </c>
      <c r="EX152" s="3">
        <f ca="1">IFERROR(__xludf.DUMMYFUNCTION("""COMPUTED_VALUE"""),-0.696075440772387)</f>
        <v>-0.69607544077238703</v>
      </c>
      <c r="EY152" s="3">
        <f ca="1">IFERROR(__xludf.DUMMYFUNCTION("""COMPUTED_VALUE"""),-0.675126507722908)</f>
        <v>-0.67512650772290805</v>
      </c>
      <c r="EZ152" s="3">
        <f ca="1">IFERROR(__xludf.DUMMYFUNCTION("""COMPUTED_VALUE"""),-0.689768648914288)</f>
        <v>-0.68976864891428802</v>
      </c>
      <c r="FA152" s="3">
        <f ca="1">IFERROR(__xludf.DUMMYFUNCTION("""COMPUTED_VALUE"""),-0.662672259589827)</f>
        <v>-0.66267225958982701</v>
      </c>
      <c r="FB152" s="3">
        <f ca="1">IFERROR(__xludf.DUMMYFUNCTION("""COMPUTED_VALUE"""),-0.556852667776853)</f>
        <v>-0.55685266777685305</v>
      </c>
      <c r="FC152" s="3">
        <f ca="1">IFERROR(__xludf.DUMMYFUNCTION("""COMPUTED_VALUE"""),-0.530497918148162)</f>
        <v>-0.53049791814816205</v>
      </c>
      <c r="FD152" s="3">
        <f ca="1">IFERROR(__xludf.DUMMYFUNCTION("""COMPUTED_VALUE"""),-0.691146486252699)</f>
        <v>-0.69114648625269903</v>
      </c>
      <c r="FE152" s="3">
        <f ca="1">IFERROR(__xludf.DUMMYFUNCTION("""COMPUTED_VALUE"""),-0.706340233233393)</f>
        <v>-0.70634023323339301</v>
      </c>
      <c r="FF152" s="3">
        <f ca="1">IFERROR(__xludf.DUMMYFUNCTION("""COMPUTED_VALUE"""),-0.699730777968421)</f>
        <v>-0.69973077796842098</v>
      </c>
      <c r="FG152" s="3">
        <f ca="1">IFERROR(__xludf.DUMMYFUNCTION("""COMPUTED_VALUE"""),-0.727217293645285)</f>
        <v>-0.72721729364528498</v>
      </c>
      <c r="FH152" s="3">
        <f ca="1">IFERROR(__xludf.DUMMYFUNCTION("""COMPUTED_VALUE"""),-0.694454661736883)</f>
        <v>-0.69445466173688297</v>
      </c>
      <c r="FI152" s="3">
        <f ca="1">IFERROR(__xludf.DUMMYFUNCTION("""COMPUTED_VALUE"""),-0.588349711889444)</f>
        <v>-0.58834971188944396</v>
      </c>
      <c r="FJ152" s="3">
        <f ca="1">IFERROR(__xludf.DUMMYFUNCTION("""COMPUTED_VALUE"""),-0.541525283608021)</f>
        <v>-0.54152528360802099</v>
      </c>
      <c r="FK152" s="3">
        <f ca="1">IFERROR(__xludf.DUMMYFUNCTION("""COMPUTED_VALUE"""),-0.651193473949727)</f>
        <v>-0.65119347394972704</v>
      </c>
      <c r="FL152" s="3">
        <f ca="1">IFERROR(__xludf.DUMMYFUNCTION("""COMPUTED_VALUE"""),-0.664548388061787)</f>
        <v>-0.66454838806178695</v>
      </c>
      <c r="FM152" s="3">
        <f ca="1">IFERROR(__xludf.DUMMYFUNCTION("""COMPUTED_VALUE"""),-0.699482868350659)</f>
        <v>-0.69948286835065898</v>
      </c>
      <c r="FN152" s="3">
        <f ca="1">IFERROR(__xludf.DUMMYFUNCTION("""COMPUTED_VALUE"""),-0.700515648282941)</f>
        <v>-0.70051564828294099</v>
      </c>
      <c r="FO152" s="3">
        <f ca="1">IFERROR(__xludf.DUMMYFUNCTION("""COMPUTED_VALUE"""),-0.68815078839051)</f>
        <v>-0.68815078839051003</v>
      </c>
      <c r="FP152" s="3">
        <f ca="1">IFERROR(__xludf.DUMMYFUNCTION("""COMPUTED_VALUE"""),-0.581188727189944)</f>
        <v>-0.58118872718994397</v>
      </c>
      <c r="FQ152" s="3">
        <f ca="1">IFERROR(__xludf.DUMMYFUNCTION("""COMPUTED_VALUE"""),-0.553134865644249)</f>
        <v>-0.55313486564424896</v>
      </c>
      <c r="FR152" s="3">
        <f ca="1">IFERROR(__xludf.DUMMYFUNCTION("""COMPUTED_VALUE"""),-0.67565465367401)</f>
        <v>-0.67565465367401001</v>
      </c>
      <c r="FS152" s="3">
        <f ca="1">IFERROR(__xludf.DUMMYFUNCTION("""COMPUTED_VALUE"""),-0.698714685751087)</f>
        <v>-0.69871468575108697</v>
      </c>
      <c r="FT152" s="3">
        <f ca="1">IFERROR(__xludf.DUMMYFUNCTION("""COMPUTED_VALUE"""),-0.685813355641311)</f>
        <v>-0.68581335564131096</v>
      </c>
      <c r="FU152" s="3">
        <f ca="1">IFERROR(__xludf.DUMMYFUNCTION("""COMPUTED_VALUE"""),-0.691645390683781)</f>
        <v>-0.69164539068378095</v>
      </c>
      <c r="FV152" s="3">
        <f ca="1">IFERROR(__xludf.DUMMYFUNCTION("""COMPUTED_VALUE"""),-0.607558426403161)</f>
        <v>-0.60755842640316104</v>
      </c>
      <c r="FW152" s="3">
        <f ca="1">IFERROR(__xludf.DUMMYFUNCTION("""COMPUTED_VALUE"""),-0.588898071496533)</f>
        <v>-0.58889807149653295</v>
      </c>
      <c r="FX152" s="3">
        <f ca="1">IFERROR(__xludf.DUMMYFUNCTION("""COMPUTED_VALUE"""),-0.507637295579659)</f>
        <v>-0.50763729557965898</v>
      </c>
      <c r="FY152" s="3">
        <f ca="1">IFERROR(__xludf.DUMMYFUNCTION("""COMPUTED_VALUE"""),-0.654010166877103)</f>
        <v>-0.65401016687710301</v>
      </c>
      <c r="FZ152" s="3">
        <f ca="1">IFERROR(__xludf.DUMMYFUNCTION("""COMPUTED_VALUE"""),-0.697467125152535)</f>
        <v>-0.69746712515253495</v>
      </c>
      <c r="GA152" s="3">
        <f ca="1">IFERROR(__xludf.DUMMYFUNCTION("""COMPUTED_VALUE"""),-0.675658515793377)</f>
        <v>-0.67565851579337699</v>
      </c>
      <c r="GB152" s="3">
        <f ca="1">IFERROR(__xludf.DUMMYFUNCTION("""COMPUTED_VALUE"""),-0.654210792451698)</f>
        <v>-0.654210792451698</v>
      </c>
      <c r="GC152" s="3">
        <f ca="1">IFERROR(__xludf.DUMMYFUNCTION("""COMPUTED_VALUE"""),-0.732957761959718)</f>
        <v>-0.73295776195971796</v>
      </c>
      <c r="GD152" s="3">
        <f ca="1">IFERROR(__xludf.DUMMYFUNCTION("""COMPUTED_VALUE"""),-0.585411779652387)</f>
        <v>-0.585411779652387</v>
      </c>
      <c r="GE152" s="3">
        <f ca="1">IFERROR(__xludf.DUMMYFUNCTION("""COMPUTED_VALUE"""),-0.579362783796917)</f>
        <v>-0.57936278379691697</v>
      </c>
      <c r="GF152" s="3">
        <f ca="1">IFERROR(__xludf.DUMMYFUNCTION("""COMPUTED_VALUE"""),-0.671121284419634)</f>
        <v>-0.67112128441963403</v>
      </c>
      <c r="GG152" s="3">
        <f ca="1">IFERROR(__xludf.DUMMYFUNCTION("""COMPUTED_VALUE"""),-0.675046390877714)</f>
        <v>-0.67504639087771401</v>
      </c>
      <c r="GH152" s="3">
        <f ca="1">IFERROR(__xludf.DUMMYFUNCTION("""COMPUTED_VALUE"""),-0.666970085126195)</f>
        <v>-0.66697008512619504</v>
      </c>
      <c r="GI152" s="3">
        <f ca="1">IFERROR(__xludf.DUMMYFUNCTION("""COMPUTED_VALUE"""),-0.663066102125838)</f>
        <v>-0.66306610212583805</v>
      </c>
      <c r="GJ152" s="3">
        <f ca="1">IFERROR(__xludf.DUMMYFUNCTION("""COMPUTED_VALUE"""),-0.572351844786646)</f>
        <v>-0.57235184478664602</v>
      </c>
      <c r="GK152" s="3">
        <f ca="1">IFERROR(__xludf.DUMMYFUNCTION("""COMPUTED_VALUE"""),-0.545810337738801)</f>
        <v>-0.54581033773880105</v>
      </c>
      <c r="GL152" s="3">
        <f ca="1">IFERROR(__xludf.DUMMYFUNCTION("""COMPUTED_VALUE"""),-0.555423142430985)</f>
        <v>-0.55542314243098501</v>
      </c>
      <c r="GM152" s="3">
        <f ca="1">IFERROR(__xludf.DUMMYFUNCTION("""COMPUTED_VALUE"""),-0.670813174332217)</f>
        <v>-0.67081317433221699</v>
      </c>
      <c r="GN152" s="3">
        <f ca="1">IFERROR(__xludf.DUMMYFUNCTION("""COMPUTED_VALUE"""),-0.696143028923006)</f>
        <v>-0.69614302892300595</v>
      </c>
      <c r="GO152" s="3">
        <f ca="1">IFERROR(__xludf.DUMMYFUNCTION("""COMPUTED_VALUE"""),-0.708884087690046)</f>
        <v>-0.70888408769004596</v>
      </c>
      <c r="GP152" s="3">
        <f ca="1">IFERROR(__xludf.DUMMYFUNCTION("""COMPUTED_VALUE"""),-0.69165514319067)</f>
        <v>-0.69165514319067001</v>
      </c>
      <c r="GQ152" s="3">
        <f ca="1">IFERROR(__xludf.DUMMYFUNCTION("""COMPUTED_VALUE"""),-0.637976590176505)</f>
        <v>-0.63797659017650499</v>
      </c>
      <c r="GR152" s="3">
        <f ca="1">IFERROR(__xludf.DUMMYFUNCTION("""COMPUTED_VALUE"""),-0.478367773062894)</f>
        <v>-0.47836777306289402</v>
      </c>
      <c r="GS152" s="3">
        <f ca="1">IFERROR(__xludf.DUMMYFUNCTION("""COMPUTED_VALUE"""),-0.514162293506265)</f>
        <v>-0.51416229350626497</v>
      </c>
      <c r="GT152" s="3">
        <f ca="1">IFERROR(__xludf.DUMMYFUNCTION("""COMPUTED_VALUE"""),-0.640583090790585)</f>
        <v>-0.64058309079058495</v>
      </c>
      <c r="GU152" s="3">
        <f ca="1">IFERROR(__xludf.DUMMYFUNCTION("""COMPUTED_VALUE"""),-0.680772222426633)</f>
        <v>-0.68077222242663304</v>
      </c>
      <c r="GV152" s="3">
        <f ca="1">IFERROR(__xludf.DUMMYFUNCTION("""COMPUTED_VALUE"""),-0.674463879654315)</f>
        <v>-0.67446387965431498</v>
      </c>
      <c r="GW152" s="3">
        <f ca="1">IFERROR(__xludf.DUMMYFUNCTION("""COMPUTED_VALUE"""),-0.659025634784492)</f>
        <v>-0.65902563478449205</v>
      </c>
      <c r="GX152" s="3">
        <f ca="1">IFERROR(__xludf.DUMMYFUNCTION("""COMPUTED_VALUE"""),-0.676304748857394)</f>
        <v>-0.676304748857394</v>
      </c>
      <c r="GY152" s="3">
        <f ca="1">IFERROR(__xludf.DUMMYFUNCTION("""COMPUTED_VALUE"""),-0.530142507209596)</f>
        <v>-0.53014250720959599</v>
      </c>
      <c r="GZ152" s="3">
        <f ca="1">IFERROR(__xludf.DUMMYFUNCTION("""COMPUTED_VALUE"""),-0.503230826988668)</f>
        <v>-0.50323082698866795</v>
      </c>
      <c r="HA152" s="3">
        <f ca="1">IFERROR(__xludf.DUMMYFUNCTION("""COMPUTED_VALUE"""),-0.648206505909628)</f>
        <v>-0.64820650590962803</v>
      </c>
      <c r="HB152" s="3">
        <f ca="1">IFERROR(__xludf.DUMMYFUNCTION("""COMPUTED_VALUE"""),-0.623448159394897)</f>
        <v>-0.62344815939489695</v>
      </c>
      <c r="HC152" s="3">
        <f ca="1">IFERROR(__xludf.DUMMYFUNCTION("""COMPUTED_VALUE"""),-0.64718648191007)</f>
        <v>-0.64718648191007</v>
      </c>
      <c r="HD152" s="3">
        <f ca="1">IFERROR(__xludf.DUMMYFUNCTION("""COMPUTED_VALUE"""),-0.641360017582188)</f>
        <v>-0.64136001758218797</v>
      </c>
      <c r="HE152" s="3">
        <f ca="1">IFERROR(__xludf.DUMMYFUNCTION("""COMPUTED_VALUE"""),-0.619747165786017)</f>
        <v>-0.61974716578601696</v>
      </c>
      <c r="HF152" s="3">
        <f ca="1">IFERROR(__xludf.DUMMYFUNCTION("""COMPUTED_VALUE"""),-0.469383356877517)</f>
        <v>-0.46938335687751698</v>
      </c>
      <c r="HG152" s="3">
        <f ca="1">IFERROR(__xludf.DUMMYFUNCTION("""COMPUTED_VALUE"""),-0.486724696254813)</f>
        <v>-0.48672469625481302</v>
      </c>
      <c r="HH152" s="3">
        <f ca="1">IFERROR(__xludf.DUMMYFUNCTION("""COMPUTED_VALUE"""),-0.633668249985545)</f>
        <v>-0.63366824998554505</v>
      </c>
      <c r="HI152" s="3">
        <f ca="1">IFERROR(__xludf.DUMMYFUNCTION("""COMPUTED_VALUE"""),-0.622346663933383)</f>
        <v>-0.622346663933383</v>
      </c>
      <c r="HJ152" s="3">
        <f ca="1">IFERROR(__xludf.DUMMYFUNCTION("""COMPUTED_VALUE"""),-0.659190660766897)</f>
        <v>-0.65919066076689703</v>
      </c>
      <c r="HK152" s="3">
        <f ca="1">IFERROR(__xludf.DUMMYFUNCTION("""COMPUTED_VALUE"""),-0.67987365477825)</f>
        <v>-0.67987365477825001</v>
      </c>
      <c r="HL152" s="3">
        <f ca="1">IFERROR(__xludf.DUMMYFUNCTION("""COMPUTED_VALUE"""),-0.709853979015656)</f>
        <v>-0.70985397901565594</v>
      </c>
      <c r="HM152" s="3">
        <f ca="1">IFERROR(__xludf.DUMMYFUNCTION("""COMPUTED_VALUE"""),-0.422449330812214)</f>
        <v>-0.42244933081221397</v>
      </c>
      <c r="HN152" s="3">
        <f ca="1">IFERROR(__xludf.DUMMYFUNCTION("""COMPUTED_VALUE"""),-0.50664974376381)</f>
        <v>-0.50664974376381</v>
      </c>
      <c r="HO152" s="3">
        <f ca="1">IFERROR(__xludf.DUMMYFUNCTION("""COMPUTED_VALUE"""),-0.631448268169074)</f>
        <v>-0.63144826816907396</v>
      </c>
      <c r="HP152" s="3">
        <f ca="1">IFERROR(__xludf.DUMMYFUNCTION("""COMPUTED_VALUE"""),-0.670618321217971)</f>
        <v>-0.67061832121797105</v>
      </c>
      <c r="HQ152" s="3">
        <f ca="1">IFERROR(__xludf.DUMMYFUNCTION("""COMPUTED_VALUE"""),-0.658449634549383)</f>
        <v>-0.65844963454938299</v>
      </c>
      <c r="HR152" s="3">
        <f ca="1">IFERROR(__xludf.DUMMYFUNCTION("""COMPUTED_VALUE"""),-0.660547299154889)</f>
        <v>-0.66054729915488897</v>
      </c>
      <c r="HS152" s="3">
        <f ca="1">IFERROR(__xludf.DUMMYFUNCTION("""COMPUTED_VALUE"""),-0.549765331602294)</f>
        <v>-0.54976533160229402</v>
      </c>
      <c r="HT152" s="3">
        <f ca="1">IFERROR(__xludf.DUMMYFUNCTION("""COMPUTED_VALUE"""),-0.417006650204487)</f>
        <v>-0.41700665020448702</v>
      </c>
      <c r="HU152" s="3">
        <f ca="1">IFERROR(__xludf.DUMMYFUNCTION("""COMPUTED_VALUE"""),-0.521816659836047)</f>
        <v>-0.52181665983604697</v>
      </c>
      <c r="HV152" s="3">
        <f ca="1">IFERROR(__xludf.DUMMYFUNCTION("""COMPUTED_VALUE"""),-0.576280560326174)</f>
        <v>-0.57628056032617403</v>
      </c>
      <c r="HW152" s="3">
        <f ca="1">IFERROR(__xludf.DUMMYFUNCTION("""COMPUTED_VALUE"""),-0.625709418657311)</f>
        <v>-0.625709418657311</v>
      </c>
      <c r="HX152" s="3">
        <f ca="1">IFERROR(__xludf.DUMMYFUNCTION("""COMPUTED_VALUE"""),-0.630923951182634)</f>
        <v>-0.630923951182634</v>
      </c>
      <c r="HY152" s="3">
        <f ca="1">IFERROR(__xludf.DUMMYFUNCTION("""COMPUTED_VALUE"""),-0.624789184379655)</f>
        <v>-0.62478918437965503</v>
      </c>
      <c r="HZ152" s="3">
        <f ca="1">IFERROR(__xludf.DUMMYFUNCTION("""COMPUTED_VALUE"""),-0.433144697458745)</f>
        <v>-0.43314469745874501</v>
      </c>
      <c r="IA152" s="3">
        <f ca="1">IFERROR(__xludf.DUMMYFUNCTION("""COMPUTED_VALUE"""),-0.440439512980604)</f>
        <v>-0.44043951298060402</v>
      </c>
      <c r="IB152" s="3">
        <f ca="1">IFERROR(__xludf.DUMMYFUNCTION("""COMPUTED_VALUE"""),-0.478951288973375)</f>
        <v>-0.47895128897337502</v>
      </c>
      <c r="IC152" s="3">
        <f ca="1">IFERROR(__xludf.DUMMYFUNCTION("""COMPUTED_VALUE"""),-0.515691013985595)</f>
        <v>-0.51569101398559503</v>
      </c>
      <c r="ID152" s="3">
        <f ca="1">IFERROR(__xludf.DUMMYFUNCTION("""COMPUTED_VALUE"""),-0.537879364903628)</f>
        <v>-0.53787936490362798</v>
      </c>
      <c r="IE152" s="3">
        <f ca="1">IFERROR(__xludf.DUMMYFUNCTION("""COMPUTED_VALUE"""),-0.540612289709557)</f>
        <v>-0.54061228970955699</v>
      </c>
      <c r="IF152" s="3">
        <f ca="1">IFERROR(__xludf.DUMMYFUNCTION("""COMPUTED_VALUE"""),-0.567512621152876)</f>
        <v>-0.56751262115287604</v>
      </c>
      <c r="IG152" s="3">
        <f ca="1">IFERROR(__xludf.DUMMYFUNCTION("""COMPUTED_VALUE"""),-0.538670112824021)</f>
        <v>-0.538670112824021</v>
      </c>
      <c r="IH152" s="3">
        <f ca="1">IFERROR(__xludf.DUMMYFUNCTION("""COMPUTED_VALUE"""),-0.462641589164459)</f>
        <v>-0.46264158916445902</v>
      </c>
      <c r="II152" s="3">
        <f ca="1">IFERROR(__xludf.DUMMYFUNCTION("""COMPUTED_VALUE"""),-0.432811302628332)</f>
        <v>-0.43281130262833201</v>
      </c>
      <c r="IJ152" s="3">
        <f ca="1">IFERROR(__xludf.DUMMYFUNCTION("""COMPUTED_VALUE"""),-0.523513971102886)</f>
        <v>-0.523513971102886</v>
      </c>
      <c r="IK152" s="3">
        <f ca="1">IFERROR(__xludf.DUMMYFUNCTION("""COMPUTED_VALUE"""),-0.540834020760166)</f>
        <v>-0.54083402076016596</v>
      </c>
      <c r="IL152" s="3">
        <f ca="1">IFERROR(__xludf.DUMMYFUNCTION("""COMPUTED_VALUE"""),-0.52070117863433)</f>
        <v>-0.52070117863432996</v>
      </c>
      <c r="IM152" s="3">
        <f ca="1">IFERROR(__xludf.DUMMYFUNCTION("""COMPUTED_VALUE"""),-0.509585495512975)</f>
        <v>-0.50958549551297505</v>
      </c>
      <c r="IN152" s="3">
        <f ca="1">IFERROR(__xludf.DUMMYFUNCTION("""COMPUTED_VALUE"""),-0.44067060872217)</f>
        <v>-0.44067060872217001</v>
      </c>
      <c r="IO152" s="3">
        <f ca="1">IFERROR(__xludf.DUMMYFUNCTION("""COMPUTED_VALUE"""),-0.311452975185695)</f>
        <v>-0.31145297518569498</v>
      </c>
      <c r="IP152" s="3">
        <f ca="1">IFERROR(__xludf.DUMMYFUNCTION("""COMPUTED_VALUE"""),-0.401535800378413)</f>
        <v>-0.40153580037841302</v>
      </c>
      <c r="IQ152" s="3">
        <f ca="1">IFERROR(__xludf.DUMMYFUNCTION("""COMPUTED_VALUE"""),-0.515388887637535)</f>
        <v>-0.51538888763753499</v>
      </c>
      <c r="IR152" s="3">
        <f ca="1">IFERROR(__xludf.DUMMYFUNCTION("""COMPUTED_VALUE"""),-0.552616061845508)</f>
        <v>-0.55261606184550804</v>
      </c>
      <c r="IS152" s="3">
        <f ca="1">IFERROR(__xludf.DUMMYFUNCTION("""COMPUTED_VALUE"""),-0.543569768684745)</f>
        <v>-0.54356976868474505</v>
      </c>
      <c r="IT152" s="3">
        <f ca="1">IFERROR(__xludf.DUMMYFUNCTION("""COMPUTED_VALUE"""),-0.611693732636417)</f>
        <v>-0.61169373263641702</v>
      </c>
      <c r="IU152" s="3">
        <f ca="1">IFERROR(__xludf.DUMMYFUNCTION("""COMPUTED_VALUE"""),-0.60981785973084)</f>
        <v>-0.60981785973084002</v>
      </c>
      <c r="IV152" s="3">
        <f ca="1">IFERROR(__xludf.DUMMYFUNCTION("""COMPUTED_VALUE"""),-0.475151051417965)</f>
        <v>-0.47515105141796499</v>
      </c>
      <c r="IW152" s="3">
        <f ca="1">IFERROR(__xludf.DUMMYFUNCTION("""COMPUTED_VALUE"""),-0.485954266707786)</f>
        <v>-0.48595426670778602</v>
      </c>
      <c r="IX152" s="3">
        <f ca="1">IFERROR(__xludf.DUMMYFUNCTION("""COMPUTED_VALUE"""),-0.538946664733208)</f>
        <v>-0.53894666473320796</v>
      </c>
      <c r="IY152" s="3">
        <f ca="1">IFERROR(__xludf.DUMMYFUNCTION("""COMPUTED_VALUE"""),-0.595545136117072)</f>
        <v>-0.59554513611707205</v>
      </c>
      <c r="IZ152" s="3">
        <f ca="1">IFERROR(__xludf.DUMMYFUNCTION("""COMPUTED_VALUE"""),-0.579400725589535)</f>
        <v>-0.57940072558953504</v>
      </c>
      <c r="JA152" s="3">
        <f ca="1">IFERROR(__xludf.DUMMYFUNCTION("""COMPUTED_VALUE"""),-0.544210437564493)</f>
        <v>-0.54421043756449305</v>
      </c>
      <c r="JB152" s="3">
        <f ca="1">IFERROR(__xludf.DUMMYFUNCTION("""COMPUTED_VALUE"""),-0.472711894954388)</f>
        <v>-0.47271189495438798</v>
      </c>
      <c r="JC152" s="3">
        <f ca="1">IFERROR(__xludf.DUMMYFUNCTION("""COMPUTED_VALUE"""),-0.457743291376668)</f>
        <v>-0.45774329137666803</v>
      </c>
      <c r="JD152" s="3">
        <f ca="1">IFERROR(__xludf.DUMMYFUNCTION("""COMPUTED_VALUE"""),-0.458106181456094)</f>
        <v>-0.458106181456094</v>
      </c>
      <c r="JE152" s="3">
        <f ca="1">IFERROR(__xludf.DUMMYFUNCTION("""COMPUTED_VALUE"""),-0.548385203831542)</f>
        <v>-0.54838520383154199</v>
      </c>
      <c r="JF152" s="3">
        <f ca="1">IFERROR(__xludf.DUMMYFUNCTION("""COMPUTED_VALUE"""),-0.565664992210166)</f>
        <v>-0.56566499221016597</v>
      </c>
      <c r="JG152" s="3">
        <f ca="1">IFERROR(__xludf.DUMMYFUNCTION("""COMPUTED_VALUE"""),-0.586319495317961)</f>
        <v>-0.58631949531796101</v>
      </c>
      <c r="JH152" s="3">
        <f ca="1">IFERROR(__xludf.DUMMYFUNCTION("""COMPUTED_VALUE"""),-0.578231546422011)</f>
        <v>-0.57823154642201102</v>
      </c>
      <c r="JI152" s="3">
        <f ca="1">IFERROR(__xludf.DUMMYFUNCTION("""COMPUTED_VALUE"""),-0.531798637902909)</f>
        <v>-0.53179863790290904</v>
      </c>
      <c r="JJ152" s="3">
        <f ca="1">IFERROR(__xludf.DUMMYFUNCTION("""COMPUTED_VALUE"""),-0.550557053875257)</f>
        <v>-0.550557053875257</v>
      </c>
      <c r="JK152" s="3">
        <f ca="1">IFERROR(__xludf.DUMMYFUNCTION("""COMPUTED_VALUE"""),-0.483497438027065)</f>
        <v>-0.48349743802706502</v>
      </c>
      <c r="JL152" s="3">
        <f ca="1">IFERROR(__xludf.DUMMYFUNCTION("""COMPUTED_VALUE"""),-0.58891781433034)</f>
        <v>-0.58891781433033996</v>
      </c>
      <c r="JM152" s="3">
        <f ca="1">IFERROR(__xludf.DUMMYFUNCTION("""COMPUTED_VALUE"""),-0.632490038059007)</f>
        <v>-0.63249003805900705</v>
      </c>
      <c r="JN152" s="3">
        <f ca="1">IFERROR(__xludf.DUMMYFUNCTION("""COMPUTED_VALUE"""),-0.602946906898032)</f>
        <v>-0.60294690689803199</v>
      </c>
      <c r="JO152" s="3">
        <f ca="1">IFERROR(__xludf.DUMMYFUNCTION("""COMPUTED_VALUE"""),-0.612613522504238)</f>
        <v>-0.61261352250423795</v>
      </c>
      <c r="JP152" s="3">
        <f ca="1">IFERROR(__xludf.DUMMYFUNCTION("""COMPUTED_VALUE"""),-0.605680186055334)</f>
        <v>-0.60568018605533402</v>
      </c>
      <c r="JQ152" s="3">
        <f ca="1">IFERROR(__xludf.DUMMYFUNCTION("""COMPUTED_VALUE"""),-0.592270365454352)</f>
        <v>-0.59227036545435197</v>
      </c>
      <c r="JR152" s="3">
        <f ca="1">IFERROR(__xludf.DUMMYFUNCTION("""COMPUTED_VALUE"""),-0.589209607876928)</f>
        <v>-0.589209607876928</v>
      </c>
      <c r="JS152" s="3">
        <f ca="1">IFERROR(__xludf.DUMMYFUNCTION("""COMPUTED_VALUE"""),-0.591732192669681)</f>
        <v>-0.59173219266968102</v>
      </c>
      <c r="JT152" s="3">
        <f ca="1">IFERROR(__xludf.DUMMYFUNCTION("""COMPUTED_VALUE"""),-0.640857497865577)</f>
        <v>-0.640857497865577</v>
      </c>
      <c r="JU152" s="3">
        <f ca="1">IFERROR(__xludf.DUMMYFUNCTION("""COMPUTED_VALUE"""),-0.638120156353418)</f>
        <v>-0.63812015635341801</v>
      </c>
      <c r="JV152" s="3">
        <f ca="1">IFERROR(__xludf.DUMMYFUNCTION("""COMPUTED_VALUE"""),-0.62700793887864)</f>
        <v>-0.62700793887864004</v>
      </c>
      <c r="JW152" s="3">
        <f ca="1">IFERROR(__xludf.DUMMYFUNCTION("""COMPUTED_VALUE"""),-0.537166535576072)</f>
        <v>-0.53716653557607197</v>
      </c>
      <c r="JX152" s="3">
        <f ca="1">IFERROR(__xludf.DUMMYFUNCTION("""COMPUTED_VALUE"""),-0.528498554478318)</f>
        <v>-0.52849855447831795</v>
      </c>
      <c r="JY152" s="3">
        <f ca="1">IFERROR(__xludf.DUMMYFUNCTION("""COMPUTED_VALUE"""),-0.493635816448148)</f>
        <v>-0.49363581644814802</v>
      </c>
      <c r="JZ152" s="3">
        <f ca="1">IFERROR(__xludf.DUMMYFUNCTION("""COMPUTED_VALUE"""),-0.611130046093739)</f>
        <v>-0.611130046093739</v>
      </c>
      <c r="KA152" s="3">
        <f ca="1">IFERROR(__xludf.DUMMYFUNCTION("""COMPUTED_VALUE"""),-0.649801059108535)</f>
        <v>-0.64980105910853503</v>
      </c>
      <c r="KB152" s="3">
        <f ca="1">IFERROR(__xludf.DUMMYFUNCTION("""COMPUTED_VALUE"""),-0.686850013090284)</f>
        <v>-0.68685001309028404</v>
      </c>
      <c r="KC152" s="3">
        <f ca="1">IFERROR(__xludf.DUMMYFUNCTION("""COMPUTED_VALUE"""),-0.562307074316592)</f>
        <v>-0.56230707431659199</v>
      </c>
      <c r="KD152" s="3">
        <f ca="1">IFERROR(__xludf.DUMMYFUNCTION("""COMPUTED_VALUE"""),-0.519163501724795)</f>
        <v>-0.51916350172479497</v>
      </c>
      <c r="KE152" s="3">
        <f ca="1">IFERROR(__xludf.DUMMYFUNCTION("""COMPUTED_VALUE"""),-0.49000141228665)</f>
        <v>-0.49000141228665001</v>
      </c>
      <c r="KF152" s="3">
        <f ca="1">IFERROR(__xludf.DUMMYFUNCTION("""COMPUTED_VALUE"""),-0.556362581501382)</f>
        <v>-0.55636258150138196</v>
      </c>
      <c r="KG152" s="3">
        <f ca="1">IFERROR(__xludf.DUMMYFUNCTION("""COMPUTED_VALUE"""),-0.628174449113249)</f>
        <v>-0.62817444911324904</v>
      </c>
      <c r="KH152" s="3">
        <f ca="1">IFERROR(__xludf.DUMMYFUNCTION("""COMPUTED_VALUE"""),-0.627599300099788)</f>
        <v>-0.62759930009978804</v>
      </c>
      <c r="KI152" s="3">
        <f ca="1">IFERROR(__xludf.DUMMYFUNCTION("""COMPUTED_VALUE"""),-0.613630998166698)</f>
        <v>-0.61363099816669797</v>
      </c>
      <c r="KJ152" s="3">
        <f ca="1">IFERROR(__xludf.DUMMYFUNCTION("""COMPUTED_VALUE"""),-0.670713073179168)</f>
        <v>-0.67071307317916795</v>
      </c>
      <c r="KK152" s="3">
        <f ca="1">IFERROR(__xludf.DUMMYFUNCTION("""COMPUTED_VALUE"""),-0.590135292447311)</f>
        <v>-0.590135292447311</v>
      </c>
      <c r="KL152" s="3">
        <f ca="1">IFERROR(__xludf.DUMMYFUNCTION("""COMPUTED_VALUE"""),-0.546749693182154)</f>
        <v>-0.54674969318215405</v>
      </c>
      <c r="KM152" s="3">
        <f ca="1">IFERROR(__xludf.DUMMYFUNCTION("""COMPUTED_VALUE"""),-0.542386566955941)</f>
        <v>-0.54238656695594101</v>
      </c>
      <c r="KN152" s="3">
        <f ca="1">IFERROR(__xludf.DUMMYFUNCTION("""COMPUTED_VALUE"""),-0.646311069587811)</f>
        <v>-0.64631106958781104</v>
      </c>
      <c r="KO152" s="3">
        <f ca="1">IFERROR(__xludf.DUMMYFUNCTION("""COMPUTED_VALUE"""),-0.629968002951969)</f>
        <v>-0.62996800295196898</v>
      </c>
      <c r="KP152" s="3">
        <f ca="1">IFERROR(__xludf.DUMMYFUNCTION("""COMPUTED_VALUE"""),-0.659252694110586)</f>
        <v>-0.65925269411058596</v>
      </c>
      <c r="KQ152" s="3">
        <f ca="1">IFERROR(__xludf.DUMMYFUNCTION("""COMPUTED_VALUE"""),-0.671123743295703)</f>
        <v>-0.67112374329570301</v>
      </c>
      <c r="KR152" s="3">
        <f ca="1">IFERROR(__xludf.DUMMYFUNCTION("""COMPUTED_VALUE"""),-0.653041859680926)</f>
        <v>-0.65304185968092598</v>
      </c>
      <c r="KS152" s="3">
        <f ca="1">IFERROR(__xludf.DUMMYFUNCTION("""COMPUTED_VALUE"""),-0.575811087007857)</f>
        <v>-0.57581108700785699</v>
      </c>
      <c r="KT152" s="3">
        <f ca="1">IFERROR(__xludf.DUMMYFUNCTION("""COMPUTED_VALUE"""),-0.593579920194369)</f>
        <v>-0.593579920194369</v>
      </c>
      <c r="KU152" s="3">
        <f ca="1">IFERROR(__xludf.DUMMYFUNCTION("""COMPUTED_VALUE"""),-0.696306062289848)</f>
        <v>-0.69630606228984804</v>
      </c>
      <c r="KV152" s="3">
        <f ca="1">IFERROR(__xludf.DUMMYFUNCTION("""COMPUTED_VALUE"""),-0.701004284597044)</f>
        <v>-0.701004284597044</v>
      </c>
      <c r="KW152" s="3">
        <f ca="1">IFERROR(__xludf.DUMMYFUNCTION("""COMPUTED_VALUE"""),-0.693922234074867)</f>
        <v>-0.69392223407486697</v>
      </c>
      <c r="KX152" s="3">
        <f ca="1">IFERROR(__xludf.DUMMYFUNCTION("""COMPUTED_VALUE"""),-0.691939232470873)</f>
        <v>-0.69193923247087297</v>
      </c>
      <c r="KY152" s="3">
        <f ca="1">IFERROR(__xludf.DUMMYFUNCTION("""COMPUTED_VALUE"""),-0.658002158357311)</f>
        <v>-0.65800215835731102</v>
      </c>
      <c r="KZ152" s="3">
        <f ca="1">IFERROR(__xludf.DUMMYFUNCTION("""COMPUTED_VALUE"""),-0.54026311505232)</f>
        <v>-0.54026311505232005</v>
      </c>
      <c r="LA152" s="3">
        <f ca="1">IFERROR(__xludf.DUMMYFUNCTION("""COMPUTED_VALUE"""),-0.601287337848309)</f>
        <v>-0.60128733784830901</v>
      </c>
      <c r="LB152" s="3">
        <f ca="1">IFERROR(__xludf.DUMMYFUNCTION("""COMPUTED_VALUE"""),-0.682951408868901)</f>
        <v>-0.68295140886890104</v>
      </c>
      <c r="LC152" s="3">
        <f ca="1">IFERROR(__xludf.DUMMYFUNCTION("""COMPUTED_VALUE"""),-0.680934552198991)</f>
        <v>-0.68093455219899102</v>
      </c>
      <c r="LD152" s="3">
        <f ca="1">IFERROR(__xludf.DUMMYFUNCTION("""COMPUTED_VALUE"""),-0.698632629090511)</f>
        <v>-0.69863262909051105</v>
      </c>
      <c r="LE152" s="3">
        <f ca="1">IFERROR(__xludf.DUMMYFUNCTION("""COMPUTED_VALUE"""),-0.706160585478472)</f>
        <v>-0.70616058547847205</v>
      </c>
      <c r="LF152" s="3">
        <f ca="1">IFERROR(__xludf.DUMMYFUNCTION("""COMPUTED_VALUE"""),-0.608414523254576)</f>
        <v>-0.60841452325457601</v>
      </c>
      <c r="LG152" s="3">
        <f ca="1">IFERROR(__xludf.DUMMYFUNCTION("""COMPUTED_VALUE"""),-0.610159948167451)</f>
        <v>-0.61015994816745101</v>
      </c>
      <c r="LH152" s="3">
        <f ca="1">IFERROR(__xludf.DUMMYFUNCTION("""COMPUTED_VALUE"""),-0.597302846824761)</f>
        <v>-0.59730284682476098</v>
      </c>
      <c r="LI152" s="3">
        <f ca="1">IFERROR(__xludf.DUMMYFUNCTION("""COMPUTED_VALUE"""),-0.757926074360389)</f>
        <v>-0.75792607436038895</v>
      </c>
      <c r="LJ152" s="3">
        <f ca="1">IFERROR(__xludf.DUMMYFUNCTION("""COMPUTED_VALUE"""),-0.753069612359877)</f>
        <v>-0.75306961235987702</v>
      </c>
      <c r="LK152" s="3">
        <f ca="1">IFERROR(__xludf.DUMMYFUNCTION("""COMPUTED_VALUE"""),-0.693507589145963)</f>
        <v>-0.693507589145963</v>
      </c>
      <c r="LL152" s="3">
        <f ca="1">IFERROR(__xludf.DUMMYFUNCTION("""COMPUTED_VALUE"""),-0.730322141595319)</f>
        <v>-0.73032214159531905</v>
      </c>
      <c r="LM152" s="3">
        <f ca="1">IFERROR(__xludf.DUMMYFUNCTION("""COMPUTED_VALUE"""),-0.655595779160214)</f>
        <v>-0.65559577916021405</v>
      </c>
      <c r="LN152" s="3">
        <f ca="1">IFERROR(__xludf.DUMMYFUNCTION("""COMPUTED_VALUE"""),-0.664219097968165)</f>
        <v>-0.66421909796816503</v>
      </c>
      <c r="LO152" s="3">
        <f ca="1">IFERROR(__xludf.DUMMYFUNCTION("""COMPUTED_VALUE"""),-0.666992281282238)</f>
        <v>-0.66699228128223798</v>
      </c>
      <c r="LP152" s="3">
        <f ca="1">IFERROR(__xludf.DUMMYFUNCTION("""COMPUTED_VALUE"""),-0.763699666248149)</f>
        <v>-0.763699666248149</v>
      </c>
      <c r="LQ152" s="3">
        <f ca="1">IFERROR(__xludf.DUMMYFUNCTION("""COMPUTED_VALUE"""),-0.747974728683802)</f>
        <v>-0.74797472868380199</v>
      </c>
      <c r="LR152" s="3">
        <f ca="1">IFERROR(__xludf.DUMMYFUNCTION("""COMPUTED_VALUE"""),-0.758987676904078)</f>
        <v>-0.75898767690407798</v>
      </c>
      <c r="LS152" s="3">
        <f ca="1">IFERROR(__xludf.DUMMYFUNCTION("""COMPUTED_VALUE"""),-0.773092350661691)</f>
        <v>-0.77309235066169102</v>
      </c>
      <c r="LT152" s="3">
        <f ca="1">IFERROR(__xludf.DUMMYFUNCTION("""COMPUTED_VALUE"""),-0.816274369028091)</f>
        <v>-0.81627436902809103</v>
      </c>
      <c r="LU152" s="3">
        <f ca="1">IFERROR(__xludf.DUMMYFUNCTION("""COMPUTED_VALUE"""),-0.714042047870126)</f>
        <v>-0.71404204787012604</v>
      </c>
      <c r="LV152" s="3">
        <f ca="1">IFERROR(__xludf.DUMMYFUNCTION("""COMPUTED_VALUE"""),-0.734382031364938)</f>
        <v>-0.73438203136493796</v>
      </c>
      <c r="LW152" s="3">
        <f ca="1">IFERROR(__xludf.DUMMYFUNCTION("""COMPUTED_VALUE"""),-0.793849140900594)</f>
        <v>-0.793849140900594</v>
      </c>
      <c r="LX152" s="3">
        <f ca="1">IFERROR(__xludf.DUMMYFUNCTION("""COMPUTED_VALUE"""),-0.786131776688487)</f>
        <v>-0.78613177668848699</v>
      </c>
      <c r="LY152" s="3">
        <f ca="1">IFERROR(__xludf.DUMMYFUNCTION("""COMPUTED_VALUE"""),-0.794439109247274)</f>
        <v>-0.79443910924727401</v>
      </c>
      <c r="LZ152" s="3">
        <f ca="1">IFERROR(__xludf.DUMMYFUNCTION("""COMPUTED_VALUE"""),-0.816883537391852)</f>
        <v>-0.81688353739185204</v>
      </c>
      <c r="MA152" s="3">
        <f ca="1">IFERROR(__xludf.DUMMYFUNCTION("""COMPUTED_VALUE"""),-0.743277734785056)</f>
        <v>-0.74327773478505599</v>
      </c>
      <c r="MB152" s="3">
        <f ca="1">IFERROR(__xludf.DUMMYFUNCTION("""COMPUTED_VALUE"""),-0.725374808936972)</f>
        <v>-0.72537480893697204</v>
      </c>
      <c r="MC152" s="3">
        <f ca="1">IFERROR(__xludf.DUMMYFUNCTION("""COMPUTED_VALUE"""),-0.767644633442318)</f>
        <v>-0.76764463344231804</v>
      </c>
      <c r="MD152" s="3">
        <f ca="1">IFERROR(__xludf.DUMMYFUNCTION("""COMPUTED_VALUE"""),-0.817948384645465)</f>
        <v>-0.81794838464546504</v>
      </c>
      <c r="ME152" s="3">
        <f ca="1">IFERROR(__xludf.DUMMYFUNCTION("""COMPUTED_VALUE"""),-0.812540149268066)</f>
        <v>-0.81254014926806595</v>
      </c>
      <c r="MF152" s="3">
        <f ca="1">IFERROR(__xludf.DUMMYFUNCTION("""COMPUTED_VALUE"""),-0.811684575979752)</f>
        <v>-0.81168457597975197</v>
      </c>
      <c r="MG152" s="3">
        <f ca="1">IFERROR(__xludf.DUMMYFUNCTION("""COMPUTED_VALUE"""),-0.820815886873199)</f>
        <v>-0.82081588687319895</v>
      </c>
      <c r="MH152" s="3">
        <f ca="1">IFERROR(__xludf.DUMMYFUNCTION("""COMPUTED_VALUE"""),-0.771803302809742)</f>
        <v>-0.77180330280974196</v>
      </c>
      <c r="MI152" s="3">
        <f ca="1">IFERROR(__xludf.DUMMYFUNCTION("""COMPUTED_VALUE"""),-0.764274465185518)</f>
        <v>-0.764274465185518</v>
      </c>
      <c r="MJ152" s="3">
        <f ca="1">IFERROR(__xludf.DUMMYFUNCTION("""COMPUTED_VALUE"""),-0.77382426083885)</f>
        <v>-0.77382426083885003</v>
      </c>
      <c r="MK152" s="3">
        <f ca="1">IFERROR(__xludf.DUMMYFUNCTION("""COMPUTED_VALUE"""),-0.817027591519888)</f>
        <v>-0.81702759151988802</v>
      </c>
      <c r="ML152" s="3">
        <f ca="1">IFERROR(__xludf.DUMMYFUNCTION("""COMPUTED_VALUE"""),-0.826336318401954)</f>
        <v>-0.82633631840195398</v>
      </c>
      <c r="MM152" s="3">
        <f ca="1">IFERROR(__xludf.DUMMYFUNCTION("""COMPUTED_VALUE"""),-0.843801993475918)</f>
        <v>-0.843801993475918</v>
      </c>
      <c r="MN152" s="3">
        <f ca="1">IFERROR(__xludf.DUMMYFUNCTION("""COMPUTED_VALUE"""),-0.810302269103619)</f>
        <v>-0.81030226910361902</v>
      </c>
      <c r="MO152" s="3">
        <f ca="1">IFERROR(__xludf.DUMMYFUNCTION("""COMPUTED_VALUE"""),-0.802166214039468)</f>
        <v>-0.80216621403946797</v>
      </c>
      <c r="MP152" s="3">
        <f ca="1">IFERROR(__xludf.DUMMYFUNCTION("""COMPUTED_VALUE"""),-0.7767063195148)</f>
        <v>-0.77670631951479996</v>
      </c>
      <c r="MQ152" s="3">
        <f ca="1">IFERROR(__xludf.DUMMYFUNCTION("""COMPUTED_VALUE"""),-0.806589889033012)</f>
        <v>-0.80658988903301199</v>
      </c>
      <c r="MR152" s="3">
        <f ca="1">IFERROR(__xludf.DUMMYFUNCTION("""COMPUTED_VALUE"""),-0.799829704540597)</f>
        <v>-0.79982970454059699</v>
      </c>
      <c r="MS152" s="3">
        <f ca="1">IFERROR(__xludf.DUMMYFUNCTION("""COMPUTED_VALUE"""),-0.847027150125649)</f>
        <v>-0.847027150125649</v>
      </c>
      <c r="MT152" s="3">
        <f ca="1">IFERROR(__xludf.DUMMYFUNCTION("""COMPUTED_VALUE"""),-0.834805772833076)</f>
        <v>-0.834805772833076</v>
      </c>
      <c r="MU152" s="3">
        <f ca="1">IFERROR(__xludf.DUMMYFUNCTION("""COMPUTED_VALUE"""),-0.829326461092946)</f>
        <v>-0.82932646109294605</v>
      </c>
      <c r="MV152" s="3">
        <f ca="1">IFERROR(__xludf.DUMMYFUNCTION("""COMPUTED_VALUE"""),-0.798896709097548)</f>
        <v>-0.79889670909754795</v>
      </c>
      <c r="MW152" s="3">
        <f ca="1">IFERROR(__xludf.DUMMYFUNCTION("""COMPUTED_VALUE"""),-0.781043105848024)</f>
        <v>-0.78104310584802406</v>
      </c>
      <c r="MX152" s="3">
        <f ca="1">IFERROR(__xludf.DUMMYFUNCTION("""COMPUTED_VALUE"""),-0.821530705165591)</f>
        <v>-0.82153070516559101</v>
      </c>
      <c r="MY152" s="3">
        <f ca="1">IFERROR(__xludf.DUMMYFUNCTION("""COMPUTED_VALUE"""),-0.804086165003184)</f>
        <v>-0.80408616500318397</v>
      </c>
      <c r="MZ152" s="3">
        <f ca="1">IFERROR(__xludf.DUMMYFUNCTION("""COMPUTED_VALUE"""),-0.839651931678696)</f>
        <v>-0.83965193167869601</v>
      </c>
      <c r="NA152" s="3">
        <f ca="1">IFERROR(__xludf.DUMMYFUNCTION("""COMPUTED_VALUE"""),-0.853469739402384)</f>
        <v>-0.85346973940238402</v>
      </c>
      <c r="NB152" s="3">
        <f ca="1">IFERROR(__xludf.DUMMYFUNCTION("""COMPUTED_VALUE"""),-0.842271380412048)</f>
        <v>-0.84227138041204797</v>
      </c>
      <c r="NC152" s="3">
        <f ca="1">IFERROR(__xludf.DUMMYFUNCTION("""COMPUTED_VALUE"""),-0.792282924485649)</f>
        <v>-0.79228292448564896</v>
      </c>
      <c r="ND152" s="3">
        <f ca="1">IFERROR(__xludf.DUMMYFUNCTION("""COMPUTED_VALUE"""),-0.804532627811034)</f>
        <v>-0.80453262781103396</v>
      </c>
      <c r="NE152" s="3">
        <f ca="1">IFERROR(__xludf.DUMMYFUNCTION("""COMPUTED_VALUE"""),-0.810537740902268)</f>
        <v>-0.81053774090226804</v>
      </c>
      <c r="NF152" s="3">
        <f ca="1">IFERROR(__xludf.DUMMYFUNCTION("""COMPUTED_VALUE"""),-0.874256201527797)</f>
        <v>-0.87425620152779704</v>
      </c>
      <c r="NG152" s="3">
        <f ca="1">IFERROR(__xludf.DUMMYFUNCTION("""COMPUTED_VALUE"""),-0.831847375734152)</f>
        <v>-0.83184737573415202</v>
      </c>
      <c r="NH152" s="3">
        <f ca="1">IFERROR(__xludf.DUMMYFUNCTION("""COMPUTED_VALUE"""),-0.840856512210472)</f>
        <v>-0.84085651221047197</v>
      </c>
      <c r="NI152" s="3">
        <f ca="1">IFERROR(__xludf.DUMMYFUNCTION("""COMPUTED_VALUE"""),-0.815887907955747)</f>
        <v>-0.81588790795574695</v>
      </c>
      <c r="NJ152" s="3">
        <f ca="1">IFERROR(__xludf.DUMMYFUNCTION("""COMPUTED_VALUE"""),-0.775660081770016)</f>
        <v>-0.775660081770016</v>
      </c>
      <c r="NK152" s="3">
        <f ca="1">IFERROR(__xludf.DUMMYFUNCTION("""COMPUTED_VALUE"""),-0.762493812989265)</f>
        <v>-0.762493812989265</v>
      </c>
      <c r="NL152" s="3">
        <f ca="1">IFERROR(__xludf.DUMMYFUNCTION("""COMPUTED_VALUE"""),-0.825630266459831)</f>
        <v>-0.82563026645983095</v>
      </c>
      <c r="NM152" s="3">
        <f ca="1">IFERROR(__xludf.DUMMYFUNCTION("""COMPUTED_VALUE"""),-0.834578397938615)</f>
        <v>-0.83457839793861499</v>
      </c>
      <c r="NN152" s="3">
        <f ca="1">IFERROR(__xludf.DUMMYFUNCTION("""COMPUTED_VALUE"""),-0.841729952259576)</f>
        <v>-0.84172995225957603</v>
      </c>
      <c r="NO152" s="3">
        <f ca="1">IFERROR(__xludf.DUMMYFUNCTION("""COMPUTED_VALUE"""),-0.821708009633374)</f>
        <v>-0.82170800963337398</v>
      </c>
      <c r="NP152" s="3">
        <f ca="1">IFERROR(__xludf.DUMMYFUNCTION("""COMPUTED_VALUE"""),-0.824192664706429)</f>
        <v>-0.82419266470642905</v>
      </c>
      <c r="NQ152" s="3">
        <f ca="1">IFERROR(__xludf.DUMMYFUNCTION("""COMPUTED_VALUE"""),-0.804276051582256)</f>
        <v>-0.80427605158225601</v>
      </c>
      <c r="NR152" s="3">
        <f ca="1">IFERROR(__xludf.DUMMYFUNCTION("""COMPUTED_VALUE"""),-0.784455758502995)</f>
        <v>-0.78445575850299498</v>
      </c>
      <c r="NS152" s="3">
        <f ca="1">IFERROR(__xludf.DUMMYFUNCTION("""COMPUTED_VALUE"""),-0.833343635761571)</f>
        <v>-0.833343635761571</v>
      </c>
      <c r="NT152" s="3">
        <f ca="1">IFERROR(__xludf.DUMMYFUNCTION("""COMPUTED_VALUE"""),-0.83717215570418)</f>
        <v>-0.83717215570418002</v>
      </c>
      <c r="NU152" s="3">
        <f ca="1">IFERROR(__xludf.DUMMYFUNCTION("""COMPUTED_VALUE"""),-0.83572297187749)</f>
        <v>-0.83572297187749001</v>
      </c>
      <c r="NV152" s="3">
        <f ca="1">IFERROR(__xludf.DUMMYFUNCTION("""COMPUTED_VALUE"""),-0.821880337693369)</f>
        <v>-0.82188033769336899</v>
      </c>
      <c r="NW152" s="3">
        <f ca="1">IFERROR(__xludf.DUMMYFUNCTION("""COMPUTED_VALUE"""),-0.771539068123517)</f>
        <v>-0.77153906812351702</v>
      </c>
      <c r="NX152" s="3">
        <f ca="1">IFERROR(__xludf.DUMMYFUNCTION("""COMPUTED_VALUE"""),-0.744122085147341)</f>
        <v>-0.74412208514734102</v>
      </c>
      <c r="NY152" s="3">
        <f ca="1">IFERROR(__xludf.DUMMYFUNCTION("""COMPUTED_VALUE"""),-0.673664406835442)</f>
        <v>-0.67366440683544204</v>
      </c>
      <c r="NZ152" s="3">
        <f ca="1">IFERROR(__xludf.DUMMYFUNCTION("""COMPUTED_VALUE"""),-0.699530866121485)</f>
        <v>-0.69953086612148496</v>
      </c>
      <c r="OA152" s="3">
        <f ca="1">IFERROR(__xludf.DUMMYFUNCTION("""COMPUTED_VALUE"""),-0.756702881531679)</f>
        <v>-0.75670288153167897</v>
      </c>
      <c r="OB152" s="3">
        <f ca="1">IFERROR(__xludf.DUMMYFUNCTION("""COMPUTED_VALUE"""),-0.735526224378954)</f>
        <v>-0.73552622437895399</v>
      </c>
      <c r="OC152" s="3">
        <f ca="1">IFERROR(__xludf.DUMMYFUNCTION("""COMPUTED_VALUE"""),-0.686163663146221)</f>
        <v>-0.68616366314622101</v>
      </c>
      <c r="OD152" s="3">
        <f ca="1">IFERROR(__xludf.DUMMYFUNCTION("""COMPUTED_VALUE"""),-0.601351501018239)</f>
        <v>-0.60135150101823898</v>
      </c>
      <c r="OE152" s="3">
        <f ca="1">IFERROR(__xludf.DUMMYFUNCTION("""COMPUTED_VALUE"""),-0.53676917626091)</f>
        <v>-0.53676917626091003</v>
      </c>
      <c r="OF152" s="3">
        <f ca="1">IFERROR(__xludf.DUMMYFUNCTION("""COMPUTED_VALUE"""),-0.408513071446933)</f>
        <v>-0.408513071446933</v>
      </c>
      <c r="OG152" s="3">
        <f ca="1">IFERROR(__xludf.DUMMYFUNCTION("""COMPUTED_VALUE"""),-0.351521228148638)</f>
        <v>-0.35152122814863801</v>
      </c>
      <c r="OH152" s="3">
        <f ca="1">IFERROR(__xludf.DUMMYFUNCTION("""COMPUTED_VALUE"""),-0.21874187274685)</f>
        <v>-0.21874187274685</v>
      </c>
      <c r="OI152" s="3">
        <f ca="1">IFERROR(__xludf.DUMMYFUNCTION("""COMPUTED_VALUE"""),-0.112287212532497)</f>
        <v>-0.112287212532497</v>
      </c>
      <c r="OJ152" s="3">
        <f ca="1">IFERROR(__xludf.DUMMYFUNCTION("""COMPUTED_VALUE"""),-0.0485120311019111)</f>
        <v>-4.8512031101911102E-2</v>
      </c>
      <c r="OK152" s="3">
        <f ca="1">IFERROR(__xludf.DUMMYFUNCTION("""COMPUTED_VALUE"""),-0.0668967864469894)</f>
        <v>-6.6896786446989404E-2</v>
      </c>
      <c r="OL152" s="3">
        <f ca="1">IFERROR(__xludf.DUMMYFUNCTION("""COMPUTED_VALUE"""),-0.0277870207348498)</f>
        <v>-2.7787020734849802E-2</v>
      </c>
      <c r="OM152" s="3">
        <f ca="1">IFERROR(__xludf.DUMMYFUNCTION("""COMPUTED_VALUE"""),0.0214929969121762)</f>
        <v>2.1492996912176199E-2</v>
      </c>
      <c r="ON152" s="3">
        <f ca="1">IFERROR(__xludf.DUMMYFUNCTION("""COMPUTED_VALUE"""),-0.0368128241498548)</f>
        <v>-3.6812824149854803E-2</v>
      </c>
      <c r="OO152" s="3">
        <f ca="1">IFERROR(__xludf.DUMMYFUNCTION("""COMPUTED_VALUE"""),-0.0222567348878733)</f>
        <v>-2.2256734887873299E-2</v>
      </c>
      <c r="OP152" s="3">
        <f ca="1">IFERROR(__xludf.DUMMYFUNCTION("""COMPUTED_VALUE"""),-0.00706121483449462)</f>
        <v>-7.0612148344946198E-3</v>
      </c>
      <c r="OQ152" s="3">
        <f ca="1">IFERROR(__xludf.DUMMYFUNCTION("""COMPUTED_VALUE"""),0.0256751445268101)</f>
        <v>2.5675144526810099E-2</v>
      </c>
      <c r="OR152" s="3">
        <f ca="1">IFERROR(__xludf.DUMMYFUNCTION("""COMPUTED_VALUE"""),0.0528734733661666)</f>
        <v>5.2873473366166601E-2</v>
      </c>
      <c r="OS152" s="3">
        <f ca="1">IFERROR(__xludf.DUMMYFUNCTION("""COMPUTED_VALUE"""),0.0237898837322525)</f>
        <v>2.3789883732252499E-2</v>
      </c>
      <c r="OT152" s="3">
        <f ca="1">IFERROR(__xludf.DUMMYFUNCTION("""COMPUTED_VALUE"""),-0.0542667646553886)</f>
        <v>-5.42667646553886E-2</v>
      </c>
      <c r="OU152" s="3">
        <f ca="1">IFERROR(__xludf.DUMMYFUNCTION("""COMPUTED_VALUE"""),-0.053985041936031)</f>
        <v>-5.3985041936031E-2</v>
      </c>
      <c r="OV152" s="3">
        <f ca="1">IFERROR(__xludf.DUMMYFUNCTION("""COMPUTED_VALUE"""),-0.0190066368638659)</f>
        <v>-1.9006636863865899E-2</v>
      </c>
      <c r="OW152" s="3">
        <f ca="1">IFERROR(__xludf.DUMMYFUNCTION("""COMPUTED_VALUE"""),-0.0785842309082283)</f>
        <v>-7.8584230908228303E-2</v>
      </c>
      <c r="OX152" s="3">
        <f ca="1">IFERROR(__xludf.DUMMYFUNCTION("""COMPUTED_VALUE"""),-0.0279564943916249)</f>
        <v>-2.7956494391624901E-2</v>
      </c>
      <c r="OY152" s="3">
        <f ca="1">IFERROR(__xludf.DUMMYFUNCTION("""COMPUTED_VALUE"""),0.0521684397999313)</f>
        <v>5.2168439799931299E-2</v>
      </c>
      <c r="OZ152" s="3">
        <f ca="1">IFERROR(__xludf.DUMMYFUNCTION("""COMPUTED_VALUE"""),0.2160555533782)</f>
        <v>0.21605555337820001</v>
      </c>
      <c r="PA152" s="3">
        <f ca="1">IFERROR(__xludf.DUMMYFUNCTION("""COMPUTED_VALUE"""),0.111096812293392)</f>
        <v>0.11109681229339199</v>
      </c>
      <c r="PB152" s="3">
        <f ca="1">IFERROR(__xludf.DUMMYFUNCTION("""COMPUTED_VALUE"""),0.0347203734596945)</f>
        <v>3.4720373459694497E-2</v>
      </c>
      <c r="PC152" s="3">
        <f ca="1">IFERROR(__xludf.DUMMYFUNCTION("""COMPUTED_VALUE"""),-0.0248726710721379)</f>
        <v>-2.4872671072137899E-2</v>
      </c>
      <c r="PD152" s="3">
        <f ca="1">IFERROR(__xludf.DUMMYFUNCTION("""COMPUTED_VALUE"""),-0.100408155183581)</f>
        <v>-0.100408155183581</v>
      </c>
      <c r="PE152" s="3">
        <f ca="1">IFERROR(__xludf.DUMMYFUNCTION("""COMPUTED_VALUE"""),-0.0157028117933062)</f>
        <v>-1.5702811793306199E-2</v>
      </c>
      <c r="PF152" s="3">
        <f ca="1">IFERROR(__xludf.DUMMYFUNCTION("""COMPUTED_VALUE"""),0.136738778246505)</f>
        <v>0.13673877824650499</v>
      </c>
      <c r="PG152" s="3">
        <f ca="1">IFERROR(__xludf.DUMMYFUNCTION("""COMPUTED_VALUE"""),-0.46741082072686)</f>
        <v>-0.46741082072686002</v>
      </c>
      <c r="PH152" s="3">
        <f ca="1">IFERROR(__xludf.DUMMYFUNCTION("""COMPUTED_VALUE"""),-0.00811434579200709)</f>
        <v>-8.1143457920070904E-3</v>
      </c>
      <c r="PI152" s="3">
        <f ca="1">IFERROR(__xludf.DUMMYFUNCTION("""COMPUTED_VALUE"""),0.0195974090783439)</f>
        <v>1.95974090783439E-2</v>
      </c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</row>
    <row r="153" spans="1:477" ht="13">
      <c r="A153" s="1" t="str">
        <f ca="1">IFERROR(__xludf.DUMMYFUNCTION("""COMPUTED_VALUE"""),"MiWay")</f>
        <v>MiWay</v>
      </c>
      <c r="B153" s="1" t="str">
        <f ca="1">IFERROR(__xludf.DUMMYFUNCTION("""COMPUTED_VALUE"""),"Toronto")</f>
        <v>Toronto</v>
      </c>
      <c r="C153" s="1" t="str">
        <f ca="1">IFERROR(__xludf.DUMMYFUNCTION("""COMPUTED_VALUE"""),"Canada")</f>
        <v>Canada</v>
      </c>
      <c r="D153" s="1" t="str">
        <f ca="1">IFERROR(__xludf.DUMMYFUNCTION("""COMPUTED_VALUE"""),"Ontario")</f>
        <v>Ontario</v>
      </c>
      <c r="E153" s="3">
        <f ca="1">IFERROR(__xludf.DUMMYFUNCTION("""COMPUTED_VALUE"""),-0.589067599956693)</f>
        <v>-0.589067599956693</v>
      </c>
      <c r="F153" s="3">
        <f ca="1">IFERROR(__xludf.DUMMYFUNCTION("""COMPUTED_VALUE"""),-0.617525307231578)</f>
        <v>-0.61752530723157795</v>
      </c>
      <c r="G153" s="3">
        <f ca="1">IFERROR(__xludf.DUMMYFUNCTION("""COMPUTED_VALUE"""),-0.689967911793975)</f>
        <v>-0.68996791179397499</v>
      </c>
      <c r="H153" s="3">
        <f ca="1">IFERROR(__xludf.DUMMYFUNCTION("""COMPUTED_VALUE"""),-0.659581181308267)</f>
        <v>-0.65958118130826704</v>
      </c>
      <c r="I153" s="3">
        <f ca="1">IFERROR(__xludf.DUMMYFUNCTION("""COMPUTED_VALUE"""),-0.661763749925027)</f>
        <v>-0.66176374992502696</v>
      </c>
      <c r="J153" s="3">
        <f ca="1">IFERROR(__xludf.DUMMYFUNCTION("""COMPUTED_VALUE"""),-0.664388505440098)</f>
        <v>-0.66438850544009798</v>
      </c>
      <c r="K153" s="3">
        <f ca="1">IFERROR(__xludf.DUMMYFUNCTION("""COMPUTED_VALUE"""),-0.609223053546494)</f>
        <v>-0.60922305354649398</v>
      </c>
      <c r="L153" s="3">
        <f ca="1">IFERROR(__xludf.DUMMYFUNCTION("""COMPUTED_VALUE"""),-0.60661135336428)</f>
        <v>-0.60661135336427996</v>
      </c>
      <c r="M153" s="3">
        <f ca="1">IFERROR(__xludf.DUMMYFUNCTION("""COMPUTED_VALUE"""),-0.75739364495667)</f>
        <v>-0.75739364495667005</v>
      </c>
      <c r="N153" s="3">
        <f ca="1">IFERROR(__xludf.DUMMYFUNCTION("""COMPUTED_VALUE"""),-0.63736579691348)</f>
        <v>-0.63736579691348005</v>
      </c>
      <c r="O153" s="3">
        <f ca="1">IFERROR(__xludf.DUMMYFUNCTION("""COMPUTED_VALUE"""),-0.652282322786452)</f>
        <v>-0.65228232278645204</v>
      </c>
      <c r="P153" s="3">
        <f ca="1">IFERROR(__xludf.DUMMYFUNCTION("""COMPUTED_VALUE"""),-0.646706011314383)</f>
        <v>-0.64670601131438299</v>
      </c>
      <c r="Q153" s="3">
        <f ca="1">IFERROR(__xludf.DUMMYFUNCTION("""COMPUTED_VALUE"""),-0.636640310548227)</f>
        <v>-0.63664031054822701</v>
      </c>
      <c r="R153" s="3">
        <f ca="1">IFERROR(__xludf.DUMMYFUNCTION("""COMPUTED_VALUE"""),-0.565849423835866)</f>
        <v>-0.56584942383586601</v>
      </c>
      <c r="S153" s="3">
        <f ca="1">IFERROR(__xludf.DUMMYFUNCTION("""COMPUTED_VALUE"""),-0.53950056648999)</f>
        <v>-0.53950056648999001</v>
      </c>
      <c r="T153" s="3">
        <f ca="1">IFERROR(__xludf.DUMMYFUNCTION("""COMPUTED_VALUE"""),-0.66378524639087)</f>
        <v>-0.66378524639087</v>
      </c>
      <c r="U153" s="3">
        <f ca="1">IFERROR(__xludf.DUMMYFUNCTION("""COMPUTED_VALUE"""),-0.654830223307548)</f>
        <v>-0.65483022330754803</v>
      </c>
      <c r="V153" s="3">
        <f ca="1">IFERROR(__xludf.DUMMYFUNCTION("""COMPUTED_VALUE"""),-0.676299356211885)</f>
        <v>-0.67629935621188497</v>
      </c>
      <c r="W153" s="3">
        <f ca="1">IFERROR(__xludf.DUMMYFUNCTION("""COMPUTED_VALUE"""),-0.664523410529426)</f>
        <v>-0.66452341052942598</v>
      </c>
      <c r="X153" s="3">
        <f ca="1">IFERROR(__xludf.DUMMYFUNCTION("""COMPUTED_VALUE"""),-0.650109483887999)</f>
        <v>-0.65010948388799905</v>
      </c>
      <c r="Y153" s="3">
        <f ca="1">IFERROR(__xludf.DUMMYFUNCTION("""COMPUTED_VALUE"""),-0.510726377942206)</f>
        <v>-0.51072637794220599</v>
      </c>
      <c r="Z153" s="3">
        <f ca="1">IFERROR(__xludf.DUMMYFUNCTION("""COMPUTED_VALUE"""),-0.535684985964817)</f>
        <v>-0.53568498596481695</v>
      </c>
      <c r="AA153" s="3">
        <f ca="1">IFERROR(__xludf.DUMMYFUNCTION("""COMPUTED_VALUE"""),-0.653859816052662)</f>
        <v>-0.65385981605266197</v>
      </c>
      <c r="AB153" s="3">
        <f ca="1">IFERROR(__xludf.DUMMYFUNCTION("""COMPUTED_VALUE"""),-0.672396425837456)</f>
        <v>-0.67239642583745596</v>
      </c>
      <c r="AC153" s="3">
        <f ca="1">IFERROR(__xludf.DUMMYFUNCTION("""COMPUTED_VALUE"""),-0.671863388286807)</f>
        <v>-0.67186338828680703</v>
      </c>
      <c r="AD153" s="3">
        <f ca="1">IFERROR(__xludf.DUMMYFUNCTION("""COMPUTED_VALUE"""),-0.687544637515585)</f>
        <v>-0.68754463751558503</v>
      </c>
      <c r="AE153" s="3">
        <f ca="1">IFERROR(__xludf.DUMMYFUNCTION("""COMPUTED_VALUE"""),-0.65458008875744)</f>
        <v>-0.65458008875744</v>
      </c>
      <c r="AF153" s="3">
        <f ca="1">IFERROR(__xludf.DUMMYFUNCTION("""COMPUTED_VALUE"""),-0.558598443325044)</f>
        <v>-0.55859844332504405</v>
      </c>
      <c r="AG153" s="3">
        <f ca="1">IFERROR(__xludf.DUMMYFUNCTION("""COMPUTED_VALUE"""),-0.561708309115448)</f>
        <v>-0.561708309115448</v>
      </c>
      <c r="AH153" s="3">
        <f ca="1">IFERROR(__xludf.DUMMYFUNCTION("""COMPUTED_VALUE"""),-0.658279728334947)</f>
        <v>-0.65827972833494697</v>
      </c>
      <c r="AI153" s="3">
        <f ca="1">IFERROR(__xludf.DUMMYFUNCTION("""COMPUTED_VALUE"""),-0.671598295354711)</f>
        <v>-0.67159829535471105</v>
      </c>
      <c r="AJ153" s="3">
        <f ca="1">IFERROR(__xludf.DUMMYFUNCTION("""COMPUTED_VALUE"""),-0.662544751774842)</f>
        <v>-0.66254475177484196</v>
      </c>
      <c r="AK153" s="3">
        <f ca="1">IFERROR(__xludf.DUMMYFUNCTION("""COMPUTED_VALUE"""),-0.665035554070685)</f>
        <v>-0.66503555407068504</v>
      </c>
      <c r="AL153" s="3">
        <f ca="1">IFERROR(__xludf.DUMMYFUNCTION("""COMPUTED_VALUE"""),-0.671874711180138)</f>
        <v>-0.67187471118013797</v>
      </c>
      <c r="AM153" s="3">
        <f ca="1">IFERROR(__xludf.DUMMYFUNCTION("""COMPUTED_VALUE"""),-0.609958195041939)</f>
        <v>-0.60995819504193904</v>
      </c>
      <c r="AN153" s="3">
        <f ca="1">IFERROR(__xludf.DUMMYFUNCTION("""COMPUTED_VALUE"""),-0.617838018803128)</f>
        <v>-0.61783801880312805</v>
      </c>
      <c r="AO153" s="3">
        <f ca="1">IFERROR(__xludf.DUMMYFUNCTION("""COMPUTED_VALUE"""),-0.694000442229331)</f>
        <v>-0.69400044222933099</v>
      </c>
      <c r="AP153" s="3">
        <f ca="1">IFERROR(__xludf.DUMMYFUNCTION("""COMPUTED_VALUE"""),-0.706661732382843)</f>
        <v>-0.70666173238284302</v>
      </c>
      <c r="AQ153" s="3">
        <f ca="1">IFERROR(__xludf.DUMMYFUNCTION("""COMPUTED_VALUE"""),-0.693824821781739)</f>
        <v>-0.69382482178173899</v>
      </c>
      <c r="AR153" s="3">
        <f ca="1">IFERROR(__xludf.DUMMYFUNCTION("""COMPUTED_VALUE"""),-0.695097788342397)</f>
        <v>-0.69509778834239699</v>
      </c>
      <c r="AS153" s="3">
        <f ca="1">IFERROR(__xludf.DUMMYFUNCTION("""COMPUTED_VALUE"""),-0.690107056588181)</f>
        <v>-0.69010705658818094</v>
      </c>
      <c r="AT153" s="3">
        <f ca="1">IFERROR(__xludf.DUMMYFUNCTION("""COMPUTED_VALUE"""),-0.59514187293651)</f>
        <v>-0.59514187293651</v>
      </c>
      <c r="AU153" s="3">
        <f ca="1">IFERROR(__xludf.DUMMYFUNCTION("""COMPUTED_VALUE"""),-0.615706751828921)</f>
        <v>-0.61570675182892098</v>
      </c>
      <c r="AV153" s="3">
        <f ca="1">IFERROR(__xludf.DUMMYFUNCTION("""COMPUTED_VALUE"""),-0.684772417706201)</f>
        <v>-0.68477241770620101</v>
      </c>
      <c r="AW153" s="3">
        <f ca="1">IFERROR(__xludf.DUMMYFUNCTION("""COMPUTED_VALUE"""),-0.694282783561187)</f>
        <v>-0.694282783561187</v>
      </c>
      <c r="AX153" s="3">
        <f ca="1">IFERROR(__xludf.DUMMYFUNCTION("""COMPUTED_VALUE"""),-0.691491721937192)</f>
        <v>-0.69149172193719199</v>
      </c>
      <c r="AY153" s="3">
        <f ca="1">IFERROR(__xludf.DUMMYFUNCTION("""COMPUTED_VALUE"""),-0.68564567054928)</f>
        <v>-0.68564567054928005</v>
      </c>
      <c r="AZ153" s="3">
        <f ca="1">IFERROR(__xludf.DUMMYFUNCTION("""COMPUTED_VALUE"""),-0.619541026471312)</f>
        <v>-0.61954102647131204</v>
      </c>
      <c r="BA153" s="3">
        <f ca="1">IFERROR(__xludf.DUMMYFUNCTION("""COMPUTED_VALUE"""),-0.628190242533601)</f>
        <v>-0.62819024253360101</v>
      </c>
      <c r="BB153" s="3">
        <f ca="1">IFERROR(__xludf.DUMMYFUNCTION("""COMPUTED_VALUE"""),-0.631483920987351)</f>
        <v>-0.63148392098735096</v>
      </c>
      <c r="BC153" s="3">
        <f ca="1">IFERROR(__xludf.DUMMYFUNCTION("""COMPUTED_VALUE"""),-0.689866254316507)</f>
        <v>-0.68986625431650705</v>
      </c>
      <c r="BD153" s="3">
        <f ca="1">IFERROR(__xludf.DUMMYFUNCTION("""COMPUTED_VALUE"""),-0.710453110494239)</f>
        <v>-0.71045311049423898</v>
      </c>
      <c r="BE153" s="3">
        <f ca="1">IFERROR(__xludf.DUMMYFUNCTION("""COMPUTED_VALUE"""),-0.689315621526907)</f>
        <v>-0.68931562152690695</v>
      </c>
      <c r="BF153" s="3">
        <f ca="1">IFERROR(__xludf.DUMMYFUNCTION("""COMPUTED_VALUE"""),-0.657755019729288)</f>
        <v>-0.65775501972928796</v>
      </c>
      <c r="BG153" s="3">
        <f ca="1">IFERROR(__xludf.DUMMYFUNCTION("""COMPUTED_VALUE"""),-0.775452391529674)</f>
        <v>-0.77545239152967405</v>
      </c>
      <c r="BH153" s="3">
        <f ca="1">IFERROR(__xludf.DUMMYFUNCTION("""COMPUTED_VALUE"""),-0.610714287324262)</f>
        <v>-0.61071428732426203</v>
      </c>
      <c r="BI153" s="3">
        <f ca="1">IFERROR(__xludf.DUMMYFUNCTION("""COMPUTED_VALUE"""),-0.645008755758415)</f>
        <v>-0.64500875575841499</v>
      </c>
      <c r="BJ153" s="3">
        <f ca="1">IFERROR(__xludf.DUMMYFUNCTION("""COMPUTED_VALUE"""),-0.728373079937949)</f>
        <v>-0.72837307993794898</v>
      </c>
      <c r="BK153" s="3">
        <f ca="1">IFERROR(__xludf.DUMMYFUNCTION("""COMPUTED_VALUE"""),-0.739104212467811)</f>
        <v>-0.73910421246781099</v>
      </c>
      <c r="BL153" s="3">
        <f ca="1">IFERROR(__xludf.DUMMYFUNCTION("""COMPUTED_VALUE"""),-0.752536409743864)</f>
        <v>-0.75253640974386404</v>
      </c>
      <c r="BM153" s="3">
        <f ca="1">IFERROR(__xludf.DUMMYFUNCTION("""COMPUTED_VALUE"""),-0.735549185814378)</f>
        <v>-0.735549185814378</v>
      </c>
      <c r="BN153" s="3">
        <f ca="1">IFERROR(__xludf.DUMMYFUNCTION("""COMPUTED_VALUE"""),-0.685438952462572)</f>
        <v>-0.68543895246257203</v>
      </c>
      <c r="BO153" s="3">
        <f ca="1">IFERROR(__xludf.DUMMYFUNCTION("""COMPUTED_VALUE"""),-0.659489717711397)</f>
        <v>-0.65948971771139697</v>
      </c>
      <c r="BP153" s="3">
        <f ca="1">IFERROR(__xludf.DUMMYFUNCTION("""COMPUTED_VALUE"""),-0.661848206887922)</f>
        <v>-0.66184820688792201</v>
      </c>
      <c r="BQ153" s="3">
        <f ca="1">IFERROR(__xludf.DUMMYFUNCTION("""COMPUTED_VALUE"""),-0.729403817101463)</f>
        <v>-0.72940381710146296</v>
      </c>
      <c r="BR153" s="3">
        <f ca="1">IFERROR(__xludf.DUMMYFUNCTION("""COMPUTED_VALUE"""),-0.741240492756537)</f>
        <v>-0.74124049275653703</v>
      </c>
      <c r="BS153" s="3">
        <f ca="1">IFERROR(__xludf.DUMMYFUNCTION("""COMPUTED_VALUE"""),-0.756901857274825)</f>
        <v>-0.75690185727482495</v>
      </c>
      <c r="BT153" s="3">
        <f ca="1">IFERROR(__xludf.DUMMYFUNCTION("""COMPUTED_VALUE"""),-0.753528887379856)</f>
        <v>-0.75352888737985602</v>
      </c>
      <c r="BU153" s="3">
        <f ca="1">IFERROR(__xludf.DUMMYFUNCTION("""COMPUTED_VALUE"""),-0.75459696922234)</f>
        <v>-0.75459696922233999</v>
      </c>
      <c r="BV153" s="3">
        <f ca="1">IFERROR(__xludf.DUMMYFUNCTION("""COMPUTED_VALUE"""),-0.678848678767784)</f>
        <v>-0.67884867876778399</v>
      </c>
      <c r="BW153" s="3">
        <f ca="1">IFERROR(__xludf.DUMMYFUNCTION("""COMPUTED_VALUE"""),-0.665891349666597)</f>
        <v>-0.66589134966659702</v>
      </c>
      <c r="BX153" s="3">
        <f ca="1">IFERROR(__xludf.DUMMYFUNCTION("""COMPUTED_VALUE"""),-0.752290322090318)</f>
        <v>-0.75229032209031799</v>
      </c>
      <c r="BY153" s="3">
        <f ca="1">IFERROR(__xludf.DUMMYFUNCTION("""COMPUTED_VALUE"""),-0.765885772424605)</f>
        <v>-0.76588577242460498</v>
      </c>
      <c r="BZ153" s="3">
        <f ca="1">IFERROR(__xludf.DUMMYFUNCTION("""COMPUTED_VALUE"""),-0.759737757739145)</f>
        <v>-0.75973775773914498</v>
      </c>
      <c r="CA153" s="3">
        <f ca="1">IFERROR(__xludf.DUMMYFUNCTION("""COMPUTED_VALUE"""),-0.763370362561307)</f>
        <v>-0.76337036256130697</v>
      </c>
      <c r="CB153" s="3">
        <f ca="1">IFERROR(__xludf.DUMMYFUNCTION("""COMPUTED_VALUE"""),-0.748207555479555)</f>
        <v>-0.74820755547955498</v>
      </c>
      <c r="CC153" s="3">
        <f ca="1">IFERROR(__xludf.DUMMYFUNCTION("""COMPUTED_VALUE"""),-0.662697559240501)</f>
        <v>-0.662697559240501</v>
      </c>
      <c r="CD153" s="3">
        <f ca="1">IFERROR(__xludf.DUMMYFUNCTION("""COMPUTED_VALUE"""),-0.655344724547456)</f>
        <v>-0.65534472454745596</v>
      </c>
      <c r="CE153" s="3">
        <f ca="1">IFERROR(__xludf.DUMMYFUNCTION("""COMPUTED_VALUE"""),-0.755079060480692)</f>
        <v>-0.75507906048069195</v>
      </c>
      <c r="CF153" s="3">
        <f ca="1">IFERROR(__xludf.DUMMYFUNCTION("""COMPUTED_VALUE"""),-0.766420331461729)</f>
        <v>-0.76642033146172905</v>
      </c>
      <c r="CG153" s="3">
        <f ca="1">IFERROR(__xludf.DUMMYFUNCTION("""COMPUTED_VALUE"""),-0.769504396617372)</f>
        <v>-0.76950439661737202</v>
      </c>
      <c r="CH153" s="3">
        <f ca="1">IFERROR(__xludf.DUMMYFUNCTION("""COMPUTED_VALUE"""),-0.758830503618224)</f>
        <v>-0.75883050361822402</v>
      </c>
      <c r="CI153" s="3">
        <f ca="1">IFERROR(__xludf.DUMMYFUNCTION("""COMPUTED_VALUE"""),-0.758152170661599)</f>
        <v>-0.75815217066159901</v>
      </c>
      <c r="CJ153" s="3">
        <f ca="1">IFERROR(__xludf.DUMMYFUNCTION("""COMPUTED_VALUE"""),-0.663702662019857)</f>
        <v>-0.66370266201985695</v>
      </c>
      <c r="CK153" s="3">
        <f ca="1">IFERROR(__xludf.DUMMYFUNCTION("""COMPUTED_VALUE"""),-0.629630277710068)</f>
        <v>-0.62963027771006796</v>
      </c>
      <c r="CL153" s="3">
        <f ca="1">IFERROR(__xludf.DUMMYFUNCTION("""COMPUTED_VALUE"""),-0.75298631255505)</f>
        <v>-0.75298631255505</v>
      </c>
      <c r="CM153" s="3">
        <f ca="1">IFERROR(__xludf.DUMMYFUNCTION("""COMPUTED_VALUE"""),-0.758030463920393)</f>
        <v>-0.75803046392039297</v>
      </c>
      <c r="CN153" s="3">
        <f ca="1">IFERROR(__xludf.DUMMYFUNCTION("""COMPUTED_VALUE"""),-0.757962048979452)</f>
        <v>-0.75796204897945196</v>
      </c>
      <c r="CO153" s="3">
        <f ca="1">IFERROR(__xludf.DUMMYFUNCTION("""COMPUTED_VALUE"""),-0.758407447347559)</f>
        <v>-0.75840744734755905</v>
      </c>
      <c r="CP153" s="3">
        <f ca="1">IFERROR(__xludf.DUMMYFUNCTION("""COMPUTED_VALUE"""),-0.751045532909041)</f>
        <v>-0.75104553290904097</v>
      </c>
      <c r="CQ153" s="3">
        <f ca="1">IFERROR(__xludf.DUMMYFUNCTION("""COMPUTED_VALUE"""),-0.648885967374358)</f>
        <v>-0.648885967374358</v>
      </c>
      <c r="CR153" s="3">
        <f ca="1">IFERROR(__xludf.DUMMYFUNCTION("""COMPUTED_VALUE"""),-0.621680872693678)</f>
        <v>-0.621680872693678</v>
      </c>
      <c r="CS153" s="3">
        <f ca="1">IFERROR(__xludf.DUMMYFUNCTION("""COMPUTED_VALUE"""),-0.730932201901449)</f>
        <v>-0.73093220190144903</v>
      </c>
      <c r="CT153" s="3">
        <f ca="1">IFERROR(__xludf.DUMMYFUNCTION("""COMPUTED_VALUE"""),-0.72240489328894)</f>
        <v>-0.72240489328893998</v>
      </c>
      <c r="CU153" s="3">
        <f ca="1">IFERROR(__xludf.DUMMYFUNCTION("""COMPUTED_VALUE"""),-0.687828644349569)</f>
        <v>-0.68782864434956903</v>
      </c>
      <c r="CV153" s="3">
        <f ca="1">IFERROR(__xludf.DUMMYFUNCTION("""COMPUTED_VALUE"""),-0.710931237143806)</f>
        <v>-0.71093123714380602</v>
      </c>
      <c r="CW153" s="3">
        <f ca="1">IFERROR(__xludf.DUMMYFUNCTION("""COMPUTED_VALUE"""),-0.705184195623537)</f>
        <v>-0.70518419562353696</v>
      </c>
      <c r="CX153" s="3">
        <f ca="1">IFERROR(__xludf.DUMMYFUNCTION("""COMPUTED_VALUE"""),-0.64124196128739)</f>
        <v>-0.64124196128738997</v>
      </c>
      <c r="CY153" s="3">
        <f ca="1">IFERROR(__xludf.DUMMYFUNCTION("""COMPUTED_VALUE"""),-0.686977758991317)</f>
        <v>-0.68697775899131697</v>
      </c>
      <c r="CZ153" s="3">
        <f ca="1">IFERROR(__xludf.DUMMYFUNCTION("""COMPUTED_VALUE"""),-0.845831358766294)</f>
        <v>-0.84583135876629401</v>
      </c>
      <c r="DA153" s="3">
        <f ca="1">IFERROR(__xludf.DUMMYFUNCTION("""COMPUTED_VALUE"""),-0.695842074968173)</f>
        <v>-0.69584207496817296</v>
      </c>
      <c r="DB153" s="3">
        <f ca="1">IFERROR(__xludf.DUMMYFUNCTION("""COMPUTED_VALUE"""),-0.593008634656451)</f>
        <v>-0.59300863465645104</v>
      </c>
      <c r="DC153" s="3">
        <f ca="1">IFERROR(__xludf.DUMMYFUNCTION("""COMPUTED_VALUE"""),-0.689503184345208)</f>
        <v>-0.68950318434520796</v>
      </c>
      <c r="DD153" s="3">
        <f ca="1">IFERROR(__xludf.DUMMYFUNCTION("""COMPUTED_VALUE"""),-0.737252222706952)</f>
        <v>-0.73725222270695201</v>
      </c>
      <c r="DE153" s="3">
        <f ca="1">IFERROR(__xludf.DUMMYFUNCTION("""COMPUTED_VALUE"""),-0.657765409838375)</f>
        <v>-0.65776540983837495</v>
      </c>
      <c r="DF153" s="3">
        <f ca="1">IFERROR(__xludf.DUMMYFUNCTION("""COMPUTED_VALUE"""),-0.736938300430892)</f>
        <v>-0.73693830043089203</v>
      </c>
      <c r="DG153" s="3">
        <f ca="1">IFERROR(__xludf.DUMMYFUNCTION("""COMPUTED_VALUE"""),-0.858098522057212)</f>
        <v>-0.85809852205721204</v>
      </c>
      <c r="DH153" s="3">
        <f ca="1">IFERROR(__xludf.DUMMYFUNCTION("""COMPUTED_VALUE"""),-0.652516932224526)</f>
        <v>-0.652516932224526</v>
      </c>
      <c r="DI153" s="3">
        <f ca="1">IFERROR(__xludf.DUMMYFUNCTION("""COMPUTED_VALUE"""),-0.414762208266906)</f>
        <v>-0.41476220826690602</v>
      </c>
      <c r="DJ153" s="3">
        <f ca="1">IFERROR(__xludf.DUMMYFUNCTION("""COMPUTED_VALUE"""),-0.581498740322739)</f>
        <v>-0.58149874032273896</v>
      </c>
      <c r="DK153" s="3">
        <f ca="1">IFERROR(__xludf.DUMMYFUNCTION("""COMPUTED_VALUE"""),-0.588364023651402)</f>
        <v>-0.58836402365140195</v>
      </c>
      <c r="DL153" s="3">
        <f ca="1">IFERROR(__xludf.DUMMYFUNCTION("""COMPUTED_VALUE"""),-0.571211809158409)</f>
        <v>-0.57121180915840897</v>
      </c>
      <c r="DM153" s="3">
        <f ca="1">IFERROR(__xludf.DUMMYFUNCTION("""COMPUTED_VALUE"""),-0.577572103780353)</f>
        <v>-0.57757210378035295</v>
      </c>
      <c r="DN153" s="3">
        <f ca="1">IFERROR(__xludf.DUMMYFUNCTION("""COMPUTED_VALUE"""),-0.626688175707334)</f>
        <v>-0.62668817570733404</v>
      </c>
      <c r="DO153" s="3">
        <f ca="1">IFERROR(__xludf.DUMMYFUNCTION("""COMPUTED_VALUE"""),-0.611531900115534)</f>
        <v>-0.61153190011553404</v>
      </c>
      <c r="DP153" s="3">
        <f ca="1">IFERROR(__xludf.DUMMYFUNCTION("""COMPUTED_VALUE"""),-0.587704989215479)</f>
        <v>-0.58770498921547898</v>
      </c>
      <c r="DQ153" s="3">
        <f ca="1">IFERROR(__xludf.DUMMYFUNCTION("""COMPUTED_VALUE"""),-0.624437229112038)</f>
        <v>-0.62443722911203803</v>
      </c>
      <c r="DR153" s="3">
        <f ca="1">IFERROR(__xludf.DUMMYFUNCTION("""COMPUTED_VALUE"""),-0.644337020699559)</f>
        <v>-0.644337020699559</v>
      </c>
      <c r="DS153" s="3">
        <f ca="1">IFERROR(__xludf.DUMMYFUNCTION("""COMPUTED_VALUE"""),-0.594316616835467)</f>
        <v>-0.59431661683546699</v>
      </c>
      <c r="DT153" s="3">
        <f ca="1">IFERROR(__xludf.DUMMYFUNCTION("""COMPUTED_VALUE"""),-0.619784562883674)</f>
        <v>-0.61978456288367401</v>
      </c>
      <c r="DU153" s="3">
        <f ca="1">IFERROR(__xludf.DUMMYFUNCTION("""COMPUTED_VALUE"""),-0.66268700020951)</f>
        <v>-0.66268700020950999</v>
      </c>
      <c r="DV153" s="3">
        <f ca="1">IFERROR(__xludf.DUMMYFUNCTION("""COMPUTED_VALUE"""),-0.653200944349258)</f>
        <v>-0.65320094434925802</v>
      </c>
      <c r="DW153" s="3">
        <f ca="1">IFERROR(__xludf.DUMMYFUNCTION("""COMPUTED_VALUE"""),-0.667152742120566)</f>
        <v>-0.66715274212056597</v>
      </c>
      <c r="DX153" s="3">
        <f ca="1">IFERROR(__xludf.DUMMYFUNCTION("""COMPUTED_VALUE"""),-0.674285007358614)</f>
        <v>-0.67428500735861396</v>
      </c>
      <c r="DY153" s="3">
        <f ca="1">IFERROR(__xludf.DUMMYFUNCTION("""COMPUTED_VALUE"""),-0.679365594019011)</f>
        <v>-0.67936559401901098</v>
      </c>
      <c r="DZ153" s="3">
        <f ca="1">IFERROR(__xludf.DUMMYFUNCTION("""COMPUTED_VALUE"""),-0.581413825795284)</f>
        <v>-0.581413825795284</v>
      </c>
      <c r="EA153" s="3">
        <f ca="1">IFERROR(__xludf.DUMMYFUNCTION("""COMPUTED_VALUE"""),-0.604647538946686)</f>
        <v>-0.60464753894668599</v>
      </c>
      <c r="EB153" s="3">
        <f ca="1">IFERROR(__xludf.DUMMYFUNCTION("""COMPUTED_VALUE"""),-0.688421524937496)</f>
        <v>-0.68842152493749598</v>
      </c>
      <c r="EC153" s="3">
        <f ca="1">IFERROR(__xludf.DUMMYFUNCTION("""COMPUTED_VALUE"""),-0.684380931666048)</f>
        <v>-0.68438093166604796</v>
      </c>
      <c r="ED153" s="3">
        <f ca="1">IFERROR(__xludf.DUMMYFUNCTION("""COMPUTED_VALUE"""),-0.677528451494263)</f>
        <v>-0.677528451494263</v>
      </c>
      <c r="EE153" s="3">
        <f ca="1">IFERROR(__xludf.DUMMYFUNCTION("""COMPUTED_VALUE"""),-0.680299018849474)</f>
        <v>-0.68029901884947397</v>
      </c>
      <c r="EF153" s="3">
        <f ca="1">IFERROR(__xludf.DUMMYFUNCTION("""COMPUTED_VALUE"""),-0.689825091155748)</f>
        <v>-0.68982509115574797</v>
      </c>
      <c r="EG153" s="3">
        <f ca="1">IFERROR(__xludf.DUMMYFUNCTION("""COMPUTED_VALUE"""),-0.55323651625684)</f>
        <v>-0.55323651625684001</v>
      </c>
      <c r="EH153" s="3">
        <f ca="1">IFERROR(__xludf.DUMMYFUNCTION("""COMPUTED_VALUE"""),-0.592140175126656)</f>
        <v>-0.59214017512665595</v>
      </c>
      <c r="EI153" s="3">
        <f ca="1">IFERROR(__xludf.DUMMYFUNCTION("""COMPUTED_VALUE"""),-0.676103861111392)</f>
        <v>-0.67610386111139198</v>
      </c>
      <c r="EJ153" s="3">
        <f ca="1">IFERROR(__xludf.DUMMYFUNCTION("""COMPUTED_VALUE"""),-0.685080728051128)</f>
        <v>-0.68508072805112796</v>
      </c>
      <c r="EK153" s="3">
        <f ca="1">IFERROR(__xludf.DUMMYFUNCTION("""COMPUTED_VALUE"""),-0.68315366304895)</f>
        <v>-0.68315366304894998</v>
      </c>
      <c r="EL153" s="3">
        <f ca="1">IFERROR(__xludf.DUMMYFUNCTION("""COMPUTED_VALUE"""),-0.69765703763161)</f>
        <v>-0.69765703763161002</v>
      </c>
      <c r="EM153" s="3">
        <f ca="1">IFERROR(__xludf.DUMMYFUNCTION("""COMPUTED_VALUE"""),-0.679207064852925)</f>
        <v>-0.67920706485292504</v>
      </c>
      <c r="EN153" s="3">
        <f ca="1">IFERROR(__xludf.DUMMYFUNCTION("""COMPUTED_VALUE"""),-0.513187702262616)</f>
        <v>-0.51318770226261601</v>
      </c>
      <c r="EO153" s="3">
        <f ca="1">IFERROR(__xludf.DUMMYFUNCTION("""COMPUTED_VALUE"""),-0.523470820260676)</f>
        <v>-0.52347082026067604</v>
      </c>
      <c r="EP153" s="3">
        <f ca="1">IFERROR(__xludf.DUMMYFUNCTION("""COMPUTED_VALUE"""),-0.640915639083098)</f>
        <v>-0.64091563908309801</v>
      </c>
      <c r="EQ153" s="3">
        <f ca="1">IFERROR(__xludf.DUMMYFUNCTION("""COMPUTED_VALUE"""),-0.664829873620075)</f>
        <v>-0.66482987362007495</v>
      </c>
      <c r="ER153" s="3">
        <f ca="1">IFERROR(__xludf.DUMMYFUNCTION("""COMPUTED_VALUE"""),-0.663428756034066)</f>
        <v>-0.66342875603406604</v>
      </c>
      <c r="ES153" s="3">
        <f ca="1">IFERROR(__xludf.DUMMYFUNCTION("""COMPUTED_VALUE"""),-0.667602644459473)</f>
        <v>-0.66760264445947304</v>
      </c>
      <c r="ET153" s="3">
        <f ca="1">IFERROR(__xludf.DUMMYFUNCTION("""COMPUTED_VALUE"""),-0.659574979962278)</f>
        <v>-0.65957497996227799</v>
      </c>
      <c r="EU153" s="3">
        <f ca="1">IFERROR(__xludf.DUMMYFUNCTION("""COMPUTED_VALUE"""),-0.601150605450902)</f>
        <v>-0.60115060545090204</v>
      </c>
      <c r="EV153" s="3">
        <f ca="1">IFERROR(__xludf.DUMMYFUNCTION("""COMPUTED_VALUE"""),-0.5407657511456)</f>
        <v>-0.54076575114559999</v>
      </c>
      <c r="EW153" s="3">
        <f ca="1">IFERROR(__xludf.DUMMYFUNCTION("""COMPUTED_VALUE"""),-0.628942738043659)</f>
        <v>-0.62894273804365897</v>
      </c>
      <c r="EX153" s="3">
        <f ca="1">IFERROR(__xludf.DUMMYFUNCTION("""COMPUTED_VALUE"""),-0.64504390782438)</f>
        <v>-0.64504390782438004</v>
      </c>
      <c r="EY153" s="3">
        <f ca="1">IFERROR(__xludf.DUMMYFUNCTION("""COMPUTED_VALUE"""),-0.636325081452515)</f>
        <v>-0.63632508145251498</v>
      </c>
      <c r="EZ153" s="3">
        <f ca="1">IFERROR(__xludf.DUMMYFUNCTION("""COMPUTED_VALUE"""),-0.640009993916742)</f>
        <v>-0.64000999391674196</v>
      </c>
      <c r="FA153" s="3">
        <f ca="1">IFERROR(__xludf.DUMMYFUNCTION("""COMPUTED_VALUE"""),-0.626773216734313)</f>
        <v>-0.62677321673431297</v>
      </c>
      <c r="FB153" s="3">
        <f ca="1">IFERROR(__xludf.DUMMYFUNCTION("""COMPUTED_VALUE"""),-0.490110264692634)</f>
        <v>-0.49011026469263402</v>
      </c>
      <c r="FC153" s="3">
        <f ca="1">IFERROR(__xludf.DUMMYFUNCTION("""COMPUTED_VALUE"""),-0.487966881285844)</f>
        <v>-0.48796688128584398</v>
      </c>
      <c r="FD153" s="3">
        <f ca="1">IFERROR(__xludf.DUMMYFUNCTION("""COMPUTED_VALUE"""),-0.612055120288206)</f>
        <v>-0.61205512028820597</v>
      </c>
      <c r="FE153" s="3">
        <f ca="1">IFERROR(__xludf.DUMMYFUNCTION("""COMPUTED_VALUE"""),-0.638036942462968)</f>
        <v>-0.63803694246296805</v>
      </c>
      <c r="FF153" s="3">
        <f ca="1">IFERROR(__xludf.DUMMYFUNCTION("""COMPUTED_VALUE"""),-0.642323209196282)</f>
        <v>-0.64232320919628205</v>
      </c>
      <c r="FG153" s="3">
        <f ca="1">IFERROR(__xludf.DUMMYFUNCTION("""COMPUTED_VALUE"""),-0.656599314109838)</f>
        <v>-0.65659931410983796</v>
      </c>
      <c r="FH153" s="3">
        <f ca="1">IFERROR(__xludf.DUMMYFUNCTION("""COMPUTED_VALUE"""),-0.634498816704805)</f>
        <v>-0.63449881670480501</v>
      </c>
      <c r="FI153" s="3">
        <f ca="1">IFERROR(__xludf.DUMMYFUNCTION("""COMPUTED_VALUE"""),-0.539666340211588)</f>
        <v>-0.53966634021158799</v>
      </c>
      <c r="FJ153" s="3">
        <f ca="1">IFERROR(__xludf.DUMMYFUNCTION("""COMPUTED_VALUE"""),-0.508207332291359)</f>
        <v>-0.50820733229135895</v>
      </c>
      <c r="FK153" s="3">
        <f ca="1">IFERROR(__xludf.DUMMYFUNCTION("""COMPUTED_VALUE"""),-0.614580339240476)</f>
        <v>-0.61458033924047595</v>
      </c>
      <c r="FL153" s="3">
        <f ca="1">IFERROR(__xludf.DUMMYFUNCTION("""COMPUTED_VALUE"""),-0.639054745089294)</f>
        <v>-0.63905474508929405</v>
      </c>
      <c r="FM153" s="3">
        <f ca="1">IFERROR(__xludf.DUMMYFUNCTION("""COMPUTED_VALUE"""),-0.640210176780116)</f>
        <v>-0.64021017678011605</v>
      </c>
      <c r="FN153" s="3">
        <f ca="1">IFERROR(__xludf.DUMMYFUNCTION("""COMPUTED_VALUE"""),-0.639434539228158)</f>
        <v>-0.63943453922815796</v>
      </c>
      <c r="FO153" s="3">
        <f ca="1">IFERROR(__xludf.DUMMYFUNCTION("""COMPUTED_VALUE"""),-0.628958216983694)</f>
        <v>-0.62895821698369403</v>
      </c>
      <c r="FP153" s="3">
        <f ca="1">IFERROR(__xludf.DUMMYFUNCTION("""COMPUTED_VALUE"""),-0.512336532830765)</f>
        <v>-0.51233653283076497</v>
      </c>
      <c r="FQ153" s="3">
        <f ca="1">IFERROR(__xludf.DUMMYFUNCTION("""COMPUTED_VALUE"""),-0.519482422553902)</f>
        <v>-0.51948242255390198</v>
      </c>
      <c r="FR153" s="3">
        <f ca="1">IFERROR(__xludf.DUMMYFUNCTION("""COMPUTED_VALUE"""),-0.597536094680846)</f>
        <v>-0.59753609468084601</v>
      </c>
      <c r="FS153" s="3">
        <f ca="1">IFERROR(__xludf.DUMMYFUNCTION("""COMPUTED_VALUE"""),-0.642454936120032)</f>
        <v>-0.64245493612003202</v>
      </c>
      <c r="FT153" s="3">
        <f ca="1">IFERROR(__xludf.DUMMYFUNCTION("""COMPUTED_VALUE"""),-0.63806104224218)</f>
        <v>-0.63806104224217997</v>
      </c>
      <c r="FU153" s="3">
        <f ca="1">IFERROR(__xludf.DUMMYFUNCTION("""COMPUTED_VALUE"""),-0.607421530277266)</f>
        <v>-0.60742153027726598</v>
      </c>
      <c r="FV153" s="3">
        <f ca="1">IFERROR(__xludf.DUMMYFUNCTION("""COMPUTED_VALUE"""),-0.55379949222838)</f>
        <v>-0.55379949222837999</v>
      </c>
      <c r="FW153" s="3">
        <f ca="1">IFERROR(__xludf.DUMMYFUNCTION("""COMPUTED_VALUE"""),-0.531229485811945)</f>
        <v>-0.53122948581194496</v>
      </c>
      <c r="FX153" s="3">
        <f ca="1">IFERROR(__xludf.DUMMYFUNCTION("""COMPUTED_VALUE"""),-0.507056659529273)</f>
        <v>-0.50705665952927303</v>
      </c>
      <c r="FY153" s="3">
        <f ca="1">IFERROR(__xludf.DUMMYFUNCTION("""COMPUTED_VALUE"""),-0.602997728106776)</f>
        <v>-0.60299772810677599</v>
      </c>
      <c r="FZ153" s="3">
        <f ca="1">IFERROR(__xludf.DUMMYFUNCTION("""COMPUTED_VALUE"""),-0.635266356925668)</f>
        <v>-0.63526635692566802</v>
      </c>
      <c r="GA153" s="3">
        <f ca="1">IFERROR(__xludf.DUMMYFUNCTION("""COMPUTED_VALUE"""),-0.64185535857355)</f>
        <v>-0.64185535857355003</v>
      </c>
      <c r="GB153" s="3">
        <f ca="1">IFERROR(__xludf.DUMMYFUNCTION("""COMPUTED_VALUE"""),-0.626665706348152)</f>
        <v>-0.626665706348152</v>
      </c>
      <c r="GC153" s="3">
        <f ca="1">IFERROR(__xludf.DUMMYFUNCTION("""COMPUTED_VALUE"""),-0.725918967638046)</f>
        <v>-0.72591896763804598</v>
      </c>
      <c r="GD153" s="3">
        <f ca="1">IFERROR(__xludf.DUMMYFUNCTION("""COMPUTED_VALUE"""),-0.515080088544382)</f>
        <v>-0.51508008854438203</v>
      </c>
      <c r="GE153" s="3">
        <f ca="1">IFERROR(__xludf.DUMMYFUNCTION("""COMPUTED_VALUE"""),-0.530124439293942)</f>
        <v>-0.53012443929394204</v>
      </c>
      <c r="GF153" s="3">
        <f ca="1">IFERROR(__xludf.DUMMYFUNCTION("""COMPUTED_VALUE"""),-0.600240920853237)</f>
        <v>-0.60024092085323699</v>
      </c>
      <c r="GG153" s="3">
        <f ca="1">IFERROR(__xludf.DUMMYFUNCTION("""COMPUTED_VALUE"""),-0.623840370073142)</f>
        <v>-0.62384037007314197</v>
      </c>
      <c r="GH153" s="3">
        <f ca="1">IFERROR(__xludf.DUMMYFUNCTION("""COMPUTED_VALUE"""),-0.620632355995828)</f>
        <v>-0.620632355995828</v>
      </c>
      <c r="GI153" s="3">
        <f ca="1">IFERROR(__xludf.DUMMYFUNCTION("""COMPUTED_VALUE"""),-0.614654237494857)</f>
        <v>-0.61465423749485704</v>
      </c>
      <c r="GJ153" s="3">
        <f ca="1">IFERROR(__xludf.DUMMYFUNCTION("""COMPUTED_VALUE"""),-0.514872898613972)</f>
        <v>-0.51487289861397201</v>
      </c>
      <c r="GK153" s="3">
        <f ca="1">IFERROR(__xludf.DUMMYFUNCTION("""COMPUTED_VALUE"""),-0.525238032298464)</f>
        <v>-0.525238032298464</v>
      </c>
      <c r="GL153" s="3">
        <f ca="1">IFERROR(__xludf.DUMMYFUNCTION("""COMPUTED_VALUE"""),-0.503212441212665)</f>
        <v>-0.50321244121266495</v>
      </c>
      <c r="GM153" s="3">
        <f ca="1">IFERROR(__xludf.DUMMYFUNCTION("""COMPUTED_VALUE"""),-0.608814085793056)</f>
        <v>-0.60881408579305596</v>
      </c>
      <c r="GN153" s="3">
        <f ca="1">IFERROR(__xludf.DUMMYFUNCTION("""COMPUTED_VALUE"""),-0.629248298188007)</f>
        <v>-0.62924829818800698</v>
      </c>
      <c r="GO153" s="3">
        <f ca="1">IFERROR(__xludf.DUMMYFUNCTION("""COMPUTED_VALUE"""),-0.637310828769206)</f>
        <v>-0.63731082876920597</v>
      </c>
      <c r="GP153" s="3">
        <f ca="1">IFERROR(__xludf.DUMMYFUNCTION("""COMPUTED_VALUE"""),-0.627494897493641)</f>
        <v>-0.62749489749364096</v>
      </c>
      <c r="GQ153" s="3">
        <f ca="1">IFERROR(__xludf.DUMMYFUNCTION("""COMPUTED_VALUE"""),-0.595456851556533)</f>
        <v>-0.59545685155653305</v>
      </c>
      <c r="GR153" s="3">
        <f ca="1">IFERROR(__xludf.DUMMYFUNCTION("""COMPUTED_VALUE"""),-0.465134182755714)</f>
        <v>-0.465134182755714</v>
      </c>
      <c r="GS153" s="3">
        <f ca="1">IFERROR(__xludf.DUMMYFUNCTION("""COMPUTED_VALUE"""),-0.470412675273966)</f>
        <v>-0.47041267527396602</v>
      </c>
      <c r="GT153" s="3">
        <f ca="1">IFERROR(__xludf.DUMMYFUNCTION("""COMPUTED_VALUE"""),-0.586660286652105)</f>
        <v>-0.58666028665210501</v>
      </c>
      <c r="GU153" s="3">
        <f ca="1">IFERROR(__xludf.DUMMYFUNCTION("""COMPUTED_VALUE"""),-0.615146164317991)</f>
        <v>-0.61514616431799096</v>
      </c>
      <c r="GV153" s="3">
        <f ca="1">IFERROR(__xludf.DUMMYFUNCTION("""COMPUTED_VALUE"""),-0.610247226008209)</f>
        <v>-0.61024722600820902</v>
      </c>
      <c r="GW153" s="3">
        <f ca="1">IFERROR(__xludf.DUMMYFUNCTION("""COMPUTED_VALUE"""),-0.621256320604429)</f>
        <v>-0.62125632060442904</v>
      </c>
      <c r="GX153" s="3">
        <f ca="1">IFERROR(__xludf.DUMMYFUNCTION("""COMPUTED_VALUE"""),-0.612936921530837)</f>
        <v>-0.61293692153083701</v>
      </c>
      <c r="GY153" s="3">
        <f ca="1">IFERROR(__xludf.DUMMYFUNCTION("""COMPUTED_VALUE"""),-0.466718527949881)</f>
        <v>-0.466718527949881</v>
      </c>
      <c r="GZ153" s="3">
        <f ca="1">IFERROR(__xludf.DUMMYFUNCTION("""COMPUTED_VALUE"""),-0.47276243571925)</f>
        <v>-0.47276243571924997</v>
      </c>
      <c r="HA153" s="3">
        <f ca="1">IFERROR(__xludf.DUMMYFUNCTION("""COMPUTED_VALUE"""),-0.596133621835692)</f>
        <v>-0.59613362183569196</v>
      </c>
      <c r="HB153" s="3">
        <f ca="1">IFERROR(__xludf.DUMMYFUNCTION("""COMPUTED_VALUE"""),-0.607065902900604)</f>
        <v>-0.60706590290060403</v>
      </c>
      <c r="HC153" s="3">
        <f ca="1">IFERROR(__xludf.DUMMYFUNCTION("""COMPUTED_VALUE"""),-0.615611739099965)</f>
        <v>-0.61561173909996503</v>
      </c>
      <c r="HD153" s="3">
        <f ca="1">IFERROR(__xludf.DUMMYFUNCTION("""COMPUTED_VALUE"""),-0.616691736123542)</f>
        <v>-0.616691736123542</v>
      </c>
      <c r="HE153" s="3">
        <f ca="1">IFERROR(__xludf.DUMMYFUNCTION("""COMPUTED_VALUE"""),-0.611897156275773)</f>
        <v>-0.61189715627577301</v>
      </c>
      <c r="HF153" s="3">
        <f ca="1">IFERROR(__xludf.DUMMYFUNCTION("""COMPUTED_VALUE"""),-0.417059456743876)</f>
        <v>-0.41705945674387601</v>
      </c>
      <c r="HG153" s="3">
        <f ca="1">IFERROR(__xludf.DUMMYFUNCTION("""COMPUTED_VALUE"""),-0.438732721350732)</f>
        <v>-0.43873272135073199</v>
      </c>
      <c r="HH153" s="3">
        <f ca="1">IFERROR(__xludf.DUMMYFUNCTION("""COMPUTED_VALUE"""),-0.600991512104627)</f>
        <v>-0.60099151210462698</v>
      </c>
      <c r="HI153" s="3">
        <f ca="1">IFERROR(__xludf.DUMMYFUNCTION("""COMPUTED_VALUE"""),-0.606815050819134)</f>
        <v>-0.60681505081913401</v>
      </c>
      <c r="HJ153" s="3">
        <f ca="1">IFERROR(__xludf.DUMMYFUNCTION("""COMPUTED_VALUE"""),-0.612645794173996)</f>
        <v>-0.61264579417399601</v>
      </c>
      <c r="HK153" s="3">
        <f ca="1">IFERROR(__xludf.DUMMYFUNCTION("""COMPUTED_VALUE"""),-0.626963907570715)</f>
        <v>-0.62696390757071496</v>
      </c>
      <c r="HL153" s="3">
        <f ca="1">IFERROR(__xludf.DUMMYFUNCTION("""COMPUTED_VALUE"""),-0.698305409594642)</f>
        <v>-0.69830540959464205</v>
      </c>
      <c r="HM153" s="3">
        <f ca="1">IFERROR(__xludf.DUMMYFUNCTION("""COMPUTED_VALUE"""),-0.390135172662722)</f>
        <v>-0.39013517266272202</v>
      </c>
      <c r="HN153" s="3">
        <f ca="1">IFERROR(__xludf.DUMMYFUNCTION("""COMPUTED_VALUE"""),-0.445145299204036)</f>
        <v>-0.445145299204036</v>
      </c>
      <c r="HO153" s="3">
        <f ca="1">IFERROR(__xludf.DUMMYFUNCTION("""COMPUTED_VALUE"""),-0.592775750088701)</f>
        <v>-0.59277575008870098</v>
      </c>
      <c r="HP153" s="3">
        <f ca="1">IFERROR(__xludf.DUMMYFUNCTION("""COMPUTED_VALUE"""),-0.602964187432236)</f>
        <v>-0.60296418743223601</v>
      </c>
      <c r="HQ153" s="3">
        <f ca="1">IFERROR(__xludf.DUMMYFUNCTION("""COMPUTED_VALUE"""),-0.624851059153376)</f>
        <v>-0.62485105915337602</v>
      </c>
      <c r="HR153" s="3">
        <f ca="1">IFERROR(__xludf.DUMMYFUNCTION("""COMPUTED_VALUE"""),-0.590154461088465)</f>
        <v>-0.59015446108846503</v>
      </c>
      <c r="HS153" s="3">
        <f ca="1">IFERROR(__xludf.DUMMYFUNCTION("""COMPUTED_VALUE"""),-0.501118502864937)</f>
        <v>-0.50111850286493698</v>
      </c>
      <c r="HT153" s="3">
        <f ca="1">IFERROR(__xludf.DUMMYFUNCTION("""COMPUTED_VALUE"""),-0.416995383862922)</f>
        <v>-0.41699538386292201</v>
      </c>
      <c r="HU153" s="3">
        <f ca="1">IFERROR(__xludf.DUMMYFUNCTION("""COMPUTED_VALUE"""),-0.430924927915333)</f>
        <v>-0.43092492791533299</v>
      </c>
      <c r="HV153" s="3">
        <f ca="1">IFERROR(__xludf.DUMMYFUNCTION("""COMPUTED_VALUE"""),-0.552780362469029)</f>
        <v>-0.55278036246902895</v>
      </c>
      <c r="HW153" s="3">
        <f ca="1">IFERROR(__xludf.DUMMYFUNCTION("""COMPUTED_VALUE"""),-0.584967294681832)</f>
        <v>-0.58496729468183195</v>
      </c>
      <c r="HX153" s="3">
        <f ca="1">IFERROR(__xludf.DUMMYFUNCTION("""COMPUTED_VALUE"""),-0.587752879272226)</f>
        <v>-0.58775287927222597</v>
      </c>
      <c r="HY153" s="3">
        <f ca="1">IFERROR(__xludf.DUMMYFUNCTION("""COMPUTED_VALUE"""),-0.556551483142712)</f>
        <v>-0.55655148314271197</v>
      </c>
      <c r="HZ153" s="3">
        <f ca="1">IFERROR(__xludf.DUMMYFUNCTION("""COMPUTED_VALUE"""),-0.42064303746737)</f>
        <v>-0.42064303746736997</v>
      </c>
      <c r="IA153" s="3">
        <f ca="1">IFERROR(__xludf.DUMMYFUNCTION("""COMPUTED_VALUE"""),-0.405325198152471)</f>
        <v>-0.40532519815247098</v>
      </c>
      <c r="IB153" s="3">
        <f ca="1">IFERROR(__xludf.DUMMYFUNCTION("""COMPUTED_VALUE"""),-0.399213452365008)</f>
        <v>-0.39921345236500799</v>
      </c>
      <c r="IC153" s="3">
        <f ca="1">IFERROR(__xludf.DUMMYFUNCTION("""COMPUTED_VALUE"""),-0.509831662791335)</f>
        <v>-0.50983166279133496</v>
      </c>
      <c r="ID153" s="3">
        <f ca="1">IFERROR(__xludf.DUMMYFUNCTION("""COMPUTED_VALUE"""),-0.526674695160601)</f>
        <v>-0.52667469516060095</v>
      </c>
      <c r="IE153" s="3">
        <f ca="1">IFERROR(__xludf.DUMMYFUNCTION("""COMPUTED_VALUE"""),-0.538360221030087)</f>
        <v>-0.53836022103008696</v>
      </c>
      <c r="IF153" s="3">
        <f ca="1">IFERROR(__xludf.DUMMYFUNCTION("""COMPUTED_VALUE"""),-0.517136395832029)</f>
        <v>-0.51713639583202897</v>
      </c>
      <c r="IG153" s="3">
        <f ca="1">IFERROR(__xludf.DUMMYFUNCTION("""COMPUTED_VALUE"""),-0.523274769319505)</f>
        <v>-0.52327476931950501</v>
      </c>
      <c r="IH153" s="3">
        <f ca="1">IFERROR(__xludf.DUMMYFUNCTION("""COMPUTED_VALUE"""),-0.457669590613833)</f>
        <v>-0.457669590613833</v>
      </c>
      <c r="II153" s="3">
        <f ca="1">IFERROR(__xludf.DUMMYFUNCTION("""COMPUTED_VALUE"""),-0.421191603381723)</f>
        <v>-0.42119160338172301</v>
      </c>
      <c r="IJ153" s="3">
        <f ca="1">IFERROR(__xludf.DUMMYFUNCTION("""COMPUTED_VALUE"""),-0.518275135778525)</f>
        <v>-0.51827513577852502</v>
      </c>
      <c r="IK153" s="3">
        <f ca="1">IFERROR(__xludf.DUMMYFUNCTION("""COMPUTED_VALUE"""),-0.523569790565998)</f>
        <v>-0.52356979056599795</v>
      </c>
      <c r="IL153" s="3">
        <f ca="1">IFERROR(__xludf.DUMMYFUNCTION("""COMPUTED_VALUE"""),-0.544996894949695)</f>
        <v>-0.54499689494969505</v>
      </c>
      <c r="IM153" s="3">
        <f ca="1">IFERROR(__xludf.DUMMYFUNCTION("""COMPUTED_VALUE"""),-0.536022038461283)</f>
        <v>-0.53602203846128305</v>
      </c>
      <c r="IN153" s="3">
        <f ca="1">IFERROR(__xludf.DUMMYFUNCTION("""COMPUTED_VALUE"""),-0.460133893246989)</f>
        <v>-0.460133893246989</v>
      </c>
      <c r="IO153" s="3">
        <f ca="1">IFERROR(__xludf.DUMMYFUNCTION("""COMPUTED_VALUE"""),-0.404398315028297)</f>
        <v>-0.40439831502829698</v>
      </c>
      <c r="IP153" s="3">
        <f ca="1">IFERROR(__xludf.DUMMYFUNCTION("""COMPUTED_VALUE"""),-0.425639443985185)</f>
        <v>-0.425639443985185</v>
      </c>
      <c r="IQ153" s="3">
        <f ca="1">IFERROR(__xludf.DUMMYFUNCTION("""COMPUTED_VALUE"""),-0.527221575597335)</f>
        <v>-0.52722157559733496</v>
      </c>
      <c r="IR153" s="3">
        <f ca="1">IFERROR(__xludf.DUMMYFUNCTION("""COMPUTED_VALUE"""),-0.543188636696195)</f>
        <v>-0.54318863669619499</v>
      </c>
      <c r="IS153" s="3">
        <f ca="1">IFERROR(__xludf.DUMMYFUNCTION("""COMPUTED_VALUE"""),-0.538121121656177)</f>
        <v>-0.53812112165617698</v>
      </c>
      <c r="IT153" s="3">
        <f ca="1">IFERROR(__xludf.DUMMYFUNCTION("""COMPUTED_VALUE"""),-0.570522532783041)</f>
        <v>-0.57052253278304099</v>
      </c>
      <c r="IU153" s="3">
        <f ca="1">IFERROR(__xludf.DUMMYFUNCTION("""COMPUTED_VALUE"""),-0.615289804218859)</f>
        <v>-0.61528980421885904</v>
      </c>
      <c r="IV153" s="3">
        <f ca="1">IFERROR(__xludf.DUMMYFUNCTION("""COMPUTED_VALUE"""),-0.473295269522458)</f>
        <v>-0.47329526952245798</v>
      </c>
      <c r="IW153" s="3">
        <f ca="1">IFERROR(__xludf.DUMMYFUNCTION("""COMPUTED_VALUE"""),-0.454447839996045)</f>
        <v>-0.45444783999604499</v>
      </c>
      <c r="IX153" s="3">
        <f ca="1">IFERROR(__xludf.DUMMYFUNCTION("""COMPUTED_VALUE"""),-0.556872099736409)</f>
        <v>-0.55687209973640905</v>
      </c>
      <c r="IY153" s="3">
        <f ca="1">IFERROR(__xludf.DUMMYFUNCTION("""COMPUTED_VALUE"""),-0.577879286717873)</f>
        <v>-0.57787928671787303</v>
      </c>
      <c r="IZ153" s="3">
        <f ca="1">IFERROR(__xludf.DUMMYFUNCTION("""COMPUTED_VALUE"""),-0.576930493113442)</f>
        <v>-0.57693049311344202</v>
      </c>
      <c r="JA153" s="3">
        <f ca="1">IFERROR(__xludf.DUMMYFUNCTION("""COMPUTED_VALUE"""),-0.552589633822652)</f>
        <v>-0.55258963382265203</v>
      </c>
      <c r="JB153" s="3">
        <f ca="1">IFERROR(__xludf.DUMMYFUNCTION("""COMPUTED_VALUE"""),-0.51089280724782)</f>
        <v>-0.51089280724782005</v>
      </c>
      <c r="JC153" s="3">
        <f ca="1">IFERROR(__xludf.DUMMYFUNCTION("""COMPUTED_VALUE"""),-0.461125296171119)</f>
        <v>-0.46112529617111903</v>
      </c>
      <c r="JD153" s="3">
        <f ca="1">IFERROR(__xludf.DUMMYFUNCTION("""COMPUTED_VALUE"""),-0.469027658313671)</f>
        <v>-0.46902765831367099</v>
      </c>
      <c r="JE153" s="3">
        <f ca="1">IFERROR(__xludf.DUMMYFUNCTION("""COMPUTED_VALUE"""),-0.57929858838804)</f>
        <v>-0.57929858838804005</v>
      </c>
      <c r="JF153" s="3">
        <f ca="1">IFERROR(__xludf.DUMMYFUNCTION("""COMPUTED_VALUE"""),-0.593574577104902)</f>
        <v>-0.59357457710490202</v>
      </c>
      <c r="JG153" s="3">
        <f ca="1">IFERROR(__xludf.DUMMYFUNCTION("""COMPUTED_VALUE"""),-0.621671722097227)</f>
        <v>-0.62167172209722699</v>
      </c>
      <c r="JH153" s="3">
        <f ca="1">IFERROR(__xludf.DUMMYFUNCTION("""COMPUTED_VALUE"""),-0.597511064534741)</f>
        <v>-0.59751106453474101</v>
      </c>
      <c r="JI153" s="3">
        <f ca="1">IFERROR(__xludf.DUMMYFUNCTION("""COMPUTED_VALUE"""),-0.571744712798639)</f>
        <v>-0.57174471279863903</v>
      </c>
      <c r="JJ153" s="3">
        <f ca="1">IFERROR(__xludf.DUMMYFUNCTION("""COMPUTED_VALUE"""),-0.532173624205751)</f>
        <v>-0.53217362420575098</v>
      </c>
      <c r="JK153" s="3">
        <f ca="1">IFERROR(__xludf.DUMMYFUNCTION("""COMPUTED_VALUE"""),-0.471028783967851)</f>
        <v>-0.47102878396785097</v>
      </c>
      <c r="JL153" s="3">
        <f ca="1">IFERROR(__xludf.DUMMYFUNCTION("""COMPUTED_VALUE"""),-0.583067395493006)</f>
        <v>-0.58306739549300601</v>
      </c>
      <c r="JM153" s="3">
        <f ca="1">IFERROR(__xludf.DUMMYFUNCTION("""COMPUTED_VALUE"""),-0.629290384023911)</f>
        <v>-0.62929038402391102</v>
      </c>
      <c r="JN153" s="3">
        <f ca="1">IFERROR(__xludf.DUMMYFUNCTION("""COMPUTED_VALUE"""),-0.589807311704239)</f>
        <v>-0.58980731170423895</v>
      </c>
      <c r="JO153" s="3">
        <f ca="1">IFERROR(__xludf.DUMMYFUNCTION("""COMPUTED_VALUE"""),-0.598261721690788)</f>
        <v>-0.59826172169078795</v>
      </c>
      <c r="JP153" s="3">
        <f ca="1">IFERROR(__xludf.DUMMYFUNCTION("""COMPUTED_VALUE"""),-0.591363996015982)</f>
        <v>-0.591363996015982</v>
      </c>
      <c r="JQ153" s="3">
        <f ca="1">IFERROR(__xludf.DUMMYFUNCTION("""COMPUTED_VALUE"""),-0.506968742258114)</f>
        <v>-0.50696874225811395</v>
      </c>
      <c r="JR153" s="3">
        <f ca="1">IFERROR(__xludf.DUMMYFUNCTION("""COMPUTED_VALUE"""),-0.549340307493694)</f>
        <v>-0.549340307493694</v>
      </c>
      <c r="JS153" s="3">
        <f ca="1">IFERROR(__xludf.DUMMYFUNCTION("""COMPUTED_VALUE"""),-0.585315659012637)</f>
        <v>-0.58531565901263705</v>
      </c>
      <c r="JT153" s="3">
        <f ca="1">IFERROR(__xludf.DUMMYFUNCTION("""COMPUTED_VALUE"""),-0.598589276265972)</f>
        <v>-0.59858927626597203</v>
      </c>
      <c r="JU153" s="3">
        <f ca="1">IFERROR(__xludf.DUMMYFUNCTION("""COMPUTED_VALUE"""),-0.619184019860972)</f>
        <v>-0.61918401986097205</v>
      </c>
      <c r="JV153" s="3">
        <f ca="1">IFERROR(__xludf.DUMMYFUNCTION("""COMPUTED_VALUE"""),-0.602992712165636)</f>
        <v>-0.60299271216563599</v>
      </c>
      <c r="JW153" s="3">
        <f ca="1">IFERROR(__xludf.DUMMYFUNCTION("""COMPUTED_VALUE"""),-0.513022133442961)</f>
        <v>-0.51302213344296099</v>
      </c>
      <c r="JX153" s="3">
        <f ca="1">IFERROR(__xludf.DUMMYFUNCTION("""COMPUTED_VALUE"""),-0.494976218343752)</f>
        <v>-0.49497621834375199</v>
      </c>
      <c r="JY153" s="3">
        <f ca="1">IFERROR(__xludf.DUMMYFUNCTION("""COMPUTED_VALUE"""),-0.51226120288689)</f>
        <v>-0.51226120288689003</v>
      </c>
      <c r="JZ153" s="3">
        <f ca="1">IFERROR(__xludf.DUMMYFUNCTION("""COMPUTED_VALUE"""),-0.598116114171467)</f>
        <v>-0.59811611417146704</v>
      </c>
      <c r="KA153" s="3">
        <f ca="1">IFERROR(__xludf.DUMMYFUNCTION("""COMPUTED_VALUE"""),-0.612942905551912)</f>
        <v>-0.612942905551912</v>
      </c>
      <c r="KB153" s="3">
        <f ca="1">IFERROR(__xludf.DUMMYFUNCTION("""COMPUTED_VALUE"""),-0.65133394568564)</f>
        <v>-0.65133394568563996</v>
      </c>
      <c r="KC153" s="3">
        <f ca="1">IFERROR(__xludf.DUMMYFUNCTION("""COMPUTED_VALUE"""),-0.548878499579311)</f>
        <v>-0.54887849957931101</v>
      </c>
      <c r="KD153" s="3">
        <f ca="1">IFERROR(__xludf.DUMMYFUNCTION("""COMPUTED_VALUE"""),-0.461605047952434)</f>
        <v>-0.46160504795243401</v>
      </c>
      <c r="KE153" s="3">
        <f ca="1">IFERROR(__xludf.DUMMYFUNCTION("""COMPUTED_VALUE"""),-0.441075741670505)</f>
        <v>-0.44107574167050501</v>
      </c>
      <c r="KF153" s="3">
        <f ca="1">IFERROR(__xludf.DUMMYFUNCTION("""COMPUTED_VALUE"""),-0.462595249191579)</f>
        <v>-0.46259524919157902</v>
      </c>
      <c r="KG153" s="3">
        <f ca="1">IFERROR(__xludf.DUMMYFUNCTION("""COMPUTED_VALUE"""),-0.570234685996316)</f>
        <v>-0.57023468599631599</v>
      </c>
      <c r="KH153" s="3">
        <f ca="1">IFERROR(__xludf.DUMMYFUNCTION("""COMPUTED_VALUE"""),-0.578836309322625)</f>
        <v>-0.57883630932262498</v>
      </c>
      <c r="KI153" s="3">
        <f ca="1">IFERROR(__xludf.DUMMYFUNCTION("""COMPUTED_VALUE"""),-0.592502475847009)</f>
        <v>-0.59250247584700899</v>
      </c>
      <c r="KJ153" s="3">
        <f ca="1">IFERROR(__xludf.DUMMYFUNCTION("""COMPUTED_VALUE"""),-0.620198385703794)</f>
        <v>-0.62019838570379404</v>
      </c>
      <c r="KK153" s="3">
        <f ca="1">IFERROR(__xludf.DUMMYFUNCTION("""COMPUTED_VALUE"""),-0.527110482772779)</f>
        <v>-0.52711048277277905</v>
      </c>
      <c r="KL153" s="3">
        <f ca="1">IFERROR(__xludf.DUMMYFUNCTION("""COMPUTED_VALUE"""),-0.516817440619169)</f>
        <v>-0.51681744061916901</v>
      </c>
      <c r="KM153" s="3">
        <f ca="1">IFERROR(__xludf.DUMMYFUNCTION("""COMPUTED_VALUE"""),-0.497658806917563)</f>
        <v>-0.49765880691756298</v>
      </c>
      <c r="KN153" s="3">
        <f ca="1">IFERROR(__xludf.DUMMYFUNCTION("""COMPUTED_VALUE"""),-0.60285735055388)</f>
        <v>-0.60285735055388001</v>
      </c>
      <c r="KO153" s="3">
        <f ca="1">IFERROR(__xludf.DUMMYFUNCTION("""COMPUTED_VALUE"""),-0.602563031649199)</f>
        <v>-0.602563031649199</v>
      </c>
      <c r="KP153" s="3">
        <f ca="1">IFERROR(__xludf.DUMMYFUNCTION("""COMPUTED_VALUE"""),-0.605580337725369)</f>
        <v>-0.60558033772536901</v>
      </c>
      <c r="KQ153" s="3">
        <f ca="1">IFERROR(__xludf.DUMMYFUNCTION("""COMPUTED_VALUE"""),-0.618128652768529)</f>
        <v>-0.61812865276852902</v>
      </c>
      <c r="KR153" s="3">
        <f ca="1">IFERROR(__xludf.DUMMYFUNCTION("""COMPUTED_VALUE"""),-0.613176520228489)</f>
        <v>-0.61317652022848901</v>
      </c>
      <c r="KS153" s="3">
        <f ca="1">IFERROR(__xludf.DUMMYFUNCTION("""COMPUTED_VALUE"""),-0.581129473614724)</f>
        <v>-0.581129473614724</v>
      </c>
      <c r="KT153" s="3">
        <f ca="1">IFERROR(__xludf.DUMMYFUNCTION("""COMPUTED_VALUE"""),-0.601375475406723)</f>
        <v>-0.60137547540672298</v>
      </c>
      <c r="KU153" s="3">
        <f ca="1">IFERROR(__xludf.DUMMYFUNCTION("""COMPUTED_VALUE"""),-0.657452321806097)</f>
        <v>-0.65745232180609703</v>
      </c>
      <c r="KV153" s="3">
        <f ca="1">IFERROR(__xludf.DUMMYFUNCTION("""COMPUTED_VALUE"""),-0.646863028944975)</f>
        <v>-0.64686302894497505</v>
      </c>
      <c r="KW153" s="3">
        <f ca="1">IFERROR(__xludf.DUMMYFUNCTION("""COMPUTED_VALUE"""),-0.658771164276517)</f>
        <v>-0.65877116427651705</v>
      </c>
      <c r="KX153" s="3">
        <f ca="1">IFERROR(__xludf.DUMMYFUNCTION("""COMPUTED_VALUE"""),-0.646627612328147)</f>
        <v>-0.64662761232814703</v>
      </c>
      <c r="KY153" s="3">
        <f ca="1">IFERROR(__xludf.DUMMYFUNCTION("""COMPUTED_VALUE"""),-0.646020587799108)</f>
        <v>-0.64602058779910798</v>
      </c>
      <c r="KZ153" s="3">
        <f ca="1">IFERROR(__xludf.DUMMYFUNCTION("""COMPUTED_VALUE"""),-0.58438650868245)</f>
        <v>-0.58438650868245001</v>
      </c>
      <c r="LA153" s="3">
        <f ca="1">IFERROR(__xludf.DUMMYFUNCTION("""COMPUTED_VALUE"""),-0.609151154939238)</f>
        <v>-0.60915115493923799</v>
      </c>
      <c r="LB153" s="3">
        <f ca="1">IFERROR(__xludf.DUMMYFUNCTION("""COMPUTED_VALUE"""),-0.669829373959242)</f>
        <v>-0.66982937395924202</v>
      </c>
      <c r="LC153" s="3">
        <f ca="1">IFERROR(__xludf.DUMMYFUNCTION("""COMPUTED_VALUE"""),-0.659706238840108)</f>
        <v>-0.65970623884010804</v>
      </c>
      <c r="LD153" s="3">
        <f ca="1">IFERROR(__xludf.DUMMYFUNCTION("""COMPUTED_VALUE"""),-0.669641859592064)</f>
        <v>-0.66964185959206401</v>
      </c>
      <c r="LE153" s="3">
        <f ca="1">IFERROR(__xludf.DUMMYFUNCTION("""COMPUTED_VALUE"""),-0.670606768027981)</f>
        <v>-0.67060676802798103</v>
      </c>
      <c r="LF153" s="3">
        <f ca="1">IFERROR(__xludf.DUMMYFUNCTION("""COMPUTED_VALUE"""),-0.653989203334808)</f>
        <v>-0.65398920333480803</v>
      </c>
      <c r="LG153" s="3">
        <f ca="1">IFERROR(__xludf.DUMMYFUNCTION("""COMPUTED_VALUE"""),-0.622659849617357)</f>
        <v>-0.62265984961735699</v>
      </c>
      <c r="LH153" s="3">
        <f ca="1">IFERROR(__xludf.DUMMYFUNCTION("""COMPUTED_VALUE"""),-0.634201626888109)</f>
        <v>-0.63420162688810899</v>
      </c>
      <c r="LI153" s="3">
        <f ca="1">IFERROR(__xludf.DUMMYFUNCTION("""COMPUTED_VALUE"""),-0.719681626028669)</f>
        <v>-0.71968162602866903</v>
      </c>
      <c r="LJ153" s="3">
        <f ca="1">IFERROR(__xludf.DUMMYFUNCTION("""COMPUTED_VALUE"""),-0.71473420454752)</f>
        <v>-0.71473420454752001</v>
      </c>
      <c r="LK153" s="3">
        <f ca="1">IFERROR(__xludf.DUMMYFUNCTION("""COMPUTED_VALUE"""),-0.680505925332575)</f>
        <v>-0.68050592533257503</v>
      </c>
      <c r="LL153" s="3">
        <f ca="1">IFERROR(__xludf.DUMMYFUNCTION("""COMPUTED_VALUE"""),-0.683591739189651)</f>
        <v>-0.68359173918965099</v>
      </c>
      <c r="LM153" s="3">
        <f ca="1">IFERROR(__xludf.DUMMYFUNCTION("""COMPUTED_VALUE"""),-0.610788566147135)</f>
        <v>-0.61078856614713495</v>
      </c>
      <c r="LN153" s="3">
        <f ca="1">IFERROR(__xludf.DUMMYFUNCTION("""COMPUTED_VALUE"""),-0.645976416541695)</f>
        <v>-0.64597641654169502</v>
      </c>
      <c r="LO153" s="3">
        <f ca="1">IFERROR(__xludf.DUMMYFUNCTION("""COMPUTED_VALUE"""),-0.648430859117564)</f>
        <v>-0.64843085911756404</v>
      </c>
      <c r="LP153" s="3">
        <f ca="1">IFERROR(__xludf.DUMMYFUNCTION("""COMPUTED_VALUE"""),-0.718491110038074)</f>
        <v>-0.71849111003807398</v>
      </c>
      <c r="LQ153" s="3">
        <f ca="1">IFERROR(__xludf.DUMMYFUNCTION("""COMPUTED_VALUE"""),-0.719789543931679)</f>
        <v>-0.71978954393167904</v>
      </c>
      <c r="LR153" s="3">
        <f ca="1">IFERROR(__xludf.DUMMYFUNCTION("""COMPUTED_VALUE"""),-0.728643029416693)</f>
        <v>-0.72864302941669301</v>
      </c>
      <c r="LS153" s="3">
        <f ca="1">IFERROR(__xludf.DUMMYFUNCTION("""COMPUTED_VALUE"""),-0.738969298957926)</f>
        <v>-0.73896929895792596</v>
      </c>
      <c r="LT153" s="3">
        <f ca="1">IFERROR(__xludf.DUMMYFUNCTION("""COMPUTED_VALUE"""),-0.816225286177174)</f>
        <v>-0.81622528617717405</v>
      </c>
      <c r="LU153" s="3">
        <f ca="1">IFERROR(__xludf.DUMMYFUNCTION("""COMPUTED_VALUE"""),-0.707866091875904)</f>
        <v>-0.70786609187590399</v>
      </c>
      <c r="LV153" s="3">
        <f ca="1">IFERROR(__xludf.DUMMYFUNCTION("""COMPUTED_VALUE"""),-0.702196499372419)</f>
        <v>-0.70219649937241901</v>
      </c>
      <c r="LW153" s="3">
        <f ca="1">IFERROR(__xludf.DUMMYFUNCTION("""COMPUTED_VALUE"""),-0.766106154229565)</f>
        <v>-0.76610615422956496</v>
      </c>
      <c r="LX153" s="3">
        <f ca="1">IFERROR(__xludf.DUMMYFUNCTION("""COMPUTED_VALUE"""),-0.764056973762905)</f>
        <v>-0.76405697376290505</v>
      </c>
      <c r="LY153" s="3">
        <f ca="1">IFERROR(__xludf.DUMMYFUNCTION("""COMPUTED_VALUE"""),-0.759726160139998)</f>
        <v>-0.75972616013999805</v>
      </c>
      <c r="LZ153" s="3">
        <f ca="1">IFERROR(__xludf.DUMMYFUNCTION("""COMPUTED_VALUE"""),-0.75117234095949)</f>
        <v>-0.75117234095949004</v>
      </c>
      <c r="MA153" s="3">
        <f ca="1">IFERROR(__xludf.DUMMYFUNCTION("""COMPUTED_VALUE"""),-0.716618260890932)</f>
        <v>-0.71661826089093195</v>
      </c>
      <c r="MB153" s="3">
        <f ca="1">IFERROR(__xludf.DUMMYFUNCTION("""COMPUTED_VALUE"""),-0.7191375429692)</f>
        <v>-0.71913754296919996</v>
      </c>
      <c r="MC153" s="3">
        <f ca="1">IFERROR(__xludf.DUMMYFUNCTION("""COMPUTED_VALUE"""),-0.760016489502016)</f>
        <v>-0.76001648950201595</v>
      </c>
      <c r="MD153" s="3">
        <f ca="1">IFERROR(__xludf.DUMMYFUNCTION("""COMPUTED_VALUE"""),-0.769771986992477)</f>
        <v>-0.76977198699247695</v>
      </c>
      <c r="ME153" s="3">
        <f ca="1">IFERROR(__xludf.DUMMYFUNCTION("""COMPUTED_VALUE"""),-0.772963332133918)</f>
        <v>-0.77296333213391799</v>
      </c>
      <c r="MF153" s="3">
        <f ca="1">IFERROR(__xludf.DUMMYFUNCTION("""COMPUTED_VALUE"""),-0.75840978856541)</f>
        <v>-0.75840978856540997</v>
      </c>
      <c r="MG153" s="3">
        <f ca="1">IFERROR(__xludf.DUMMYFUNCTION("""COMPUTED_VALUE"""),-0.774625403441745)</f>
        <v>-0.77462540344174502</v>
      </c>
      <c r="MH153" s="3">
        <f ca="1">IFERROR(__xludf.DUMMYFUNCTION("""COMPUTED_VALUE"""),-0.751760025816141)</f>
        <v>-0.75176002581614099</v>
      </c>
      <c r="MI153" s="3">
        <f ca="1">IFERROR(__xludf.DUMMYFUNCTION("""COMPUTED_VALUE"""),-0.720105467287812)</f>
        <v>-0.720105467287812</v>
      </c>
      <c r="MJ153" s="3">
        <f ca="1">IFERROR(__xludf.DUMMYFUNCTION("""COMPUTED_VALUE"""),-0.743517557408758)</f>
        <v>-0.74351755740875802</v>
      </c>
      <c r="MK153" s="3">
        <f ca="1">IFERROR(__xludf.DUMMYFUNCTION("""COMPUTED_VALUE"""),-0.766602049017525)</f>
        <v>-0.76660204901752504</v>
      </c>
      <c r="ML153" s="3">
        <f ca="1">IFERROR(__xludf.DUMMYFUNCTION("""COMPUTED_VALUE"""),-0.771044628723082)</f>
        <v>-0.77104462872308199</v>
      </c>
      <c r="MM153" s="3">
        <f ca="1">IFERROR(__xludf.DUMMYFUNCTION("""COMPUTED_VALUE"""),-0.776879761430163)</f>
        <v>-0.77687976143016302</v>
      </c>
      <c r="MN153" s="3">
        <f ca="1">IFERROR(__xludf.DUMMYFUNCTION("""COMPUTED_VALUE"""),-0.778413514766759)</f>
        <v>-0.77841351476675902</v>
      </c>
      <c r="MO153" s="3">
        <f ca="1">IFERROR(__xludf.DUMMYFUNCTION("""COMPUTED_VALUE"""),-0.772142748920347)</f>
        <v>-0.77214274892034696</v>
      </c>
      <c r="MP153" s="3">
        <f ca="1">IFERROR(__xludf.DUMMYFUNCTION("""COMPUTED_VALUE"""),-0.751426627048155)</f>
        <v>-0.75142662704815499</v>
      </c>
      <c r="MQ153" s="3">
        <f ca="1">IFERROR(__xludf.DUMMYFUNCTION("""COMPUTED_VALUE"""),-0.755727416719673)</f>
        <v>-0.75572741671967303</v>
      </c>
      <c r="MR153" s="3">
        <f ca="1">IFERROR(__xludf.DUMMYFUNCTION("""COMPUTED_VALUE"""),-0.745904336841411)</f>
        <v>-0.745904336841411</v>
      </c>
      <c r="MS153" s="3">
        <f ca="1">IFERROR(__xludf.DUMMYFUNCTION("""COMPUTED_VALUE"""),-0.794172062464203)</f>
        <v>-0.79417206246420302</v>
      </c>
      <c r="MT153" s="3">
        <f ca="1">IFERROR(__xludf.DUMMYFUNCTION("""COMPUTED_VALUE"""),-0.788573372307372)</f>
        <v>-0.78857337230737201</v>
      </c>
      <c r="MU153" s="3">
        <f ca="1">IFERROR(__xludf.DUMMYFUNCTION("""COMPUTED_VALUE"""),-0.790013142189928)</f>
        <v>-0.79001314218992802</v>
      </c>
      <c r="MV153" s="3">
        <f ca="1">IFERROR(__xludf.DUMMYFUNCTION("""COMPUTED_VALUE"""),-0.759333449306711)</f>
        <v>-0.75933344930671098</v>
      </c>
      <c r="MW153" s="3">
        <f ca="1">IFERROR(__xludf.DUMMYFUNCTION("""COMPUTED_VALUE"""),-0.733852929679923)</f>
        <v>-0.73385292967992299</v>
      </c>
      <c r="MX153" s="3">
        <f ca="1">IFERROR(__xludf.DUMMYFUNCTION("""COMPUTED_VALUE"""),-0.762799353107458)</f>
        <v>-0.76279935310745794</v>
      </c>
      <c r="MY153" s="3">
        <f ca="1">IFERROR(__xludf.DUMMYFUNCTION("""COMPUTED_VALUE"""),-0.734150615451892)</f>
        <v>-0.73415061545189197</v>
      </c>
      <c r="MZ153" s="3">
        <f ca="1">IFERROR(__xludf.DUMMYFUNCTION("""COMPUTED_VALUE"""),-0.794982012918102)</f>
        <v>-0.794982012918102</v>
      </c>
      <c r="NA153" s="3">
        <f ca="1">IFERROR(__xludf.DUMMYFUNCTION("""COMPUTED_VALUE"""),-0.795510105442827)</f>
        <v>-0.79551010544282696</v>
      </c>
      <c r="NB153" s="3">
        <f ca="1">IFERROR(__xludf.DUMMYFUNCTION("""COMPUTED_VALUE"""),-0.778857367350153)</f>
        <v>-0.77885736735015298</v>
      </c>
      <c r="NC153" s="3">
        <f ca="1">IFERROR(__xludf.DUMMYFUNCTION("""COMPUTED_VALUE"""),-0.767780911170038)</f>
        <v>-0.76778091117003799</v>
      </c>
      <c r="ND153" s="3">
        <f ca="1">IFERROR(__xludf.DUMMYFUNCTION("""COMPUTED_VALUE"""),-0.796070244452024)</f>
        <v>-0.79607024445202401</v>
      </c>
      <c r="NE153" s="3">
        <f ca="1">IFERROR(__xludf.DUMMYFUNCTION("""COMPUTED_VALUE"""),-0.789009501843306)</f>
        <v>-0.78900950184330598</v>
      </c>
      <c r="NF153" s="3">
        <f ca="1">IFERROR(__xludf.DUMMYFUNCTION("""COMPUTED_VALUE"""),-0.851416317695694)</f>
        <v>-0.85141631769569404</v>
      </c>
      <c r="NG153" s="3">
        <f ca="1">IFERROR(__xludf.DUMMYFUNCTION("""COMPUTED_VALUE"""),-0.784442552145424)</f>
        <v>-0.78444255214542402</v>
      </c>
      <c r="NH153" s="3">
        <f ca="1">IFERROR(__xludf.DUMMYFUNCTION("""COMPUTED_VALUE"""),-0.803607673886831)</f>
        <v>-0.80360767388683096</v>
      </c>
      <c r="NI153" s="3">
        <f ca="1">IFERROR(__xludf.DUMMYFUNCTION("""COMPUTED_VALUE"""),-0.800858530466823)</f>
        <v>-0.80085853046682298</v>
      </c>
      <c r="NJ153" s="3">
        <f ca="1">IFERROR(__xludf.DUMMYFUNCTION("""COMPUTED_VALUE"""),-0.775245890696725)</f>
        <v>-0.775245890696725</v>
      </c>
      <c r="NK153" s="3">
        <f ca="1">IFERROR(__xludf.DUMMYFUNCTION("""COMPUTED_VALUE"""),-0.73634475057854)</f>
        <v>-0.73634475057853999</v>
      </c>
      <c r="NL153" s="3">
        <f ca="1">IFERROR(__xludf.DUMMYFUNCTION("""COMPUTED_VALUE"""),-0.761788386147571)</f>
        <v>-0.76178838614757105</v>
      </c>
      <c r="NM153" s="3">
        <f ca="1">IFERROR(__xludf.DUMMYFUNCTION("""COMPUTED_VALUE"""),-0.791674577356133)</f>
        <v>-0.791674577356133</v>
      </c>
      <c r="NN153" s="3">
        <f ca="1">IFERROR(__xludf.DUMMYFUNCTION("""COMPUTED_VALUE"""),-0.781167703826879)</f>
        <v>-0.78116770382687895</v>
      </c>
      <c r="NO153" s="3">
        <f ca="1">IFERROR(__xludf.DUMMYFUNCTION("""COMPUTED_VALUE"""),-0.780086416464341)</f>
        <v>-0.78008641646434096</v>
      </c>
      <c r="NP153" s="3">
        <f ca="1">IFERROR(__xludf.DUMMYFUNCTION("""COMPUTED_VALUE"""),-0.790049961334746)</f>
        <v>-0.79004996133474603</v>
      </c>
      <c r="NQ153" s="3">
        <f ca="1">IFERROR(__xludf.DUMMYFUNCTION("""COMPUTED_VALUE"""),-0.772826505248705)</f>
        <v>-0.772826505248705</v>
      </c>
      <c r="NR153" s="3">
        <f ca="1">IFERROR(__xludf.DUMMYFUNCTION("""COMPUTED_VALUE"""),-0.75534228119968)</f>
        <v>-0.75534228119968005</v>
      </c>
      <c r="NS153" s="3">
        <f ca="1">IFERROR(__xludf.DUMMYFUNCTION("""COMPUTED_VALUE"""),-0.774794152150367)</f>
        <v>-0.77479415215036695</v>
      </c>
      <c r="NT153" s="3">
        <f ca="1">IFERROR(__xludf.DUMMYFUNCTION("""COMPUTED_VALUE"""),-0.789706706911776)</f>
        <v>-0.78970670691177602</v>
      </c>
      <c r="NU153" s="3">
        <f ca="1">IFERROR(__xludf.DUMMYFUNCTION("""COMPUTED_VALUE"""),-0.771514061552586)</f>
        <v>-0.77151406155258595</v>
      </c>
      <c r="NV153" s="3">
        <f ca="1">IFERROR(__xludf.DUMMYFUNCTION("""COMPUTED_VALUE"""),-0.761958829233664)</f>
        <v>-0.76195882923366398</v>
      </c>
      <c r="NW153" s="3">
        <f ca="1">IFERROR(__xludf.DUMMYFUNCTION("""COMPUTED_VALUE"""),-0.684399670248233)</f>
        <v>-0.68439967024823301</v>
      </c>
      <c r="NX153" s="3">
        <f ca="1">IFERROR(__xludf.DUMMYFUNCTION("""COMPUTED_VALUE"""),-0.679762830491131)</f>
        <v>-0.67976283049113095</v>
      </c>
      <c r="NY153" s="3">
        <f ca="1">IFERROR(__xludf.DUMMYFUNCTION("""COMPUTED_VALUE"""),-0.630247920356917)</f>
        <v>-0.63024792035691701</v>
      </c>
      <c r="NZ153" s="3">
        <f ca="1">IFERROR(__xludf.DUMMYFUNCTION("""COMPUTED_VALUE"""),-0.628949516750509)</f>
        <v>-0.62894951675050903</v>
      </c>
      <c r="OA153" s="3">
        <f ca="1">IFERROR(__xludf.DUMMYFUNCTION("""COMPUTED_VALUE"""),-0.666888778893573)</f>
        <v>-0.66688877889357301</v>
      </c>
      <c r="OB153" s="3">
        <f ca="1">IFERROR(__xludf.DUMMYFUNCTION("""COMPUTED_VALUE"""),-0.65526245081762)</f>
        <v>-0.65526245081762002</v>
      </c>
      <c r="OC153" s="3">
        <f ca="1">IFERROR(__xludf.DUMMYFUNCTION("""COMPUTED_VALUE"""),-0.640162169871488)</f>
        <v>-0.640162169871488</v>
      </c>
      <c r="OD153" s="3">
        <f ca="1">IFERROR(__xludf.DUMMYFUNCTION("""COMPUTED_VALUE"""),-0.592081516292364)</f>
        <v>-0.59208151629236405</v>
      </c>
      <c r="OE153" s="3">
        <f ca="1">IFERROR(__xludf.DUMMYFUNCTION("""COMPUTED_VALUE"""),-0.508394355441982)</f>
        <v>-0.50839435544198197</v>
      </c>
      <c r="OF153" s="3">
        <f ca="1">IFERROR(__xludf.DUMMYFUNCTION("""COMPUTED_VALUE"""),-0.318183458954134)</f>
        <v>-0.31818345895413402</v>
      </c>
      <c r="OG153" s="3">
        <f ca="1">IFERROR(__xludf.DUMMYFUNCTION("""COMPUTED_VALUE"""),-0.304563654867683)</f>
        <v>-0.304563654867683</v>
      </c>
      <c r="OH153" s="3">
        <f ca="1">IFERROR(__xludf.DUMMYFUNCTION("""COMPUTED_VALUE"""),-0.208476922878796)</f>
        <v>-0.20847692287879599</v>
      </c>
      <c r="OI153" s="3">
        <f ca="1">IFERROR(__xludf.DUMMYFUNCTION("""COMPUTED_VALUE"""),-0.099712959119837)</f>
        <v>-9.9712959119837005E-2</v>
      </c>
      <c r="OJ153" s="3">
        <f ca="1">IFERROR(__xludf.DUMMYFUNCTION("""COMPUTED_VALUE"""),-0.053260414337281)</f>
        <v>-5.3260414337281001E-2</v>
      </c>
      <c r="OK153" s="3">
        <f ca="1">IFERROR(__xludf.DUMMYFUNCTION("""COMPUTED_VALUE"""),-0.0477841569129268)</f>
        <v>-4.7784156912926798E-2</v>
      </c>
      <c r="OL153" s="3">
        <f ca="1">IFERROR(__xludf.DUMMYFUNCTION("""COMPUTED_VALUE"""),-0.0220626616811074)</f>
        <v>-2.20626616811074E-2</v>
      </c>
      <c r="OM153" s="3">
        <f ca="1">IFERROR(__xludf.DUMMYFUNCTION("""COMPUTED_VALUE"""),0.0163856492365248)</f>
        <v>1.6385649236524798E-2</v>
      </c>
      <c r="ON153" s="3">
        <f ca="1">IFERROR(__xludf.DUMMYFUNCTION("""COMPUTED_VALUE"""),0.0315092106364638)</f>
        <v>3.1509210636463801E-2</v>
      </c>
      <c r="OO153" s="3">
        <f ca="1">IFERROR(__xludf.DUMMYFUNCTION("""COMPUTED_VALUE"""),-0.0229236129153093)</f>
        <v>-2.29236129153093E-2</v>
      </c>
      <c r="OP153" s="3">
        <f ca="1">IFERROR(__xludf.DUMMYFUNCTION("""COMPUTED_VALUE"""),0.0125595621421055)</f>
        <v>1.2559562142105501E-2</v>
      </c>
      <c r="OQ153" s="3">
        <f ca="1">IFERROR(__xludf.DUMMYFUNCTION("""COMPUTED_VALUE"""),0.020226852864897)</f>
        <v>2.0226852864897001E-2</v>
      </c>
      <c r="OR153" s="3">
        <f ca="1">IFERROR(__xludf.DUMMYFUNCTION("""COMPUTED_VALUE"""),0.0368786212627465)</f>
        <v>3.6878621262746498E-2</v>
      </c>
      <c r="OS153" s="3">
        <f ca="1">IFERROR(__xludf.DUMMYFUNCTION("""COMPUTED_VALUE"""),0.0252949150158876)</f>
        <v>2.5294915015887601E-2</v>
      </c>
      <c r="OT153" s="3">
        <f ca="1">IFERROR(__xludf.DUMMYFUNCTION("""COMPUTED_VALUE"""),0.027386067246401)</f>
        <v>2.7386067246401E-2</v>
      </c>
      <c r="OU153" s="3">
        <f ca="1">IFERROR(__xludf.DUMMYFUNCTION("""COMPUTED_VALUE"""),-0.0215677472114858)</f>
        <v>-2.1567747211485799E-2</v>
      </c>
      <c r="OV153" s="3">
        <f ca="1">IFERROR(__xludf.DUMMYFUNCTION("""COMPUTED_VALUE"""),-0.0738596531613949)</f>
        <v>-7.3859653161394895E-2</v>
      </c>
      <c r="OW153" s="3">
        <f ca="1">IFERROR(__xludf.DUMMYFUNCTION("""COMPUTED_VALUE"""),-0.105350647728978)</f>
        <v>-0.10535064772897799</v>
      </c>
      <c r="OX153" s="3">
        <f ca="1">IFERROR(__xludf.DUMMYFUNCTION("""COMPUTED_VALUE"""),-0.0643431467076274)</f>
        <v>-6.4343146707627405E-2</v>
      </c>
      <c r="OY153" s="3">
        <f ca="1">IFERROR(__xludf.DUMMYFUNCTION("""COMPUTED_VALUE"""),0.0282584100149754)</f>
        <v>2.8258410014975401E-2</v>
      </c>
      <c r="OZ153" s="3">
        <f ca="1">IFERROR(__xludf.DUMMYFUNCTION("""COMPUTED_VALUE"""),0.211606553747582)</f>
        <v>0.211606553747582</v>
      </c>
      <c r="PA153" s="3">
        <f ca="1">IFERROR(__xludf.DUMMYFUNCTION("""COMPUTED_VALUE"""),0.0929681856349295)</f>
        <v>9.2968185634929507E-2</v>
      </c>
      <c r="PB153" s="3">
        <f ca="1">IFERROR(__xludf.DUMMYFUNCTION("""COMPUTED_VALUE"""),0.0878779673258063)</f>
        <v>8.78779673258063E-2</v>
      </c>
      <c r="PC153" s="3">
        <f ca="1">IFERROR(__xludf.DUMMYFUNCTION("""COMPUTED_VALUE"""),-0.0109558491925627)</f>
        <v>-1.09558491925627E-2</v>
      </c>
      <c r="PD153" s="3">
        <f ca="1">IFERROR(__xludf.DUMMYFUNCTION("""COMPUTED_VALUE"""),-0.043515438545862)</f>
        <v>-4.3515438545861998E-2</v>
      </c>
      <c r="PE153" s="3">
        <f ca="1">IFERROR(__xludf.DUMMYFUNCTION("""COMPUTED_VALUE"""),0.0142961036597237)</f>
        <v>1.42961036597237E-2</v>
      </c>
      <c r="PF153" s="3">
        <f ca="1">IFERROR(__xludf.DUMMYFUNCTION("""COMPUTED_VALUE"""),0.174467957635015)</f>
        <v>0.17446795763501499</v>
      </c>
      <c r="PG153" s="3">
        <f ca="1">IFERROR(__xludf.DUMMYFUNCTION("""COMPUTED_VALUE"""),-0.427230852434987)</f>
        <v>-0.42723085243498699</v>
      </c>
      <c r="PH153" s="3">
        <f ca="1">IFERROR(__xludf.DUMMYFUNCTION("""COMPUTED_VALUE"""),0.0610211160284186)</f>
        <v>6.1021116028418601E-2</v>
      </c>
      <c r="PI153" s="3">
        <f ca="1">IFERROR(__xludf.DUMMYFUNCTION("""COMPUTED_VALUE"""),-0.0192978982231497)</f>
        <v>-1.9297898223149701E-2</v>
      </c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</row>
    <row r="154" spans="1:477" ht="13">
      <c r="A154" s="1" t="str">
        <f ca="1">IFERROR(__xludf.DUMMYFUNCTION("""COMPUTED_VALUE"""),"TTC - Subway")</f>
        <v>TTC - Subway</v>
      </c>
      <c r="B154" s="1" t="str">
        <f ca="1">IFERROR(__xludf.DUMMYFUNCTION("""COMPUTED_VALUE"""),"Toronto")</f>
        <v>Toronto</v>
      </c>
      <c r="C154" s="1" t="str">
        <f ca="1">IFERROR(__xludf.DUMMYFUNCTION("""COMPUTED_VALUE"""),"Canada")</f>
        <v>Canada</v>
      </c>
      <c r="D154" s="1" t="str">
        <f ca="1">IFERROR(__xludf.DUMMYFUNCTION("""COMPUTED_VALUE"""),"Ontario")</f>
        <v>Ontario</v>
      </c>
      <c r="E154" s="3">
        <f ca="1">IFERROR(__xludf.DUMMYFUNCTION("""COMPUTED_VALUE"""),-0.530249781272545)</f>
        <v>-0.53024978127254496</v>
      </c>
      <c r="F154" s="3">
        <f ca="1">IFERROR(__xludf.DUMMYFUNCTION("""COMPUTED_VALUE"""),-0.540830352319105)</f>
        <v>-0.54083035231910503</v>
      </c>
      <c r="G154" s="3">
        <f ca="1">IFERROR(__xludf.DUMMYFUNCTION("""COMPUTED_VALUE"""),-0.624114663227101)</f>
        <v>-0.62411466322710096</v>
      </c>
      <c r="H154" s="3">
        <f ca="1">IFERROR(__xludf.DUMMYFUNCTION("""COMPUTED_VALUE"""),-0.593392120612542)</f>
        <v>-0.59339212061254198</v>
      </c>
      <c r="I154" s="3">
        <f ca="1">IFERROR(__xludf.DUMMYFUNCTION("""COMPUTED_VALUE"""),-0.594681539845238)</f>
        <v>-0.59468153984523797</v>
      </c>
      <c r="J154" s="3">
        <f ca="1">IFERROR(__xludf.DUMMYFUNCTION("""COMPUTED_VALUE"""),-0.578566897219207)</f>
        <v>-0.57856689721920695</v>
      </c>
      <c r="K154" s="3">
        <f ca="1">IFERROR(__xludf.DUMMYFUNCTION("""COMPUTED_VALUE"""),-0.527994990127012)</f>
        <v>-0.52799499012701201</v>
      </c>
      <c r="L154" s="3">
        <f ca="1">IFERROR(__xludf.DUMMYFUNCTION("""COMPUTED_VALUE"""),-0.529738498860213)</f>
        <v>-0.52973849886021296</v>
      </c>
      <c r="M154" s="3">
        <f ca="1">IFERROR(__xludf.DUMMYFUNCTION("""COMPUTED_VALUE"""),-0.633687329981703)</f>
        <v>-0.63368732998170296</v>
      </c>
      <c r="N154" s="3">
        <f ca="1">IFERROR(__xludf.DUMMYFUNCTION("""COMPUTED_VALUE"""),-0.528561516265173)</f>
        <v>-0.528561516265173</v>
      </c>
      <c r="O154" s="3">
        <f ca="1">IFERROR(__xludf.DUMMYFUNCTION("""COMPUTED_VALUE"""),-0.572623784365972)</f>
        <v>-0.57262378436597205</v>
      </c>
      <c r="P154" s="3">
        <f ca="1">IFERROR(__xludf.DUMMYFUNCTION("""COMPUTED_VALUE"""),-0.567319593173384)</f>
        <v>-0.56731959317338398</v>
      </c>
      <c r="Q154" s="3">
        <f ca="1">IFERROR(__xludf.DUMMYFUNCTION("""COMPUTED_VALUE"""),-0.546924800790112)</f>
        <v>-0.54692480079011196</v>
      </c>
      <c r="R154" s="3">
        <f ca="1">IFERROR(__xludf.DUMMYFUNCTION("""COMPUTED_VALUE"""),-0.494232281862259)</f>
        <v>-0.49423228186225898</v>
      </c>
      <c r="S154" s="3">
        <f ca="1">IFERROR(__xludf.DUMMYFUNCTION("""COMPUTED_VALUE"""),-0.544561624025734)</f>
        <v>-0.54456162402573405</v>
      </c>
      <c r="T154" s="3">
        <f ca="1">IFERROR(__xludf.DUMMYFUNCTION("""COMPUTED_VALUE"""),-0.662102950112104)</f>
        <v>-0.66210295011210396</v>
      </c>
      <c r="U154" s="3">
        <f ca="1">IFERROR(__xludf.DUMMYFUNCTION("""COMPUTED_VALUE"""),-0.659333968604224)</f>
        <v>-0.659333968604224</v>
      </c>
      <c r="V154" s="3">
        <f ca="1">IFERROR(__xludf.DUMMYFUNCTION("""COMPUTED_VALUE"""),-0.679906576854086)</f>
        <v>-0.67990657685408595</v>
      </c>
      <c r="W154" s="3">
        <f ca="1">IFERROR(__xludf.DUMMYFUNCTION("""COMPUTED_VALUE"""),-0.676739083513622)</f>
        <v>-0.676739083513622</v>
      </c>
      <c r="X154" s="3">
        <f ca="1">IFERROR(__xludf.DUMMYFUNCTION("""COMPUTED_VALUE"""),-0.642047483842434)</f>
        <v>-0.64204748384243404</v>
      </c>
      <c r="Y154" s="3">
        <f ca="1">IFERROR(__xludf.DUMMYFUNCTION("""COMPUTED_VALUE"""),-0.532562559155736)</f>
        <v>-0.53256255915573603</v>
      </c>
      <c r="Z154" s="3">
        <f ca="1">IFERROR(__xludf.DUMMYFUNCTION("""COMPUTED_VALUE"""),-0.577936881994985)</f>
        <v>-0.57793688199498505</v>
      </c>
      <c r="AA154" s="3">
        <f ca="1">IFERROR(__xludf.DUMMYFUNCTION("""COMPUTED_VALUE"""),-0.673350518044806)</f>
        <v>-0.67335051804480595</v>
      </c>
      <c r="AB154" s="3">
        <f ca="1">IFERROR(__xludf.DUMMYFUNCTION("""COMPUTED_VALUE"""),-0.674149774845347)</f>
        <v>-0.67414977484534699</v>
      </c>
      <c r="AC154" s="3">
        <f ca="1">IFERROR(__xludf.DUMMYFUNCTION("""COMPUTED_VALUE"""),-0.678504847107041)</f>
        <v>-0.67850484710704095</v>
      </c>
      <c r="AD154" s="3">
        <f ca="1">IFERROR(__xludf.DUMMYFUNCTION("""COMPUTED_VALUE"""),-0.688762930600804)</f>
        <v>-0.68876293060080396</v>
      </c>
      <c r="AE154" s="3">
        <f ca="1">IFERROR(__xludf.DUMMYFUNCTION("""COMPUTED_VALUE"""),-0.662751815965428)</f>
        <v>-0.66275181596542798</v>
      </c>
      <c r="AF154" s="3">
        <f ca="1">IFERROR(__xludf.DUMMYFUNCTION("""COMPUTED_VALUE"""),-0.570859163121048)</f>
        <v>-0.57085916312104801</v>
      </c>
      <c r="AG154" s="3">
        <f ca="1">IFERROR(__xludf.DUMMYFUNCTION("""COMPUTED_VALUE"""),-0.591940541757728)</f>
        <v>-0.59194054175772803</v>
      </c>
      <c r="AH154" s="3">
        <f ca="1">IFERROR(__xludf.DUMMYFUNCTION("""COMPUTED_VALUE"""),-0.700747694664807)</f>
        <v>-0.70074769466480702</v>
      </c>
      <c r="AI154" s="3">
        <f ca="1">IFERROR(__xludf.DUMMYFUNCTION("""COMPUTED_VALUE"""),-0.696707740262973)</f>
        <v>-0.696707740262973</v>
      </c>
      <c r="AJ154" s="3">
        <f ca="1">IFERROR(__xludf.DUMMYFUNCTION("""COMPUTED_VALUE"""),-0.683048706325943)</f>
        <v>-0.68304870632594294</v>
      </c>
      <c r="AK154" s="3">
        <f ca="1">IFERROR(__xludf.DUMMYFUNCTION("""COMPUTED_VALUE"""),-0.679914095121781)</f>
        <v>-0.67991409512178103</v>
      </c>
      <c r="AL154" s="3">
        <f ca="1">IFERROR(__xludf.DUMMYFUNCTION("""COMPUTED_VALUE"""),-0.677548224554671)</f>
        <v>-0.67754822455467101</v>
      </c>
      <c r="AM154" s="3">
        <f ca="1">IFERROR(__xludf.DUMMYFUNCTION("""COMPUTED_VALUE"""),-0.615417230748341)</f>
        <v>-0.61541723074834098</v>
      </c>
      <c r="AN154" s="3">
        <f ca="1">IFERROR(__xludf.DUMMYFUNCTION("""COMPUTED_VALUE"""),-0.652597357991128)</f>
        <v>-0.65259735799112795</v>
      </c>
      <c r="AO154" s="3">
        <f ca="1">IFERROR(__xludf.DUMMYFUNCTION("""COMPUTED_VALUE"""),-0.722512142357399)</f>
        <v>-0.72251214235739902</v>
      </c>
      <c r="AP154" s="3">
        <f ca="1">IFERROR(__xludf.DUMMYFUNCTION("""COMPUTED_VALUE"""),-0.72615380790825)</f>
        <v>-0.72615380790825002</v>
      </c>
      <c r="AQ154" s="3">
        <f ca="1">IFERROR(__xludf.DUMMYFUNCTION("""COMPUTED_VALUE"""),-0.717992392512171)</f>
        <v>-0.71799239251217095</v>
      </c>
      <c r="AR154" s="3">
        <f ca="1">IFERROR(__xludf.DUMMYFUNCTION("""COMPUTED_VALUE"""),-0.718290666645016)</f>
        <v>-0.71829066664501595</v>
      </c>
      <c r="AS154" s="3">
        <f ca="1">IFERROR(__xludf.DUMMYFUNCTION("""COMPUTED_VALUE"""),-0.692965993037769)</f>
        <v>-0.69296599303776896</v>
      </c>
      <c r="AT154" s="3">
        <f ca="1">IFERROR(__xludf.DUMMYFUNCTION("""COMPUTED_VALUE"""),-0.620123880519674)</f>
        <v>-0.62012388051967404</v>
      </c>
      <c r="AU154" s="3">
        <f ca="1">IFERROR(__xludf.DUMMYFUNCTION("""COMPUTED_VALUE"""),-0.657541767138876)</f>
        <v>-0.65754176713887602</v>
      </c>
      <c r="AV154" s="3">
        <f ca="1">IFERROR(__xludf.DUMMYFUNCTION("""COMPUTED_VALUE"""),-0.723300051662544)</f>
        <v>-0.72330005166254396</v>
      </c>
      <c r="AW154" s="3">
        <f ca="1">IFERROR(__xludf.DUMMYFUNCTION("""COMPUTED_VALUE"""),-0.734949310187037)</f>
        <v>-0.73494931018703702</v>
      </c>
      <c r="AX154" s="3">
        <f ca="1">IFERROR(__xludf.DUMMYFUNCTION("""COMPUTED_VALUE"""),-0.730619352240467)</f>
        <v>-0.73061935224046703</v>
      </c>
      <c r="AY154" s="3">
        <f ca="1">IFERROR(__xludf.DUMMYFUNCTION("""COMPUTED_VALUE"""),-0.713562307268127)</f>
        <v>-0.71356230726812697</v>
      </c>
      <c r="AZ154" s="3">
        <f ca="1">IFERROR(__xludf.DUMMYFUNCTION("""COMPUTED_VALUE"""),-0.657515138666493)</f>
        <v>-0.65751513866649303</v>
      </c>
      <c r="BA154" s="3">
        <f ca="1">IFERROR(__xludf.DUMMYFUNCTION("""COMPUTED_VALUE"""),-0.629258401653722)</f>
        <v>-0.62925840165372204</v>
      </c>
      <c r="BB154" s="3">
        <f ca="1">IFERROR(__xludf.DUMMYFUNCTION("""COMPUTED_VALUE"""),-0.68872847783825)</f>
        <v>-0.68872847783824998</v>
      </c>
      <c r="BC154" s="3">
        <f ca="1">IFERROR(__xludf.DUMMYFUNCTION("""COMPUTED_VALUE"""),-0.717699132148008)</f>
        <v>-0.71769913214800796</v>
      </c>
      <c r="BD154" s="3">
        <f ca="1">IFERROR(__xludf.DUMMYFUNCTION("""COMPUTED_VALUE"""),-0.735791024570942)</f>
        <v>-0.73579102457094203</v>
      </c>
      <c r="BE154" s="3">
        <f ca="1">IFERROR(__xludf.DUMMYFUNCTION("""COMPUTED_VALUE"""),-0.714159460721464)</f>
        <v>-0.71415946072146397</v>
      </c>
      <c r="BF154" s="3">
        <f ca="1">IFERROR(__xludf.DUMMYFUNCTION("""COMPUTED_VALUE"""),-0.67484580941254)</f>
        <v>-0.67484580941254002</v>
      </c>
      <c r="BG154" s="3">
        <f ca="1">IFERROR(__xludf.DUMMYFUNCTION("""COMPUTED_VALUE"""),-0.735656876464109)</f>
        <v>-0.73565687646410904</v>
      </c>
      <c r="BH154" s="3">
        <f ca="1">IFERROR(__xludf.DUMMYFUNCTION("""COMPUTED_VALUE"""),-0.62993774973337)</f>
        <v>-0.62993774973337002</v>
      </c>
      <c r="BI154" s="3">
        <f ca="1">IFERROR(__xludf.DUMMYFUNCTION("""COMPUTED_VALUE"""),-0.692270964126956)</f>
        <v>-0.69227096412695599</v>
      </c>
      <c r="BJ154" s="3">
        <f ca="1">IFERROR(__xludf.DUMMYFUNCTION("""COMPUTED_VALUE"""),-0.751590508051636)</f>
        <v>-0.75159050805163596</v>
      </c>
      <c r="BK154" s="3">
        <f ca="1">IFERROR(__xludf.DUMMYFUNCTION("""COMPUTED_VALUE"""),-0.770862936381419)</f>
        <v>-0.77086293638141901</v>
      </c>
      <c r="BL154" s="3">
        <f ca="1">IFERROR(__xludf.DUMMYFUNCTION("""COMPUTED_VALUE"""),-0.763939267463124)</f>
        <v>-0.76393926746312402</v>
      </c>
      <c r="BM154" s="3">
        <f ca="1">IFERROR(__xludf.DUMMYFUNCTION("""COMPUTED_VALUE"""),-0.758878736212871)</f>
        <v>-0.75887873621287105</v>
      </c>
      <c r="BN154" s="3">
        <f ca="1">IFERROR(__xludf.DUMMYFUNCTION("""COMPUTED_VALUE"""),-0.72909433632675)</f>
        <v>-0.72909433632675003</v>
      </c>
      <c r="BO154" s="3">
        <f ca="1">IFERROR(__xludf.DUMMYFUNCTION("""COMPUTED_VALUE"""),-0.702588921233584)</f>
        <v>-0.70258892123358396</v>
      </c>
      <c r="BP154" s="3">
        <f ca="1">IFERROR(__xludf.DUMMYFUNCTION("""COMPUTED_VALUE"""),-0.72161948825878)</f>
        <v>-0.72161948825877997</v>
      </c>
      <c r="BQ154" s="3">
        <f ca="1">IFERROR(__xludf.DUMMYFUNCTION("""COMPUTED_VALUE"""),-0.76396487242722)</f>
        <v>-0.76396487242722</v>
      </c>
      <c r="BR154" s="3">
        <f ca="1">IFERROR(__xludf.DUMMYFUNCTION("""COMPUTED_VALUE"""),-0.773123896870735)</f>
        <v>-0.77312389687073502</v>
      </c>
      <c r="BS154" s="3">
        <f ca="1">IFERROR(__xludf.DUMMYFUNCTION("""COMPUTED_VALUE"""),-0.766367477124989)</f>
        <v>-0.76636747712498898</v>
      </c>
      <c r="BT154" s="3">
        <f ca="1">IFERROR(__xludf.DUMMYFUNCTION("""COMPUTED_VALUE"""),-0.775225858548829)</f>
        <v>-0.77522585854882897</v>
      </c>
      <c r="BU154" s="3">
        <f ca="1">IFERROR(__xludf.DUMMYFUNCTION("""COMPUTED_VALUE"""),-0.770072005576804)</f>
        <v>-0.770072005576804</v>
      </c>
      <c r="BV154" s="3">
        <f ca="1">IFERROR(__xludf.DUMMYFUNCTION("""COMPUTED_VALUE"""),-0.727679445257537)</f>
        <v>-0.72767944525753703</v>
      </c>
      <c r="BW154" s="3">
        <f ca="1">IFERROR(__xludf.DUMMYFUNCTION("""COMPUTED_VALUE"""),-0.735158498370672)</f>
        <v>-0.73515849837067204</v>
      </c>
      <c r="BX154" s="3">
        <f ca="1">IFERROR(__xludf.DUMMYFUNCTION("""COMPUTED_VALUE"""),-0.774414680981837)</f>
        <v>-0.77441468098183697</v>
      </c>
      <c r="BY154" s="3">
        <f ca="1">IFERROR(__xludf.DUMMYFUNCTION("""COMPUTED_VALUE"""),-0.783293177473676)</f>
        <v>-0.78329317747367599</v>
      </c>
      <c r="BZ154" s="3">
        <f ca="1">IFERROR(__xludf.DUMMYFUNCTION("""COMPUTED_VALUE"""),-0.773389358650791)</f>
        <v>-0.77338935865079095</v>
      </c>
      <c r="CA154" s="3">
        <f ca="1">IFERROR(__xludf.DUMMYFUNCTION("""COMPUTED_VALUE"""),-0.781489139465446)</f>
        <v>-0.78148913946544596</v>
      </c>
      <c r="CB154" s="3">
        <f ca="1">IFERROR(__xludf.DUMMYFUNCTION("""COMPUTED_VALUE"""),-0.774419838907954)</f>
        <v>-0.77441983890795396</v>
      </c>
      <c r="CC154" s="3">
        <f ca="1">IFERROR(__xludf.DUMMYFUNCTION("""COMPUTED_VALUE"""),-0.720688878196202)</f>
        <v>-0.72068887819620198</v>
      </c>
      <c r="CD154" s="3">
        <f ca="1">IFERROR(__xludf.DUMMYFUNCTION("""COMPUTED_VALUE"""),-0.728574973416344)</f>
        <v>-0.72857497341634403</v>
      </c>
      <c r="CE154" s="3">
        <f ca="1">IFERROR(__xludf.DUMMYFUNCTION("""COMPUTED_VALUE"""),-0.775968347998753)</f>
        <v>-0.77596834799875303</v>
      </c>
      <c r="CF154" s="3">
        <f ca="1">IFERROR(__xludf.DUMMYFUNCTION("""COMPUTED_VALUE"""),-0.78545994078809)</f>
        <v>-0.78545994078809001</v>
      </c>
      <c r="CG154" s="3">
        <f ca="1">IFERROR(__xludf.DUMMYFUNCTION("""COMPUTED_VALUE"""),-0.78426639601935)</f>
        <v>-0.78426639601935</v>
      </c>
      <c r="CH154" s="3">
        <f ca="1">IFERROR(__xludf.DUMMYFUNCTION("""COMPUTED_VALUE"""),-0.779758072390468)</f>
        <v>-0.77975807239046802</v>
      </c>
      <c r="CI154" s="3">
        <f ca="1">IFERROR(__xludf.DUMMYFUNCTION("""COMPUTED_VALUE"""),-0.771265056689449)</f>
        <v>-0.771265056689449</v>
      </c>
      <c r="CJ154" s="3">
        <f ca="1">IFERROR(__xludf.DUMMYFUNCTION("""COMPUTED_VALUE"""),-0.726130872457866)</f>
        <v>-0.72613087245786601</v>
      </c>
      <c r="CK154" s="3">
        <f ca="1">IFERROR(__xludf.DUMMYFUNCTION("""COMPUTED_VALUE"""),-0.718041742361663)</f>
        <v>-0.71804174236166296</v>
      </c>
      <c r="CL154" s="3">
        <f ca="1">IFERROR(__xludf.DUMMYFUNCTION("""COMPUTED_VALUE"""),-0.770862138956896)</f>
        <v>-0.77086213895689604</v>
      </c>
      <c r="CM154" s="3">
        <f ca="1">IFERROR(__xludf.DUMMYFUNCTION("""COMPUTED_VALUE"""),-0.768033096939032)</f>
        <v>-0.76803309693903199</v>
      </c>
      <c r="CN154" s="3">
        <f ca="1">IFERROR(__xludf.DUMMYFUNCTION("""COMPUTED_VALUE"""),-0.757123069031291)</f>
        <v>-0.75712306903129101</v>
      </c>
      <c r="CO154" s="3">
        <f ca="1">IFERROR(__xludf.DUMMYFUNCTION("""COMPUTED_VALUE"""),-0.762367019720046)</f>
        <v>-0.76236701972004595</v>
      </c>
      <c r="CP154" s="3">
        <f ca="1">IFERROR(__xludf.DUMMYFUNCTION("""COMPUTED_VALUE"""),-0.745798284895794)</f>
        <v>-0.74579828489579403</v>
      </c>
      <c r="CQ154" s="3">
        <f ca="1">IFERROR(__xludf.DUMMYFUNCTION("""COMPUTED_VALUE"""),-0.660066742154144)</f>
        <v>-0.66006674215414396</v>
      </c>
      <c r="CR154" s="3">
        <f ca="1">IFERROR(__xludf.DUMMYFUNCTION("""COMPUTED_VALUE"""),-0.665062191462637)</f>
        <v>-0.66506219146263701</v>
      </c>
      <c r="CS154" s="3">
        <f ca="1">IFERROR(__xludf.DUMMYFUNCTION("""COMPUTED_VALUE"""),-0.72807293220055)</f>
        <v>-0.72807293220055003</v>
      </c>
      <c r="CT154" s="3">
        <f ca="1">IFERROR(__xludf.DUMMYFUNCTION("""COMPUTED_VALUE"""),-0.710149113308842)</f>
        <v>-0.71014911330884201</v>
      </c>
      <c r="CU154" s="3">
        <f ca="1">IFERROR(__xludf.DUMMYFUNCTION("""COMPUTED_VALUE"""),-0.706150318770846)</f>
        <v>-0.706150318770846</v>
      </c>
      <c r="CV154" s="3">
        <f ca="1">IFERROR(__xludf.DUMMYFUNCTION("""COMPUTED_VALUE"""),-0.704810141547364)</f>
        <v>-0.70481014154736399</v>
      </c>
      <c r="CW154" s="3">
        <f ca="1">IFERROR(__xludf.DUMMYFUNCTION("""COMPUTED_VALUE"""),-0.700711422436437)</f>
        <v>-0.70071142243643703</v>
      </c>
      <c r="CX154" s="3">
        <f ca="1">IFERROR(__xludf.DUMMYFUNCTION("""COMPUTED_VALUE"""),-0.649740933497195)</f>
        <v>-0.64974093349719497</v>
      </c>
      <c r="CY154" s="3">
        <f ca="1">IFERROR(__xludf.DUMMYFUNCTION("""COMPUTED_VALUE"""),-0.688835507562899)</f>
        <v>-0.68883550756289902</v>
      </c>
      <c r="CZ154" s="3">
        <f ca="1">IFERROR(__xludf.DUMMYFUNCTION("""COMPUTED_VALUE"""),-0.791171855782256)</f>
        <v>-0.79117185578225602</v>
      </c>
      <c r="DA154" s="3">
        <f ca="1">IFERROR(__xludf.DUMMYFUNCTION("""COMPUTED_VALUE"""),-0.708496914423193)</f>
        <v>-0.70849691442319296</v>
      </c>
      <c r="DB154" s="3">
        <f ca="1">IFERROR(__xludf.DUMMYFUNCTION("""COMPUTED_VALUE"""),-0.671399841587625)</f>
        <v>-0.671399841587625</v>
      </c>
      <c r="DC154" s="3">
        <f ca="1">IFERROR(__xludf.DUMMYFUNCTION("""COMPUTED_VALUE"""),-0.723208596968022)</f>
        <v>-0.72320859696802198</v>
      </c>
      <c r="DD154" s="3">
        <f ca="1">IFERROR(__xludf.DUMMYFUNCTION("""COMPUTED_VALUE"""),-0.753515404350668)</f>
        <v>-0.75351540435066799</v>
      </c>
      <c r="DE154" s="3">
        <f ca="1">IFERROR(__xludf.DUMMYFUNCTION("""COMPUTED_VALUE"""),-0.692478618255243)</f>
        <v>-0.69247861825524304</v>
      </c>
      <c r="DF154" s="3">
        <f ca="1">IFERROR(__xludf.DUMMYFUNCTION("""COMPUTED_VALUE"""),-0.727560799711278)</f>
        <v>-0.72756079971127796</v>
      </c>
      <c r="DG154" s="3">
        <f ca="1">IFERROR(__xludf.DUMMYFUNCTION("""COMPUTED_VALUE"""),-0.795689031885117)</f>
        <v>-0.79568903188511697</v>
      </c>
      <c r="DH154" s="3">
        <f ca="1">IFERROR(__xludf.DUMMYFUNCTION("""COMPUTED_VALUE"""),-0.667372408534755)</f>
        <v>-0.66737240853475499</v>
      </c>
      <c r="DI154" s="3">
        <f ca="1">IFERROR(__xludf.DUMMYFUNCTION("""COMPUTED_VALUE"""),-0.532069470379792)</f>
        <v>-0.53206947037979202</v>
      </c>
      <c r="DJ154" s="3">
        <f ca="1">IFERROR(__xludf.DUMMYFUNCTION("""COMPUTED_VALUE"""),-0.614615956938156)</f>
        <v>-0.61461595693815596</v>
      </c>
      <c r="DK154" s="3">
        <f ca="1">IFERROR(__xludf.DUMMYFUNCTION("""COMPUTED_VALUE"""),-0.606216210246987)</f>
        <v>-0.60621621024698702</v>
      </c>
      <c r="DL154" s="3">
        <f ca="1">IFERROR(__xludf.DUMMYFUNCTION("""COMPUTED_VALUE"""),-0.611438221645354)</f>
        <v>-0.611438221645354</v>
      </c>
      <c r="DM154" s="3">
        <f ca="1">IFERROR(__xludf.DUMMYFUNCTION("""COMPUTED_VALUE"""),-0.642189189875297)</f>
        <v>-0.64218918987529705</v>
      </c>
      <c r="DN154" s="3">
        <f ca="1">IFERROR(__xludf.DUMMYFUNCTION("""COMPUTED_VALUE"""),-0.668697053418423)</f>
        <v>-0.668697053418423</v>
      </c>
      <c r="DO154" s="3">
        <f ca="1">IFERROR(__xludf.DUMMYFUNCTION("""COMPUTED_VALUE"""),-0.656485588202857)</f>
        <v>-0.65648558820285696</v>
      </c>
      <c r="DP154" s="3">
        <f ca="1">IFERROR(__xludf.DUMMYFUNCTION("""COMPUTED_VALUE"""),-0.640753784706715)</f>
        <v>-0.64075378470671496</v>
      </c>
      <c r="DQ154" s="3">
        <f ca="1">IFERROR(__xludf.DUMMYFUNCTION("""COMPUTED_VALUE"""),-0.662302810840357)</f>
        <v>-0.66230281084035703</v>
      </c>
      <c r="DR154" s="3">
        <f ca="1">IFERROR(__xludf.DUMMYFUNCTION("""COMPUTED_VALUE"""),-0.679693137202708)</f>
        <v>-0.67969313720270796</v>
      </c>
      <c r="DS154" s="3">
        <f ca="1">IFERROR(__xludf.DUMMYFUNCTION("""COMPUTED_VALUE"""),-0.65746053096431)</f>
        <v>-0.65746053096431001</v>
      </c>
      <c r="DT154" s="3">
        <f ca="1">IFERROR(__xludf.DUMMYFUNCTION("""COMPUTED_VALUE"""),-0.670717796263276)</f>
        <v>-0.67071779626327599</v>
      </c>
      <c r="DU154" s="3">
        <f ca="1">IFERROR(__xludf.DUMMYFUNCTION("""COMPUTED_VALUE"""),-0.690411773436994)</f>
        <v>-0.690411773436994</v>
      </c>
      <c r="DV154" s="3">
        <f ca="1">IFERROR(__xludf.DUMMYFUNCTION("""COMPUTED_VALUE"""),-0.660113415019206)</f>
        <v>-0.66011341501920595</v>
      </c>
      <c r="DW154" s="3">
        <f ca="1">IFERROR(__xludf.DUMMYFUNCTION("""COMPUTED_VALUE"""),-0.688274300479529)</f>
        <v>-0.68827430047952898</v>
      </c>
      <c r="DX154" s="3">
        <f ca="1">IFERROR(__xludf.DUMMYFUNCTION("""COMPUTED_VALUE"""),-0.69921113364298)</f>
        <v>-0.69921113364298004</v>
      </c>
      <c r="DY154" s="3">
        <f ca="1">IFERROR(__xludf.DUMMYFUNCTION("""COMPUTED_VALUE"""),-0.707916416319535)</f>
        <v>-0.70791641631953495</v>
      </c>
      <c r="DZ154" s="3">
        <f ca="1">IFERROR(__xludf.DUMMYFUNCTION("""COMPUTED_VALUE"""),-0.665357754384323)</f>
        <v>-0.66535775438432299</v>
      </c>
      <c r="EA154" s="3">
        <f ca="1">IFERROR(__xludf.DUMMYFUNCTION("""COMPUTED_VALUE"""),-0.674280689873919)</f>
        <v>-0.67428068987391898</v>
      </c>
      <c r="EB154" s="3">
        <f ca="1">IFERROR(__xludf.DUMMYFUNCTION("""COMPUTED_VALUE"""),-0.713406148006261)</f>
        <v>-0.71340614800626101</v>
      </c>
      <c r="EC154" s="3">
        <f ca="1">IFERROR(__xludf.DUMMYFUNCTION("""COMPUTED_VALUE"""),-0.709188699175202)</f>
        <v>-0.709188699175202</v>
      </c>
      <c r="ED154" s="3">
        <f ca="1">IFERROR(__xludf.DUMMYFUNCTION("""COMPUTED_VALUE"""),-0.711255116703367)</f>
        <v>-0.71125511670336705</v>
      </c>
      <c r="EE154" s="3">
        <f ca="1">IFERROR(__xludf.DUMMYFUNCTION("""COMPUTED_VALUE"""),-0.702249317675677)</f>
        <v>-0.702249317675677</v>
      </c>
      <c r="EF154" s="3">
        <f ca="1">IFERROR(__xludf.DUMMYFUNCTION("""COMPUTED_VALUE"""),-0.700766273445323)</f>
        <v>-0.70076627344532305</v>
      </c>
      <c r="EG154" s="3">
        <f ca="1">IFERROR(__xludf.DUMMYFUNCTION("""COMPUTED_VALUE"""),-0.62839692063826)</f>
        <v>-0.62839692063826003</v>
      </c>
      <c r="EH154" s="3">
        <f ca="1">IFERROR(__xludf.DUMMYFUNCTION("""COMPUTED_VALUE"""),-0.659991868271199)</f>
        <v>-0.65999186827119904</v>
      </c>
      <c r="EI154" s="3">
        <f ca="1">IFERROR(__xludf.DUMMYFUNCTION("""COMPUTED_VALUE"""),-0.71191807688275)</f>
        <v>-0.71191807688274999</v>
      </c>
      <c r="EJ154" s="3">
        <f ca="1">IFERROR(__xludf.DUMMYFUNCTION("""COMPUTED_VALUE"""),-0.708794480255103)</f>
        <v>-0.70879448025510305</v>
      </c>
      <c r="EK154" s="3">
        <f ca="1">IFERROR(__xludf.DUMMYFUNCTION("""COMPUTED_VALUE"""),-0.714149322424891)</f>
        <v>-0.71414932242489104</v>
      </c>
      <c r="EL154" s="3">
        <f ca="1">IFERROR(__xludf.DUMMYFUNCTION("""COMPUTED_VALUE"""),-0.721373239220523)</f>
        <v>-0.72137323922052299</v>
      </c>
      <c r="EM154" s="3">
        <f ca="1">IFERROR(__xludf.DUMMYFUNCTION("""COMPUTED_VALUE"""),-0.696239942265317)</f>
        <v>-0.69623994226531705</v>
      </c>
      <c r="EN154" s="3">
        <f ca="1">IFERROR(__xludf.DUMMYFUNCTION("""COMPUTED_VALUE"""),-0.545808859275774)</f>
        <v>-0.54580885927577405</v>
      </c>
      <c r="EO154" s="3">
        <f ca="1">IFERROR(__xludf.DUMMYFUNCTION("""COMPUTED_VALUE"""),-0.600567534251406)</f>
        <v>-0.60056753425140597</v>
      </c>
      <c r="EP154" s="3">
        <f ca="1">IFERROR(__xludf.DUMMYFUNCTION("""COMPUTED_VALUE"""),-0.675242322549267)</f>
        <v>-0.67524232254926697</v>
      </c>
      <c r="EQ154" s="3">
        <f ca="1">IFERROR(__xludf.DUMMYFUNCTION("""COMPUTED_VALUE"""),-0.7047511541589)</f>
        <v>-0.7047511541589</v>
      </c>
      <c r="ER154" s="3">
        <f ca="1">IFERROR(__xludf.DUMMYFUNCTION("""COMPUTED_VALUE"""),-0.697811587192122)</f>
        <v>-0.697811587192122</v>
      </c>
      <c r="ES154" s="3">
        <f ca="1">IFERROR(__xludf.DUMMYFUNCTION("""COMPUTED_VALUE"""),-0.701976637336599)</f>
        <v>-0.70197663733659899</v>
      </c>
      <c r="ET154" s="3">
        <f ca="1">IFERROR(__xludf.DUMMYFUNCTION("""COMPUTED_VALUE"""),-0.697019958276216)</f>
        <v>-0.69701995827621599</v>
      </c>
      <c r="EU154" s="3">
        <f ca="1">IFERROR(__xludf.DUMMYFUNCTION("""COMPUTED_VALUE"""),-0.649647959021268)</f>
        <v>-0.64964795902126804</v>
      </c>
      <c r="EV154" s="3">
        <f ca="1">IFERROR(__xludf.DUMMYFUNCTION("""COMPUTED_VALUE"""),-0.614118511205092)</f>
        <v>-0.61411851120509198</v>
      </c>
      <c r="EW154" s="3">
        <f ca="1">IFERROR(__xludf.DUMMYFUNCTION("""COMPUTED_VALUE"""),-0.66415865372285)</f>
        <v>-0.66415865372284999</v>
      </c>
      <c r="EX154" s="3">
        <f ca="1">IFERROR(__xludf.DUMMYFUNCTION("""COMPUTED_VALUE"""),-0.690896506607436)</f>
        <v>-0.69089650660743596</v>
      </c>
      <c r="EY154" s="3">
        <f ca="1">IFERROR(__xludf.DUMMYFUNCTION("""COMPUTED_VALUE"""),-0.678646163334395)</f>
        <v>-0.67864616333439498</v>
      </c>
      <c r="EZ154" s="3">
        <f ca="1">IFERROR(__xludf.DUMMYFUNCTION("""COMPUTED_VALUE"""),-0.684726589786907)</f>
        <v>-0.68472658978690704</v>
      </c>
      <c r="FA154" s="3">
        <f ca="1">IFERROR(__xludf.DUMMYFUNCTION("""COMPUTED_VALUE"""),-0.661035449193947)</f>
        <v>-0.66103544919394697</v>
      </c>
      <c r="FB154" s="3">
        <f ca="1">IFERROR(__xludf.DUMMYFUNCTION("""COMPUTED_VALUE"""),-0.548743219382143)</f>
        <v>-0.54874321938214299</v>
      </c>
      <c r="FC154" s="3">
        <f ca="1">IFERROR(__xludf.DUMMYFUNCTION("""COMPUTED_VALUE"""),-0.558346506217648)</f>
        <v>-0.55834650621764803</v>
      </c>
      <c r="FD154" s="3">
        <f ca="1">IFERROR(__xludf.DUMMYFUNCTION("""COMPUTED_VALUE"""),-0.650491487363583)</f>
        <v>-0.65049148736358298</v>
      </c>
      <c r="FE154" s="3">
        <f ca="1">IFERROR(__xludf.DUMMYFUNCTION("""COMPUTED_VALUE"""),-0.689554162562747)</f>
        <v>-0.68955416256274704</v>
      </c>
      <c r="FF154" s="3">
        <f ca="1">IFERROR(__xludf.DUMMYFUNCTION("""COMPUTED_VALUE"""),-0.683873235846231)</f>
        <v>-0.68387323584623105</v>
      </c>
      <c r="FG154" s="3">
        <f ca="1">IFERROR(__xludf.DUMMYFUNCTION("""COMPUTED_VALUE"""),-0.699273771484208)</f>
        <v>-0.699273771484208</v>
      </c>
      <c r="FH154" s="3">
        <f ca="1">IFERROR(__xludf.DUMMYFUNCTION("""COMPUTED_VALUE"""),-0.668814584685982)</f>
        <v>-0.66881458468598198</v>
      </c>
      <c r="FI154" s="3">
        <f ca="1">IFERROR(__xludf.DUMMYFUNCTION("""COMPUTED_VALUE"""),-0.591288925455612)</f>
        <v>-0.59128892545561196</v>
      </c>
      <c r="FJ154" s="3">
        <f ca="1">IFERROR(__xludf.DUMMYFUNCTION("""COMPUTED_VALUE"""),-0.587976030677326)</f>
        <v>-0.58797603067732596</v>
      </c>
      <c r="FK154" s="3">
        <f ca="1">IFERROR(__xludf.DUMMYFUNCTION("""COMPUTED_VALUE"""),-0.649910831174397)</f>
        <v>-0.64991083117439696</v>
      </c>
      <c r="FL154" s="3">
        <f ca="1">IFERROR(__xludf.DUMMYFUNCTION("""COMPUTED_VALUE"""),-0.672365257595521)</f>
        <v>-0.67236525759552102</v>
      </c>
      <c r="FM154" s="3">
        <f ca="1">IFERROR(__xludf.DUMMYFUNCTION("""COMPUTED_VALUE"""),-0.669813649992984)</f>
        <v>-0.66981364999298398</v>
      </c>
      <c r="FN154" s="3">
        <f ca="1">IFERROR(__xludf.DUMMYFUNCTION("""COMPUTED_VALUE"""),-0.678402276517676)</f>
        <v>-0.67840227651767604</v>
      </c>
      <c r="FO154" s="3">
        <f ca="1">IFERROR(__xludf.DUMMYFUNCTION("""COMPUTED_VALUE"""),-0.661357396601115)</f>
        <v>-0.66135739660111503</v>
      </c>
      <c r="FP154" s="3">
        <f ca="1">IFERROR(__xludf.DUMMYFUNCTION("""COMPUTED_VALUE"""),-0.578159025332548)</f>
        <v>-0.57815902533254804</v>
      </c>
      <c r="FQ154" s="3">
        <f ca="1">IFERROR(__xludf.DUMMYFUNCTION("""COMPUTED_VALUE"""),-0.586874106759151)</f>
        <v>-0.58687410675915097</v>
      </c>
      <c r="FR154" s="3">
        <f ca="1">IFERROR(__xludf.DUMMYFUNCTION("""COMPUTED_VALUE"""),-0.639772575695953)</f>
        <v>-0.63977257569595303</v>
      </c>
      <c r="FS154" s="3">
        <f ca="1">IFERROR(__xludf.DUMMYFUNCTION("""COMPUTED_VALUE"""),-0.675548852102178)</f>
        <v>-0.67554885210217797</v>
      </c>
      <c r="FT154" s="3">
        <f ca="1">IFERROR(__xludf.DUMMYFUNCTION("""COMPUTED_VALUE"""),-0.666635338109528)</f>
        <v>-0.66663533810952802</v>
      </c>
      <c r="FU154" s="3">
        <f ca="1">IFERROR(__xludf.DUMMYFUNCTION("""COMPUTED_VALUE"""),-0.650820707977694)</f>
        <v>-0.65082070797769398</v>
      </c>
      <c r="FV154" s="3">
        <f ca="1">IFERROR(__xludf.DUMMYFUNCTION("""COMPUTED_VALUE"""),-0.614049912488412)</f>
        <v>-0.61404991248841201</v>
      </c>
      <c r="FW154" s="3">
        <f ca="1">IFERROR(__xludf.DUMMYFUNCTION("""COMPUTED_VALUE"""),-0.600275509962221)</f>
        <v>-0.60027550996222101</v>
      </c>
      <c r="FX154" s="3">
        <f ca="1">IFERROR(__xludf.DUMMYFUNCTION("""COMPUTED_VALUE"""),-0.583857881466839)</f>
        <v>-0.58385788146683903</v>
      </c>
      <c r="FY154" s="3">
        <f ca="1">IFERROR(__xludf.DUMMYFUNCTION("""COMPUTED_VALUE"""),-0.647752618109308)</f>
        <v>-0.64775261810930795</v>
      </c>
      <c r="FZ154" s="3">
        <f ca="1">IFERROR(__xludf.DUMMYFUNCTION("""COMPUTED_VALUE"""),-0.665519348695575)</f>
        <v>-0.66551934869557505</v>
      </c>
      <c r="GA154" s="3">
        <f ca="1">IFERROR(__xludf.DUMMYFUNCTION("""COMPUTED_VALUE"""),-0.665343432682331)</f>
        <v>-0.66534343268233098</v>
      </c>
      <c r="GB154" s="3">
        <f ca="1">IFERROR(__xludf.DUMMYFUNCTION("""COMPUTED_VALUE"""),-0.676863836592775)</f>
        <v>-0.67686383659277505</v>
      </c>
      <c r="GC154" s="3">
        <f ca="1">IFERROR(__xludf.DUMMYFUNCTION("""COMPUTED_VALUE"""),-0.705103687569687)</f>
        <v>-0.705103687569687</v>
      </c>
      <c r="GD154" s="3">
        <f ca="1">IFERROR(__xludf.DUMMYFUNCTION("""COMPUTED_VALUE"""),-0.600045140377669)</f>
        <v>-0.60004514037766898</v>
      </c>
      <c r="GE154" s="3">
        <f ca="1">IFERROR(__xludf.DUMMYFUNCTION("""COMPUTED_VALUE"""),-0.604446389870015)</f>
        <v>-0.60444638987001498</v>
      </c>
      <c r="GF154" s="3">
        <f ca="1">IFERROR(__xludf.DUMMYFUNCTION("""COMPUTED_VALUE"""),-0.64351635785725)</f>
        <v>-0.64351635785725003</v>
      </c>
      <c r="GG154" s="3">
        <f ca="1">IFERROR(__xludf.DUMMYFUNCTION("""COMPUTED_VALUE"""),-0.6621468839128)</f>
        <v>-0.66214688391279997</v>
      </c>
      <c r="GH154" s="3">
        <f ca="1">IFERROR(__xludf.DUMMYFUNCTION("""COMPUTED_VALUE"""),-0.657611059213702)</f>
        <v>-0.657611059213702</v>
      </c>
      <c r="GI154" s="3">
        <f ca="1">IFERROR(__xludf.DUMMYFUNCTION("""COMPUTED_VALUE"""),-0.648832682215031)</f>
        <v>-0.64883268221503099</v>
      </c>
      <c r="GJ154" s="3">
        <f ca="1">IFERROR(__xludf.DUMMYFUNCTION("""COMPUTED_VALUE"""),-0.581418481265087)</f>
        <v>-0.58141848126508699</v>
      </c>
      <c r="GK154" s="3">
        <f ca="1">IFERROR(__xludf.DUMMYFUNCTION("""COMPUTED_VALUE"""),-0.589656942125027)</f>
        <v>-0.58965694212502695</v>
      </c>
      <c r="GL154" s="3">
        <f ca="1">IFERROR(__xludf.DUMMYFUNCTION("""COMPUTED_VALUE"""),-0.559149799882788)</f>
        <v>-0.55914979988278801</v>
      </c>
      <c r="GM154" s="3">
        <f ca="1">IFERROR(__xludf.DUMMYFUNCTION("""COMPUTED_VALUE"""),-0.647960175319289)</f>
        <v>-0.64796017531928896</v>
      </c>
      <c r="GN154" s="3">
        <f ca="1">IFERROR(__xludf.DUMMYFUNCTION("""COMPUTED_VALUE"""),-0.666837112167198)</f>
        <v>-0.66683711216719799</v>
      </c>
      <c r="GO154" s="3">
        <f ca="1">IFERROR(__xludf.DUMMYFUNCTION("""COMPUTED_VALUE"""),-0.674127478141103)</f>
        <v>-0.67412747814110296</v>
      </c>
      <c r="GP154" s="3">
        <f ca="1">IFERROR(__xludf.DUMMYFUNCTION("""COMPUTED_VALUE"""),-0.670741779033261)</f>
        <v>-0.67074177903326104</v>
      </c>
      <c r="GQ154" s="3">
        <f ca="1">IFERROR(__xludf.DUMMYFUNCTION("""COMPUTED_VALUE"""),-0.616195719547415)</f>
        <v>-0.61619571954741503</v>
      </c>
      <c r="GR154" s="3">
        <f ca="1">IFERROR(__xludf.DUMMYFUNCTION("""COMPUTED_VALUE"""),-0.540377125349399)</f>
        <v>-0.54037712534939897</v>
      </c>
      <c r="GS154" s="3">
        <f ca="1">IFERROR(__xludf.DUMMYFUNCTION("""COMPUTED_VALUE"""),-0.530628417864865)</f>
        <v>-0.53062841786486503</v>
      </c>
      <c r="GT154" s="3">
        <f ca="1">IFERROR(__xludf.DUMMYFUNCTION("""COMPUTED_VALUE"""),-0.647821442172771)</f>
        <v>-0.64782144217277104</v>
      </c>
      <c r="GU154" s="3">
        <f ca="1">IFERROR(__xludf.DUMMYFUNCTION("""COMPUTED_VALUE"""),-0.653551115521029)</f>
        <v>-0.65355111552102896</v>
      </c>
      <c r="GV154" s="3">
        <f ca="1">IFERROR(__xludf.DUMMYFUNCTION("""COMPUTED_VALUE"""),-0.638878634676346)</f>
        <v>-0.63887863467634598</v>
      </c>
      <c r="GW154" s="3">
        <f ca="1">IFERROR(__xludf.DUMMYFUNCTION("""COMPUTED_VALUE"""),-0.645945156611514)</f>
        <v>-0.64594515661151397</v>
      </c>
      <c r="GX154" s="3">
        <f ca="1">IFERROR(__xludf.DUMMYFUNCTION("""COMPUTED_VALUE"""),-0.627560796099229)</f>
        <v>-0.62756079609922899</v>
      </c>
      <c r="GY154" s="3">
        <f ca="1">IFERROR(__xludf.DUMMYFUNCTION("""COMPUTED_VALUE"""),-0.518131637191504)</f>
        <v>-0.51813163719150401</v>
      </c>
      <c r="GZ154" s="3">
        <f ca="1">IFERROR(__xludf.DUMMYFUNCTION("""COMPUTED_VALUE"""),-0.543354902971268)</f>
        <v>-0.54335490297126798</v>
      </c>
      <c r="HA154" s="3">
        <f ca="1">IFERROR(__xludf.DUMMYFUNCTION("""COMPUTED_VALUE"""),-0.640092241435579)</f>
        <v>-0.64009224143557897</v>
      </c>
      <c r="HB154" s="3">
        <f ca="1">IFERROR(__xludf.DUMMYFUNCTION("""COMPUTED_VALUE"""),-0.650984781687504)</f>
        <v>-0.65098478168750396</v>
      </c>
      <c r="HC154" s="3">
        <f ca="1">IFERROR(__xludf.DUMMYFUNCTION("""COMPUTED_VALUE"""),-0.648881078963848)</f>
        <v>-0.64888107896384795</v>
      </c>
      <c r="HD154" s="3">
        <f ca="1">IFERROR(__xludf.DUMMYFUNCTION("""COMPUTED_VALUE"""),-0.658238957557717)</f>
        <v>-0.658238957557717</v>
      </c>
      <c r="HE154" s="3">
        <f ca="1">IFERROR(__xludf.DUMMYFUNCTION("""COMPUTED_VALUE"""),-0.628923547579322)</f>
        <v>-0.62892354757932201</v>
      </c>
      <c r="HF154" s="3">
        <f ca="1">IFERROR(__xludf.DUMMYFUNCTION("""COMPUTED_VALUE"""),-0.495130655647053)</f>
        <v>-0.495130655647053</v>
      </c>
      <c r="HG154" s="3">
        <f ca="1">IFERROR(__xludf.DUMMYFUNCTION("""COMPUTED_VALUE"""),-0.515087825914948)</f>
        <v>-0.51508782591494795</v>
      </c>
      <c r="HH154" s="3">
        <f ca="1">IFERROR(__xludf.DUMMYFUNCTION("""COMPUTED_VALUE"""),-0.642116391653907)</f>
        <v>-0.64211639165390699</v>
      </c>
      <c r="HI154" s="3">
        <f ca="1">IFERROR(__xludf.DUMMYFUNCTION("""COMPUTED_VALUE"""),-0.669432131748399)</f>
        <v>-0.669432131748399</v>
      </c>
      <c r="HJ154" s="3">
        <f ca="1">IFERROR(__xludf.DUMMYFUNCTION("""COMPUTED_VALUE"""),-0.667928768186582)</f>
        <v>-0.66792876818658198</v>
      </c>
      <c r="HK154" s="3">
        <f ca="1">IFERROR(__xludf.DUMMYFUNCTION("""COMPUTED_VALUE"""),-0.66319435253961)</f>
        <v>-0.66319435253961001</v>
      </c>
      <c r="HL154" s="3">
        <f ca="1">IFERROR(__xludf.DUMMYFUNCTION("""COMPUTED_VALUE"""),-0.673087409339352)</f>
        <v>-0.67308740933935196</v>
      </c>
      <c r="HM154" s="3">
        <f ca="1">IFERROR(__xludf.DUMMYFUNCTION("""COMPUTED_VALUE"""),-0.456986582920426)</f>
        <v>-0.45698658292042599</v>
      </c>
      <c r="HN154" s="3">
        <f ca="1">IFERROR(__xludf.DUMMYFUNCTION("""COMPUTED_VALUE"""),-0.505199957020553)</f>
        <v>-0.50519995702055298</v>
      </c>
      <c r="HO154" s="3">
        <f ca="1">IFERROR(__xludf.DUMMYFUNCTION("""COMPUTED_VALUE"""),-0.603955808341848)</f>
        <v>-0.60395580834184803</v>
      </c>
      <c r="HP154" s="3">
        <f ca="1">IFERROR(__xludf.DUMMYFUNCTION("""COMPUTED_VALUE"""),-0.619636238784833)</f>
        <v>-0.61963623878483298</v>
      </c>
      <c r="HQ154" s="3">
        <f ca="1">IFERROR(__xludf.DUMMYFUNCTION("""COMPUTED_VALUE"""),-0.664750429576351)</f>
        <v>-0.664750429576351</v>
      </c>
      <c r="HR154" s="3">
        <f ca="1">IFERROR(__xludf.DUMMYFUNCTION("""COMPUTED_VALUE"""),-0.629308871151226)</f>
        <v>-0.62930887115122602</v>
      </c>
      <c r="HS154" s="3">
        <f ca="1">IFERROR(__xludf.DUMMYFUNCTION("""COMPUTED_VALUE"""),-0.565570555296986)</f>
        <v>-0.56557055529698597</v>
      </c>
      <c r="HT154" s="3">
        <f ca="1">IFERROR(__xludf.DUMMYFUNCTION("""COMPUTED_VALUE"""),-0.466445109933853)</f>
        <v>-0.46644510993385302</v>
      </c>
      <c r="HU154" s="3">
        <f ca="1">IFERROR(__xludf.DUMMYFUNCTION("""COMPUTED_VALUE"""),-0.51577981006846)</f>
        <v>-0.51577981006845997</v>
      </c>
      <c r="HV154" s="3">
        <f ca="1">IFERROR(__xludf.DUMMYFUNCTION("""COMPUTED_VALUE"""),-0.600090040121795)</f>
        <v>-0.60009004012179501</v>
      </c>
      <c r="HW154" s="3">
        <f ca="1">IFERROR(__xludf.DUMMYFUNCTION("""COMPUTED_VALUE"""),-0.635301198492216)</f>
        <v>-0.635301198492216</v>
      </c>
      <c r="HX154" s="3">
        <f ca="1">IFERROR(__xludf.DUMMYFUNCTION("""COMPUTED_VALUE"""),-0.61382633902589)</f>
        <v>-0.61382633902589001</v>
      </c>
      <c r="HY154" s="3">
        <f ca="1">IFERROR(__xludf.DUMMYFUNCTION("""COMPUTED_VALUE"""),-0.573211702107109)</f>
        <v>-0.57321170210710903</v>
      </c>
      <c r="HZ154" s="3">
        <f ca="1">IFERROR(__xludf.DUMMYFUNCTION("""COMPUTED_VALUE"""),-0.507362457753545)</f>
        <v>-0.50736245775354505</v>
      </c>
      <c r="IA154" s="3">
        <f ca="1">IFERROR(__xludf.DUMMYFUNCTION("""COMPUTED_VALUE"""),-0.460631239202699)</f>
        <v>-0.46063123920269899</v>
      </c>
      <c r="IB154" s="3">
        <f ca="1">IFERROR(__xludf.DUMMYFUNCTION("""COMPUTED_VALUE"""),-0.461107497601034)</f>
        <v>-0.46110749760103398</v>
      </c>
      <c r="IC154" s="3">
        <f ca="1">IFERROR(__xludf.DUMMYFUNCTION("""COMPUTED_VALUE"""),-0.560226597862042)</f>
        <v>-0.56022659786204199</v>
      </c>
      <c r="ID154" s="3">
        <f ca="1">IFERROR(__xludf.DUMMYFUNCTION("""COMPUTED_VALUE"""),-0.582581308715769)</f>
        <v>-0.58258130871576896</v>
      </c>
      <c r="IE154" s="3">
        <f ca="1">IFERROR(__xludf.DUMMYFUNCTION("""COMPUTED_VALUE"""),-0.581757623966472)</f>
        <v>-0.58175762396647202</v>
      </c>
      <c r="IF154" s="3">
        <f ca="1">IFERROR(__xludf.DUMMYFUNCTION("""COMPUTED_VALUE"""),-0.564393698656959)</f>
        <v>-0.56439369865695899</v>
      </c>
      <c r="IG154" s="3">
        <f ca="1">IFERROR(__xludf.DUMMYFUNCTION("""COMPUTED_VALUE"""),-0.589990104479142)</f>
        <v>-0.58999010447914202</v>
      </c>
      <c r="IH154" s="3">
        <f ca="1">IFERROR(__xludf.DUMMYFUNCTION("""COMPUTED_VALUE"""),-0.512859824448183)</f>
        <v>-0.51285982444818301</v>
      </c>
      <c r="II154" s="3">
        <f ca="1">IFERROR(__xludf.DUMMYFUNCTION("""COMPUTED_VALUE"""),-0.46827224175361)</f>
        <v>-0.46827224175360999</v>
      </c>
      <c r="IJ154" s="3">
        <f ca="1">IFERROR(__xludf.DUMMYFUNCTION("""COMPUTED_VALUE"""),-0.551377951503139)</f>
        <v>-0.55137795150313895</v>
      </c>
      <c r="IK154" s="3">
        <f ca="1">IFERROR(__xludf.DUMMYFUNCTION("""COMPUTED_VALUE"""),-0.568538403046424)</f>
        <v>-0.568538403046424</v>
      </c>
      <c r="IL154" s="3">
        <f ca="1">IFERROR(__xludf.DUMMYFUNCTION("""COMPUTED_VALUE"""),-0.576197334086034)</f>
        <v>-0.57619733408603402</v>
      </c>
      <c r="IM154" s="3">
        <f ca="1">IFERROR(__xludf.DUMMYFUNCTION("""COMPUTED_VALUE"""),-0.577801025998266)</f>
        <v>-0.57780102599826599</v>
      </c>
      <c r="IN154" s="3">
        <f ca="1">IFERROR(__xludf.DUMMYFUNCTION("""COMPUTED_VALUE"""),-0.523052433054149)</f>
        <v>-0.52305243305414895</v>
      </c>
      <c r="IO154" s="3">
        <f ca="1">IFERROR(__xludf.DUMMYFUNCTION("""COMPUTED_VALUE"""),-0.454502856513055)</f>
        <v>-0.454502856513055</v>
      </c>
      <c r="IP154" s="3">
        <f ca="1">IFERROR(__xludf.DUMMYFUNCTION("""COMPUTED_VALUE"""),-0.469671504442363)</f>
        <v>-0.469671504442363</v>
      </c>
      <c r="IQ154" s="3">
        <f ca="1">IFERROR(__xludf.DUMMYFUNCTION("""COMPUTED_VALUE"""),-0.565802716089537)</f>
        <v>-0.56580271608953703</v>
      </c>
      <c r="IR154" s="3">
        <f ca="1">IFERROR(__xludf.DUMMYFUNCTION("""COMPUTED_VALUE"""),-0.594453876812579)</f>
        <v>-0.594453876812579</v>
      </c>
      <c r="IS154" s="3">
        <f ca="1">IFERROR(__xludf.DUMMYFUNCTION("""COMPUTED_VALUE"""),-0.584604619649905)</f>
        <v>-0.58460461964990496</v>
      </c>
      <c r="IT154" s="3">
        <f ca="1">IFERROR(__xludf.DUMMYFUNCTION("""COMPUTED_VALUE"""),-0.603750433750265)</f>
        <v>-0.60375043375026505</v>
      </c>
      <c r="IU154" s="3">
        <f ca="1">IFERROR(__xludf.DUMMYFUNCTION("""COMPUTED_VALUE"""),-0.568758901739198)</f>
        <v>-0.56875890173919796</v>
      </c>
      <c r="IV154" s="3">
        <f ca="1">IFERROR(__xludf.DUMMYFUNCTION("""COMPUTED_VALUE"""),-0.518766407368113)</f>
        <v>-0.51876640736811297</v>
      </c>
      <c r="IW154" s="3">
        <f ca="1">IFERROR(__xludf.DUMMYFUNCTION("""COMPUTED_VALUE"""),-0.478569856994239)</f>
        <v>-0.47856985699423898</v>
      </c>
      <c r="IX154" s="3">
        <f ca="1">IFERROR(__xludf.DUMMYFUNCTION("""COMPUTED_VALUE"""),-0.571196281269622)</f>
        <v>-0.57119628126962196</v>
      </c>
      <c r="IY154" s="3">
        <f ca="1">IFERROR(__xludf.DUMMYFUNCTION("""COMPUTED_VALUE"""),-0.603877734331744)</f>
        <v>-0.60387773433174396</v>
      </c>
      <c r="IZ154" s="3">
        <f ca="1">IFERROR(__xludf.DUMMYFUNCTION("""COMPUTED_VALUE"""),-0.62309559006411)</f>
        <v>-0.62309559006410997</v>
      </c>
      <c r="JA154" s="3">
        <f ca="1">IFERROR(__xludf.DUMMYFUNCTION("""COMPUTED_VALUE"""),-0.597557199282248)</f>
        <v>-0.59755719928224804</v>
      </c>
      <c r="JB154" s="3">
        <f ca="1">IFERROR(__xludf.DUMMYFUNCTION("""COMPUTED_VALUE"""),-0.572497865075575)</f>
        <v>-0.57249786507557499</v>
      </c>
      <c r="JC154" s="3">
        <f ca="1">IFERROR(__xludf.DUMMYFUNCTION("""COMPUTED_VALUE"""),-0.519304128552315)</f>
        <v>-0.519304128552315</v>
      </c>
      <c r="JD154" s="3">
        <f ca="1">IFERROR(__xludf.DUMMYFUNCTION("""COMPUTED_VALUE"""),-0.527919397457894)</f>
        <v>-0.52791939745789396</v>
      </c>
      <c r="JE154" s="3">
        <f ca="1">IFERROR(__xludf.DUMMYFUNCTION("""COMPUTED_VALUE"""),-0.608973426976626)</f>
        <v>-0.60897342697662604</v>
      </c>
      <c r="JF154" s="3">
        <f ca="1">IFERROR(__xludf.DUMMYFUNCTION("""COMPUTED_VALUE"""),-0.647118956261607)</f>
        <v>-0.64711895626160698</v>
      </c>
      <c r="JG154" s="3">
        <f ca="1">IFERROR(__xludf.DUMMYFUNCTION("""COMPUTED_VALUE"""),-0.644671630347508)</f>
        <v>-0.64467163034750796</v>
      </c>
      <c r="JH154" s="3">
        <f ca="1">IFERROR(__xludf.DUMMYFUNCTION("""COMPUTED_VALUE"""),-0.625411673435948)</f>
        <v>-0.62541167343594795</v>
      </c>
      <c r="JI154" s="3">
        <f ca="1">IFERROR(__xludf.DUMMYFUNCTION("""COMPUTED_VALUE"""),-0.61871240952725)</f>
        <v>-0.61871240952725004</v>
      </c>
      <c r="JJ154" s="3">
        <f ca="1">IFERROR(__xludf.DUMMYFUNCTION("""COMPUTED_VALUE"""),-0.576022731385596)</f>
        <v>-0.57602273138559601</v>
      </c>
      <c r="JK154" s="3">
        <f ca="1">IFERROR(__xludf.DUMMYFUNCTION("""COMPUTED_VALUE"""),-0.51963728320403)</f>
        <v>-0.51963728320403002</v>
      </c>
      <c r="JL154" s="3">
        <f ca="1">IFERROR(__xludf.DUMMYFUNCTION("""COMPUTED_VALUE"""),-0.623157935805627)</f>
        <v>-0.62315793580562695</v>
      </c>
      <c r="JM154" s="3">
        <f ca="1">IFERROR(__xludf.DUMMYFUNCTION("""COMPUTED_VALUE"""),-0.674824027371408)</f>
        <v>-0.67482402737140801</v>
      </c>
      <c r="JN154" s="3">
        <f ca="1">IFERROR(__xludf.DUMMYFUNCTION("""COMPUTED_VALUE"""),-0.627232972202462)</f>
        <v>-0.62723297220246199</v>
      </c>
      <c r="JO154" s="3">
        <f ca="1">IFERROR(__xludf.DUMMYFUNCTION("""COMPUTED_VALUE"""),-0.638458076927732)</f>
        <v>-0.63845807692773204</v>
      </c>
      <c r="JP154" s="3">
        <f ca="1">IFERROR(__xludf.DUMMYFUNCTION("""COMPUTED_VALUE"""),-0.627895786609753)</f>
        <v>-0.62789578660975298</v>
      </c>
      <c r="JQ154" s="3">
        <f ca="1">IFERROR(__xludf.DUMMYFUNCTION("""COMPUTED_VALUE"""),-0.564932583737593)</f>
        <v>-0.56493258373759303</v>
      </c>
      <c r="JR154" s="3">
        <f ca="1">IFERROR(__xludf.DUMMYFUNCTION("""COMPUTED_VALUE"""),-0.622330493770949)</f>
        <v>-0.62233049377094896</v>
      </c>
      <c r="JS154" s="3">
        <f ca="1">IFERROR(__xludf.DUMMYFUNCTION("""COMPUTED_VALUE"""),-0.641146418987114)</f>
        <v>-0.641146418987114</v>
      </c>
      <c r="JT154" s="3">
        <f ca="1">IFERROR(__xludf.DUMMYFUNCTION("""COMPUTED_VALUE"""),-0.647392846762573)</f>
        <v>-0.64739284676257303</v>
      </c>
      <c r="JU154" s="3">
        <f ca="1">IFERROR(__xludf.DUMMYFUNCTION("""COMPUTED_VALUE"""),-0.64500011341105)</f>
        <v>-0.64500011341105001</v>
      </c>
      <c r="JV154" s="3">
        <f ca="1">IFERROR(__xludf.DUMMYFUNCTION("""COMPUTED_VALUE"""),-0.638269022016561)</f>
        <v>-0.63826902201656099</v>
      </c>
      <c r="JW154" s="3">
        <f ca="1">IFERROR(__xludf.DUMMYFUNCTION("""COMPUTED_VALUE"""),-0.604790705937619)</f>
        <v>-0.60479070593761897</v>
      </c>
      <c r="JX154" s="3">
        <f ca="1">IFERROR(__xludf.DUMMYFUNCTION("""COMPUTED_VALUE"""),-0.573567688327697)</f>
        <v>-0.573567688327697</v>
      </c>
      <c r="JY154" s="3">
        <f ca="1">IFERROR(__xludf.DUMMYFUNCTION("""COMPUTED_VALUE"""),-0.584721136655005)</f>
        <v>-0.58472113665500502</v>
      </c>
      <c r="JZ154" s="3">
        <f ca="1">IFERROR(__xludf.DUMMYFUNCTION("""COMPUTED_VALUE"""),-0.636259108163543)</f>
        <v>-0.63625910816354303</v>
      </c>
      <c r="KA154" s="3">
        <f ca="1">IFERROR(__xludf.DUMMYFUNCTION("""COMPUTED_VALUE"""),-0.66327817407912)</f>
        <v>-0.66327817407912004</v>
      </c>
      <c r="KB154" s="3">
        <f ca="1">IFERROR(__xludf.DUMMYFUNCTION("""COMPUTED_VALUE"""),-0.67384778467854)</f>
        <v>-0.67384778467854001</v>
      </c>
      <c r="KC154" s="3">
        <f ca="1">IFERROR(__xludf.DUMMYFUNCTION("""COMPUTED_VALUE"""),-0.636931437272902)</f>
        <v>-0.63693143727290202</v>
      </c>
      <c r="KD154" s="3">
        <f ca="1">IFERROR(__xludf.DUMMYFUNCTION("""COMPUTED_VALUE"""),-0.601329239589629)</f>
        <v>-0.60132923958962903</v>
      </c>
      <c r="KE154" s="3">
        <f ca="1">IFERROR(__xludf.DUMMYFUNCTION("""COMPUTED_VALUE"""),-0.573013427902686)</f>
        <v>-0.57301342790268595</v>
      </c>
      <c r="KF154" s="3">
        <f ca="1">IFERROR(__xludf.DUMMYFUNCTION("""COMPUTED_VALUE"""),-0.609060702009446)</f>
        <v>-0.60906070200944595</v>
      </c>
      <c r="KG154" s="3">
        <f ca="1">IFERROR(__xludf.DUMMYFUNCTION("""COMPUTED_VALUE"""),-0.665804892322784)</f>
        <v>-0.66580489232278395</v>
      </c>
      <c r="KH154" s="3">
        <f ca="1">IFERROR(__xludf.DUMMYFUNCTION("""COMPUTED_VALUE"""),-0.684531465261373)</f>
        <v>-0.68453146526137298</v>
      </c>
      <c r="KI154" s="3">
        <f ca="1">IFERROR(__xludf.DUMMYFUNCTION("""COMPUTED_VALUE"""),-0.707994109627126)</f>
        <v>-0.70799410962712594</v>
      </c>
      <c r="KJ154" s="3">
        <f ca="1">IFERROR(__xludf.DUMMYFUNCTION("""COMPUTED_VALUE"""),-0.723313255645781)</f>
        <v>-0.72331325564578097</v>
      </c>
      <c r="KK154" s="3">
        <f ca="1">IFERROR(__xludf.DUMMYFUNCTION("""COMPUTED_VALUE"""),-0.663373812161979)</f>
        <v>-0.66337381216197899</v>
      </c>
      <c r="KL154" s="3">
        <f ca="1">IFERROR(__xludf.DUMMYFUNCTION("""COMPUTED_VALUE"""),-0.615474117772364)</f>
        <v>-0.61547411777236405</v>
      </c>
      <c r="KM154" s="3">
        <f ca="1">IFERROR(__xludf.DUMMYFUNCTION("""COMPUTED_VALUE"""),-0.596092041182851)</f>
        <v>-0.59609204118285097</v>
      </c>
      <c r="KN154" s="3">
        <f ca="1">IFERROR(__xludf.DUMMYFUNCTION("""COMPUTED_VALUE"""),-0.690977483851813)</f>
        <v>-0.69097748385181301</v>
      </c>
      <c r="KO154" s="3">
        <f ca="1">IFERROR(__xludf.DUMMYFUNCTION("""COMPUTED_VALUE"""),-0.704048170850483)</f>
        <v>-0.70404817085048299</v>
      </c>
      <c r="KP154" s="3">
        <f ca="1">IFERROR(__xludf.DUMMYFUNCTION("""COMPUTED_VALUE"""),-0.708363102073369)</f>
        <v>-0.70836310207336906</v>
      </c>
      <c r="KQ154" s="3">
        <f ca="1">IFERROR(__xludf.DUMMYFUNCTION("""COMPUTED_VALUE"""),-0.716064304818738)</f>
        <v>-0.71606430481873795</v>
      </c>
      <c r="KR154" s="3">
        <f ca="1">IFERROR(__xludf.DUMMYFUNCTION("""COMPUTED_VALUE"""),-0.714522506733414)</f>
        <v>-0.714522506733414</v>
      </c>
      <c r="KS154" s="3">
        <f ca="1">IFERROR(__xludf.DUMMYFUNCTION("""COMPUTED_VALUE"""),-0.645352067084599)</f>
        <v>-0.64535206708459902</v>
      </c>
      <c r="KT154" s="3">
        <f ca="1">IFERROR(__xludf.DUMMYFUNCTION("""COMPUTED_VALUE"""),-0.661942310775382)</f>
        <v>-0.66194231077538201</v>
      </c>
      <c r="KU154" s="3">
        <f ca="1">IFERROR(__xludf.DUMMYFUNCTION("""COMPUTED_VALUE"""),-0.728754061992991)</f>
        <v>-0.72875406199299098</v>
      </c>
      <c r="KV154" s="3">
        <f ca="1">IFERROR(__xludf.DUMMYFUNCTION("""COMPUTED_VALUE"""),-0.728811470072801)</f>
        <v>-0.728811470072801</v>
      </c>
      <c r="KW154" s="3">
        <f ca="1">IFERROR(__xludf.DUMMYFUNCTION("""COMPUTED_VALUE"""),-0.733263614164749)</f>
        <v>-0.73326361416474894</v>
      </c>
      <c r="KX154" s="3">
        <f ca="1">IFERROR(__xludf.DUMMYFUNCTION("""COMPUTED_VALUE"""),-0.721202910179123)</f>
        <v>-0.72120291017912297</v>
      </c>
      <c r="KY154" s="3">
        <f ca="1">IFERROR(__xludf.DUMMYFUNCTION("""COMPUTED_VALUE"""),-0.718937243320947)</f>
        <v>-0.71893724332094699</v>
      </c>
      <c r="KZ154" s="3">
        <f ca="1">IFERROR(__xludf.DUMMYFUNCTION("""COMPUTED_VALUE"""),-0.65270002595448)</f>
        <v>-0.65270002595447996</v>
      </c>
      <c r="LA154" s="3">
        <f ca="1">IFERROR(__xludf.DUMMYFUNCTION("""COMPUTED_VALUE"""),-0.677817536896208)</f>
        <v>-0.67781753689620805</v>
      </c>
      <c r="LB154" s="3">
        <f ca="1">IFERROR(__xludf.DUMMYFUNCTION("""COMPUTED_VALUE"""),-0.748301022628208)</f>
        <v>-0.74830102262820797</v>
      </c>
      <c r="LC154" s="3">
        <f ca="1">IFERROR(__xludf.DUMMYFUNCTION("""COMPUTED_VALUE"""),-0.738154021655869)</f>
        <v>-0.73815402165586896</v>
      </c>
      <c r="LD154" s="3">
        <f ca="1">IFERROR(__xludf.DUMMYFUNCTION("""COMPUTED_VALUE"""),-0.74619116004072)</f>
        <v>-0.74619116004071995</v>
      </c>
      <c r="LE154" s="3">
        <f ca="1">IFERROR(__xludf.DUMMYFUNCTION("""COMPUTED_VALUE"""),-0.748394690900112)</f>
        <v>-0.74839469090011201</v>
      </c>
      <c r="LF154" s="3">
        <f ca="1">IFERROR(__xludf.DUMMYFUNCTION("""COMPUTED_VALUE"""),-0.726372570407318)</f>
        <v>-0.72637257040731795</v>
      </c>
      <c r="LG154" s="3">
        <f ca="1">IFERROR(__xludf.DUMMYFUNCTION("""COMPUTED_VALUE"""),-0.698468913609203)</f>
        <v>-0.69846891360920305</v>
      </c>
      <c r="LH154" s="3">
        <f ca="1">IFERROR(__xludf.DUMMYFUNCTION("""COMPUTED_VALUE"""),-0.689309414135735)</f>
        <v>-0.68930941413573499</v>
      </c>
      <c r="LI154" s="3">
        <f ca="1">IFERROR(__xludf.DUMMYFUNCTION("""COMPUTED_VALUE"""),-0.77981641995726)</f>
        <v>-0.77981641995726003</v>
      </c>
      <c r="LJ154" s="3">
        <f ca="1">IFERROR(__xludf.DUMMYFUNCTION("""COMPUTED_VALUE"""),-0.784299567361117)</f>
        <v>-0.78429956736111694</v>
      </c>
      <c r="LK154" s="3">
        <f ca="1">IFERROR(__xludf.DUMMYFUNCTION("""COMPUTED_VALUE"""),-0.754696616703053)</f>
        <v>-0.75469661670305299</v>
      </c>
      <c r="LL154" s="3">
        <f ca="1">IFERROR(__xludf.DUMMYFUNCTION("""COMPUTED_VALUE"""),-0.743894005733577)</f>
        <v>-0.743894005733577</v>
      </c>
      <c r="LM154" s="3">
        <f ca="1">IFERROR(__xludf.DUMMYFUNCTION("""COMPUTED_VALUE"""),-0.720236876308189)</f>
        <v>-0.720236876308189</v>
      </c>
      <c r="LN154" s="3">
        <f ca="1">IFERROR(__xludf.DUMMYFUNCTION("""COMPUTED_VALUE"""),-0.700131214557474)</f>
        <v>-0.70013121455747396</v>
      </c>
      <c r="LO154" s="3">
        <f ca="1">IFERROR(__xludf.DUMMYFUNCTION("""COMPUTED_VALUE"""),-0.688801262944647)</f>
        <v>-0.68880126294464705</v>
      </c>
      <c r="LP154" s="3">
        <f ca="1">IFERROR(__xludf.DUMMYFUNCTION("""COMPUTED_VALUE"""),-0.769525660346465)</f>
        <v>-0.76952566034646497</v>
      </c>
      <c r="LQ154" s="3">
        <f ca="1">IFERROR(__xludf.DUMMYFUNCTION("""COMPUTED_VALUE"""),-0.779826866738138)</f>
        <v>-0.77982686673813795</v>
      </c>
      <c r="LR154" s="3">
        <f ca="1">IFERROR(__xludf.DUMMYFUNCTION("""COMPUTED_VALUE"""),-0.777905829836299)</f>
        <v>-0.77790582983629897</v>
      </c>
      <c r="LS154" s="3">
        <f ca="1">IFERROR(__xludf.DUMMYFUNCTION("""COMPUTED_VALUE"""),-0.791682655564832)</f>
        <v>-0.79168265556483197</v>
      </c>
      <c r="LT154" s="3">
        <f ca="1">IFERROR(__xludf.DUMMYFUNCTION("""COMPUTED_VALUE"""),-0.811351099567254)</f>
        <v>-0.81135109956725404</v>
      </c>
      <c r="LU154" s="3">
        <f ca="1">IFERROR(__xludf.DUMMYFUNCTION("""COMPUTED_VALUE"""),-0.763214351426831)</f>
        <v>-0.76321435142683103</v>
      </c>
      <c r="LV154" s="3">
        <f ca="1">IFERROR(__xludf.DUMMYFUNCTION("""COMPUTED_VALUE"""),-0.741901139680475)</f>
        <v>-0.741901139680475</v>
      </c>
      <c r="LW154" s="3">
        <f ca="1">IFERROR(__xludf.DUMMYFUNCTION("""COMPUTED_VALUE"""),-0.807641175653754)</f>
        <v>-0.80764117565375404</v>
      </c>
      <c r="LX154" s="3">
        <f ca="1">IFERROR(__xludf.DUMMYFUNCTION("""COMPUTED_VALUE"""),-0.815385092209159)</f>
        <v>-0.815385092209159</v>
      </c>
      <c r="LY154" s="3">
        <f ca="1">IFERROR(__xludf.DUMMYFUNCTION("""COMPUTED_VALUE"""),-0.809011158367286)</f>
        <v>-0.80901115836728599</v>
      </c>
      <c r="LZ154" s="3">
        <f ca="1">IFERROR(__xludf.DUMMYFUNCTION("""COMPUTED_VALUE"""),-0.813904968725698)</f>
        <v>-0.81390496872569795</v>
      </c>
      <c r="MA154" s="3">
        <f ca="1">IFERROR(__xludf.DUMMYFUNCTION("""COMPUTED_VALUE"""),-0.792644131625855)</f>
        <v>-0.79264413162585501</v>
      </c>
      <c r="MB154" s="3">
        <f ca="1">IFERROR(__xludf.DUMMYFUNCTION("""COMPUTED_VALUE"""),-0.776913798218137)</f>
        <v>-0.776913798218137</v>
      </c>
      <c r="MC154" s="3">
        <f ca="1">IFERROR(__xludf.DUMMYFUNCTION("""COMPUTED_VALUE"""),-0.811074720646532)</f>
        <v>-0.81107472064653197</v>
      </c>
      <c r="MD154" s="3">
        <f ca="1">IFERROR(__xludf.DUMMYFUNCTION("""COMPUTED_VALUE"""),-0.824200283053619)</f>
        <v>-0.82420028305361903</v>
      </c>
      <c r="ME154" s="3">
        <f ca="1">IFERROR(__xludf.DUMMYFUNCTION("""COMPUTED_VALUE"""),-0.825864704455932)</f>
        <v>-0.82586470445593196</v>
      </c>
      <c r="MF154" s="3">
        <f ca="1">IFERROR(__xludf.DUMMYFUNCTION("""COMPUTED_VALUE"""),-0.817491855491282)</f>
        <v>-0.817491855491282</v>
      </c>
      <c r="MG154" s="3">
        <f ca="1">IFERROR(__xludf.DUMMYFUNCTION("""COMPUTED_VALUE"""),-0.827792376949635)</f>
        <v>-0.82779237694963503</v>
      </c>
      <c r="MH154" s="3">
        <f ca="1">IFERROR(__xludf.DUMMYFUNCTION("""COMPUTED_VALUE"""),-0.80897476892791)</f>
        <v>-0.80897476892790998</v>
      </c>
      <c r="MI154" s="3">
        <f ca="1">IFERROR(__xludf.DUMMYFUNCTION("""COMPUTED_VALUE"""),-0.756968212856847)</f>
        <v>-0.75696821285684701</v>
      </c>
      <c r="MJ154" s="3">
        <f ca="1">IFERROR(__xludf.DUMMYFUNCTION("""COMPUTED_VALUE"""),-0.810679535616866)</f>
        <v>-0.81067953561686601</v>
      </c>
      <c r="MK154" s="3">
        <f ca="1">IFERROR(__xludf.DUMMYFUNCTION("""COMPUTED_VALUE"""),-0.809122584630478)</f>
        <v>-0.80912258463047804</v>
      </c>
      <c r="ML154" s="3">
        <f ca="1">IFERROR(__xludf.DUMMYFUNCTION("""COMPUTED_VALUE"""),-0.797964372464412)</f>
        <v>-0.79796437246441199</v>
      </c>
      <c r="MM154" s="3">
        <f ca="1">IFERROR(__xludf.DUMMYFUNCTION("""COMPUTED_VALUE"""),-0.75431132138221)</f>
        <v>-0.75431132138221002</v>
      </c>
      <c r="MN154" s="3">
        <f ca="1">IFERROR(__xludf.DUMMYFUNCTION("""COMPUTED_VALUE"""),-0.830146693614058)</f>
        <v>-0.83014669361405802</v>
      </c>
      <c r="MO154" s="3">
        <f ca="1">IFERROR(__xludf.DUMMYFUNCTION("""COMPUTED_VALUE"""),-0.811862508645036)</f>
        <v>-0.81186250864503595</v>
      </c>
      <c r="MP154" s="3">
        <f ca="1">IFERROR(__xludf.DUMMYFUNCTION("""COMPUTED_VALUE"""),-0.773747709954228)</f>
        <v>-0.77374770995422804</v>
      </c>
      <c r="MQ154" s="3">
        <f ca="1">IFERROR(__xludf.DUMMYFUNCTION("""COMPUTED_VALUE"""),-0.795726790202782)</f>
        <v>-0.79572679020278203</v>
      </c>
      <c r="MR154" s="3">
        <f ca="1">IFERROR(__xludf.DUMMYFUNCTION("""COMPUTED_VALUE"""),-0.810675536161007)</f>
        <v>-0.81067553616100696</v>
      </c>
      <c r="MS154" s="3">
        <f ca="1">IFERROR(__xludf.DUMMYFUNCTION("""COMPUTED_VALUE"""),-0.837051141391709)</f>
        <v>-0.837051141391709</v>
      </c>
      <c r="MT154" s="3">
        <f ca="1">IFERROR(__xludf.DUMMYFUNCTION("""COMPUTED_VALUE"""),-0.825821454574471)</f>
        <v>-0.82582145457447098</v>
      </c>
      <c r="MU154" s="3">
        <f ca="1">IFERROR(__xludf.DUMMYFUNCTION("""COMPUTED_VALUE"""),-0.828509603815434)</f>
        <v>-0.82850960381543404</v>
      </c>
      <c r="MV154" s="3">
        <f ca="1">IFERROR(__xludf.DUMMYFUNCTION("""COMPUTED_VALUE"""),-0.807588804036318)</f>
        <v>-0.80758880403631805</v>
      </c>
      <c r="MW154" s="3">
        <f ca="1">IFERROR(__xludf.DUMMYFUNCTION("""COMPUTED_VALUE"""),-0.781903761543545)</f>
        <v>-0.78190376154354502</v>
      </c>
      <c r="MX154" s="3">
        <f ca="1">IFERROR(__xludf.DUMMYFUNCTION("""COMPUTED_VALUE"""),-0.806641777760939)</f>
        <v>-0.80664177776093904</v>
      </c>
      <c r="MY154" s="3">
        <f ca="1">IFERROR(__xludf.DUMMYFUNCTION("""COMPUTED_VALUE"""),-0.797681049009767)</f>
        <v>-0.797681049009767</v>
      </c>
      <c r="MZ154" s="3">
        <f ca="1">IFERROR(__xludf.DUMMYFUNCTION("""COMPUTED_VALUE"""),-0.844873823154485)</f>
        <v>-0.844873823154485</v>
      </c>
      <c r="NA154" s="3">
        <f ca="1">IFERROR(__xludf.DUMMYFUNCTION("""COMPUTED_VALUE"""),-0.846200977486034)</f>
        <v>-0.84620097748603396</v>
      </c>
      <c r="NB154" s="3">
        <f ca="1">IFERROR(__xludf.DUMMYFUNCTION("""COMPUTED_VALUE"""),-0.827921607724581)</f>
        <v>-0.82792160772458101</v>
      </c>
      <c r="NC154" s="3">
        <f ca="1">IFERROR(__xludf.DUMMYFUNCTION("""COMPUTED_VALUE"""),-0.814562403623914)</f>
        <v>-0.81456240362391397</v>
      </c>
      <c r="ND154" s="3">
        <f ca="1">IFERROR(__xludf.DUMMYFUNCTION("""COMPUTED_VALUE"""),-0.814370915848614)</f>
        <v>-0.81437091584861399</v>
      </c>
      <c r="NE154" s="3">
        <f ca="1">IFERROR(__xludf.DUMMYFUNCTION("""COMPUTED_VALUE"""),-0.816126686149093)</f>
        <v>-0.81612668614909301</v>
      </c>
      <c r="NF154" s="3">
        <f ca="1">IFERROR(__xludf.DUMMYFUNCTION("""COMPUTED_VALUE"""),-0.822914307832414)</f>
        <v>-0.82291430783241404</v>
      </c>
      <c r="NG154" s="3">
        <f ca="1">IFERROR(__xludf.DUMMYFUNCTION("""COMPUTED_VALUE"""),-0.827225487381529)</f>
        <v>-0.82722548738152901</v>
      </c>
      <c r="NH154" s="3">
        <f ca="1">IFERROR(__xludf.DUMMYFUNCTION("""COMPUTED_VALUE"""),-0.835006364592366)</f>
        <v>-0.83500636459236599</v>
      </c>
      <c r="NI154" s="3">
        <f ca="1">IFERROR(__xludf.DUMMYFUNCTION("""COMPUTED_VALUE"""),-0.833473591051414)</f>
        <v>-0.83347359105141405</v>
      </c>
      <c r="NJ154" s="3">
        <f ca="1">IFERROR(__xludf.DUMMYFUNCTION("""COMPUTED_VALUE"""),-0.813591731465984)</f>
        <v>-0.81359173146598396</v>
      </c>
      <c r="NK154" s="3">
        <f ca="1">IFERROR(__xludf.DUMMYFUNCTION("""COMPUTED_VALUE"""),-0.772662655587948)</f>
        <v>-0.772662655587948</v>
      </c>
      <c r="NL154" s="3">
        <f ca="1">IFERROR(__xludf.DUMMYFUNCTION("""COMPUTED_VALUE"""),-0.809686425822856)</f>
        <v>-0.80968642582285599</v>
      </c>
      <c r="NM154" s="3">
        <f ca="1">IFERROR(__xludf.DUMMYFUNCTION("""COMPUTED_VALUE"""),-0.817580530733003)</f>
        <v>-0.81758053073300296</v>
      </c>
      <c r="NN154" s="3">
        <f ca="1">IFERROR(__xludf.DUMMYFUNCTION("""COMPUTED_VALUE"""),-0.809240969385805)</f>
        <v>-0.80924096938580503</v>
      </c>
      <c r="NO154" s="3">
        <f ca="1">IFERROR(__xludf.DUMMYFUNCTION("""COMPUTED_VALUE"""),-0.812840266839675)</f>
        <v>-0.81284026683967503</v>
      </c>
      <c r="NP154" s="3">
        <f ca="1">IFERROR(__xludf.DUMMYFUNCTION("""COMPUTED_VALUE"""),-0.810469817188807)</f>
        <v>-0.81046981718880695</v>
      </c>
      <c r="NQ154" s="3">
        <f ca="1">IFERROR(__xludf.DUMMYFUNCTION("""COMPUTED_VALUE"""),-0.779855284899103)</f>
        <v>-0.77985528489910305</v>
      </c>
      <c r="NR154" s="3">
        <f ca="1">IFERROR(__xludf.DUMMYFUNCTION("""COMPUTED_VALUE"""),-0.77439562736042)</f>
        <v>-0.77439562736042</v>
      </c>
      <c r="NS154" s="3">
        <f ca="1">IFERROR(__xludf.DUMMYFUNCTION("""COMPUTED_VALUE"""),-0.810335528341537)</f>
        <v>-0.81033552834153699</v>
      </c>
      <c r="NT154" s="3">
        <f ca="1">IFERROR(__xludf.DUMMYFUNCTION("""COMPUTED_VALUE"""),-0.834588616324665)</f>
        <v>-0.83458861632466497</v>
      </c>
      <c r="NU154" s="3">
        <f ca="1">IFERROR(__xludf.DUMMYFUNCTION("""COMPUTED_VALUE"""),-0.830590235382514)</f>
        <v>-0.83059023538251398</v>
      </c>
      <c r="NV154" s="3">
        <f ca="1">IFERROR(__xludf.DUMMYFUNCTION("""COMPUTED_VALUE"""),-0.820380070974863)</f>
        <v>-0.82038007097486298</v>
      </c>
      <c r="NW154" s="3">
        <f ca="1">IFERROR(__xludf.DUMMYFUNCTION("""COMPUTED_VALUE"""),-0.765387952646518)</f>
        <v>-0.76538795264651804</v>
      </c>
      <c r="NX154" s="3">
        <f ca="1">IFERROR(__xludf.DUMMYFUNCTION("""COMPUTED_VALUE"""),-0.760473517713735)</f>
        <v>-0.76047351771373495</v>
      </c>
      <c r="NY154" s="3">
        <f ca="1">IFERROR(__xludf.DUMMYFUNCTION("""COMPUTED_VALUE"""),-0.702031529445125)</f>
        <v>-0.70203152944512504</v>
      </c>
      <c r="NZ154" s="3">
        <f ca="1">IFERROR(__xludf.DUMMYFUNCTION("""COMPUTED_VALUE"""),-0.70060952626359)</f>
        <v>-0.70060952626358997</v>
      </c>
      <c r="OA154" s="3">
        <f ca="1">IFERROR(__xludf.DUMMYFUNCTION("""COMPUTED_VALUE"""),-0.736448875110856)</f>
        <v>-0.73644887511085599</v>
      </c>
      <c r="OB154" s="3">
        <f ca="1">IFERROR(__xludf.DUMMYFUNCTION("""COMPUTED_VALUE"""),-0.709336392730792)</f>
        <v>-0.70933639273079196</v>
      </c>
      <c r="OC154" s="3">
        <f ca="1">IFERROR(__xludf.DUMMYFUNCTION("""COMPUTED_VALUE"""),-0.693138244261107)</f>
        <v>-0.69313824426110704</v>
      </c>
      <c r="OD154" s="3">
        <f ca="1">IFERROR(__xludf.DUMMYFUNCTION("""COMPUTED_VALUE"""),-0.651044548892282)</f>
        <v>-0.65104454889228203</v>
      </c>
      <c r="OE154" s="3">
        <f ca="1">IFERROR(__xludf.DUMMYFUNCTION("""COMPUTED_VALUE"""),-0.519922875898723)</f>
        <v>-0.51992287589872299</v>
      </c>
      <c r="OF154" s="3">
        <f ca="1">IFERROR(__xludf.DUMMYFUNCTION("""COMPUTED_VALUE"""),-0.341725646849633)</f>
        <v>-0.34172564684963302</v>
      </c>
      <c r="OG154" s="3">
        <f ca="1">IFERROR(__xludf.DUMMYFUNCTION("""COMPUTED_VALUE"""),-0.344500300252844)</f>
        <v>-0.34450030025284401</v>
      </c>
      <c r="OH154" s="3">
        <f ca="1">IFERROR(__xludf.DUMMYFUNCTION("""COMPUTED_VALUE"""),-0.286900587632116)</f>
        <v>-0.28690058763211601</v>
      </c>
      <c r="OI154" s="3">
        <f ca="1">IFERROR(__xludf.DUMMYFUNCTION("""COMPUTED_VALUE"""),-0.121814646237873)</f>
        <v>-0.121814646237873</v>
      </c>
      <c r="OJ154" s="3">
        <f ca="1">IFERROR(__xludf.DUMMYFUNCTION("""COMPUTED_VALUE"""),-0.0790906566297476)</f>
        <v>-7.9090656629747597E-2</v>
      </c>
      <c r="OK154" s="3">
        <f ca="1">IFERROR(__xludf.DUMMYFUNCTION("""COMPUTED_VALUE"""),-0.0791552363646009)</f>
        <v>-7.9155236364600895E-2</v>
      </c>
      <c r="OL154" s="3">
        <f ca="1">IFERROR(__xludf.DUMMYFUNCTION("""COMPUTED_VALUE"""),-0.0296075885947815)</f>
        <v>-2.9607588594781499E-2</v>
      </c>
      <c r="OM154" s="3">
        <f ca="1">IFERROR(__xludf.DUMMYFUNCTION("""COMPUTED_VALUE"""),0.020202406374749)</f>
        <v>2.0202406374748998E-2</v>
      </c>
      <c r="ON154" s="3">
        <f ca="1">IFERROR(__xludf.DUMMYFUNCTION("""COMPUTED_VALUE"""),0.0528532838395374)</f>
        <v>5.2853283839537399E-2</v>
      </c>
      <c r="OO154" s="3">
        <f ca="1">IFERROR(__xludf.DUMMYFUNCTION("""COMPUTED_VALUE"""),-0.0772791576301452)</f>
        <v>-7.7279157630145201E-2</v>
      </c>
      <c r="OP154" s="3">
        <f ca="1">IFERROR(__xludf.DUMMYFUNCTION("""COMPUTED_VALUE"""),0.00679980841527227)</f>
        <v>6.7998084152722698E-3</v>
      </c>
      <c r="OQ154" s="3">
        <f ca="1">IFERROR(__xludf.DUMMYFUNCTION("""COMPUTED_VALUE"""),-0.0195609934888546)</f>
        <v>-1.9560993488854601E-2</v>
      </c>
      <c r="OR154" s="3">
        <f ca="1">IFERROR(__xludf.DUMMYFUNCTION("""COMPUTED_VALUE"""),0.0133937113056434)</f>
        <v>1.33937113056434E-2</v>
      </c>
      <c r="OS154" s="3">
        <f ca="1">IFERROR(__xludf.DUMMYFUNCTION("""COMPUTED_VALUE"""),-0.000477199308514864)</f>
        <v>-4.7719930851486397E-4</v>
      </c>
      <c r="OT154" s="3">
        <f ca="1">IFERROR(__xludf.DUMMYFUNCTION("""COMPUTED_VALUE"""),0.0708598692097361)</f>
        <v>7.0859869209736095E-2</v>
      </c>
      <c r="OU154" s="3">
        <f ca="1">IFERROR(__xludf.DUMMYFUNCTION("""COMPUTED_VALUE"""),-0.0120490983615768)</f>
        <v>-1.2049098361576799E-2</v>
      </c>
      <c r="OV154" s="3">
        <f ca="1">IFERROR(__xludf.DUMMYFUNCTION("""COMPUTED_VALUE"""),-0.078762617694274)</f>
        <v>-7.8762617694274006E-2</v>
      </c>
      <c r="OW154" s="3">
        <f ca="1">IFERROR(__xludf.DUMMYFUNCTION("""COMPUTED_VALUE"""),-0.0697361221170697)</f>
        <v>-6.9736122117069699E-2</v>
      </c>
      <c r="OX154" s="3">
        <f ca="1">IFERROR(__xludf.DUMMYFUNCTION("""COMPUTED_VALUE"""),-0.0775073826938566)</f>
        <v>-7.7507382693856597E-2</v>
      </c>
      <c r="OY154" s="3">
        <f ca="1">IFERROR(__xludf.DUMMYFUNCTION("""COMPUTED_VALUE"""),0.0302039790040447)</f>
        <v>3.0203979004044701E-2</v>
      </c>
      <c r="OZ154" s="3">
        <f ca="1">IFERROR(__xludf.DUMMYFUNCTION("""COMPUTED_VALUE"""),0.128707520879622)</f>
        <v>0.12870752087962201</v>
      </c>
      <c r="PA154" s="3">
        <f ca="1">IFERROR(__xludf.DUMMYFUNCTION("""COMPUTED_VALUE"""),0.171599817515438)</f>
        <v>0.17159981751543801</v>
      </c>
      <c r="PB154" s="3">
        <f ca="1">IFERROR(__xludf.DUMMYFUNCTION("""COMPUTED_VALUE"""),0.136944954287137)</f>
        <v>0.13694495428713699</v>
      </c>
      <c r="PC154" s="3">
        <f ca="1">IFERROR(__xludf.DUMMYFUNCTION("""COMPUTED_VALUE"""),-0.0205774573204959)</f>
        <v>-2.0577457320495901E-2</v>
      </c>
      <c r="PD154" s="3">
        <f ca="1">IFERROR(__xludf.DUMMYFUNCTION("""COMPUTED_VALUE"""),-0.101007144620297)</f>
        <v>-0.101007144620297</v>
      </c>
      <c r="PE154" s="3">
        <f ca="1">IFERROR(__xludf.DUMMYFUNCTION("""COMPUTED_VALUE"""),-0.0444338497341559)</f>
        <v>-4.44338497341559E-2</v>
      </c>
      <c r="PF154" s="3">
        <f ca="1">IFERROR(__xludf.DUMMYFUNCTION("""COMPUTED_VALUE"""),0.090205374891956)</f>
        <v>9.0205374891956E-2</v>
      </c>
      <c r="PG154" s="3">
        <f ca="1">IFERROR(__xludf.DUMMYFUNCTION("""COMPUTED_VALUE"""),-0.243908315984282)</f>
        <v>-0.243908315984282</v>
      </c>
      <c r="PH154" s="3">
        <f ca="1">IFERROR(__xludf.DUMMYFUNCTION("""COMPUTED_VALUE"""),0.104397740880367)</f>
        <v>0.104397740880367</v>
      </c>
      <c r="PI154" s="3">
        <f ca="1">IFERROR(__xludf.DUMMYFUNCTION("""COMPUTED_VALUE"""),0.0014553511259614)</f>
        <v>1.4553511259614001E-3</v>
      </c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</row>
    <row r="155" spans="1:477" ht="13">
      <c r="A155" s="1" t="str">
        <f ca="1">IFERROR(__xludf.DUMMYFUNCTION("""COMPUTED_VALUE"""),"Hamilton Street Railway")</f>
        <v>Hamilton Street Railway</v>
      </c>
      <c r="B155" s="1" t="str">
        <f ca="1">IFERROR(__xludf.DUMMYFUNCTION("""COMPUTED_VALUE"""),"Toronto")</f>
        <v>Toronto</v>
      </c>
      <c r="C155" s="1" t="str">
        <f ca="1">IFERROR(__xludf.DUMMYFUNCTION("""COMPUTED_VALUE"""),"Canada")</f>
        <v>Canada</v>
      </c>
      <c r="D155" s="1" t="str">
        <f ca="1">IFERROR(__xludf.DUMMYFUNCTION("""COMPUTED_VALUE"""),"Ontario")</f>
        <v>Ontario</v>
      </c>
      <c r="E155" s="3">
        <f ca="1">IFERROR(__xludf.DUMMYFUNCTION("""COMPUTED_VALUE"""),-0.707582425273592)</f>
        <v>-0.70758242527359205</v>
      </c>
      <c r="F155" s="3">
        <f ca="1">IFERROR(__xludf.DUMMYFUNCTION("""COMPUTED_VALUE"""),-0.672724413930493)</f>
        <v>-0.67272441393049298</v>
      </c>
      <c r="G155" s="3">
        <f ca="1">IFERROR(__xludf.DUMMYFUNCTION("""COMPUTED_VALUE"""),-0.728725493977959)</f>
        <v>-0.72872549397795905</v>
      </c>
      <c r="H155" s="3">
        <f ca="1">IFERROR(__xludf.DUMMYFUNCTION("""COMPUTED_VALUE"""),-0.688170180338235)</f>
        <v>-0.68817018033823496</v>
      </c>
      <c r="I155" s="3">
        <f ca="1">IFERROR(__xludf.DUMMYFUNCTION("""COMPUTED_VALUE"""),-0.672220367685833)</f>
        <v>-0.67222036768583304</v>
      </c>
      <c r="J155" s="3">
        <f ca="1">IFERROR(__xludf.DUMMYFUNCTION("""COMPUTED_VALUE"""),-0.703805984824514)</f>
        <v>-0.70380598482451395</v>
      </c>
      <c r="K155" s="3">
        <f ca="1">IFERROR(__xludf.DUMMYFUNCTION("""COMPUTED_VALUE"""),-0.692185835492667)</f>
        <v>-0.69218583549266699</v>
      </c>
      <c r="L155" s="3">
        <f ca="1">IFERROR(__xludf.DUMMYFUNCTION("""COMPUTED_VALUE"""),-0.647013463600917)</f>
        <v>-0.64701346360091705</v>
      </c>
      <c r="M155" s="3">
        <f ca="1">IFERROR(__xludf.DUMMYFUNCTION("""COMPUTED_VALUE"""),-0.792018441811342)</f>
        <v>-0.79201844181134196</v>
      </c>
      <c r="N155" s="3">
        <f ca="1">IFERROR(__xludf.DUMMYFUNCTION("""COMPUTED_VALUE"""),-0.681368131734458)</f>
        <v>-0.68136813173445798</v>
      </c>
      <c r="O155" s="3">
        <f ca="1">IFERROR(__xludf.DUMMYFUNCTION("""COMPUTED_VALUE"""),-0.691549030739909)</f>
        <v>-0.69154903073990903</v>
      </c>
      <c r="P155" s="3">
        <f ca="1">IFERROR(__xludf.DUMMYFUNCTION("""COMPUTED_VALUE"""),-0.682710395859161)</f>
        <v>-0.68271039585916105</v>
      </c>
      <c r="Q155" s="3">
        <f ca="1">IFERROR(__xludf.DUMMYFUNCTION("""COMPUTED_VALUE"""),-0.69074279966338)</f>
        <v>-0.69074279966338004</v>
      </c>
      <c r="R155" s="3">
        <f ca="1">IFERROR(__xludf.DUMMYFUNCTION("""COMPUTED_VALUE"""),-0.642310857009334)</f>
        <v>-0.64231085700933399</v>
      </c>
      <c r="S155" s="3">
        <f ca="1">IFERROR(__xludf.DUMMYFUNCTION("""COMPUTED_VALUE"""),-0.603758499291025)</f>
        <v>-0.60375849929102499</v>
      </c>
      <c r="T155" s="3">
        <f ca="1">IFERROR(__xludf.DUMMYFUNCTION("""COMPUTED_VALUE"""),-0.689328327681672)</f>
        <v>-0.68932832768167196</v>
      </c>
      <c r="U155" s="3">
        <f ca="1">IFERROR(__xludf.DUMMYFUNCTION("""COMPUTED_VALUE"""),-0.675833366634363)</f>
        <v>-0.675833366634363</v>
      </c>
      <c r="V155" s="3">
        <f ca="1">IFERROR(__xludf.DUMMYFUNCTION("""COMPUTED_VALUE"""),-0.674290825091134)</f>
        <v>-0.67429082509113403</v>
      </c>
      <c r="W155" s="3">
        <f ca="1">IFERROR(__xludf.DUMMYFUNCTION("""COMPUTED_VALUE"""),-0.673870705539647)</f>
        <v>-0.67387070553964701</v>
      </c>
      <c r="X155" s="3">
        <f ca="1">IFERROR(__xludf.DUMMYFUNCTION("""COMPUTED_VALUE"""),-0.669119800326832)</f>
        <v>-0.66911980032683205</v>
      </c>
      <c r="Y155" s="3">
        <f ca="1">IFERROR(__xludf.DUMMYFUNCTION("""COMPUTED_VALUE"""),-0.591887330598047)</f>
        <v>-0.59188733059804699</v>
      </c>
      <c r="Z155" s="3">
        <f ca="1">IFERROR(__xludf.DUMMYFUNCTION("""COMPUTED_VALUE"""),-0.598732217645038)</f>
        <v>-0.59873221764503803</v>
      </c>
      <c r="AA155" s="3">
        <f ca="1">IFERROR(__xludf.DUMMYFUNCTION("""COMPUTED_VALUE"""),-0.679876172535199)</f>
        <v>-0.67987617253519905</v>
      </c>
      <c r="AB155" s="3">
        <f ca="1">IFERROR(__xludf.DUMMYFUNCTION("""COMPUTED_VALUE"""),-0.690838727371029)</f>
        <v>-0.69083872737102903</v>
      </c>
      <c r="AC155" s="3">
        <f ca="1">IFERROR(__xludf.DUMMYFUNCTION("""COMPUTED_VALUE"""),-0.681340760043993)</f>
        <v>-0.68134076004399302</v>
      </c>
      <c r="AD155" s="3">
        <f ca="1">IFERROR(__xludf.DUMMYFUNCTION("""COMPUTED_VALUE"""),-0.688008875512784)</f>
        <v>-0.688008875512784</v>
      </c>
      <c r="AE155" s="3">
        <f ca="1">IFERROR(__xludf.DUMMYFUNCTION("""COMPUTED_VALUE"""),-0.679666944469294)</f>
        <v>-0.67966694446929399</v>
      </c>
      <c r="AF155" s="3">
        <f ca="1">IFERROR(__xludf.DUMMYFUNCTION("""COMPUTED_VALUE"""),-0.606701149580008)</f>
        <v>-0.60670114958000798</v>
      </c>
      <c r="AG155" s="3">
        <f ca="1">IFERROR(__xludf.DUMMYFUNCTION("""COMPUTED_VALUE"""),-0.631560380316702)</f>
        <v>-0.63156038031670203</v>
      </c>
      <c r="AH155" s="3">
        <f ca="1">IFERROR(__xludf.DUMMYFUNCTION("""COMPUTED_VALUE"""),-0.692807355144206)</f>
        <v>-0.69280735514420599</v>
      </c>
      <c r="AI155" s="3">
        <f ca="1">IFERROR(__xludf.DUMMYFUNCTION("""COMPUTED_VALUE"""),-0.697012332747714)</f>
        <v>-0.69701233274771401</v>
      </c>
      <c r="AJ155" s="3">
        <f ca="1">IFERROR(__xludf.DUMMYFUNCTION("""COMPUTED_VALUE"""),-0.675204924230627)</f>
        <v>-0.67520492423062695</v>
      </c>
      <c r="AK155" s="3">
        <f ca="1">IFERROR(__xludf.DUMMYFUNCTION("""COMPUTED_VALUE"""),-0.689471309982764)</f>
        <v>-0.68947130998276396</v>
      </c>
      <c r="AL155" s="3">
        <f ca="1">IFERROR(__xludf.DUMMYFUNCTION("""COMPUTED_VALUE"""),-0.686842232364303)</f>
        <v>-0.68684223236430297</v>
      </c>
      <c r="AM155" s="3">
        <f ca="1">IFERROR(__xludf.DUMMYFUNCTION("""COMPUTED_VALUE"""),-0.620033292793973)</f>
        <v>-0.62003329279397301</v>
      </c>
      <c r="AN155" s="3">
        <f ca="1">IFERROR(__xludf.DUMMYFUNCTION("""COMPUTED_VALUE"""),-0.637023952671424)</f>
        <v>-0.63702395267142398</v>
      </c>
      <c r="AO155" s="3">
        <f ca="1">IFERROR(__xludf.DUMMYFUNCTION("""COMPUTED_VALUE"""),-0.697777641784081)</f>
        <v>-0.69777764178408097</v>
      </c>
      <c r="AP155" s="3">
        <f ca="1">IFERROR(__xludf.DUMMYFUNCTION("""COMPUTED_VALUE"""),-0.710764684514335)</f>
        <v>-0.71076468451433505</v>
      </c>
      <c r="AQ155" s="3">
        <f ca="1">IFERROR(__xludf.DUMMYFUNCTION("""COMPUTED_VALUE"""),-0.655553351254411)</f>
        <v>-0.65555335125441105</v>
      </c>
      <c r="AR155" s="3">
        <f ca="1">IFERROR(__xludf.DUMMYFUNCTION("""COMPUTED_VALUE"""),-0.697251910014084)</f>
        <v>-0.69725191001408404</v>
      </c>
      <c r="AS155" s="3">
        <f ca="1">IFERROR(__xludf.DUMMYFUNCTION("""COMPUTED_VALUE"""),-0.696331001365542)</f>
        <v>-0.69633100136554205</v>
      </c>
      <c r="AT155" s="3">
        <f ca="1">IFERROR(__xludf.DUMMYFUNCTION("""COMPUTED_VALUE"""),-0.630314899231287)</f>
        <v>-0.63031489923128703</v>
      </c>
      <c r="AU155" s="3">
        <f ca="1">IFERROR(__xludf.DUMMYFUNCTION("""COMPUTED_VALUE"""),-0.631773976903873)</f>
        <v>-0.63177397690387305</v>
      </c>
      <c r="AV155" s="3">
        <f ca="1">IFERROR(__xludf.DUMMYFUNCTION("""COMPUTED_VALUE"""),-0.667318636426639)</f>
        <v>-0.66731863642663902</v>
      </c>
      <c r="AW155" s="3">
        <f ca="1">IFERROR(__xludf.DUMMYFUNCTION("""COMPUTED_VALUE"""),-0.690933154535518)</f>
        <v>-0.69093315453551796</v>
      </c>
      <c r="AX155" s="3">
        <f ca="1">IFERROR(__xludf.DUMMYFUNCTION("""COMPUTED_VALUE"""),-0.635428164537163)</f>
        <v>-0.635428164537163</v>
      </c>
      <c r="AY155" s="3">
        <f ca="1">IFERROR(__xludf.DUMMYFUNCTION("""COMPUTED_VALUE"""),-0.692518257260485)</f>
        <v>-0.69251825726048499</v>
      </c>
      <c r="AZ155" s="3">
        <f ca="1">IFERROR(__xludf.DUMMYFUNCTION("""COMPUTED_VALUE"""),-0.645561793219316)</f>
        <v>-0.64556179321931595</v>
      </c>
      <c r="BA155" s="3">
        <f ca="1">IFERROR(__xludf.DUMMYFUNCTION("""COMPUTED_VALUE"""),-0.624578294706554)</f>
        <v>-0.62457829470655402</v>
      </c>
      <c r="BB155" s="3">
        <f ca="1">IFERROR(__xludf.DUMMYFUNCTION("""COMPUTED_VALUE"""),-0.629302252126575)</f>
        <v>-0.62930225212657498</v>
      </c>
      <c r="BC155" s="3">
        <f ca="1">IFERROR(__xludf.DUMMYFUNCTION("""COMPUTED_VALUE"""),-0.691783328392647)</f>
        <v>-0.691783328392647</v>
      </c>
      <c r="BD155" s="3">
        <f ca="1">IFERROR(__xludf.DUMMYFUNCTION("""COMPUTED_VALUE"""),-0.709709810225453)</f>
        <v>-0.70970981022545299</v>
      </c>
      <c r="BE155" s="3">
        <f ca="1">IFERROR(__xludf.DUMMYFUNCTION("""COMPUTED_VALUE"""),-0.635228803546685)</f>
        <v>-0.63522880354668498</v>
      </c>
      <c r="BF155" s="3">
        <f ca="1">IFERROR(__xludf.DUMMYFUNCTION("""COMPUTED_VALUE"""),-0.628055400003459)</f>
        <v>-0.62805540000345905</v>
      </c>
      <c r="BG155" s="3">
        <f ca="1">IFERROR(__xludf.DUMMYFUNCTION("""COMPUTED_VALUE"""),-0.774443019718509)</f>
        <v>-0.77444301971850904</v>
      </c>
      <c r="BH155" s="3">
        <f ca="1">IFERROR(__xludf.DUMMYFUNCTION("""COMPUTED_VALUE"""),-0.655350198193513)</f>
        <v>-0.65535019819351303</v>
      </c>
      <c r="BI155" s="3">
        <f ca="1">IFERROR(__xludf.DUMMYFUNCTION("""COMPUTED_VALUE"""),-0.69155048133385)</f>
        <v>-0.69155048133385</v>
      </c>
      <c r="BJ155" s="3">
        <f ca="1">IFERROR(__xludf.DUMMYFUNCTION("""COMPUTED_VALUE"""),-0.720932872642132)</f>
        <v>-0.72093287264213202</v>
      </c>
      <c r="BK155" s="3">
        <f ca="1">IFERROR(__xludf.DUMMYFUNCTION("""COMPUTED_VALUE"""),-0.735047291012016)</f>
        <v>-0.73504729101201605</v>
      </c>
      <c r="BL155" s="3">
        <f ca="1">IFERROR(__xludf.DUMMYFUNCTION("""COMPUTED_VALUE"""),-0.738043447333858)</f>
        <v>-0.73804344733385796</v>
      </c>
      <c r="BM155" s="3">
        <f ca="1">IFERROR(__xludf.DUMMYFUNCTION("""COMPUTED_VALUE"""),-0.73184711218229)</f>
        <v>-0.73184711218229004</v>
      </c>
      <c r="BN155" s="3">
        <f ca="1">IFERROR(__xludf.DUMMYFUNCTION("""COMPUTED_VALUE"""),-0.698773763824125)</f>
        <v>-0.69877376382412504</v>
      </c>
      <c r="BO155" s="3">
        <f ca="1">IFERROR(__xludf.DUMMYFUNCTION("""COMPUTED_VALUE"""),-0.696501879267731)</f>
        <v>-0.69650187926773099</v>
      </c>
      <c r="BP155" s="3">
        <f ca="1">IFERROR(__xludf.DUMMYFUNCTION("""COMPUTED_VALUE"""),-0.709285007148389)</f>
        <v>-0.70928500714838905</v>
      </c>
      <c r="BQ155" s="3">
        <f ca="1">IFERROR(__xludf.DUMMYFUNCTION("""COMPUTED_VALUE"""),-0.783192640961815)</f>
        <v>-0.78319264096181496</v>
      </c>
      <c r="BR155" s="3">
        <f ca="1">IFERROR(__xludf.DUMMYFUNCTION("""COMPUTED_VALUE"""),-0.785859669518717)</f>
        <v>-0.785859669518717</v>
      </c>
      <c r="BS155" s="3">
        <f ca="1">IFERROR(__xludf.DUMMYFUNCTION("""COMPUTED_VALUE"""),-0.772921823282133)</f>
        <v>-0.77292182328213299</v>
      </c>
      <c r="BT155" s="3">
        <f ca="1">IFERROR(__xludf.DUMMYFUNCTION("""COMPUTED_VALUE"""),-0.794845482943103)</f>
        <v>-0.79484548294310298</v>
      </c>
      <c r="BU155" s="3">
        <f ca="1">IFERROR(__xludf.DUMMYFUNCTION("""COMPUTED_VALUE"""),-0.792864250285046)</f>
        <v>-0.79286425028504603</v>
      </c>
      <c r="BV155" s="3">
        <f ca="1">IFERROR(__xludf.DUMMYFUNCTION("""COMPUTED_VALUE"""),-0.712915396396195)</f>
        <v>-0.71291539639619494</v>
      </c>
      <c r="BW155" s="3">
        <f ca="1">IFERROR(__xludf.DUMMYFUNCTION("""COMPUTED_VALUE"""),-0.71000260551286)</f>
        <v>-0.71000260551285999</v>
      </c>
      <c r="BX155" s="3">
        <f ca="1">IFERROR(__xludf.DUMMYFUNCTION("""COMPUTED_VALUE"""),-0.78966772832697)</f>
        <v>-0.78966772832696996</v>
      </c>
      <c r="BY155" s="3">
        <f ca="1">IFERROR(__xludf.DUMMYFUNCTION("""COMPUTED_VALUE"""),-0.796370776780567)</f>
        <v>-0.796370776780567</v>
      </c>
      <c r="BZ155" s="3">
        <f ca="1">IFERROR(__xludf.DUMMYFUNCTION("""COMPUTED_VALUE"""),-0.785544442622917)</f>
        <v>-0.78554444262291701</v>
      </c>
      <c r="CA155" s="3">
        <f ca="1">IFERROR(__xludf.DUMMYFUNCTION("""COMPUTED_VALUE"""),-0.800089434084845)</f>
        <v>-0.80008943408484501</v>
      </c>
      <c r="CB155" s="3">
        <f ca="1">IFERROR(__xludf.DUMMYFUNCTION("""COMPUTED_VALUE"""),-0.779582098351195)</f>
        <v>-0.77958209835119496</v>
      </c>
      <c r="CC155" s="3">
        <f ca="1">IFERROR(__xludf.DUMMYFUNCTION("""COMPUTED_VALUE"""),-0.709415626645465)</f>
        <v>-0.70941562664546498</v>
      </c>
      <c r="CD155" s="3">
        <f ca="1">IFERROR(__xludf.DUMMYFUNCTION("""COMPUTED_VALUE"""),-0.691527207266137)</f>
        <v>-0.69152720726613703</v>
      </c>
      <c r="CE155" s="3">
        <f ca="1">IFERROR(__xludf.DUMMYFUNCTION("""COMPUTED_VALUE"""),-0.79477245489737)</f>
        <v>-0.79477245489737003</v>
      </c>
      <c r="CF155" s="3">
        <f ca="1">IFERROR(__xludf.DUMMYFUNCTION("""COMPUTED_VALUE"""),-0.796816887365734)</f>
        <v>-0.79681688736573397</v>
      </c>
      <c r="CG155" s="3">
        <f ca="1">IFERROR(__xludf.DUMMYFUNCTION("""COMPUTED_VALUE"""),-0.780320322980688)</f>
        <v>-0.78032032298068799</v>
      </c>
      <c r="CH155" s="3">
        <f ca="1">IFERROR(__xludf.DUMMYFUNCTION("""COMPUTED_VALUE"""),-0.79930882163909)</f>
        <v>-0.79930882163909001</v>
      </c>
      <c r="CI155" s="3">
        <f ca="1">IFERROR(__xludf.DUMMYFUNCTION("""COMPUTED_VALUE"""),-0.776448167857662)</f>
        <v>-0.77644816785766202</v>
      </c>
      <c r="CJ155" s="3">
        <f ca="1">IFERROR(__xludf.DUMMYFUNCTION("""COMPUTED_VALUE"""),-0.719101003346542)</f>
        <v>-0.71910100334654203</v>
      </c>
      <c r="CK155" s="3">
        <f ca="1">IFERROR(__xludf.DUMMYFUNCTION("""COMPUTED_VALUE"""),-0.681127407985923)</f>
        <v>-0.68112740798592297</v>
      </c>
      <c r="CL155" s="3">
        <f ca="1">IFERROR(__xludf.DUMMYFUNCTION("""COMPUTED_VALUE"""),-0.795901225039709)</f>
        <v>-0.79590122503970895</v>
      </c>
      <c r="CM155" s="3">
        <f ca="1">IFERROR(__xludf.DUMMYFUNCTION("""COMPUTED_VALUE"""),-0.799637287715256)</f>
        <v>-0.799637287715256</v>
      </c>
      <c r="CN155" s="3">
        <f ca="1">IFERROR(__xludf.DUMMYFUNCTION("""COMPUTED_VALUE"""),-0.770555161057821)</f>
        <v>-0.77055516105782096</v>
      </c>
      <c r="CO155" s="3">
        <f ca="1">IFERROR(__xludf.DUMMYFUNCTION("""COMPUTED_VALUE"""),-0.775193299102547)</f>
        <v>-0.77519329910254697</v>
      </c>
      <c r="CP155" s="3">
        <f ca="1">IFERROR(__xludf.DUMMYFUNCTION("""COMPUTED_VALUE"""),-0.764054964150741)</f>
        <v>-0.76405496415074103</v>
      </c>
      <c r="CQ155" s="3">
        <f ca="1">IFERROR(__xludf.DUMMYFUNCTION("""COMPUTED_VALUE"""),-0.684801798908713)</f>
        <v>-0.68480179890871296</v>
      </c>
      <c r="CR155" s="3">
        <f ca="1">IFERROR(__xludf.DUMMYFUNCTION("""COMPUTED_VALUE"""),-0.635034454594571)</f>
        <v>-0.63503445459457097</v>
      </c>
      <c r="CS155" s="3">
        <f ca="1">IFERROR(__xludf.DUMMYFUNCTION("""COMPUTED_VALUE"""),-0.738848968983057)</f>
        <v>-0.73884896898305696</v>
      </c>
      <c r="CT155" s="3">
        <f ca="1">IFERROR(__xludf.DUMMYFUNCTION("""COMPUTED_VALUE"""),-0.739376141211435)</f>
        <v>-0.73937614121143502</v>
      </c>
      <c r="CU155" s="3">
        <f ca="1">IFERROR(__xludf.DUMMYFUNCTION("""COMPUTED_VALUE"""),-0.709590530967458)</f>
        <v>-0.70959053096745806</v>
      </c>
      <c r="CV155" s="3">
        <f ca="1">IFERROR(__xludf.DUMMYFUNCTION("""COMPUTED_VALUE"""),-0.726789732449474)</f>
        <v>-0.72678973244947398</v>
      </c>
      <c r="CW155" s="3">
        <f ca="1">IFERROR(__xludf.DUMMYFUNCTION("""COMPUTED_VALUE"""),-0.715238939798307)</f>
        <v>-0.71523893979830699</v>
      </c>
      <c r="CX155" s="3">
        <f ca="1">IFERROR(__xludf.DUMMYFUNCTION("""COMPUTED_VALUE"""),-0.647980324658642)</f>
        <v>-0.64798032465864197</v>
      </c>
      <c r="CY155" s="3">
        <f ca="1">IFERROR(__xludf.DUMMYFUNCTION("""COMPUTED_VALUE"""),-0.647838253287615)</f>
        <v>-0.64783825328761502</v>
      </c>
      <c r="CZ155" s="3">
        <f ca="1">IFERROR(__xludf.DUMMYFUNCTION("""COMPUTED_VALUE"""),-0.809338343562254)</f>
        <v>-0.80933834356225398</v>
      </c>
      <c r="DA155" s="3">
        <f ca="1">IFERROR(__xludf.DUMMYFUNCTION("""COMPUTED_VALUE"""),-0.700325425501076)</f>
        <v>-0.70032542550107602</v>
      </c>
      <c r="DB155" s="3">
        <f ca="1">IFERROR(__xludf.DUMMYFUNCTION("""COMPUTED_VALUE"""),-0.631834167498335)</f>
        <v>-0.63183416749833499</v>
      </c>
      <c r="DC155" s="3">
        <f ca="1">IFERROR(__xludf.DUMMYFUNCTION("""COMPUTED_VALUE"""),-0.702900878086628)</f>
        <v>-0.70290087808662804</v>
      </c>
      <c r="DD155" s="3">
        <f ca="1">IFERROR(__xludf.DUMMYFUNCTION("""COMPUTED_VALUE"""),-0.723926885006077)</f>
        <v>-0.72392688500607705</v>
      </c>
      <c r="DE155" s="3">
        <f ca="1">IFERROR(__xludf.DUMMYFUNCTION("""COMPUTED_VALUE"""),-0.639575854306492)</f>
        <v>-0.639575854306492</v>
      </c>
      <c r="DF155" s="3">
        <f ca="1">IFERROR(__xludf.DUMMYFUNCTION("""COMPUTED_VALUE"""),-0.700904669334503)</f>
        <v>-0.70090466933450302</v>
      </c>
      <c r="DG155" s="3">
        <f ca="1">IFERROR(__xludf.DUMMYFUNCTION("""COMPUTED_VALUE"""),-0.827075494446617)</f>
        <v>-0.82707549444661699</v>
      </c>
      <c r="DH155" s="3">
        <f ca="1">IFERROR(__xludf.DUMMYFUNCTION("""COMPUTED_VALUE"""),-0.682724880725037)</f>
        <v>-0.68272488072503701</v>
      </c>
      <c r="DI155" s="3">
        <f ca="1">IFERROR(__xludf.DUMMYFUNCTION("""COMPUTED_VALUE"""),-0.442616794120168)</f>
        <v>-0.44261679412016802</v>
      </c>
      <c r="DJ155" s="3">
        <f ca="1">IFERROR(__xludf.DUMMYFUNCTION("""COMPUTED_VALUE"""),-0.596674192366613)</f>
        <v>-0.59667419236661301</v>
      </c>
      <c r="DK155" s="3">
        <f ca="1">IFERROR(__xludf.DUMMYFUNCTION("""COMPUTED_VALUE"""),-0.623064389023779)</f>
        <v>-0.62306438902377903</v>
      </c>
      <c r="DL155" s="3">
        <f ca="1">IFERROR(__xludf.DUMMYFUNCTION("""COMPUTED_VALUE"""),-0.509891556527596)</f>
        <v>-0.50989155652759599</v>
      </c>
      <c r="DM155" s="3">
        <f ca="1">IFERROR(__xludf.DUMMYFUNCTION("""COMPUTED_VALUE"""),-0.542929982197555)</f>
        <v>-0.54292998219755495</v>
      </c>
      <c r="DN155" s="3">
        <f ca="1">IFERROR(__xludf.DUMMYFUNCTION("""COMPUTED_VALUE"""),-0.570307006016685)</f>
        <v>-0.57030700601668505</v>
      </c>
      <c r="DO155" s="3">
        <f ca="1">IFERROR(__xludf.DUMMYFUNCTION("""COMPUTED_VALUE"""),-0.596597673296452)</f>
        <v>-0.59659767329645197</v>
      </c>
      <c r="DP155" s="3">
        <f ca="1">IFERROR(__xludf.DUMMYFUNCTION("""COMPUTED_VALUE"""),-0.553566467981293)</f>
        <v>-0.55356646798129305</v>
      </c>
      <c r="DQ155" s="3">
        <f ca="1">IFERROR(__xludf.DUMMYFUNCTION("""COMPUTED_VALUE"""),-0.575150348521976)</f>
        <v>-0.575150348521976</v>
      </c>
      <c r="DR155" s="3">
        <f ca="1">IFERROR(__xludf.DUMMYFUNCTION("""COMPUTED_VALUE"""),-0.608166342218744)</f>
        <v>-0.60816634221874399</v>
      </c>
      <c r="DS155" s="3">
        <f ca="1">IFERROR(__xludf.DUMMYFUNCTION("""COMPUTED_VALUE"""),-0.585603378054146)</f>
        <v>-0.58560337805414597</v>
      </c>
      <c r="DT155" s="3">
        <f ca="1">IFERROR(__xludf.DUMMYFUNCTION("""COMPUTED_VALUE"""),-0.631009292395698)</f>
        <v>-0.63100929239569803</v>
      </c>
      <c r="DU155" s="3">
        <f ca="1">IFERROR(__xludf.DUMMYFUNCTION("""COMPUTED_VALUE"""),-0.634094887786071)</f>
        <v>-0.63409488778607104</v>
      </c>
      <c r="DV155" s="3">
        <f ca="1">IFERROR(__xludf.DUMMYFUNCTION("""COMPUTED_VALUE"""),-0.625620434049068)</f>
        <v>-0.62562043404906797</v>
      </c>
      <c r="DW155" s="3">
        <f ca="1">IFERROR(__xludf.DUMMYFUNCTION("""COMPUTED_VALUE"""),-0.649935599795652)</f>
        <v>-0.64993559979565196</v>
      </c>
      <c r="DX155" s="3">
        <f ca="1">IFERROR(__xludf.DUMMYFUNCTION("""COMPUTED_VALUE"""),-0.645339705947519)</f>
        <v>-0.64533970594751899</v>
      </c>
      <c r="DY155" s="3">
        <f ca="1">IFERROR(__xludf.DUMMYFUNCTION("""COMPUTED_VALUE"""),-0.634996595217204)</f>
        <v>-0.63499659521720397</v>
      </c>
      <c r="DZ155" s="3">
        <f ca="1">IFERROR(__xludf.DUMMYFUNCTION("""COMPUTED_VALUE"""),-0.57033942193729)</f>
        <v>-0.57033942193729004</v>
      </c>
      <c r="EA155" s="3">
        <f ca="1">IFERROR(__xludf.DUMMYFUNCTION("""COMPUTED_VALUE"""),-0.610520032392955)</f>
        <v>-0.61052003239295505</v>
      </c>
      <c r="EB155" s="3">
        <f ca="1">IFERROR(__xludf.DUMMYFUNCTION("""COMPUTED_VALUE"""),-0.664472470122836)</f>
        <v>-0.66447247012283595</v>
      </c>
      <c r="EC155" s="3">
        <f ca="1">IFERROR(__xludf.DUMMYFUNCTION("""COMPUTED_VALUE"""),-0.659492642063291)</f>
        <v>-0.65949264206329095</v>
      </c>
      <c r="ED155" s="3">
        <f ca="1">IFERROR(__xludf.DUMMYFUNCTION("""COMPUTED_VALUE"""),-0.657973859317834)</f>
        <v>-0.65797385931783403</v>
      </c>
      <c r="EE155" s="3">
        <f ca="1">IFERROR(__xludf.DUMMYFUNCTION("""COMPUTED_VALUE"""),-0.664948225863065)</f>
        <v>-0.66494822586306501</v>
      </c>
      <c r="EF155" s="3">
        <f ca="1">IFERROR(__xludf.DUMMYFUNCTION("""COMPUTED_VALUE"""),-0.663467150948245)</f>
        <v>-0.66346715094824504</v>
      </c>
      <c r="EG155" s="3">
        <f ca="1">IFERROR(__xludf.DUMMYFUNCTION("""COMPUTED_VALUE"""),-0.553293121412284)</f>
        <v>-0.55329312141228404</v>
      </c>
      <c r="EH155" s="3">
        <f ca="1">IFERROR(__xludf.DUMMYFUNCTION("""COMPUTED_VALUE"""),-0.590782004409044)</f>
        <v>-0.59078200440904405</v>
      </c>
      <c r="EI155" s="3">
        <f ca="1">IFERROR(__xludf.DUMMYFUNCTION("""COMPUTED_VALUE"""),-0.656558122383415)</f>
        <v>-0.65655812238341504</v>
      </c>
      <c r="EJ155" s="3">
        <f ca="1">IFERROR(__xludf.DUMMYFUNCTION("""COMPUTED_VALUE"""),-0.651649639011942)</f>
        <v>-0.65164963901194195</v>
      </c>
      <c r="EK155" s="3">
        <f ca="1">IFERROR(__xludf.DUMMYFUNCTION("""COMPUTED_VALUE"""),-0.656776092499582)</f>
        <v>-0.65677609249958202</v>
      </c>
      <c r="EL155" s="3">
        <f ca="1">IFERROR(__xludf.DUMMYFUNCTION("""COMPUTED_VALUE"""),-0.668600527695749)</f>
        <v>-0.66860052769574896</v>
      </c>
      <c r="EM155" s="3">
        <f ca="1">IFERROR(__xludf.DUMMYFUNCTION("""COMPUTED_VALUE"""),-0.66025055376904)</f>
        <v>-0.66025055376903996</v>
      </c>
      <c r="EN155" s="3">
        <f ca="1">IFERROR(__xludf.DUMMYFUNCTION("""COMPUTED_VALUE"""),-0.611466184021998)</f>
        <v>-0.61146618402199804</v>
      </c>
      <c r="EO155" s="3">
        <f ca="1">IFERROR(__xludf.DUMMYFUNCTION("""COMPUTED_VALUE"""),-0.583234134129712)</f>
        <v>-0.58323413412971203</v>
      </c>
      <c r="EP155" s="3">
        <f ca="1">IFERROR(__xludf.DUMMYFUNCTION("""COMPUTED_VALUE"""),-0.646613713255555)</f>
        <v>-0.64661371325555494</v>
      </c>
      <c r="EQ155" s="3">
        <f ca="1">IFERROR(__xludf.DUMMYFUNCTION("""COMPUTED_VALUE"""),-0.676078916745002)</f>
        <v>-0.67607891674500198</v>
      </c>
      <c r="ER155" s="3">
        <f ca="1">IFERROR(__xludf.DUMMYFUNCTION("""COMPUTED_VALUE"""),-0.660125753072368)</f>
        <v>-0.66012575307236798</v>
      </c>
      <c r="ES155" s="3">
        <f ca="1">IFERROR(__xludf.DUMMYFUNCTION("""COMPUTED_VALUE"""),-0.653717180592856)</f>
        <v>-0.653717180592856</v>
      </c>
      <c r="ET155" s="3">
        <f ca="1">IFERROR(__xludf.DUMMYFUNCTION("""COMPUTED_VALUE"""),-0.653160361663737)</f>
        <v>-0.65316036166373703</v>
      </c>
      <c r="EU155" s="3">
        <f ca="1">IFERROR(__xludf.DUMMYFUNCTION("""COMPUTED_VALUE"""),-0.611907909173428)</f>
        <v>-0.61190790917342797</v>
      </c>
      <c r="EV155" s="3">
        <f ca="1">IFERROR(__xludf.DUMMYFUNCTION("""COMPUTED_VALUE"""),-0.558554476853825)</f>
        <v>-0.55855447685382498</v>
      </c>
      <c r="EW155" s="3">
        <f ca="1">IFERROR(__xludf.DUMMYFUNCTION("""COMPUTED_VALUE"""),-0.638124389723112)</f>
        <v>-0.63812438972311203</v>
      </c>
      <c r="EX155" s="3">
        <f ca="1">IFERROR(__xludf.DUMMYFUNCTION("""COMPUTED_VALUE"""),-0.638720282674674)</f>
        <v>-0.63872028267467396</v>
      </c>
      <c r="EY155" s="3">
        <f ca="1">IFERROR(__xludf.DUMMYFUNCTION("""COMPUTED_VALUE"""),-0.629585285262889)</f>
        <v>-0.62958528526288904</v>
      </c>
      <c r="EZ155" s="3">
        <f ca="1">IFERROR(__xludf.DUMMYFUNCTION("""COMPUTED_VALUE"""),-0.628557375006209)</f>
        <v>-0.62855737500620901</v>
      </c>
      <c r="FA155" s="3">
        <f ca="1">IFERROR(__xludf.DUMMYFUNCTION("""COMPUTED_VALUE"""),-0.610787668402047)</f>
        <v>-0.61078766840204701</v>
      </c>
      <c r="FB155" s="3">
        <f ca="1">IFERROR(__xludf.DUMMYFUNCTION("""COMPUTED_VALUE"""),-0.507792764648036)</f>
        <v>-0.50779276464803602</v>
      </c>
      <c r="FC155" s="3">
        <f ca="1">IFERROR(__xludf.DUMMYFUNCTION("""COMPUTED_VALUE"""),-0.540485009755632)</f>
        <v>-0.54048500975563196</v>
      </c>
      <c r="FD155" s="3">
        <f ca="1">IFERROR(__xludf.DUMMYFUNCTION("""COMPUTED_VALUE"""),-0.615080628710229)</f>
        <v>-0.61508062871022895</v>
      </c>
      <c r="FE155" s="3">
        <f ca="1">IFERROR(__xludf.DUMMYFUNCTION("""COMPUTED_VALUE"""),-0.639382553131696)</f>
        <v>-0.63938255313169601</v>
      </c>
      <c r="FF155" s="3">
        <f ca="1">IFERROR(__xludf.DUMMYFUNCTION("""COMPUTED_VALUE"""),-0.624476980569148)</f>
        <v>-0.62447698056914802</v>
      </c>
      <c r="FG155" s="3">
        <f ca="1">IFERROR(__xludf.DUMMYFUNCTION("""COMPUTED_VALUE"""),-0.649930738397523)</f>
        <v>-0.64993073839752302</v>
      </c>
      <c r="FH155" s="3">
        <f ca="1">IFERROR(__xludf.DUMMYFUNCTION("""COMPUTED_VALUE"""),-0.620074780729726)</f>
        <v>-0.62007478072972599</v>
      </c>
      <c r="FI155" s="3">
        <f ca="1">IFERROR(__xludf.DUMMYFUNCTION("""COMPUTED_VALUE"""),-0.567751908705056)</f>
        <v>-0.56775190870505599</v>
      </c>
      <c r="FJ155" s="3">
        <f ca="1">IFERROR(__xludf.DUMMYFUNCTION("""COMPUTED_VALUE"""),-0.53614482655306)</f>
        <v>-0.53614482655305995</v>
      </c>
      <c r="FK155" s="3">
        <f ca="1">IFERROR(__xludf.DUMMYFUNCTION("""COMPUTED_VALUE"""),-0.616037998135222)</f>
        <v>-0.61603799813522198</v>
      </c>
      <c r="FL155" s="3">
        <f ca="1">IFERROR(__xludf.DUMMYFUNCTION("""COMPUTED_VALUE"""),-0.637907948606527)</f>
        <v>-0.637907948606527</v>
      </c>
      <c r="FM155" s="3">
        <f ca="1">IFERROR(__xludf.DUMMYFUNCTION("""COMPUTED_VALUE"""),-0.618128940436777)</f>
        <v>-0.61812894043677702</v>
      </c>
      <c r="FN155" s="3">
        <f ca="1">IFERROR(__xludf.DUMMYFUNCTION("""COMPUTED_VALUE"""),-0.622134372714906)</f>
        <v>-0.62213437271490601</v>
      </c>
      <c r="FO155" s="3">
        <f ca="1">IFERROR(__xludf.DUMMYFUNCTION("""COMPUTED_VALUE"""),-0.609618369470019)</f>
        <v>-0.60961836947001902</v>
      </c>
      <c r="FP155" s="3">
        <f ca="1">IFERROR(__xludf.DUMMYFUNCTION("""COMPUTED_VALUE"""),-0.541912219233305)</f>
        <v>-0.54191221923330501</v>
      </c>
      <c r="FQ155" s="3">
        <f ca="1">IFERROR(__xludf.DUMMYFUNCTION("""COMPUTED_VALUE"""),-0.567119915827549)</f>
        <v>-0.56711991582754895</v>
      </c>
      <c r="FR155" s="3">
        <f ca="1">IFERROR(__xludf.DUMMYFUNCTION("""COMPUTED_VALUE"""),-0.597244568177337)</f>
        <v>-0.59724456817733695</v>
      </c>
      <c r="FS155" s="3">
        <f ca="1">IFERROR(__xludf.DUMMYFUNCTION("""COMPUTED_VALUE"""),-0.621364310871998)</f>
        <v>-0.62136431087199795</v>
      </c>
      <c r="FT155" s="3">
        <f ca="1">IFERROR(__xludf.DUMMYFUNCTION("""COMPUTED_VALUE"""),-0.598017482978171)</f>
        <v>-0.59801748297817103</v>
      </c>
      <c r="FU155" s="3">
        <f ca="1">IFERROR(__xludf.DUMMYFUNCTION("""COMPUTED_VALUE"""),-0.604186014701213)</f>
        <v>-0.60418601470121303</v>
      </c>
      <c r="FV155" s="3">
        <f ca="1">IFERROR(__xludf.DUMMYFUNCTION("""COMPUTED_VALUE"""),-0.524770474896622)</f>
        <v>-0.52477047489662199</v>
      </c>
      <c r="FW155" s="3">
        <f ca="1">IFERROR(__xludf.DUMMYFUNCTION("""COMPUTED_VALUE"""),-0.541934218044018)</f>
        <v>-0.54193421804401798</v>
      </c>
      <c r="FX155" s="3">
        <f ca="1">IFERROR(__xludf.DUMMYFUNCTION("""COMPUTED_VALUE"""),-0.552428070817603)</f>
        <v>-0.55242807081760303</v>
      </c>
      <c r="FY155" s="3">
        <f ca="1">IFERROR(__xludf.DUMMYFUNCTION("""COMPUTED_VALUE"""),-0.599032998323122)</f>
        <v>-0.59903299832312196</v>
      </c>
      <c r="FZ155" s="3">
        <f ca="1">IFERROR(__xludf.DUMMYFUNCTION("""COMPUTED_VALUE"""),-0.647101670546917)</f>
        <v>-0.64710167054691703</v>
      </c>
      <c r="GA155" s="3">
        <f ca="1">IFERROR(__xludf.DUMMYFUNCTION("""COMPUTED_VALUE"""),-0.61668666821355)</f>
        <v>-0.61668666821355</v>
      </c>
      <c r="GB155" s="3">
        <f ca="1">IFERROR(__xludf.DUMMYFUNCTION("""COMPUTED_VALUE"""),-0.593406616571541)</f>
        <v>-0.59340661657154103</v>
      </c>
      <c r="GC155" s="3">
        <f ca="1">IFERROR(__xludf.DUMMYFUNCTION("""COMPUTED_VALUE"""),-0.726440665281983)</f>
        <v>-0.72644066528198303</v>
      </c>
      <c r="GD155" s="3">
        <f ca="1">IFERROR(__xludf.DUMMYFUNCTION("""COMPUTED_VALUE"""),-0.543010516676604)</f>
        <v>-0.54301051667660405</v>
      </c>
      <c r="GE155" s="3">
        <f ca="1">IFERROR(__xludf.DUMMYFUNCTION("""COMPUTED_VALUE"""),-0.570867287918797)</f>
        <v>-0.57086728791879704</v>
      </c>
      <c r="GF155" s="3">
        <f ca="1">IFERROR(__xludf.DUMMYFUNCTION("""COMPUTED_VALUE"""),-0.610496419172743)</f>
        <v>-0.610496419172743</v>
      </c>
      <c r="GG155" s="3">
        <f ca="1">IFERROR(__xludf.DUMMYFUNCTION("""COMPUTED_VALUE"""),-0.607038384010592)</f>
        <v>-0.60703838401059196</v>
      </c>
      <c r="GH155" s="3">
        <f ca="1">IFERROR(__xludf.DUMMYFUNCTION("""COMPUTED_VALUE"""),-0.598114828543396)</f>
        <v>-0.59811482854339604</v>
      </c>
      <c r="GI155" s="3">
        <f ca="1">IFERROR(__xludf.DUMMYFUNCTION("""COMPUTED_VALUE"""),-0.603895298574257)</f>
        <v>-0.60389529857425694</v>
      </c>
      <c r="GJ155" s="3">
        <f ca="1">IFERROR(__xludf.DUMMYFUNCTION("""COMPUTED_VALUE"""),-0.518081968571403)</f>
        <v>-0.51808196857140298</v>
      </c>
      <c r="GK155" s="3">
        <f ca="1">IFERROR(__xludf.DUMMYFUNCTION("""COMPUTED_VALUE"""),-0.553870736840054)</f>
        <v>-0.55387073684005395</v>
      </c>
      <c r="GL155" s="3">
        <f ca="1">IFERROR(__xludf.DUMMYFUNCTION("""COMPUTED_VALUE"""),-0.55590231226321)</f>
        <v>-0.55590231226320996</v>
      </c>
      <c r="GM155" s="3">
        <f ca="1">IFERROR(__xludf.DUMMYFUNCTION("""COMPUTED_VALUE"""),-0.643060404462981)</f>
        <v>-0.64306040446298096</v>
      </c>
      <c r="GN155" s="3">
        <f ca="1">IFERROR(__xludf.DUMMYFUNCTION("""COMPUTED_VALUE"""),-0.6333963789818)</f>
        <v>-0.63339637898180001</v>
      </c>
      <c r="GO155" s="3">
        <f ca="1">IFERROR(__xludf.DUMMYFUNCTION("""COMPUTED_VALUE"""),-0.614538352364076)</f>
        <v>-0.61453835236407595</v>
      </c>
      <c r="GP155" s="3">
        <f ca="1">IFERROR(__xludf.DUMMYFUNCTION("""COMPUTED_VALUE"""),-0.613072091702704)</f>
        <v>-0.61307209170270405</v>
      </c>
      <c r="GQ155" s="3">
        <f ca="1">IFERROR(__xludf.DUMMYFUNCTION("""COMPUTED_VALUE"""),-0.59332998712768)</f>
        <v>-0.59332998712768004</v>
      </c>
      <c r="GR155" s="3">
        <f ca="1">IFERROR(__xludf.DUMMYFUNCTION("""COMPUTED_VALUE"""),-0.527387555185596)</f>
        <v>-0.52738755518559599</v>
      </c>
      <c r="GS155" s="3">
        <f ca="1">IFERROR(__xludf.DUMMYFUNCTION("""COMPUTED_VALUE"""),-0.545266387138867)</f>
        <v>-0.54526638713886699</v>
      </c>
      <c r="GT155" s="3">
        <f ca="1">IFERROR(__xludf.DUMMYFUNCTION("""COMPUTED_VALUE"""),-0.61986529650449)</f>
        <v>-0.61986529650448996</v>
      </c>
      <c r="GU155" s="3">
        <f ca="1">IFERROR(__xludf.DUMMYFUNCTION("""COMPUTED_VALUE"""),-0.602362371328192)</f>
        <v>-0.60236237132819204</v>
      </c>
      <c r="GV155" s="3">
        <f ca="1">IFERROR(__xludf.DUMMYFUNCTION("""COMPUTED_VALUE"""),-0.596531661569546)</f>
        <v>-0.59653166156954596</v>
      </c>
      <c r="GW155" s="3">
        <f ca="1">IFERROR(__xludf.DUMMYFUNCTION("""COMPUTED_VALUE"""),-0.595849769852148)</f>
        <v>-0.59584976985214799</v>
      </c>
      <c r="GX155" s="3">
        <f ca="1">IFERROR(__xludf.DUMMYFUNCTION("""COMPUTED_VALUE"""),-0.584520253577007)</f>
        <v>-0.58452025357700699</v>
      </c>
      <c r="GY155" s="3">
        <f ca="1">IFERROR(__xludf.DUMMYFUNCTION("""COMPUTED_VALUE"""),-0.521272085013981)</f>
        <v>-0.52127208501398103</v>
      </c>
      <c r="GZ155" s="3">
        <f ca="1">IFERROR(__xludf.DUMMYFUNCTION("""COMPUTED_VALUE"""),-0.542847744101955)</f>
        <v>-0.54284774410195502</v>
      </c>
      <c r="HA155" s="3">
        <f ca="1">IFERROR(__xludf.DUMMYFUNCTION("""COMPUTED_VALUE"""),-0.607809595055653)</f>
        <v>-0.60780959505565302</v>
      </c>
      <c r="HB155" s="3">
        <f ca="1">IFERROR(__xludf.DUMMYFUNCTION("""COMPUTED_VALUE"""),-0.591183255851729)</f>
        <v>-0.59118325585172904</v>
      </c>
      <c r="HC155" s="3">
        <f ca="1">IFERROR(__xludf.DUMMYFUNCTION("""COMPUTED_VALUE"""),-0.600457954427002)</f>
        <v>-0.60045795442700201</v>
      </c>
      <c r="HD155" s="3">
        <f ca="1">IFERROR(__xludf.DUMMYFUNCTION("""COMPUTED_VALUE"""),-0.602235794986025)</f>
        <v>-0.60223579498602497</v>
      </c>
      <c r="HE155" s="3">
        <f ca="1">IFERROR(__xludf.DUMMYFUNCTION("""COMPUTED_VALUE"""),-0.577826592266814)</f>
        <v>-0.57782659226681399</v>
      </c>
      <c r="HF155" s="3">
        <f ca="1">IFERROR(__xludf.DUMMYFUNCTION("""COMPUTED_VALUE"""),-0.503140513905683)</f>
        <v>-0.50314051390568304</v>
      </c>
      <c r="HG155" s="3">
        <f ca="1">IFERROR(__xludf.DUMMYFUNCTION("""COMPUTED_VALUE"""),-0.53319794732143)</f>
        <v>-0.53319794732143</v>
      </c>
      <c r="HH155" s="3">
        <f ca="1">IFERROR(__xludf.DUMMYFUNCTION("""COMPUTED_VALUE"""),-0.619171890742814)</f>
        <v>-0.61917189074281398</v>
      </c>
      <c r="HI155" s="3">
        <f ca="1">IFERROR(__xludf.DUMMYFUNCTION("""COMPUTED_VALUE"""),-0.604395136114146)</f>
        <v>-0.60439513611414597</v>
      </c>
      <c r="HJ155" s="3">
        <f ca="1">IFERROR(__xludf.DUMMYFUNCTION("""COMPUTED_VALUE"""),-0.604153646050195)</f>
        <v>-0.60415364605019495</v>
      </c>
      <c r="HK155" s="3">
        <f ca="1">IFERROR(__xludf.DUMMYFUNCTION("""COMPUTED_VALUE"""),-0.591115412773891)</f>
        <v>-0.59111541277389101</v>
      </c>
      <c r="HL155" s="3">
        <f ca="1">IFERROR(__xludf.DUMMYFUNCTION("""COMPUTED_VALUE"""),-0.716251195860874)</f>
        <v>-0.71625119586087405</v>
      </c>
      <c r="HM155" s="3">
        <f ca="1">IFERROR(__xludf.DUMMYFUNCTION("""COMPUTED_VALUE"""),-0.467776278112379)</f>
        <v>-0.46777627811237898</v>
      </c>
      <c r="HN155" s="3">
        <f ca="1">IFERROR(__xludf.DUMMYFUNCTION("""COMPUTED_VALUE"""),-0.549916464646557)</f>
        <v>-0.54991646464655697</v>
      </c>
      <c r="HO155" s="3">
        <f ca="1">IFERROR(__xludf.DUMMYFUNCTION("""COMPUTED_VALUE"""),-0.641125885530838)</f>
        <v>-0.64112588553083805</v>
      </c>
      <c r="HP155" s="3">
        <f ca="1">IFERROR(__xludf.DUMMYFUNCTION("""COMPUTED_VALUE"""),-0.626146996866355)</f>
        <v>-0.626146996866355</v>
      </c>
      <c r="HQ155" s="3">
        <f ca="1">IFERROR(__xludf.DUMMYFUNCTION("""COMPUTED_VALUE"""),-0.634011819454168)</f>
        <v>-0.63401181945416796</v>
      </c>
      <c r="HR155" s="3">
        <f ca="1">IFERROR(__xludf.DUMMYFUNCTION("""COMPUTED_VALUE"""),-0.600265209631847)</f>
        <v>-0.60026520963184704</v>
      </c>
      <c r="HS155" s="3">
        <f ca="1">IFERROR(__xludf.DUMMYFUNCTION("""COMPUTED_VALUE"""),-0.51181329727517)</f>
        <v>-0.51181329727517</v>
      </c>
      <c r="HT155" s="3">
        <f ca="1">IFERROR(__xludf.DUMMYFUNCTION("""COMPUTED_VALUE"""),-0.455457913719106)</f>
        <v>-0.45545791371910599</v>
      </c>
      <c r="HU155" s="3">
        <f ca="1">IFERROR(__xludf.DUMMYFUNCTION("""COMPUTED_VALUE"""),-0.525910628972849)</f>
        <v>-0.52591062897284901</v>
      </c>
      <c r="HV155" s="3">
        <f ca="1">IFERROR(__xludf.DUMMYFUNCTION("""COMPUTED_VALUE"""),-0.58738866001407)</f>
        <v>-0.58738866001406997</v>
      </c>
      <c r="HW155" s="3">
        <f ca="1">IFERROR(__xludf.DUMMYFUNCTION("""COMPUTED_VALUE"""),-0.593052560664126)</f>
        <v>-0.59305256066412604</v>
      </c>
      <c r="HX155" s="3">
        <f ca="1">IFERROR(__xludf.DUMMYFUNCTION("""COMPUTED_VALUE"""),-0.608051007009048)</f>
        <v>-0.60805100700904802</v>
      </c>
      <c r="HY155" s="3">
        <f ca="1">IFERROR(__xludf.DUMMYFUNCTION("""COMPUTED_VALUE"""),-0.562408324506009)</f>
        <v>-0.56240832450600897</v>
      </c>
      <c r="HZ155" s="3">
        <f ca="1">IFERROR(__xludf.DUMMYFUNCTION("""COMPUTED_VALUE"""),-0.447305305107477)</f>
        <v>-0.44730530510747701</v>
      </c>
      <c r="IA155" s="3">
        <f ca="1">IFERROR(__xludf.DUMMYFUNCTION("""COMPUTED_VALUE"""),-0.446587270746485)</f>
        <v>-0.44658727074648502</v>
      </c>
      <c r="IB155" s="3">
        <f ca="1">IFERROR(__xludf.DUMMYFUNCTION("""COMPUTED_VALUE"""),-0.466395638169096)</f>
        <v>-0.46639563816909602</v>
      </c>
      <c r="IC155" s="3">
        <f ca="1">IFERROR(__xludf.DUMMYFUNCTION("""COMPUTED_VALUE"""),-0.49557804402024)</f>
        <v>-0.49557804402024003</v>
      </c>
      <c r="ID155" s="3">
        <f ca="1">IFERROR(__xludf.DUMMYFUNCTION("""COMPUTED_VALUE"""),-0.480326695655891)</f>
        <v>-0.48032669565589098</v>
      </c>
      <c r="IE155" s="3">
        <f ca="1">IFERROR(__xludf.DUMMYFUNCTION("""COMPUTED_VALUE"""),-0.501456726793503)</f>
        <v>-0.50145672679350295</v>
      </c>
      <c r="IF155" s="3">
        <f ca="1">IFERROR(__xludf.DUMMYFUNCTION("""COMPUTED_VALUE"""),-0.492581485116068)</f>
        <v>-0.49258148511606797</v>
      </c>
      <c r="IG155" s="3">
        <f ca="1">IFERROR(__xludf.DUMMYFUNCTION("""COMPUTED_VALUE"""),-0.522438626878276)</f>
        <v>-0.52243862687827602</v>
      </c>
      <c r="IH155" s="3">
        <f ca="1">IFERROR(__xludf.DUMMYFUNCTION("""COMPUTED_VALUE"""),-0.446334099136365)</f>
        <v>-0.44633409913636501</v>
      </c>
      <c r="II155" s="3">
        <f ca="1">IFERROR(__xludf.DUMMYFUNCTION("""COMPUTED_VALUE"""),-0.45695178644758)</f>
        <v>-0.45695178644758</v>
      </c>
      <c r="IJ155" s="3">
        <f ca="1">IFERROR(__xludf.DUMMYFUNCTION("""COMPUTED_VALUE"""),-0.47687499946528)</f>
        <v>-0.47687499946528</v>
      </c>
      <c r="IK155" s="3">
        <f ca="1">IFERROR(__xludf.DUMMYFUNCTION("""COMPUTED_VALUE"""),-0.482686320003062)</f>
        <v>-0.482686320003062</v>
      </c>
      <c r="IL155" s="3">
        <f ca="1">IFERROR(__xludf.DUMMYFUNCTION("""COMPUTED_VALUE"""),-0.460419142017523)</f>
        <v>-0.46041914201752299</v>
      </c>
      <c r="IM155" s="3">
        <f ca="1">IFERROR(__xludf.DUMMYFUNCTION("""COMPUTED_VALUE"""),-0.489777487704799)</f>
        <v>-0.48977748770479901</v>
      </c>
      <c r="IN155" s="3">
        <f ca="1">IFERROR(__xludf.DUMMYFUNCTION("""COMPUTED_VALUE"""),-0.417477695581709)</f>
        <v>-0.417477695581709</v>
      </c>
      <c r="IO155" s="3">
        <f ca="1">IFERROR(__xludf.DUMMYFUNCTION("""COMPUTED_VALUE"""),-0.418993082523826)</f>
        <v>-0.418993082523826</v>
      </c>
      <c r="IP155" s="3">
        <f ca="1">IFERROR(__xludf.DUMMYFUNCTION("""COMPUTED_VALUE"""),-0.460370515058514)</f>
        <v>-0.46037051505851401</v>
      </c>
      <c r="IQ155" s="3">
        <f ca="1">IFERROR(__xludf.DUMMYFUNCTION("""COMPUTED_VALUE"""),-0.504997569137614)</f>
        <v>-0.50499756913761396</v>
      </c>
      <c r="IR155" s="3">
        <f ca="1">IFERROR(__xludf.DUMMYFUNCTION("""COMPUTED_VALUE"""),-0.503735766937732)</f>
        <v>-0.50373576693773203</v>
      </c>
      <c r="IS155" s="3">
        <f ca="1">IFERROR(__xludf.DUMMYFUNCTION("""COMPUTED_VALUE"""),-0.484011357676912)</f>
        <v>-0.484011357676912</v>
      </c>
      <c r="IT155" s="3">
        <f ca="1">IFERROR(__xludf.DUMMYFUNCTION("""COMPUTED_VALUE"""),-0.514248061945055)</f>
        <v>-0.51424806194505501</v>
      </c>
      <c r="IU155" s="3">
        <f ca="1">IFERROR(__xludf.DUMMYFUNCTION("""COMPUTED_VALUE"""),-0.55884080150727)</f>
        <v>-0.55884080150727</v>
      </c>
      <c r="IV155" s="3">
        <f ca="1">IFERROR(__xludf.DUMMYFUNCTION("""COMPUTED_VALUE"""),-0.489634929713331)</f>
        <v>-0.489634929713331</v>
      </c>
      <c r="IW155" s="3">
        <f ca="1">IFERROR(__xludf.DUMMYFUNCTION("""COMPUTED_VALUE"""),-0.508077713491177)</f>
        <v>-0.50807771349117703</v>
      </c>
      <c r="IX155" s="3">
        <f ca="1">IFERROR(__xludf.DUMMYFUNCTION("""COMPUTED_VALUE"""),-0.498713318722715)</f>
        <v>-0.49871331872271502</v>
      </c>
      <c r="IY155" s="3">
        <f ca="1">IFERROR(__xludf.DUMMYFUNCTION("""COMPUTED_VALUE"""),-0.53075089102862)</f>
        <v>-0.53075089102862005</v>
      </c>
      <c r="IZ155" s="3">
        <f ca="1">IFERROR(__xludf.DUMMYFUNCTION("""COMPUTED_VALUE"""),-0.537240530817338)</f>
        <v>-0.53724053081733802</v>
      </c>
      <c r="JA155" s="3">
        <f ca="1">IFERROR(__xludf.DUMMYFUNCTION("""COMPUTED_VALUE"""),-0.509979864000357)</f>
        <v>-0.509979864000357</v>
      </c>
      <c r="JB155" s="3">
        <f ca="1">IFERROR(__xludf.DUMMYFUNCTION("""COMPUTED_VALUE"""),-0.474019171901919)</f>
        <v>-0.474019171901919</v>
      </c>
      <c r="JC155" s="3">
        <f ca="1">IFERROR(__xludf.DUMMYFUNCTION("""COMPUTED_VALUE"""),-0.450980330759579)</f>
        <v>-0.450980330759579</v>
      </c>
      <c r="JD155" s="3">
        <f ca="1">IFERROR(__xludf.DUMMYFUNCTION("""COMPUTED_VALUE"""),-0.467953500261439)</f>
        <v>-0.467953500261439</v>
      </c>
      <c r="JE155" s="3">
        <f ca="1">IFERROR(__xludf.DUMMYFUNCTION("""COMPUTED_VALUE"""),-0.497982456957414)</f>
        <v>-0.497982456957414</v>
      </c>
      <c r="JF155" s="3">
        <f ca="1">IFERROR(__xludf.DUMMYFUNCTION("""COMPUTED_VALUE"""),-0.540666162569556)</f>
        <v>-0.54066616256955602</v>
      </c>
      <c r="JG155" s="3">
        <f ca="1">IFERROR(__xludf.DUMMYFUNCTION("""COMPUTED_VALUE"""),-0.571820538870899)</f>
        <v>-0.57182053887089901</v>
      </c>
      <c r="JH155" s="3">
        <f ca="1">IFERROR(__xludf.DUMMYFUNCTION("""COMPUTED_VALUE"""),-0.540001318480763)</f>
        <v>-0.54000131848076305</v>
      </c>
      <c r="JI155" s="3">
        <f ca="1">IFERROR(__xludf.DUMMYFUNCTION("""COMPUTED_VALUE"""),-0.51587731785138)</f>
        <v>-0.51587731785138002</v>
      </c>
      <c r="JJ155" s="3">
        <f ca="1">IFERROR(__xludf.DUMMYFUNCTION("""COMPUTED_VALUE"""),-0.551871348531291)</f>
        <v>-0.55187134853129105</v>
      </c>
      <c r="JK155" s="3">
        <f ca="1">IFERROR(__xludf.DUMMYFUNCTION("""COMPUTED_VALUE"""),-0.511119000570277)</f>
        <v>-0.51111900057027704</v>
      </c>
      <c r="JL155" s="3">
        <f ca="1">IFERROR(__xludf.DUMMYFUNCTION("""COMPUTED_VALUE"""),-0.535122141810343)</f>
        <v>-0.53512214181034301</v>
      </c>
      <c r="JM155" s="3">
        <f ca="1">IFERROR(__xludf.DUMMYFUNCTION("""COMPUTED_VALUE"""),-0.607589483324864)</f>
        <v>-0.60758948332486395</v>
      </c>
      <c r="JN155" s="3">
        <f ca="1">IFERROR(__xludf.DUMMYFUNCTION("""COMPUTED_VALUE"""),-0.558438469892311)</f>
        <v>-0.55843846989231105</v>
      </c>
      <c r="JO155" s="3">
        <f ca="1">IFERROR(__xludf.DUMMYFUNCTION("""COMPUTED_VALUE"""),-0.549621385782149)</f>
        <v>-0.54962138578214903</v>
      </c>
      <c r="JP155" s="3">
        <f ca="1">IFERROR(__xludf.DUMMYFUNCTION("""COMPUTED_VALUE"""),-0.554445907560319)</f>
        <v>-0.55444590756031897</v>
      </c>
      <c r="JQ155" s="3">
        <f ca="1">IFERROR(__xludf.DUMMYFUNCTION("""COMPUTED_VALUE"""),-0.537225022884537)</f>
        <v>-0.537225022884537</v>
      </c>
      <c r="JR155" s="3">
        <f ca="1">IFERROR(__xludf.DUMMYFUNCTION("""COMPUTED_VALUE"""),-0.568043328801803)</f>
        <v>-0.56804332880180297</v>
      </c>
      <c r="JS155" s="3">
        <f ca="1">IFERROR(__xludf.DUMMYFUNCTION("""COMPUTED_VALUE"""),-0.577656897846282)</f>
        <v>-0.57765689784628205</v>
      </c>
      <c r="JT155" s="3">
        <f ca="1">IFERROR(__xludf.DUMMYFUNCTION("""COMPUTED_VALUE"""),-0.592330444026939)</f>
        <v>-0.59233044402693902</v>
      </c>
      <c r="JU155" s="3">
        <f ca="1">IFERROR(__xludf.DUMMYFUNCTION("""COMPUTED_VALUE"""),-0.584592839817335)</f>
        <v>-0.58459283981733501</v>
      </c>
      <c r="JV155" s="3">
        <f ca="1">IFERROR(__xludf.DUMMYFUNCTION("""COMPUTED_VALUE"""),-0.5691016373021)</f>
        <v>-0.56910163730209995</v>
      </c>
      <c r="JW155" s="3">
        <f ca="1">IFERROR(__xludf.DUMMYFUNCTION("""COMPUTED_VALUE"""),-0.52837936188646)</f>
        <v>-0.52837936188645995</v>
      </c>
      <c r="JX155" s="3">
        <f ca="1">IFERROR(__xludf.DUMMYFUNCTION("""COMPUTED_VALUE"""),-0.505730826671221)</f>
        <v>-0.50573082667122105</v>
      </c>
      <c r="JY155" s="3">
        <f ca="1">IFERROR(__xludf.DUMMYFUNCTION("""COMPUTED_VALUE"""),-0.525627547287694)</f>
        <v>-0.52562754728769401</v>
      </c>
      <c r="JZ155" s="3">
        <f ca="1">IFERROR(__xludf.DUMMYFUNCTION("""COMPUTED_VALUE"""),-0.586442003750239)</f>
        <v>-0.58644200375023903</v>
      </c>
      <c r="KA155" s="3">
        <f ca="1">IFERROR(__xludf.DUMMYFUNCTION("""COMPUTED_VALUE"""),-0.562879264167841)</f>
        <v>-0.56287926416784095</v>
      </c>
      <c r="KB155" s="3">
        <f ca="1">IFERROR(__xludf.DUMMYFUNCTION("""COMPUTED_VALUE"""),-0.689451504492105)</f>
        <v>-0.68945150449210502</v>
      </c>
      <c r="KC155" s="3">
        <f ca="1">IFERROR(__xludf.DUMMYFUNCTION("""COMPUTED_VALUE"""),-0.521415371374885)</f>
        <v>-0.52141537137488503</v>
      </c>
      <c r="KD155" s="3">
        <f ca="1">IFERROR(__xludf.DUMMYFUNCTION("""COMPUTED_VALUE"""),-0.473149149648653)</f>
        <v>-0.47314914964865301</v>
      </c>
      <c r="KE155" s="3">
        <f ca="1">IFERROR(__xludf.DUMMYFUNCTION("""COMPUTED_VALUE"""),-0.427650488038217)</f>
        <v>-0.42765048803821698</v>
      </c>
      <c r="KF155" s="3">
        <f ca="1">IFERROR(__xludf.DUMMYFUNCTION("""COMPUTED_VALUE"""),-0.496599189049348)</f>
        <v>-0.49659918904934802</v>
      </c>
      <c r="KG155" s="3">
        <f ca="1">IFERROR(__xludf.DUMMYFUNCTION("""COMPUTED_VALUE"""),-0.579917544291426)</f>
        <v>-0.57991754429142595</v>
      </c>
      <c r="KH155" s="3">
        <f ca="1">IFERROR(__xludf.DUMMYFUNCTION("""COMPUTED_VALUE"""),-0.590693946840256)</f>
        <v>-0.590693946840256</v>
      </c>
      <c r="KI155" s="3">
        <f ca="1">IFERROR(__xludf.DUMMYFUNCTION("""COMPUTED_VALUE"""),-0.588096440462689)</f>
        <v>-0.58809644046268905</v>
      </c>
      <c r="KJ155" s="3">
        <f ca="1">IFERROR(__xludf.DUMMYFUNCTION("""COMPUTED_VALUE"""),-0.636832074455821)</f>
        <v>-0.63683207445582102</v>
      </c>
      <c r="KK155" s="3">
        <f ca="1">IFERROR(__xludf.DUMMYFUNCTION("""COMPUTED_VALUE"""),-0.559751401512985)</f>
        <v>-0.55975140151298497</v>
      </c>
      <c r="KL155" s="3">
        <f ca="1">IFERROR(__xludf.DUMMYFUNCTION("""COMPUTED_VALUE"""),-0.503385750395835)</f>
        <v>-0.503385750395835</v>
      </c>
      <c r="KM155" s="3">
        <f ca="1">IFERROR(__xludf.DUMMYFUNCTION("""COMPUTED_VALUE"""),-0.502320079812467)</f>
        <v>-0.50232007981246696</v>
      </c>
      <c r="KN155" s="3">
        <f ca="1">IFERROR(__xludf.DUMMYFUNCTION("""COMPUTED_VALUE"""),-0.604868929992358)</f>
        <v>-0.60486892999235797</v>
      </c>
      <c r="KO155" s="3">
        <f ca="1">IFERROR(__xludf.DUMMYFUNCTION("""COMPUTED_VALUE"""),-0.606050771361658)</f>
        <v>-0.60605077136165797</v>
      </c>
      <c r="KP155" s="3">
        <f ca="1">IFERROR(__xludf.DUMMYFUNCTION("""COMPUTED_VALUE"""),-0.62640418153244)</f>
        <v>-0.62640418153244004</v>
      </c>
      <c r="KQ155" s="3">
        <f ca="1">IFERROR(__xludf.DUMMYFUNCTION("""COMPUTED_VALUE"""),-0.612669999362119)</f>
        <v>-0.61266999936211897</v>
      </c>
      <c r="KR155" s="3">
        <f ca="1">IFERROR(__xludf.DUMMYFUNCTION("""COMPUTED_VALUE"""),-0.61702392118692)</f>
        <v>-0.61702392118691995</v>
      </c>
      <c r="KS155" s="3">
        <f ca="1">IFERROR(__xludf.DUMMYFUNCTION("""COMPUTED_VALUE"""),-0.530526724913558)</f>
        <v>-0.53052672491355801</v>
      </c>
      <c r="KT155" s="3">
        <f ca="1">IFERROR(__xludf.DUMMYFUNCTION("""COMPUTED_VALUE"""),-0.591536492080472)</f>
        <v>-0.59153649208047199</v>
      </c>
      <c r="KU155" s="3">
        <f ca="1">IFERROR(__xludf.DUMMYFUNCTION("""COMPUTED_VALUE"""),-0.658627298304217)</f>
        <v>-0.65862729830421696</v>
      </c>
      <c r="KV155" s="3">
        <f ca="1">IFERROR(__xludf.DUMMYFUNCTION("""COMPUTED_VALUE"""),-0.656003193412623)</f>
        <v>-0.65600319341262303</v>
      </c>
      <c r="KW155" s="3">
        <f ca="1">IFERROR(__xludf.DUMMYFUNCTION("""COMPUTED_VALUE"""),-0.638286010899406)</f>
        <v>-0.63828601089940595</v>
      </c>
      <c r="KX155" s="3">
        <f ca="1">IFERROR(__xludf.DUMMYFUNCTION("""COMPUTED_VALUE"""),-0.628801637701455)</f>
        <v>-0.62880163770145503</v>
      </c>
      <c r="KY155" s="3">
        <f ca="1">IFERROR(__xludf.DUMMYFUNCTION("""COMPUTED_VALUE"""),-0.613849386172917)</f>
        <v>-0.61384938617291696</v>
      </c>
      <c r="KZ155" s="3">
        <f ca="1">IFERROR(__xludf.DUMMYFUNCTION("""COMPUTED_VALUE"""),-0.544835942933634)</f>
        <v>-0.54483594293363402</v>
      </c>
      <c r="LA155" s="3">
        <f ca="1">IFERROR(__xludf.DUMMYFUNCTION("""COMPUTED_VALUE"""),-0.582372435007693)</f>
        <v>-0.58237243500769298</v>
      </c>
      <c r="LB155" s="3">
        <f ca="1">IFERROR(__xludf.DUMMYFUNCTION("""COMPUTED_VALUE"""),-0.675208463465085)</f>
        <v>-0.67520846346508501</v>
      </c>
      <c r="LC155" s="3">
        <f ca="1">IFERROR(__xludf.DUMMYFUNCTION("""COMPUTED_VALUE"""),-0.658785927799729)</f>
        <v>-0.658785927799729</v>
      </c>
      <c r="LD155" s="3">
        <f ca="1">IFERROR(__xludf.DUMMYFUNCTION("""COMPUTED_VALUE"""),-0.655881170768613)</f>
        <v>-0.65588117076861296</v>
      </c>
      <c r="LE155" s="3">
        <f ca="1">IFERROR(__xludf.DUMMYFUNCTION("""COMPUTED_VALUE"""),-0.663375990545901)</f>
        <v>-0.66337599054590102</v>
      </c>
      <c r="LF155" s="3">
        <f ca="1">IFERROR(__xludf.DUMMYFUNCTION("""COMPUTED_VALUE"""),-0.638728088785491)</f>
        <v>-0.63872808878549103</v>
      </c>
      <c r="LG155" s="3">
        <f ca="1">IFERROR(__xludf.DUMMYFUNCTION("""COMPUTED_VALUE"""),-0.590764646961325)</f>
        <v>-0.59076464696132502</v>
      </c>
      <c r="LH155" s="3">
        <f ca="1">IFERROR(__xludf.DUMMYFUNCTION("""COMPUTED_VALUE"""),-0.597054038855623)</f>
        <v>-0.59705403885562303</v>
      </c>
      <c r="LI155" s="3">
        <f ca="1">IFERROR(__xludf.DUMMYFUNCTION("""COMPUTED_VALUE"""),-0.692161381742398)</f>
        <v>-0.69216138174239805</v>
      </c>
      <c r="LJ155" s="3">
        <f ca="1">IFERROR(__xludf.DUMMYFUNCTION("""COMPUTED_VALUE"""),-0.733271322769465)</f>
        <v>-0.73327132276946505</v>
      </c>
      <c r="LK155" s="3">
        <f ca="1">IFERROR(__xludf.DUMMYFUNCTION("""COMPUTED_VALUE"""),-0.660776624819478)</f>
        <v>-0.66077662481947796</v>
      </c>
      <c r="LL155" s="3">
        <f ca="1">IFERROR(__xludf.DUMMYFUNCTION("""COMPUTED_VALUE"""),-0.677821970995717)</f>
        <v>-0.67782197099571695</v>
      </c>
      <c r="LM155" s="3">
        <f ca="1">IFERROR(__xludf.DUMMYFUNCTION("""COMPUTED_VALUE"""),-0.590977254901589)</f>
        <v>-0.59097725490158903</v>
      </c>
      <c r="LN155" s="3">
        <f ca="1">IFERROR(__xludf.DUMMYFUNCTION("""COMPUTED_VALUE"""),-0.612833958260296)</f>
        <v>-0.61283395826029596</v>
      </c>
      <c r="LO155" s="3">
        <f ca="1">IFERROR(__xludf.DUMMYFUNCTION("""COMPUTED_VALUE"""),-0.628433901871734)</f>
        <v>-0.62843390187173398</v>
      </c>
      <c r="LP155" s="3">
        <f ca="1">IFERROR(__xludf.DUMMYFUNCTION("""COMPUTED_VALUE"""),-0.699073853369072)</f>
        <v>-0.69907385336907202</v>
      </c>
      <c r="LQ155" s="3">
        <f ca="1">IFERROR(__xludf.DUMMYFUNCTION("""COMPUTED_VALUE"""),-0.699924734454468)</f>
        <v>-0.69992473445446801</v>
      </c>
      <c r="LR155" s="3">
        <f ca="1">IFERROR(__xludf.DUMMYFUNCTION("""COMPUTED_VALUE"""),-0.691391708189262)</f>
        <v>-0.69139170818926199</v>
      </c>
      <c r="LS155" s="3">
        <f ca="1">IFERROR(__xludf.DUMMYFUNCTION("""COMPUTED_VALUE"""),-0.685896602513342)</f>
        <v>-0.68589660251334195</v>
      </c>
      <c r="LT155" s="3">
        <f ca="1">IFERROR(__xludf.DUMMYFUNCTION("""COMPUTED_VALUE"""),-0.737196398051741)</f>
        <v>-0.73719639805174098</v>
      </c>
      <c r="LU155" s="3">
        <f ca="1">IFERROR(__xludf.DUMMYFUNCTION("""COMPUTED_VALUE"""),-0.654594856851656)</f>
        <v>-0.65459485685165597</v>
      </c>
      <c r="LV155" s="3">
        <f ca="1">IFERROR(__xludf.DUMMYFUNCTION("""COMPUTED_VALUE"""),-0.647390045040923)</f>
        <v>-0.64739004504092301</v>
      </c>
      <c r="LW155" s="3">
        <f ca="1">IFERROR(__xludf.DUMMYFUNCTION("""COMPUTED_VALUE"""),-0.746449000617241)</f>
        <v>-0.74644900061724095</v>
      </c>
      <c r="LX155" s="3">
        <f ca="1">IFERROR(__xludf.DUMMYFUNCTION("""COMPUTED_VALUE"""),-0.765833185342984)</f>
        <v>-0.76583318534298395</v>
      </c>
      <c r="LY155" s="3">
        <f ca="1">IFERROR(__xludf.DUMMYFUNCTION("""COMPUTED_VALUE"""),-0.74533502213402)</f>
        <v>-0.74533502213402003</v>
      </c>
      <c r="LZ155" s="3">
        <f ca="1">IFERROR(__xludf.DUMMYFUNCTION("""COMPUTED_VALUE"""),-0.751575324018146)</f>
        <v>-0.75157532401814597</v>
      </c>
      <c r="MA155" s="3">
        <f ca="1">IFERROR(__xludf.DUMMYFUNCTION("""COMPUTED_VALUE"""),-0.707929131178389)</f>
        <v>-0.70792913117838896</v>
      </c>
      <c r="MB155" s="3">
        <f ca="1">IFERROR(__xludf.DUMMYFUNCTION("""COMPUTED_VALUE"""),-0.663470180016116)</f>
        <v>-0.66347018001611602</v>
      </c>
      <c r="MC155" s="3">
        <f ca="1">IFERROR(__xludf.DUMMYFUNCTION("""COMPUTED_VALUE"""),-0.731708881774635)</f>
        <v>-0.731708881774635</v>
      </c>
      <c r="MD155" s="3">
        <f ca="1">IFERROR(__xludf.DUMMYFUNCTION("""COMPUTED_VALUE"""),-0.768170818736736)</f>
        <v>-0.76817081873673598</v>
      </c>
      <c r="ME155" s="3">
        <f ca="1">IFERROR(__xludf.DUMMYFUNCTION("""COMPUTED_VALUE"""),-0.748539364865636)</f>
        <v>-0.74853936486563599</v>
      </c>
      <c r="MF155" s="3">
        <f ca="1">IFERROR(__xludf.DUMMYFUNCTION("""COMPUTED_VALUE"""),-0.75379493347355)</f>
        <v>-0.75379493347354998</v>
      </c>
      <c r="MG155" s="3">
        <f ca="1">IFERROR(__xludf.DUMMYFUNCTION("""COMPUTED_VALUE"""),-0.767642056147245)</f>
        <v>-0.76764205614724501</v>
      </c>
      <c r="MH155" s="3">
        <f ca="1">IFERROR(__xludf.DUMMYFUNCTION("""COMPUTED_VALUE"""),-0.773468000752668)</f>
        <v>-0.77346800075266797</v>
      </c>
      <c r="MI155" s="3">
        <f ca="1">IFERROR(__xludf.DUMMYFUNCTION("""COMPUTED_VALUE"""),-0.686838991382182)</f>
        <v>-0.68683899138218196</v>
      </c>
      <c r="MJ155" s="3">
        <f ca="1">IFERROR(__xludf.DUMMYFUNCTION("""COMPUTED_VALUE"""),-0.746496089745863)</f>
        <v>-0.74649608974586301</v>
      </c>
      <c r="MK155" s="3">
        <f ca="1">IFERROR(__xludf.DUMMYFUNCTION("""COMPUTED_VALUE"""),-0.762593574373325)</f>
        <v>-0.76259357437332498</v>
      </c>
      <c r="ML155" s="3">
        <f ca="1">IFERROR(__xludf.DUMMYFUNCTION("""COMPUTED_VALUE"""),-0.769777394047975)</f>
        <v>-0.76977739404797496</v>
      </c>
      <c r="MM155" s="3">
        <f ca="1">IFERROR(__xludf.DUMMYFUNCTION("""COMPUTED_VALUE"""),-0.776092195129412)</f>
        <v>-0.77609219512941197</v>
      </c>
      <c r="MN155" s="3">
        <f ca="1">IFERROR(__xludf.DUMMYFUNCTION("""COMPUTED_VALUE"""),-0.780029075884708)</f>
        <v>-0.78002907588470805</v>
      </c>
      <c r="MO155" s="3">
        <f ca="1">IFERROR(__xludf.DUMMYFUNCTION("""COMPUTED_VALUE"""),-0.771210059971701)</f>
        <v>-0.771210059971701</v>
      </c>
      <c r="MP155" s="3">
        <f ca="1">IFERROR(__xludf.DUMMYFUNCTION("""COMPUTED_VALUE"""),-0.732693407076743)</f>
        <v>-0.73269340707674302</v>
      </c>
      <c r="MQ155" s="3">
        <f ca="1">IFERROR(__xludf.DUMMYFUNCTION("""COMPUTED_VALUE"""),-0.751409607574998)</f>
        <v>-0.75140960757499797</v>
      </c>
      <c r="MR155" s="3">
        <f ca="1">IFERROR(__xludf.DUMMYFUNCTION("""COMPUTED_VALUE"""),-0.763121728003921)</f>
        <v>-0.76312172800392097</v>
      </c>
      <c r="MS155" s="3">
        <f ca="1">IFERROR(__xludf.DUMMYFUNCTION("""COMPUTED_VALUE"""),-0.793751154178975)</f>
        <v>-0.79375115417897502</v>
      </c>
      <c r="MT155" s="3">
        <f ca="1">IFERROR(__xludf.DUMMYFUNCTION("""COMPUTED_VALUE"""),-0.781147161972044)</f>
        <v>-0.78114716197204404</v>
      </c>
      <c r="MU155" s="3">
        <f ca="1">IFERROR(__xludf.DUMMYFUNCTION("""COMPUTED_VALUE"""),-0.780977482948138)</f>
        <v>-0.78097748294813796</v>
      </c>
      <c r="MV155" s="3">
        <f ca="1">IFERROR(__xludf.DUMMYFUNCTION("""COMPUTED_VALUE"""),-0.754850470183373)</f>
        <v>-0.75485047018337303</v>
      </c>
      <c r="MW155" s="3">
        <f ca="1">IFERROR(__xludf.DUMMYFUNCTION("""COMPUTED_VALUE"""),-0.715264104577972)</f>
        <v>-0.71526410457797196</v>
      </c>
      <c r="MX155" s="3">
        <f ca="1">IFERROR(__xludf.DUMMYFUNCTION("""COMPUTED_VALUE"""),-0.779772843963428)</f>
        <v>-0.77977284396342805</v>
      </c>
      <c r="MY155" s="3">
        <f ca="1">IFERROR(__xludf.DUMMYFUNCTION("""COMPUTED_VALUE"""),-0.749388417550351)</f>
        <v>-0.74938841755035102</v>
      </c>
      <c r="MZ155" s="3">
        <f ca="1">IFERROR(__xludf.DUMMYFUNCTION("""COMPUTED_VALUE"""),-0.80820899114958)</f>
        <v>-0.80820899114958</v>
      </c>
      <c r="NA155" s="3">
        <f ca="1">IFERROR(__xludf.DUMMYFUNCTION("""COMPUTED_VALUE"""),-0.799854550743444)</f>
        <v>-0.79985455074344403</v>
      </c>
      <c r="NB155" s="3">
        <f ca="1">IFERROR(__xludf.DUMMYFUNCTION("""COMPUTED_VALUE"""),-0.803214992768486)</f>
        <v>-0.80321499276848596</v>
      </c>
      <c r="NC155" s="3">
        <f ca="1">IFERROR(__xludf.DUMMYFUNCTION("""COMPUTED_VALUE"""),-0.795232402533032)</f>
        <v>-0.79523240253303196</v>
      </c>
      <c r="ND155" s="3">
        <f ca="1">IFERROR(__xludf.DUMMYFUNCTION("""COMPUTED_VALUE"""),-0.770738214163358)</f>
        <v>-0.77073821416335797</v>
      </c>
      <c r="NE155" s="3">
        <f ca="1">IFERROR(__xludf.DUMMYFUNCTION("""COMPUTED_VALUE"""),-0.734504763243464)</f>
        <v>-0.73450476324346403</v>
      </c>
      <c r="NF155" s="3">
        <f ca="1">IFERROR(__xludf.DUMMYFUNCTION("""COMPUTED_VALUE"""),-0.810724745137017)</f>
        <v>-0.81072474513701698</v>
      </c>
      <c r="NG155" s="3">
        <f ca="1">IFERROR(__xludf.DUMMYFUNCTION("""COMPUTED_VALUE"""),-0.776338387317203)</f>
        <v>-0.77633838731720295</v>
      </c>
      <c r="NH155" s="3">
        <f ca="1">IFERROR(__xludf.DUMMYFUNCTION("""COMPUTED_VALUE"""),-0.777760022815814)</f>
        <v>-0.77776002281581402</v>
      </c>
      <c r="NI155" s="3">
        <f ca="1">IFERROR(__xludf.DUMMYFUNCTION("""COMPUTED_VALUE"""),-0.803452773822788)</f>
        <v>-0.80345277382278801</v>
      </c>
      <c r="NJ155" s="3">
        <f ca="1">IFERROR(__xludf.DUMMYFUNCTION("""COMPUTED_VALUE"""),-0.763921053249327)</f>
        <v>-0.76392105324932702</v>
      </c>
      <c r="NK155" s="3">
        <f ca="1">IFERROR(__xludf.DUMMYFUNCTION("""COMPUTED_VALUE"""),-0.71333981663533)</f>
        <v>-0.71333981663532997</v>
      </c>
      <c r="NL155" s="3">
        <f ca="1">IFERROR(__xludf.DUMMYFUNCTION("""COMPUTED_VALUE"""),-0.756838335170659)</f>
        <v>-0.75683833517065902</v>
      </c>
      <c r="NM155" s="3">
        <f ca="1">IFERROR(__xludf.DUMMYFUNCTION("""COMPUTED_VALUE"""),-0.779398149312694)</f>
        <v>-0.77939814931269402</v>
      </c>
      <c r="NN155" s="3">
        <f ca="1">IFERROR(__xludf.DUMMYFUNCTION("""COMPUTED_VALUE"""),-0.768077392338594)</f>
        <v>-0.76807739233859396</v>
      </c>
      <c r="NO155" s="3">
        <f ca="1">IFERROR(__xludf.DUMMYFUNCTION("""COMPUTED_VALUE"""),-0.76095323428786)</f>
        <v>-0.76095323428785999</v>
      </c>
      <c r="NP155" s="3">
        <f ca="1">IFERROR(__xludf.DUMMYFUNCTION("""COMPUTED_VALUE"""),-0.76220265214284)</f>
        <v>-0.76220265214284</v>
      </c>
      <c r="NQ155" s="3">
        <f ca="1">IFERROR(__xludf.DUMMYFUNCTION("""COMPUTED_VALUE"""),-0.753083094465767)</f>
        <v>-0.75308309446576704</v>
      </c>
      <c r="NR155" s="3">
        <f ca="1">IFERROR(__xludf.DUMMYFUNCTION("""COMPUTED_VALUE"""),-0.691370465150198)</f>
        <v>-0.69137046515019795</v>
      </c>
      <c r="NS155" s="3">
        <f ca="1">IFERROR(__xludf.DUMMYFUNCTION("""COMPUTED_VALUE"""),-0.741829681311287)</f>
        <v>-0.74182968131128701</v>
      </c>
      <c r="NT155" s="3">
        <f ca="1">IFERROR(__xludf.DUMMYFUNCTION("""COMPUTED_VALUE"""),-0.774977211637228)</f>
        <v>-0.77497721163722799</v>
      </c>
      <c r="NU155" s="3">
        <f ca="1">IFERROR(__xludf.DUMMYFUNCTION("""COMPUTED_VALUE"""),-0.783051106789647)</f>
        <v>-0.78305110678964696</v>
      </c>
      <c r="NV155" s="3">
        <f ca="1">IFERROR(__xludf.DUMMYFUNCTION("""COMPUTED_VALUE"""),-0.772994113957385)</f>
        <v>-0.77299411395738504</v>
      </c>
      <c r="NW155" s="3">
        <f ca="1">IFERROR(__xludf.DUMMYFUNCTION("""COMPUTED_VALUE"""),-0.719054808149221)</f>
        <v>-0.71905480814922096</v>
      </c>
      <c r="NX155" s="3">
        <f ca="1">IFERROR(__xludf.DUMMYFUNCTION("""COMPUTED_VALUE"""),-0.709298428722877)</f>
        <v>-0.70929842872287696</v>
      </c>
      <c r="NY155" s="3">
        <f ca="1">IFERROR(__xludf.DUMMYFUNCTION("""COMPUTED_VALUE"""),-0.629804255017573)</f>
        <v>-0.62980425501757298</v>
      </c>
      <c r="NZ155" s="3">
        <f ca="1">IFERROR(__xludf.DUMMYFUNCTION("""COMPUTED_VALUE"""),-0.620332613543099)</f>
        <v>-0.62033261354309899</v>
      </c>
      <c r="OA155" s="3">
        <f ca="1">IFERROR(__xludf.DUMMYFUNCTION("""COMPUTED_VALUE"""),-0.684512049012579)</f>
        <v>-0.684512049012579</v>
      </c>
      <c r="OB155" s="3">
        <f ca="1">IFERROR(__xludf.DUMMYFUNCTION("""COMPUTED_VALUE"""),-0.641388649923434)</f>
        <v>-0.64138864992343403</v>
      </c>
      <c r="OC155" s="3">
        <f ca="1">IFERROR(__xludf.DUMMYFUNCTION("""COMPUTED_VALUE"""),-0.655252571248557)</f>
        <v>-0.65525257124855696</v>
      </c>
      <c r="OD155" s="3">
        <f ca="1">IFERROR(__xludf.DUMMYFUNCTION("""COMPUTED_VALUE"""),-0.593887074064606)</f>
        <v>-0.59388707406460595</v>
      </c>
      <c r="OE155" s="3">
        <f ca="1">IFERROR(__xludf.DUMMYFUNCTION("""COMPUTED_VALUE"""),-0.503177784888552)</f>
        <v>-0.50317778488855203</v>
      </c>
      <c r="OF155" s="3">
        <f ca="1">IFERROR(__xludf.DUMMYFUNCTION("""COMPUTED_VALUE"""),-0.291225933100532)</f>
        <v>-0.29122593310053202</v>
      </c>
      <c r="OG155" s="3">
        <f ca="1">IFERROR(__xludf.DUMMYFUNCTION("""COMPUTED_VALUE"""),-0.29149123901447)</f>
        <v>-0.29149123901446999</v>
      </c>
      <c r="OH155" s="3">
        <f ca="1">IFERROR(__xludf.DUMMYFUNCTION("""COMPUTED_VALUE"""),-0.174846387108174)</f>
        <v>-0.17484638710817399</v>
      </c>
      <c r="OI155" s="3">
        <f ca="1">IFERROR(__xludf.DUMMYFUNCTION("""COMPUTED_VALUE"""),-0.0557295070820595)</f>
        <v>-5.5729507082059503E-2</v>
      </c>
      <c r="OJ155" s="3">
        <f ca="1">IFERROR(__xludf.DUMMYFUNCTION("""COMPUTED_VALUE"""),-0.0340702236956019)</f>
        <v>-3.4070223695601899E-2</v>
      </c>
      <c r="OK155" s="3">
        <f ca="1">IFERROR(__xludf.DUMMYFUNCTION("""COMPUTED_VALUE"""),-0.0320175838555744)</f>
        <v>-3.2017583855574398E-2</v>
      </c>
      <c r="OL155" s="3">
        <f ca="1">IFERROR(__xludf.DUMMYFUNCTION("""COMPUTED_VALUE"""),-0.00252684019216475)</f>
        <v>-2.5268401921647501E-3</v>
      </c>
      <c r="OM155" s="3">
        <f ca="1">IFERROR(__xludf.DUMMYFUNCTION("""COMPUTED_VALUE"""),-0.0530378371113874)</f>
        <v>-5.3037837111387397E-2</v>
      </c>
      <c r="ON155" s="3">
        <f ca="1">IFERROR(__xludf.DUMMYFUNCTION("""COMPUTED_VALUE"""),-0.0404439521126905)</f>
        <v>-4.0443952112690501E-2</v>
      </c>
      <c r="OO155" s="3">
        <f ca="1">IFERROR(__xludf.DUMMYFUNCTION("""COMPUTED_VALUE"""),-0.0322046284457407)</f>
        <v>-3.22046284457407E-2</v>
      </c>
      <c r="OP155" s="3">
        <f ca="1">IFERROR(__xludf.DUMMYFUNCTION("""COMPUTED_VALUE"""),0.027521140344711)</f>
        <v>2.7521140344710999E-2</v>
      </c>
      <c r="OQ155" s="3">
        <f ca="1">IFERROR(__xludf.DUMMYFUNCTION("""COMPUTED_VALUE"""),0.146817899332033)</f>
        <v>0.14681789933203299</v>
      </c>
      <c r="OR155" s="3">
        <f ca="1">IFERROR(__xludf.DUMMYFUNCTION("""COMPUTED_VALUE"""),0.0530271594739362)</f>
        <v>5.30271594739362E-2</v>
      </c>
      <c r="OS155" s="3">
        <f ca="1">IFERROR(__xludf.DUMMYFUNCTION("""COMPUTED_VALUE"""),0.0287877996390324)</f>
        <v>2.8787799639032399E-2</v>
      </c>
      <c r="OT155" s="3">
        <f ca="1">IFERROR(__xludf.DUMMYFUNCTION("""COMPUTED_VALUE"""),0.027638355172306)</f>
        <v>2.7638355172305999E-2</v>
      </c>
      <c r="OU155" s="3">
        <f ca="1">IFERROR(__xludf.DUMMYFUNCTION("""COMPUTED_VALUE"""),0.00290113272658776)</f>
        <v>2.9011327265877599E-3</v>
      </c>
      <c r="OV155" s="3">
        <f ca="1">IFERROR(__xludf.DUMMYFUNCTION("""COMPUTED_VALUE"""),-0.011986986294733)</f>
        <v>-1.1986986294733E-2</v>
      </c>
      <c r="OW155" s="3">
        <f ca="1">IFERROR(__xludf.DUMMYFUNCTION("""COMPUTED_VALUE"""),-0.000974529351353337)</f>
        <v>-9.7452935135333696E-4</v>
      </c>
      <c r="OX155" s="3">
        <f ca="1">IFERROR(__xludf.DUMMYFUNCTION("""COMPUTED_VALUE"""),0.151470197730466)</f>
        <v>0.15147019773046599</v>
      </c>
      <c r="OY155" s="3">
        <f ca="1">IFERROR(__xludf.DUMMYFUNCTION("""COMPUTED_VALUE"""),0.0530651778229407)</f>
        <v>5.30651778229407E-2</v>
      </c>
      <c r="OZ155" s="3">
        <f ca="1">IFERROR(__xludf.DUMMYFUNCTION("""COMPUTED_VALUE"""),0.230871090196637)</f>
        <v>0.23087109019663701</v>
      </c>
      <c r="PA155" s="3">
        <f ca="1">IFERROR(__xludf.DUMMYFUNCTION("""COMPUTED_VALUE"""),0.00870269165069959)</f>
        <v>8.7026916506995899E-3</v>
      </c>
      <c r="PB155" s="3">
        <f ca="1">IFERROR(__xludf.DUMMYFUNCTION("""COMPUTED_VALUE"""),-0.0414983360247155)</f>
        <v>-4.1498336024715497E-2</v>
      </c>
      <c r="PC155" s="3">
        <f ca="1">IFERROR(__xludf.DUMMYFUNCTION("""COMPUTED_VALUE"""),-0.175910023073393)</f>
        <v>-0.17591002307339301</v>
      </c>
      <c r="PD155" s="3">
        <f ca="1">IFERROR(__xludf.DUMMYFUNCTION("""COMPUTED_VALUE"""),-0.158415723691525)</f>
        <v>-0.15841572369152501</v>
      </c>
      <c r="PE155" s="3">
        <f ca="1">IFERROR(__xludf.DUMMYFUNCTION("""COMPUTED_VALUE"""),-0.0409366845526681)</f>
        <v>-4.09366845526681E-2</v>
      </c>
      <c r="PF155" s="3">
        <f ca="1">IFERROR(__xludf.DUMMYFUNCTION("""COMPUTED_VALUE"""),0.0437116816451084)</f>
        <v>4.3711681645108399E-2</v>
      </c>
      <c r="PG155" s="3">
        <f ca="1">IFERROR(__xludf.DUMMYFUNCTION("""COMPUTED_VALUE"""),-0.443720539996512)</f>
        <v>-0.44372053999651201</v>
      </c>
      <c r="PH155" s="3">
        <f ca="1">IFERROR(__xludf.DUMMYFUNCTION("""COMPUTED_VALUE"""),-0.0391709944174715)</f>
        <v>-3.9170994417471502E-2</v>
      </c>
      <c r="PI155" s="3">
        <f ca="1">IFERROR(__xludf.DUMMYFUNCTION("""COMPUTED_VALUE"""),-0.065514317564073)</f>
        <v>-6.5514317564072999E-2</v>
      </c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</row>
    <row r="156" spans="1:477" ht="13">
      <c r="A156" s="1" t="str">
        <f ca="1">IFERROR(__xludf.DUMMYFUNCTION("""COMPUTED_VALUE"""),"GO Transit")</f>
        <v>GO Transit</v>
      </c>
      <c r="B156" s="1" t="str">
        <f ca="1">IFERROR(__xludf.DUMMYFUNCTION("""COMPUTED_VALUE"""),"Toronto")</f>
        <v>Toronto</v>
      </c>
      <c r="C156" s="1" t="str">
        <f ca="1">IFERROR(__xludf.DUMMYFUNCTION("""COMPUTED_VALUE"""),"Canada")</f>
        <v>Canada</v>
      </c>
      <c r="D156" s="1" t="str">
        <f ca="1">IFERROR(__xludf.DUMMYFUNCTION("""COMPUTED_VALUE"""),"Ontario")</f>
        <v>Ontario</v>
      </c>
      <c r="E156" s="3">
        <f ca="1">IFERROR(__xludf.DUMMYFUNCTION("""COMPUTED_VALUE"""),-0.609838712093423)</f>
        <v>-0.609838712093423</v>
      </c>
      <c r="F156" s="3">
        <f ca="1">IFERROR(__xludf.DUMMYFUNCTION("""COMPUTED_VALUE"""),-0.625559054026436)</f>
        <v>-0.62555905402643597</v>
      </c>
      <c r="G156" s="3">
        <f ca="1">IFERROR(__xludf.DUMMYFUNCTION("""COMPUTED_VALUE"""),-0.689848221944948)</f>
        <v>-0.68984822194494799</v>
      </c>
      <c r="H156" s="3">
        <f ca="1">IFERROR(__xludf.DUMMYFUNCTION("""COMPUTED_VALUE"""),-0.657365334951571)</f>
        <v>-0.65736533495157101</v>
      </c>
      <c r="I156" s="3">
        <f ca="1">IFERROR(__xludf.DUMMYFUNCTION("""COMPUTED_VALUE"""),-0.660146536594674)</f>
        <v>-0.66014653659467404</v>
      </c>
      <c r="J156" s="3">
        <f ca="1">IFERROR(__xludf.DUMMYFUNCTION("""COMPUTED_VALUE"""),-0.663415787023759)</f>
        <v>-0.66341578702375903</v>
      </c>
      <c r="K156" s="3">
        <f ca="1">IFERROR(__xludf.DUMMYFUNCTION("""COMPUTED_VALUE"""),-0.624351247202137)</f>
        <v>-0.62435124720213697</v>
      </c>
      <c r="L156" s="3">
        <f ca="1">IFERROR(__xludf.DUMMYFUNCTION("""COMPUTED_VALUE"""),-0.614941393250635)</f>
        <v>-0.61494139325063502</v>
      </c>
      <c r="M156" s="3">
        <f ca="1">IFERROR(__xludf.DUMMYFUNCTION("""COMPUTED_VALUE"""),-0.737106604149045)</f>
        <v>-0.73710660414904505</v>
      </c>
      <c r="N156" s="3">
        <f ca="1">IFERROR(__xludf.DUMMYFUNCTION("""COMPUTED_VALUE"""),-0.631323044852365)</f>
        <v>-0.63132304485236501</v>
      </c>
      <c r="O156" s="3">
        <f ca="1">IFERROR(__xludf.DUMMYFUNCTION("""COMPUTED_VALUE"""),-0.648042428071302)</f>
        <v>-0.64804242807130197</v>
      </c>
      <c r="P156" s="3">
        <f ca="1">IFERROR(__xludf.DUMMYFUNCTION("""COMPUTED_VALUE"""),-0.638097518781576)</f>
        <v>-0.63809751878157595</v>
      </c>
      <c r="Q156" s="3">
        <f ca="1">IFERROR(__xludf.DUMMYFUNCTION("""COMPUTED_VALUE"""),-0.634445785359102)</f>
        <v>-0.63444578535910201</v>
      </c>
      <c r="R156" s="3">
        <f ca="1">IFERROR(__xludf.DUMMYFUNCTION("""COMPUTED_VALUE"""),-0.574697696984455)</f>
        <v>-0.57469769698445505</v>
      </c>
      <c r="S156" s="3">
        <f ca="1">IFERROR(__xludf.DUMMYFUNCTION("""COMPUTED_VALUE"""),-0.571049949520972)</f>
        <v>-0.57104994952097199</v>
      </c>
      <c r="T156" s="3">
        <f ca="1">IFERROR(__xludf.DUMMYFUNCTION("""COMPUTED_VALUE"""),-0.691416754471798)</f>
        <v>-0.69141675447179796</v>
      </c>
      <c r="U156" s="3">
        <f ca="1">IFERROR(__xludf.DUMMYFUNCTION("""COMPUTED_VALUE"""),-0.682974872292469)</f>
        <v>-0.682974872292469</v>
      </c>
      <c r="V156" s="3">
        <f ca="1">IFERROR(__xludf.DUMMYFUNCTION("""COMPUTED_VALUE"""),-0.702006751011805)</f>
        <v>-0.70200675101180499</v>
      </c>
      <c r="W156" s="3">
        <f ca="1">IFERROR(__xludf.DUMMYFUNCTION("""COMPUTED_VALUE"""),-0.690401864880542)</f>
        <v>-0.690401864880542</v>
      </c>
      <c r="X156" s="3">
        <f ca="1">IFERROR(__xludf.DUMMYFUNCTION("""COMPUTED_VALUE"""),-0.664552151376885)</f>
        <v>-0.66455215137688495</v>
      </c>
      <c r="Y156" s="3">
        <f ca="1">IFERROR(__xludf.DUMMYFUNCTION("""COMPUTED_VALUE"""),-0.548257805240544)</f>
        <v>-0.54825780524054402</v>
      </c>
      <c r="Z156" s="3">
        <f ca="1">IFERROR(__xludf.DUMMYFUNCTION("""COMPUTED_VALUE"""),-0.570245118799261)</f>
        <v>-0.57024511879926099</v>
      </c>
      <c r="AA156" s="3">
        <f ca="1">IFERROR(__xludf.DUMMYFUNCTION("""COMPUTED_VALUE"""),-0.687910670067709)</f>
        <v>-0.68791067006770901</v>
      </c>
      <c r="AB156" s="3">
        <f ca="1">IFERROR(__xludf.DUMMYFUNCTION("""COMPUTED_VALUE"""),-0.696634901276677)</f>
        <v>-0.69663490127667704</v>
      </c>
      <c r="AC156" s="3">
        <f ca="1">IFERROR(__xludf.DUMMYFUNCTION("""COMPUTED_VALUE"""),-0.697890817468616)</f>
        <v>-0.69789081746861603</v>
      </c>
      <c r="AD156" s="3">
        <f ca="1">IFERROR(__xludf.DUMMYFUNCTION("""COMPUTED_VALUE"""),-0.702175208372296)</f>
        <v>-0.70217520837229597</v>
      </c>
      <c r="AE156" s="3">
        <f ca="1">IFERROR(__xludf.DUMMYFUNCTION("""COMPUTED_VALUE"""),-0.679998018497192)</f>
        <v>-0.67999801849719199</v>
      </c>
      <c r="AF156" s="3">
        <f ca="1">IFERROR(__xludf.DUMMYFUNCTION("""COMPUTED_VALUE"""),-0.589229641352953)</f>
        <v>-0.58922964135295297</v>
      </c>
      <c r="AG156" s="3">
        <f ca="1">IFERROR(__xludf.DUMMYFUNCTION("""COMPUTED_VALUE"""),-0.607760333323938)</f>
        <v>-0.60776033332393797</v>
      </c>
      <c r="AH156" s="3">
        <f ca="1">IFERROR(__xludf.DUMMYFUNCTION("""COMPUTED_VALUE"""),-0.692511520385999)</f>
        <v>-0.69251152038599895</v>
      </c>
      <c r="AI156" s="3">
        <f ca="1">IFERROR(__xludf.DUMMYFUNCTION("""COMPUTED_VALUE"""),-0.698223175224373)</f>
        <v>-0.69822317522437305</v>
      </c>
      <c r="AJ156" s="3">
        <f ca="1">IFERROR(__xludf.DUMMYFUNCTION("""COMPUTED_VALUE"""),-0.683392257832376)</f>
        <v>-0.683392257832376</v>
      </c>
      <c r="AK156" s="3">
        <f ca="1">IFERROR(__xludf.DUMMYFUNCTION("""COMPUTED_VALUE"""),-0.690895249060444)</f>
        <v>-0.69089524906044397</v>
      </c>
      <c r="AL156" s="3">
        <f ca="1">IFERROR(__xludf.DUMMYFUNCTION("""COMPUTED_VALUE"""),-0.689841304949817)</f>
        <v>-0.68984130494981699</v>
      </c>
      <c r="AM156" s="3">
        <f ca="1">IFERROR(__xludf.DUMMYFUNCTION("""COMPUTED_VALUE"""),-0.622307323637874)</f>
        <v>-0.622307323637874</v>
      </c>
      <c r="AN156" s="3">
        <f ca="1">IFERROR(__xludf.DUMMYFUNCTION("""COMPUTED_VALUE"""),-0.645246601483119)</f>
        <v>-0.64524660148311896</v>
      </c>
      <c r="AO156" s="3">
        <f ca="1">IFERROR(__xludf.DUMMYFUNCTION("""COMPUTED_VALUE"""),-0.716042510988437)</f>
        <v>-0.71604251098843696</v>
      </c>
      <c r="AP156" s="3">
        <f ca="1">IFERROR(__xludf.DUMMYFUNCTION("""COMPUTED_VALUE"""),-0.724775166979904)</f>
        <v>-0.72477516697990396</v>
      </c>
      <c r="AQ156" s="3">
        <f ca="1">IFERROR(__xludf.DUMMYFUNCTION("""COMPUTED_VALUE"""),-0.703616391681327)</f>
        <v>-0.70361639168132695</v>
      </c>
      <c r="AR156" s="3">
        <f ca="1">IFERROR(__xludf.DUMMYFUNCTION("""COMPUTED_VALUE"""),-0.713403326430308)</f>
        <v>-0.71340332643030802</v>
      </c>
      <c r="AS156" s="3">
        <f ca="1">IFERROR(__xludf.DUMMYFUNCTION("""COMPUTED_VALUE"""),-0.703729907969607)</f>
        <v>-0.70372990796960699</v>
      </c>
      <c r="AT156" s="3">
        <f ca="1">IFERROR(__xludf.DUMMYFUNCTION("""COMPUTED_VALUE"""),-0.613099897358301)</f>
        <v>-0.61309989735830095</v>
      </c>
      <c r="AU156" s="3">
        <f ca="1">IFERROR(__xludf.DUMMYFUNCTION("""COMPUTED_VALUE"""),-0.642872992585652)</f>
        <v>-0.642872992585652</v>
      </c>
      <c r="AV156" s="3">
        <f ca="1">IFERROR(__xludf.DUMMYFUNCTION("""COMPUTED_VALUE"""),-0.707967217608536)</f>
        <v>-0.70796721760853598</v>
      </c>
      <c r="AW156" s="3">
        <f ca="1">IFERROR(__xludf.DUMMYFUNCTION("""COMPUTED_VALUE"""),-0.718385739848387)</f>
        <v>-0.71838573984838705</v>
      </c>
      <c r="AX156" s="3">
        <f ca="1">IFERROR(__xludf.DUMMYFUNCTION("""COMPUTED_VALUE"""),-0.710655875809517)</f>
        <v>-0.71065587580951695</v>
      </c>
      <c r="AY156" s="3">
        <f ca="1">IFERROR(__xludf.DUMMYFUNCTION("""COMPUTED_VALUE"""),-0.709108199056285)</f>
        <v>-0.70910819905628497</v>
      </c>
      <c r="AZ156" s="3">
        <f ca="1">IFERROR(__xludf.DUMMYFUNCTION("""COMPUTED_VALUE"""),-0.644274146607487)</f>
        <v>-0.64427414660748705</v>
      </c>
      <c r="BA156" s="3">
        <f ca="1">IFERROR(__xludf.DUMMYFUNCTION("""COMPUTED_VALUE"""),-0.627665967446121)</f>
        <v>-0.62766596744612102</v>
      </c>
      <c r="BB156" s="3">
        <f ca="1">IFERROR(__xludf.DUMMYFUNCTION("""COMPUTED_VALUE"""),-0.661218155594566)</f>
        <v>-0.66121815559456598</v>
      </c>
      <c r="BC156" s="3">
        <f ca="1">IFERROR(__xludf.DUMMYFUNCTION("""COMPUTED_VALUE"""),-0.722581652717065)</f>
        <v>-0.72258165271706498</v>
      </c>
      <c r="BD156" s="3">
        <f ca="1">IFERROR(__xludf.DUMMYFUNCTION("""COMPUTED_VALUE"""),-0.734990718231901)</f>
        <v>-0.73499071823190099</v>
      </c>
      <c r="BE156" s="3">
        <f ca="1">IFERROR(__xludf.DUMMYFUNCTION("""COMPUTED_VALUE"""),-0.711816621798321)</f>
        <v>-0.71181662179832095</v>
      </c>
      <c r="BF156" s="3">
        <f ca="1">IFERROR(__xludf.DUMMYFUNCTION("""COMPUTED_VALUE"""),-0.68141824941693)</f>
        <v>-0.68141824941692997</v>
      </c>
      <c r="BG156" s="3">
        <f ca="1">IFERROR(__xludf.DUMMYFUNCTION("""COMPUTED_VALUE"""),-0.752667419496908)</f>
        <v>-0.75266741949690796</v>
      </c>
      <c r="BH156" s="3">
        <f ca="1">IFERROR(__xludf.DUMMYFUNCTION("""COMPUTED_VALUE"""),-0.630581955319017)</f>
        <v>-0.63058195531901695</v>
      </c>
      <c r="BI156" s="3">
        <f ca="1">IFERROR(__xludf.DUMMYFUNCTION("""COMPUTED_VALUE"""),-0.685288255655632)</f>
        <v>-0.68528825565563201</v>
      </c>
      <c r="BJ156" s="3">
        <f ca="1">IFERROR(__xludf.DUMMYFUNCTION("""COMPUTED_VALUE"""),-0.751727585650348)</f>
        <v>-0.75172758565034803</v>
      </c>
      <c r="BK156" s="3">
        <f ca="1">IFERROR(__xludf.DUMMYFUNCTION("""COMPUTED_VALUE"""),-0.765036092223617)</f>
        <v>-0.76503609222361701</v>
      </c>
      <c r="BL156" s="3">
        <f ca="1">IFERROR(__xludf.DUMMYFUNCTION("""COMPUTED_VALUE"""),-0.76989918985897)</f>
        <v>-0.76989918985896999</v>
      </c>
      <c r="BM156" s="3">
        <f ca="1">IFERROR(__xludf.DUMMYFUNCTION("""COMPUTED_VALUE"""),-0.755013177188244)</f>
        <v>-0.75501317718824401</v>
      </c>
      <c r="BN156" s="3">
        <f ca="1">IFERROR(__xludf.DUMMYFUNCTION("""COMPUTED_VALUE"""),-0.721155039926572)</f>
        <v>-0.72115503992657204</v>
      </c>
      <c r="BO156" s="3">
        <f ca="1">IFERROR(__xludf.DUMMYFUNCTION("""COMPUTED_VALUE"""),-0.699663211232)</f>
        <v>-0.69966321123200004</v>
      </c>
      <c r="BP156" s="3">
        <f ca="1">IFERROR(__xludf.DUMMYFUNCTION("""COMPUTED_VALUE"""),-0.708369434918502)</f>
        <v>-0.70836943491850202</v>
      </c>
      <c r="BQ156" s="3">
        <f ca="1">IFERROR(__xludf.DUMMYFUNCTION("""COMPUTED_VALUE"""),-0.767482720344538)</f>
        <v>-0.76748272034453802</v>
      </c>
      <c r="BR156" s="3">
        <f ca="1">IFERROR(__xludf.DUMMYFUNCTION("""COMPUTED_VALUE"""),-0.773889062627736)</f>
        <v>-0.77388906262773605</v>
      </c>
      <c r="BS156" s="3">
        <f ca="1">IFERROR(__xludf.DUMMYFUNCTION("""COMPUTED_VALUE"""),-0.77528810875093)</f>
        <v>-0.77528810875093002</v>
      </c>
      <c r="BT156" s="3">
        <f ca="1">IFERROR(__xludf.DUMMYFUNCTION("""COMPUTED_VALUE"""),-0.773393653297255)</f>
        <v>-0.77339365329725496</v>
      </c>
      <c r="BU156" s="3">
        <f ca="1">IFERROR(__xludf.DUMMYFUNCTION("""COMPUTED_VALUE"""),-0.777295040125333)</f>
        <v>-0.77729504012533301</v>
      </c>
      <c r="BV156" s="3">
        <f ca="1">IFERROR(__xludf.DUMMYFUNCTION("""COMPUTED_VALUE"""),-0.714791423372005)</f>
        <v>-0.71479142337200496</v>
      </c>
      <c r="BW156" s="3">
        <f ca="1">IFERROR(__xludf.DUMMYFUNCTION("""COMPUTED_VALUE"""),-0.722011034078872)</f>
        <v>-0.72201103407887202</v>
      </c>
      <c r="BX156" s="3">
        <f ca="1">IFERROR(__xludf.DUMMYFUNCTION("""COMPUTED_VALUE"""),-0.784628138237635)</f>
        <v>-0.784628138237635</v>
      </c>
      <c r="BY156" s="3">
        <f ca="1">IFERROR(__xludf.DUMMYFUNCTION("""COMPUTED_VALUE"""),-0.791042124624571)</f>
        <v>-0.79104212462457102</v>
      </c>
      <c r="BZ156" s="3">
        <f ca="1">IFERROR(__xludf.DUMMYFUNCTION("""COMPUTED_VALUE"""),-0.781138346483873)</f>
        <v>-0.78113834648387304</v>
      </c>
      <c r="CA156" s="3">
        <f ca="1">IFERROR(__xludf.DUMMYFUNCTION("""COMPUTED_VALUE"""),-0.781835381569566)</f>
        <v>-0.781835381569566</v>
      </c>
      <c r="CB156" s="3">
        <f ca="1">IFERROR(__xludf.DUMMYFUNCTION("""COMPUTED_VALUE"""),-0.771448765724555)</f>
        <v>-0.77144876572455501</v>
      </c>
      <c r="CC156" s="3">
        <f ca="1">IFERROR(__xludf.DUMMYFUNCTION("""COMPUTED_VALUE"""),-0.700060679131437)</f>
        <v>-0.70006067913143699</v>
      </c>
      <c r="CD156" s="3">
        <f ca="1">IFERROR(__xludf.DUMMYFUNCTION("""COMPUTED_VALUE"""),-0.709069898723915)</f>
        <v>-0.70906989872391502</v>
      </c>
      <c r="CE156" s="3">
        <f ca="1">IFERROR(__xludf.DUMMYFUNCTION("""COMPUTED_VALUE"""),-0.77993908088949)</f>
        <v>-0.77993908088949004</v>
      </c>
      <c r="CF156" s="3">
        <f ca="1">IFERROR(__xludf.DUMMYFUNCTION("""COMPUTED_VALUE"""),-0.788353573316149)</f>
        <v>-0.78835357331614897</v>
      </c>
      <c r="CG156" s="3">
        <f ca="1">IFERROR(__xludf.DUMMYFUNCTION("""COMPUTED_VALUE"""),-0.787280708299952)</f>
        <v>-0.787280708299952</v>
      </c>
      <c r="CH156" s="3">
        <f ca="1">IFERROR(__xludf.DUMMYFUNCTION("""COMPUTED_VALUE"""),-0.78297193780919)</f>
        <v>-0.78297193780919006</v>
      </c>
      <c r="CI156" s="3">
        <f ca="1">IFERROR(__xludf.DUMMYFUNCTION("""COMPUTED_VALUE"""),-0.773934911278962)</f>
        <v>-0.77393491127896197</v>
      </c>
      <c r="CJ156" s="3">
        <f ca="1">IFERROR(__xludf.DUMMYFUNCTION("""COMPUTED_VALUE"""),-0.68958478702065)</f>
        <v>-0.68958478702064996</v>
      </c>
      <c r="CK156" s="3">
        <f ca="1">IFERROR(__xludf.DUMMYFUNCTION("""COMPUTED_VALUE"""),-0.676668857442144)</f>
        <v>-0.676668857442144</v>
      </c>
      <c r="CL156" s="3">
        <f ca="1">IFERROR(__xludf.DUMMYFUNCTION("""COMPUTED_VALUE"""),-0.771784763361223)</f>
        <v>-0.77178476336122304</v>
      </c>
      <c r="CM156" s="3">
        <f ca="1">IFERROR(__xludf.DUMMYFUNCTION("""COMPUTED_VALUE"""),-0.783686190220815)</f>
        <v>-0.78368619022081498</v>
      </c>
      <c r="CN156" s="3">
        <f ca="1">IFERROR(__xludf.DUMMYFUNCTION("""COMPUTED_VALUE"""),-0.772520454047716)</f>
        <v>-0.77252045404771597</v>
      </c>
      <c r="CO156" s="3">
        <f ca="1">IFERROR(__xludf.DUMMYFUNCTION("""COMPUTED_VALUE"""),-0.777409353507656)</f>
        <v>-0.77740935350765605</v>
      </c>
      <c r="CP156" s="3">
        <f ca="1">IFERROR(__xludf.DUMMYFUNCTION("""COMPUTED_VALUE"""),-0.768108540358512)</f>
        <v>-0.76810854035851195</v>
      </c>
      <c r="CQ156" s="3">
        <f ca="1">IFERROR(__xludf.DUMMYFUNCTION("""COMPUTED_VALUE"""),-0.66433394760995)</f>
        <v>-0.66433394760995002</v>
      </c>
      <c r="CR156" s="3">
        <f ca="1">IFERROR(__xludf.DUMMYFUNCTION("""COMPUTED_VALUE"""),-0.645888421053103)</f>
        <v>-0.64588842105310296</v>
      </c>
      <c r="CS156" s="3">
        <f ca="1">IFERROR(__xludf.DUMMYFUNCTION("""COMPUTED_VALUE"""),-0.738479644054406)</f>
        <v>-0.73847964405440603</v>
      </c>
      <c r="CT156" s="3">
        <f ca="1">IFERROR(__xludf.DUMMYFUNCTION("""COMPUTED_VALUE"""),-0.739618685600684)</f>
        <v>-0.739618685600684</v>
      </c>
      <c r="CU156" s="3">
        <f ca="1">IFERROR(__xludf.DUMMYFUNCTION("""COMPUTED_VALUE"""),-0.717107494895559)</f>
        <v>-0.71710749489555903</v>
      </c>
      <c r="CV156" s="3">
        <f ca="1">IFERROR(__xludf.DUMMYFUNCTION("""COMPUTED_VALUE"""),-0.731205559331499)</f>
        <v>-0.731205559331499</v>
      </c>
      <c r="CW156" s="3">
        <f ca="1">IFERROR(__xludf.DUMMYFUNCTION("""COMPUTED_VALUE"""),-0.719431908034265)</f>
        <v>-0.71943190803426504</v>
      </c>
      <c r="CX156" s="3">
        <f ca="1">IFERROR(__xludf.DUMMYFUNCTION("""COMPUTED_VALUE"""),-0.655632557230294)</f>
        <v>-0.65563255723029401</v>
      </c>
      <c r="CY156" s="3">
        <f ca="1">IFERROR(__xludf.DUMMYFUNCTION("""COMPUTED_VALUE"""),-0.67777375419263)</f>
        <v>-0.67777375419262997</v>
      </c>
      <c r="CZ156" s="3">
        <f ca="1">IFERROR(__xludf.DUMMYFUNCTION("""COMPUTED_VALUE"""),-0.818297776963361)</f>
        <v>-0.81829777696336103</v>
      </c>
      <c r="DA156" s="3">
        <f ca="1">IFERROR(__xludf.DUMMYFUNCTION("""COMPUTED_VALUE"""),-0.709398934986909)</f>
        <v>-0.70939893498690898</v>
      </c>
      <c r="DB156" s="3">
        <f ca="1">IFERROR(__xludf.DUMMYFUNCTION("""COMPUTED_VALUE"""),-0.632706017159049)</f>
        <v>-0.63270601715904895</v>
      </c>
      <c r="DC156" s="3">
        <f ca="1">IFERROR(__xludf.DUMMYFUNCTION("""COMPUTED_VALUE"""),-0.722929504188223)</f>
        <v>-0.72292950418822299</v>
      </c>
      <c r="DD156" s="3">
        <f ca="1">IFERROR(__xludf.DUMMYFUNCTION("""COMPUTED_VALUE"""),-0.75485222158828)</f>
        <v>-0.75485222158828003</v>
      </c>
      <c r="DE156" s="3">
        <f ca="1">IFERROR(__xludf.DUMMYFUNCTION("""COMPUTED_VALUE"""),-0.660552339926484)</f>
        <v>-0.66055233992648399</v>
      </c>
      <c r="DF156" s="3">
        <f ca="1">IFERROR(__xludf.DUMMYFUNCTION("""COMPUTED_VALUE"""),-0.71052007502526)</f>
        <v>-0.71052007502526005</v>
      </c>
      <c r="DG156" s="3">
        <f ca="1">IFERROR(__xludf.DUMMYFUNCTION("""COMPUTED_VALUE"""),-0.823166879853936)</f>
        <v>-0.823166879853936</v>
      </c>
      <c r="DH156" s="3">
        <f ca="1">IFERROR(__xludf.DUMMYFUNCTION("""COMPUTED_VALUE"""),-0.644072729697138)</f>
        <v>-0.64407272969713802</v>
      </c>
      <c r="DI156" s="3">
        <f ca="1">IFERROR(__xludf.DUMMYFUNCTION("""COMPUTED_VALUE"""),-0.425114180997277)</f>
        <v>-0.42511418099727699</v>
      </c>
      <c r="DJ156" s="3">
        <f ca="1">IFERROR(__xludf.DUMMYFUNCTION("""COMPUTED_VALUE"""),-0.583172634610683)</f>
        <v>-0.58317263461068303</v>
      </c>
      <c r="DK156" s="3">
        <f ca="1">IFERROR(__xludf.DUMMYFUNCTION("""COMPUTED_VALUE"""),-0.58401995799198)</f>
        <v>-0.58401995799198003</v>
      </c>
      <c r="DL156" s="3">
        <f ca="1">IFERROR(__xludf.DUMMYFUNCTION("""COMPUTED_VALUE"""),-0.555071254856911)</f>
        <v>-0.555071254856911</v>
      </c>
      <c r="DM156" s="3">
        <f ca="1">IFERROR(__xludf.DUMMYFUNCTION("""COMPUTED_VALUE"""),-0.594986666230195)</f>
        <v>-0.59498666623019503</v>
      </c>
      <c r="DN156" s="3">
        <f ca="1">IFERROR(__xludf.DUMMYFUNCTION("""COMPUTED_VALUE"""),-0.640490615150992)</f>
        <v>-0.64049061515099204</v>
      </c>
      <c r="DO156" s="3">
        <f ca="1">IFERROR(__xludf.DUMMYFUNCTION("""COMPUTED_VALUE"""),-0.632234636751892)</f>
        <v>-0.63223463675189195</v>
      </c>
      <c r="DP156" s="3">
        <f ca="1">IFERROR(__xludf.DUMMYFUNCTION("""COMPUTED_VALUE"""),-0.606373082148198)</f>
        <v>-0.60637308214819796</v>
      </c>
      <c r="DQ156" s="3">
        <f ca="1">IFERROR(__xludf.DUMMYFUNCTION("""COMPUTED_VALUE"""),-0.635991081102375)</f>
        <v>-0.63599108110237501</v>
      </c>
      <c r="DR156" s="3">
        <f ca="1">IFERROR(__xludf.DUMMYFUNCTION("""COMPUTED_VALUE"""),-0.660228471309068)</f>
        <v>-0.66022847130906803</v>
      </c>
      <c r="DS156" s="3">
        <f ca="1">IFERROR(__xludf.DUMMYFUNCTION("""COMPUTED_VALUE"""),-0.616526869108239)</f>
        <v>-0.61652686910823895</v>
      </c>
      <c r="DT156" s="3">
        <f ca="1">IFERROR(__xludf.DUMMYFUNCTION("""COMPUTED_VALUE"""),-0.629659295391481)</f>
        <v>-0.62965929539148102</v>
      </c>
      <c r="DU156" s="3">
        <f ca="1">IFERROR(__xludf.DUMMYFUNCTION("""COMPUTED_VALUE"""),-0.670398753718274)</f>
        <v>-0.67039875371827395</v>
      </c>
      <c r="DV156" s="3">
        <f ca="1">IFERROR(__xludf.DUMMYFUNCTION("""COMPUTED_VALUE"""),-0.656854983840779)</f>
        <v>-0.65685498384077901</v>
      </c>
      <c r="DW156" s="3">
        <f ca="1">IFERROR(__xludf.DUMMYFUNCTION("""COMPUTED_VALUE"""),-0.671490553524616)</f>
        <v>-0.67149055352461595</v>
      </c>
      <c r="DX156" s="3">
        <f ca="1">IFERROR(__xludf.DUMMYFUNCTION("""COMPUTED_VALUE"""),-0.681513017243048)</f>
        <v>-0.68151301724304802</v>
      </c>
      <c r="DY156" s="3">
        <f ca="1">IFERROR(__xludf.DUMMYFUNCTION("""COMPUTED_VALUE"""),-0.683472602899816)</f>
        <v>-0.68347260289981604</v>
      </c>
      <c r="DZ156" s="3">
        <f ca="1">IFERROR(__xludf.DUMMYFUNCTION("""COMPUTED_VALUE"""),-0.600099908748035)</f>
        <v>-0.60009990874803498</v>
      </c>
      <c r="EA156" s="3">
        <f ca="1">IFERROR(__xludf.DUMMYFUNCTION("""COMPUTED_VALUE"""),-0.630002844778548)</f>
        <v>-0.63000284477854795</v>
      </c>
      <c r="EB156" s="3">
        <f ca="1">IFERROR(__xludf.DUMMYFUNCTION("""COMPUTED_VALUE"""),-0.698252422842277)</f>
        <v>-0.69825242284227695</v>
      </c>
      <c r="EC156" s="3">
        <f ca="1">IFERROR(__xludf.DUMMYFUNCTION("""COMPUTED_VALUE"""),-0.692889056496965)</f>
        <v>-0.69288905649696497</v>
      </c>
      <c r="ED156" s="3">
        <f ca="1">IFERROR(__xludf.DUMMYFUNCTION("""COMPUTED_VALUE"""),-0.690288338626335)</f>
        <v>-0.69028833862633499</v>
      </c>
      <c r="EE156" s="3">
        <f ca="1">IFERROR(__xludf.DUMMYFUNCTION("""COMPUTED_VALUE"""),-0.690022529868866)</f>
        <v>-0.69002252986886603</v>
      </c>
      <c r="EF156" s="3">
        <f ca="1">IFERROR(__xludf.DUMMYFUNCTION("""COMPUTED_VALUE"""),-0.692545410194119)</f>
        <v>-0.69254541019411897</v>
      </c>
      <c r="EG156" s="3">
        <f ca="1">IFERROR(__xludf.DUMMYFUNCTION("""COMPUTED_VALUE"""),-0.590895703734303)</f>
        <v>-0.590895703734303</v>
      </c>
      <c r="EH156" s="3">
        <f ca="1">IFERROR(__xludf.DUMMYFUNCTION("""COMPUTED_VALUE"""),-0.618865742420123)</f>
        <v>-0.61886574242012304</v>
      </c>
      <c r="EI156" s="3">
        <f ca="1">IFERROR(__xludf.DUMMYFUNCTION("""COMPUTED_VALUE"""),-0.68580098606214)</f>
        <v>-0.68580098606214002</v>
      </c>
      <c r="EJ156" s="3">
        <f ca="1">IFERROR(__xludf.DUMMYFUNCTION("""COMPUTED_VALUE"""),-0.694716887480651)</f>
        <v>-0.69471688748065097</v>
      </c>
      <c r="EK156" s="3">
        <f ca="1">IFERROR(__xludf.DUMMYFUNCTION("""COMPUTED_VALUE"""),-0.693064889443096)</f>
        <v>-0.69306488944309597</v>
      </c>
      <c r="EL156" s="3">
        <f ca="1">IFERROR(__xludf.DUMMYFUNCTION("""COMPUTED_VALUE"""),-0.710412010373053)</f>
        <v>-0.71041201037305302</v>
      </c>
      <c r="EM156" s="3">
        <f ca="1">IFERROR(__xludf.DUMMYFUNCTION("""COMPUTED_VALUE"""),-0.687405115717124)</f>
        <v>-0.68740511571712404</v>
      </c>
      <c r="EN156" s="3">
        <f ca="1">IFERROR(__xludf.DUMMYFUNCTION("""COMPUTED_VALUE"""),-0.557011326187333)</f>
        <v>-0.55701132618733296</v>
      </c>
      <c r="EO156" s="3">
        <f ca="1">IFERROR(__xludf.DUMMYFUNCTION("""COMPUTED_VALUE"""),-0.576849416073225)</f>
        <v>-0.57684941607322504</v>
      </c>
      <c r="EP156" s="3">
        <f ca="1">IFERROR(__xludf.DUMMYFUNCTION("""COMPUTED_VALUE"""),-0.661298828840729)</f>
        <v>-0.66129882884072899</v>
      </c>
      <c r="EQ156" s="3">
        <f ca="1">IFERROR(__xludf.DUMMYFUNCTION("""COMPUTED_VALUE"""),-0.690143635749143)</f>
        <v>-0.69014363574914295</v>
      </c>
      <c r="ER156" s="3">
        <f ca="1">IFERROR(__xludf.DUMMYFUNCTION("""COMPUTED_VALUE"""),-0.686161115825856)</f>
        <v>-0.68616111582585604</v>
      </c>
      <c r="ES156" s="3">
        <f ca="1">IFERROR(__xludf.DUMMYFUNCTION("""COMPUTED_VALUE"""),-0.688401263894639)</f>
        <v>-0.68840126389463896</v>
      </c>
      <c r="ET156" s="3">
        <f ca="1">IFERROR(__xludf.DUMMYFUNCTION("""COMPUTED_VALUE"""),-0.684700526889088)</f>
        <v>-0.684700526889088</v>
      </c>
      <c r="EU156" s="3">
        <f ca="1">IFERROR(__xludf.DUMMYFUNCTION("""COMPUTED_VALUE"""),-0.621353858307416)</f>
        <v>-0.62135385830741596</v>
      </c>
      <c r="EV156" s="3">
        <f ca="1">IFERROR(__xludf.DUMMYFUNCTION("""COMPUTED_VALUE"""),-0.582567098784938)</f>
        <v>-0.58256709878493795</v>
      </c>
      <c r="EW156" s="3">
        <f ca="1">IFERROR(__xludf.DUMMYFUNCTION("""COMPUTED_VALUE"""),-0.657008098927581)</f>
        <v>-0.65700809892758105</v>
      </c>
      <c r="EX156" s="3">
        <f ca="1">IFERROR(__xludf.DUMMYFUNCTION("""COMPUTED_VALUE"""),-0.670822101135404)</f>
        <v>-0.67082210113540397</v>
      </c>
      <c r="EY156" s="3">
        <f ca="1">IFERROR(__xludf.DUMMYFUNCTION("""COMPUTED_VALUE"""),-0.660379393340691)</f>
        <v>-0.66037939334069096</v>
      </c>
      <c r="EZ156" s="3">
        <f ca="1">IFERROR(__xludf.DUMMYFUNCTION("""COMPUTED_VALUE"""),-0.669791633467425)</f>
        <v>-0.66979163346742498</v>
      </c>
      <c r="FA156" s="3">
        <f ca="1">IFERROR(__xludf.DUMMYFUNCTION("""COMPUTED_VALUE"""),-0.638497216161495)</f>
        <v>-0.63849721616149502</v>
      </c>
      <c r="FB156" s="3">
        <f ca="1">IFERROR(__xludf.DUMMYFUNCTION("""COMPUTED_VALUE"""),-0.531328223212759)</f>
        <v>-0.53132822321275897</v>
      </c>
      <c r="FC156" s="3">
        <f ca="1">IFERROR(__xludf.DUMMYFUNCTION("""COMPUTED_VALUE"""),-0.537467478380069)</f>
        <v>-0.53746747838006903</v>
      </c>
      <c r="FD156" s="3">
        <f ca="1">IFERROR(__xludf.DUMMYFUNCTION("""COMPUTED_VALUE"""),-0.634762701694862)</f>
        <v>-0.63476270169486204</v>
      </c>
      <c r="FE156" s="3">
        <f ca="1">IFERROR(__xludf.DUMMYFUNCTION("""COMPUTED_VALUE"""),-0.666745936576365)</f>
        <v>-0.66674593657636505</v>
      </c>
      <c r="FF156" s="3">
        <f ca="1">IFERROR(__xludf.DUMMYFUNCTION("""COMPUTED_VALUE"""),-0.659965624067136)</f>
        <v>-0.65996562406713599</v>
      </c>
      <c r="FG156" s="3">
        <f ca="1">IFERROR(__xludf.DUMMYFUNCTION("""COMPUTED_VALUE"""),-0.679326668254483)</f>
        <v>-0.67932666825448296</v>
      </c>
      <c r="FH156" s="3">
        <f ca="1">IFERROR(__xludf.DUMMYFUNCTION("""COMPUTED_VALUE"""),-0.651359300755672)</f>
        <v>-0.65135930075567205</v>
      </c>
      <c r="FI156" s="3">
        <f ca="1">IFERROR(__xludf.DUMMYFUNCTION("""COMPUTED_VALUE"""),-0.558866166792623)</f>
        <v>-0.55886616679262302</v>
      </c>
      <c r="FJ156" s="3">
        <f ca="1">IFERROR(__xludf.DUMMYFUNCTION("""COMPUTED_VALUE"""),-0.545381546407105)</f>
        <v>-0.54538154640710501</v>
      </c>
      <c r="FK156" s="3">
        <f ca="1">IFERROR(__xludf.DUMMYFUNCTION("""COMPUTED_VALUE"""),-0.642542781857278)</f>
        <v>-0.64254278185727798</v>
      </c>
      <c r="FL156" s="3">
        <f ca="1">IFERROR(__xludf.DUMMYFUNCTION("""COMPUTED_VALUE"""),-0.660196441721917)</f>
        <v>-0.66019644172191705</v>
      </c>
      <c r="FM156" s="3">
        <f ca="1">IFERROR(__xludf.DUMMYFUNCTION("""COMPUTED_VALUE"""),-0.64758205533297)</f>
        <v>-0.64758205533296997</v>
      </c>
      <c r="FN156" s="3">
        <f ca="1">IFERROR(__xludf.DUMMYFUNCTION("""COMPUTED_VALUE"""),-0.655210073163556)</f>
        <v>-0.65521007316355595</v>
      </c>
      <c r="FO156" s="3">
        <f ca="1">IFERROR(__xludf.DUMMYFUNCTION("""COMPUTED_VALUE"""),-0.635798523353298)</f>
        <v>-0.63579852335329801</v>
      </c>
      <c r="FP156" s="3">
        <f ca="1">IFERROR(__xludf.DUMMYFUNCTION("""COMPUTED_VALUE"""),-0.537453819056055)</f>
        <v>-0.53745381905605505</v>
      </c>
      <c r="FQ156" s="3">
        <f ca="1">IFERROR(__xludf.DUMMYFUNCTION("""COMPUTED_VALUE"""),-0.555799072273151)</f>
        <v>-0.55579907227315095</v>
      </c>
      <c r="FR156" s="3">
        <f ca="1">IFERROR(__xludf.DUMMYFUNCTION("""COMPUTED_VALUE"""),-0.619875707951964)</f>
        <v>-0.61987570795196401</v>
      </c>
      <c r="FS156" s="3">
        <f ca="1">IFERROR(__xludf.DUMMYFUNCTION("""COMPUTED_VALUE"""),-0.662273736827339)</f>
        <v>-0.66227373682733903</v>
      </c>
      <c r="FT156" s="3">
        <f ca="1">IFERROR(__xludf.DUMMYFUNCTION("""COMPUTED_VALUE"""),-0.646742948952315)</f>
        <v>-0.64674294895231499</v>
      </c>
      <c r="FU156" s="3">
        <f ca="1">IFERROR(__xludf.DUMMYFUNCTION("""COMPUTED_VALUE"""),-0.620077248887483)</f>
        <v>-0.62007724888748295</v>
      </c>
      <c r="FV156" s="3">
        <f ca="1">IFERROR(__xludf.DUMMYFUNCTION("""COMPUTED_VALUE"""),-0.559654682716746)</f>
        <v>-0.55965468271674601</v>
      </c>
      <c r="FW156" s="3">
        <f ca="1">IFERROR(__xludf.DUMMYFUNCTION("""COMPUTED_VALUE"""),-0.547852811296373)</f>
        <v>-0.54785281129637298</v>
      </c>
      <c r="FX156" s="3">
        <f ca="1">IFERROR(__xludf.DUMMYFUNCTION("""COMPUTED_VALUE"""),-0.545003783550148)</f>
        <v>-0.545003783550148</v>
      </c>
      <c r="FY156" s="3">
        <f ca="1">IFERROR(__xludf.DUMMYFUNCTION("""COMPUTED_VALUE"""),-0.623975533454065)</f>
        <v>-0.62397553345406498</v>
      </c>
      <c r="FZ156" s="3">
        <f ca="1">IFERROR(__xludf.DUMMYFUNCTION("""COMPUTED_VALUE"""),-0.651135478164183)</f>
        <v>-0.65113547816418305</v>
      </c>
      <c r="GA156" s="3">
        <f ca="1">IFERROR(__xludf.DUMMYFUNCTION("""COMPUTED_VALUE"""),-0.634920915078033)</f>
        <v>-0.63492091507803305</v>
      </c>
      <c r="GB156" s="3">
        <f ca="1">IFERROR(__xludf.DUMMYFUNCTION("""COMPUTED_VALUE"""),-0.634895894222888)</f>
        <v>-0.63489589422288795</v>
      </c>
      <c r="GC156" s="3">
        <f ca="1">IFERROR(__xludf.DUMMYFUNCTION("""COMPUTED_VALUE"""),-0.69572129658377)</f>
        <v>-0.69572129658377002</v>
      </c>
      <c r="GD156" s="3">
        <f ca="1">IFERROR(__xludf.DUMMYFUNCTION("""COMPUTED_VALUE"""),-0.526022797144659)</f>
        <v>-0.52602279714465905</v>
      </c>
      <c r="GE156" s="3">
        <f ca="1">IFERROR(__xludf.DUMMYFUNCTION("""COMPUTED_VALUE"""),-0.552758451351371)</f>
        <v>-0.55275845135137103</v>
      </c>
      <c r="GF156" s="3">
        <f ca="1">IFERROR(__xludf.DUMMYFUNCTION("""COMPUTED_VALUE"""),-0.616505048402281)</f>
        <v>-0.61650504840228104</v>
      </c>
      <c r="GG156" s="3">
        <f ca="1">IFERROR(__xludf.DUMMYFUNCTION("""COMPUTED_VALUE"""),-0.643601231349976)</f>
        <v>-0.64360123134997604</v>
      </c>
      <c r="GH156" s="3">
        <f ca="1">IFERROR(__xludf.DUMMYFUNCTION("""COMPUTED_VALUE"""),-0.626855779078934)</f>
        <v>-0.62685577907893397</v>
      </c>
      <c r="GI156" s="3">
        <f ca="1">IFERROR(__xludf.DUMMYFUNCTION("""COMPUTED_VALUE"""),-0.610358033639439)</f>
        <v>-0.61035803363943897</v>
      </c>
      <c r="GJ156" s="3">
        <f ca="1">IFERROR(__xludf.DUMMYFUNCTION("""COMPUTED_VALUE"""),-0.521736355191399)</f>
        <v>-0.52173635519139905</v>
      </c>
      <c r="GK156" s="3">
        <f ca="1">IFERROR(__xludf.DUMMYFUNCTION("""COMPUTED_VALUE"""),-0.535114402418653)</f>
        <v>-0.53511440241865305</v>
      </c>
      <c r="GL156" s="3">
        <f ca="1">IFERROR(__xludf.DUMMYFUNCTION("""COMPUTED_VALUE"""),-0.52363025511329)</f>
        <v>-0.52363025511328998</v>
      </c>
      <c r="GM156" s="3">
        <f ca="1">IFERROR(__xludf.DUMMYFUNCTION("""COMPUTED_VALUE"""),-0.624377497683238)</f>
        <v>-0.62437749768323803</v>
      </c>
      <c r="GN156" s="3">
        <f ca="1">IFERROR(__xludf.DUMMYFUNCTION("""COMPUTED_VALUE"""),-0.639327882290249)</f>
        <v>-0.63932788229024895</v>
      </c>
      <c r="GO156" s="3">
        <f ca="1">IFERROR(__xludf.DUMMYFUNCTION("""COMPUTED_VALUE"""),-0.635012634758918)</f>
        <v>-0.635012634758918</v>
      </c>
      <c r="GP156" s="3">
        <f ca="1">IFERROR(__xludf.DUMMYFUNCTION("""COMPUTED_VALUE"""),-0.620366683858169)</f>
        <v>-0.62036668385816895</v>
      </c>
      <c r="GQ156" s="3">
        <f ca="1">IFERROR(__xludf.DUMMYFUNCTION("""COMPUTED_VALUE"""),-0.564191634542924)</f>
        <v>-0.56419163454292398</v>
      </c>
      <c r="GR156" s="3">
        <f ca="1">IFERROR(__xludf.DUMMYFUNCTION("""COMPUTED_VALUE"""),-0.489978398520671)</f>
        <v>-0.48997839852067099</v>
      </c>
      <c r="GS156" s="3">
        <f ca="1">IFERROR(__xludf.DUMMYFUNCTION("""COMPUTED_VALUE"""),-0.499714972950526)</f>
        <v>-0.49971497295052603</v>
      </c>
      <c r="GT156" s="3">
        <f ca="1">IFERROR(__xludf.DUMMYFUNCTION("""COMPUTED_VALUE"""),-0.609070464894843)</f>
        <v>-0.60907046489484296</v>
      </c>
      <c r="GU156" s="3">
        <f ca="1">IFERROR(__xludf.DUMMYFUNCTION("""COMPUTED_VALUE"""),-0.623662191340575)</f>
        <v>-0.62366219134057499</v>
      </c>
      <c r="GV156" s="3">
        <f ca="1">IFERROR(__xludf.DUMMYFUNCTION("""COMPUTED_VALUE"""),-0.617524248818994)</f>
        <v>-0.61752424881899404</v>
      </c>
      <c r="GW156" s="3">
        <f ca="1">IFERROR(__xludf.DUMMYFUNCTION("""COMPUTED_VALUE"""),-0.625645309896171)</f>
        <v>-0.62564530989617095</v>
      </c>
      <c r="GX156" s="3">
        <f ca="1">IFERROR(__xludf.DUMMYFUNCTION("""COMPUTED_VALUE"""),-0.604284924347838)</f>
        <v>-0.60428492434783798</v>
      </c>
      <c r="GY156" s="3">
        <f ca="1">IFERROR(__xludf.DUMMYFUNCTION("""COMPUTED_VALUE"""),-0.493195037493887)</f>
        <v>-0.49319503749388699</v>
      </c>
      <c r="GZ156" s="3">
        <f ca="1">IFERROR(__xludf.DUMMYFUNCTION("""COMPUTED_VALUE"""),-0.499872713020961)</f>
        <v>-0.49987271302096098</v>
      </c>
      <c r="HA156" s="3">
        <f ca="1">IFERROR(__xludf.DUMMYFUNCTION("""COMPUTED_VALUE"""),-0.60911538457316)</f>
        <v>-0.60911538457315995</v>
      </c>
      <c r="HB156" s="3">
        <f ca="1">IFERROR(__xludf.DUMMYFUNCTION("""COMPUTED_VALUE"""),-0.620830653553592)</f>
        <v>-0.62083065355359202</v>
      </c>
      <c r="HC156" s="3">
        <f ca="1">IFERROR(__xludf.DUMMYFUNCTION("""COMPUTED_VALUE"""),-0.624306325217529)</f>
        <v>-0.62430632521752905</v>
      </c>
      <c r="HD156" s="3">
        <f ca="1">IFERROR(__xludf.DUMMYFUNCTION("""COMPUTED_VALUE"""),-0.623005100761749)</f>
        <v>-0.62300510076174898</v>
      </c>
      <c r="HE156" s="3">
        <f ca="1">IFERROR(__xludf.DUMMYFUNCTION("""COMPUTED_VALUE"""),-0.595347772940112)</f>
        <v>-0.59534777294011199</v>
      </c>
      <c r="HF156" s="3">
        <f ca="1">IFERROR(__xludf.DUMMYFUNCTION("""COMPUTED_VALUE"""),-0.455161389361071)</f>
        <v>-0.45516138936107098</v>
      </c>
      <c r="HG156" s="3">
        <f ca="1">IFERROR(__xludf.DUMMYFUNCTION("""COMPUTED_VALUE"""),-0.475912606535248)</f>
        <v>-0.47591260653524797</v>
      </c>
      <c r="HH156" s="3">
        <f ca="1">IFERROR(__xludf.DUMMYFUNCTION("""COMPUTED_VALUE"""),-0.609520349031205)</f>
        <v>-0.609520349031205</v>
      </c>
      <c r="HI156" s="3">
        <f ca="1">IFERROR(__xludf.DUMMYFUNCTION("""COMPUTED_VALUE"""),-0.621893271540174)</f>
        <v>-0.62189327154017404</v>
      </c>
      <c r="HJ156" s="3">
        <f ca="1">IFERROR(__xludf.DUMMYFUNCTION("""COMPUTED_VALUE"""),-0.629133363315703)</f>
        <v>-0.62913336331570302</v>
      </c>
      <c r="HK156" s="3">
        <f ca="1">IFERROR(__xludf.DUMMYFUNCTION("""COMPUTED_VALUE"""),-0.630024176070866)</f>
        <v>-0.63002417607086603</v>
      </c>
      <c r="HL156" s="3">
        <f ca="1">IFERROR(__xludf.DUMMYFUNCTION("""COMPUTED_VALUE"""),-0.67215516875474)</f>
        <v>-0.67215516875474002</v>
      </c>
      <c r="HM156" s="3">
        <f ca="1">IFERROR(__xludf.DUMMYFUNCTION("""COMPUTED_VALUE"""),-0.402572936552129)</f>
        <v>-0.402572936552129</v>
      </c>
      <c r="HN156" s="3">
        <f ca="1">IFERROR(__xludf.DUMMYFUNCTION("""COMPUTED_VALUE"""),-0.482177083138235)</f>
        <v>-0.48217708313823499</v>
      </c>
      <c r="HO156" s="3">
        <f ca="1">IFERROR(__xludf.DUMMYFUNCTION("""COMPUTED_VALUE"""),-0.604346574007541)</f>
        <v>-0.60434657400754099</v>
      </c>
      <c r="HP156" s="3">
        <f ca="1">IFERROR(__xludf.DUMMYFUNCTION("""COMPUTED_VALUE"""),-0.619206523848)</f>
        <v>-0.61920652384800001</v>
      </c>
      <c r="HQ156" s="3">
        <f ca="1">IFERROR(__xludf.DUMMYFUNCTION("""COMPUTED_VALUE"""),-0.642437819692448)</f>
        <v>-0.64243781969244795</v>
      </c>
      <c r="HR156" s="3">
        <f ca="1">IFERROR(__xludf.DUMMYFUNCTION("""COMPUTED_VALUE"""),-0.600417110951487)</f>
        <v>-0.60041711095148698</v>
      </c>
      <c r="HS156" s="3">
        <f ca="1">IFERROR(__xludf.DUMMYFUNCTION("""COMPUTED_VALUE"""),-0.519643947312095)</f>
        <v>-0.51964394731209496</v>
      </c>
      <c r="HT156" s="3">
        <f ca="1">IFERROR(__xludf.DUMMYFUNCTION("""COMPUTED_VALUE"""),-0.453996021243488)</f>
        <v>-0.45399602124348798</v>
      </c>
      <c r="HU156" s="3">
        <f ca="1">IFERROR(__xludf.DUMMYFUNCTION("""COMPUTED_VALUE"""),-0.473901715137569)</f>
        <v>-0.47390171513756901</v>
      </c>
      <c r="HV156" s="3">
        <f ca="1">IFERROR(__xludf.DUMMYFUNCTION("""COMPUTED_VALUE"""),-0.573667942875713)</f>
        <v>-0.57366794287571299</v>
      </c>
      <c r="HW156" s="3">
        <f ca="1">IFERROR(__xludf.DUMMYFUNCTION("""COMPUTED_VALUE"""),-0.60742936598571)</f>
        <v>-0.60742936598570996</v>
      </c>
      <c r="HX156" s="3">
        <f ca="1">IFERROR(__xludf.DUMMYFUNCTION("""COMPUTED_VALUE"""),-0.597067855701153)</f>
        <v>-0.59706785570115295</v>
      </c>
      <c r="HY156" s="3">
        <f ca="1">IFERROR(__xludf.DUMMYFUNCTION("""COMPUTED_VALUE"""),-0.553986793891717)</f>
        <v>-0.55398679389171701</v>
      </c>
      <c r="HZ156" s="3">
        <f ca="1">IFERROR(__xludf.DUMMYFUNCTION("""COMPUTED_VALUE"""),-0.440513471366904)</f>
        <v>-0.440513471366904</v>
      </c>
      <c r="IA156" s="3">
        <f ca="1">IFERROR(__xludf.DUMMYFUNCTION("""COMPUTED_VALUE"""),-0.444049455011246)</f>
        <v>-0.44404945501124599</v>
      </c>
      <c r="IB156" s="3">
        <f ca="1">IFERROR(__xludf.DUMMYFUNCTION("""COMPUTED_VALUE"""),-0.419748572039176)</f>
        <v>-0.41974857203917598</v>
      </c>
      <c r="IC156" s="3">
        <f ca="1">IFERROR(__xludf.DUMMYFUNCTION("""COMPUTED_VALUE"""),-0.508749782541326)</f>
        <v>-0.50874978254132597</v>
      </c>
      <c r="ID156" s="3">
        <f ca="1">IFERROR(__xludf.DUMMYFUNCTION("""COMPUTED_VALUE"""),-0.517127152867154)</f>
        <v>-0.51712715286715405</v>
      </c>
      <c r="IE156" s="3">
        <f ca="1">IFERROR(__xludf.DUMMYFUNCTION("""COMPUTED_VALUE"""),-0.524177695944904)</f>
        <v>-0.52417769594490404</v>
      </c>
      <c r="IF156" s="3">
        <f ca="1">IFERROR(__xludf.DUMMYFUNCTION("""COMPUTED_VALUE"""),-0.512883471472389)</f>
        <v>-0.512883471472389</v>
      </c>
      <c r="IG156" s="3">
        <f ca="1">IFERROR(__xludf.DUMMYFUNCTION("""COMPUTED_VALUE"""),-0.519149494540222)</f>
        <v>-0.51914949454022197</v>
      </c>
      <c r="IH156" s="3">
        <f ca="1">IFERROR(__xludf.DUMMYFUNCTION("""COMPUTED_VALUE"""),-0.469973353389552)</f>
        <v>-0.46997335338955198</v>
      </c>
      <c r="II156" s="3">
        <f ca="1">IFERROR(__xludf.DUMMYFUNCTION("""COMPUTED_VALUE"""),-0.428716996013205)</f>
        <v>-0.42871699601320501</v>
      </c>
      <c r="IJ156" s="3">
        <f ca="1">IFERROR(__xludf.DUMMYFUNCTION("""COMPUTED_VALUE"""),-0.496391858866121)</f>
        <v>-0.49639185886612103</v>
      </c>
      <c r="IK156" s="3">
        <f ca="1">IFERROR(__xludf.DUMMYFUNCTION("""COMPUTED_VALUE"""),-0.503882284910535)</f>
        <v>-0.50388228491053499</v>
      </c>
      <c r="IL156" s="3">
        <f ca="1">IFERROR(__xludf.DUMMYFUNCTION("""COMPUTED_VALUE"""),-0.520539683291443)</f>
        <v>-0.52053968329144296</v>
      </c>
      <c r="IM156" s="3">
        <f ca="1">IFERROR(__xludf.DUMMYFUNCTION("""COMPUTED_VALUE"""),-0.520466480524075)</f>
        <v>-0.52046648052407496</v>
      </c>
      <c r="IN156" s="3">
        <f ca="1">IFERROR(__xludf.DUMMYFUNCTION("""COMPUTED_VALUE"""),-0.446451199294543)</f>
        <v>-0.44645119929454302</v>
      </c>
      <c r="IO156" s="3">
        <f ca="1">IFERROR(__xludf.DUMMYFUNCTION("""COMPUTED_VALUE"""),-0.411048319172709)</f>
        <v>-0.41104831917270901</v>
      </c>
      <c r="IP156" s="3">
        <f ca="1">IFERROR(__xludf.DUMMYFUNCTION("""COMPUTED_VALUE"""),-0.426033651109056)</f>
        <v>-0.426033651109056</v>
      </c>
      <c r="IQ156" s="3">
        <f ca="1">IFERROR(__xludf.DUMMYFUNCTION("""COMPUTED_VALUE"""),-0.51823589376149)</f>
        <v>-0.51823589376149004</v>
      </c>
      <c r="IR156" s="3">
        <f ca="1">IFERROR(__xludf.DUMMYFUNCTION("""COMPUTED_VALUE"""),-0.534650257442982)</f>
        <v>-0.534650257442982</v>
      </c>
      <c r="IS156" s="3">
        <f ca="1">IFERROR(__xludf.DUMMYFUNCTION("""COMPUTED_VALUE"""),-0.532941418850109)</f>
        <v>-0.53294141885010904</v>
      </c>
      <c r="IT156" s="3">
        <f ca="1">IFERROR(__xludf.DUMMYFUNCTION("""COMPUTED_VALUE"""),-0.549886431235839)</f>
        <v>-0.54988643123583902</v>
      </c>
      <c r="IU156" s="3">
        <f ca="1">IFERROR(__xludf.DUMMYFUNCTION("""COMPUTED_VALUE"""),-0.553064808101863)</f>
        <v>-0.55306480810186298</v>
      </c>
      <c r="IV156" s="3">
        <f ca="1">IFERROR(__xludf.DUMMYFUNCTION("""COMPUTED_VALUE"""),-0.483477688428289)</f>
        <v>-0.48347768842828898</v>
      </c>
      <c r="IW156" s="3">
        <f ca="1">IFERROR(__xludf.DUMMYFUNCTION("""COMPUTED_VALUE"""),-0.463947183462215)</f>
        <v>-0.46394718346221497</v>
      </c>
      <c r="IX156" s="3">
        <f ca="1">IFERROR(__xludf.DUMMYFUNCTION("""COMPUTED_VALUE"""),-0.537402734172413)</f>
        <v>-0.53740273417241302</v>
      </c>
      <c r="IY156" s="3">
        <f ca="1">IFERROR(__xludf.DUMMYFUNCTION("""COMPUTED_VALUE"""),-0.571075873766321)</f>
        <v>-0.57107587376632096</v>
      </c>
      <c r="IZ156" s="3">
        <f ca="1">IFERROR(__xludf.DUMMYFUNCTION("""COMPUTED_VALUE"""),-0.570847228580616)</f>
        <v>-0.57084722858061598</v>
      </c>
      <c r="JA156" s="3">
        <f ca="1">IFERROR(__xludf.DUMMYFUNCTION("""COMPUTED_VALUE"""),-0.558644205304658)</f>
        <v>-0.55864420530465797</v>
      </c>
      <c r="JB156" s="3">
        <f ca="1">IFERROR(__xludf.DUMMYFUNCTION("""COMPUTED_VALUE"""),-0.521048377023433)</f>
        <v>-0.52104837702343298</v>
      </c>
      <c r="JC156" s="3">
        <f ca="1">IFERROR(__xludf.DUMMYFUNCTION("""COMPUTED_VALUE"""),-0.491233155229146)</f>
        <v>-0.49123315522914601</v>
      </c>
      <c r="JD156" s="3">
        <f ca="1">IFERROR(__xludf.DUMMYFUNCTION("""COMPUTED_VALUE"""),-0.492327202287181)</f>
        <v>-0.49232720228718102</v>
      </c>
      <c r="JE156" s="3">
        <f ca="1">IFERROR(__xludf.DUMMYFUNCTION("""COMPUTED_VALUE"""),-0.569647131834383)</f>
        <v>-0.56964713183438298</v>
      </c>
      <c r="JF156" s="3">
        <f ca="1">IFERROR(__xludf.DUMMYFUNCTION("""COMPUTED_VALUE"""),-0.607973374872715)</f>
        <v>-0.60797337487271497</v>
      </c>
      <c r="JG156" s="3">
        <f ca="1">IFERROR(__xludf.DUMMYFUNCTION("""COMPUTED_VALUE"""),-0.615888685552625)</f>
        <v>-0.61588868555262499</v>
      </c>
      <c r="JH156" s="3">
        <f ca="1">IFERROR(__xludf.DUMMYFUNCTION("""COMPUTED_VALUE"""),-0.58636557902292)</f>
        <v>-0.58636557902291997</v>
      </c>
      <c r="JI156" s="3">
        <f ca="1">IFERROR(__xludf.DUMMYFUNCTION("""COMPUTED_VALUE"""),-0.564996041727916)</f>
        <v>-0.56499604172791595</v>
      </c>
      <c r="JJ156" s="3">
        <f ca="1">IFERROR(__xludf.DUMMYFUNCTION("""COMPUTED_VALUE"""),-0.549650271458566)</f>
        <v>-0.54965027145856604</v>
      </c>
      <c r="JK156" s="3">
        <f ca="1">IFERROR(__xludf.DUMMYFUNCTION("""COMPUTED_VALUE"""),-0.495313211545702)</f>
        <v>-0.49531321154570201</v>
      </c>
      <c r="JL156" s="3">
        <f ca="1">IFERROR(__xludf.DUMMYFUNCTION("""COMPUTED_VALUE"""),-0.583673536161781)</f>
        <v>-0.58367353616178097</v>
      </c>
      <c r="JM156" s="3">
        <f ca="1">IFERROR(__xludf.DUMMYFUNCTION("""COMPUTED_VALUE"""),-0.637138083810113)</f>
        <v>-0.63713808381011305</v>
      </c>
      <c r="JN156" s="3">
        <f ca="1">IFERROR(__xludf.DUMMYFUNCTION("""COMPUTED_VALUE"""),-0.593500960900758)</f>
        <v>-0.59350096090075799</v>
      </c>
      <c r="JO156" s="3">
        <f ca="1">IFERROR(__xludf.DUMMYFUNCTION("""COMPUTED_VALUE"""),-0.602958868788144)</f>
        <v>-0.60295886878814398</v>
      </c>
      <c r="JP156" s="3">
        <f ca="1">IFERROR(__xludf.DUMMYFUNCTION("""COMPUTED_VALUE"""),-0.586658160563155)</f>
        <v>-0.58665816056315501</v>
      </c>
      <c r="JQ156" s="3">
        <f ca="1">IFERROR(__xludf.DUMMYFUNCTION("""COMPUTED_VALUE"""),-0.537914754549772)</f>
        <v>-0.537914754549772</v>
      </c>
      <c r="JR156" s="3">
        <f ca="1">IFERROR(__xludf.DUMMYFUNCTION("""COMPUTED_VALUE"""),-0.57744951462986)</f>
        <v>-0.57744951462986005</v>
      </c>
      <c r="JS156" s="3">
        <f ca="1">IFERROR(__xludf.DUMMYFUNCTION("""COMPUTED_VALUE"""),-0.594006433901606)</f>
        <v>-0.59400643390160601</v>
      </c>
      <c r="JT156" s="3">
        <f ca="1">IFERROR(__xludf.DUMMYFUNCTION("""COMPUTED_VALUE"""),-0.611770232176669)</f>
        <v>-0.61177023217666904</v>
      </c>
      <c r="JU156" s="3">
        <f ca="1">IFERROR(__xludf.DUMMYFUNCTION("""COMPUTED_VALUE"""),-0.614349294515319)</f>
        <v>-0.61434929451531906</v>
      </c>
      <c r="JV156" s="3">
        <f ca="1">IFERROR(__xludf.DUMMYFUNCTION("""COMPUTED_VALUE"""),-0.596748723208821)</f>
        <v>-0.596748723208821</v>
      </c>
      <c r="JW156" s="3">
        <f ca="1">IFERROR(__xludf.DUMMYFUNCTION("""COMPUTED_VALUE"""),-0.532728972423231)</f>
        <v>-0.53272897242323103</v>
      </c>
      <c r="JX156" s="3">
        <f ca="1">IFERROR(__xludf.DUMMYFUNCTION("""COMPUTED_VALUE"""),-0.511434948899494)</f>
        <v>-0.51143494889949404</v>
      </c>
      <c r="JY156" s="3">
        <f ca="1">IFERROR(__xludf.DUMMYFUNCTION("""COMPUTED_VALUE"""),-0.52646391787682)</f>
        <v>-0.52646391787682001</v>
      </c>
      <c r="JZ156" s="3">
        <f ca="1">IFERROR(__xludf.DUMMYFUNCTION("""COMPUTED_VALUE"""),-0.595558285520741)</f>
        <v>-0.59555828552074097</v>
      </c>
      <c r="KA156" s="3">
        <f ca="1">IFERROR(__xludf.DUMMYFUNCTION("""COMPUTED_VALUE"""),-0.609421336694442)</f>
        <v>-0.60942133669444198</v>
      </c>
      <c r="KB156" s="3">
        <f ca="1">IFERROR(__xludf.DUMMYFUNCTION("""COMPUTED_VALUE"""),-0.645983592557212)</f>
        <v>-0.64598359255721205</v>
      </c>
      <c r="KC156" s="3">
        <f ca="1">IFERROR(__xludf.DUMMYFUNCTION("""COMPUTED_VALUE"""),-0.544224633697155)</f>
        <v>-0.54422463369715501</v>
      </c>
      <c r="KD156" s="3">
        <f ca="1">IFERROR(__xludf.DUMMYFUNCTION("""COMPUTED_VALUE"""),-0.49099005334192)</f>
        <v>-0.49099005334191997</v>
      </c>
      <c r="KE156" s="3">
        <f ca="1">IFERROR(__xludf.DUMMYFUNCTION("""COMPUTED_VALUE"""),-0.479714700114422)</f>
        <v>-0.47971470011442202</v>
      </c>
      <c r="KF156" s="3">
        <f ca="1">IFERROR(__xludf.DUMMYFUNCTION("""COMPUTED_VALUE"""),-0.506604231417742)</f>
        <v>-0.50660423141774202</v>
      </c>
      <c r="KG156" s="3">
        <f ca="1">IFERROR(__xludf.DUMMYFUNCTION("""COMPUTED_VALUE"""),-0.591900122443588)</f>
        <v>-0.59190012244358803</v>
      </c>
      <c r="KH156" s="3">
        <f ca="1">IFERROR(__xludf.DUMMYFUNCTION("""COMPUTED_VALUE"""),-0.614487640350524)</f>
        <v>-0.61448764035052394</v>
      </c>
      <c r="KI156" s="3">
        <f ca="1">IFERROR(__xludf.DUMMYFUNCTION("""COMPUTED_VALUE"""),-0.621764645207786)</f>
        <v>-0.62176464520778596</v>
      </c>
      <c r="KJ156" s="3">
        <f ca="1">IFERROR(__xludf.DUMMYFUNCTION("""COMPUTED_VALUE"""),-0.644811752990349)</f>
        <v>-0.64481175299034899</v>
      </c>
      <c r="KK156" s="3">
        <f ca="1">IFERROR(__xludf.DUMMYFUNCTION("""COMPUTED_VALUE"""),-0.568034174188277)</f>
        <v>-0.56803417418827695</v>
      </c>
      <c r="KL156" s="3">
        <f ca="1">IFERROR(__xludf.DUMMYFUNCTION("""COMPUTED_VALUE"""),-0.553032329302029)</f>
        <v>-0.55303232930202895</v>
      </c>
      <c r="KM156" s="3">
        <f ca="1">IFERROR(__xludf.DUMMYFUNCTION("""COMPUTED_VALUE"""),-0.529132719421506)</f>
        <v>-0.52913271942150597</v>
      </c>
      <c r="KN156" s="3">
        <f ca="1">IFERROR(__xludf.DUMMYFUNCTION("""COMPUTED_VALUE"""),-0.625428154216023)</f>
        <v>-0.62542815421602305</v>
      </c>
      <c r="KO156" s="3">
        <f ca="1">IFERROR(__xludf.DUMMYFUNCTION("""COMPUTED_VALUE"""),-0.632279832930557)</f>
        <v>-0.63227983293055701</v>
      </c>
      <c r="KP156" s="3">
        <f ca="1">IFERROR(__xludf.DUMMYFUNCTION("""COMPUTED_VALUE"""),-0.646487574445569)</f>
        <v>-0.64648757444556904</v>
      </c>
      <c r="KQ156" s="3">
        <f ca="1">IFERROR(__xludf.DUMMYFUNCTION("""COMPUTED_VALUE"""),-0.644550622863089)</f>
        <v>-0.64455062286308895</v>
      </c>
      <c r="KR156" s="3">
        <f ca="1">IFERROR(__xludf.DUMMYFUNCTION("""COMPUTED_VALUE"""),-0.629524741894058)</f>
        <v>-0.62952474189405805</v>
      </c>
      <c r="KS156" s="3">
        <f ca="1">IFERROR(__xludf.DUMMYFUNCTION("""COMPUTED_VALUE"""),-0.602878127735896)</f>
        <v>-0.602878127735896</v>
      </c>
      <c r="KT156" s="3">
        <f ca="1">IFERROR(__xludf.DUMMYFUNCTION("""COMPUTED_VALUE"""),-0.623902822937121)</f>
        <v>-0.62390282293712096</v>
      </c>
      <c r="KU156" s="3">
        <f ca="1">IFERROR(__xludf.DUMMYFUNCTION("""COMPUTED_VALUE"""),-0.676524224785856)</f>
        <v>-0.67652422478585605</v>
      </c>
      <c r="KV156" s="3">
        <f ca="1">IFERROR(__xludf.DUMMYFUNCTION("""COMPUTED_VALUE"""),-0.668204708576665)</f>
        <v>-0.66820470857666503</v>
      </c>
      <c r="KW156" s="3">
        <f ca="1">IFERROR(__xludf.DUMMYFUNCTION("""COMPUTED_VALUE"""),-0.680072975447554)</f>
        <v>-0.68007297544755396</v>
      </c>
      <c r="KX156" s="3">
        <f ca="1">IFERROR(__xludf.DUMMYFUNCTION("""COMPUTED_VALUE"""),-0.657659656753915)</f>
        <v>-0.65765965675391502</v>
      </c>
      <c r="KY156" s="3">
        <f ca="1">IFERROR(__xludf.DUMMYFUNCTION("""COMPUTED_VALUE"""),-0.647849698416335)</f>
        <v>-0.647849698416335</v>
      </c>
      <c r="KZ156" s="3">
        <f ca="1">IFERROR(__xludf.DUMMYFUNCTION("""COMPUTED_VALUE"""),-0.596816230544423)</f>
        <v>-0.59681623054442301</v>
      </c>
      <c r="LA156" s="3">
        <f ca="1">IFERROR(__xludf.DUMMYFUNCTION("""COMPUTED_VALUE"""),-0.638824867311153)</f>
        <v>-0.63882486731115296</v>
      </c>
      <c r="LB156" s="3">
        <f ca="1">IFERROR(__xludf.DUMMYFUNCTION("""COMPUTED_VALUE"""),-0.694070842762357)</f>
        <v>-0.69407084276235698</v>
      </c>
      <c r="LC156" s="3">
        <f ca="1">IFERROR(__xludf.DUMMYFUNCTION("""COMPUTED_VALUE"""),-0.67863564344708)</f>
        <v>-0.67863564344708005</v>
      </c>
      <c r="LD156" s="3">
        <f ca="1">IFERROR(__xludf.DUMMYFUNCTION("""COMPUTED_VALUE"""),-0.693057700723813)</f>
        <v>-0.69305770072381301</v>
      </c>
      <c r="LE156" s="3">
        <f ca="1">IFERROR(__xludf.DUMMYFUNCTION("""COMPUTED_VALUE"""),-0.697218626366899)</f>
        <v>-0.69721862636689902</v>
      </c>
      <c r="LF156" s="3">
        <f ca="1">IFERROR(__xludf.DUMMYFUNCTION("""COMPUTED_VALUE"""),-0.665364708607532)</f>
        <v>-0.66536470860753205</v>
      </c>
      <c r="LG156" s="3">
        <f ca="1">IFERROR(__xludf.DUMMYFUNCTION("""COMPUTED_VALUE"""),-0.646375440591765)</f>
        <v>-0.64637544059176499</v>
      </c>
      <c r="LH156" s="3">
        <f ca="1">IFERROR(__xludf.DUMMYFUNCTION("""COMPUTED_VALUE"""),-0.660361457334358)</f>
        <v>-0.66036145733435803</v>
      </c>
      <c r="LI156" s="3">
        <f ca="1">IFERROR(__xludf.DUMMYFUNCTION("""COMPUTED_VALUE"""),-0.740348132017499)</f>
        <v>-0.74034813201749905</v>
      </c>
      <c r="LJ156" s="3">
        <f ca="1">IFERROR(__xludf.DUMMYFUNCTION("""COMPUTED_VALUE"""),-0.737939796210608)</f>
        <v>-0.73793979621060801</v>
      </c>
      <c r="LK156" s="3">
        <f ca="1">IFERROR(__xludf.DUMMYFUNCTION("""COMPUTED_VALUE"""),-0.703001836926087)</f>
        <v>-0.70300183692608698</v>
      </c>
      <c r="LL156" s="3">
        <f ca="1">IFERROR(__xludf.DUMMYFUNCTION("""COMPUTED_VALUE"""),-0.698055934287747)</f>
        <v>-0.69805593428774704</v>
      </c>
      <c r="LM156" s="3">
        <f ca="1">IFERROR(__xludf.DUMMYFUNCTION("""COMPUTED_VALUE"""),-0.641368098860044)</f>
        <v>-0.64136809886004398</v>
      </c>
      <c r="LN156" s="3">
        <f ca="1">IFERROR(__xludf.DUMMYFUNCTION("""COMPUTED_VALUE"""),-0.652350833921298)</f>
        <v>-0.652350833921298</v>
      </c>
      <c r="LO156" s="3">
        <f ca="1">IFERROR(__xludf.DUMMYFUNCTION("""COMPUTED_VALUE"""),-0.666231227049989)</f>
        <v>-0.66623122704998905</v>
      </c>
      <c r="LP156" s="3">
        <f ca="1">IFERROR(__xludf.DUMMYFUNCTION("""COMPUTED_VALUE"""),-0.738677976537648)</f>
        <v>-0.738677976537648</v>
      </c>
      <c r="LQ156" s="3">
        <f ca="1">IFERROR(__xludf.DUMMYFUNCTION("""COMPUTED_VALUE"""),-0.744275179234586)</f>
        <v>-0.74427517923458597</v>
      </c>
      <c r="LR156" s="3">
        <f ca="1">IFERROR(__xludf.DUMMYFUNCTION("""COMPUTED_VALUE"""),-0.749446774637674)</f>
        <v>-0.74944677463767395</v>
      </c>
      <c r="LS156" s="3">
        <f ca="1">IFERROR(__xludf.DUMMYFUNCTION("""COMPUTED_VALUE"""),-0.758829717293372)</f>
        <v>-0.75882971729337201</v>
      </c>
      <c r="LT156" s="3">
        <f ca="1">IFERROR(__xludf.DUMMYFUNCTION("""COMPUTED_VALUE"""),-0.794296983170949)</f>
        <v>-0.79429698317094899</v>
      </c>
      <c r="LU156" s="3">
        <f ca="1">IFERROR(__xludf.DUMMYFUNCTION("""COMPUTED_VALUE"""),-0.714932264596885)</f>
        <v>-0.71493226459688497</v>
      </c>
      <c r="LV156" s="3">
        <f ca="1">IFERROR(__xludf.DUMMYFUNCTION("""COMPUTED_VALUE"""),-0.720182247668228)</f>
        <v>-0.72018224766822803</v>
      </c>
      <c r="LW156" s="3">
        <f ca="1">IFERROR(__xludf.DUMMYFUNCTION("""COMPUTED_VALUE"""),-0.788136776637004)</f>
        <v>-0.78813677663700399</v>
      </c>
      <c r="LX156" s="3">
        <f ca="1">IFERROR(__xludf.DUMMYFUNCTION("""COMPUTED_VALUE"""),-0.791531647136657)</f>
        <v>-0.79153164713665702</v>
      </c>
      <c r="LY156" s="3">
        <f ca="1">IFERROR(__xludf.DUMMYFUNCTION("""COMPUTED_VALUE"""),-0.783521286732449)</f>
        <v>-0.78352128673244903</v>
      </c>
      <c r="LZ156" s="3">
        <f ca="1">IFERROR(__xludf.DUMMYFUNCTION("""COMPUTED_VALUE"""),-0.783371094230379)</f>
        <v>-0.78337109423037898</v>
      </c>
      <c r="MA156" s="3">
        <f ca="1">IFERROR(__xludf.DUMMYFUNCTION("""COMPUTED_VALUE"""),-0.743974415763984)</f>
        <v>-0.74397441576398404</v>
      </c>
      <c r="MB156" s="3">
        <f ca="1">IFERROR(__xludf.DUMMYFUNCTION("""COMPUTED_VALUE"""),-0.730895830729731)</f>
        <v>-0.73089583072973097</v>
      </c>
      <c r="MC156" s="3">
        <f ca="1">IFERROR(__xludf.DUMMYFUNCTION("""COMPUTED_VALUE"""),-0.778476767943796)</f>
        <v>-0.77847676794379606</v>
      </c>
      <c r="MD156" s="3">
        <f ca="1">IFERROR(__xludf.DUMMYFUNCTION("""COMPUTED_VALUE"""),-0.796189058750492)</f>
        <v>-0.79618905875049195</v>
      </c>
      <c r="ME156" s="3">
        <f ca="1">IFERROR(__xludf.DUMMYFUNCTION("""COMPUTED_VALUE"""),-0.790601113154068)</f>
        <v>-0.790601113154068</v>
      </c>
      <c r="MF156" s="3">
        <f ca="1">IFERROR(__xludf.DUMMYFUNCTION("""COMPUTED_VALUE"""),-0.784038377264299)</f>
        <v>-0.78403837726429904</v>
      </c>
      <c r="MG156" s="3">
        <f ca="1">IFERROR(__xludf.DUMMYFUNCTION("""COMPUTED_VALUE"""),-0.797173585387422)</f>
        <v>-0.797173585387422</v>
      </c>
      <c r="MH156" s="3">
        <f ca="1">IFERROR(__xludf.DUMMYFUNCTION("""COMPUTED_VALUE"""),-0.775342968347137)</f>
        <v>-0.77534296834713701</v>
      </c>
      <c r="MI156" s="3">
        <f ca="1">IFERROR(__xludf.DUMMYFUNCTION("""COMPUTED_VALUE"""),-0.7269858220186)</f>
        <v>-0.72698582201859996</v>
      </c>
      <c r="MJ156" s="3">
        <f ca="1">IFERROR(__xludf.DUMMYFUNCTION("""COMPUTED_VALUE"""),-0.765378190632324)</f>
        <v>-0.76537819063232404</v>
      </c>
      <c r="MK156" s="3">
        <f ca="1">IFERROR(__xludf.DUMMYFUNCTION("""COMPUTED_VALUE"""),-0.784003388905851)</f>
        <v>-0.78400338890585097</v>
      </c>
      <c r="ML156" s="3">
        <f ca="1">IFERROR(__xludf.DUMMYFUNCTION("""COMPUTED_VALUE"""),-0.779834076766833)</f>
        <v>-0.77983407676683303</v>
      </c>
      <c r="MM156" s="3">
        <f ca="1">IFERROR(__xludf.DUMMYFUNCTION("""COMPUTED_VALUE"""),-0.752273022645621)</f>
        <v>-0.75227302264562101</v>
      </c>
      <c r="MN156" s="3">
        <f ca="1">IFERROR(__xludf.DUMMYFUNCTION("""COMPUTED_VALUE"""),-0.803293696210107)</f>
        <v>-0.80329369621010704</v>
      </c>
      <c r="MO156" s="3">
        <f ca="1">IFERROR(__xludf.DUMMYFUNCTION("""COMPUTED_VALUE"""),-0.774945436306295)</f>
        <v>-0.77494543630629498</v>
      </c>
      <c r="MP156" s="3">
        <f ca="1">IFERROR(__xludf.DUMMYFUNCTION("""COMPUTED_VALUE"""),-0.741583878780837)</f>
        <v>-0.74158387878083698</v>
      </c>
      <c r="MQ156" s="3">
        <f ca="1">IFERROR(__xludf.DUMMYFUNCTION("""COMPUTED_VALUE"""),-0.772001487324649)</f>
        <v>-0.77200148732464902</v>
      </c>
      <c r="MR156" s="3">
        <f ca="1">IFERROR(__xludf.DUMMYFUNCTION("""COMPUTED_VALUE"""),-0.771767960106954)</f>
        <v>-0.77176796010695403</v>
      </c>
      <c r="MS156" s="3">
        <f ca="1">IFERROR(__xludf.DUMMYFUNCTION("""COMPUTED_VALUE"""),-0.816917252667285)</f>
        <v>-0.81691725266728499</v>
      </c>
      <c r="MT156" s="3">
        <f ca="1">IFERROR(__xludf.DUMMYFUNCTION("""COMPUTED_VALUE"""),-0.804796794149219)</f>
        <v>-0.80479679414921901</v>
      </c>
      <c r="MU156" s="3">
        <f ca="1">IFERROR(__xludf.DUMMYFUNCTION("""COMPUTED_VALUE"""),-0.803924482801531)</f>
        <v>-0.80392448280153095</v>
      </c>
      <c r="MV156" s="3">
        <f ca="1">IFERROR(__xludf.DUMMYFUNCTION("""COMPUTED_VALUE"""),-0.771462514605875)</f>
        <v>-0.771462514605875</v>
      </c>
      <c r="MW156" s="3">
        <f ca="1">IFERROR(__xludf.DUMMYFUNCTION("""COMPUTED_VALUE"""),-0.740279505956566)</f>
        <v>-0.740279505956566</v>
      </c>
      <c r="MX156" s="3">
        <f ca="1">IFERROR(__xludf.DUMMYFUNCTION("""COMPUTED_VALUE"""),-0.783052886939759)</f>
        <v>-0.78305288693975905</v>
      </c>
      <c r="MY156" s="3">
        <f ca="1">IFERROR(__xludf.DUMMYFUNCTION("""COMPUTED_VALUE"""),-0.770405806872915)</f>
        <v>-0.77040580687291504</v>
      </c>
      <c r="MZ156" s="3">
        <f ca="1">IFERROR(__xludf.DUMMYFUNCTION("""COMPUTED_VALUE"""),-0.822505359018277)</f>
        <v>-0.82250535901827704</v>
      </c>
      <c r="NA156" s="3">
        <f ca="1">IFERROR(__xludf.DUMMYFUNCTION("""COMPUTED_VALUE"""),-0.816737991773964)</f>
        <v>-0.816737991773964</v>
      </c>
      <c r="NB156" s="3">
        <f ca="1">IFERROR(__xludf.DUMMYFUNCTION("""COMPUTED_VALUE"""),-0.801107816921829)</f>
        <v>-0.80110781692182897</v>
      </c>
      <c r="NC156" s="3">
        <f ca="1">IFERROR(__xludf.DUMMYFUNCTION("""COMPUTED_VALUE"""),-0.788033136260637)</f>
        <v>-0.78803313626063698</v>
      </c>
      <c r="ND156" s="3">
        <f ca="1">IFERROR(__xludf.DUMMYFUNCTION("""COMPUTED_VALUE"""),-0.793376550594433)</f>
        <v>-0.79337655059443302</v>
      </c>
      <c r="NE156" s="3">
        <f ca="1">IFERROR(__xludf.DUMMYFUNCTION("""COMPUTED_VALUE"""),-0.795128291351058)</f>
        <v>-0.795128291351058</v>
      </c>
      <c r="NF156" s="3">
        <f ca="1">IFERROR(__xludf.DUMMYFUNCTION("""COMPUTED_VALUE"""),-0.851355014421059)</f>
        <v>-0.85135501442105899</v>
      </c>
      <c r="NG156" s="3">
        <f ca="1">IFERROR(__xludf.DUMMYFUNCTION("""COMPUTED_VALUE"""),-0.816702546715334)</f>
        <v>-0.81670254671533404</v>
      </c>
      <c r="NH156" s="3">
        <f ca="1">IFERROR(__xludf.DUMMYFUNCTION("""COMPUTED_VALUE"""),-0.81772605491099)</f>
        <v>-0.81772605491099004</v>
      </c>
      <c r="NI156" s="3">
        <f ca="1">IFERROR(__xludf.DUMMYFUNCTION("""COMPUTED_VALUE"""),-0.814225207298337)</f>
        <v>-0.81422520729833703</v>
      </c>
      <c r="NJ156" s="3">
        <f ca="1">IFERROR(__xludf.DUMMYFUNCTION("""COMPUTED_VALUE"""),-0.788112167975655)</f>
        <v>-0.78811216797565498</v>
      </c>
      <c r="NK156" s="3">
        <f ca="1">IFERROR(__xludf.DUMMYFUNCTION("""COMPUTED_VALUE"""),-0.792751605460071)</f>
        <v>-0.79275160546007095</v>
      </c>
      <c r="NL156" s="3">
        <f ca="1">IFERROR(__xludf.DUMMYFUNCTION("""COMPUTED_VALUE"""),-0.824340218638058)</f>
        <v>-0.82434021863805795</v>
      </c>
      <c r="NM156" s="3">
        <f ca="1">IFERROR(__xludf.DUMMYFUNCTION("""COMPUTED_VALUE"""),-0.811489619449849)</f>
        <v>-0.81148961944984899</v>
      </c>
      <c r="NN156" s="3">
        <f ca="1">IFERROR(__xludf.DUMMYFUNCTION("""COMPUTED_VALUE"""),-0.79604159974208)</f>
        <v>-0.79604159974208</v>
      </c>
      <c r="NO156" s="3">
        <f ca="1">IFERROR(__xludf.DUMMYFUNCTION("""COMPUTED_VALUE"""),-0.796411136614119)</f>
        <v>-0.796411136614119</v>
      </c>
      <c r="NP156" s="3">
        <f ca="1">IFERROR(__xludf.DUMMYFUNCTION("""COMPUTED_VALUE"""),-0.797690400152298)</f>
        <v>-0.79769040015229797</v>
      </c>
      <c r="NQ156" s="3">
        <f ca="1">IFERROR(__xludf.DUMMYFUNCTION("""COMPUTED_VALUE"""),-0.772619397369214)</f>
        <v>-0.77261939736921403</v>
      </c>
      <c r="NR156" s="3">
        <f ca="1">IFERROR(__xludf.DUMMYFUNCTION("""COMPUTED_VALUE"""),-0.751090588311569)</f>
        <v>-0.75109058831156905</v>
      </c>
      <c r="NS156" s="3">
        <f ca="1">IFERROR(__xludf.DUMMYFUNCTION("""COMPUTED_VALUE"""),-0.77873471111497)</f>
        <v>-0.77873471111496995</v>
      </c>
      <c r="NT156" s="3">
        <f ca="1">IFERROR(__xludf.DUMMYFUNCTION("""COMPUTED_VALUE"""),-0.809723095023514)</f>
        <v>-0.80972309502351403</v>
      </c>
      <c r="NU156" s="3">
        <f ca="1">IFERROR(__xludf.DUMMYFUNCTION("""COMPUTED_VALUE"""),-0.799884235297739)</f>
        <v>-0.799884235297739</v>
      </c>
      <c r="NV156" s="3">
        <f ca="1">IFERROR(__xludf.DUMMYFUNCTION("""COMPUTED_VALUE"""),-0.79351094109266)</f>
        <v>-0.79351094109265996</v>
      </c>
      <c r="NW156" s="3">
        <f ca="1">IFERROR(__xludf.DUMMYFUNCTION("""COMPUTED_VALUE"""),-0.733904625851854)</f>
        <v>-0.73390462585185401</v>
      </c>
      <c r="NX156" s="3">
        <f ca="1">IFERROR(__xludf.DUMMYFUNCTION("""COMPUTED_VALUE"""),-0.710914198599668)</f>
        <v>-0.71091419859966798</v>
      </c>
      <c r="NY156" s="3">
        <f ca="1">IFERROR(__xludf.DUMMYFUNCTION("""COMPUTED_VALUE"""),-0.653483690083689)</f>
        <v>-0.65348369008368901</v>
      </c>
      <c r="NZ156" s="3">
        <f ca="1">IFERROR(__xludf.DUMMYFUNCTION("""COMPUTED_VALUE"""),-0.674535146567776)</f>
        <v>-0.67453514656777602</v>
      </c>
      <c r="OA156" s="3">
        <f ca="1">IFERROR(__xludf.DUMMYFUNCTION("""COMPUTED_VALUE"""),-0.727205227880412)</f>
        <v>-0.72720522788041198</v>
      </c>
      <c r="OB156" s="3">
        <f ca="1">IFERROR(__xludf.DUMMYFUNCTION("""COMPUTED_VALUE"""),-0.702646313910987)</f>
        <v>-0.70264631391098697</v>
      </c>
      <c r="OC156" s="3">
        <f ca="1">IFERROR(__xludf.DUMMYFUNCTION("""COMPUTED_VALUE"""),-0.685566193585201)</f>
        <v>-0.68556619358520099</v>
      </c>
      <c r="OD156" s="3">
        <f ca="1">IFERROR(__xludf.DUMMYFUNCTION("""COMPUTED_VALUE"""),-0.637301531906456)</f>
        <v>-0.637301531906456</v>
      </c>
      <c r="OE156" s="3">
        <f ca="1">IFERROR(__xludf.DUMMYFUNCTION("""COMPUTED_VALUE"""),-0.518015994240778)</f>
        <v>-0.51801599424077804</v>
      </c>
      <c r="OF156" s="3">
        <f ca="1">IFERROR(__xludf.DUMMYFUNCTION("""COMPUTED_VALUE"""),-0.313882389757067)</f>
        <v>-0.313882389757067</v>
      </c>
      <c r="OG156" s="3">
        <f ca="1">IFERROR(__xludf.DUMMYFUNCTION("""COMPUTED_VALUE"""),-0.318410676892604)</f>
        <v>-0.31841067689260399</v>
      </c>
      <c r="OH156" s="3">
        <f ca="1">IFERROR(__xludf.DUMMYFUNCTION("""COMPUTED_VALUE"""),-0.264739606877876)</f>
        <v>-0.26473960687787601</v>
      </c>
      <c r="OI156" s="3">
        <f ca="1">IFERROR(__xludf.DUMMYFUNCTION("""COMPUTED_VALUE"""),-0.116822229840593)</f>
        <v>-0.116822229840593</v>
      </c>
      <c r="OJ156" s="3">
        <f ca="1">IFERROR(__xludf.DUMMYFUNCTION("""COMPUTED_VALUE"""),-0.0725032502280629)</f>
        <v>-7.2503250228062893E-2</v>
      </c>
      <c r="OK156" s="3">
        <f ca="1">IFERROR(__xludf.DUMMYFUNCTION("""COMPUTED_VALUE"""),-0.0784790141444364)</f>
        <v>-7.8479014144436393E-2</v>
      </c>
      <c r="OL156" s="3">
        <f ca="1">IFERROR(__xludf.DUMMYFUNCTION("""COMPUTED_VALUE"""),-0.0477580964913352)</f>
        <v>-4.7758096491335202E-2</v>
      </c>
      <c r="OM156" s="3">
        <f ca="1">IFERROR(__xludf.DUMMYFUNCTION("""COMPUTED_VALUE"""),0.000649810371210035)</f>
        <v>6.4981037121003495E-4</v>
      </c>
      <c r="ON156" s="3">
        <f ca="1">IFERROR(__xludf.DUMMYFUNCTION("""COMPUTED_VALUE"""),0.018190697176782)</f>
        <v>1.8190697176782001E-2</v>
      </c>
      <c r="OO156" s="3">
        <f ca="1">IFERROR(__xludf.DUMMYFUNCTION("""COMPUTED_VALUE"""),-0.053451778713059)</f>
        <v>-5.3451778713058999E-2</v>
      </c>
      <c r="OP156" s="3">
        <f ca="1">IFERROR(__xludf.DUMMYFUNCTION("""COMPUTED_VALUE"""),-0.0031005900387393)</f>
        <v>-3.1005900387392998E-3</v>
      </c>
      <c r="OQ156" s="3">
        <f ca="1">IFERROR(__xludf.DUMMYFUNCTION("""COMPUTED_VALUE"""),0.0185292390008635)</f>
        <v>1.85292390008635E-2</v>
      </c>
      <c r="OR156" s="3">
        <f ca="1">IFERROR(__xludf.DUMMYFUNCTION("""COMPUTED_VALUE"""),0.00781795087184655)</f>
        <v>7.8179508718465504E-3</v>
      </c>
      <c r="OS156" s="3">
        <f ca="1">IFERROR(__xludf.DUMMYFUNCTION("""COMPUTED_VALUE"""),0.00840474980670324)</f>
        <v>8.4047498067032402E-3</v>
      </c>
      <c r="OT156" s="3">
        <f ca="1">IFERROR(__xludf.DUMMYFUNCTION("""COMPUTED_VALUE"""),0.0701442954752247)</f>
        <v>7.0144295475224702E-2</v>
      </c>
      <c r="OU156" s="3">
        <f ca="1">IFERROR(__xludf.DUMMYFUNCTION("""COMPUTED_VALUE"""),-0.00750987233088729)</f>
        <v>-7.5098723308872897E-3</v>
      </c>
      <c r="OV156" s="3">
        <f ca="1">IFERROR(__xludf.DUMMYFUNCTION("""COMPUTED_VALUE"""),-0.094992704883833)</f>
        <v>-9.4992704883833004E-2</v>
      </c>
      <c r="OW156" s="3">
        <f ca="1">IFERROR(__xludf.DUMMYFUNCTION("""COMPUTED_VALUE"""),-0.107862810933532)</f>
        <v>-0.10786281093353201</v>
      </c>
      <c r="OX156" s="3">
        <f ca="1">IFERROR(__xludf.DUMMYFUNCTION("""COMPUTED_VALUE"""),-0.0588870617157931)</f>
        <v>-5.8887061715793103E-2</v>
      </c>
      <c r="OY156" s="3">
        <f ca="1">IFERROR(__xludf.DUMMYFUNCTION("""COMPUTED_VALUE"""),0.0121229287779967)</f>
        <v>1.21229287779967E-2</v>
      </c>
      <c r="OZ156" s="3">
        <f ca="1">IFERROR(__xludf.DUMMYFUNCTION("""COMPUTED_VALUE"""),0.158913658050169)</f>
        <v>0.15891365805016899</v>
      </c>
      <c r="PA156" s="3">
        <f ca="1">IFERROR(__xludf.DUMMYFUNCTION("""COMPUTED_VALUE"""),0.126246965914754)</f>
        <v>0.12624696591475401</v>
      </c>
      <c r="PB156" s="3">
        <f ca="1">IFERROR(__xludf.DUMMYFUNCTION("""COMPUTED_VALUE"""),0.0662265814892331)</f>
        <v>6.6226581489233105E-2</v>
      </c>
      <c r="PC156" s="3">
        <f ca="1">IFERROR(__xludf.DUMMYFUNCTION("""COMPUTED_VALUE"""),-0.048495858795534)</f>
        <v>-4.8495858795534003E-2</v>
      </c>
      <c r="PD156" s="3">
        <f ca="1">IFERROR(__xludf.DUMMYFUNCTION("""COMPUTED_VALUE"""),-0.0838744433856878)</f>
        <v>-8.3874443385687794E-2</v>
      </c>
      <c r="PE156" s="3">
        <f ca="1">IFERROR(__xludf.DUMMYFUNCTION("""COMPUTED_VALUE"""),-0.00339666577701414)</f>
        <v>-3.3966657770141402E-3</v>
      </c>
      <c r="PF156" s="3">
        <f ca="1">IFERROR(__xludf.DUMMYFUNCTION("""COMPUTED_VALUE"""),0.107564797267806)</f>
        <v>0.107564797267806</v>
      </c>
      <c r="PG156" s="3">
        <f ca="1">IFERROR(__xludf.DUMMYFUNCTION("""COMPUTED_VALUE"""),-0.327179762332706)</f>
        <v>-0.32717976233270601</v>
      </c>
      <c r="PH156" s="3">
        <f ca="1">IFERROR(__xludf.DUMMYFUNCTION("""COMPUTED_VALUE"""),0.0907571003552258)</f>
        <v>9.07571003552258E-2</v>
      </c>
      <c r="PI156" s="3">
        <f ca="1">IFERROR(__xludf.DUMMYFUNCTION("""COMPUTED_VALUE"""),-0.0161277331140227)</f>
        <v>-1.6127733114022699E-2</v>
      </c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</row>
    <row r="157" spans="1:477" ht="13">
      <c r="A157" s="1" t="str">
        <f ca="1">IFERROR(__xludf.DUMMYFUNCTION("""COMPUTED_VALUE"""),"STTR")</f>
        <v>STTR</v>
      </c>
      <c r="B157" s="1" t="str">
        <f ca="1">IFERROR(__xludf.DUMMYFUNCTION("""COMPUTED_VALUE"""),"Trois-Rivières")</f>
        <v>Trois-Rivières</v>
      </c>
      <c r="C157" s="1" t="str">
        <f ca="1">IFERROR(__xludf.DUMMYFUNCTION("""COMPUTED_VALUE"""),"Canada")</f>
        <v>Canada</v>
      </c>
      <c r="D157" s="1" t="str">
        <f ca="1">IFERROR(__xludf.DUMMYFUNCTION("""COMPUTED_VALUE"""),"Quebec")</f>
        <v>Quebec</v>
      </c>
      <c r="E157" s="3">
        <f ca="1">IFERROR(__xludf.DUMMYFUNCTION("""COMPUTED_VALUE"""),-0.454883351612777)</f>
        <v>-0.45488335161277699</v>
      </c>
      <c r="F157" s="3">
        <f ca="1">IFERROR(__xludf.DUMMYFUNCTION("""COMPUTED_VALUE"""),-0.524834301455258)</f>
        <v>-0.524834301455258</v>
      </c>
      <c r="G157" s="3">
        <f ca="1">IFERROR(__xludf.DUMMYFUNCTION("""COMPUTED_VALUE"""),-0.591846938711944)</f>
        <v>-0.59184693871194405</v>
      </c>
      <c r="H157" s="3">
        <f ca="1">IFERROR(__xludf.DUMMYFUNCTION("""COMPUTED_VALUE"""),-0.568469731194866)</f>
        <v>-0.56846973119486599</v>
      </c>
      <c r="I157" s="3">
        <f ca="1">IFERROR(__xludf.DUMMYFUNCTION("""COMPUTED_VALUE"""),-0.579573145892014)</f>
        <v>-0.57957314589201403</v>
      </c>
      <c r="J157" s="3">
        <f ca="1">IFERROR(__xludf.DUMMYFUNCTION("""COMPUTED_VALUE"""),-0.661571654291993)</f>
        <v>-0.66157165429199305</v>
      </c>
      <c r="K157" s="3">
        <f ca="1">IFERROR(__xludf.DUMMYFUNCTION("""COMPUTED_VALUE"""),-0.579665355306128)</f>
        <v>-0.57966535530612795</v>
      </c>
      <c r="L157" s="3">
        <f ca="1">IFERROR(__xludf.DUMMYFUNCTION("""COMPUTED_VALUE"""),-0.435845267739122)</f>
        <v>-0.43584526773912202</v>
      </c>
      <c r="M157" s="3">
        <f ca="1">IFERROR(__xludf.DUMMYFUNCTION("""COMPUTED_VALUE"""),-0.629246027020908)</f>
        <v>-0.62924602702090804</v>
      </c>
      <c r="N157" s="3">
        <f ca="1">IFERROR(__xludf.DUMMYFUNCTION("""COMPUTED_VALUE"""),-0.515999287891644)</f>
        <v>-0.51599928789164395</v>
      </c>
      <c r="O157" s="3">
        <f ca="1">IFERROR(__xludf.DUMMYFUNCTION("""COMPUTED_VALUE"""),-0.53411547004216)</f>
        <v>-0.53411547004215998</v>
      </c>
      <c r="P157" s="3">
        <f ca="1">IFERROR(__xludf.DUMMYFUNCTION("""COMPUTED_VALUE"""),-0.56999008564562)</f>
        <v>-0.56999008564562004</v>
      </c>
      <c r="Q157" s="3">
        <f ca="1">IFERROR(__xludf.DUMMYFUNCTION("""COMPUTED_VALUE"""),-0.554444302359048)</f>
        <v>-0.55444430235904796</v>
      </c>
      <c r="R157" s="3">
        <f ca="1">IFERROR(__xludf.DUMMYFUNCTION("""COMPUTED_VALUE"""),-0.460393905858936)</f>
        <v>-0.46039390585893603</v>
      </c>
      <c r="S157" s="3">
        <f ca="1">IFERROR(__xludf.DUMMYFUNCTION("""COMPUTED_VALUE"""),-0.42962619438128)</f>
        <v>-0.42962619438128002</v>
      </c>
      <c r="T157" s="3">
        <f ca="1">IFERROR(__xludf.DUMMYFUNCTION("""COMPUTED_VALUE"""),-0.581519224191834)</f>
        <v>-0.58151922419183399</v>
      </c>
      <c r="U157" s="3">
        <f ca="1">IFERROR(__xludf.DUMMYFUNCTION("""COMPUTED_VALUE"""),-0.528203539466844)</f>
        <v>-0.52820353946684395</v>
      </c>
      <c r="V157" s="3">
        <f ca="1">IFERROR(__xludf.DUMMYFUNCTION("""COMPUTED_VALUE"""),-0.558949949087973)</f>
        <v>-0.55894994908797302</v>
      </c>
      <c r="W157" s="3">
        <f ca="1">IFERROR(__xludf.DUMMYFUNCTION("""COMPUTED_VALUE"""),-0.578582339382148)</f>
        <v>-0.57858233938214798</v>
      </c>
      <c r="X157" s="3">
        <f ca="1">IFERROR(__xludf.DUMMYFUNCTION("""COMPUTED_VALUE"""),-0.542472399022944)</f>
        <v>-0.54247239902294397</v>
      </c>
      <c r="Y157" s="3">
        <f ca="1">IFERROR(__xludf.DUMMYFUNCTION("""COMPUTED_VALUE"""),-0.311168719993464)</f>
        <v>-0.31116871999346402</v>
      </c>
      <c r="Z157" s="3">
        <f ca="1">IFERROR(__xludf.DUMMYFUNCTION("""COMPUTED_VALUE"""),-0.427483170686275)</f>
        <v>-0.427483170686275</v>
      </c>
      <c r="AA157" s="3">
        <f ca="1">IFERROR(__xludf.DUMMYFUNCTION("""COMPUTED_VALUE"""),-0.509529366013061)</f>
        <v>-0.50952936601306098</v>
      </c>
      <c r="AB157" s="3">
        <f ca="1">IFERROR(__xludf.DUMMYFUNCTION("""COMPUTED_VALUE"""),-0.562876607161546)</f>
        <v>-0.56287660716154597</v>
      </c>
      <c r="AC157" s="3">
        <f ca="1">IFERROR(__xludf.DUMMYFUNCTION("""COMPUTED_VALUE"""),-0.562475470407915)</f>
        <v>-0.56247547040791501</v>
      </c>
      <c r="AD157" s="3">
        <f ca="1">IFERROR(__xludf.DUMMYFUNCTION("""COMPUTED_VALUE"""),-0.584382279378192)</f>
        <v>-0.58438227937819198</v>
      </c>
      <c r="AE157" s="3">
        <f ca="1">IFERROR(__xludf.DUMMYFUNCTION("""COMPUTED_VALUE"""),-0.637914490163524)</f>
        <v>-0.63791449016352397</v>
      </c>
      <c r="AF157" s="3">
        <f ca="1">IFERROR(__xludf.DUMMYFUNCTION("""COMPUTED_VALUE"""),-0.313508240598656)</f>
        <v>-0.31350824059865601</v>
      </c>
      <c r="AG157" s="3">
        <f ca="1">IFERROR(__xludf.DUMMYFUNCTION("""COMPUTED_VALUE"""),-0.372484764357876)</f>
        <v>-0.37248476435787597</v>
      </c>
      <c r="AH157" s="3">
        <f ca="1">IFERROR(__xludf.DUMMYFUNCTION("""COMPUTED_VALUE"""),-0.471685188408296)</f>
        <v>-0.47168518840829599</v>
      </c>
      <c r="AI157" s="3">
        <f ca="1">IFERROR(__xludf.DUMMYFUNCTION("""COMPUTED_VALUE"""),-0.522205299999911)</f>
        <v>-0.52220529999991105</v>
      </c>
      <c r="AJ157" s="3">
        <f ca="1">IFERROR(__xludf.DUMMYFUNCTION("""COMPUTED_VALUE"""),-0.494261698284493)</f>
        <v>-0.49426169828449301</v>
      </c>
      <c r="AK157" s="3">
        <f ca="1">IFERROR(__xludf.DUMMYFUNCTION("""COMPUTED_VALUE"""),-0.571008960350926)</f>
        <v>-0.57100896035092596</v>
      </c>
      <c r="AL157" s="3">
        <f ca="1">IFERROR(__xludf.DUMMYFUNCTION("""COMPUTED_VALUE"""),-0.560194962566354)</f>
        <v>-0.56019496256635404</v>
      </c>
      <c r="AM157" s="3">
        <f ca="1">IFERROR(__xludf.DUMMYFUNCTION("""COMPUTED_VALUE"""),-0.415301066664474)</f>
        <v>-0.41530106666447397</v>
      </c>
      <c r="AN157" s="3">
        <f ca="1">IFERROR(__xludf.DUMMYFUNCTION("""COMPUTED_VALUE"""),-0.474125913458278)</f>
        <v>-0.47412591345827798</v>
      </c>
      <c r="AO157" s="3">
        <f ca="1">IFERROR(__xludf.DUMMYFUNCTION("""COMPUTED_VALUE"""),-0.582904476687636)</f>
        <v>-0.58290447668763601</v>
      </c>
      <c r="AP157" s="3">
        <f ca="1">IFERROR(__xludf.DUMMYFUNCTION("""COMPUTED_VALUE"""),-0.605048837009284)</f>
        <v>-0.60504883700928402</v>
      </c>
      <c r="AQ157" s="3">
        <f ca="1">IFERROR(__xludf.DUMMYFUNCTION("""COMPUTED_VALUE"""),-0.613251156415762)</f>
        <v>-0.613251156415762</v>
      </c>
      <c r="AR157" s="3">
        <f ca="1">IFERROR(__xludf.DUMMYFUNCTION("""COMPUTED_VALUE"""),-0.601978659845404)</f>
        <v>-0.601978659845404</v>
      </c>
      <c r="AS157" s="3">
        <f ca="1">IFERROR(__xludf.DUMMYFUNCTION("""COMPUTED_VALUE"""),-0.595066917940529)</f>
        <v>-0.59506691794052902</v>
      </c>
      <c r="AT157" s="3">
        <f ca="1">IFERROR(__xludf.DUMMYFUNCTION("""COMPUTED_VALUE"""),-0.418399583421181)</f>
        <v>-0.418399583421181</v>
      </c>
      <c r="AU157" s="3">
        <f ca="1">IFERROR(__xludf.DUMMYFUNCTION("""COMPUTED_VALUE"""),-0.538247480381892)</f>
        <v>-0.53824748038189196</v>
      </c>
      <c r="AV157" s="3">
        <f ca="1">IFERROR(__xludf.DUMMYFUNCTION("""COMPUTED_VALUE"""),-0.591570260731274)</f>
        <v>-0.59157026073127394</v>
      </c>
      <c r="AW157" s="3">
        <f ca="1">IFERROR(__xludf.DUMMYFUNCTION("""COMPUTED_VALUE"""),-0.61643042681518)</f>
        <v>-0.61643042681518001</v>
      </c>
      <c r="AX157" s="3">
        <f ca="1">IFERROR(__xludf.DUMMYFUNCTION("""COMPUTED_VALUE"""),-0.628706013979659)</f>
        <v>-0.62870601397965897</v>
      </c>
      <c r="AY157" s="3">
        <f ca="1">IFERROR(__xludf.DUMMYFUNCTION("""COMPUTED_VALUE"""),-0.62267874086343)</f>
        <v>-0.62267874086343</v>
      </c>
      <c r="AZ157" s="3">
        <f ca="1">IFERROR(__xludf.DUMMYFUNCTION("""COMPUTED_VALUE"""),-0.597395893179395)</f>
        <v>-0.59739589317939501</v>
      </c>
      <c r="BA157" s="3">
        <f ca="1">IFERROR(__xludf.DUMMYFUNCTION("""COMPUTED_VALUE"""),-0.472043966860615)</f>
        <v>-0.47204396686061501</v>
      </c>
      <c r="BB157" s="3">
        <f ca="1">IFERROR(__xludf.DUMMYFUNCTION("""COMPUTED_VALUE"""),-0.563752740676324)</f>
        <v>-0.56375274067632397</v>
      </c>
      <c r="BC157" s="3">
        <f ca="1">IFERROR(__xludf.DUMMYFUNCTION("""COMPUTED_VALUE"""),-0.658849582992026)</f>
        <v>-0.65884958299202601</v>
      </c>
      <c r="BD157" s="3">
        <f ca="1">IFERROR(__xludf.DUMMYFUNCTION("""COMPUTED_VALUE"""),-0.663539741484444)</f>
        <v>-0.66353974148444395</v>
      </c>
      <c r="BE157" s="3">
        <f ca="1">IFERROR(__xludf.DUMMYFUNCTION("""COMPUTED_VALUE"""),-0.595679188934957)</f>
        <v>-0.59567918893495697</v>
      </c>
      <c r="BF157" s="3">
        <f ca="1">IFERROR(__xludf.DUMMYFUNCTION("""COMPUTED_VALUE"""),-0.645933903904972)</f>
        <v>-0.64593390390497196</v>
      </c>
      <c r="BG157" s="3">
        <f ca="1">IFERROR(__xludf.DUMMYFUNCTION("""COMPUTED_VALUE"""),-0.649721154374818)</f>
        <v>-0.64972115437481803</v>
      </c>
      <c r="BH157" s="3">
        <f ca="1">IFERROR(__xludf.DUMMYFUNCTION("""COMPUTED_VALUE"""),-0.533760121610961)</f>
        <v>-0.53376012161096098</v>
      </c>
      <c r="BI157" s="3">
        <f ca="1">IFERROR(__xludf.DUMMYFUNCTION("""COMPUTED_VALUE"""),-0.52394010792058)</f>
        <v>-0.52394010792057999</v>
      </c>
      <c r="BJ157" s="3">
        <f ca="1">IFERROR(__xludf.DUMMYFUNCTION("""COMPUTED_VALUE"""),-0.640199101722494)</f>
        <v>-0.64019910172249395</v>
      </c>
      <c r="BK157" s="3">
        <f ca="1">IFERROR(__xludf.DUMMYFUNCTION("""COMPUTED_VALUE"""),-0.665599506988972)</f>
        <v>-0.66559950698897197</v>
      </c>
      <c r="BL157" s="3">
        <f ca="1">IFERROR(__xludf.DUMMYFUNCTION("""COMPUTED_VALUE"""),-0.689140945611864)</f>
        <v>-0.68914094561186401</v>
      </c>
      <c r="BM157" s="3">
        <f ca="1">IFERROR(__xludf.DUMMYFUNCTION("""COMPUTED_VALUE"""),-0.681026341197089)</f>
        <v>-0.68102634119708905</v>
      </c>
      <c r="BN157" s="3">
        <f ca="1">IFERROR(__xludf.DUMMYFUNCTION("""COMPUTED_VALUE"""),-0.679471765906553)</f>
        <v>-0.679471765906553</v>
      </c>
      <c r="BO157" s="3">
        <f ca="1">IFERROR(__xludf.DUMMYFUNCTION("""COMPUTED_VALUE"""),-0.636037324580373)</f>
        <v>-0.63603732458037299</v>
      </c>
      <c r="BP157" s="3">
        <f ca="1">IFERROR(__xludf.DUMMYFUNCTION("""COMPUTED_VALUE"""),-0.65982344448202)</f>
        <v>-0.65982344448202002</v>
      </c>
      <c r="BQ157" s="3">
        <f ca="1">IFERROR(__xludf.DUMMYFUNCTION("""COMPUTED_VALUE"""),-0.701654225696991)</f>
        <v>-0.70165422569699099</v>
      </c>
      <c r="BR157" s="3">
        <f ca="1">IFERROR(__xludf.DUMMYFUNCTION("""COMPUTED_VALUE"""),-0.722554297504928)</f>
        <v>-0.72255429750492794</v>
      </c>
      <c r="BS157" s="3">
        <f ca="1">IFERROR(__xludf.DUMMYFUNCTION("""COMPUTED_VALUE"""),-0.709049867438145)</f>
        <v>-0.70904986743814502</v>
      </c>
      <c r="BT157" s="3">
        <f ca="1">IFERROR(__xludf.DUMMYFUNCTION("""COMPUTED_VALUE"""),-0.730604497398533)</f>
        <v>-0.73060449739853295</v>
      </c>
      <c r="BU157" s="3">
        <f ca="1">IFERROR(__xludf.DUMMYFUNCTION("""COMPUTED_VALUE"""),-0.739018790379001)</f>
        <v>-0.73901879037900098</v>
      </c>
      <c r="BV157" s="3">
        <f ca="1">IFERROR(__xludf.DUMMYFUNCTION("""COMPUTED_VALUE"""),-0.689443785918511)</f>
        <v>-0.68944378591851097</v>
      </c>
      <c r="BW157" s="3">
        <f ca="1">IFERROR(__xludf.DUMMYFUNCTION("""COMPUTED_VALUE"""),-0.746664055566957)</f>
        <v>-0.74666405556695703</v>
      </c>
      <c r="BX157" s="3">
        <f ca="1">IFERROR(__xludf.DUMMYFUNCTION("""COMPUTED_VALUE"""),-0.735412040054903)</f>
        <v>-0.73541204005490302</v>
      </c>
      <c r="BY157" s="3">
        <f ca="1">IFERROR(__xludf.DUMMYFUNCTION("""COMPUTED_VALUE"""),-0.722889605052754)</f>
        <v>-0.72288960505275401</v>
      </c>
      <c r="BZ157" s="3">
        <f ca="1">IFERROR(__xludf.DUMMYFUNCTION("""COMPUTED_VALUE"""),-0.738805193809058)</f>
        <v>-0.73880519380905796</v>
      </c>
      <c r="CA157" s="3">
        <f ca="1">IFERROR(__xludf.DUMMYFUNCTION("""COMPUTED_VALUE"""),-0.76908884470564)</f>
        <v>-0.76908884470563998</v>
      </c>
      <c r="CB157" s="3">
        <f ca="1">IFERROR(__xludf.DUMMYFUNCTION("""COMPUTED_VALUE"""),-0.749632602021225)</f>
        <v>-0.74963260202122495</v>
      </c>
      <c r="CC157" s="3">
        <f ca="1">IFERROR(__xludf.DUMMYFUNCTION("""COMPUTED_VALUE"""),-0.655819018953574)</f>
        <v>-0.65581901895357397</v>
      </c>
      <c r="CD157" s="3">
        <f ca="1">IFERROR(__xludf.DUMMYFUNCTION("""COMPUTED_VALUE"""),-0.728755312345144)</f>
        <v>-0.72875531234514401</v>
      </c>
      <c r="CE157" s="3">
        <f ca="1">IFERROR(__xludf.DUMMYFUNCTION("""COMPUTED_VALUE"""),-0.737844063339729)</f>
        <v>-0.73784406333972896</v>
      </c>
      <c r="CF157" s="3">
        <f ca="1">IFERROR(__xludf.DUMMYFUNCTION("""COMPUTED_VALUE"""),-0.729148149632412)</f>
        <v>-0.72914814963241203</v>
      </c>
      <c r="CG157" s="3">
        <f ca="1">IFERROR(__xludf.DUMMYFUNCTION("""COMPUTED_VALUE"""),-0.746077103007107)</f>
        <v>-0.74607710300710695</v>
      </c>
      <c r="CH157" s="3">
        <f ca="1">IFERROR(__xludf.DUMMYFUNCTION("""COMPUTED_VALUE"""),-0.749965411819886)</f>
        <v>-0.74996541181988596</v>
      </c>
      <c r="CI157" s="3">
        <f ca="1">IFERROR(__xludf.DUMMYFUNCTION("""COMPUTED_VALUE"""),-0.739945739272881)</f>
        <v>-0.73994573927288099</v>
      </c>
      <c r="CJ157" s="3">
        <f ca="1">IFERROR(__xludf.DUMMYFUNCTION("""COMPUTED_VALUE"""),-0.664034387681312)</f>
        <v>-0.66403438768131196</v>
      </c>
      <c r="CK157" s="3">
        <f ca="1">IFERROR(__xludf.DUMMYFUNCTION("""COMPUTED_VALUE"""),-0.729370653281047)</f>
        <v>-0.729370653281047</v>
      </c>
      <c r="CL157" s="3">
        <f ca="1">IFERROR(__xludf.DUMMYFUNCTION("""COMPUTED_VALUE"""),-0.76281343412743)</f>
        <v>-0.76281343412742997</v>
      </c>
      <c r="CM157" s="3">
        <f ca="1">IFERROR(__xludf.DUMMYFUNCTION("""COMPUTED_VALUE"""),-0.760423829217212)</f>
        <v>-0.76042382921721197</v>
      </c>
      <c r="CN157" s="3">
        <f ca="1">IFERROR(__xludf.DUMMYFUNCTION("""COMPUTED_VALUE"""),-0.775938135579086)</f>
        <v>-0.77593813557908597</v>
      </c>
      <c r="CO157" s="3">
        <f ca="1">IFERROR(__xludf.DUMMYFUNCTION("""COMPUTED_VALUE"""),-0.77503901731951)</f>
        <v>-0.77503901731950997</v>
      </c>
      <c r="CP157" s="3">
        <f ca="1">IFERROR(__xludf.DUMMYFUNCTION("""COMPUTED_VALUE"""),-0.765959903427962)</f>
        <v>-0.76595990342796205</v>
      </c>
      <c r="CQ157" s="3">
        <f ca="1">IFERROR(__xludf.DUMMYFUNCTION("""COMPUTED_VALUE"""),-0.658827334594681)</f>
        <v>-0.65882733459468101</v>
      </c>
      <c r="CR157" s="3">
        <f ca="1">IFERROR(__xludf.DUMMYFUNCTION("""COMPUTED_VALUE"""),-0.644636757172382)</f>
        <v>-0.644636757172382</v>
      </c>
      <c r="CS157" s="3">
        <f ca="1">IFERROR(__xludf.DUMMYFUNCTION("""COMPUTED_VALUE"""),-0.699479930535021)</f>
        <v>-0.699479930535021</v>
      </c>
      <c r="CT157" s="3">
        <f ca="1">IFERROR(__xludf.DUMMYFUNCTION("""COMPUTED_VALUE"""),-0.631735264293984)</f>
        <v>-0.63173526429398397</v>
      </c>
      <c r="CU157" s="3">
        <f ca="1">IFERROR(__xludf.DUMMYFUNCTION("""COMPUTED_VALUE"""),-0.653026561481846)</f>
        <v>-0.65302656148184601</v>
      </c>
      <c r="CV157" s="3">
        <f ca="1">IFERROR(__xludf.DUMMYFUNCTION("""COMPUTED_VALUE"""),-0.672919614529427)</f>
        <v>-0.67291961452942695</v>
      </c>
      <c r="CW157" s="3">
        <f ca="1">IFERROR(__xludf.DUMMYFUNCTION("""COMPUTED_VALUE"""),-0.724168616317017)</f>
        <v>-0.72416861631701701</v>
      </c>
      <c r="CX157" s="3">
        <f ca="1">IFERROR(__xludf.DUMMYFUNCTION("""COMPUTED_VALUE"""),-0.656972276932227)</f>
        <v>-0.65697227693222704</v>
      </c>
      <c r="CY157" s="3">
        <f ca="1">IFERROR(__xludf.DUMMYFUNCTION("""COMPUTED_VALUE"""),-0.895549465833026)</f>
        <v>-0.89554946583302597</v>
      </c>
      <c r="CZ157" s="3">
        <f ca="1">IFERROR(__xludf.DUMMYFUNCTION("""COMPUTED_VALUE"""),-0.948423048616461)</f>
        <v>-0.94842304861646098</v>
      </c>
      <c r="DA157" s="3">
        <f ca="1">IFERROR(__xludf.DUMMYFUNCTION("""COMPUTED_VALUE"""),-0.578707740876348)</f>
        <v>-0.57870774087634802</v>
      </c>
      <c r="DB157" s="3">
        <f ca="1">IFERROR(__xludf.DUMMYFUNCTION("""COMPUTED_VALUE"""),-0.366235996504568)</f>
        <v>-0.36623599650456801</v>
      </c>
      <c r="DC157" s="3">
        <f ca="1">IFERROR(__xludf.DUMMYFUNCTION("""COMPUTED_VALUE"""),-0.652566159029555)</f>
        <v>-0.65256615902955495</v>
      </c>
      <c r="DD157" s="3">
        <f ca="1">IFERROR(__xludf.DUMMYFUNCTION("""COMPUTED_VALUE"""),-0.683616119900042)</f>
        <v>-0.68361611990004201</v>
      </c>
      <c r="DE157" s="3">
        <f ca="1">IFERROR(__xludf.DUMMYFUNCTION("""COMPUTED_VALUE"""),-0.639406421519267)</f>
        <v>-0.63940642151926697</v>
      </c>
      <c r="DF157" s="3">
        <f ca="1">IFERROR(__xludf.DUMMYFUNCTION("""COMPUTED_VALUE"""),-0.733786786716287)</f>
        <v>-0.73378678671628705</v>
      </c>
      <c r="DG157" s="3">
        <f ca="1">IFERROR(__xludf.DUMMYFUNCTION("""COMPUTED_VALUE"""),-0.948559448825991)</f>
        <v>-0.94855944882599097</v>
      </c>
      <c r="DH157" s="3">
        <f ca="1">IFERROR(__xludf.DUMMYFUNCTION("""COMPUTED_VALUE"""),-0.565927342558655)</f>
        <v>-0.56592734255865496</v>
      </c>
      <c r="DI157" s="3">
        <f ca="1">IFERROR(__xludf.DUMMYFUNCTION("""COMPUTED_VALUE"""),-0.192771230265087)</f>
        <v>-0.192771230265087</v>
      </c>
      <c r="DJ157" s="3">
        <f ca="1">IFERROR(__xludf.DUMMYFUNCTION("""COMPUTED_VALUE"""),-0.519571452226595)</f>
        <v>-0.51957145222659495</v>
      </c>
      <c r="DK157" s="3">
        <f ca="1">IFERROR(__xludf.DUMMYFUNCTION("""COMPUTED_VALUE"""),-0.544939665361825)</f>
        <v>-0.54493966536182503</v>
      </c>
      <c r="DL157" s="3">
        <f ca="1">IFERROR(__xludf.DUMMYFUNCTION("""COMPUTED_VALUE"""),-0.575942041305863)</f>
        <v>-0.57594204130586302</v>
      </c>
      <c r="DM157" s="3">
        <f ca="1">IFERROR(__xludf.DUMMYFUNCTION("""COMPUTED_VALUE"""),-0.560705340586905)</f>
        <v>-0.56070534058690502</v>
      </c>
      <c r="DN157" s="3">
        <f ca="1">IFERROR(__xludf.DUMMYFUNCTION("""COMPUTED_VALUE"""),-0.604532522950445)</f>
        <v>-0.60453252295044502</v>
      </c>
      <c r="DO157" s="3">
        <f ca="1">IFERROR(__xludf.DUMMYFUNCTION("""COMPUTED_VALUE"""),-0.616194727994635)</f>
        <v>-0.61619472799463504</v>
      </c>
      <c r="DP157" s="3">
        <f ca="1">IFERROR(__xludf.DUMMYFUNCTION("""COMPUTED_VALUE"""),-0.517468448744053)</f>
        <v>-0.51746844874405296</v>
      </c>
      <c r="DQ157" s="3">
        <f ca="1">IFERROR(__xludf.DUMMYFUNCTION("""COMPUTED_VALUE"""),-0.586482038846773)</f>
        <v>-0.58648203884677297</v>
      </c>
      <c r="DR157" s="3">
        <f ca="1">IFERROR(__xludf.DUMMYFUNCTION("""COMPUTED_VALUE"""),-0.59642539241029)</f>
        <v>-0.59642539241029002</v>
      </c>
      <c r="DS157" s="3">
        <f ca="1">IFERROR(__xludf.DUMMYFUNCTION("""COMPUTED_VALUE"""),-0.616046776326937)</f>
        <v>-0.61604677632693705</v>
      </c>
      <c r="DT157" s="3">
        <f ca="1">IFERROR(__xludf.DUMMYFUNCTION("""COMPUTED_VALUE"""),-0.610637501252562)</f>
        <v>-0.610637501252562</v>
      </c>
      <c r="DU157" s="3">
        <f ca="1">IFERROR(__xludf.DUMMYFUNCTION("""COMPUTED_VALUE"""),-0.636309591027557)</f>
        <v>-0.63630959102755702</v>
      </c>
      <c r="DV157" s="3">
        <f ca="1">IFERROR(__xludf.DUMMYFUNCTION("""COMPUTED_VALUE"""),-0.648275757089102)</f>
        <v>-0.64827575708910201</v>
      </c>
      <c r="DW157" s="3">
        <f ca="1">IFERROR(__xludf.DUMMYFUNCTION("""COMPUTED_VALUE"""),-0.657598307500839)</f>
        <v>-0.65759830750083903</v>
      </c>
      <c r="DX157" s="3">
        <f ca="1">IFERROR(__xludf.DUMMYFUNCTION("""COMPUTED_VALUE"""),-0.688570790737843)</f>
        <v>-0.688570790737843</v>
      </c>
      <c r="DY157" s="3">
        <f ca="1">IFERROR(__xludf.DUMMYFUNCTION("""COMPUTED_VALUE"""),-0.672699367618295)</f>
        <v>-0.67269936761829496</v>
      </c>
      <c r="DZ157" s="3">
        <f ca="1">IFERROR(__xludf.DUMMYFUNCTION("""COMPUTED_VALUE"""),-0.630731404327487)</f>
        <v>-0.63073140432748698</v>
      </c>
      <c r="EA157" s="3">
        <f ca="1">IFERROR(__xludf.DUMMYFUNCTION("""COMPUTED_VALUE"""),-0.582636391099619)</f>
        <v>-0.58263639109961896</v>
      </c>
      <c r="EB157" s="3">
        <f ca="1">IFERROR(__xludf.DUMMYFUNCTION("""COMPUTED_VALUE"""),-0.627042323808116)</f>
        <v>-0.62704232380811598</v>
      </c>
      <c r="EC157" s="3">
        <f ca="1">IFERROR(__xludf.DUMMYFUNCTION("""COMPUTED_VALUE"""),-0.663389906464419)</f>
        <v>-0.66338990646441898</v>
      </c>
      <c r="ED157" s="3">
        <f ca="1">IFERROR(__xludf.DUMMYFUNCTION("""COMPUTED_VALUE"""),-0.658966704325774)</f>
        <v>-0.65896670432577398</v>
      </c>
      <c r="EE157" s="3">
        <f ca="1">IFERROR(__xludf.DUMMYFUNCTION("""COMPUTED_VALUE"""),-0.641013655169468)</f>
        <v>-0.64101365516946796</v>
      </c>
      <c r="EF157" s="3">
        <f ca="1">IFERROR(__xludf.DUMMYFUNCTION("""COMPUTED_VALUE"""),-0.673518074225482)</f>
        <v>-0.67351807422548204</v>
      </c>
      <c r="EG157" s="3">
        <f ca="1">IFERROR(__xludf.DUMMYFUNCTION("""COMPUTED_VALUE"""),-0.602854549003841)</f>
        <v>-0.60285454900384094</v>
      </c>
      <c r="EH157" s="3">
        <f ca="1">IFERROR(__xludf.DUMMYFUNCTION("""COMPUTED_VALUE"""),-0.585151110461874)</f>
        <v>-0.58515111046187396</v>
      </c>
      <c r="EI157" s="3">
        <f ca="1">IFERROR(__xludf.DUMMYFUNCTION("""COMPUTED_VALUE"""),-0.577839352321893)</f>
        <v>-0.57783935232189299</v>
      </c>
      <c r="EJ157" s="3">
        <f ca="1">IFERROR(__xludf.DUMMYFUNCTION("""COMPUTED_VALUE"""),-0.69890833850426)</f>
        <v>-0.69890833850426004</v>
      </c>
      <c r="EK157" s="3">
        <f ca="1">IFERROR(__xludf.DUMMYFUNCTION("""COMPUTED_VALUE"""),-0.631443489571275)</f>
        <v>-0.63144348957127505</v>
      </c>
      <c r="EL157" s="3">
        <f ca="1">IFERROR(__xludf.DUMMYFUNCTION("""COMPUTED_VALUE"""),-0.666096103277033)</f>
        <v>-0.66609610327703295</v>
      </c>
      <c r="EM157" s="3">
        <f ca="1">IFERROR(__xludf.DUMMYFUNCTION("""COMPUTED_VALUE"""),-0.676093740526486)</f>
        <v>-0.67609374052648596</v>
      </c>
      <c r="EN157" s="3">
        <f ca="1">IFERROR(__xludf.DUMMYFUNCTION("""COMPUTED_VALUE"""),-0.615610238966341)</f>
        <v>-0.61561023896634104</v>
      </c>
      <c r="EO157" s="3">
        <f ca="1">IFERROR(__xludf.DUMMYFUNCTION("""COMPUTED_VALUE"""),-0.586381481576494)</f>
        <v>-0.58638148157649395</v>
      </c>
      <c r="EP157" s="3">
        <f ca="1">IFERROR(__xludf.DUMMYFUNCTION("""COMPUTED_VALUE"""),-0.66785392069479)</f>
        <v>-0.66785392069478999</v>
      </c>
      <c r="EQ157" s="3">
        <f ca="1">IFERROR(__xludf.DUMMYFUNCTION("""COMPUTED_VALUE"""),-0.674909790790373)</f>
        <v>-0.67490979079037305</v>
      </c>
      <c r="ER157" s="3">
        <f ca="1">IFERROR(__xludf.DUMMYFUNCTION("""COMPUTED_VALUE"""),-0.656391936762382)</f>
        <v>-0.65639193676238194</v>
      </c>
      <c r="ES157" s="3">
        <f ca="1">IFERROR(__xludf.DUMMYFUNCTION("""COMPUTED_VALUE"""),-0.699074562135764)</f>
        <v>-0.69907456213576402</v>
      </c>
      <c r="ET157" s="3">
        <f ca="1">IFERROR(__xludf.DUMMYFUNCTION("""COMPUTED_VALUE"""),-0.647286279115489)</f>
        <v>-0.64728627911548897</v>
      </c>
      <c r="EU157" s="3">
        <f ca="1">IFERROR(__xludf.DUMMYFUNCTION("""COMPUTED_VALUE"""),-0.672568478615651)</f>
        <v>-0.67256847861565106</v>
      </c>
      <c r="EV157" s="3">
        <f ca="1">IFERROR(__xludf.DUMMYFUNCTION("""COMPUTED_VALUE"""),-0.646182172764072)</f>
        <v>-0.64618217276407197</v>
      </c>
      <c r="EW157" s="3">
        <f ca="1">IFERROR(__xludf.DUMMYFUNCTION("""COMPUTED_VALUE"""),-0.670261167409085)</f>
        <v>-0.67026116740908503</v>
      </c>
      <c r="EX157" s="3">
        <f ca="1">IFERROR(__xludf.DUMMYFUNCTION("""COMPUTED_VALUE"""),-0.667467356067454)</f>
        <v>-0.667467356067454</v>
      </c>
      <c r="EY157" s="3">
        <f ca="1">IFERROR(__xludf.DUMMYFUNCTION("""COMPUTED_VALUE"""),-0.69061108711765)</f>
        <v>-0.69061108711764996</v>
      </c>
      <c r="EZ157" s="3">
        <f ca="1">IFERROR(__xludf.DUMMYFUNCTION("""COMPUTED_VALUE"""),-0.697658332549577)</f>
        <v>-0.69765833254957699</v>
      </c>
      <c r="FA157" s="3">
        <f ca="1">IFERROR(__xludf.DUMMYFUNCTION("""COMPUTED_VALUE"""),-0.663435771960792)</f>
        <v>-0.66343577196079195</v>
      </c>
      <c r="FB157" s="3">
        <f ca="1">IFERROR(__xludf.DUMMYFUNCTION("""COMPUTED_VALUE"""),-0.627748960077164)</f>
        <v>-0.62774896007716396</v>
      </c>
      <c r="FC157" s="3">
        <f ca="1">IFERROR(__xludf.DUMMYFUNCTION("""COMPUTED_VALUE"""),-0.632706481582778)</f>
        <v>-0.63270648158277798</v>
      </c>
      <c r="FD157" s="3">
        <f ca="1">IFERROR(__xludf.DUMMYFUNCTION("""COMPUTED_VALUE"""),-0.649649257797742)</f>
        <v>-0.64964925779774196</v>
      </c>
      <c r="FE157" s="3">
        <f ca="1">IFERROR(__xludf.DUMMYFUNCTION("""COMPUTED_VALUE"""),-0.661362272340226)</f>
        <v>-0.66136227234022604</v>
      </c>
      <c r="FF157" s="3">
        <f ca="1">IFERROR(__xludf.DUMMYFUNCTION("""COMPUTED_VALUE"""),-0.676632161087151)</f>
        <v>-0.67663216108715096</v>
      </c>
      <c r="FG157" s="3">
        <f ca="1">IFERROR(__xludf.DUMMYFUNCTION("""COMPUTED_VALUE"""),-0.698497577560832)</f>
        <v>-0.69849757756083197</v>
      </c>
      <c r="FH157" s="3">
        <f ca="1">IFERROR(__xludf.DUMMYFUNCTION("""COMPUTED_VALUE"""),-0.61583137409943)</f>
        <v>-0.61583137409943001</v>
      </c>
      <c r="FI157" s="3">
        <f ca="1">IFERROR(__xludf.DUMMYFUNCTION("""COMPUTED_VALUE"""),-0.563228198446881)</f>
        <v>-0.56322819844688099</v>
      </c>
      <c r="FJ157" s="3">
        <f ca="1">IFERROR(__xludf.DUMMYFUNCTION("""COMPUTED_VALUE"""),-0.602153268666094)</f>
        <v>-0.60215326866609398</v>
      </c>
      <c r="FK157" s="3">
        <f ca="1">IFERROR(__xludf.DUMMYFUNCTION("""COMPUTED_VALUE"""),-0.604788731327604)</f>
        <v>-0.60478873132760402</v>
      </c>
      <c r="FL157" s="3">
        <f ca="1">IFERROR(__xludf.DUMMYFUNCTION("""COMPUTED_VALUE"""),-0.642510585491461)</f>
        <v>-0.64251058549146101</v>
      </c>
      <c r="FM157" s="3">
        <f ca="1">IFERROR(__xludf.DUMMYFUNCTION("""COMPUTED_VALUE"""),-0.630235432867222)</f>
        <v>-0.63023543286722195</v>
      </c>
      <c r="FN157" s="3">
        <f ca="1">IFERROR(__xludf.DUMMYFUNCTION("""COMPUTED_VALUE"""),-0.626027669099829)</f>
        <v>-0.62602766909982899</v>
      </c>
      <c r="FO157" s="3">
        <f ca="1">IFERROR(__xludf.DUMMYFUNCTION("""COMPUTED_VALUE"""),-0.616205583965922)</f>
        <v>-0.61620558396592195</v>
      </c>
      <c r="FP157" s="3">
        <f ca="1">IFERROR(__xludf.DUMMYFUNCTION("""COMPUTED_VALUE"""),-0.494026661548477)</f>
        <v>-0.49402666154847702</v>
      </c>
      <c r="FQ157" s="3">
        <f ca="1">IFERROR(__xludf.DUMMYFUNCTION("""COMPUTED_VALUE"""),-0.595714119214102)</f>
        <v>-0.595714119214102</v>
      </c>
      <c r="FR157" s="3">
        <f ca="1">IFERROR(__xludf.DUMMYFUNCTION("""COMPUTED_VALUE"""),-0.606328651184891)</f>
        <v>-0.60632865118489099</v>
      </c>
      <c r="FS157" s="3">
        <f ca="1">IFERROR(__xludf.DUMMYFUNCTION("""COMPUTED_VALUE"""),-0.594423691366288)</f>
        <v>-0.59442369136628803</v>
      </c>
      <c r="FT157" s="3">
        <f ca="1">IFERROR(__xludf.DUMMYFUNCTION("""COMPUTED_VALUE"""),-0.635187189791129)</f>
        <v>-0.63518718979112898</v>
      </c>
      <c r="FU157" s="3">
        <f ca="1">IFERROR(__xludf.DUMMYFUNCTION("""COMPUTED_VALUE"""),-0.612212565804394)</f>
        <v>-0.61221256580439398</v>
      </c>
      <c r="FV157" s="3">
        <f ca="1">IFERROR(__xludf.DUMMYFUNCTION("""COMPUTED_VALUE"""),-0.498475945601761)</f>
        <v>-0.49847594560176101</v>
      </c>
      <c r="FW157" s="3">
        <f ca="1">IFERROR(__xludf.DUMMYFUNCTION("""COMPUTED_VALUE"""),-0.52676486040205)</f>
        <v>-0.52676486040204995</v>
      </c>
      <c r="FX157" s="3">
        <f ca="1">IFERROR(__xludf.DUMMYFUNCTION("""COMPUTED_VALUE"""),-0.558912858360154)</f>
        <v>-0.55891285836015403</v>
      </c>
      <c r="FY157" s="3">
        <f ca="1">IFERROR(__xludf.DUMMYFUNCTION("""COMPUTED_VALUE"""),-0.655454625810255)</f>
        <v>-0.65545462581025504</v>
      </c>
      <c r="FZ157" s="3">
        <f ca="1">IFERROR(__xludf.DUMMYFUNCTION("""COMPUTED_VALUE"""),-0.626908623933349)</f>
        <v>-0.62690862393334901</v>
      </c>
      <c r="GA157" s="3">
        <f ca="1">IFERROR(__xludf.DUMMYFUNCTION("""COMPUTED_VALUE"""),-0.644728888835757)</f>
        <v>-0.64472888883575696</v>
      </c>
      <c r="GB157" s="3">
        <f ca="1">IFERROR(__xludf.DUMMYFUNCTION("""COMPUTED_VALUE"""),-0.635692224622526)</f>
        <v>-0.63569222462252595</v>
      </c>
      <c r="GC157" s="3">
        <f ca="1">IFERROR(__xludf.DUMMYFUNCTION("""COMPUTED_VALUE"""),-0.686324016290201)</f>
        <v>-0.68632401629020101</v>
      </c>
      <c r="GD157" s="3">
        <f ca="1">IFERROR(__xludf.DUMMYFUNCTION("""COMPUTED_VALUE"""),-0.543735156922025)</f>
        <v>-0.54373515692202501</v>
      </c>
      <c r="GE157" s="3">
        <f ca="1">IFERROR(__xludf.DUMMYFUNCTION("""COMPUTED_VALUE"""),-0.554207657598795)</f>
        <v>-0.55420765759879498</v>
      </c>
      <c r="GF157" s="3">
        <f ca="1">IFERROR(__xludf.DUMMYFUNCTION("""COMPUTED_VALUE"""),-0.608137942606457)</f>
        <v>-0.60813794260645704</v>
      </c>
      <c r="GG157" s="3">
        <f ca="1">IFERROR(__xludf.DUMMYFUNCTION("""COMPUTED_VALUE"""),-0.509700854249252)</f>
        <v>-0.50970085424925204</v>
      </c>
      <c r="GH157" s="3">
        <f ca="1">IFERROR(__xludf.DUMMYFUNCTION("""COMPUTED_VALUE"""),-0.546728115496637)</f>
        <v>-0.54672811549663702</v>
      </c>
      <c r="GI157" s="3">
        <f ca="1">IFERROR(__xludf.DUMMYFUNCTION("""COMPUTED_VALUE"""),-0.533370265315913)</f>
        <v>-0.53337026531591303</v>
      </c>
      <c r="GJ157" s="3">
        <f ca="1">IFERROR(__xludf.DUMMYFUNCTION("""COMPUTED_VALUE"""),-0.456063403225594)</f>
        <v>-0.45606340322559402</v>
      </c>
      <c r="GK157" s="3">
        <f ca="1">IFERROR(__xludf.DUMMYFUNCTION("""COMPUTED_VALUE"""),-0.49021639512452)</f>
        <v>-0.49021639512451998</v>
      </c>
      <c r="GL157" s="3">
        <f ca="1">IFERROR(__xludf.DUMMYFUNCTION("""COMPUTED_VALUE"""),-0.45525549656596)</f>
        <v>-0.45525549656595998</v>
      </c>
      <c r="GM157" s="3">
        <f ca="1">IFERROR(__xludf.DUMMYFUNCTION("""COMPUTED_VALUE"""),-0.58192995079282)</f>
        <v>-0.58192995079281995</v>
      </c>
      <c r="GN157" s="3">
        <f ca="1">IFERROR(__xludf.DUMMYFUNCTION("""COMPUTED_VALUE"""),-0.546483028552563)</f>
        <v>-0.54648302855256303</v>
      </c>
      <c r="GO157" s="3">
        <f ca="1">IFERROR(__xludf.DUMMYFUNCTION("""COMPUTED_VALUE"""),-0.584590686479399)</f>
        <v>-0.58459068647939905</v>
      </c>
      <c r="GP157" s="3">
        <f ca="1">IFERROR(__xludf.DUMMYFUNCTION("""COMPUTED_VALUE"""),-0.544338533252015)</f>
        <v>-0.54433853325201498</v>
      </c>
      <c r="GQ157" s="3">
        <f ca="1">IFERROR(__xludf.DUMMYFUNCTION("""COMPUTED_VALUE"""),-0.520807590554836)</f>
        <v>-0.52080759055483605</v>
      </c>
      <c r="GR157" s="3">
        <f ca="1">IFERROR(__xludf.DUMMYFUNCTION("""COMPUTED_VALUE"""),-0.505816267607289)</f>
        <v>-0.50581626760728904</v>
      </c>
      <c r="GS157" s="3">
        <f ca="1">IFERROR(__xludf.DUMMYFUNCTION("""COMPUTED_VALUE"""),-0.560796196769736)</f>
        <v>-0.56079619676973602</v>
      </c>
      <c r="GT157" s="3">
        <f ca="1">IFERROR(__xludf.DUMMYFUNCTION("""COMPUTED_VALUE"""),-0.582462783682429)</f>
        <v>-0.58246278368242899</v>
      </c>
      <c r="GU157" s="3">
        <f ca="1">IFERROR(__xludf.DUMMYFUNCTION("""COMPUTED_VALUE"""),-0.550375897624075)</f>
        <v>-0.55037589762407502</v>
      </c>
      <c r="GV157" s="3">
        <f ca="1">IFERROR(__xludf.DUMMYFUNCTION("""COMPUTED_VALUE"""),-0.577671289344232)</f>
        <v>-0.57767128934423195</v>
      </c>
      <c r="GW157" s="3">
        <f ca="1">IFERROR(__xludf.DUMMYFUNCTION("""COMPUTED_VALUE"""),-0.602875828955563)</f>
        <v>-0.60287582895556302</v>
      </c>
      <c r="GX157" s="3">
        <f ca="1">IFERROR(__xludf.DUMMYFUNCTION("""COMPUTED_VALUE"""),-0.507361824025649)</f>
        <v>-0.507361824025649</v>
      </c>
      <c r="GY157" s="3">
        <f ca="1">IFERROR(__xludf.DUMMYFUNCTION("""COMPUTED_VALUE"""),-0.440359937932577)</f>
        <v>-0.44035993793257699</v>
      </c>
      <c r="GZ157" s="3">
        <f ca="1">IFERROR(__xludf.DUMMYFUNCTION("""COMPUTED_VALUE"""),-0.487142442153074)</f>
        <v>-0.48714244215307401</v>
      </c>
      <c r="HA157" s="3">
        <f ca="1">IFERROR(__xludf.DUMMYFUNCTION("""COMPUTED_VALUE"""),-0.570692535800023)</f>
        <v>-0.57069253580002299</v>
      </c>
      <c r="HB157" s="3">
        <f ca="1">IFERROR(__xludf.DUMMYFUNCTION("""COMPUTED_VALUE"""),-0.547532352193757)</f>
        <v>-0.54753235219375695</v>
      </c>
      <c r="HC157" s="3">
        <f ca="1">IFERROR(__xludf.DUMMYFUNCTION("""COMPUTED_VALUE"""),-0.569004455415006)</f>
        <v>-0.56900445541500599</v>
      </c>
      <c r="HD157" s="3">
        <f ca="1">IFERROR(__xludf.DUMMYFUNCTION("""COMPUTED_VALUE"""),-0.539854041708766)</f>
        <v>-0.53985404170876605</v>
      </c>
      <c r="HE157" s="3">
        <f ca="1">IFERROR(__xludf.DUMMYFUNCTION("""COMPUTED_VALUE"""),-0.497673784868413)</f>
        <v>-0.49767378486841302</v>
      </c>
      <c r="HF157" s="3">
        <f ca="1">IFERROR(__xludf.DUMMYFUNCTION("""COMPUTED_VALUE"""),-0.469264828149671)</f>
        <v>-0.46926482814967102</v>
      </c>
      <c r="HG157" s="3">
        <f ca="1">IFERROR(__xludf.DUMMYFUNCTION("""COMPUTED_VALUE"""),-0.480546001097416)</f>
        <v>-0.48054600109741602</v>
      </c>
      <c r="HH157" s="3">
        <f ca="1">IFERROR(__xludf.DUMMYFUNCTION("""COMPUTED_VALUE"""),-0.563479110136645)</f>
        <v>-0.56347911013664498</v>
      </c>
      <c r="HI157" s="3">
        <f ca="1">IFERROR(__xludf.DUMMYFUNCTION("""COMPUTED_VALUE"""),-0.56496036438879)</f>
        <v>-0.56496036438879005</v>
      </c>
      <c r="HJ157" s="3">
        <f ca="1">IFERROR(__xludf.DUMMYFUNCTION("""COMPUTED_VALUE"""),-0.600187623484643)</f>
        <v>-0.60018762348464305</v>
      </c>
      <c r="HK157" s="3">
        <f ca="1">IFERROR(__xludf.DUMMYFUNCTION("""COMPUTED_VALUE"""),-0.538936325631912)</f>
        <v>-0.53893632563191196</v>
      </c>
      <c r="HL157" s="3">
        <f ca="1">IFERROR(__xludf.DUMMYFUNCTION("""COMPUTED_VALUE"""),-0.740784146183105)</f>
        <v>-0.74078414618310495</v>
      </c>
      <c r="HM157" s="3">
        <f ca="1">IFERROR(__xludf.DUMMYFUNCTION("""COMPUTED_VALUE"""),-0.415205968033503)</f>
        <v>-0.41520596803350301</v>
      </c>
      <c r="HN157" s="3">
        <f ca="1">IFERROR(__xludf.DUMMYFUNCTION("""COMPUTED_VALUE"""),-0.484027623479092)</f>
        <v>-0.48402762347909201</v>
      </c>
      <c r="HO157" s="3">
        <f ca="1">IFERROR(__xludf.DUMMYFUNCTION("""COMPUTED_VALUE"""),-0.546234201272658)</f>
        <v>-0.54623420127265798</v>
      </c>
      <c r="HP157" s="3">
        <f ca="1">IFERROR(__xludf.DUMMYFUNCTION("""COMPUTED_VALUE"""),-0.518996662422792)</f>
        <v>-0.51899666242279197</v>
      </c>
      <c r="HQ157" s="3">
        <f ca="1">IFERROR(__xludf.DUMMYFUNCTION("""COMPUTED_VALUE"""),-0.511489030886275)</f>
        <v>-0.51148903088627495</v>
      </c>
      <c r="HR157" s="3">
        <f ca="1">IFERROR(__xludf.DUMMYFUNCTION("""COMPUTED_VALUE"""),-0.46421909881314)</f>
        <v>-0.46421909881314</v>
      </c>
      <c r="HS157" s="3">
        <f ca="1">IFERROR(__xludf.DUMMYFUNCTION("""COMPUTED_VALUE"""),-0.282642934823329)</f>
        <v>-0.28264293482332897</v>
      </c>
      <c r="HT157" s="3">
        <f ca="1">IFERROR(__xludf.DUMMYFUNCTION("""COMPUTED_VALUE"""),-0.429555434090557)</f>
        <v>-0.42955543409055702</v>
      </c>
      <c r="HU157" s="3">
        <f ca="1">IFERROR(__xludf.DUMMYFUNCTION("""COMPUTED_VALUE"""),-0.467028623858079)</f>
        <v>-0.46702862385807897</v>
      </c>
      <c r="HV157" s="3">
        <f ca="1">IFERROR(__xludf.DUMMYFUNCTION("""COMPUTED_VALUE"""),-0.502132158725909)</f>
        <v>-0.50213215872590899</v>
      </c>
      <c r="HW157" s="3">
        <f ca="1">IFERROR(__xludf.DUMMYFUNCTION("""COMPUTED_VALUE"""),-0.453263969119762)</f>
        <v>-0.45326396911976202</v>
      </c>
      <c r="HX157" s="3">
        <f ca="1">IFERROR(__xludf.DUMMYFUNCTION("""COMPUTED_VALUE"""),-0.497416857139914)</f>
        <v>-0.49741685713991401</v>
      </c>
      <c r="HY157" s="3">
        <f ca="1">IFERROR(__xludf.DUMMYFUNCTION("""COMPUTED_VALUE"""),-0.607821676568551)</f>
        <v>-0.60782167656855102</v>
      </c>
      <c r="HZ157" s="3">
        <f ca="1">IFERROR(__xludf.DUMMYFUNCTION("""COMPUTED_VALUE"""),-0.45497700098826)</f>
        <v>-0.45497700098825999</v>
      </c>
      <c r="IA157" s="3">
        <f ca="1">IFERROR(__xludf.DUMMYFUNCTION("""COMPUTED_VALUE"""),-0.582890479354407)</f>
        <v>-0.58289047935440697</v>
      </c>
      <c r="IB157" s="3">
        <f ca="1">IFERROR(__xludf.DUMMYFUNCTION("""COMPUTED_VALUE"""),-0.507102072092696)</f>
        <v>-0.50710207209269598</v>
      </c>
      <c r="IC157" s="3">
        <f ca="1">IFERROR(__xludf.DUMMYFUNCTION("""COMPUTED_VALUE"""),-0.634788310593564)</f>
        <v>-0.634788310593564</v>
      </c>
      <c r="ID157" s="3">
        <f ca="1">IFERROR(__xludf.DUMMYFUNCTION("""COMPUTED_VALUE"""),-0.630598686424586)</f>
        <v>-0.63059868642458605</v>
      </c>
      <c r="IE157" s="3">
        <f ca="1">IFERROR(__xludf.DUMMYFUNCTION("""COMPUTED_VALUE"""),-0.602847879991757)</f>
        <v>-0.60284787999175704</v>
      </c>
      <c r="IF157" s="3">
        <f ca="1">IFERROR(__xludf.DUMMYFUNCTION("""COMPUTED_VALUE"""),-0.617018316513289)</f>
        <v>-0.61701831651328898</v>
      </c>
      <c r="IG157" s="3">
        <f ca="1">IFERROR(__xludf.DUMMYFUNCTION("""COMPUTED_VALUE"""),-0.611430392833412)</f>
        <v>-0.61143039283341205</v>
      </c>
      <c r="IH157" s="3">
        <f ca="1">IFERROR(__xludf.DUMMYFUNCTION("""COMPUTED_VALUE"""),-0.440249210592119)</f>
        <v>-0.44024921059211902</v>
      </c>
      <c r="II157" s="3">
        <f ca="1">IFERROR(__xludf.DUMMYFUNCTION("""COMPUTED_VALUE"""),-0.477016677432235)</f>
        <v>-0.47701667743223503</v>
      </c>
      <c r="IJ157" s="3">
        <f ca="1">IFERROR(__xludf.DUMMYFUNCTION("""COMPUTED_VALUE"""),-0.540824903136056)</f>
        <v>-0.54082490313605602</v>
      </c>
      <c r="IK157" s="3">
        <f ca="1">IFERROR(__xludf.DUMMYFUNCTION("""COMPUTED_VALUE"""),-0.59307897869744)</f>
        <v>-0.59307897869743997</v>
      </c>
      <c r="IL157" s="3">
        <f ca="1">IFERROR(__xludf.DUMMYFUNCTION("""COMPUTED_VALUE"""),-0.567757176355122)</f>
        <v>-0.56775717635512202</v>
      </c>
      <c r="IM157" s="3">
        <f ca="1">IFERROR(__xludf.DUMMYFUNCTION("""COMPUTED_VALUE"""),-0.548824819465751)</f>
        <v>-0.54882481946575101</v>
      </c>
      <c r="IN157" s="3">
        <f ca="1">IFERROR(__xludf.DUMMYFUNCTION("""COMPUTED_VALUE"""),-0.560600508479448)</f>
        <v>-0.56060050847944798</v>
      </c>
      <c r="IO157" s="3">
        <f ca="1">IFERROR(__xludf.DUMMYFUNCTION("""COMPUTED_VALUE"""),-0.541646536137691)</f>
        <v>-0.54164653613769098</v>
      </c>
      <c r="IP157" s="3">
        <f ca="1">IFERROR(__xludf.DUMMYFUNCTION("""COMPUTED_VALUE"""),-0.450462117110456)</f>
        <v>-0.45046211711045597</v>
      </c>
      <c r="IQ157" s="3">
        <f ca="1">IFERROR(__xludf.DUMMYFUNCTION("""COMPUTED_VALUE"""),-0.489969916236305)</f>
        <v>-0.48996991623630498</v>
      </c>
      <c r="IR157" s="3">
        <f ca="1">IFERROR(__xludf.DUMMYFUNCTION("""COMPUTED_VALUE"""),-0.500906251336606)</f>
        <v>-0.50090625133660605</v>
      </c>
      <c r="IS157" s="3">
        <f ca="1">IFERROR(__xludf.DUMMYFUNCTION("""COMPUTED_VALUE"""),-0.540033670903577)</f>
        <v>-0.54003367090357701</v>
      </c>
      <c r="IT157" s="3">
        <f ca="1">IFERROR(__xludf.DUMMYFUNCTION("""COMPUTED_VALUE"""),-0.599007561114977)</f>
        <v>-0.59900756111497699</v>
      </c>
      <c r="IU157" s="3">
        <f ca="1">IFERROR(__xludf.DUMMYFUNCTION("""COMPUTED_VALUE"""),-0.499159415930677)</f>
        <v>-0.49915941593067698</v>
      </c>
      <c r="IV157" s="3">
        <f ca="1">IFERROR(__xludf.DUMMYFUNCTION("""COMPUTED_VALUE"""),-0.489797672676883)</f>
        <v>-0.48979767267688301</v>
      </c>
      <c r="IW157" s="3">
        <f ca="1">IFERROR(__xludf.DUMMYFUNCTION("""COMPUTED_VALUE"""),-0.478341157153081)</f>
        <v>-0.47834115715308101</v>
      </c>
      <c r="IX157" s="3">
        <f ca="1">IFERROR(__xludf.DUMMYFUNCTION("""COMPUTED_VALUE"""),-0.487899708219265)</f>
        <v>-0.48789970821926498</v>
      </c>
      <c r="IY157" s="3">
        <f ca="1">IFERROR(__xludf.DUMMYFUNCTION("""COMPUTED_VALUE"""),-0.56467651743175)</f>
        <v>-0.56467651743174996</v>
      </c>
      <c r="IZ157" s="3">
        <f ca="1">IFERROR(__xludf.DUMMYFUNCTION("""COMPUTED_VALUE"""),-0.491204796673178)</f>
        <v>-0.49120479667317801</v>
      </c>
      <c r="JA157" s="3">
        <f ca="1">IFERROR(__xludf.DUMMYFUNCTION("""COMPUTED_VALUE"""),-0.513040788385578)</f>
        <v>-0.51304078838557798</v>
      </c>
      <c r="JB157" s="3">
        <f ca="1">IFERROR(__xludf.DUMMYFUNCTION("""COMPUTED_VALUE"""),-0.535458151909146)</f>
        <v>-0.53545815190914603</v>
      </c>
      <c r="JC157" s="3">
        <f ca="1">IFERROR(__xludf.DUMMYFUNCTION("""COMPUTED_VALUE"""),-0.526112731767398)</f>
        <v>-0.52611273176739803</v>
      </c>
      <c r="JD157" s="3">
        <f ca="1">IFERROR(__xludf.DUMMYFUNCTION("""COMPUTED_VALUE"""),-0.543397818236294)</f>
        <v>-0.54339781823629396</v>
      </c>
      <c r="JE157" s="3">
        <f ca="1">IFERROR(__xludf.DUMMYFUNCTION("""COMPUTED_VALUE"""),-0.539344468080016)</f>
        <v>-0.53934446808001602</v>
      </c>
      <c r="JF157" s="3">
        <f ca="1">IFERROR(__xludf.DUMMYFUNCTION("""COMPUTED_VALUE"""),-0.573554401181665)</f>
        <v>-0.57355440118166501</v>
      </c>
      <c r="JG157" s="3">
        <f ca="1">IFERROR(__xludf.DUMMYFUNCTION("""COMPUTED_VALUE"""),-0.532965646616365)</f>
        <v>-0.53296564661636503</v>
      </c>
      <c r="JH157" s="3">
        <f ca="1">IFERROR(__xludf.DUMMYFUNCTION("""COMPUTED_VALUE"""),-0.49864801974084)</f>
        <v>-0.49864801974084</v>
      </c>
      <c r="JI157" s="3">
        <f ca="1">IFERROR(__xludf.DUMMYFUNCTION("""COMPUTED_VALUE"""),-0.563970123288632)</f>
        <v>-0.56397012328863205</v>
      </c>
      <c r="JJ157" s="3">
        <f ca="1">IFERROR(__xludf.DUMMYFUNCTION("""COMPUTED_VALUE"""),-0.530609467926566)</f>
        <v>-0.53060946792656605</v>
      </c>
      <c r="JK157" s="3">
        <f ca="1">IFERROR(__xludf.DUMMYFUNCTION("""COMPUTED_VALUE"""),-0.572063447779757)</f>
        <v>-0.57206344777975704</v>
      </c>
      <c r="JL157" s="3">
        <f ca="1">IFERROR(__xludf.DUMMYFUNCTION("""COMPUTED_VALUE"""),-0.542761387490136)</f>
        <v>-0.54276138749013603</v>
      </c>
      <c r="JM157" s="3">
        <f ca="1">IFERROR(__xludf.DUMMYFUNCTION("""COMPUTED_VALUE"""),-0.540864083942967)</f>
        <v>-0.54086408394296703</v>
      </c>
      <c r="JN157" s="3">
        <f ca="1">IFERROR(__xludf.DUMMYFUNCTION("""COMPUTED_VALUE"""),-0.566306709833617)</f>
        <v>-0.56630670983361697</v>
      </c>
      <c r="JO157" s="3">
        <f ca="1">IFERROR(__xludf.DUMMYFUNCTION("""COMPUTED_VALUE"""),-0.599452669834918)</f>
        <v>-0.59945266983491796</v>
      </c>
      <c r="JP157" s="3">
        <f ca="1">IFERROR(__xludf.DUMMYFUNCTION("""COMPUTED_VALUE"""),-0.558569150270163)</f>
        <v>-0.55856915027016296</v>
      </c>
      <c r="JQ157" s="3">
        <f ca="1">IFERROR(__xludf.DUMMYFUNCTION("""COMPUTED_VALUE"""),-0.614738896715501)</f>
        <v>-0.61473889671550097</v>
      </c>
      <c r="JR157" s="3">
        <f ca="1">IFERROR(__xludf.DUMMYFUNCTION("""COMPUTED_VALUE"""),-0.588005324985413)</f>
        <v>-0.58800532498541302</v>
      </c>
      <c r="JS157" s="3">
        <f ca="1">IFERROR(__xludf.DUMMYFUNCTION("""COMPUTED_VALUE"""),-0.543072104590009)</f>
        <v>-0.54307210459000899</v>
      </c>
      <c r="JT157" s="3">
        <f ca="1">IFERROR(__xludf.DUMMYFUNCTION("""COMPUTED_VALUE"""),-0.549575505286786)</f>
        <v>-0.549575505286786</v>
      </c>
      <c r="JU157" s="3">
        <f ca="1">IFERROR(__xludf.DUMMYFUNCTION("""COMPUTED_VALUE"""),-0.555882496263143)</f>
        <v>-0.55588249626314301</v>
      </c>
      <c r="JV157" s="3">
        <f ca="1">IFERROR(__xludf.DUMMYFUNCTION("""COMPUTED_VALUE"""),-0.594769448903816)</f>
        <v>-0.594769448903816</v>
      </c>
      <c r="JW157" s="3">
        <f ca="1">IFERROR(__xludf.DUMMYFUNCTION("""COMPUTED_VALUE"""),-0.557101961373629)</f>
        <v>-0.557101961373629</v>
      </c>
      <c r="JX157" s="3">
        <f ca="1">IFERROR(__xludf.DUMMYFUNCTION("""COMPUTED_VALUE"""),-0.700788006547212)</f>
        <v>-0.70078800654721196</v>
      </c>
      <c r="JY157" s="3">
        <f ca="1">IFERROR(__xludf.DUMMYFUNCTION("""COMPUTED_VALUE"""),-0.549054764526707)</f>
        <v>-0.54905476452670698</v>
      </c>
      <c r="JZ157" s="3">
        <f ca="1">IFERROR(__xludf.DUMMYFUNCTION("""COMPUTED_VALUE"""),-0.535589791168829)</f>
        <v>-0.53558979116882899</v>
      </c>
      <c r="KA157" s="3">
        <f ca="1">IFERROR(__xludf.DUMMYFUNCTION("""COMPUTED_VALUE"""),-0.507272342774825)</f>
        <v>-0.50727234277482502</v>
      </c>
      <c r="KB157" s="3">
        <f ca="1">IFERROR(__xludf.DUMMYFUNCTION("""COMPUTED_VALUE"""),-0.694144679147226)</f>
        <v>-0.694144679147226</v>
      </c>
      <c r="KC157" s="3">
        <f ca="1">IFERROR(__xludf.DUMMYFUNCTION("""COMPUTED_VALUE"""),-0.5150890486205)</f>
        <v>-0.51508904862049998</v>
      </c>
      <c r="KD157" s="3">
        <f ca="1">IFERROR(__xludf.DUMMYFUNCTION("""COMPUTED_VALUE"""),-0.521791697599715)</f>
        <v>-0.521791697599715</v>
      </c>
      <c r="KE157" s="3">
        <f ca="1">IFERROR(__xludf.DUMMYFUNCTION("""COMPUTED_VALUE"""),-0.660611752773304)</f>
        <v>-0.66061175277330397</v>
      </c>
      <c r="KF157" s="3">
        <f ca="1">IFERROR(__xludf.DUMMYFUNCTION("""COMPUTED_VALUE"""),-0.551040605122855)</f>
        <v>-0.55104060512285502</v>
      </c>
      <c r="KG157" s="3">
        <f ca="1">IFERROR(__xludf.DUMMYFUNCTION("""COMPUTED_VALUE"""),-0.469014913402196)</f>
        <v>-0.46901491340219598</v>
      </c>
      <c r="KH157" s="3">
        <f ca="1">IFERROR(__xludf.DUMMYFUNCTION("""COMPUTED_VALUE"""),-0.50081551325074)</f>
        <v>-0.50081551325074003</v>
      </c>
      <c r="KI157" s="3">
        <f ca="1">IFERROR(__xludf.DUMMYFUNCTION("""COMPUTED_VALUE"""),-0.730679368252859)</f>
        <v>-0.73067936825285895</v>
      </c>
      <c r="KJ157" s="3">
        <f ca="1">IFERROR(__xludf.DUMMYFUNCTION("""COMPUTED_VALUE"""),-0.506113256438733)</f>
        <v>-0.50611325643873295</v>
      </c>
      <c r="KK157" s="3">
        <f ca="1">IFERROR(__xludf.DUMMYFUNCTION("""COMPUTED_VALUE"""),-0.384443494452043)</f>
        <v>-0.38444349445204301</v>
      </c>
      <c r="KL157" s="3">
        <f ca="1">IFERROR(__xludf.DUMMYFUNCTION("""COMPUTED_VALUE"""),-0.577284008772812)</f>
        <v>-0.57728400877281205</v>
      </c>
      <c r="KM157" s="3">
        <f ca="1">IFERROR(__xludf.DUMMYFUNCTION("""COMPUTED_VALUE"""),-0.430381255639575)</f>
        <v>-0.43038125563957502</v>
      </c>
      <c r="KN157" s="3">
        <f ca="1">IFERROR(__xludf.DUMMYFUNCTION("""COMPUTED_VALUE"""),-0.603088065571799)</f>
        <v>-0.60308806557179895</v>
      </c>
      <c r="KO157" s="3">
        <f ca="1">IFERROR(__xludf.DUMMYFUNCTION("""COMPUTED_VALUE"""),-0.599189017769172)</f>
        <v>-0.59918901776917199</v>
      </c>
      <c r="KP157" s="3">
        <f ca="1">IFERROR(__xludf.DUMMYFUNCTION("""COMPUTED_VALUE"""),-0.65083288383907)</f>
        <v>-0.65083288383907001</v>
      </c>
      <c r="KQ157" s="3">
        <f ca="1">IFERROR(__xludf.DUMMYFUNCTION("""COMPUTED_VALUE"""),-0.552776639883683)</f>
        <v>-0.55277663988368297</v>
      </c>
      <c r="KR157" s="3">
        <f ca="1">IFERROR(__xludf.DUMMYFUNCTION("""COMPUTED_VALUE"""),-0.539916152071339)</f>
        <v>-0.53991615207133903</v>
      </c>
      <c r="KS157" s="3">
        <f ca="1">IFERROR(__xludf.DUMMYFUNCTION("""COMPUTED_VALUE"""),-0.616842423900966)</f>
        <v>-0.616842423900966</v>
      </c>
      <c r="KT157" s="3">
        <f ca="1">IFERROR(__xludf.DUMMYFUNCTION("""COMPUTED_VALUE"""),-0.607399989104035)</f>
        <v>-0.60739998910403503</v>
      </c>
      <c r="KU157" s="3">
        <f ca="1">IFERROR(__xludf.DUMMYFUNCTION("""COMPUTED_VALUE"""),-0.662893869030974)</f>
        <v>-0.66289386903097403</v>
      </c>
      <c r="KV157" s="3">
        <f ca="1">IFERROR(__xludf.DUMMYFUNCTION("""COMPUTED_VALUE"""),-0.700862934680299)</f>
        <v>-0.70086293468029903</v>
      </c>
      <c r="KW157" s="3">
        <f ca="1">IFERROR(__xludf.DUMMYFUNCTION("""COMPUTED_VALUE"""),-0.642368119549437)</f>
        <v>-0.64236811954943696</v>
      </c>
      <c r="KX157" s="3">
        <f ca="1">IFERROR(__xludf.DUMMYFUNCTION("""COMPUTED_VALUE"""),-0.641048916130347)</f>
        <v>-0.64104891613034698</v>
      </c>
      <c r="KY157" s="3">
        <f ca="1">IFERROR(__xludf.DUMMYFUNCTION("""COMPUTED_VALUE"""),-0.647990252948896)</f>
        <v>-0.64799025294889601</v>
      </c>
      <c r="KZ157" s="3">
        <f ca="1">IFERROR(__xludf.DUMMYFUNCTION("""COMPUTED_VALUE"""),-0.594328182618444)</f>
        <v>-0.594328182618444</v>
      </c>
      <c r="LA157" s="3">
        <f ca="1">IFERROR(__xludf.DUMMYFUNCTION("""COMPUTED_VALUE"""),-0.658130759620789)</f>
        <v>-0.65813075962078904</v>
      </c>
      <c r="LB157" s="3">
        <f ca="1">IFERROR(__xludf.DUMMYFUNCTION("""COMPUTED_VALUE"""),-0.685511061848249)</f>
        <v>-0.68551106184824895</v>
      </c>
      <c r="LC157" s="3">
        <f ca="1">IFERROR(__xludf.DUMMYFUNCTION("""COMPUTED_VALUE"""),-0.684306232289111)</f>
        <v>-0.68430623228911103</v>
      </c>
      <c r="LD157" s="3">
        <f ca="1">IFERROR(__xludf.DUMMYFUNCTION("""COMPUTED_VALUE"""),-0.697414715178436)</f>
        <v>-0.69741471517843601</v>
      </c>
      <c r="LE157" s="3">
        <f ca="1">IFERROR(__xludf.DUMMYFUNCTION("""COMPUTED_VALUE"""),-0.675244862363879)</f>
        <v>-0.67524486236387904</v>
      </c>
      <c r="LF157" s="3">
        <f ca="1">IFERROR(__xludf.DUMMYFUNCTION("""COMPUTED_VALUE"""),-0.626960556049827)</f>
        <v>-0.62696055604982703</v>
      </c>
      <c r="LG157" s="3">
        <f ca="1">IFERROR(__xludf.DUMMYFUNCTION("""COMPUTED_VALUE"""),-0.649136270311841)</f>
        <v>-0.64913627031184096</v>
      </c>
      <c r="LH157" s="3">
        <f ca="1">IFERROR(__xludf.DUMMYFUNCTION("""COMPUTED_VALUE"""),-0.684049861453173)</f>
        <v>-0.68404986145317304</v>
      </c>
      <c r="LI157" s="3">
        <f ca="1">IFERROR(__xludf.DUMMYFUNCTION("""COMPUTED_VALUE"""),-0.725443914773256)</f>
        <v>-0.72544391477325598</v>
      </c>
      <c r="LJ157" s="3">
        <f ca="1">IFERROR(__xludf.DUMMYFUNCTION("""COMPUTED_VALUE"""),-0.72053945844114)</f>
        <v>-0.72053945844113998</v>
      </c>
      <c r="LK157" s="3">
        <f ca="1">IFERROR(__xludf.DUMMYFUNCTION("""COMPUTED_VALUE"""),-0.71428318436927)</f>
        <v>-0.71428318436926996</v>
      </c>
      <c r="LL157" s="3">
        <f ca="1">IFERROR(__xludf.DUMMYFUNCTION("""COMPUTED_VALUE"""),-0.70563726313593)</f>
        <v>-0.70563726313593</v>
      </c>
      <c r="LM157" s="3">
        <f ca="1">IFERROR(__xludf.DUMMYFUNCTION("""COMPUTED_VALUE"""),-0.677155126914518)</f>
        <v>-0.67715512691451796</v>
      </c>
      <c r="LN157" s="3">
        <f ca="1">IFERROR(__xludf.DUMMYFUNCTION("""COMPUTED_VALUE"""),-0.635423052116088)</f>
        <v>-0.63542305211608796</v>
      </c>
      <c r="LO157" s="3">
        <f ca="1">IFERROR(__xludf.DUMMYFUNCTION("""COMPUTED_VALUE"""),-0.730260427285386)</f>
        <v>-0.73026042728538598</v>
      </c>
      <c r="LP157" s="3">
        <f ca="1">IFERROR(__xludf.DUMMYFUNCTION("""COMPUTED_VALUE"""),-0.821950273236992)</f>
        <v>-0.82195027323699199</v>
      </c>
      <c r="LQ157" s="3">
        <f ca="1">IFERROR(__xludf.DUMMYFUNCTION("""COMPUTED_VALUE"""),-0.737174882270997)</f>
        <v>-0.73717488227099703</v>
      </c>
      <c r="LR157" s="3">
        <f ca="1">IFERROR(__xludf.DUMMYFUNCTION("""COMPUTED_VALUE"""),-0.664543359929403)</f>
        <v>-0.66454335992940305</v>
      </c>
      <c r="LS157" s="3">
        <f ca="1">IFERROR(__xludf.DUMMYFUNCTION("""COMPUTED_VALUE"""),-0.737674925347631)</f>
        <v>-0.73767492534763102</v>
      </c>
      <c r="LT157" s="3">
        <f ca="1">IFERROR(__xludf.DUMMYFUNCTION("""COMPUTED_VALUE"""),-0.839338265936659)</f>
        <v>-0.83933826593665894</v>
      </c>
      <c r="LU157" s="3">
        <f ca="1">IFERROR(__xludf.DUMMYFUNCTION("""COMPUTED_VALUE"""),-0.815545981988033)</f>
        <v>-0.81554598198803296</v>
      </c>
      <c r="LV157" s="3">
        <f ca="1">IFERROR(__xludf.DUMMYFUNCTION("""COMPUTED_VALUE"""),-0.746761400044285)</f>
        <v>-0.74676140004428504</v>
      </c>
      <c r="LW157" s="3">
        <f ca="1">IFERROR(__xludf.DUMMYFUNCTION("""COMPUTED_VALUE"""),-0.751454650074059)</f>
        <v>-0.75145465007405898</v>
      </c>
      <c r="LX157" s="3">
        <f ca="1">IFERROR(__xludf.DUMMYFUNCTION("""COMPUTED_VALUE"""),-0.698165144010485)</f>
        <v>-0.69816514401048502</v>
      </c>
      <c r="LY157" s="3">
        <f ca="1">IFERROR(__xludf.DUMMYFUNCTION("""COMPUTED_VALUE"""),-0.691442255811846)</f>
        <v>-0.69144225581184604</v>
      </c>
      <c r="LZ157" s="3">
        <f ca="1">IFERROR(__xludf.DUMMYFUNCTION("""COMPUTED_VALUE"""),-0.706886138311242)</f>
        <v>-0.70688613831124203</v>
      </c>
      <c r="MA157" s="3">
        <f ca="1">IFERROR(__xludf.DUMMYFUNCTION("""COMPUTED_VALUE"""),-0.695351035322774)</f>
        <v>-0.69535103532277398</v>
      </c>
      <c r="MB157" s="3">
        <f ca="1">IFERROR(__xludf.DUMMYFUNCTION("""COMPUTED_VALUE"""),-0.755745334197959)</f>
        <v>-0.75574533419795897</v>
      </c>
      <c r="MC157" s="3">
        <f ca="1">IFERROR(__xludf.DUMMYFUNCTION("""COMPUTED_VALUE"""),-0.692432147782546)</f>
        <v>-0.69243214778254603</v>
      </c>
      <c r="MD157" s="3">
        <f ca="1">IFERROR(__xludf.DUMMYFUNCTION("""COMPUTED_VALUE"""),-0.809799663340333)</f>
        <v>-0.80979966334033304</v>
      </c>
      <c r="ME157" s="3">
        <f ca="1">IFERROR(__xludf.DUMMYFUNCTION("""COMPUTED_VALUE"""),-0.743316159266661)</f>
        <v>-0.74331615926666095</v>
      </c>
      <c r="MF157" s="3">
        <f ca="1">IFERROR(__xludf.DUMMYFUNCTION("""COMPUTED_VALUE"""),-0.735206090790743)</f>
        <v>-0.73520609079074295</v>
      </c>
      <c r="MG157" s="3">
        <f ca="1">IFERROR(__xludf.DUMMYFUNCTION("""COMPUTED_VALUE"""),-0.77655703221697)</f>
        <v>-0.77655703221697003</v>
      </c>
      <c r="MH157" s="3">
        <f ca="1">IFERROR(__xludf.DUMMYFUNCTION("""COMPUTED_VALUE"""),-0.77079069062154)</f>
        <v>-0.77079069062154004</v>
      </c>
      <c r="MI157" s="3">
        <f ca="1">IFERROR(__xludf.DUMMYFUNCTION("""COMPUTED_VALUE"""),-0.81074123091197)</f>
        <v>-0.81074123091197003</v>
      </c>
      <c r="MJ157" s="3">
        <f ca="1">IFERROR(__xludf.DUMMYFUNCTION("""COMPUTED_VALUE"""),-0.7197338905444)</f>
        <v>-0.71973389054439996</v>
      </c>
      <c r="MK157" s="3">
        <f ca="1">IFERROR(__xludf.DUMMYFUNCTION("""COMPUTED_VALUE"""),-0.821010348189131)</f>
        <v>-0.82101034818913099</v>
      </c>
      <c r="ML157" s="3">
        <f ca="1">IFERROR(__xludf.DUMMYFUNCTION("""COMPUTED_VALUE"""),-0.820131372354128)</f>
        <v>-0.82013137235412803</v>
      </c>
      <c r="MM157" s="3">
        <f ca="1">IFERROR(__xludf.DUMMYFUNCTION("""COMPUTED_VALUE"""),-0.812565941646173)</f>
        <v>-0.81256594164617302</v>
      </c>
      <c r="MN157" s="3">
        <f ca="1">IFERROR(__xludf.DUMMYFUNCTION("""COMPUTED_VALUE"""),-0.78907953650807)</f>
        <v>-0.78907953650806995</v>
      </c>
      <c r="MO157" s="3">
        <f ca="1">IFERROR(__xludf.DUMMYFUNCTION("""COMPUTED_VALUE"""),-0.766873151342773)</f>
        <v>-0.76687315134277301</v>
      </c>
      <c r="MP157" s="3">
        <f ca="1">IFERROR(__xludf.DUMMYFUNCTION("""COMPUTED_VALUE"""),-0.781785718968842)</f>
        <v>-0.78178571896884197</v>
      </c>
      <c r="MQ157" s="3">
        <f ca="1">IFERROR(__xludf.DUMMYFUNCTION("""COMPUTED_VALUE"""),-0.750616453432875)</f>
        <v>-0.75061645343287497</v>
      </c>
      <c r="MR157" s="3">
        <f ca="1">IFERROR(__xludf.DUMMYFUNCTION("""COMPUTED_VALUE"""),-0.830847088196547)</f>
        <v>-0.83084708819654696</v>
      </c>
      <c r="MS157" s="3">
        <f ca="1">IFERROR(__xludf.DUMMYFUNCTION("""COMPUTED_VALUE"""),-0.821037085734762)</f>
        <v>-0.82103708573476197</v>
      </c>
      <c r="MT157" s="3">
        <f ca="1">IFERROR(__xludf.DUMMYFUNCTION("""COMPUTED_VALUE"""),-0.833005678422763)</f>
        <v>-0.83300567842276296</v>
      </c>
      <c r="MU157" s="3">
        <f ca="1">IFERROR(__xludf.DUMMYFUNCTION("""COMPUTED_VALUE"""),-0.81754511426828)</f>
        <v>-0.81754511426828003</v>
      </c>
      <c r="MV157" s="3">
        <f ca="1">IFERROR(__xludf.DUMMYFUNCTION("""COMPUTED_VALUE"""),-0.808003910938453)</f>
        <v>-0.80800391093845303</v>
      </c>
      <c r="MW157" s="3">
        <f ca="1">IFERROR(__xludf.DUMMYFUNCTION("""COMPUTED_VALUE"""),-0.774274078525464)</f>
        <v>-0.77427407852546404</v>
      </c>
      <c r="MX157" s="3">
        <f ca="1">IFERROR(__xludf.DUMMYFUNCTION("""COMPUTED_VALUE"""),-0.738547565549061)</f>
        <v>-0.73854756554906098</v>
      </c>
      <c r="MY157" s="3">
        <f ca="1">IFERROR(__xludf.DUMMYFUNCTION("""COMPUTED_VALUE"""),-0.843256073258346)</f>
        <v>-0.84325607325834595</v>
      </c>
      <c r="MZ157" s="3">
        <f ca="1">IFERROR(__xludf.DUMMYFUNCTION("""COMPUTED_VALUE"""),-0.841844740180992)</f>
        <v>-0.84184474018099198</v>
      </c>
      <c r="NA157" s="3">
        <f ca="1">IFERROR(__xludf.DUMMYFUNCTION("""COMPUTED_VALUE"""),-0.848880295377678)</f>
        <v>-0.84888029537767795</v>
      </c>
      <c r="NB157" s="3">
        <f ca="1">IFERROR(__xludf.DUMMYFUNCTION("""COMPUTED_VALUE"""),-0.822407939159386)</f>
        <v>-0.82240793915938604</v>
      </c>
      <c r="NC157" s="3">
        <f ca="1">IFERROR(__xludf.DUMMYFUNCTION("""COMPUTED_VALUE"""),-0.858793797448407)</f>
        <v>-0.858793797448407</v>
      </c>
      <c r="ND157" s="3">
        <f ca="1">IFERROR(__xludf.DUMMYFUNCTION("""COMPUTED_VALUE"""),-0.776517904565202)</f>
        <v>-0.77651790456520198</v>
      </c>
      <c r="NE157" s="3">
        <f ca="1">IFERROR(__xludf.DUMMYFUNCTION("""COMPUTED_VALUE"""),-0.707843850823624)</f>
        <v>-0.707843850823624</v>
      </c>
      <c r="NF157" s="3">
        <f ca="1">IFERROR(__xludf.DUMMYFUNCTION("""COMPUTED_VALUE"""),-0.825766993318273)</f>
        <v>-0.82576699331827297</v>
      </c>
      <c r="NG157" s="3">
        <f ca="1">IFERROR(__xludf.DUMMYFUNCTION("""COMPUTED_VALUE"""),-0.863682296112173)</f>
        <v>-0.86368229611217295</v>
      </c>
      <c r="NH157" s="3">
        <f ca="1">IFERROR(__xludf.DUMMYFUNCTION("""COMPUTED_VALUE"""),-0.856265776854619)</f>
        <v>-0.85626577685461902</v>
      </c>
      <c r="NI157" s="3">
        <f ca="1">IFERROR(__xludf.DUMMYFUNCTION("""COMPUTED_VALUE"""),-0.857239494647076)</f>
        <v>-0.85723949464707605</v>
      </c>
      <c r="NJ157" s="3">
        <f ca="1">IFERROR(__xludf.DUMMYFUNCTION("""COMPUTED_VALUE"""),-0.836687187119386)</f>
        <v>-0.83668718711938606</v>
      </c>
      <c r="NK157" s="3">
        <f ca="1">IFERROR(__xludf.DUMMYFUNCTION("""COMPUTED_VALUE"""),-0.842324799790804)</f>
        <v>-0.84232479979080399</v>
      </c>
      <c r="NL157" s="3">
        <f ca="1">IFERROR(__xludf.DUMMYFUNCTION("""COMPUTED_VALUE"""),-0.741003454339092)</f>
        <v>-0.74100345433909198</v>
      </c>
      <c r="NM157" s="3">
        <f ca="1">IFERROR(__xludf.DUMMYFUNCTION("""COMPUTED_VALUE"""),-0.867675813902559)</f>
        <v>-0.86767581390255899</v>
      </c>
      <c r="NN157" s="3">
        <f ca="1">IFERROR(__xludf.DUMMYFUNCTION("""COMPUTED_VALUE"""),-0.837024222535833)</f>
        <v>-0.83702422253583297</v>
      </c>
      <c r="NO157" s="3">
        <f ca="1">IFERROR(__xludf.DUMMYFUNCTION("""COMPUTED_VALUE"""),-0.807659373057628)</f>
        <v>-0.80765937305762803</v>
      </c>
      <c r="NP157" s="3">
        <f ca="1">IFERROR(__xludf.DUMMYFUNCTION("""COMPUTED_VALUE"""),-0.827005669670953)</f>
        <v>-0.82700566967095301</v>
      </c>
      <c r="NQ157" s="3">
        <f ca="1">IFERROR(__xludf.DUMMYFUNCTION("""COMPUTED_VALUE"""),-0.825473202825538)</f>
        <v>-0.82547320282553804</v>
      </c>
      <c r="NR157" s="3">
        <f ca="1">IFERROR(__xludf.DUMMYFUNCTION("""COMPUTED_VALUE"""),-0.771809405879271)</f>
        <v>-0.77180940587927105</v>
      </c>
      <c r="NS157" s="3">
        <f ca="1">IFERROR(__xludf.DUMMYFUNCTION("""COMPUTED_VALUE"""),-0.758019388806474)</f>
        <v>-0.75801938880647401</v>
      </c>
      <c r="NT157" s="3">
        <f ca="1">IFERROR(__xludf.DUMMYFUNCTION("""COMPUTED_VALUE"""),-0.836788892949235)</f>
        <v>-0.83678889294923497</v>
      </c>
      <c r="NU157" s="3">
        <f ca="1">IFERROR(__xludf.DUMMYFUNCTION("""COMPUTED_VALUE"""),-0.835125748030136)</f>
        <v>-0.83512574803013595</v>
      </c>
      <c r="NV157" s="3">
        <f ca="1">IFERROR(__xludf.DUMMYFUNCTION("""COMPUTED_VALUE"""),-0.819256437584605)</f>
        <v>-0.81925643758460498</v>
      </c>
      <c r="NW157" s="3">
        <f ca="1">IFERROR(__xludf.DUMMYFUNCTION("""COMPUTED_VALUE"""),-0.794903073774795)</f>
        <v>-0.79490307377479497</v>
      </c>
      <c r="NX157" s="3">
        <f ca="1">IFERROR(__xludf.DUMMYFUNCTION("""COMPUTED_VALUE"""),-0.775584703091552)</f>
        <v>-0.77558470309155203</v>
      </c>
      <c r="NY157" s="3">
        <f ca="1">IFERROR(__xludf.DUMMYFUNCTION("""COMPUTED_VALUE"""),-0.709830625756799)</f>
        <v>-0.70983062575679901</v>
      </c>
      <c r="NZ157" s="3">
        <f ca="1">IFERROR(__xludf.DUMMYFUNCTION("""COMPUTED_VALUE"""),-0.620322704352111)</f>
        <v>-0.62032270435211101</v>
      </c>
      <c r="OA157" s="3">
        <f ca="1">IFERROR(__xludf.DUMMYFUNCTION("""COMPUTED_VALUE"""),-0.713561487245337)</f>
        <v>-0.71356148724533697</v>
      </c>
      <c r="OB157" s="3">
        <f ca="1">IFERROR(__xludf.DUMMYFUNCTION("""COMPUTED_VALUE"""),-0.727497261143794)</f>
        <v>-0.72749726114379398</v>
      </c>
      <c r="OC157" s="3">
        <f ca="1">IFERROR(__xludf.DUMMYFUNCTION("""COMPUTED_VALUE"""),-0.642488739595521)</f>
        <v>-0.642488739595521</v>
      </c>
      <c r="OD157" s="3">
        <f ca="1">IFERROR(__xludf.DUMMYFUNCTION("""COMPUTED_VALUE"""),-0.631235846124284)</f>
        <v>-0.63123584612428396</v>
      </c>
      <c r="OE157" s="3">
        <f ca="1">IFERROR(__xludf.DUMMYFUNCTION("""COMPUTED_VALUE"""),-0.524509632496619)</f>
        <v>-0.52450963249661897</v>
      </c>
      <c r="OF157" s="3">
        <f ca="1">IFERROR(__xludf.DUMMYFUNCTION("""COMPUTED_VALUE"""),-0.18481862782342)</f>
        <v>-0.18481862782342001</v>
      </c>
      <c r="OG157" s="3">
        <f ca="1">IFERROR(__xludf.DUMMYFUNCTION("""COMPUTED_VALUE"""),0.0144504409158983)</f>
        <v>1.44504409158983E-2</v>
      </c>
      <c r="OH157" s="3">
        <f ca="1">IFERROR(__xludf.DUMMYFUNCTION("""COMPUTED_VALUE"""),-0.0594789176774005)</f>
        <v>-5.9478917677400503E-2</v>
      </c>
      <c r="OI157" s="3">
        <f ca="1">IFERROR(__xludf.DUMMYFUNCTION("""COMPUTED_VALUE"""),0.119756283621067)</f>
        <v>0.11975628362106699</v>
      </c>
      <c r="OJ157" s="3">
        <f ca="1">IFERROR(__xludf.DUMMYFUNCTION("""COMPUTED_VALUE"""),0.213825912978917)</f>
        <v>0.21382591297891701</v>
      </c>
      <c r="OK157" s="3">
        <f ca="1">IFERROR(__xludf.DUMMYFUNCTION("""COMPUTED_VALUE"""),0.111286223011882)</f>
        <v>0.111286223011882</v>
      </c>
      <c r="OL157" s="3">
        <f ca="1">IFERROR(__xludf.DUMMYFUNCTION("""COMPUTED_VALUE"""),0.115029694879044)</f>
        <v>0.11502969487904401</v>
      </c>
      <c r="OM157" s="3">
        <f ca="1">IFERROR(__xludf.DUMMYFUNCTION("""COMPUTED_VALUE"""),0.075810327829793)</f>
        <v>7.5810327829792995E-2</v>
      </c>
      <c r="ON157" s="3">
        <f ca="1">IFERROR(__xludf.DUMMYFUNCTION("""COMPUTED_VALUE"""),0.187651432663049)</f>
        <v>0.18765143266304901</v>
      </c>
      <c r="OO157" s="3">
        <f ca="1">IFERROR(__xludf.DUMMYFUNCTION("""COMPUTED_VALUE"""),-0.088302221229081)</f>
        <v>-8.8302221229081004E-2</v>
      </c>
      <c r="OP157" s="3">
        <f ca="1">IFERROR(__xludf.DUMMYFUNCTION("""COMPUTED_VALUE"""),-0.0350259385462298)</f>
        <v>-3.5025938546229797E-2</v>
      </c>
      <c r="OQ157" s="3">
        <f ca="1">IFERROR(__xludf.DUMMYFUNCTION("""COMPUTED_VALUE"""),-0.0830991924032293)</f>
        <v>-8.3099192403229299E-2</v>
      </c>
      <c r="OR157" s="3">
        <f ca="1">IFERROR(__xludf.DUMMYFUNCTION("""COMPUTED_VALUE"""),0.0221124033172939)</f>
        <v>2.2112403317293899E-2</v>
      </c>
      <c r="OS157" s="3">
        <f ca="1">IFERROR(__xludf.DUMMYFUNCTION("""COMPUTED_VALUE"""),-0.0470124298985513)</f>
        <v>-4.7012429898551297E-2</v>
      </c>
      <c r="OT157" s="3">
        <f ca="1">IFERROR(__xludf.DUMMYFUNCTION("""COMPUTED_VALUE"""),0.177845447963579)</f>
        <v>0.17784544796357901</v>
      </c>
      <c r="OU157" s="3">
        <f ca="1">IFERROR(__xludf.DUMMYFUNCTION("""COMPUTED_VALUE"""),0.194665272137498)</f>
        <v>0.19466527213749801</v>
      </c>
      <c r="OV157" s="3">
        <f ca="1">IFERROR(__xludf.DUMMYFUNCTION("""COMPUTED_VALUE"""),0.194963348445356)</f>
        <v>0.19496334844535601</v>
      </c>
      <c r="OW157" s="3">
        <f ca="1">IFERROR(__xludf.DUMMYFUNCTION("""COMPUTED_VALUE"""),-0.406307038692439)</f>
        <v>-0.406307038692439</v>
      </c>
      <c r="OX157" s="3">
        <f ca="1">IFERROR(__xludf.DUMMYFUNCTION("""COMPUTED_VALUE"""),0.136331551555391)</f>
        <v>0.13633155155539101</v>
      </c>
      <c r="OY157" s="3">
        <f ca="1">IFERROR(__xludf.DUMMYFUNCTION("""COMPUTED_VALUE"""),0.0580446256142679)</f>
        <v>5.8044625614267903E-2</v>
      </c>
      <c r="OZ157" s="3">
        <f ca="1">IFERROR(__xludf.DUMMYFUNCTION("""COMPUTED_VALUE"""),0.103035229095778)</f>
        <v>0.103035229095778</v>
      </c>
      <c r="PA157" s="3">
        <f ca="1">IFERROR(__xludf.DUMMYFUNCTION("""COMPUTED_VALUE"""),0.155954180512626)</f>
        <v>0.155954180512626</v>
      </c>
      <c r="PB157" s="3">
        <f ca="1">IFERROR(__xludf.DUMMYFUNCTION("""COMPUTED_VALUE"""),0.044273730490205)</f>
        <v>4.4273730490204999E-2</v>
      </c>
      <c r="PC157" s="3">
        <f ca="1">IFERROR(__xludf.DUMMYFUNCTION("""COMPUTED_VALUE"""),-0.0394209181126797)</f>
        <v>-3.9420918112679698E-2</v>
      </c>
      <c r="PD157" s="3">
        <f ca="1">IFERROR(__xludf.DUMMYFUNCTION("""COMPUTED_VALUE"""),-0.12995047392419)</f>
        <v>-0.12995047392419001</v>
      </c>
      <c r="PE157" s="3">
        <f ca="1">IFERROR(__xludf.DUMMYFUNCTION("""COMPUTED_VALUE"""),0.278988058535996)</f>
        <v>0.27898805853599601</v>
      </c>
      <c r="PF157" s="3">
        <f ca="1">IFERROR(__xludf.DUMMYFUNCTION("""COMPUTED_VALUE"""),0.0292517394943296)</f>
        <v>2.92517394943296E-2</v>
      </c>
      <c r="PG157" s="3">
        <f ca="1">IFERROR(__xludf.DUMMYFUNCTION("""COMPUTED_VALUE"""),0.108293502160225)</f>
        <v>0.108293502160225</v>
      </c>
      <c r="PH157" s="3">
        <f ca="1">IFERROR(__xludf.DUMMYFUNCTION("""COMPUTED_VALUE"""),-0.0145253945088487)</f>
        <v>-1.45253945088487E-2</v>
      </c>
      <c r="PI157" s="3">
        <f ca="1">IFERROR(__xludf.DUMMYFUNCTION("""COMPUTED_VALUE"""),0.0593481041879004)</f>
        <v>5.9348104187900402E-2</v>
      </c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</row>
    <row r="158" spans="1:477" ht="13">
      <c r="A158" s="1" t="str">
        <f ca="1">IFERROR(__xludf.DUMMYFUNCTION("""COMPUTED_VALUE"""),"TransLink")</f>
        <v>TransLink</v>
      </c>
      <c r="B158" s="1" t="str">
        <f ca="1">IFERROR(__xludf.DUMMYFUNCTION("""COMPUTED_VALUE"""),"Vancouver")</f>
        <v>Vancouver</v>
      </c>
      <c r="C158" s="1" t="str">
        <f ca="1">IFERROR(__xludf.DUMMYFUNCTION("""COMPUTED_VALUE"""),"Canada")</f>
        <v>Canada</v>
      </c>
      <c r="D158" s="1" t="str">
        <f ca="1">IFERROR(__xludf.DUMMYFUNCTION("""COMPUTED_VALUE"""),"British Columbia")</f>
        <v>British Columbia</v>
      </c>
      <c r="E158" s="3">
        <f ca="1">IFERROR(__xludf.DUMMYFUNCTION("""COMPUTED_VALUE"""),-0.602441682870397)</f>
        <v>-0.60244168287039701</v>
      </c>
      <c r="F158" s="3">
        <f ca="1">IFERROR(__xludf.DUMMYFUNCTION("""COMPUTED_VALUE"""),-0.60619954792938)</f>
        <v>-0.60619954792938002</v>
      </c>
      <c r="G158" s="3">
        <f ca="1">IFERROR(__xludf.DUMMYFUNCTION("""COMPUTED_VALUE"""),-0.579305071981535)</f>
        <v>-0.57930507198153502</v>
      </c>
      <c r="H158" s="3">
        <f ca="1">IFERROR(__xludf.DUMMYFUNCTION("""COMPUTED_VALUE"""),-0.596385813886328)</f>
        <v>-0.59638581388632805</v>
      </c>
      <c r="I158" s="3">
        <f ca="1">IFERROR(__xludf.DUMMYFUNCTION("""COMPUTED_VALUE"""),-0.57254812213538)</f>
        <v>-0.57254812213537998</v>
      </c>
      <c r="J158" s="3">
        <f ca="1">IFERROR(__xludf.DUMMYFUNCTION("""COMPUTED_VALUE"""),-0.59512666475316)</f>
        <v>-0.59512666475316001</v>
      </c>
      <c r="K158" s="3">
        <f ca="1">IFERROR(__xludf.DUMMYFUNCTION("""COMPUTED_VALUE"""),-0.59777926152322)</f>
        <v>-0.59777926152322003</v>
      </c>
      <c r="L158" s="3">
        <f ca="1">IFERROR(__xludf.DUMMYFUNCTION("""COMPUTED_VALUE"""),-0.617861840493963)</f>
        <v>-0.61786184049396298</v>
      </c>
      <c r="M158" s="3">
        <f ca="1">IFERROR(__xludf.DUMMYFUNCTION("""COMPUTED_VALUE"""),-0.61899193166961)</f>
        <v>-0.61899193166960997</v>
      </c>
      <c r="N158" s="3">
        <f ca="1">IFERROR(__xludf.DUMMYFUNCTION("""COMPUTED_VALUE"""),-0.577403408430655)</f>
        <v>-0.57740340843065496</v>
      </c>
      <c r="O158" s="3">
        <f ca="1">IFERROR(__xludf.DUMMYFUNCTION("""COMPUTED_VALUE"""),-0.584512941792878)</f>
        <v>-0.58451294179287805</v>
      </c>
      <c r="P158" s="3">
        <f ca="1">IFERROR(__xludf.DUMMYFUNCTION("""COMPUTED_VALUE"""),-0.58115516189381)</f>
        <v>-0.58115516189381</v>
      </c>
      <c r="Q158" s="3">
        <f ca="1">IFERROR(__xludf.DUMMYFUNCTION("""COMPUTED_VALUE"""),-0.558396318283068)</f>
        <v>-0.55839631828306802</v>
      </c>
      <c r="R158" s="3">
        <f ca="1">IFERROR(__xludf.DUMMYFUNCTION("""COMPUTED_VALUE"""),-0.613405785251917)</f>
        <v>-0.61340578525191702</v>
      </c>
      <c r="S158" s="3">
        <f ca="1">IFERROR(__xludf.DUMMYFUNCTION("""COMPUTED_VALUE"""),-0.574484185564352)</f>
        <v>-0.57448418556435199</v>
      </c>
      <c r="T158" s="3">
        <f ca="1">IFERROR(__xludf.DUMMYFUNCTION("""COMPUTED_VALUE"""),-0.576872336346949)</f>
        <v>-0.57687233634694901</v>
      </c>
      <c r="U158" s="3">
        <f ca="1">IFERROR(__xludf.DUMMYFUNCTION("""COMPUTED_VALUE"""),-0.581807517482149)</f>
        <v>-0.58180751748214898</v>
      </c>
      <c r="V158" s="3">
        <f ca="1">IFERROR(__xludf.DUMMYFUNCTION("""COMPUTED_VALUE"""),-0.624922435106668)</f>
        <v>-0.62492243510666801</v>
      </c>
      <c r="W158" s="3">
        <f ca="1">IFERROR(__xludf.DUMMYFUNCTION("""COMPUTED_VALUE"""),-0.598109911813222)</f>
        <v>-0.59810991181322204</v>
      </c>
      <c r="X158" s="3">
        <f ca="1">IFERROR(__xludf.DUMMYFUNCTION("""COMPUTED_VALUE"""),-0.571365971867074)</f>
        <v>-0.57136597186707405</v>
      </c>
      <c r="Y158" s="3">
        <f ca="1">IFERROR(__xludf.DUMMYFUNCTION("""COMPUTED_VALUE"""),-0.613860418986331)</f>
        <v>-0.61386041898633104</v>
      </c>
      <c r="Z158" s="3">
        <f ca="1">IFERROR(__xludf.DUMMYFUNCTION("""COMPUTED_VALUE"""),-0.579699144451034)</f>
        <v>-0.57969914445103399</v>
      </c>
      <c r="AA158" s="3">
        <f ca="1">IFERROR(__xludf.DUMMYFUNCTION("""COMPUTED_VALUE"""),-0.58558698290334)</f>
        <v>-0.58558698290333999</v>
      </c>
      <c r="AB158" s="3">
        <f ca="1">IFERROR(__xludf.DUMMYFUNCTION("""COMPUTED_VALUE"""),-0.601050309962752)</f>
        <v>-0.60105030996275199</v>
      </c>
      <c r="AC158" s="3">
        <f ca="1">IFERROR(__xludf.DUMMYFUNCTION("""COMPUTED_VALUE"""),-0.586199962237126)</f>
        <v>-0.586199962237126</v>
      </c>
      <c r="AD158" s="3">
        <f ca="1">IFERROR(__xludf.DUMMYFUNCTION("""COMPUTED_VALUE"""),-0.570264284871332)</f>
        <v>-0.57026428487133196</v>
      </c>
      <c r="AE158" s="3">
        <f ca="1">IFERROR(__xludf.DUMMYFUNCTION("""COMPUTED_VALUE"""),-0.554885989336958)</f>
        <v>-0.55488598933695799</v>
      </c>
      <c r="AF158" s="3">
        <f ca="1">IFERROR(__xludf.DUMMYFUNCTION("""COMPUTED_VALUE"""),-0.608381120141769)</f>
        <v>-0.60838112014176904</v>
      </c>
      <c r="AG158" s="3">
        <f ca="1">IFERROR(__xludf.DUMMYFUNCTION("""COMPUTED_VALUE"""),-0.540859111918236)</f>
        <v>-0.54085911191823599</v>
      </c>
      <c r="AH158" s="3">
        <f ca="1">IFERROR(__xludf.DUMMYFUNCTION("""COMPUTED_VALUE"""),-0.576255461171301)</f>
        <v>-0.576255461171301</v>
      </c>
      <c r="AI158" s="3">
        <f ca="1">IFERROR(__xludf.DUMMYFUNCTION("""COMPUTED_VALUE"""),-0.584829771074809)</f>
        <v>-0.58482977107480905</v>
      </c>
      <c r="AJ158" s="3">
        <f ca="1">IFERROR(__xludf.DUMMYFUNCTION("""COMPUTED_VALUE"""),-0.587538850210439)</f>
        <v>-0.58753885021043895</v>
      </c>
      <c r="AK158" s="3">
        <f ca="1">IFERROR(__xludf.DUMMYFUNCTION("""COMPUTED_VALUE"""),-0.605305768196297)</f>
        <v>-0.605305768196297</v>
      </c>
      <c r="AL158" s="3">
        <f ca="1">IFERROR(__xludf.DUMMYFUNCTION("""COMPUTED_VALUE"""),-0.580156198772478)</f>
        <v>-0.58015619877247804</v>
      </c>
      <c r="AM158" s="3">
        <f ca="1">IFERROR(__xludf.DUMMYFUNCTION("""COMPUTED_VALUE"""),-0.606122926205243)</f>
        <v>-0.606122926205243</v>
      </c>
      <c r="AN158" s="3">
        <f ca="1">IFERROR(__xludf.DUMMYFUNCTION("""COMPUTED_VALUE"""),-0.590364454002897)</f>
        <v>-0.59036445400289705</v>
      </c>
      <c r="AO158" s="3">
        <f ca="1">IFERROR(__xludf.DUMMYFUNCTION("""COMPUTED_VALUE"""),-0.589883138784618)</f>
        <v>-0.58988313878461796</v>
      </c>
      <c r="AP158" s="3">
        <f ca="1">IFERROR(__xludf.DUMMYFUNCTION("""COMPUTED_VALUE"""),-0.596437835555773)</f>
        <v>-0.59643783555577301</v>
      </c>
      <c r="AQ158" s="3">
        <f ca="1">IFERROR(__xludf.DUMMYFUNCTION("""COMPUTED_VALUE"""),-0.575942142850543)</f>
        <v>-0.57594214285054302</v>
      </c>
      <c r="AR158" s="3">
        <f ca="1">IFERROR(__xludf.DUMMYFUNCTION("""COMPUTED_VALUE"""),-0.573738910645984)</f>
        <v>-0.57373891064598403</v>
      </c>
      <c r="AS158" s="3">
        <f ca="1">IFERROR(__xludf.DUMMYFUNCTION("""COMPUTED_VALUE"""),-0.578843197689298)</f>
        <v>-0.57884319768929804</v>
      </c>
      <c r="AT158" s="3">
        <f ca="1">IFERROR(__xludf.DUMMYFUNCTION("""COMPUTED_VALUE"""),-0.598946820064592)</f>
        <v>-0.59894682006459199</v>
      </c>
      <c r="AU158" s="3">
        <f ca="1">IFERROR(__xludf.DUMMYFUNCTION("""COMPUTED_VALUE"""),-0.571766832170663)</f>
        <v>-0.57176683217066304</v>
      </c>
      <c r="AV158" s="3">
        <f ca="1">IFERROR(__xludf.DUMMYFUNCTION("""COMPUTED_VALUE"""),-0.565845008972804)</f>
        <v>-0.56584500897280399</v>
      </c>
      <c r="AW158" s="3">
        <f ca="1">IFERROR(__xludf.DUMMYFUNCTION("""COMPUTED_VALUE"""),-0.582507496946734)</f>
        <v>-0.58250749694673398</v>
      </c>
      <c r="AX158" s="3">
        <f ca="1">IFERROR(__xludf.DUMMYFUNCTION("""COMPUTED_VALUE"""),-0.574567206455221)</f>
        <v>-0.57456720645522097</v>
      </c>
      <c r="AY158" s="3">
        <f ca="1">IFERROR(__xludf.DUMMYFUNCTION("""COMPUTED_VALUE"""),-0.602148746705198)</f>
        <v>-0.60214874670519802</v>
      </c>
      <c r="AZ158" s="3">
        <f ca="1">IFERROR(__xludf.DUMMYFUNCTION("""COMPUTED_VALUE"""),-0.546105648721048)</f>
        <v>-0.54610564872104805</v>
      </c>
      <c r="BA158" s="3">
        <f ca="1">IFERROR(__xludf.DUMMYFUNCTION("""COMPUTED_VALUE"""),-0.62413122377412)</f>
        <v>-0.62413122377412</v>
      </c>
      <c r="BB158" s="3">
        <f ca="1">IFERROR(__xludf.DUMMYFUNCTION("""COMPUTED_VALUE"""),-0.584160581522737)</f>
        <v>-0.58416058152273698</v>
      </c>
      <c r="BC158" s="3">
        <f ca="1">IFERROR(__xludf.DUMMYFUNCTION("""COMPUTED_VALUE"""),-0.591526877936096)</f>
        <v>-0.59152687793609604</v>
      </c>
      <c r="BD158" s="3">
        <f ca="1">IFERROR(__xludf.DUMMYFUNCTION("""COMPUTED_VALUE"""),-0.619953271003347)</f>
        <v>-0.61995327100334696</v>
      </c>
      <c r="BE158" s="3">
        <f ca="1">IFERROR(__xludf.DUMMYFUNCTION("""COMPUTED_VALUE"""),-0.565495702898247)</f>
        <v>-0.56549570289824702</v>
      </c>
      <c r="BF158" s="3">
        <f ca="1">IFERROR(__xludf.DUMMYFUNCTION("""COMPUTED_VALUE"""),-0.553142604847487)</f>
        <v>-0.55314260484748701</v>
      </c>
      <c r="BG158" s="3">
        <f ca="1">IFERROR(__xludf.DUMMYFUNCTION("""COMPUTED_VALUE"""),-0.645895352552522)</f>
        <v>-0.64589535255252195</v>
      </c>
      <c r="BH158" s="3">
        <f ca="1">IFERROR(__xludf.DUMMYFUNCTION("""COMPUTED_VALUE"""),-0.598368221869425)</f>
        <v>-0.59836822186942495</v>
      </c>
      <c r="BI158" s="3">
        <f ca="1">IFERROR(__xludf.DUMMYFUNCTION("""COMPUTED_VALUE"""),-0.576573157011344)</f>
        <v>-0.57657315701134404</v>
      </c>
      <c r="BJ158" s="3">
        <f ca="1">IFERROR(__xludf.DUMMYFUNCTION("""COMPUTED_VALUE"""),-0.61818400921563)</f>
        <v>-0.61818400921562999</v>
      </c>
      <c r="BK158" s="3">
        <f ca="1">IFERROR(__xludf.DUMMYFUNCTION("""COMPUTED_VALUE"""),-0.617344065358362)</f>
        <v>-0.61734406535836195</v>
      </c>
      <c r="BL158" s="3">
        <f ca="1">IFERROR(__xludf.DUMMYFUNCTION("""COMPUTED_VALUE"""),-0.614667209457015)</f>
        <v>-0.61466720945701503</v>
      </c>
      <c r="BM158" s="3">
        <f ca="1">IFERROR(__xludf.DUMMYFUNCTION("""COMPUTED_VALUE"""),-0.594074045177245)</f>
        <v>-0.59407404517724505</v>
      </c>
      <c r="BN158" s="3">
        <f ca="1">IFERROR(__xludf.DUMMYFUNCTION("""COMPUTED_VALUE"""),-0.563272553872142)</f>
        <v>-0.56327255387214203</v>
      </c>
      <c r="BO158" s="3">
        <f ca="1">IFERROR(__xludf.DUMMYFUNCTION("""COMPUTED_VALUE"""),-0.562894127696117)</f>
        <v>-0.56289412769611702</v>
      </c>
      <c r="BP158" s="3">
        <f ca="1">IFERROR(__xludf.DUMMYFUNCTION("""COMPUTED_VALUE"""),-0.567320440064127)</f>
        <v>-0.56732044006412696</v>
      </c>
      <c r="BQ158" s="3">
        <f ca="1">IFERROR(__xludf.DUMMYFUNCTION("""COMPUTED_VALUE"""),-0.59997334649286)</f>
        <v>-0.59997334649286005</v>
      </c>
      <c r="BR158" s="3">
        <f ca="1">IFERROR(__xludf.DUMMYFUNCTION("""COMPUTED_VALUE"""),-0.609461670970348)</f>
        <v>-0.60946167097034798</v>
      </c>
      <c r="BS158" s="3">
        <f ca="1">IFERROR(__xludf.DUMMYFUNCTION("""COMPUTED_VALUE"""),-0.581031924424381)</f>
        <v>-0.58103192442438101</v>
      </c>
      <c r="BT158" s="3">
        <f ca="1">IFERROR(__xludf.DUMMYFUNCTION("""COMPUTED_VALUE"""),-0.61243587326649)</f>
        <v>-0.61243587326648996</v>
      </c>
      <c r="BU158" s="3">
        <f ca="1">IFERROR(__xludf.DUMMYFUNCTION("""COMPUTED_VALUE"""),-0.613184841323851)</f>
        <v>-0.61318484132385098</v>
      </c>
      <c r="BV158" s="3">
        <f ca="1">IFERROR(__xludf.DUMMYFUNCTION("""COMPUTED_VALUE"""),-0.601844173458276)</f>
        <v>-0.60184417345827601</v>
      </c>
      <c r="BW158" s="3">
        <f ca="1">IFERROR(__xludf.DUMMYFUNCTION("""COMPUTED_VALUE"""),-0.601935750331261)</f>
        <v>-0.60193575033126101</v>
      </c>
      <c r="BX158" s="3">
        <f ca="1">IFERROR(__xludf.DUMMYFUNCTION("""COMPUTED_VALUE"""),-0.602832199840177)</f>
        <v>-0.602832199840177</v>
      </c>
      <c r="BY158" s="3">
        <f ca="1">IFERROR(__xludf.DUMMYFUNCTION("""COMPUTED_VALUE"""),-0.628081991148561)</f>
        <v>-0.628081991148561</v>
      </c>
      <c r="BZ158" s="3">
        <f ca="1">IFERROR(__xludf.DUMMYFUNCTION("""COMPUTED_VALUE"""),-0.633903912954939)</f>
        <v>-0.63390391295493898</v>
      </c>
      <c r="CA158" s="3">
        <f ca="1">IFERROR(__xludf.DUMMYFUNCTION("""COMPUTED_VALUE"""),-0.621909683170854)</f>
        <v>-0.62190968317085404</v>
      </c>
      <c r="CB158" s="3">
        <f ca="1">IFERROR(__xludf.DUMMYFUNCTION("""COMPUTED_VALUE"""),-0.625873597090388)</f>
        <v>-0.62587359709038803</v>
      </c>
      <c r="CC158" s="3">
        <f ca="1">IFERROR(__xludf.DUMMYFUNCTION("""COMPUTED_VALUE"""),-0.624218777029187)</f>
        <v>-0.62421877702918704</v>
      </c>
      <c r="CD158" s="3">
        <f ca="1">IFERROR(__xludf.DUMMYFUNCTION("""COMPUTED_VALUE"""),-0.564948471634729)</f>
        <v>-0.56494847163472905</v>
      </c>
      <c r="CE158" s="3">
        <f ca="1">IFERROR(__xludf.DUMMYFUNCTION("""COMPUTED_VALUE"""),-0.601718632007966)</f>
        <v>-0.60171863200796605</v>
      </c>
      <c r="CF158" s="3">
        <f ca="1">IFERROR(__xludf.DUMMYFUNCTION("""COMPUTED_VALUE"""),-0.628766087478984)</f>
        <v>-0.62876608747898399</v>
      </c>
      <c r="CG158" s="3">
        <f ca="1">IFERROR(__xludf.DUMMYFUNCTION("""COMPUTED_VALUE"""),-0.625151065100017)</f>
        <v>-0.62515106510001694</v>
      </c>
      <c r="CH158" s="3">
        <f ca="1">IFERROR(__xludf.DUMMYFUNCTION("""COMPUTED_VALUE"""),-0.630133203672438)</f>
        <v>-0.63013320367243797</v>
      </c>
      <c r="CI158" s="3">
        <f ca="1">IFERROR(__xludf.DUMMYFUNCTION("""COMPUTED_VALUE"""),-0.633865703080809)</f>
        <v>-0.63386570308080903</v>
      </c>
      <c r="CJ158" s="3">
        <f ca="1">IFERROR(__xludf.DUMMYFUNCTION("""COMPUTED_VALUE"""),-0.585775364349492)</f>
        <v>-0.58577536434949196</v>
      </c>
      <c r="CK158" s="3">
        <f ca="1">IFERROR(__xludf.DUMMYFUNCTION("""COMPUTED_VALUE"""),-0.579196056211366)</f>
        <v>-0.57919605621136605</v>
      </c>
      <c r="CL158" s="3">
        <f ca="1">IFERROR(__xludf.DUMMYFUNCTION("""COMPUTED_VALUE"""),-0.62236862010293)</f>
        <v>-0.62236862010293004</v>
      </c>
      <c r="CM158" s="3">
        <f ca="1">IFERROR(__xludf.DUMMYFUNCTION("""COMPUTED_VALUE"""),-0.639699701919119)</f>
        <v>-0.63969970191911896</v>
      </c>
      <c r="CN158" s="3">
        <f ca="1">IFERROR(__xludf.DUMMYFUNCTION("""COMPUTED_VALUE"""),-0.617045902418372)</f>
        <v>-0.61704590241837198</v>
      </c>
      <c r="CO158" s="3">
        <f ca="1">IFERROR(__xludf.DUMMYFUNCTION("""COMPUTED_VALUE"""),-0.638827112533652)</f>
        <v>-0.63882711253365199</v>
      </c>
      <c r="CP158" s="3">
        <f ca="1">IFERROR(__xludf.DUMMYFUNCTION("""COMPUTED_VALUE"""),-0.640086633515174)</f>
        <v>-0.64008663351517403</v>
      </c>
      <c r="CQ158" s="3">
        <f ca="1">IFERROR(__xludf.DUMMYFUNCTION("""COMPUTED_VALUE"""),-0.57476887628134)</f>
        <v>-0.57476887628133999</v>
      </c>
      <c r="CR158" s="3">
        <f ca="1">IFERROR(__xludf.DUMMYFUNCTION("""COMPUTED_VALUE"""),-0.542537907129671)</f>
        <v>-0.54253790712967098</v>
      </c>
      <c r="CS158" s="3">
        <f ca="1">IFERROR(__xludf.DUMMYFUNCTION("""COMPUTED_VALUE"""),-0.596192641650352)</f>
        <v>-0.59619264165035202</v>
      </c>
      <c r="CT158" s="3">
        <f ca="1">IFERROR(__xludf.DUMMYFUNCTION("""COMPUTED_VALUE"""),-0.582294994729565)</f>
        <v>-0.58229499472956503</v>
      </c>
      <c r="CU158" s="3">
        <f ca="1">IFERROR(__xludf.DUMMYFUNCTION("""COMPUTED_VALUE"""),-0.567445354413413)</f>
        <v>-0.56744535441341304</v>
      </c>
      <c r="CV158" s="3">
        <f ca="1">IFERROR(__xludf.DUMMYFUNCTION("""COMPUTED_VALUE"""),-0.573439869350299)</f>
        <v>-0.573439869350299</v>
      </c>
      <c r="CW158" s="3">
        <f ca="1">IFERROR(__xludf.DUMMYFUNCTION("""COMPUTED_VALUE"""),-0.583708273707886)</f>
        <v>-0.58370827370788603</v>
      </c>
      <c r="CX158" s="3">
        <f ca="1">IFERROR(__xludf.DUMMYFUNCTION("""COMPUTED_VALUE"""),-0.564463863413998)</f>
        <v>-0.56446386341399801</v>
      </c>
      <c r="CY158" s="3">
        <f ca="1">IFERROR(__xludf.DUMMYFUNCTION("""COMPUTED_VALUE"""),-0.604743556127662)</f>
        <v>-0.60474355612766195</v>
      </c>
      <c r="CZ158" s="3">
        <f ca="1">IFERROR(__xludf.DUMMYFUNCTION("""COMPUTED_VALUE"""),-0.680519268952739)</f>
        <v>-0.68051926895273895</v>
      </c>
      <c r="DA158" s="3">
        <f ca="1">IFERROR(__xludf.DUMMYFUNCTION("""COMPUTED_VALUE"""),-0.568658772367788)</f>
        <v>-0.56865877236778795</v>
      </c>
      <c r="DB158" s="3">
        <f ca="1">IFERROR(__xludf.DUMMYFUNCTION("""COMPUTED_VALUE"""),-0.537048490814018)</f>
        <v>-0.53704849081401795</v>
      </c>
      <c r="DC158" s="3">
        <f ca="1">IFERROR(__xludf.DUMMYFUNCTION("""COMPUTED_VALUE"""),-0.562728675146096)</f>
        <v>-0.56272867514609604</v>
      </c>
      <c r="DD158" s="3">
        <f ca="1">IFERROR(__xludf.DUMMYFUNCTION("""COMPUTED_VALUE"""),-0.585990163227154)</f>
        <v>-0.58599016322715403</v>
      </c>
      <c r="DE158" s="3">
        <f ca="1">IFERROR(__xludf.DUMMYFUNCTION("""COMPUTED_VALUE"""),-0.547742000828774)</f>
        <v>-0.547742000828774</v>
      </c>
      <c r="DF158" s="3">
        <f ca="1">IFERROR(__xludf.DUMMYFUNCTION("""COMPUTED_VALUE"""),-0.553643527724865)</f>
        <v>-0.55364352772486503</v>
      </c>
      <c r="DG158" s="3">
        <f ca="1">IFERROR(__xludf.DUMMYFUNCTION("""COMPUTED_VALUE"""),-0.760072324926207)</f>
        <v>-0.76007232492620702</v>
      </c>
      <c r="DH158" s="3">
        <f ca="1">IFERROR(__xludf.DUMMYFUNCTION("""COMPUTED_VALUE"""),-0.539356700561112)</f>
        <v>-0.53935670056111196</v>
      </c>
      <c r="DI158" s="3">
        <f ca="1">IFERROR(__xludf.DUMMYFUNCTION("""COMPUTED_VALUE"""),-0.400088347589646)</f>
        <v>-0.40008834758964601</v>
      </c>
      <c r="DJ158" s="3">
        <f ca="1">IFERROR(__xludf.DUMMYFUNCTION("""COMPUTED_VALUE"""),-0.471023279302693)</f>
        <v>-0.471023279302693</v>
      </c>
      <c r="DK158" s="3">
        <f ca="1">IFERROR(__xludf.DUMMYFUNCTION("""COMPUTED_VALUE"""),-0.523666086162942)</f>
        <v>-0.52366608616294197</v>
      </c>
      <c r="DL158" s="3">
        <f ca="1">IFERROR(__xludf.DUMMYFUNCTION("""COMPUTED_VALUE"""),-0.529631534737028)</f>
        <v>-0.52963153473702795</v>
      </c>
      <c r="DM158" s="3">
        <f ca="1">IFERROR(__xludf.DUMMYFUNCTION("""COMPUTED_VALUE"""),-0.532996180126057)</f>
        <v>-0.53299618012605698</v>
      </c>
      <c r="DN158" s="3">
        <f ca="1">IFERROR(__xludf.DUMMYFUNCTION("""COMPUTED_VALUE"""),-0.525974571784164)</f>
        <v>-0.52597457178416396</v>
      </c>
      <c r="DO158" s="3">
        <f ca="1">IFERROR(__xludf.DUMMYFUNCTION("""COMPUTED_VALUE"""),-0.495983913637506)</f>
        <v>-0.49598391363750599</v>
      </c>
      <c r="DP158" s="3">
        <f ca="1">IFERROR(__xludf.DUMMYFUNCTION("""COMPUTED_VALUE"""),-0.460867182599841)</f>
        <v>-0.460867182599841</v>
      </c>
      <c r="DQ158" s="3">
        <f ca="1">IFERROR(__xludf.DUMMYFUNCTION("""COMPUTED_VALUE"""),-0.535055622614718)</f>
        <v>-0.53505562261471795</v>
      </c>
      <c r="DR158" s="3">
        <f ca="1">IFERROR(__xludf.DUMMYFUNCTION("""COMPUTED_VALUE"""),-0.544957880894908)</f>
        <v>-0.54495788089490804</v>
      </c>
      <c r="DS158" s="3">
        <f ca="1">IFERROR(__xludf.DUMMYFUNCTION("""COMPUTED_VALUE"""),-0.581787883571049)</f>
        <v>-0.58178788357104905</v>
      </c>
      <c r="DT158" s="3">
        <f ca="1">IFERROR(__xludf.DUMMYFUNCTION("""COMPUTED_VALUE"""),-0.546664051648609)</f>
        <v>-0.54666405164860898</v>
      </c>
      <c r="DU158" s="3">
        <f ca="1">IFERROR(__xludf.DUMMYFUNCTION("""COMPUTED_VALUE"""),-0.571524190908226)</f>
        <v>-0.57152419090822604</v>
      </c>
      <c r="DV158" s="3">
        <f ca="1">IFERROR(__xludf.DUMMYFUNCTION("""COMPUTED_VALUE"""),-0.552577262083494)</f>
        <v>-0.552577262083494</v>
      </c>
      <c r="DW158" s="3">
        <f ca="1">IFERROR(__xludf.DUMMYFUNCTION("""COMPUTED_VALUE"""),-0.566876211786847)</f>
        <v>-0.566876211786847</v>
      </c>
      <c r="DX158" s="3">
        <f ca="1">IFERROR(__xludf.DUMMYFUNCTION("""COMPUTED_VALUE"""),-0.578349686338299)</f>
        <v>-0.57834968633829897</v>
      </c>
      <c r="DY158" s="3">
        <f ca="1">IFERROR(__xludf.DUMMYFUNCTION("""COMPUTED_VALUE"""),-0.577100513435211)</f>
        <v>-0.57710051343521096</v>
      </c>
      <c r="DZ158" s="3">
        <f ca="1">IFERROR(__xludf.DUMMYFUNCTION("""COMPUTED_VALUE"""),-0.570759889139079)</f>
        <v>-0.57075988913907905</v>
      </c>
      <c r="EA158" s="3">
        <f ca="1">IFERROR(__xludf.DUMMYFUNCTION("""COMPUTED_VALUE"""),-0.547248293387727)</f>
        <v>-0.54724829338772696</v>
      </c>
      <c r="EB158" s="3">
        <f ca="1">IFERROR(__xludf.DUMMYFUNCTION("""COMPUTED_VALUE"""),-0.549492720589446)</f>
        <v>-0.54949272058944598</v>
      </c>
      <c r="EC158" s="3">
        <f ca="1">IFERROR(__xludf.DUMMYFUNCTION("""COMPUTED_VALUE"""),-0.540831684275041)</f>
        <v>-0.54083168427504102</v>
      </c>
      <c r="ED158" s="3">
        <f ca="1">IFERROR(__xludf.DUMMYFUNCTION("""COMPUTED_VALUE"""),-0.549324937414531)</f>
        <v>-0.54932493741453103</v>
      </c>
      <c r="EE158" s="3">
        <f ca="1">IFERROR(__xludf.DUMMYFUNCTION("""COMPUTED_VALUE"""),-0.564390515289484)</f>
        <v>-0.56439051528948403</v>
      </c>
      <c r="EF158" s="3">
        <f ca="1">IFERROR(__xludf.DUMMYFUNCTION("""COMPUTED_VALUE"""),-0.551112222463632)</f>
        <v>-0.55111222246363201</v>
      </c>
      <c r="EG158" s="3">
        <f ca="1">IFERROR(__xludf.DUMMYFUNCTION("""COMPUTED_VALUE"""),-0.553406940097563)</f>
        <v>-0.55340694009756297</v>
      </c>
      <c r="EH158" s="3">
        <f ca="1">IFERROR(__xludf.DUMMYFUNCTION("""COMPUTED_VALUE"""),-0.549551719450816)</f>
        <v>-0.54955171945081605</v>
      </c>
      <c r="EI158" s="3">
        <f ca="1">IFERROR(__xludf.DUMMYFUNCTION("""COMPUTED_VALUE"""),-0.559412445370184)</f>
        <v>-0.55941244537018397</v>
      </c>
      <c r="EJ158" s="3">
        <f ca="1">IFERROR(__xludf.DUMMYFUNCTION("""COMPUTED_VALUE"""),-0.545295127523848)</f>
        <v>-0.54529512752384801</v>
      </c>
      <c r="EK158" s="3">
        <f ca="1">IFERROR(__xludf.DUMMYFUNCTION("""COMPUTED_VALUE"""),-0.574045353850467)</f>
        <v>-0.57404535385046696</v>
      </c>
      <c r="EL158" s="3">
        <f ca="1">IFERROR(__xludf.DUMMYFUNCTION("""COMPUTED_VALUE"""),-0.603081228530915)</f>
        <v>-0.60308122853091495</v>
      </c>
      <c r="EM158" s="3">
        <f ca="1">IFERROR(__xludf.DUMMYFUNCTION("""COMPUTED_VALUE"""),-0.57307258727334)</f>
        <v>-0.57307258727333998</v>
      </c>
      <c r="EN158" s="3">
        <f ca="1">IFERROR(__xludf.DUMMYFUNCTION("""COMPUTED_VALUE"""),-0.555831560191194)</f>
        <v>-0.55583156019119395</v>
      </c>
      <c r="EO158" s="3">
        <f ca="1">IFERROR(__xludf.DUMMYFUNCTION("""COMPUTED_VALUE"""),-0.551190277257754)</f>
        <v>-0.55119027725775405</v>
      </c>
      <c r="EP158" s="3">
        <f ca="1">IFERROR(__xludf.DUMMYFUNCTION("""COMPUTED_VALUE"""),-0.582317760752941)</f>
        <v>-0.58231776075294095</v>
      </c>
      <c r="EQ158" s="3">
        <f ca="1">IFERROR(__xludf.DUMMYFUNCTION("""COMPUTED_VALUE"""),-0.558144277200997)</f>
        <v>-0.55814427720099702</v>
      </c>
      <c r="ER158" s="3">
        <f ca="1">IFERROR(__xludf.DUMMYFUNCTION("""COMPUTED_VALUE"""),-0.58561289804251)</f>
        <v>-0.58561289804251004</v>
      </c>
      <c r="ES158" s="3">
        <f ca="1">IFERROR(__xludf.DUMMYFUNCTION("""COMPUTED_VALUE"""),-0.577843753763353)</f>
        <v>-0.57784375376335295</v>
      </c>
      <c r="ET158" s="3">
        <f ca="1">IFERROR(__xludf.DUMMYFUNCTION("""COMPUTED_VALUE"""),-0.548499687597029)</f>
        <v>-0.54849968759702905</v>
      </c>
      <c r="EU158" s="3">
        <f ca="1">IFERROR(__xludf.DUMMYFUNCTION("""COMPUTED_VALUE"""),-0.560305692608916)</f>
        <v>-0.56030569260891605</v>
      </c>
      <c r="EV158" s="3">
        <f ca="1">IFERROR(__xludf.DUMMYFUNCTION("""COMPUTED_VALUE"""),-0.550827354427483)</f>
        <v>-0.55082735442748298</v>
      </c>
      <c r="EW158" s="3">
        <f ca="1">IFERROR(__xludf.DUMMYFUNCTION("""COMPUTED_VALUE"""),-0.575332999930057)</f>
        <v>-0.57533299993005704</v>
      </c>
      <c r="EX158" s="3">
        <f ca="1">IFERROR(__xludf.DUMMYFUNCTION("""COMPUTED_VALUE"""),-0.561538573876573)</f>
        <v>-0.56153857387657302</v>
      </c>
      <c r="EY158" s="3">
        <f ca="1">IFERROR(__xludf.DUMMYFUNCTION("""COMPUTED_VALUE"""),-0.617256779721076)</f>
        <v>-0.61725677972107595</v>
      </c>
      <c r="EZ158" s="3">
        <f ca="1">IFERROR(__xludf.DUMMYFUNCTION("""COMPUTED_VALUE"""),-0.545885538159761)</f>
        <v>-0.54588553815976104</v>
      </c>
      <c r="FA158" s="3">
        <f ca="1">IFERROR(__xludf.DUMMYFUNCTION("""COMPUTED_VALUE"""),-0.515108678505595)</f>
        <v>-0.51510867850559505</v>
      </c>
      <c r="FB158" s="3">
        <f ca="1">IFERROR(__xludf.DUMMYFUNCTION("""COMPUTED_VALUE"""),-0.502782829395096)</f>
        <v>-0.502782829395096</v>
      </c>
      <c r="FC158" s="3">
        <f ca="1">IFERROR(__xludf.DUMMYFUNCTION("""COMPUTED_VALUE"""),-0.485124070152907)</f>
        <v>-0.48512407015290698</v>
      </c>
      <c r="FD158" s="3">
        <f ca="1">IFERROR(__xludf.DUMMYFUNCTION("""COMPUTED_VALUE"""),-0.522918285247717)</f>
        <v>-0.522918285247717</v>
      </c>
      <c r="FE158" s="3">
        <f ca="1">IFERROR(__xludf.DUMMYFUNCTION("""COMPUTED_VALUE"""),-0.528667769445101)</f>
        <v>-0.52866776944510097</v>
      </c>
      <c r="FF158" s="3">
        <f ca="1">IFERROR(__xludf.DUMMYFUNCTION("""COMPUTED_VALUE"""),-0.530901495410059)</f>
        <v>-0.53090149541005904</v>
      </c>
      <c r="FG158" s="3">
        <f ca="1">IFERROR(__xludf.DUMMYFUNCTION("""COMPUTED_VALUE"""),-0.543069755787738)</f>
        <v>-0.54306975578773797</v>
      </c>
      <c r="FH158" s="3">
        <f ca="1">IFERROR(__xludf.DUMMYFUNCTION("""COMPUTED_VALUE"""),-0.449074805303013)</f>
        <v>-0.44907480530301302</v>
      </c>
      <c r="FI158" s="3">
        <f ca="1">IFERROR(__xludf.DUMMYFUNCTION("""COMPUTED_VALUE"""),-0.473814541659427)</f>
        <v>-0.47381454165942699</v>
      </c>
      <c r="FJ158" s="3">
        <f ca="1">IFERROR(__xludf.DUMMYFUNCTION("""COMPUTED_VALUE"""),-0.470560449663225)</f>
        <v>-0.47056044966322502</v>
      </c>
      <c r="FK158" s="3">
        <f ca="1">IFERROR(__xludf.DUMMYFUNCTION("""COMPUTED_VALUE"""),-0.526078687179425)</f>
        <v>-0.52607868717942496</v>
      </c>
      <c r="FL158" s="3">
        <f ca="1">IFERROR(__xludf.DUMMYFUNCTION("""COMPUTED_VALUE"""),-0.518147704139911)</f>
        <v>-0.51814770413991096</v>
      </c>
      <c r="FM158" s="3">
        <f ca="1">IFERROR(__xludf.DUMMYFUNCTION("""COMPUTED_VALUE"""),-0.516239703226262)</f>
        <v>-0.516239703226262</v>
      </c>
      <c r="FN158" s="3">
        <f ca="1">IFERROR(__xludf.DUMMYFUNCTION("""COMPUTED_VALUE"""),-0.505938460438539)</f>
        <v>-0.50593846043853896</v>
      </c>
      <c r="FO158" s="3">
        <f ca="1">IFERROR(__xludf.DUMMYFUNCTION("""COMPUTED_VALUE"""),-0.48461312019105)</f>
        <v>-0.48461312019105002</v>
      </c>
      <c r="FP158" s="3">
        <f ca="1">IFERROR(__xludf.DUMMYFUNCTION("""COMPUTED_VALUE"""),-0.490330217362184)</f>
        <v>-0.49033021736218402</v>
      </c>
      <c r="FQ158" s="3">
        <f ca="1">IFERROR(__xludf.DUMMYFUNCTION("""COMPUTED_VALUE"""),-0.47520000880678)</f>
        <v>-0.47520000880677998</v>
      </c>
      <c r="FR158" s="3">
        <f ca="1">IFERROR(__xludf.DUMMYFUNCTION("""COMPUTED_VALUE"""),-0.572897582116924)</f>
        <v>-0.57289758211692399</v>
      </c>
      <c r="FS158" s="3">
        <f ca="1">IFERROR(__xludf.DUMMYFUNCTION("""COMPUTED_VALUE"""),-0.479826596324048)</f>
        <v>-0.479826596324048</v>
      </c>
      <c r="FT158" s="3">
        <f ca="1">IFERROR(__xludf.DUMMYFUNCTION("""COMPUTED_VALUE"""),-0.485217450281947)</f>
        <v>-0.48521745028194702</v>
      </c>
      <c r="FU158" s="3">
        <f ca="1">IFERROR(__xludf.DUMMYFUNCTION("""COMPUTED_VALUE"""),-0.484505158845771)</f>
        <v>-0.484505158845771</v>
      </c>
      <c r="FV158" s="3">
        <f ca="1">IFERROR(__xludf.DUMMYFUNCTION("""COMPUTED_VALUE"""),-0.424181065276936)</f>
        <v>-0.424181065276936</v>
      </c>
      <c r="FW158" s="3">
        <f ca="1">IFERROR(__xludf.DUMMYFUNCTION("""COMPUTED_VALUE"""),-0.490709749589354)</f>
        <v>-0.49070974958935398</v>
      </c>
      <c r="FX158" s="3">
        <f ca="1">IFERROR(__xludf.DUMMYFUNCTION("""COMPUTED_VALUE"""),-0.483614991095848)</f>
        <v>-0.48361499109584799</v>
      </c>
      <c r="FY158" s="3">
        <f ca="1">IFERROR(__xludf.DUMMYFUNCTION("""COMPUTED_VALUE"""),-0.520279077488302)</f>
        <v>-0.52027907748830204</v>
      </c>
      <c r="FZ158" s="3">
        <f ca="1">IFERROR(__xludf.DUMMYFUNCTION("""COMPUTED_VALUE"""),-0.493956068428498)</f>
        <v>-0.49395606842849799</v>
      </c>
      <c r="GA158" s="3">
        <f ca="1">IFERROR(__xludf.DUMMYFUNCTION("""COMPUTED_VALUE"""),-0.519131203425397)</f>
        <v>-0.51913120342539698</v>
      </c>
      <c r="GB158" s="3">
        <f ca="1">IFERROR(__xludf.DUMMYFUNCTION("""COMPUTED_VALUE"""),-0.502914232561646)</f>
        <v>-0.50291423256164602</v>
      </c>
      <c r="GC158" s="3">
        <f ca="1">IFERROR(__xludf.DUMMYFUNCTION("""COMPUTED_VALUE"""),-0.535496798551586)</f>
        <v>-0.53549679855158605</v>
      </c>
      <c r="GD158" s="3">
        <f ca="1">IFERROR(__xludf.DUMMYFUNCTION("""COMPUTED_VALUE"""),-0.514924294213473)</f>
        <v>-0.51492429421347297</v>
      </c>
      <c r="GE158" s="3">
        <f ca="1">IFERROR(__xludf.DUMMYFUNCTION("""COMPUTED_VALUE"""),-0.498675514339213)</f>
        <v>-0.49867551433921298</v>
      </c>
      <c r="GF158" s="3">
        <f ca="1">IFERROR(__xludf.DUMMYFUNCTION("""COMPUTED_VALUE"""),-0.503053171052929)</f>
        <v>-0.50305317105292902</v>
      </c>
      <c r="GG158" s="3">
        <f ca="1">IFERROR(__xludf.DUMMYFUNCTION("""COMPUTED_VALUE"""),-0.490006977663774)</f>
        <v>-0.49000697766377399</v>
      </c>
      <c r="GH158" s="3">
        <f ca="1">IFERROR(__xludf.DUMMYFUNCTION("""COMPUTED_VALUE"""),-0.48693752731468)</f>
        <v>-0.48693752731467999</v>
      </c>
      <c r="GI158" s="3">
        <f ca="1">IFERROR(__xludf.DUMMYFUNCTION("""COMPUTED_VALUE"""),-0.472480543026182)</f>
        <v>-0.47248054302618198</v>
      </c>
      <c r="GJ158" s="3">
        <f ca="1">IFERROR(__xludf.DUMMYFUNCTION("""COMPUTED_VALUE"""),-0.424317033608598)</f>
        <v>-0.42431703360859802</v>
      </c>
      <c r="GK158" s="3">
        <f ca="1">IFERROR(__xludf.DUMMYFUNCTION("""COMPUTED_VALUE"""),-0.471416274932038)</f>
        <v>-0.47141627493203803</v>
      </c>
      <c r="GL158" s="3">
        <f ca="1">IFERROR(__xludf.DUMMYFUNCTION("""COMPUTED_VALUE"""),-0.461931815800882)</f>
        <v>-0.461931815800882</v>
      </c>
      <c r="GM158" s="3">
        <f ca="1">IFERROR(__xludf.DUMMYFUNCTION("""COMPUTED_VALUE"""),-0.480259996761197)</f>
        <v>-0.48025999676119702</v>
      </c>
      <c r="GN158" s="3">
        <f ca="1">IFERROR(__xludf.DUMMYFUNCTION("""COMPUTED_VALUE"""),-0.477165783082451)</f>
        <v>-0.477165783082451</v>
      </c>
      <c r="GO158" s="3">
        <f ca="1">IFERROR(__xludf.DUMMYFUNCTION("""COMPUTED_VALUE"""),-0.470292586019925)</f>
        <v>-0.47029258601992502</v>
      </c>
      <c r="GP158" s="3">
        <f ca="1">IFERROR(__xludf.DUMMYFUNCTION("""COMPUTED_VALUE"""),-0.460099804153874)</f>
        <v>-0.46009980415387403</v>
      </c>
      <c r="GQ158" s="3">
        <f ca="1">IFERROR(__xludf.DUMMYFUNCTION("""COMPUTED_VALUE"""),-0.449102237052397)</f>
        <v>-0.44910223705239699</v>
      </c>
      <c r="GR158" s="3">
        <f ca="1">IFERROR(__xludf.DUMMYFUNCTION("""COMPUTED_VALUE"""),-0.454926641004916)</f>
        <v>-0.45492664100491598</v>
      </c>
      <c r="GS158" s="3">
        <f ca="1">IFERROR(__xludf.DUMMYFUNCTION("""COMPUTED_VALUE"""),-0.501770200838733)</f>
        <v>-0.50177020083873303</v>
      </c>
      <c r="GT158" s="3">
        <f ca="1">IFERROR(__xludf.DUMMYFUNCTION("""COMPUTED_VALUE"""),-0.522787315455526)</f>
        <v>-0.52278731545552604</v>
      </c>
      <c r="GU158" s="3">
        <f ca="1">IFERROR(__xludf.DUMMYFUNCTION("""COMPUTED_VALUE"""),-0.505950471497546)</f>
        <v>-0.50595047149754602</v>
      </c>
      <c r="GV158" s="3">
        <f ca="1">IFERROR(__xludf.DUMMYFUNCTION("""COMPUTED_VALUE"""),-0.527061367004675)</f>
        <v>-0.52706136700467499</v>
      </c>
      <c r="GW158" s="3">
        <f ca="1">IFERROR(__xludf.DUMMYFUNCTION("""COMPUTED_VALUE"""),-0.46810168918968)</f>
        <v>-0.46810168918967998</v>
      </c>
      <c r="GX158" s="3">
        <f ca="1">IFERROR(__xludf.DUMMYFUNCTION("""COMPUTED_VALUE"""),-0.472333941651007)</f>
        <v>-0.47233394165100701</v>
      </c>
      <c r="GY158" s="3">
        <f ca="1">IFERROR(__xludf.DUMMYFUNCTION("""COMPUTED_VALUE"""),-0.439812449308567)</f>
        <v>-0.439812449308567</v>
      </c>
      <c r="GZ158" s="3">
        <f ca="1">IFERROR(__xludf.DUMMYFUNCTION("""COMPUTED_VALUE"""),-0.489854357897368)</f>
        <v>-0.48985435789736798</v>
      </c>
      <c r="HA158" s="3">
        <f ca="1">IFERROR(__xludf.DUMMYFUNCTION("""COMPUTED_VALUE"""),-0.4973567925555)</f>
        <v>-0.49735679255550003</v>
      </c>
      <c r="HB158" s="3">
        <f ca="1">IFERROR(__xludf.DUMMYFUNCTION("""COMPUTED_VALUE"""),-0.47941463330588)</f>
        <v>-0.47941463330588002</v>
      </c>
      <c r="HC158" s="3">
        <f ca="1">IFERROR(__xludf.DUMMYFUNCTION("""COMPUTED_VALUE"""),-0.479473148015241)</f>
        <v>-0.47947314801524099</v>
      </c>
      <c r="HD158" s="3">
        <f ca="1">IFERROR(__xludf.DUMMYFUNCTION("""COMPUTED_VALUE"""),-0.469825645842313)</f>
        <v>-0.46982564584231301</v>
      </c>
      <c r="HE158" s="3">
        <f ca="1">IFERROR(__xludf.DUMMYFUNCTION("""COMPUTED_VALUE"""),-0.456273158839059)</f>
        <v>-0.456273158839059</v>
      </c>
      <c r="HF158" s="3">
        <f ca="1">IFERROR(__xludf.DUMMYFUNCTION("""COMPUTED_VALUE"""),-0.449406827300533)</f>
        <v>-0.449406827300533</v>
      </c>
      <c r="HG158" s="3">
        <f ca="1">IFERROR(__xludf.DUMMYFUNCTION("""COMPUTED_VALUE"""),-0.478571670623543)</f>
        <v>-0.478571670623543</v>
      </c>
      <c r="HH158" s="3">
        <f ca="1">IFERROR(__xludf.DUMMYFUNCTION("""COMPUTED_VALUE"""),-0.463794724167388)</f>
        <v>-0.46379472416738798</v>
      </c>
      <c r="HI158" s="3">
        <f ca="1">IFERROR(__xludf.DUMMYFUNCTION("""COMPUTED_VALUE"""),-0.46491897410321)</f>
        <v>-0.46491897410320998</v>
      </c>
      <c r="HJ158" s="3">
        <f ca="1">IFERROR(__xludf.DUMMYFUNCTION("""COMPUTED_VALUE"""),-0.486554899155298)</f>
        <v>-0.48655489915529798</v>
      </c>
      <c r="HK158" s="3">
        <f ca="1">IFERROR(__xludf.DUMMYFUNCTION("""COMPUTED_VALUE"""),-0.49268847185699)</f>
        <v>-0.49268847185699</v>
      </c>
      <c r="HL158" s="3">
        <f ca="1">IFERROR(__xludf.DUMMYFUNCTION("""COMPUTED_VALUE"""),-0.494026955962012)</f>
        <v>-0.49402695596201202</v>
      </c>
      <c r="HM158" s="3">
        <f ca="1">IFERROR(__xludf.DUMMYFUNCTION("""COMPUTED_VALUE"""),-0.400184114633376)</f>
        <v>-0.400184114633376</v>
      </c>
      <c r="HN158" s="3">
        <f ca="1">IFERROR(__xludf.DUMMYFUNCTION("""COMPUTED_VALUE"""),-0.444639855182908)</f>
        <v>-0.44463985518290799</v>
      </c>
      <c r="HO158" s="3">
        <f ca="1">IFERROR(__xludf.DUMMYFUNCTION("""COMPUTED_VALUE"""),-0.466700974753876)</f>
        <v>-0.46670097475387601</v>
      </c>
      <c r="HP158" s="3">
        <f ca="1">IFERROR(__xludf.DUMMYFUNCTION("""COMPUTED_VALUE"""),-0.490877785963447)</f>
        <v>-0.490877785963447</v>
      </c>
      <c r="HQ158" s="3">
        <f ca="1">IFERROR(__xludf.DUMMYFUNCTION("""COMPUTED_VALUE"""),-0.501765387559831)</f>
        <v>-0.50176538755983102</v>
      </c>
      <c r="HR158" s="3">
        <f ca="1">IFERROR(__xludf.DUMMYFUNCTION("""COMPUTED_VALUE"""),-0.518036070602595)</f>
        <v>-0.51803607060259504</v>
      </c>
      <c r="HS158" s="3">
        <f ca="1">IFERROR(__xludf.DUMMYFUNCTION("""COMPUTED_VALUE"""),-0.460031371017272)</f>
        <v>-0.46003137101727198</v>
      </c>
      <c r="HT158" s="3">
        <f ca="1">IFERROR(__xludf.DUMMYFUNCTION("""COMPUTED_VALUE"""),-0.429838614020155)</f>
        <v>-0.429838614020155</v>
      </c>
      <c r="HU158" s="3">
        <f ca="1">IFERROR(__xludf.DUMMYFUNCTION("""COMPUTED_VALUE"""),-0.419977655944499)</f>
        <v>-0.41997765594449898</v>
      </c>
      <c r="HV158" s="3">
        <f ca="1">IFERROR(__xludf.DUMMYFUNCTION("""COMPUTED_VALUE"""),-0.437727934508519)</f>
        <v>-0.43772793450851899</v>
      </c>
      <c r="HW158" s="3">
        <f ca="1">IFERROR(__xludf.DUMMYFUNCTION("""COMPUTED_VALUE"""),-0.457553504901391)</f>
        <v>-0.45755350490139102</v>
      </c>
      <c r="HX158" s="3">
        <f ca="1">IFERROR(__xludf.DUMMYFUNCTION("""COMPUTED_VALUE"""),-0.457424889052123)</f>
        <v>-0.45742488905212297</v>
      </c>
      <c r="HY158" s="3">
        <f ca="1">IFERROR(__xludf.DUMMYFUNCTION("""COMPUTED_VALUE"""),-0.482922851738979)</f>
        <v>-0.48292285173897898</v>
      </c>
      <c r="HZ158" s="3">
        <f ca="1">IFERROR(__xludf.DUMMYFUNCTION("""COMPUTED_VALUE"""),-0.406357201796968)</f>
        <v>-0.40635720179696799</v>
      </c>
      <c r="IA158" s="3">
        <f ca="1">IFERROR(__xludf.DUMMYFUNCTION("""COMPUTED_VALUE"""),-0.413563953233029)</f>
        <v>-0.41356395323302902</v>
      </c>
      <c r="IB158" s="3">
        <f ca="1">IFERROR(__xludf.DUMMYFUNCTION("""COMPUTED_VALUE"""),-0.37822035902995)</f>
        <v>-0.37822035902994999</v>
      </c>
      <c r="IC158" s="3">
        <f ca="1">IFERROR(__xludf.DUMMYFUNCTION("""COMPUTED_VALUE"""),-0.438200858543718)</f>
        <v>-0.43820085854371799</v>
      </c>
      <c r="ID158" s="3">
        <f ca="1">IFERROR(__xludf.DUMMYFUNCTION("""COMPUTED_VALUE"""),-0.44894053923296)</f>
        <v>-0.44894053923296001</v>
      </c>
      <c r="IE158" s="3">
        <f ca="1">IFERROR(__xludf.DUMMYFUNCTION("""COMPUTED_VALUE"""),-0.39857686107819)</f>
        <v>-0.39857686107819001</v>
      </c>
      <c r="IF158" s="3">
        <f ca="1">IFERROR(__xludf.DUMMYFUNCTION("""COMPUTED_VALUE"""),-0.396942160010211)</f>
        <v>-0.39694216001021099</v>
      </c>
      <c r="IG158" s="3">
        <f ca="1">IFERROR(__xludf.DUMMYFUNCTION("""COMPUTED_VALUE"""),-0.362143884676018)</f>
        <v>-0.36214388467601799</v>
      </c>
      <c r="IH158" s="3">
        <f ca="1">IFERROR(__xludf.DUMMYFUNCTION("""COMPUTED_VALUE"""),-0.329047862532433)</f>
        <v>-0.32904786253243301</v>
      </c>
      <c r="II158" s="3">
        <f ca="1">IFERROR(__xludf.DUMMYFUNCTION("""COMPUTED_VALUE"""),-0.35567014777317)</f>
        <v>-0.35567014777317002</v>
      </c>
      <c r="IJ158" s="3">
        <f ca="1">IFERROR(__xludf.DUMMYFUNCTION("""COMPUTED_VALUE"""),-0.377006424082814)</f>
        <v>-0.37700642408281398</v>
      </c>
      <c r="IK158" s="3">
        <f ca="1">IFERROR(__xludf.DUMMYFUNCTION("""COMPUTED_VALUE"""),-0.418502606835596)</f>
        <v>-0.41850260683559598</v>
      </c>
      <c r="IL158" s="3">
        <f ca="1">IFERROR(__xludf.DUMMYFUNCTION("""COMPUTED_VALUE"""),-0.415412412048827)</f>
        <v>-0.41541241204882701</v>
      </c>
      <c r="IM158" s="3">
        <f ca="1">IFERROR(__xludf.DUMMYFUNCTION("""COMPUTED_VALUE"""),-0.418579954425929)</f>
        <v>-0.41857995442592899</v>
      </c>
      <c r="IN158" s="3">
        <f ca="1">IFERROR(__xludf.DUMMYFUNCTION("""COMPUTED_VALUE"""),-0.353637281487986)</f>
        <v>-0.35363728148798601</v>
      </c>
      <c r="IO158" s="3">
        <f ca="1">IFERROR(__xludf.DUMMYFUNCTION("""COMPUTED_VALUE"""),-0.376839404263402)</f>
        <v>-0.37683940426340201</v>
      </c>
      <c r="IP158" s="3">
        <f ca="1">IFERROR(__xludf.DUMMYFUNCTION("""COMPUTED_VALUE"""),-0.39784207428513)</f>
        <v>-0.39784207428513002</v>
      </c>
      <c r="IQ158" s="3">
        <f ca="1">IFERROR(__xludf.DUMMYFUNCTION("""COMPUTED_VALUE"""),-0.415079882677799)</f>
        <v>-0.41507988267779899</v>
      </c>
      <c r="IR158" s="3">
        <f ca="1">IFERROR(__xludf.DUMMYFUNCTION("""COMPUTED_VALUE"""),-0.450979875186759)</f>
        <v>-0.45097987518675903</v>
      </c>
      <c r="IS158" s="3">
        <f ca="1">IFERROR(__xludf.DUMMYFUNCTION("""COMPUTED_VALUE"""),-0.410520585406373)</f>
        <v>-0.41052058540637298</v>
      </c>
      <c r="IT158" s="3">
        <f ca="1">IFERROR(__xludf.DUMMYFUNCTION("""COMPUTED_VALUE"""),-0.37655198340773)</f>
        <v>-0.37655198340773</v>
      </c>
      <c r="IU158" s="3">
        <f ca="1">IFERROR(__xludf.DUMMYFUNCTION("""COMPUTED_VALUE"""),-0.417273318949188)</f>
        <v>-0.41727331894918801</v>
      </c>
      <c r="IV158" s="3">
        <f ca="1">IFERROR(__xludf.DUMMYFUNCTION("""COMPUTED_VALUE"""),-0.394367550660603)</f>
        <v>-0.39436755066060297</v>
      </c>
      <c r="IW158" s="3">
        <f ca="1">IFERROR(__xludf.DUMMYFUNCTION("""COMPUTED_VALUE"""),-0.395775268820419)</f>
        <v>-0.39577526882041902</v>
      </c>
      <c r="IX158" s="3">
        <f ca="1">IFERROR(__xludf.DUMMYFUNCTION("""COMPUTED_VALUE"""),-0.421672380797486)</f>
        <v>-0.42167238079748598</v>
      </c>
      <c r="IY158" s="3">
        <f ca="1">IFERROR(__xludf.DUMMYFUNCTION("""COMPUTED_VALUE"""),-0.421643239202621)</f>
        <v>-0.42164323920262098</v>
      </c>
      <c r="IZ158" s="3">
        <f ca="1">IFERROR(__xludf.DUMMYFUNCTION("""COMPUTED_VALUE"""),-0.427100429858731)</f>
        <v>-0.42710042985873098</v>
      </c>
      <c r="JA158" s="3">
        <f ca="1">IFERROR(__xludf.DUMMYFUNCTION("""COMPUTED_VALUE"""),-0.443300448476166)</f>
        <v>-0.44330044847616601</v>
      </c>
      <c r="JB158" s="3">
        <f ca="1">IFERROR(__xludf.DUMMYFUNCTION("""COMPUTED_VALUE"""),-0.396738809990378)</f>
        <v>-0.39673880999037803</v>
      </c>
      <c r="JC158" s="3">
        <f ca="1">IFERROR(__xludf.DUMMYFUNCTION("""COMPUTED_VALUE"""),-0.42270848645911)</f>
        <v>-0.42270848645911002</v>
      </c>
      <c r="JD158" s="3">
        <f ca="1">IFERROR(__xludf.DUMMYFUNCTION("""COMPUTED_VALUE"""),-0.408719520999142)</f>
        <v>-0.40871952099914199</v>
      </c>
      <c r="JE158" s="3">
        <f ca="1">IFERROR(__xludf.DUMMYFUNCTION("""COMPUTED_VALUE"""),-0.456851890780504)</f>
        <v>-0.45685189078050398</v>
      </c>
      <c r="JF158" s="3">
        <f ca="1">IFERROR(__xludf.DUMMYFUNCTION("""COMPUTED_VALUE"""),-0.47896371882312)</f>
        <v>-0.47896371882312</v>
      </c>
      <c r="JG158" s="3">
        <f ca="1">IFERROR(__xludf.DUMMYFUNCTION("""COMPUTED_VALUE"""),-0.454122089059574)</f>
        <v>-0.45412208905957402</v>
      </c>
      <c r="JH158" s="3">
        <f ca="1">IFERROR(__xludf.DUMMYFUNCTION("""COMPUTED_VALUE"""),-0.454807799192198)</f>
        <v>-0.45480779919219799</v>
      </c>
      <c r="JI158" s="3">
        <f ca="1">IFERROR(__xludf.DUMMYFUNCTION("""COMPUTED_VALUE"""),-0.433913989022079)</f>
        <v>-0.43391398902207901</v>
      </c>
      <c r="JJ158" s="3">
        <f ca="1">IFERROR(__xludf.DUMMYFUNCTION("""COMPUTED_VALUE"""),-0.419339448446439)</f>
        <v>-0.419339448446439</v>
      </c>
      <c r="JK158" s="3">
        <f ca="1">IFERROR(__xludf.DUMMYFUNCTION("""COMPUTED_VALUE"""),-0.41846557925445)</f>
        <v>-0.41846557925444999</v>
      </c>
      <c r="JL158" s="3">
        <f ca="1">IFERROR(__xludf.DUMMYFUNCTION("""COMPUTED_VALUE"""),-0.473546447103892)</f>
        <v>-0.47354644710389199</v>
      </c>
      <c r="JM158" s="3">
        <f ca="1">IFERROR(__xludf.DUMMYFUNCTION("""COMPUTED_VALUE"""),-0.485798529679267)</f>
        <v>-0.48579852967926701</v>
      </c>
      <c r="JN158" s="3">
        <f ca="1">IFERROR(__xludf.DUMMYFUNCTION("""COMPUTED_VALUE"""),-0.455228351135459)</f>
        <v>-0.45522835113545901</v>
      </c>
      <c r="JO158" s="3">
        <f ca="1">IFERROR(__xludf.DUMMYFUNCTION("""COMPUTED_VALUE"""),-0.484022887160643)</f>
        <v>-0.48402288716064301</v>
      </c>
      <c r="JP158" s="3">
        <f ca="1">IFERROR(__xludf.DUMMYFUNCTION("""COMPUTED_VALUE"""),-0.464849970647412)</f>
        <v>-0.46484997064741201</v>
      </c>
      <c r="JQ158" s="3">
        <f ca="1">IFERROR(__xludf.DUMMYFUNCTION("""COMPUTED_VALUE"""),-0.464209136682884)</f>
        <v>-0.46420913668288399</v>
      </c>
      <c r="JR158" s="3">
        <f ca="1">IFERROR(__xludf.DUMMYFUNCTION("""COMPUTED_VALUE"""),-0.477591904407289)</f>
        <v>-0.47759190440728899</v>
      </c>
      <c r="JS158" s="3">
        <f ca="1">IFERROR(__xludf.DUMMYFUNCTION("""COMPUTED_VALUE"""),-0.483043785743678)</f>
        <v>-0.48304378574367801</v>
      </c>
      <c r="JT158" s="3">
        <f ca="1">IFERROR(__xludf.DUMMYFUNCTION("""COMPUTED_VALUE"""),-0.524155186402891)</f>
        <v>-0.52415518640289105</v>
      </c>
      <c r="JU158" s="3">
        <f ca="1">IFERROR(__xludf.DUMMYFUNCTION("""COMPUTED_VALUE"""),-0.497800813054401)</f>
        <v>-0.49780081305440099</v>
      </c>
      <c r="JV158" s="3">
        <f ca="1">IFERROR(__xludf.DUMMYFUNCTION("""COMPUTED_VALUE"""),-0.538678072496114)</f>
        <v>-0.53867807249611399</v>
      </c>
      <c r="JW158" s="3">
        <f ca="1">IFERROR(__xludf.DUMMYFUNCTION("""COMPUTED_VALUE"""),-0.469980299657951)</f>
        <v>-0.46998029965795102</v>
      </c>
      <c r="JX158" s="3">
        <f ca="1">IFERROR(__xludf.DUMMYFUNCTION("""COMPUTED_VALUE"""),-0.430354138947909)</f>
        <v>-0.43035413894790903</v>
      </c>
      <c r="JY158" s="3">
        <f ca="1">IFERROR(__xludf.DUMMYFUNCTION("""COMPUTED_VALUE"""),-0.467732333196684)</f>
        <v>-0.467732333196684</v>
      </c>
      <c r="JZ158" s="3">
        <f ca="1">IFERROR(__xludf.DUMMYFUNCTION("""COMPUTED_VALUE"""),-0.535421316225108)</f>
        <v>-0.53542131622510802</v>
      </c>
      <c r="KA158" s="3">
        <f ca="1">IFERROR(__xludf.DUMMYFUNCTION("""COMPUTED_VALUE"""),-0.531312588033855)</f>
        <v>-0.53131258803385495</v>
      </c>
      <c r="KB158" s="3">
        <f ca="1">IFERROR(__xludf.DUMMYFUNCTION("""COMPUTED_VALUE"""),-0.579442101522024)</f>
        <v>-0.57944210152202402</v>
      </c>
      <c r="KC158" s="3">
        <f ca="1">IFERROR(__xludf.DUMMYFUNCTION("""COMPUTED_VALUE"""),-0.565069355522608)</f>
        <v>-0.56506935552260795</v>
      </c>
      <c r="KD158" s="3">
        <f ca="1">IFERROR(__xludf.DUMMYFUNCTION("""COMPUTED_VALUE"""),-0.488089886517315)</f>
        <v>-0.488089886517315</v>
      </c>
      <c r="KE158" s="3">
        <f ca="1">IFERROR(__xludf.DUMMYFUNCTION("""COMPUTED_VALUE"""),-0.485180300071326)</f>
        <v>-0.48518030007132601</v>
      </c>
      <c r="KF158" s="3">
        <f ca="1">IFERROR(__xludf.DUMMYFUNCTION("""COMPUTED_VALUE"""),-0.507604357696878)</f>
        <v>-0.50760435769687795</v>
      </c>
      <c r="KG158" s="3">
        <f ca="1">IFERROR(__xludf.DUMMYFUNCTION("""COMPUTED_VALUE"""),-0.539027430017747)</f>
        <v>-0.539027430017747</v>
      </c>
      <c r="KH158" s="3">
        <f ca="1">IFERROR(__xludf.DUMMYFUNCTION("""COMPUTED_VALUE"""),-0.529679387685268)</f>
        <v>-0.52967938768526801</v>
      </c>
      <c r="KI158" s="3">
        <f ca="1">IFERROR(__xludf.DUMMYFUNCTION("""COMPUTED_VALUE"""),-0.570628677649269)</f>
        <v>-0.57062867764926894</v>
      </c>
      <c r="KJ158" s="3">
        <f ca="1">IFERROR(__xludf.DUMMYFUNCTION("""COMPUTED_VALUE"""),-0.577227543843269)</f>
        <v>-0.57722754384326902</v>
      </c>
      <c r="KK158" s="3">
        <f ca="1">IFERROR(__xludf.DUMMYFUNCTION("""COMPUTED_VALUE"""),-0.529241603310846)</f>
        <v>-0.52924160331084602</v>
      </c>
      <c r="KL158" s="3">
        <f ca="1">IFERROR(__xludf.DUMMYFUNCTION("""COMPUTED_VALUE"""),-0.539220007192115)</f>
        <v>-0.53922000719211505</v>
      </c>
      <c r="KM158" s="3">
        <f ca="1">IFERROR(__xludf.DUMMYFUNCTION("""COMPUTED_VALUE"""),-0.563726475876172)</f>
        <v>-0.56372647587617197</v>
      </c>
      <c r="KN158" s="3">
        <f ca="1">IFERROR(__xludf.DUMMYFUNCTION("""COMPUTED_VALUE"""),-0.547432288083522)</f>
        <v>-0.54743228808352196</v>
      </c>
      <c r="KO158" s="3">
        <f ca="1">IFERROR(__xludf.DUMMYFUNCTION("""COMPUTED_VALUE"""),-0.546826253122034)</f>
        <v>-0.54682625312203403</v>
      </c>
      <c r="KP158" s="3">
        <f ca="1">IFERROR(__xludf.DUMMYFUNCTION("""COMPUTED_VALUE"""),-0.555420460485797)</f>
        <v>-0.55542046048579696</v>
      </c>
      <c r="KQ158" s="3">
        <f ca="1">IFERROR(__xludf.DUMMYFUNCTION("""COMPUTED_VALUE"""),-0.593505062219636)</f>
        <v>-0.59350506221963595</v>
      </c>
      <c r="KR158" s="3">
        <f ca="1">IFERROR(__xludf.DUMMYFUNCTION("""COMPUTED_VALUE"""),-0.597950096893049)</f>
        <v>-0.59795009689304901</v>
      </c>
      <c r="KS158" s="3">
        <f ca="1">IFERROR(__xludf.DUMMYFUNCTION("""COMPUTED_VALUE"""),-0.562978623062406)</f>
        <v>-0.56297862306240598</v>
      </c>
      <c r="KT158" s="3">
        <f ca="1">IFERROR(__xludf.DUMMYFUNCTION("""COMPUTED_VALUE"""),-0.568603015980651)</f>
        <v>-0.56860301598065099</v>
      </c>
      <c r="KU158" s="3">
        <f ca="1">IFERROR(__xludf.DUMMYFUNCTION("""COMPUTED_VALUE"""),-0.612603839938872)</f>
        <v>-0.61260383993887202</v>
      </c>
      <c r="KV158" s="3">
        <f ca="1">IFERROR(__xludf.DUMMYFUNCTION("""COMPUTED_VALUE"""),-0.616779821125694)</f>
        <v>-0.61677982112569396</v>
      </c>
      <c r="KW158" s="3">
        <f ca="1">IFERROR(__xludf.DUMMYFUNCTION("""COMPUTED_VALUE"""),-0.616507374904648)</f>
        <v>-0.61650737490464802</v>
      </c>
      <c r="KX158" s="3">
        <f ca="1">IFERROR(__xludf.DUMMYFUNCTION("""COMPUTED_VALUE"""),-0.623302488836312)</f>
        <v>-0.62330248883631201</v>
      </c>
      <c r="KY158" s="3">
        <f ca="1">IFERROR(__xludf.DUMMYFUNCTION("""COMPUTED_VALUE"""),-0.588024517688836)</f>
        <v>-0.58802451768883601</v>
      </c>
      <c r="KZ158" s="3">
        <f ca="1">IFERROR(__xludf.DUMMYFUNCTION("""COMPUTED_VALUE"""),-0.55422114336936)</f>
        <v>-0.55422114336936001</v>
      </c>
      <c r="LA158" s="3">
        <f ca="1">IFERROR(__xludf.DUMMYFUNCTION("""COMPUTED_VALUE"""),-0.594528774375773)</f>
        <v>-0.59452877437577301</v>
      </c>
      <c r="LB158" s="3">
        <f ca="1">IFERROR(__xludf.DUMMYFUNCTION("""COMPUTED_VALUE"""),-0.596055504413564)</f>
        <v>-0.59605550441356403</v>
      </c>
      <c r="LC158" s="3">
        <f ca="1">IFERROR(__xludf.DUMMYFUNCTION("""COMPUTED_VALUE"""),-0.623406682829315)</f>
        <v>-0.623406682829315</v>
      </c>
      <c r="LD158" s="3">
        <f ca="1">IFERROR(__xludf.DUMMYFUNCTION("""COMPUTED_VALUE"""),-0.627475568847281)</f>
        <v>-0.62747556884728095</v>
      </c>
      <c r="LE158" s="3">
        <f ca="1">IFERROR(__xludf.DUMMYFUNCTION("""COMPUTED_VALUE"""),-0.644795041520677)</f>
        <v>-0.64479504152067701</v>
      </c>
      <c r="LF158" s="3">
        <f ca="1">IFERROR(__xludf.DUMMYFUNCTION("""COMPUTED_VALUE"""),-0.583556012725009)</f>
        <v>-0.58355601272500901</v>
      </c>
      <c r="LG158" s="3">
        <f ca="1">IFERROR(__xludf.DUMMYFUNCTION("""COMPUTED_VALUE"""),-0.57143738673527)</f>
        <v>-0.57143738673527</v>
      </c>
      <c r="LH158" s="3">
        <f ca="1">IFERROR(__xludf.DUMMYFUNCTION("""COMPUTED_VALUE"""),-0.592981084892885)</f>
        <v>-0.59298108489288504</v>
      </c>
      <c r="LI158" s="3">
        <f ca="1">IFERROR(__xludf.DUMMYFUNCTION("""COMPUTED_VALUE"""),-0.568415951235243)</f>
        <v>-0.56841595123524302</v>
      </c>
      <c r="LJ158" s="3">
        <f ca="1">IFERROR(__xludf.DUMMYFUNCTION("""COMPUTED_VALUE"""),-0.596330186766772)</f>
        <v>-0.59633018676677196</v>
      </c>
      <c r="LK158" s="3">
        <f ca="1">IFERROR(__xludf.DUMMYFUNCTION("""COMPUTED_VALUE"""),-0.588921646415976)</f>
        <v>-0.588921646415976</v>
      </c>
      <c r="LL158" s="3">
        <f ca="1">IFERROR(__xludf.DUMMYFUNCTION("""COMPUTED_VALUE"""),-0.607392775784056)</f>
        <v>-0.60739277578405604</v>
      </c>
      <c r="LM158" s="3">
        <f ca="1">IFERROR(__xludf.DUMMYFUNCTION("""COMPUTED_VALUE"""),-0.603592710017819)</f>
        <v>-0.603592710017819</v>
      </c>
      <c r="LN158" s="3">
        <f ca="1">IFERROR(__xludf.DUMMYFUNCTION("""COMPUTED_VALUE"""),-0.598312010159735)</f>
        <v>-0.59831201015973501</v>
      </c>
      <c r="LO158" s="3">
        <f ca="1">IFERROR(__xludf.DUMMYFUNCTION("""COMPUTED_VALUE"""),-0.586782413769155)</f>
        <v>-0.58678241376915496</v>
      </c>
      <c r="LP158" s="3">
        <f ca="1">IFERROR(__xludf.DUMMYFUNCTION("""COMPUTED_VALUE"""),-0.628918368764536)</f>
        <v>-0.628918368764536</v>
      </c>
      <c r="LQ158" s="3">
        <f ca="1">IFERROR(__xludf.DUMMYFUNCTION("""COMPUTED_VALUE"""),-0.652999280967584)</f>
        <v>-0.65299928096758397</v>
      </c>
      <c r="LR158" s="3">
        <f ca="1">IFERROR(__xludf.DUMMYFUNCTION("""COMPUTED_VALUE"""),-0.658254301514634)</f>
        <v>-0.65825430151463404</v>
      </c>
      <c r="LS158" s="3">
        <f ca="1">IFERROR(__xludf.DUMMYFUNCTION("""COMPUTED_VALUE"""),-0.62103668929803)</f>
        <v>-0.62103668929803002</v>
      </c>
      <c r="LT158" s="3">
        <f ca="1">IFERROR(__xludf.DUMMYFUNCTION("""COMPUTED_VALUE"""),-0.567523965366233)</f>
        <v>-0.56752396536623295</v>
      </c>
      <c r="LU158" s="3">
        <f ca="1">IFERROR(__xludf.DUMMYFUNCTION("""COMPUTED_VALUE"""),-0.662156278540955)</f>
        <v>-0.66215627854095505</v>
      </c>
      <c r="LV158" s="3">
        <f ca="1">IFERROR(__xludf.DUMMYFUNCTION("""COMPUTED_VALUE"""),-0.675860087533284)</f>
        <v>-0.67586008753328397</v>
      </c>
      <c r="LW158" s="3">
        <f ca="1">IFERROR(__xludf.DUMMYFUNCTION("""COMPUTED_VALUE"""),-0.674188570085867)</f>
        <v>-0.67418857008586697</v>
      </c>
      <c r="LX158" s="3">
        <f ca="1">IFERROR(__xludf.DUMMYFUNCTION("""COMPUTED_VALUE"""),-0.704966700266557)</f>
        <v>-0.70496670026655694</v>
      </c>
      <c r="LY158" s="3">
        <f ca="1">IFERROR(__xludf.DUMMYFUNCTION("""COMPUTED_VALUE"""),-0.712304055996431)</f>
        <v>-0.71230405599643098</v>
      </c>
      <c r="LZ158" s="3">
        <f ca="1">IFERROR(__xludf.DUMMYFUNCTION("""COMPUTED_VALUE"""),-0.699630549139316)</f>
        <v>-0.69963054913931599</v>
      </c>
      <c r="MA158" s="3">
        <f ca="1">IFERROR(__xludf.DUMMYFUNCTION("""COMPUTED_VALUE"""),-0.635856938699227)</f>
        <v>-0.63585693869922699</v>
      </c>
      <c r="MB158" s="3">
        <f ca="1">IFERROR(__xludf.DUMMYFUNCTION("""COMPUTED_VALUE"""),-0.63205678990502)</f>
        <v>-0.63205678990502001</v>
      </c>
      <c r="MC158" s="3">
        <f ca="1">IFERROR(__xludf.DUMMYFUNCTION("""COMPUTED_VALUE"""),-0.649848869484064)</f>
        <v>-0.64984886948406395</v>
      </c>
      <c r="MD158" s="3">
        <f ca="1">IFERROR(__xludf.DUMMYFUNCTION("""COMPUTED_VALUE"""),-0.654342727041419)</f>
        <v>-0.65434272704141905</v>
      </c>
      <c r="ME158" s="3">
        <f ca="1">IFERROR(__xludf.DUMMYFUNCTION("""COMPUTED_VALUE"""),-0.681379966975224)</f>
        <v>-0.68137996697522396</v>
      </c>
      <c r="MF158" s="3">
        <f ca="1">IFERROR(__xludf.DUMMYFUNCTION("""COMPUTED_VALUE"""),-0.674203978058111)</f>
        <v>-0.67420397805811105</v>
      </c>
      <c r="MG158" s="3">
        <f ca="1">IFERROR(__xludf.DUMMYFUNCTION("""COMPUTED_VALUE"""),-0.683918427511319)</f>
        <v>-0.68391842751131904</v>
      </c>
      <c r="MH158" s="3">
        <f ca="1">IFERROR(__xludf.DUMMYFUNCTION("""COMPUTED_VALUE"""),-0.683799975160388)</f>
        <v>-0.68379997516038804</v>
      </c>
      <c r="MI158" s="3">
        <f ca="1">IFERROR(__xludf.DUMMYFUNCTION("""COMPUTED_VALUE"""),-0.684983620142039)</f>
        <v>-0.68498362014203895</v>
      </c>
      <c r="MJ158" s="3">
        <f ca="1">IFERROR(__xludf.DUMMYFUNCTION("""COMPUTED_VALUE"""),-0.72280888587315)</f>
        <v>-0.72280888587314995</v>
      </c>
      <c r="MK158" s="3">
        <f ca="1">IFERROR(__xludf.DUMMYFUNCTION("""COMPUTED_VALUE"""),-0.696791153619887)</f>
        <v>-0.69679115361988697</v>
      </c>
      <c r="ML158" s="3">
        <f ca="1">IFERROR(__xludf.DUMMYFUNCTION("""COMPUTED_VALUE"""),-0.711848291216889)</f>
        <v>-0.71184829121688897</v>
      </c>
      <c r="MM158" s="3">
        <f ca="1">IFERROR(__xludf.DUMMYFUNCTION("""COMPUTED_VALUE"""),-0.716170785763848)</f>
        <v>-0.71617078576384796</v>
      </c>
      <c r="MN158" s="3">
        <f ca="1">IFERROR(__xludf.DUMMYFUNCTION("""COMPUTED_VALUE"""),-0.710600786395021)</f>
        <v>-0.710600786395021</v>
      </c>
      <c r="MO158" s="3">
        <f ca="1">IFERROR(__xludf.DUMMYFUNCTION("""COMPUTED_VALUE"""),-0.679437885357757)</f>
        <v>-0.67943788535775695</v>
      </c>
      <c r="MP158" s="3">
        <f ca="1">IFERROR(__xludf.DUMMYFUNCTION("""COMPUTED_VALUE"""),-0.700305002990863)</f>
        <v>-0.70030500299086296</v>
      </c>
      <c r="MQ158" s="3">
        <f ca="1">IFERROR(__xludf.DUMMYFUNCTION("""COMPUTED_VALUE"""),-0.718458363939106)</f>
        <v>-0.718458363939106</v>
      </c>
      <c r="MR158" s="3">
        <f ca="1">IFERROR(__xludf.DUMMYFUNCTION("""COMPUTED_VALUE"""),-0.692803582222326)</f>
        <v>-0.69280358222232596</v>
      </c>
      <c r="MS158" s="3">
        <f ca="1">IFERROR(__xludf.DUMMYFUNCTION("""COMPUTED_VALUE"""),-0.703937143314762)</f>
        <v>-0.70393714331476198</v>
      </c>
      <c r="MT158" s="3">
        <f ca="1">IFERROR(__xludf.DUMMYFUNCTION("""COMPUTED_VALUE"""),-0.713001397006666)</f>
        <v>-0.71300139700666598</v>
      </c>
      <c r="MU158" s="3">
        <f ca="1">IFERROR(__xludf.DUMMYFUNCTION("""COMPUTED_VALUE"""),-0.67108795299043)</f>
        <v>-0.67108795299043</v>
      </c>
      <c r="MV158" s="3">
        <f ca="1">IFERROR(__xludf.DUMMYFUNCTION("""COMPUTED_VALUE"""),-0.667880484253013)</f>
        <v>-0.66788048425301305</v>
      </c>
      <c r="MW158" s="3">
        <f ca="1">IFERROR(__xludf.DUMMYFUNCTION("""COMPUTED_VALUE"""),-0.716536835500302)</f>
        <v>-0.71653683550030201</v>
      </c>
      <c r="MX158" s="3">
        <f ca="1">IFERROR(__xludf.DUMMYFUNCTION("""COMPUTED_VALUE"""),-0.721527316358272)</f>
        <v>-0.72152731635827205</v>
      </c>
      <c r="MY158" s="3">
        <f ca="1">IFERROR(__xludf.DUMMYFUNCTION("""COMPUTED_VALUE"""),-0.722110285807972)</f>
        <v>-0.72211028580797199</v>
      </c>
      <c r="MZ158" s="3">
        <f ca="1">IFERROR(__xludf.DUMMYFUNCTION("""COMPUTED_VALUE"""),-0.717782159889784)</f>
        <v>-0.717782159889784</v>
      </c>
      <c r="NA158" s="3">
        <f ca="1">IFERROR(__xludf.DUMMYFUNCTION("""COMPUTED_VALUE"""),-0.709156003240171)</f>
        <v>-0.70915600324017103</v>
      </c>
      <c r="NB158" s="3">
        <f ca="1">IFERROR(__xludf.DUMMYFUNCTION("""COMPUTED_VALUE"""),-0.707625323071768)</f>
        <v>-0.70762532307176795</v>
      </c>
      <c r="NC158" s="3">
        <f ca="1">IFERROR(__xludf.DUMMYFUNCTION("""COMPUTED_VALUE"""),-0.703265674282719)</f>
        <v>-0.70326567428271902</v>
      </c>
      <c r="ND158" s="3">
        <f ca="1">IFERROR(__xludf.DUMMYFUNCTION("""COMPUTED_VALUE"""),-0.718780523851282)</f>
        <v>-0.71878052385128199</v>
      </c>
      <c r="NE158" s="3">
        <f ca="1">IFERROR(__xludf.DUMMYFUNCTION("""COMPUTED_VALUE"""),-0.729896139896199)</f>
        <v>-0.72989613989619895</v>
      </c>
      <c r="NF158" s="3">
        <f ca="1">IFERROR(__xludf.DUMMYFUNCTION("""COMPUTED_VALUE"""),-0.724622646476945)</f>
        <v>-0.72462264647694496</v>
      </c>
      <c r="NG158" s="3">
        <f ca="1">IFERROR(__xludf.DUMMYFUNCTION("""COMPUTED_VALUE"""),-0.710212356597852)</f>
        <v>-0.71021235659785198</v>
      </c>
      <c r="NH158" s="3">
        <f ca="1">IFERROR(__xludf.DUMMYFUNCTION("""COMPUTED_VALUE"""),-0.705677982319336)</f>
        <v>-0.70567798231933598</v>
      </c>
      <c r="NI158" s="3">
        <f ca="1">IFERROR(__xludf.DUMMYFUNCTION("""COMPUTED_VALUE"""),-0.710641955607808)</f>
        <v>-0.71064195560780796</v>
      </c>
      <c r="NJ158" s="3">
        <f ca="1">IFERROR(__xludf.DUMMYFUNCTION("""COMPUTED_VALUE"""),-0.692998169820044)</f>
        <v>-0.69299816982004403</v>
      </c>
      <c r="NK158" s="3">
        <f ca="1">IFERROR(__xludf.DUMMYFUNCTION("""COMPUTED_VALUE"""),-0.736222167474903)</f>
        <v>-0.73622216747490299</v>
      </c>
      <c r="NL158" s="3">
        <f ca="1">IFERROR(__xludf.DUMMYFUNCTION("""COMPUTED_VALUE"""),-0.747558431361706)</f>
        <v>-0.74755843136170597</v>
      </c>
      <c r="NM158" s="3">
        <f ca="1">IFERROR(__xludf.DUMMYFUNCTION("""COMPUTED_VALUE"""),-0.750626763091637)</f>
        <v>-0.75062676309163701</v>
      </c>
      <c r="NN158" s="3">
        <f ca="1">IFERROR(__xludf.DUMMYFUNCTION("""COMPUTED_VALUE"""),-0.723082392443287)</f>
        <v>-0.72308239244328698</v>
      </c>
      <c r="NO158" s="3">
        <f ca="1">IFERROR(__xludf.DUMMYFUNCTION("""COMPUTED_VALUE"""),-0.738082937694724)</f>
        <v>-0.738082937694724</v>
      </c>
      <c r="NP158" s="3">
        <f ca="1">IFERROR(__xludf.DUMMYFUNCTION("""COMPUTED_VALUE"""),-0.737039290943246)</f>
        <v>-0.73703929094324605</v>
      </c>
      <c r="NQ158" s="3">
        <f ca="1">IFERROR(__xludf.DUMMYFUNCTION("""COMPUTED_VALUE"""),-0.735786364288235)</f>
        <v>-0.73578636428823496</v>
      </c>
      <c r="NR158" s="3">
        <f ca="1">IFERROR(__xludf.DUMMYFUNCTION("""COMPUTED_VALUE"""),-0.735474500013657)</f>
        <v>-0.735474500013657</v>
      </c>
      <c r="NS158" s="3">
        <f ca="1">IFERROR(__xludf.DUMMYFUNCTION("""COMPUTED_VALUE"""),-0.749775280482876)</f>
        <v>-0.74977528048287601</v>
      </c>
      <c r="NT158" s="3">
        <f ca="1">IFERROR(__xludf.DUMMYFUNCTION("""COMPUTED_VALUE"""),-0.755763524097723)</f>
        <v>-0.75576352409772296</v>
      </c>
      <c r="NU158" s="3">
        <f ca="1">IFERROR(__xludf.DUMMYFUNCTION("""COMPUTED_VALUE"""),-0.755777067729934)</f>
        <v>-0.75577706772993403</v>
      </c>
      <c r="NV158" s="3">
        <f ca="1">IFERROR(__xludf.DUMMYFUNCTION("""COMPUTED_VALUE"""),-0.741396976406232)</f>
        <v>-0.74139697640623203</v>
      </c>
      <c r="NW158" s="3">
        <f ca="1">IFERROR(__xludf.DUMMYFUNCTION("""COMPUTED_VALUE"""),-0.702686411631929)</f>
        <v>-0.70268641163192902</v>
      </c>
      <c r="NX158" s="3">
        <f ca="1">IFERROR(__xludf.DUMMYFUNCTION("""COMPUTED_VALUE"""),-0.698405451483813)</f>
        <v>-0.69840545148381294</v>
      </c>
      <c r="NY158" s="3">
        <f ca="1">IFERROR(__xludf.DUMMYFUNCTION("""COMPUTED_VALUE"""),-0.679380182514844)</f>
        <v>-0.679380182514844</v>
      </c>
      <c r="NZ158" s="3">
        <f ca="1">IFERROR(__xludf.DUMMYFUNCTION("""COMPUTED_VALUE"""),-0.650112725374977)</f>
        <v>-0.650112725374977</v>
      </c>
      <c r="OA158" s="3">
        <f ca="1">IFERROR(__xludf.DUMMYFUNCTION("""COMPUTED_VALUE"""),-0.609930271093205)</f>
        <v>-0.60993027109320497</v>
      </c>
      <c r="OB158" s="3">
        <f ca="1">IFERROR(__xludf.DUMMYFUNCTION("""COMPUTED_VALUE"""),-0.59038288065045)</f>
        <v>-0.59038288065044997</v>
      </c>
      <c r="OC158" s="3">
        <f ca="1">IFERROR(__xludf.DUMMYFUNCTION("""COMPUTED_VALUE"""),-0.541651954497415)</f>
        <v>-0.54165195449741499</v>
      </c>
      <c r="OD158" s="3">
        <f ca="1">IFERROR(__xludf.DUMMYFUNCTION("""COMPUTED_VALUE"""),-0.438619071568612)</f>
        <v>-0.43861907156861202</v>
      </c>
      <c r="OE158" s="3">
        <f ca="1">IFERROR(__xludf.DUMMYFUNCTION("""COMPUTED_VALUE"""),-0.323804701164196)</f>
        <v>-0.32380470116419602</v>
      </c>
      <c r="OF158" s="3">
        <f ca="1">IFERROR(__xludf.DUMMYFUNCTION("""COMPUTED_VALUE"""),-0.244378292884229)</f>
        <v>-0.24437829288422899</v>
      </c>
      <c r="OG158" s="3">
        <f ca="1">IFERROR(__xludf.DUMMYFUNCTION("""COMPUTED_VALUE"""),-0.225810959473851)</f>
        <v>-0.22581095947385099</v>
      </c>
      <c r="OH158" s="3">
        <f ca="1">IFERROR(__xludf.DUMMYFUNCTION("""COMPUTED_VALUE"""),-0.117196907593768)</f>
        <v>-0.117196907593768</v>
      </c>
      <c r="OI158" s="3">
        <f ca="1">IFERROR(__xludf.DUMMYFUNCTION("""COMPUTED_VALUE"""),-0.0550220719979031)</f>
        <v>-5.5022071997903099E-2</v>
      </c>
      <c r="OJ158" s="3">
        <f ca="1">IFERROR(__xludf.DUMMYFUNCTION("""COMPUTED_VALUE"""),-0.0469620215379541)</f>
        <v>-4.6962021537954098E-2</v>
      </c>
      <c r="OK158" s="3">
        <f ca="1">IFERROR(__xludf.DUMMYFUNCTION("""COMPUTED_VALUE"""),-0.0275807287660562)</f>
        <v>-2.75807287660562E-2</v>
      </c>
      <c r="OL158" s="3">
        <f ca="1">IFERROR(__xludf.DUMMYFUNCTION("""COMPUTED_VALUE"""),-0.025374701068044)</f>
        <v>-2.5374701068044E-2</v>
      </c>
      <c r="OM158" s="3">
        <f ca="1">IFERROR(__xludf.DUMMYFUNCTION("""COMPUTED_VALUE"""),-0.0839254400483524)</f>
        <v>-8.3925440048352395E-2</v>
      </c>
      <c r="ON158" s="3">
        <f ca="1">IFERROR(__xludf.DUMMYFUNCTION("""COMPUTED_VALUE"""),-0.0811346385550384)</f>
        <v>-8.1134638555038399E-2</v>
      </c>
      <c r="OO158" s="3">
        <f ca="1">IFERROR(__xludf.DUMMYFUNCTION("""COMPUTED_VALUE"""),0.0115269529131361)</f>
        <v>1.15269529131361E-2</v>
      </c>
      <c r="OP158" s="3">
        <f ca="1">IFERROR(__xludf.DUMMYFUNCTION("""COMPUTED_VALUE"""),-0.00951285895878195)</f>
        <v>-9.5128589587819504E-3</v>
      </c>
      <c r="OQ158" s="3">
        <f ca="1">IFERROR(__xludf.DUMMYFUNCTION("""COMPUTED_VALUE"""),0.0711505063428252)</f>
        <v>7.1150506342825201E-2</v>
      </c>
      <c r="OR158" s="3">
        <f ca="1">IFERROR(__xludf.DUMMYFUNCTION("""COMPUTED_VALUE"""),-0.0015178853591411)</f>
        <v>-1.5178853591411E-3</v>
      </c>
      <c r="OS158" s="3">
        <f ca="1">IFERROR(__xludf.DUMMYFUNCTION("""COMPUTED_VALUE"""),-0.0144379522665505)</f>
        <v>-1.4437952266550501E-2</v>
      </c>
      <c r="OT158" s="3">
        <f ca="1">IFERROR(__xludf.DUMMYFUNCTION("""COMPUTED_VALUE"""),-0.045591719263105)</f>
        <v>-4.5591719263104999E-2</v>
      </c>
      <c r="OU158" s="3">
        <f ca="1">IFERROR(__xludf.DUMMYFUNCTION("""COMPUTED_VALUE"""),-0.00443138677249876)</f>
        <v>-4.4313867724987601E-3</v>
      </c>
      <c r="OV158" s="3">
        <f ca="1">IFERROR(__xludf.DUMMYFUNCTION("""COMPUTED_VALUE"""),0.0150483411015316)</f>
        <v>1.5048341101531601E-2</v>
      </c>
      <c r="OW158" s="3">
        <f ca="1">IFERROR(__xludf.DUMMYFUNCTION("""COMPUTED_VALUE"""),0.00337078727630246)</f>
        <v>3.3707872763024602E-3</v>
      </c>
      <c r="OX158" s="3">
        <f ca="1">IFERROR(__xludf.DUMMYFUNCTION("""COMPUTED_VALUE"""),0.0409321998906804)</f>
        <v>4.09321998906804E-2</v>
      </c>
      <c r="OY158" s="3">
        <f ca="1">IFERROR(__xludf.DUMMYFUNCTION("""COMPUTED_VALUE"""),0.0385073526217378)</f>
        <v>3.8507352621737802E-2</v>
      </c>
      <c r="OZ158" s="3">
        <f ca="1">IFERROR(__xludf.DUMMYFUNCTION("""COMPUTED_VALUE"""),0.0644341066820888)</f>
        <v>6.4434106682088793E-2</v>
      </c>
      <c r="PA158" s="3">
        <f ca="1">IFERROR(__xludf.DUMMYFUNCTION("""COMPUTED_VALUE"""),-0.0807780941030968)</f>
        <v>-8.0778094103096804E-2</v>
      </c>
      <c r="PB158" s="3">
        <f ca="1">IFERROR(__xludf.DUMMYFUNCTION("""COMPUTED_VALUE"""),-0.0337645706334786)</f>
        <v>-3.3764570633478597E-2</v>
      </c>
      <c r="PC158" s="3">
        <f ca="1">IFERROR(__xludf.DUMMYFUNCTION("""COMPUTED_VALUE"""),-0.0218944279360757)</f>
        <v>-2.1894427936075701E-2</v>
      </c>
      <c r="PD158" s="3">
        <f ca="1">IFERROR(__xludf.DUMMYFUNCTION("""COMPUTED_VALUE"""),-0.0513599143802273)</f>
        <v>-5.1359914380227301E-2</v>
      </c>
      <c r="PE158" s="3">
        <f ca="1">IFERROR(__xludf.DUMMYFUNCTION("""COMPUTED_VALUE"""),-0.00268960442561416)</f>
        <v>-2.6896044256141602E-3</v>
      </c>
      <c r="PF158" s="3">
        <f ca="1">IFERROR(__xludf.DUMMYFUNCTION("""COMPUTED_VALUE"""),0.0166053530419594)</f>
        <v>1.6605353041959401E-2</v>
      </c>
      <c r="PG158" s="3">
        <f ca="1">IFERROR(__xludf.DUMMYFUNCTION("""COMPUTED_VALUE"""),-0.177118821864436)</f>
        <v>-0.177118821864436</v>
      </c>
      <c r="PH158" s="3">
        <f ca="1">IFERROR(__xludf.DUMMYFUNCTION("""COMPUTED_VALUE"""),-0.0477374934724385)</f>
        <v>-4.7737493472438497E-2</v>
      </c>
      <c r="PI158" s="3">
        <f ca="1">IFERROR(__xludf.DUMMYFUNCTION("""COMPUTED_VALUE"""),-0.0112235788100026)</f>
        <v>-1.1223578810002599E-2</v>
      </c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</row>
    <row r="159" spans="1:477" ht="13">
      <c r="A159" s="1" t="str">
        <f ca="1">IFERROR(__xludf.DUMMYFUNCTION("""COMPUTED_VALUE"""),"C-TRAN")</f>
        <v>C-TRAN</v>
      </c>
      <c r="B159" s="1" t="str">
        <f ca="1">IFERROR(__xludf.DUMMYFUNCTION("""COMPUTED_VALUE"""),"Vancouver")</f>
        <v>Vancouver</v>
      </c>
      <c r="C159" s="1" t="str">
        <f ca="1">IFERROR(__xludf.DUMMYFUNCTION("""COMPUTED_VALUE"""),"United States")</f>
        <v>United States</v>
      </c>
      <c r="D159" s="1" t="str">
        <f ca="1">IFERROR(__xludf.DUMMYFUNCTION("""COMPUTED_VALUE"""),"Washington")</f>
        <v>Washington</v>
      </c>
      <c r="E159" s="3">
        <f ca="1">IFERROR(__xludf.DUMMYFUNCTION("""COMPUTED_VALUE"""),-0.674868831365512)</f>
        <v>-0.67486883136551201</v>
      </c>
      <c r="F159" s="3">
        <f ca="1">IFERROR(__xludf.DUMMYFUNCTION("""COMPUTED_VALUE"""),-0.701289509986726)</f>
        <v>-0.70128950998672601</v>
      </c>
      <c r="G159" s="3">
        <f ca="1">IFERROR(__xludf.DUMMYFUNCTION("""COMPUTED_VALUE"""),-0.754399899877544)</f>
        <v>-0.75439989987754397</v>
      </c>
      <c r="H159" s="3">
        <f ca="1">IFERROR(__xludf.DUMMYFUNCTION("""COMPUTED_VALUE"""),-0.75645136592613)</f>
        <v>-0.75645136592613005</v>
      </c>
      <c r="I159" s="3">
        <f ca="1">IFERROR(__xludf.DUMMYFUNCTION("""COMPUTED_VALUE"""),-0.782091806353608)</f>
        <v>-0.78209180635360798</v>
      </c>
      <c r="J159" s="3">
        <f ca="1">IFERROR(__xludf.DUMMYFUNCTION("""COMPUTED_VALUE"""),-0.719516473033036)</f>
        <v>-0.71951647303303601</v>
      </c>
      <c r="K159" s="3">
        <f ca="1">IFERROR(__xludf.DUMMYFUNCTION("""COMPUTED_VALUE"""),-0.489509077815042)</f>
        <v>-0.48950907781504199</v>
      </c>
      <c r="L159" s="3">
        <f ca="1">IFERROR(__xludf.DUMMYFUNCTION("""COMPUTED_VALUE"""),-0.573564168855826)</f>
        <v>-0.57356416885582595</v>
      </c>
      <c r="M159" s="3">
        <f ca="1">IFERROR(__xludf.DUMMYFUNCTION("""COMPUTED_VALUE"""),-0.630178406020366)</f>
        <v>-0.63017840602036601</v>
      </c>
      <c r="N159" s="3">
        <f ca="1">IFERROR(__xludf.DUMMYFUNCTION("""COMPUTED_VALUE"""),-0.689995732994352)</f>
        <v>-0.68999573299435202</v>
      </c>
      <c r="O159" s="3">
        <f ca="1">IFERROR(__xludf.DUMMYFUNCTION("""COMPUTED_VALUE"""),-0.678196823649241)</f>
        <v>-0.67819682364924105</v>
      </c>
      <c r="P159" s="3">
        <f ca="1">IFERROR(__xludf.DUMMYFUNCTION("""COMPUTED_VALUE"""),-0.701189277592651)</f>
        <v>-0.70118927759265104</v>
      </c>
      <c r="Q159" s="3">
        <f ca="1">IFERROR(__xludf.DUMMYFUNCTION("""COMPUTED_VALUE"""),-0.654869831238793)</f>
        <v>-0.65486983123879305</v>
      </c>
      <c r="R159" s="3">
        <f ca="1">IFERROR(__xludf.DUMMYFUNCTION("""COMPUTED_VALUE"""),-0.658817905628838)</f>
        <v>-0.65881790562883802</v>
      </c>
      <c r="S159" s="3">
        <f ca="1">IFERROR(__xludf.DUMMYFUNCTION("""COMPUTED_VALUE"""),-0.549400035820637)</f>
        <v>-0.54940003582063701</v>
      </c>
      <c r="T159" s="3">
        <f ca="1">IFERROR(__xludf.DUMMYFUNCTION("""COMPUTED_VALUE"""),-0.656861971197612)</f>
        <v>-0.65686197119761203</v>
      </c>
      <c r="U159" s="3">
        <f ca="1">IFERROR(__xludf.DUMMYFUNCTION("""COMPUTED_VALUE"""),-0.639265635780305)</f>
        <v>-0.63926563578030504</v>
      </c>
      <c r="V159" s="3">
        <f ca="1">IFERROR(__xludf.DUMMYFUNCTION("""COMPUTED_VALUE"""),-0.66071423737318)</f>
        <v>-0.66071423737318002</v>
      </c>
      <c r="W159" s="3">
        <f ca="1">IFERROR(__xludf.DUMMYFUNCTION("""COMPUTED_VALUE"""),-0.700638193803721)</f>
        <v>-0.70063819380372105</v>
      </c>
      <c r="X159" s="3">
        <f ca="1">IFERROR(__xludf.DUMMYFUNCTION("""COMPUTED_VALUE"""),-0.597717166298184)</f>
        <v>-0.59771716629818405</v>
      </c>
      <c r="Y159" s="3">
        <f ca="1">IFERROR(__xludf.DUMMYFUNCTION("""COMPUTED_VALUE"""),-0.575146418407746)</f>
        <v>-0.57514641840774605</v>
      </c>
      <c r="Z159" s="3">
        <f ca="1">IFERROR(__xludf.DUMMYFUNCTION("""COMPUTED_VALUE"""),-0.564623635884539)</f>
        <v>-0.56462363588453901</v>
      </c>
      <c r="AA159" s="3">
        <f ca="1">IFERROR(__xludf.DUMMYFUNCTION("""COMPUTED_VALUE"""),-0.639550239450557)</f>
        <v>-0.639550239450557</v>
      </c>
      <c r="AB159" s="3">
        <f ca="1">IFERROR(__xludf.DUMMYFUNCTION("""COMPUTED_VALUE"""),-0.680773917360285)</f>
        <v>-0.68077391736028503</v>
      </c>
      <c r="AC159" s="3">
        <f ca="1">IFERROR(__xludf.DUMMYFUNCTION("""COMPUTED_VALUE"""),-0.626759895537248)</f>
        <v>-0.62675989553724798</v>
      </c>
      <c r="AD159" s="3">
        <f ca="1">IFERROR(__xludf.DUMMYFUNCTION("""COMPUTED_VALUE"""),-0.645576441415664)</f>
        <v>-0.64557644141566395</v>
      </c>
      <c r="AE159" s="3">
        <f ca="1">IFERROR(__xludf.DUMMYFUNCTION("""COMPUTED_VALUE"""),-0.67405727386347)</f>
        <v>-0.67405727386347003</v>
      </c>
      <c r="AF159" s="3">
        <f ca="1">IFERROR(__xludf.DUMMYFUNCTION("""COMPUTED_VALUE"""),-0.604229261187753)</f>
        <v>-0.604229261187753</v>
      </c>
      <c r="AG159" s="3">
        <f ca="1">IFERROR(__xludf.DUMMYFUNCTION("""COMPUTED_VALUE"""),-0.603006554715176)</f>
        <v>-0.60300655471517595</v>
      </c>
      <c r="AH159" s="3">
        <f ca="1">IFERROR(__xludf.DUMMYFUNCTION("""COMPUTED_VALUE"""),-0.651437487925052)</f>
        <v>-0.65143748792505196</v>
      </c>
      <c r="AI159" s="3">
        <f ca="1">IFERROR(__xludf.DUMMYFUNCTION("""COMPUTED_VALUE"""),-0.699620055740937)</f>
        <v>-0.699620055740937</v>
      </c>
      <c r="AJ159" s="3">
        <f ca="1">IFERROR(__xludf.DUMMYFUNCTION("""COMPUTED_VALUE"""),-0.730617944640176)</f>
        <v>-0.73061794464017604</v>
      </c>
      <c r="AK159" s="3">
        <f ca="1">IFERROR(__xludf.DUMMYFUNCTION("""COMPUTED_VALUE"""),-0.685727747147188)</f>
        <v>-0.68572774714718798</v>
      </c>
      <c r="AL159" s="3">
        <f ca="1">IFERROR(__xludf.DUMMYFUNCTION("""COMPUTED_VALUE"""),-0.663820456552732)</f>
        <v>-0.66382045655273203</v>
      </c>
      <c r="AM159" s="3">
        <f ca="1">IFERROR(__xludf.DUMMYFUNCTION("""COMPUTED_VALUE"""),-0.633018178183764)</f>
        <v>-0.63301817818376405</v>
      </c>
      <c r="AN159" s="3">
        <f ca="1">IFERROR(__xludf.DUMMYFUNCTION("""COMPUTED_VALUE"""),-0.629103575449937)</f>
        <v>-0.629103575449937</v>
      </c>
      <c r="AO159" s="3">
        <f ca="1">IFERROR(__xludf.DUMMYFUNCTION("""COMPUTED_VALUE"""),-0.707607132253546)</f>
        <v>-0.70760713225354599</v>
      </c>
      <c r="AP159" s="3">
        <f ca="1">IFERROR(__xludf.DUMMYFUNCTION("""COMPUTED_VALUE"""),-0.679075568894141)</f>
        <v>-0.679075568894141</v>
      </c>
      <c r="AQ159" s="3">
        <f ca="1">IFERROR(__xludf.DUMMYFUNCTION("""COMPUTED_VALUE"""),-0.675333443916378)</f>
        <v>-0.67533344391637795</v>
      </c>
      <c r="AR159" s="3">
        <f ca="1">IFERROR(__xludf.DUMMYFUNCTION("""COMPUTED_VALUE"""),-0.752192849782765)</f>
        <v>-0.75219284978276502</v>
      </c>
      <c r="AS159" s="3">
        <f ca="1">IFERROR(__xludf.DUMMYFUNCTION("""COMPUTED_VALUE"""),-0.579505892110033)</f>
        <v>-0.57950589211003301</v>
      </c>
      <c r="AT159" s="3">
        <f ca="1">IFERROR(__xludf.DUMMYFUNCTION("""COMPUTED_VALUE"""),-0.629375801831333)</f>
        <v>-0.62937580183133301</v>
      </c>
      <c r="AU159" s="3">
        <f ca="1">IFERROR(__xludf.DUMMYFUNCTION("""COMPUTED_VALUE"""),-0.691058421238763)</f>
        <v>-0.69105842123876304</v>
      </c>
      <c r="AV159" s="3">
        <f ca="1">IFERROR(__xludf.DUMMYFUNCTION("""COMPUTED_VALUE"""),-0.689989866937509)</f>
        <v>-0.68998986693750897</v>
      </c>
      <c r="AW159" s="3">
        <f ca="1">IFERROR(__xludf.DUMMYFUNCTION("""COMPUTED_VALUE"""),-0.724922525046003)</f>
        <v>-0.72492252504600296</v>
      </c>
      <c r="AX159" s="3">
        <f ca="1">IFERROR(__xludf.DUMMYFUNCTION("""COMPUTED_VALUE"""),-0.754153572963256)</f>
        <v>-0.75415357296325602</v>
      </c>
      <c r="AY159" s="3">
        <f ca="1">IFERROR(__xludf.DUMMYFUNCTION("""COMPUTED_VALUE"""),-0.706618030963848)</f>
        <v>-0.70661803096384801</v>
      </c>
      <c r="AZ159" s="3">
        <f ca="1">IFERROR(__xludf.DUMMYFUNCTION("""COMPUTED_VALUE"""),-0.711290384795662)</f>
        <v>-0.71129038479566198</v>
      </c>
      <c r="BA159" s="3">
        <f ca="1">IFERROR(__xludf.DUMMYFUNCTION("""COMPUTED_VALUE"""),-0.706610976557582)</f>
        <v>-0.70661097655758198</v>
      </c>
      <c r="BB159" s="3">
        <f ca="1">IFERROR(__xludf.DUMMYFUNCTION("""COMPUTED_VALUE"""),-0.699927661533426)</f>
        <v>-0.699927661533426</v>
      </c>
      <c r="BC159" s="3">
        <f ca="1">IFERROR(__xludf.DUMMYFUNCTION("""COMPUTED_VALUE"""),-0.691834360488742)</f>
        <v>-0.69183436048874203</v>
      </c>
      <c r="BD159" s="3">
        <f ca="1">IFERROR(__xludf.DUMMYFUNCTION("""COMPUTED_VALUE"""),-0.682064769777004)</f>
        <v>-0.68206476977700403</v>
      </c>
      <c r="BE159" s="3">
        <f ca="1">IFERROR(__xludf.DUMMYFUNCTION("""COMPUTED_VALUE"""),-0.691572134774251)</f>
        <v>-0.69157213477425095</v>
      </c>
      <c r="BF159" s="3">
        <f ca="1">IFERROR(__xludf.DUMMYFUNCTION("""COMPUTED_VALUE"""),-0.629124752007005)</f>
        <v>-0.62912475200700502</v>
      </c>
      <c r="BG159" s="3">
        <f ca="1">IFERROR(__xludf.DUMMYFUNCTION("""COMPUTED_VALUE"""),-0.245140747575904)</f>
        <v>-0.24514074757590401</v>
      </c>
      <c r="BH159" s="3">
        <f ca="1">IFERROR(__xludf.DUMMYFUNCTION("""COMPUTED_VALUE"""),-0.226208051270917)</f>
        <v>-0.226208051270917</v>
      </c>
      <c r="BI159" s="3">
        <f ca="1">IFERROR(__xludf.DUMMYFUNCTION("""COMPUTED_VALUE"""),-0.620375188039099)</f>
        <v>-0.62037518803909897</v>
      </c>
      <c r="BJ159" s="3">
        <f ca="1">IFERROR(__xludf.DUMMYFUNCTION("""COMPUTED_VALUE"""),-0.710571550360422)</f>
        <v>-0.71057155036042197</v>
      </c>
      <c r="BK159" s="3">
        <f ca="1">IFERROR(__xludf.DUMMYFUNCTION("""COMPUTED_VALUE"""),-0.77242540167488)</f>
        <v>-0.77242540167488005</v>
      </c>
      <c r="BL159" s="3">
        <f ca="1">IFERROR(__xludf.DUMMYFUNCTION("""COMPUTED_VALUE"""),-0.726792592489649)</f>
        <v>-0.726792592489649</v>
      </c>
      <c r="BM159" s="3">
        <f ca="1">IFERROR(__xludf.DUMMYFUNCTION("""COMPUTED_VALUE"""),-0.773256458110278)</f>
        <v>-0.77325645811027799</v>
      </c>
      <c r="BN159" s="3">
        <f ca="1">IFERROR(__xludf.DUMMYFUNCTION("""COMPUTED_VALUE"""),-0.693755821911269)</f>
        <v>-0.69375582191126905</v>
      </c>
      <c r="BO159" s="3">
        <f ca="1">IFERROR(__xludf.DUMMYFUNCTION("""COMPUTED_VALUE"""),-0.679892586982948)</f>
        <v>-0.67989258698294797</v>
      </c>
      <c r="BP159" s="3">
        <f ca="1">IFERROR(__xludf.DUMMYFUNCTION("""COMPUTED_VALUE"""),-0.652281283494465)</f>
        <v>-0.65228128349446501</v>
      </c>
      <c r="BQ159" s="3">
        <f ca="1">IFERROR(__xludf.DUMMYFUNCTION("""COMPUTED_VALUE"""),-0.753798548394404)</f>
        <v>-0.75379854839440397</v>
      </c>
      <c r="BR159" s="3">
        <f ca="1">IFERROR(__xludf.DUMMYFUNCTION("""COMPUTED_VALUE"""),-0.780099445209325)</f>
        <v>-0.78009944520932495</v>
      </c>
      <c r="BS159" s="3">
        <f ca="1">IFERROR(__xludf.DUMMYFUNCTION("""COMPUTED_VALUE"""),-0.737597691103661)</f>
        <v>-0.73759769110366102</v>
      </c>
      <c r="BT159" s="3">
        <f ca="1">IFERROR(__xludf.DUMMYFUNCTION("""COMPUTED_VALUE"""),-0.779262976151328)</f>
        <v>-0.779262976151328</v>
      </c>
      <c r="BU159" s="3">
        <f ca="1">IFERROR(__xludf.DUMMYFUNCTION("""COMPUTED_VALUE"""),-0.741519756701004)</f>
        <v>-0.74151975670100401</v>
      </c>
      <c r="BV159" s="3">
        <f ca="1">IFERROR(__xludf.DUMMYFUNCTION("""COMPUTED_VALUE"""),-0.667138692367873)</f>
        <v>-0.66713869236787304</v>
      </c>
      <c r="BW159" s="3">
        <f ca="1">IFERROR(__xludf.DUMMYFUNCTION("""COMPUTED_VALUE"""),-0.739590353147115)</f>
        <v>-0.73959035314711497</v>
      </c>
      <c r="BX159" s="3">
        <f ca="1">IFERROR(__xludf.DUMMYFUNCTION("""COMPUTED_VALUE"""),-0.744509670922267)</f>
        <v>-0.74450967092226705</v>
      </c>
      <c r="BY159" s="3">
        <f ca="1">IFERROR(__xludf.DUMMYFUNCTION("""COMPUTED_VALUE"""),-0.757780295740459)</f>
        <v>-0.75778029574045902</v>
      </c>
      <c r="BZ159" s="3">
        <f ca="1">IFERROR(__xludf.DUMMYFUNCTION("""COMPUTED_VALUE"""),-0.759390589268386)</f>
        <v>-0.75939058926838598</v>
      </c>
      <c r="CA159" s="3">
        <f ca="1">IFERROR(__xludf.DUMMYFUNCTION("""COMPUTED_VALUE"""),-0.754330900297314)</f>
        <v>-0.75433090029731398</v>
      </c>
      <c r="CB159" s="3">
        <f ca="1">IFERROR(__xludf.DUMMYFUNCTION("""COMPUTED_VALUE"""),-0.726899810855543)</f>
        <v>-0.726899810855543</v>
      </c>
      <c r="CC159" s="3">
        <f ca="1">IFERROR(__xludf.DUMMYFUNCTION("""COMPUTED_VALUE"""),-0.678433997956578)</f>
        <v>-0.67843399795657799</v>
      </c>
      <c r="CD159" s="3">
        <f ca="1">IFERROR(__xludf.DUMMYFUNCTION("""COMPUTED_VALUE"""),-0.649108470266558)</f>
        <v>-0.64910847026655805</v>
      </c>
      <c r="CE159" s="3">
        <f ca="1">IFERROR(__xludf.DUMMYFUNCTION("""COMPUTED_VALUE"""),-0.747577678493261)</f>
        <v>-0.74757767849326096</v>
      </c>
      <c r="CF159" s="3">
        <f ca="1">IFERROR(__xludf.DUMMYFUNCTION("""COMPUTED_VALUE"""),-0.74673151924941)</f>
        <v>-0.74673151924940995</v>
      </c>
      <c r="CG159" s="3">
        <f ca="1">IFERROR(__xludf.DUMMYFUNCTION("""COMPUTED_VALUE"""),-0.77353665781875)</f>
        <v>-0.77353665781875003</v>
      </c>
      <c r="CH159" s="3">
        <f ca="1">IFERROR(__xludf.DUMMYFUNCTION("""COMPUTED_VALUE"""),-0.744865990585421)</f>
        <v>-0.74486599058542102</v>
      </c>
      <c r="CI159" s="3">
        <f ca="1">IFERROR(__xludf.DUMMYFUNCTION("""COMPUTED_VALUE"""),-0.650518322326179)</f>
        <v>-0.65051832232617901</v>
      </c>
      <c r="CJ159" s="3">
        <f ca="1">IFERROR(__xludf.DUMMYFUNCTION("""COMPUTED_VALUE"""),-0.671025185036787)</f>
        <v>-0.67102518503678699</v>
      </c>
      <c r="CK159" s="3">
        <f ca="1">IFERROR(__xludf.DUMMYFUNCTION("""COMPUTED_VALUE"""),-0.645808824068482)</f>
        <v>-0.64580882406848195</v>
      </c>
      <c r="CL159" s="3">
        <f ca="1">IFERROR(__xludf.DUMMYFUNCTION("""COMPUTED_VALUE"""),-0.748609096250836)</f>
        <v>-0.74860909625083605</v>
      </c>
      <c r="CM159" s="3">
        <f ca="1">IFERROR(__xludf.DUMMYFUNCTION("""COMPUTED_VALUE"""),-0.766108323906471)</f>
        <v>-0.76610832390647099</v>
      </c>
      <c r="CN159" s="3">
        <f ca="1">IFERROR(__xludf.DUMMYFUNCTION("""COMPUTED_VALUE"""),-0.759791783771709)</f>
        <v>-0.75979178377170897</v>
      </c>
      <c r="CO159" s="3">
        <f ca="1">IFERROR(__xludf.DUMMYFUNCTION("""COMPUTED_VALUE"""),-0.781758186667154)</f>
        <v>-0.78175818666715402</v>
      </c>
      <c r="CP159" s="3">
        <f ca="1">IFERROR(__xludf.DUMMYFUNCTION("""COMPUTED_VALUE"""),-0.760019767154327)</f>
        <v>-0.76001976715432695</v>
      </c>
      <c r="CQ159" s="3">
        <f ca="1">IFERROR(__xludf.DUMMYFUNCTION("""COMPUTED_VALUE"""),-0.621086971451775)</f>
        <v>-0.62108697145177505</v>
      </c>
      <c r="CR159" s="3">
        <f ca="1">IFERROR(__xludf.DUMMYFUNCTION("""COMPUTED_VALUE"""),-0.619448461007217)</f>
        <v>-0.61944846100721696</v>
      </c>
      <c r="CS159" s="3">
        <f ca="1">IFERROR(__xludf.DUMMYFUNCTION("""COMPUTED_VALUE"""),-0.759008163799396)</f>
        <v>-0.75900816379939595</v>
      </c>
      <c r="CT159" s="3">
        <f ca="1">IFERROR(__xludf.DUMMYFUNCTION("""COMPUTED_VALUE"""),-0.735177927308978)</f>
        <v>-0.73517792730897802</v>
      </c>
      <c r="CU159" s="3">
        <f ca="1">IFERROR(__xludf.DUMMYFUNCTION("""COMPUTED_VALUE"""),-0.696047285631456)</f>
        <v>-0.69604728563145601</v>
      </c>
      <c r="CV159" s="3">
        <f ca="1">IFERROR(__xludf.DUMMYFUNCTION("""COMPUTED_VALUE"""),-0.748202920472743)</f>
        <v>-0.74820292047274295</v>
      </c>
      <c r="CW159" s="3">
        <f ca="1">IFERROR(__xludf.DUMMYFUNCTION("""COMPUTED_VALUE"""),-0.780616544682247)</f>
        <v>-0.78061654468224695</v>
      </c>
      <c r="CX159" s="3">
        <f ca="1">IFERROR(__xludf.DUMMYFUNCTION("""COMPUTED_VALUE"""),-0.705856088296809)</f>
        <v>-0.70585608829680901</v>
      </c>
      <c r="CY159" s="3">
        <f ca="1">IFERROR(__xludf.DUMMYFUNCTION("""COMPUTED_VALUE"""),-0.763654461119689)</f>
        <v>-0.76365446111968904</v>
      </c>
      <c r="CZ159" s="3">
        <f ca="1">IFERROR(__xludf.DUMMYFUNCTION("""COMPUTED_VALUE"""),-0.837587414875836)</f>
        <v>-0.83758741487583599</v>
      </c>
      <c r="DA159" s="3">
        <f ca="1">IFERROR(__xludf.DUMMYFUNCTION("""COMPUTED_VALUE"""),-0.636207093836383)</f>
        <v>-0.63620709383638296</v>
      </c>
      <c r="DB159" s="3">
        <f ca="1">IFERROR(__xludf.DUMMYFUNCTION("""COMPUTED_VALUE"""),-0.554244706800751)</f>
        <v>-0.554244706800751</v>
      </c>
      <c r="DC159" s="3">
        <f ca="1">IFERROR(__xludf.DUMMYFUNCTION("""COMPUTED_VALUE"""),-0.679765271666271)</f>
        <v>-0.67976527166627099</v>
      </c>
      <c r="DD159" s="3">
        <f ca="1">IFERROR(__xludf.DUMMYFUNCTION("""COMPUTED_VALUE"""),-0.644479742127999)</f>
        <v>-0.64447974212799897</v>
      </c>
      <c r="DE159" s="3">
        <f ca="1">IFERROR(__xludf.DUMMYFUNCTION("""COMPUTED_VALUE"""),-0.622000391607244)</f>
        <v>-0.62200039160724396</v>
      </c>
      <c r="DF159" s="3">
        <f ca="1">IFERROR(__xludf.DUMMYFUNCTION("""COMPUTED_VALUE"""),-0.7672995838324)</f>
        <v>-0.76729958383240005</v>
      </c>
      <c r="DG159" s="3">
        <f ca="1">IFERROR(__xludf.DUMMYFUNCTION("""COMPUTED_VALUE"""),-0.889517052210448)</f>
        <v>-0.88951705221044797</v>
      </c>
      <c r="DH159" s="3">
        <f ca="1">IFERROR(__xludf.DUMMYFUNCTION("""COMPUTED_VALUE"""),-0.653501121057332)</f>
        <v>-0.65350112105733205</v>
      </c>
      <c r="DI159" s="3">
        <f ca="1">IFERROR(__xludf.DUMMYFUNCTION("""COMPUTED_VALUE"""),-0.508934614038903)</f>
        <v>-0.50893461403890305</v>
      </c>
      <c r="DJ159" s="3">
        <f ca="1">IFERROR(__xludf.DUMMYFUNCTION("""COMPUTED_VALUE"""),-0.626999083192504)</f>
        <v>-0.62699908319250397</v>
      </c>
      <c r="DK159" s="3">
        <f ca="1">IFERROR(__xludf.DUMMYFUNCTION("""COMPUTED_VALUE"""),-0.688803330271562)</f>
        <v>-0.68880333027156204</v>
      </c>
      <c r="DL159" s="3">
        <f ca="1">IFERROR(__xludf.DUMMYFUNCTION("""COMPUTED_VALUE"""),-0.570243758137226)</f>
        <v>-0.57024375813722605</v>
      </c>
      <c r="DM159" s="3">
        <f ca="1">IFERROR(__xludf.DUMMYFUNCTION("""COMPUTED_VALUE"""),-0.655311508727245)</f>
        <v>-0.65531150872724497</v>
      </c>
      <c r="DN159" s="3">
        <f ca="1">IFERROR(__xludf.DUMMYFUNCTION("""COMPUTED_VALUE"""),-0.680375137166247)</f>
        <v>-0.68037513716624698</v>
      </c>
      <c r="DO159" s="3">
        <f ca="1">IFERROR(__xludf.DUMMYFUNCTION("""COMPUTED_VALUE"""),-0.709057395866209)</f>
        <v>-0.70905739586620897</v>
      </c>
      <c r="DP159" s="3">
        <f ca="1">IFERROR(__xludf.DUMMYFUNCTION("""COMPUTED_VALUE"""),-0.711099651519151)</f>
        <v>-0.711099651519151</v>
      </c>
      <c r="DQ159" s="3">
        <f ca="1">IFERROR(__xludf.DUMMYFUNCTION("""COMPUTED_VALUE"""),-0.759197979254522)</f>
        <v>-0.75919797925452204</v>
      </c>
      <c r="DR159" s="3">
        <f ca="1">IFERROR(__xludf.DUMMYFUNCTION("""COMPUTED_VALUE"""),-0.579491518965601)</f>
        <v>-0.57949151896560103</v>
      </c>
      <c r="DS159" s="3">
        <f ca="1">IFERROR(__xludf.DUMMYFUNCTION("""COMPUTED_VALUE"""),-0.542950055802414)</f>
        <v>-0.54295005580241396</v>
      </c>
      <c r="DT159" s="3">
        <f ca="1">IFERROR(__xludf.DUMMYFUNCTION("""COMPUTED_VALUE"""),-0.626823432601724)</f>
        <v>-0.62682343260172402</v>
      </c>
      <c r="DU159" s="3">
        <f ca="1">IFERROR(__xludf.DUMMYFUNCTION("""COMPUTED_VALUE"""),-0.759926708310583)</f>
        <v>-0.75992670831058295</v>
      </c>
      <c r="DV159" s="3">
        <f ca="1">IFERROR(__xludf.DUMMYFUNCTION("""COMPUTED_VALUE"""),-0.770343918157796)</f>
        <v>-0.77034391815779601</v>
      </c>
      <c r="DW159" s="3">
        <f ca="1">IFERROR(__xludf.DUMMYFUNCTION("""COMPUTED_VALUE"""),-0.740515557745608)</f>
        <v>-0.74051555774560796</v>
      </c>
      <c r="DX159" s="3">
        <f ca="1">IFERROR(__xludf.DUMMYFUNCTION("""COMPUTED_VALUE"""),-0.680642116962635)</f>
        <v>-0.68064211696263499</v>
      </c>
      <c r="DY159" s="3">
        <f ca="1">IFERROR(__xludf.DUMMYFUNCTION("""COMPUTED_VALUE"""),-0.668280236018159)</f>
        <v>-0.668280236018159</v>
      </c>
      <c r="DZ159" s="3">
        <f ca="1">IFERROR(__xludf.DUMMYFUNCTION("""COMPUTED_VALUE"""),-0.537392911214002)</f>
        <v>-0.53739291121400201</v>
      </c>
      <c r="EA159" s="3">
        <f ca="1">IFERROR(__xludf.DUMMYFUNCTION("""COMPUTED_VALUE"""),-0.575309936724041)</f>
        <v>-0.57530993672404096</v>
      </c>
      <c r="EB159" s="3">
        <f ca="1">IFERROR(__xludf.DUMMYFUNCTION("""COMPUTED_VALUE"""),-0.669750529319718)</f>
        <v>-0.66975052931971801</v>
      </c>
      <c r="EC159" s="3">
        <f ca="1">IFERROR(__xludf.DUMMYFUNCTION("""COMPUTED_VALUE"""),-0.684431077353529)</f>
        <v>-0.68443107735352904</v>
      </c>
      <c r="ED159" s="3">
        <f ca="1">IFERROR(__xludf.DUMMYFUNCTION("""COMPUTED_VALUE"""),-0.722267709280509)</f>
        <v>-0.72226770928050898</v>
      </c>
      <c r="EE159" s="3">
        <f ca="1">IFERROR(__xludf.DUMMYFUNCTION("""COMPUTED_VALUE"""),-0.72666936517138)</f>
        <v>-0.72666936517138003</v>
      </c>
      <c r="EF159" s="3">
        <f ca="1">IFERROR(__xludf.DUMMYFUNCTION("""COMPUTED_VALUE"""),-0.65725099121813)</f>
        <v>-0.65725099121813002</v>
      </c>
      <c r="EG159" s="3">
        <f ca="1">IFERROR(__xludf.DUMMYFUNCTION("""COMPUTED_VALUE"""),-0.583661645831537)</f>
        <v>-0.58366164583153701</v>
      </c>
      <c r="EH159" s="3">
        <f ca="1">IFERROR(__xludf.DUMMYFUNCTION("""COMPUTED_VALUE"""),-0.63152849325571)</f>
        <v>-0.63152849325571003</v>
      </c>
      <c r="EI159" s="3">
        <f ca="1">IFERROR(__xludf.DUMMYFUNCTION("""COMPUTED_VALUE"""),-0.731887579632611)</f>
        <v>-0.73188757963261097</v>
      </c>
      <c r="EJ159" s="3">
        <f ca="1">IFERROR(__xludf.DUMMYFUNCTION("""COMPUTED_VALUE"""),-0.838591090146692)</f>
        <v>-0.83859109014669198</v>
      </c>
      <c r="EK159" s="3">
        <f ca="1">IFERROR(__xludf.DUMMYFUNCTION("""COMPUTED_VALUE"""),-0.768902004559576)</f>
        <v>-0.76890200455957602</v>
      </c>
      <c r="EL159" s="3">
        <f ca="1">IFERROR(__xludf.DUMMYFUNCTION("""COMPUTED_VALUE"""),-0.718476603505316)</f>
        <v>-0.71847660350531595</v>
      </c>
      <c r="EM159" s="3">
        <f ca="1">IFERROR(__xludf.DUMMYFUNCTION("""COMPUTED_VALUE"""),-0.684796861786002)</f>
        <v>-0.68479686178600196</v>
      </c>
      <c r="EN159" s="3">
        <f ca="1">IFERROR(__xludf.DUMMYFUNCTION("""COMPUTED_VALUE"""),-0.547936984009545)</f>
        <v>-0.54793698400954505</v>
      </c>
      <c r="EO159" s="3">
        <f ca="1">IFERROR(__xludf.DUMMYFUNCTION("""COMPUTED_VALUE"""),-0.609726609004067)</f>
        <v>-0.60972660900406705</v>
      </c>
      <c r="EP159" s="3">
        <f ca="1">IFERROR(__xludf.DUMMYFUNCTION("""COMPUTED_VALUE"""),-0.670517379668561)</f>
        <v>-0.67051737966856095</v>
      </c>
      <c r="EQ159" s="3">
        <f ca="1">IFERROR(__xludf.DUMMYFUNCTION("""COMPUTED_VALUE"""),-0.683207481413253)</f>
        <v>-0.68320748141325305</v>
      </c>
      <c r="ER159" s="3">
        <f ca="1">IFERROR(__xludf.DUMMYFUNCTION("""COMPUTED_VALUE"""),-0.750561982967294)</f>
        <v>-0.75056198296729404</v>
      </c>
      <c r="ES159" s="3">
        <f ca="1">IFERROR(__xludf.DUMMYFUNCTION("""COMPUTED_VALUE"""),-0.738858357316266)</f>
        <v>-0.73885835731626603</v>
      </c>
      <c r="ET159" s="3">
        <f ca="1">IFERROR(__xludf.DUMMYFUNCTION("""COMPUTED_VALUE"""),-0.620338728366638)</f>
        <v>-0.62033872836663795</v>
      </c>
      <c r="EU159" s="3">
        <f ca="1">IFERROR(__xludf.DUMMYFUNCTION("""COMPUTED_VALUE"""),-0.580233855383317)</f>
        <v>-0.58023385538331695</v>
      </c>
      <c r="EV159" s="3">
        <f ca="1">IFERROR(__xludf.DUMMYFUNCTION("""COMPUTED_VALUE"""),-0.65731231747398)</f>
        <v>-0.65731231747398</v>
      </c>
      <c r="EW159" s="3">
        <f ca="1">IFERROR(__xludf.DUMMYFUNCTION("""COMPUTED_VALUE"""),-0.757200910451826)</f>
        <v>-0.75720091045182603</v>
      </c>
      <c r="EX159" s="3">
        <f ca="1">IFERROR(__xludf.DUMMYFUNCTION("""COMPUTED_VALUE"""),-0.761767237266754)</f>
        <v>-0.76176723726675399</v>
      </c>
      <c r="EY159" s="3">
        <f ca="1">IFERROR(__xludf.DUMMYFUNCTION("""COMPUTED_VALUE"""),-0.732019631137699)</f>
        <v>-0.73201963113769897</v>
      </c>
      <c r="EZ159" s="3">
        <f ca="1">IFERROR(__xludf.DUMMYFUNCTION("""COMPUTED_VALUE"""),-0.700989489618413)</f>
        <v>-0.70098948961841301</v>
      </c>
      <c r="FA159" s="3">
        <f ca="1">IFERROR(__xludf.DUMMYFUNCTION("""COMPUTED_VALUE"""),-0.672625146770085)</f>
        <v>-0.672625146770085</v>
      </c>
      <c r="FB159" s="3">
        <f ca="1">IFERROR(__xludf.DUMMYFUNCTION("""COMPUTED_VALUE"""),-0.533303043231272)</f>
        <v>-0.53330304323127198</v>
      </c>
      <c r="FC159" s="3">
        <f ca="1">IFERROR(__xludf.DUMMYFUNCTION("""COMPUTED_VALUE"""),-0.598580418829135)</f>
        <v>-0.59858041882913504</v>
      </c>
      <c r="FD159" s="3">
        <f ca="1">IFERROR(__xludf.DUMMYFUNCTION("""COMPUTED_VALUE"""),-0.697308431905498)</f>
        <v>-0.69730843190549796</v>
      </c>
      <c r="FE159" s="3">
        <f ca="1">IFERROR(__xludf.DUMMYFUNCTION("""COMPUTED_VALUE"""),-0.69773268713228)</f>
        <v>-0.69773268713227998</v>
      </c>
      <c r="FF159" s="3">
        <f ca="1">IFERROR(__xludf.DUMMYFUNCTION("""COMPUTED_VALUE"""),-0.700462863951799)</f>
        <v>-0.70046286395179902</v>
      </c>
      <c r="FG159" s="3">
        <f ca="1">IFERROR(__xludf.DUMMYFUNCTION("""COMPUTED_VALUE"""),-0.758324943171996)</f>
        <v>-0.75832494317199595</v>
      </c>
      <c r="FH159" s="3">
        <f ca="1">IFERROR(__xludf.DUMMYFUNCTION("""COMPUTED_VALUE"""),-0.595049820621376)</f>
        <v>-0.59504982062137601</v>
      </c>
      <c r="FI159" s="3">
        <f ca="1">IFERROR(__xludf.DUMMYFUNCTION("""COMPUTED_VALUE"""),-0.39355063695455)</f>
        <v>-0.39355063695455</v>
      </c>
      <c r="FJ159" s="3">
        <f ca="1">IFERROR(__xludf.DUMMYFUNCTION("""COMPUTED_VALUE"""),-0.683120120670803)</f>
        <v>-0.68312012067080297</v>
      </c>
      <c r="FK159" s="3">
        <f ca="1">IFERROR(__xludf.DUMMYFUNCTION("""COMPUTED_VALUE"""),-0.766921596277597)</f>
        <v>-0.76692159627759704</v>
      </c>
      <c r="FL159" s="3">
        <f ca="1">IFERROR(__xludf.DUMMYFUNCTION("""COMPUTED_VALUE"""),-0.768131618820469)</f>
        <v>-0.76813161882046899</v>
      </c>
      <c r="FM159" s="3">
        <f ca="1">IFERROR(__xludf.DUMMYFUNCTION("""COMPUTED_VALUE"""),-0.687380849015197)</f>
        <v>-0.68738084901519703</v>
      </c>
      <c r="FN159" s="3">
        <f ca="1">IFERROR(__xludf.DUMMYFUNCTION("""COMPUTED_VALUE"""),-0.748044726639749)</f>
        <v>-0.74804472663974897</v>
      </c>
      <c r="FO159" s="3">
        <f ca="1">IFERROR(__xludf.DUMMYFUNCTION("""COMPUTED_VALUE"""),-0.703478906702937)</f>
        <v>-0.703478906702937</v>
      </c>
      <c r="FP159" s="3">
        <f ca="1">IFERROR(__xludf.DUMMYFUNCTION("""COMPUTED_VALUE"""),-0.502378439584095)</f>
        <v>-0.502378439584095</v>
      </c>
      <c r="FQ159" s="3">
        <f ca="1">IFERROR(__xludf.DUMMYFUNCTION("""COMPUTED_VALUE"""),-0.644195663847497)</f>
        <v>-0.64419566384749705</v>
      </c>
      <c r="FR159" s="3">
        <f ca="1">IFERROR(__xludf.DUMMYFUNCTION("""COMPUTED_VALUE"""),-0.721546347614858)</f>
        <v>-0.72154634761485803</v>
      </c>
      <c r="FS159" s="3">
        <f ca="1">IFERROR(__xludf.DUMMYFUNCTION("""COMPUTED_VALUE"""),-0.745115456768981)</f>
        <v>-0.74511545676898105</v>
      </c>
      <c r="FT159" s="3">
        <f ca="1">IFERROR(__xludf.DUMMYFUNCTION("""COMPUTED_VALUE"""),-0.700264297061339)</f>
        <v>-0.70026429706133897</v>
      </c>
      <c r="FU159" s="3">
        <f ca="1">IFERROR(__xludf.DUMMYFUNCTION("""COMPUTED_VALUE"""),-0.737432625375906)</f>
        <v>-0.73743262537590604</v>
      </c>
      <c r="FV159" s="3">
        <f ca="1">IFERROR(__xludf.DUMMYFUNCTION("""COMPUTED_VALUE"""),-0.685469605521366)</f>
        <v>-0.68546960552136604</v>
      </c>
      <c r="FW159" s="3">
        <f ca="1">IFERROR(__xludf.DUMMYFUNCTION("""COMPUTED_VALUE"""),-0.560963815292565)</f>
        <v>-0.560963815292565</v>
      </c>
      <c r="FX159" s="3">
        <f ca="1">IFERROR(__xludf.DUMMYFUNCTION("""COMPUTED_VALUE"""),-0.618074972284834)</f>
        <v>-0.61807497228483399</v>
      </c>
      <c r="FY159" s="3">
        <f ca="1">IFERROR(__xludf.DUMMYFUNCTION("""COMPUTED_VALUE"""),-0.716698775337618)</f>
        <v>-0.71669877533761805</v>
      </c>
      <c r="FZ159" s="3">
        <f ca="1">IFERROR(__xludf.DUMMYFUNCTION("""COMPUTED_VALUE"""),-0.671648706629945)</f>
        <v>-0.67164870662994502</v>
      </c>
      <c r="GA159" s="3">
        <f ca="1">IFERROR(__xludf.DUMMYFUNCTION("""COMPUTED_VALUE"""),-0.67674889938222)</f>
        <v>-0.67674889938222005</v>
      </c>
      <c r="GB159" s="3">
        <f ca="1">IFERROR(__xludf.DUMMYFUNCTION("""COMPUTED_VALUE"""),-0.759765196467173)</f>
        <v>-0.759765196467173</v>
      </c>
      <c r="GC159" s="3">
        <f ca="1">IFERROR(__xludf.DUMMYFUNCTION("""COMPUTED_VALUE"""),-0.551339511667187)</f>
        <v>-0.55133951166718698</v>
      </c>
      <c r="GD159" s="3">
        <f ca="1">IFERROR(__xludf.DUMMYFUNCTION("""COMPUTED_VALUE"""),-0.661155863050256)</f>
        <v>-0.66115586305025598</v>
      </c>
      <c r="GE159" s="3">
        <f ca="1">IFERROR(__xludf.DUMMYFUNCTION("""COMPUTED_VALUE"""),-0.606779798370028)</f>
        <v>-0.60677979837002805</v>
      </c>
      <c r="GF159" s="3">
        <f ca="1">IFERROR(__xludf.DUMMYFUNCTION("""COMPUTED_VALUE"""),-0.706480773857459)</f>
        <v>-0.706480773857459</v>
      </c>
      <c r="GG159" s="3">
        <f ca="1">IFERROR(__xludf.DUMMYFUNCTION("""COMPUTED_VALUE"""),-0.764958999730298)</f>
        <v>-0.76495899973029802</v>
      </c>
      <c r="GH159" s="3">
        <f ca="1">IFERROR(__xludf.DUMMYFUNCTION("""COMPUTED_VALUE"""),-0.719871453273477)</f>
        <v>-0.71987145327347701</v>
      </c>
      <c r="GI159" s="3">
        <f ca="1">IFERROR(__xludf.DUMMYFUNCTION("""COMPUTED_VALUE"""),-0.742319816493711)</f>
        <v>-0.74231981649371104</v>
      </c>
      <c r="GJ159" s="3">
        <f ca="1">IFERROR(__xludf.DUMMYFUNCTION("""COMPUTED_VALUE"""),-0.659230237101738)</f>
        <v>-0.659230237101738</v>
      </c>
      <c r="GK159" s="3">
        <f ca="1">IFERROR(__xludf.DUMMYFUNCTION("""COMPUTED_VALUE"""),-0.540246286010062)</f>
        <v>-0.54024628601006197</v>
      </c>
      <c r="GL159" s="3">
        <f ca="1">IFERROR(__xludf.DUMMYFUNCTION("""COMPUTED_VALUE"""),-0.603548854374637)</f>
        <v>-0.60354885437463701</v>
      </c>
      <c r="GM159" s="3">
        <f ca="1">IFERROR(__xludf.DUMMYFUNCTION("""COMPUTED_VALUE"""),-0.67785362941793)</f>
        <v>-0.67785362941793004</v>
      </c>
      <c r="GN159" s="3">
        <f ca="1">IFERROR(__xludf.DUMMYFUNCTION("""COMPUTED_VALUE"""),-0.699289044091391)</f>
        <v>-0.69928904409139103</v>
      </c>
      <c r="GO159" s="3">
        <f ca="1">IFERROR(__xludf.DUMMYFUNCTION("""COMPUTED_VALUE"""),-0.739962355273148)</f>
        <v>-0.73996235527314802</v>
      </c>
      <c r="GP159" s="3">
        <f ca="1">IFERROR(__xludf.DUMMYFUNCTION("""COMPUTED_VALUE"""),-0.776736817590514)</f>
        <v>-0.77673681759051405</v>
      </c>
      <c r="GQ159" s="3">
        <f ca="1">IFERROR(__xludf.DUMMYFUNCTION("""COMPUTED_VALUE"""),-0.664502408521813)</f>
        <v>-0.66450240852181297</v>
      </c>
      <c r="GR159" s="3">
        <f ca="1">IFERROR(__xludf.DUMMYFUNCTION("""COMPUTED_VALUE"""),-0.427254743598361)</f>
        <v>-0.42725474359836102</v>
      </c>
      <c r="GS159" s="3">
        <f ca="1">IFERROR(__xludf.DUMMYFUNCTION("""COMPUTED_VALUE"""),-0.650306765752406)</f>
        <v>-0.65030676575240598</v>
      </c>
      <c r="GT159" s="3">
        <f ca="1">IFERROR(__xludf.DUMMYFUNCTION("""COMPUTED_VALUE"""),-0.7121479012948)</f>
        <v>-0.71214790129479999</v>
      </c>
      <c r="GU159" s="3">
        <f ca="1">IFERROR(__xludf.DUMMYFUNCTION("""COMPUTED_VALUE"""),-0.726940582602878)</f>
        <v>-0.72694058260287797</v>
      </c>
      <c r="GV159" s="3">
        <f ca="1">IFERROR(__xludf.DUMMYFUNCTION("""COMPUTED_VALUE"""),-0.743961846206039)</f>
        <v>-0.743961846206039</v>
      </c>
      <c r="GW159" s="3">
        <f ca="1">IFERROR(__xludf.DUMMYFUNCTION("""COMPUTED_VALUE"""),-0.719008387223941)</f>
        <v>-0.719008387223941</v>
      </c>
      <c r="GX159" s="3">
        <f ca="1">IFERROR(__xludf.DUMMYFUNCTION("""COMPUTED_VALUE"""),-0.657765174606159)</f>
        <v>-0.65776517460615902</v>
      </c>
      <c r="GY159" s="3">
        <f ca="1">IFERROR(__xludf.DUMMYFUNCTION("""COMPUTED_VALUE"""),-0.193524486394003)</f>
        <v>-0.19352448639400299</v>
      </c>
      <c r="GZ159" s="3">
        <f ca="1">IFERROR(__xludf.DUMMYFUNCTION("""COMPUTED_VALUE"""),-0.590794438164197)</f>
        <v>-0.59079443816419697</v>
      </c>
      <c r="HA159" s="3">
        <f ca="1">IFERROR(__xludf.DUMMYFUNCTION("""COMPUTED_VALUE"""),-0.722738532044949)</f>
        <v>-0.72273853204494898</v>
      </c>
      <c r="HB159" s="3">
        <f ca="1">IFERROR(__xludf.DUMMYFUNCTION("""COMPUTED_VALUE"""),-0.713924273759469)</f>
        <v>-0.71392427375946899</v>
      </c>
      <c r="HC159" s="3">
        <f ca="1">IFERROR(__xludf.DUMMYFUNCTION("""COMPUTED_VALUE"""),-0.721808017278826)</f>
        <v>-0.72180801727882604</v>
      </c>
      <c r="HD159" s="3">
        <f ca="1">IFERROR(__xludf.DUMMYFUNCTION("""COMPUTED_VALUE"""),-0.777788149466123)</f>
        <v>-0.77778814946612296</v>
      </c>
      <c r="HE159" s="3">
        <f ca="1">IFERROR(__xludf.DUMMYFUNCTION("""COMPUTED_VALUE"""),-0.710738628325489)</f>
        <v>-0.71073862832548895</v>
      </c>
      <c r="HF159" s="3">
        <f ca="1">IFERROR(__xludf.DUMMYFUNCTION("""COMPUTED_VALUE"""),-0.439629954633444)</f>
        <v>-0.43962995463344401</v>
      </c>
      <c r="HG159" s="3">
        <f ca="1">IFERROR(__xludf.DUMMYFUNCTION("""COMPUTED_VALUE"""),-0.678245569144683)</f>
        <v>-0.67824556914468304</v>
      </c>
      <c r="HH159" s="3">
        <f ca="1">IFERROR(__xludf.DUMMYFUNCTION("""COMPUTED_VALUE"""),-0.743936414283874)</f>
        <v>-0.74393641428387403</v>
      </c>
      <c r="HI159" s="3">
        <f ca="1">IFERROR(__xludf.DUMMYFUNCTION("""COMPUTED_VALUE"""),-0.726722016237409)</f>
        <v>-0.72672201623740895</v>
      </c>
      <c r="HJ159" s="3">
        <f ca="1">IFERROR(__xludf.DUMMYFUNCTION("""COMPUTED_VALUE"""),-0.62151335212858)</f>
        <v>-0.62151335212858005</v>
      </c>
      <c r="HK159" s="3">
        <f ca="1">IFERROR(__xludf.DUMMYFUNCTION("""COMPUTED_VALUE"""),-0.64638668208554)</f>
        <v>-0.64638668208553995</v>
      </c>
      <c r="HL159" s="3">
        <f ca="1">IFERROR(__xludf.DUMMYFUNCTION("""COMPUTED_VALUE"""),-0.556625056583356)</f>
        <v>-0.55662505658335604</v>
      </c>
      <c r="HM159" s="3">
        <f ca="1">IFERROR(__xludf.DUMMYFUNCTION("""COMPUTED_VALUE"""),-0.458006214446639)</f>
        <v>-0.45800621444663903</v>
      </c>
      <c r="HN159" s="3">
        <f ca="1">IFERROR(__xludf.DUMMYFUNCTION("""COMPUTED_VALUE"""),-0.586760967505372)</f>
        <v>-0.58676096750537199</v>
      </c>
      <c r="HO159" s="3">
        <f ca="1">IFERROR(__xludf.DUMMYFUNCTION("""COMPUTED_VALUE"""),-0.635679660471744)</f>
        <v>-0.63567966047174396</v>
      </c>
      <c r="HP159" s="3">
        <f ca="1">IFERROR(__xludf.DUMMYFUNCTION("""COMPUTED_VALUE"""),-0.65249533214682)</f>
        <v>-0.65249533214681998</v>
      </c>
      <c r="HQ159" s="3">
        <f ca="1">IFERROR(__xludf.DUMMYFUNCTION("""COMPUTED_VALUE"""),-0.61856472726231)</f>
        <v>-0.61856472726231004</v>
      </c>
      <c r="HR159" s="3">
        <f ca="1">IFERROR(__xludf.DUMMYFUNCTION("""COMPUTED_VALUE"""),-0.610145920004031)</f>
        <v>-0.61014592000403101</v>
      </c>
      <c r="HS159" s="3">
        <f ca="1">IFERROR(__xludf.DUMMYFUNCTION("""COMPUTED_VALUE"""),-0.407666132383682)</f>
        <v>-0.40766613238368199</v>
      </c>
      <c r="HT159" s="3">
        <f ca="1">IFERROR(__xludf.DUMMYFUNCTION("""COMPUTED_VALUE"""),-0.41434811364475)</f>
        <v>-0.41434811364474999</v>
      </c>
      <c r="HU159" s="3">
        <f ca="1">IFERROR(__xludf.DUMMYFUNCTION("""COMPUTED_VALUE"""),-0.411795934059371)</f>
        <v>-0.41179593405937098</v>
      </c>
      <c r="HV159" s="3">
        <f ca="1">IFERROR(__xludf.DUMMYFUNCTION("""COMPUTED_VALUE"""),-0.642111930925664)</f>
        <v>-0.64211193092566399</v>
      </c>
      <c r="HW159" s="3">
        <f ca="1">IFERROR(__xludf.DUMMYFUNCTION("""COMPUTED_VALUE"""),-0.646430683959731)</f>
        <v>-0.64643068395973102</v>
      </c>
      <c r="HX159" s="3">
        <f ca="1">IFERROR(__xludf.DUMMYFUNCTION("""COMPUTED_VALUE"""),-0.582433754120324)</f>
        <v>-0.58243375412032405</v>
      </c>
      <c r="HY159" s="3">
        <f ca="1">IFERROR(__xludf.DUMMYFUNCTION("""COMPUTED_VALUE"""),-0.582216401793904)</f>
        <v>-0.58221640179390399</v>
      </c>
      <c r="HZ159" s="3">
        <f ca="1">IFERROR(__xludf.DUMMYFUNCTION("""COMPUTED_VALUE"""),-0.397489402615091)</f>
        <v>-0.39748940261509103</v>
      </c>
      <c r="IA159" s="3">
        <f ca="1">IFERROR(__xludf.DUMMYFUNCTION("""COMPUTED_VALUE"""),-0.512347203470324)</f>
        <v>-0.51234720347032403</v>
      </c>
      <c r="IB159" s="3">
        <f ca="1">IFERROR(__xludf.DUMMYFUNCTION("""COMPUTED_VALUE"""),-0.553266876380912)</f>
        <v>-0.55326687638091199</v>
      </c>
      <c r="IC159" s="3">
        <f ca="1">IFERROR(__xludf.DUMMYFUNCTION("""COMPUTED_VALUE"""),-0.666718635303999)</f>
        <v>-0.666718635303999</v>
      </c>
      <c r="ID159" s="3">
        <f ca="1">IFERROR(__xludf.DUMMYFUNCTION("""COMPUTED_VALUE"""),-0.628266712164133)</f>
        <v>-0.62826671216413299</v>
      </c>
      <c r="IE159" s="3">
        <f ca="1">IFERROR(__xludf.DUMMYFUNCTION("""COMPUTED_VALUE"""),-0.557374118500131)</f>
        <v>-0.55737411850013097</v>
      </c>
      <c r="IF159" s="3">
        <f ca="1">IFERROR(__xludf.DUMMYFUNCTION("""COMPUTED_VALUE"""),-0.56735569083423)</f>
        <v>-0.56735569083422999</v>
      </c>
      <c r="IG159" s="3">
        <f ca="1">IFERROR(__xludf.DUMMYFUNCTION("""COMPUTED_VALUE"""),-0.563405393264258)</f>
        <v>-0.56340539326425798</v>
      </c>
      <c r="IH159" s="3">
        <f ca="1">IFERROR(__xludf.DUMMYFUNCTION("""COMPUTED_VALUE"""),-0.468010010572577)</f>
        <v>-0.46801001057257702</v>
      </c>
      <c r="II159" s="3">
        <f ca="1">IFERROR(__xludf.DUMMYFUNCTION("""COMPUTED_VALUE"""),-0.532654377436812)</f>
        <v>-0.53265437743681199</v>
      </c>
      <c r="IJ159" s="3">
        <f ca="1">IFERROR(__xludf.DUMMYFUNCTION("""COMPUTED_VALUE"""),-0.627488391573521)</f>
        <v>-0.62748839157352099</v>
      </c>
      <c r="IK159" s="3">
        <f ca="1">IFERROR(__xludf.DUMMYFUNCTION("""COMPUTED_VALUE"""),-0.648123846494743)</f>
        <v>-0.64812384649474297</v>
      </c>
      <c r="IL159" s="3">
        <f ca="1">IFERROR(__xludf.DUMMYFUNCTION("""COMPUTED_VALUE"""),-0.64535342416101)</f>
        <v>-0.64535342416101005</v>
      </c>
      <c r="IM159" s="3">
        <f ca="1">IFERROR(__xludf.DUMMYFUNCTION("""COMPUTED_VALUE"""),-0.615167306389747)</f>
        <v>-0.61516730638974704</v>
      </c>
      <c r="IN159" s="3">
        <f ca="1">IFERROR(__xludf.DUMMYFUNCTION("""COMPUTED_VALUE"""),-0.5996444384094)</f>
        <v>-0.59964443840939996</v>
      </c>
      <c r="IO159" s="3">
        <f ca="1">IFERROR(__xludf.DUMMYFUNCTION("""COMPUTED_VALUE"""),-0.580527842985639)</f>
        <v>-0.58052784298563898</v>
      </c>
      <c r="IP159" s="3">
        <f ca="1">IFERROR(__xludf.DUMMYFUNCTION("""COMPUTED_VALUE"""),-0.582349308351445)</f>
        <v>-0.58234930835144505</v>
      </c>
      <c r="IQ159" s="3">
        <f ca="1">IFERROR(__xludf.DUMMYFUNCTION("""COMPUTED_VALUE"""),-0.67476051692816)</f>
        <v>-0.67476051692815997</v>
      </c>
      <c r="IR159" s="3">
        <f ca="1">IFERROR(__xludf.DUMMYFUNCTION("""COMPUTED_VALUE"""),-0.654475462799277)</f>
        <v>-0.65447546279927704</v>
      </c>
      <c r="IS159" s="3">
        <f ca="1">IFERROR(__xludf.DUMMYFUNCTION("""COMPUTED_VALUE"""),-0.656608853894791)</f>
        <v>-0.65660885389479096</v>
      </c>
      <c r="IT159" s="3">
        <f ca="1">IFERROR(__xludf.DUMMYFUNCTION("""COMPUTED_VALUE"""),-0.644899792514037)</f>
        <v>-0.64489979251403695</v>
      </c>
      <c r="IU159" s="3">
        <f ca="1">IFERROR(__xludf.DUMMYFUNCTION("""COMPUTED_VALUE"""),-0.572395070069436)</f>
        <v>-0.57239507006943602</v>
      </c>
      <c r="IV159" s="3">
        <f ca="1">IFERROR(__xludf.DUMMYFUNCTION("""COMPUTED_VALUE"""),-0.475748305144799)</f>
        <v>-0.47574830514479899</v>
      </c>
      <c r="IW159" s="3">
        <f ca="1">IFERROR(__xludf.DUMMYFUNCTION("""COMPUTED_VALUE"""),-0.58823654338406)</f>
        <v>-0.58823654338405995</v>
      </c>
      <c r="IX159" s="3">
        <f ca="1">IFERROR(__xludf.DUMMYFUNCTION("""COMPUTED_VALUE"""),-0.663604553900523)</f>
        <v>-0.66360455390052298</v>
      </c>
      <c r="IY159" s="3">
        <f ca="1">IFERROR(__xludf.DUMMYFUNCTION("""COMPUTED_VALUE"""),-0.682581400669092)</f>
        <v>-0.68258140066909201</v>
      </c>
      <c r="IZ159" s="3">
        <f ca="1">IFERROR(__xludf.DUMMYFUNCTION("""COMPUTED_VALUE"""),-0.702083146808281)</f>
        <v>-0.70208314680828099</v>
      </c>
      <c r="JA159" s="3">
        <f ca="1">IFERROR(__xludf.DUMMYFUNCTION("""COMPUTED_VALUE"""),-0.704288816440254)</f>
        <v>-0.70428881644025398</v>
      </c>
      <c r="JB159" s="3">
        <f ca="1">IFERROR(__xludf.DUMMYFUNCTION("""COMPUTED_VALUE"""),-0.640996099724466)</f>
        <v>-0.64099609972446603</v>
      </c>
      <c r="JC159" s="3">
        <f ca="1">IFERROR(__xludf.DUMMYFUNCTION("""COMPUTED_VALUE"""),-0.500832496004153)</f>
        <v>-0.50083249600415303</v>
      </c>
      <c r="JD159" s="3">
        <f ca="1">IFERROR(__xludf.DUMMYFUNCTION("""COMPUTED_VALUE"""),-0.525682269879427)</f>
        <v>-0.52568226987942701</v>
      </c>
      <c r="JE159" s="3">
        <f ca="1">IFERROR(__xludf.DUMMYFUNCTION("""COMPUTED_VALUE"""),-0.66563281596909)</f>
        <v>-0.66563281596908996</v>
      </c>
      <c r="JF159" s="3">
        <f ca="1">IFERROR(__xludf.DUMMYFUNCTION("""COMPUTED_VALUE"""),-0.716678423892374)</f>
        <v>-0.71667842389237402</v>
      </c>
      <c r="JG159" s="3">
        <f ca="1">IFERROR(__xludf.DUMMYFUNCTION("""COMPUTED_VALUE"""),-0.728036855719136)</f>
        <v>-0.72803685571913601</v>
      </c>
      <c r="JH159" s="3">
        <f ca="1">IFERROR(__xludf.DUMMYFUNCTION("""COMPUTED_VALUE"""),-0.674434315752608)</f>
        <v>-0.67443431575260804</v>
      </c>
      <c r="JI159" s="3">
        <f ca="1">IFERROR(__xludf.DUMMYFUNCTION("""COMPUTED_VALUE"""),-0.635336436140683)</f>
        <v>-0.63533643614068303</v>
      </c>
      <c r="JJ159" s="3">
        <f ca="1">IFERROR(__xludf.DUMMYFUNCTION("""COMPUTED_VALUE"""),-0.573766113582789)</f>
        <v>-0.57376611358278895</v>
      </c>
      <c r="JK159" s="3">
        <f ca="1">IFERROR(__xludf.DUMMYFUNCTION("""COMPUTED_VALUE"""),-0.60341124941926)</f>
        <v>-0.60341124941926005</v>
      </c>
      <c r="JL159" s="3">
        <f ca="1">IFERROR(__xludf.DUMMYFUNCTION("""COMPUTED_VALUE"""),-0.666033269267052)</f>
        <v>-0.66603326926705197</v>
      </c>
      <c r="JM159" s="3">
        <f ca="1">IFERROR(__xludf.DUMMYFUNCTION("""COMPUTED_VALUE"""),-0.732322944288999)</f>
        <v>-0.73232294428899902</v>
      </c>
      <c r="JN159" s="3">
        <f ca="1">IFERROR(__xludf.DUMMYFUNCTION("""COMPUTED_VALUE"""),-0.743324225511447)</f>
        <v>-0.74332422551144695</v>
      </c>
      <c r="JO159" s="3">
        <f ca="1">IFERROR(__xludf.DUMMYFUNCTION("""COMPUTED_VALUE"""),-0.695411420580615)</f>
        <v>-0.695411420580615</v>
      </c>
      <c r="JP159" s="3">
        <f ca="1">IFERROR(__xludf.DUMMYFUNCTION("""COMPUTED_VALUE"""),-0.641388231817852)</f>
        <v>-0.64138823181785198</v>
      </c>
      <c r="JQ159" s="3">
        <f ca="1">IFERROR(__xludf.DUMMYFUNCTION("""COMPUTED_VALUE"""),-0.512648333889914)</f>
        <v>-0.51264833388991404</v>
      </c>
      <c r="JR159" s="3">
        <f ca="1">IFERROR(__xludf.DUMMYFUNCTION("""COMPUTED_VALUE"""),-0.583504267431825)</f>
        <v>-0.58350426743182504</v>
      </c>
      <c r="JS159" s="3">
        <f ca="1">IFERROR(__xludf.DUMMYFUNCTION("""COMPUTED_VALUE"""),-0.630431581550791)</f>
        <v>-0.63043158155079104</v>
      </c>
      <c r="JT159" s="3">
        <f ca="1">IFERROR(__xludf.DUMMYFUNCTION("""COMPUTED_VALUE"""),-0.673936064592915)</f>
        <v>-0.673936064592915</v>
      </c>
      <c r="JU159" s="3">
        <f ca="1">IFERROR(__xludf.DUMMYFUNCTION("""COMPUTED_VALUE"""),-0.726536307222145)</f>
        <v>-0.72653630722214502</v>
      </c>
      <c r="JV159" s="3">
        <f ca="1">IFERROR(__xludf.DUMMYFUNCTION("""COMPUTED_VALUE"""),-0.744694810995404)</f>
        <v>-0.74469481099540402</v>
      </c>
      <c r="JW159" s="3">
        <f ca="1">IFERROR(__xludf.DUMMYFUNCTION("""COMPUTED_VALUE"""),-0.684118832126477)</f>
        <v>-0.68411883212647695</v>
      </c>
      <c r="JX159" s="3">
        <f ca="1">IFERROR(__xludf.DUMMYFUNCTION("""COMPUTED_VALUE"""),-0.54203634253847)</f>
        <v>-0.54203634253847</v>
      </c>
      <c r="JY159" s="3">
        <f ca="1">IFERROR(__xludf.DUMMYFUNCTION("""COMPUTED_VALUE"""),-0.611800328763044)</f>
        <v>-0.61180032876304402</v>
      </c>
      <c r="JZ159" s="3">
        <f ca="1">IFERROR(__xludf.DUMMYFUNCTION("""COMPUTED_VALUE"""),-0.643670223937246)</f>
        <v>-0.64367022393724604</v>
      </c>
      <c r="KA159" s="3">
        <f ca="1">IFERROR(__xludf.DUMMYFUNCTION("""COMPUTED_VALUE"""),-0.675806000207319)</f>
        <v>-0.67580600020731896</v>
      </c>
      <c r="KB159" s="3">
        <f ca="1">IFERROR(__xludf.DUMMYFUNCTION("""COMPUTED_VALUE"""),-0.734218136501834)</f>
        <v>-0.73421813650183398</v>
      </c>
      <c r="KC159" s="3">
        <f ca="1">IFERROR(__xludf.DUMMYFUNCTION("""COMPUTED_VALUE"""),-0.699495928010481)</f>
        <v>-0.69949592801048099</v>
      </c>
      <c r="KD159" s="3">
        <f ca="1">IFERROR(__xludf.DUMMYFUNCTION("""COMPUTED_VALUE"""),-0.677626873110516)</f>
        <v>-0.67762687311051595</v>
      </c>
      <c r="KE159" s="3">
        <f ca="1">IFERROR(__xludf.DUMMYFUNCTION("""COMPUTED_VALUE"""),-0.524655839052616)</f>
        <v>-0.52465583905261604</v>
      </c>
      <c r="KF159" s="3">
        <f ca="1">IFERROR(__xludf.DUMMYFUNCTION("""COMPUTED_VALUE"""),-0.612952999445503)</f>
        <v>-0.61295299944550297</v>
      </c>
      <c r="KG159" s="3">
        <f ca="1">IFERROR(__xludf.DUMMYFUNCTION("""COMPUTED_VALUE"""),-0.603180354995899)</f>
        <v>-0.60318035499589895</v>
      </c>
      <c r="KH159" s="3">
        <f ca="1">IFERROR(__xludf.DUMMYFUNCTION("""COMPUTED_VALUE"""),-0.555567618481851)</f>
        <v>-0.55556761848185099</v>
      </c>
      <c r="KI159" s="3">
        <f ca="1">IFERROR(__xludf.DUMMYFUNCTION("""COMPUTED_VALUE"""),-0.691529059524038)</f>
        <v>-0.69152905952403798</v>
      </c>
      <c r="KJ159" s="3">
        <f ca="1">IFERROR(__xludf.DUMMYFUNCTION("""COMPUTED_VALUE"""),-0.707155754016436)</f>
        <v>-0.70715575401643604</v>
      </c>
      <c r="KK159" s="3">
        <f ca="1">IFERROR(__xludf.DUMMYFUNCTION("""COMPUTED_VALUE"""),-0.699013780916768)</f>
        <v>-0.69901378091676802</v>
      </c>
      <c r="KL159" s="3">
        <f ca="1">IFERROR(__xludf.DUMMYFUNCTION("""COMPUTED_VALUE"""),-0.658195788939511)</f>
        <v>-0.65819578893951103</v>
      </c>
      <c r="KM159" s="3">
        <f ca="1">IFERROR(__xludf.DUMMYFUNCTION("""COMPUTED_VALUE"""),-0.665846711974439)</f>
        <v>-0.66584671197443901</v>
      </c>
      <c r="KN159" s="3">
        <f ca="1">IFERROR(__xludf.DUMMYFUNCTION("""COMPUTED_VALUE"""),-0.718617779825816)</f>
        <v>-0.71861777982581598</v>
      </c>
      <c r="KO159" s="3">
        <f ca="1">IFERROR(__xludf.DUMMYFUNCTION("""COMPUTED_VALUE"""),-0.651439079160258)</f>
        <v>-0.65143907916025801</v>
      </c>
      <c r="KP159" s="3">
        <f ca="1">IFERROR(__xludf.DUMMYFUNCTION("""COMPUTED_VALUE"""),-0.716163322236938)</f>
        <v>-0.71616332223693802</v>
      </c>
      <c r="KQ159" s="3">
        <f ca="1">IFERROR(__xludf.DUMMYFUNCTION("""COMPUTED_VALUE"""),-0.791442010588395)</f>
        <v>-0.79144201058839503</v>
      </c>
      <c r="KR159" s="3">
        <f ca="1">IFERROR(__xludf.DUMMYFUNCTION("""COMPUTED_VALUE"""),-0.683377476948483)</f>
        <v>-0.68337747694848305</v>
      </c>
      <c r="KS159" s="3">
        <f ca="1">IFERROR(__xludf.DUMMYFUNCTION("""COMPUTED_VALUE"""),-0.652729523907761)</f>
        <v>-0.65272952390776096</v>
      </c>
      <c r="KT159" s="3">
        <f ca="1">IFERROR(__xludf.DUMMYFUNCTION("""COMPUTED_VALUE"""),-0.636387012499798)</f>
        <v>-0.63638701249979801</v>
      </c>
      <c r="KU159" s="3">
        <f ca="1">IFERROR(__xludf.DUMMYFUNCTION("""COMPUTED_VALUE"""),-0.791567124660079)</f>
        <v>-0.79156712466007895</v>
      </c>
      <c r="KV159" s="3">
        <f ca="1">IFERROR(__xludf.DUMMYFUNCTION("""COMPUTED_VALUE"""),-0.804371360978268)</f>
        <v>-0.804371360978268</v>
      </c>
      <c r="KW159" s="3">
        <f ca="1">IFERROR(__xludf.DUMMYFUNCTION("""COMPUTED_VALUE"""),-0.768228779777171)</f>
        <v>-0.76822877977717097</v>
      </c>
      <c r="KX159" s="3">
        <f ca="1">IFERROR(__xludf.DUMMYFUNCTION("""COMPUTED_VALUE"""),-0.810947956307291)</f>
        <v>-0.810947956307291</v>
      </c>
      <c r="KY159" s="3">
        <f ca="1">IFERROR(__xludf.DUMMYFUNCTION("""COMPUTED_VALUE"""),-0.745889037263309)</f>
        <v>-0.74588903726330902</v>
      </c>
      <c r="KZ159" s="3">
        <f ca="1">IFERROR(__xludf.DUMMYFUNCTION("""COMPUTED_VALUE"""),-0.615280367697564)</f>
        <v>-0.615280367697564</v>
      </c>
      <c r="LA159" s="3">
        <f ca="1">IFERROR(__xludf.DUMMYFUNCTION("""COMPUTED_VALUE"""),-0.695537519484506)</f>
        <v>-0.69553751948450604</v>
      </c>
      <c r="LB159" s="3">
        <f ca="1">IFERROR(__xludf.DUMMYFUNCTION("""COMPUTED_VALUE"""),-0.72868132829028)</f>
        <v>-0.72868132829027998</v>
      </c>
      <c r="LC159" s="3">
        <f ca="1">IFERROR(__xludf.DUMMYFUNCTION("""COMPUTED_VALUE"""),-0.774499025841615)</f>
        <v>-0.77449902584161501</v>
      </c>
      <c r="LD159" s="3">
        <f ca="1">IFERROR(__xludf.DUMMYFUNCTION("""COMPUTED_VALUE"""),-0.743461482449101)</f>
        <v>-0.74346148244910104</v>
      </c>
      <c r="LE159" s="3">
        <f ca="1">IFERROR(__xludf.DUMMYFUNCTION("""COMPUTED_VALUE"""),-0.70661676231696)</f>
        <v>-0.70661676231696002</v>
      </c>
      <c r="LF159" s="3">
        <f ca="1">IFERROR(__xludf.DUMMYFUNCTION("""COMPUTED_VALUE"""),-0.633051971596337)</f>
        <v>-0.63305197159633697</v>
      </c>
      <c r="LG159" s="3">
        <f ca="1">IFERROR(__xludf.DUMMYFUNCTION("""COMPUTED_VALUE"""),-0.694887858110936)</f>
        <v>-0.69488785811093601</v>
      </c>
      <c r="LH159" s="3">
        <f ca="1">IFERROR(__xludf.DUMMYFUNCTION("""COMPUTED_VALUE"""),-0.74403113685402)</f>
        <v>-0.74403113685402</v>
      </c>
      <c r="LI159" s="3">
        <f ca="1">IFERROR(__xludf.DUMMYFUNCTION("""COMPUTED_VALUE"""),-0.80971767745129)</f>
        <v>-0.80971767745128997</v>
      </c>
      <c r="LJ159" s="3">
        <f ca="1">IFERROR(__xludf.DUMMYFUNCTION("""COMPUTED_VALUE"""),-0.730977049056277)</f>
        <v>-0.73097704905627703</v>
      </c>
      <c r="LK159" s="3">
        <f ca="1">IFERROR(__xludf.DUMMYFUNCTION("""COMPUTED_VALUE"""),-0.78020689986997)</f>
        <v>-0.78020689986997005</v>
      </c>
      <c r="LL159" s="3">
        <f ca="1">IFERROR(__xludf.DUMMYFUNCTION("""COMPUTED_VALUE"""),-0.816022486193748)</f>
        <v>-0.81602248619374795</v>
      </c>
      <c r="LM159" s="3">
        <f ca="1">IFERROR(__xludf.DUMMYFUNCTION("""COMPUTED_VALUE"""),-0.819359770518849)</f>
        <v>-0.81935977051884901</v>
      </c>
      <c r="LN159" s="3">
        <f ca="1">IFERROR(__xludf.DUMMYFUNCTION("""COMPUTED_VALUE"""),-0.683598526740041)</f>
        <v>-0.68359852674004096</v>
      </c>
      <c r="LO159" s="3">
        <f ca="1">IFERROR(__xludf.DUMMYFUNCTION("""COMPUTED_VALUE"""),-0.755212278456283)</f>
        <v>-0.75521227845628303</v>
      </c>
      <c r="LP159" s="3">
        <f ca="1">IFERROR(__xludf.DUMMYFUNCTION("""COMPUTED_VALUE"""),-0.755665891543888)</f>
        <v>-0.75566589154388797</v>
      </c>
      <c r="LQ159" s="3">
        <f ca="1">IFERROR(__xludf.DUMMYFUNCTION("""COMPUTED_VALUE"""),-0.812701481638357)</f>
        <v>-0.81270148163835698</v>
      </c>
      <c r="LR159" s="3">
        <f ca="1">IFERROR(__xludf.DUMMYFUNCTION("""COMPUTED_VALUE"""),-0.837506032277108)</f>
        <v>-0.83750603227710796</v>
      </c>
      <c r="LS159" s="3">
        <f ca="1">IFERROR(__xludf.DUMMYFUNCTION("""COMPUTED_VALUE"""),-0.755577822274833)</f>
        <v>-0.75557782227483306</v>
      </c>
      <c r="LT159" s="3">
        <f ca="1">IFERROR(__xludf.DUMMYFUNCTION("""COMPUTED_VALUE"""),-0.812317616903789)</f>
        <v>-0.81231761690378901</v>
      </c>
      <c r="LU159" s="3">
        <f ca="1">IFERROR(__xludf.DUMMYFUNCTION("""COMPUTED_VALUE"""),-0.730853472200488)</f>
        <v>-0.73085347220048802</v>
      </c>
      <c r="LV159" s="3">
        <f ca="1">IFERROR(__xludf.DUMMYFUNCTION("""COMPUTED_VALUE"""),-0.791801502967642)</f>
        <v>-0.79180150296764196</v>
      </c>
      <c r="LW159" s="3">
        <f ca="1">IFERROR(__xludf.DUMMYFUNCTION("""COMPUTED_VALUE"""),-0.71757456514176)</f>
        <v>-0.71757456514175999</v>
      </c>
      <c r="LX159" s="3">
        <f ca="1">IFERROR(__xludf.DUMMYFUNCTION("""COMPUTED_VALUE"""),-0.817228404214273)</f>
        <v>-0.81722840421427301</v>
      </c>
      <c r="LY159" s="3">
        <f ca="1">IFERROR(__xludf.DUMMYFUNCTION("""COMPUTED_VALUE"""),-0.802109028885987)</f>
        <v>-0.80210902888598701</v>
      </c>
      <c r="LZ159" s="3">
        <f ca="1">IFERROR(__xludf.DUMMYFUNCTION("""COMPUTED_VALUE"""),-0.780997812197262)</f>
        <v>-0.78099781219726205</v>
      </c>
      <c r="MA159" s="3">
        <f ca="1">IFERROR(__xludf.DUMMYFUNCTION("""COMPUTED_VALUE"""),-0.676058639419955)</f>
        <v>-0.67605863941995503</v>
      </c>
      <c r="MB159" s="3">
        <f ca="1">IFERROR(__xludf.DUMMYFUNCTION("""COMPUTED_VALUE"""),-0.794556517315643)</f>
        <v>-0.79455651731564303</v>
      </c>
      <c r="MC159" s="3">
        <f ca="1">IFERROR(__xludf.DUMMYFUNCTION("""COMPUTED_VALUE"""),-0.663562177621537)</f>
        <v>-0.66356217762153702</v>
      </c>
      <c r="MD159" s="3">
        <f ca="1">IFERROR(__xludf.DUMMYFUNCTION("""COMPUTED_VALUE"""),-0.721602913930775)</f>
        <v>-0.72160291393077503</v>
      </c>
      <c r="ME159" s="3">
        <f ca="1">IFERROR(__xludf.DUMMYFUNCTION("""COMPUTED_VALUE"""),-0.834519152093497)</f>
        <v>-0.83451915209349703</v>
      </c>
      <c r="MF159" s="3">
        <f ca="1">IFERROR(__xludf.DUMMYFUNCTION("""COMPUTED_VALUE"""),-0.749667968268096)</f>
        <v>-0.74966796826809601</v>
      </c>
      <c r="MG159" s="3">
        <f ca="1">IFERROR(__xludf.DUMMYFUNCTION("""COMPUTED_VALUE"""),-0.785004680386912)</f>
        <v>-0.78500468038691196</v>
      </c>
      <c r="MH159" s="3">
        <f ca="1">IFERROR(__xludf.DUMMYFUNCTION("""COMPUTED_VALUE"""),-0.754453256082654)</f>
        <v>-0.75445325608265401</v>
      </c>
      <c r="MI159" s="3">
        <f ca="1">IFERROR(__xludf.DUMMYFUNCTION("""COMPUTED_VALUE"""),-0.783264099256994)</f>
        <v>-0.78326409925699403</v>
      </c>
      <c r="MJ159" s="3">
        <f ca="1">IFERROR(__xludf.DUMMYFUNCTION("""COMPUTED_VALUE"""),-0.790298305853521)</f>
        <v>-0.79029830585352101</v>
      </c>
      <c r="MK159" s="3">
        <f ca="1">IFERROR(__xludf.DUMMYFUNCTION("""COMPUTED_VALUE"""),-0.789728778181989)</f>
        <v>-0.78972877818198906</v>
      </c>
      <c r="ML159" s="3">
        <f ca="1">IFERROR(__xludf.DUMMYFUNCTION("""COMPUTED_VALUE"""),-0.787103513285046)</f>
        <v>-0.78710351328504602</v>
      </c>
      <c r="MM159" s="3">
        <f ca="1">IFERROR(__xludf.DUMMYFUNCTION("""COMPUTED_VALUE"""),-0.811163683514233)</f>
        <v>-0.81116368351423296</v>
      </c>
      <c r="MN159" s="3">
        <f ca="1">IFERROR(__xludf.DUMMYFUNCTION("""COMPUTED_VALUE"""),-0.778016572739396)</f>
        <v>-0.77801657273939595</v>
      </c>
      <c r="MO159" s="3">
        <f ca="1">IFERROR(__xludf.DUMMYFUNCTION("""COMPUTED_VALUE"""),-0.8062856930038)</f>
        <v>-0.80628569300380004</v>
      </c>
      <c r="MP159" s="3">
        <f ca="1">IFERROR(__xludf.DUMMYFUNCTION("""COMPUTED_VALUE"""),-0.70991660594786)</f>
        <v>-0.70991660594785999</v>
      </c>
      <c r="MQ159" s="3">
        <f ca="1">IFERROR(__xludf.DUMMYFUNCTION("""COMPUTED_VALUE"""),-0.751405756741882)</f>
        <v>-0.75140575674188204</v>
      </c>
      <c r="MR159" s="3">
        <f ca="1">IFERROR(__xludf.DUMMYFUNCTION("""COMPUTED_VALUE"""),-0.816229447506763)</f>
        <v>-0.81622944750676296</v>
      </c>
      <c r="MS159" s="3">
        <f ca="1">IFERROR(__xludf.DUMMYFUNCTION("""COMPUTED_VALUE"""),-0.813152851905029)</f>
        <v>-0.81315285190502895</v>
      </c>
      <c r="MT159" s="3">
        <f ca="1">IFERROR(__xludf.DUMMYFUNCTION("""COMPUTED_VALUE"""),-0.847405645972788)</f>
        <v>-0.847405645972788</v>
      </c>
      <c r="MU159" s="3">
        <f ca="1">IFERROR(__xludf.DUMMYFUNCTION("""COMPUTED_VALUE"""),-0.689237742102178)</f>
        <v>-0.68923774210217803</v>
      </c>
      <c r="MV159" s="3">
        <f ca="1">IFERROR(__xludf.DUMMYFUNCTION("""COMPUTED_VALUE"""),-0.693235472169564)</f>
        <v>-0.69323547216956405</v>
      </c>
      <c r="MW159" s="3">
        <f ca="1">IFERROR(__xludf.DUMMYFUNCTION("""COMPUTED_VALUE"""),-0.673488802647894)</f>
        <v>-0.67348880264789401</v>
      </c>
      <c r="MX159" s="3">
        <f ca="1">IFERROR(__xludf.DUMMYFUNCTION("""COMPUTED_VALUE"""),-0.805270213149731)</f>
        <v>-0.80527021314973102</v>
      </c>
      <c r="MY159" s="3">
        <f ca="1">IFERROR(__xludf.DUMMYFUNCTION("""COMPUTED_VALUE"""),-0.812568635263631)</f>
        <v>-0.81256863526363099</v>
      </c>
      <c r="MZ159" s="3">
        <f ca="1">IFERROR(__xludf.DUMMYFUNCTION("""COMPUTED_VALUE"""),-0.814659237356647)</f>
        <v>-0.81465923735664703</v>
      </c>
      <c r="NA159" s="3">
        <f ca="1">IFERROR(__xludf.DUMMYFUNCTION("""COMPUTED_VALUE"""),-0.797909991856601)</f>
        <v>-0.79790999185660105</v>
      </c>
      <c r="NB159" s="3">
        <f ca="1">IFERROR(__xludf.DUMMYFUNCTION("""COMPUTED_VALUE"""),-0.772416413061396)</f>
        <v>-0.77241641306139597</v>
      </c>
      <c r="NC159" s="3">
        <f ca="1">IFERROR(__xludf.DUMMYFUNCTION("""COMPUTED_VALUE"""),-0.75115854179118)</f>
        <v>-0.75115854179118002</v>
      </c>
      <c r="ND159" s="3">
        <f ca="1">IFERROR(__xludf.DUMMYFUNCTION("""COMPUTED_VALUE"""),-0.723117461278554)</f>
        <v>-0.72311746127855403</v>
      </c>
      <c r="NE159" s="3">
        <f ca="1">IFERROR(__xludf.DUMMYFUNCTION("""COMPUTED_VALUE"""),-0.695108236817872)</f>
        <v>-0.69510823681787204</v>
      </c>
      <c r="NF159" s="3">
        <f ca="1">IFERROR(__xludf.DUMMYFUNCTION("""COMPUTED_VALUE"""),-0.76609694942692)</f>
        <v>-0.76609694942691997</v>
      </c>
      <c r="NG159" s="3">
        <f ca="1">IFERROR(__xludf.DUMMYFUNCTION("""COMPUTED_VALUE"""),-0.773517240201392)</f>
        <v>-0.77351724020139201</v>
      </c>
      <c r="NH159" s="3">
        <f ca="1">IFERROR(__xludf.DUMMYFUNCTION("""COMPUTED_VALUE"""),-0.778206656479284)</f>
        <v>-0.778206656479284</v>
      </c>
      <c r="NI159" s="3">
        <f ca="1">IFERROR(__xludf.DUMMYFUNCTION("""COMPUTED_VALUE"""),-0.78499724893556)</f>
        <v>-0.78499724893556</v>
      </c>
      <c r="NJ159" s="3">
        <f ca="1">IFERROR(__xludf.DUMMYFUNCTION("""COMPUTED_VALUE"""),-0.649860848326548)</f>
        <v>-0.649860848326548</v>
      </c>
      <c r="NK159" s="3">
        <f ca="1">IFERROR(__xludf.DUMMYFUNCTION("""COMPUTED_VALUE"""),-0.554154159418363)</f>
        <v>-0.55415415941836299</v>
      </c>
      <c r="NL159" s="3">
        <f ca="1">IFERROR(__xludf.DUMMYFUNCTION("""COMPUTED_VALUE"""),-0.780084954866481)</f>
        <v>-0.780084954866481</v>
      </c>
      <c r="NM159" s="3">
        <f ca="1">IFERROR(__xludf.DUMMYFUNCTION("""COMPUTED_VALUE"""),-0.762311401626749)</f>
        <v>-0.76231140162674904</v>
      </c>
      <c r="NN159" s="3">
        <f ca="1">IFERROR(__xludf.DUMMYFUNCTION("""COMPUTED_VALUE"""),-0.754446468140815)</f>
        <v>-0.75444646814081495</v>
      </c>
      <c r="NO159" s="3">
        <f ca="1">IFERROR(__xludf.DUMMYFUNCTION("""COMPUTED_VALUE"""),-0.733295092182563)</f>
        <v>-0.73329509218256295</v>
      </c>
      <c r="NP159" s="3">
        <f ca="1">IFERROR(__xludf.DUMMYFUNCTION("""COMPUTED_VALUE"""),-0.772696369253678)</f>
        <v>-0.77269636925367802</v>
      </c>
      <c r="NQ159" s="3">
        <f ca="1">IFERROR(__xludf.DUMMYFUNCTION("""COMPUTED_VALUE"""),-0.767237793161046)</f>
        <v>-0.76723779316104601</v>
      </c>
      <c r="NR159" s="3">
        <f ca="1">IFERROR(__xludf.DUMMYFUNCTION("""COMPUTED_VALUE"""),-0.69572941876256)</f>
        <v>-0.69572941876256</v>
      </c>
      <c r="NS159" s="3">
        <f ca="1">IFERROR(__xludf.DUMMYFUNCTION("""COMPUTED_VALUE"""),-0.78702646069942)</f>
        <v>-0.78702646069941995</v>
      </c>
      <c r="NT159" s="3">
        <f ca="1">IFERROR(__xludf.DUMMYFUNCTION("""COMPUTED_VALUE"""),-0.775742940156311)</f>
        <v>-0.77574294015631096</v>
      </c>
      <c r="NU159" s="3">
        <f ca="1">IFERROR(__xludf.DUMMYFUNCTION("""COMPUTED_VALUE"""),-0.758363414746319)</f>
        <v>-0.75836341474631896</v>
      </c>
      <c r="NV159" s="3">
        <f ca="1">IFERROR(__xludf.DUMMYFUNCTION("""COMPUTED_VALUE"""),-0.751457690535455)</f>
        <v>-0.75145769053545497</v>
      </c>
      <c r="NW159" s="3">
        <f ca="1">IFERROR(__xludf.DUMMYFUNCTION("""COMPUTED_VALUE"""),-0.667054782493402)</f>
        <v>-0.667054782493402</v>
      </c>
      <c r="NX159" s="3">
        <f ca="1">IFERROR(__xludf.DUMMYFUNCTION("""COMPUTED_VALUE"""),-0.597196074544685)</f>
        <v>-0.59719607454468504</v>
      </c>
      <c r="NY159" s="3">
        <f ca="1">IFERROR(__xludf.DUMMYFUNCTION("""COMPUTED_VALUE"""),-0.475712601439347)</f>
        <v>-0.47571260143934702</v>
      </c>
      <c r="NZ159" s="3">
        <f ca="1">IFERROR(__xludf.DUMMYFUNCTION("""COMPUTED_VALUE"""),-0.488038584399336)</f>
        <v>-0.48803858439933601</v>
      </c>
      <c r="OA159" s="3">
        <f ca="1">IFERROR(__xludf.DUMMYFUNCTION("""COMPUTED_VALUE"""),-0.63235638918749)</f>
        <v>-0.63235638918749004</v>
      </c>
      <c r="OB159" s="3">
        <f ca="1">IFERROR(__xludf.DUMMYFUNCTION("""COMPUTED_VALUE"""),-0.523248561479808)</f>
        <v>-0.52324856147980803</v>
      </c>
      <c r="OC159" s="3">
        <f ca="1">IFERROR(__xludf.DUMMYFUNCTION("""COMPUTED_VALUE"""),-0.473546571635667)</f>
        <v>-0.47354657163566699</v>
      </c>
      <c r="OD159" s="3">
        <f ca="1">IFERROR(__xludf.DUMMYFUNCTION("""COMPUTED_VALUE"""),-0.512114352112052)</f>
        <v>-0.51211435211205203</v>
      </c>
      <c r="OE159" s="3">
        <f ca="1">IFERROR(__xludf.DUMMYFUNCTION("""COMPUTED_VALUE"""),-0.46777708466493)</f>
        <v>-0.46777708466493001</v>
      </c>
      <c r="OF159" s="3">
        <f ca="1">IFERROR(__xludf.DUMMYFUNCTION("""COMPUTED_VALUE"""),-0.490056432337719)</f>
        <v>-0.49005643233771901</v>
      </c>
      <c r="OG159" s="3">
        <f ca="1">IFERROR(__xludf.DUMMYFUNCTION("""COMPUTED_VALUE"""),-0.449358463966865)</f>
        <v>-0.44935846396686502</v>
      </c>
      <c r="OH159" s="3">
        <f ca="1">IFERROR(__xludf.DUMMYFUNCTION("""COMPUTED_VALUE"""),-0.179549168102836)</f>
        <v>-0.179549168102836</v>
      </c>
      <c r="OI159" s="3">
        <f ca="1">IFERROR(__xludf.DUMMYFUNCTION("""COMPUTED_VALUE"""),-0.0703842030622007)</f>
        <v>-7.0384203062200695E-2</v>
      </c>
      <c r="OJ159" s="3">
        <f ca="1">IFERROR(__xludf.DUMMYFUNCTION("""COMPUTED_VALUE"""),-0.0764067548651336)</f>
        <v>-7.6406754865133597E-2</v>
      </c>
      <c r="OK159" s="3">
        <f ca="1">IFERROR(__xludf.DUMMYFUNCTION("""COMPUTED_VALUE"""),-0.00385914527655184)</f>
        <v>-3.85914527655184E-3</v>
      </c>
      <c r="OL159" s="3">
        <f ca="1">IFERROR(__xludf.DUMMYFUNCTION("""COMPUTED_VALUE"""),-0.214448719932547)</f>
        <v>-0.21444871993254699</v>
      </c>
      <c r="OM159" s="3">
        <f ca="1">IFERROR(__xludf.DUMMYFUNCTION("""COMPUTED_VALUE"""),-0.227652041907311)</f>
        <v>-0.227652041907311</v>
      </c>
      <c r="ON159" s="3">
        <f ca="1">IFERROR(__xludf.DUMMYFUNCTION("""COMPUTED_VALUE"""),-0.141683222858479)</f>
        <v>-0.14168322285847901</v>
      </c>
      <c r="OO159" s="3">
        <f ca="1">IFERROR(__xludf.DUMMYFUNCTION("""COMPUTED_VALUE"""),0.0242309881305811)</f>
        <v>2.42309881305811E-2</v>
      </c>
      <c r="OP159" s="3">
        <f ca="1">IFERROR(__xludf.DUMMYFUNCTION("""COMPUTED_VALUE"""),0.125337633965085)</f>
        <v>0.12533763396508499</v>
      </c>
      <c r="OQ159" s="3">
        <f ca="1">IFERROR(__xludf.DUMMYFUNCTION("""COMPUTED_VALUE"""),0.0434136717574313)</f>
        <v>4.3413671757431299E-2</v>
      </c>
      <c r="OR159" s="3">
        <f ca="1">IFERROR(__xludf.DUMMYFUNCTION("""COMPUTED_VALUE"""),-0.0655743786044485)</f>
        <v>-6.5574378604448494E-2</v>
      </c>
      <c r="OS159" s="3">
        <f ca="1">IFERROR(__xludf.DUMMYFUNCTION("""COMPUTED_VALUE"""),-0.114933783631243)</f>
        <v>-0.114933783631243</v>
      </c>
      <c r="OT159" s="3">
        <f ca="1">IFERROR(__xludf.DUMMYFUNCTION("""COMPUTED_VALUE"""),-0.1346748135932)</f>
        <v>-0.13467481359319999</v>
      </c>
      <c r="OU159" s="3">
        <f ca="1">IFERROR(__xludf.DUMMYFUNCTION("""COMPUTED_VALUE"""),-0.0570765710264983)</f>
        <v>-5.7076571026498303E-2</v>
      </c>
      <c r="OV159" s="3">
        <f ca="1">IFERROR(__xludf.DUMMYFUNCTION("""COMPUTED_VALUE"""),-0.0181066899021269)</f>
        <v>-1.81066899021269E-2</v>
      </c>
      <c r="OW159" s="3">
        <f ca="1">IFERROR(__xludf.DUMMYFUNCTION("""COMPUTED_VALUE"""),0.12814409778135)</f>
        <v>0.12814409778135</v>
      </c>
      <c r="OX159" s="3">
        <f ca="1">IFERROR(__xludf.DUMMYFUNCTION("""COMPUTED_VALUE"""),-0.0239759884843502)</f>
        <v>-2.3975988484350199E-2</v>
      </c>
      <c r="OY159" s="3">
        <f ca="1">IFERROR(__xludf.DUMMYFUNCTION("""COMPUTED_VALUE"""),-0.0636240347747751)</f>
        <v>-6.3624034774775101E-2</v>
      </c>
      <c r="OZ159" s="3">
        <f ca="1">IFERROR(__xludf.DUMMYFUNCTION("""COMPUTED_VALUE"""),-0.0796658464837044)</f>
        <v>-7.9665846483704394E-2</v>
      </c>
      <c r="PA159" s="3">
        <f ca="1">IFERROR(__xludf.DUMMYFUNCTION("""COMPUTED_VALUE"""),-0.126388326625982)</f>
        <v>-0.12638832662598201</v>
      </c>
      <c r="PB159" s="3">
        <f ca="1">IFERROR(__xludf.DUMMYFUNCTION("""COMPUTED_VALUE"""),0.0309195211678803)</f>
        <v>3.0919521167880298E-2</v>
      </c>
      <c r="PC159" s="3">
        <f ca="1">IFERROR(__xludf.DUMMYFUNCTION("""COMPUTED_VALUE"""),0.0949322742024916)</f>
        <v>9.4932274202491604E-2</v>
      </c>
      <c r="PD159" s="3">
        <f ca="1">IFERROR(__xludf.DUMMYFUNCTION("""COMPUTED_VALUE"""),0.0527922377794949)</f>
        <v>5.2792237779494898E-2</v>
      </c>
      <c r="PE159" s="3">
        <f ca="1">IFERROR(__xludf.DUMMYFUNCTION("""COMPUTED_VALUE"""),-0.0105380519069707)</f>
        <v>-1.05380519069707E-2</v>
      </c>
      <c r="PF159" s="3">
        <f ca="1">IFERROR(__xludf.DUMMYFUNCTION("""COMPUTED_VALUE"""),-0.109942490702299)</f>
        <v>-0.109942490702299</v>
      </c>
      <c r="PG159" s="3">
        <f ca="1">IFERROR(__xludf.DUMMYFUNCTION("""COMPUTED_VALUE"""),-0.154154464533808)</f>
        <v>-0.15415446453380799</v>
      </c>
      <c r="PH159" s="3">
        <f ca="1">IFERROR(__xludf.DUMMYFUNCTION("""COMPUTED_VALUE"""),-0.196726416481134)</f>
        <v>-0.19672641648113401</v>
      </c>
      <c r="PI159" s="3">
        <f ca="1">IFERROR(__xludf.DUMMYFUNCTION("""COMPUTED_VALUE"""),-0.159258730880242)</f>
        <v>-0.15925873088024201</v>
      </c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</row>
    <row r="160" spans="1:477" ht="13">
      <c r="A160" s="1" t="str">
        <f ca="1">IFERROR(__xludf.DUMMYFUNCTION("""COMPUTED_VALUE"""),"West Coast Express")</f>
        <v>West Coast Express</v>
      </c>
      <c r="B160" s="1" t="str">
        <f ca="1">IFERROR(__xludf.DUMMYFUNCTION("""COMPUTED_VALUE"""),"Vancouver")</f>
        <v>Vancouver</v>
      </c>
      <c r="C160" s="1" t="str">
        <f ca="1">IFERROR(__xludf.DUMMYFUNCTION("""COMPUTED_VALUE"""),"Canada")</f>
        <v>Canada</v>
      </c>
      <c r="D160" s="1" t="str">
        <f ca="1">IFERROR(__xludf.DUMMYFUNCTION("""COMPUTED_VALUE"""),"British Columbia")</f>
        <v>British Columbia</v>
      </c>
      <c r="E160" s="3">
        <f ca="1">IFERROR(__xludf.DUMMYFUNCTION("""COMPUTED_VALUE"""),-0.541439277985104)</f>
        <v>-0.54143927798510405</v>
      </c>
      <c r="F160" s="3">
        <f ca="1">IFERROR(__xludf.DUMMYFUNCTION("""COMPUTED_VALUE"""),-0.381093157659845)</f>
        <v>-0.38109315765984503</v>
      </c>
      <c r="G160" s="3">
        <f ca="1">IFERROR(__xludf.DUMMYFUNCTION("""COMPUTED_VALUE"""),-0.30989610134066)</f>
        <v>-0.30989610134065998</v>
      </c>
      <c r="H160" s="3">
        <f ca="1">IFERROR(__xludf.DUMMYFUNCTION("""COMPUTED_VALUE"""),-0.294753277602894)</f>
        <v>-0.29475327760289399</v>
      </c>
      <c r="I160" s="3">
        <f ca="1">IFERROR(__xludf.DUMMYFUNCTION("""COMPUTED_VALUE"""),-0.316679009660562)</f>
        <v>-0.31667900966056201</v>
      </c>
      <c r="J160" s="3">
        <f ca="1">IFERROR(__xludf.DUMMYFUNCTION("""COMPUTED_VALUE"""),-0.35882798922738)</f>
        <v>-0.35882798922738002</v>
      </c>
      <c r="K160" s="3">
        <f ca="1">IFERROR(__xludf.DUMMYFUNCTION("""COMPUTED_VALUE"""),-0.73683264647203)</f>
        <v>-0.73683264647202995</v>
      </c>
      <c r="L160" s="3">
        <f ca="1">IFERROR(__xludf.DUMMYFUNCTION("""COMPUTED_VALUE"""),-0.833173503702135)</f>
        <v>-0.83317350370213505</v>
      </c>
      <c r="M160" s="3">
        <f ca="1">IFERROR(__xludf.DUMMYFUNCTION("""COMPUTED_VALUE"""),-0.682026279562893)</f>
        <v>-0.68202627956289297</v>
      </c>
      <c r="N160" s="3">
        <f ca="1">IFERROR(__xludf.DUMMYFUNCTION("""COMPUTED_VALUE"""),-0.322688626584922)</f>
        <v>-0.32268862658492198</v>
      </c>
      <c r="O160" s="3">
        <f ca="1">IFERROR(__xludf.DUMMYFUNCTION("""COMPUTED_VALUE"""),-0.357624288687825)</f>
        <v>-0.35762428868782498</v>
      </c>
      <c r="P160" s="3">
        <f ca="1">IFERROR(__xludf.DUMMYFUNCTION("""COMPUTED_VALUE"""),-0.351595453709383)</f>
        <v>-0.351595453709383</v>
      </c>
      <c r="Q160" s="3">
        <f ca="1">IFERROR(__xludf.DUMMYFUNCTION("""COMPUTED_VALUE"""),-0.372730822163767)</f>
        <v>-0.37273082216376702</v>
      </c>
      <c r="R160" s="3">
        <f ca="1">IFERROR(__xludf.DUMMYFUNCTION("""COMPUTED_VALUE"""),-0.710683244703128)</f>
        <v>-0.71068324470312805</v>
      </c>
      <c r="S160" s="3">
        <f ca="1">IFERROR(__xludf.DUMMYFUNCTION("""COMPUTED_VALUE"""),-0.653326034523343)</f>
        <v>-0.65332603452334304</v>
      </c>
      <c r="T160" s="3">
        <f ca="1">IFERROR(__xludf.DUMMYFUNCTION("""COMPUTED_VALUE"""),-0.615635746266914)</f>
        <v>-0.61563574626691397</v>
      </c>
      <c r="U160" s="3">
        <f ca="1">IFERROR(__xludf.DUMMYFUNCTION("""COMPUTED_VALUE"""),-0.559839773306083)</f>
        <v>-0.55983977330608303</v>
      </c>
      <c r="V160" s="3">
        <f ca="1">IFERROR(__xludf.DUMMYFUNCTION("""COMPUTED_VALUE"""),-0.64345525491346)</f>
        <v>-0.64345525491346001</v>
      </c>
      <c r="W160" s="3">
        <f ca="1">IFERROR(__xludf.DUMMYFUNCTION("""COMPUTED_VALUE"""),-0.62865748240063)</f>
        <v>-0.62865748240063002</v>
      </c>
      <c r="X160" s="3">
        <f ca="1">IFERROR(__xludf.DUMMYFUNCTION("""COMPUTED_VALUE"""),-0.627059230392671)</f>
        <v>-0.62705923039267097</v>
      </c>
      <c r="Y160" s="3">
        <f ca="1">IFERROR(__xludf.DUMMYFUNCTION("""COMPUTED_VALUE"""),-0.791243013890046)</f>
        <v>-0.79124301389004603</v>
      </c>
      <c r="Z160" s="3">
        <f ca="1">IFERROR(__xludf.DUMMYFUNCTION("""COMPUTED_VALUE"""),-0.696762410728728)</f>
        <v>-0.69676241072872802</v>
      </c>
      <c r="AA160" s="3">
        <f ca="1">IFERROR(__xludf.DUMMYFUNCTION("""COMPUTED_VALUE"""),-0.597826149163929)</f>
        <v>-0.59782614916392895</v>
      </c>
      <c r="AB160" s="3">
        <f ca="1">IFERROR(__xludf.DUMMYFUNCTION("""COMPUTED_VALUE"""),-0.617021864568683)</f>
        <v>-0.61702186456868302</v>
      </c>
      <c r="AC160" s="3">
        <f ca="1">IFERROR(__xludf.DUMMYFUNCTION("""COMPUTED_VALUE"""),-0.611873026754731)</f>
        <v>-0.61187302675473099</v>
      </c>
      <c r="AD160" s="3">
        <f ca="1">IFERROR(__xludf.DUMMYFUNCTION("""COMPUTED_VALUE"""),-0.612126599906206)</f>
        <v>-0.61212659990620599</v>
      </c>
      <c r="AE160" s="3">
        <f ca="1">IFERROR(__xludf.DUMMYFUNCTION("""COMPUTED_VALUE"""),-0.57161759908732)</f>
        <v>-0.57161759908732002</v>
      </c>
      <c r="AF160" s="3">
        <f ca="1">IFERROR(__xludf.DUMMYFUNCTION("""COMPUTED_VALUE"""),-0.739377495962043)</f>
        <v>-0.73937749596204305</v>
      </c>
      <c r="AG160" s="3">
        <f ca="1">IFERROR(__xludf.DUMMYFUNCTION("""COMPUTED_VALUE"""),-0.654523299005315)</f>
        <v>-0.65452329900531503</v>
      </c>
      <c r="AH160" s="3">
        <f ca="1">IFERROR(__xludf.DUMMYFUNCTION("""COMPUTED_VALUE"""),-0.631747741636793)</f>
        <v>-0.63174774163679304</v>
      </c>
      <c r="AI160" s="3">
        <f ca="1">IFERROR(__xludf.DUMMYFUNCTION("""COMPUTED_VALUE"""),-0.623641934579981)</f>
        <v>-0.62364193457998096</v>
      </c>
      <c r="AJ160" s="3">
        <f ca="1">IFERROR(__xludf.DUMMYFUNCTION("""COMPUTED_VALUE"""),-0.631093787490403)</f>
        <v>-0.63109378749040301</v>
      </c>
      <c r="AK160" s="3">
        <f ca="1">IFERROR(__xludf.DUMMYFUNCTION("""COMPUTED_VALUE"""),-0.675785326749338)</f>
        <v>-0.675785326749338</v>
      </c>
      <c r="AL160" s="3">
        <f ca="1">IFERROR(__xludf.DUMMYFUNCTION("""COMPUTED_VALUE"""),-0.620295876431418)</f>
        <v>-0.62029587643141804</v>
      </c>
      <c r="AM160" s="3">
        <f ca="1">IFERROR(__xludf.DUMMYFUNCTION("""COMPUTED_VALUE"""),-0.718803166150644)</f>
        <v>-0.71880316615064399</v>
      </c>
      <c r="AN160" s="3">
        <f ca="1">IFERROR(__xludf.DUMMYFUNCTION("""COMPUTED_VALUE"""),-0.720331851849805)</f>
        <v>-0.72033185184980497</v>
      </c>
      <c r="AO160" s="3">
        <f ca="1">IFERROR(__xludf.DUMMYFUNCTION("""COMPUTED_VALUE"""),-0.672724326191668)</f>
        <v>-0.672724326191668</v>
      </c>
      <c r="AP160" s="3">
        <f ca="1">IFERROR(__xludf.DUMMYFUNCTION("""COMPUTED_VALUE"""),-0.658260543712211)</f>
        <v>-0.65826054371221099</v>
      </c>
      <c r="AQ160" s="3">
        <f ca="1">IFERROR(__xludf.DUMMYFUNCTION("""COMPUTED_VALUE"""),-0.627033291938787)</f>
        <v>-0.62703329193878699</v>
      </c>
      <c r="AR160" s="3">
        <f ca="1">IFERROR(__xludf.DUMMYFUNCTION("""COMPUTED_VALUE"""),-0.641491156261611)</f>
        <v>-0.64149115626161102</v>
      </c>
      <c r="AS160" s="3">
        <f ca="1">IFERROR(__xludf.DUMMYFUNCTION("""COMPUTED_VALUE"""),-0.570921498683568)</f>
        <v>-0.57092149868356801</v>
      </c>
      <c r="AT160" s="3">
        <f ca="1">IFERROR(__xludf.DUMMYFUNCTION("""COMPUTED_VALUE"""),-0.708952379819044)</f>
        <v>-0.70895237981904402</v>
      </c>
      <c r="AU160" s="3">
        <f ca="1">IFERROR(__xludf.DUMMYFUNCTION("""COMPUTED_VALUE"""),-0.694309782167764)</f>
        <v>-0.69430978216776396</v>
      </c>
      <c r="AV160" s="3">
        <f ca="1">IFERROR(__xludf.DUMMYFUNCTION("""COMPUTED_VALUE"""),-0.635783481872396)</f>
        <v>-0.63578348187239597</v>
      </c>
      <c r="AW160" s="3">
        <f ca="1">IFERROR(__xludf.DUMMYFUNCTION("""COMPUTED_VALUE"""),-0.633355445686833)</f>
        <v>-0.633355445686833</v>
      </c>
      <c r="AX160" s="3">
        <f ca="1">IFERROR(__xludf.DUMMYFUNCTION("""COMPUTED_VALUE"""),-0.642514092902427)</f>
        <v>-0.642514092902427</v>
      </c>
      <c r="AY160" s="3">
        <f ca="1">IFERROR(__xludf.DUMMYFUNCTION("""COMPUTED_VALUE"""),-0.61181875250853)</f>
        <v>-0.61181875250853002</v>
      </c>
      <c r="AZ160" s="3">
        <f ca="1">IFERROR(__xludf.DUMMYFUNCTION("""COMPUTED_VALUE"""),-0.544777577228264)</f>
        <v>-0.54477757722826403</v>
      </c>
      <c r="BA160" s="3">
        <f ca="1">IFERROR(__xludf.DUMMYFUNCTION("""COMPUTED_VALUE"""),-0.800882996542834)</f>
        <v>-0.80088299654283401</v>
      </c>
      <c r="BB160" s="3">
        <f ca="1">IFERROR(__xludf.DUMMYFUNCTION("""COMPUTED_VALUE"""),-0.742107540372346)</f>
        <v>-0.74210754037234605</v>
      </c>
      <c r="BC160" s="3">
        <f ca="1">IFERROR(__xludf.DUMMYFUNCTION("""COMPUTED_VALUE"""),-0.642349561735778)</f>
        <v>-0.64234956173577795</v>
      </c>
      <c r="BD160" s="3">
        <f ca="1">IFERROR(__xludf.DUMMYFUNCTION("""COMPUTED_VALUE"""),-0.668582883342664)</f>
        <v>-0.66858288334266402</v>
      </c>
      <c r="BE160" s="3">
        <f ca="1">IFERROR(__xludf.DUMMYFUNCTION("""COMPUTED_VALUE"""),-0.641607823192297)</f>
        <v>-0.64160782319229703</v>
      </c>
      <c r="BF160" s="3">
        <f ca="1">IFERROR(__xludf.DUMMYFUNCTION("""COMPUTED_VALUE"""),-0.749944838281194)</f>
        <v>-0.74994483828119396</v>
      </c>
      <c r="BG160" s="3">
        <f ca="1">IFERROR(__xludf.DUMMYFUNCTION("""COMPUTED_VALUE"""),-0.901405771179989)</f>
        <v>-0.90140577117998899</v>
      </c>
      <c r="BH160" s="3">
        <f ca="1">IFERROR(__xludf.DUMMYFUNCTION("""COMPUTED_VALUE"""),-0.848187475059243)</f>
        <v>-0.84818747505924297</v>
      </c>
      <c r="BI160" s="3">
        <f ca="1">IFERROR(__xludf.DUMMYFUNCTION("""COMPUTED_VALUE"""),-0.684516651858723)</f>
        <v>-0.68451665185872301</v>
      </c>
      <c r="BJ160" s="3">
        <f ca="1">IFERROR(__xludf.DUMMYFUNCTION("""COMPUTED_VALUE"""),-0.703931686193134)</f>
        <v>-0.70393168619313395</v>
      </c>
      <c r="BK160" s="3">
        <f ca="1">IFERROR(__xludf.DUMMYFUNCTION("""COMPUTED_VALUE"""),-0.688169796979096)</f>
        <v>-0.68816979697909597</v>
      </c>
      <c r="BL160" s="3">
        <f ca="1">IFERROR(__xludf.DUMMYFUNCTION("""COMPUTED_VALUE"""),-0.666060491396941)</f>
        <v>-0.66606049139694101</v>
      </c>
      <c r="BM160" s="3">
        <f ca="1">IFERROR(__xludf.DUMMYFUNCTION("""COMPUTED_VALUE"""),-0.61846969344156)</f>
        <v>-0.61846969344156</v>
      </c>
      <c r="BN160" s="3">
        <f ca="1">IFERROR(__xludf.DUMMYFUNCTION("""COMPUTED_VALUE"""),-0.589499825375519)</f>
        <v>-0.58949982537551904</v>
      </c>
      <c r="BO160" s="3">
        <f ca="1">IFERROR(__xludf.DUMMYFUNCTION("""COMPUTED_VALUE"""),-0.683991032031262)</f>
        <v>-0.68399103203126199</v>
      </c>
      <c r="BP160" s="3">
        <f ca="1">IFERROR(__xludf.DUMMYFUNCTION("""COMPUTED_VALUE"""),-0.668362086357802)</f>
        <v>-0.66836208635780203</v>
      </c>
      <c r="BQ160" s="3">
        <f ca="1">IFERROR(__xludf.DUMMYFUNCTION("""COMPUTED_VALUE"""),-0.663200944892114)</f>
        <v>-0.66320094489211401</v>
      </c>
      <c r="BR160" s="3">
        <f ca="1">IFERROR(__xludf.DUMMYFUNCTION("""COMPUTED_VALUE"""),-0.648638829610419)</f>
        <v>-0.64863882961041897</v>
      </c>
      <c r="BS160" s="3">
        <f ca="1">IFERROR(__xludf.DUMMYFUNCTION("""COMPUTED_VALUE"""),-0.63110744664343)</f>
        <v>-0.63110744664342999</v>
      </c>
      <c r="BT160" s="3">
        <f ca="1">IFERROR(__xludf.DUMMYFUNCTION("""COMPUTED_VALUE"""),-0.68315228682508)</f>
        <v>-0.68315228682508</v>
      </c>
      <c r="BU160" s="3">
        <f ca="1">IFERROR(__xludf.DUMMYFUNCTION("""COMPUTED_VALUE"""),-0.678075858915835)</f>
        <v>-0.67807585891583499</v>
      </c>
      <c r="BV160" s="3">
        <f ca="1">IFERROR(__xludf.DUMMYFUNCTION("""COMPUTED_VALUE"""),-0.530938441113179)</f>
        <v>-0.530938441113179</v>
      </c>
      <c r="BW160" s="3">
        <f ca="1">IFERROR(__xludf.DUMMYFUNCTION("""COMPUTED_VALUE"""),-0.651736017833828)</f>
        <v>-0.65173601783382795</v>
      </c>
      <c r="BX160" s="3">
        <f ca="1">IFERROR(__xludf.DUMMYFUNCTION("""COMPUTED_VALUE"""),-0.633710963617262)</f>
        <v>-0.63371096361726198</v>
      </c>
      <c r="BY160" s="3">
        <f ca="1">IFERROR(__xludf.DUMMYFUNCTION("""COMPUTED_VALUE"""),-0.704685511435187)</f>
        <v>-0.70468551143518698</v>
      </c>
      <c r="BZ160" s="3">
        <f ca="1">IFERROR(__xludf.DUMMYFUNCTION("""COMPUTED_VALUE"""),-0.695310823764628)</f>
        <v>-0.69531082376462805</v>
      </c>
      <c r="CA160" s="3">
        <f ca="1">IFERROR(__xludf.DUMMYFUNCTION("""COMPUTED_VALUE"""),-0.736322388085063)</f>
        <v>-0.73632238808506301</v>
      </c>
      <c r="CB160" s="3">
        <f ca="1">IFERROR(__xludf.DUMMYFUNCTION("""COMPUTED_VALUE"""),-0.645749543298286)</f>
        <v>-0.64574954329828604</v>
      </c>
      <c r="CC160" s="3">
        <f ca="1">IFERROR(__xludf.DUMMYFUNCTION("""COMPUTED_VALUE"""),0.00840838089669637)</f>
        <v>8.40838089669637E-3</v>
      </c>
      <c r="CD160" s="3">
        <f ca="1">IFERROR(__xludf.DUMMYFUNCTION("""COMPUTED_VALUE"""),-0.439074030550909)</f>
        <v>-0.43907403055090899</v>
      </c>
      <c r="CE160" s="3">
        <f ca="1">IFERROR(__xludf.DUMMYFUNCTION("""COMPUTED_VALUE"""),-0.622402466798355)</f>
        <v>-0.62240246679835498</v>
      </c>
      <c r="CF160" s="3">
        <f ca="1">IFERROR(__xludf.DUMMYFUNCTION("""COMPUTED_VALUE"""),-0.679179393595402)</f>
        <v>-0.67917939359540203</v>
      </c>
      <c r="CG160" s="3">
        <f ca="1">IFERROR(__xludf.DUMMYFUNCTION("""COMPUTED_VALUE"""),-0.696290832301355)</f>
        <v>-0.69629083230135502</v>
      </c>
      <c r="CH160" s="3">
        <f ca="1">IFERROR(__xludf.DUMMYFUNCTION("""COMPUTED_VALUE"""),-0.730773032059585)</f>
        <v>-0.73077303205958499</v>
      </c>
      <c r="CI160" s="3">
        <f ca="1">IFERROR(__xludf.DUMMYFUNCTION("""COMPUTED_VALUE"""),-0.679266715285774)</f>
        <v>-0.67926671528577398</v>
      </c>
      <c r="CJ160" s="3">
        <f ca="1">IFERROR(__xludf.DUMMYFUNCTION("""COMPUTED_VALUE"""),-0.116802080857466)</f>
        <v>-0.116802080857466</v>
      </c>
      <c r="CK160" s="3">
        <f ca="1">IFERROR(__xludf.DUMMYFUNCTION("""COMPUTED_VALUE"""),-0.544909255704292)</f>
        <v>-0.54490925570429205</v>
      </c>
      <c r="CL160" s="3">
        <f ca="1">IFERROR(__xludf.DUMMYFUNCTION("""COMPUTED_VALUE"""),-0.695687699880663)</f>
        <v>-0.69568769988066304</v>
      </c>
      <c r="CM160" s="3">
        <f ca="1">IFERROR(__xludf.DUMMYFUNCTION("""COMPUTED_VALUE"""),-0.734148056232431)</f>
        <v>-0.73414805623243096</v>
      </c>
      <c r="CN160" s="3">
        <f ca="1">IFERROR(__xludf.DUMMYFUNCTION("""COMPUTED_VALUE"""),-0.697483261791086)</f>
        <v>-0.697483261791086</v>
      </c>
      <c r="CO160" s="3">
        <f ca="1">IFERROR(__xludf.DUMMYFUNCTION("""COMPUTED_VALUE"""),-0.735123090376564)</f>
        <v>-0.73512309037656398</v>
      </c>
      <c r="CP160" s="3">
        <f ca="1">IFERROR(__xludf.DUMMYFUNCTION("""COMPUTED_VALUE"""),-0.700226927995114)</f>
        <v>-0.70022692799511399</v>
      </c>
      <c r="CQ160" s="3">
        <f ca="1">IFERROR(__xludf.DUMMYFUNCTION("""COMPUTED_VALUE"""),-0.125236680030321)</f>
        <v>-0.12523668003032101</v>
      </c>
      <c r="CR160" s="3">
        <f ca="1">IFERROR(__xludf.DUMMYFUNCTION("""COMPUTED_VALUE"""),-0.526864102206932)</f>
        <v>-0.52686410220693203</v>
      </c>
      <c r="CS160" s="3">
        <f ca="1">IFERROR(__xludf.DUMMYFUNCTION("""COMPUTED_VALUE"""),-0.692751109406798)</f>
        <v>-0.69275110940679796</v>
      </c>
      <c r="CT160" s="3">
        <f ca="1">IFERROR(__xludf.DUMMYFUNCTION("""COMPUTED_VALUE"""),-0.674697112522912)</f>
        <v>-0.67469711252291198</v>
      </c>
      <c r="CU160" s="3">
        <f ca="1">IFERROR(__xludf.DUMMYFUNCTION("""COMPUTED_VALUE"""),-0.691402711312424)</f>
        <v>-0.69140271131242403</v>
      </c>
      <c r="CV160" s="3">
        <f ca="1">IFERROR(__xludf.DUMMYFUNCTION("""COMPUTED_VALUE"""),-0.730320136962261)</f>
        <v>-0.73032013696226095</v>
      </c>
      <c r="CW160" s="3">
        <f ca="1">IFERROR(__xludf.DUMMYFUNCTION("""COMPUTED_VALUE"""),-0.74287392778549)</f>
        <v>-0.74287392778549</v>
      </c>
      <c r="CX160" s="3">
        <f ca="1">IFERROR(__xludf.DUMMYFUNCTION("""COMPUTED_VALUE"""),-0.821565367723776)</f>
        <v>-0.82156536772377597</v>
      </c>
      <c r="CY160" s="3">
        <f ca="1">IFERROR(__xludf.DUMMYFUNCTION("""COMPUTED_VALUE"""),-0.906731505237747)</f>
        <v>-0.90673150523774704</v>
      </c>
      <c r="CZ160" s="3">
        <f ca="1">IFERROR(__xludf.DUMMYFUNCTION("""COMPUTED_VALUE"""),-0.8011283512684)</f>
        <v>-0.80112835126839999</v>
      </c>
      <c r="DA160" s="3">
        <f ca="1">IFERROR(__xludf.DUMMYFUNCTION("""COMPUTED_VALUE"""),-0.506702030521794)</f>
        <v>-0.50670203052179397</v>
      </c>
      <c r="DB160" s="3">
        <f ca="1">IFERROR(__xludf.DUMMYFUNCTION("""COMPUTED_VALUE"""),-0.627083695104854)</f>
        <v>-0.62708369510485396</v>
      </c>
      <c r="DC160" s="3">
        <f ca="1">IFERROR(__xludf.DUMMYFUNCTION("""COMPUTED_VALUE"""),-0.85423373724241)</f>
        <v>-0.85423373724241003</v>
      </c>
      <c r="DD160" s="3">
        <f ca="1">IFERROR(__xludf.DUMMYFUNCTION("""COMPUTED_VALUE"""),-0.915382570163218)</f>
        <v>-0.915382570163218</v>
      </c>
      <c r="DE160" s="3">
        <f ca="1">IFERROR(__xludf.DUMMYFUNCTION("""COMPUTED_VALUE"""),-0.814272073882166)</f>
        <v>-0.81427207388216605</v>
      </c>
      <c r="DF160" s="3">
        <f ca="1">IFERROR(__xludf.DUMMYFUNCTION("""COMPUTED_VALUE"""),-0.901456532967601)</f>
        <v>-0.90145653296760098</v>
      </c>
      <c r="DG160" s="3">
        <f ca="1">IFERROR(__xludf.DUMMYFUNCTION("""COMPUTED_VALUE"""),-0.87749613521668)</f>
        <v>-0.87749613521668002</v>
      </c>
      <c r="DH160" s="3">
        <f ca="1">IFERROR(__xludf.DUMMYFUNCTION("""COMPUTED_VALUE"""),-0.424807726984196)</f>
        <v>-0.424807726984196</v>
      </c>
      <c r="DI160" s="3">
        <f ca="1">IFERROR(__xludf.DUMMYFUNCTION("""COMPUTED_VALUE"""),-0.495490150624373)</f>
        <v>-0.49549015062437302</v>
      </c>
      <c r="DJ160" s="3">
        <f ca="1">IFERROR(__xludf.DUMMYFUNCTION("""COMPUTED_VALUE"""),-0.64544190672445)</f>
        <v>-0.64544190672445001</v>
      </c>
      <c r="DK160" s="3">
        <f ca="1">IFERROR(__xludf.DUMMYFUNCTION("""COMPUTED_VALUE"""),-0.670546869445943)</f>
        <v>-0.67054686944594299</v>
      </c>
      <c r="DL160" s="3">
        <f ca="1">IFERROR(__xludf.DUMMYFUNCTION("""COMPUTED_VALUE"""),-0.784440795565368)</f>
        <v>-0.78444079556536805</v>
      </c>
      <c r="DM160" s="3">
        <f ca="1">IFERROR(__xludf.DUMMYFUNCTION("""COMPUTED_VALUE"""),-0.732011030833174)</f>
        <v>-0.73201103083317398</v>
      </c>
      <c r="DN160" s="3">
        <f ca="1">IFERROR(__xludf.DUMMYFUNCTION("""COMPUTED_VALUE"""),-0.594927742275126)</f>
        <v>-0.59492774227512601</v>
      </c>
      <c r="DO160" s="3">
        <f ca="1">IFERROR(__xludf.DUMMYFUNCTION("""COMPUTED_VALUE"""),-0.50934656084056)</f>
        <v>-0.50934656084055996</v>
      </c>
      <c r="DP160" s="3">
        <f ca="1">IFERROR(__xludf.DUMMYFUNCTION("""COMPUTED_VALUE"""),-0.63476019059458)</f>
        <v>-0.63476019059458</v>
      </c>
      <c r="DQ160" s="3">
        <f ca="1">IFERROR(__xludf.DUMMYFUNCTION("""COMPUTED_VALUE"""),-0.717303961238169)</f>
        <v>-0.71730396123816897</v>
      </c>
      <c r="DR160" s="3">
        <f ca="1">IFERROR(__xludf.DUMMYFUNCTION("""COMPUTED_VALUE"""),-0.688654958513201)</f>
        <v>-0.68865495851320102</v>
      </c>
      <c r="DS160" s="3">
        <f ca="1">IFERROR(__xludf.DUMMYFUNCTION("""COMPUTED_VALUE"""),-0.89533556814169)</f>
        <v>-0.89533556814169002</v>
      </c>
      <c r="DT160" s="3">
        <f ca="1">IFERROR(__xludf.DUMMYFUNCTION("""COMPUTED_VALUE"""),-0.790213680437163)</f>
        <v>-0.790213680437163</v>
      </c>
      <c r="DU160" s="3">
        <f ca="1">IFERROR(__xludf.DUMMYFUNCTION("""COMPUTED_VALUE"""),-0.685230239759187)</f>
        <v>-0.68523023975918695</v>
      </c>
      <c r="DV160" s="3">
        <f ca="1">IFERROR(__xludf.DUMMYFUNCTION("""COMPUTED_VALUE"""),-0.639495087843829)</f>
        <v>-0.63949508784382902</v>
      </c>
      <c r="DW160" s="3">
        <f ca="1">IFERROR(__xludf.DUMMYFUNCTION("""COMPUTED_VALUE"""),-0.671686218344515)</f>
        <v>-0.67168621834451503</v>
      </c>
      <c r="DX160" s="3">
        <f ca="1">IFERROR(__xludf.DUMMYFUNCTION("""COMPUTED_VALUE"""),-0.727179436887281)</f>
        <v>-0.72717943688728104</v>
      </c>
      <c r="DY160" s="3">
        <f ca="1">IFERROR(__xludf.DUMMYFUNCTION("""COMPUTED_VALUE"""),-0.71737660762767)</f>
        <v>-0.71737660762766997</v>
      </c>
      <c r="DZ160" s="3">
        <f ca="1">IFERROR(__xludf.DUMMYFUNCTION("""COMPUTED_VALUE"""),-0.85359170056556)</f>
        <v>-0.85359170056556</v>
      </c>
      <c r="EA160" s="3">
        <f ca="1">IFERROR(__xludf.DUMMYFUNCTION("""COMPUTED_VALUE"""),-0.77468807338821)</f>
        <v>-0.77468807338821</v>
      </c>
      <c r="EB160" s="3">
        <f ca="1">IFERROR(__xludf.DUMMYFUNCTION("""COMPUTED_VALUE"""),-0.662601094788348)</f>
        <v>-0.66260109478834806</v>
      </c>
      <c r="EC160" s="3">
        <f ca="1">IFERROR(__xludf.DUMMYFUNCTION("""COMPUTED_VALUE"""),-0.665147213304455)</f>
        <v>-0.66514721330445503</v>
      </c>
      <c r="ED160" s="3">
        <f ca="1">IFERROR(__xludf.DUMMYFUNCTION("""COMPUTED_VALUE"""),-0.657910831167108)</f>
        <v>-0.65791083116710802</v>
      </c>
      <c r="EE160" s="3">
        <f ca="1">IFERROR(__xludf.DUMMYFUNCTION("""COMPUTED_VALUE"""),-0.71023349471523)</f>
        <v>-0.71023349471523001</v>
      </c>
      <c r="EF160" s="3">
        <f ca="1">IFERROR(__xludf.DUMMYFUNCTION("""COMPUTED_VALUE"""),-0.704091564349817)</f>
        <v>-0.70409156434981701</v>
      </c>
      <c r="EG160" s="3">
        <f ca="1">IFERROR(__xludf.DUMMYFUNCTION("""COMPUTED_VALUE"""),-0.839342795165387)</f>
        <v>-0.83934279516538701</v>
      </c>
      <c r="EH160" s="3">
        <f ca="1">IFERROR(__xludf.DUMMYFUNCTION("""COMPUTED_VALUE"""),-0.739368505494127)</f>
        <v>-0.73936850549412703</v>
      </c>
      <c r="EI160" s="3">
        <f ca="1">IFERROR(__xludf.DUMMYFUNCTION("""COMPUTED_VALUE"""),-0.661170440970983)</f>
        <v>-0.66117044097098299</v>
      </c>
      <c r="EJ160" s="3">
        <f ca="1">IFERROR(__xludf.DUMMYFUNCTION("""COMPUTED_VALUE"""),-0.672588043236063)</f>
        <v>-0.67258804323606303</v>
      </c>
      <c r="EK160" s="3">
        <f ca="1">IFERROR(__xludf.DUMMYFUNCTION("""COMPUTED_VALUE"""),-0.709738995271227)</f>
        <v>-0.70973899527122697</v>
      </c>
      <c r="EL160" s="3">
        <f ca="1">IFERROR(__xludf.DUMMYFUNCTION("""COMPUTED_VALUE"""),-0.693568062475419)</f>
        <v>-0.69356806247541902</v>
      </c>
      <c r="EM160" s="3">
        <f ca="1">IFERROR(__xludf.DUMMYFUNCTION("""COMPUTED_VALUE"""),-0.68254647271712)</f>
        <v>-0.68254647271711999</v>
      </c>
      <c r="EN160" s="3">
        <f ca="1">IFERROR(__xludf.DUMMYFUNCTION("""COMPUTED_VALUE"""),-0.803663225095022)</f>
        <v>-0.80366322509502197</v>
      </c>
      <c r="EO160" s="3">
        <f ca="1">IFERROR(__xludf.DUMMYFUNCTION("""COMPUTED_VALUE"""),-0.779829223171312)</f>
        <v>-0.77982922317131198</v>
      </c>
      <c r="EP160" s="3">
        <f ca="1">IFERROR(__xludf.DUMMYFUNCTION("""COMPUTED_VALUE"""),-0.702160131957525)</f>
        <v>-0.70216013195752502</v>
      </c>
      <c r="EQ160" s="3">
        <f ca="1">IFERROR(__xludf.DUMMYFUNCTION("""COMPUTED_VALUE"""),-0.696796857431451)</f>
        <v>-0.69679685743145103</v>
      </c>
      <c r="ER160" s="3">
        <f ca="1">IFERROR(__xludf.DUMMYFUNCTION("""COMPUTED_VALUE"""),-0.683576912320887)</f>
        <v>-0.68357691232088702</v>
      </c>
      <c r="ES160" s="3">
        <f ca="1">IFERROR(__xludf.DUMMYFUNCTION("""COMPUTED_VALUE"""),-0.637698481807928)</f>
        <v>-0.63769848180792799</v>
      </c>
      <c r="ET160" s="3">
        <f ca="1">IFERROR(__xludf.DUMMYFUNCTION("""COMPUTED_VALUE"""),-0.656206622476272)</f>
        <v>-0.65620662247627204</v>
      </c>
      <c r="EU160" s="3">
        <f ca="1">IFERROR(__xludf.DUMMYFUNCTION("""COMPUTED_VALUE"""),-0.848909853328397)</f>
        <v>-0.84890985332839697</v>
      </c>
      <c r="EV160" s="3">
        <f ca="1">IFERROR(__xludf.DUMMYFUNCTION("""COMPUTED_VALUE"""),-0.756460880675231)</f>
        <v>-0.75646088067523098</v>
      </c>
      <c r="EW160" s="3">
        <f ca="1">IFERROR(__xludf.DUMMYFUNCTION("""COMPUTED_VALUE"""),-0.698869863060831)</f>
        <v>-0.69886986306083099</v>
      </c>
      <c r="EX160" s="3">
        <f ca="1">IFERROR(__xludf.DUMMYFUNCTION("""COMPUTED_VALUE"""),-0.822224159032962)</f>
        <v>-0.82222415903296198</v>
      </c>
      <c r="EY160" s="3">
        <f ca="1">IFERROR(__xludf.DUMMYFUNCTION("""COMPUTED_VALUE"""),-0.848214794494339)</f>
        <v>-0.84821479449433901</v>
      </c>
      <c r="EZ160" s="3">
        <f ca="1">IFERROR(__xludf.DUMMYFUNCTION("""COMPUTED_VALUE"""),-0.653348272792515)</f>
        <v>-0.65334827279251495</v>
      </c>
      <c r="FA160" s="3">
        <f ca="1">IFERROR(__xludf.DUMMYFUNCTION("""COMPUTED_VALUE"""),-0.587603586507991)</f>
        <v>-0.58760358650799105</v>
      </c>
      <c r="FB160" s="3">
        <f ca="1">IFERROR(__xludf.DUMMYFUNCTION("""COMPUTED_VALUE"""),-0.807366755090487)</f>
        <v>-0.80736675509048705</v>
      </c>
      <c r="FC160" s="3">
        <f ca="1">IFERROR(__xludf.DUMMYFUNCTION("""COMPUTED_VALUE"""),-0.704039596498632)</f>
        <v>-0.70403959649863201</v>
      </c>
      <c r="FD160" s="3">
        <f ca="1">IFERROR(__xludf.DUMMYFUNCTION("""COMPUTED_VALUE"""),-0.672336711182214)</f>
        <v>-0.67233671118221405</v>
      </c>
      <c r="FE160" s="3">
        <f ca="1">IFERROR(__xludf.DUMMYFUNCTION("""COMPUTED_VALUE"""),-0.649032859068442)</f>
        <v>-0.64903285906844199</v>
      </c>
      <c r="FF160" s="3">
        <f ca="1">IFERROR(__xludf.DUMMYFUNCTION("""COMPUTED_VALUE"""),-0.675907255378454)</f>
        <v>-0.67590725537845397</v>
      </c>
      <c r="FG160" s="3">
        <f ca="1">IFERROR(__xludf.DUMMYFUNCTION("""COMPUTED_VALUE"""),-0.5735594987016)</f>
        <v>-0.57355949870159995</v>
      </c>
      <c r="FH160" s="3">
        <f ca="1">IFERROR(__xludf.DUMMYFUNCTION("""COMPUTED_VALUE"""),-0.475948304746451)</f>
        <v>-0.475948304746451</v>
      </c>
      <c r="FI160" s="3">
        <f ca="1">IFERROR(__xludf.DUMMYFUNCTION("""COMPUTED_VALUE"""),-0.707380058978183)</f>
        <v>-0.70738005897818301</v>
      </c>
      <c r="FJ160" s="3">
        <f ca="1">IFERROR(__xludf.DUMMYFUNCTION("""COMPUTED_VALUE"""),-0.668706140162058)</f>
        <v>-0.66870614016205798</v>
      </c>
      <c r="FK160" s="3">
        <f ca="1">IFERROR(__xludf.DUMMYFUNCTION("""COMPUTED_VALUE"""),-0.695378957013095)</f>
        <v>-0.69537895701309504</v>
      </c>
      <c r="FL160" s="3">
        <f ca="1">IFERROR(__xludf.DUMMYFUNCTION("""COMPUTED_VALUE"""),-0.650227984797419)</f>
        <v>-0.65022798479741895</v>
      </c>
      <c r="FM160" s="3">
        <f ca="1">IFERROR(__xludf.DUMMYFUNCTION("""COMPUTED_VALUE"""),-0.619654759865849)</f>
        <v>-0.61965475986584895</v>
      </c>
      <c r="FN160" s="3">
        <f ca="1">IFERROR(__xludf.DUMMYFUNCTION("""COMPUTED_VALUE"""),-0.607006600835726)</f>
        <v>-0.607006600835726</v>
      </c>
      <c r="FO160" s="3">
        <f ca="1">IFERROR(__xludf.DUMMYFUNCTION("""COMPUTED_VALUE"""),-0.60067534340818)</f>
        <v>-0.60067534340817996</v>
      </c>
      <c r="FP160" s="3">
        <f ca="1">IFERROR(__xludf.DUMMYFUNCTION("""COMPUTED_VALUE"""),-0.671561458077317)</f>
        <v>-0.67156145807731704</v>
      </c>
      <c r="FQ160" s="3">
        <f ca="1">IFERROR(__xludf.DUMMYFUNCTION("""COMPUTED_VALUE"""),-0.688401902028686)</f>
        <v>-0.68840190202868601</v>
      </c>
      <c r="FR160" s="3">
        <f ca="1">IFERROR(__xludf.DUMMYFUNCTION("""COMPUTED_VALUE"""),-0.694447166755047)</f>
        <v>-0.69444716675504703</v>
      </c>
      <c r="FS160" s="3">
        <f ca="1">IFERROR(__xludf.DUMMYFUNCTION("""COMPUTED_VALUE"""),-0.589604900533649)</f>
        <v>-0.589604900533649</v>
      </c>
      <c r="FT160" s="3">
        <f ca="1">IFERROR(__xludf.DUMMYFUNCTION("""COMPUTED_VALUE"""),-0.567596556632843)</f>
        <v>-0.56759655663284303</v>
      </c>
      <c r="FU160" s="3">
        <f ca="1">IFERROR(__xludf.DUMMYFUNCTION("""COMPUTED_VALUE"""),-0.462584490137226)</f>
        <v>-0.46258449013722602</v>
      </c>
      <c r="FV160" s="3">
        <f ca="1">IFERROR(__xludf.DUMMYFUNCTION("""COMPUTED_VALUE"""),-0.366185420659898)</f>
        <v>-0.36618542065989801</v>
      </c>
      <c r="FW160" s="3">
        <f ca="1">IFERROR(__xludf.DUMMYFUNCTION("""COMPUTED_VALUE"""),-0.643464158882462)</f>
        <v>-0.643464158882462</v>
      </c>
      <c r="FX160" s="3">
        <f ca="1">IFERROR(__xludf.DUMMYFUNCTION("""COMPUTED_VALUE"""),-0.621489579222119)</f>
        <v>-0.621489579222119</v>
      </c>
      <c r="FY160" s="3">
        <f ca="1">IFERROR(__xludf.DUMMYFUNCTION("""COMPUTED_VALUE"""),-0.642098761173898)</f>
        <v>-0.64209876117389797</v>
      </c>
      <c r="FZ160" s="3">
        <f ca="1">IFERROR(__xludf.DUMMYFUNCTION("""COMPUTED_VALUE"""),-0.613498534976412)</f>
        <v>-0.61349853497641205</v>
      </c>
      <c r="GA160" s="3">
        <f ca="1">IFERROR(__xludf.DUMMYFUNCTION("""COMPUTED_VALUE"""),-0.633668477318848)</f>
        <v>-0.63366847731884801</v>
      </c>
      <c r="GB160" s="3">
        <f ca="1">IFERROR(__xludf.DUMMYFUNCTION("""COMPUTED_VALUE"""),-0.750296755422491)</f>
        <v>-0.75029675542249097</v>
      </c>
      <c r="GC160" s="3">
        <f ca="1">IFERROR(__xludf.DUMMYFUNCTION("""COMPUTED_VALUE"""),-0.861059991109432)</f>
        <v>-0.86105999110943199</v>
      </c>
      <c r="GD160" s="3">
        <f ca="1">IFERROR(__xludf.DUMMYFUNCTION("""COMPUTED_VALUE"""),-0.801615378551598)</f>
        <v>-0.80161537855159803</v>
      </c>
      <c r="GE160" s="3">
        <f ca="1">IFERROR(__xludf.DUMMYFUNCTION("""COMPUTED_VALUE"""),-0.677391395441679)</f>
        <v>-0.67739139544167903</v>
      </c>
      <c r="GF160" s="3">
        <f ca="1">IFERROR(__xludf.DUMMYFUNCTION("""COMPUTED_VALUE"""),-0.596824342244168)</f>
        <v>-0.59682434224416803</v>
      </c>
      <c r="GG160" s="3">
        <f ca="1">IFERROR(__xludf.DUMMYFUNCTION("""COMPUTED_VALUE"""),-0.615363445825794)</f>
        <v>-0.61536344582579405</v>
      </c>
      <c r="GH160" s="3">
        <f ca="1">IFERROR(__xludf.DUMMYFUNCTION("""COMPUTED_VALUE"""),-0.560495528372749)</f>
        <v>-0.56049552837274896</v>
      </c>
      <c r="GI160" s="3">
        <f ca="1">IFERROR(__xludf.DUMMYFUNCTION("""COMPUTED_VALUE"""),-0.495139746037419)</f>
        <v>-0.495139746037419</v>
      </c>
      <c r="GJ160" s="3">
        <f ca="1">IFERROR(__xludf.DUMMYFUNCTION("""COMPUTED_VALUE"""),-0.40716651797665)</f>
        <v>-0.40716651797664999</v>
      </c>
      <c r="GK160" s="3">
        <f ca="1">IFERROR(__xludf.DUMMYFUNCTION("""COMPUTED_VALUE"""),-0.705410013231354)</f>
        <v>-0.70541001323135399</v>
      </c>
      <c r="GL160" s="3">
        <f ca="1">IFERROR(__xludf.DUMMYFUNCTION("""COMPUTED_VALUE"""),-0.623879778981706)</f>
        <v>-0.62387977898170599</v>
      </c>
      <c r="GM160" s="3">
        <f ca="1">IFERROR(__xludf.DUMMYFUNCTION("""COMPUTED_VALUE"""),-0.565646436291463)</f>
        <v>-0.56564643629146305</v>
      </c>
      <c r="GN160" s="3">
        <f ca="1">IFERROR(__xludf.DUMMYFUNCTION("""COMPUTED_VALUE"""),-0.613736627345315)</f>
        <v>-0.61373662734531498</v>
      </c>
      <c r="GO160" s="3">
        <f ca="1">IFERROR(__xludf.DUMMYFUNCTION("""COMPUTED_VALUE"""),-0.590490381503051)</f>
        <v>-0.590490381503051</v>
      </c>
      <c r="GP160" s="3">
        <f ca="1">IFERROR(__xludf.DUMMYFUNCTION("""COMPUTED_VALUE"""),-0.551255677843698)</f>
        <v>-0.551255677843698</v>
      </c>
      <c r="GQ160" s="3">
        <f ca="1">IFERROR(__xludf.DUMMYFUNCTION("""COMPUTED_VALUE"""),-0.600968666879594)</f>
        <v>-0.60096866687959405</v>
      </c>
      <c r="GR160" s="3">
        <f ca="1">IFERROR(__xludf.DUMMYFUNCTION("""COMPUTED_VALUE"""),-0.694323327053356)</f>
        <v>-0.69432332705335598</v>
      </c>
      <c r="GS160" s="3">
        <f ca="1">IFERROR(__xludf.DUMMYFUNCTION("""COMPUTED_VALUE"""),-0.678770867912846)</f>
        <v>-0.67877086791284602</v>
      </c>
      <c r="GT160" s="3">
        <f ca="1">IFERROR(__xludf.DUMMYFUNCTION("""COMPUTED_VALUE"""),-0.668459566199037)</f>
        <v>-0.66845956619903701</v>
      </c>
      <c r="GU160" s="3">
        <f ca="1">IFERROR(__xludf.DUMMYFUNCTION("""COMPUTED_VALUE"""),-0.640529615466969)</f>
        <v>-0.64052961546696896</v>
      </c>
      <c r="GV160" s="3">
        <f ca="1">IFERROR(__xludf.DUMMYFUNCTION("""COMPUTED_VALUE"""),-0.617862624121437)</f>
        <v>-0.617862624121437</v>
      </c>
      <c r="GW160" s="3">
        <f ca="1">IFERROR(__xludf.DUMMYFUNCTION("""COMPUTED_VALUE"""),-0.603934717276861)</f>
        <v>-0.60393471727686099</v>
      </c>
      <c r="GX160" s="3">
        <f ca="1">IFERROR(__xludf.DUMMYFUNCTION("""COMPUTED_VALUE"""),-0.589442818834189)</f>
        <v>-0.58944281883418903</v>
      </c>
      <c r="GY160" s="3">
        <f ca="1">IFERROR(__xludf.DUMMYFUNCTION("""COMPUTED_VALUE"""),-0.720837920653771)</f>
        <v>-0.72083792065377095</v>
      </c>
      <c r="GZ160" s="3">
        <f ca="1">IFERROR(__xludf.DUMMYFUNCTION("""COMPUTED_VALUE"""),-0.673183671787085)</f>
        <v>-0.67318367178708505</v>
      </c>
      <c r="HA160" s="3">
        <f ca="1">IFERROR(__xludf.DUMMYFUNCTION("""COMPUTED_VALUE"""),-0.589015286105062)</f>
        <v>-0.58901528610506204</v>
      </c>
      <c r="HB160" s="3">
        <f ca="1">IFERROR(__xludf.DUMMYFUNCTION("""COMPUTED_VALUE"""),-0.542253535755616)</f>
        <v>-0.54225353575561597</v>
      </c>
      <c r="HC160" s="3">
        <f ca="1">IFERROR(__xludf.DUMMYFUNCTION("""COMPUTED_VALUE"""),-0.56113801518069)</f>
        <v>-0.56113801518068995</v>
      </c>
      <c r="HD160" s="3">
        <f ca="1">IFERROR(__xludf.DUMMYFUNCTION("""COMPUTED_VALUE"""),-0.563003255143013)</f>
        <v>-0.56300325514301297</v>
      </c>
      <c r="HE160" s="3">
        <f ca="1">IFERROR(__xludf.DUMMYFUNCTION("""COMPUTED_VALUE"""),-0.555240158264576)</f>
        <v>-0.55524015826457596</v>
      </c>
      <c r="HF160" s="3">
        <f ca="1">IFERROR(__xludf.DUMMYFUNCTION("""COMPUTED_VALUE"""),-0.748344164196603)</f>
        <v>-0.74834416419660299</v>
      </c>
      <c r="HG160" s="3">
        <f ca="1">IFERROR(__xludf.DUMMYFUNCTION("""COMPUTED_VALUE"""),-0.650581766040856)</f>
        <v>-0.65058176604085605</v>
      </c>
      <c r="HH160" s="3">
        <f ca="1">IFERROR(__xludf.DUMMYFUNCTION("""COMPUTED_VALUE"""),-0.575891942615507)</f>
        <v>-0.57589194261550702</v>
      </c>
      <c r="HI160" s="3">
        <f ca="1">IFERROR(__xludf.DUMMYFUNCTION("""COMPUTED_VALUE"""),-0.5619584507637)</f>
        <v>-0.56195845076369999</v>
      </c>
      <c r="HJ160" s="3">
        <f ca="1">IFERROR(__xludf.DUMMYFUNCTION("""COMPUTED_VALUE"""),-0.587103915255961)</f>
        <v>-0.58710391525596095</v>
      </c>
      <c r="HK160" s="3">
        <f ca="1">IFERROR(__xludf.DUMMYFUNCTION("""COMPUTED_VALUE"""),-0.75392611931108)</f>
        <v>-0.75392611931108</v>
      </c>
      <c r="HL160" s="3">
        <f ca="1">IFERROR(__xludf.DUMMYFUNCTION("""COMPUTED_VALUE"""),-0.846331299490528)</f>
        <v>-0.84633129949052799</v>
      </c>
      <c r="HM160" s="3">
        <f ca="1">IFERROR(__xludf.DUMMYFUNCTION("""COMPUTED_VALUE"""),-0.686186319572022)</f>
        <v>-0.68618631957202203</v>
      </c>
      <c r="HN160" s="3">
        <f ca="1">IFERROR(__xludf.DUMMYFUNCTION("""COMPUTED_VALUE"""),-0.611689576144093)</f>
        <v>-0.61168957614409303</v>
      </c>
      <c r="HO160" s="3">
        <f ca="1">IFERROR(__xludf.DUMMYFUNCTION("""COMPUTED_VALUE"""),-0.570119640614854)</f>
        <v>-0.57011964061485398</v>
      </c>
      <c r="HP160" s="3">
        <f ca="1">IFERROR(__xludf.DUMMYFUNCTION("""COMPUTED_VALUE"""),-0.605902075762369)</f>
        <v>-0.60590207576236899</v>
      </c>
      <c r="HQ160" s="3">
        <f ca="1">IFERROR(__xludf.DUMMYFUNCTION("""COMPUTED_VALUE"""),-0.571115241896288)</f>
        <v>-0.57111524189628804</v>
      </c>
      <c r="HR160" s="3">
        <f ca="1">IFERROR(__xludf.DUMMYFUNCTION("""COMPUTED_VALUE"""),-0.572100583643394)</f>
        <v>-0.572100583643394</v>
      </c>
      <c r="HS160" s="3">
        <f ca="1">IFERROR(__xludf.DUMMYFUNCTION("""COMPUTED_VALUE"""),-0.46394280509936)</f>
        <v>-0.46394280509935998</v>
      </c>
      <c r="HT160" s="3">
        <f ca="1">IFERROR(__xludf.DUMMYFUNCTION("""COMPUTED_VALUE"""),-0.669719610306135)</f>
        <v>-0.66971961030613503</v>
      </c>
      <c r="HU160" s="3">
        <f ca="1">IFERROR(__xludf.DUMMYFUNCTION("""COMPUTED_VALUE"""),-0.596507411657465)</f>
        <v>-0.59650741165746501</v>
      </c>
      <c r="HV160" s="3">
        <f ca="1">IFERROR(__xludf.DUMMYFUNCTION("""COMPUTED_VALUE"""),-0.56342406358907)</f>
        <v>-0.56342406358907005</v>
      </c>
      <c r="HW160" s="3">
        <f ca="1">IFERROR(__xludf.DUMMYFUNCTION("""COMPUTED_VALUE"""),-0.53855368048343)</f>
        <v>-0.53855368048343</v>
      </c>
      <c r="HX160" s="3">
        <f ca="1">IFERROR(__xludf.DUMMYFUNCTION("""COMPUTED_VALUE"""),-0.556568760953364)</f>
        <v>-0.55656876095336405</v>
      </c>
      <c r="HY160" s="3">
        <f ca="1">IFERROR(__xludf.DUMMYFUNCTION("""COMPUTED_VALUE"""),-0.48649739469465)</f>
        <v>-0.48649739469464998</v>
      </c>
      <c r="HZ160" s="3">
        <f ca="1">IFERROR(__xludf.DUMMYFUNCTION("""COMPUTED_VALUE"""),-0.29974371846292)</f>
        <v>-0.29974371846291997</v>
      </c>
      <c r="IA160" s="3">
        <f ca="1">IFERROR(__xludf.DUMMYFUNCTION("""COMPUTED_VALUE"""),-0.636967014087715)</f>
        <v>-0.63696701408771506</v>
      </c>
      <c r="IB160" s="3">
        <f ca="1">IFERROR(__xludf.DUMMYFUNCTION("""COMPUTED_VALUE"""),-0.574050500795568)</f>
        <v>-0.57405050079556796</v>
      </c>
      <c r="IC160" s="3">
        <f ca="1">IFERROR(__xludf.DUMMYFUNCTION("""COMPUTED_VALUE"""),-0.578455440558818)</f>
        <v>-0.57845544055881803</v>
      </c>
      <c r="ID160" s="3">
        <f ca="1">IFERROR(__xludf.DUMMYFUNCTION("""COMPUTED_VALUE"""),-0.539738015780058)</f>
        <v>-0.53973801578005798</v>
      </c>
      <c r="IE160" s="3">
        <f ca="1">IFERROR(__xludf.DUMMYFUNCTION("""COMPUTED_VALUE"""),-0.493143828595112)</f>
        <v>-0.49314382859511202</v>
      </c>
      <c r="IF160" s="3">
        <f ca="1">IFERROR(__xludf.DUMMYFUNCTION("""COMPUTED_VALUE"""),-0.474181891065123)</f>
        <v>-0.47418189106512298</v>
      </c>
      <c r="IG160" s="3">
        <f ca="1">IFERROR(__xludf.DUMMYFUNCTION("""COMPUTED_VALUE"""),-0.394281684304284)</f>
        <v>-0.39428168430428401</v>
      </c>
      <c r="IH160" s="3">
        <f ca="1">IFERROR(__xludf.DUMMYFUNCTION("""COMPUTED_VALUE"""),-0.71730602302995)</f>
        <v>-0.71730602302994995</v>
      </c>
      <c r="II160" s="3">
        <f ca="1">IFERROR(__xludf.DUMMYFUNCTION("""COMPUTED_VALUE"""),-0.51877078210383)</f>
        <v>-0.51877078210382999</v>
      </c>
      <c r="IJ160" s="3">
        <f ca="1">IFERROR(__xludf.DUMMYFUNCTION("""COMPUTED_VALUE"""),-0.530741834126614)</f>
        <v>-0.53074183412661402</v>
      </c>
      <c r="IK160" s="3">
        <f ca="1">IFERROR(__xludf.DUMMYFUNCTION("""COMPUTED_VALUE"""),-0.50733374217887)</f>
        <v>-0.50733374217886995</v>
      </c>
      <c r="IL160" s="3">
        <f ca="1">IFERROR(__xludf.DUMMYFUNCTION("""COMPUTED_VALUE"""),-0.479269633658922)</f>
        <v>-0.479269633658922</v>
      </c>
      <c r="IM160" s="3">
        <f ca="1">IFERROR(__xludf.DUMMYFUNCTION("""COMPUTED_VALUE"""),-0.392443995021927)</f>
        <v>-0.39244399502192701</v>
      </c>
      <c r="IN160" s="3">
        <f ca="1">IFERROR(__xludf.DUMMYFUNCTION("""COMPUTED_VALUE"""),-0.153869654969531)</f>
        <v>-0.15386965496953101</v>
      </c>
      <c r="IO160" s="3">
        <f ca="1">IFERROR(__xludf.DUMMYFUNCTION("""COMPUTED_VALUE"""),-0.423307399303759)</f>
        <v>-0.42330739930375899</v>
      </c>
      <c r="IP160" s="3">
        <f ca="1">IFERROR(__xludf.DUMMYFUNCTION("""COMPUTED_VALUE"""),-0.255003342067909)</f>
        <v>-0.25500334206790898</v>
      </c>
      <c r="IQ160" s="3">
        <f ca="1">IFERROR(__xludf.DUMMYFUNCTION("""COMPUTED_VALUE"""),-0.44116158906184)</f>
        <v>-0.44116158906184</v>
      </c>
      <c r="IR160" s="3">
        <f ca="1">IFERROR(__xludf.DUMMYFUNCTION("""COMPUTED_VALUE"""),-0.553336334393598)</f>
        <v>-0.55333633439359797</v>
      </c>
      <c r="IS160" s="3">
        <f ca="1">IFERROR(__xludf.DUMMYFUNCTION("""COMPUTED_VALUE"""),-0.484236173479033)</f>
        <v>-0.48423617347903303</v>
      </c>
      <c r="IT160" s="3">
        <f ca="1">IFERROR(__xludf.DUMMYFUNCTION("""COMPUTED_VALUE"""),-0.642394831346065)</f>
        <v>-0.64239483134606501</v>
      </c>
      <c r="IU160" s="3">
        <f ca="1">IFERROR(__xludf.DUMMYFUNCTION("""COMPUTED_VALUE"""),-0.827812404343911)</f>
        <v>-0.82781240434391101</v>
      </c>
      <c r="IV160" s="3">
        <f ca="1">IFERROR(__xludf.DUMMYFUNCTION("""COMPUTED_VALUE"""),-0.773426055671059)</f>
        <v>-0.77342605567105904</v>
      </c>
      <c r="IW160" s="3">
        <f ca="1">IFERROR(__xludf.DUMMYFUNCTION("""COMPUTED_VALUE"""),-0.597792144122145)</f>
        <v>-0.59779214412214499</v>
      </c>
      <c r="IX160" s="3">
        <f ca="1">IFERROR(__xludf.DUMMYFUNCTION("""COMPUTED_VALUE"""),-0.560503230482865)</f>
        <v>-0.56050323048286499</v>
      </c>
      <c r="IY160" s="3">
        <f ca="1">IFERROR(__xludf.DUMMYFUNCTION("""COMPUTED_VALUE"""),-0.520445625554937)</f>
        <v>-0.52044562555493701</v>
      </c>
      <c r="IZ160" s="3">
        <f ca="1">IFERROR(__xludf.DUMMYFUNCTION("""COMPUTED_VALUE"""),-0.484479731301264)</f>
        <v>-0.48447973130126398</v>
      </c>
      <c r="JA160" s="3">
        <f ca="1">IFERROR(__xludf.DUMMYFUNCTION("""COMPUTED_VALUE"""),-0.469480765287584)</f>
        <v>-0.46948076528758398</v>
      </c>
      <c r="JB160" s="3">
        <f ca="1">IFERROR(__xludf.DUMMYFUNCTION("""COMPUTED_VALUE"""),-0.477869773104414)</f>
        <v>-0.47786977310441398</v>
      </c>
      <c r="JC160" s="3">
        <f ca="1">IFERROR(__xludf.DUMMYFUNCTION("""COMPUTED_VALUE"""),-0.713486765437473)</f>
        <v>-0.71348676543747303</v>
      </c>
      <c r="JD160" s="3">
        <f ca="1">IFERROR(__xludf.DUMMYFUNCTION("""COMPUTED_VALUE"""),-0.637104497458018)</f>
        <v>-0.637104497458018</v>
      </c>
      <c r="JE160" s="3">
        <f ca="1">IFERROR(__xludf.DUMMYFUNCTION("""COMPUTED_VALUE"""),-0.583157858163302)</f>
        <v>-0.58315785816330201</v>
      </c>
      <c r="JF160" s="3">
        <f ca="1">IFERROR(__xludf.DUMMYFUNCTION("""COMPUTED_VALUE"""),-0.577332052263307)</f>
        <v>-0.57733205226330697</v>
      </c>
      <c r="JG160" s="3">
        <f ca="1">IFERROR(__xludf.DUMMYFUNCTION("""COMPUTED_VALUE"""),-0.503509498262941)</f>
        <v>-0.503509498262941</v>
      </c>
      <c r="JH160" s="3">
        <f ca="1">IFERROR(__xludf.DUMMYFUNCTION("""COMPUTED_VALUE"""),-0.55198099062371)</f>
        <v>-0.55198099062370998</v>
      </c>
      <c r="JI160" s="3">
        <f ca="1">IFERROR(__xludf.DUMMYFUNCTION("""COMPUTED_VALUE"""),-0.534227195794884)</f>
        <v>-0.53422719579488398</v>
      </c>
      <c r="JJ160" s="3">
        <f ca="1">IFERROR(__xludf.DUMMYFUNCTION("""COMPUTED_VALUE"""),-0.772812504123402)</f>
        <v>-0.77281250412340197</v>
      </c>
      <c r="JK160" s="3">
        <f ca="1">IFERROR(__xludf.DUMMYFUNCTION("""COMPUTED_VALUE"""),-0.582708898916797)</f>
        <v>-0.582708898916797</v>
      </c>
      <c r="JL160" s="3">
        <f ca="1">IFERROR(__xludf.DUMMYFUNCTION("""COMPUTED_VALUE"""),-0.594865622343083)</f>
        <v>-0.59486562234308304</v>
      </c>
      <c r="JM160" s="3">
        <f ca="1">IFERROR(__xludf.DUMMYFUNCTION("""COMPUTED_VALUE"""),-0.552315740161272)</f>
        <v>-0.55231574016127205</v>
      </c>
      <c r="JN160" s="3">
        <f ca="1">IFERROR(__xludf.DUMMYFUNCTION("""COMPUTED_VALUE"""),-0.470407546354241)</f>
        <v>-0.47040754635424098</v>
      </c>
      <c r="JO160" s="3">
        <f ca="1">IFERROR(__xludf.DUMMYFUNCTION("""COMPUTED_VALUE"""),-0.573085894902345)</f>
        <v>-0.57308589490234496</v>
      </c>
      <c r="JP160" s="3">
        <f ca="1">IFERROR(__xludf.DUMMYFUNCTION("""COMPUTED_VALUE"""),-0.579719433330164)</f>
        <v>-0.57971943333016396</v>
      </c>
      <c r="JQ160" s="3">
        <f ca="1">IFERROR(__xludf.DUMMYFUNCTION("""COMPUTED_VALUE"""),-0.72887549884427)</f>
        <v>-0.72887549884427005</v>
      </c>
      <c r="JR160" s="3">
        <f ca="1">IFERROR(__xludf.DUMMYFUNCTION("""COMPUTED_VALUE"""),-0.628395677404523)</f>
        <v>-0.62839567740452296</v>
      </c>
      <c r="JS160" s="3">
        <f ca="1">IFERROR(__xludf.DUMMYFUNCTION("""COMPUTED_VALUE"""),-0.543176591987132)</f>
        <v>-0.54317659198713197</v>
      </c>
      <c r="JT160" s="3">
        <f ca="1">IFERROR(__xludf.DUMMYFUNCTION("""COMPUTED_VALUE"""),-0.609291182124742)</f>
        <v>-0.60929118212474198</v>
      </c>
      <c r="JU160" s="3">
        <f ca="1">IFERROR(__xludf.DUMMYFUNCTION("""COMPUTED_VALUE"""),-0.59289279295768)</f>
        <v>-0.59289279295768005</v>
      </c>
      <c r="JV160" s="3">
        <f ca="1">IFERROR(__xludf.DUMMYFUNCTION("""COMPUTED_VALUE"""),-0.563518797037914)</f>
        <v>-0.56351879703791397</v>
      </c>
      <c r="JW160" s="3">
        <f ca="1">IFERROR(__xludf.DUMMYFUNCTION("""COMPUTED_VALUE"""),-0.394621193816792)</f>
        <v>-0.394621193816792</v>
      </c>
      <c r="JX160" s="3">
        <f ca="1">IFERROR(__xludf.DUMMYFUNCTION("""COMPUTED_VALUE"""),-0.620983440051389)</f>
        <v>-0.62098344005138895</v>
      </c>
      <c r="JY160" s="3">
        <f ca="1">IFERROR(__xludf.DUMMYFUNCTION("""COMPUTED_VALUE"""),-0.629017750780111)</f>
        <v>-0.62901775078011102</v>
      </c>
      <c r="JZ160" s="3">
        <f ca="1">IFERROR(__xludf.DUMMYFUNCTION("""COMPUTED_VALUE"""),-0.657480763013556)</f>
        <v>-0.65748076301355596</v>
      </c>
      <c r="KA160" s="3">
        <f ca="1">IFERROR(__xludf.DUMMYFUNCTION("""COMPUTED_VALUE"""),-0.796661402924191)</f>
        <v>-0.79666140292419096</v>
      </c>
      <c r="KB160" s="3">
        <f ca="1">IFERROR(__xludf.DUMMYFUNCTION("""COMPUTED_VALUE"""),-0.823773204734637)</f>
        <v>-0.823773204734637</v>
      </c>
      <c r="KC160" s="3">
        <f ca="1">IFERROR(__xludf.DUMMYFUNCTION("""COMPUTED_VALUE"""),-0.636387272983735)</f>
        <v>-0.63638727298373499</v>
      </c>
      <c r="KD160" s="3">
        <f ca="1">IFERROR(__xludf.DUMMYFUNCTION("""COMPUTED_VALUE"""),-0.416393831427002)</f>
        <v>-0.41639383142700198</v>
      </c>
      <c r="KE160" s="3">
        <f ca="1">IFERROR(__xludf.DUMMYFUNCTION("""COMPUTED_VALUE"""),-0.689553316962825)</f>
        <v>-0.68955331696282496</v>
      </c>
      <c r="KF160" s="3">
        <f ca="1">IFERROR(__xludf.DUMMYFUNCTION("""COMPUTED_VALUE"""),-0.659013525112005)</f>
        <v>-0.65901352511200495</v>
      </c>
      <c r="KG160" s="3">
        <f ca="1">IFERROR(__xludf.DUMMYFUNCTION("""COMPUTED_VALUE"""),-0.62294969995242)</f>
        <v>-0.62294969995242</v>
      </c>
      <c r="KH160" s="3">
        <f ca="1">IFERROR(__xludf.DUMMYFUNCTION("""COMPUTED_VALUE"""),-0.618050934407064)</f>
        <v>-0.61805093440706405</v>
      </c>
      <c r="KI160" s="3">
        <f ca="1">IFERROR(__xludf.DUMMYFUNCTION("""COMPUTED_VALUE"""),-0.628628914685396)</f>
        <v>-0.62862891468539595</v>
      </c>
      <c r="KJ160" s="3">
        <f ca="1">IFERROR(__xludf.DUMMYFUNCTION("""COMPUTED_VALUE"""),-0.62005640531425)</f>
        <v>-0.62005640531424999</v>
      </c>
      <c r="KK160" s="3">
        <f ca="1">IFERROR(__xludf.DUMMYFUNCTION("""COMPUTED_VALUE"""),-0.563664775834678)</f>
        <v>-0.563664775834678</v>
      </c>
      <c r="KL160" s="3">
        <f ca="1">IFERROR(__xludf.DUMMYFUNCTION("""COMPUTED_VALUE"""),-0.765811369838369)</f>
        <v>-0.76581136983836895</v>
      </c>
      <c r="KM160" s="3">
        <f ca="1">IFERROR(__xludf.DUMMYFUNCTION("""COMPUTED_VALUE"""),-0.672013541216787)</f>
        <v>-0.67201354121678702</v>
      </c>
      <c r="KN160" s="3">
        <f ca="1">IFERROR(__xludf.DUMMYFUNCTION("""COMPUTED_VALUE"""),-0.642648108487715)</f>
        <v>-0.64264810848771503</v>
      </c>
      <c r="KO160" s="3">
        <f ca="1">IFERROR(__xludf.DUMMYFUNCTION("""COMPUTED_VALUE"""),-0.608341937287912)</f>
        <v>-0.60834193728791197</v>
      </c>
      <c r="KP160" s="3">
        <f ca="1">IFERROR(__xludf.DUMMYFUNCTION("""COMPUTED_VALUE"""),-0.680546164653113)</f>
        <v>-0.68054616465311302</v>
      </c>
      <c r="KQ160" s="3">
        <f ca="1">IFERROR(__xludf.DUMMYFUNCTION("""COMPUTED_VALUE"""),-0.722780750326729)</f>
        <v>-0.72278075032672895</v>
      </c>
      <c r="KR160" s="3">
        <f ca="1">IFERROR(__xludf.DUMMYFUNCTION("""COMPUTED_VALUE"""),-0.738501122811361)</f>
        <v>-0.73850112281136104</v>
      </c>
      <c r="KS160" s="3">
        <f ca="1">IFERROR(__xludf.DUMMYFUNCTION("""COMPUTED_VALUE"""),-0.776475630002696)</f>
        <v>-0.77647563000269604</v>
      </c>
      <c r="KT160" s="3">
        <f ca="1">IFERROR(__xludf.DUMMYFUNCTION("""COMPUTED_VALUE"""),-0.688424576468462)</f>
        <v>-0.688424576468462</v>
      </c>
      <c r="KU160" s="3">
        <f ca="1">IFERROR(__xludf.DUMMYFUNCTION("""COMPUTED_VALUE"""),-0.732940571801846)</f>
        <v>-0.73294057180184602</v>
      </c>
      <c r="KV160" s="3">
        <f ca="1">IFERROR(__xludf.DUMMYFUNCTION("""COMPUTED_VALUE"""),-0.73401377411265)</f>
        <v>-0.73401377411265001</v>
      </c>
      <c r="KW160" s="3">
        <f ca="1">IFERROR(__xludf.DUMMYFUNCTION("""COMPUTED_VALUE"""),-0.714116990182891)</f>
        <v>-0.71411699018289099</v>
      </c>
      <c r="KX160" s="3">
        <f ca="1">IFERROR(__xludf.DUMMYFUNCTION("""COMPUTED_VALUE"""),-0.701073247532263)</f>
        <v>-0.70107324753226297</v>
      </c>
      <c r="KY160" s="3">
        <f ca="1">IFERROR(__xludf.DUMMYFUNCTION("""COMPUTED_VALUE"""),-0.660643028789627)</f>
        <v>-0.660643028789627</v>
      </c>
      <c r="KZ160" s="3">
        <f ca="1">IFERROR(__xludf.DUMMYFUNCTION("""COMPUTED_VALUE"""),-0.557932413100305)</f>
        <v>-0.55793241310030495</v>
      </c>
      <c r="LA160" s="3">
        <f ca="1">IFERROR(__xludf.DUMMYFUNCTION("""COMPUTED_VALUE"""),-0.725039825455936)</f>
        <v>-0.72503982545593604</v>
      </c>
      <c r="LB160" s="3">
        <f ca="1">IFERROR(__xludf.DUMMYFUNCTION("""COMPUTED_VALUE"""),-0.675908073219564)</f>
        <v>-0.67590807321956403</v>
      </c>
      <c r="LC160" s="3">
        <f ca="1">IFERROR(__xludf.DUMMYFUNCTION("""COMPUTED_VALUE"""),-0.694986471977181)</f>
        <v>-0.694986471977181</v>
      </c>
      <c r="LD160" s="3">
        <f ca="1">IFERROR(__xludf.DUMMYFUNCTION("""COMPUTED_VALUE"""),-0.742902508545662)</f>
        <v>-0.74290250854566198</v>
      </c>
      <c r="LE160" s="3">
        <f ca="1">IFERROR(__xludf.DUMMYFUNCTION("""COMPUTED_VALUE"""),-0.727494776632223)</f>
        <v>-0.72749477663222295</v>
      </c>
      <c r="LF160" s="3">
        <f ca="1">IFERROR(__xludf.DUMMYFUNCTION("""COMPUTED_VALUE"""),-0.681208020621339)</f>
        <v>-0.68120802062133901</v>
      </c>
      <c r="LG160" s="3">
        <f ca="1">IFERROR(__xludf.DUMMYFUNCTION("""COMPUTED_VALUE"""),-0.653643325562532)</f>
        <v>-0.65364332556253202</v>
      </c>
      <c r="LH160" s="3">
        <f ca="1">IFERROR(__xludf.DUMMYFUNCTION("""COMPUTED_VALUE"""),-0.689121827086094)</f>
        <v>-0.68912182708609404</v>
      </c>
      <c r="LI160" s="3">
        <f ca="1">IFERROR(__xludf.DUMMYFUNCTION("""COMPUTED_VALUE"""),-0.62439638240565)</f>
        <v>-0.62439638240564999</v>
      </c>
      <c r="LJ160" s="3">
        <f ca="1">IFERROR(__xludf.DUMMYFUNCTION("""COMPUTED_VALUE"""),-0.654245056172982)</f>
        <v>-0.65424505617298201</v>
      </c>
      <c r="LK160" s="3">
        <f ca="1">IFERROR(__xludf.DUMMYFUNCTION("""COMPUTED_VALUE"""),-0.622133835428551)</f>
        <v>-0.62213383542855105</v>
      </c>
      <c r="LL160" s="3">
        <f ca="1">IFERROR(__xludf.DUMMYFUNCTION("""COMPUTED_VALUE"""),-0.707963104471066)</f>
        <v>-0.70796310447106603</v>
      </c>
      <c r="LM160" s="3">
        <f ca="1">IFERROR(__xludf.DUMMYFUNCTION("""COMPUTED_VALUE"""),-0.745333720399216)</f>
        <v>-0.74533372039921597</v>
      </c>
      <c r="LN160" s="3">
        <f ca="1">IFERROR(__xludf.DUMMYFUNCTION("""COMPUTED_VALUE"""),-0.751731195053471)</f>
        <v>-0.75173119505347097</v>
      </c>
      <c r="LO160" s="3">
        <f ca="1">IFERROR(__xludf.DUMMYFUNCTION("""COMPUTED_VALUE"""),-0.777752222938513)</f>
        <v>-0.77775222293851298</v>
      </c>
      <c r="LP160" s="3">
        <f ca="1">IFERROR(__xludf.DUMMYFUNCTION("""COMPUTED_VALUE"""),-0.734049039876794)</f>
        <v>-0.73404903987679404</v>
      </c>
      <c r="LQ160" s="3">
        <f ca="1">IFERROR(__xludf.DUMMYFUNCTION("""COMPUTED_VALUE"""),-0.747924890159548)</f>
        <v>-0.74792489015954799</v>
      </c>
      <c r="LR160" s="3">
        <f ca="1">IFERROR(__xludf.DUMMYFUNCTION("""COMPUTED_VALUE"""),-0.71459038184422)</f>
        <v>-0.71459038184421997</v>
      </c>
      <c r="LS160" s="3">
        <f ca="1">IFERROR(__xludf.DUMMYFUNCTION("""COMPUTED_VALUE"""),-0.816205140230905)</f>
        <v>-0.81620514023090496</v>
      </c>
      <c r="LT160" s="3">
        <f ca="1">IFERROR(__xludf.DUMMYFUNCTION("""COMPUTED_VALUE"""),-0.846592745789041)</f>
        <v>-0.84659274578904098</v>
      </c>
      <c r="LU160" s="3">
        <f ca="1">IFERROR(__xludf.DUMMYFUNCTION("""COMPUTED_VALUE"""),-0.820444841773329)</f>
        <v>-0.82044484177332899</v>
      </c>
      <c r="LV160" s="3">
        <f ca="1">IFERROR(__xludf.DUMMYFUNCTION("""COMPUTED_VALUE"""),-0.800866808897944)</f>
        <v>-0.80086680889794404</v>
      </c>
      <c r="LW160" s="3">
        <f ca="1">IFERROR(__xludf.DUMMYFUNCTION("""COMPUTED_VALUE"""),-0.800405910976321)</f>
        <v>-0.80040591097632097</v>
      </c>
      <c r="LX160" s="3">
        <f ca="1">IFERROR(__xludf.DUMMYFUNCTION("""COMPUTED_VALUE"""),-0.805491389971835)</f>
        <v>-0.805491389971835</v>
      </c>
      <c r="LY160" s="3">
        <f ca="1">IFERROR(__xludf.DUMMYFUNCTION("""COMPUTED_VALUE"""),-0.78227853451882)</f>
        <v>-0.78227853451882001</v>
      </c>
      <c r="LZ160" s="3">
        <f ca="1">IFERROR(__xludf.DUMMYFUNCTION("""COMPUTED_VALUE"""),-0.756753634285187)</f>
        <v>-0.75675363428518705</v>
      </c>
      <c r="MA160" s="3">
        <f ca="1">IFERROR(__xludf.DUMMYFUNCTION("""COMPUTED_VALUE"""),-0.773742846587186)</f>
        <v>-0.77374284658718595</v>
      </c>
      <c r="MB160" s="3">
        <f ca="1">IFERROR(__xludf.DUMMYFUNCTION("""COMPUTED_VALUE"""),-0.860720204551246)</f>
        <v>-0.86072020455124598</v>
      </c>
      <c r="MC160" s="3">
        <f ca="1">IFERROR(__xludf.DUMMYFUNCTION("""COMPUTED_VALUE"""),-0.774453272590171)</f>
        <v>-0.77445327259017105</v>
      </c>
      <c r="MD160" s="3">
        <f ca="1">IFERROR(__xludf.DUMMYFUNCTION("""COMPUTED_VALUE"""),-0.741789442397569)</f>
        <v>-0.74178944239756905</v>
      </c>
      <c r="ME160" s="3">
        <f ca="1">IFERROR(__xludf.DUMMYFUNCTION("""COMPUTED_VALUE"""),-0.747570208587822)</f>
        <v>-0.74757020858782197</v>
      </c>
      <c r="MF160" s="3">
        <f ca="1">IFERROR(__xludf.DUMMYFUNCTION("""COMPUTED_VALUE"""),-0.75567515452261)</f>
        <v>-0.75567515452261003</v>
      </c>
      <c r="MG160" s="3">
        <f ca="1">IFERROR(__xludf.DUMMYFUNCTION("""COMPUTED_VALUE"""),-0.763656643558566)</f>
        <v>-0.763656643558566</v>
      </c>
      <c r="MH160" s="3">
        <f ca="1">IFERROR(__xludf.DUMMYFUNCTION("""COMPUTED_VALUE"""),-0.797680768805476)</f>
        <v>-0.797680768805476</v>
      </c>
      <c r="MI160" s="3">
        <f ca="1">IFERROR(__xludf.DUMMYFUNCTION("""COMPUTED_VALUE"""),-0.847000131874177)</f>
        <v>-0.847000131874177</v>
      </c>
      <c r="MJ160" s="3">
        <f ca="1">IFERROR(__xludf.DUMMYFUNCTION("""COMPUTED_VALUE"""),-0.812705084097202)</f>
        <v>-0.81270508409720199</v>
      </c>
      <c r="MK160" s="3">
        <f ca="1">IFERROR(__xludf.DUMMYFUNCTION("""COMPUTED_VALUE"""),-0.819448283359642)</f>
        <v>-0.81944828335964204</v>
      </c>
      <c r="ML160" s="3">
        <f ca="1">IFERROR(__xludf.DUMMYFUNCTION("""COMPUTED_VALUE"""),-0.783960089976258)</f>
        <v>-0.78396008997625799</v>
      </c>
      <c r="MM160" s="3">
        <f ca="1">IFERROR(__xludf.DUMMYFUNCTION("""COMPUTED_VALUE"""),-0.784041008936115)</f>
        <v>-0.78404100893611495</v>
      </c>
      <c r="MN160" s="3">
        <f ca="1">IFERROR(__xludf.DUMMYFUNCTION("""COMPUTED_VALUE"""),-0.779524447943925)</f>
        <v>-0.77952444794392495</v>
      </c>
      <c r="MO160" s="3">
        <f ca="1">IFERROR(__xludf.DUMMYFUNCTION("""COMPUTED_VALUE"""),-0.756974382259523)</f>
        <v>-0.75697438225952296</v>
      </c>
      <c r="MP160" s="3">
        <f ca="1">IFERROR(__xludf.DUMMYFUNCTION("""COMPUTED_VALUE"""),-0.757993684524816)</f>
        <v>-0.75799368452481597</v>
      </c>
      <c r="MQ160" s="3">
        <f ca="1">IFERROR(__xludf.DUMMYFUNCTION("""COMPUTED_VALUE"""),-0.722957816580459)</f>
        <v>-0.72295781658045899</v>
      </c>
      <c r="MR160" s="3">
        <f ca="1">IFERROR(__xludf.DUMMYFUNCTION("""COMPUTED_VALUE"""),-0.785855005396436)</f>
        <v>-0.78585500539643605</v>
      </c>
      <c r="MS160" s="3">
        <f ca="1">IFERROR(__xludf.DUMMYFUNCTION("""COMPUTED_VALUE"""),-0.743272932723891)</f>
        <v>-0.74327293272389094</v>
      </c>
      <c r="MT160" s="3">
        <f ca="1">IFERROR(__xludf.DUMMYFUNCTION("""COMPUTED_VALUE"""),-0.781617528951241)</f>
        <v>-0.78161752895124104</v>
      </c>
      <c r="MU160" s="3">
        <f ca="1">IFERROR(__xludf.DUMMYFUNCTION("""COMPUTED_VALUE"""),-0.755955283090376)</f>
        <v>-0.75595528309037596</v>
      </c>
      <c r="MV160" s="3">
        <f ca="1">IFERROR(__xludf.DUMMYFUNCTION("""COMPUTED_VALUE"""),-0.802819511644013)</f>
        <v>-0.802819511644013</v>
      </c>
      <c r="MW160" s="3">
        <f ca="1">IFERROR(__xludf.DUMMYFUNCTION("""COMPUTED_VALUE"""),-0.900722154565308)</f>
        <v>-0.90072215456530802</v>
      </c>
      <c r="MX160" s="3">
        <f ca="1">IFERROR(__xludf.DUMMYFUNCTION("""COMPUTED_VALUE"""),-0.823852258297033)</f>
        <v>-0.82385225829703301</v>
      </c>
      <c r="MY160" s="3">
        <f ca="1">IFERROR(__xludf.DUMMYFUNCTION("""COMPUTED_VALUE"""),-0.808367786563417)</f>
        <v>-0.80836778656341701</v>
      </c>
      <c r="MZ160" s="3">
        <f ca="1">IFERROR(__xludf.DUMMYFUNCTION("""COMPUTED_VALUE"""),-0.811629017769572)</f>
        <v>-0.81162901776957197</v>
      </c>
      <c r="NA160" s="3">
        <f ca="1">IFERROR(__xludf.DUMMYFUNCTION("""COMPUTED_VALUE"""),-0.802604790423559)</f>
        <v>-0.80260479042355903</v>
      </c>
      <c r="NB160" s="3">
        <f ca="1">IFERROR(__xludf.DUMMYFUNCTION("""COMPUTED_VALUE"""),-0.809334661920396)</f>
        <v>-0.80933466192039605</v>
      </c>
      <c r="NC160" s="3">
        <f ca="1">IFERROR(__xludf.DUMMYFUNCTION("""COMPUTED_VALUE"""),-0.803291574561867)</f>
        <v>-0.80329157456186695</v>
      </c>
      <c r="ND160" s="3">
        <f ca="1">IFERROR(__xludf.DUMMYFUNCTION("""COMPUTED_VALUE"""),-0.846258143183219)</f>
        <v>-0.84625814318321901</v>
      </c>
      <c r="NE160" s="3">
        <f ca="1">IFERROR(__xludf.DUMMYFUNCTION("""COMPUTED_VALUE"""),-0.893203123559337)</f>
        <v>-0.89320312355933695</v>
      </c>
      <c r="NF160" s="3">
        <f ca="1">IFERROR(__xludf.DUMMYFUNCTION("""COMPUTED_VALUE"""),-0.837917141113102)</f>
        <v>-0.837917141113102</v>
      </c>
      <c r="NG160" s="3">
        <f ca="1">IFERROR(__xludf.DUMMYFUNCTION("""COMPUTED_VALUE"""),-0.748756266743149)</f>
        <v>-0.74875626674314899</v>
      </c>
      <c r="NH160" s="3">
        <f ca="1">IFERROR(__xludf.DUMMYFUNCTION("""COMPUTED_VALUE"""),-0.789430563521986)</f>
        <v>-0.78943056352198604</v>
      </c>
      <c r="NI160" s="3">
        <f ca="1">IFERROR(__xludf.DUMMYFUNCTION("""COMPUTED_VALUE"""),-0.787570518249796)</f>
        <v>-0.78757051824979596</v>
      </c>
      <c r="NJ160" s="3">
        <f ca="1">IFERROR(__xludf.DUMMYFUNCTION("""COMPUTED_VALUE"""),-0.773831919320455)</f>
        <v>-0.77383191932045503</v>
      </c>
      <c r="NK160" s="3">
        <f ca="1">IFERROR(__xludf.DUMMYFUNCTION("""COMPUTED_VALUE"""),-0.73507986676252)</f>
        <v>-0.73507986676252002</v>
      </c>
      <c r="NL160" s="3">
        <f ca="1">IFERROR(__xludf.DUMMYFUNCTION("""COMPUTED_VALUE"""),-0.774405078869933)</f>
        <v>-0.77440507886993304</v>
      </c>
      <c r="NM160" s="3">
        <f ca="1">IFERROR(__xludf.DUMMYFUNCTION("""COMPUTED_VALUE"""),-0.777049936615657)</f>
        <v>-0.77704993661565702</v>
      </c>
      <c r="NN160" s="3">
        <f ca="1">IFERROR(__xludf.DUMMYFUNCTION("""COMPUTED_VALUE"""),-0.787368703569374)</f>
        <v>-0.78736870356937405</v>
      </c>
      <c r="NO160" s="3">
        <f ca="1">IFERROR(__xludf.DUMMYFUNCTION("""COMPUTED_VALUE"""),-0.835032481069729)</f>
        <v>-0.83503248106972905</v>
      </c>
      <c r="NP160" s="3">
        <f ca="1">IFERROR(__xludf.DUMMYFUNCTION("""COMPUTED_VALUE"""),-0.831427072243604)</f>
        <v>-0.83142707224360402</v>
      </c>
      <c r="NQ160" s="3">
        <f ca="1">IFERROR(__xludf.DUMMYFUNCTION("""COMPUTED_VALUE"""),-0.849487084248935)</f>
        <v>-0.84948708424893504</v>
      </c>
      <c r="NR160" s="3">
        <f ca="1">IFERROR(__xludf.DUMMYFUNCTION("""COMPUTED_VALUE"""),-0.690677298858132)</f>
        <v>-0.690677298858132</v>
      </c>
      <c r="NS160" s="3">
        <f ca="1">IFERROR(__xludf.DUMMYFUNCTION("""COMPUTED_VALUE"""),-0.796699751218998)</f>
        <v>-0.79669975121899805</v>
      </c>
      <c r="NT160" s="3">
        <f ca="1">IFERROR(__xludf.DUMMYFUNCTION("""COMPUTED_VALUE"""),-0.856646010488466)</f>
        <v>-0.856646010488466</v>
      </c>
      <c r="NU160" s="3">
        <f ca="1">IFERROR(__xludf.DUMMYFUNCTION("""COMPUTED_VALUE"""),-0.852705002509167)</f>
        <v>-0.85270500250916703</v>
      </c>
      <c r="NV160" s="3">
        <f ca="1">IFERROR(__xludf.DUMMYFUNCTION("""COMPUTED_VALUE"""),-0.833434068430491)</f>
        <v>-0.83343406843049095</v>
      </c>
      <c r="NW160" s="3">
        <f ca="1">IFERROR(__xludf.DUMMYFUNCTION("""COMPUTED_VALUE"""),-0.793814850864024)</f>
        <v>-0.79381485086402404</v>
      </c>
      <c r="NX160" s="3">
        <f ca="1">IFERROR(__xludf.DUMMYFUNCTION("""COMPUTED_VALUE"""),-0.745621965495662)</f>
        <v>-0.74562196549566195</v>
      </c>
      <c r="NY160" s="3">
        <f ca="1">IFERROR(__xludf.DUMMYFUNCTION("""COMPUTED_VALUE"""),-0.573990103926781)</f>
        <v>-0.57399010392678096</v>
      </c>
      <c r="NZ160" s="3">
        <f ca="1">IFERROR(__xludf.DUMMYFUNCTION("""COMPUTED_VALUE"""),-0.681590549777697)</f>
        <v>-0.68159054977769695</v>
      </c>
      <c r="OA160" s="3">
        <f ca="1">IFERROR(__xludf.DUMMYFUNCTION("""COMPUTED_VALUE"""),-0.688154653041806)</f>
        <v>-0.68815465304180601</v>
      </c>
      <c r="OB160" s="3">
        <f ca="1">IFERROR(__xludf.DUMMYFUNCTION("""COMPUTED_VALUE"""),-0.64424453210429)</f>
        <v>-0.64424453210429</v>
      </c>
      <c r="OC160" s="3">
        <f ca="1">IFERROR(__xludf.DUMMYFUNCTION("""COMPUTED_VALUE"""),-0.550448511670529)</f>
        <v>-0.55044851167052899</v>
      </c>
      <c r="OD160" s="3">
        <f ca="1">IFERROR(__xludf.DUMMYFUNCTION("""COMPUTED_VALUE"""),-0.369537571639452)</f>
        <v>-0.369537571639452</v>
      </c>
      <c r="OE160" s="3">
        <f ca="1">IFERROR(__xludf.DUMMYFUNCTION("""COMPUTED_VALUE"""),-0.212329133805718)</f>
        <v>-0.212329133805718</v>
      </c>
      <c r="OF160" s="3">
        <f ca="1">IFERROR(__xludf.DUMMYFUNCTION("""COMPUTED_VALUE"""),-0.55104887999056)</f>
        <v>-0.55104887999055996</v>
      </c>
      <c r="OG160" s="3">
        <f ca="1">IFERROR(__xludf.DUMMYFUNCTION("""COMPUTED_VALUE"""),-0.295429268190403)</f>
        <v>-0.29542926819040299</v>
      </c>
      <c r="OH160" s="3">
        <f ca="1">IFERROR(__xludf.DUMMYFUNCTION("""COMPUTED_VALUE"""),-0.0998465291809375)</f>
        <v>-9.9846529180937504E-2</v>
      </c>
      <c r="OI160" s="3">
        <f ca="1">IFERROR(__xludf.DUMMYFUNCTION("""COMPUTED_VALUE"""),0.0857746598856783)</f>
        <v>8.5774659885678298E-2</v>
      </c>
      <c r="OJ160" s="3">
        <f ca="1">IFERROR(__xludf.DUMMYFUNCTION("""COMPUTED_VALUE"""),-0.0406586613485104)</f>
        <v>-4.06586613485104E-2</v>
      </c>
      <c r="OK160" s="3">
        <f ca="1">IFERROR(__xludf.DUMMYFUNCTION("""COMPUTED_VALUE"""),0.0479891673890788)</f>
        <v>4.7989167389078803E-2</v>
      </c>
      <c r="OL160" s="3">
        <f ca="1">IFERROR(__xludf.DUMMYFUNCTION("""COMPUTED_VALUE"""),0.235656540365604)</f>
        <v>0.23565654036560399</v>
      </c>
      <c r="OM160" s="3">
        <f ca="1">IFERROR(__xludf.DUMMYFUNCTION("""COMPUTED_VALUE"""),0.00895486250588795)</f>
        <v>8.9548625058879505E-3</v>
      </c>
      <c r="ON160" s="3">
        <f ca="1">IFERROR(__xludf.DUMMYFUNCTION("""COMPUTED_VALUE"""),-0.224044889085323)</f>
        <v>-0.224044889085323</v>
      </c>
      <c r="OO160" s="3">
        <f ca="1">IFERROR(__xludf.DUMMYFUNCTION("""COMPUTED_VALUE"""),-0.0677801124287086)</f>
        <v>-6.77801124287086E-2</v>
      </c>
      <c r="OP160" s="3">
        <f ca="1">IFERROR(__xludf.DUMMYFUNCTION("""COMPUTED_VALUE"""),0.0549772116241138)</f>
        <v>5.49772116241138E-2</v>
      </c>
      <c r="OQ160" s="3">
        <f ca="1">IFERROR(__xludf.DUMMYFUNCTION("""COMPUTED_VALUE"""),0.0542819000337986)</f>
        <v>5.4281900033798597E-2</v>
      </c>
      <c r="OR160" s="3">
        <f ca="1">IFERROR(__xludf.DUMMYFUNCTION("""COMPUTED_VALUE"""),0.0753055477487139)</f>
        <v>7.5305547748713897E-2</v>
      </c>
      <c r="OS160" s="3">
        <f ca="1">IFERROR(__xludf.DUMMYFUNCTION("""COMPUTED_VALUE"""),0.044025109193897)</f>
        <v>4.4025109193897002E-2</v>
      </c>
      <c r="OT160" s="3">
        <f ca="1">IFERROR(__xludf.DUMMYFUNCTION("""COMPUTED_VALUE"""),-0.301034974100825)</f>
        <v>-0.30103497410082503</v>
      </c>
      <c r="OU160" s="3">
        <f ca="1">IFERROR(__xludf.DUMMYFUNCTION("""COMPUTED_VALUE"""),-0.213204440924016)</f>
        <v>-0.213204440924016</v>
      </c>
      <c r="OV160" s="3">
        <f ca="1">IFERROR(__xludf.DUMMYFUNCTION("""COMPUTED_VALUE"""),0.0146269944247436)</f>
        <v>1.46269944247436E-2</v>
      </c>
      <c r="OW160" s="3">
        <f ca="1">IFERROR(__xludf.DUMMYFUNCTION("""COMPUTED_VALUE"""),0.0813158633982078)</f>
        <v>8.1315863398207802E-2</v>
      </c>
      <c r="OX160" s="3">
        <f ca="1">IFERROR(__xludf.DUMMYFUNCTION("""COMPUTED_VALUE"""),0.0924905337045129)</f>
        <v>9.2490533704512906E-2</v>
      </c>
      <c r="OY160" s="3">
        <f ca="1">IFERROR(__xludf.DUMMYFUNCTION("""COMPUTED_VALUE"""),0.203324699974053)</f>
        <v>0.203324699974053</v>
      </c>
      <c r="OZ160" s="3">
        <f ca="1">IFERROR(__xludf.DUMMYFUNCTION("""COMPUTED_VALUE"""),0.214901324182314)</f>
        <v>0.214901324182314</v>
      </c>
      <c r="PA160" s="3">
        <f ca="1">IFERROR(__xludf.DUMMYFUNCTION("""COMPUTED_VALUE"""),-0.383462939138202)</f>
        <v>-0.38346293913820201</v>
      </c>
      <c r="PB160" s="3">
        <f ca="1">IFERROR(__xludf.DUMMYFUNCTION("""COMPUTED_VALUE"""),-0.105481521981987)</f>
        <v>-0.105481521981987</v>
      </c>
      <c r="PC160" s="3">
        <f ca="1">IFERROR(__xludf.DUMMYFUNCTION("""COMPUTED_VALUE"""),0.0085938079491834)</f>
        <v>8.5938079491834005E-3</v>
      </c>
      <c r="PD160" s="3">
        <f ca="1">IFERROR(__xludf.DUMMYFUNCTION("""COMPUTED_VALUE"""),0.0574544558062721)</f>
        <v>5.7454455806272099E-2</v>
      </c>
      <c r="PE160" s="3">
        <f ca="1">IFERROR(__xludf.DUMMYFUNCTION("""COMPUTED_VALUE"""),0.0710581970076202)</f>
        <v>7.10581970076202E-2</v>
      </c>
      <c r="PF160" s="3">
        <f ca="1">IFERROR(__xludf.DUMMYFUNCTION("""COMPUTED_VALUE"""),-0.277089328848963)</f>
        <v>-0.27708932884896298</v>
      </c>
      <c r="PG160" s="3">
        <f ca="1">IFERROR(__xludf.DUMMYFUNCTION("""COMPUTED_VALUE"""),-0.681079355505976)</f>
        <v>-0.68107935550597598</v>
      </c>
      <c r="PH160" s="3">
        <f ca="1">IFERROR(__xludf.DUMMYFUNCTION("""COMPUTED_VALUE"""),-0.267848266037162)</f>
        <v>-0.267848266037162</v>
      </c>
      <c r="PI160" s="3">
        <f ca="1">IFERROR(__xludf.DUMMYFUNCTION("""COMPUTED_VALUE"""),0.0573298918571694)</f>
        <v>5.7329891857169399E-2</v>
      </c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</row>
    <row r="161" spans="1:477" ht="13">
      <c r="A161" s="1" t="str">
        <f ca="1">IFERROR(__xludf.DUMMYFUNCTION("""COMPUTED_VALUE"""),"BC Transit")</f>
        <v>BC Transit</v>
      </c>
      <c r="B161" s="1" t="str">
        <f ca="1">IFERROR(__xludf.DUMMYFUNCTION("""COMPUTED_VALUE"""),"Victoria")</f>
        <v>Victoria</v>
      </c>
      <c r="C161" s="1" t="str">
        <f ca="1">IFERROR(__xludf.DUMMYFUNCTION("""COMPUTED_VALUE"""),"Canada")</f>
        <v>Canada</v>
      </c>
      <c r="D161" s="1" t="str">
        <f ca="1">IFERROR(__xludf.DUMMYFUNCTION("""COMPUTED_VALUE"""),"British Columbia")</f>
        <v>British Columbia</v>
      </c>
      <c r="E161" s="3">
        <f ca="1">IFERROR(__xludf.DUMMYFUNCTION("""COMPUTED_VALUE"""),-0.597427186621631)</f>
        <v>-0.59742718662163097</v>
      </c>
      <c r="F161" s="3">
        <f ca="1">IFERROR(__xludf.DUMMYFUNCTION("""COMPUTED_VALUE"""),-0.533465589780864)</f>
        <v>-0.533465589780864</v>
      </c>
      <c r="G161" s="3">
        <f ca="1">IFERROR(__xludf.DUMMYFUNCTION("""COMPUTED_VALUE"""),-0.515255385820456)</f>
        <v>-0.51525538582045605</v>
      </c>
      <c r="H161" s="3">
        <f ca="1">IFERROR(__xludf.DUMMYFUNCTION("""COMPUTED_VALUE"""),-0.502744960988402)</f>
        <v>-0.50274496098840205</v>
      </c>
      <c r="I161" s="3">
        <f ca="1">IFERROR(__xludf.DUMMYFUNCTION("""COMPUTED_VALUE"""),-0.46340183574576)</f>
        <v>-0.46340183574575999</v>
      </c>
      <c r="J161" s="3">
        <f ca="1">IFERROR(__xludf.DUMMYFUNCTION("""COMPUTED_VALUE"""),-0.576576056140228)</f>
        <v>-0.576576056140228</v>
      </c>
      <c r="K161" s="3">
        <f ca="1">IFERROR(__xludf.DUMMYFUNCTION("""COMPUTED_VALUE"""),-0.608931053298752)</f>
        <v>-0.60893105329875197</v>
      </c>
      <c r="L161" s="3">
        <f ca="1">IFERROR(__xludf.DUMMYFUNCTION("""COMPUTED_VALUE"""),-0.612976546065278)</f>
        <v>-0.61297654606527796</v>
      </c>
      <c r="M161" s="3">
        <f ca="1">IFERROR(__xludf.DUMMYFUNCTION("""COMPUTED_VALUE"""),-0.634632078984449)</f>
        <v>-0.63463207898444896</v>
      </c>
      <c r="N161" s="3">
        <f ca="1">IFERROR(__xludf.DUMMYFUNCTION("""COMPUTED_VALUE"""),-0.514340747625585)</f>
        <v>-0.51434074762558502</v>
      </c>
      <c r="O161" s="3">
        <f ca="1">IFERROR(__xludf.DUMMYFUNCTION("""COMPUTED_VALUE"""),-0.513154422719586)</f>
        <v>-0.513154422719586</v>
      </c>
      <c r="P161" s="3">
        <f ca="1">IFERROR(__xludf.DUMMYFUNCTION("""COMPUTED_VALUE"""),-0.508061260003597)</f>
        <v>-0.50806126000359697</v>
      </c>
      <c r="Q161" s="3">
        <f ca="1">IFERROR(__xludf.DUMMYFUNCTION("""COMPUTED_VALUE"""),-0.489266273983827)</f>
        <v>-0.48926627398382699</v>
      </c>
      <c r="R161" s="3">
        <f ca="1">IFERROR(__xludf.DUMMYFUNCTION("""COMPUTED_VALUE"""),-0.624457009284542)</f>
        <v>-0.62445700928454195</v>
      </c>
      <c r="S161" s="3">
        <f ca="1">IFERROR(__xludf.DUMMYFUNCTION("""COMPUTED_VALUE"""),-0.570577823762572)</f>
        <v>-0.57057782376257205</v>
      </c>
      <c r="T161" s="3">
        <f ca="1">IFERROR(__xludf.DUMMYFUNCTION("""COMPUTED_VALUE"""),-0.547188918733923)</f>
        <v>-0.54718891873392295</v>
      </c>
      <c r="U161" s="3">
        <f ca="1">IFERROR(__xludf.DUMMYFUNCTION("""COMPUTED_VALUE"""),-0.549158786595631)</f>
        <v>-0.549158786595631</v>
      </c>
      <c r="V161" s="3">
        <f ca="1">IFERROR(__xludf.DUMMYFUNCTION("""COMPUTED_VALUE"""),-0.579323162814479)</f>
        <v>-0.57932316281447904</v>
      </c>
      <c r="W161" s="3">
        <f ca="1">IFERROR(__xludf.DUMMYFUNCTION("""COMPUTED_VALUE"""),-0.524994359581018)</f>
        <v>-0.52499435958101803</v>
      </c>
      <c r="X161" s="3">
        <f ca="1">IFERROR(__xludf.DUMMYFUNCTION("""COMPUTED_VALUE"""),-0.547342820266988)</f>
        <v>-0.54734282026698799</v>
      </c>
      <c r="Y161" s="3">
        <f ca="1">IFERROR(__xludf.DUMMYFUNCTION("""COMPUTED_VALUE"""),-0.610476575258503)</f>
        <v>-0.61047657525850296</v>
      </c>
      <c r="Z161" s="3">
        <f ca="1">IFERROR(__xludf.DUMMYFUNCTION("""COMPUTED_VALUE"""),-0.576386312649667)</f>
        <v>-0.576386312649667</v>
      </c>
      <c r="AA161" s="3">
        <f ca="1">IFERROR(__xludf.DUMMYFUNCTION("""COMPUTED_VALUE"""),-0.558889032073831)</f>
        <v>-0.558889032073831</v>
      </c>
      <c r="AB161" s="3">
        <f ca="1">IFERROR(__xludf.DUMMYFUNCTION("""COMPUTED_VALUE"""),-0.569073971334174)</f>
        <v>-0.56907397133417403</v>
      </c>
      <c r="AC161" s="3">
        <f ca="1">IFERROR(__xludf.DUMMYFUNCTION("""COMPUTED_VALUE"""),-0.515391617537307)</f>
        <v>-0.515391617537307</v>
      </c>
      <c r="AD161" s="3">
        <f ca="1">IFERROR(__xludf.DUMMYFUNCTION("""COMPUTED_VALUE"""),-0.525969895340386)</f>
        <v>-0.52596989534038596</v>
      </c>
      <c r="AE161" s="3">
        <f ca="1">IFERROR(__xludf.DUMMYFUNCTION("""COMPUTED_VALUE"""),-0.549721131288148)</f>
        <v>-0.54972113128814803</v>
      </c>
      <c r="AF161" s="3">
        <f ca="1">IFERROR(__xludf.DUMMYFUNCTION("""COMPUTED_VALUE"""),-0.629552380408273)</f>
        <v>-0.62955238040827299</v>
      </c>
      <c r="AG161" s="3">
        <f ca="1">IFERROR(__xludf.DUMMYFUNCTION("""COMPUTED_VALUE"""),-0.56930130983233)</f>
        <v>-0.56930130983232996</v>
      </c>
      <c r="AH161" s="3">
        <f ca="1">IFERROR(__xludf.DUMMYFUNCTION("""COMPUTED_VALUE"""),-0.528295791850317)</f>
        <v>-0.52829579185031705</v>
      </c>
      <c r="AI161" s="3">
        <f ca="1">IFERROR(__xludf.DUMMYFUNCTION("""COMPUTED_VALUE"""),-0.524619661408935)</f>
        <v>-0.52461966140893501</v>
      </c>
      <c r="AJ161" s="3">
        <f ca="1">IFERROR(__xludf.DUMMYFUNCTION("""COMPUTED_VALUE"""),-0.513326024953982)</f>
        <v>-0.51332602495398205</v>
      </c>
      <c r="AK161" s="3">
        <f ca="1">IFERROR(__xludf.DUMMYFUNCTION("""COMPUTED_VALUE"""),-0.531328105811337)</f>
        <v>-0.53132810581133705</v>
      </c>
      <c r="AL161" s="3">
        <f ca="1">IFERROR(__xludf.DUMMYFUNCTION("""COMPUTED_VALUE"""),-0.536147100647316)</f>
        <v>-0.53614710064731597</v>
      </c>
      <c r="AM161" s="3">
        <f ca="1">IFERROR(__xludf.DUMMYFUNCTION("""COMPUTED_VALUE"""),-0.631597551148022)</f>
        <v>-0.63159755114802196</v>
      </c>
      <c r="AN161" s="3">
        <f ca="1">IFERROR(__xludf.DUMMYFUNCTION("""COMPUTED_VALUE"""),-0.586598354724015)</f>
        <v>-0.586598354724015</v>
      </c>
      <c r="AO161" s="3">
        <f ca="1">IFERROR(__xludf.DUMMYFUNCTION("""COMPUTED_VALUE"""),-0.548329119581572)</f>
        <v>-0.54832911958157204</v>
      </c>
      <c r="AP161" s="3">
        <f ca="1">IFERROR(__xludf.DUMMYFUNCTION("""COMPUTED_VALUE"""),-0.541676635088447)</f>
        <v>-0.54167663508844699</v>
      </c>
      <c r="AQ161" s="3">
        <f ca="1">IFERROR(__xludf.DUMMYFUNCTION("""COMPUTED_VALUE"""),-0.526598240745913)</f>
        <v>-0.52659824074591299</v>
      </c>
      <c r="AR161" s="3">
        <f ca="1">IFERROR(__xludf.DUMMYFUNCTION("""COMPUTED_VALUE"""),-0.537609265896156)</f>
        <v>-0.53760926589615599</v>
      </c>
      <c r="AS161" s="3">
        <f ca="1">IFERROR(__xludf.DUMMYFUNCTION("""COMPUTED_VALUE"""),-0.544035638175429)</f>
        <v>-0.54403563817542899</v>
      </c>
      <c r="AT161" s="3">
        <f ca="1">IFERROR(__xludf.DUMMYFUNCTION("""COMPUTED_VALUE"""),-0.627293269238121)</f>
        <v>-0.62729326923812101</v>
      </c>
      <c r="AU161" s="3">
        <f ca="1">IFERROR(__xludf.DUMMYFUNCTION("""COMPUTED_VALUE"""),-0.596492248140915)</f>
        <v>-0.59649224814091495</v>
      </c>
      <c r="AV161" s="3">
        <f ca="1">IFERROR(__xludf.DUMMYFUNCTION("""COMPUTED_VALUE"""),-0.527032675770529)</f>
        <v>-0.52703267577052904</v>
      </c>
      <c r="AW161" s="3">
        <f ca="1">IFERROR(__xludf.DUMMYFUNCTION("""COMPUTED_VALUE"""),-0.547749913753064)</f>
        <v>-0.54774991375306403</v>
      </c>
      <c r="AX161" s="3">
        <f ca="1">IFERROR(__xludf.DUMMYFUNCTION("""COMPUTED_VALUE"""),-0.532736903655836)</f>
        <v>-0.53273690365583604</v>
      </c>
      <c r="AY161" s="3">
        <f ca="1">IFERROR(__xludf.DUMMYFUNCTION("""COMPUTED_VALUE"""),-0.5422953263217)</f>
        <v>-0.54229532632169997</v>
      </c>
      <c r="AZ161" s="3">
        <f ca="1">IFERROR(__xludf.DUMMYFUNCTION("""COMPUTED_VALUE"""),-0.525182603937264)</f>
        <v>-0.52518260393726401</v>
      </c>
      <c r="BA161" s="3">
        <f ca="1">IFERROR(__xludf.DUMMYFUNCTION("""COMPUTED_VALUE"""),-0.651977074911943)</f>
        <v>-0.65197707491194301</v>
      </c>
      <c r="BB161" s="3">
        <f ca="1">IFERROR(__xludf.DUMMYFUNCTION("""COMPUTED_VALUE"""),-0.619327034451212)</f>
        <v>-0.61932703445121196</v>
      </c>
      <c r="BC161" s="3">
        <f ca="1">IFERROR(__xludf.DUMMYFUNCTION("""COMPUTED_VALUE"""),-0.566038599297432)</f>
        <v>-0.56603859929743205</v>
      </c>
      <c r="BD161" s="3">
        <f ca="1">IFERROR(__xludf.DUMMYFUNCTION("""COMPUTED_VALUE"""),-0.577801854317849)</f>
        <v>-0.57780185431784903</v>
      </c>
      <c r="BE161" s="3">
        <f ca="1">IFERROR(__xludf.DUMMYFUNCTION("""COMPUTED_VALUE"""),-0.504760143162691)</f>
        <v>-0.50476014316269102</v>
      </c>
      <c r="BF161" s="3">
        <f ca="1">IFERROR(__xludf.DUMMYFUNCTION("""COMPUTED_VALUE"""),-0.419493052830592)</f>
        <v>-0.41949305283059202</v>
      </c>
      <c r="BG161" s="3">
        <f ca="1">IFERROR(__xludf.DUMMYFUNCTION("""COMPUTED_VALUE"""),-0.657122114908305)</f>
        <v>-0.65712211490830497</v>
      </c>
      <c r="BH161" s="3">
        <f ca="1">IFERROR(__xludf.DUMMYFUNCTION("""COMPUTED_VALUE"""),-0.623538079144025)</f>
        <v>-0.62353807914402504</v>
      </c>
      <c r="BI161" s="3">
        <f ca="1">IFERROR(__xludf.DUMMYFUNCTION("""COMPUTED_VALUE"""),-0.542248894746832)</f>
        <v>-0.54224889474683202</v>
      </c>
      <c r="BJ161" s="3">
        <f ca="1">IFERROR(__xludf.DUMMYFUNCTION("""COMPUTED_VALUE"""),-0.635657919572181)</f>
        <v>-0.63565791957218098</v>
      </c>
      <c r="BK161" s="3">
        <f ca="1">IFERROR(__xludf.DUMMYFUNCTION("""COMPUTED_VALUE"""),-0.595351222320818)</f>
        <v>-0.59535122232081805</v>
      </c>
      <c r="BL161" s="3">
        <f ca="1">IFERROR(__xludf.DUMMYFUNCTION("""COMPUTED_VALUE"""),-0.580459635618851)</f>
        <v>-0.58045963561885106</v>
      </c>
      <c r="BM161" s="3">
        <f ca="1">IFERROR(__xludf.DUMMYFUNCTION("""COMPUTED_VALUE"""),-0.553834112857317)</f>
        <v>-0.55383411285731698</v>
      </c>
      <c r="BN161" s="3">
        <f ca="1">IFERROR(__xludf.DUMMYFUNCTION("""COMPUTED_VALUE"""),-0.537956621559853)</f>
        <v>-0.53795662155985302</v>
      </c>
      <c r="BO161" s="3">
        <f ca="1">IFERROR(__xludf.DUMMYFUNCTION("""COMPUTED_VALUE"""),-0.614854500868004)</f>
        <v>-0.61485450086800397</v>
      </c>
      <c r="BP161" s="3">
        <f ca="1">IFERROR(__xludf.DUMMYFUNCTION("""COMPUTED_VALUE"""),-0.602618584370672)</f>
        <v>-0.60261858437067195</v>
      </c>
      <c r="BQ161" s="3">
        <f ca="1">IFERROR(__xludf.DUMMYFUNCTION("""COMPUTED_VALUE"""),-0.575496752577124)</f>
        <v>-0.57549675257712396</v>
      </c>
      <c r="BR161" s="3">
        <f ca="1">IFERROR(__xludf.DUMMYFUNCTION("""COMPUTED_VALUE"""),-0.602000414177062)</f>
        <v>-0.60200041417706196</v>
      </c>
      <c r="BS161" s="3">
        <f ca="1">IFERROR(__xludf.DUMMYFUNCTION("""COMPUTED_VALUE"""),-0.566788225242019)</f>
        <v>-0.56678822524201899</v>
      </c>
      <c r="BT161" s="3">
        <f ca="1">IFERROR(__xludf.DUMMYFUNCTION("""COMPUTED_VALUE"""),-0.575654318125679)</f>
        <v>-0.57565431812567902</v>
      </c>
      <c r="BU161" s="3">
        <f ca="1">IFERROR(__xludf.DUMMYFUNCTION("""COMPUTED_VALUE"""),-0.588159149915041)</f>
        <v>-0.58815914991504104</v>
      </c>
      <c r="BV161" s="3">
        <f ca="1">IFERROR(__xludf.DUMMYFUNCTION("""COMPUTED_VALUE"""),-0.641462360422099)</f>
        <v>-0.64146236042209903</v>
      </c>
      <c r="BW161" s="3">
        <f ca="1">IFERROR(__xludf.DUMMYFUNCTION("""COMPUTED_VALUE"""),-0.627483172294643)</f>
        <v>-0.62748317229464301</v>
      </c>
      <c r="BX161" s="3">
        <f ca="1">IFERROR(__xludf.DUMMYFUNCTION("""COMPUTED_VALUE"""),-0.619628064718786)</f>
        <v>-0.61962806471878595</v>
      </c>
      <c r="BY161" s="3">
        <f ca="1">IFERROR(__xludf.DUMMYFUNCTION("""COMPUTED_VALUE"""),-0.622998177534351)</f>
        <v>-0.62299817753435105</v>
      </c>
      <c r="BZ161" s="3">
        <f ca="1">IFERROR(__xludf.DUMMYFUNCTION("""COMPUTED_VALUE"""),-0.615130066685356)</f>
        <v>-0.61513006668535597</v>
      </c>
      <c r="CA161" s="3">
        <f ca="1">IFERROR(__xludf.DUMMYFUNCTION("""COMPUTED_VALUE"""),-0.608627934589113)</f>
        <v>-0.60862793458911302</v>
      </c>
      <c r="CB161" s="3">
        <f ca="1">IFERROR(__xludf.DUMMYFUNCTION("""COMPUTED_VALUE"""),-0.60986070831727)</f>
        <v>-0.60986070831727002</v>
      </c>
      <c r="CC161" s="3">
        <f ca="1">IFERROR(__xludf.DUMMYFUNCTION("""COMPUTED_VALUE"""),-0.660448590090005)</f>
        <v>-0.66044859009000501</v>
      </c>
      <c r="CD161" s="3">
        <f ca="1">IFERROR(__xludf.DUMMYFUNCTION("""COMPUTED_VALUE"""),-0.628790421718256)</f>
        <v>-0.62879042171825605</v>
      </c>
      <c r="CE161" s="3">
        <f ca="1">IFERROR(__xludf.DUMMYFUNCTION("""COMPUTED_VALUE"""),-0.602477924417189)</f>
        <v>-0.60247792441718895</v>
      </c>
      <c r="CF161" s="3">
        <f ca="1">IFERROR(__xludf.DUMMYFUNCTION("""COMPUTED_VALUE"""),-0.628712453890035)</f>
        <v>-0.62871245389003505</v>
      </c>
      <c r="CG161" s="3">
        <f ca="1">IFERROR(__xludf.DUMMYFUNCTION("""COMPUTED_VALUE"""),-0.574173786792916)</f>
        <v>-0.57417378679291597</v>
      </c>
      <c r="CH161" s="3">
        <f ca="1">IFERROR(__xludf.DUMMYFUNCTION("""COMPUTED_VALUE"""),-0.610303229698541)</f>
        <v>-0.61030322969854101</v>
      </c>
      <c r="CI161" s="3">
        <f ca="1">IFERROR(__xludf.DUMMYFUNCTION("""COMPUTED_VALUE"""),-0.605481496158975)</f>
        <v>-0.60548149615897495</v>
      </c>
      <c r="CJ161" s="3">
        <f ca="1">IFERROR(__xludf.DUMMYFUNCTION("""COMPUTED_VALUE"""),-0.626301073781221)</f>
        <v>-0.62630107378122102</v>
      </c>
      <c r="CK161" s="3">
        <f ca="1">IFERROR(__xludf.DUMMYFUNCTION("""COMPUTED_VALUE"""),-0.628664551908977)</f>
        <v>-0.62866455190897697</v>
      </c>
      <c r="CL161" s="3">
        <f ca="1">IFERROR(__xludf.DUMMYFUNCTION("""COMPUTED_VALUE"""),-0.598098836088214)</f>
        <v>-0.59809883608821401</v>
      </c>
      <c r="CM161" s="3">
        <f ca="1">IFERROR(__xludf.DUMMYFUNCTION("""COMPUTED_VALUE"""),-0.615867596907969)</f>
        <v>-0.61586759690796899</v>
      </c>
      <c r="CN161" s="3">
        <f ca="1">IFERROR(__xludf.DUMMYFUNCTION("""COMPUTED_VALUE"""),-0.576566532320031)</f>
        <v>-0.57656653232003097</v>
      </c>
      <c r="CO161" s="3">
        <f ca="1">IFERROR(__xludf.DUMMYFUNCTION("""COMPUTED_VALUE"""),-0.621801661426298)</f>
        <v>-0.621801661426298</v>
      </c>
      <c r="CP161" s="3">
        <f ca="1">IFERROR(__xludf.DUMMYFUNCTION("""COMPUTED_VALUE"""),-0.619340933309742)</f>
        <v>-0.61934093330974205</v>
      </c>
      <c r="CQ161" s="3">
        <f ca="1">IFERROR(__xludf.DUMMYFUNCTION("""COMPUTED_VALUE"""),-0.622823261083264)</f>
        <v>-0.62282326108326402</v>
      </c>
      <c r="CR161" s="3">
        <f ca="1">IFERROR(__xludf.DUMMYFUNCTION("""COMPUTED_VALUE"""),-0.606846909929587)</f>
        <v>-0.60684690992958701</v>
      </c>
      <c r="CS161" s="3">
        <f ca="1">IFERROR(__xludf.DUMMYFUNCTION("""COMPUTED_VALUE"""),-0.559940859257005)</f>
        <v>-0.55994085925700499</v>
      </c>
      <c r="CT161" s="3">
        <f ca="1">IFERROR(__xludf.DUMMYFUNCTION("""COMPUTED_VALUE"""),-0.559314360074538)</f>
        <v>-0.55931436007453805</v>
      </c>
      <c r="CU161" s="3">
        <f ca="1">IFERROR(__xludf.DUMMYFUNCTION("""COMPUTED_VALUE"""),-0.486819051066427)</f>
        <v>-0.48681905106642698</v>
      </c>
      <c r="CV161" s="3">
        <f ca="1">IFERROR(__xludf.DUMMYFUNCTION("""COMPUTED_VALUE"""),-0.579043837659556)</f>
        <v>-0.57904383765955603</v>
      </c>
      <c r="CW161" s="3">
        <f ca="1">IFERROR(__xludf.DUMMYFUNCTION("""COMPUTED_VALUE"""),-0.557105451435427)</f>
        <v>-0.557105451435427</v>
      </c>
      <c r="CX161" s="3">
        <f ca="1">IFERROR(__xludf.DUMMYFUNCTION("""COMPUTED_VALUE"""),-0.612933743250516)</f>
        <v>-0.61293374325051597</v>
      </c>
      <c r="CY161" s="3">
        <f ca="1">IFERROR(__xludf.DUMMYFUNCTION("""COMPUTED_VALUE"""),-0.646754258096717)</f>
        <v>-0.64675425809671705</v>
      </c>
      <c r="CZ161" s="3">
        <f ca="1">IFERROR(__xludf.DUMMYFUNCTION("""COMPUTED_VALUE"""),-0.71026398256065)</f>
        <v>-0.71026398256065004</v>
      </c>
      <c r="DA161" s="3">
        <f ca="1">IFERROR(__xludf.DUMMYFUNCTION("""COMPUTED_VALUE"""),-0.576858517792724)</f>
        <v>-0.57685851779272401</v>
      </c>
      <c r="DB161" s="3">
        <f ca="1">IFERROR(__xludf.DUMMYFUNCTION("""COMPUTED_VALUE"""),-0.54651600170107)</f>
        <v>-0.54651600170106995</v>
      </c>
      <c r="DC161" s="3">
        <f ca="1">IFERROR(__xludf.DUMMYFUNCTION("""COMPUTED_VALUE"""),-0.585147527325527)</f>
        <v>-0.58514752732552699</v>
      </c>
      <c r="DD161" s="3">
        <f ca="1">IFERROR(__xludf.DUMMYFUNCTION("""COMPUTED_VALUE"""),-0.593323061219999)</f>
        <v>-0.593323061219999</v>
      </c>
      <c r="DE161" s="3">
        <f ca="1">IFERROR(__xludf.DUMMYFUNCTION("""COMPUTED_VALUE"""),-0.590015092174052)</f>
        <v>-0.59001509217405201</v>
      </c>
      <c r="DF161" s="3">
        <f ca="1">IFERROR(__xludf.DUMMYFUNCTION("""COMPUTED_VALUE"""),-0.581000763543857)</f>
        <v>-0.58100076354385699</v>
      </c>
      <c r="DG161" s="3">
        <f ca="1">IFERROR(__xludf.DUMMYFUNCTION("""COMPUTED_VALUE"""),-0.836016503705355)</f>
        <v>-0.83601650370535496</v>
      </c>
      <c r="DH161" s="3">
        <f ca="1">IFERROR(__xludf.DUMMYFUNCTION("""COMPUTED_VALUE"""),-0.598768936771645)</f>
        <v>-0.598768936771645</v>
      </c>
      <c r="DI161" s="3">
        <f ca="1">IFERROR(__xludf.DUMMYFUNCTION("""COMPUTED_VALUE"""),-0.380131488123175)</f>
        <v>-0.38013148812317499</v>
      </c>
      <c r="DJ161" s="3">
        <f ca="1">IFERROR(__xludf.DUMMYFUNCTION("""COMPUTED_VALUE"""),-0.455725893585788)</f>
        <v>-0.45572589358578802</v>
      </c>
      <c r="DK161" s="3">
        <f ca="1">IFERROR(__xludf.DUMMYFUNCTION("""COMPUTED_VALUE"""),-0.575073949452652)</f>
        <v>-0.575073949452652</v>
      </c>
      <c r="DL161" s="3">
        <f ca="1">IFERROR(__xludf.DUMMYFUNCTION("""COMPUTED_VALUE"""),-0.59319760249087)</f>
        <v>-0.59319760249086995</v>
      </c>
      <c r="DM161" s="3">
        <f ca="1">IFERROR(__xludf.DUMMYFUNCTION("""COMPUTED_VALUE"""),-0.598478321916254)</f>
        <v>-0.59847832191625405</v>
      </c>
      <c r="DN161" s="3">
        <f ca="1">IFERROR(__xludf.DUMMYFUNCTION("""COMPUTED_VALUE"""),-0.540011026995049)</f>
        <v>-0.54001102699504899</v>
      </c>
      <c r="DO161" s="3">
        <f ca="1">IFERROR(__xludf.DUMMYFUNCTION("""COMPUTED_VALUE"""),-0.480741763252588)</f>
        <v>-0.48074176325258799</v>
      </c>
      <c r="DP161" s="3">
        <f ca="1">IFERROR(__xludf.DUMMYFUNCTION("""COMPUTED_VALUE"""),-0.432462668461793)</f>
        <v>-0.43246266846179299</v>
      </c>
      <c r="DQ161" s="3">
        <f ca="1">IFERROR(__xludf.DUMMYFUNCTION("""COMPUTED_VALUE"""),-0.511536557866813)</f>
        <v>-0.51153655786681296</v>
      </c>
      <c r="DR161" s="3">
        <f ca="1">IFERROR(__xludf.DUMMYFUNCTION("""COMPUTED_VALUE"""),-0.524630831279865)</f>
        <v>-0.52463083127986498</v>
      </c>
      <c r="DS161" s="3">
        <f ca="1">IFERROR(__xludf.DUMMYFUNCTION("""COMPUTED_VALUE"""),-0.655777961088228)</f>
        <v>-0.65577796108822795</v>
      </c>
      <c r="DT161" s="3">
        <f ca="1">IFERROR(__xludf.DUMMYFUNCTION("""COMPUTED_VALUE"""),-0.618863810047058)</f>
        <v>-0.61886381004705804</v>
      </c>
      <c r="DU161" s="3">
        <f ca="1">IFERROR(__xludf.DUMMYFUNCTION("""COMPUTED_VALUE"""),-0.586121602561705)</f>
        <v>-0.58612160256170498</v>
      </c>
      <c r="DV161" s="3">
        <f ca="1">IFERROR(__xludf.DUMMYFUNCTION("""COMPUTED_VALUE"""),-0.558945394293089)</f>
        <v>-0.55894539429308898</v>
      </c>
      <c r="DW161" s="3">
        <f ca="1">IFERROR(__xludf.DUMMYFUNCTION("""COMPUTED_VALUE"""),-0.585237855721053)</f>
        <v>-0.58523785572105302</v>
      </c>
      <c r="DX161" s="3">
        <f ca="1">IFERROR(__xludf.DUMMYFUNCTION("""COMPUTED_VALUE"""),-0.585430550148817)</f>
        <v>-0.58543055014881695</v>
      </c>
      <c r="DY161" s="3">
        <f ca="1">IFERROR(__xludf.DUMMYFUNCTION("""COMPUTED_VALUE"""),-0.582748245482827)</f>
        <v>-0.582748245482827</v>
      </c>
      <c r="DZ161" s="3">
        <f ca="1">IFERROR(__xludf.DUMMYFUNCTION("""COMPUTED_VALUE"""),-0.661407172275342)</f>
        <v>-0.66140717227534196</v>
      </c>
      <c r="EA161" s="3">
        <f ca="1">IFERROR(__xludf.DUMMYFUNCTION("""COMPUTED_VALUE"""),-0.643291995473909)</f>
        <v>-0.64329199547390903</v>
      </c>
      <c r="EB161" s="3">
        <f ca="1">IFERROR(__xludf.DUMMYFUNCTION("""COMPUTED_VALUE"""),-0.595668470881064)</f>
        <v>-0.595668470881064</v>
      </c>
      <c r="EC161" s="3">
        <f ca="1">IFERROR(__xludf.DUMMYFUNCTION("""COMPUTED_VALUE"""),-0.601039211413449)</f>
        <v>-0.60103921141344896</v>
      </c>
      <c r="ED161" s="3">
        <f ca="1">IFERROR(__xludf.DUMMYFUNCTION("""COMPUTED_VALUE"""),-0.590579713728858)</f>
        <v>-0.59057971372885798</v>
      </c>
      <c r="EE161" s="3">
        <f ca="1">IFERROR(__xludf.DUMMYFUNCTION("""COMPUTED_VALUE"""),-0.557265079021651)</f>
        <v>-0.55726507902165101</v>
      </c>
      <c r="EF161" s="3">
        <f ca="1">IFERROR(__xludf.DUMMYFUNCTION("""COMPUTED_VALUE"""),-0.553840072828892)</f>
        <v>-0.55384007282889203</v>
      </c>
      <c r="EG161" s="3">
        <f ca="1">IFERROR(__xludf.DUMMYFUNCTION("""COMPUTED_VALUE"""),-0.662271214128165)</f>
        <v>-0.66227121412816503</v>
      </c>
      <c r="EH161" s="3">
        <f ca="1">IFERROR(__xludf.DUMMYFUNCTION("""COMPUTED_VALUE"""),-0.654094536034719)</f>
        <v>-0.65409453603471901</v>
      </c>
      <c r="EI161" s="3">
        <f ca="1">IFERROR(__xludf.DUMMYFUNCTION("""COMPUTED_VALUE"""),-0.595614145169505)</f>
        <v>-0.59561414516950495</v>
      </c>
      <c r="EJ161" s="3">
        <f ca="1">IFERROR(__xludf.DUMMYFUNCTION("""COMPUTED_VALUE"""),-0.580117483810456)</f>
        <v>-0.58011748381045602</v>
      </c>
      <c r="EK161" s="3">
        <f ca="1">IFERROR(__xludf.DUMMYFUNCTION("""COMPUTED_VALUE"""),-0.571189649645959)</f>
        <v>-0.57118964964595897</v>
      </c>
      <c r="EL161" s="3">
        <f ca="1">IFERROR(__xludf.DUMMYFUNCTION("""COMPUTED_VALUE"""),-0.591169267887378)</f>
        <v>-0.591169267887378</v>
      </c>
      <c r="EM161" s="3">
        <f ca="1">IFERROR(__xludf.DUMMYFUNCTION("""COMPUTED_VALUE"""),-0.556860343393023)</f>
        <v>-0.55686034339302304</v>
      </c>
      <c r="EN161" s="3">
        <f ca="1">IFERROR(__xludf.DUMMYFUNCTION("""COMPUTED_VALUE"""),-0.666485538606413)</f>
        <v>-0.66648553860641302</v>
      </c>
      <c r="EO161" s="3">
        <f ca="1">IFERROR(__xludf.DUMMYFUNCTION("""COMPUTED_VALUE"""),-0.662070755688451)</f>
        <v>-0.66207075568845097</v>
      </c>
      <c r="EP161" s="3">
        <f ca="1">IFERROR(__xludf.DUMMYFUNCTION("""COMPUTED_VALUE"""),-0.623525358111095)</f>
        <v>-0.623525358111095</v>
      </c>
      <c r="EQ161" s="3">
        <f ca="1">IFERROR(__xludf.DUMMYFUNCTION("""COMPUTED_VALUE"""),-0.544735534574259)</f>
        <v>-0.54473553457425905</v>
      </c>
      <c r="ER161" s="3">
        <f ca="1">IFERROR(__xludf.DUMMYFUNCTION("""COMPUTED_VALUE"""),-0.511888204377202)</f>
        <v>-0.51188820437720195</v>
      </c>
      <c r="ES161" s="3">
        <f ca="1">IFERROR(__xludf.DUMMYFUNCTION("""COMPUTED_VALUE"""),-0.533721250360263)</f>
        <v>-0.53372125036026297</v>
      </c>
      <c r="ET161" s="3">
        <f ca="1">IFERROR(__xludf.DUMMYFUNCTION("""COMPUTED_VALUE"""),-0.522031121315646)</f>
        <v>-0.522031121315646</v>
      </c>
      <c r="EU161" s="3">
        <f ca="1">IFERROR(__xludf.DUMMYFUNCTION("""COMPUTED_VALUE"""),-0.592376563180411)</f>
        <v>-0.59237656318041099</v>
      </c>
      <c r="EV161" s="3">
        <f ca="1">IFERROR(__xludf.DUMMYFUNCTION("""COMPUTED_VALUE"""),-0.599359132303884)</f>
        <v>-0.59935913230388405</v>
      </c>
      <c r="EW161" s="3">
        <f ca="1">IFERROR(__xludf.DUMMYFUNCTION("""COMPUTED_VALUE"""),-0.569829072908892)</f>
        <v>-0.56982907290889195</v>
      </c>
      <c r="EX161" s="3">
        <f ca="1">IFERROR(__xludf.DUMMYFUNCTION("""COMPUTED_VALUE"""),-0.555370569452285)</f>
        <v>-0.55537056945228502</v>
      </c>
      <c r="EY161" s="3">
        <f ca="1">IFERROR(__xludf.DUMMYFUNCTION("""COMPUTED_VALUE"""),-0.644797535399769)</f>
        <v>-0.64479753539976903</v>
      </c>
      <c r="EZ161" s="3">
        <f ca="1">IFERROR(__xludf.DUMMYFUNCTION("""COMPUTED_VALUE"""),-0.519270396513666)</f>
        <v>-0.51927039651366602</v>
      </c>
      <c r="FA161" s="3">
        <f ca="1">IFERROR(__xludf.DUMMYFUNCTION("""COMPUTED_VALUE"""),-0.50944619649585)</f>
        <v>-0.50944619649584999</v>
      </c>
      <c r="FB161" s="3">
        <f ca="1">IFERROR(__xludf.DUMMYFUNCTION("""COMPUTED_VALUE"""),-0.569735488015849)</f>
        <v>-0.56973548801584895</v>
      </c>
      <c r="FC161" s="3">
        <f ca="1">IFERROR(__xludf.DUMMYFUNCTION("""COMPUTED_VALUE"""),-0.574439466381076)</f>
        <v>-0.57443946638107601</v>
      </c>
      <c r="FD161" s="3">
        <f ca="1">IFERROR(__xludf.DUMMYFUNCTION("""COMPUTED_VALUE"""),-0.535613194606137)</f>
        <v>-0.53561319460613699</v>
      </c>
      <c r="FE161" s="3">
        <f ca="1">IFERROR(__xludf.DUMMYFUNCTION("""COMPUTED_VALUE"""),-0.568812387577085)</f>
        <v>-0.56881238757708497</v>
      </c>
      <c r="FF161" s="3">
        <f ca="1">IFERROR(__xludf.DUMMYFUNCTION("""COMPUTED_VALUE"""),-0.542369637933291)</f>
        <v>-0.54236963793329096</v>
      </c>
      <c r="FG161" s="3">
        <f ca="1">IFERROR(__xludf.DUMMYFUNCTION("""COMPUTED_VALUE"""),-0.555147577735237)</f>
        <v>-0.55514757773523704</v>
      </c>
      <c r="FH161" s="3">
        <f ca="1">IFERROR(__xludf.DUMMYFUNCTION("""COMPUTED_VALUE"""),-0.517867907051471)</f>
        <v>-0.51786790705147101</v>
      </c>
      <c r="FI161" s="3">
        <f ca="1">IFERROR(__xludf.DUMMYFUNCTION("""COMPUTED_VALUE"""),-0.559717642792068)</f>
        <v>-0.55971764279206804</v>
      </c>
      <c r="FJ161" s="3">
        <f ca="1">IFERROR(__xludf.DUMMYFUNCTION("""COMPUTED_VALUE"""),-0.531266852881705)</f>
        <v>-0.53126685288170505</v>
      </c>
      <c r="FK161" s="3">
        <f ca="1">IFERROR(__xludf.DUMMYFUNCTION("""COMPUTED_VALUE"""),-0.549965036075189)</f>
        <v>-0.54996503607518898</v>
      </c>
      <c r="FL161" s="3">
        <f ca="1">IFERROR(__xludf.DUMMYFUNCTION("""COMPUTED_VALUE"""),-0.581006251436657)</f>
        <v>-0.58100625143665696</v>
      </c>
      <c r="FM161" s="3">
        <f ca="1">IFERROR(__xludf.DUMMYFUNCTION("""COMPUTED_VALUE"""),-0.547955069026505)</f>
        <v>-0.54795506902650504</v>
      </c>
      <c r="FN161" s="3">
        <f ca="1">IFERROR(__xludf.DUMMYFUNCTION("""COMPUTED_VALUE"""),-0.565860143842676)</f>
        <v>-0.56586014384267602</v>
      </c>
      <c r="FO161" s="3">
        <f ca="1">IFERROR(__xludf.DUMMYFUNCTION("""COMPUTED_VALUE"""),-0.557350827681547)</f>
        <v>-0.55735082768154698</v>
      </c>
      <c r="FP161" s="3">
        <f ca="1">IFERROR(__xludf.DUMMYFUNCTION("""COMPUTED_VALUE"""),-0.592866897459017)</f>
        <v>-0.59286689745901699</v>
      </c>
      <c r="FQ161" s="3">
        <f ca="1">IFERROR(__xludf.DUMMYFUNCTION("""COMPUTED_VALUE"""),-0.558636263221584)</f>
        <v>-0.558636263221584</v>
      </c>
      <c r="FR161" s="3">
        <f ca="1">IFERROR(__xludf.DUMMYFUNCTION("""COMPUTED_VALUE"""),-0.607590703881594)</f>
        <v>-0.60759070388159397</v>
      </c>
      <c r="FS161" s="3">
        <f ca="1">IFERROR(__xludf.DUMMYFUNCTION("""COMPUTED_VALUE"""),-0.562026570941652)</f>
        <v>-0.56202657094165198</v>
      </c>
      <c r="FT161" s="3">
        <f ca="1">IFERROR(__xludf.DUMMYFUNCTION("""COMPUTED_VALUE"""),-0.530949747332285)</f>
        <v>-0.53094974733228495</v>
      </c>
      <c r="FU161" s="3">
        <f ca="1">IFERROR(__xludf.DUMMYFUNCTION("""COMPUTED_VALUE"""),-0.543704382713105)</f>
        <v>-0.54370438271310495</v>
      </c>
      <c r="FV161" s="3">
        <f ca="1">IFERROR(__xludf.DUMMYFUNCTION("""COMPUTED_VALUE"""),-0.487062607752342)</f>
        <v>-0.487062607752342</v>
      </c>
      <c r="FW161" s="3">
        <f ca="1">IFERROR(__xludf.DUMMYFUNCTION("""COMPUTED_VALUE"""),-0.591714277018816)</f>
        <v>-0.59171427701881596</v>
      </c>
      <c r="FX161" s="3">
        <f ca="1">IFERROR(__xludf.DUMMYFUNCTION("""COMPUTED_VALUE"""),-0.58007419234905)</f>
        <v>-0.58007419234905</v>
      </c>
      <c r="FY161" s="3">
        <f ca="1">IFERROR(__xludf.DUMMYFUNCTION("""COMPUTED_VALUE"""),-0.562838710414022)</f>
        <v>-0.562838710414022</v>
      </c>
      <c r="FZ161" s="3">
        <f ca="1">IFERROR(__xludf.DUMMYFUNCTION("""COMPUTED_VALUE"""),-0.561688841404598)</f>
        <v>-0.56168884140459796</v>
      </c>
      <c r="GA161" s="3">
        <f ca="1">IFERROR(__xludf.DUMMYFUNCTION("""COMPUTED_VALUE"""),-0.55184986807551)</f>
        <v>-0.55184986807550995</v>
      </c>
      <c r="GB161" s="3">
        <f ca="1">IFERROR(__xludf.DUMMYFUNCTION("""COMPUTED_VALUE"""),-0.564886570522057)</f>
        <v>-0.56488657052205704</v>
      </c>
      <c r="GC161" s="3">
        <f ca="1">IFERROR(__xludf.DUMMYFUNCTION("""COMPUTED_VALUE"""),-0.631657733784631)</f>
        <v>-0.63165773378463097</v>
      </c>
      <c r="GD161" s="3">
        <f ca="1">IFERROR(__xludf.DUMMYFUNCTION("""COMPUTED_VALUE"""),-0.631845188679714)</f>
        <v>-0.63184518867971395</v>
      </c>
      <c r="GE161" s="3">
        <f ca="1">IFERROR(__xludf.DUMMYFUNCTION("""COMPUTED_VALUE"""),-0.569033617090078)</f>
        <v>-0.56903361709007805</v>
      </c>
      <c r="GF161" s="3">
        <f ca="1">IFERROR(__xludf.DUMMYFUNCTION("""COMPUTED_VALUE"""),-0.546136239770753)</f>
        <v>-0.54613623977075298</v>
      </c>
      <c r="GG161" s="3">
        <f ca="1">IFERROR(__xludf.DUMMYFUNCTION("""COMPUTED_VALUE"""),-0.525187932063555)</f>
        <v>-0.52518793206355496</v>
      </c>
      <c r="GH161" s="3">
        <f ca="1">IFERROR(__xludf.DUMMYFUNCTION("""COMPUTED_VALUE"""),-0.535281176354438)</f>
        <v>-0.53528117635443795</v>
      </c>
      <c r="GI161" s="3">
        <f ca="1">IFERROR(__xludf.DUMMYFUNCTION("""COMPUTED_VALUE"""),-0.515105180069375)</f>
        <v>-0.515105180069375</v>
      </c>
      <c r="GJ161" s="3">
        <f ca="1">IFERROR(__xludf.DUMMYFUNCTION("""COMPUTED_VALUE"""),-0.465078723556914)</f>
        <v>-0.46507872355691399</v>
      </c>
      <c r="GK161" s="3">
        <f ca="1">IFERROR(__xludf.DUMMYFUNCTION("""COMPUTED_VALUE"""),-0.562242077163079)</f>
        <v>-0.56224207716307895</v>
      </c>
      <c r="GL161" s="3">
        <f ca="1">IFERROR(__xludf.DUMMYFUNCTION("""COMPUTED_VALUE"""),-0.559711832050764)</f>
        <v>-0.55971183205076402</v>
      </c>
      <c r="GM161" s="3">
        <f ca="1">IFERROR(__xludf.DUMMYFUNCTION("""COMPUTED_VALUE"""),-0.568294374079266)</f>
        <v>-0.56829437407926597</v>
      </c>
      <c r="GN161" s="3">
        <f ca="1">IFERROR(__xludf.DUMMYFUNCTION("""COMPUTED_VALUE"""),-0.538908272340784)</f>
        <v>-0.53890827234078398</v>
      </c>
      <c r="GO161" s="3">
        <f ca="1">IFERROR(__xludf.DUMMYFUNCTION("""COMPUTED_VALUE"""),-0.534141826858688)</f>
        <v>-0.53414182685868805</v>
      </c>
      <c r="GP161" s="3">
        <f ca="1">IFERROR(__xludf.DUMMYFUNCTION("""COMPUTED_VALUE"""),-0.514425068424635)</f>
        <v>-0.51442506842463498</v>
      </c>
      <c r="GQ161" s="3">
        <f ca="1">IFERROR(__xludf.DUMMYFUNCTION("""COMPUTED_VALUE"""),-0.549599932461075)</f>
        <v>-0.54959993246107497</v>
      </c>
      <c r="GR161" s="3">
        <f ca="1">IFERROR(__xludf.DUMMYFUNCTION("""COMPUTED_VALUE"""),-0.570844266583526)</f>
        <v>-0.57084426658352605</v>
      </c>
      <c r="GS161" s="3">
        <f ca="1">IFERROR(__xludf.DUMMYFUNCTION("""COMPUTED_VALUE"""),-0.595130902676152)</f>
        <v>-0.59513090267615198</v>
      </c>
      <c r="GT161" s="3">
        <f ca="1">IFERROR(__xludf.DUMMYFUNCTION("""COMPUTED_VALUE"""),-0.590676275063791)</f>
        <v>-0.59067627506379095</v>
      </c>
      <c r="GU161" s="3">
        <f ca="1">IFERROR(__xludf.DUMMYFUNCTION("""COMPUTED_VALUE"""),-0.550867826250843)</f>
        <v>-0.55086782625084296</v>
      </c>
      <c r="GV161" s="3">
        <f ca="1">IFERROR(__xludf.DUMMYFUNCTION("""COMPUTED_VALUE"""),-0.551757391464144)</f>
        <v>-0.55175739146414404</v>
      </c>
      <c r="GW161" s="3">
        <f ca="1">IFERROR(__xludf.DUMMYFUNCTION("""COMPUTED_VALUE"""),-0.511137557581651)</f>
        <v>-0.51113755758165103</v>
      </c>
      <c r="GX161" s="3">
        <f ca="1">IFERROR(__xludf.DUMMYFUNCTION("""COMPUTED_VALUE"""),-0.516882238167637)</f>
        <v>-0.51688223816763701</v>
      </c>
      <c r="GY161" s="3">
        <f ca="1">IFERROR(__xludf.DUMMYFUNCTION("""COMPUTED_VALUE"""),-0.554198245697943)</f>
        <v>-0.55419824569794296</v>
      </c>
      <c r="GZ161" s="3">
        <f ca="1">IFERROR(__xludf.DUMMYFUNCTION("""COMPUTED_VALUE"""),-0.579023472871313)</f>
        <v>-0.57902347287131295</v>
      </c>
      <c r="HA161" s="3">
        <f ca="1">IFERROR(__xludf.DUMMYFUNCTION("""COMPUTED_VALUE"""),-0.565701447137462)</f>
        <v>-0.56570144713746195</v>
      </c>
      <c r="HB161" s="3">
        <f ca="1">IFERROR(__xludf.DUMMYFUNCTION("""COMPUTED_VALUE"""),-0.511728417914123)</f>
        <v>-0.51172841791412305</v>
      </c>
      <c r="HC161" s="3">
        <f ca="1">IFERROR(__xludf.DUMMYFUNCTION("""COMPUTED_VALUE"""),-0.510472987239796)</f>
        <v>-0.51047298723979595</v>
      </c>
      <c r="HD161" s="3">
        <f ca="1">IFERROR(__xludf.DUMMYFUNCTION("""COMPUTED_VALUE"""),-0.511802868212731)</f>
        <v>-0.51180286821273102</v>
      </c>
      <c r="HE161" s="3">
        <f ca="1">IFERROR(__xludf.DUMMYFUNCTION("""COMPUTED_VALUE"""),-0.521382214887012)</f>
        <v>-0.52138221488701197</v>
      </c>
      <c r="HF161" s="3">
        <f ca="1">IFERROR(__xludf.DUMMYFUNCTION("""COMPUTED_VALUE"""),-0.584729709796687)</f>
        <v>-0.58472970979668704</v>
      </c>
      <c r="HG161" s="3">
        <f ca="1">IFERROR(__xludf.DUMMYFUNCTION("""COMPUTED_VALUE"""),-0.602428563706349)</f>
        <v>-0.60242856370634901</v>
      </c>
      <c r="HH161" s="3">
        <f ca="1">IFERROR(__xludf.DUMMYFUNCTION("""COMPUTED_VALUE"""),-0.542983092596186)</f>
        <v>-0.54298309259618605</v>
      </c>
      <c r="HI161" s="3">
        <f ca="1">IFERROR(__xludf.DUMMYFUNCTION("""COMPUTED_VALUE"""),-0.514223019877133)</f>
        <v>-0.51422301987713304</v>
      </c>
      <c r="HJ161" s="3">
        <f ca="1">IFERROR(__xludf.DUMMYFUNCTION("""COMPUTED_VALUE"""),-0.579772881875593)</f>
        <v>-0.57977288187559295</v>
      </c>
      <c r="HK161" s="3">
        <f ca="1">IFERROR(__xludf.DUMMYFUNCTION("""COMPUTED_VALUE"""),-0.57173925509041)</f>
        <v>-0.57173925509041001</v>
      </c>
      <c r="HL161" s="3">
        <f ca="1">IFERROR(__xludf.DUMMYFUNCTION("""COMPUTED_VALUE"""),-0.613523404532731)</f>
        <v>-0.61352340453273102</v>
      </c>
      <c r="HM161" s="3">
        <f ca="1">IFERROR(__xludf.DUMMYFUNCTION("""COMPUTED_VALUE"""),-0.544344771900873)</f>
        <v>-0.54434477190087305</v>
      </c>
      <c r="HN161" s="3">
        <f ca="1">IFERROR(__xludf.DUMMYFUNCTION("""COMPUTED_VALUE"""),-0.577515353410353)</f>
        <v>-0.57751535341035298</v>
      </c>
      <c r="HO161" s="3">
        <f ca="1">IFERROR(__xludf.DUMMYFUNCTION("""COMPUTED_VALUE"""),-0.58250002315062)</f>
        <v>-0.58250002315061999</v>
      </c>
      <c r="HP161" s="3">
        <f ca="1">IFERROR(__xludf.DUMMYFUNCTION("""COMPUTED_VALUE"""),-0.569315607766503)</f>
        <v>-0.56931560776650303</v>
      </c>
      <c r="HQ161" s="3">
        <f ca="1">IFERROR(__xludf.DUMMYFUNCTION("""COMPUTED_VALUE"""),-0.596430509255464)</f>
        <v>-0.59643050925546404</v>
      </c>
      <c r="HR161" s="3">
        <f ca="1">IFERROR(__xludf.DUMMYFUNCTION("""COMPUTED_VALUE"""),-0.593016830654261)</f>
        <v>-0.59301683065426103</v>
      </c>
      <c r="HS161" s="3">
        <f ca="1">IFERROR(__xludf.DUMMYFUNCTION("""COMPUTED_VALUE"""),-0.541080105054167)</f>
        <v>-0.54108010505416704</v>
      </c>
      <c r="HT161" s="3">
        <f ca="1">IFERROR(__xludf.DUMMYFUNCTION("""COMPUTED_VALUE"""),-0.526049531283773)</f>
        <v>-0.52604953128377296</v>
      </c>
      <c r="HU161" s="3">
        <f ca="1">IFERROR(__xludf.DUMMYFUNCTION("""COMPUTED_VALUE"""),-0.519173007253422)</f>
        <v>-0.51917300725342197</v>
      </c>
      <c r="HV161" s="3">
        <f ca="1">IFERROR(__xludf.DUMMYFUNCTION("""COMPUTED_VALUE"""),-0.524300435583994)</f>
        <v>-0.52430043558399397</v>
      </c>
      <c r="HW161" s="3">
        <f ca="1">IFERROR(__xludf.DUMMYFUNCTION("""COMPUTED_VALUE"""),-0.534757083803014)</f>
        <v>-0.53475708380301401</v>
      </c>
      <c r="HX161" s="3">
        <f ca="1">IFERROR(__xludf.DUMMYFUNCTION("""COMPUTED_VALUE"""),-0.540940612834396)</f>
        <v>-0.54094061283439598</v>
      </c>
      <c r="HY161" s="3">
        <f ca="1">IFERROR(__xludf.DUMMYFUNCTION("""COMPUTED_VALUE"""),-0.551678640090401)</f>
        <v>-0.55167864009040102</v>
      </c>
      <c r="HZ161" s="3">
        <f ca="1">IFERROR(__xludf.DUMMYFUNCTION("""COMPUTED_VALUE"""),-0.455500181427028)</f>
        <v>-0.45550018142702797</v>
      </c>
      <c r="IA161" s="3">
        <f ca="1">IFERROR(__xludf.DUMMYFUNCTION("""COMPUTED_VALUE"""),-0.473455052993941)</f>
        <v>-0.47345505299394097</v>
      </c>
      <c r="IB161" s="3">
        <f ca="1">IFERROR(__xludf.DUMMYFUNCTION("""COMPUTED_VALUE"""),-0.440375479209241)</f>
        <v>-0.44037547920924103</v>
      </c>
      <c r="IC161" s="3">
        <f ca="1">IFERROR(__xludf.DUMMYFUNCTION("""COMPUTED_VALUE"""),-0.446451202005311)</f>
        <v>-0.44645120200531102</v>
      </c>
      <c r="ID161" s="3">
        <f ca="1">IFERROR(__xludf.DUMMYFUNCTION("""COMPUTED_VALUE"""),-0.434107107618515)</f>
        <v>-0.43410710761851501</v>
      </c>
      <c r="IE161" s="3">
        <f ca="1">IFERROR(__xludf.DUMMYFUNCTION("""COMPUTED_VALUE"""),-0.410715130259607)</f>
        <v>-0.41071513025960699</v>
      </c>
      <c r="IF161" s="3">
        <f ca="1">IFERROR(__xludf.DUMMYFUNCTION("""COMPUTED_VALUE"""),-0.409856206785717)</f>
        <v>-0.40985620678571699</v>
      </c>
      <c r="IG161" s="3">
        <f ca="1">IFERROR(__xludf.DUMMYFUNCTION("""COMPUTED_VALUE"""),-0.389478360467516)</f>
        <v>-0.38947836046751599</v>
      </c>
      <c r="IH161" s="3">
        <f ca="1">IFERROR(__xludf.DUMMYFUNCTION("""COMPUTED_VALUE"""),-0.395000152977215)</f>
        <v>-0.39500015297721502</v>
      </c>
      <c r="II161" s="3">
        <f ca="1">IFERROR(__xludf.DUMMYFUNCTION("""COMPUTED_VALUE"""),-0.38689804965639)</f>
        <v>-0.38689804965639002</v>
      </c>
      <c r="IJ161" s="3">
        <f ca="1">IFERROR(__xludf.DUMMYFUNCTION("""COMPUTED_VALUE"""),-0.38790222384218)</f>
        <v>-0.38790222384217998</v>
      </c>
      <c r="IK161" s="3">
        <f ca="1">IFERROR(__xludf.DUMMYFUNCTION("""COMPUTED_VALUE"""),-0.40637645066999)</f>
        <v>-0.40637645066999001</v>
      </c>
      <c r="IL161" s="3">
        <f ca="1">IFERROR(__xludf.DUMMYFUNCTION("""COMPUTED_VALUE"""),-0.422589374769405)</f>
        <v>-0.422589374769405</v>
      </c>
      <c r="IM161" s="3">
        <f ca="1">IFERROR(__xludf.DUMMYFUNCTION("""COMPUTED_VALUE"""),-0.426566225340966)</f>
        <v>-0.426566225340966</v>
      </c>
      <c r="IN161" s="3">
        <f ca="1">IFERROR(__xludf.DUMMYFUNCTION("""COMPUTED_VALUE"""),-0.383597889708714)</f>
        <v>-0.383597889708714</v>
      </c>
      <c r="IO161" s="3">
        <f ca="1">IFERROR(__xludf.DUMMYFUNCTION("""COMPUTED_VALUE"""),-0.430996738645585)</f>
        <v>-0.43099673864558502</v>
      </c>
      <c r="IP161" s="3">
        <f ca="1">IFERROR(__xludf.DUMMYFUNCTION("""COMPUTED_VALUE"""),-0.420680087178797)</f>
        <v>-0.42068008717879701</v>
      </c>
      <c r="IQ161" s="3">
        <f ca="1">IFERROR(__xludf.DUMMYFUNCTION("""COMPUTED_VALUE"""),-0.422903315772436)</f>
        <v>-0.42290331577243601</v>
      </c>
      <c r="IR161" s="3">
        <f ca="1">IFERROR(__xludf.DUMMYFUNCTION("""COMPUTED_VALUE"""),-0.438566370355573)</f>
        <v>-0.438566370355573</v>
      </c>
      <c r="IS161" s="3">
        <f ca="1">IFERROR(__xludf.DUMMYFUNCTION("""COMPUTED_VALUE"""),-0.416891151609102)</f>
        <v>-0.41689115160910201</v>
      </c>
      <c r="IT161" s="3">
        <f ca="1">IFERROR(__xludf.DUMMYFUNCTION("""COMPUTED_VALUE"""),-0.421713287316403)</f>
        <v>-0.42171328731640301</v>
      </c>
      <c r="IU161" s="3">
        <f ca="1">IFERROR(__xludf.DUMMYFUNCTION("""COMPUTED_VALUE"""),-0.513873770302116)</f>
        <v>-0.51387377030211601</v>
      </c>
      <c r="IV161" s="3">
        <f ca="1">IFERROR(__xludf.DUMMYFUNCTION("""COMPUTED_VALUE"""),-0.455884393864547)</f>
        <v>-0.45588439386454699</v>
      </c>
      <c r="IW161" s="3">
        <f ca="1">IFERROR(__xludf.DUMMYFUNCTION("""COMPUTED_VALUE"""),-0.425793071225167)</f>
        <v>-0.42579307122516702</v>
      </c>
      <c r="IX161" s="3">
        <f ca="1">IFERROR(__xludf.DUMMYFUNCTION("""COMPUTED_VALUE"""),-0.44786687970516)</f>
        <v>-0.44786687970515998</v>
      </c>
      <c r="IY161" s="3">
        <f ca="1">IFERROR(__xludf.DUMMYFUNCTION("""COMPUTED_VALUE"""),-0.484356961488368)</f>
        <v>-0.48435696148836799</v>
      </c>
      <c r="IZ161" s="3">
        <f ca="1">IFERROR(__xludf.DUMMYFUNCTION("""COMPUTED_VALUE"""),-0.46630309407438)</f>
        <v>-0.46630309407437998</v>
      </c>
      <c r="JA161" s="3">
        <f ca="1">IFERROR(__xludf.DUMMYFUNCTION("""COMPUTED_VALUE"""),-0.456045651378443)</f>
        <v>-0.456045651378443</v>
      </c>
      <c r="JB161" s="3">
        <f ca="1">IFERROR(__xludf.DUMMYFUNCTION("""COMPUTED_VALUE"""),-0.440041091620346)</f>
        <v>-0.44004109162034599</v>
      </c>
      <c r="JC161" s="3">
        <f ca="1">IFERROR(__xludf.DUMMYFUNCTION("""COMPUTED_VALUE"""),-0.476041947207552)</f>
        <v>-0.476041947207552</v>
      </c>
      <c r="JD161" s="3">
        <f ca="1">IFERROR(__xludf.DUMMYFUNCTION("""COMPUTED_VALUE"""),-0.46361531847704)</f>
        <v>-0.46361531847704002</v>
      </c>
      <c r="JE161" s="3">
        <f ca="1">IFERROR(__xludf.DUMMYFUNCTION("""COMPUTED_VALUE"""),-0.465502602570882)</f>
        <v>-0.465502602570882</v>
      </c>
      <c r="JF161" s="3">
        <f ca="1">IFERROR(__xludf.DUMMYFUNCTION("""COMPUTED_VALUE"""),-0.488859073900191)</f>
        <v>-0.48885907390019101</v>
      </c>
      <c r="JG161" s="3">
        <f ca="1">IFERROR(__xludf.DUMMYFUNCTION("""COMPUTED_VALUE"""),-0.442806163741899)</f>
        <v>-0.44280616374189902</v>
      </c>
      <c r="JH161" s="3">
        <f ca="1">IFERROR(__xludf.DUMMYFUNCTION("""COMPUTED_VALUE"""),-0.438954960278081)</f>
        <v>-0.43895496027808101</v>
      </c>
      <c r="JI161" s="3">
        <f ca="1">IFERROR(__xludf.DUMMYFUNCTION("""COMPUTED_VALUE"""),-0.42479502341617)</f>
        <v>-0.42479502341616998</v>
      </c>
      <c r="JJ161" s="3">
        <f ca="1">IFERROR(__xludf.DUMMYFUNCTION("""COMPUTED_VALUE"""),-0.483897082527929)</f>
        <v>-0.48389708252792901</v>
      </c>
      <c r="JK161" s="3">
        <f ca="1">IFERROR(__xludf.DUMMYFUNCTION("""COMPUTED_VALUE"""),-0.451297056532291)</f>
        <v>-0.45129705653229102</v>
      </c>
      <c r="JL161" s="3">
        <f ca="1">IFERROR(__xludf.DUMMYFUNCTION("""COMPUTED_VALUE"""),-0.456114500413912)</f>
        <v>-0.45611450041391199</v>
      </c>
      <c r="JM161" s="3">
        <f ca="1">IFERROR(__xludf.DUMMYFUNCTION("""COMPUTED_VALUE"""),-0.484099719988173)</f>
        <v>-0.48409971998817303</v>
      </c>
      <c r="JN161" s="3">
        <f ca="1">IFERROR(__xludf.DUMMYFUNCTION("""COMPUTED_VALUE"""),-0.441329820348288)</f>
        <v>-0.44132982034828799</v>
      </c>
      <c r="JO161" s="3">
        <f ca="1">IFERROR(__xludf.DUMMYFUNCTION("""COMPUTED_VALUE"""),-0.440855692449997)</f>
        <v>-0.44085569244999701</v>
      </c>
      <c r="JP161" s="3">
        <f ca="1">IFERROR(__xludf.DUMMYFUNCTION("""COMPUTED_VALUE"""),-0.455274287797699)</f>
        <v>-0.45527428779769902</v>
      </c>
      <c r="JQ161" s="3">
        <f ca="1">IFERROR(__xludf.DUMMYFUNCTION("""COMPUTED_VALUE"""),-0.517200288549703)</f>
        <v>-0.51720028854970301</v>
      </c>
      <c r="JR161" s="3">
        <f ca="1">IFERROR(__xludf.DUMMYFUNCTION("""COMPUTED_VALUE"""),-0.492856396674437)</f>
        <v>-0.49285639667443698</v>
      </c>
      <c r="JS161" s="3">
        <f ca="1">IFERROR(__xludf.DUMMYFUNCTION("""COMPUTED_VALUE"""),-0.456269226508123)</f>
        <v>-0.45626922650812302</v>
      </c>
      <c r="JT161" s="3">
        <f ca="1">IFERROR(__xludf.DUMMYFUNCTION("""COMPUTED_VALUE"""),-0.493574631247608)</f>
        <v>-0.49357463124760798</v>
      </c>
      <c r="JU161" s="3">
        <f ca="1">IFERROR(__xludf.DUMMYFUNCTION("""COMPUTED_VALUE"""),-0.450832428262934)</f>
        <v>-0.45083242826293402</v>
      </c>
      <c r="JV161" s="3">
        <f ca="1">IFERROR(__xludf.DUMMYFUNCTION("""COMPUTED_VALUE"""),-0.5110188579272)</f>
        <v>-0.51101885792720003</v>
      </c>
      <c r="JW161" s="3">
        <f ca="1">IFERROR(__xludf.DUMMYFUNCTION("""COMPUTED_VALUE"""),-0.459607808080014)</f>
        <v>-0.459607808080014</v>
      </c>
      <c r="JX161" s="3">
        <f ca="1">IFERROR(__xludf.DUMMYFUNCTION("""COMPUTED_VALUE"""),-0.501080793205928)</f>
        <v>-0.50108079320592802</v>
      </c>
      <c r="JY161" s="3">
        <f ca="1">IFERROR(__xludf.DUMMYFUNCTION("""COMPUTED_VALUE"""),-0.475631714860871)</f>
        <v>-0.47563171486087102</v>
      </c>
      <c r="JZ161" s="3">
        <f ca="1">IFERROR(__xludf.DUMMYFUNCTION("""COMPUTED_VALUE"""),-0.531568087212415)</f>
        <v>-0.531568087212415</v>
      </c>
      <c r="KA161" s="3">
        <f ca="1">IFERROR(__xludf.DUMMYFUNCTION("""COMPUTED_VALUE"""),-0.516484935976226)</f>
        <v>-0.51648493597622602</v>
      </c>
      <c r="KB161" s="3">
        <f ca="1">IFERROR(__xludf.DUMMYFUNCTION("""COMPUTED_VALUE"""),-0.532378316908639)</f>
        <v>-0.53237831690863902</v>
      </c>
      <c r="KC161" s="3">
        <f ca="1">IFERROR(__xludf.DUMMYFUNCTION("""COMPUTED_VALUE"""),-0.533887158982288)</f>
        <v>-0.533887158982288</v>
      </c>
      <c r="KD161" s="3">
        <f ca="1">IFERROR(__xludf.DUMMYFUNCTION("""COMPUTED_VALUE"""),-0.513280893060077)</f>
        <v>-0.51328089306007696</v>
      </c>
      <c r="KE161" s="3">
        <f ca="1">IFERROR(__xludf.DUMMYFUNCTION("""COMPUTED_VALUE"""),-0.534986809645759)</f>
        <v>-0.53498680964575895</v>
      </c>
      <c r="KF161" s="3">
        <f ca="1">IFERROR(__xludf.DUMMYFUNCTION("""COMPUTED_VALUE"""),-0.549468848463311)</f>
        <v>-0.54946884846331101</v>
      </c>
      <c r="KG161" s="3">
        <f ca="1">IFERROR(__xludf.DUMMYFUNCTION("""COMPUTED_VALUE"""),-0.523406020103897)</f>
        <v>-0.52340602010389703</v>
      </c>
      <c r="KH161" s="3">
        <f ca="1">IFERROR(__xludf.DUMMYFUNCTION("""COMPUTED_VALUE"""),-0.509493148034389)</f>
        <v>-0.50949314803438905</v>
      </c>
      <c r="KI161" s="3">
        <f ca="1">IFERROR(__xludf.DUMMYFUNCTION("""COMPUTED_VALUE"""),-0.500714555116692)</f>
        <v>-0.50071455511669205</v>
      </c>
      <c r="KJ161" s="3">
        <f ca="1">IFERROR(__xludf.DUMMYFUNCTION("""COMPUTED_VALUE"""),-0.570880123535606)</f>
        <v>-0.57088012353560602</v>
      </c>
      <c r="KK161" s="3">
        <f ca="1">IFERROR(__xludf.DUMMYFUNCTION("""COMPUTED_VALUE"""),-0.537974403907359)</f>
        <v>-0.53797440390735896</v>
      </c>
      <c r="KL161" s="3">
        <f ca="1">IFERROR(__xludf.DUMMYFUNCTION("""COMPUTED_VALUE"""),-0.6170170111045)</f>
        <v>-0.61701701110450002</v>
      </c>
      <c r="KM161" s="3">
        <f ca="1">IFERROR(__xludf.DUMMYFUNCTION("""COMPUTED_VALUE"""),-0.590828665530579)</f>
        <v>-0.590828665530579</v>
      </c>
      <c r="KN161" s="3">
        <f ca="1">IFERROR(__xludf.DUMMYFUNCTION("""COMPUTED_VALUE"""),-0.576710599207152)</f>
        <v>-0.57671059920715195</v>
      </c>
      <c r="KO161" s="3">
        <f ca="1">IFERROR(__xludf.DUMMYFUNCTION("""COMPUTED_VALUE"""),-0.560333926670279)</f>
        <v>-0.56033392667027904</v>
      </c>
      <c r="KP161" s="3">
        <f ca="1">IFERROR(__xludf.DUMMYFUNCTION("""COMPUTED_VALUE"""),-0.570209266906395)</f>
        <v>-0.57020926690639495</v>
      </c>
      <c r="KQ161" s="3">
        <f ca="1">IFERROR(__xludf.DUMMYFUNCTION("""COMPUTED_VALUE"""),-0.574499506222141)</f>
        <v>-0.57449950622214097</v>
      </c>
      <c r="KR161" s="3">
        <f ca="1">IFERROR(__xludf.DUMMYFUNCTION("""COMPUTED_VALUE"""),-0.600272749682157)</f>
        <v>-0.60027274968215705</v>
      </c>
      <c r="KS161" s="3">
        <f ca="1">IFERROR(__xludf.DUMMYFUNCTION("""COMPUTED_VALUE"""),-0.603937552223357)</f>
        <v>-0.60393755222335699</v>
      </c>
      <c r="KT161" s="3">
        <f ca="1">IFERROR(__xludf.DUMMYFUNCTION("""COMPUTED_VALUE"""),-0.626992488171093)</f>
        <v>-0.62699248817109299</v>
      </c>
      <c r="KU161" s="3">
        <f ca="1">IFERROR(__xludf.DUMMYFUNCTION("""COMPUTED_VALUE"""),-0.630119623459256)</f>
        <v>-0.63011962345925598</v>
      </c>
      <c r="KV161" s="3">
        <f ca="1">IFERROR(__xludf.DUMMYFUNCTION("""COMPUTED_VALUE"""),-0.585232636893193)</f>
        <v>-0.58523263689319305</v>
      </c>
      <c r="KW161" s="3">
        <f ca="1">IFERROR(__xludf.DUMMYFUNCTION("""COMPUTED_VALUE"""),-0.584638048079805)</f>
        <v>-0.58463804807980502</v>
      </c>
      <c r="KX161" s="3">
        <f ca="1">IFERROR(__xludf.DUMMYFUNCTION("""COMPUTED_VALUE"""),-0.61699415297745)</f>
        <v>-0.61699415297744997</v>
      </c>
      <c r="KY161" s="3">
        <f ca="1">IFERROR(__xludf.DUMMYFUNCTION("""COMPUTED_VALUE"""),-0.587426555351566)</f>
        <v>-0.58742655535156596</v>
      </c>
      <c r="KZ161" s="3">
        <f ca="1">IFERROR(__xludf.DUMMYFUNCTION("""COMPUTED_VALUE"""),-0.627000169868521)</f>
        <v>-0.62700016986852103</v>
      </c>
      <c r="LA161" s="3">
        <f ca="1">IFERROR(__xludf.DUMMYFUNCTION("""COMPUTED_VALUE"""),-0.664916201300582)</f>
        <v>-0.66491620130058204</v>
      </c>
      <c r="LB161" s="3">
        <f ca="1">IFERROR(__xludf.DUMMYFUNCTION("""COMPUTED_VALUE"""),-0.638898890961159)</f>
        <v>-0.63889889096115904</v>
      </c>
      <c r="LC161" s="3">
        <f ca="1">IFERROR(__xludf.DUMMYFUNCTION("""COMPUTED_VALUE"""),-0.597404611537221)</f>
        <v>-0.59740461153722102</v>
      </c>
      <c r="LD161" s="3">
        <f ca="1">IFERROR(__xludf.DUMMYFUNCTION("""COMPUTED_VALUE"""),-0.621985093256858)</f>
        <v>-0.62198509325685802</v>
      </c>
      <c r="LE161" s="3">
        <f ca="1">IFERROR(__xludf.DUMMYFUNCTION("""COMPUTED_VALUE"""),-0.657574577829586)</f>
        <v>-0.65757457782958595</v>
      </c>
      <c r="LF161" s="3">
        <f ca="1">IFERROR(__xludf.DUMMYFUNCTION("""COMPUTED_VALUE"""),-0.617716648429851)</f>
        <v>-0.61771664842985097</v>
      </c>
      <c r="LG161" s="3">
        <f ca="1">IFERROR(__xludf.DUMMYFUNCTION("""COMPUTED_VALUE"""),-0.649767461041328)</f>
        <v>-0.64976746104132799</v>
      </c>
      <c r="LH161" s="3">
        <f ca="1">IFERROR(__xludf.DUMMYFUNCTION("""COMPUTED_VALUE"""),-0.679356399345825)</f>
        <v>-0.67935639934582503</v>
      </c>
      <c r="LI161" s="3">
        <f ca="1">IFERROR(__xludf.DUMMYFUNCTION("""COMPUTED_VALUE"""),-0.61946005666212)</f>
        <v>-0.61946005666212001</v>
      </c>
      <c r="LJ161" s="3">
        <f ca="1">IFERROR(__xludf.DUMMYFUNCTION("""COMPUTED_VALUE"""),-0.60788064889946)</f>
        <v>-0.60788064889946003</v>
      </c>
      <c r="LK161" s="3">
        <f ca="1">IFERROR(__xludf.DUMMYFUNCTION("""COMPUTED_VALUE"""),-0.599210381869922)</f>
        <v>-0.59921038186992204</v>
      </c>
      <c r="LL161" s="3">
        <f ca="1">IFERROR(__xludf.DUMMYFUNCTION("""COMPUTED_VALUE"""),-0.6350623904186)</f>
        <v>-0.63506239041860002</v>
      </c>
      <c r="LM161" s="3">
        <f ca="1">IFERROR(__xludf.DUMMYFUNCTION("""COMPUTED_VALUE"""),-0.67087277399871)</f>
        <v>-0.67087277399871004</v>
      </c>
      <c r="LN161" s="3">
        <f ca="1">IFERROR(__xludf.DUMMYFUNCTION("""COMPUTED_VALUE"""),-0.712147240269916)</f>
        <v>-0.71214724026991605</v>
      </c>
      <c r="LO161" s="3">
        <f ca="1">IFERROR(__xludf.DUMMYFUNCTION("""COMPUTED_VALUE"""),-0.686881967698795)</f>
        <v>-0.68688196769879495</v>
      </c>
      <c r="LP161" s="3">
        <f ca="1">IFERROR(__xludf.DUMMYFUNCTION("""COMPUTED_VALUE"""),-0.702365799753588)</f>
        <v>-0.70236579975358804</v>
      </c>
      <c r="LQ161" s="3">
        <f ca="1">IFERROR(__xludf.DUMMYFUNCTION("""COMPUTED_VALUE"""),-0.700165273631816)</f>
        <v>-0.70016527363181602</v>
      </c>
      <c r="LR161" s="3">
        <f ca="1">IFERROR(__xludf.DUMMYFUNCTION("""COMPUTED_VALUE"""),-0.692531644945492)</f>
        <v>-0.69253164494549202</v>
      </c>
      <c r="LS161" s="3">
        <f ca="1">IFERROR(__xludf.DUMMYFUNCTION("""COMPUTED_VALUE"""),-0.695039483494025)</f>
        <v>-0.695039483494025</v>
      </c>
      <c r="LT161" s="3">
        <f ca="1">IFERROR(__xludf.DUMMYFUNCTION("""COMPUTED_VALUE"""),-0.726814014190487)</f>
        <v>-0.72681401419048697</v>
      </c>
      <c r="LU161" s="3">
        <f ca="1">IFERROR(__xludf.DUMMYFUNCTION("""COMPUTED_VALUE"""),-0.751487192836209)</f>
        <v>-0.75148719283620902</v>
      </c>
      <c r="LV161" s="3">
        <f ca="1">IFERROR(__xludf.DUMMYFUNCTION("""COMPUTED_VALUE"""),-0.769629690711127)</f>
        <v>-0.76962969071112697</v>
      </c>
      <c r="LW161" s="3">
        <f ca="1">IFERROR(__xludf.DUMMYFUNCTION("""COMPUTED_VALUE"""),-0.733494548358258)</f>
        <v>-0.733494548358258</v>
      </c>
      <c r="LX161" s="3">
        <f ca="1">IFERROR(__xludf.DUMMYFUNCTION("""COMPUTED_VALUE"""),-0.737402213447314)</f>
        <v>-0.73740221344731405</v>
      </c>
      <c r="LY161" s="3">
        <f ca="1">IFERROR(__xludf.DUMMYFUNCTION("""COMPUTED_VALUE"""),-0.735277404482442)</f>
        <v>-0.73527740448244205</v>
      </c>
      <c r="LZ161" s="3">
        <f ca="1">IFERROR(__xludf.DUMMYFUNCTION("""COMPUTED_VALUE"""),-0.742903184944405)</f>
        <v>-0.74290318494440499</v>
      </c>
      <c r="MA161" s="3">
        <f ca="1">IFERROR(__xludf.DUMMYFUNCTION("""COMPUTED_VALUE"""),-0.740918155498376)</f>
        <v>-0.74091815549837603</v>
      </c>
      <c r="MB161" s="3">
        <f ca="1">IFERROR(__xludf.DUMMYFUNCTION("""COMPUTED_VALUE"""),-0.762012688525951)</f>
        <v>-0.76201268852595105</v>
      </c>
      <c r="MC161" s="3">
        <f ca="1">IFERROR(__xludf.DUMMYFUNCTION("""COMPUTED_VALUE"""),-0.770975815390315)</f>
        <v>-0.77097581539031501</v>
      </c>
      <c r="MD161" s="3">
        <f ca="1">IFERROR(__xludf.DUMMYFUNCTION("""COMPUTED_VALUE"""),-0.763318873471024)</f>
        <v>-0.76331887347102401</v>
      </c>
      <c r="ME161" s="3">
        <f ca="1">IFERROR(__xludf.DUMMYFUNCTION("""COMPUTED_VALUE"""),-0.760332207057406)</f>
        <v>-0.76033220705740601</v>
      </c>
      <c r="MF161" s="3">
        <f ca="1">IFERROR(__xludf.DUMMYFUNCTION("""COMPUTED_VALUE"""),-0.771319523148527)</f>
        <v>-0.77131952314852703</v>
      </c>
      <c r="MG161" s="3">
        <f ca="1">IFERROR(__xludf.DUMMYFUNCTION("""COMPUTED_VALUE"""),-0.759294421526975)</f>
        <v>-0.75929442152697502</v>
      </c>
      <c r="MH161" s="3">
        <f ca="1">IFERROR(__xludf.DUMMYFUNCTION("""COMPUTED_VALUE"""),-0.774590575007254)</f>
        <v>-0.77459057500725403</v>
      </c>
      <c r="MI161" s="3">
        <f ca="1">IFERROR(__xludf.DUMMYFUNCTION("""COMPUTED_VALUE"""),-0.778914338902821)</f>
        <v>-0.77891433890282102</v>
      </c>
      <c r="MJ161" s="3">
        <f ca="1">IFERROR(__xludf.DUMMYFUNCTION("""COMPUTED_VALUE"""),-0.807458549204281)</f>
        <v>-0.80745854920428095</v>
      </c>
      <c r="MK161" s="3">
        <f ca="1">IFERROR(__xludf.DUMMYFUNCTION("""COMPUTED_VALUE"""),-0.789477316608433)</f>
        <v>-0.78947731660843301</v>
      </c>
      <c r="ML161" s="3">
        <f ca="1">IFERROR(__xludf.DUMMYFUNCTION("""COMPUTED_VALUE"""),-0.775940464739184)</f>
        <v>-0.77594046473918399</v>
      </c>
      <c r="MM161" s="3">
        <f ca="1">IFERROR(__xludf.DUMMYFUNCTION("""COMPUTED_VALUE"""),-0.784977819381902)</f>
        <v>-0.78497781938190203</v>
      </c>
      <c r="MN161" s="3">
        <f ca="1">IFERROR(__xludf.DUMMYFUNCTION("""COMPUTED_VALUE"""),-0.787146211354659)</f>
        <v>-0.78714621135465901</v>
      </c>
      <c r="MO161" s="3">
        <f ca="1">IFERROR(__xludf.DUMMYFUNCTION("""COMPUTED_VALUE"""),-0.759213174806857)</f>
        <v>-0.75921317480685702</v>
      </c>
      <c r="MP161" s="3">
        <f ca="1">IFERROR(__xludf.DUMMYFUNCTION("""COMPUTED_VALUE"""),-0.801129791986135)</f>
        <v>-0.80112979198613499</v>
      </c>
      <c r="MQ161" s="3">
        <f ca="1">IFERROR(__xludf.DUMMYFUNCTION("""COMPUTED_VALUE"""),-0.802813633041879)</f>
        <v>-0.80281363304187903</v>
      </c>
      <c r="MR161" s="3">
        <f ca="1">IFERROR(__xludf.DUMMYFUNCTION("""COMPUTED_VALUE"""),-0.798374550754519)</f>
        <v>-0.79837455075451902</v>
      </c>
      <c r="MS161" s="3">
        <f ca="1">IFERROR(__xludf.DUMMYFUNCTION("""COMPUTED_VALUE"""),-0.780859327967487)</f>
        <v>-0.78085932796748703</v>
      </c>
      <c r="MT161" s="3">
        <f ca="1">IFERROR(__xludf.DUMMYFUNCTION("""COMPUTED_VALUE"""),-0.815590649891067)</f>
        <v>-0.815590649891067</v>
      </c>
      <c r="MU161" s="3">
        <f ca="1">IFERROR(__xludf.DUMMYFUNCTION("""COMPUTED_VALUE"""),-0.79070052674993)</f>
        <v>-0.79070052674992997</v>
      </c>
      <c r="MV161" s="3">
        <f ca="1">IFERROR(__xludf.DUMMYFUNCTION("""COMPUTED_VALUE"""),-0.770174846804425)</f>
        <v>-0.77017484680442505</v>
      </c>
      <c r="MW161" s="3">
        <f ca="1">IFERROR(__xludf.DUMMYFUNCTION("""COMPUTED_VALUE"""),-0.804752465009569)</f>
        <v>-0.80475246500956898</v>
      </c>
      <c r="MX161" s="3">
        <f ca="1">IFERROR(__xludf.DUMMYFUNCTION("""COMPUTED_VALUE"""),-0.819106585859581)</f>
        <v>-0.81910658585958096</v>
      </c>
      <c r="MY161" s="3">
        <f ca="1">IFERROR(__xludf.DUMMYFUNCTION("""COMPUTED_VALUE"""),-0.812193974665456)</f>
        <v>-0.81219397466545595</v>
      </c>
      <c r="MZ161" s="3">
        <f ca="1">IFERROR(__xludf.DUMMYFUNCTION("""COMPUTED_VALUE"""),-0.812039392420006)</f>
        <v>-0.812039392420006</v>
      </c>
      <c r="NA161" s="3">
        <f ca="1">IFERROR(__xludf.DUMMYFUNCTION("""COMPUTED_VALUE"""),-0.810655924349031)</f>
        <v>-0.810655924349031</v>
      </c>
      <c r="NB161" s="3">
        <f ca="1">IFERROR(__xludf.DUMMYFUNCTION("""COMPUTED_VALUE"""),-0.800089010856538)</f>
        <v>-0.80008901085653805</v>
      </c>
      <c r="NC161" s="3">
        <f ca="1">IFERROR(__xludf.DUMMYFUNCTION("""COMPUTED_VALUE"""),-0.808213705542707)</f>
        <v>-0.80821370554270699</v>
      </c>
      <c r="ND161" s="3">
        <f ca="1">IFERROR(__xludf.DUMMYFUNCTION("""COMPUTED_VALUE"""),-0.821459820666758)</f>
        <v>-0.82145982066675804</v>
      </c>
      <c r="NE161" s="3">
        <f ca="1">IFERROR(__xludf.DUMMYFUNCTION("""COMPUTED_VALUE"""),-0.823175801500839)</f>
        <v>-0.82317580150083902</v>
      </c>
      <c r="NF161" s="3">
        <f ca="1">IFERROR(__xludf.DUMMYFUNCTION("""COMPUTED_VALUE"""),-0.829142894700448)</f>
        <v>-0.829142894700448</v>
      </c>
      <c r="NG161" s="3">
        <f ca="1">IFERROR(__xludf.DUMMYFUNCTION("""COMPUTED_VALUE"""),-0.814841558333474)</f>
        <v>-0.81484155833347405</v>
      </c>
      <c r="NH161" s="3">
        <f ca="1">IFERROR(__xludf.DUMMYFUNCTION("""COMPUTED_VALUE"""),-0.817622057516646)</f>
        <v>-0.81762205751664596</v>
      </c>
      <c r="NI161" s="3">
        <f ca="1">IFERROR(__xludf.DUMMYFUNCTION("""COMPUTED_VALUE"""),-0.818571722604386)</f>
        <v>-0.81857172260438604</v>
      </c>
      <c r="NJ161" s="3">
        <f ca="1">IFERROR(__xludf.DUMMYFUNCTION("""COMPUTED_VALUE"""),-0.802035558714912)</f>
        <v>-0.80203555871491194</v>
      </c>
      <c r="NK161" s="3">
        <f ca="1">IFERROR(__xludf.DUMMYFUNCTION("""COMPUTED_VALUE"""),-0.831695652841053)</f>
        <v>-0.83169565284105296</v>
      </c>
      <c r="NL161" s="3">
        <f ca="1">IFERROR(__xludf.DUMMYFUNCTION("""COMPUTED_VALUE"""),-0.817167312279608)</f>
        <v>-0.81716731227960804</v>
      </c>
      <c r="NM161" s="3">
        <f ca="1">IFERROR(__xludf.DUMMYFUNCTION("""COMPUTED_VALUE"""),-0.824948382269732)</f>
        <v>-0.82494838226973199</v>
      </c>
      <c r="NN161" s="3">
        <f ca="1">IFERROR(__xludf.DUMMYFUNCTION("""COMPUTED_VALUE"""),-0.833365124777707)</f>
        <v>-0.83336512477770697</v>
      </c>
      <c r="NO161" s="3">
        <f ca="1">IFERROR(__xludf.DUMMYFUNCTION("""COMPUTED_VALUE"""),-0.817485381097975)</f>
        <v>-0.81748538109797497</v>
      </c>
      <c r="NP161" s="3">
        <f ca="1">IFERROR(__xludf.DUMMYFUNCTION("""COMPUTED_VALUE"""),-0.813370931523418)</f>
        <v>-0.81337093152341799</v>
      </c>
      <c r="NQ161" s="3">
        <f ca="1">IFERROR(__xludf.DUMMYFUNCTION("""COMPUTED_VALUE"""),-0.826882198925052)</f>
        <v>-0.82688219892505199</v>
      </c>
      <c r="NR161" s="3">
        <f ca="1">IFERROR(__xludf.DUMMYFUNCTION("""COMPUTED_VALUE"""),-0.826004010086606)</f>
        <v>-0.82600401008660596</v>
      </c>
      <c r="NS161" s="3">
        <f ca="1">IFERROR(__xludf.DUMMYFUNCTION("""COMPUTED_VALUE"""),-0.817697389739461)</f>
        <v>-0.81769738973946104</v>
      </c>
      <c r="NT161" s="3">
        <f ca="1">IFERROR(__xludf.DUMMYFUNCTION("""COMPUTED_VALUE"""),-0.811307819003264)</f>
        <v>-0.81130781900326399</v>
      </c>
      <c r="NU161" s="3">
        <f ca="1">IFERROR(__xludf.DUMMYFUNCTION("""COMPUTED_VALUE"""),-0.821136275870159)</f>
        <v>-0.82113627587015903</v>
      </c>
      <c r="NV161" s="3">
        <f ca="1">IFERROR(__xludf.DUMMYFUNCTION("""COMPUTED_VALUE"""),-0.801882127210854)</f>
        <v>-0.80188212721085395</v>
      </c>
      <c r="NW161" s="3">
        <f ca="1">IFERROR(__xludf.DUMMYFUNCTION("""COMPUTED_VALUE"""),-0.793580840019665)</f>
        <v>-0.793580840019665</v>
      </c>
      <c r="NX161" s="3">
        <f ca="1">IFERROR(__xludf.DUMMYFUNCTION("""COMPUTED_VALUE"""),-0.765714911747279)</f>
        <v>-0.76571491174727901</v>
      </c>
      <c r="NY161" s="3">
        <f ca="1">IFERROR(__xludf.DUMMYFUNCTION("""COMPUTED_VALUE"""),-0.758421981674471)</f>
        <v>-0.75842198167447095</v>
      </c>
      <c r="NZ161" s="3">
        <f ca="1">IFERROR(__xludf.DUMMYFUNCTION("""COMPUTED_VALUE"""),-0.700574599808573)</f>
        <v>-0.70057459980857295</v>
      </c>
      <c r="OA161" s="3">
        <f ca="1">IFERROR(__xludf.DUMMYFUNCTION("""COMPUTED_VALUE"""),-0.652725017000769)</f>
        <v>-0.65272501700076901</v>
      </c>
      <c r="OB161" s="3">
        <f ca="1">IFERROR(__xludf.DUMMYFUNCTION("""COMPUTED_VALUE"""),-0.58924177914988)</f>
        <v>-0.58924177914987996</v>
      </c>
      <c r="OC161" s="3">
        <f ca="1">IFERROR(__xludf.DUMMYFUNCTION("""COMPUTED_VALUE"""),-0.49044592876099)</f>
        <v>-0.49044592876099002</v>
      </c>
      <c r="OD161" s="3">
        <f ca="1">IFERROR(__xludf.DUMMYFUNCTION("""COMPUTED_VALUE"""),-0.418409577773666)</f>
        <v>-0.418409577773666</v>
      </c>
      <c r="OE161" s="3">
        <f ca="1">IFERROR(__xludf.DUMMYFUNCTION("""COMPUTED_VALUE"""),-0.278744547280988)</f>
        <v>-0.27874454728098802</v>
      </c>
      <c r="OF161" s="3">
        <f ca="1">IFERROR(__xludf.DUMMYFUNCTION("""COMPUTED_VALUE"""),-0.202220900106726)</f>
        <v>-0.202220900106726</v>
      </c>
      <c r="OG161" s="3">
        <f ca="1">IFERROR(__xludf.DUMMYFUNCTION("""COMPUTED_VALUE"""),-0.193867611526156)</f>
        <v>-0.193867611526156</v>
      </c>
      <c r="OH161" s="3">
        <f ca="1">IFERROR(__xludf.DUMMYFUNCTION("""COMPUTED_VALUE"""),-0.0705256268527616)</f>
        <v>-7.0525626852761605E-2</v>
      </c>
      <c r="OI161" s="3">
        <f ca="1">IFERROR(__xludf.DUMMYFUNCTION("""COMPUTED_VALUE"""),-0.0119615599718191)</f>
        <v>-1.1961559971819099E-2</v>
      </c>
      <c r="OJ161" s="3">
        <f ca="1">IFERROR(__xludf.DUMMYFUNCTION("""COMPUTED_VALUE"""),0.0442153680880821)</f>
        <v>4.4215368088082102E-2</v>
      </c>
      <c r="OK161" s="3">
        <f ca="1">IFERROR(__xludf.DUMMYFUNCTION("""COMPUTED_VALUE"""),0.0204886172491733)</f>
        <v>2.0488617249173301E-2</v>
      </c>
      <c r="OL161" s="3">
        <f ca="1">IFERROR(__xludf.DUMMYFUNCTION("""COMPUTED_VALUE"""),-0.00885443823467657)</f>
        <v>-8.8544382346765708E-3</v>
      </c>
      <c r="OM161" s="3">
        <f ca="1">IFERROR(__xludf.DUMMYFUNCTION("""COMPUTED_VALUE"""),-0.0896138792057507)</f>
        <v>-8.9613879205750702E-2</v>
      </c>
      <c r="ON161" s="3">
        <f ca="1">IFERROR(__xludf.DUMMYFUNCTION("""COMPUTED_VALUE"""),-0.083308831729192)</f>
        <v>-8.3308831729191998E-2</v>
      </c>
      <c r="OO161" s="3">
        <f ca="1">IFERROR(__xludf.DUMMYFUNCTION("""COMPUTED_VALUE"""),0.0347326935811638)</f>
        <v>3.47326935811638E-2</v>
      </c>
      <c r="OP161" s="3">
        <f ca="1">IFERROR(__xludf.DUMMYFUNCTION("""COMPUTED_VALUE"""),0.0623113099715155)</f>
        <v>6.2311309971515502E-2</v>
      </c>
      <c r="OQ161" s="3">
        <f ca="1">IFERROR(__xludf.DUMMYFUNCTION("""COMPUTED_VALUE"""),0.117646606926305)</f>
        <v>0.11764660692630501</v>
      </c>
      <c r="OR161" s="3">
        <f ca="1">IFERROR(__xludf.DUMMYFUNCTION("""COMPUTED_VALUE"""),0.0659685174542663)</f>
        <v>6.5968517454266296E-2</v>
      </c>
      <c r="OS161" s="3">
        <f ca="1">IFERROR(__xludf.DUMMYFUNCTION("""COMPUTED_VALUE"""),0.0656484945799338)</f>
        <v>6.5648494579933797E-2</v>
      </c>
      <c r="OT161" s="3">
        <f ca="1">IFERROR(__xludf.DUMMYFUNCTION("""COMPUTED_VALUE"""),0.00720726287991269)</f>
        <v>7.2072628799126903E-3</v>
      </c>
      <c r="OU161" s="3">
        <f ca="1">IFERROR(__xludf.DUMMYFUNCTION("""COMPUTED_VALUE"""),0.0368148153334775)</f>
        <v>3.6814815333477503E-2</v>
      </c>
      <c r="OV161" s="3">
        <f ca="1">IFERROR(__xludf.DUMMYFUNCTION("""COMPUTED_VALUE"""),0.0880186919523116)</f>
        <v>8.8018691952311601E-2</v>
      </c>
      <c r="OW161" s="3">
        <f ca="1">IFERROR(__xludf.DUMMYFUNCTION("""COMPUTED_VALUE"""),0.106589061059086)</f>
        <v>0.106589061059086</v>
      </c>
      <c r="OX161" s="3">
        <f ca="1">IFERROR(__xludf.DUMMYFUNCTION("""COMPUTED_VALUE"""),0.134065243930449)</f>
        <v>0.134065243930449</v>
      </c>
      <c r="OY161" s="3">
        <f ca="1">IFERROR(__xludf.DUMMYFUNCTION("""COMPUTED_VALUE"""),0.0760154508222403)</f>
        <v>7.6015450822240302E-2</v>
      </c>
      <c r="OZ161" s="3">
        <f ca="1">IFERROR(__xludf.DUMMYFUNCTION("""COMPUTED_VALUE"""),0.0961830373684859)</f>
        <v>9.6183037368485894E-2</v>
      </c>
      <c r="PA161" s="3">
        <f ca="1">IFERROR(__xludf.DUMMYFUNCTION("""COMPUTED_VALUE"""),-0.0847142059921575)</f>
        <v>-8.4714205992157496E-2</v>
      </c>
      <c r="PB161" s="3">
        <f ca="1">IFERROR(__xludf.DUMMYFUNCTION("""COMPUTED_VALUE"""),-0.0368047668485735)</f>
        <v>-3.6804766848573499E-2</v>
      </c>
      <c r="PC161" s="3">
        <f ca="1">IFERROR(__xludf.DUMMYFUNCTION("""COMPUTED_VALUE"""),-0.12783147323893)</f>
        <v>-0.12783147323892999</v>
      </c>
      <c r="PD161" s="3">
        <f ca="1">IFERROR(__xludf.DUMMYFUNCTION("""COMPUTED_VALUE"""),-0.112395899779634)</f>
        <v>-0.112395899779634</v>
      </c>
      <c r="PE161" s="3">
        <f ca="1">IFERROR(__xludf.DUMMYFUNCTION("""COMPUTED_VALUE"""),-0.0479010735879189)</f>
        <v>-4.7901073587918903E-2</v>
      </c>
      <c r="PF161" s="3">
        <f ca="1">IFERROR(__xludf.DUMMYFUNCTION("""COMPUTED_VALUE"""),0.075746556770023)</f>
        <v>7.5746556770022996E-2</v>
      </c>
      <c r="PG161" s="3">
        <f ca="1">IFERROR(__xludf.DUMMYFUNCTION("""COMPUTED_VALUE"""),-0.193159295865283)</f>
        <v>-0.19315929586528299</v>
      </c>
      <c r="PH161" s="3">
        <f ca="1">IFERROR(__xludf.DUMMYFUNCTION("""COMPUTED_VALUE"""),-0.0652189474764366)</f>
        <v>-6.5218947476436598E-2</v>
      </c>
      <c r="PI161" s="3">
        <f ca="1">IFERROR(__xludf.DUMMYFUNCTION("""COMPUTED_VALUE"""),-0.0212157547856343)</f>
        <v>-2.1215754785634301E-2</v>
      </c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</row>
    <row r="162" spans="1:477" ht="13">
      <c r="A162" s="1" t="str">
        <f ca="1">IFERROR(__xludf.DUMMYFUNCTION("""COMPUTED_VALUE"""),"WMATA")</f>
        <v>WMATA</v>
      </c>
      <c r="B162" s="1" t="str">
        <f ca="1">IFERROR(__xludf.DUMMYFUNCTION("""COMPUTED_VALUE"""),"Washington D.C.")</f>
        <v>Washington D.C.</v>
      </c>
      <c r="C162" s="1" t="str">
        <f ca="1">IFERROR(__xludf.DUMMYFUNCTION("""COMPUTED_VALUE"""),"United States")</f>
        <v>United States</v>
      </c>
      <c r="D162" s="1" t="str">
        <f ca="1">IFERROR(__xludf.DUMMYFUNCTION("""COMPUTED_VALUE"""),"District of Columbia")</f>
        <v>District of Columbia</v>
      </c>
      <c r="E162" s="3">
        <f ca="1">IFERROR(__xludf.DUMMYFUNCTION("""COMPUTED_VALUE"""),-0.488441355397315)</f>
        <v>-0.48844135539731498</v>
      </c>
      <c r="F162" s="3">
        <f ca="1">IFERROR(__xludf.DUMMYFUNCTION("""COMPUTED_VALUE"""),-0.551366085045383)</f>
        <v>-0.55136608504538298</v>
      </c>
      <c r="G162" s="3">
        <f ca="1">IFERROR(__xludf.DUMMYFUNCTION("""COMPUTED_VALUE"""),-0.565286979293933)</f>
        <v>-0.56528697929393301</v>
      </c>
      <c r="H162" s="3">
        <f ca="1">IFERROR(__xludf.DUMMYFUNCTION("""COMPUTED_VALUE"""),-0.562481369390965)</f>
        <v>-0.56248136939096505</v>
      </c>
      <c r="I162" s="3">
        <f ca="1">IFERROR(__xludf.DUMMYFUNCTION("""COMPUTED_VALUE"""),-0.562155389266973)</f>
        <v>-0.56215538926697295</v>
      </c>
      <c r="J162" s="3">
        <f ca="1">IFERROR(__xludf.DUMMYFUNCTION("""COMPUTED_VALUE"""),-0.55243290712655)</f>
        <v>-0.55243290712655002</v>
      </c>
      <c r="K162" s="3">
        <f ca="1">IFERROR(__xludf.DUMMYFUNCTION("""COMPUTED_VALUE"""),-0.477467951017051)</f>
        <v>-0.47746795101705097</v>
      </c>
      <c r="L162" s="3">
        <f ca="1">IFERROR(__xludf.DUMMYFUNCTION("""COMPUTED_VALUE"""),-0.506262348299934)</f>
        <v>-0.506262348299934</v>
      </c>
      <c r="M162" s="3">
        <f ca="1">IFERROR(__xludf.DUMMYFUNCTION("""COMPUTED_VALUE"""),-0.565249357125515)</f>
        <v>-0.56524935712551505</v>
      </c>
      <c r="N162" s="3">
        <f ca="1">IFERROR(__xludf.DUMMYFUNCTION("""COMPUTED_VALUE"""),-0.577464698292605)</f>
        <v>-0.57746469829260505</v>
      </c>
      <c r="O162" s="3">
        <f ca="1">IFERROR(__xludf.DUMMYFUNCTION("""COMPUTED_VALUE"""),-0.631688985809279)</f>
        <v>-0.63168898580927901</v>
      </c>
      <c r="P162" s="3">
        <f ca="1">IFERROR(__xludf.DUMMYFUNCTION("""COMPUTED_VALUE"""),-0.570978814793438)</f>
        <v>-0.57097881479343804</v>
      </c>
      <c r="Q162" s="3">
        <f ca="1">IFERROR(__xludf.DUMMYFUNCTION("""COMPUTED_VALUE"""),-0.572302321647893)</f>
        <v>-0.57230232164789296</v>
      </c>
      <c r="R162" s="3">
        <f ca="1">IFERROR(__xludf.DUMMYFUNCTION("""COMPUTED_VALUE"""),-0.515442000134334)</f>
        <v>-0.51544200013433406</v>
      </c>
      <c r="S162" s="3">
        <f ca="1">IFERROR(__xludf.DUMMYFUNCTION("""COMPUTED_VALUE"""),-0.492535077121658)</f>
        <v>-0.492535077121658</v>
      </c>
      <c r="T162" s="3">
        <f ca="1">IFERROR(__xludf.DUMMYFUNCTION("""COMPUTED_VALUE"""),-0.524839607521397)</f>
        <v>-0.52483960752139702</v>
      </c>
      <c r="U162" s="3">
        <f ca="1">IFERROR(__xludf.DUMMYFUNCTION("""COMPUTED_VALUE"""),-0.582579697533235)</f>
        <v>-0.58257969753323502</v>
      </c>
      <c r="V162" s="3">
        <f ca="1">IFERROR(__xludf.DUMMYFUNCTION("""COMPUTED_VALUE"""),-0.644937936101552)</f>
        <v>-0.64493793610155203</v>
      </c>
      <c r="W162" s="3">
        <f ca="1">IFERROR(__xludf.DUMMYFUNCTION("""COMPUTED_VALUE"""),-0.584609001672878)</f>
        <v>-0.58460900167287799</v>
      </c>
      <c r="X162" s="3">
        <f ca="1">IFERROR(__xludf.DUMMYFUNCTION("""COMPUTED_VALUE"""),-0.567446841774847)</f>
        <v>-0.56744684177484706</v>
      </c>
      <c r="Y162" s="3">
        <f ca="1">IFERROR(__xludf.DUMMYFUNCTION("""COMPUTED_VALUE"""),-0.439103743369133)</f>
        <v>-0.43910374336913299</v>
      </c>
      <c r="Z162" s="3">
        <f ca="1">IFERROR(__xludf.DUMMYFUNCTION("""COMPUTED_VALUE"""),-0.483940352875272)</f>
        <v>-0.48394035287527198</v>
      </c>
      <c r="AA162" s="3">
        <f ca="1">IFERROR(__xludf.DUMMYFUNCTION("""COMPUTED_VALUE"""),-0.560651860723143)</f>
        <v>-0.56065186072314299</v>
      </c>
      <c r="AB162" s="3">
        <f ca="1">IFERROR(__xludf.DUMMYFUNCTION("""COMPUTED_VALUE"""),-0.628374511304445)</f>
        <v>-0.62837451130444499</v>
      </c>
      <c r="AC162" s="3">
        <f ca="1">IFERROR(__xludf.DUMMYFUNCTION("""COMPUTED_VALUE"""),-0.574765710351265)</f>
        <v>-0.574765710351265</v>
      </c>
      <c r="AD162" s="3">
        <f ca="1">IFERROR(__xludf.DUMMYFUNCTION("""COMPUTED_VALUE"""),-0.60135737936091)</f>
        <v>-0.60135737936091005</v>
      </c>
      <c r="AE162" s="3">
        <f ca="1">IFERROR(__xludf.DUMMYFUNCTION("""COMPUTED_VALUE"""),-0.579806464669293)</f>
        <v>-0.57980646466929298</v>
      </c>
      <c r="AF162" s="3">
        <f ca="1">IFERROR(__xludf.DUMMYFUNCTION("""COMPUTED_VALUE"""),-0.453661287491954)</f>
        <v>-0.453661287491954</v>
      </c>
      <c r="AG162" s="3">
        <f ca="1">IFERROR(__xludf.DUMMYFUNCTION("""COMPUTED_VALUE"""),-0.475001304891479)</f>
        <v>-0.47500130489147901</v>
      </c>
      <c r="AH162" s="3">
        <f ca="1">IFERROR(__xludf.DUMMYFUNCTION("""COMPUTED_VALUE"""),-0.545818658210758)</f>
        <v>-0.54581865821075803</v>
      </c>
      <c r="AI162" s="3">
        <f ca="1">IFERROR(__xludf.DUMMYFUNCTION("""COMPUTED_VALUE"""),-0.557774496516344)</f>
        <v>-0.55777449651634403</v>
      </c>
      <c r="AJ162" s="3">
        <f ca="1">IFERROR(__xludf.DUMMYFUNCTION("""COMPUTED_VALUE"""),-0.566549576379685)</f>
        <v>-0.56654957637968495</v>
      </c>
      <c r="AK162" s="3">
        <f ca="1">IFERROR(__xludf.DUMMYFUNCTION("""COMPUTED_VALUE"""),-0.581437882351967)</f>
        <v>-0.58143788235196703</v>
      </c>
      <c r="AL162" s="3">
        <f ca="1">IFERROR(__xludf.DUMMYFUNCTION("""COMPUTED_VALUE"""),-0.585158625450882)</f>
        <v>-0.58515862545088204</v>
      </c>
      <c r="AM162" s="3">
        <f ca="1">IFERROR(__xludf.DUMMYFUNCTION("""COMPUTED_VALUE"""),-0.444315259555599)</f>
        <v>-0.44431525955559897</v>
      </c>
      <c r="AN162" s="3">
        <f ca="1">IFERROR(__xludf.DUMMYFUNCTION("""COMPUTED_VALUE"""),-0.490562945975532)</f>
        <v>-0.49056294597553202</v>
      </c>
      <c r="AO162" s="3">
        <f ca="1">IFERROR(__xludf.DUMMYFUNCTION("""COMPUTED_VALUE"""),-0.566212225778281)</f>
        <v>-0.56621222577828101</v>
      </c>
      <c r="AP162" s="3">
        <f ca="1">IFERROR(__xludf.DUMMYFUNCTION("""COMPUTED_VALUE"""),-0.588365230346033)</f>
        <v>-0.58836523034603305</v>
      </c>
      <c r="AQ162" s="3">
        <f ca="1">IFERROR(__xludf.DUMMYFUNCTION("""COMPUTED_VALUE"""),-0.570104686160186)</f>
        <v>-0.57010468616018595</v>
      </c>
      <c r="AR162" s="3">
        <f ca="1">IFERROR(__xludf.DUMMYFUNCTION("""COMPUTED_VALUE"""),-0.606116557056436)</f>
        <v>-0.60611655705643597</v>
      </c>
      <c r="AS162" s="3">
        <f ca="1">IFERROR(__xludf.DUMMYFUNCTION("""COMPUTED_VALUE"""),-0.603490242701281)</f>
        <v>-0.60349024270128104</v>
      </c>
      <c r="AT162" s="3">
        <f ca="1">IFERROR(__xludf.DUMMYFUNCTION("""COMPUTED_VALUE"""),-0.518090519794489)</f>
        <v>-0.51809051979448895</v>
      </c>
      <c r="AU162" s="3">
        <f ca="1">IFERROR(__xludf.DUMMYFUNCTION("""COMPUTED_VALUE"""),-0.484324121700273)</f>
        <v>-0.484324121700273</v>
      </c>
      <c r="AV162" s="3">
        <f ca="1">IFERROR(__xludf.DUMMYFUNCTION("""COMPUTED_VALUE"""),-0.566438172459373)</f>
        <v>-0.566438172459373</v>
      </c>
      <c r="AW162" s="3">
        <f ca="1">IFERROR(__xludf.DUMMYFUNCTION("""COMPUTED_VALUE"""),-0.577055950901357)</f>
        <v>-0.57705595090135697</v>
      </c>
      <c r="AX162" s="3">
        <f ca="1">IFERROR(__xludf.DUMMYFUNCTION("""COMPUTED_VALUE"""),-0.502168936965475)</f>
        <v>-0.50216893696547504</v>
      </c>
      <c r="AY162" s="3">
        <f ca="1">IFERROR(__xludf.DUMMYFUNCTION("""COMPUTED_VALUE"""),-0.594607132122756)</f>
        <v>-0.59460713212275595</v>
      </c>
      <c r="AZ162" s="3">
        <f ca="1">IFERROR(__xludf.DUMMYFUNCTION("""COMPUTED_VALUE"""),-0.616119468810662)</f>
        <v>-0.61611946881066204</v>
      </c>
      <c r="BA162" s="3">
        <f ca="1">IFERROR(__xludf.DUMMYFUNCTION("""COMPUTED_VALUE"""),-0.450445502587129)</f>
        <v>-0.45044550258712901</v>
      </c>
      <c r="BB162" s="3">
        <f ca="1">IFERROR(__xludf.DUMMYFUNCTION("""COMPUTED_VALUE"""),-0.501396603815275)</f>
        <v>-0.50139660381527495</v>
      </c>
      <c r="BC162" s="3">
        <f ca="1">IFERROR(__xludf.DUMMYFUNCTION("""COMPUTED_VALUE"""),-0.601558575650176)</f>
        <v>-0.60155857565017601</v>
      </c>
      <c r="BD162" s="3">
        <f ca="1">IFERROR(__xludf.DUMMYFUNCTION("""COMPUTED_VALUE"""),-0.679511259086108)</f>
        <v>-0.67951125908610799</v>
      </c>
      <c r="BE162" s="3">
        <f ca="1">IFERROR(__xludf.DUMMYFUNCTION("""COMPUTED_VALUE"""),-0.534536797160738)</f>
        <v>-0.53453679716073799</v>
      </c>
      <c r="BF162" s="3">
        <f ca="1">IFERROR(__xludf.DUMMYFUNCTION("""COMPUTED_VALUE"""),-0.586206845765948)</f>
        <v>-0.58620684576594795</v>
      </c>
      <c r="BG162" s="3">
        <f ca="1">IFERROR(__xludf.DUMMYFUNCTION("""COMPUTED_VALUE"""),-0.573557071392397)</f>
        <v>-0.57355707139239698</v>
      </c>
      <c r="BH162" s="3">
        <f ca="1">IFERROR(__xludf.DUMMYFUNCTION("""COMPUTED_VALUE"""),-0.454486610446883)</f>
        <v>-0.45448661044688299</v>
      </c>
      <c r="BI162" s="3">
        <f ca="1">IFERROR(__xludf.DUMMYFUNCTION("""COMPUTED_VALUE"""),-0.498831106202693)</f>
        <v>-0.498831106202693</v>
      </c>
      <c r="BJ162" s="3">
        <f ca="1">IFERROR(__xludf.DUMMYFUNCTION("""COMPUTED_VALUE"""),-0.590087362943429)</f>
        <v>-0.59008736294342901</v>
      </c>
      <c r="BK162" s="3">
        <f ca="1">IFERROR(__xludf.DUMMYFUNCTION("""COMPUTED_VALUE"""),-0.625173839584585)</f>
        <v>-0.62517383958458494</v>
      </c>
      <c r="BL162" s="3">
        <f ca="1">IFERROR(__xludf.DUMMYFUNCTION("""COMPUTED_VALUE"""),-0.602837087888273)</f>
        <v>-0.60283708788827295</v>
      </c>
      <c r="BM162" s="3">
        <f ca="1">IFERROR(__xludf.DUMMYFUNCTION("""COMPUTED_VALUE"""),-0.599889218161214)</f>
        <v>-0.59988921816121399</v>
      </c>
      <c r="BN162" s="3">
        <f ca="1">IFERROR(__xludf.DUMMYFUNCTION("""COMPUTED_VALUE"""),-0.579225565060362)</f>
        <v>-0.57922556506036205</v>
      </c>
      <c r="BO162" s="3">
        <f ca="1">IFERROR(__xludf.DUMMYFUNCTION("""COMPUTED_VALUE"""),-0.49727596500941)</f>
        <v>-0.49727596500941001</v>
      </c>
      <c r="BP162" s="3">
        <f ca="1">IFERROR(__xludf.DUMMYFUNCTION("""COMPUTED_VALUE"""),-0.465070217851241)</f>
        <v>-0.46507021785124097</v>
      </c>
      <c r="BQ162" s="3">
        <f ca="1">IFERROR(__xludf.DUMMYFUNCTION("""COMPUTED_VALUE"""),-0.579332960514725)</f>
        <v>-0.57933296051472505</v>
      </c>
      <c r="BR162" s="3">
        <f ca="1">IFERROR(__xludf.DUMMYFUNCTION("""COMPUTED_VALUE"""),-0.593919271919402)</f>
        <v>-0.59391927191940197</v>
      </c>
      <c r="BS162" s="3">
        <f ca="1">IFERROR(__xludf.DUMMYFUNCTION("""COMPUTED_VALUE"""),-0.618609854009065)</f>
        <v>-0.61860985400906499</v>
      </c>
      <c r="BT162" s="3">
        <f ca="1">IFERROR(__xludf.DUMMYFUNCTION("""COMPUTED_VALUE"""),-0.644440297423837)</f>
        <v>-0.64444029742383702</v>
      </c>
      <c r="BU162" s="3">
        <f ca="1">IFERROR(__xludf.DUMMYFUNCTION("""COMPUTED_VALUE"""),-0.641647969855304)</f>
        <v>-0.64164796985530403</v>
      </c>
      <c r="BV162" s="3">
        <f ca="1">IFERROR(__xludf.DUMMYFUNCTION("""COMPUTED_VALUE"""),-0.536695015947178)</f>
        <v>-0.53669501594717794</v>
      </c>
      <c r="BW162" s="3">
        <f ca="1">IFERROR(__xludf.DUMMYFUNCTION("""COMPUTED_VALUE"""),-0.495226771675304)</f>
        <v>-0.49522677167530399</v>
      </c>
      <c r="BX162" s="3">
        <f ca="1">IFERROR(__xludf.DUMMYFUNCTION("""COMPUTED_VALUE"""),-0.620708277098683)</f>
        <v>-0.62070827709868304</v>
      </c>
      <c r="BY162" s="3">
        <f ca="1">IFERROR(__xludf.DUMMYFUNCTION("""COMPUTED_VALUE"""),-0.625978229457703)</f>
        <v>-0.62597822945770298</v>
      </c>
      <c r="BZ162" s="3">
        <f ca="1">IFERROR(__xludf.DUMMYFUNCTION("""COMPUTED_VALUE"""),-0.604295000138741)</f>
        <v>-0.60429500013874105</v>
      </c>
      <c r="CA162" s="3">
        <f ca="1">IFERROR(__xludf.DUMMYFUNCTION("""COMPUTED_VALUE"""),-0.643685421849388)</f>
        <v>-0.64368542184938804</v>
      </c>
      <c r="CB162" s="3">
        <f ca="1">IFERROR(__xludf.DUMMYFUNCTION("""COMPUTED_VALUE"""),-0.596989336651426)</f>
        <v>-0.59698933665142595</v>
      </c>
      <c r="CC162" s="3">
        <f ca="1">IFERROR(__xludf.DUMMYFUNCTION("""COMPUTED_VALUE"""),-0.510380456881273)</f>
        <v>-0.51038045688127298</v>
      </c>
      <c r="CD162" s="3">
        <f ca="1">IFERROR(__xludf.DUMMYFUNCTION("""COMPUTED_VALUE"""),-0.500063081277629)</f>
        <v>-0.500063081277629</v>
      </c>
      <c r="CE162" s="3">
        <f ca="1">IFERROR(__xludf.DUMMYFUNCTION("""COMPUTED_VALUE"""),-0.587325475595552)</f>
        <v>-0.58732547559555204</v>
      </c>
      <c r="CF162" s="3">
        <f ca="1">IFERROR(__xludf.DUMMYFUNCTION("""COMPUTED_VALUE"""),-0.596188578433905)</f>
        <v>-0.59618857843390505</v>
      </c>
      <c r="CG162" s="3">
        <f ca="1">IFERROR(__xludf.DUMMYFUNCTION("""COMPUTED_VALUE"""),-0.633691943413676)</f>
        <v>-0.63369194341367596</v>
      </c>
      <c r="CH162" s="3">
        <f ca="1">IFERROR(__xludf.DUMMYFUNCTION("""COMPUTED_VALUE"""),-0.610708794920164)</f>
        <v>-0.61070879492016406</v>
      </c>
      <c r="CI162" s="3">
        <f ca="1">IFERROR(__xludf.DUMMYFUNCTION("""COMPUTED_VALUE"""),-0.572720242587694)</f>
        <v>-0.57272024258769405</v>
      </c>
      <c r="CJ162" s="3">
        <f ca="1">IFERROR(__xludf.DUMMYFUNCTION("""COMPUTED_VALUE"""),-0.500150757819545)</f>
        <v>-0.50015075781954499</v>
      </c>
      <c r="CK162" s="3">
        <f ca="1">IFERROR(__xludf.DUMMYFUNCTION("""COMPUTED_VALUE"""),-0.470911069603546)</f>
        <v>-0.47091106960354601</v>
      </c>
      <c r="CL162" s="3">
        <f ca="1">IFERROR(__xludf.DUMMYFUNCTION("""COMPUTED_VALUE"""),-0.594645083968651)</f>
        <v>-0.59464508396865101</v>
      </c>
      <c r="CM162" s="3">
        <f ca="1">IFERROR(__xludf.DUMMYFUNCTION("""COMPUTED_VALUE"""),-0.606803515871282)</f>
        <v>-0.60680351587128201</v>
      </c>
      <c r="CN162" s="3">
        <f ca="1">IFERROR(__xludf.DUMMYFUNCTION("""COMPUTED_VALUE"""),-0.598351719982773)</f>
        <v>-0.59835171998277303</v>
      </c>
      <c r="CO162" s="3">
        <f ca="1">IFERROR(__xludf.DUMMYFUNCTION("""COMPUTED_VALUE"""),-0.619391359147833)</f>
        <v>-0.61939135914783305</v>
      </c>
      <c r="CP162" s="3">
        <f ca="1">IFERROR(__xludf.DUMMYFUNCTION("""COMPUTED_VALUE"""),-0.574598844716527)</f>
        <v>-0.574598844716527</v>
      </c>
      <c r="CQ162" s="3">
        <f ca="1">IFERROR(__xludf.DUMMYFUNCTION("""COMPUTED_VALUE"""),-0.491906144901652)</f>
        <v>-0.49190614490165202</v>
      </c>
      <c r="CR162" s="3">
        <f ca="1">IFERROR(__xludf.DUMMYFUNCTION("""COMPUTED_VALUE"""),-0.479386840567185)</f>
        <v>-0.479386840567185</v>
      </c>
      <c r="CS162" s="3">
        <f ca="1">IFERROR(__xludf.DUMMYFUNCTION("""COMPUTED_VALUE"""),-0.59193295346049)</f>
        <v>-0.59193295346049002</v>
      </c>
      <c r="CT162" s="3">
        <f ca="1">IFERROR(__xludf.DUMMYFUNCTION("""COMPUTED_VALUE"""),-0.586233722961241)</f>
        <v>-0.58623372296124099</v>
      </c>
      <c r="CU162" s="3">
        <f ca="1">IFERROR(__xludf.DUMMYFUNCTION("""COMPUTED_VALUE"""),-0.55450194410632)</f>
        <v>-0.55450194410632003</v>
      </c>
      <c r="CV162" s="3">
        <f ca="1">IFERROR(__xludf.DUMMYFUNCTION("""COMPUTED_VALUE"""),-0.579373795651659)</f>
        <v>-0.57937379565165903</v>
      </c>
      <c r="CW162" s="3">
        <f ca="1">IFERROR(__xludf.DUMMYFUNCTION("""COMPUTED_VALUE"""),-0.553567069012799)</f>
        <v>-0.55356706901279895</v>
      </c>
      <c r="CX162" s="3">
        <f ca="1">IFERROR(__xludf.DUMMYFUNCTION("""COMPUTED_VALUE"""),-0.482193455351155)</f>
        <v>-0.48219345535115499</v>
      </c>
      <c r="CY162" s="3">
        <f ca="1">IFERROR(__xludf.DUMMYFUNCTION("""COMPUTED_VALUE"""),-0.432572145313262)</f>
        <v>-0.43257214531326199</v>
      </c>
      <c r="CZ162" s="3">
        <f ca="1">IFERROR(__xludf.DUMMYFUNCTION("""COMPUTED_VALUE"""),-0.699375299880996)</f>
        <v>-0.699375299880996</v>
      </c>
      <c r="DA162" s="3">
        <f ca="1">IFERROR(__xludf.DUMMYFUNCTION("""COMPUTED_VALUE"""),-0.513076388437431)</f>
        <v>-0.51307638843743097</v>
      </c>
      <c r="DB162" s="3">
        <f ca="1">IFERROR(__xludf.DUMMYFUNCTION("""COMPUTED_VALUE"""),-0.301080257733184)</f>
        <v>-0.30108025773318398</v>
      </c>
      <c r="DC162" s="3">
        <f ca="1">IFERROR(__xludf.DUMMYFUNCTION("""COMPUTED_VALUE"""),-0.479645967226645)</f>
        <v>-0.47964596722664499</v>
      </c>
      <c r="DD162" s="3">
        <f ca="1">IFERROR(__xludf.DUMMYFUNCTION("""COMPUTED_VALUE"""),-0.490093981267495)</f>
        <v>-0.49009398126749498</v>
      </c>
      <c r="DE162" s="3">
        <f ca="1">IFERROR(__xludf.DUMMYFUNCTION("""COMPUTED_VALUE"""),-0.414557081687368)</f>
        <v>-0.41455708168736799</v>
      </c>
      <c r="DF162" s="3">
        <f ca="1">IFERROR(__xludf.DUMMYFUNCTION("""COMPUTED_VALUE"""),-0.505554939374212)</f>
        <v>-0.50555493937421203</v>
      </c>
      <c r="DG162" s="3">
        <f ca="1">IFERROR(__xludf.DUMMYFUNCTION("""COMPUTED_VALUE"""),-0.791596062989101)</f>
        <v>-0.79159606298910101</v>
      </c>
      <c r="DH162" s="3">
        <f ca="1">IFERROR(__xludf.DUMMYFUNCTION("""COMPUTED_VALUE"""),-0.577754458409487)</f>
        <v>-0.57775445840948703</v>
      </c>
      <c r="DI162" s="3">
        <f ca="1">IFERROR(__xludf.DUMMYFUNCTION("""COMPUTED_VALUE"""),-0.273716635587888)</f>
        <v>-0.273716635587888</v>
      </c>
      <c r="DJ162" s="3">
        <f ca="1">IFERROR(__xludf.DUMMYFUNCTION("""COMPUTED_VALUE"""),-0.458415823960912)</f>
        <v>-0.45841582396091202</v>
      </c>
      <c r="DK162" s="3">
        <f ca="1">IFERROR(__xludf.DUMMYFUNCTION("""COMPUTED_VALUE"""),-0.468778914821844)</f>
        <v>-0.46877891482184397</v>
      </c>
      <c r="DL162" s="3">
        <f ca="1">IFERROR(__xludf.DUMMYFUNCTION("""COMPUTED_VALUE"""),-0.403322085658817)</f>
        <v>-0.403322085658817</v>
      </c>
      <c r="DM162" s="3">
        <f ca="1">IFERROR(__xludf.DUMMYFUNCTION("""COMPUTED_VALUE"""),-0.448345178608738)</f>
        <v>-0.44834517860873802</v>
      </c>
      <c r="DN162" s="3">
        <f ca="1">IFERROR(__xludf.DUMMYFUNCTION("""COMPUTED_VALUE"""),-0.529191960513551)</f>
        <v>-0.529191960513551</v>
      </c>
      <c r="DO162" s="3">
        <f ca="1">IFERROR(__xludf.DUMMYFUNCTION("""COMPUTED_VALUE"""),-0.536197736593607)</f>
        <v>-0.53619773659360703</v>
      </c>
      <c r="DP162" s="3">
        <f ca="1">IFERROR(__xludf.DUMMYFUNCTION("""COMPUTED_VALUE"""),-0.522393328089055)</f>
        <v>-0.52239332808905503</v>
      </c>
      <c r="DQ162" s="3">
        <f ca="1">IFERROR(__xludf.DUMMYFUNCTION("""COMPUTED_VALUE"""),-0.520303616789142)</f>
        <v>-0.52030361678914205</v>
      </c>
      <c r="DR162" s="3">
        <f ca="1">IFERROR(__xludf.DUMMYFUNCTION("""COMPUTED_VALUE"""),-0.581014165282331)</f>
        <v>-0.58101416528233096</v>
      </c>
      <c r="DS162" s="3">
        <f ca="1">IFERROR(__xludf.DUMMYFUNCTION("""COMPUTED_VALUE"""),-0.400262557307)</f>
        <v>-0.400262557307</v>
      </c>
      <c r="DT162" s="3">
        <f ca="1">IFERROR(__xludf.DUMMYFUNCTION("""COMPUTED_VALUE"""),-0.426056038534315)</f>
        <v>-0.42605603853431501</v>
      </c>
      <c r="DU162" s="3">
        <f ca="1">IFERROR(__xludf.DUMMYFUNCTION("""COMPUTED_VALUE"""),-0.539501564045988)</f>
        <v>-0.53950156404598804</v>
      </c>
      <c r="DV162" s="3">
        <f ca="1">IFERROR(__xludf.DUMMYFUNCTION("""COMPUTED_VALUE"""),-0.594097358127361)</f>
        <v>-0.59409735812736097</v>
      </c>
      <c r="DW162" s="3">
        <f ca="1">IFERROR(__xludf.DUMMYFUNCTION("""COMPUTED_VALUE"""),-0.595682709907295)</f>
        <v>-0.59568270990729499</v>
      </c>
      <c r="DX162" s="3">
        <f ca="1">IFERROR(__xludf.DUMMYFUNCTION("""COMPUTED_VALUE"""),-0.592556088708423)</f>
        <v>-0.59255608870842302</v>
      </c>
      <c r="DY162" s="3">
        <f ca="1">IFERROR(__xludf.DUMMYFUNCTION("""COMPUTED_VALUE"""),-0.553608806078946)</f>
        <v>-0.55360880607894603</v>
      </c>
      <c r="DZ162" s="3">
        <f ca="1">IFERROR(__xludf.DUMMYFUNCTION("""COMPUTED_VALUE"""),-0.4056483197245)</f>
        <v>-0.40564831972449999</v>
      </c>
      <c r="EA162" s="3">
        <f ca="1">IFERROR(__xludf.DUMMYFUNCTION("""COMPUTED_VALUE"""),-0.450679858694566)</f>
        <v>-0.450679858694566</v>
      </c>
      <c r="EB162" s="3">
        <f ca="1">IFERROR(__xludf.DUMMYFUNCTION("""COMPUTED_VALUE"""),-0.531865292581359)</f>
        <v>-0.53186529258135895</v>
      </c>
      <c r="EC162" s="3">
        <f ca="1">IFERROR(__xludf.DUMMYFUNCTION("""COMPUTED_VALUE"""),-0.502381196363318)</f>
        <v>-0.50238119636331802</v>
      </c>
      <c r="ED162" s="3">
        <f ca="1">IFERROR(__xludf.DUMMYFUNCTION("""COMPUTED_VALUE"""),-0.568683863260581)</f>
        <v>-0.56868386326058096</v>
      </c>
      <c r="EE162" s="3">
        <f ca="1">IFERROR(__xludf.DUMMYFUNCTION("""COMPUTED_VALUE"""),-0.596200342821293)</f>
        <v>-0.59620034282129297</v>
      </c>
      <c r="EF162" s="3">
        <f ca="1">IFERROR(__xludf.DUMMYFUNCTION("""COMPUTED_VALUE"""),-0.608185081527523)</f>
        <v>-0.60818508152752304</v>
      </c>
      <c r="EG162" s="3">
        <f ca="1">IFERROR(__xludf.DUMMYFUNCTION("""COMPUTED_VALUE"""),-0.399745833629203)</f>
        <v>-0.39974583362920302</v>
      </c>
      <c r="EH162" s="3">
        <f ca="1">IFERROR(__xludf.DUMMYFUNCTION("""COMPUTED_VALUE"""),-0.448628509433822)</f>
        <v>-0.44862850943382199</v>
      </c>
      <c r="EI162" s="3">
        <f ca="1">IFERROR(__xludf.DUMMYFUNCTION("""COMPUTED_VALUE"""),-0.550699337470505)</f>
        <v>-0.55069933747050503</v>
      </c>
      <c r="EJ162" s="3">
        <f ca="1">IFERROR(__xludf.DUMMYFUNCTION("""COMPUTED_VALUE"""),-0.690606128593882)</f>
        <v>-0.69060612859388204</v>
      </c>
      <c r="EK162" s="3">
        <f ca="1">IFERROR(__xludf.DUMMYFUNCTION("""COMPUTED_VALUE"""),-0.543323897170775)</f>
        <v>-0.54332389717077501</v>
      </c>
      <c r="EL162" s="3">
        <f ca="1">IFERROR(__xludf.DUMMYFUNCTION("""COMPUTED_VALUE"""),-0.584260867654466)</f>
        <v>-0.58426086765446605</v>
      </c>
      <c r="EM162" s="3">
        <f ca="1">IFERROR(__xludf.DUMMYFUNCTION("""COMPUTED_VALUE"""),-0.567444933767388)</f>
        <v>-0.56744493376738803</v>
      </c>
      <c r="EN162" s="3">
        <f ca="1">IFERROR(__xludf.DUMMYFUNCTION("""COMPUTED_VALUE"""),-0.394773105401675)</f>
        <v>-0.39477310540167498</v>
      </c>
      <c r="EO162" s="3">
        <f ca="1">IFERROR(__xludf.DUMMYFUNCTION("""COMPUTED_VALUE"""),-0.441980703192427)</f>
        <v>-0.44198070319242699</v>
      </c>
      <c r="EP162" s="3">
        <f ca="1">IFERROR(__xludf.DUMMYFUNCTION("""COMPUTED_VALUE"""),-0.505610617614818)</f>
        <v>-0.50561061761481796</v>
      </c>
      <c r="EQ162" s="3">
        <f ca="1">IFERROR(__xludf.DUMMYFUNCTION("""COMPUTED_VALUE"""),-0.499372259504784)</f>
        <v>-0.49937225950478398</v>
      </c>
      <c r="ER162" s="3">
        <f ca="1">IFERROR(__xludf.DUMMYFUNCTION("""COMPUTED_VALUE"""),-0.572554603123487)</f>
        <v>-0.57255460312348705</v>
      </c>
      <c r="ES162" s="3">
        <f ca="1">IFERROR(__xludf.DUMMYFUNCTION("""COMPUTED_VALUE"""),-0.600716517967477)</f>
        <v>-0.60071651796747705</v>
      </c>
      <c r="ET162" s="3">
        <f ca="1">IFERROR(__xludf.DUMMYFUNCTION("""COMPUTED_VALUE"""),-0.569056608730673)</f>
        <v>-0.56905660873067299</v>
      </c>
      <c r="EU162" s="3">
        <f ca="1">IFERROR(__xludf.DUMMYFUNCTION("""COMPUTED_VALUE"""),-0.434375665062441)</f>
        <v>-0.43437566506244102</v>
      </c>
      <c r="EV162" s="3">
        <f ca="1">IFERROR(__xludf.DUMMYFUNCTION("""COMPUTED_VALUE"""),-0.445077061791973)</f>
        <v>-0.44507706179197298</v>
      </c>
      <c r="EW162" s="3">
        <f ca="1">IFERROR(__xludf.DUMMYFUNCTION("""COMPUTED_VALUE"""),-0.557528380031365)</f>
        <v>-0.55752838003136496</v>
      </c>
      <c r="EX162" s="3">
        <f ca="1">IFERROR(__xludf.DUMMYFUNCTION("""COMPUTED_VALUE"""),-0.618300556607006)</f>
        <v>-0.618300556607006</v>
      </c>
      <c r="EY162" s="3">
        <f ca="1">IFERROR(__xludf.DUMMYFUNCTION("""COMPUTED_VALUE"""),-0.618618550518288)</f>
        <v>-0.61861855051828796</v>
      </c>
      <c r="EZ162" s="3">
        <f ca="1">IFERROR(__xludf.DUMMYFUNCTION("""COMPUTED_VALUE"""),-0.576670744810392)</f>
        <v>-0.57667074481039204</v>
      </c>
      <c r="FA162" s="3">
        <f ca="1">IFERROR(__xludf.DUMMYFUNCTION("""COMPUTED_VALUE"""),-0.56102218104125)</f>
        <v>-0.56102218104125001</v>
      </c>
      <c r="FB162" s="3">
        <f ca="1">IFERROR(__xludf.DUMMYFUNCTION("""COMPUTED_VALUE"""),-0.418933993367399)</f>
        <v>-0.418933993367399</v>
      </c>
      <c r="FC162" s="3">
        <f ca="1">IFERROR(__xludf.DUMMYFUNCTION("""COMPUTED_VALUE"""),-0.455598240231563)</f>
        <v>-0.45559824023156298</v>
      </c>
      <c r="FD162" s="3">
        <f ca="1">IFERROR(__xludf.DUMMYFUNCTION("""COMPUTED_VALUE"""),-0.569731742051145)</f>
        <v>-0.56973174205114496</v>
      </c>
      <c r="FE162" s="3">
        <f ca="1">IFERROR(__xludf.DUMMYFUNCTION("""COMPUTED_VALUE"""),-0.599108180752553)</f>
        <v>-0.59910818075255301</v>
      </c>
      <c r="FF162" s="3">
        <f ca="1">IFERROR(__xludf.DUMMYFUNCTION("""COMPUTED_VALUE"""),-0.594823818767389)</f>
        <v>-0.59482381876738899</v>
      </c>
      <c r="FG162" s="3">
        <f ca="1">IFERROR(__xludf.DUMMYFUNCTION("""COMPUTED_VALUE"""),-0.56864860133421)</f>
        <v>-0.56864860133421002</v>
      </c>
      <c r="FH162" s="3">
        <f ca="1">IFERROR(__xludf.DUMMYFUNCTION("""COMPUTED_VALUE"""),-0.579817410640529)</f>
        <v>-0.57981741064052905</v>
      </c>
      <c r="FI162" s="3">
        <f ca="1">IFERROR(__xludf.DUMMYFUNCTION("""COMPUTED_VALUE"""),-0.478612218337302)</f>
        <v>-0.478612218337302</v>
      </c>
      <c r="FJ162" s="3">
        <f ca="1">IFERROR(__xludf.DUMMYFUNCTION("""COMPUTED_VALUE"""),-0.467450639599935)</f>
        <v>-0.46745063959993499</v>
      </c>
      <c r="FK162" s="3">
        <f ca="1">IFERROR(__xludf.DUMMYFUNCTION("""COMPUTED_VALUE"""),-0.586821611511915)</f>
        <v>-0.58682161151191503</v>
      </c>
      <c r="FL162" s="3">
        <f ca="1">IFERROR(__xludf.DUMMYFUNCTION("""COMPUTED_VALUE"""),-0.6733642266582)</f>
        <v>-0.67336422665819995</v>
      </c>
      <c r="FM162" s="3">
        <f ca="1">IFERROR(__xludf.DUMMYFUNCTION("""COMPUTED_VALUE"""),-0.582045861408474)</f>
        <v>-0.58204586140847403</v>
      </c>
      <c r="FN162" s="3">
        <f ca="1">IFERROR(__xludf.DUMMYFUNCTION("""COMPUTED_VALUE"""),-0.591377089700099)</f>
        <v>-0.59137708970009895</v>
      </c>
      <c r="FO162" s="3">
        <f ca="1">IFERROR(__xludf.DUMMYFUNCTION("""COMPUTED_VALUE"""),-0.585270901978398)</f>
        <v>-0.58527090197839804</v>
      </c>
      <c r="FP162" s="3">
        <f ca="1">IFERROR(__xludf.DUMMYFUNCTION("""COMPUTED_VALUE"""),-0.458533730900968)</f>
        <v>-0.458533730900968</v>
      </c>
      <c r="FQ162" s="3">
        <f ca="1">IFERROR(__xludf.DUMMYFUNCTION("""COMPUTED_VALUE"""),-0.460546737198516)</f>
        <v>-0.46054673719851602</v>
      </c>
      <c r="FR162" s="3">
        <f ca="1">IFERROR(__xludf.DUMMYFUNCTION("""COMPUTED_VALUE"""),-0.570592338901118)</f>
        <v>-0.57059233890111805</v>
      </c>
      <c r="FS162" s="3">
        <f ca="1">IFERROR(__xludf.DUMMYFUNCTION("""COMPUTED_VALUE"""),-0.594896135669021)</f>
        <v>-0.594896135669021</v>
      </c>
      <c r="FT162" s="3">
        <f ca="1">IFERROR(__xludf.DUMMYFUNCTION("""COMPUTED_VALUE"""),-0.574566688547425)</f>
        <v>-0.57456668854742499</v>
      </c>
      <c r="FU162" s="3">
        <f ca="1">IFERROR(__xludf.DUMMYFUNCTION("""COMPUTED_VALUE"""),-0.587645022807191)</f>
        <v>-0.587645022807191</v>
      </c>
      <c r="FV162" s="3">
        <f ca="1">IFERROR(__xludf.DUMMYFUNCTION("""COMPUTED_VALUE"""),-0.575672999061345)</f>
        <v>-0.57567299906134495</v>
      </c>
      <c r="FW162" s="3">
        <f ca="1">IFERROR(__xludf.DUMMYFUNCTION("""COMPUTED_VALUE"""),-0.400348690344868)</f>
        <v>-0.40034869034486797</v>
      </c>
      <c r="FX162" s="3">
        <f ca="1">IFERROR(__xludf.DUMMYFUNCTION("""COMPUTED_VALUE"""),-0.471721474655662)</f>
        <v>-0.471721474655662</v>
      </c>
      <c r="FY162" s="3">
        <f ca="1">IFERROR(__xludf.DUMMYFUNCTION("""COMPUTED_VALUE"""),-0.599651670340432)</f>
        <v>-0.59965167034043199</v>
      </c>
      <c r="FZ162" s="3">
        <f ca="1">IFERROR(__xludf.DUMMYFUNCTION("""COMPUTED_VALUE"""),-0.598617831826444)</f>
        <v>-0.59861783182644401</v>
      </c>
      <c r="GA162" s="3">
        <f ca="1">IFERROR(__xludf.DUMMYFUNCTION("""COMPUTED_VALUE"""),-0.571080558425008)</f>
        <v>-0.57108055842500804</v>
      </c>
      <c r="GB162" s="3">
        <f ca="1">IFERROR(__xludf.DUMMYFUNCTION("""COMPUTED_VALUE"""),-0.581549514437196)</f>
        <v>-0.58154951443719605</v>
      </c>
      <c r="GC162" s="3">
        <f ca="1">IFERROR(__xludf.DUMMYFUNCTION("""COMPUTED_VALUE"""),-0.586772493473604)</f>
        <v>-0.58677249347360405</v>
      </c>
      <c r="GD162" s="3">
        <f ca="1">IFERROR(__xludf.DUMMYFUNCTION("""COMPUTED_VALUE"""),-0.454299006031773)</f>
        <v>-0.45429900603177298</v>
      </c>
      <c r="GE162" s="3">
        <f ca="1">IFERROR(__xludf.DUMMYFUNCTION("""COMPUTED_VALUE"""),-0.50183947748998)</f>
        <v>-0.50183947748998003</v>
      </c>
      <c r="GF162" s="3">
        <f ca="1">IFERROR(__xludf.DUMMYFUNCTION("""COMPUTED_VALUE"""),-0.577457815314046)</f>
        <v>-0.57745781531404605</v>
      </c>
      <c r="GG162" s="3">
        <f ca="1">IFERROR(__xludf.DUMMYFUNCTION("""COMPUTED_VALUE"""),-0.605123376344694)</f>
        <v>-0.60512337634469404</v>
      </c>
      <c r="GH162" s="3">
        <f ca="1">IFERROR(__xludf.DUMMYFUNCTION("""COMPUTED_VALUE"""),-0.582179990466619)</f>
        <v>-0.58217999046661895</v>
      </c>
      <c r="GI162" s="3">
        <f ca="1">IFERROR(__xludf.DUMMYFUNCTION("""COMPUTED_VALUE"""),-0.609484405190539)</f>
        <v>-0.60948440519053904</v>
      </c>
      <c r="GJ162" s="3">
        <f ca="1">IFERROR(__xludf.DUMMYFUNCTION("""COMPUTED_VALUE"""),-0.581381884559465)</f>
        <v>-0.58138188455946505</v>
      </c>
      <c r="GK162" s="3">
        <f ca="1">IFERROR(__xludf.DUMMYFUNCTION("""COMPUTED_VALUE"""),-0.468132120943967)</f>
        <v>-0.468132120943967</v>
      </c>
      <c r="GL162" s="3">
        <f ca="1">IFERROR(__xludf.DUMMYFUNCTION("""COMPUTED_VALUE"""),-0.490304392782674)</f>
        <v>-0.49030439278267401</v>
      </c>
      <c r="GM162" s="3">
        <f ca="1">IFERROR(__xludf.DUMMYFUNCTION("""COMPUTED_VALUE"""),-0.600323318760817)</f>
        <v>-0.60032331876081702</v>
      </c>
      <c r="GN162" s="3">
        <f ca="1">IFERROR(__xludf.DUMMYFUNCTION("""COMPUTED_VALUE"""),-0.610484546509928)</f>
        <v>-0.61048454650992801</v>
      </c>
      <c r="GO162" s="3">
        <f ca="1">IFERROR(__xludf.DUMMYFUNCTION("""COMPUTED_VALUE"""),-0.605962065040495)</f>
        <v>-0.60596206504049499</v>
      </c>
      <c r="GP162" s="3">
        <f ca="1">IFERROR(__xludf.DUMMYFUNCTION("""COMPUTED_VALUE"""),-0.630191033123269)</f>
        <v>-0.63019103312326896</v>
      </c>
      <c r="GQ162" s="3">
        <f ca="1">IFERROR(__xludf.DUMMYFUNCTION("""COMPUTED_VALUE"""),-0.589659580649383)</f>
        <v>-0.58965958064938295</v>
      </c>
      <c r="GR162" s="3">
        <f ca="1">IFERROR(__xludf.DUMMYFUNCTION("""COMPUTED_VALUE"""),-0.48663143660789)</f>
        <v>-0.48663143660788999</v>
      </c>
      <c r="GS162" s="3">
        <f ca="1">IFERROR(__xludf.DUMMYFUNCTION("""COMPUTED_VALUE"""),-0.532316585262867)</f>
        <v>-0.53231658526286696</v>
      </c>
      <c r="GT162" s="3">
        <f ca="1">IFERROR(__xludf.DUMMYFUNCTION("""COMPUTED_VALUE"""),-0.618394915209075)</f>
        <v>-0.61839491520907497</v>
      </c>
      <c r="GU162" s="3">
        <f ca="1">IFERROR(__xludf.DUMMYFUNCTION("""COMPUTED_VALUE"""),-0.629262321863267)</f>
        <v>-0.62926232186326703</v>
      </c>
      <c r="GV162" s="3">
        <f ca="1">IFERROR(__xludf.DUMMYFUNCTION("""COMPUTED_VALUE"""),-0.612497443495046)</f>
        <v>-0.61249744349504598</v>
      </c>
      <c r="GW162" s="3">
        <f ca="1">IFERROR(__xludf.DUMMYFUNCTION("""COMPUTED_VALUE"""),-0.617970251495927)</f>
        <v>-0.61797025149592699</v>
      </c>
      <c r="GX162" s="3">
        <f ca="1">IFERROR(__xludf.DUMMYFUNCTION("""COMPUTED_VALUE"""),-0.607022171332628)</f>
        <v>-0.60702217133262804</v>
      </c>
      <c r="GY162" s="3">
        <f ca="1">IFERROR(__xludf.DUMMYFUNCTION("""COMPUTED_VALUE"""),-0.510480805100813)</f>
        <v>-0.51048080510081295</v>
      </c>
      <c r="GZ162" s="3">
        <f ca="1">IFERROR(__xludf.DUMMYFUNCTION("""COMPUTED_VALUE"""),-0.512482637249167)</f>
        <v>-0.51248263724916698</v>
      </c>
      <c r="HA162" s="3">
        <f ca="1">IFERROR(__xludf.DUMMYFUNCTION("""COMPUTED_VALUE"""),-0.606654994852043)</f>
        <v>-0.60665499485204299</v>
      </c>
      <c r="HB162" s="3">
        <f ca="1">IFERROR(__xludf.DUMMYFUNCTION("""COMPUTED_VALUE"""),-0.644151227974775)</f>
        <v>-0.64415122797477498</v>
      </c>
      <c r="HC162" s="3">
        <f ca="1">IFERROR(__xludf.DUMMYFUNCTION("""COMPUTED_VALUE"""),-0.617938314155633)</f>
        <v>-0.61793831415563305</v>
      </c>
      <c r="HD162" s="3">
        <f ca="1">IFERROR(__xludf.DUMMYFUNCTION("""COMPUTED_VALUE"""),-0.629244884313469)</f>
        <v>-0.62924488431346903</v>
      </c>
      <c r="HE162" s="3">
        <f ca="1">IFERROR(__xludf.DUMMYFUNCTION("""COMPUTED_VALUE"""),-0.61458255655204)</f>
        <v>-0.61458255655203997</v>
      </c>
      <c r="HF162" s="3">
        <f ca="1">IFERROR(__xludf.DUMMYFUNCTION("""COMPUTED_VALUE"""),-0.493271683158258)</f>
        <v>-0.49327168315825798</v>
      </c>
      <c r="HG162" s="3">
        <f ca="1">IFERROR(__xludf.DUMMYFUNCTION("""COMPUTED_VALUE"""),-0.540363432711937)</f>
        <v>-0.54036343271193699</v>
      </c>
      <c r="HH162" s="3">
        <f ca="1">IFERROR(__xludf.DUMMYFUNCTION("""COMPUTED_VALUE"""),-0.598824624393224)</f>
        <v>-0.59882462439322404</v>
      </c>
      <c r="HI162" s="3">
        <f ca="1">IFERROR(__xludf.DUMMYFUNCTION("""COMPUTED_VALUE"""),-0.645740186718919)</f>
        <v>-0.64574018671891897</v>
      </c>
      <c r="HJ162" s="3">
        <f ca="1">IFERROR(__xludf.DUMMYFUNCTION("""COMPUTED_VALUE"""),-0.638421017914438)</f>
        <v>-0.63842101791443795</v>
      </c>
      <c r="HK162" s="3">
        <f ca="1">IFERROR(__xludf.DUMMYFUNCTION("""COMPUTED_VALUE"""),-0.613574449977833)</f>
        <v>-0.61357444997783295</v>
      </c>
      <c r="HL162" s="3">
        <f ca="1">IFERROR(__xludf.DUMMYFUNCTION("""COMPUTED_VALUE"""),-0.606247163787774)</f>
        <v>-0.60624716378777399</v>
      </c>
      <c r="HM162" s="3">
        <f ca="1">IFERROR(__xludf.DUMMYFUNCTION("""COMPUTED_VALUE"""),-0.497989472808357)</f>
        <v>-0.49798947280835698</v>
      </c>
      <c r="HN162" s="3">
        <f ca="1">IFERROR(__xludf.DUMMYFUNCTION("""COMPUTED_VALUE"""),-0.512830167312715)</f>
        <v>-0.51283016731271502</v>
      </c>
      <c r="HO162" s="3">
        <f ca="1">IFERROR(__xludf.DUMMYFUNCTION("""COMPUTED_VALUE"""),-0.581853862839207)</f>
        <v>-0.58185386283920704</v>
      </c>
      <c r="HP162" s="3">
        <f ca="1">IFERROR(__xludf.DUMMYFUNCTION("""COMPUTED_VALUE"""),-0.615640393920614)</f>
        <v>-0.61564039392061398</v>
      </c>
      <c r="HQ162" s="3">
        <f ca="1">IFERROR(__xludf.DUMMYFUNCTION("""COMPUTED_VALUE"""),-0.614399148007885)</f>
        <v>-0.61439914800788498</v>
      </c>
      <c r="HR162" s="3">
        <f ca="1">IFERROR(__xludf.DUMMYFUNCTION("""COMPUTED_VALUE"""),-0.621092330591235)</f>
        <v>-0.62109233059123503</v>
      </c>
      <c r="HS162" s="3">
        <f ca="1">IFERROR(__xludf.DUMMYFUNCTION("""COMPUTED_VALUE"""),-0.587327633133307)</f>
        <v>-0.58732763313330705</v>
      </c>
      <c r="HT162" s="3">
        <f ca="1">IFERROR(__xludf.DUMMYFUNCTION("""COMPUTED_VALUE"""),-0.487624243863096)</f>
        <v>-0.487624243863096</v>
      </c>
      <c r="HU162" s="3">
        <f ca="1">IFERROR(__xludf.DUMMYFUNCTION("""COMPUTED_VALUE"""),-0.542394642815466)</f>
        <v>-0.54239464281546601</v>
      </c>
      <c r="HV162" s="3">
        <f ca="1">IFERROR(__xludf.DUMMYFUNCTION("""COMPUTED_VALUE"""),-0.560567351386734)</f>
        <v>-0.56056735138673397</v>
      </c>
      <c r="HW162" s="3">
        <f ca="1">IFERROR(__xludf.DUMMYFUNCTION("""COMPUTED_VALUE"""),-0.584865945627437)</f>
        <v>-0.58486594562743699</v>
      </c>
      <c r="HX162" s="3">
        <f ca="1">IFERROR(__xludf.DUMMYFUNCTION("""COMPUTED_VALUE"""),-0.586122504305079)</f>
        <v>-0.58612250430507895</v>
      </c>
      <c r="HY162" s="3">
        <f ca="1">IFERROR(__xludf.DUMMYFUNCTION("""COMPUTED_VALUE"""),-0.583699503541062)</f>
        <v>-0.58369950354106204</v>
      </c>
      <c r="HZ162" s="3">
        <f ca="1">IFERROR(__xludf.DUMMYFUNCTION("""COMPUTED_VALUE"""),-0.510848355102695)</f>
        <v>-0.510848355102695</v>
      </c>
      <c r="IA162" s="3">
        <f ca="1">IFERROR(__xludf.DUMMYFUNCTION("""COMPUTED_VALUE"""),-0.535940968215481)</f>
        <v>-0.53594096821548098</v>
      </c>
      <c r="IB162" s="3">
        <f ca="1">IFERROR(__xludf.DUMMYFUNCTION("""COMPUTED_VALUE"""),-0.625899628987549)</f>
        <v>-0.62589962898754903</v>
      </c>
      <c r="IC162" s="3">
        <f ca="1">IFERROR(__xludf.DUMMYFUNCTION("""COMPUTED_VALUE"""),-0.593426660767968)</f>
        <v>-0.59342666076796802</v>
      </c>
      <c r="ID162" s="3">
        <f ca="1">IFERROR(__xludf.DUMMYFUNCTION("""COMPUTED_VALUE"""),-0.613726341685992)</f>
        <v>-0.61372634168599205</v>
      </c>
      <c r="IE162" s="3">
        <f ca="1">IFERROR(__xludf.DUMMYFUNCTION("""COMPUTED_VALUE"""),-0.613987482122699)</f>
        <v>-0.61398748212269905</v>
      </c>
      <c r="IF162" s="3">
        <f ca="1">IFERROR(__xludf.DUMMYFUNCTION("""COMPUTED_VALUE"""),-0.590244963313816)</f>
        <v>-0.59024496331381604</v>
      </c>
      <c r="IG162" s="3">
        <f ca="1">IFERROR(__xludf.DUMMYFUNCTION("""COMPUTED_VALUE"""),-0.597487713704572)</f>
        <v>-0.59748771370457199</v>
      </c>
      <c r="IH162" s="3">
        <f ca="1">IFERROR(__xludf.DUMMYFUNCTION("""COMPUTED_VALUE"""),-0.650458899577333)</f>
        <v>-0.65045889957733305</v>
      </c>
      <c r="II162" s="3">
        <f ca="1">IFERROR(__xludf.DUMMYFUNCTION("""COMPUTED_VALUE"""),-0.643300169012371)</f>
        <v>-0.64330016901237097</v>
      </c>
      <c r="IJ162" s="3">
        <f ca="1">IFERROR(__xludf.DUMMYFUNCTION("""COMPUTED_VALUE"""),-0.590702496242382)</f>
        <v>-0.59070249624238202</v>
      </c>
      <c r="IK162" s="3">
        <f ca="1">IFERROR(__xludf.DUMMYFUNCTION("""COMPUTED_VALUE"""),-0.649921429297176)</f>
        <v>-0.649921429297176</v>
      </c>
      <c r="IL162" s="3">
        <f ca="1">IFERROR(__xludf.DUMMYFUNCTION("""COMPUTED_VALUE"""),-0.616510325636469)</f>
        <v>-0.61651032563646901</v>
      </c>
      <c r="IM162" s="3">
        <f ca="1">IFERROR(__xludf.DUMMYFUNCTION("""COMPUTED_VALUE"""),-0.593969805801324)</f>
        <v>-0.59396980580132397</v>
      </c>
      <c r="IN162" s="3">
        <f ca="1">IFERROR(__xludf.DUMMYFUNCTION("""COMPUTED_VALUE"""),-0.587540572426895)</f>
        <v>-0.58754057242689495</v>
      </c>
      <c r="IO162" s="3">
        <f ca="1">IFERROR(__xludf.DUMMYFUNCTION("""COMPUTED_VALUE"""),-0.625539917002707)</f>
        <v>-0.62553991700270695</v>
      </c>
      <c r="IP162" s="3">
        <f ca="1">IFERROR(__xludf.DUMMYFUNCTION("""COMPUTED_VALUE"""),-0.627836873632815)</f>
        <v>-0.62783687363281504</v>
      </c>
      <c r="IQ162" s="3">
        <f ca="1">IFERROR(__xludf.DUMMYFUNCTION("""COMPUTED_VALUE"""),-0.600676531135693)</f>
        <v>-0.60067653113569297</v>
      </c>
      <c r="IR162" s="3">
        <f ca="1">IFERROR(__xludf.DUMMYFUNCTION("""COMPUTED_VALUE"""),-0.641516697817018)</f>
        <v>-0.64151669781701803</v>
      </c>
      <c r="IS162" s="3">
        <f ca="1">IFERROR(__xludf.DUMMYFUNCTION("""COMPUTED_VALUE"""),-0.594043761562303)</f>
        <v>-0.59404376156230299</v>
      </c>
      <c r="IT162" s="3">
        <f ca="1">IFERROR(__xludf.DUMMYFUNCTION("""COMPUTED_VALUE"""),-0.659004746331717)</f>
        <v>-0.65900474633171702</v>
      </c>
      <c r="IU162" s="3">
        <f ca="1">IFERROR(__xludf.DUMMYFUNCTION("""COMPUTED_VALUE"""),-0.629655112019533)</f>
        <v>-0.62965511201953295</v>
      </c>
      <c r="IV162" s="3">
        <f ca="1">IFERROR(__xludf.DUMMYFUNCTION("""COMPUTED_VALUE"""),-0.632916801370378)</f>
        <v>-0.63291680137037798</v>
      </c>
      <c r="IW162" s="3">
        <f ca="1">IFERROR(__xludf.DUMMYFUNCTION("""COMPUTED_VALUE"""),-0.637082100153922)</f>
        <v>-0.63708210015392197</v>
      </c>
      <c r="IX162" s="3">
        <f ca="1">IFERROR(__xludf.DUMMYFUNCTION("""COMPUTED_VALUE"""),-0.637128207488824)</f>
        <v>-0.63712820748882404</v>
      </c>
      <c r="IY162" s="3">
        <f ca="1">IFERROR(__xludf.DUMMYFUNCTION("""COMPUTED_VALUE"""),-0.631543308685898)</f>
        <v>-0.63154330868589803</v>
      </c>
      <c r="IZ162" s="3">
        <f ca="1">IFERROR(__xludf.DUMMYFUNCTION("""COMPUTED_VALUE"""),-0.617968859443128)</f>
        <v>-0.61796885944312796</v>
      </c>
      <c r="JA162" s="3">
        <f ca="1">IFERROR(__xludf.DUMMYFUNCTION("""COMPUTED_VALUE"""),-0.627984496024296)</f>
        <v>-0.62798449602429596</v>
      </c>
      <c r="JB162" s="3">
        <f ca="1">IFERROR(__xludf.DUMMYFUNCTION("""COMPUTED_VALUE"""),-0.60870388839739)</f>
        <v>-0.60870388839738998</v>
      </c>
      <c r="JC162" s="3">
        <f ca="1">IFERROR(__xludf.DUMMYFUNCTION("""COMPUTED_VALUE"""),-0.626098335362635)</f>
        <v>-0.62609833536263504</v>
      </c>
      <c r="JD162" s="3">
        <f ca="1">IFERROR(__xludf.DUMMYFUNCTION("""COMPUTED_VALUE"""),-0.622915263581223)</f>
        <v>-0.62291526358122296</v>
      </c>
      <c r="JE162" s="3">
        <f ca="1">IFERROR(__xludf.DUMMYFUNCTION("""COMPUTED_VALUE"""),-0.632889013483125)</f>
        <v>-0.63288901348312498</v>
      </c>
      <c r="JF162" s="3">
        <f ca="1">IFERROR(__xludf.DUMMYFUNCTION("""COMPUTED_VALUE"""),-0.636566640529083)</f>
        <v>-0.63656664052908296</v>
      </c>
      <c r="JG162" s="3">
        <f ca="1">IFERROR(__xludf.DUMMYFUNCTION("""COMPUTED_VALUE"""),-0.659935189148629)</f>
        <v>-0.65993518914862903</v>
      </c>
      <c r="JH162" s="3">
        <f ca="1">IFERROR(__xludf.DUMMYFUNCTION("""COMPUTED_VALUE"""),-0.634560397103324)</f>
        <v>-0.63456039710332401</v>
      </c>
      <c r="JI162" s="3">
        <f ca="1">IFERROR(__xludf.DUMMYFUNCTION("""COMPUTED_VALUE"""),-0.631874747468104)</f>
        <v>-0.63187474746810401</v>
      </c>
      <c r="JJ162" s="3">
        <f ca="1">IFERROR(__xludf.DUMMYFUNCTION("""COMPUTED_VALUE"""),-0.638439813705884)</f>
        <v>-0.63843981370588399</v>
      </c>
      <c r="JK162" s="3">
        <f ca="1">IFERROR(__xludf.DUMMYFUNCTION("""COMPUTED_VALUE"""),-0.625077790012633)</f>
        <v>-0.62507779001263297</v>
      </c>
      <c r="JL162" s="3">
        <f ca="1">IFERROR(__xludf.DUMMYFUNCTION("""COMPUTED_VALUE"""),-0.624091428051853)</f>
        <v>-0.62409142805185303</v>
      </c>
      <c r="JM162" s="3">
        <f ca="1">IFERROR(__xludf.DUMMYFUNCTION("""COMPUTED_VALUE"""),-0.651047440170187)</f>
        <v>-0.65104744017018701</v>
      </c>
      <c r="JN162" s="3">
        <f ca="1">IFERROR(__xludf.DUMMYFUNCTION("""COMPUTED_VALUE"""),-0.645960708556451)</f>
        <v>-0.64596070855645105</v>
      </c>
      <c r="JO162" s="3">
        <f ca="1">IFERROR(__xludf.DUMMYFUNCTION("""COMPUTED_VALUE"""),-0.63866889498139)</f>
        <v>-0.63866889498139001</v>
      </c>
      <c r="JP162" s="3">
        <f ca="1">IFERROR(__xludf.DUMMYFUNCTION("""COMPUTED_VALUE"""),-0.624655492752425)</f>
        <v>-0.62465549275242505</v>
      </c>
      <c r="JQ162" s="3">
        <f ca="1">IFERROR(__xludf.DUMMYFUNCTION("""COMPUTED_VALUE"""),-0.641766092089818)</f>
        <v>-0.64176609208981805</v>
      </c>
      <c r="JR162" s="3">
        <f ca="1">IFERROR(__xludf.DUMMYFUNCTION("""COMPUTED_VALUE"""),-0.61778487151728)</f>
        <v>-0.61778487151728001</v>
      </c>
      <c r="JS162" s="3">
        <f ca="1">IFERROR(__xludf.DUMMYFUNCTION("""COMPUTED_VALUE"""),-0.625496490640556)</f>
        <v>-0.62549649064055601</v>
      </c>
      <c r="JT162" s="3">
        <f ca="1">IFERROR(__xludf.DUMMYFUNCTION("""COMPUTED_VALUE"""),-0.606174944709933)</f>
        <v>-0.60617494470993305</v>
      </c>
      <c r="JU162" s="3">
        <f ca="1">IFERROR(__xludf.DUMMYFUNCTION("""COMPUTED_VALUE"""),-0.65563343467054)</f>
        <v>-0.65563343467054003</v>
      </c>
      <c r="JV162" s="3">
        <f ca="1">IFERROR(__xludf.DUMMYFUNCTION("""COMPUTED_VALUE"""),-0.65534442637564)</f>
        <v>-0.65534442637564005</v>
      </c>
      <c r="JW162" s="3">
        <f ca="1">IFERROR(__xludf.DUMMYFUNCTION("""COMPUTED_VALUE"""),-0.637296734819609)</f>
        <v>-0.63729673481960902</v>
      </c>
      <c r="JX162" s="3">
        <f ca="1">IFERROR(__xludf.DUMMYFUNCTION("""COMPUTED_VALUE"""),-0.66561960110199)</f>
        <v>-0.66561960110199003</v>
      </c>
      <c r="JY162" s="3">
        <f ca="1">IFERROR(__xludf.DUMMYFUNCTION("""COMPUTED_VALUE"""),-0.674376030985667)</f>
        <v>-0.67437603098566701</v>
      </c>
      <c r="JZ162" s="3">
        <f ca="1">IFERROR(__xludf.DUMMYFUNCTION("""COMPUTED_VALUE"""),-0.566697603074092)</f>
        <v>-0.566697603074092</v>
      </c>
      <c r="KA162" s="3">
        <f ca="1">IFERROR(__xludf.DUMMYFUNCTION("""COMPUTED_VALUE"""),-0.59019024605941)</f>
        <v>-0.59019024605940995</v>
      </c>
      <c r="KB162" s="3">
        <f ca="1">IFERROR(__xludf.DUMMYFUNCTION("""COMPUTED_VALUE"""),-0.655240709983642)</f>
        <v>-0.65524070998364203</v>
      </c>
      <c r="KC162" s="3">
        <f ca="1">IFERROR(__xludf.DUMMYFUNCTION("""COMPUTED_VALUE"""),-0.657801005817703)</f>
        <v>-0.65780100581770296</v>
      </c>
      <c r="KD162" s="3">
        <f ca="1">IFERROR(__xludf.DUMMYFUNCTION("""COMPUTED_VALUE"""),-0.627638992825034)</f>
        <v>-0.62763899282503399</v>
      </c>
      <c r="KE162" s="3">
        <f ca="1">IFERROR(__xludf.DUMMYFUNCTION("""COMPUTED_VALUE"""),-0.650964116282183)</f>
        <v>-0.65096411628218298</v>
      </c>
      <c r="KF162" s="3">
        <f ca="1">IFERROR(__xludf.DUMMYFUNCTION("""COMPUTED_VALUE"""),-0.631533403595165)</f>
        <v>-0.63153340359516497</v>
      </c>
      <c r="KG162" s="3">
        <f ca="1">IFERROR(__xludf.DUMMYFUNCTION("""COMPUTED_VALUE"""),-0.610581423543205)</f>
        <v>-0.61058142354320499</v>
      </c>
      <c r="KH162" s="3">
        <f ca="1">IFERROR(__xludf.DUMMYFUNCTION("""COMPUTED_VALUE"""),-0.60442036593242)</f>
        <v>-0.60442036593241999</v>
      </c>
      <c r="KI162" s="3">
        <f ca="1">IFERROR(__xludf.DUMMYFUNCTION("""COMPUTED_VALUE"""),-0.648506985828246)</f>
        <v>-0.64850698582824595</v>
      </c>
      <c r="KJ162" s="3">
        <f ca="1">IFERROR(__xludf.DUMMYFUNCTION("""COMPUTED_VALUE"""),-0.638761819426165)</f>
        <v>-0.63876181942616495</v>
      </c>
      <c r="KK162" s="3">
        <f ca="1">IFERROR(__xludf.DUMMYFUNCTION("""COMPUTED_VALUE"""),-0.642915233091927)</f>
        <v>-0.642915233091927</v>
      </c>
      <c r="KL162" s="3">
        <f ca="1">IFERROR(__xludf.DUMMYFUNCTION("""COMPUTED_VALUE"""),-0.649415552522595)</f>
        <v>-0.64941555252259497</v>
      </c>
      <c r="KM162" s="3">
        <f ca="1">IFERROR(__xludf.DUMMYFUNCTION("""COMPUTED_VALUE"""),-0.687384046546862)</f>
        <v>-0.68738404654686203</v>
      </c>
      <c r="KN162" s="3">
        <f ca="1">IFERROR(__xludf.DUMMYFUNCTION("""COMPUTED_VALUE"""),-0.663543064991406)</f>
        <v>-0.66354306499140603</v>
      </c>
      <c r="KO162" s="3">
        <f ca="1">IFERROR(__xludf.DUMMYFUNCTION("""COMPUTED_VALUE"""),-0.686728113422712)</f>
        <v>-0.68672811342271201</v>
      </c>
      <c r="KP162" s="3">
        <f ca="1">IFERROR(__xludf.DUMMYFUNCTION("""COMPUTED_VALUE"""),-0.718464333991579)</f>
        <v>-0.71846433399157905</v>
      </c>
      <c r="KQ162" s="3">
        <f ca="1">IFERROR(__xludf.DUMMYFUNCTION("""COMPUTED_VALUE"""),-0.686488375203089)</f>
        <v>-0.68648837520308903</v>
      </c>
      <c r="KR162" s="3">
        <f ca="1">IFERROR(__xludf.DUMMYFUNCTION("""COMPUTED_VALUE"""),-0.654293457141021)</f>
        <v>-0.65429345714102105</v>
      </c>
      <c r="KS162" s="3">
        <f ca="1">IFERROR(__xludf.DUMMYFUNCTION("""COMPUTED_VALUE"""),-0.67135564469698)</f>
        <v>-0.67135564469697995</v>
      </c>
      <c r="KT162" s="3">
        <f ca="1">IFERROR(__xludf.DUMMYFUNCTION("""COMPUTED_VALUE"""),-0.676304973742902)</f>
        <v>-0.67630497374290199</v>
      </c>
      <c r="KU162" s="3">
        <f ca="1">IFERROR(__xludf.DUMMYFUNCTION("""COMPUTED_VALUE"""),-0.677390268820831)</f>
        <v>-0.67739026882083098</v>
      </c>
      <c r="KV162" s="3">
        <f ca="1">IFERROR(__xludf.DUMMYFUNCTION("""COMPUTED_VALUE"""),-0.707956049203588)</f>
        <v>-0.70795604920358801</v>
      </c>
      <c r="KW162" s="3">
        <f ca="1">IFERROR(__xludf.DUMMYFUNCTION("""COMPUTED_VALUE"""),-0.694975018125186)</f>
        <v>-0.69497501812518603</v>
      </c>
      <c r="KX162" s="3">
        <f ca="1">IFERROR(__xludf.DUMMYFUNCTION("""COMPUTED_VALUE"""),-0.692687323023332)</f>
        <v>-0.69268732302333202</v>
      </c>
      <c r="KY162" s="3">
        <f ca="1">IFERROR(__xludf.DUMMYFUNCTION("""COMPUTED_VALUE"""),-0.668945626465825)</f>
        <v>-0.66894562646582501</v>
      </c>
      <c r="KZ162" s="3">
        <f ca="1">IFERROR(__xludf.DUMMYFUNCTION("""COMPUTED_VALUE"""),-0.682281577240613)</f>
        <v>-0.682281577240613</v>
      </c>
      <c r="LA162" s="3">
        <f ca="1">IFERROR(__xludf.DUMMYFUNCTION("""COMPUTED_VALUE"""),-0.644685713807079)</f>
        <v>-0.64468571380707895</v>
      </c>
      <c r="LB162" s="3">
        <f ca="1">IFERROR(__xludf.DUMMYFUNCTION("""COMPUTED_VALUE"""),-0.715594432110191)</f>
        <v>-0.71559443211019103</v>
      </c>
      <c r="LC162" s="3">
        <f ca="1">IFERROR(__xludf.DUMMYFUNCTION("""COMPUTED_VALUE"""),-0.71453473834005)</f>
        <v>-0.71453473834004999</v>
      </c>
      <c r="LD162" s="3">
        <f ca="1">IFERROR(__xludf.DUMMYFUNCTION("""COMPUTED_VALUE"""),-0.710770942041597)</f>
        <v>-0.71077094204159696</v>
      </c>
      <c r="LE162" s="3">
        <f ca="1">IFERROR(__xludf.DUMMYFUNCTION("""COMPUTED_VALUE"""),-0.725859349267212)</f>
        <v>-0.72585934926721196</v>
      </c>
      <c r="LF162" s="3">
        <f ca="1">IFERROR(__xludf.DUMMYFUNCTION("""COMPUTED_VALUE"""),-0.669631789060892)</f>
        <v>-0.66963178906089205</v>
      </c>
      <c r="LG162" s="3">
        <f ca="1">IFERROR(__xludf.DUMMYFUNCTION("""COMPUTED_VALUE"""),-0.698150656388464)</f>
        <v>-0.69815065638846396</v>
      </c>
      <c r="LH162" s="3">
        <f ca="1">IFERROR(__xludf.DUMMYFUNCTION("""COMPUTED_VALUE"""),-0.690924322905369)</f>
        <v>-0.69092432290536898</v>
      </c>
      <c r="LI162" s="3">
        <f ca="1">IFERROR(__xludf.DUMMYFUNCTION("""COMPUTED_VALUE"""),-0.737908589694055)</f>
        <v>-0.73790858969405504</v>
      </c>
      <c r="LJ162" s="3">
        <f ca="1">IFERROR(__xludf.DUMMYFUNCTION("""COMPUTED_VALUE"""),-0.764325474873571)</f>
        <v>-0.76432547487357105</v>
      </c>
      <c r="LK162" s="3">
        <f ca="1">IFERROR(__xludf.DUMMYFUNCTION("""COMPUTED_VALUE"""),-0.753239425639641)</f>
        <v>-0.75323942563964097</v>
      </c>
      <c r="LL162" s="3">
        <f ca="1">IFERROR(__xludf.DUMMYFUNCTION("""COMPUTED_VALUE"""),-0.743616625914515)</f>
        <v>-0.74361662591451505</v>
      </c>
      <c r="LM162" s="3">
        <f ca="1">IFERROR(__xludf.DUMMYFUNCTION("""COMPUTED_VALUE"""),-0.761206583116683)</f>
        <v>-0.76120658311668299</v>
      </c>
      <c r="LN162" s="3">
        <f ca="1">IFERROR(__xludf.DUMMYFUNCTION("""COMPUTED_VALUE"""),-0.741586024276883)</f>
        <v>-0.74158602427688303</v>
      </c>
      <c r="LO162" s="3">
        <f ca="1">IFERROR(__xludf.DUMMYFUNCTION("""COMPUTED_VALUE"""),-0.732621952474747)</f>
        <v>-0.73262195247474704</v>
      </c>
      <c r="LP162" s="3">
        <f ca="1">IFERROR(__xludf.DUMMYFUNCTION("""COMPUTED_VALUE"""),-0.781193030152901)</f>
        <v>-0.78119303015290098</v>
      </c>
      <c r="LQ162" s="3">
        <f ca="1">IFERROR(__xludf.DUMMYFUNCTION("""COMPUTED_VALUE"""),-0.775041292348457)</f>
        <v>-0.77504129234845698</v>
      </c>
      <c r="LR162" s="3">
        <f ca="1">IFERROR(__xludf.DUMMYFUNCTION("""COMPUTED_VALUE"""),-0.774488575900993)</f>
        <v>-0.77448857590099296</v>
      </c>
      <c r="LS162" s="3">
        <f ca="1">IFERROR(__xludf.DUMMYFUNCTION("""COMPUTED_VALUE"""),-0.766859608580285)</f>
        <v>-0.76685960858028501</v>
      </c>
      <c r="LT162" s="3">
        <f ca="1">IFERROR(__xludf.DUMMYFUNCTION("""COMPUTED_VALUE"""),-0.726227343998489)</f>
        <v>-0.72622734399848898</v>
      </c>
      <c r="LU162" s="3">
        <f ca="1">IFERROR(__xludf.DUMMYFUNCTION("""COMPUTED_VALUE"""),-0.740300741155055)</f>
        <v>-0.74030074115505495</v>
      </c>
      <c r="LV162" s="3">
        <f ca="1">IFERROR(__xludf.DUMMYFUNCTION("""COMPUTED_VALUE"""),-0.731791702263998)</f>
        <v>-0.73179170226399803</v>
      </c>
      <c r="LW162" s="3">
        <f ca="1">IFERROR(__xludf.DUMMYFUNCTION("""COMPUTED_VALUE"""),-0.758432128643357)</f>
        <v>-0.75843212864335696</v>
      </c>
      <c r="LX162" s="3">
        <f ca="1">IFERROR(__xludf.DUMMYFUNCTION("""COMPUTED_VALUE"""),-0.781002038074816)</f>
        <v>-0.78100203807481605</v>
      </c>
      <c r="LY162" s="3">
        <f ca="1">IFERROR(__xludf.DUMMYFUNCTION("""COMPUTED_VALUE"""),-0.772317926888181)</f>
        <v>-0.77231792688818102</v>
      </c>
      <c r="LZ162" s="3">
        <f ca="1">IFERROR(__xludf.DUMMYFUNCTION("""COMPUTED_VALUE"""),-0.786624737448741)</f>
        <v>-0.78662473744874095</v>
      </c>
      <c r="MA162" s="3">
        <f ca="1">IFERROR(__xludf.DUMMYFUNCTION("""COMPUTED_VALUE"""),-0.771810703941255)</f>
        <v>-0.77181070394125495</v>
      </c>
      <c r="MB162" s="3">
        <f ca="1">IFERROR(__xludf.DUMMYFUNCTION("""COMPUTED_VALUE"""),-0.728994969586254)</f>
        <v>-0.72899496958625398</v>
      </c>
      <c r="MC162" s="3">
        <f ca="1">IFERROR(__xludf.DUMMYFUNCTION("""COMPUTED_VALUE"""),-0.766986092160774)</f>
        <v>-0.76698609216077396</v>
      </c>
      <c r="MD162" s="3">
        <f ca="1">IFERROR(__xludf.DUMMYFUNCTION("""COMPUTED_VALUE"""),-0.782677456833163)</f>
        <v>-0.78267745683316303</v>
      </c>
      <c r="ME162" s="3">
        <f ca="1">IFERROR(__xludf.DUMMYFUNCTION("""COMPUTED_VALUE"""),-0.783604797822288)</f>
        <v>-0.78360479782228798</v>
      </c>
      <c r="MF162" s="3">
        <f ca="1">IFERROR(__xludf.DUMMYFUNCTION("""COMPUTED_VALUE"""),-0.801226538565074)</f>
        <v>-0.80122653856507398</v>
      </c>
      <c r="MG162" s="3">
        <f ca="1">IFERROR(__xludf.DUMMYFUNCTION("""COMPUTED_VALUE"""),-0.78063689765089)</f>
        <v>-0.78063689765088995</v>
      </c>
      <c r="MH162" s="3">
        <f ca="1">IFERROR(__xludf.DUMMYFUNCTION("""COMPUTED_VALUE"""),-0.750636870481529)</f>
        <v>-0.75063687048152905</v>
      </c>
      <c r="MI162" s="3">
        <f ca="1">IFERROR(__xludf.DUMMYFUNCTION("""COMPUTED_VALUE"""),-0.752916962372827)</f>
        <v>-0.75291696237282701</v>
      </c>
      <c r="MJ162" s="3">
        <f ca="1">IFERROR(__xludf.DUMMYFUNCTION("""COMPUTED_VALUE"""),-0.741611152069886)</f>
        <v>-0.74161115206988604</v>
      </c>
      <c r="MK162" s="3">
        <f ca="1">IFERROR(__xludf.DUMMYFUNCTION("""COMPUTED_VALUE"""),-0.770774344143591)</f>
        <v>-0.77077434414359103</v>
      </c>
      <c r="ML162" s="3">
        <f ca="1">IFERROR(__xludf.DUMMYFUNCTION("""COMPUTED_VALUE"""),-0.830049847413773)</f>
        <v>-0.83004984741377297</v>
      </c>
      <c r="MM162" s="3">
        <f ca="1">IFERROR(__xludf.DUMMYFUNCTION("""COMPUTED_VALUE"""),-0.782759655765524)</f>
        <v>-0.78275965576552398</v>
      </c>
      <c r="MN162" s="3">
        <f ca="1">IFERROR(__xludf.DUMMYFUNCTION("""COMPUTED_VALUE"""),-0.797349262516375)</f>
        <v>-0.79734926251637495</v>
      </c>
      <c r="MO162" s="3">
        <f ca="1">IFERROR(__xludf.DUMMYFUNCTION("""COMPUTED_VALUE"""),-0.778723707421132)</f>
        <v>-0.77872370742113195</v>
      </c>
      <c r="MP162" s="3">
        <f ca="1">IFERROR(__xludf.DUMMYFUNCTION("""COMPUTED_VALUE"""),-0.766555926173084)</f>
        <v>-0.76655592617308399</v>
      </c>
      <c r="MQ162" s="3">
        <f ca="1">IFERROR(__xludf.DUMMYFUNCTION("""COMPUTED_VALUE"""),-0.775329205544781)</f>
        <v>-0.77532920554478102</v>
      </c>
      <c r="MR162" s="3">
        <f ca="1">IFERROR(__xludf.DUMMYFUNCTION("""COMPUTED_VALUE"""),-0.786922655342939)</f>
        <v>-0.78692265534293904</v>
      </c>
      <c r="MS162" s="3">
        <f ca="1">IFERROR(__xludf.DUMMYFUNCTION("""COMPUTED_VALUE"""),-0.810599217822982)</f>
        <v>-0.81059921782298205</v>
      </c>
      <c r="MT162" s="3">
        <f ca="1">IFERROR(__xludf.DUMMYFUNCTION("""COMPUTED_VALUE"""),-0.791752198835734)</f>
        <v>-0.791752198835734</v>
      </c>
      <c r="MU162" s="3">
        <f ca="1">IFERROR(__xludf.DUMMYFUNCTION("""COMPUTED_VALUE"""),-0.79870736772118)</f>
        <v>-0.79870736772118001</v>
      </c>
      <c r="MV162" s="3">
        <f ca="1">IFERROR(__xludf.DUMMYFUNCTION("""COMPUTED_VALUE"""),-0.770502692612307)</f>
        <v>-0.77050269261230697</v>
      </c>
      <c r="MW162" s="3">
        <f ca="1">IFERROR(__xludf.DUMMYFUNCTION("""COMPUTED_VALUE"""),-0.760941961894828)</f>
        <v>-0.76094196189482799</v>
      </c>
      <c r="MX162" s="3">
        <f ca="1">IFERROR(__xludf.DUMMYFUNCTION("""COMPUTED_VALUE"""),-0.787840285934467)</f>
        <v>-0.78784028593446698</v>
      </c>
      <c r="MY162" s="3">
        <f ca="1">IFERROR(__xludf.DUMMYFUNCTION("""COMPUTED_VALUE"""),-0.748012974284919)</f>
        <v>-0.74801297428491897</v>
      </c>
      <c r="MZ162" s="3">
        <f ca="1">IFERROR(__xludf.DUMMYFUNCTION("""COMPUTED_VALUE"""),-0.79830771407621)</f>
        <v>-0.79830771407621004</v>
      </c>
      <c r="NA162" s="3">
        <f ca="1">IFERROR(__xludf.DUMMYFUNCTION("""COMPUTED_VALUE"""),-0.800670993591845)</f>
        <v>-0.80067099359184501</v>
      </c>
      <c r="NB162" s="3">
        <f ca="1">IFERROR(__xludf.DUMMYFUNCTION("""COMPUTED_VALUE"""),-0.794391061414574)</f>
        <v>-0.79439106141457405</v>
      </c>
      <c r="NC162" s="3">
        <f ca="1">IFERROR(__xludf.DUMMYFUNCTION("""COMPUTED_VALUE"""),-0.800177243236224)</f>
        <v>-0.80017724323622397</v>
      </c>
      <c r="ND162" s="3">
        <f ca="1">IFERROR(__xludf.DUMMYFUNCTION("""COMPUTED_VALUE"""),-0.775903924623981)</f>
        <v>-0.77590392462398095</v>
      </c>
      <c r="NE162" s="3">
        <f ca="1">IFERROR(__xludf.DUMMYFUNCTION("""COMPUTED_VALUE"""),-0.773278814997867)</f>
        <v>-0.77327881499786699</v>
      </c>
      <c r="NF162" s="3">
        <f ca="1">IFERROR(__xludf.DUMMYFUNCTION("""COMPUTED_VALUE"""),-0.771092176126366)</f>
        <v>-0.77109217612636605</v>
      </c>
      <c r="NG162" s="3">
        <f ca="1">IFERROR(__xludf.DUMMYFUNCTION("""COMPUTED_VALUE"""),-0.790704036374131)</f>
        <v>-0.790704036374131</v>
      </c>
      <c r="NH162" s="3">
        <f ca="1">IFERROR(__xludf.DUMMYFUNCTION("""COMPUTED_VALUE"""),-0.775401835712077)</f>
        <v>-0.77540183571207699</v>
      </c>
      <c r="NI162" s="3">
        <f ca="1">IFERROR(__xludf.DUMMYFUNCTION("""COMPUTED_VALUE"""),-0.774717490356487)</f>
        <v>-0.77471749035648696</v>
      </c>
      <c r="NJ162" s="3">
        <f ca="1">IFERROR(__xludf.DUMMYFUNCTION("""COMPUTED_VALUE"""),-0.720961646857162)</f>
        <v>-0.72096164685716202</v>
      </c>
      <c r="NK162" s="3">
        <f ca="1">IFERROR(__xludf.DUMMYFUNCTION("""COMPUTED_VALUE"""),-0.745252138611005)</f>
        <v>-0.74525213861100503</v>
      </c>
      <c r="NL162" s="3">
        <f ca="1">IFERROR(__xludf.DUMMYFUNCTION("""COMPUTED_VALUE"""),-0.750614256853347)</f>
        <v>-0.75061425685334704</v>
      </c>
      <c r="NM162" s="3">
        <f ca="1">IFERROR(__xludf.DUMMYFUNCTION("""COMPUTED_VALUE"""),-0.75261099781729)</f>
        <v>-0.75261099781729002</v>
      </c>
      <c r="NN162" s="3">
        <f ca="1">IFERROR(__xludf.DUMMYFUNCTION("""COMPUTED_VALUE"""),-0.768859823649445)</f>
        <v>-0.76885982364944505</v>
      </c>
      <c r="NO162" s="3">
        <f ca="1">IFERROR(__xludf.DUMMYFUNCTION("""COMPUTED_VALUE"""),-0.752648313202873)</f>
        <v>-0.75264831320287295</v>
      </c>
      <c r="NP162" s="3">
        <f ca="1">IFERROR(__xludf.DUMMYFUNCTION("""COMPUTED_VALUE"""),-0.741554063390392)</f>
        <v>-0.74155406339039198</v>
      </c>
      <c r="NQ162" s="3">
        <f ca="1">IFERROR(__xludf.DUMMYFUNCTION("""COMPUTED_VALUE"""),-0.660425149910417)</f>
        <v>-0.66042514991041701</v>
      </c>
      <c r="NR162" s="3">
        <f ca="1">IFERROR(__xludf.DUMMYFUNCTION("""COMPUTED_VALUE"""),-0.65579964116572)</f>
        <v>-0.65579964116571998</v>
      </c>
      <c r="NS162" s="3">
        <f ca="1">IFERROR(__xludf.DUMMYFUNCTION("""COMPUTED_VALUE"""),-0.69718228648011)</f>
        <v>-0.69718228648011005</v>
      </c>
      <c r="NT162" s="3">
        <f ca="1">IFERROR(__xludf.DUMMYFUNCTION("""COMPUTED_VALUE"""),-0.673054524582047)</f>
        <v>-0.67305452458204695</v>
      </c>
      <c r="NU162" s="3">
        <f ca="1">IFERROR(__xludf.DUMMYFUNCTION("""COMPUTED_VALUE"""),-0.677427420268551)</f>
        <v>-0.67742742026855096</v>
      </c>
      <c r="NV162" s="3">
        <f ca="1">IFERROR(__xludf.DUMMYFUNCTION("""COMPUTED_VALUE"""),-0.714803560748902)</f>
        <v>-0.71480356074890194</v>
      </c>
      <c r="NW162" s="3">
        <f ca="1">IFERROR(__xludf.DUMMYFUNCTION("""COMPUTED_VALUE"""),-0.611235033277073)</f>
        <v>-0.61123503327707296</v>
      </c>
      <c r="NX162" s="3">
        <f ca="1">IFERROR(__xludf.DUMMYFUNCTION("""COMPUTED_VALUE"""),-0.650168669550662)</f>
        <v>-0.65016866955066199</v>
      </c>
      <c r="NY162" s="3">
        <f ca="1">IFERROR(__xludf.DUMMYFUNCTION("""COMPUTED_VALUE"""),-0.533831626000267)</f>
        <v>-0.53383162600026701</v>
      </c>
      <c r="NZ162" s="3">
        <f ca="1">IFERROR(__xludf.DUMMYFUNCTION("""COMPUTED_VALUE"""),-0.540562453851756)</f>
        <v>-0.54056245385175605</v>
      </c>
      <c r="OA162" s="3">
        <f ca="1">IFERROR(__xludf.DUMMYFUNCTION("""COMPUTED_VALUE"""),-0.51525054721666)</f>
        <v>-0.51525054721665997</v>
      </c>
      <c r="OB162" s="3">
        <f ca="1">IFERROR(__xludf.DUMMYFUNCTION("""COMPUTED_VALUE"""),-0.47812052515729)</f>
        <v>-0.47812052515728998</v>
      </c>
      <c r="OC162" s="3">
        <f ca="1">IFERROR(__xludf.DUMMYFUNCTION("""COMPUTED_VALUE"""),-0.401044444628694)</f>
        <v>-0.40104444462869399</v>
      </c>
      <c r="OD162" s="3">
        <f ca="1">IFERROR(__xludf.DUMMYFUNCTION("""COMPUTED_VALUE"""),-0.365637136479073)</f>
        <v>-0.36563713647907298</v>
      </c>
      <c r="OE162" s="3">
        <f ca="1">IFERROR(__xludf.DUMMYFUNCTION("""COMPUTED_VALUE"""),-0.222088105895603)</f>
        <v>-0.22208810589560299</v>
      </c>
      <c r="OF162" s="3">
        <f ca="1">IFERROR(__xludf.DUMMYFUNCTION("""COMPUTED_VALUE"""),-0.255218832484642)</f>
        <v>-0.255218832484642</v>
      </c>
      <c r="OG162" s="3">
        <f ca="1">IFERROR(__xludf.DUMMYFUNCTION("""COMPUTED_VALUE"""),-0.216427246913217)</f>
        <v>-0.21642724691321699</v>
      </c>
      <c r="OH162" s="3">
        <f ca="1">IFERROR(__xludf.DUMMYFUNCTION("""COMPUTED_VALUE"""),-0.123615405108471)</f>
        <v>-0.12361540510847099</v>
      </c>
      <c r="OI162" s="3">
        <f ca="1">IFERROR(__xludf.DUMMYFUNCTION("""COMPUTED_VALUE"""),-0.113665677482508)</f>
        <v>-0.113665677482508</v>
      </c>
      <c r="OJ162" s="3">
        <f ca="1">IFERROR(__xludf.DUMMYFUNCTION("""COMPUTED_VALUE"""),-0.0610599275354929)</f>
        <v>-6.10599275354929E-2</v>
      </c>
      <c r="OK162" s="3">
        <f ca="1">IFERROR(__xludf.DUMMYFUNCTION("""COMPUTED_VALUE"""),-0.0688872839705531)</f>
        <v>-6.8887283970553104E-2</v>
      </c>
      <c r="OL162" s="3">
        <f ca="1">IFERROR(__xludf.DUMMYFUNCTION("""COMPUTED_VALUE"""),-0.0284754212417444)</f>
        <v>-2.84754212417444E-2</v>
      </c>
      <c r="OM162" s="3">
        <f ca="1">IFERROR(__xludf.DUMMYFUNCTION("""COMPUTED_VALUE"""),-0.0272693757215192)</f>
        <v>-2.7269375721519201E-2</v>
      </c>
      <c r="ON162" s="3">
        <f ca="1">IFERROR(__xludf.DUMMYFUNCTION("""COMPUTED_VALUE"""),-0.046627772775951)</f>
        <v>-4.6627772775951003E-2</v>
      </c>
      <c r="OO162" s="3">
        <f ca="1">IFERROR(__xludf.DUMMYFUNCTION("""COMPUTED_VALUE"""),-0.0009969873563761)</f>
        <v>-9.9698735637610003E-4</v>
      </c>
      <c r="OP162" s="3">
        <f ca="1">IFERROR(__xludf.DUMMYFUNCTION("""COMPUTED_VALUE"""),-0.00552379646564149)</f>
        <v>-5.5237964656414899E-3</v>
      </c>
      <c r="OQ162" s="3">
        <f ca="1">IFERROR(__xludf.DUMMYFUNCTION("""COMPUTED_VALUE"""),0.0166766043091837)</f>
        <v>1.6676604309183701E-2</v>
      </c>
      <c r="OR162" s="3">
        <f ca="1">IFERROR(__xludf.DUMMYFUNCTION("""COMPUTED_VALUE"""),-0.0284477486169317)</f>
        <v>-2.8447748616931699E-2</v>
      </c>
      <c r="OS162" s="3">
        <f ca="1">IFERROR(__xludf.DUMMYFUNCTION("""COMPUTED_VALUE"""),-0.0171070501791721)</f>
        <v>-1.7107050179172099E-2</v>
      </c>
      <c r="OT162" s="3">
        <f ca="1">IFERROR(__xludf.DUMMYFUNCTION("""COMPUTED_VALUE"""),0.0124277818598361)</f>
        <v>1.24277818598361E-2</v>
      </c>
      <c r="OU162" s="3">
        <f ca="1">IFERROR(__xludf.DUMMYFUNCTION("""COMPUTED_VALUE"""),-0.0484584918094692)</f>
        <v>-4.8458491809469199E-2</v>
      </c>
      <c r="OV162" s="3">
        <f ca="1">IFERROR(__xludf.DUMMYFUNCTION("""COMPUTED_VALUE"""),0.0466406801346255)</f>
        <v>4.6640680134625502E-2</v>
      </c>
      <c r="OW162" s="3">
        <f ca="1">IFERROR(__xludf.DUMMYFUNCTION("""COMPUTED_VALUE"""),-0.0220656106410279)</f>
        <v>-2.20656106410279E-2</v>
      </c>
      <c r="OX162" s="3">
        <f ca="1">IFERROR(__xludf.DUMMYFUNCTION("""COMPUTED_VALUE"""),0.136427821853793)</f>
        <v>0.13642782185379301</v>
      </c>
      <c r="OY162" s="3">
        <f ca="1">IFERROR(__xludf.DUMMYFUNCTION("""COMPUTED_VALUE"""),-0.0546645396998325)</f>
        <v>-5.4664539699832503E-2</v>
      </c>
      <c r="OZ162" s="3">
        <f ca="1">IFERROR(__xludf.DUMMYFUNCTION("""COMPUTED_VALUE"""),0.0192734702884349)</f>
        <v>1.9273470288434898E-2</v>
      </c>
      <c r="PA162" s="3">
        <f ca="1">IFERROR(__xludf.DUMMYFUNCTION("""COMPUTED_VALUE"""),-0.00356833204647977)</f>
        <v>-3.5683320464797701E-3</v>
      </c>
      <c r="PB162" s="3">
        <f ca="1">IFERROR(__xludf.DUMMYFUNCTION("""COMPUTED_VALUE"""),-0.0316840923344542)</f>
        <v>-3.1684092334454197E-2</v>
      </c>
      <c r="PC162" s="3">
        <f ca="1">IFERROR(__xludf.DUMMYFUNCTION("""COMPUTED_VALUE"""),-0.0458961716975317)</f>
        <v>-4.5896171697531699E-2</v>
      </c>
      <c r="PD162" s="3">
        <f ca="1">IFERROR(__xludf.DUMMYFUNCTION("""COMPUTED_VALUE"""),-0.0445687384793855)</f>
        <v>-4.45687384793855E-2</v>
      </c>
      <c r="PE162" s="3">
        <f ca="1">IFERROR(__xludf.DUMMYFUNCTION("""COMPUTED_VALUE"""),0.100470758182646)</f>
        <v>0.100470758182646</v>
      </c>
      <c r="PF162" s="3">
        <f ca="1">IFERROR(__xludf.DUMMYFUNCTION("""COMPUTED_VALUE"""),-0.0215573250961036)</f>
        <v>-2.1557325096103599E-2</v>
      </c>
      <c r="PG162" s="3">
        <f ca="1">IFERROR(__xludf.DUMMYFUNCTION("""COMPUTED_VALUE"""),-0.0837976927153574)</f>
        <v>-8.3797692715357405E-2</v>
      </c>
      <c r="PH162" s="3">
        <f ca="1">IFERROR(__xludf.DUMMYFUNCTION("""COMPUTED_VALUE"""),-0.0276071811805138)</f>
        <v>-2.76071811805138E-2</v>
      </c>
      <c r="PI162" s="3">
        <f ca="1">IFERROR(__xludf.DUMMYFUNCTION("""COMPUTED_VALUE"""),-0.0667503048740362)</f>
        <v>-6.6750304874036201E-2</v>
      </c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</row>
    <row r="163" spans="1:477" ht="13">
      <c r="A163" s="1" t="str">
        <f ca="1">IFERROR(__xludf.DUMMYFUNCTION("""COMPUTED_VALUE"""),"Fairfax Connector")</f>
        <v>Fairfax Connector</v>
      </c>
      <c r="B163" s="1" t="str">
        <f ca="1">IFERROR(__xludf.DUMMYFUNCTION("""COMPUTED_VALUE"""),"Washington D.C.")</f>
        <v>Washington D.C.</v>
      </c>
      <c r="C163" s="1" t="str">
        <f ca="1">IFERROR(__xludf.DUMMYFUNCTION("""COMPUTED_VALUE"""),"United States")</f>
        <v>United States</v>
      </c>
      <c r="D163" s="1" t="str">
        <f ca="1">IFERROR(__xludf.DUMMYFUNCTION("""COMPUTED_VALUE"""),"Virginia")</f>
        <v>Virginia</v>
      </c>
      <c r="E163" s="3">
        <f ca="1">IFERROR(__xludf.DUMMYFUNCTION("""COMPUTED_VALUE"""),-0.353403072692983)</f>
        <v>-0.35340307269298299</v>
      </c>
      <c r="F163" s="3">
        <f ca="1">IFERROR(__xludf.DUMMYFUNCTION("""COMPUTED_VALUE"""),-0.393400324689189)</f>
        <v>-0.39340032468918901</v>
      </c>
      <c r="G163" s="3">
        <f ca="1">IFERROR(__xludf.DUMMYFUNCTION("""COMPUTED_VALUE"""),-0.442079982244751)</f>
        <v>-0.44207998224475098</v>
      </c>
      <c r="H163" s="3">
        <f ca="1">IFERROR(__xludf.DUMMYFUNCTION("""COMPUTED_VALUE"""),-0.422563350309105)</f>
        <v>-0.42256335030910502</v>
      </c>
      <c r="I163" s="3">
        <f ca="1">IFERROR(__xludf.DUMMYFUNCTION("""COMPUTED_VALUE"""),-0.439767572117592)</f>
        <v>-0.43976757211759199</v>
      </c>
      <c r="J163" s="3">
        <f ca="1">IFERROR(__xludf.DUMMYFUNCTION("""COMPUTED_VALUE"""),-0.424916891010316)</f>
        <v>-0.42491689101031599</v>
      </c>
      <c r="K163" s="3">
        <f ca="1">IFERROR(__xludf.DUMMYFUNCTION("""COMPUTED_VALUE"""),-0.367040335502085)</f>
        <v>-0.36704033550208498</v>
      </c>
      <c r="L163" s="3">
        <f ca="1">IFERROR(__xludf.DUMMYFUNCTION("""COMPUTED_VALUE"""),-0.369669199567327)</f>
        <v>-0.36966919956732702</v>
      </c>
      <c r="M163" s="3">
        <f ca="1">IFERROR(__xludf.DUMMYFUNCTION("""COMPUTED_VALUE"""),-0.40337451386818)</f>
        <v>-0.40337451386818002</v>
      </c>
      <c r="N163" s="3">
        <f ca="1">IFERROR(__xludf.DUMMYFUNCTION("""COMPUTED_VALUE"""),-0.460844871442941)</f>
        <v>-0.46084487144294101</v>
      </c>
      <c r="O163" s="3">
        <f ca="1">IFERROR(__xludf.DUMMYFUNCTION("""COMPUTED_VALUE"""),-0.48810550661526)</f>
        <v>-0.48810550661525998</v>
      </c>
      <c r="P163" s="3">
        <f ca="1">IFERROR(__xludf.DUMMYFUNCTION("""COMPUTED_VALUE"""),-0.434790719748138)</f>
        <v>-0.43479071974813799</v>
      </c>
      <c r="Q163" s="3">
        <f ca="1">IFERROR(__xludf.DUMMYFUNCTION("""COMPUTED_VALUE"""),-0.43846234408701)</f>
        <v>-0.43846234408701001</v>
      </c>
      <c r="R163" s="3">
        <f ca="1">IFERROR(__xludf.DUMMYFUNCTION("""COMPUTED_VALUE"""),-0.409564929262671)</f>
        <v>-0.40956492926267102</v>
      </c>
      <c r="S163" s="3">
        <f ca="1">IFERROR(__xludf.DUMMYFUNCTION("""COMPUTED_VALUE"""),-0.369725410727806)</f>
        <v>-0.36972541072780601</v>
      </c>
      <c r="T163" s="3">
        <f ca="1">IFERROR(__xludf.DUMMYFUNCTION("""COMPUTED_VALUE"""),-0.363281745694844)</f>
        <v>-0.363281745694844</v>
      </c>
      <c r="U163" s="3">
        <f ca="1">IFERROR(__xludf.DUMMYFUNCTION("""COMPUTED_VALUE"""),-0.455029206105997)</f>
        <v>-0.45502920610599701</v>
      </c>
      <c r="V163" s="3">
        <f ca="1">IFERROR(__xludf.DUMMYFUNCTION("""COMPUTED_VALUE"""),-0.520195925414882)</f>
        <v>-0.52019592541488202</v>
      </c>
      <c r="W163" s="3">
        <f ca="1">IFERROR(__xludf.DUMMYFUNCTION("""COMPUTED_VALUE"""),-0.468311062619284)</f>
        <v>-0.46831106261928401</v>
      </c>
      <c r="X163" s="3">
        <f ca="1">IFERROR(__xludf.DUMMYFUNCTION("""COMPUTED_VALUE"""),-0.413975805953971)</f>
        <v>-0.41397580595397099</v>
      </c>
      <c r="Y163" s="3">
        <f ca="1">IFERROR(__xludf.DUMMYFUNCTION("""COMPUTED_VALUE"""),-0.316992764435615)</f>
        <v>-0.31699276443561503</v>
      </c>
      <c r="Z163" s="3">
        <f ca="1">IFERROR(__xludf.DUMMYFUNCTION("""COMPUTED_VALUE"""),-0.327303570485508)</f>
        <v>-0.32730357048550801</v>
      </c>
      <c r="AA163" s="3">
        <f ca="1">IFERROR(__xludf.DUMMYFUNCTION("""COMPUTED_VALUE"""),-0.422159277439534)</f>
        <v>-0.42215927743953402</v>
      </c>
      <c r="AB163" s="3">
        <f ca="1">IFERROR(__xludf.DUMMYFUNCTION("""COMPUTED_VALUE"""),-0.497458327992006)</f>
        <v>-0.49745832799200601</v>
      </c>
      <c r="AC163" s="3">
        <f ca="1">IFERROR(__xludf.DUMMYFUNCTION("""COMPUTED_VALUE"""),-0.437688040384674)</f>
        <v>-0.43768804038467402</v>
      </c>
      <c r="AD163" s="3">
        <f ca="1">IFERROR(__xludf.DUMMYFUNCTION("""COMPUTED_VALUE"""),-0.473107444972768)</f>
        <v>-0.47310744497276802</v>
      </c>
      <c r="AE163" s="3">
        <f ca="1">IFERROR(__xludf.DUMMYFUNCTION("""COMPUTED_VALUE"""),-0.427223554783191)</f>
        <v>-0.42722355478319102</v>
      </c>
      <c r="AF163" s="3">
        <f ca="1">IFERROR(__xludf.DUMMYFUNCTION("""COMPUTED_VALUE"""),-0.312156557168317)</f>
        <v>-0.31215655716831697</v>
      </c>
      <c r="AG163" s="3">
        <f ca="1">IFERROR(__xludf.DUMMYFUNCTION("""COMPUTED_VALUE"""),-0.319606328782779)</f>
        <v>-0.319606328782779</v>
      </c>
      <c r="AH163" s="3">
        <f ca="1">IFERROR(__xludf.DUMMYFUNCTION("""COMPUTED_VALUE"""),-0.389975911658592)</f>
        <v>-0.38997591165859202</v>
      </c>
      <c r="AI163" s="3">
        <f ca="1">IFERROR(__xludf.DUMMYFUNCTION("""COMPUTED_VALUE"""),-0.395478961282938)</f>
        <v>-0.39547896128293802</v>
      </c>
      <c r="AJ163" s="3">
        <f ca="1">IFERROR(__xludf.DUMMYFUNCTION("""COMPUTED_VALUE"""),-0.435794225163209)</f>
        <v>-0.43579422516320898</v>
      </c>
      <c r="AK163" s="3">
        <f ca="1">IFERROR(__xludf.DUMMYFUNCTION("""COMPUTED_VALUE"""),-0.450915136241744)</f>
        <v>-0.45091513624174401</v>
      </c>
      <c r="AL163" s="3">
        <f ca="1">IFERROR(__xludf.DUMMYFUNCTION("""COMPUTED_VALUE"""),-0.433880517475635)</f>
        <v>-0.433880517475635</v>
      </c>
      <c r="AM163" s="3">
        <f ca="1">IFERROR(__xludf.DUMMYFUNCTION("""COMPUTED_VALUE"""),-0.2890241099497)</f>
        <v>-0.28902410994970001</v>
      </c>
      <c r="AN163" s="3">
        <f ca="1">IFERROR(__xludf.DUMMYFUNCTION("""COMPUTED_VALUE"""),-0.341962661343376)</f>
        <v>-0.341962661343376</v>
      </c>
      <c r="AO163" s="3">
        <f ca="1">IFERROR(__xludf.DUMMYFUNCTION("""COMPUTED_VALUE"""),-0.395227290614627)</f>
        <v>-0.39522729061462702</v>
      </c>
      <c r="AP163" s="3">
        <f ca="1">IFERROR(__xludf.DUMMYFUNCTION("""COMPUTED_VALUE"""),-0.422254178742898)</f>
        <v>-0.422254178742898</v>
      </c>
      <c r="AQ163" s="3">
        <f ca="1">IFERROR(__xludf.DUMMYFUNCTION("""COMPUTED_VALUE"""),-0.430773226605506)</f>
        <v>-0.43077322660550599</v>
      </c>
      <c r="AR163" s="3">
        <f ca="1">IFERROR(__xludf.DUMMYFUNCTION("""COMPUTED_VALUE"""),-0.450200204848069)</f>
        <v>-0.450200204848069</v>
      </c>
      <c r="AS163" s="3">
        <f ca="1">IFERROR(__xludf.DUMMYFUNCTION("""COMPUTED_VALUE"""),-0.439154870910382)</f>
        <v>-0.43915487091038202</v>
      </c>
      <c r="AT163" s="3">
        <f ca="1">IFERROR(__xludf.DUMMYFUNCTION("""COMPUTED_VALUE"""),-0.406482567591285)</f>
        <v>-0.40648256759128498</v>
      </c>
      <c r="AU163" s="3">
        <f ca="1">IFERROR(__xludf.DUMMYFUNCTION("""COMPUTED_VALUE"""),-0.335040928511303)</f>
        <v>-0.33504092851130302</v>
      </c>
      <c r="AV163" s="3">
        <f ca="1">IFERROR(__xludf.DUMMYFUNCTION("""COMPUTED_VALUE"""),-0.391985749560248)</f>
        <v>-0.39198574956024801</v>
      </c>
      <c r="AW163" s="3">
        <f ca="1">IFERROR(__xludf.DUMMYFUNCTION("""COMPUTED_VALUE"""),-0.391233507204063)</f>
        <v>-0.39123350720406302</v>
      </c>
      <c r="AX163" s="3">
        <f ca="1">IFERROR(__xludf.DUMMYFUNCTION("""COMPUTED_VALUE"""),-0.319933785422143)</f>
        <v>-0.31993378542214301</v>
      </c>
      <c r="AY163" s="3">
        <f ca="1">IFERROR(__xludf.DUMMYFUNCTION("""COMPUTED_VALUE"""),-0.445869548389973)</f>
        <v>-0.445869548389973</v>
      </c>
      <c r="AZ163" s="3">
        <f ca="1">IFERROR(__xludf.DUMMYFUNCTION("""COMPUTED_VALUE"""),-0.45090717915368)</f>
        <v>-0.45090717915368</v>
      </c>
      <c r="BA163" s="3">
        <f ca="1">IFERROR(__xludf.DUMMYFUNCTION("""COMPUTED_VALUE"""),-0.302660238231758)</f>
        <v>-0.30266023823175803</v>
      </c>
      <c r="BB163" s="3">
        <f ca="1">IFERROR(__xludf.DUMMYFUNCTION("""COMPUTED_VALUE"""),-0.34363248055106)</f>
        <v>-0.34363248055105999</v>
      </c>
      <c r="BC163" s="3">
        <f ca="1">IFERROR(__xludf.DUMMYFUNCTION("""COMPUTED_VALUE"""),-0.447104162585043)</f>
        <v>-0.44710416258504299</v>
      </c>
      <c r="BD163" s="3">
        <f ca="1">IFERROR(__xludf.DUMMYFUNCTION("""COMPUTED_VALUE"""),-0.516720516579818)</f>
        <v>-0.51672051657981799</v>
      </c>
      <c r="BE163" s="3">
        <f ca="1">IFERROR(__xludf.DUMMYFUNCTION("""COMPUTED_VALUE"""),-0.34380661287028)</f>
        <v>-0.34380661287028003</v>
      </c>
      <c r="BF163" s="3">
        <f ca="1">IFERROR(__xludf.DUMMYFUNCTION("""COMPUTED_VALUE"""),-0.377530662525129)</f>
        <v>-0.37753066252512901</v>
      </c>
      <c r="BG163" s="3">
        <f ca="1">IFERROR(__xludf.DUMMYFUNCTION("""COMPUTED_VALUE"""),-0.392752268668199)</f>
        <v>-0.39275226866819901</v>
      </c>
      <c r="BH163" s="3">
        <f ca="1">IFERROR(__xludf.DUMMYFUNCTION("""COMPUTED_VALUE"""),-0.294472381798364)</f>
        <v>-0.29447238179836399</v>
      </c>
      <c r="BI163" s="3">
        <f ca="1">IFERROR(__xludf.DUMMYFUNCTION("""COMPUTED_VALUE"""),-0.374285729599958)</f>
        <v>-0.37428572959995798</v>
      </c>
      <c r="BJ163" s="3">
        <f ca="1">IFERROR(__xludf.DUMMYFUNCTION("""COMPUTED_VALUE"""),-0.450636085898598)</f>
        <v>-0.45063608589859799</v>
      </c>
      <c r="BK163" s="3">
        <f ca="1">IFERROR(__xludf.DUMMYFUNCTION("""COMPUTED_VALUE"""),-0.490551921286395)</f>
        <v>-0.49055192128639502</v>
      </c>
      <c r="BL163" s="3">
        <f ca="1">IFERROR(__xludf.DUMMYFUNCTION("""COMPUTED_VALUE"""),-0.455449394157072)</f>
        <v>-0.45544939415707197</v>
      </c>
      <c r="BM163" s="3">
        <f ca="1">IFERROR(__xludf.DUMMYFUNCTION("""COMPUTED_VALUE"""),-0.448137467658286)</f>
        <v>-0.44813746765828599</v>
      </c>
      <c r="BN163" s="3">
        <f ca="1">IFERROR(__xludf.DUMMYFUNCTION("""COMPUTED_VALUE"""),-0.426908979254812)</f>
        <v>-0.42690897925481203</v>
      </c>
      <c r="BO163" s="3">
        <f ca="1">IFERROR(__xludf.DUMMYFUNCTION("""COMPUTED_VALUE"""),-0.384703335707175)</f>
        <v>-0.38470333570717502</v>
      </c>
      <c r="BP163" s="3">
        <f ca="1">IFERROR(__xludf.DUMMYFUNCTION("""COMPUTED_VALUE"""),-0.307025186323243)</f>
        <v>-0.30702518632324299</v>
      </c>
      <c r="BQ163" s="3">
        <f ca="1">IFERROR(__xludf.DUMMYFUNCTION("""COMPUTED_VALUE"""),-0.410919032795054)</f>
        <v>-0.41091903279505398</v>
      </c>
      <c r="BR163" s="3">
        <f ca="1">IFERROR(__xludf.DUMMYFUNCTION("""COMPUTED_VALUE"""),-0.42578224819526)</f>
        <v>-0.42578224819526</v>
      </c>
      <c r="BS163" s="3">
        <f ca="1">IFERROR(__xludf.DUMMYFUNCTION("""COMPUTED_VALUE"""),-0.478449946305555)</f>
        <v>-0.47844994630555499</v>
      </c>
      <c r="BT163" s="3">
        <f ca="1">IFERROR(__xludf.DUMMYFUNCTION("""COMPUTED_VALUE"""),-0.526624991256418)</f>
        <v>-0.52662499125641804</v>
      </c>
      <c r="BU163" s="3">
        <f ca="1">IFERROR(__xludf.DUMMYFUNCTION("""COMPUTED_VALUE"""),-0.487675769554207)</f>
        <v>-0.48767576955420699</v>
      </c>
      <c r="BV163" s="3">
        <f ca="1">IFERROR(__xludf.DUMMYFUNCTION("""COMPUTED_VALUE"""),-0.40619799005641)</f>
        <v>-0.40619799005641</v>
      </c>
      <c r="BW163" s="3">
        <f ca="1">IFERROR(__xludf.DUMMYFUNCTION("""COMPUTED_VALUE"""),-0.355213475970283)</f>
        <v>-0.35521347597028302</v>
      </c>
      <c r="BX163" s="3">
        <f ca="1">IFERROR(__xludf.DUMMYFUNCTION("""COMPUTED_VALUE"""),-0.461445034231384)</f>
        <v>-0.461445034231384</v>
      </c>
      <c r="BY163" s="3">
        <f ca="1">IFERROR(__xludf.DUMMYFUNCTION("""COMPUTED_VALUE"""),-0.467955805880556)</f>
        <v>-0.46795580588055602</v>
      </c>
      <c r="BZ163" s="3">
        <f ca="1">IFERROR(__xludf.DUMMYFUNCTION("""COMPUTED_VALUE"""),-0.459133058211412)</f>
        <v>-0.45913305821141198</v>
      </c>
      <c r="CA163" s="3">
        <f ca="1">IFERROR(__xludf.DUMMYFUNCTION("""COMPUTED_VALUE"""),-0.501214813120878)</f>
        <v>-0.50121481312087801</v>
      </c>
      <c r="CB163" s="3">
        <f ca="1">IFERROR(__xludf.DUMMYFUNCTION("""COMPUTED_VALUE"""),-0.433702822598072)</f>
        <v>-0.43370282259807202</v>
      </c>
      <c r="CC163" s="3">
        <f ca="1">IFERROR(__xludf.DUMMYFUNCTION("""COMPUTED_VALUE"""),-0.367421801872793)</f>
        <v>-0.367421801872793</v>
      </c>
      <c r="CD163" s="3">
        <f ca="1">IFERROR(__xludf.DUMMYFUNCTION("""COMPUTED_VALUE"""),-0.341533030300114)</f>
        <v>-0.341533030300114</v>
      </c>
      <c r="CE163" s="3">
        <f ca="1">IFERROR(__xludf.DUMMYFUNCTION("""COMPUTED_VALUE"""),-0.42233316701729)</f>
        <v>-0.42233316701729001</v>
      </c>
      <c r="CF163" s="3">
        <f ca="1">IFERROR(__xludf.DUMMYFUNCTION("""COMPUTED_VALUE"""),-0.436761608406973)</f>
        <v>-0.43676160840697298</v>
      </c>
      <c r="CG163" s="3">
        <f ca="1">IFERROR(__xludf.DUMMYFUNCTION("""COMPUTED_VALUE"""),-0.44112327495436)</f>
        <v>-0.44112327495435999</v>
      </c>
      <c r="CH163" s="3">
        <f ca="1">IFERROR(__xludf.DUMMYFUNCTION("""COMPUTED_VALUE"""),-0.451201087503984)</f>
        <v>-0.45120108750398402</v>
      </c>
      <c r="CI163" s="3">
        <f ca="1">IFERROR(__xludf.DUMMYFUNCTION("""COMPUTED_VALUE"""),-0.364900352649157)</f>
        <v>-0.36490035264915699</v>
      </c>
      <c r="CJ163" s="3">
        <f ca="1">IFERROR(__xludf.DUMMYFUNCTION("""COMPUTED_VALUE"""),-0.314290455606226)</f>
        <v>-0.31429045560622598</v>
      </c>
      <c r="CK163" s="3">
        <f ca="1">IFERROR(__xludf.DUMMYFUNCTION("""COMPUTED_VALUE"""),-0.290747176962898)</f>
        <v>-0.29074717696289798</v>
      </c>
      <c r="CL163" s="3">
        <f ca="1">IFERROR(__xludf.DUMMYFUNCTION("""COMPUTED_VALUE"""),-0.407251476674479)</f>
        <v>-0.40725147667447897</v>
      </c>
      <c r="CM163" s="3">
        <f ca="1">IFERROR(__xludf.DUMMYFUNCTION("""COMPUTED_VALUE"""),-0.439001581628572)</f>
        <v>-0.439001581628572</v>
      </c>
      <c r="CN163" s="3">
        <f ca="1">IFERROR(__xludf.DUMMYFUNCTION("""COMPUTED_VALUE"""),-0.42594127040442)</f>
        <v>-0.42594127040441998</v>
      </c>
      <c r="CO163" s="3">
        <f ca="1">IFERROR(__xludf.DUMMYFUNCTION("""COMPUTED_VALUE"""),-0.464872753606474)</f>
        <v>-0.46487275360647401</v>
      </c>
      <c r="CP163" s="3">
        <f ca="1">IFERROR(__xludf.DUMMYFUNCTION("""COMPUTED_VALUE"""),-0.373819675319619)</f>
        <v>-0.37381967531961902</v>
      </c>
      <c r="CQ163" s="3">
        <f ca="1">IFERROR(__xludf.DUMMYFUNCTION("""COMPUTED_VALUE"""),-0.290174873373224)</f>
        <v>-0.29017487337322401</v>
      </c>
      <c r="CR163" s="3">
        <f ca="1">IFERROR(__xludf.DUMMYFUNCTION("""COMPUTED_VALUE"""),-0.292593495438835)</f>
        <v>-0.29259349543883501</v>
      </c>
      <c r="CS163" s="3">
        <f ca="1">IFERROR(__xludf.DUMMYFUNCTION("""COMPUTED_VALUE"""),-0.39632988497109)</f>
        <v>-0.39632988497109001</v>
      </c>
      <c r="CT163" s="3">
        <f ca="1">IFERROR(__xludf.DUMMYFUNCTION("""COMPUTED_VALUE"""),-0.382024588775099)</f>
        <v>-0.38202458877509898</v>
      </c>
      <c r="CU163" s="3">
        <f ca="1">IFERROR(__xludf.DUMMYFUNCTION("""COMPUTED_VALUE"""),-0.33184919158406)</f>
        <v>-0.33184919158406001</v>
      </c>
      <c r="CV163" s="3">
        <f ca="1">IFERROR(__xludf.DUMMYFUNCTION("""COMPUTED_VALUE"""),-0.397232258416529)</f>
        <v>-0.39723225841652898</v>
      </c>
      <c r="CW163" s="3">
        <f ca="1">IFERROR(__xludf.DUMMYFUNCTION("""COMPUTED_VALUE"""),-0.366361378674718)</f>
        <v>-0.36636137867471802</v>
      </c>
      <c r="CX163" s="3">
        <f ca="1">IFERROR(__xludf.DUMMYFUNCTION("""COMPUTED_VALUE"""),-0.259491243811599)</f>
        <v>-0.25949124381159899</v>
      </c>
      <c r="CY163" s="3">
        <f ca="1">IFERROR(__xludf.DUMMYFUNCTION("""COMPUTED_VALUE"""),-0.253382177855573)</f>
        <v>-0.25338217785557299</v>
      </c>
      <c r="CZ163" s="3">
        <f ca="1">IFERROR(__xludf.DUMMYFUNCTION("""COMPUTED_VALUE"""),-0.545847509421216)</f>
        <v>-0.54584750942121596</v>
      </c>
      <c r="DA163" s="3">
        <f ca="1">IFERROR(__xludf.DUMMYFUNCTION("""COMPUTED_VALUE"""),-0.29068719176089)</f>
        <v>-0.29068719176088997</v>
      </c>
      <c r="DB163" s="3">
        <f ca="1">IFERROR(__xludf.DUMMYFUNCTION("""COMPUTED_VALUE"""),0.120024286643347)</f>
        <v>0.12002428664334699</v>
      </c>
      <c r="DC163" s="3">
        <f ca="1">IFERROR(__xludf.DUMMYFUNCTION("""COMPUTED_VALUE"""),-0.258925674982926)</f>
        <v>-0.25892567498292601</v>
      </c>
      <c r="DD163" s="3">
        <f ca="1">IFERROR(__xludf.DUMMYFUNCTION("""COMPUTED_VALUE"""),-0.278731813372871)</f>
        <v>-0.27873181337287101</v>
      </c>
      <c r="DE163" s="3">
        <f ca="1">IFERROR(__xludf.DUMMYFUNCTION("""COMPUTED_VALUE"""),-0.17137776953005)</f>
        <v>-0.17137776953004999</v>
      </c>
      <c r="DF163" s="3">
        <f ca="1">IFERROR(__xludf.DUMMYFUNCTION("""COMPUTED_VALUE"""),-0.346855367545906)</f>
        <v>-0.34685536754590601</v>
      </c>
      <c r="DG163" s="3">
        <f ca="1">IFERROR(__xludf.DUMMYFUNCTION("""COMPUTED_VALUE"""),-0.705914148061823)</f>
        <v>-0.70591414806182295</v>
      </c>
      <c r="DH163" s="3">
        <f ca="1">IFERROR(__xludf.DUMMYFUNCTION("""COMPUTED_VALUE"""),-0.378900092103643)</f>
        <v>-0.378900092103643</v>
      </c>
      <c r="DI163" s="3">
        <f ca="1">IFERROR(__xludf.DUMMYFUNCTION("""COMPUTED_VALUE"""),0.0870321470309245)</f>
        <v>8.7032147030924503E-2</v>
      </c>
      <c r="DJ163" s="3">
        <f ca="1">IFERROR(__xludf.DUMMYFUNCTION("""COMPUTED_VALUE"""),-0.231476301810978)</f>
        <v>-0.231476301810978</v>
      </c>
      <c r="DK163" s="3">
        <f ca="1">IFERROR(__xludf.DUMMYFUNCTION("""COMPUTED_VALUE"""),-0.249406324241534)</f>
        <v>-0.249406324241534</v>
      </c>
      <c r="DL163" s="3">
        <f ca="1">IFERROR(__xludf.DUMMYFUNCTION("""COMPUTED_VALUE"""),-0.147649788943447)</f>
        <v>-0.14764978894344699</v>
      </c>
      <c r="DM163" s="3">
        <f ca="1">IFERROR(__xludf.DUMMYFUNCTION("""COMPUTED_VALUE"""),-0.229204101960089)</f>
        <v>-0.229204101960089</v>
      </c>
      <c r="DN163" s="3">
        <f ca="1">IFERROR(__xludf.DUMMYFUNCTION("""COMPUTED_VALUE"""),-0.341493846462817)</f>
        <v>-0.341493846462817</v>
      </c>
      <c r="DO163" s="3">
        <f ca="1">IFERROR(__xludf.DUMMYFUNCTION("""COMPUTED_VALUE"""),-0.356088383783005)</f>
        <v>-0.356088383783005</v>
      </c>
      <c r="DP163" s="3">
        <f ca="1">IFERROR(__xludf.DUMMYFUNCTION("""COMPUTED_VALUE"""),-0.284205161367462)</f>
        <v>-0.28420516136746199</v>
      </c>
      <c r="DQ163" s="3">
        <f ca="1">IFERROR(__xludf.DUMMYFUNCTION("""COMPUTED_VALUE"""),-0.321511087588483)</f>
        <v>-0.32151108758848301</v>
      </c>
      <c r="DR163" s="3">
        <f ca="1">IFERROR(__xludf.DUMMYFUNCTION("""COMPUTED_VALUE"""),-0.395804806312742)</f>
        <v>-0.39580480631274201</v>
      </c>
      <c r="DS163" s="3">
        <f ca="1">IFERROR(__xludf.DUMMYFUNCTION("""COMPUTED_VALUE"""),-0.143362807476263)</f>
        <v>-0.14336280747626301</v>
      </c>
      <c r="DT163" s="3">
        <f ca="1">IFERROR(__xludf.DUMMYFUNCTION("""COMPUTED_VALUE"""),-0.202973351962636)</f>
        <v>-0.20297335196263599</v>
      </c>
      <c r="DU163" s="3">
        <f ca="1">IFERROR(__xludf.DUMMYFUNCTION("""COMPUTED_VALUE"""),-0.349506844658943)</f>
        <v>-0.34950684465894299</v>
      </c>
      <c r="DV163" s="3">
        <f ca="1">IFERROR(__xludf.DUMMYFUNCTION("""COMPUTED_VALUE"""),-0.442226949620397)</f>
        <v>-0.44222694962039699</v>
      </c>
      <c r="DW163" s="3">
        <f ca="1">IFERROR(__xludf.DUMMYFUNCTION("""COMPUTED_VALUE"""),-0.434916300982375)</f>
        <v>-0.43491630098237499</v>
      </c>
      <c r="DX163" s="3">
        <f ca="1">IFERROR(__xludf.DUMMYFUNCTION("""COMPUTED_VALUE"""),-0.422977541442765)</f>
        <v>-0.422977541442765</v>
      </c>
      <c r="DY163" s="3">
        <f ca="1">IFERROR(__xludf.DUMMYFUNCTION("""COMPUTED_VALUE"""),-0.344778947107192)</f>
        <v>-0.34477894710719198</v>
      </c>
      <c r="DZ163" s="3">
        <f ca="1">IFERROR(__xludf.DUMMYFUNCTION("""COMPUTED_VALUE"""),-0.205593927192964)</f>
        <v>-0.20559392719296399</v>
      </c>
      <c r="EA163" s="3">
        <f ca="1">IFERROR(__xludf.DUMMYFUNCTION("""COMPUTED_VALUE"""),-0.229532966888237)</f>
        <v>-0.22953296688823699</v>
      </c>
      <c r="EB163" s="3">
        <f ca="1">IFERROR(__xludf.DUMMYFUNCTION("""COMPUTED_VALUE"""),-0.336333723970837)</f>
        <v>-0.336333723970837</v>
      </c>
      <c r="EC163" s="3">
        <f ca="1">IFERROR(__xludf.DUMMYFUNCTION("""COMPUTED_VALUE"""),-0.340726191780834)</f>
        <v>-0.34072619178083402</v>
      </c>
      <c r="ED163" s="3">
        <f ca="1">IFERROR(__xludf.DUMMYFUNCTION("""COMPUTED_VALUE"""),-0.391140628658851)</f>
        <v>-0.39114062865885102</v>
      </c>
      <c r="EE163" s="3">
        <f ca="1">IFERROR(__xludf.DUMMYFUNCTION("""COMPUTED_VALUE"""),-0.443843193263292)</f>
        <v>-0.44384319326329202</v>
      </c>
      <c r="EF163" s="3">
        <f ca="1">IFERROR(__xludf.DUMMYFUNCTION("""COMPUTED_VALUE"""),-0.416012573569019)</f>
        <v>-0.416012573569019</v>
      </c>
      <c r="EG163" s="3">
        <f ca="1">IFERROR(__xludf.DUMMYFUNCTION("""COMPUTED_VALUE"""),-0.194486179203867)</f>
        <v>-0.19448617920386699</v>
      </c>
      <c r="EH163" s="3">
        <f ca="1">IFERROR(__xludf.DUMMYFUNCTION("""COMPUTED_VALUE"""),-0.243457921223185)</f>
        <v>-0.24345792122318499</v>
      </c>
      <c r="EI163" s="3">
        <f ca="1">IFERROR(__xludf.DUMMYFUNCTION("""COMPUTED_VALUE"""),-0.403570989027441)</f>
        <v>-0.40357098902744099</v>
      </c>
      <c r="EJ163" s="3">
        <f ca="1">IFERROR(__xludf.DUMMYFUNCTION("""COMPUTED_VALUE"""),-0.600326695579751)</f>
        <v>-0.60032669557975105</v>
      </c>
      <c r="EK163" s="3">
        <f ca="1">IFERROR(__xludf.DUMMYFUNCTION("""COMPUTED_VALUE"""),-0.344450328409008)</f>
        <v>-0.34445032840900802</v>
      </c>
      <c r="EL163" s="3">
        <f ca="1">IFERROR(__xludf.DUMMYFUNCTION("""COMPUTED_VALUE"""),-0.422120352344013)</f>
        <v>-0.42212035234401302</v>
      </c>
      <c r="EM163" s="3">
        <f ca="1">IFERROR(__xludf.DUMMYFUNCTION("""COMPUTED_VALUE"""),-0.360112907473006)</f>
        <v>-0.36011290747300601</v>
      </c>
      <c r="EN163" s="3">
        <f ca="1">IFERROR(__xludf.DUMMYFUNCTION("""COMPUTED_VALUE"""),-0.176139831387222)</f>
        <v>-0.176139831387222</v>
      </c>
      <c r="EO163" s="3">
        <f ca="1">IFERROR(__xludf.DUMMYFUNCTION("""COMPUTED_VALUE"""),-0.25330950197603)</f>
        <v>-0.25330950197603003</v>
      </c>
      <c r="EP163" s="3">
        <f ca="1">IFERROR(__xludf.DUMMYFUNCTION("""COMPUTED_VALUE"""),-0.317907549694288)</f>
        <v>-0.31790754969428803</v>
      </c>
      <c r="EQ163" s="3">
        <f ca="1">IFERROR(__xludf.DUMMYFUNCTION("""COMPUTED_VALUE"""),-0.295996131609233)</f>
        <v>-0.29599613160923299</v>
      </c>
      <c r="ER163" s="3">
        <f ca="1">IFERROR(__xludf.DUMMYFUNCTION("""COMPUTED_VALUE"""),-0.413595707440631)</f>
        <v>-0.41359570744063101</v>
      </c>
      <c r="ES163" s="3">
        <f ca="1">IFERROR(__xludf.DUMMYFUNCTION("""COMPUTED_VALUE"""),-0.424110117509728)</f>
        <v>-0.42411011750972799</v>
      </c>
      <c r="ET163" s="3">
        <f ca="1">IFERROR(__xludf.DUMMYFUNCTION("""COMPUTED_VALUE"""),-0.380412027447294)</f>
        <v>-0.38041202744729402</v>
      </c>
      <c r="EU163" s="3">
        <f ca="1">IFERROR(__xludf.DUMMYFUNCTION("""COMPUTED_VALUE"""),-0.236399189354428)</f>
        <v>-0.236399189354428</v>
      </c>
      <c r="EV163" s="3">
        <f ca="1">IFERROR(__xludf.DUMMYFUNCTION("""COMPUTED_VALUE"""),-0.264597717606956)</f>
        <v>-0.264597717606956</v>
      </c>
      <c r="EW163" s="3">
        <f ca="1">IFERROR(__xludf.DUMMYFUNCTION("""COMPUTED_VALUE"""),-0.400353076200723)</f>
        <v>-0.40035307620072302</v>
      </c>
      <c r="EX163" s="3">
        <f ca="1">IFERROR(__xludf.DUMMYFUNCTION("""COMPUTED_VALUE"""),-0.477975589843949)</f>
        <v>-0.477975589843949</v>
      </c>
      <c r="EY163" s="3">
        <f ca="1">IFERROR(__xludf.DUMMYFUNCTION("""COMPUTED_VALUE"""),-0.468591006200247)</f>
        <v>-0.46859100620024702</v>
      </c>
      <c r="EZ163" s="3">
        <f ca="1">IFERROR(__xludf.DUMMYFUNCTION("""COMPUTED_VALUE"""),-0.408238227229404)</f>
        <v>-0.408238227229404</v>
      </c>
      <c r="FA163" s="3">
        <f ca="1">IFERROR(__xludf.DUMMYFUNCTION("""COMPUTED_VALUE"""),-0.357724955255607)</f>
        <v>-0.35772495525560699</v>
      </c>
      <c r="FB163" s="3">
        <f ca="1">IFERROR(__xludf.DUMMYFUNCTION("""COMPUTED_VALUE"""),-0.219503974916323)</f>
        <v>-0.21950397491632301</v>
      </c>
      <c r="FC163" s="3">
        <f ca="1">IFERROR(__xludf.DUMMYFUNCTION("""COMPUTED_VALUE"""),-0.286447901583294)</f>
        <v>-0.28644790158329397</v>
      </c>
      <c r="FD163" s="3">
        <f ca="1">IFERROR(__xludf.DUMMYFUNCTION("""COMPUTED_VALUE"""),-0.391808862944686)</f>
        <v>-0.39180886294468598</v>
      </c>
      <c r="FE163" s="3">
        <f ca="1">IFERROR(__xludf.DUMMYFUNCTION("""COMPUTED_VALUE"""),-0.43011555314474)</f>
        <v>-0.43011555314473998</v>
      </c>
      <c r="FF163" s="3">
        <f ca="1">IFERROR(__xludf.DUMMYFUNCTION("""COMPUTED_VALUE"""),-0.445151368128894)</f>
        <v>-0.445151368128894</v>
      </c>
      <c r="FG163" s="3">
        <f ca="1">IFERROR(__xludf.DUMMYFUNCTION("""COMPUTED_VALUE"""),-0.413189663284622)</f>
        <v>-0.41318966328462198</v>
      </c>
      <c r="FH163" s="3">
        <f ca="1">IFERROR(__xludf.DUMMYFUNCTION("""COMPUTED_VALUE"""),-0.414185400216483)</f>
        <v>-0.41418540021648298</v>
      </c>
      <c r="FI163" s="3">
        <f ca="1">IFERROR(__xludf.DUMMYFUNCTION("""COMPUTED_VALUE"""),-0.309383450848909)</f>
        <v>-0.309383450848909</v>
      </c>
      <c r="FJ163" s="3">
        <f ca="1">IFERROR(__xludf.DUMMYFUNCTION("""COMPUTED_VALUE"""),-0.312168562057843)</f>
        <v>-0.31216856205784299</v>
      </c>
      <c r="FK163" s="3">
        <f ca="1">IFERROR(__xludf.DUMMYFUNCTION("""COMPUTED_VALUE"""),-0.415021709494061)</f>
        <v>-0.41502170949406098</v>
      </c>
      <c r="FL163" s="3">
        <f ca="1">IFERROR(__xludf.DUMMYFUNCTION("""COMPUTED_VALUE"""),-0.538366215260754)</f>
        <v>-0.53836621526075401</v>
      </c>
      <c r="FM163" s="3">
        <f ca="1">IFERROR(__xludf.DUMMYFUNCTION("""COMPUTED_VALUE"""),-0.444937323078935)</f>
        <v>-0.44493732307893502</v>
      </c>
      <c r="FN163" s="3">
        <f ca="1">IFERROR(__xludf.DUMMYFUNCTION("""COMPUTED_VALUE"""),-0.438293806171444)</f>
        <v>-0.43829380617144398</v>
      </c>
      <c r="FO163" s="3">
        <f ca="1">IFERROR(__xludf.DUMMYFUNCTION("""COMPUTED_VALUE"""),-0.411137010559716)</f>
        <v>-0.41113701055971602</v>
      </c>
      <c r="FP163" s="3">
        <f ca="1">IFERROR(__xludf.DUMMYFUNCTION("""COMPUTED_VALUE"""),-0.275810224361998)</f>
        <v>-0.27581022436199798</v>
      </c>
      <c r="FQ163" s="3">
        <f ca="1">IFERROR(__xludf.DUMMYFUNCTION("""COMPUTED_VALUE"""),-0.261579860814174)</f>
        <v>-0.261579860814174</v>
      </c>
      <c r="FR163" s="3">
        <f ca="1">IFERROR(__xludf.DUMMYFUNCTION("""COMPUTED_VALUE"""),-0.403816107695662)</f>
        <v>-0.40381610769566201</v>
      </c>
      <c r="FS163" s="3">
        <f ca="1">IFERROR(__xludf.DUMMYFUNCTION("""COMPUTED_VALUE"""),-0.441221727764146)</f>
        <v>-0.44122172776414598</v>
      </c>
      <c r="FT163" s="3">
        <f ca="1">IFERROR(__xludf.DUMMYFUNCTION("""COMPUTED_VALUE"""),-0.409964568652187)</f>
        <v>-0.409964568652187</v>
      </c>
      <c r="FU163" s="3">
        <f ca="1">IFERROR(__xludf.DUMMYFUNCTION("""COMPUTED_VALUE"""),-0.414568320703241)</f>
        <v>-0.41456832070324101</v>
      </c>
      <c r="FV163" s="3">
        <f ca="1">IFERROR(__xludf.DUMMYFUNCTION("""COMPUTED_VALUE"""),-0.386804431742863)</f>
        <v>-0.386804431742863</v>
      </c>
      <c r="FW163" s="3">
        <f ca="1">IFERROR(__xludf.DUMMYFUNCTION("""COMPUTED_VALUE"""),-0.197918501629829)</f>
        <v>-0.19791850162982899</v>
      </c>
      <c r="FX163" s="3">
        <f ca="1">IFERROR(__xludf.DUMMYFUNCTION("""COMPUTED_VALUE"""),-0.291467739003772)</f>
        <v>-0.29146773900377199</v>
      </c>
      <c r="FY163" s="3">
        <f ca="1">IFERROR(__xludf.DUMMYFUNCTION("""COMPUTED_VALUE"""),-0.436931038646959)</f>
        <v>-0.43693103864695898</v>
      </c>
      <c r="FZ163" s="3">
        <f ca="1">IFERROR(__xludf.DUMMYFUNCTION("""COMPUTED_VALUE"""),-0.439087376245085)</f>
        <v>-0.43908737624508498</v>
      </c>
      <c r="GA163" s="3">
        <f ca="1">IFERROR(__xludf.DUMMYFUNCTION("""COMPUTED_VALUE"""),-0.406725984298865)</f>
        <v>-0.40672598429886497</v>
      </c>
      <c r="GB163" s="3">
        <f ca="1">IFERROR(__xludf.DUMMYFUNCTION("""COMPUTED_VALUE"""),-0.40908550746415)</f>
        <v>-0.40908550746415001</v>
      </c>
      <c r="GC163" s="3">
        <f ca="1">IFERROR(__xludf.DUMMYFUNCTION("""COMPUTED_VALUE"""),-0.405851735248617)</f>
        <v>-0.40585173524861701</v>
      </c>
      <c r="GD163" s="3">
        <f ca="1">IFERROR(__xludf.DUMMYFUNCTION("""COMPUTED_VALUE"""),-0.251673835703628)</f>
        <v>-0.251673835703628</v>
      </c>
      <c r="GE163" s="3">
        <f ca="1">IFERROR(__xludf.DUMMYFUNCTION("""COMPUTED_VALUE"""),-0.287961882693469)</f>
        <v>-0.28796188269346901</v>
      </c>
      <c r="GF163" s="3">
        <f ca="1">IFERROR(__xludf.DUMMYFUNCTION("""COMPUTED_VALUE"""),-0.385860790380275)</f>
        <v>-0.38586079038027499</v>
      </c>
      <c r="GG163" s="3">
        <f ca="1">IFERROR(__xludf.DUMMYFUNCTION("""COMPUTED_VALUE"""),-0.431567037921646)</f>
        <v>-0.43156703792164602</v>
      </c>
      <c r="GH163" s="3">
        <f ca="1">IFERROR(__xludf.DUMMYFUNCTION("""COMPUTED_VALUE"""),-0.40203101388284)</f>
        <v>-0.40203101388284002</v>
      </c>
      <c r="GI163" s="3">
        <f ca="1">IFERROR(__xludf.DUMMYFUNCTION("""COMPUTED_VALUE"""),-0.411330431925232)</f>
        <v>-0.411330431925232</v>
      </c>
      <c r="GJ163" s="3">
        <f ca="1">IFERROR(__xludf.DUMMYFUNCTION("""COMPUTED_VALUE"""),-0.37078920182545)</f>
        <v>-0.37078920182545</v>
      </c>
      <c r="GK163" s="3">
        <f ca="1">IFERROR(__xludf.DUMMYFUNCTION("""COMPUTED_VALUE"""),-0.271647839711825)</f>
        <v>-0.27164783971182499</v>
      </c>
      <c r="GL163" s="3">
        <f ca="1">IFERROR(__xludf.DUMMYFUNCTION("""COMPUTED_VALUE"""),-0.281510112254639)</f>
        <v>-0.28151011225463901</v>
      </c>
      <c r="GM163" s="3">
        <f ca="1">IFERROR(__xludf.DUMMYFUNCTION("""COMPUTED_VALUE"""),-0.419887137044975)</f>
        <v>-0.41988713704497499</v>
      </c>
      <c r="GN163" s="3">
        <f ca="1">IFERROR(__xludf.DUMMYFUNCTION("""COMPUTED_VALUE"""),-0.431258101192245)</f>
        <v>-0.431258101192245</v>
      </c>
      <c r="GO163" s="3">
        <f ca="1">IFERROR(__xludf.DUMMYFUNCTION("""COMPUTED_VALUE"""),-0.442843157999074)</f>
        <v>-0.44284315799907398</v>
      </c>
      <c r="GP163" s="3">
        <f ca="1">IFERROR(__xludf.DUMMYFUNCTION("""COMPUTED_VALUE"""),-0.460475471361684)</f>
        <v>-0.46047547136168399</v>
      </c>
      <c r="GQ163" s="3">
        <f ca="1">IFERROR(__xludf.DUMMYFUNCTION("""COMPUTED_VALUE"""),-0.396768207329646)</f>
        <v>-0.39676820732964602</v>
      </c>
      <c r="GR163" s="3">
        <f ca="1">IFERROR(__xludf.DUMMYFUNCTION("""COMPUTED_VALUE"""),-0.292103974280379)</f>
        <v>-0.29210397428037899</v>
      </c>
      <c r="GS163" s="3">
        <f ca="1">IFERROR(__xludf.DUMMYFUNCTION("""COMPUTED_VALUE"""),-0.319483674985429)</f>
        <v>-0.31948367498542901</v>
      </c>
      <c r="GT163" s="3">
        <f ca="1">IFERROR(__xludf.DUMMYFUNCTION("""COMPUTED_VALUE"""),-0.437394372893697)</f>
        <v>-0.43739437289369698</v>
      </c>
      <c r="GU163" s="3">
        <f ca="1">IFERROR(__xludf.DUMMYFUNCTION("""COMPUTED_VALUE"""),-0.449000278986399)</f>
        <v>-0.44900027898639899</v>
      </c>
      <c r="GV163" s="3">
        <f ca="1">IFERROR(__xludf.DUMMYFUNCTION("""COMPUTED_VALUE"""),-0.387465501613567)</f>
        <v>-0.38746550161356702</v>
      </c>
      <c r="GW163" s="3">
        <f ca="1">IFERROR(__xludf.DUMMYFUNCTION("""COMPUTED_VALUE"""),-0.276068215062968)</f>
        <v>-0.27606821506296803</v>
      </c>
      <c r="GX163" s="3">
        <f ca="1">IFERROR(__xludf.DUMMYFUNCTION("""COMPUTED_VALUE"""),-0.390925059516729)</f>
        <v>-0.39092505951672901</v>
      </c>
      <c r="GY163" s="3">
        <f ca="1">IFERROR(__xludf.DUMMYFUNCTION("""COMPUTED_VALUE"""),-0.302853498648257)</f>
        <v>-0.302853498648257</v>
      </c>
      <c r="GZ163" s="3">
        <f ca="1">IFERROR(__xludf.DUMMYFUNCTION("""COMPUTED_VALUE"""),-0.296564760448316)</f>
        <v>-0.29656476044831598</v>
      </c>
      <c r="HA163" s="3">
        <f ca="1">IFERROR(__xludf.DUMMYFUNCTION("""COMPUTED_VALUE"""),-0.419184539150556)</f>
        <v>-0.41918453915055598</v>
      </c>
      <c r="HB163" s="3">
        <f ca="1">IFERROR(__xludf.DUMMYFUNCTION("""COMPUTED_VALUE"""),-0.45938080285738)</f>
        <v>-0.45938080285737998</v>
      </c>
      <c r="HC163" s="3">
        <f ca="1">IFERROR(__xludf.DUMMYFUNCTION("""COMPUTED_VALUE"""),-0.430812218932282)</f>
        <v>-0.430812218932282</v>
      </c>
      <c r="HD163" s="3">
        <f ca="1">IFERROR(__xludf.DUMMYFUNCTION("""COMPUTED_VALUE"""),-0.455469606277949)</f>
        <v>-0.45546960627794902</v>
      </c>
      <c r="HE163" s="3">
        <f ca="1">IFERROR(__xludf.DUMMYFUNCTION("""COMPUTED_VALUE"""),-0.392173681135615)</f>
        <v>-0.39217368113561502</v>
      </c>
      <c r="HF163" s="3">
        <f ca="1">IFERROR(__xludf.DUMMYFUNCTION("""COMPUTED_VALUE"""),-0.284539538832636)</f>
        <v>-0.284539538832636</v>
      </c>
      <c r="HG163" s="3">
        <f ca="1">IFERROR(__xludf.DUMMYFUNCTION("""COMPUTED_VALUE"""),-0.345447051826167)</f>
        <v>-0.34544705182616697</v>
      </c>
      <c r="HH163" s="3">
        <f ca="1">IFERROR(__xludf.DUMMYFUNCTION("""COMPUTED_VALUE"""),-0.405497858870565)</f>
        <v>-0.405497858870565</v>
      </c>
      <c r="HI163" s="3">
        <f ca="1">IFERROR(__xludf.DUMMYFUNCTION("""COMPUTED_VALUE"""),-0.447669503204026)</f>
        <v>-0.44766950320402599</v>
      </c>
      <c r="HJ163" s="3">
        <f ca="1">IFERROR(__xludf.DUMMYFUNCTION("""COMPUTED_VALUE"""),-0.462872063164841)</f>
        <v>-0.46287206316484097</v>
      </c>
      <c r="HK163" s="3">
        <f ca="1">IFERROR(__xludf.DUMMYFUNCTION("""COMPUTED_VALUE"""),-0.438760183052574)</f>
        <v>-0.43876018305257403</v>
      </c>
      <c r="HL163" s="3">
        <f ca="1">IFERROR(__xludf.DUMMYFUNCTION("""COMPUTED_VALUE"""),-0.397201207915138)</f>
        <v>-0.39720120791513802</v>
      </c>
      <c r="HM163" s="3">
        <f ca="1">IFERROR(__xludf.DUMMYFUNCTION("""COMPUTED_VALUE"""),-0.274959280432298)</f>
        <v>-0.274959280432298</v>
      </c>
      <c r="HN163" s="3">
        <f ca="1">IFERROR(__xludf.DUMMYFUNCTION("""COMPUTED_VALUE"""),-0.284155860784211)</f>
        <v>-0.28415586078421101</v>
      </c>
      <c r="HO163" s="3">
        <f ca="1">IFERROR(__xludf.DUMMYFUNCTION("""COMPUTED_VALUE"""),-0.354666125204551)</f>
        <v>-0.35466612520455099</v>
      </c>
      <c r="HP163" s="3">
        <f ca="1">IFERROR(__xludf.DUMMYFUNCTION("""COMPUTED_VALUE"""),-0.377791123522824)</f>
        <v>-0.37779112352282401</v>
      </c>
      <c r="HQ163" s="3">
        <f ca="1">IFERROR(__xludf.DUMMYFUNCTION("""COMPUTED_VALUE"""),-0.380844904402423)</f>
        <v>-0.38084490440242302</v>
      </c>
      <c r="HR163" s="3">
        <f ca="1">IFERROR(__xludf.DUMMYFUNCTION("""COMPUTED_VALUE"""),-0.407421168200651)</f>
        <v>-0.407421168200651</v>
      </c>
      <c r="HS163" s="3">
        <f ca="1">IFERROR(__xludf.DUMMYFUNCTION("""COMPUTED_VALUE"""),-0.381791181083238)</f>
        <v>-0.38179118108323801</v>
      </c>
      <c r="HT163" s="3">
        <f ca="1">IFERROR(__xludf.DUMMYFUNCTION("""COMPUTED_VALUE"""),-0.293485202135866)</f>
        <v>-0.29348520213586599</v>
      </c>
      <c r="HU163" s="3">
        <f ca="1">IFERROR(__xludf.DUMMYFUNCTION("""COMPUTED_VALUE"""),-0.342290718991606)</f>
        <v>-0.34229071899160601</v>
      </c>
      <c r="HV163" s="3">
        <f ca="1">IFERROR(__xludf.DUMMYFUNCTION("""COMPUTED_VALUE"""),-0.344812273256024)</f>
        <v>-0.34481227325602398</v>
      </c>
      <c r="HW163" s="3">
        <f ca="1">IFERROR(__xludf.DUMMYFUNCTION("""COMPUTED_VALUE"""),-0.381947363248754)</f>
        <v>-0.381947363248754</v>
      </c>
      <c r="HX163" s="3">
        <f ca="1">IFERROR(__xludf.DUMMYFUNCTION("""COMPUTED_VALUE"""),-0.386325469147795)</f>
        <v>-0.38632546914779498</v>
      </c>
      <c r="HY163" s="3">
        <f ca="1">IFERROR(__xludf.DUMMYFUNCTION("""COMPUTED_VALUE"""),-0.373093376479123)</f>
        <v>-0.373093376479123</v>
      </c>
      <c r="HZ163" s="3">
        <f ca="1">IFERROR(__xludf.DUMMYFUNCTION("""COMPUTED_VALUE"""),-0.306061394872347)</f>
        <v>-0.30606139487234701</v>
      </c>
      <c r="IA163" s="3">
        <f ca="1">IFERROR(__xludf.DUMMYFUNCTION("""COMPUTED_VALUE"""),-0.306720885971053)</f>
        <v>-0.30672088597105301</v>
      </c>
      <c r="IB163" s="3">
        <f ca="1">IFERROR(__xludf.DUMMYFUNCTION("""COMPUTED_VALUE"""),-0.368267029644104)</f>
        <v>-0.36826702964410402</v>
      </c>
      <c r="IC163" s="3">
        <f ca="1">IFERROR(__xludf.DUMMYFUNCTION("""COMPUTED_VALUE"""),-0.356726042168828)</f>
        <v>-0.35672604216882797</v>
      </c>
      <c r="ID163" s="3">
        <f ca="1">IFERROR(__xludf.DUMMYFUNCTION("""COMPUTED_VALUE"""),-0.394863660691237)</f>
        <v>-0.39486366069123702</v>
      </c>
      <c r="IE163" s="3">
        <f ca="1">IFERROR(__xludf.DUMMYFUNCTION("""COMPUTED_VALUE"""),-0.375706487434624)</f>
        <v>-0.37570648743462398</v>
      </c>
      <c r="IF163" s="3">
        <f ca="1">IFERROR(__xludf.DUMMYFUNCTION("""COMPUTED_VALUE"""),-0.355142808420961)</f>
        <v>-0.35514280842096102</v>
      </c>
      <c r="IG163" s="3">
        <f ca="1">IFERROR(__xludf.DUMMYFUNCTION("""COMPUTED_VALUE"""),-0.349084169993923)</f>
        <v>-0.349084169993923</v>
      </c>
      <c r="IH163" s="3">
        <f ca="1">IFERROR(__xludf.DUMMYFUNCTION("""COMPUTED_VALUE"""),-0.390246731858529)</f>
        <v>-0.39024673185852898</v>
      </c>
      <c r="II163" s="3">
        <f ca="1">IFERROR(__xludf.DUMMYFUNCTION("""COMPUTED_VALUE"""),-0.397820402257613)</f>
        <v>-0.397820402257613</v>
      </c>
      <c r="IJ163" s="3">
        <f ca="1">IFERROR(__xludf.DUMMYFUNCTION("""COMPUTED_VALUE"""),-0.36791631523586)</f>
        <v>-0.36791631523585999</v>
      </c>
      <c r="IK163" s="3">
        <f ca="1">IFERROR(__xludf.DUMMYFUNCTION("""COMPUTED_VALUE"""),-0.458016647211723)</f>
        <v>-0.45801664721172303</v>
      </c>
      <c r="IL163" s="3">
        <f ca="1">IFERROR(__xludf.DUMMYFUNCTION("""COMPUTED_VALUE"""),-0.433324877429291)</f>
        <v>-0.43332487742929099</v>
      </c>
      <c r="IM163" s="3">
        <f ca="1">IFERROR(__xludf.DUMMYFUNCTION("""COMPUTED_VALUE"""),-0.376601700533774)</f>
        <v>-0.37660170053377401</v>
      </c>
      <c r="IN163" s="3">
        <f ca="1">IFERROR(__xludf.DUMMYFUNCTION("""COMPUTED_VALUE"""),-0.359629501829639)</f>
        <v>-0.35962950182963899</v>
      </c>
      <c r="IO163" s="3">
        <f ca="1">IFERROR(__xludf.DUMMYFUNCTION("""COMPUTED_VALUE"""),-0.349373800386216)</f>
        <v>-0.34937380038621602</v>
      </c>
      <c r="IP163" s="3">
        <f ca="1">IFERROR(__xludf.DUMMYFUNCTION("""COMPUTED_VALUE"""),-0.393588736997209)</f>
        <v>-0.39358873699720898</v>
      </c>
      <c r="IQ163" s="3">
        <f ca="1">IFERROR(__xludf.DUMMYFUNCTION("""COMPUTED_VALUE"""),-0.396465921983336)</f>
        <v>-0.39646592198333602</v>
      </c>
      <c r="IR163" s="3">
        <f ca="1">IFERROR(__xludf.DUMMYFUNCTION("""COMPUTED_VALUE"""),-0.437693352885852)</f>
        <v>-0.43769335288585198</v>
      </c>
      <c r="IS163" s="3">
        <f ca="1">IFERROR(__xludf.DUMMYFUNCTION("""COMPUTED_VALUE"""),-0.386187581998941)</f>
        <v>-0.38618758199894099</v>
      </c>
      <c r="IT163" s="3">
        <f ca="1">IFERROR(__xludf.DUMMYFUNCTION("""COMPUTED_VALUE"""),-0.47139228977927)</f>
        <v>-0.47139228977927</v>
      </c>
      <c r="IU163" s="3">
        <f ca="1">IFERROR(__xludf.DUMMYFUNCTION("""COMPUTED_VALUE"""),-0.408559805919454)</f>
        <v>-0.40855980591945401</v>
      </c>
      <c r="IV163" s="3">
        <f ca="1">IFERROR(__xludf.DUMMYFUNCTION("""COMPUTED_VALUE"""),-0.364739436648239)</f>
        <v>-0.36473943664823899</v>
      </c>
      <c r="IW163" s="3">
        <f ca="1">IFERROR(__xludf.DUMMYFUNCTION("""COMPUTED_VALUE"""),-0.388665609441591)</f>
        <v>-0.38866560944159101</v>
      </c>
      <c r="IX163" s="3">
        <f ca="1">IFERROR(__xludf.DUMMYFUNCTION("""COMPUTED_VALUE"""),-0.458383685100144)</f>
        <v>-0.45838368510014399</v>
      </c>
      <c r="IY163" s="3">
        <f ca="1">IFERROR(__xludf.DUMMYFUNCTION("""COMPUTED_VALUE"""),-0.378375396470762)</f>
        <v>-0.37837539647076202</v>
      </c>
      <c r="IZ163" s="3">
        <f ca="1">IFERROR(__xludf.DUMMYFUNCTION("""COMPUTED_VALUE"""),-0.417646534840288)</f>
        <v>-0.41764653484028802</v>
      </c>
      <c r="JA163" s="3">
        <f ca="1">IFERROR(__xludf.DUMMYFUNCTION("""COMPUTED_VALUE"""),-0.420555113000343)</f>
        <v>-0.42055511300034298</v>
      </c>
      <c r="JB163" s="3">
        <f ca="1">IFERROR(__xludf.DUMMYFUNCTION("""COMPUTED_VALUE"""),-0.36476517776799)</f>
        <v>-0.36476517776799</v>
      </c>
      <c r="JC163" s="3">
        <f ca="1">IFERROR(__xludf.DUMMYFUNCTION("""COMPUTED_VALUE"""),-0.336465512238089)</f>
        <v>-0.33646551223808902</v>
      </c>
      <c r="JD163" s="3">
        <f ca="1">IFERROR(__xludf.DUMMYFUNCTION("""COMPUTED_VALUE"""),-0.376123211028661)</f>
        <v>-0.37612321102866098</v>
      </c>
      <c r="JE163" s="3">
        <f ca="1">IFERROR(__xludf.DUMMYFUNCTION("""COMPUTED_VALUE"""),-0.429841618454102)</f>
        <v>-0.42984161845410201</v>
      </c>
      <c r="JF163" s="3">
        <f ca="1">IFERROR(__xludf.DUMMYFUNCTION("""COMPUTED_VALUE"""),-0.418029438518573)</f>
        <v>-0.41802943851857299</v>
      </c>
      <c r="JG163" s="3">
        <f ca="1">IFERROR(__xludf.DUMMYFUNCTION("""COMPUTED_VALUE"""),-0.4630932560968)</f>
        <v>-0.46309325609680002</v>
      </c>
      <c r="JH163" s="3">
        <f ca="1">IFERROR(__xludf.DUMMYFUNCTION("""COMPUTED_VALUE"""),-0.408601535407663)</f>
        <v>-0.40860153540766297</v>
      </c>
      <c r="JI163" s="3">
        <f ca="1">IFERROR(__xludf.DUMMYFUNCTION("""COMPUTED_VALUE"""),-0.397279559059612)</f>
        <v>-0.39727955905961199</v>
      </c>
      <c r="JJ163" s="3">
        <f ca="1">IFERROR(__xludf.DUMMYFUNCTION("""COMPUTED_VALUE"""),-0.359458874146372)</f>
        <v>-0.35945887414637201</v>
      </c>
      <c r="JK163" s="3">
        <f ca="1">IFERROR(__xludf.DUMMYFUNCTION("""COMPUTED_VALUE"""),-0.365069172876121)</f>
        <v>-0.36506917287612101</v>
      </c>
      <c r="JL163" s="3">
        <f ca="1">IFERROR(__xludf.DUMMYFUNCTION("""COMPUTED_VALUE"""),-0.410524911671549)</f>
        <v>-0.41052491167154898</v>
      </c>
      <c r="JM163" s="3">
        <f ca="1">IFERROR(__xludf.DUMMYFUNCTION("""COMPUTED_VALUE"""),-0.421808878472126)</f>
        <v>-0.421808878472126</v>
      </c>
      <c r="JN163" s="3">
        <f ca="1">IFERROR(__xludf.DUMMYFUNCTION("""COMPUTED_VALUE"""),-0.436399140950121)</f>
        <v>-0.436399140950121</v>
      </c>
      <c r="JO163" s="3">
        <f ca="1">IFERROR(__xludf.DUMMYFUNCTION("""COMPUTED_VALUE"""),-0.41462218338894)</f>
        <v>-0.41462218338894002</v>
      </c>
      <c r="JP163" s="3">
        <f ca="1">IFERROR(__xludf.DUMMYFUNCTION("""COMPUTED_VALUE"""),-0.380800162028125)</f>
        <v>-0.380800162028125</v>
      </c>
      <c r="JQ163" s="3">
        <f ca="1">IFERROR(__xludf.DUMMYFUNCTION("""COMPUTED_VALUE"""),-0.369253002051713)</f>
        <v>-0.36925300205171302</v>
      </c>
      <c r="JR163" s="3">
        <f ca="1">IFERROR(__xludf.DUMMYFUNCTION("""COMPUTED_VALUE"""),-0.334704680684229)</f>
        <v>-0.33470468068422898</v>
      </c>
      <c r="JS163" s="3">
        <f ca="1">IFERROR(__xludf.DUMMYFUNCTION("""COMPUTED_VALUE"""),-0.376609356027357)</f>
        <v>-0.37660935602735701</v>
      </c>
      <c r="JT163" s="3">
        <f ca="1">IFERROR(__xludf.DUMMYFUNCTION("""COMPUTED_VALUE"""),-0.335808793839976)</f>
        <v>-0.33580879383997603</v>
      </c>
      <c r="JU163" s="3">
        <f ca="1">IFERROR(__xludf.DUMMYFUNCTION("""COMPUTED_VALUE"""),-0.437981643339074)</f>
        <v>-0.43798164333907402</v>
      </c>
      <c r="JV163" s="3">
        <f ca="1">IFERROR(__xludf.DUMMYFUNCTION("""COMPUTED_VALUE"""),-0.419129651489257)</f>
        <v>-0.41912965148925702</v>
      </c>
      <c r="JW163" s="3">
        <f ca="1">IFERROR(__xludf.DUMMYFUNCTION("""COMPUTED_VALUE"""),-0.374579074553311)</f>
        <v>-0.37457907455331102</v>
      </c>
      <c r="JX163" s="3">
        <f ca="1">IFERROR(__xludf.DUMMYFUNCTION("""COMPUTED_VALUE"""),-0.411449904934611)</f>
        <v>-0.41144990493461098</v>
      </c>
      <c r="JY163" s="3">
        <f ca="1">IFERROR(__xludf.DUMMYFUNCTION("""COMPUTED_VALUE"""),-0.439810789481534)</f>
        <v>-0.43981078948153401</v>
      </c>
      <c r="JZ163" s="3">
        <f ca="1">IFERROR(__xludf.DUMMYFUNCTION("""COMPUTED_VALUE"""),-0.31917780384502)</f>
        <v>-0.31917780384501998</v>
      </c>
      <c r="KA163" s="3">
        <f ca="1">IFERROR(__xludf.DUMMYFUNCTION("""COMPUTED_VALUE"""),-0.31305162116016)</f>
        <v>-0.31305162116016</v>
      </c>
      <c r="KB163" s="3">
        <f ca="1">IFERROR(__xludf.DUMMYFUNCTION("""COMPUTED_VALUE"""),-0.427660437311222)</f>
        <v>-0.427660437311222</v>
      </c>
      <c r="KC163" s="3">
        <f ca="1">IFERROR(__xludf.DUMMYFUNCTION("""COMPUTED_VALUE"""),-0.432371972588675)</f>
        <v>-0.43237197258867499</v>
      </c>
      <c r="KD163" s="3">
        <f ca="1">IFERROR(__xludf.DUMMYFUNCTION("""COMPUTED_VALUE"""),-0.388272287433069)</f>
        <v>-0.38827228743306902</v>
      </c>
      <c r="KE163" s="3">
        <f ca="1">IFERROR(__xludf.DUMMYFUNCTION("""COMPUTED_VALUE"""),-0.369028949976816)</f>
        <v>-0.36902894997681601</v>
      </c>
      <c r="KF163" s="3">
        <f ca="1">IFERROR(__xludf.DUMMYFUNCTION("""COMPUTED_VALUE"""),-0.343904927691129)</f>
        <v>-0.34390492769112901</v>
      </c>
      <c r="KG163" s="3">
        <f ca="1">IFERROR(__xludf.DUMMYFUNCTION("""COMPUTED_VALUE"""),-0.371324447901683)</f>
        <v>-0.37132444790168301</v>
      </c>
      <c r="KH163" s="3">
        <f ca="1">IFERROR(__xludf.DUMMYFUNCTION("""COMPUTED_VALUE"""),-0.354626031685023)</f>
        <v>-0.35462603168502299</v>
      </c>
      <c r="KI163" s="3">
        <f ca="1">IFERROR(__xludf.DUMMYFUNCTION("""COMPUTED_VALUE"""),-0.417898768658455)</f>
        <v>-0.41789876865845499</v>
      </c>
      <c r="KJ163" s="3">
        <f ca="1">IFERROR(__xludf.DUMMYFUNCTION("""COMPUTED_VALUE"""),-0.396858044752579)</f>
        <v>-0.39685804475257902</v>
      </c>
      <c r="KK163" s="3">
        <f ca="1">IFERROR(__xludf.DUMMYFUNCTION("""COMPUTED_VALUE"""),-0.417633861730158)</f>
        <v>-0.41763386173015798</v>
      </c>
      <c r="KL163" s="3">
        <f ca="1">IFERROR(__xludf.DUMMYFUNCTION("""COMPUTED_VALUE"""),-0.36955637466943)</f>
        <v>-0.36955637466942998</v>
      </c>
      <c r="KM163" s="3">
        <f ca="1">IFERROR(__xludf.DUMMYFUNCTION("""COMPUTED_VALUE"""),-0.420059043567875)</f>
        <v>-0.42005904356787499</v>
      </c>
      <c r="KN163" s="3">
        <f ca="1">IFERROR(__xludf.DUMMYFUNCTION("""COMPUTED_VALUE"""),-0.453047807299402)</f>
        <v>-0.45304780729940197</v>
      </c>
      <c r="KO163" s="3">
        <f ca="1">IFERROR(__xludf.DUMMYFUNCTION("""COMPUTED_VALUE"""),-0.43127078241653)</f>
        <v>-0.43127078241653</v>
      </c>
      <c r="KP163" s="3">
        <f ca="1">IFERROR(__xludf.DUMMYFUNCTION("""COMPUTED_VALUE"""),-0.503887684973041)</f>
        <v>-0.50388768497304104</v>
      </c>
      <c r="KQ163" s="3">
        <f ca="1">IFERROR(__xludf.DUMMYFUNCTION("""COMPUTED_VALUE"""),-0.45858670510205)</f>
        <v>-0.45858670510205002</v>
      </c>
      <c r="KR163" s="3">
        <f ca="1">IFERROR(__xludf.DUMMYFUNCTION("""COMPUTED_VALUE"""),-0.404229942248044)</f>
        <v>-0.40422994224804398</v>
      </c>
      <c r="KS163" s="3">
        <f ca="1">IFERROR(__xludf.DUMMYFUNCTION("""COMPUTED_VALUE"""),-0.372616792581582)</f>
        <v>-0.37261679258158198</v>
      </c>
      <c r="KT163" s="3">
        <f ca="1">IFERROR(__xludf.DUMMYFUNCTION("""COMPUTED_VALUE"""),-0.389101835775901)</f>
        <v>-0.38910183577590102</v>
      </c>
      <c r="KU163" s="3">
        <f ca="1">IFERROR(__xludf.DUMMYFUNCTION("""COMPUTED_VALUE"""),-0.465936758607683)</f>
        <v>-0.46593675860768302</v>
      </c>
      <c r="KV163" s="3">
        <f ca="1">IFERROR(__xludf.DUMMYFUNCTION("""COMPUTED_VALUE"""),-0.513956799430345)</f>
        <v>-0.513956799430345</v>
      </c>
      <c r="KW163" s="3">
        <f ca="1">IFERROR(__xludf.DUMMYFUNCTION("""COMPUTED_VALUE"""),-0.503932853600827)</f>
        <v>-0.50393285360082696</v>
      </c>
      <c r="KX163" s="3">
        <f ca="1">IFERROR(__xludf.DUMMYFUNCTION("""COMPUTED_VALUE"""),-0.459763845883442)</f>
        <v>-0.45976384588344199</v>
      </c>
      <c r="KY163" s="3">
        <f ca="1">IFERROR(__xludf.DUMMYFUNCTION("""COMPUTED_VALUE"""),-0.433110571287677)</f>
        <v>-0.43311057128767699</v>
      </c>
      <c r="KZ163" s="3">
        <f ca="1">IFERROR(__xludf.DUMMYFUNCTION("""COMPUTED_VALUE"""),-0.477304001073354)</f>
        <v>-0.47730400107335402</v>
      </c>
      <c r="LA163" s="3">
        <f ca="1">IFERROR(__xludf.DUMMYFUNCTION("""COMPUTED_VALUE"""),-0.466645140020439)</f>
        <v>-0.466645140020439</v>
      </c>
      <c r="LB163" s="3">
        <f ca="1">IFERROR(__xludf.DUMMYFUNCTION("""COMPUTED_VALUE"""),-0.542448473587699)</f>
        <v>-0.54244847358769899</v>
      </c>
      <c r="LC163" s="3">
        <f ca="1">IFERROR(__xludf.DUMMYFUNCTION("""COMPUTED_VALUE"""),-0.542352140298201)</f>
        <v>-0.542352140298201</v>
      </c>
      <c r="LD163" s="3">
        <f ca="1">IFERROR(__xludf.DUMMYFUNCTION("""COMPUTED_VALUE"""),-0.56650661291615)</f>
        <v>-0.56650661291615001</v>
      </c>
      <c r="LE163" s="3">
        <f ca="1">IFERROR(__xludf.DUMMYFUNCTION("""COMPUTED_VALUE"""),-0.540819384178792)</f>
        <v>-0.54081938417879205</v>
      </c>
      <c r="LF163" s="3">
        <f ca="1">IFERROR(__xludf.DUMMYFUNCTION("""COMPUTED_VALUE"""),-0.477575293500641)</f>
        <v>-0.47757529350064098</v>
      </c>
      <c r="LG163" s="3">
        <f ca="1">IFERROR(__xludf.DUMMYFUNCTION("""COMPUTED_VALUE"""),-0.536270052665019)</f>
        <v>-0.53627005266501904</v>
      </c>
      <c r="LH163" s="3">
        <f ca="1">IFERROR(__xludf.DUMMYFUNCTION("""COMPUTED_VALUE"""),-0.526412676086471)</f>
        <v>-0.52641267608647102</v>
      </c>
      <c r="LI163" s="3">
        <f ca="1">IFERROR(__xludf.DUMMYFUNCTION("""COMPUTED_VALUE"""),-0.589981539202084)</f>
        <v>-0.58998153920208396</v>
      </c>
      <c r="LJ163" s="3">
        <f ca="1">IFERROR(__xludf.DUMMYFUNCTION("""COMPUTED_VALUE"""),-0.607137156380139)</f>
        <v>-0.60713715638013899</v>
      </c>
      <c r="LK163" s="3">
        <f ca="1">IFERROR(__xludf.DUMMYFUNCTION("""COMPUTED_VALUE"""),-0.620345003161622)</f>
        <v>-0.620345003161622</v>
      </c>
      <c r="LL163" s="3">
        <f ca="1">IFERROR(__xludf.DUMMYFUNCTION("""COMPUTED_VALUE"""),-0.588814463151185)</f>
        <v>-0.58881446315118502</v>
      </c>
      <c r="LM163" s="3">
        <f ca="1">IFERROR(__xludf.DUMMYFUNCTION("""COMPUTED_VALUE"""),-0.652067119382426)</f>
        <v>-0.65206711938242601</v>
      </c>
      <c r="LN163" s="3">
        <f ca="1">IFERROR(__xludf.DUMMYFUNCTION("""COMPUTED_VALUE"""),-0.604356279785862)</f>
        <v>-0.60435627978586204</v>
      </c>
      <c r="LO163" s="3">
        <f ca="1">IFERROR(__xludf.DUMMYFUNCTION("""COMPUTED_VALUE"""),-0.629861994824846)</f>
        <v>-0.62986199482484595</v>
      </c>
      <c r="LP163" s="3">
        <f ca="1">IFERROR(__xludf.DUMMYFUNCTION("""COMPUTED_VALUE"""),-0.668305719588475)</f>
        <v>-0.66830571958847496</v>
      </c>
      <c r="LQ163" s="3">
        <f ca="1">IFERROR(__xludf.DUMMYFUNCTION("""COMPUTED_VALUE"""),-0.660543492942198)</f>
        <v>-0.66054349294219805</v>
      </c>
      <c r="LR163" s="3">
        <f ca="1">IFERROR(__xludf.DUMMYFUNCTION("""COMPUTED_VALUE"""),-0.652768690733024)</f>
        <v>-0.65276869073302402</v>
      </c>
      <c r="LS163" s="3">
        <f ca="1">IFERROR(__xludf.DUMMYFUNCTION("""COMPUTED_VALUE"""),-0.625983092544677)</f>
        <v>-0.62598309254467699</v>
      </c>
      <c r="LT163" s="3">
        <f ca="1">IFERROR(__xludf.DUMMYFUNCTION("""COMPUTED_VALUE"""),-0.586586604349119)</f>
        <v>-0.58658660434911902</v>
      </c>
      <c r="LU163" s="3">
        <f ca="1">IFERROR(__xludf.DUMMYFUNCTION("""COMPUTED_VALUE"""),-0.634593009523752)</f>
        <v>-0.63459300952375197</v>
      </c>
      <c r="LV163" s="3">
        <f ca="1">IFERROR(__xludf.DUMMYFUNCTION("""COMPUTED_VALUE"""),-0.617906295989618)</f>
        <v>-0.61790629598961799</v>
      </c>
      <c r="LW163" s="3">
        <f ca="1">IFERROR(__xludf.DUMMYFUNCTION("""COMPUTED_VALUE"""),-0.6110929451892)</f>
        <v>-0.61109294518919999</v>
      </c>
      <c r="LX163" s="3">
        <f ca="1">IFERROR(__xludf.DUMMYFUNCTION("""COMPUTED_VALUE"""),-0.648214664511292)</f>
        <v>-0.64821466451129195</v>
      </c>
      <c r="LY163" s="3">
        <f ca="1">IFERROR(__xludf.DUMMYFUNCTION("""COMPUTED_VALUE"""),-0.640624468403845)</f>
        <v>-0.64062446840384502</v>
      </c>
      <c r="LZ163" s="3">
        <f ca="1">IFERROR(__xludf.DUMMYFUNCTION("""COMPUTED_VALUE"""),-0.653154104644249)</f>
        <v>-0.65315410464424895</v>
      </c>
      <c r="MA163" s="3">
        <f ca="1">IFERROR(__xludf.DUMMYFUNCTION("""COMPUTED_VALUE"""),-0.63536720488458)</f>
        <v>-0.63536720488457998</v>
      </c>
      <c r="MB163" s="3">
        <f ca="1">IFERROR(__xludf.DUMMYFUNCTION("""COMPUTED_VALUE"""),-0.602720460290981)</f>
        <v>-0.60272046029098103</v>
      </c>
      <c r="MC163" s="3">
        <f ca="1">IFERROR(__xludf.DUMMYFUNCTION("""COMPUTED_VALUE"""),-0.644274762198706)</f>
        <v>-0.64427476219870605</v>
      </c>
      <c r="MD163" s="3">
        <f ca="1">IFERROR(__xludf.DUMMYFUNCTION("""COMPUTED_VALUE"""),-0.639808257725758)</f>
        <v>-0.639808257725758</v>
      </c>
      <c r="ME163" s="3">
        <f ca="1">IFERROR(__xludf.DUMMYFUNCTION("""COMPUTED_VALUE"""),-0.647265430915119)</f>
        <v>-0.64726543091511901</v>
      </c>
      <c r="MF163" s="3">
        <f ca="1">IFERROR(__xludf.DUMMYFUNCTION("""COMPUTED_VALUE"""),-0.683677727441543)</f>
        <v>-0.68367772744154298</v>
      </c>
      <c r="MG163" s="3">
        <f ca="1">IFERROR(__xludf.DUMMYFUNCTION("""COMPUTED_VALUE"""),-0.652791435864951)</f>
        <v>-0.65279143586495103</v>
      </c>
      <c r="MH163" s="3">
        <f ca="1">IFERROR(__xludf.DUMMYFUNCTION("""COMPUTED_VALUE"""),-0.589101279835009)</f>
        <v>-0.58910127983500904</v>
      </c>
      <c r="MI163" s="3">
        <f ca="1">IFERROR(__xludf.DUMMYFUNCTION("""COMPUTED_VALUE"""),-0.618993712550852)</f>
        <v>-0.618993712550852</v>
      </c>
      <c r="MJ163" s="3">
        <f ca="1">IFERROR(__xludf.DUMMYFUNCTION("""COMPUTED_VALUE"""),-0.617007034478337)</f>
        <v>-0.61700703447833705</v>
      </c>
      <c r="MK163" s="3">
        <f ca="1">IFERROR(__xludf.DUMMYFUNCTION("""COMPUTED_VALUE"""),-0.659849127044285)</f>
        <v>-0.659849127044285</v>
      </c>
      <c r="ML163" s="3">
        <f ca="1">IFERROR(__xludf.DUMMYFUNCTION("""COMPUTED_VALUE"""),-0.73993941333259)</f>
        <v>-0.73993941333258995</v>
      </c>
      <c r="MM163" s="3">
        <f ca="1">IFERROR(__xludf.DUMMYFUNCTION("""COMPUTED_VALUE"""),-0.700704534553866)</f>
        <v>-0.70070453455386605</v>
      </c>
      <c r="MN163" s="3">
        <f ca="1">IFERROR(__xludf.DUMMYFUNCTION("""COMPUTED_VALUE"""),-0.712749213672976)</f>
        <v>-0.71274921367297595</v>
      </c>
      <c r="MO163" s="3">
        <f ca="1">IFERROR(__xludf.DUMMYFUNCTION("""COMPUTED_VALUE"""),-0.684056325174292)</f>
        <v>-0.68405632517429205</v>
      </c>
      <c r="MP163" s="3">
        <f ca="1">IFERROR(__xludf.DUMMYFUNCTION("""COMPUTED_VALUE"""),-0.659293808012786)</f>
        <v>-0.65929380801278603</v>
      </c>
      <c r="MQ163" s="3">
        <f ca="1">IFERROR(__xludf.DUMMYFUNCTION("""COMPUTED_VALUE"""),-0.699703796916996)</f>
        <v>-0.69970379691699602</v>
      </c>
      <c r="MR163" s="3">
        <f ca="1">IFERROR(__xludf.DUMMYFUNCTION("""COMPUTED_VALUE"""),-0.669148447510731)</f>
        <v>-0.66914844751073099</v>
      </c>
      <c r="MS163" s="3">
        <f ca="1">IFERROR(__xludf.DUMMYFUNCTION("""COMPUTED_VALUE"""),-0.71727305687417)</f>
        <v>-0.71727305687416998</v>
      </c>
      <c r="MT163" s="3">
        <f ca="1">IFERROR(__xludf.DUMMYFUNCTION("""COMPUTED_VALUE"""),-0.687639608216319)</f>
        <v>-0.68763960821631898</v>
      </c>
      <c r="MU163" s="3">
        <f ca="1">IFERROR(__xludf.DUMMYFUNCTION("""COMPUTED_VALUE"""),-0.686987836649415)</f>
        <v>-0.68698783664941498</v>
      </c>
      <c r="MV163" s="3">
        <f ca="1">IFERROR(__xludf.DUMMYFUNCTION("""COMPUTED_VALUE"""),-0.677125211141117)</f>
        <v>-0.67712521114111701</v>
      </c>
      <c r="MW163" s="3">
        <f ca="1">IFERROR(__xludf.DUMMYFUNCTION("""COMPUTED_VALUE"""),-0.620153525462141)</f>
        <v>-0.62015352546214098</v>
      </c>
      <c r="MX163" s="3">
        <f ca="1">IFERROR(__xludf.DUMMYFUNCTION("""COMPUTED_VALUE"""),-0.681687188035259)</f>
        <v>-0.68168718803525896</v>
      </c>
      <c r="MY163" s="3">
        <f ca="1">IFERROR(__xludf.DUMMYFUNCTION("""COMPUTED_VALUE"""),-0.634553611331198)</f>
        <v>-0.63455361133119803</v>
      </c>
      <c r="MZ163" s="3">
        <f ca="1">IFERROR(__xludf.DUMMYFUNCTION("""COMPUTED_VALUE"""),-0.685875157860235)</f>
        <v>-0.68587515786023501</v>
      </c>
      <c r="NA163" s="3">
        <f ca="1">IFERROR(__xludf.DUMMYFUNCTION("""COMPUTED_VALUE"""),-0.685304294296025)</f>
        <v>-0.68530429429602502</v>
      </c>
      <c r="NB163" s="3">
        <f ca="1">IFERROR(__xludf.DUMMYFUNCTION("""COMPUTED_VALUE"""),-0.66891910471143)</f>
        <v>-0.66891910471143001</v>
      </c>
      <c r="NC163" s="3">
        <f ca="1">IFERROR(__xludf.DUMMYFUNCTION("""COMPUTED_VALUE"""),-0.653877899557022)</f>
        <v>-0.65387789955702202</v>
      </c>
      <c r="ND163" s="3">
        <f ca="1">IFERROR(__xludf.DUMMYFUNCTION("""COMPUTED_VALUE"""),-0.667716091220893)</f>
        <v>-0.66771609122089304</v>
      </c>
      <c r="NE163" s="3">
        <f ca="1">IFERROR(__xludf.DUMMYFUNCTION("""COMPUTED_VALUE"""),-0.64757423543441)</f>
        <v>-0.64757423543440995</v>
      </c>
      <c r="NF163" s="3">
        <f ca="1">IFERROR(__xludf.DUMMYFUNCTION("""COMPUTED_VALUE"""),-0.620167373873132)</f>
        <v>-0.62016737387313203</v>
      </c>
      <c r="NG163" s="3">
        <f ca="1">IFERROR(__xludf.DUMMYFUNCTION("""COMPUTED_VALUE"""),-0.648661853338152)</f>
        <v>-0.64866185333815196</v>
      </c>
      <c r="NH163" s="3">
        <f ca="1">IFERROR(__xludf.DUMMYFUNCTION("""COMPUTED_VALUE"""),-0.605290195962033)</f>
        <v>-0.60529019596203304</v>
      </c>
      <c r="NI163" s="3">
        <f ca="1">IFERROR(__xludf.DUMMYFUNCTION("""COMPUTED_VALUE"""),-0.64640575735907)</f>
        <v>-0.64640575735907002</v>
      </c>
      <c r="NJ163" s="3">
        <f ca="1">IFERROR(__xludf.DUMMYFUNCTION("""COMPUTED_VALUE"""),-0.582685000054767)</f>
        <v>-0.58268500005476698</v>
      </c>
      <c r="NK163" s="3">
        <f ca="1">IFERROR(__xludf.DUMMYFUNCTION("""COMPUTED_VALUE"""),-0.651337015742339)</f>
        <v>-0.65133701574233904</v>
      </c>
      <c r="NL163" s="3">
        <f ca="1">IFERROR(__xludf.DUMMYFUNCTION("""COMPUTED_VALUE"""),-0.625428141095063)</f>
        <v>-0.62542814109506295</v>
      </c>
      <c r="NM163" s="3">
        <f ca="1">IFERROR(__xludf.DUMMYFUNCTION("""COMPUTED_VALUE"""),-0.586754044435224)</f>
        <v>-0.58675404443522405</v>
      </c>
      <c r="NN163" s="3">
        <f ca="1">IFERROR(__xludf.DUMMYFUNCTION("""COMPUTED_VALUE"""),-0.625600202108423)</f>
        <v>-0.62560020210842304</v>
      </c>
      <c r="NO163" s="3">
        <f ca="1">IFERROR(__xludf.DUMMYFUNCTION("""COMPUTED_VALUE"""),-0.593006277555211)</f>
        <v>-0.59300627755521096</v>
      </c>
      <c r="NP163" s="3">
        <f ca="1">IFERROR(__xludf.DUMMYFUNCTION("""COMPUTED_VALUE"""),-0.588055391678371)</f>
        <v>-0.58805539167837095</v>
      </c>
      <c r="NQ163" s="3">
        <f ca="1">IFERROR(__xludf.DUMMYFUNCTION("""COMPUTED_VALUE"""),-0.551220965102114)</f>
        <v>-0.55122096510211405</v>
      </c>
      <c r="NR163" s="3">
        <f ca="1">IFERROR(__xludf.DUMMYFUNCTION("""COMPUTED_VALUE"""),-0.589421687153952)</f>
        <v>-0.58942168715395205</v>
      </c>
      <c r="NS163" s="3">
        <f ca="1">IFERROR(__xludf.DUMMYFUNCTION("""COMPUTED_VALUE"""),-0.613614549747658)</f>
        <v>-0.61361454974765794</v>
      </c>
      <c r="NT163" s="3">
        <f ca="1">IFERROR(__xludf.DUMMYFUNCTION("""COMPUTED_VALUE"""),-0.507731457410664)</f>
        <v>-0.50773145741066406</v>
      </c>
      <c r="NU163" s="3">
        <f ca="1">IFERROR(__xludf.DUMMYFUNCTION("""COMPUTED_VALUE"""),-0.489103704380125)</f>
        <v>-0.48910370438012502</v>
      </c>
      <c r="NV163" s="3">
        <f ca="1">IFERROR(__xludf.DUMMYFUNCTION("""COMPUTED_VALUE"""),-0.568100891981164)</f>
        <v>-0.56810089198116398</v>
      </c>
      <c r="NW163" s="3">
        <f ca="1">IFERROR(__xludf.DUMMYFUNCTION("""COMPUTED_VALUE"""),-0.455416639123012)</f>
        <v>-0.455416639123012</v>
      </c>
      <c r="NX163" s="3">
        <f ca="1">IFERROR(__xludf.DUMMYFUNCTION("""COMPUTED_VALUE"""),-0.519049889037014)</f>
        <v>-0.51904988903701399</v>
      </c>
      <c r="NY163" s="3">
        <f ca="1">IFERROR(__xludf.DUMMYFUNCTION("""COMPUTED_VALUE"""),-0.458459563273965)</f>
        <v>-0.45845956327396498</v>
      </c>
      <c r="NZ163" s="3">
        <f ca="1">IFERROR(__xludf.DUMMYFUNCTION("""COMPUTED_VALUE"""),-0.495981582496717)</f>
        <v>-0.49598158249671698</v>
      </c>
      <c r="OA163" s="3">
        <f ca="1">IFERROR(__xludf.DUMMYFUNCTION("""COMPUTED_VALUE"""),-0.357252545375397)</f>
        <v>-0.35725254537539702</v>
      </c>
      <c r="OB163" s="3">
        <f ca="1">IFERROR(__xludf.DUMMYFUNCTION("""COMPUTED_VALUE"""),-0.25460641215575)</f>
        <v>-0.25460641215574997</v>
      </c>
      <c r="OC163" s="3">
        <f ca="1">IFERROR(__xludf.DUMMYFUNCTION("""COMPUTED_VALUE"""),-0.245277673791849)</f>
        <v>-0.245277673791849</v>
      </c>
      <c r="OD163" s="3">
        <f ca="1">IFERROR(__xludf.DUMMYFUNCTION("""COMPUTED_VALUE"""),-0.249020915406921)</f>
        <v>-0.24902091540692101</v>
      </c>
      <c r="OE163" s="3">
        <f ca="1">IFERROR(__xludf.DUMMYFUNCTION("""COMPUTED_VALUE"""),-0.194333219538802)</f>
        <v>-0.194333219538802</v>
      </c>
      <c r="OF163" s="3">
        <f ca="1">IFERROR(__xludf.DUMMYFUNCTION("""COMPUTED_VALUE"""),-0.227142199065525)</f>
        <v>-0.22714219906552499</v>
      </c>
      <c r="OG163" s="3">
        <f ca="1">IFERROR(__xludf.DUMMYFUNCTION("""COMPUTED_VALUE"""),-0.159511760543769)</f>
        <v>-0.159511760543769</v>
      </c>
      <c r="OH163" s="3">
        <f ca="1">IFERROR(__xludf.DUMMYFUNCTION("""COMPUTED_VALUE"""),-0.131974720158523)</f>
        <v>-0.13197472015852299</v>
      </c>
      <c r="OI163" s="3">
        <f ca="1">IFERROR(__xludf.DUMMYFUNCTION("""COMPUTED_VALUE"""),-0.0602694689022709)</f>
        <v>-6.0269468902270897E-2</v>
      </c>
      <c r="OJ163" s="3">
        <f ca="1">IFERROR(__xludf.DUMMYFUNCTION("""COMPUTED_VALUE"""),-0.0831447136928597)</f>
        <v>-8.3144713692859695E-2</v>
      </c>
      <c r="OK163" s="3">
        <f ca="1">IFERROR(__xludf.DUMMYFUNCTION("""COMPUTED_VALUE"""),-0.0789197364647781)</f>
        <v>-7.8919736464778095E-2</v>
      </c>
      <c r="OL163" s="3">
        <f ca="1">IFERROR(__xludf.DUMMYFUNCTION("""COMPUTED_VALUE"""),-0.071819171133693)</f>
        <v>-7.1819171133693002E-2</v>
      </c>
      <c r="OM163" s="3">
        <f ca="1">IFERROR(__xludf.DUMMYFUNCTION("""COMPUTED_VALUE"""),-0.0543970059104597)</f>
        <v>-5.4397005910459699E-2</v>
      </c>
      <c r="ON163" s="3">
        <f ca="1">IFERROR(__xludf.DUMMYFUNCTION("""COMPUTED_VALUE"""),-0.00199157564999263)</f>
        <v>-1.9915756499926298E-3</v>
      </c>
      <c r="OO163" s="3">
        <f ca="1">IFERROR(__xludf.DUMMYFUNCTION("""COMPUTED_VALUE"""),0.00219946610719867)</f>
        <v>2.1994661071986698E-3</v>
      </c>
      <c r="OP163" s="3">
        <f ca="1">IFERROR(__xludf.DUMMYFUNCTION("""COMPUTED_VALUE"""),-0.00492501636675846)</f>
        <v>-4.9250163667584603E-3</v>
      </c>
      <c r="OQ163" s="3">
        <f ca="1">IFERROR(__xludf.DUMMYFUNCTION("""COMPUTED_VALUE"""),-0.000168885317958222)</f>
        <v>-1.68885317958222E-4</v>
      </c>
      <c r="OR163" s="3">
        <f ca="1">IFERROR(__xludf.DUMMYFUNCTION("""COMPUTED_VALUE"""),-0.0199460171736175)</f>
        <v>-1.9946017173617499E-2</v>
      </c>
      <c r="OS163" s="3">
        <f ca="1">IFERROR(__xludf.DUMMYFUNCTION("""COMPUTED_VALUE"""),-0.0266121164968571)</f>
        <v>-2.6612116496857099E-2</v>
      </c>
      <c r="OT163" s="3">
        <f ca="1">IFERROR(__xludf.DUMMYFUNCTION("""COMPUTED_VALUE"""),-0.0200828139252214)</f>
        <v>-2.0082813925221401E-2</v>
      </c>
      <c r="OU163" s="3">
        <f ca="1">IFERROR(__xludf.DUMMYFUNCTION("""COMPUTED_VALUE"""),-0.0391100738937647)</f>
        <v>-3.9110073893764703E-2</v>
      </c>
      <c r="OV163" s="3">
        <f ca="1">IFERROR(__xludf.DUMMYFUNCTION("""COMPUTED_VALUE"""),0.0346509423542005)</f>
        <v>3.4650942354200499E-2</v>
      </c>
      <c r="OW163" s="3">
        <f ca="1">IFERROR(__xludf.DUMMYFUNCTION("""COMPUTED_VALUE"""),0.00525940329109309)</f>
        <v>5.2594032910930899E-3</v>
      </c>
      <c r="OX163" s="3">
        <f ca="1">IFERROR(__xludf.DUMMYFUNCTION("""COMPUTED_VALUE"""),0.122629716668422)</f>
        <v>0.122629716668422</v>
      </c>
      <c r="OY163" s="3">
        <f ca="1">IFERROR(__xludf.DUMMYFUNCTION("""COMPUTED_VALUE"""),-0.0905006503490428)</f>
        <v>-9.0500650349042797E-2</v>
      </c>
      <c r="OZ163" s="3">
        <f ca="1">IFERROR(__xludf.DUMMYFUNCTION("""COMPUTED_VALUE"""),-0.0217648806003797)</f>
        <v>-2.1764880600379701E-2</v>
      </c>
      <c r="PA163" s="3">
        <f ca="1">IFERROR(__xludf.DUMMYFUNCTION("""COMPUTED_VALUE"""),-0.00903770955305172)</f>
        <v>-9.0377095530517204E-3</v>
      </c>
      <c r="PB163" s="3">
        <f ca="1">IFERROR(__xludf.DUMMYFUNCTION("""COMPUTED_VALUE"""),-0.0457541318461742)</f>
        <v>-4.5754131846174197E-2</v>
      </c>
      <c r="PC163" s="3">
        <f ca="1">IFERROR(__xludf.DUMMYFUNCTION("""COMPUTED_VALUE"""),-0.021810692497901)</f>
        <v>-2.1810692497901001E-2</v>
      </c>
      <c r="PD163" s="3">
        <f ca="1">IFERROR(__xludf.DUMMYFUNCTION("""COMPUTED_VALUE"""),-0.00591911350522134)</f>
        <v>-5.9191135052213397E-3</v>
      </c>
      <c r="PE163" s="3">
        <f ca="1">IFERROR(__xludf.DUMMYFUNCTION("""COMPUTED_VALUE"""),0.0806714736933209)</f>
        <v>8.0671473693320894E-2</v>
      </c>
      <c r="PF163" s="3">
        <f ca="1">IFERROR(__xludf.DUMMYFUNCTION("""COMPUTED_VALUE"""),-0.0287270535557672)</f>
        <v>-2.8727053555767199E-2</v>
      </c>
      <c r="PG163" s="3">
        <f ca="1">IFERROR(__xludf.DUMMYFUNCTION("""COMPUTED_VALUE"""),-0.00242491297621993)</f>
        <v>-2.42491297621993E-3</v>
      </c>
      <c r="PH163" s="3">
        <f ca="1">IFERROR(__xludf.DUMMYFUNCTION("""COMPUTED_VALUE"""),-0.0206901076723324)</f>
        <v>-2.0690107672332401E-2</v>
      </c>
      <c r="PI163" s="3">
        <f ca="1">IFERROR(__xludf.DUMMYFUNCTION("""COMPUTED_VALUE"""),-0.0297112845753608)</f>
        <v>-2.9711284575360802E-2</v>
      </c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</row>
    <row r="164" spans="1:477" ht="13">
      <c r="A164" s="1" t="str">
        <f ca="1">IFERROR(__xludf.DUMMYFUNCTION("""COMPUTED_VALUE"""),"DC Circulator")</f>
        <v>DC Circulator</v>
      </c>
      <c r="B164" s="1" t="str">
        <f ca="1">IFERROR(__xludf.DUMMYFUNCTION("""COMPUTED_VALUE"""),"Washington D.C.")</f>
        <v>Washington D.C.</v>
      </c>
      <c r="C164" s="1" t="str">
        <f ca="1">IFERROR(__xludf.DUMMYFUNCTION("""COMPUTED_VALUE"""),"United States")</f>
        <v>United States</v>
      </c>
      <c r="D164" s="1" t="str">
        <f ca="1">IFERROR(__xludf.DUMMYFUNCTION("""COMPUTED_VALUE"""),"District of Columbia")</f>
        <v>District of Columbia</v>
      </c>
      <c r="E164" s="3">
        <f ca="1">IFERROR(__xludf.DUMMYFUNCTION("""COMPUTED_VALUE"""),-0.581888877120965)</f>
        <v>-0.58188887712096504</v>
      </c>
      <c r="F164" s="3">
        <f ca="1">IFERROR(__xludf.DUMMYFUNCTION("""COMPUTED_VALUE"""),-0.606556009324699)</f>
        <v>-0.606556009324699</v>
      </c>
      <c r="G164" s="3">
        <f ca="1">IFERROR(__xludf.DUMMYFUNCTION("""COMPUTED_VALUE"""),-0.613756792796651)</f>
        <v>-0.61375679279665096</v>
      </c>
      <c r="H164" s="3">
        <f ca="1">IFERROR(__xludf.DUMMYFUNCTION("""COMPUTED_VALUE"""),-0.59919610300014)</f>
        <v>-0.59919610300014003</v>
      </c>
      <c r="I164" s="3">
        <f ca="1">IFERROR(__xludf.DUMMYFUNCTION("""COMPUTED_VALUE"""),-0.598337542174238)</f>
        <v>-0.59833754217423796</v>
      </c>
      <c r="J164" s="3">
        <f ca="1">IFERROR(__xludf.DUMMYFUNCTION("""COMPUTED_VALUE"""),-0.574348567763493)</f>
        <v>-0.57434856776349297</v>
      </c>
      <c r="K164" s="3">
        <f ca="1">IFERROR(__xludf.DUMMYFUNCTION("""COMPUTED_VALUE"""),-0.553768952409403)</f>
        <v>-0.55376895240940305</v>
      </c>
      <c r="L164" s="3">
        <f ca="1">IFERROR(__xludf.DUMMYFUNCTION("""COMPUTED_VALUE"""),-0.580358426859983)</f>
        <v>-0.58035842685998296</v>
      </c>
      <c r="M164" s="3">
        <f ca="1">IFERROR(__xludf.DUMMYFUNCTION("""COMPUTED_VALUE"""),-0.610649554885455)</f>
        <v>-0.61064955488545503</v>
      </c>
      <c r="N164" s="3">
        <f ca="1">IFERROR(__xludf.DUMMYFUNCTION("""COMPUTED_VALUE"""),-0.64251114689796)</f>
        <v>-0.64251114689795996</v>
      </c>
      <c r="O164" s="3">
        <f ca="1">IFERROR(__xludf.DUMMYFUNCTION("""COMPUTED_VALUE"""),-0.669089978036936)</f>
        <v>-0.66908997803693604</v>
      </c>
      <c r="P164" s="3">
        <f ca="1">IFERROR(__xludf.DUMMYFUNCTION("""COMPUTED_VALUE"""),-0.609943299392504)</f>
        <v>-0.60994329939250402</v>
      </c>
      <c r="Q164" s="3">
        <f ca="1">IFERROR(__xludf.DUMMYFUNCTION("""COMPUTED_VALUE"""),-0.618334326901595)</f>
        <v>-0.61833432690159496</v>
      </c>
      <c r="R164" s="3">
        <f ca="1">IFERROR(__xludf.DUMMYFUNCTION("""COMPUTED_VALUE"""),-0.601603370040755)</f>
        <v>-0.60160337004075504</v>
      </c>
      <c r="S164" s="3">
        <f ca="1">IFERROR(__xludf.DUMMYFUNCTION("""COMPUTED_VALUE"""),-0.551069667965462)</f>
        <v>-0.55106966796546197</v>
      </c>
      <c r="T164" s="3">
        <f ca="1">IFERROR(__xludf.DUMMYFUNCTION("""COMPUTED_VALUE"""),-0.572565395234825)</f>
        <v>-0.57256539523482497</v>
      </c>
      <c r="U164" s="3">
        <f ca="1">IFERROR(__xludf.DUMMYFUNCTION("""COMPUTED_VALUE"""),-0.668467570276161)</f>
        <v>-0.66846757027616099</v>
      </c>
      <c r="V164" s="3">
        <f ca="1">IFERROR(__xludf.DUMMYFUNCTION("""COMPUTED_VALUE"""),-0.666275642901853)</f>
        <v>-0.66627564290185304</v>
      </c>
      <c r="W164" s="3">
        <f ca="1">IFERROR(__xludf.DUMMYFUNCTION("""COMPUTED_VALUE"""),-0.625422978852238)</f>
        <v>-0.62542297885223797</v>
      </c>
      <c r="X164" s="3">
        <f ca="1">IFERROR(__xludf.DUMMYFUNCTION("""COMPUTED_VALUE"""),-0.588011920629561)</f>
        <v>-0.58801192062956098</v>
      </c>
      <c r="Y164" s="3">
        <f ca="1">IFERROR(__xludf.DUMMYFUNCTION("""COMPUTED_VALUE"""),-0.508900509298561)</f>
        <v>-0.50890050929856101</v>
      </c>
      <c r="Z164" s="3">
        <f ca="1">IFERROR(__xludf.DUMMYFUNCTION("""COMPUTED_VALUE"""),-0.546944445447656)</f>
        <v>-0.54694444544765597</v>
      </c>
      <c r="AA164" s="3">
        <f ca="1">IFERROR(__xludf.DUMMYFUNCTION("""COMPUTED_VALUE"""),-0.610882571291921)</f>
        <v>-0.61088257129192103</v>
      </c>
      <c r="AB164" s="3">
        <f ca="1">IFERROR(__xludf.DUMMYFUNCTION("""COMPUTED_VALUE"""),-0.654254646298922)</f>
        <v>-0.65425464629892205</v>
      </c>
      <c r="AC164" s="3">
        <f ca="1">IFERROR(__xludf.DUMMYFUNCTION("""COMPUTED_VALUE"""),-0.614334792418113)</f>
        <v>-0.61433479241811295</v>
      </c>
      <c r="AD164" s="3">
        <f ca="1">IFERROR(__xludf.DUMMYFUNCTION("""COMPUTED_VALUE"""),-0.65109259964542)</f>
        <v>-0.65109259964541999</v>
      </c>
      <c r="AE164" s="3">
        <f ca="1">IFERROR(__xludf.DUMMYFUNCTION("""COMPUTED_VALUE"""),-0.620808235572348)</f>
        <v>-0.62080823557234799</v>
      </c>
      <c r="AF164" s="3">
        <f ca="1">IFERROR(__xludf.DUMMYFUNCTION("""COMPUTED_VALUE"""),-0.534131297123364)</f>
        <v>-0.53413129712336405</v>
      </c>
      <c r="AG164" s="3">
        <f ca="1">IFERROR(__xludf.DUMMYFUNCTION("""COMPUTED_VALUE"""),-0.549533859887655)</f>
        <v>-0.54953385988765502</v>
      </c>
      <c r="AH164" s="3">
        <f ca="1">IFERROR(__xludf.DUMMYFUNCTION("""COMPUTED_VALUE"""),-0.574779964416591)</f>
        <v>-0.57477996441659096</v>
      </c>
      <c r="AI164" s="3">
        <f ca="1">IFERROR(__xludf.DUMMYFUNCTION("""COMPUTED_VALUE"""),-0.606268967779606)</f>
        <v>-0.60626896777960604</v>
      </c>
      <c r="AJ164" s="3">
        <f ca="1">IFERROR(__xludf.DUMMYFUNCTION("""COMPUTED_VALUE"""),-0.592499693272039)</f>
        <v>-0.592499693272039</v>
      </c>
      <c r="AK164" s="3">
        <f ca="1">IFERROR(__xludf.DUMMYFUNCTION("""COMPUTED_VALUE"""),-0.625676008924529)</f>
        <v>-0.62567600892452901</v>
      </c>
      <c r="AL164" s="3">
        <f ca="1">IFERROR(__xludf.DUMMYFUNCTION("""COMPUTED_VALUE"""),-0.630272079120948)</f>
        <v>-0.63027207912094796</v>
      </c>
      <c r="AM164" s="3">
        <f ca="1">IFERROR(__xludf.DUMMYFUNCTION("""COMPUTED_VALUE"""),-0.536237355883988)</f>
        <v>-0.53623735588398802</v>
      </c>
      <c r="AN164" s="3">
        <f ca="1">IFERROR(__xludf.DUMMYFUNCTION("""COMPUTED_VALUE"""),-0.563371153141972)</f>
        <v>-0.56337115314197195</v>
      </c>
      <c r="AO164" s="3">
        <f ca="1">IFERROR(__xludf.DUMMYFUNCTION("""COMPUTED_VALUE"""),-0.600479988234361)</f>
        <v>-0.600479988234361</v>
      </c>
      <c r="AP164" s="3">
        <f ca="1">IFERROR(__xludf.DUMMYFUNCTION("""COMPUTED_VALUE"""),-0.638386288958005)</f>
        <v>-0.63838628895800498</v>
      </c>
      <c r="AQ164" s="3">
        <f ca="1">IFERROR(__xludf.DUMMYFUNCTION("""COMPUTED_VALUE"""),-0.635850310375301)</f>
        <v>-0.63585031037530104</v>
      </c>
      <c r="AR164" s="3">
        <f ca="1">IFERROR(__xludf.DUMMYFUNCTION("""COMPUTED_VALUE"""),-0.661315366270407)</f>
        <v>-0.66131536627040699</v>
      </c>
      <c r="AS164" s="3">
        <f ca="1">IFERROR(__xludf.DUMMYFUNCTION("""COMPUTED_VALUE"""),-0.636098631908761)</f>
        <v>-0.63609863190876104</v>
      </c>
      <c r="AT164" s="3">
        <f ca="1">IFERROR(__xludf.DUMMYFUNCTION("""COMPUTED_VALUE"""),-0.575940947370647)</f>
        <v>-0.57594094737064705</v>
      </c>
      <c r="AU164" s="3">
        <f ca="1">IFERROR(__xludf.DUMMYFUNCTION("""COMPUTED_VALUE"""),-0.536491626840542)</f>
        <v>-0.53649162684054197</v>
      </c>
      <c r="AV164" s="3">
        <f ca="1">IFERROR(__xludf.DUMMYFUNCTION("""COMPUTED_VALUE"""),-0.597205664957483)</f>
        <v>-0.59720566495748295</v>
      </c>
      <c r="AW164" s="3">
        <f ca="1">IFERROR(__xludf.DUMMYFUNCTION("""COMPUTED_VALUE"""),-0.575792581119467)</f>
        <v>-0.57579258111946696</v>
      </c>
      <c r="AX164" s="3">
        <f ca="1">IFERROR(__xludf.DUMMYFUNCTION("""COMPUTED_VALUE"""),-0.547851353795976)</f>
        <v>-0.54785135379597605</v>
      </c>
      <c r="AY164" s="3">
        <f ca="1">IFERROR(__xludf.DUMMYFUNCTION("""COMPUTED_VALUE"""),-0.598252410503304)</f>
        <v>-0.59825241050330402</v>
      </c>
      <c r="AZ164" s="3">
        <f ca="1">IFERROR(__xludf.DUMMYFUNCTION("""COMPUTED_VALUE"""),-0.620777650055792)</f>
        <v>-0.620777650055792</v>
      </c>
      <c r="BA164" s="3">
        <f ca="1">IFERROR(__xludf.DUMMYFUNCTION("""COMPUTED_VALUE"""),-0.541193182011534)</f>
        <v>-0.54119318201153399</v>
      </c>
      <c r="BB164" s="3">
        <f ca="1">IFERROR(__xludf.DUMMYFUNCTION("""COMPUTED_VALUE"""),-0.544146214595487)</f>
        <v>-0.54414621459548695</v>
      </c>
      <c r="BC164" s="3">
        <f ca="1">IFERROR(__xludf.DUMMYFUNCTION("""COMPUTED_VALUE"""),-0.636900716308739)</f>
        <v>-0.63690071630873901</v>
      </c>
      <c r="BD164" s="3">
        <f ca="1">IFERROR(__xludf.DUMMYFUNCTION("""COMPUTED_VALUE"""),-0.658267454998638)</f>
        <v>-0.65826745499863804</v>
      </c>
      <c r="BE164" s="3">
        <f ca="1">IFERROR(__xludf.DUMMYFUNCTION("""COMPUTED_VALUE"""),-0.580479484905312)</f>
        <v>-0.58047948490531198</v>
      </c>
      <c r="BF164" s="3">
        <f ca="1">IFERROR(__xludf.DUMMYFUNCTION("""COMPUTED_VALUE"""),-0.610009908457755)</f>
        <v>-0.61000990845775505</v>
      </c>
      <c r="BG164" s="3">
        <f ca="1">IFERROR(__xludf.DUMMYFUNCTION("""COMPUTED_VALUE"""),-0.549727781797218)</f>
        <v>-0.54972778179721804</v>
      </c>
      <c r="BH164" s="3">
        <f ca="1">IFERROR(__xludf.DUMMYFUNCTION("""COMPUTED_VALUE"""),-0.505040136038394)</f>
        <v>-0.50504013603839404</v>
      </c>
      <c r="BI164" s="3">
        <f ca="1">IFERROR(__xludf.DUMMYFUNCTION("""COMPUTED_VALUE"""),-0.515539010893699)</f>
        <v>-0.51553901089369902</v>
      </c>
      <c r="BJ164" s="3">
        <f ca="1">IFERROR(__xludf.DUMMYFUNCTION("""COMPUTED_VALUE"""),-0.615280393347361)</f>
        <v>-0.61528039334736095</v>
      </c>
      <c r="BK164" s="3">
        <f ca="1">IFERROR(__xludf.DUMMYFUNCTION("""COMPUTED_VALUE"""),-0.652565423142278)</f>
        <v>-0.65256542314227794</v>
      </c>
      <c r="BL164" s="3">
        <f ca="1">IFERROR(__xludf.DUMMYFUNCTION("""COMPUTED_VALUE"""),-0.640550489350633)</f>
        <v>-0.64055048935063297</v>
      </c>
      <c r="BM164" s="3">
        <f ca="1">IFERROR(__xludf.DUMMYFUNCTION("""COMPUTED_VALUE"""),-0.633785905711832)</f>
        <v>-0.63378590571183202</v>
      </c>
      <c r="BN164" s="3">
        <f ca="1">IFERROR(__xludf.DUMMYFUNCTION("""COMPUTED_VALUE"""),-0.612022289404952)</f>
        <v>-0.61202228940495196</v>
      </c>
      <c r="BO164" s="3">
        <f ca="1">IFERROR(__xludf.DUMMYFUNCTION("""COMPUTED_VALUE"""),-0.539482363219532)</f>
        <v>-0.53948236321953202</v>
      </c>
      <c r="BP164" s="3">
        <f ca="1">IFERROR(__xludf.DUMMYFUNCTION("""COMPUTED_VALUE"""),-0.540884350227417)</f>
        <v>-0.54088435022741699</v>
      </c>
      <c r="BQ164" s="3">
        <f ca="1">IFERROR(__xludf.DUMMYFUNCTION("""COMPUTED_VALUE"""),-0.622772585955237)</f>
        <v>-0.62277258595523699</v>
      </c>
      <c r="BR164" s="3">
        <f ca="1">IFERROR(__xludf.DUMMYFUNCTION("""COMPUTED_VALUE"""),-0.641657788580876)</f>
        <v>-0.64165778858087597</v>
      </c>
      <c r="BS164" s="3">
        <f ca="1">IFERROR(__xludf.DUMMYFUNCTION("""COMPUTED_VALUE"""),-0.65997013172671)</f>
        <v>-0.65997013172671004</v>
      </c>
      <c r="BT164" s="3">
        <f ca="1">IFERROR(__xludf.DUMMYFUNCTION("""COMPUTED_VALUE"""),-0.673327280505108)</f>
        <v>-0.67332728050510804</v>
      </c>
      <c r="BU164" s="3">
        <f ca="1">IFERROR(__xludf.DUMMYFUNCTION("""COMPUTED_VALUE"""),-0.657879927575499)</f>
        <v>-0.65787992757549896</v>
      </c>
      <c r="BV164" s="3">
        <f ca="1">IFERROR(__xludf.DUMMYFUNCTION("""COMPUTED_VALUE"""),-0.565913014637652)</f>
        <v>-0.56591301463765198</v>
      </c>
      <c r="BW164" s="3">
        <f ca="1">IFERROR(__xludf.DUMMYFUNCTION("""COMPUTED_VALUE"""),-0.563194923142578)</f>
        <v>-0.56319492314257802</v>
      </c>
      <c r="BX164" s="3">
        <f ca="1">IFERROR(__xludf.DUMMYFUNCTION("""COMPUTED_VALUE"""),-0.66031050128523)</f>
        <v>-0.66031050128522994</v>
      </c>
      <c r="BY164" s="3">
        <f ca="1">IFERROR(__xludf.DUMMYFUNCTION("""COMPUTED_VALUE"""),-0.673760275019076)</f>
        <v>-0.67376027501907598</v>
      </c>
      <c r="BZ164" s="3">
        <f ca="1">IFERROR(__xludf.DUMMYFUNCTION("""COMPUTED_VALUE"""),-0.655001096703728)</f>
        <v>-0.65500109670372797</v>
      </c>
      <c r="CA164" s="3">
        <f ca="1">IFERROR(__xludf.DUMMYFUNCTION("""COMPUTED_VALUE"""),-0.660794088408862)</f>
        <v>-0.660794088408862</v>
      </c>
      <c r="CB164" s="3">
        <f ca="1">IFERROR(__xludf.DUMMYFUNCTION("""COMPUTED_VALUE"""),-0.630220291821435)</f>
        <v>-0.63022029182143502</v>
      </c>
      <c r="CC164" s="3">
        <f ca="1">IFERROR(__xludf.DUMMYFUNCTION("""COMPUTED_VALUE"""),-0.606045306340365)</f>
        <v>-0.60604530634036502</v>
      </c>
      <c r="CD164" s="3">
        <f ca="1">IFERROR(__xludf.DUMMYFUNCTION("""COMPUTED_VALUE"""),-0.591556829269735)</f>
        <v>-0.59155682926973496</v>
      </c>
      <c r="CE164" s="3">
        <f ca="1">IFERROR(__xludf.DUMMYFUNCTION("""COMPUTED_VALUE"""),-0.620019648937734)</f>
        <v>-0.62001964893773398</v>
      </c>
      <c r="CF164" s="3">
        <f ca="1">IFERROR(__xludf.DUMMYFUNCTION("""COMPUTED_VALUE"""),-0.663535528401721)</f>
        <v>-0.66353552840172103</v>
      </c>
      <c r="CG164" s="3">
        <f ca="1">IFERROR(__xludf.DUMMYFUNCTION("""COMPUTED_VALUE"""),-0.737228778783451)</f>
        <v>-0.73722877878345106</v>
      </c>
      <c r="CH164" s="3">
        <f ca="1">IFERROR(__xludf.DUMMYFUNCTION("""COMPUTED_VALUE"""),-0.675950669141814)</f>
        <v>-0.67595066914181401</v>
      </c>
      <c r="CI164" s="3">
        <f ca="1">IFERROR(__xludf.DUMMYFUNCTION("""COMPUTED_VALUE"""),-0.627482970349704)</f>
        <v>-0.62748297034970402</v>
      </c>
      <c r="CJ164" s="3">
        <f ca="1">IFERROR(__xludf.DUMMYFUNCTION("""COMPUTED_VALUE"""),-0.615135056944037)</f>
        <v>-0.61513505694403703</v>
      </c>
      <c r="CK164" s="3">
        <f ca="1">IFERROR(__xludf.DUMMYFUNCTION("""COMPUTED_VALUE"""),-0.573874325958739)</f>
        <v>-0.573874325958739</v>
      </c>
      <c r="CL164" s="3">
        <f ca="1">IFERROR(__xludf.DUMMYFUNCTION("""COMPUTED_VALUE"""),-0.620639387548199)</f>
        <v>-0.62063938754819903</v>
      </c>
      <c r="CM164" s="3">
        <f ca="1">IFERROR(__xludf.DUMMYFUNCTION("""COMPUTED_VALUE"""),-0.662741297204267)</f>
        <v>-0.662741297204267</v>
      </c>
      <c r="CN164" s="3">
        <f ca="1">IFERROR(__xludf.DUMMYFUNCTION("""COMPUTED_VALUE"""),-0.643032147996043)</f>
        <v>-0.64303214799604302</v>
      </c>
      <c r="CO164" s="3">
        <f ca="1">IFERROR(__xludf.DUMMYFUNCTION("""COMPUTED_VALUE"""),-0.664340395905164)</f>
        <v>-0.66434039590516403</v>
      </c>
      <c r="CP164" s="3">
        <f ca="1">IFERROR(__xludf.DUMMYFUNCTION("""COMPUTED_VALUE"""),-0.629450636446833)</f>
        <v>-0.62945063644683297</v>
      </c>
      <c r="CQ164" s="3">
        <f ca="1">IFERROR(__xludf.DUMMYFUNCTION("""COMPUTED_VALUE"""),-0.605215117489639)</f>
        <v>-0.60521511748963897</v>
      </c>
      <c r="CR164" s="3">
        <f ca="1">IFERROR(__xludf.DUMMYFUNCTION("""COMPUTED_VALUE"""),-0.576907193671863)</f>
        <v>-0.57690719367186305</v>
      </c>
      <c r="CS164" s="3">
        <f ca="1">IFERROR(__xludf.DUMMYFUNCTION("""COMPUTED_VALUE"""),-0.634732218237612)</f>
        <v>-0.63473221823761194</v>
      </c>
      <c r="CT164" s="3">
        <f ca="1">IFERROR(__xludf.DUMMYFUNCTION("""COMPUTED_VALUE"""),-0.657858611874543)</f>
        <v>-0.65785861187454298</v>
      </c>
      <c r="CU164" s="3">
        <f ca="1">IFERROR(__xludf.DUMMYFUNCTION("""COMPUTED_VALUE"""),-0.641277872339323)</f>
        <v>-0.64127787233932299</v>
      </c>
      <c r="CV164" s="3">
        <f ca="1">IFERROR(__xludf.DUMMYFUNCTION("""COMPUTED_VALUE"""),-0.62915262753284)</f>
        <v>-0.62915262753283996</v>
      </c>
      <c r="CW164" s="3">
        <f ca="1">IFERROR(__xludf.DUMMYFUNCTION("""COMPUTED_VALUE"""),-0.626617350664939)</f>
        <v>-0.62661735066493895</v>
      </c>
      <c r="CX164" s="3">
        <f ca="1">IFERROR(__xludf.DUMMYFUNCTION("""COMPUTED_VALUE"""),-0.578537843904785)</f>
        <v>-0.57853784390478502</v>
      </c>
      <c r="CY164" s="3">
        <f ca="1">IFERROR(__xludf.DUMMYFUNCTION("""COMPUTED_VALUE"""),-0.501680616406198)</f>
        <v>-0.50168061640619799</v>
      </c>
      <c r="CZ164" s="3">
        <f ca="1">IFERROR(__xludf.DUMMYFUNCTION("""COMPUTED_VALUE"""),-0.676993131356789)</f>
        <v>-0.67699313135678896</v>
      </c>
      <c r="DA164" s="3">
        <f ca="1">IFERROR(__xludf.DUMMYFUNCTION("""COMPUTED_VALUE"""),-0.521087961138151)</f>
        <v>-0.52108796113815103</v>
      </c>
      <c r="DB164" s="3">
        <f ca="1">IFERROR(__xludf.DUMMYFUNCTION("""COMPUTED_VALUE"""),-0.412884513354311)</f>
        <v>-0.41288451335431098</v>
      </c>
      <c r="DC164" s="3">
        <f ca="1">IFERROR(__xludf.DUMMYFUNCTION("""COMPUTED_VALUE"""),-0.5473564660898)</f>
        <v>-0.54735646608980004</v>
      </c>
      <c r="DD164" s="3">
        <f ca="1">IFERROR(__xludf.DUMMYFUNCTION("""COMPUTED_VALUE"""),-0.554549255146896)</f>
        <v>-0.55454925514689601</v>
      </c>
      <c r="DE164" s="3">
        <f ca="1">IFERROR(__xludf.DUMMYFUNCTION("""COMPUTED_VALUE"""),-0.545245154041959)</f>
        <v>-0.54524515404195895</v>
      </c>
      <c r="DF164" s="3">
        <f ca="1">IFERROR(__xludf.DUMMYFUNCTION("""COMPUTED_VALUE"""),-0.610790139015132)</f>
        <v>-0.61079013901513202</v>
      </c>
      <c r="DG164" s="3">
        <f ca="1">IFERROR(__xludf.DUMMYFUNCTION("""COMPUTED_VALUE"""),-0.791829676060275)</f>
        <v>-0.79182967606027499</v>
      </c>
      <c r="DH164" s="3">
        <f ca="1">IFERROR(__xludf.DUMMYFUNCTION("""COMPUTED_VALUE"""),-0.57776422789664)</f>
        <v>-0.57776422789663995</v>
      </c>
      <c r="DI164" s="3">
        <f ca="1">IFERROR(__xludf.DUMMYFUNCTION("""COMPUTED_VALUE"""),-0.39707207317579)</f>
        <v>-0.39707207317579002</v>
      </c>
      <c r="DJ164" s="3">
        <f ca="1">IFERROR(__xludf.DUMMYFUNCTION("""COMPUTED_VALUE"""),-0.514081955540307)</f>
        <v>-0.514081955540307</v>
      </c>
      <c r="DK164" s="3">
        <f ca="1">IFERROR(__xludf.DUMMYFUNCTION("""COMPUTED_VALUE"""),-0.526702731181172)</f>
        <v>-0.52670273118117195</v>
      </c>
      <c r="DL164" s="3">
        <f ca="1">IFERROR(__xludf.DUMMYFUNCTION("""COMPUTED_VALUE"""),-0.491683358324738)</f>
        <v>-0.49168335832473797</v>
      </c>
      <c r="DM164" s="3">
        <f ca="1">IFERROR(__xludf.DUMMYFUNCTION("""COMPUTED_VALUE"""),-0.510204552298194)</f>
        <v>-0.51020455229819395</v>
      </c>
      <c r="DN164" s="3">
        <f ca="1">IFERROR(__xludf.DUMMYFUNCTION("""COMPUTED_VALUE"""),-0.553128470566363)</f>
        <v>-0.55312847056636305</v>
      </c>
      <c r="DO164" s="3">
        <f ca="1">IFERROR(__xludf.DUMMYFUNCTION("""COMPUTED_VALUE"""),-0.564328042720895)</f>
        <v>-0.56432804272089498</v>
      </c>
      <c r="DP164" s="3">
        <f ca="1">IFERROR(__xludf.DUMMYFUNCTION("""COMPUTED_VALUE"""),-0.533817151567946)</f>
        <v>-0.53381715156794596</v>
      </c>
      <c r="DQ164" s="3">
        <f ca="1">IFERROR(__xludf.DUMMYFUNCTION("""COMPUTED_VALUE"""),-0.566590417296078)</f>
        <v>-0.56659041729607795</v>
      </c>
      <c r="DR164" s="3">
        <f ca="1">IFERROR(__xludf.DUMMYFUNCTION("""COMPUTED_VALUE"""),-0.604513950313028)</f>
        <v>-0.60451395031302801</v>
      </c>
      <c r="DS164" s="3">
        <f ca="1">IFERROR(__xludf.DUMMYFUNCTION("""COMPUTED_VALUE"""),-0.45563929632598)</f>
        <v>-0.45563929632597999</v>
      </c>
      <c r="DT164" s="3">
        <f ca="1">IFERROR(__xludf.DUMMYFUNCTION("""COMPUTED_VALUE"""),-0.473946043762048)</f>
        <v>-0.47394604376204802</v>
      </c>
      <c r="DU164" s="3">
        <f ca="1">IFERROR(__xludf.DUMMYFUNCTION("""COMPUTED_VALUE"""),-0.574108936142099)</f>
        <v>-0.57410893614209901</v>
      </c>
      <c r="DV164" s="3">
        <f ca="1">IFERROR(__xludf.DUMMYFUNCTION("""COMPUTED_VALUE"""),-0.652090303523052)</f>
        <v>-0.65209030352305197</v>
      </c>
      <c r="DW164" s="3">
        <f ca="1">IFERROR(__xludf.DUMMYFUNCTION("""COMPUTED_VALUE"""),-0.649874006366477)</f>
        <v>-0.64987400636647696</v>
      </c>
      <c r="DX164" s="3">
        <f ca="1">IFERROR(__xludf.DUMMYFUNCTION("""COMPUTED_VALUE"""),-0.654494891783692)</f>
        <v>-0.65449489178369202</v>
      </c>
      <c r="DY164" s="3">
        <f ca="1">IFERROR(__xludf.DUMMYFUNCTION("""COMPUTED_VALUE"""),-0.625147468355479)</f>
        <v>-0.62514746835547896</v>
      </c>
      <c r="DZ164" s="3">
        <f ca="1">IFERROR(__xludf.DUMMYFUNCTION("""COMPUTED_VALUE"""),-0.509511166356766)</f>
        <v>-0.50951116635676597</v>
      </c>
      <c r="EA164" s="3">
        <f ca="1">IFERROR(__xludf.DUMMYFUNCTION("""COMPUTED_VALUE"""),-0.497974557593575)</f>
        <v>-0.49797455759357501</v>
      </c>
      <c r="EB164" s="3">
        <f ca="1">IFERROR(__xludf.DUMMYFUNCTION("""COMPUTED_VALUE"""),-0.562540465452678)</f>
        <v>-0.562540465452678</v>
      </c>
      <c r="EC164" s="3">
        <f ca="1">IFERROR(__xludf.DUMMYFUNCTION("""COMPUTED_VALUE"""),-0.558067558817423)</f>
        <v>-0.55806755881742298</v>
      </c>
      <c r="ED164" s="3">
        <f ca="1">IFERROR(__xludf.DUMMYFUNCTION("""COMPUTED_VALUE"""),-0.616307326371687)</f>
        <v>-0.61630732637168695</v>
      </c>
      <c r="EE164" s="3">
        <f ca="1">IFERROR(__xludf.DUMMYFUNCTION("""COMPUTED_VALUE"""),-0.66254506673744)</f>
        <v>-0.66254506673743996</v>
      </c>
      <c r="EF164" s="3">
        <f ca="1">IFERROR(__xludf.DUMMYFUNCTION("""COMPUTED_VALUE"""),-0.6197125225158)</f>
        <v>-0.6197125225158</v>
      </c>
      <c r="EG164" s="3">
        <f ca="1">IFERROR(__xludf.DUMMYFUNCTION("""COMPUTED_VALUE"""),-0.451305740326762)</f>
        <v>-0.45130574032676202</v>
      </c>
      <c r="EH164" s="3">
        <f ca="1">IFERROR(__xludf.DUMMYFUNCTION("""COMPUTED_VALUE"""),-0.479241673720071)</f>
        <v>-0.47924167372007098</v>
      </c>
      <c r="EI164" s="3">
        <f ca="1">IFERROR(__xludf.DUMMYFUNCTION("""COMPUTED_VALUE"""),-0.607544343580265)</f>
        <v>-0.60754434358026499</v>
      </c>
      <c r="EJ164" s="3">
        <f ca="1">IFERROR(__xludf.DUMMYFUNCTION("""COMPUTED_VALUE"""),-0.703516015499043)</f>
        <v>-0.70351601549904297</v>
      </c>
      <c r="EK164" s="3">
        <f ca="1">IFERROR(__xludf.DUMMYFUNCTION("""COMPUTED_VALUE"""),-0.558899803370086)</f>
        <v>-0.55889980337008605</v>
      </c>
      <c r="EL164" s="3">
        <f ca="1">IFERROR(__xludf.DUMMYFUNCTION("""COMPUTED_VALUE"""),-0.586380508031975)</f>
        <v>-0.58638050803197495</v>
      </c>
      <c r="EM164" s="3">
        <f ca="1">IFERROR(__xludf.DUMMYFUNCTION("""COMPUTED_VALUE"""),-0.578084201219293)</f>
        <v>-0.57808420121929305</v>
      </c>
      <c r="EN164" s="3">
        <f ca="1">IFERROR(__xludf.DUMMYFUNCTION("""COMPUTED_VALUE"""),-0.4719353131355)</f>
        <v>-0.47193531313550002</v>
      </c>
      <c r="EO164" s="3">
        <f ca="1">IFERROR(__xludf.DUMMYFUNCTION("""COMPUTED_VALUE"""),-0.467789334905755)</f>
        <v>-0.46778933490575503</v>
      </c>
      <c r="EP164" s="3">
        <f ca="1">IFERROR(__xludf.DUMMYFUNCTION("""COMPUTED_VALUE"""),-0.507245932313437)</f>
        <v>-0.50724593231343695</v>
      </c>
      <c r="EQ164" s="3">
        <f ca="1">IFERROR(__xludf.DUMMYFUNCTION("""COMPUTED_VALUE"""),-0.53911871169782)</f>
        <v>-0.53911871169782</v>
      </c>
      <c r="ER164" s="3">
        <f ca="1">IFERROR(__xludf.DUMMYFUNCTION("""COMPUTED_VALUE"""),-0.594883112228559)</f>
        <v>-0.59488311222855905</v>
      </c>
      <c r="ES164" s="3">
        <f ca="1">IFERROR(__xludf.DUMMYFUNCTION("""COMPUTED_VALUE"""),-0.607539126760484)</f>
        <v>-0.60753912676048405</v>
      </c>
      <c r="ET164" s="3">
        <f ca="1">IFERROR(__xludf.DUMMYFUNCTION("""COMPUTED_VALUE"""),-0.580951682628902)</f>
        <v>-0.58095168262890196</v>
      </c>
      <c r="EU164" s="3">
        <f ca="1">IFERROR(__xludf.DUMMYFUNCTION("""COMPUTED_VALUE"""),-0.467029966884198)</f>
        <v>-0.46702996688419801</v>
      </c>
      <c r="EV164" s="3">
        <f ca="1">IFERROR(__xludf.DUMMYFUNCTION("""COMPUTED_VALUE"""),-0.462199016031513)</f>
        <v>-0.46219901603151298</v>
      </c>
      <c r="EW164" s="3">
        <f ca="1">IFERROR(__xludf.DUMMYFUNCTION("""COMPUTED_VALUE"""),-0.56733639322026)</f>
        <v>-0.56733639322025997</v>
      </c>
      <c r="EX164" s="3">
        <f ca="1">IFERROR(__xludf.DUMMYFUNCTION("""COMPUTED_VALUE"""),-0.627459505614643)</f>
        <v>-0.62745950561464303</v>
      </c>
      <c r="EY164" s="3">
        <f ca="1">IFERROR(__xludf.DUMMYFUNCTION("""COMPUTED_VALUE"""),-0.614875620391538)</f>
        <v>-0.61487562039153798</v>
      </c>
      <c r="EZ164" s="3">
        <f ca="1">IFERROR(__xludf.DUMMYFUNCTION("""COMPUTED_VALUE"""),-0.58976091877244)</f>
        <v>-0.58976091877243997</v>
      </c>
      <c r="FA164" s="3">
        <f ca="1">IFERROR(__xludf.DUMMYFUNCTION("""COMPUTED_VALUE"""),-0.571009368794966)</f>
        <v>-0.571009368794966</v>
      </c>
      <c r="FB164" s="3">
        <f ca="1">IFERROR(__xludf.DUMMYFUNCTION("""COMPUTED_VALUE"""),-0.459907588822006)</f>
        <v>-0.459907588822006</v>
      </c>
      <c r="FC164" s="3">
        <f ca="1">IFERROR(__xludf.DUMMYFUNCTION("""COMPUTED_VALUE"""),-0.489782656335843)</f>
        <v>-0.489782656335843</v>
      </c>
      <c r="FD164" s="3">
        <f ca="1">IFERROR(__xludf.DUMMYFUNCTION("""COMPUTED_VALUE"""),-0.579778921517609)</f>
        <v>-0.57977892151760901</v>
      </c>
      <c r="FE164" s="3">
        <f ca="1">IFERROR(__xludf.DUMMYFUNCTION("""COMPUTED_VALUE"""),-0.618054017968144)</f>
        <v>-0.61805401796814396</v>
      </c>
      <c r="FF164" s="3">
        <f ca="1">IFERROR(__xludf.DUMMYFUNCTION("""COMPUTED_VALUE"""),-0.624169370174351)</f>
        <v>-0.62416937017435103</v>
      </c>
      <c r="FG164" s="3">
        <f ca="1">IFERROR(__xludf.DUMMYFUNCTION("""COMPUTED_VALUE"""),-0.557989466813705)</f>
        <v>-0.55798946681370498</v>
      </c>
      <c r="FH164" s="3">
        <f ca="1">IFERROR(__xludf.DUMMYFUNCTION("""COMPUTED_VALUE"""),-0.574634725126405)</f>
        <v>-0.57463472512640501</v>
      </c>
      <c r="FI164" s="3">
        <f ca="1">IFERROR(__xludf.DUMMYFUNCTION("""COMPUTED_VALUE"""),-0.513195722865099)</f>
        <v>-0.51319572286509896</v>
      </c>
      <c r="FJ164" s="3">
        <f ca="1">IFERROR(__xludf.DUMMYFUNCTION("""COMPUTED_VALUE"""),-0.522184945801866)</f>
        <v>-0.52218494580186603</v>
      </c>
      <c r="FK164" s="3">
        <f ca="1">IFERROR(__xludf.DUMMYFUNCTION("""COMPUTED_VALUE"""),-0.633955087003517)</f>
        <v>-0.63395508700351699</v>
      </c>
      <c r="FL164" s="3">
        <f ca="1">IFERROR(__xludf.DUMMYFUNCTION("""COMPUTED_VALUE"""),-0.681927134240575)</f>
        <v>-0.68192713424057505</v>
      </c>
      <c r="FM164" s="3">
        <f ca="1">IFERROR(__xludf.DUMMYFUNCTION("""COMPUTED_VALUE"""),-0.603943552437919)</f>
        <v>-0.60394355243791897</v>
      </c>
      <c r="FN164" s="3">
        <f ca="1">IFERROR(__xludf.DUMMYFUNCTION("""COMPUTED_VALUE"""),-0.63092246196)</f>
        <v>-0.63092246196000001</v>
      </c>
      <c r="FO164" s="3">
        <f ca="1">IFERROR(__xludf.DUMMYFUNCTION("""COMPUTED_VALUE"""),-0.573071641259644)</f>
        <v>-0.57307164125964405</v>
      </c>
      <c r="FP164" s="3">
        <f ca="1">IFERROR(__xludf.DUMMYFUNCTION("""COMPUTED_VALUE"""),-0.513833192183651)</f>
        <v>-0.51383319218365098</v>
      </c>
      <c r="FQ164" s="3">
        <f ca="1">IFERROR(__xludf.DUMMYFUNCTION("""COMPUTED_VALUE"""),-0.479029974764861)</f>
        <v>-0.47902997476486098</v>
      </c>
      <c r="FR164" s="3">
        <f ca="1">IFERROR(__xludf.DUMMYFUNCTION("""COMPUTED_VALUE"""),-0.600665514647512)</f>
        <v>-0.60066551464751206</v>
      </c>
      <c r="FS164" s="3">
        <f ca="1">IFERROR(__xludf.DUMMYFUNCTION("""COMPUTED_VALUE"""),-0.617925801340854)</f>
        <v>-0.61792580134085395</v>
      </c>
      <c r="FT164" s="3">
        <f ca="1">IFERROR(__xludf.DUMMYFUNCTION("""COMPUTED_VALUE"""),-0.608602024808649)</f>
        <v>-0.608602024808649</v>
      </c>
      <c r="FU164" s="3">
        <f ca="1">IFERROR(__xludf.DUMMYFUNCTION("""COMPUTED_VALUE"""),-0.621964688258585)</f>
        <v>-0.62196468825858497</v>
      </c>
      <c r="FV164" s="3">
        <f ca="1">IFERROR(__xludf.DUMMYFUNCTION("""COMPUTED_VALUE"""),-0.575694017411283)</f>
        <v>-0.57569401741128301</v>
      </c>
      <c r="FW164" s="3">
        <f ca="1">IFERROR(__xludf.DUMMYFUNCTION("""COMPUTED_VALUE"""),-0.466542795264333)</f>
        <v>-0.46654279526433301</v>
      </c>
      <c r="FX164" s="3">
        <f ca="1">IFERROR(__xludf.DUMMYFUNCTION("""COMPUTED_VALUE"""),-0.481468217887716)</f>
        <v>-0.48146821788771599</v>
      </c>
      <c r="FY164" s="3">
        <f ca="1">IFERROR(__xludf.DUMMYFUNCTION("""COMPUTED_VALUE"""),-0.61596159224869)</f>
        <v>-0.61596159224868996</v>
      </c>
      <c r="FZ164" s="3">
        <f ca="1">IFERROR(__xludf.DUMMYFUNCTION("""COMPUTED_VALUE"""),-0.614313721025475)</f>
        <v>-0.61431372102547499</v>
      </c>
      <c r="GA164" s="3">
        <f ca="1">IFERROR(__xludf.DUMMYFUNCTION("""COMPUTED_VALUE"""),-0.607212885358089)</f>
        <v>-0.60721288535808904</v>
      </c>
      <c r="GB164" s="3">
        <f ca="1">IFERROR(__xludf.DUMMYFUNCTION("""COMPUTED_VALUE"""),-0.59987397019728)</f>
        <v>-0.59987397019727995</v>
      </c>
      <c r="GC164" s="3">
        <f ca="1">IFERROR(__xludf.DUMMYFUNCTION("""COMPUTED_VALUE"""),-0.569422987192538)</f>
        <v>-0.56942298719253803</v>
      </c>
      <c r="GD164" s="3">
        <f ca="1">IFERROR(__xludf.DUMMYFUNCTION("""COMPUTED_VALUE"""),-0.497815049208375)</f>
        <v>-0.49781504920837499</v>
      </c>
      <c r="GE164" s="3">
        <f ca="1">IFERROR(__xludf.DUMMYFUNCTION("""COMPUTED_VALUE"""),-0.520373424266534)</f>
        <v>-0.52037342426653399</v>
      </c>
      <c r="GF164" s="3">
        <f ca="1">IFERROR(__xludf.DUMMYFUNCTION("""COMPUTED_VALUE"""),-0.568473630939385)</f>
        <v>-0.56847363093938497</v>
      </c>
      <c r="GG164" s="3">
        <f ca="1">IFERROR(__xludf.DUMMYFUNCTION("""COMPUTED_VALUE"""),-0.614742303119114)</f>
        <v>-0.61474230311911404</v>
      </c>
      <c r="GH164" s="3">
        <f ca="1">IFERROR(__xludf.DUMMYFUNCTION("""COMPUTED_VALUE"""),-0.60819449190698)</f>
        <v>-0.60819449190698005</v>
      </c>
      <c r="GI164" s="3">
        <f ca="1">IFERROR(__xludf.DUMMYFUNCTION("""COMPUTED_VALUE"""),-0.628467483206231)</f>
        <v>-0.62846748320623103</v>
      </c>
      <c r="GJ164" s="3">
        <f ca="1">IFERROR(__xludf.DUMMYFUNCTION("""COMPUTED_VALUE"""),-0.606154887174025)</f>
        <v>-0.60615488717402499</v>
      </c>
      <c r="GK164" s="3">
        <f ca="1">IFERROR(__xludf.DUMMYFUNCTION("""COMPUTED_VALUE"""),-0.529596859190566)</f>
        <v>-0.52959685919056598</v>
      </c>
      <c r="GL164" s="3">
        <f ca="1">IFERROR(__xludf.DUMMYFUNCTION("""COMPUTED_VALUE"""),-0.49989128686174)</f>
        <v>-0.49989128686174</v>
      </c>
      <c r="GM164" s="3">
        <f ca="1">IFERROR(__xludf.DUMMYFUNCTION("""COMPUTED_VALUE"""),-0.592128998993756)</f>
        <v>-0.59212899899375604</v>
      </c>
      <c r="GN164" s="3">
        <f ca="1">IFERROR(__xludf.DUMMYFUNCTION("""COMPUTED_VALUE"""),-0.602577493320559)</f>
        <v>-0.60257749332055899</v>
      </c>
      <c r="GO164" s="3">
        <f ca="1">IFERROR(__xludf.DUMMYFUNCTION("""COMPUTED_VALUE"""),-0.6312037046695)</f>
        <v>-0.63120370466950004</v>
      </c>
      <c r="GP164" s="3">
        <f ca="1">IFERROR(__xludf.DUMMYFUNCTION("""COMPUTED_VALUE"""),-0.644230619410815)</f>
        <v>-0.64423061941081505</v>
      </c>
      <c r="GQ164" s="3">
        <f ca="1">IFERROR(__xludf.DUMMYFUNCTION("""COMPUTED_VALUE"""),-0.619952488078494)</f>
        <v>-0.61995248807849401</v>
      </c>
      <c r="GR164" s="3">
        <f ca="1">IFERROR(__xludf.DUMMYFUNCTION("""COMPUTED_VALUE"""),-0.567198250045008)</f>
        <v>-0.56719825004500801</v>
      </c>
      <c r="GS164" s="3">
        <f ca="1">IFERROR(__xludf.DUMMYFUNCTION("""COMPUTED_VALUE"""),-0.584957035419291)</f>
        <v>-0.584957035419291</v>
      </c>
      <c r="GT164" s="3">
        <f ca="1">IFERROR(__xludf.DUMMYFUNCTION("""COMPUTED_VALUE"""),-0.63371668490249)</f>
        <v>-0.63371668490249</v>
      </c>
      <c r="GU164" s="3">
        <f ca="1">IFERROR(__xludf.DUMMYFUNCTION("""COMPUTED_VALUE"""),-0.635641782831913)</f>
        <v>-0.63564178283191297</v>
      </c>
      <c r="GV164" s="3">
        <f ca="1">IFERROR(__xludf.DUMMYFUNCTION("""COMPUTED_VALUE"""),-0.588939477462778)</f>
        <v>-0.58893947746277797</v>
      </c>
      <c r="GW164" s="3">
        <f ca="1">IFERROR(__xludf.DUMMYFUNCTION("""COMPUTED_VALUE"""),-0.443261635037164)</f>
        <v>-0.44326163503716398</v>
      </c>
      <c r="GX164" s="3">
        <f ca="1">IFERROR(__xludf.DUMMYFUNCTION("""COMPUTED_VALUE"""),-0.628190198815718)</f>
        <v>-0.62819019881571803</v>
      </c>
      <c r="GY164" s="3">
        <f ca="1">IFERROR(__xludf.DUMMYFUNCTION("""COMPUTED_VALUE"""),-0.592010288880709)</f>
        <v>-0.59201028888070895</v>
      </c>
      <c r="GZ164" s="3">
        <f ca="1">IFERROR(__xludf.DUMMYFUNCTION("""COMPUTED_VALUE"""),-0.551897669116248)</f>
        <v>-0.55189766911624805</v>
      </c>
      <c r="HA164" s="3">
        <f ca="1">IFERROR(__xludf.DUMMYFUNCTION("""COMPUTED_VALUE"""),-0.628605772795884)</f>
        <v>-0.62860577279588403</v>
      </c>
      <c r="HB164" s="3">
        <f ca="1">IFERROR(__xludf.DUMMYFUNCTION("""COMPUTED_VALUE"""),-0.664756688513315)</f>
        <v>-0.66475668851331504</v>
      </c>
      <c r="HC164" s="3">
        <f ca="1">IFERROR(__xludf.DUMMYFUNCTION("""COMPUTED_VALUE"""),-0.659849053837729)</f>
        <v>-0.65984905383772896</v>
      </c>
      <c r="HD164" s="3">
        <f ca="1">IFERROR(__xludf.DUMMYFUNCTION("""COMPUTED_VALUE"""),-0.649999706966486)</f>
        <v>-0.64999970696648601</v>
      </c>
      <c r="HE164" s="3">
        <f ca="1">IFERROR(__xludf.DUMMYFUNCTION("""COMPUTED_VALUE"""),-0.631388141564799)</f>
        <v>-0.63138814156479905</v>
      </c>
      <c r="HF164" s="3">
        <f ca="1">IFERROR(__xludf.DUMMYFUNCTION("""COMPUTED_VALUE"""),-0.554875671381149)</f>
        <v>-0.55487567138114902</v>
      </c>
      <c r="HG164" s="3">
        <f ca="1">IFERROR(__xludf.DUMMYFUNCTION("""COMPUTED_VALUE"""),-0.573653059134486)</f>
        <v>-0.57365305913448605</v>
      </c>
      <c r="HH164" s="3">
        <f ca="1">IFERROR(__xludf.DUMMYFUNCTION("""COMPUTED_VALUE"""),-0.609069921093146)</f>
        <v>-0.60906992109314595</v>
      </c>
      <c r="HI164" s="3">
        <f ca="1">IFERROR(__xludf.DUMMYFUNCTION("""COMPUTED_VALUE"""),-0.64781925697612)</f>
        <v>-0.64781925697611997</v>
      </c>
      <c r="HJ164" s="3">
        <f ca="1">IFERROR(__xludf.DUMMYFUNCTION("""COMPUTED_VALUE"""),-0.663689677508307)</f>
        <v>-0.66368967750830699</v>
      </c>
      <c r="HK164" s="3">
        <f ca="1">IFERROR(__xludf.DUMMYFUNCTION("""COMPUTED_VALUE"""),-0.634216830424252)</f>
        <v>-0.63421683042425203</v>
      </c>
      <c r="HL164" s="3">
        <f ca="1">IFERROR(__xludf.DUMMYFUNCTION("""COMPUTED_VALUE"""),-0.572530251407113)</f>
        <v>-0.572530251407113</v>
      </c>
      <c r="HM164" s="3">
        <f ca="1">IFERROR(__xludf.DUMMYFUNCTION("""COMPUTED_VALUE"""),-0.532813297086019)</f>
        <v>-0.53281329708601899</v>
      </c>
      <c r="HN164" s="3">
        <f ca="1">IFERROR(__xludf.DUMMYFUNCTION("""COMPUTED_VALUE"""),-0.549533719171811)</f>
        <v>-0.54953371917181104</v>
      </c>
      <c r="HO164" s="3">
        <f ca="1">IFERROR(__xludf.DUMMYFUNCTION("""COMPUTED_VALUE"""),-0.602337781404859)</f>
        <v>-0.60233778140485905</v>
      </c>
      <c r="HP164" s="3">
        <f ca="1">IFERROR(__xludf.DUMMYFUNCTION("""COMPUTED_VALUE"""),-0.653066839931415)</f>
        <v>-0.65306683993141501</v>
      </c>
      <c r="HQ164" s="3">
        <f ca="1">IFERROR(__xludf.DUMMYFUNCTION("""COMPUTED_VALUE"""),-0.657011065983456)</f>
        <v>-0.65701106598345604</v>
      </c>
      <c r="HR164" s="3">
        <f ca="1">IFERROR(__xludf.DUMMYFUNCTION("""COMPUTED_VALUE"""),-0.639318442323216)</f>
        <v>-0.639318442323216</v>
      </c>
      <c r="HS164" s="3">
        <f ca="1">IFERROR(__xludf.DUMMYFUNCTION("""COMPUTED_VALUE"""),-0.615302508202065)</f>
        <v>-0.615302508202065</v>
      </c>
      <c r="HT164" s="3">
        <f ca="1">IFERROR(__xludf.DUMMYFUNCTION("""COMPUTED_VALUE"""),-0.535851319225698)</f>
        <v>-0.53585131922569795</v>
      </c>
      <c r="HU164" s="3">
        <f ca="1">IFERROR(__xludf.DUMMYFUNCTION("""COMPUTED_VALUE"""),-0.53140168035994)</f>
        <v>-0.53140168035993995</v>
      </c>
      <c r="HV164" s="3">
        <f ca="1">IFERROR(__xludf.DUMMYFUNCTION("""COMPUTED_VALUE"""),-0.524010072654159)</f>
        <v>-0.524010072654159</v>
      </c>
      <c r="HW164" s="3">
        <f ca="1">IFERROR(__xludf.DUMMYFUNCTION("""COMPUTED_VALUE"""),-0.588419701298581)</f>
        <v>-0.58841970129858101</v>
      </c>
      <c r="HX164" s="3">
        <f ca="1">IFERROR(__xludf.DUMMYFUNCTION("""COMPUTED_VALUE"""),-0.608769521076602)</f>
        <v>-0.60876952107660198</v>
      </c>
      <c r="HY164" s="3">
        <f ca="1">IFERROR(__xludf.DUMMYFUNCTION("""COMPUTED_VALUE"""),-0.558318324677107)</f>
        <v>-0.55831832467710696</v>
      </c>
      <c r="HZ164" s="3">
        <f ca="1">IFERROR(__xludf.DUMMYFUNCTION("""COMPUTED_VALUE"""),-0.538872246463339)</f>
        <v>-0.53887224646333898</v>
      </c>
      <c r="IA164" s="3">
        <f ca="1">IFERROR(__xludf.DUMMYFUNCTION("""COMPUTED_VALUE"""),-0.519322327352099)</f>
        <v>-0.51932232735209904</v>
      </c>
      <c r="IB164" s="3">
        <f ca="1">IFERROR(__xludf.DUMMYFUNCTION("""COMPUTED_VALUE"""),-0.514532242675745)</f>
        <v>-0.51453224267574504</v>
      </c>
      <c r="IC164" s="3">
        <f ca="1">IFERROR(__xludf.DUMMYFUNCTION("""COMPUTED_VALUE"""),-0.544856697080964)</f>
        <v>-0.54485669708096396</v>
      </c>
      <c r="ID164" s="3">
        <f ca="1">IFERROR(__xludf.DUMMYFUNCTION("""COMPUTED_VALUE"""),-0.578297525958233)</f>
        <v>-0.57829752595823303</v>
      </c>
      <c r="IE164" s="3">
        <f ca="1">IFERROR(__xludf.DUMMYFUNCTION("""COMPUTED_VALUE"""),-0.585367234767668)</f>
        <v>-0.58536723476766805</v>
      </c>
      <c r="IF164" s="3">
        <f ca="1">IFERROR(__xludf.DUMMYFUNCTION("""COMPUTED_VALUE"""),-0.538597729020857)</f>
        <v>-0.53859772902085701</v>
      </c>
      <c r="IG164" s="3">
        <f ca="1">IFERROR(__xludf.DUMMYFUNCTION("""COMPUTED_VALUE"""),-0.527639692621458)</f>
        <v>-0.52763969262145805</v>
      </c>
      <c r="IH164" s="3">
        <f ca="1">IFERROR(__xludf.DUMMYFUNCTION("""COMPUTED_VALUE"""),-0.547121419555344)</f>
        <v>-0.54712141955534399</v>
      </c>
      <c r="II164" s="3">
        <f ca="1">IFERROR(__xludf.DUMMYFUNCTION("""COMPUTED_VALUE"""),-0.499955809550644)</f>
        <v>-0.499955809550644</v>
      </c>
      <c r="IJ164" s="3">
        <f ca="1">IFERROR(__xludf.DUMMYFUNCTION("""COMPUTED_VALUE"""),-0.573134733177052)</f>
        <v>-0.57313473317705199</v>
      </c>
      <c r="IK164" s="3">
        <f ca="1">IFERROR(__xludf.DUMMYFUNCTION("""COMPUTED_VALUE"""),-0.610122588109877)</f>
        <v>-0.61012258810987696</v>
      </c>
      <c r="IL164" s="3">
        <f ca="1">IFERROR(__xludf.DUMMYFUNCTION("""COMPUTED_VALUE"""),-0.580126464597097)</f>
        <v>-0.58012646459709705</v>
      </c>
      <c r="IM164" s="3">
        <f ca="1">IFERROR(__xludf.DUMMYFUNCTION("""COMPUTED_VALUE"""),-0.565083259683758)</f>
        <v>-0.56508325968375805</v>
      </c>
      <c r="IN164" s="3">
        <f ca="1">IFERROR(__xludf.DUMMYFUNCTION("""COMPUTED_VALUE"""),-0.547840322088672)</f>
        <v>-0.54784032208867195</v>
      </c>
      <c r="IO164" s="3">
        <f ca="1">IFERROR(__xludf.DUMMYFUNCTION("""COMPUTED_VALUE"""),-0.524033953485072)</f>
        <v>-0.52403395348507198</v>
      </c>
      <c r="IP164" s="3">
        <f ca="1">IFERROR(__xludf.DUMMYFUNCTION("""COMPUTED_VALUE"""),-0.473426531158506)</f>
        <v>-0.47342653115850603</v>
      </c>
      <c r="IQ164" s="3">
        <f ca="1">IFERROR(__xludf.DUMMYFUNCTION("""COMPUTED_VALUE"""),-0.556255314537505)</f>
        <v>-0.55625531453750499</v>
      </c>
      <c r="IR164" s="3">
        <f ca="1">IFERROR(__xludf.DUMMYFUNCTION("""COMPUTED_VALUE"""),-0.603256055523913)</f>
        <v>-0.60325605552391304</v>
      </c>
      <c r="IS164" s="3">
        <f ca="1">IFERROR(__xludf.DUMMYFUNCTION("""COMPUTED_VALUE"""),-0.554217756406308)</f>
        <v>-0.55421775640630799</v>
      </c>
      <c r="IT164" s="3">
        <f ca="1">IFERROR(__xludf.DUMMYFUNCTION("""COMPUTED_VALUE"""),-0.632098984082768)</f>
        <v>-0.63209898408276799</v>
      </c>
      <c r="IU164" s="3">
        <f ca="1">IFERROR(__xludf.DUMMYFUNCTION("""COMPUTED_VALUE"""),-0.577612359589762)</f>
        <v>-0.57761235958976198</v>
      </c>
      <c r="IV164" s="3">
        <f ca="1">IFERROR(__xludf.DUMMYFUNCTION("""COMPUTED_VALUE"""),-0.562618146447696)</f>
        <v>-0.56261814644769603</v>
      </c>
      <c r="IW164" s="3">
        <f ca="1">IFERROR(__xludf.DUMMYFUNCTION("""COMPUTED_VALUE"""),-0.506488285105312)</f>
        <v>-0.50648828510531196</v>
      </c>
      <c r="IX164" s="3">
        <f ca="1">IFERROR(__xludf.DUMMYFUNCTION("""COMPUTED_VALUE"""),-0.621515391063009)</f>
        <v>-0.62151539106300902</v>
      </c>
      <c r="IY164" s="3">
        <f ca="1">IFERROR(__xludf.DUMMYFUNCTION("""COMPUTED_VALUE"""),-0.636631329708668)</f>
        <v>-0.63663132970866798</v>
      </c>
      <c r="IZ164" s="3">
        <f ca="1">IFERROR(__xludf.DUMMYFUNCTION("""COMPUTED_VALUE"""),-0.614121030239752)</f>
        <v>-0.61412103023975195</v>
      </c>
      <c r="JA164" s="3">
        <f ca="1">IFERROR(__xludf.DUMMYFUNCTION("""COMPUTED_VALUE"""),-0.616183268407811)</f>
        <v>-0.61618326840781101</v>
      </c>
      <c r="JB164" s="3">
        <f ca="1">IFERROR(__xludf.DUMMYFUNCTION("""COMPUTED_VALUE"""),-0.57999247922995)</f>
        <v>-0.57999247922995001</v>
      </c>
      <c r="JC164" s="3">
        <f ca="1">IFERROR(__xludf.DUMMYFUNCTION("""COMPUTED_VALUE"""),-0.558332675729889)</f>
        <v>-0.55833267572988898</v>
      </c>
      <c r="JD164" s="3">
        <f ca="1">IFERROR(__xludf.DUMMYFUNCTION("""COMPUTED_VALUE"""),-0.475591099076131)</f>
        <v>-0.47559109907613101</v>
      </c>
      <c r="JE164" s="3">
        <f ca="1">IFERROR(__xludf.DUMMYFUNCTION("""COMPUTED_VALUE"""),-0.632487843489609)</f>
        <v>-0.63248784348960896</v>
      </c>
      <c r="JF164" s="3">
        <f ca="1">IFERROR(__xludf.DUMMYFUNCTION("""COMPUTED_VALUE"""),-0.626525644340527)</f>
        <v>-0.62652564434052704</v>
      </c>
      <c r="JG164" s="3">
        <f ca="1">IFERROR(__xludf.DUMMYFUNCTION("""COMPUTED_VALUE"""),-0.628566222716672)</f>
        <v>-0.62856622271667195</v>
      </c>
      <c r="JH164" s="3">
        <f ca="1">IFERROR(__xludf.DUMMYFUNCTION("""COMPUTED_VALUE"""),-0.599034465149207)</f>
        <v>-0.599034465149207</v>
      </c>
      <c r="JI164" s="3">
        <f ca="1">IFERROR(__xludf.DUMMYFUNCTION("""COMPUTED_VALUE"""),-0.592824065713601)</f>
        <v>-0.59282406571360102</v>
      </c>
      <c r="JJ164" s="3">
        <f ca="1">IFERROR(__xludf.DUMMYFUNCTION("""COMPUTED_VALUE"""),-0.557311127060123)</f>
        <v>-0.55731112706012298</v>
      </c>
      <c r="JK164" s="3">
        <f ca="1">IFERROR(__xludf.DUMMYFUNCTION("""COMPUTED_VALUE"""),-0.476134979650322)</f>
        <v>-0.47613497965032198</v>
      </c>
      <c r="JL164" s="3">
        <f ca="1">IFERROR(__xludf.DUMMYFUNCTION("""COMPUTED_VALUE"""),-0.613361556972945)</f>
        <v>-0.61336155697294503</v>
      </c>
      <c r="JM164" s="3">
        <f ca="1">IFERROR(__xludf.DUMMYFUNCTION("""COMPUTED_VALUE"""),-0.65019378707697)</f>
        <v>-0.65019378707696995</v>
      </c>
      <c r="JN164" s="3">
        <f ca="1">IFERROR(__xludf.DUMMYFUNCTION("""COMPUTED_VALUE"""),-0.634528781706703)</f>
        <v>-0.63452878170670302</v>
      </c>
      <c r="JO164" s="3">
        <f ca="1">IFERROR(__xludf.DUMMYFUNCTION("""COMPUTED_VALUE"""),-0.627851672887217)</f>
        <v>-0.62785167288721699</v>
      </c>
      <c r="JP164" s="3">
        <f ca="1">IFERROR(__xludf.DUMMYFUNCTION("""COMPUTED_VALUE"""),-0.588773384513435)</f>
        <v>-0.58877338451343497</v>
      </c>
      <c r="JQ164" s="3">
        <f ca="1">IFERROR(__xludf.DUMMYFUNCTION("""COMPUTED_VALUE"""),-0.564691420565943)</f>
        <v>-0.56469142056594301</v>
      </c>
      <c r="JR164" s="3">
        <f ca="1">IFERROR(__xludf.DUMMYFUNCTION("""COMPUTED_VALUE"""),-0.461008742092051)</f>
        <v>-0.461008742092051</v>
      </c>
      <c r="JS164" s="3">
        <f ca="1">IFERROR(__xludf.DUMMYFUNCTION("""COMPUTED_VALUE"""),-0.613991635220126)</f>
        <v>-0.61399163522012601</v>
      </c>
      <c r="JT164" s="3">
        <f ca="1">IFERROR(__xludf.DUMMYFUNCTION("""COMPUTED_VALUE"""),-0.622010360850863)</f>
        <v>-0.62201036085086303</v>
      </c>
      <c r="JU164" s="3">
        <f ca="1">IFERROR(__xludf.DUMMYFUNCTION("""COMPUTED_VALUE"""),-0.647746528887053)</f>
        <v>-0.64774652888705297</v>
      </c>
      <c r="JV164" s="3">
        <f ca="1">IFERROR(__xludf.DUMMYFUNCTION("""COMPUTED_VALUE"""),-0.619120926205998)</f>
        <v>-0.61912092620599801</v>
      </c>
      <c r="JW164" s="3">
        <f ca="1">IFERROR(__xludf.DUMMYFUNCTION("""COMPUTED_VALUE"""),-0.588360552878416)</f>
        <v>-0.58836055287841604</v>
      </c>
      <c r="JX164" s="3">
        <f ca="1">IFERROR(__xludf.DUMMYFUNCTION("""COMPUTED_VALUE"""),-0.598372796906511)</f>
        <v>-0.59837279690651102</v>
      </c>
      <c r="JY164" s="3">
        <f ca="1">IFERROR(__xludf.DUMMYFUNCTION("""COMPUTED_VALUE"""),-0.54012883772825)</f>
        <v>-0.54012883772825004</v>
      </c>
      <c r="JZ164" s="3">
        <f ca="1">IFERROR(__xludf.DUMMYFUNCTION("""COMPUTED_VALUE"""),-0.547226323294023)</f>
        <v>-0.54722632329402299</v>
      </c>
      <c r="KA164" s="3">
        <f ca="1">IFERROR(__xludf.DUMMYFUNCTION("""COMPUTED_VALUE"""),-0.591055560708228)</f>
        <v>-0.59105556070822796</v>
      </c>
      <c r="KB164" s="3">
        <f ca="1">IFERROR(__xludf.DUMMYFUNCTION("""COMPUTED_VALUE"""),-0.633535980738567)</f>
        <v>-0.63353598073856698</v>
      </c>
      <c r="KC164" s="3">
        <f ca="1">IFERROR(__xludf.DUMMYFUNCTION("""COMPUTED_VALUE"""),-0.613073293589594)</f>
        <v>-0.61307329358959395</v>
      </c>
      <c r="KD164" s="3">
        <f ca="1">IFERROR(__xludf.DUMMYFUNCTION("""COMPUTED_VALUE"""),-0.565486833769531)</f>
        <v>-0.56548683376953102</v>
      </c>
      <c r="KE164" s="3">
        <f ca="1">IFERROR(__xludf.DUMMYFUNCTION("""COMPUTED_VALUE"""),-0.53423517100514)</f>
        <v>-0.53423517100513995</v>
      </c>
      <c r="KF164" s="3">
        <f ca="1">IFERROR(__xludf.DUMMYFUNCTION("""COMPUTED_VALUE"""),-0.470617926492736)</f>
        <v>-0.47061792649273598</v>
      </c>
      <c r="KG164" s="3">
        <f ca="1">IFERROR(__xludf.DUMMYFUNCTION("""COMPUTED_VALUE"""),-0.617553446677508)</f>
        <v>-0.617553446677508</v>
      </c>
      <c r="KH164" s="3">
        <f ca="1">IFERROR(__xludf.DUMMYFUNCTION("""COMPUTED_VALUE"""),-0.611651051599843)</f>
        <v>-0.61165105159984301</v>
      </c>
      <c r="KI164" s="3">
        <f ca="1">IFERROR(__xludf.DUMMYFUNCTION("""COMPUTED_VALUE"""),-0.631981174477219)</f>
        <v>-0.63198117447721902</v>
      </c>
      <c r="KJ164" s="3">
        <f ca="1">IFERROR(__xludf.DUMMYFUNCTION("""COMPUTED_VALUE"""),-0.63522599418922)</f>
        <v>-0.63522599418921999</v>
      </c>
      <c r="KK164" s="3">
        <f ca="1">IFERROR(__xludf.DUMMYFUNCTION("""COMPUTED_VALUE"""),-0.5706275137785)</f>
        <v>-0.57062751377849996</v>
      </c>
      <c r="KL164" s="3">
        <f ca="1">IFERROR(__xludf.DUMMYFUNCTION("""COMPUTED_VALUE"""),-0.546148844396769)</f>
        <v>-0.54614884439676903</v>
      </c>
      <c r="KM164" s="3">
        <f ca="1">IFERROR(__xludf.DUMMYFUNCTION("""COMPUTED_VALUE"""),-0.578280929925303)</f>
        <v>-0.578280929925303</v>
      </c>
      <c r="KN164" s="3">
        <f ca="1">IFERROR(__xludf.DUMMYFUNCTION("""COMPUTED_VALUE"""),-0.64228017273656)</f>
        <v>-0.64228017273656002</v>
      </c>
      <c r="KO164" s="3">
        <f ca="1">IFERROR(__xludf.DUMMYFUNCTION("""COMPUTED_VALUE"""),-0.69199428495903)</f>
        <v>-0.69199428495903004</v>
      </c>
      <c r="KP164" s="3">
        <f ca="1">IFERROR(__xludf.DUMMYFUNCTION("""COMPUTED_VALUE"""),-0.708736974468406)</f>
        <v>-0.708736974468406</v>
      </c>
      <c r="KQ164" s="3">
        <f ca="1">IFERROR(__xludf.DUMMYFUNCTION("""COMPUTED_VALUE"""),-0.655379551437959)</f>
        <v>-0.65537955143795901</v>
      </c>
      <c r="KR164" s="3">
        <f ca="1">IFERROR(__xludf.DUMMYFUNCTION("""COMPUTED_VALUE"""),-0.618756366401546)</f>
        <v>-0.61875636640154597</v>
      </c>
      <c r="KS164" s="3">
        <f ca="1">IFERROR(__xludf.DUMMYFUNCTION("""COMPUTED_VALUE"""),-0.602961057547372)</f>
        <v>-0.60296105754737195</v>
      </c>
      <c r="KT164" s="3">
        <f ca="1">IFERROR(__xludf.DUMMYFUNCTION("""COMPUTED_VALUE"""),-0.580783930479049)</f>
        <v>-0.58078393047904897</v>
      </c>
      <c r="KU164" s="3">
        <f ca="1">IFERROR(__xludf.DUMMYFUNCTION("""COMPUTED_VALUE"""),-0.698885575578421)</f>
        <v>-0.69888557557842101</v>
      </c>
      <c r="KV164" s="3">
        <f ca="1">IFERROR(__xludf.DUMMYFUNCTION("""COMPUTED_VALUE"""),-0.724968808053404)</f>
        <v>-0.72496880805340402</v>
      </c>
      <c r="KW164" s="3">
        <f ca="1">IFERROR(__xludf.DUMMYFUNCTION("""COMPUTED_VALUE"""),-0.694454017712587)</f>
        <v>-0.69445401771258697</v>
      </c>
      <c r="KX164" s="3">
        <f ca="1">IFERROR(__xludf.DUMMYFUNCTION("""COMPUTED_VALUE"""),-0.683742481353824)</f>
        <v>-0.68374248135382398</v>
      </c>
      <c r="KY164" s="3">
        <f ca="1">IFERROR(__xludf.DUMMYFUNCTION("""COMPUTED_VALUE"""),-0.654481527490125)</f>
        <v>-0.654481527490125</v>
      </c>
      <c r="KZ164" s="3">
        <f ca="1">IFERROR(__xludf.DUMMYFUNCTION("""COMPUTED_VALUE"""),-0.70294496403155)</f>
        <v>-0.70294496403155005</v>
      </c>
      <c r="LA164" s="3">
        <f ca="1">IFERROR(__xludf.DUMMYFUNCTION("""COMPUTED_VALUE"""),-0.673489871492114)</f>
        <v>-0.67348987149211403</v>
      </c>
      <c r="LB164" s="3">
        <f ca="1">IFERROR(__xludf.DUMMYFUNCTION("""COMPUTED_VALUE"""),-0.732401004285413)</f>
        <v>-0.73240100428541299</v>
      </c>
      <c r="LC164" s="3">
        <f ca="1">IFERROR(__xludf.DUMMYFUNCTION("""COMPUTED_VALUE"""),-0.725458667344181)</f>
        <v>-0.72545866734418096</v>
      </c>
      <c r="LD164" s="3">
        <f ca="1">IFERROR(__xludf.DUMMYFUNCTION("""COMPUTED_VALUE"""),-0.709857113390623)</f>
        <v>-0.70985711339062296</v>
      </c>
      <c r="LE164" s="3">
        <f ca="1">IFERROR(__xludf.DUMMYFUNCTION("""COMPUTED_VALUE"""),-0.725619698116608)</f>
        <v>-0.72561969811660798</v>
      </c>
      <c r="LF164" s="3">
        <f ca="1">IFERROR(__xludf.DUMMYFUNCTION("""COMPUTED_VALUE"""),-0.719127465365596)</f>
        <v>-0.71912746536559602</v>
      </c>
      <c r="LG164" s="3">
        <f ca="1">IFERROR(__xludf.DUMMYFUNCTION("""COMPUTED_VALUE"""),-0.785528830569638)</f>
        <v>-0.78552883056963796</v>
      </c>
      <c r="LH164" s="3">
        <f ca="1">IFERROR(__xludf.DUMMYFUNCTION("""COMPUTED_VALUE"""),-0.728070317216598)</f>
        <v>-0.72807031721659798</v>
      </c>
      <c r="LI164" s="3">
        <f ca="1">IFERROR(__xludf.DUMMYFUNCTION("""COMPUTED_VALUE"""),-0.75127925558919)</f>
        <v>-0.75127925558918995</v>
      </c>
      <c r="LJ164" s="3">
        <f ca="1">IFERROR(__xludf.DUMMYFUNCTION("""COMPUTED_VALUE"""),-0.77629093185326)</f>
        <v>-0.77629093185326004</v>
      </c>
      <c r="LK164" s="3">
        <f ca="1">IFERROR(__xludf.DUMMYFUNCTION("""COMPUTED_VALUE"""),-0.758091426289393)</f>
        <v>-0.75809142628939297</v>
      </c>
      <c r="LL164" s="3">
        <f ca="1">IFERROR(__xludf.DUMMYFUNCTION("""COMPUTED_VALUE"""),-0.770127849518408)</f>
        <v>-0.77012784951840796</v>
      </c>
      <c r="LM164" s="3">
        <f ca="1">IFERROR(__xludf.DUMMYFUNCTION("""COMPUTED_VALUE"""),-0.785745243517738)</f>
        <v>-0.785745243517738</v>
      </c>
      <c r="LN164" s="3">
        <f ca="1">IFERROR(__xludf.DUMMYFUNCTION("""COMPUTED_VALUE"""),-0.806593861923438)</f>
        <v>-0.80659386192343796</v>
      </c>
      <c r="LO164" s="3">
        <f ca="1">IFERROR(__xludf.DUMMYFUNCTION("""COMPUTED_VALUE"""),-0.757478792779147)</f>
        <v>-0.75747879277914698</v>
      </c>
      <c r="LP164" s="3">
        <f ca="1">IFERROR(__xludf.DUMMYFUNCTION("""COMPUTED_VALUE"""),-0.783477593437184)</f>
        <v>-0.78347759343718404</v>
      </c>
      <c r="LQ164" s="3">
        <f ca="1">IFERROR(__xludf.DUMMYFUNCTION("""COMPUTED_VALUE"""),-0.797862770215062)</f>
        <v>-0.79786277021506202</v>
      </c>
      <c r="LR164" s="3">
        <f ca="1">IFERROR(__xludf.DUMMYFUNCTION("""COMPUTED_VALUE"""),-0.767689649306395)</f>
        <v>-0.76768964930639505</v>
      </c>
      <c r="LS164" s="3">
        <f ca="1">IFERROR(__xludf.DUMMYFUNCTION("""COMPUTED_VALUE"""),-0.771691142986024)</f>
        <v>-0.77169114298602404</v>
      </c>
      <c r="LT164" s="3">
        <f ca="1">IFERROR(__xludf.DUMMYFUNCTION("""COMPUTED_VALUE"""),-0.773557889094667)</f>
        <v>-0.77355788909466705</v>
      </c>
      <c r="LU164" s="3">
        <f ca="1">IFERROR(__xludf.DUMMYFUNCTION("""COMPUTED_VALUE"""),-0.80681805622047)</f>
        <v>-0.80681805622046998</v>
      </c>
      <c r="LV164" s="3">
        <f ca="1">IFERROR(__xludf.DUMMYFUNCTION("""COMPUTED_VALUE"""),-0.751766046183426)</f>
        <v>-0.75176604618342602</v>
      </c>
      <c r="LW164" s="3">
        <f ca="1">IFERROR(__xludf.DUMMYFUNCTION("""COMPUTED_VALUE"""),-0.756007134480398)</f>
        <v>-0.75600713448039802</v>
      </c>
      <c r="LX164" s="3">
        <f ca="1">IFERROR(__xludf.DUMMYFUNCTION("""COMPUTED_VALUE"""),-0.791100892777482)</f>
        <v>-0.79110089277748197</v>
      </c>
      <c r="LY164" s="3">
        <f ca="1">IFERROR(__xludf.DUMMYFUNCTION("""COMPUTED_VALUE"""),-0.771681288203525)</f>
        <v>-0.771681288203525</v>
      </c>
      <c r="LZ164" s="3">
        <f ca="1">IFERROR(__xludf.DUMMYFUNCTION("""COMPUTED_VALUE"""),-0.792828836443262)</f>
        <v>-0.79282883644326196</v>
      </c>
      <c r="MA164" s="3">
        <f ca="1">IFERROR(__xludf.DUMMYFUNCTION("""COMPUTED_VALUE"""),-0.773638192785627)</f>
        <v>-0.77363819278562695</v>
      </c>
      <c r="MB164" s="3">
        <f ca="1">IFERROR(__xludf.DUMMYFUNCTION("""COMPUTED_VALUE"""),-0.790039579057885)</f>
        <v>-0.79003957905788502</v>
      </c>
      <c r="MC164" s="3">
        <f ca="1">IFERROR(__xludf.DUMMYFUNCTION("""COMPUTED_VALUE"""),-0.80576515662387)</f>
        <v>-0.80576515662387005</v>
      </c>
      <c r="MD164" s="3">
        <f ca="1">IFERROR(__xludf.DUMMYFUNCTION("""COMPUTED_VALUE"""),-0.797221542297306)</f>
        <v>-0.79722154229730602</v>
      </c>
      <c r="ME164" s="3">
        <f ca="1">IFERROR(__xludf.DUMMYFUNCTION("""COMPUTED_VALUE"""),-0.809633384760201)</f>
        <v>-0.80963338476020097</v>
      </c>
      <c r="MF164" s="3">
        <f ca="1">IFERROR(__xludf.DUMMYFUNCTION("""COMPUTED_VALUE"""),-0.815272492929845)</f>
        <v>-0.81527249292984505</v>
      </c>
      <c r="MG164" s="3">
        <f ca="1">IFERROR(__xludf.DUMMYFUNCTION("""COMPUTED_VALUE"""),-0.783793342808971)</f>
        <v>-0.78379334280897095</v>
      </c>
      <c r="MH164" s="3">
        <f ca="1">IFERROR(__xludf.DUMMYFUNCTION("""COMPUTED_VALUE"""),-0.771734307129552)</f>
        <v>-0.77173430712955204</v>
      </c>
      <c r="MI164" s="3">
        <f ca="1">IFERROR(__xludf.DUMMYFUNCTION("""COMPUTED_VALUE"""),-0.814306890922298)</f>
        <v>-0.81430689092229802</v>
      </c>
      <c r="MJ164" s="3">
        <f ca="1">IFERROR(__xludf.DUMMYFUNCTION("""COMPUTED_VALUE"""),-0.786467247966747)</f>
        <v>-0.78646724796674705</v>
      </c>
      <c r="MK164" s="3">
        <f ca="1">IFERROR(__xludf.DUMMYFUNCTION("""COMPUTED_VALUE"""),-0.798123630416076)</f>
        <v>-0.79812363041607604</v>
      </c>
      <c r="ML164" s="3">
        <f ca="1">IFERROR(__xludf.DUMMYFUNCTION("""COMPUTED_VALUE"""),-0.831680876590306)</f>
        <v>-0.83168087659030598</v>
      </c>
      <c r="MM164" s="3">
        <f ca="1">IFERROR(__xludf.DUMMYFUNCTION("""COMPUTED_VALUE"""),-0.79130939392768)</f>
        <v>-0.79130939392767996</v>
      </c>
      <c r="MN164" s="3">
        <f ca="1">IFERROR(__xludf.DUMMYFUNCTION("""COMPUTED_VALUE"""),-0.797130333039258)</f>
        <v>-0.79713033303925795</v>
      </c>
      <c r="MO164" s="3">
        <f ca="1">IFERROR(__xludf.DUMMYFUNCTION("""COMPUTED_VALUE"""),-0.793730693966888)</f>
        <v>-0.793730693966888</v>
      </c>
      <c r="MP164" s="3">
        <f ca="1">IFERROR(__xludf.DUMMYFUNCTION("""COMPUTED_VALUE"""),-0.846288327786741)</f>
        <v>-0.84628832778674101</v>
      </c>
      <c r="MQ164" s="3">
        <f ca="1">IFERROR(__xludf.DUMMYFUNCTION("""COMPUTED_VALUE"""),-0.809167243691197)</f>
        <v>-0.80916724369119697</v>
      </c>
      <c r="MR164" s="3">
        <f ca="1">IFERROR(__xludf.DUMMYFUNCTION("""COMPUTED_VALUE"""),-0.804695522296968)</f>
        <v>-0.80469552229696795</v>
      </c>
      <c r="MS164" s="3">
        <f ca="1">IFERROR(__xludf.DUMMYFUNCTION("""COMPUTED_VALUE"""),-0.805293665344821)</f>
        <v>-0.80529366534482105</v>
      </c>
      <c r="MT164" s="3">
        <f ca="1">IFERROR(__xludf.DUMMYFUNCTION("""COMPUTED_VALUE"""),-0.812351674877973)</f>
        <v>-0.812351674877973</v>
      </c>
      <c r="MU164" s="3">
        <f ca="1">IFERROR(__xludf.DUMMYFUNCTION("""COMPUTED_VALUE"""),-0.80628097373852)</f>
        <v>-0.80628097373852003</v>
      </c>
      <c r="MV164" s="3">
        <f ca="1">IFERROR(__xludf.DUMMYFUNCTION("""COMPUTED_VALUE"""),-0.793082781619601)</f>
        <v>-0.793082781619601</v>
      </c>
      <c r="MW164" s="3">
        <f ca="1">IFERROR(__xludf.DUMMYFUNCTION("""COMPUTED_VALUE"""),-0.812564500315343)</f>
        <v>-0.812564500315343</v>
      </c>
      <c r="MX164" s="3">
        <f ca="1">IFERROR(__xludf.DUMMYFUNCTION("""COMPUTED_VALUE"""),-0.812274872725863)</f>
        <v>-0.81227487272586296</v>
      </c>
      <c r="MY164" s="3">
        <f ca="1">IFERROR(__xludf.DUMMYFUNCTION("""COMPUTED_VALUE"""),-0.761991621620923)</f>
        <v>-0.76199162162092304</v>
      </c>
      <c r="MZ164" s="3">
        <f ca="1">IFERROR(__xludf.DUMMYFUNCTION("""COMPUTED_VALUE"""),-0.805115893972631)</f>
        <v>-0.80511589397263095</v>
      </c>
      <c r="NA164" s="3">
        <f ca="1">IFERROR(__xludf.DUMMYFUNCTION("""COMPUTED_VALUE"""),-0.812198963663638)</f>
        <v>-0.81219896366363797</v>
      </c>
      <c r="NB164" s="3">
        <f ca="1">IFERROR(__xludf.DUMMYFUNCTION("""COMPUTED_VALUE"""),-0.812905116742834)</f>
        <v>-0.81290511674283406</v>
      </c>
      <c r="NC164" s="3">
        <f ca="1">IFERROR(__xludf.DUMMYFUNCTION("""COMPUTED_VALUE"""),-0.815983669217348)</f>
        <v>-0.815983669217348</v>
      </c>
      <c r="ND164" s="3">
        <f ca="1">IFERROR(__xludf.DUMMYFUNCTION("""COMPUTED_VALUE"""),-0.838061464419299)</f>
        <v>-0.83806146441929896</v>
      </c>
      <c r="NE164" s="3">
        <f ca="1">IFERROR(__xludf.DUMMYFUNCTION("""COMPUTED_VALUE"""),-0.805822987910801)</f>
        <v>-0.80582298791080098</v>
      </c>
      <c r="NF164" s="3">
        <f ca="1">IFERROR(__xludf.DUMMYFUNCTION("""COMPUTED_VALUE"""),-0.783239783059382)</f>
        <v>-0.78323978305938202</v>
      </c>
      <c r="NG164" s="3">
        <f ca="1">IFERROR(__xludf.DUMMYFUNCTION("""COMPUTED_VALUE"""),-0.807474160340507)</f>
        <v>-0.80747416034050701</v>
      </c>
      <c r="NH164" s="3">
        <f ca="1">IFERROR(__xludf.DUMMYFUNCTION("""COMPUTED_VALUE"""),-0.773803267614451)</f>
        <v>-0.77380326761445095</v>
      </c>
      <c r="NI164" s="3">
        <f ca="1">IFERROR(__xludf.DUMMYFUNCTION("""COMPUTED_VALUE"""),-0.753185657205241)</f>
        <v>-0.753185657205241</v>
      </c>
      <c r="NJ164" s="3">
        <f ca="1">IFERROR(__xludf.DUMMYFUNCTION("""COMPUTED_VALUE"""),-0.745152804676367)</f>
        <v>-0.74515280467636702</v>
      </c>
      <c r="NK164" s="3">
        <f ca="1">IFERROR(__xludf.DUMMYFUNCTION("""COMPUTED_VALUE"""),-0.815241927914803)</f>
        <v>-0.81524192791480299</v>
      </c>
      <c r="NL164" s="3">
        <f ca="1">IFERROR(__xludf.DUMMYFUNCTION("""COMPUTED_VALUE"""),-0.802477555887042)</f>
        <v>-0.80247755588704195</v>
      </c>
      <c r="NM164" s="3">
        <f ca="1">IFERROR(__xludf.DUMMYFUNCTION("""COMPUTED_VALUE"""),-0.767252293917373)</f>
        <v>-0.76725229391737304</v>
      </c>
      <c r="NN164" s="3">
        <f ca="1">IFERROR(__xludf.DUMMYFUNCTION("""COMPUTED_VALUE"""),-0.77851533286295)</f>
        <v>-0.77851533286295005</v>
      </c>
      <c r="NO164" s="3">
        <f ca="1">IFERROR(__xludf.DUMMYFUNCTION("""COMPUTED_VALUE"""),-0.739454722988586)</f>
        <v>-0.73945472298858606</v>
      </c>
      <c r="NP164" s="3">
        <f ca="1">IFERROR(__xludf.DUMMYFUNCTION("""COMPUTED_VALUE"""),-0.735771718613233)</f>
        <v>-0.73577171861323298</v>
      </c>
      <c r="NQ164" s="3">
        <f ca="1">IFERROR(__xludf.DUMMYFUNCTION("""COMPUTED_VALUE"""),-0.705277329177294)</f>
        <v>-0.70527732917729402</v>
      </c>
      <c r="NR164" s="3">
        <f ca="1">IFERROR(__xludf.DUMMYFUNCTION("""COMPUTED_VALUE"""),-0.737000672320458)</f>
        <v>-0.73700067232045796</v>
      </c>
      <c r="NS164" s="3">
        <f ca="1">IFERROR(__xludf.DUMMYFUNCTION("""COMPUTED_VALUE"""),-0.738669114065429)</f>
        <v>-0.73866911406542901</v>
      </c>
      <c r="NT164" s="3">
        <f ca="1">IFERROR(__xludf.DUMMYFUNCTION("""COMPUTED_VALUE"""),-0.669813370573305)</f>
        <v>-0.66981337057330503</v>
      </c>
      <c r="NU164" s="3">
        <f ca="1">IFERROR(__xludf.DUMMYFUNCTION("""COMPUTED_VALUE"""),-0.687906106350673)</f>
        <v>-0.68790610635067295</v>
      </c>
      <c r="NV164" s="3">
        <f ca="1">IFERROR(__xludf.DUMMYFUNCTION("""COMPUTED_VALUE"""),-0.661899872511611)</f>
        <v>-0.66189987251161098</v>
      </c>
      <c r="NW164" s="3">
        <f ca="1">IFERROR(__xludf.DUMMYFUNCTION("""COMPUTED_VALUE"""),-0.577053924229395)</f>
        <v>-0.57705392422939505</v>
      </c>
      <c r="NX164" s="3">
        <f ca="1">IFERROR(__xludf.DUMMYFUNCTION("""COMPUTED_VALUE"""),-0.648598964317731)</f>
        <v>-0.64859896431773101</v>
      </c>
      <c r="NY164" s="3">
        <f ca="1">IFERROR(__xludf.DUMMYFUNCTION("""COMPUTED_VALUE"""),-0.618411864292516)</f>
        <v>-0.61841186429251604</v>
      </c>
      <c r="NZ164" s="3">
        <f ca="1">IFERROR(__xludf.DUMMYFUNCTION("""COMPUTED_VALUE"""),-0.562734191634843)</f>
        <v>-0.56273419163484295</v>
      </c>
      <c r="OA164" s="3">
        <f ca="1">IFERROR(__xludf.DUMMYFUNCTION("""COMPUTED_VALUE"""),-0.469079875711088)</f>
        <v>-0.469079875711088</v>
      </c>
      <c r="OB164" s="3">
        <f ca="1">IFERROR(__xludf.DUMMYFUNCTION("""COMPUTED_VALUE"""),-0.46269019697824)</f>
        <v>-0.46269019697823999</v>
      </c>
      <c r="OC164" s="3">
        <f ca="1">IFERROR(__xludf.DUMMYFUNCTION("""COMPUTED_VALUE"""),-0.32295151853565)</f>
        <v>-0.32295151853565002</v>
      </c>
      <c r="OD164" s="3">
        <f ca="1">IFERROR(__xludf.DUMMYFUNCTION("""COMPUTED_VALUE"""),-0.339702854885605)</f>
        <v>-0.33970285488560498</v>
      </c>
      <c r="OE164" s="3">
        <f ca="1">IFERROR(__xludf.DUMMYFUNCTION("""COMPUTED_VALUE"""),-0.240717187012691)</f>
        <v>-0.24071718701269099</v>
      </c>
      <c r="OF164" s="3">
        <f ca="1">IFERROR(__xludf.DUMMYFUNCTION("""COMPUTED_VALUE"""),-0.336982981262793)</f>
        <v>-0.33698298126279302</v>
      </c>
      <c r="OG164" s="3">
        <f ca="1">IFERROR(__xludf.DUMMYFUNCTION("""COMPUTED_VALUE"""),-0.304066216395385)</f>
        <v>-0.304066216395385</v>
      </c>
      <c r="OH164" s="3">
        <f ca="1">IFERROR(__xludf.DUMMYFUNCTION("""COMPUTED_VALUE"""),-0.22154941813722)</f>
        <v>-0.22154941813722001</v>
      </c>
      <c r="OI164" s="3">
        <f ca="1">IFERROR(__xludf.DUMMYFUNCTION("""COMPUTED_VALUE"""),-0.197450147645982)</f>
        <v>-0.19745014764598201</v>
      </c>
      <c r="OJ164" s="3">
        <f ca="1">IFERROR(__xludf.DUMMYFUNCTION("""COMPUTED_VALUE"""),-0.10938979480367)</f>
        <v>-0.10938979480367</v>
      </c>
      <c r="OK164" s="3">
        <f ca="1">IFERROR(__xludf.DUMMYFUNCTION("""COMPUTED_VALUE"""),-0.0769539882539941)</f>
        <v>-7.6953988253994104E-2</v>
      </c>
      <c r="OL164" s="3">
        <f ca="1">IFERROR(__xludf.DUMMYFUNCTION("""COMPUTED_VALUE"""),-0.0491034069468599)</f>
        <v>-4.9103406946859898E-2</v>
      </c>
      <c r="OM164" s="3">
        <f ca="1">IFERROR(__xludf.DUMMYFUNCTION("""COMPUTED_VALUE"""),-0.00871422523220233)</f>
        <v>-8.7142252322023293E-3</v>
      </c>
      <c r="ON164" s="3">
        <f ca="1">IFERROR(__xludf.DUMMYFUNCTION("""COMPUTED_VALUE"""),-0.0232467041148702)</f>
        <v>-2.32467041148702E-2</v>
      </c>
      <c r="OO164" s="3">
        <f ca="1">IFERROR(__xludf.DUMMYFUNCTION("""COMPUTED_VALUE"""),-0.0031244407774521)</f>
        <v>-3.1244407774521001E-3</v>
      </c>
      <c r="OP164" s="3">
        <f ca="1">IFERROR(__xludf.DUMMYFUNCTION("""COMPUTED_VALUE"""),-0.00308244119826961)</f>
        <v>-3.0824411982696099E-3</v>
      </c>
      <c r="OQ164" s="3">
        <f ca="1">IFERROR(__xludf.DUMMYFUNCTION("""COMPUTED_VALUE"""),-0.01044900973811)</f>
        <v>-1.0449009738110001E-2</v>
      </c>
      <c r="OR164" s="3">
        <f ca="1">IFERROR(__xludf.DUMMYFUNCTION("""COMPUTED_VALUE"""),-0.0391901298858922)</f>
        <v>-3.9190129885892197E-2</v>
      </c>
      <c r="OS164" s="3">
        <f ca="1">IFERROR(__xludf.DUMMYFUNCTION("""COMPUTED_VALUE"""),-0.0336350361935331)</f>
        <v>-3.3635036193533099E-2</v>
      </c>
      <c r="OT164" s="3">
        <f ca="1">IFERROR(__xludf.DUMMYFUNCTION("""COMPUTED_VALUE"""),-0.00790739226177972)</f>
        <v>-7.9073922617797204E-3</v>
      </c>
      <c r="OU164" s="3">
        <f ca="1">IFERROR(__xludf.DUMMYFUNCTION("""COMPUTED_VALUE"""),-0.0374952176408643)</f>
        <v>-3.7495217640864303E-2</v>
      </c>
      <c r="OV164" s="3">
        <f ca="1">IFERROR(__xludf.DUMMYFUNCTION("""COMPUTED_VALUE"""),0.03941013069336)</f>
        <v>3.9410130693360003E-2</v>
      </c>
      <c r="OW164" s="3">
        <f ca="1">IFERROR(__xludf.DUMMYFUNCTION("""COMPUTED_VALUE"""),0.0654812812736371)</f>
        <v>6.5481281273637101E-2</v>
      </c>
      <c r="OX164" s="3">
        <f ca="1">IFERROR(__xludf.DUMMYFUNCTION("""COMPUTED_VALUE"""),0.116077739834578)</f>
        <v>0.116077739834578</v>
      </c>
      <c r="OY164" s="3">
        <f ca="1">IFERROR(__xludf.DUMMYFUNCTION("""COMPUTED_VALUE"""),-0.00534041314067001)</f>
        <v>-5.3404131406700099E-3</v>
      </c>
      <c r="OZ164" s="3">
        <f ca="1">IFERROR(__xludf.DUMMYFUNCTION("""COMPUTED_VALUE"""),-0.0571753525527019)</f>
        <v>-5.7175352552701897E-2</v>
      </c>
      <c r="PA164" s="3">
        <f ca="1">IFERROR(__xludf.DUMMYFUNCTION("""COMPUTED_VALUE"""),-0.0515182998295755)</f>
        <v>-5.1518299829575502E-2</v>
      </c>
      <c r="PB164" s="3">
        <f ca="1">IFERROR(__xludf.DUMMYFUNCTION("""COMPUTED_VALUE"""),-0.0263340511367228)</f>
        <v>-2.63340511367228E-2</v>
      </c>
      <c r="PC164" s="3">
        <f ca="1">IFERROR(__xludf.DUMMYFUNCTION("""COMPUTED_VALUE"""),-0.0679187001714181)</f>
        <v>-6.79187001714181E-2</v>
      </c>
      <c r="PD164" s="3">
        <f ca="1">IFERROR(__xludf.DUMMYFUNCTION("""COMPUTED_VALUE"""),-0.0128349471823856)</f>
        <v>-1.2834947182385601E-2</v>
      </c>
      <c r="PE164" s="3">
        <f ca="1">IFERROR(__xludf.DUMMYFUNCTION("""COMPUTED_VALUE"""),0.0632196148616044)</f>
        <v>6.3219614861604406E-2</v>
      </c>
      <c r="PF164" s="3">
        <f ca="1">IFERROR(__xludf.DUMMYFUNCTION("""COMPUTED_VALUE"""),-0.113006026499084)</f>
        <v>-0.11300602649908401</v>
      </c>
      <c r="PG164" s="3">
        <f ca="1">IFERROR(__xludf.DUMMYFUNCTION("""COMPUTED_VALUE"""),-0.11793945127619)</f>
        <v>-0.11793945127619</v>
      </c>
      <c r="PH164" s="3">
        <f ca="1">IFERROR(__xludf.DUMMYFUNCTION("""COMPUTED_VALUE"""),-0.0473407767612114)</f>
        <v>-4.7340776761211401E-2</v>
      </c>
      <c r="PI164" s="3">
        <f ca="1">IFERROR(__xludf.DUMMYFUNCTION("""COMPUTED_VALUE"""),-0.076857762784481)</f>
        <v>-7.6857762784481004E-2</v>
      </c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</row>
    <row r="165" spans="1:477" ht="13">
      <c r="A165" s="1" t="str">
        <f ca="1">IFERROR(__xludf.DUMMYFUNCTION("""COMPUTED_VALUE"""),"Montgomery County Transit")</f>
        <v>Montgomery County Transit</v>
      </c>
      <c r="B165" s="1" t="str">
        <f ca="1">IFERROR(__xludf.DUMMYFUNCTION("""COMPUTED_VALUE"""),"Washington D.C.")</f>
        <v>Washington D.C.</v>
      </c>
      <c r="C165" s="1" t="str">
        <f ca="1">IFERROR(__xludf.DUMMYFUNCTION("""COMPUTED_VALUE"""),"United States")</f>
        <v>United States</v>
      </c>
      <c r="D165" s="1" t="str">
        <f ca="1">IFERROR(__xludf.DUMMYFUNCTION("""COMPUTED_VALUE"""),"District of Columbia")</f>
        <v>District of Columbia</v>
      </c>
      <c r="E165" s="3">
        <f ca="1">IFERROR(__xludf.DUMMYFUNCTION("""COMPUTED_VALUE"""),-0.46527186707408)</f>
        <v>-0.46527186707408003</v>
      </c>
      <c r="F165" s="3">
        <f ca="1">IFERROR(__xludf.DUMMYFUNCTION("""COMPUTED_VALUE"""),-0.537178218281549)</f>
        <v>-0.53717821828154899</v>
      </c>
      <c r="G165" s="3">
        <f ca="1">IFERROR(__xludf.DUMMYFUNCTION("""COMPUTED_VALUE"""),-0.535130465359205)</f>
        <v>-0.53513046535920505</v>
      </c>
      <c r="H165" s="3">
        <f ca="1">IFERROR(__xludf.DUMMYFUNCTION("""COMPUTED_VALUE"""),-0.559789954484052)</f>
        <v>-0.559789954484052</v>
      </c>
      <c r="I165" s="3">
        <f ca="1">IFERROR(__xludf.DUMMYFUNCTION("""COMPUTED_VALUE"""),-0.561571604517724)</f>
        <v>-0.56157160451772403</v>
      </c>
      <c r="J165" s="3">
        <f ca="1">IFERROR(__xludf.DUMMYFUNCTION("""COMPUTED_VALUE"""),-0.541722578702323)</f>
        <v>-0.54172257870232299</v>
      </c>
      <c r="K165" s="3">
        <f ca="1">IFERROR(__xludf.DUMMYFUNCTION("""COMPUTED_VALUE"""),-0.448252031452152)</f>
        <v>-0.44825203145215198</v>
      </c>
      <c r="L165" s="3">
        <f ca="1">IFERROR(__xludf.DUMMYFUNCTION("""COMPUTED_VALUE"""),-0.498371004824571)</f>
        <v>-0.49837100482457097</v>
      </c>
      <c r="M165" s="3">
        <f ca="1">IFERROR(__xludf.DUMMYFUNCTION("""COMPUTED_VALUE"""),-0.56283058629106)</f>
        <v>-0.56283058629105998</v>
      </c>
      <c r="N165" s="3">
        <f ca="1">IFERROR(__xludf.DUMMYFUNCTION("""COMPUTED_VALUE"""),-0.56843739974097)</f>
        <v>-0.56843739974096996</v>
      </c>
      <c r="O165" s="3">
        <f ca="1">IFERROR(__xludf.DUMMYFUNCTION("""COMPUTED_VALUE"""),-0.64268274948039)</f>
        <v>-0.64268274948038995</v>
      </c>
      <c r="P165" s="3">
        <f ca="1">IFERROR(__xludf.DUMMYFUNCTION("""COMPUTED_VALUE"""),-0.562700494087626)</f>
        <v>-0.56270049408762601</v>
      </c>
      <c r="Q165" s="3">
        <f ca="1">IFERROR(__xludf.DUMMYFUNCTION("""COMPUTED_VALUE"""),-0.544108921582732)</f>
        <v>-0.54410892158273205</v>
      </c>
      <c r="R165" s="3">
        <f ca="1">IFERROR(__xludf.DUMMYFUNCTION("""COMPUTED_VALUE"""),-0.491351600900869)</f>
        <v>-0.49135160090086899</v>
      </c>
      <c r="S165" s="3">
        <f ca="1">IFERROR(__xludf.DUMMYFUNCTION("""COMPUTED_VALUE"""),-0.461442143603103)</f>
        <v>-0.46144214360310298</v>
      </c>
      <c r="T165" s="3">
        <f ca="1">IFERROR(__xludf.DUMMYFUNCTION("""COMPUTED_VALUE"""),-0.514774912835034)</f>
        <v>-0.51477491283503396</v>
      </c>
      <c r="U165" s="3">
        <f ca="1">IFERROR(__xludf.DUMMYFUNCTION("""COMPUTED_VALUE"""),-0.559238332960814)</f>
        <v>-0.55923833296081404</v>
      </c>
      <c r="V165" s="3">
        <f ca="1">IFERROR(__xludf.DUMMYFUNCTION("""COMPUTED_VALUE"""),-0.651701664286394)</f>
        <v>-0.65170166428639398</v>
      </c>
      <c r="W165" s="3">
        <f ca="1">IFERROR(__xludf.DUMMYFUNCTION("""COMPUTED_VALUE"""),-0.55472128816418)</f>
        <v>-0.55472128816417998</v>
      </c>
      <c r="X165" s="3">
        <f ca="1">IFERROR(__xludf.DUMMYFUNCTION("""COMPUTED_VALUE"""),-0.557351851291975)</f>
        <v>-0.55735185129197495</v>
      </c>
      <c r="Y165" s="3">
        <f ca="1">IFERROR(__xludf.DUMMYFUNCTION("""COMPUTED_VALUE"""),-0.411277554154614)</f>
        <v>-0.41127755415461398</v>
      </c>
      <c r="Z165" s="3">
        <f ca="1">IFERROR(__xludf.DUMMYFUNCTION("""COMPUTED_VALUE"""),-0.47525606234621)</f>
        <v>-0.47525606234620998</v>
      </c>
      <c r="AA165" s="3">
        <f ca="1">IFERROR(__xludf.DUMMYFUNCTION("""COMPUTED_VALUE"""),-0.555904724905817)</f>
        <v>-0.55590472490581699</v>
      </c>
      <c r="AB165" s="3">
        <f ca="1">IFERROR(__xludf.DUMMYFUNCTION("""COMPUTED_VALUE"""),-0.615969826635941)</f>
        <v>-0.61596982663594102</v>
      </c>
      <c r="AC165" s="3">
        <f ca="1">IFERROR(__xludf.DUMMYFUNCTION("""COMPUTED_VALUE"""),-0.551265437576267)</f>
        <v>-0.551265437576267</v>
      </c>
      <c r="AD165" s="3">
        <f ca="1">IFERROR(__xludf.DUMMYFUNCTION("""COMPUTED_VALUE"""),-0.582341817723131)</f>
        <v>-0.58234181772313098</v>
      </c>
      <c r="AE165" s="3">
        <f ca="1">IFERROR(__xludf.DUMMYFUNCTION("""COMPUTED_VALUE"""),-0.573979546876295)</f>
        <v>-0.57397954687629504</v>
      </c>
      <c r="AF165" s="3">
        <f ca="1">IFERROR(__xludf.DUMMYFUNCTION("""COMPUTED_VALUE"""),-0.445515819187088)</f>
        <v>-0.44551581918708799</v>
      </c>
      <c r="AG165" s="3">
        <f ca="1">IFERROR(__xludf.DUMMYFUNCTION("""COMPUTED_VALUE"""),-0.4625218772633)</f>
        <v>-0.46252187726330002</v>
      </c>
      <c r="AH165" s="3">
        <f ca="1">IFERROR(__xludf.DUMMYFUNCTION("""COMPUTED_VALUE"""),-0.541754022025258)</f>
        <v>-0.54175402202525802</v>
      </c>
      <c r="AI165" s="3">
        <f ca="1">IFERROR(__xludf.DUMMYFUNCTION("""COMPUTED_VALUE"""),-0.542465670911658)</f>
        <v>-0.54246567091165798</v>
      </c>
      <c r="AJ165" s="3">
        <f ca="1">IFERROR(__xludf.DUMMYFUNCTION("""COMPUTED_VALUE"""),-0.542527445136801)</f>
        <v>-0.54252744513680096</v>
      </c>
      <c r="AK165" s="3">
        <f ca="1">IFERROR(__xludf.DUMMYFUNCTION("""COMPUTED_VALUE"""),-0.552581130651177)</f>
        <v>-0.55258113065117698</v>
      </c>
      <c r="AL165" s="3">
        <f ca="1">IFERROR(__xludf.DUMMYFUNCTION("""COMPUTED_VALUE"""),-0.571357857400532)</f>
        <v>-0.57135785740053202</v>
      </c>
      <c r="AM165" s="3">
        <f ca="1">IFERROR(__xludf.DUMMYFUNCTION("""COMPUTED_VALUE"""),-0.436790528793805)</f>
        <v>-0.43679052879380498</v>
      </c>
      <c r="AN165" s="3">
        <f ca="1">IFERROR(__xludf.DUMMYFUNCTION("""COMPUTED_VALUE"""),-0.48267731426615)</f>
        <v>-0.48267731426615001</v>
      </c>
      <c r="AO165" s="3">
        <f ca="1">IFERROR(__xludf.DUMMYFUNCTION("""COMPUTED_VALUE"""),-0.573600379124194)</f>
        <v>-0.57360037912419404</v>
      </c>
      <c r="AP165" s="3">
        <f ca="1">IFERROR(__xludf.DUMMYFUNCTION("""COMPUTED_VALUE"""),-0.583258091049634)</f>
        <v>-0.583258091049634</v>
      </c>
      <c r="AQ165" s="3">
        <f ca="1">IFERROR(__xludf.DUMMYFUNCTION("""COMPUTED_VALUE"""),-0.549767984128788)</f>
        <v>-0.54976798412878802</v>
      </c>
      <c r="AR165" s="3">
        <f ca="1">IFERROR(__xludf.DUMMYFUNCTION("""COMPUTED_VALUE"""),-0.594685226525257)</f>
        <v>-0.59468522652525702</v>
      </c>
      <c r="AS165" s="3">
        <f ca="1">IFERROR(__xludf.DUMMYFUNCTION("""COMPUTED_VALUE"""),-0.605180011209304)</f>
        <v>-0.60518001120930398</v>
      </c>
      <c r="AT165" s="3">
        <f ca="1">IFERROR(__xludf.DUMMYFUNCTION("""COMPUTED_VALUE"""),-0.522503626484976)</f>
        <v>-0.52250362648497595</v>
      </c>
      <c r="AU165" s="3">
        <f ca="1">IFERROR(__xludf.DUMMYFUNCTION("""COMPUTED_VALUE"""),-0.469227142710689)</f>
        <v>-0.46922714271068899</v>
      </c>
      <c r="AV165" s="3">
        <f ca="1">IFERROR(__xludf.DUMMYFUNCTION("""COMPUTED_VALUE"""),-0.582282719705606)</f>
        <v>-0.58228271970560597</v>
      </c>
      <c r="AW165" s="3">
        <f ca="1">IFERROR(__xludf.DUMMYFUNCTION("""COMPUTED_VALUE"""),-0.582635860084729)</f>
        <v>-0.58263586008472901</v>
      </c>
      <c r="AX165" s="3">
        <f ca="1">IFERROR(__xludf.DUMMYFUNCTION("""COMPUTED_VALUE"""),-0.47963766592454)</f>
        <v>-0.47963766592453999</v>
      </c>
      <c r="AY165" s="3">
        <f ca="1">IFERROR(__xludf.DUMMYFUNCTION("""COMPUTED_VALUE"""),-0.611372880818001)</f>
        <v>-0.61137288081800101</v>
      </c>
      <c r="AZ165" s="3">
        <f ca="1">IFERROR(__xludf.DUMMYFUNCTION("""COMPUTED_VALUE"""),-0.654246547482588)</f>
        <v>-0.65424654748258804</v>
      </c>
      <c r="BA165" s="3">
        <f ca="1">IFERROR(__xludf.DUMMYFUNCTION("""COMPUTED_VALUE"""),-0.444632376008026)</f>
        <v>-0.44463237600802602</v>
      </c>
      <c r="BB165" s="3">
        <f ca="1">IFERROR(__xludf.DUMMYFUNCTION("""COMPUTED_VALUE"""),-0.510150965483377)</f>
        <v>-0.51015096548337702</v>
      </c>
      <c r="BC165" s="3">
        <f ca="1">IFERROR(__xludf.DUMMYFUNCTION("""COMPUTED_VALUE"""),-0.633111849487346)</f>
        <v>-0.633111849487346</v>
      </c>
      <c r="BD165" s="3">
        <f ca="1">IFERROR(__xludf.DUMMYFUNCTION("""COMPUTED_VALUE"""),-0.708192086531467)</f>
        <v>-0.70819208653146704</v>
      </c>
      <c r="BE165" s="3">
        <f ca="1">IFERROR(__xludf.DUMMYFUNCTION("""COMPUTED_VALUE"""),-0.550000273451763)</f>
        <v>-0.55000027345176306</v>
      </c>
      <c r="BF165" s="3">
        <f ca="1">IFERROR(__xludf.DUMMYFUNCTION("""COMPUTED_VALUE"""),-0.605173443749402)</f>
        <v>-0.60517344374940196</v>
      </c>
      <c r="BG165" s="3">
        <f ca="1">IFERROR(__xludf.DUMMYFUNCTION("""COMPUTED_VALUE"""),-0.594325207675471)</f>
        <v>-0.59432520767547103</v>
      </c>
      <c r="BH165" s="3">
        <f ca="1">IFERROR(__xludf.DUMMYFUNCTION("""COMPUTED_VALUE"""),-0.46174508145795)</f>
        <v>-0.46174508145795001</v>
      </c>
      <c r="BI165" s="3">
        <f ca="1">IFERROR(__xludf.DUMMYFUNCTION("""COMPUTED_VALUE"""),-0.548789780303913)</f>
        <v>-0.54878978030391301</v>
      </c>
      <c r="BJ165" s="3">
        <f ca="1">IFERROR(__xludf.DUMMYFUNCTION("""COMPUTED_VALUE"""),-0.618684462744295)</f>
        <v>-0.61868446274429501</v>
      </c>
      <c r="BK165" s="3">
        <f ca="1">IFERROR(__xludf.DUMMYFUNCTION("""COMPUTED_VALUE"""),-0.636431010561797)</f>
        <v>-0.63643101056179696</v>
      </c>
      <c r="BL165" s="3">
        <f ca="1">IFERROR(__xludf.DUMMYFUNCTION("""COMPUTED_VALUE"""),-0.620974205688358)</f>
        <v>-0.62097420568835804</v>
      </c>
      <c r="BM165" s="3">
        <f ca="1">IFERROR(__xludf.DUMMYFUNCTION("""COMPUTED_VALUE"""),-0.607637664082817)</f>
        <v>-0.60763766408281705</v>
      </c>
      <c r="BN165" s="3">
        <f ca="1">IFERROR(__xludf.DUMMYFUNCTION("""COMPUTED_VALUE"""),-0.626995204134015)</f>
        <v>-0.62699520413401499</v>
      </c>
      <c r="BO165" s="3">
        <f ca="1">IFERROR(__xludf.DUMMYFUNCTION("""COMPUTED_VALUE"""),-0.538607050184876)</f>
        <v>-0.53860705018487598</v>
      </c>
      <c r="BP165" s="3">
        <f ca="1">IFERROR(__xludf.DUMMYFUNCTION("""COMPUTED_VALUE"""),-0.504911702126676)</f>
        <v>-0.50491170212667602</v>
      </c>
      <c r="BQ165" s="3">
        <f ca="1">IFERROR(__xludf.DUMMYFUNCTION("""COMPUTED_VALUE"""),-0.616123025751883)</f>
        <v>-0.61612302575188305</v>
      </c>
      <c r="BR165" s="3">
        <f ca="1">IFERROR(__xludf.DUMMYFUNCTION("""COMPUTED_VALUE"""),-0.623356459213376)</f>
        <v>-0.62335645921337601</v>
      </c>
      <c r="BS165" s="3">
        <f ca="1">IFERROR(__xludf.DUMMYFUNCTION("""COMPUTED_VALUE"""),-0.644300551658754)</f>
        <v>-0.64430055165875399</v>
      </c>
      <c r="BT165" s="3">
        <f ca="1">IFERROR(__xludf.DUMMYFUNCTION("""COMPUTED_VALUE"""),-0.670168619673939)</f>
        <v>-0.67016861967393904</v>
      </c>
      <c r="BU165" s="3">
        <f ca="1">IFERROR(__xludf.DUMMYFUNCTION("""COMPUTED_VALUE"""),-0.689190469453634)</f>
        <v>-0.68919046945363405</v>
      </c>
      <c r="BV165" s="3">
        <f ca="1">IFERROR(__xludf.DUMMYFUNCTION("""COMPUTED_VALUE"""),-0.607664058271518)</f>
        <v>-0.60766405827151804</v>
      </c>
      <c r="BW165" s="3">
        <f ca="1">IFERROR(__xludf.DUMMYFUNCTION("""COMPUTED_VALUE"""),-0.548491673053969)</f>
        <v>-0.54849167305396895</v>
      </c>
      <c r="BX165" s="3">
        <f ca="1">IFERROR(__xludf.DUMMYFUNCTION("""COMPUTED_VALUE"""),-0.657590240328978)</f>
        <v>-0.65759024032897795</v>
      </c>
      <c r="BY165" s="3">
        <f ca="1">IFERROR(__xludf.DUMMYFUNCTION("""COMPUTED_VALUE"""),-0.64341534058307)</f>
        <v>-0.64341534058307004</v>
      </c>
      <c r="BZ165" s="3">
        <f ca="1">IFERROR(__xludf.DUMMYFUNCTION("""COMPUTED_VALUE"""),-0.622299402680663)</f>
        <v>-0.62229940268066297</v>
      </c>
      <c r="CA165" s="3">
        <f ca="1">IFERROR(__xludf.DUMMYFUNCTION("""COMPUTED_VALUE"""),-0.675552087089263)</f>
        <v>-0.67555208708926295</v>
      </c>
      <c r="CB165" s="3">
        <f ca="1">IFERROR(__xludf.DUMMYFUNCTION("""COMPUTED_VALUE"""),-0.646784037931362)</f>
        <v>-0.64678403793136197</v>
      </c>
      <c r="CC165" s="3">
        <f ca="1">IFERROR(__xludf.DUMMYFUNCTION("""COMPUTED_VALUE"""),-0.545655884224437)</f>
        <v>-0.545655884224437</v>
      </c>
      <c r="CD165" s="3">
        <f ca="1">IFERROR(__xludf.DUMMYFUNCTION("""COMPUTED_VALUE"""),-0.536832248692428)</f>
        <v>-0.53683224869242796</v>
      </c>
      <c r="CE165" s="3">
        <f ca="1">IFERROR(__xludf.DUMMYFUNCTION("""COMPUTED_VALUE"""),-0.624638529305714)</f>
        <v>-0.62463852930571395</v>
      </c>
      <c r="CF165" s="3">
        <f ca="1">IFERROR(__xludf.DUMMYFUNCTION("""COMPUTED_VALUE"""),-0.612704713691531)</f>
        <v>-0.61270471369153101</v>
      </c>
      <c r="CG165" s="3">
        <f ca="1">IFERROR(__xludf.DUMMYFUNCTION("""COMPUTED_VALUE"""),-0.628541404797751)</f>
        <v>-0.628541404797751</v>
      </c>
      <c r="CH165" s="3">
        <f ca="1">IFERROR(__xludf.DUMMYFUNCTION("""COMPUTED_VALUE"""),-0.615680966741775)</f>
        <v>-0.61568096674177497</v>
      </c>
      <c r="CI165" s="3">
        <f ca="1">IFERROR(__xludf.DUMMYFUNCTION("""COMPUTED_VALUE"""),-0.597079428331837)</f>
        <v>-0.59707942833183703</v>
      </c>
      <c r="CJ165" s="3">
        <f ca="1">IFERROR(__xludf.DUMMYFUNCTION("""COMPUTED_VALUE"""),-0.527454427015006)</f>
        <v>-0.527454427015006</v>
      </c>
      <c r="CK165" s="3">
        <f ca="1">IFERROR(__xludf.DUMMYFUNCTION("""COMPUTED_VALUE"""),-0.512203610817015)</f>
        <v>-0.51220361081701504</v>
      </c>
      <c r="CL165" s="3">
        <f ca="1">IFERROR(__xludf.DUMMYFUNCTION("""COMPUTED_VALUE"""),-0.635001606429928)</f>
        <v>-0.63500160642992798</v>
      </c>
      <c r="CM165" s="3">
        <f ca="1">IFERROR(__xludf.DUMMYFUNCTION("""COMPUTED_VALUE"""),-0.625850236596394)</f>
        <v>-0.62585023659639405</v>
      </c>
      <c r="CN165" s="3">
        <f ca="1">IFERROR(__xludf.DUMMYFUNCTION("""COMPUTED_VALUE"""),-0.616892857036573)</f>
        <v>-0.61689285703657304</v>
      </c>
      <c r="CO165" s="3">
        <f ca="1">IFERROR(__xludf.DUMMYFUNCTION("""COMPUTED_VALUE"""),-0.631593330438101)</f>
        <v>-0.63159333043810095</v>
      </c>
      <c r="CP165" s="3">
        <f ca="1">IFERROR(__xludf.DUMMYFUNCTION("""COMPUTED_VALUE"""),-0.632082977091228)</f>
        <v>-0.63208297709122796</v>
      </c>
      <c r="CQ165" s="3">
        <f ca="1">IFERROR(__xludf.DUMMYFUNCTION("""COMPUTED_VALUE"""),-0.524950634784865)</f>
        <v>-0.52495063478486503</v>
      </c>
      <c r="CR165" s="3">
        <f ca="1">IFERROR(__xludf.DUMMYFUNCTION("""COMPUTED_VALUE"""),-0.53014486319525)</f>
        <v>-0.53014486319525</v>
      </c>
      <c r="CS165" s="3">
        <f ca="1">IFERROR(__xludf.DUMMYFUNCTION("""COMPUTED_VALUE"""),-0.634117955740147)</f>
        <v>-0.63411795574014695</v>
      </c>
      <c r="CT165" s="3">
        <f ca="1">IFERROR(__xludf.DUMMYFUNCTION("""COMPUTED_VALUE"""),-0.620305596446247)</f>
        <v>-0.62030559644624705</v>
      </c>
      <c r="CU165" s="3">
        <f ca="1">IFERROR(__xludf.DUMMYFUNCTION("""COMPUTED_VALUE"""),-0.56533457424442)</f>
        <v>-0.56533457424442002</v>
      </c>
      <c r="CV165" s="3">
        <f ca="1">IFERROR(__xludf.DUMMYFUNCTION("""COMPUTED_VALUE"""),-0.60428463925838)</f>
        <v>-0.60428463925838005</v>
      </c>
      <c r="CW165" s="3">
        <f ca="1">IFERROR(__xludf.DUMMYFUNCTION("""COMPUTED_VALUE"""),-0.60482654246127)</f>
        <v>-0.60482654246126999</v>
      </c>
      <c r="CX165" s="3">
        <f ca="1">IFERROR(__xludf.DUMMYFUNCTION("""COMPUTED_VALUE"""),-0.5241856797841)</f>
        <v>-0.52418567978410002</v>
      </c>
      <c r="CY165" s="3">
        <f ca="1">IFERROR(__xludf.DUMMYFUNCTION("""COMPUTED_VALUE"""),-0.50771584710627)</f>
        <v>-0.50771584710627005</v>
      </c>
      <c r="CZ165" s="3">
        <f ca="1">IFERROR(__xludf.DUMMYFUNCTION("""COMPUTED_VALUE"""),-0.74069507437017)</f>
        <v>-0.74069507437017001</v>
      </c>
      <c r="DA165" s="3">
        <f ca="1">IFERROR(__xludf.DUMMYFUNCTION("""COMPUTED_VALUE"""),-0.553136244416246)</f>
        <v>-0.55313624441624598</v>
      </c>
      <c r="DB165" s="3">
        <f ca="1">IFERROR(__xludf.DUMMYFUNCTION("""COMPUTED_VALUE"""),-0.368875299129224)</f>
        <v>-0.36887529912922401</v>
      </c>
      <c r="DC165" s="3">
        <f ca="1">IFERROR(__xludf.DUMMYFUNCTION("""COMPUTED_VALUE"""),-0.539503105390292)</f>
        <v>-0.539503105390292</v>
      </c>
      <c r="DD165" s="3">
        <f ca="1">IFERROR(__xludf.DUMMYFUNCTION("""COMPUTED_VALUE"""),-0.564472187890899)</f>
        <v>-0.56447218789089904</v>
      </c>
      <c r="DE165" s="3">
        <f ca="1">IFERROR(__xludf.DUMMYFUNCTION("""COMPUTED_VALUE"""),-0.465392193162819)</f>
        <v>-0.46539219316281899</v>
      </c>
      <c r="DF165" s="3">
        <f ca="1">IFERROR(__xludf.DUMMYFUNCTION("""COMPUTED_VALUE"""),-0.572597473663028)</f>
        <v>-0.57259747366302804</v>
      </c>
      <c r="DG165" s="3">
        <f ca="1">IFERROR(__xludf.DUMMYFUNCTION("""COMPUTED_VALUE"""),-0.821749047805721)</f>
        <v>-0.821749047805721</v>
      </c>
      <c r="DH165" s="3">
        <f ca="1">IFERROR(__xludf.DUMMYFUNCTION("""COMPUTED_VALUE"""),-0.622646538450585)</f>
        <v>-0.62264653845058504</v>
      </c>
      <c r="DI165" s="3">
        <f ca="1">IFERROR(__xludf.DUMMYFUNCTION("""COMPUTED_VALUE"""),-0.312898421426075)</f>
        <v>-0.31289842142607499</v>
      </c>
      <c r="DJ165" s="3">
        <f ca="1">IFERROR(__xludf.DUMMYFUNCTION("""COMPUTED_VALUE"""),-0.500703427320909)</f>
        <v>-0.500703427320909</v>
      </c>
      <c r="DK165" s="3">
        <f ca="1">IFERROR(__xludf.DUMMYFUNCTION("""COMPUTED_VALUE"""),-0.519748043868039)</f>
        <v>-0.51974804386803897</v>
      </c>
      <c r="DL165" s="3">
        <f ca="1">IFERROR(__xludf.DUMMYFUNCTION("""COMPUTED_VALUE"""),-0.451528371733009)</f>
        <v>-0.45152837173300903</v>
      </c>
      <c r="DM165" s="3">
        <f ca="1">IFERROR(__xludf.DUMMYFUNCTION("""COMPUTED_VALUE"""),-0.524244257734304)</f>
        <v>-0.52424425773430405</v>
      </c>
      <c r="DN165" s="3">
        <f ca="1">IFERROR(__xludf.DUMMYFUNCTION("""COMPUTED_VALUE"""),-0.593185518884492)</f>
        <v>-0.593185518884492</v>
      </c>
      <c r="DO165" s="3">
        <f ca="1">IFERROR(__xludf.DUMMYFUNCTION("""COMPUTED_VALUE"""),-0.593531711242844)</f>
        <v>-0.59353171124284398</v>
      </c>
      <c r="DP165" s="3">
        <f ca="1">IFERROR(__xludf.DUMMYFUNCTION("""COMPUTED_VALUE"""),-0.575090757594707)</f>
        <v>-0.57509075759470696</v>
      </c>
      <c r="DQ165" s="3">
        <f ca="1">IFERROR(__xludf.DUMMYFUNCTION("""COMPUTED_VALUE"""),-0.575744543554141)</f>
        <v>-0.57574454355414095</v>
      </c>
      <c r="DR165" s="3">
        <f ca="1">IFERROR(__xludf.DUMMYFUNCTION("""COMPUTED_VALUE"""),-0.62837637068241)</f>
        <v>-0.62837637068241003</v>
      </c>
      <c r="DS165" s="3">
        <f ca="1">IFERROR(__xludf.DUMMYFUNCTION("""COMPUTED_VALUE"""),-0.450487757384083)</f>
        <v>-0.45048775738408298</v>
      </c>
      <c r="DT165" s="3">
        <f ca="1">IFERROR(__xludf.DUMMYFUNCTION("""COMPUTED_VALUE"""),-0.494554488808063)</f>
        <v>-0.49455448880806302</v>
      </c>
      <c r="DU165" s="3">
        <f ca="1">IFERROR(__xludf.DUMMYFUNCTION("""COMPUTED_VALUE"""),-0.588695607822337)</f>
        <v>-0.58869560782233699</v>
      </c>
      <c r="DV165" s="3">
        <f ca="1">IFERROR(__xludf.DUMMYFUNCTION("""COMPUTED_VALUE"""),-0.620042835573443)</f>
        <v>-0.62004283557344297</v>
      </c>
      <c r="DW165" s="3">
        <f ca="1">IFERROR(__xludf.DUMMYFUNCTION("""COMPUTED_VALUE"""),-0.635700913536718)</f>
        <v>-0.63570091353671798</v>
      </c>
      <c r="DX165" s="3">
        <f ca="1">IFERROR(__xludf.DUMMYFUNCTION("""COMPUTED_VALUE"""),-0.62736971782643)</f>
        <v>-0.62736971782643003</v>
      </c>
      <c r="DY165" s="3">
        <f ca="1">IFERROR(__xludf.DUMMYFUNCTION("""COMPUTED_VALUE"""),-0.586735781226867)</f>
        <v>-0.58673578122686698</v>
      </c>
      <c r="DZ165" s="3">
        <f ca="1">IFERROR(__xludf.DUMMYFUNCTION("""COMPUTED_VALUE"""),-0.467809516022671)</f>
        <v>-0.46780951602267101</v>
      </c>
      <c r="EA165" s="3">
        <f ca="1">IFERROR(__xludf.DUMMYFUNCTION("""COMPUTED_VALUE"""),-0.516647519045963)</f>
        <v>-0.51664751904596296</v>
      </c>
      <c r="EB165" s="3">
        <f ca="1">IFERROR(__xludf.DUMMYFUNCTION("""COMPUTED_VALUE"""),-0.600159143732437)</f>
        <v>-0.60015914373243695</v>
      </c>
      <c r="EC165" s="3">
        <f ca="1">IFERROR(__xludf.DUMMYFUNCTION("""COMPUTED_VALUE"""),-0.552466792445675)</f>
        <v>-0.55246679244567498</v>
      </c>
      <c r="ED165" s="3">
        <f ca="1">IFERROR(__xludf.DUMMYFUNCTION("""COMPUTED_VALUE"""),-0.625431566434587)</f>
        <v>-0.62543156643458697</v>
      </c>
      <c r="EE165" s="3">
        <f ca="1">IFERROR(__xludf.DUMMYFUNCTION("""COMPUTED_VALUE"""),-0.639744742866924)</f>
        <v>-0.63974474286692395</v>
      </c>
      <c r="EF165" s="3">
        <f ca="1">IFERROR(__xludf.DUMMYFUNCTION("""COMPUTED_VALUE"""),-0.662278369429258)</f>
        <v>-0.662278369429258</v>
      </c>
      <c r="EG165" s="3">
        <f ca="1">IFERROR(__xludf.DUMMYFUNCTION("""COMPUTED_VALUE"""),-0.473365711683319)</f>
        <v>-0.47336571168331898</v>
      </c>
      <c r="EH165" s="3">
        <f ca="1">IFERROR(__xludf.DUMMYFUNCTION("""COMPUTED_VALUE"""),-0.526439743847443)</f>
        <v>-0.52643974384744296</v>
      </c>
      <c r="EI165" s="3">
        <f ca="1">IFERROR(__xludf.DUMMYFUNCTION("""COMPUTED_VALUE"""),-0.625604116331279)</f>
        <v>-0.62560411633127899</v>
      </c>
      <c r="EJ165" s="3">
        <f ca="1">IFERROR(__xludf.DUMMYFUNCTION("""COMPUTED_VALUE"""),-0.717095865505808)</f>
        <v>-0.71709586550580795</v>
      </c>
      <c r="EK165" s="3">
        <f ca="1">IFERROR(__xludf.DUMMYFUNCTION("""COMPUTED_VALUE"""),-0.605248272945577)</f>
        <v>-0.60524827294557704</v>
      </c>
      <c r="EL165" s="3">
        <f ca="1">IFERROR(__xludf.DUMMYFUNCTION("""COMPUTED_VALUE"""),-0.628570533704089)</f>
        <v>-0.628570533704089</v>
      </c>
      <c r="EM165" s="3">
        <f ca="1">IFERROR(__xludf.DUMMYFUNCTION("""COMPUTED_VALUE"""),-0.623593496751318)</f>
        <v>-0.62359349675131803</v>
      </c>
      <c r="EN165" s="3">
        <f ca="1">IFERROR(__xludf.DUMMYFUNCTION("""COMPUTED_VALUE"""),-0.457192015976852)</f>
        <v>-0.457192015976852</v>
      </c>
      <c r="EO165" s="3">
        <f ca="1">IFERROR(__xludf.DUMMYFUNCTION("""COMPUTED_VALUE"""),-0.514670957063512)</f>
        <v>-0.51467095706351196</v>
      </c>
      <c r="EP165" s="3">
        <f ca="1">IFERROR(__xludf.DUMMYFUNCTION("""COMPUTED_VALUE"""),-0.568433264898454)</f>
        <v>-0.56843326489845403</v>
      </c>
      <c r="EQ165" s="3">
        <f ca="1">IFERROR(__xludf.DUMMYFUNCTION("""COMPUTED_VALUE"""),-0.552784067183222)</f>
        <v>-0.55278406718322204</v>
      </c>
      <c r="ER165" s="3">
        <f ca="1">IFERROR(__xludf.DUMMYFUNCTION("""COMPUTED_VALUE"""),-0.626077361228677)</f>
        <v>-0.62607736122867697</v>
      </c>
      <c r="ES165" s="3">
        <f ca="1">IFERROR(__xludf.DUMMYFUNCTION("""COMPUTED_VALUE"""),-0.646566608184682)</f>
        <v>-0.64656660818468203</v>
      </c>
      <c r="ET165" s="3">
        <f ca="1">IFERROR(__xludf.DUMMYFUNCTION("""COMPUTED_VALUE"""),-0.603895524751092)</f>
        <v>-0.60389552475109198</v>
      </c>
      <c r="EU165" s="3">
        <f ca="1">IFERROR(__xludf.DUMMYFUNCTION("""COMPUTED_VALUE"""),-0.502938186944583)</f>
        <v>-0.50293818694458303</v>
      </c>
      <c r="EV165" s="3">
        <f ca="1">IFERROR(__xludf.DUMMYFUNCTION("""COMPUTED_VALUE"""),-0.524848011849284)</f>
        <v>-0.52484801184928398</v>
      </c>
      <c r="EW165" s="3">
        <f ca="1">IFERROR(__xludf.DUMMYFUNCTION("""COMPUTED_VALUE"""),-0.61481407057393)</f>
        <v>-0.61481407057393</v>
      </c>
      <c r="EX165" s="3">
        <f ca="1">IFERROR(__xludf.DUMMYFUNCTION("""COMPUTED_VALUE"""),-0.649169589831976)</f>
        <v>-0.64916958983197603</v>
      </c>
      <c r="EY165" s="3">
        <f ca="1">IFERROR(__xludf.DUMMYFUNCTION("""COMPUTED_VALUE"""),-0.653933948338105)</f>
        <v>-0.65393394833810503</v>
      </c>
      <c r="EZ165" s="3">
        <f ca="1">IFERROR(__xludf.DUMMYFUNCTION("""COMPUTED_VALUE"""),-0.624729065433166)</f>
        <v>-0.62472906543316598</v>
      </c>
      <c r="FA165" s="3">
        <f ca="1">IFERROR(__xludf.DUMMYFUNCTION("""COMPUTED_VALUE"""),-0.581449492023648)</f>
        <v>-0.58144949202364804</v>
      </c>
      <c r="FB165" s="3">
        <f ca="1">IFERROR(__xludf.DUMMYFUNCTION("""COMPUTED_VALUE"""),-0.478714591200604)</f>
        <v>-0.478714591200604</v>
      </c>
      <c r="FC165" s="3">
        <f ca="1">IFERROR(__xludf.DUMMYFUNCTION("""COMPUTED_VALUE"""),-0.536022739912913)</f>
        <v>-0.53602273991291305</v>
      </c>
      <c r="FD165" s="3">
        <f ca="1">IFERROR(__xludf.DUMMYFUNCTION("""COMPUTED_VALUE"""),-0.643751821205575)</f>
        <v>-0.64375182120557495</v>
      </c>
      <c r="FE165" s="3">
        <f ca="1">IFERROR(__xludf.DUMMYFUNCTION("""COMPUTED_VALUE"""),-0.641626015096175)</f>
        <v>-0.64162601509617501</v>
      </c>
      <c r="FF165" s="3">
        <f ca="1">IFERROR(__xludf.DUMMYFUNCTION("""COMPUTED_VALUE"""),-0.64227085879296)</f>
        <v>-0.64227085879295998</v>
      </c>
      <c r="FG165" s="3">
        <f ca="1">IFERROR(__xludf.DUMMYFUNCTION("""COMPUTED_VALUE"""),-0.62863844624889)</f>
        <v>-0.62863844624888998</v>
      </c>
      <c r="FH165" s="3">
        <f ca="1">IFERROR(__xludf.DUMMYFUNCTION("""COMPUTED_VALUE"""),-0.606511991763653)</f>
        <v>-0.606511991763653</v>
      </c>
      <c r="FI165" s="3">
        <f ca="1">IFERROR(__xludf.DUMMYFUNCTION("""COMPUTED_VALUE"""),-0.537794860343464)</f>
        <v>-0.53779486034346402</v>
      </c>
      <c r="FJ165" s="3">
        <f ca="1">IFERROR(__xludf.DUMMYFUNCTION("""COMPUTED_VALUE"""),-0.536588768149256)</f>
        <v>-0.53658876814925605</v>
      </c>
      <c r="FK165" s="3">
        <f ca="1">IFERROR(__xludf.DUMMYFUNCTION("""COMPUTED_VALUE"""),-0.662860714681166)</f>
        <v>-0.66286071468116603</v>
      </c>
      <c r="FL165" s="3">
        <f ca="1">IFERROR(__xludf.DUMMYFUNCTION("""COMPUTED_VALUE"""),-0.72556891130657)</f>
        <v>-0.72556891130656997</v>
      </c>
      <c r="FM165" s="3">
        <f ca="1">IFERROR(__xludf.DUMMYFUNCTION("""COMPUTED_VALUE"""),-0.629333571464357)</f>
        <v>-0.62933357146435698</v>
      </c>
      <c r="FN165" s="3">
        <f ca="1">IFERROR(__xludf.DUMMYFUNCTION("""COMPUTED_VALUE"""),-0.648105537388455)</f>
        <v>-0.648105537388455</v>
      </c>
      <c r="FO165" s="3">
        <f ca="1">IFERROR(__xludf.DUMMYFUNCTION("""COMPUTED_VALUE"""),-0.646118422232087)</f>
        <v>-0.64611842223208704</v>
      </c>
      <c r="FP165" s="3">
        <f ca="1">IFERROR(__xludf.DUMMYFUNCTION("""COMPUTED_VALUE"""),-0.524235415356644)</f>
        <v>-0.52423541535664397</v>
      </c>
      <c r="FQ165" s="3">
        <f ca="1">IFERROR(__xludf.DUMMYFUNCTION("""COMPUTED_VALUE"""),-0.547285405072241)</f>
        <v>-0.54728540507224099</v>
      </c>
      <c r="FR165" s="3">
        <f ca="1">IFERROR(__xludf.DUMMYFUNCTION("""COMPUTED_VALUE"""),-0.636066491458393)</f>
        <v>-0.636066491458393</v>
      </c>
      <c r="FS165" s="3">
        <f ca="1">IFERROR(__xludf.DUMMYFUNCTION("""COMPUTED_VALUE"""),-0.640276471611134)</f>
        <v>-0.64027647161113399</v>
      </c>
      <c r="FT165" s="3">
        <f ca="1">IFERROR(__xludf.DUMMYFUNCTION("""COMPUTED_VALUE"""),-0.634398534558096)</f>
        <v>-0.63439853455809603</v>
      </c>
      <c r="FU165" s="3">
        <f ca="1">IFERROR(__xludf.DUMMYFUNCTION("""COMPUTED_VALUE"""),-0.640208412487757)</f>
        <v>-0.64020841248775695</v>
      </c>
      <c r="FV165" s="3">
        <f ca="1">IFERROR(__xludf.DUMMYFUNCTION("""COMPUTED_VALUE"""),-0.648500603425668)</f>
        <v>-0.64850060342566795</v>
      </c>
      <c r="FW165" s="3">
        <f ca="1">IFERROR(__xludf.DUMMYFUNCTION("""COMPUTED_VALUE"""),-0.457849826971796)</f>
        <v>-0.45784982697179599</v>
      </c>
      <c r="FX165" s="3">
        <f ca="1">IFERROR(__xludf.DUMMYFUNCTION("""COMPUTED_VALUE"""),-0.556416624402923)</f>
        <v>-0.55641662440292305</v>
      </c>
      <c r="FY165" s="3">
        <f ca="1">IFERROR(__xludf.DUMMYFUNCTION("""COMPUTED_VALUE"""),-0.669359786122056)</f>
        <v>-0.66935978612205604</v>
      </c>
      <c r="FZ165" s="3">
        <f ca="1">IFERROR(__xludf.DUMMYFUNCTION("""COMPUTED_VALUE"""),-0.654246842023364)</f>
        <v>-0.65424684202336403</v>
      </c>
      <c r="GA165" s="3">
        <f ca="1">IFERROR(__xludf.DUMMYFUNCTION("""COMPUTED_VALUE"""),-0.633948884735622)</f>
        <v>-0.63394888473562205</v>
      </c>
      <c r="GB165" s="3">
        <f ca="1">IFERROR(__xludf.DUMMYFUNCTION("""COMPUTED_VALUE"""),-0.636264014225461)</f>
        <v>-0.63626401422546097</v>
      </c>
      <c r="GC165" s="3">
        <f ca="1">IFERROR(__xludf.DUMMYFUNCTION("""COMPUTED_VALUE"""),-0.650170666300932)</f>
        <v>-0.65017066630093201</v>
      </c>
      <c r="GD165" s="3">
        <f ca="1">IFERROR(__xludf.DUMMYFUNCTION("""COMPUTED_VALUE"""),-0.527206952648238)</f>
        <v>-0.52720695264823803</v>
      </c>
      <c r="GE165" s="3">
        <f ca="1">IFERROR(__xludf.DUMMYFUNCTION("""COMPUTED_VALUE"""),-0.576890083525226)</f>
        <v>-0.57689008352522597</v>
      </c>
      <c r="GF165" s="3">
        <f ca="1">IFERROR(__xludf.DUMMYFUNCTION("""COMPUTED_VALUE"""),-0.660922932251027)</f>
        <v>-0.66092293225102705</v>
      </c>
      <c r="GG165" s="3">
        <f ca="1">IFERROR(__xludf.DUMMYFUNCTION("""COMPUTED_VALUE"""),-0.671199221401395)</f>
        <v>-0.67119922140139499</v>
      </c>
      <c r="GH165" s="3">
        <f ca="1">IFERROR(__xludf.DUMMYFUNCTION("""COMPUTED_VALUE"""),-0.644600801011584)</f>
        <v>-0.64460080101158401</v>
      </c>
      <c r="GI165" s="3">
        <f ca="1">IFERROR(__xludf.DUMMYFUNCTION("""COMPUTED_VALUE"""),-0.676620455156408)</f>
        <v>-0.67662045515640801</v>
      </c>
      <c r="GJ165" s="3">
        <f ca="1">IFERROR(__xludf.DUMMYFUNCTION("""COMPUTED_VALUE"""),-0.66678233767219)</f>
        <v>-0.66678233767218997</v>
      </c>
      <c r="GK165" s="3">
        <f ca="1">IFERROR(__xludf.DUMMYFUNCTION("""COMPUTED_VALUE"""),-0.551140633318199)</f>
        <v>-0.55114063331819896</v>
      </c>
      <c r="GL165" s="3">
        <f ca="1">IFERROR(__xludf.DUMMYFUNCTION("""COMPUTED_VALUE"""),-0.591798629963304)</f>
        <v>-0.59179862996330401</v>
      </c>
      <c r="GM165" s="3">
        <f ca="1">IFERROR(__xludf.DUMMYFUNCTION("""COMPUTED_VALUE"""),-0.68375676799912)</f>
        <v>-0.68375676799912</v>
      </c>
      <c r="GN165" s="3">
        <f ca="1">IFERROR(__xludf.DUMMYFUNCTION("""COMPUTED_VALUE"""),-0.687247986654244)</f>
        <v>-0.68724798665424403</v>
      </c>
      <c r="GO165" s="3">
        <f ca="1">IFERROR(__xludf.DUMMYFUNCTION("""COMPUTED_VALUE"""),-0.685147212028604)</f>
        <v>-0.68514721202860396</v>
      </c>
      <c r="GP165" s="3">
        <f ca="1">IFERROR(__xludf.DUMMYFUNCTION("""COMPUTED_VALUE"""),-0.707583236122204)</f>
        <v>-0.70758323612220397</v>
      </c>
      <c r="GQ165" s="3">
        <f ca="1">IFERROR(__xludf.DUMMYFUNCTION("""COMPUTED_VALUE"""),-0.662837963355471)</f>
        <v>-0.66283796335547096</v>
      </c>
      <c r="GR165" s="3">
        <f ca="1">IFERROR(__xludf.DUMMYFUNCTION("""COMPUTED_VALUE"""),-0.556441952710828)</f>
        <v>-0.55644195271082797</v>
      </c>
      <c r="GS165" s="3">
        <f ca="1">IFERROR(__xludf.DUMMYFUNCTION("""COMPUTED_VALUE"""),-0.617558821882517)</f>
        <v>-0.61755882188251698</v>
      </c>
      <c r="GT165" s="3">
        <f ca="1">IFERROR(__xludf.DUMMYFUNCTION("""COMPUTED_VALUE"""),-0.707207639798205)</f>
        <v>-0.707207639798205</v>
      </c>
      <c r="GU165" s="3">
        <f ca="1">IFERROR(__xludf.DUMMYFUNCTION("""COMPUTED_VALUE"""),-0.68912904606379)</f>
        <v>-0.68912904606379</v>
      </c>
      <c r="GV165" s="3">
        <f ca="1">IFERROR(__xludf.DUMMYFUNCTION("""COMPUTED_VALUE"""),-0.662471307895466)</f>
        <v>-0.66247130789546604</v>
      </c>
      <c r="GW165" s="3">
        <f ca="1">IFERROR(__xludf.DUMMYFUNCTION("""COMPUTED_VALUE"""),-0.611183300565942)</f>
        <v>-0.61118330056594194</v>
      </c>
      <c r="GX165" s="3">
        <f ca="1">IFERROR(__xludf.DUMMYFUNCTION("""COMPUTED_VALUE"""),-0.698947114684595)</f>
        <v>-0.69894711468459503</v>
      </c>
      <c r="GY165" s="3">
        <f ca="1">IFERROR(__xludf.DUMMYFUNCTION("""COMPUTED_VALUE"""),-0.588609148342506)</f>
        <v>-0.58860914834250599</v>
      </c>
      <c r="GZ165" s="3">
        <f ca="1">IFERROR(__xludf.DUMMYFUNCTION("""COMPUTED_VALUE"""),-0.608291620077701)</f>
        <v>-0.60829162007770099</v>
      </c>
      <c r="HA165" s="3">
        <f ca="1">IFERROR(__xludf.DUMMYFUNCTION("""COMPUTED_VALUE"""),-0.69274048951979)</f>
        <v>-0.69274048951978995</v>
      </c>
      <c r="HB165" s="3">
        <f ca="1">IFERROR(__xludf.DUMMYFUNCTION("""COMPUTED_VALUE"""),-0.715672219159381)</f>
        <v>-0.71567221915938095</v>
      </c>
      <c r="HC165" s="3">
        <f ca="1">IFERROR(__xludf.DUMMYFUNCTION("""COMPUTED_VALUE"""),-0.689755174246891)</f>
        <v>-0.68975517424689103</v>
      </c>
      <c r="HD165" s="3">
        <f ca="1">IFERROR(__xludf.DUMMYFUNCTION("""COMPUTED_VALUE"""),-0.701366013173193)</f>
        <v>-0.70136601317319303</v>
      </c>
      <c r="HE165" s="3">
        <f ca="1">IFERROR(__xludf.DUMMYFUNCTION("""COMPUTED_VALUE"""),-0.692775787629428)</f>
        <v>-0.69277578762942804</v>
      </c>
      <c r="HF165" s="3">
        <f ca="1">IFERROR(__xludf.DUMMYFUNCTION("""COMPUTED_VALUE"""),-0.575836177917668)</f>
        <v>-0.57583617791766795</v>
      </c>
      <c r="HG165" s="3">
        <f ca="1">IFERROR(__xludf.DUMMYFUNCTION("""COMPUTED_VALUE"""),-0.617338577256)</f>
        <v>-0.61733857725600005</v>
      </c>
      <c r="HH165" s="3">
        <f ca="1">IFERROR(__xludf.DUMMYFUNCTION("""COMPUTED_VALUE"""),-0.684258227050412)</f>
        <v>-0.68425822705041195</v>
      </c>
      <c r="HI165" s="3">
        <f ca="1">IFERROR(__xludf.DUMMYFUNCTION("""COMPUTED_VALUE"""),-0.723950440717095)</f>
        <v>-0.72395044071709502</v>
      </c>
      <c r="HJ165" s="3">
        <f ca="1">IFERROR(__xludf.DUMMYFUNCTION("""COMPUTED_VALUE"""),-0.701838917087438)</f>
        <v>-0.70183891708743795</v>
      </c>
      <c r="HK165" s="3">
        <f ca="1">IFERROR(__xludf.DUMMYFUNCTION("""COMPUTED_VALUE"""),-0.693073318618275)</f>
        <v>-0.69307331861827504</v>
      </c>
      <c r="HL165" s="3">
        <f ca="1">IFERROR(__xludf.DUMMYFUNCTION("""COMPUTED_VALUE"""),-0.659931845037687)</f>
        <v>-0.65993184503768698</v>
      </c>
      <c r="HM165" s="3">
        <f ca="1">IFERROR(__xludf.DUMMYFUNCTION("""COMPUTED_VALUE"""),-0.581612419113556)</f>
        <v>-0.58161241911355599</v>
      </c>
      <c r="HN165" s="3">
        <f ca="1">IFERROR(__xludf.DUMMYFUNCTION("""COMPUTED_VALUE"""),-0.599373294708061)</f>
        <v>-0.599373294708061</v>
      </c>
      <c r="HO165" s="3">
        <f ca="1">IFERROR(__xludf.DUMMYFUNCTION("""COMPUTED_VALUE"""),-0.664896220462361)</f>
        <v>-0.66489622046236097</v>
      </c>
      <c r="HP165" s="3">
        <f ca="1">IFERROR(__xludf.DUMMYFUNCTION("""COMPUTED_VALUE"""),-0.714796280709967)</f>
        <v>-0.71479628070996704</v>
      </c>
      <c r="HQ165" s="3">
        <f ca="1">IFERROR(__xludf.DUMMYFUNCTION("""COMPUTED_VALUE"""),-0.699978721696253)</f>
        <v>-0.69997872169625297</v>
      </c>
      <c r="HR165" s="3">
        <f ca="1">IFERROR(__xludf.DUMMYFUNCTION("""COMPUTED_VALUE"""),-0.696281576050727)</f>
        <v>-0.69628157605072705</v>
      </c>
      <c r="HS165" s="3">
        <f ca="1">IFERROR(__xludf.DUMMYFUNCTION("""COMPUTED_VALUE"""),-0.681833643058036)</f>
        <v>-0.68183364305803595</v>
      </c>
      <c r="HT165" s="3">
        <f ca="1">IFERROR(__xludf.DUMMYFUNCTION("""COMPUTED_VALUE"""),-0.57554210895688)</f>
        <v>-0.57554210895687996</v>
      </c>
      <c r="HU165" s="3">
        <f ca="1">IFERROR(__xludf.DUMMYFUNCTION("""COMPUTED_VALUE"""),-0.62247782110405)</f>
        <v>-0.62247782110405003</v>
      </c>
      <c r="HV165" s="3">
        <f ca="1">IFERROR(__xludf.DUMMYFUNCTION("""COMPUTED_VALUE"""),-0.656401724744715)</f>
        <v>-0.65640172474471503</v>
      </c>
      <c r="HW165" s="3">
        <f ca="1">IFERROR(__xludf.DUMMYFUNCTION("""COMPUTED_VALUE"""),-0.670595256172024)</f>
        <v>-0.67059525617202398</v>
      </c>
      <c r="HX165" s="3">
        <f ca="1">IFERROR(__xludf.DUMMYFUNCTION("""COMPUTED_VALUE"""),-0.659731475449774)</f>
        <v>-0.65973147544977395</v>
      </c>
      <c r="HY165" s="3">
        <f ca="1">IFERROR(__xludf.DUMMYFUNCTION("""COMPUTED_VALUE"""),-0.647786384047113)</f>
        <v>-0.64778638404711297</v>
      </c>
      <c r="HZ165" s="3">
        <f ca="1">IFERROR(__xludf.DUMMYFUNCTION("""COMPUTED_VALUE"""),-0.595444169553149)</f>
        <v>-0.59544416955314905</v>
      </c>
      <c r="IA165" s="3">
        <f ca="1">IFERROR(__xludf.DUMMYFUNCTION("""COMPUTED_VALUE"""),-0.579356834406628)</f>
        <v>-0.579356834406628</v>
      </c>
      <c r="IB165" s="3">
        <f ca="1">IFERROR(__xludf.DUMMYFUNCTION("""COMPUTED_VALUE"""),-0.622504151457858)</f>
        <v>-0.62250415145785798</v>
      </c>
      <c r="IC165" s="3">
        <f ca="1">IFERROR(__xludf.DUMMYFUNCTION("""COMPUTED_VALUE"""),-0.655010662852346)</f>
        <v>-0.65501066285234599</v>
      </c>
      <c r="ID165" s="3">
        <f ca="1">IFERROR(__xludf.DUMMYFUNCTION("""COMPUTED_VALUE"""),-0.667370400293195)</f>
        <v>-0.66737040029319505</v>
      </c>
      <c r="IE165" s="3">
        <f ca="1">IFERROR(__xludf.DUMMYFUNCTION("""COMPUTED_VALUE"""),-0.668883027354393)</f>
        <v>-0.66888302735439298</v>
      </c>
      <c r="IF165" s="3">
        <f ca="1">IFERROR(__xludf.DUMMYFUNCTION("""COMPUTED_VALUE"""),-0.640840972669773)</f>
        <v>-0.64084097266977302</v>
      </c>
      <c r="IG165" s="3">
        <f ca="1">IFERROR(__xludf.DUMMYFUNCTION("""COMPUTED_VALUE"""),-0.655443502333347)</f>
        <v>-0.65544350233334703</v>
      </c>
      <c r="IH165" s="3">
        <f ca="1">IFERROR(__xludf.DUMMYFUNCTION("""COMPUTED_VALUE"""),-0.605096305258563)</f>
        <v>-0.60509630525856295</v>
      </c>
      <c r="II165" s="3">
        <f ca="1">IFERROR(__xludf.DUMMYFUNCTION("""COMPUTED_VALUE"""),-0.601027737486617)</f>
        <v>-0.60102773748661698</v>
      </c>
      <c r="IJ165" s="3">
        <f ca="1">IFERROR(__xludf.DUMMYFUNCTION("""COMPUTED_VALUE"""),-0.654874972554738)</f>
        <v>-0.65487497255473803</v>
      </c>
      <c r="IK165" s="3">
        <f ca="1">IFERROR(__xludf.DUMMYFUNCTION("""COMPUTED_VALUE"""),-0.694825270215337)</f>
        <v>-0.69482527021533702</v>
      </c>
      <c r="IL165" s="3">
        <f ca="1">IFERROR(__xludf.DUMMYFUNCTION("""COMPUTED_VALUE"""),-0.671700368468361)</f>
        <v>-0.67170036846836101</v>
      </c>
      <c r="IM165" s="3">
        <f ca="1">IFERROR(__xludf.DUMMYFUNCTION("""COMPUTED_VALUE"""),-0.642730817140436)</f>
        <v>-0.64273081714043601</v>
      </c>
      <c r="IN165" s="3">
        <f ca="1">IFERROR(__xludf.DUMMYFUNCTION("""COMPUTED_VALUE"""),-0.644333602452432)</f>
        <v>-0.64433360245243199</v>
      </c>
      <c r="IO165" s="3">
        <f ca="1">IFERROR(__xludf.DUMMYFUNCTION("""COMPUTED_VALUE"""),-0.572720931826485)</f>
        <v>-0.57272093182648498</v>
      </c>
      <c r="IP165" s="3">
        <f ca="1">IFERROR(__xludf.DUMMYFUNCTION("""COMPUTED_VALUE"""),-0.595146699507325)</f>
        <v>-0.59514669950732502</v>
      </c>
      <c r="IQ165" s="3">
        <f ca="1">IFERROR(__xludf.DUMMYFUNCTION("""COMPUTED_VALUE"""),-0.667968584088301)</f>
        <v>-0.66796858408830095</v>
      </c>
      <c r="IR165" s="3">
        <f ca="1">IFERROR(__xludf.DUMMYFUNCTION("""COMPUTED_VALUE"""),-0.701059700138656)</f>
        <v>-0.70105970013865604</v>
      </c>
      <c r="IS165" s="3">
        <f ca="1">IFERROR(__xludf.DUMMYFUNCTION("""COMPUTED_VALUE"""),-0.659283025551394)</f>
        <v>-0.65928302555139395</v>
      </c>
      <c r="IT165" s="3">
        <f ca="1">IFERROR(__xludf.DUMMYFUNCTION("""COMPUTED_VALUE"""),-0.718751384953035)</f>
        <v>-0.71875138495303503</v>
      </c>
      <c r="IU165" s="3">
        <f ca="1">IFERROR(__xludf.DUMMYFUNCTION("""COMPUTED_VALUE"""),-0.683700821442234)</f>
        <v>-0.68370082144223399</v>
      </c>
      <c r="IV165" s="3">
        <f ca="1">IFERROR(__xludf.DUMMYFUNCTION("""COMPUTED_VALUE"""),-0.589798095512834)</f>
        <v>-0.58979809551283402</v>
      </c>
      <c r="IW165" s="3">
        <f ca="1">IFERROR(__xludf.DUMMYFUNCTION("""COMPUTED_VALUE"""),-0.616496055966542)</f>
        <v>-0.616496055966542</v>
      </c>
      <c r="IX165" s="3">
        <f ca="1">IFERROR(__xludf.DUMMYFUNCTION("""COMPUTED_VALUE"""),-0.700645012550845)</f>
        <v>-0.70064501255084499</v>
      </c>
      <c r="IY165" s="3">
        <f ca="1">IFERROR(__xludf.DUMMYFUNCTION("""COMPUTED_VALUE"""),-0.697477931000118)</f>
        <v>-0.69747793100011801</v>
      </c>
      <c r="IZ165" s="3">
        <f ca="1">IFERROR(__xludf.DUMMYFUNCTION("""COMPUTED_VALUE"""),-0.675965503702515)</f>
        <v>-0.67596550370251496</v>
      </c>
      <c r="JA165" s="3">
        <f ca="1">IFERROR(__xludf.DUMMYFUNCTION("""COMPUTED_VALUE"""),-0.682289895004474)</f>
        <v>-0.68228989500447401</v>
      </c>
      <c r="JB165" s="3">
        <f ca="1">IFERROR(__xludf.DUMMYFUNCTION("""COMPUTED_VALUE"""),-0.656164856832871)</f>
        <v>-0.65616485683287096</v>
      </c>
      <c r="JC165" s="3">
        <f ca="1">IFERROR(__xludf.DUMMYFUNCTION("""COMPUTED_VALUE"""),-0.579940824141014)</f>
        <v>-0.579940824141014</v>
      </c>
      <c r="JD165" s="3">
        <f ca="1">IFERROR(__xludf.DUMMYFUNCTION("""COMPUTED_VALUE"""),-0.594645400400584)</f>
        <v>-0.594645400400584</v>
      </c>
      <c r="JE165" s="3">
        <f ca="1">IFERROR(__xludf.DUMMYFUNCTION("""COMPUTED_VALUE"""),-0.699362034593953)</f>
        <v>-0.69936203459395296</v>
      </c>
      <c r="JF165" s="3">
        <f ca="1">IFERROR(__xludf.DUMMYFUNCTION("""COMPUTED_VALUE"""),-0.705576549852204)</f>
        <v>-0.70557654985220397</v>
      </c>
      <c r="JG165" s="3">
        <f ca="1">IFERROR(__xludf.DUMMYFUNCTION("""COMPUTED_VALUE"""),-0.715048643347014)</f>
        <v>-0.71504864334701401</v>
      </c>
      <c r="JH165" s="3">
        <f ca="1">IFERROR(__xludf.DUMMYFUNCTION("""COMPUTED_VALUE"""),-0.695318205459292)</f>
        <v>-0.69531820545929202</v>
      </c>
      <c r="JI165" s="3">
        <f ca="1">IFERROR(__xludf.DUMMYFUNCTION("""COMPUTED_VALUE"""),-0.679026812556879)</f>
        <v>-0.67902681255687902</v>
      </c>
      <c r="JJ165" s="3">
        <f ca="1">IFERROR(__xludf.DUMMYFUNCTION("""COMPUTED_VALUE"""),-0.599554922359086)</f>
        <v>-0.59955492235908603</v>
      </c>
      <c r="JK165" s="3">
        <f ca="1">IFERROR(__xludf.DUMMYFUNCTION("""COMPUTED_VALUE"""),-0.599121677676307)</f>
        <v>-0.59912167767630697</v>
      </c>
      <c r="JL165" s="3">
        <f ca="1">IFERROR(__xludf.DUMMYFUNCTION("""COMPUTED_VALUE"""),-0.683828802887546)</f>
        <v>-0.68382880288754599</v>
      </c>
      <c r="JM165" s="3">
        <f ca="1">IFERROR(__xludf.DUMMYFUNCTION("""COMPUTED_VALUE"""),-0.71808621000279)</f>
        <v>-0.71808621000279005</v>
      </c>
      <c r="JN165" s="3">
        <f ca="1">IFERROR(__xludf.DUMMYFUNCTION("""COMPUTED_VALUE"""),-0.694720804707086)</f>
        <v>-0.69472080470708597</v>
      </c>
      <c r="JO165" s="3">
        <f ca="1">IFERROR(__xludf.DUMMYFUNCTION("""COMPUTED_VALUE"""),-0.679230646245937)</f>
        <v>-0.67923064624593699</v>
      </c>
      <c r="JP165" s="3">
        <f ca="1">IFERROR(__xludf.DUMMYFUNCTION("""COMPUTED_VALUE"""),-0.670662258830291)</f>
        <v>-0.67066225883029096</v>
      </c>
      <c r="JQ165" s="3">
        <f ca="1">IFERROR(__xludf.DUMMYFUNCTION("""COMPUTED_VALUE"""),-0.602439254850253)</f>
        <v>-0.60243925485025296</v>
      </c>
      <c r="JR165" s="3">
        <f ca="1">IFERROR(__xludf.DUMMYFUNCTION("""COMPUTED_VALUE"""),-0.578551115094798)</f>
        <v>-0.57855111509479795</v>
      </c>
      <c r="JS165" s="3">
        <f ca="1">IFERROR(__xludf.DUMMYFUNCTION("""COMPUTED_VALUE"""),-0.67711543339849)</f>
        <v>-0.67711543339849001</v>
      </c>
      <c r="JT165" s="3">
        <f ca="1">IFERROR(__xludf.DUMMYFUNCTION("""COMPUTED_VALUE"""),-0.666017673808758)</f>
        <v>-0.66601767380875798</v>
      </c>
      <c r="JU165" s="3">
        <f ca="1">IFERROR(__xludf.DUMMYFUNCTION("""COMPUTED_VALUE"""),-0.690129744522202)</f>
        <v>-0.69012974452220199</v>
      </c>
      <c r="JV165" s="3">
        <f ca="1">IFERROR(__xludf.DUMMYFUNCTION("""COMPUTED_VALUE"""),-0.700068157019994)</f>
        <v>-0.70006815701999403</v>
      </c>
      <c r="JW165" s="3">
        <f ca="1">IFERROR(__xludf.DUMMYFUNCTION("""COMPUTED_VALUE"""),-0.690357535051155)</f>
        <v>-0.69035753505115505</v>
      </c>
      <c r="JX165" s="3">
        <f ca="1">IFERROR(__xludf.DUMMYFUNCTION("""COMPUTED_VALUE"""),-0.630400435701606)</f>
        <v>-0.63040043570160598</v>
      </c>
      <c r="JY165" s="3">
        <f ca="1">IFERROR(__xludf.DUMMYFUNCTION("""COMPUTED_VALUE"""),-0.654226312762815)</f>
        <v>-0.65422631276281495</v>
      </c>
      <c r="JZ165" s="3">
        <f ca="1">IFERROR(__xludf.DUMMYFUNCTION("""COMPUTED_VALUE"""),-0.649308698613811)</f>
        <v>-0.64930869861381102</v>
      </c>
      <c r="KA165" s="3">
        <f ca="1">IFERROR(__xludf.DUMMYFUNCTION("""COMPUTED_VALUE"""),-0.657271569192418)</f>
        <v>-0.65727156919241803</v>
      </c>
      <c r="KB165" s="3">
        <f ca="1">IFERROR(__xludf.DUMMYFUNCTION("""COMPUTED_VALUE"""),-0.709970321301358)</f>
        <v>-0.70997032130135795</v>
      </c>
      <c r="KC165" s="3">
        <f ca="1">IFERROR(__xludf.DUMMYFUNCTION("""COMPUTED_VALUE"""),-0.697492078936502)</f>
        <v>-0.697492078936502</v>
      </c>
      <c r="KD165" s="3">
        <f ca="1">IFERROR(__xludf.DUMMYFUNCTION("""COMPUTED_VALUE"""),-0.666453062688288)</f>
        <v>-0.66645306268828797</v>
      </c>
      <c r="KE165" s="3">
        <f ca="1">IFERROR(__xludf.DUMMYFUNCTION("""COMPUTED_VALUE"""),-0.625087991037715)</f>
        <v>-0.62508799103771495</v>
      </c>
      <c r="KF165" s="3">
        <f ca="1">IFERROR(__xludf.DUMMYFUNCTION("""COMPUTED_VALUE"""),-0.596438305931873)</f>
        <v>-0.59643830593187297</v>
      </c>
      <c r="KG165" s="3">
        <f ca="1">IFERROR(__xludf.DUMMYFUNCTION("""COMPUTED_VALUE"""),-0.662851103207267)</f>
        <v>-0.66285110320726703</v>
      </c>
      <c r="KH165" s="3">
        <f ca="1">IFERROR(__xludf.DUMMYFUNCTION("""COMPUTED_VALUE"""),-0.66264877876897)</f>
        <v>-0.66264877876896999</v>
      </c>
      <c r="KI165" s="3">
        <f ca="1">IFERROR(__xludf.DUMMYFUNCTION("""COMPUTED_VALUE"""),-0.686230019853942)</f>
        <v>-0.68623001985394205</v>
      </c>
      <c r="KJ165" s="3">
        <f ca="1">IFERROR(__xludf.DUMMYFUNCTION("""COMPUTED_VALUE"""),-0.678422673962744)</f>
        <v>-0.67842267396274403</v>
      </c>
      <c r="KK165" s="3">
        <f ca="1">IFERROR(__xludf.DUMMYFUNCTION("""COMPUTED_VALUE"""),-0.681841829453303)</f>
        <v>-0.68184182945330296</v>
      </c>
      <c r="KL165" s="3">
        <f ca="1">IFERROR(__xludf.DUMMYFUNCTION("""COMPUTED_VALUE"""),-0.617639880196053)</f>
        <v>-0.61763988019605298</v>
      </c>
      <c r="KM165" s="3">
        <f ca="1">IFERROR(__xludf.DUMMYFUNCTION("""COMPUTED_VALUE"""),-0.653889353314136)</f>
        <v>-0.653889353314136</v>
      </c>
      <c r="KN165" s="3">
        <f ca="1">IFERROR(__xludf.DUMMYFUNCTION("""COMPUTED_VALUE"""),-0.730429899611132)</f>
        <v>-0.73042989961113203</v>
      </c>
      <c r="KO165" s="3">
        <f ca="1">IFERROR(__xludf.DUMMYFUNCTION("""COMPUTED_VALUE"""),-0.751791540103112)</f>
        <v>-0.751791540103112</v>
      </c>
      <c r="KP165" s="3">
        <f ca="1">IFERROR(__xludf.DUMMYFUNCTION("""COMPUTED_VALUE"""),-0.768017300963155)</f>
        <v>-0.76801730096315501</v>
      </c>
      <c r="KQ165" s="3">
        <f ca="1">IFERROR(__xludf.DUMMYFUNCTION("""COMPUTED_VALUE"""),-0.728641340450572)</f>
        <v>-0.72864134045057205</v>
      </c>
      <c r="KR165" s="3">
        <f ca="1">IFERROR(__xludf.DUMMYFUNCTION("""COMPUTED_VALUE"""),-0.709166957618276)</f>
        <v>-0.70916695761827597</v>
      </c>
      <c r="KS165" s="3">
        <f ca="1">IFERROR(__xludf.DUMMYFUNCTION("""COMPUTED_VALUE"""),-0.666718076517133)</f>
        <v>-0.666718076517133</v>
      </c>
      <c r="KT165" s="3">
        <f ca="1">IFERROR(__xludf.DUMMYFUNCTION("""COMPUTED_VALUE"""),-0.66073778834454)</f>
        <v>-0.66073778834454</v>
      </c>
      <c r="KU165" s="3">
        <f ca="1">IFERROR(__xludf.DUMMYFUNCTION("""COMPUTED_VALUE"""),-0.749546415726111)</f>
        <v>-0.74954641572611103</v>
      </c>
      <c r="KV165" s="3">
        <f ca="1">IFERROR(__xludf.DUMMYFUNCTION("""COMPUTED_VALUE"""),-0.756267279386549)</f>
        <v>-0.75626727938654903</v>
      </c>
      <c r="KW165" s="3">
        <f ca="1">IFERROR(__xludf.DUMMYFUNCTION("""COMPUTED_VALUE"""),-0.737352990039493)</f>
        <v>-0.73735299003949295</v>
      </c>
      <c r="KX165" s="3">
        <f ca="1">IFERROR(__xludf.DUMMYFUNCTION("""COMPUTED_VALUE"""),-0.731362418207672)</f>
        <v>-0.731362418207672</v>
      </c>
      <c r="KY165" s="3">
        <f ca="1">IFERROR(__xludf.DUMMYFUNCTION("""COMPUTED_VALUE"""),-0.731352227373124)</f>
        <v>-0.731352227373124</v>
      </c>
      <c r="KZ165" s="3">
        <f ca="1">IFERROR(__xludf.DUMMYFUNCTION("""COMPUTED_VALUE"""),-0.700242304455147)</f>
        <v>-0.70024230445514701</v>
      </c>
      <c r="LA165" s="3">
        <f ca="1">IFERROR(__xludf.DUMMYFUNCTION("""COMPUTED_VALUE"""),-0.715686171637085)</f>
        <v>-0.71568617163708503</v>
      </c>
      <c r="LB165" s="3">
        <f ca="1">IFERROR(__xludf.DUMMYFUNCTION("""COMPUTED_VALUE"""),-0.783678891130789)</f>
        <v>-0.78367889113078903</v>
      </c>
      <c r="LC165" s="3">
        <f ca="1">IFERROR(__xludf.DUMMYFUNCTION("""COMPUTED_VALUE"""),-0.783531824507441)</f>
        <v>-0.78353182450744097</v>
      </c>
      <c r="LD165" s="3">
        <f ca="1">IFERROR(__xludf.DUMMYFUNCTION("""COMPUTED_VALUE"""),-0.775721592093358)</f>
        <v>-0.775721592093358</v>
      </c>
      <c r="LE165" s="3">
        <f ca="1">IFERROR(__xludf.DUMMYFUNCTION("""COMPUTED_VALUE"""),-0.778563331583752)</f>
        <v>-0.77856333158375202</v>
      </c>
      <c r="LF165" s="3">
        <f ca="1">IFERROR(__xludf.DUMMYFUNCTION("""COMPUTED_VALUE"""),-0.74686269122788)</f>
        <v>-0.74686269122787996</v>
      </c>
      <c r="LG165" s="3">
        <f ca="1">IFERROR(__xludf.DUMMYFUNCTION("""COMPUTED_VALUE"""),-0.75045183552369)</f>
        <v>-0.75045183552368999</v>
      </c>
      <c r="LH165" s="3">
        <f ca="1">IFERROR(__xludf.DUMMYFUNCTION("""COMPUTED_VALUE"""),-0.761598393644155)</f>
        <v>-0.76159839364415505</v>
      </c>
      <c r="LI165" s="3">
        <f ca="1">IFERROR(__xludf.DUMMYFUNCTION("""COMPUTED_VALUE"""),-0.808996381079959)</f>
        <v>-0.80899638107995897</v>
      </c>
      <c r="LJ165" s="3">
        <f ca="1">IFERROR(__xludf.DUMMYFUNCTION("""COMPUTED_VALUE"""),-0.81626525247557)</f>
        <v>-0.81626525247557002</v>
      </c>
      <c r="LK165" s="3">
        <f ca="1">IFERROR(__xludf.DUMMYFUNCTION("""COMPUTED_VALUE"""),-0.806530717509412)</f>
        <v>-0.80653071750941197</v>
      </c>
      <c r="LL165" s="3">
        <f ca="1">IFERROR(__xludf.DUMMYFUNCTION("""COMPUTED_VALUE"""),-0.81265668277896)</f>
        <v>-0.81265668277895997</v>
      </c>
      <c r="LM165" s="3">
        <f ca="1">IFERROR(__xludf.DUMMYFUNCTION("""COMPUTED_VALUE"""),-0.823972287600375)</f>
        <v>-0.823972287600375</v>
      </c>
      <c r="LN165" s="3">
        <f ca="1">IFERROR(__xludf.DUMMYFUNCTION("""COMPUTED_VALUE"""),-0.779123425817413)</f>
        <v>-0.77912342581741301</v>
      </c>
      <c r="LO165" s="3">
        <f ca="1">IFERROR(__xludf.DUMMYFUNCTION("""COMPUTED_VALUE"""),-0.776732144210136)</f>
        <v>-0.77673214421013603</v>
      </c>
      <c r="LP165" s="3">
        <f ca="1">IFERROR(__xludf.DUMMYFUNCTION("""COMPUTED_VALUE"""),-0.828778880209119)</f>
        <v>-0.82877888020911905</v>
      </c>
      <c r="LQ165" s="3">
        <f ca="1">IFERROR(__xludf.DUMMYFUNCTION("""COMPUTED_VALUE"""),-0.822809715399998)</f>
        <v>-0.82280971539999803</v>
      </c>
      <c r="LR165" s="3">
        <f ca="1">IFERROR(__xludf.DUMMYFUNCTION("""COMPUTED_VALUE"""),-0.820558156133736)</f>
        <v>-0.82055815613373595</v>
      </c>
      <c r="LS165" s="3">
        <f ca="1">IFERROR(__xludf.DUMMYFUNCTION("""COMPUTED_VALUE"""),-0.815610541743929)</f>
        <v>-0.815610541743929</v>
      </c>
      <c r="LT165" s="3">
        <f ca="1">IFERROR(__xludf.DUMMYFUNCTION("""COMPUTED_VALUE"""),-0.78568498895907)</f>
        <v>-0.78568498895907002</v>
      </c>
      <c r="LU165" s="3">
        <f ca="1">IFERROR(__xludf.DUMMYFUNCTION("""COMPUTED_VALUE"""),-0.774996724643063)</f>
        <v>-0.77499672464306302</v>
      </c>
      <c r="LV165" s="3">
        <f ca="1">IFERROR(__xludf.DUMMYFUNCTION("""COMPUTED_VALUE"""),-0.781340186026961)</f>
        <v>-0.78134018602696098</v>
      </c>
      <c r="LW165" s="3">
        <f ca="1">IFERROR(__xludf.DUMMYFUNCTION("""COMPUTED_VALUE"""),-0.813891040081147)</f>
        <v>-0.81389104008114699</v>
      </c>
      <c r="LX165" s="3">
        <f ca="1">IFERROR(__xludf.DUMMYFUNCTION("""COMPUTED_VALUE"""),-0.832511777337472)</f>
        <v>-0.83251177733747195</v>
      </c>
      <c r="LY165" s="3">
        <f ca="1">IFERROR(__xludf.DUMMYFUNCTION("""COMPUTED_VALUE"""),-0.814137638146605)</f>
        <v>-0.814137638146605</v>
      </c>
      <c r="LZ165" s="3">
        <f ca="1">IFERROR(__xludf.DUMMYFUNCTION("""COMPUTED_VALUE"""),-0.818683011270574)</f>
        <v>-0.81868301127057397</v>
      </c>
      <c r="MA165" s="3">
        <f ca="1">IFERROR(__xludf.DUMMYFUNCTION("""COMPUTED_VALUE"""),-0.814603169440155)</f>
        <v>-0.81460316944015498</v>
      </c>
      <c r="MB165" s="3">
        <f ca="1">IFERROR(__xludf.DUMMYFUNCTION("""COMPUTED_VALUE"""),-0.780316045521445)</f>
        <v>-0.78031604552144496</v>
      </c>
      <c r="MC165" s="3">
        <f ca="1">IFERROR(__xludf.DUMMYFUNCTION("""COMPUTED_VALUE"""),-0.799462841520062)</f>
        <v>-0.79946284152006197</v>
      </c>
      <c r="MD165" s="3">
        <f ca="1">IFERROR(__xludf.DUMMYFUNCTION("""COMPUTED_VALUE"""),-0.835899100533922)</f>
        <v>-0.83589910053392202</v>
      </c>
      <c r="ME165" s="3">
        <f ca="1">IFERROR(__xludf.DUMMYFUNCTION("""COMPUTED_VALUE"""),-0.815312990344509)</f>
        <v>-0.81531299034450899</v>
      </c>
      <c r="MF165" s="3">
        <f ca="1">IFERROR(__xludf.DUMMYFUNCTION("""COMPUTED_VALUE"""),-0.839715286327593)</f>
        <v>-0.83971528632759296</v>
      </c>
      <c r="MG165" s="3">
        <f ca="1">IFERROR(__xludf.DUMMYFUNCTION("""COMPUTED_VALUE"""),-0.818164244921313)</f>
        <v>-0.81816424492131301</v>
      </c>
      <c r="MH165" s="3">
        <f ca="1">IFERROR(__xludf.DUMMYFUNCTION("""COMPUTED_VALUE"""),-0.789009021859338)</f>
        <v>-0.78900902185933797</v>
      </c>
      <c r="MI165" s="3">
        <f ca="1">IFERROR(__xludf.DUMMYFUNCTION("""COMPUTED_VALUE"""),-0.787008210404914)</f>
        <v>-0.78700821040491398</v>
      </c>
      <c r="MJ165" s="3">
        <f ca="1">IFERROR(__xludf.DUMMYFUNCTION("""COMPUTED_VALUE"""),-0.791436553880035)</f>
        <v>-0.79143655388003498</v>
      </c>
      <c r="MK165" s="3">
        <f ca="1">IFERROR(__xludf.DUMMYFUNCTION("""COMPUTED_VALUE"""),-0.81869944231331)</f>
        <v>-0.81869944231331004</v>
      </c>
      <c r="ML165" s="3">
        <f ca="1">IFERROR(__xludf.DUMMYFUNCTION("""COMPUTED_VALUE"""),-0.872152039993664)</f>
        <v>-0.87215203999366397</v>
      </c>
      <c r="MM165" s="3">
        <f ca="1">IFERROR(__xludf.DUMMYFUNCTION("""COMPUTED_VALUE"""),-0.820367887571374)</f>
        <v>-0.82036788757137402</v>
      </c>
      <c r="MN165" s="3">
        <f ca="1">IFERROR(__xludf.DUMMYFUNCTION("""COMPUTED_VALUE"""),-0.829425910477448)</f>
        <v>-0.82942591047744796</v>
      </c>
      <c r="MO165" s="3">
        <f ca="1">IFERROR(__xludf.DUMMYFUNCTION("""COMPUTED_VALUE"""),-0.815055664105365)</f>
        <v>-0.81505566410536501</v>
      </c>
      <c r="MP165" s="3">
        <f ca="1">IFERROR(__xludf.DUMMYFUNCTION("""COMPUTED_VALUE"""),-0.798693324716366)</f>
        <v>-0.798693324716366</v>
      </c>
      <c r="MQ165" s="3">
        <f ca="1">IFERROR(__xludf.DUMMYFUNCTION("""COMPUTED_VALUE"""),-0.805479645937993)</f>
        <v>-0.80547964593799304</v>
      </c>
      <c r="MR165" s="3">
        <f ca="1">IFERROR(__xludf.DUMMYFUNCTION("""COMPUTED_VALUE"""),-0.837375214596487)</f>
        <v>-0.83737521459648701</v>
      </c>
      <c r="MS165" s="3">
        <f ca="1">IFERROR(__xludf.DUMMYFUNCTION("""COMPUTED_VALUE"""),-0.857744402408909)</f>
        <v>-0.85774440240890903</v>
      </c>
      <c r="MT165" s="3">
        <f ca="1">IFERROR(__xludf.DUMMYFUNCTION("""COMPUTED_VALUE"""),-0.839986058743723)</f>
        <v>-0.83998605874372301</v>
      </c>
      <c r="MU165" s="3">
        <f ca="1">IFERROR(__xludf.DUMMYFUNCTION("""COMPUTED_VALUE"""),-0.833867150501346)</f>
        <v>-0.83386715050134597</v>
      </c>
      <c r="MV165" s="3">
        <f ca="1">IFERROR(__xludf.DUMMYFUNCTION("""COMPUTED_VALUE"""),-0.81583829683882)</f>
        <v>-0.81583829683882003</v>
      </c>
      <c r="MW165" s="3">
        <f ca="1">IFERROR(__xludf.DUMMYFUNCTION("""COMPUTED_VALUE"""),-0.805394527470107)</f>
        <v>-0.80539452747010698</v>
      </c>
      <c r="MX165" s="3">
        <f ca="1">IFERROR(__xludf.DUMMYFUNCTION("""COMPUTED_VALUE"""),-0.825692144764588)</f>
        <v>-0.82569214476458797</v>
      </c>
      <c r="MY165" s="3">
        <f ca="1">IFERROR(__xludf.DUMMYFUNCTION("""COMPUTED_VALUE"""),-0.801610834491303)</f>
        <v>-0.80161083449130299</v>
      </c>
      <c r="MZ165" s="3">
        <f ca="1">IFERROR(__xludf.DUMMYFUNCTION("""COMPUTED_VALUE"""),-0.83187926895274)</f>
        <v>-0.83187926895274</v>
      </c>
      <c r="NA165" s="3">
        <f ca="1">IFERROR(__xludf.DUMMYFUNCTION("""COMPUTED_VALUE"""),-0.83759310350626)</f>
        <v>-0.83759310350626004</v>
      </c>
      <c r="NB165" s="3">
        <f ca="1">IFERROR(__xludf.DUMMYFUNCTION("""COMPUTED_VALUE"""),-0.837856080914428)</f>
        <v>-0.83785608091442798</v>
      </c>
      <c r="NC165" s="3">
        <f ca="1">IFERROR(__xludf.DUMMYFUNCTION("""COMPUTED_VALUE"""),-0.850822410398956)</f>
        <v>-0.85082241039895601</v>
      </c>
      <c r="ND165" s="3">
        <f ca="1">IFERROR(__xludf.DUMMYFUNCTION("""COMPUTED_VALUE"""),-0.802693149588733)</f>
        <v>-0.80269314958873295</v>
      </c>
      <c r="NE165" s="3">
        <f ca="1">IFERROR(__xludf.DUMMYFUNCTION("""COMPUTED_VALUE"""),-0.805925245347387)</f>
        <v>-0.80592524534738696</v>
      </c>
      <c r="NF165" s="3">
        <f ca="1">IFERROR(__xludf.DUMMYFUNCTION("""COMPUTED_VALUE"""),-0.812714282881157)</f>
        <v>-0.81271428288115699</v>
      </c>
      <c r="NG165" s="3">
        <f ca="1">IFERROR(__xludf.DUMMYFUNCTION("""COMPUTED_VALUE"""),-0.829557612119441)</f>
        <v>-0.82955761211944101</v>
      </c>
      <c r="NH165" s="3">
        <f ca="1">IFERROR(__xludf.DUMMYFUNCTION("""COMPUTED_VALUE"""),-0.81909720159392)</f>
        <v>-0.81909720159391997</v>
      </c>
      <c r="NI165" s="3">
        <f ca="1">IFERROR(__xludf.DUMMYFUNCTION("""COMPUTED_VALUE"""),-0.812816069864941)</f>
        <v>-0.81281606986494104</v>
      </c>
      <c r="NJ165" s="3">
        <f ca="1">IFERROR(__xludf.DUMMYFUNCTION("""COMPUTED_VALUE"""),-0.75590866297901)</f>
        <v>-0.75590866297901005</v>
      </c>
      <c r="NK165" s="3">
        <f ca="1">IFERROR(__xludf.DUMMYFUNCTION("""COMPUTED_VALUE"""),-0.757800855293492)</f>
        <v>-0.75780085529349195</v>
      </c>
      <c r="NL165" s="3">
        <f ca="1">IFERROR(__xludf.DUMMYFUNCTION("""COMPUTED_VALUE"""),-0.78073384697304)</f>
        <v>-0.78073384697304005</v>
      </c>
      <c r="NM165" s="3">
        <f ca="1">IFERROR(__xludf.DUMMYFUNCTION("""COMPUTED_VALUE"""),-0.793080398926908)</f>
        <v>-0.79308039892690796</v>
      </c>
      <c r="NN165" s="3">
        <f ca="1">IFERROR(__xludf.DUMMYFUNCTION("""COMPUTED_VALUE"""),-0.789845766008155)</f>
        <v>-0.78984576600815504</v>
      </c>
      <c r="NO165" s="3">
        <f ca="1">IFERROR(__xludf.DUMMYFUNCTION("""COMPUTED_VALUE"""),-0.785257830402184)</f>
        <v>-0.785257830402184</v>
      </c>
      <c r="NP165" s="3">
        <f ca="1">IFERROR(__xludf.DUMMYFUNCTION("""COMPUTED_VALUE"""),-0.775212053419105)</f>
        <v>-0.77521205341910504</v>
      </c>
      <c r="NQ165" s="3">
        <f ca="1">IFERROR(__xludf.DUMMYFUNCTION("""COMPUTED_VALUE"""),-0.684588820389268)</f>
        <v>-0.68458882038926805</v>
      </c>
      <c r="NR165" s="3">
        <f ca="1">IFERROR(__xludf.DUMMYFUNCTION("""COMPUTED_VALUE"""),-0.668690097003722)</f>
        <v>-0.66869009700372195</v>
      </c>
      <c r="NS165" s="3">
        <f ca="1">IFERROR(__xludf.DUMMYFUNCTION("""COMPUTED_VALUE"""),-0.703337127618115)</f>
        <v>-0.70333712761811495</v>
      </c>
      <c r="NT165" s="3">
        <f ca="1">IFERROR(__xludf.DUMMYFUNCTION("""COMPUTED_VALUE"""),-0.657786309242925)</f>
        <v>-0.65778630924292503</v>
      </c>
      <c r="NU165" s="3">
        <f ca="1">IFERROR(__xludf.DUMMYFUNCTION("""COMPUTED_VALUE"""),-0.655197875066273)</f>
        <v>-0.65519787506627303</v>
      </c>
      <c r="NV165" s="3">
        <f ca="1">IFERROR(__xludf.DUMMYFUNCTION("""COMPUTED_VALUE"""),-0.7116091041899)</f>
        <v>-0.71160910418989998</v>
      </c>
      <c r="NW165" s="3">
        <f ca="1">IFERROR(__xludf.DUMMYFUNCTION("""COMPUTED_VALUE"""),-0.587539216575336)</f>
        <v>-0.58753921657533603</v>
      </c>
      <c r="NX165" s="3">
        <f ca="1">IFERROR(__xludf.DUMMYFUNCTION("""COMPUTED_VALUE"""),-0.61502232942088)</f>
        <v>-0.61502232942087998</v>
      </c>
      <c r="NY165" s="3">
        <f ca="1">IFERROR(__xludf.DUMMYFUNCTION("""COMPUTED_VALUE"""),-0.48868399511901)</f>
        <v>-0.48868399511901001</v>
      </c>
      <c r="NZ165" s="3">
        <f ca="1">IFERROR(__xludf.DUMMYFUNCTION("""COMPUTED_VALUE"""),-0.463000101535164)</f>
        <v>-0.46300010153516402</v>
      </c>
      <c r="OA165" s="3">
        <f ca="1">IFERROR(__xludf.DUMMYFUNCTION("""COMPUTED_VALUE"""),-0.418392021970013)</f>
        <v>-0.41839202197001302</v>
      </c>
      <c r="OB165" s="3">
        <f ca="1">IFERROR(__xludf.DUMMYFUNCTION("""COMPUTED_VALUE"""),-0.352345358323061)</f>
        <v>-0.35234535832306102</v>
      </c>
      <c r="OC165" s="3">
        <f ca="1">IFERROR(__xludf.DUMMYFUNCTION("""COMPUTED_VALUE"""),-0.376688548873538)</f>
        <v>-0.37668854887353798</v>
      </c>
      <c r="OD165" s="3">
        <f ca="1">IFERROR(__xludf.DUMMYFUNCTION("""COMPUTED_VALUE"""),-0.374748911552316)</f>
        <v>-0.37474891155231599</v>
      </c>
      <c r="OE165" s="3">
        <f ca="1">IFERROR(__xludf.DUMMYFUNCTION("""COMPUTED_VALUE"""),-0.254006383576919)</f>
        <v>-0.25400638357691901</v>
      </c>
      <c r="OF165" s="3">
        <f ca="1">IFERROR(__xludf.DUMMYFUNCTION("""COMPUTED_VALUE"""),-0.225621977754085)</f>
        <v>-0.22562197775408499</v>
      </c>
      <c r="OG165" s="3">
        <f ca="1">IFERROR(__xludf.DUMMYFUNCTION("""COMPUTED_VALUE"""),-0.181498854231751)</f>
        <v>-0.18149885423175099</v>
      </c>
      <c r="OH165" s="3">
        <f ca="1">IFERROR(__xludf.DUMMYFUNCTION("""COMPUTED_VALUE"""),-0.108751171302999)</f>
        <v>-0.10875117130299899</v>
      </c>
      <c r="OI165" s="3">
        <f ca="1">IFERROR(__xludf.DUMMYFUNCTION("""COMPUTED_VALUE"""),-0.0983254770275259)</f>
        <v>-9.8325477027525907E-2</v>
      </c>
      <c r="OJ165" s="3">
        <f ca="1">IFERROR(__xludf.DUMMYFUNCTION("""COMPUTED_VALUE"""),-0.0289401649807722)</f>
        <v>-2.89401649807722E-2</v>
      </c>
      <c r="OK165" s="3">
        <f ca="1">IFERROR(__xludf.DUMMYFUNCTION("""COMPUTED_VALUE"""),-0.0509797388554468)</f>
        <v>-5.09797388554468E-2</v>
      </c>
      <c r="OL165" s="3">
        <f ca="1">IFERROR(__xludf.DUMMYFUNCTION("""COMPUTED_VALUE"""),-0.00309868817930636)</f>
        <v>-3.0986881793063602E-3</v>
      </c>
      <c r="OM165" s="3">
        <f ca="1">IFERROR(__xludf.DUMMYFUNCTION("""COMPUTED_VALUE"""),0.0299170132388881)</f>
        <v>2.99170132388881E-2</v>
      </c>
      <c r="ON165" s="3">
        <f ca="1">IFERROR(__xludf.DUMMYFUNCTION("""COMPUTED_VALUE"""),-0.0220288225759021)</f>
        <v>-2.20288225759021E-2</v>
      </c>
      <c r="OO165" s="3">
        <f ca="1">IFERROR(__xludf.DUMMYFUNCTION("""COMPUTED_VALUE"""),-0.0282003946155537)</f>
        <v>-2.8200394615553698E-2</v>
      </c>
      <c r="OP165" s="3">
        <f ca="1">IFERROR(__xludf.DUMMYFUNCTION("""COMPUTED_VALUE"""),-0.0135973160870779)</f>
        <v>-1.35973160870779E-2</v>
      </c>
      <c r="OQ165" s="3">
        <f ca="1">IFERROR(__xludf.DUMMYFUNCTION("""COMPUTED_VALUE"""),0.0427646355465667)</f>
        <v>4.2764635546566697E-2</v>
      </c>
      <c r="OR165" s="3">
        <f ca="1">IFERROR(__xludf.DUMMYFUNCTION("""COMPUTED_VALUE"""),-0.0434047288820317)</f>
        <v>-4.3404728882031701E-2</v>
      </c>
      <c r="OS165" s="3">
        <f ca="1">IFERROR(__xludf.DUMMYFUNCTION("""COMPUTED_VALUE"""),-0.0102404173816649)</f>
        <v>-1.0240417381664899E-2</v>
      </c>
      <c r="OT165" s="3">
        <f ca="1">IFERROR(__xludf.DUMMYFUNCTION("""COMPUTED_VALUE"""),0.0456758440680384)</f>
        <v>4.5675844068038401E-2</v>
      </c>
      <c r="OU165" s="3">
        <f ca="1">IFERROR(__xludf.DUMMYFUNCTION("""COMPUTED_VALUE"""),-0.000570411428429507)</f>
        <v>-5.7041142842950698E-4</v>
      </c>
      <c r="OV165" s="3">
        <f ca="1">IFERROR(__xludf.DUMMYFUNCTION("""COMPUTED_VALUE"""),0.0935824437760488)</f>
        <v>9.3582443776048796E-2</v>
      </c>
      <c r="OW165" s="3">
        <f ca="1">IFERROR(__xludf.DUMMYFUNCTION("""COMPUTED_VALUE"""),-0.0659005752914245)</f>
        <v>-6.5900575291424499E-2</v>
      </c>
      <c r="OX165" s="3">
        <f ca="1">IFERROR(__xludf.DUMMYFUNCTION("""COMPUTED_VALUE"""),0.132094009559739)</f>
        <v>0.13209400955973899</v>
      </c>
      <c r="OY165" s="3">
        <f ca="1">IFERROR(__xludf.DUMMYFUNCTION("""COMPUTED_VALUE"""),-0.0927279318031171)</f>
        <v>-9.27279318031171E-2</v>
      </c>
      <c r="OZ165" s="3">
        <f ca="1">IFERROR(__xludf.DUMMYFUNCTION("""COMPUTED_VALUE"""),-0.0376321249036515)</f>
        <v>-3.7632124903651497E-2</v>
      </c>
      <c r="PA165" s="3">
        <f ca="1">IFERROR(__xludf.DUMMYFUNCTION("""COMPUTED_VALUE"""),0.0498814977943449)</f>
        <v>4.9881497794344899E-2</v>
      </c>
      <c r="PB165" s="3">
        <f ca="1">IFERROR(__xludf.DUMMYFUNCTION("""COMPUTED_VALUE"""),0.0106018532223031)</f>
        <v>1.0601853222303099E-2</v>
      </c>
      <c r="PC165" s="3">
        <f ca="1">IFERROR(__xludf.DUMMYFUNCTION("""COMPUTED_VALUE"""),-0.0678036974233009)</f>
        <v>-6.7803697423300904E-2</v>
      </c>
      <c r="PD165" s="3">
        <f ca="1">IFERROR(__xludf.DUMMYFUNCTION("""COMPUTED_VALUE"""),-0.0676805238321807)</f>
        <v>-6.7680523832180706E-2</v>
      </c>
      <c r="PE165" s="3">
        <f ca="1">IFERROR(__xludf.DUMMYFUNCTION("""COMPUTED_VALUE"""),0.116865883753095)</f>
        <v>0.11686588375309501</v>
      </c>
      <c r="PF165" s="3">
        <f ca="1">IFERROR(__xludf.DUMMYFUNCTION("""COMPUTED_VALUE"""),-0.0220409425256453)</f>
        <v>-2.2040942525645299E-2</v>
      </c>
      <c r="PG165" s="3">
        <f ca="1">IFERROR(__xludf.DUMMYFUNCTION("""COMPUTED_VALUE"""),0.00592482231709379)</f>
        <v>5.9248223170937902E-3</v>
      </c>
      <c r="PH165" s="3">
        <f ca="1">IFERROR(__xludf.DUMMYFUNCTION("""COMPUTED_VALUE"""),0.0441559743953212)</f>
        <v>4.41559743953212E-2</v>
      </c>
      <c r="PI165" s="3">
        <f ca="1">IFERROR(__xludf.DUMMYFUNCTION("""COMPUTED_VALUE"""),-0.036950421935114)</f>
        <v>-3.6950421935113997E-2</v>
      </c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</row>
    <row r="166" spans="1:477" ht="13">
      <c r="A166" s="1" t="str">
        <f ca="1">IFERROR(__xludf.DUMMYFUNCTION("""COMPUTED_VALUE"""),"BC Transit")</f>
        <v>BC Transit</v>
      </c>
      <c r="B166" s="1" t="str">
        <f ca="1">IFERROR(__xludf.DUMMYFUNCTION("""COMPUTED_VALUE"""),"Whistler")</f>
        <v>Whistler</v>
      </c>
      <c r="C166" s="1" t="str">
        <f ca="1">IFERROR(__xludf.DUMMYFUNCTION("""COMPUTED_VALUE"""),"Canada")</f>
        <v>Canada</v>
      </c>
      <c r="D166" s="1" t="str">
        <f ca="1">IFERROR(__xludf.DUMMYFUNCTION("""COMPUTED_VALUE"""),"British Columbia")</f>
        <v>British Columbia</v>
      </c>
      <c r="E166" s="3">
        <f ca="1">IFERROR(__xludf.DUMMYFUNCTION("""COMPUTED_VALUE"""),-0.736301114031765)</f>
        <v>-0.73630111403176501</v>
      </c>
      <c r="F166" s="3">
        <f ca="1">IFERROR(__xludf.DUMMYFUNCTION("""COMPUTED_VALUE"""),-0.712171433000726)</f>
        <v>-0.71217143300072605</v>
      </c>
      <c r="G166" s="3">
        <f ca="1">IFERROR(__xludf.DUMMYFUNCTION("""COMPUTED_VALUE"""),-0.703779367454707)</f>
        <v>-0.70377936745470704</v>
      </c>
      <c r="H166" s="3">
        <f ca="1">IFERROR(__xludf.DUMMYFUNCTION("""COMPUTED_VALUE"""),-0.718871477500675)</f>
        <v>-0.71887147750067504</v>
      </c>
      <c r="I166" s="3">
        <f ca="1">IFERROR(__xludf.DUMMYFUNCTION("""COMPUTED_VALUE"""),-0.683723512503729)</f>
        <v>-0.68372351250372898</v>
      </c>
      <c r="J166" s="3">
        <f ca="1">IFERROR(__xludf.DUMMYFUNCTION("""COMPUTED_VALUE"""),-0.700151614402102)</f>
        <v>-0.70015161440210205</v>
      </c>
      <c r="K166" s="3">
        <f ca="1">IFERROR(__xludf.DUMMYFUNCTION("""COMPUTED_VALUE"""),-0.738828162192143)</f>
        <v>-0.73882816219214298</v>
      </c>
      <c r="L166" s="3">
        <f ca="1">IFERROR(__xludf.DUMMYFUNCTION("""COMPUTED_VALUE"""),-0.75941467049947)</f>
        <v>-0.75941467049946998</v>
      </c>
      <c r="M166" s="3">
        <f ca="1">IFERROR(__xludf.DUMMYFUNCTION("""COMPUTED_VALUE"""),-0.715380442145366)</f>
        <v>-0.715380442145366</v>
      </c>
      <c r="N166" s="3">
        <f ca="1">IFERROR(__xludf.DUMMYFUNCTION("""COMPUTED_VALUE"""),-0.689531425448858)</f>
        <v>-0.68953142544885804</v>
      </c>
      <c r="O166" s="3">
        <f ca="1">IFERROR(__xludf.DUMMYFUNCTION("""COMPUTED_VALUE"""),-0.673955611955868)</f>
        <v>-0.67395561195586795</v>
      </c>
      <c r="P166" s="3">
        <f ca="1">IFERROR(__xludf.DUMMYFUNCTION("""COMPUTED_VALUE"""),-0.596475023071165)</f>
        <v>-0.59647502307116496</v>
      </c>
      <c r="Q166" s="3">
        <f ca="1">IFERROR(__xludf.DUMMYFUNCTION("""COMPUTED_VALUE"""),-0.622194205252979)</f>
        <v>-0.62219420525297897</v>
      </c>
      <c r="R166" s="3">
        <f ca="1">IFERROR(__xludf.DUMMYFUNCTION("""COMPUTED_VALUE"""),-0.648000244631039)</f>
        <v>-0.648000244631039</v>
      </c>
      <c r="S166" s="3">
        <f ca="1">IFERROR(__xludf.DUMMYFUNCTION("""COMPUTED_VALUE"""),-0.581294406703701)</f>
        <v>-0.58129440670370103</v>
      </c>
      <c r="T166" s="3">
        <f ca="1">IFERROR(__xludf.DUMMYFUNCTION("""COMPUTED_VALUE"""),-0.522843890515073)</f>
        <v>-0.52284389051507296</v>
      </c>
      <c r="U166" s="3">
        <f ca="1">IFERROR(__xludf.DUMMYFUNCTION("""COMPUTED_VALUE"""),-0.542644124309829)</f>
        <v>-0.542644124309829</v>
      </c>
      <c r="V166" s="3">
        <f ca="1">IFERROR(__xludf.DUMMYFUNCTION("""COMPUTED_VALUE"""),-0.592435373441367)</f>
        <v>-0.59243537344136699</v>
      </c>
      <c r="W166" s="3">
        <f ca="1">IFERROR(__xludf.DUMMYFUNCTION("""COMPUTED_VALUE"""),-0.498243741448814)</f>
        <v>-0.498243741448814</v>
      </c>
      <c r="X166" s="3">
        <f ca="1">IFERROR(__xludf.DUMMYFUNCTION("""COMPUTED_VALUE"""),-0.551273573433441)</f>
        <v>-0.55127357343344097</v>
      </c>
      <c r="Y166" s="3">
        <f ca="1">IFERROR(__xludf.DUMMYFUNCTION("""COMPUTED_VALUE"""),-0.533289171150162)</f>
        <v>-0.53328917115016194</v>
      </c>
      <c r="Z166" s="3">
        <f ca="1">IFERROR(__xludf.DUMMYFUNCTION("""COMPUTED_VALUE"""),-0.540679778193955)</f>
        <v>-0.54067977819395496</v>
      </c>
      <c r="AA166" s="3">
        <f ca="1">IFERROR(__xludf.DUMMYFUNCTION("""COMPUTED_VALUE"""),-0.53906799172986)</f>
        <v>-0.53906799172985997</v>
      </c>
      <c r="AB166" s="3">
        <f ca="1">IFERROR(__xludf.DUMMYFUNCTION("""COMPUTED_VALUE"""),-0.565417082883325)</f>
        <v>-0.56541708288332504</v>
      </c>
      <c r="AC166" s="3">
        <f ca="1">IFERROR(__xludf.DUMMYFUNCTION("""COMPUTED_VALUE"""),-0.58167344037209)</f>
        <v>-0.58167344037209001</v>
      </c>
      <c r="AD166" s="3">
        <f ca="1">IFERROR(__xludf.DUMMYFUNCTION("""COMPUTED_VALUE"""),-0.516930301233233)</f>
        <v>-0.51693030123323302</v>
      </c>
      <c r="AE166" s="3">
        <f ca="1">IFERROR(__xludf.DUMMYFUNCTION("""COMPUTED_VALUE"""),-0.549779015429015)</f>
        <v>-0.54977901542901497</v>
      </c>
      <c r="AF166" s="3">
        <f ca="1">IFERROR(__xludf.DUMMYFUNCTION("""COMPUTED_VALUE"""),-0.602658457979719)</f>
        <v>-0.60265845797971895</v>
      </c>
      <c r="AG166" s="3">
        <f ca="1">IFERROR(__xludf.DUMMYFUNCTION("""COMPUTED_VALUE"""),-0.566109059732977)</f>
        <v>-0.56610905973297698</v>
      </c>
      <c r="AH166" s="3">
        <f ca="1">IFERROR(__xludf.DUMMYFUNCTION("""COMPUTED_VALUE"""),-0.529562072973014)</f>
        <v>-0.52956207297301405</v>
      </c>
      <c r="AI166" s="3">
        <f ca="1">IFERROR(__xludf.DUMMYFUNCTION("""COMPUTED_VALUE"""),-0.601232397611148)</f>
        <v>-0.601232397611148</v>
      </c>
      <c r="AJ166" s="3">
        <f ca="1">IFERROR(__xludf.DUMMYFUNCTION("""COMPUTED_VALUE"""),-0.59813509524133)</f>
        <v>-0.59813509524133002</v>
      </c>
      <c r="AK166" s="3">
        <f ca="1">IFERROR(__xludf.DUMMYFUNCTION("""COMPUTED_VALUE"""),-0.610971173106271)</f>
        <v>-0.61097117310627103</v>
      </c>
      <c r="AL166" s="3">
        <f ca="1">IFERROR(__xludf.DUMMYFUNCTION("""COMPUTED_VALUE"""),-0.610033789637049)</f>
        <v>-0.61003378963704902</v>
      </c>
      <c r="AM166" s="3">
        <f ca="1">IFERROR(__xludf.DUMMYFUNCTION("""COMPUTED_VALUE"""),-0.602233823584762)</f>
        <v>-0.60223382358476196</v>
      </c>
      <c r="AN166" s="3">
        <f ca="1">IFERROR(__xludf.DUMMYFUNCTION("""COMPUTED_VALUE"""),-0.548526990663997)</f>
        <v>-0.54852699066399702</v>
      </c>
      <c r="AO166" s="3">
        <f ca="1">IFERROR(__xludf.DUMMYFUNCTION("""COMPUTED_VALUE"""),-0.581917338467742)</f>
        <v>-0.58191733846774196</v>
      </c>
      <c r="AP166" s="3">
        <f ca="1">IFERROR(__xludf.DUMMYFUNCTION("""COMPUTED_VALUE"""),-0.57399871652472)</f>
        <v>-0.57399871652472001</v>
      </c>
      <c r="AQ166" s="3">
        <f ca="1">IFERROR(__xludf.DUMMYFUNCTION("""COMPUTED_VALUE"""),-0.580006259368412)</f>
        <v>-0.58000625936841199</v>
      </c>
      <c r="AR166" s="3">
        <f ca="1">IFERROR(__xludf.DUMMYFUNCTION("""COMPUTED_VALUE"""),-0.607229272968153)</f>
        <v>-0.60722927296815299</v>
      </c>
      <c r="AS166" s="3">
        <f ca="1">IFERROR(__xludf.DUMMYFUNCTION("""COMPUTED_VALUE"""),-0.621128496953077)</f>
        <v>-0.62112849695307704</v>
      </c>
      <c r="AT166" s="3">
        <f ca="1">IFERROR(__xludf.DUMMYFUNCTION("""COMPUTED_VALUE"""),-0.585144340006219)</f>
        <v>-0.58514434000621895</v>
      </c>
      <c r="AU166" s="3">
        <f ca="1">IFERROR(__xludf.DUMMYFUNCTION("""COMPUTED_VALUE"""),-0.595568842771542)</f>
        <v>-0.59556884277154198</v>
      </c>
      <c r="AV166" s="3">
        <f ca="1">IFERROR(__xludf.DUMMYFUNCTION("""COMPUTED_VALUE"""),-0.560517183175426)</f>
        <v>-0.56051718317542598</v>
      </c>
      <c r="AW166" s="3">
        <f ca="1">IFERROR(__xludf.DUMMYFUNCTION("""COMPUTED_VALUE"""),-0.590259084422453)</f>
        <v>-0.59025908442245301</v>
      </c>
      <c r="AX166" s="3">
        <f ca="1">IFERROR(__xludf.DUMMYFUNCTION("""COMPUTED_VALUE"""),-0.60751441782546)</f>
        <v>-0.60751441782546001</v>
      </c>
      <c r="AY166" s="3">
        <f ca="1">IFERROR(__xludf.DUMMYFUNCTION("""COMPUTED_VALUE"""),-0.639775891744859)</f>
        <v>-0.63977589174485905</v>
      </c>
      <c r="AZ166" s="3">
        <f ca="1">IFERROR(__xludf.DUMMYFUNCTION("""COMPUTED_VALUE"""),-0.642509920222099)</f>
        <v>-0.64250992022209896</v>
      </c>
      <c r="BA166" s="3">
        <f ca="1">IFERROR(__xludf.DUMMYFUNCTION("""COMPUTED_VALUE"""),-0.640214264213725)</f>
        <v>-0.64021426421372496</v>
      </c>
      <c r="BB166" s="3">
        <f ca="1">IFERROR(__xludf.DUMMYFUNCTION("""COMPUTED_VALUE"""),-0.621886015092017)</f>
        <v>-0.62188601509201702</v>
      </c>
      <c r="BC166" s="3">
        <f ca="1">IFERROR(__xludf.DUMMYFUNCTION("""COMPUTED_VALUE"""),-0.603145477291749)</f>
        <v>-0.60314547729174905</v>
      </c>
      <c r="BD166" s="3">
        <f ca="1">IFERROR(__xludf.DUMMYFUNCTION("""COMPUTED_VALUE"""),-0.624189170034688)</f>
        <v>-0.62418917003468799</v>
      </c>
      <c r="BE166" s="3">
        <f ca="1">IFERROR(__xludf.DUMMYFUNCTION("""COMPUTED_VALUE"""),-0.595598476310172)</f>
        <v>-0.59559847631017204</v>
      </c>
      <c r="BF166" s="3">
        <f ca="1">IFERROR(__xludf.DUMMYFUNCTION("""COMPUTED_VALUE"""),-0.635091073989528)</f>
        <v>-0.63509107398952802</v>
      </c>
      <c r="BG166" s="3">
        <f ca="1">IFERROR(__xludf.DUMMYFUNCTION("""COMPUTED_VALUE"""),-0.639622357135552)</f>
        <v>-0.63962235713555204</v>
      </c>
      <c r="BH166" s="3">
        <f ca="1">IFERROR(__xludf.DUMMYFUNCTION("""COMPUTED_VALUE"""),-0.623890209220838)</f>
        <v>-0.62389020922083804</v>
      </c>
      <c r="BI166" s="3">
        <f ca="1">IFERROR(__xludf.DUMMYFUNCTION("""COMPUTED_VALUE"""),-0.658458626088287)</f>
        <v>-0.65845862608828698</v>
      </c>
      <c r="BJ166" s="3">
        <f ca="1">IFERROR(__xludf.DUMMYFUNCTION("""COMPUTED_VALUE"""),-0.665407432699665)</f>
        <v>-0.66540743269966496</v>
      </c>
      <c r="BK166" s="3">
        <f ca="1">IFERROR(__xludf.DUMMYFUNCTION("""COMPUTED_VALUE"""),-0.66089238771935)</f>
        <v>-0.66089238771934999</v>
      </c>
      <c r="BL166" s="3">
        <f ca="1">IFERROR(__xludf.DUMMYFUNCTION("""COMPUTED_VALUE"""),-0.689344347517235)</f>
        <v>-0.68934434751723495</v>
      </c>
      <c r="BM166" s="3">
        <f ca="1">IFERROR(__xludf.DUMMYFUNCTION("""COMPUTED_VALUE"""),-0.660801814312856)</f>
        <v>-0.66080181431285601</v>
      </c>
      <c r="BN166" s="3">
        <f ca="1">IFERROR(__xludf.DUMMYFUNCTION("""COMPUTED_VALUE"""),-0.681352238257499)</f>
        <v>-0.68135223825749902</v>
      </c>
      <c r="BO166" s="3">
        <f ca="1">IFERROR(__xludf.DUMMYFUNCTION("""COMPUTED_VALUE"""),-0.687159898920518)</f>
        <v>-0.68715989892051799</v>
      </c>
      <c r="BP166" s="3">
        <f ca="1">IFERROR(__xludf.DUMMYFUNCTION("""COMPUTED_VALUE"""),-0.701838442323947)</f>
        <v>-0.70183844232394699</v>
      </c>
      <c r="BQ166" s="3">
        <f ca="1">IFERROR(__xludf.DUMMYFUNCTION("""COMPUTED_VALUE"""),-0.696013192833242)</f>
        <v>-0.69601319283324203</v>
      </c>
      <c r="BR166" s="3">
        <f ca="1">IFERROR(__xludf.DUMMYFUNCTION("""COMPUTED_VALUE"""),-0.662258813736781)</f>
        <v>-0.66225881373678097</v>
      </c>
      <c r="BS166" s="3">
        <f ca="1">IFERROR(__xludf.DUMMYFUNCTION("""COMPUTED_VALUE"""),-0.65322016408515)</f>
        <v>-0.65322016408515005</v>
      </c>
      <c r="BT166" s="3">
        <f ca="1">IFERROR(__xludf.DUMMYFUNCTION("""COMPUTED_VALUE"""),-0.65268612443788)</f>
        <v>-0.65268612443787999</v>
      </c>
      <c r="BU166" s="3">
        <f ca="1">IFERROR(__xludf.DUMMYFUNCTION("""COMPUTED_VALUE"""),-0.69033517095531)</f>
        <v>-0.69033517095531005</v>
      </c>
      <c r="BV166" s="3">
        <f ca="1">IFERROR(__xludf.DUMMYFUNCTION("""COMPUTED_VALUE"""),-0.67635003521955)</f>
        <v>-0.67635003521954995</v>
      </c>
      <c r="BW166" s="3">
        <f ca="1">IFERROR(__xludf.DUMMYFUNCTION("""COMPUTED_VALUE"""),-0.742124105175289)</f>
        <v>-0.74212410517528904</v>
      </c>
      <c r="BX166" s="3">
        <f ca="1">IFERROR(__xludf.DUMMYFUNCTION("""COMPUTED_VALUE"""),-0.742696562489679)</f>
        <v>-0.74269656248967897</v>
      </c>
      <c r="BY166" s="3">
        <f ca="1">IFERROR(__xludf.DUMMYFUNCTION("""COMPUTED_VALUE"""),-0.702219068663119)</f>
        <v>-0.70221906866311901</v>
      </c>
      <c r="BZ166" s="3">
        <f ca="1">IFERROR(__xludf.DUMMYFUNCTION("""COMPUTED_VALUE"""),-0.710673836029036)</f>
        <v>-0.710673836029036</v>
      </c>
      <c r="CA166" s="3">
        <f ca="1">IFERROR(__xludf.DUMMYFUNCTION("""COMPUTED_VALUE"""),-0.693377872181955)</f>
        <v>-0.69337787218195501</v>
      </c>
      <c r="CB166" s="3">
        <f ca="1">IFERROR(__xludf.DUMMYFUNCTION("""COMPUTED_VALUE"""),-0.689855156101472)</f>
        <v>-0.68985515610147197</v>
      </c>
      <c r="CC166" s="3">
        <f ca="1">IFERROR(__xludf.DUMMYFUNCTION("""COMPUTED_VALUE"""),-0.706150750428215)</f>
        <v>-0.70615075042821496</v>
      </c>
      <c r="CD166" s="3">
        <f ca="1">IFERROR(__xludf.DUMMYFUNCTION("""COMPUTED_VALUE"""),-0.697938221606309)</f>
        <v>-0.69793822160630903</v>
      </c>
      <c r="CE166" s="3">
        <f ca="1">IFERROR(__xludf.DUMMYFUNCTION("""COMPUTED_VALUE"""),-0.700793948465906)</f>
        <v>-0.70079394846590604</v>
      </c>
      <c r="CF166" s="3">
        <f ca="1">IFERROR(__xludf.DUMMYFUNCTION("""COMPUTED_VALUE"""),-0.643799678620191)</f>
        <v>-0.64379967862019105</v>
      </c>
      <c r="CG166" s="3">
        <f ca="1">IFERROR(__xludf.DUMMYFUNCTION("""COMPUTED_VALUE"""),-0.642612701303304)</f>
        <v>-0.64261270130330395</v>
      </c>
      <c r="CH166" s="3">
        <f ca="1">IFERROR(__xludf.DUMMYFUNCTION("""COMPUTED_VALUE"""),-0.620530033077632)</f>
        <v>-0.62053003307763199</v>
      </c>
      <c r="CI166" s="3">
        <f ca="1">IFERROR(__xludf.DUMMYFUNCTION("""COMPUTED_VALUE"""),-0.624784367895037)</f>
        <v>-0.624784367895037</v>
      </c>
      <c r="CJ166" s="3">
        <f ca="1">IFERROR(__xludf.DUMMYFUNCTION("""COMPUTED_VALUE"""),-0.657889829740067)</f>
        <v>-0.65788982974006704</v>
      </c>
      <c r="CK166" s="3">
        <f ca="1">IFERROR(__xludf.DUMMYFUNCTION("""COMPUTED_VALUE"""),-0.628510176756159)</f>
        <v>-0.62851017675615894</v>
      </c>
      <c r="CL166" s="3">
        <f ca="1">IFERROR(__xludf.DUMMYFUNCTION("""COMPUTED_VALUE"""),-0.624049094845273)</f>
        <v>-0.62404909484527304</v>
      </c>
      <c r="CM166" s="3">
        <f ca="1">IFERROR(__xludf.DUMMYFUNCTION("""COMPUTED_VALUE"""),-0.61454571222654)</f>
        <v>-0.61454571222653998</v>
      </c>
      <c r="CN166" s="3">
        <f ca="1">IFERROR(__xludf.DUMMYFUNCTION("""COMPUTED_VALUE"""),-0.597582423631172)</f>
        <v>-0.59758242363117198</v>
      </c>
      <c r="CO166" s="3">
        <f ca="1">IFERROR(__xludf.DUMMYFUNCTION("""COMPUTED_VALUE"""),-0.565576254597041)</f>
        <v>-0.56557625459704097</v>
      </c>
      <c r="CP166" s="3">
        <f ca="1">IFERROR(__xludf.DUMMYFUNCTION("""COMPUTED_VALUE"""),-0.586059981547959)</f>
        <v>-0.58605998154795902</v>
      </c>
      <c r="CQ166" s="3">
        <f ca="1">IFERROR(__xludf.DUMMYFUNCTION("""COMPUTED_VALUE"""),-0.594847741791684)</f>
        <v>-0.59484774179168398</v>
      </c>
      <c r="CR166" s="3">
        <f ca="1">IFERROR(__xludf.DUMMYFUNCTION("""COMPUTED_VALUE"""),-0.57007855749326)</f>
        <v>-0.57007855749325997</v>
      </c>
      <c r="CS166" s="3">
        <f ca="1">IFERROR(__xludf.DUMMYFUNCTION("""COMPUTED_VALUE"""),-0.600812451610238)</f>
        <v>-0.600812451610238</v>
      </c>
      <c r="CT166" s="3">
        <f ca="1">IFERROR(__xludf.DUMMYFUNCTION("""COMPUTED_VALUE"""),-0.556552395313082)</f>
        <v>-0.55655239531308198</v>
      </c>
      <c r="CU166" s="3">
        <f ca="1">IFERROR(__xludf.DUMMYFUNCTION("""COMPUTED_VALUE"""),-0.593417220021034)</f>
        <v>-0.59341722002103403</v>
      </c>
      <c r="CV166" s="3">
        <f ca="1">IFERROR(__xludf.DUMMYFUNCTION("""COMPUTED_VALUE"""),-0.568125354818585)</f>
        <v>-0.56812535481858495</v>
      </c>
      <c r="CW166" s="3">
        <f ca="1">IFERROR(__xludf.DUMMYFUNCTION("""COMPUTED_VALUE"""),-0.484918391290132)</f>
        <v>-0.48491839129013198</v>
      </c>
      <c r="CX166" s="3">
        <f ca="1">IFERROR(__xludf.DUMMYFUNCTION("""COMPUTED_VALUE"""),-0.580830019595284)</f>
        <v>-0.58083001959528402</v>
      </c>
      <c r="CY166" s="3">
        <f ca="1">IFERROR(__xludf.DUMMYFUNCTION("""COMPUTED_VALUE"""),-0.592669440436819)</f>
        <v>-0.59266944043681902</v>
      </c>
      <c r="CZ166" s="3">
        <f ca="1">IFERROR(__xludf.DUMMYFUNCTION("""COMPUTED_VALUE"""),-0.559986115335599)</f>
        <v>-0.55998611533559906</v>
      </c>
      <c r="DA166" s="3">
        <f ca="1">IFERROR(__xludf.DUMMYFUNCTION("""COMPUTED_VALUE"""),-0.437612440873251)</f>
        <v>-0.43761244087325102</v>
      </c>
      <c r="DB166" s="3">
        <f ca="1">IFERROR(__xludf.DUMMYFUNCTION("""COMPUTED_VALUE"""),-0.519183611203272)</f>
        <v>-0.51918361120327206</v>
      </c>
      <c r="DC166" s="3">
        <f ca="1">IFERROR(__xludf.DUMMYFUNCTION("""COMPUTED_VALUE"""),-0.593422402263232)</f>
        <v>-0.59342240226323195</v>
      </c>
      <c r="DD166" s="3">
        <f ca="1">IFERROR(__xludf.DUMMYFUNCTION("""COMPUTED_VALUE"""),-0.540841987315229)</f>
        <v>-0.54084198731522903</v>
      </c>
      <c r="DE166" s="3">
        <f ca="1">IFERROR(__xludf.DUMMYFUNCTION("""COMPUTED_VALUE"""),-0.593619274618233)</f>
        <v>-0.59361927461823305</v>
      </c>
      <c r="DF166" s="3">
        <f ca="1">IFERROR(__xludf.DUMMYFUNCTION("""COMPUTED_VALUE"""),-0.64746514175915)</f>
        <v>-0.64746514175915004</v>
      </c>
      <c r="DG166" s="3">
        <f ca="1">IFERROR(__xludf.DUMMYFUNCTION("""COMPUTED_VALUE"""),-0.676584660151414)</f>
        <v>-0.67658466015141405</v>
      </c>
      <c r="DH166" s="3">
        <f ca="1">IFERROR(__xludf.DUMMYFUNCTION("""COMPUTED_VALUE"""),-0.569832594594693)</f>
        <v>-0.56983259459469304</v>
      </c>
      <c r="DI166" s="3">
        <f ca="1">IFERROR(__xludf.DUMMYFUNCTION("""COMPUTED_VALUE"""),-0.582227332751554)</f>
        <v>-0.58222733275155403</v>
      </c>
      <c r="DJ166" s="3">
        <f ca="1">IFERROR(__xludf.DUMMYFUNCTION("""COMPUTED_VALUE"""),-0.60927044301583)</f>
        <v>-0.60927044301583</v>
      </c>
      <c r="DK166" s="3">
        <f ca="1">IFERROR(__xludf.DUMMYFUNCTION("""COMPUTED_VALUE"""),-0.560739682380463)</f>
        <v>-0.56073968238046301</v>
      </c>
      <c r="DL166" s="3">
        <f ca="1">IFERROR(__xludf.DUMMYFUNCTION("""COMPUTED_VALUE"""),-0.590057116937362)</f>
        <v>-0.59005711693736196</v>
      </c>
      <c r="DM166" s="3">
        <f ca="1">IFERROR(__xludf.DUMMYFUNCTION("""COMPUTED_VALUE"""),-0.570140588717555)</f>
        <v>-0.57014058871755502</v>
      </c>
      <c r="DN166" s="3">
        <f ca="1">IFERROR(__xludf.DUMMYFUNCTION("""COMPUTED_VALUE"""),-0.549152142961596)</f>
        <v>-0.54915214296159598</v>
      </c>
      <c r="DO166" s="3">
        <f ca="1">IFERROR(__xludf.DUMMYFUNCTION("""COMPUTED_VALUE"""),-0.589823489501105)</f>
        <v>-0.58982348950110497</v>
      </c>
      <c r="DP166" s="3">
        <f ca="1">IFERROR(__xludf.DUMMYFUNCTION("""COMPUTED_VALUE"""),-0.568639199350611)</f>
        <v>-0.56863919935061102</v>
      </c>
      <c r="DQ166" s="3">
        <f ca="1">IFERROR(__xludf.DUMMYFUNCTION("""COMPUTED_VALUE"""),-0.563662803068314)</f>
        <v>-0.56366280306831396</v>
      </c>
      <c r="DR166" s="3">
        <f ca="1">IFERROR(__xludf.DUMMYFUNCTION("""COMPUTED_VALUE"""),-0.580526009828441)</f>
        <v>-0.58052600982844105</v>
      </c>
      <c r="DS166" s="3">
        <f ca="1">IFERROR(__xludf.DUMMYFUNCTION("""COMPUTED_VALUE"""),-0.570315571183047)</f>
        <v>-0.57031557118304699</v>
      </c>
      <c r="DT166" s="3">
        <f ca="1">IFERROR(__xludf.DUMMYFUNCTION("""COMPUTED_VALUE"""),-0.559223144977426)</f>
        <v>-0.55922314497742598</v>
      </c>
      <c r="DU166" s="3">
        <f ca="1">IFERROR(__xludf.DUMMYFUNCTION("""COMPUTED_VALUE"""),-0.538198154025753)</f>
        <v>-0.538198154025753</v>
      </c>
      <c r="DV166" s="3">
        <f ca="1">IFERROR(__xludf.DUMMYFUNCTION("""COMPUTED_VALUE"""),-0.555897355274471)</f>
        <v>-0.55589735527447104</v>
      </c>
      <c r="DW166" s="3">
        <f ca="1">IFERROR(__xludf.DUMMYFUNCTION("""COMPUTED_VALUE"""),-0.5362304359998)</f>
        <v>-0.53623043599980003</v>
      </c>
      <c r="DX166" s="3">
        <f ca="1">IFERROR(__xludf.DUMMYFUNCTION("""COMPUTED_VALUE"""),-0.523348901908748)</f>
        <v>-0.52334890190874805</v>
      </c>
      <c r="DY166" s="3">
        <f ca="1">IFERROR(__xludf.DUMMYFUNCTION("""COMPUTED_VALUE"""),-0.548371323170566)</f>
        <v>-0.54837132317056603</v>
      </c>
      <c r="DZ166" s="3">
        <f ca="1">IFERROR(__xludf.DUMMYFUNCTION("""COMPUTED_VALUE"""),-0.56110114397618)</f>
        <v>-0.56110114397618005</v>
      </c>
      <c r="EA166" s="3">
        <f ca="1">IFERROR(__xludf.DUMMYFUNCTION("""COMPUTED_VALUE"""),-0.523642774131544)</f>
        <v>-0.52364277413154403</v>
      </c>
      <c r="EB166" s="3">
        <f ca="1">IFERROR(__xludf.DUMMYFUNCTION("""COMPUTED_VALUE"""),-0.506027087025412)</f>
        <v>-0.50602708702541199</v>
      </c>
      <c r="EC166" s="3">
        <f ca="1">IFERROR(__xludf.DUMMYFUNCTION("""COMPUTED_VALUE"""),-0.575777866161029)</f>
        <v>-0.57577786616102899</v>
      </c>
      <c r="ED166" s="3">
        <f ca="1">IFERROR(__xludf.DUMMYFUNCTION("""COMPUTED_VALUE"""),-0.529620338457944)</f>
        <v>-0.52962033845794398</v>
      </c>
      <c r="EE166" s="3">
        <f ca="1">IFERROR(__xludf.DUMMYFUNCTION("""COMPUTED_VALUE"""),-0.513726514047077)</f>
        <v>-0.51372651404707703</v>
      </c>
      <c r="EF166" s="3">
        <f ca="1">IFERROR(__xludf.DUMMYFUNCTION("""COMPUTED_VALUE"""),-0.553045778425651)</f>
        <v>-0.55304577842565095</v>
      </c>
      <c r="EG166" s="3">
        <f ca="1">IFERROR(__xludf.DUMMYFUNCTION("""COMPUTED_VALUE"""),-0.558533429940103)</f>
        <v>-0.55853342994010302</v>
      </c>
      <c r="EH166" s="3">
        <f ca="1">IFERROR(__xludf.DUMMYFUNCTION("""COMPUTED_VALUE"""),-0.52535883788792)</f>
        <v>-0.52535883788792004</v>
      </c>
      <c r="EI166" s="3">
        <f ca="1">IFERROR(__xludf.DUMMYFUNCTION("""COMPUTED_VALUE"""),-0.472804184213881)</f>
        <v>-0.47280418421388098</v>
      </c>
      <c r="EJ166" s="3">
        <f ca="1">IFERROR(__xludf.DUMMYFUNCTION("""COMPUTED_VALUE"""),-0.519993314429907)</f>
        <v>-0.51999331442990704</v>
      </c>
      <c r="EK166" s="3">
        <f ca="1">IFERROR(__xludf.DUMMYFUNCTION("""COMPUTED_VALUE"""),-0.531408451822524)</f>
        <v>-0.53140845182252405</v>
      </c>
      <c r="EL166" s="3">
        <f ca="1">IFERROR(__xludf.DUMMYFUNCTION("""COMPUTED_VALUE"""),-0.580031425280175)</f>
        <v>-0.58003142528017504</v>
      </c>
      <c r="EM166" s="3">
        <f ca="1">IFERROR(__xludf.DUMMYFUNCTION("""COMPUTED_VALUE"""),-0.56791505532595)</f>
        <v>-0.56791505532594999</v>
      </c>
      <c r="EN166" s="3">
        <f ca="1">IFERROR(__xludf.DUMMYFUNCTION("""COMPUTED_VALUE"""),-0.648070538563019)</f>
        <v>-0.64807053856301899</v>
      </c>
      <c r="EO166" s="3">
        <f ca="1">IFERROR(__xludf.DUMMYFUNCTION("""COMPUTED_VALUE"""),-0.58852620576796)</f>
        <v>-0.58852620576796</v>
      </c>
      <c r="EP166" s="3">
        <f ca="1">IFERROR(__xludf.DUMMYFUNCTION("""COMPUTED_VALUE"""),-0.53807584016801)</f>
        <v>-0.53807584016801002</v>
      </c>
      <c r="EQ166" s="3">
        <f ca="1">IFERROR(__xludf.DUMMYFUNCTION("""COMPUTED_VALUE"""),-0.594344331225724)</f>
        <v>-0.59434433122572405</v>
      </c>
      <c r="ER166" s="3">
        <f ca="1">IFERROR(__xludf.DUMMYFUNCTION("""COMPUTED_VALUE"""),-0.564950537222184)</f>
        <v>-0.56495053722218402</v>
      </c>
      <c r="ES166" s="3">
        <f ca="1">IFERROR(__xludf.DUMMYFUNCTION("""COMPUTED_VALUE"""),-0.556763586417672)</f>
        <v>-0.55676358641767199</v>
      </c>
      <c r="ET166" s="3">
        <f ca="1">IFERROR(__xludf.DUMMYFUNCTION("""COMPUTED_VALUE"""),-0.612904510422369)</f>
        <v>-0.61290451042236904</v>
      </c>
      <c r="EU166" s="3">
        <f ca="1">IFERROR(__xludf.DUMMYFUNCTION("""COMPUTED_VALUE"""),-0.66182282322642)</f>
        <v>-0.66182282322642005</v>
      </c>
      <c r="EV166" s="3">
        <f ca="1">IFERROR(__xludf.DUMMYFUNCTION("""COMPUTED_VALUE"""),-0.618875250200671)</f>
        <v>-0.61887525020067102</v>
      </c>
      <c r="EW166" s="3">
        <f ca="1">IFERROR(__xludf.DUMMYFUNCTION("""COMPUTED_VALUE"""),-0.58073097464655)</f>
        <v>-0.58073097464654999</v>
      </c>
      <c r="EX166" s="3">
        <f ca="1">IFERROR(__xludf.DUMMYFUNCTION("""COMPUTED_VALUE"""),-0.560131740753603)</f>
        <v>-0.56013174075360295</v>
      </c>
      <c r="EY166" s="3">
        <f ca="1">IFERROR(__xludf.DUMMYFUNCTION("""COMPUTED_VALUE"""),-0.588686456748852)</f>
        <v>-0.58868645674885201</v>
      </c>
      <c r="EZ166" s="3">
        <f ca="1">IFERROR(__xludf.DUMMYFUNCTION("""COMPUTED_VALUE"""),-0.572217915258764)</f>
        <v>-0.57221791525876398</v>
      </c>
      <c r="FA166" s="3">
        <f ca="1">IFERROR(__xludf.DUMMYFUNCTION("""COMPUTED_VALUE"""),-0.557296213683839)</f>
        <v>-0.55729621368383897</v>
      </c>
      <c r="FB166" s="3">
        <f ca="1">IFERROR(__xludf.DUMMYFUNCTION("""COMPUTED_VALUE"""),-0.620041011177458)</f>
        <v>-0.62004101117745802</v>
      </c>
      <c r="FC166" s="3">
        <f ca="1">IFERROR(__xludf.DUMMYFUNCTION("""COMPUTED_VALUE"""),-0.505469892955009)</f>
        <v>-0.50546989295500899</v>
      </c>
      <c r="FD166" s="3">
        <f ca="1">IFERROR(__xludf.DUMMYFUNCTION("""COMPUTED_VALUE"""),-0.484585158621615)</f>
        <v>-0.484585158621615</v>
      </c>
      <c r="FE166" s="3">
        <f ca="1">IFERROR(__xludf.DUMMYFUNCTION("""COMPUTED_VALUE"""),-0.526640423154658)</f>
        <v>-0.52664042315465798</v>
      </c>
      <c r="FF166" s="3">
        <f ca="1">IFERROR(__xludf.DUMMYFUNCTION("""COMPUTED_VALUE"""),-0.503588725807108)</f>
        <v>-0.50358872580710801</v>
      </c>
      <c r="FG166" s="3">
        <f ca="1">IFERROR(__xludf.DUMMYFUNCTION("""COMPUTED_VALUE"""),-0.450241551746135)</f>
        <v>-0.450241551746135</v>
      </c>
      <c r="FH166" s="3">
        <f ca="1">IFERROR(__xludf.DUMMYFUNCTION("""COMPUTED_VALUE"""),-0.50279957208033)</f>
        <v>-0.50279957208032999</v>
      </c>
      <c r="FI166" s="3">
        <f ca="1">IFERROR(__xludf.DUMMYFUNCTION("""COMPUTED_VALUE"""),-0.495601456039089)</f>
        <v>-0.49560145603908901</v>
      </c>
      <c r="FJ166" s="3">
        <f ca="1">IFERROR(__xludf.DUMMYFUNCTION("""COMPUTED_VALUE"""),-0.455097311696055)</f>
        <v>-0.455097311696055</v>
      </c>
      <c r="FK166" s="3">
        <f ca="1">IFERROR(__xludf.DUMMYFUNCTION("""COMPUTED_VALUE"""),-0.444663037937788)</f>
        <v>-0.444663037937788</v>
      </c>
      <c r="FL166" s="3">
        <f ca="1">IFERROR(__xludf.DUMMYFUNCTION("""COMPUTED_VALUE"""),-0.466692197390978)</f>
        <v>-0.466692197390978</v>
      </c>
      <c r="FM166" s="3">
        <f ca="1">IFERROR(__xludf.DUMMYFUNCTION("""COMPUTED_VALUE"""),-0.45985712008534)</f>
        <v>-0.45985712008534002</v>
      </c>
      <c r="FN166" s="3">
        <f ca="1">IFERROR(__xludf.DUMMYFUNCTION("""COMPUTED_VALUE"""),-0.477287443991786)</f>
        <v>-0.47728744399178602</v>
      </c>
      <c r="FO166" s="3">
        <f ca="1">IFERROR(__xludf.DUMMYFUNCTION("""COMPUTED_VALUE"""),-0.435782817843121)</f>
        <v>-0.43578281784312101</v>
      </c>
      <c r="FP166" s="3">
        <f ca="1">IFERROR(__xludf.DUMMYFUNCTION("""COMPUTED_VALUE"""),-0.456721537256059)</f>
        <v>-0.45672153725605902</v>
      </c>
      <c r="FQ166" s="3">
        <f ca="1">IFERROR(__xludf.DUMMYFUNCTION("""COMPUTED_VALUE"""),-0.388197740366104)</f>
        <v>-0.38819774036610399</v>
      </c>
      <c r="FR166" s="3">
        <f ca="1">IFERROR(__xludf.DUMMYFUNCTION("""COMPUTED_VALUE"""),-0.36714799102675)</f>
        <v>-0.36714799102675</v>
      </c>
      <c r="FS166" s="3">
        <f ca="1">IFERROR(__xludf.DUMMYFUNCTION("""COMPUTED_VALUE"""),-0.366318851020103)</f>
        <v>-0.36631885102010298</v>
      </c>
      <c r="FT166" s="3">
        <f ca="1">IFERROR(__xludf.DUMMYFUNCTION("""COMPUTED_VALUE"""),-0.415663496847178)</f>
        <v>-0.41566349684717802</v>
      </c>
      <c r="FU166" s="3">
        <f ca="1">IFERROR(__xludf.DUMMYFUNCTION("""COMPUTED_VALUE"""),-0.447330121139121)</f>
        <v>-0.44733012113912102</v>
      </c>
      <c r="FV166" s="3">
        <f ca="1">IFERROR(__xludf.DUMMYFUNCTION("""COMPUTED_VALUE"""),-0.453118594348818)</f>
        <v>-0.45311859434881802</v>
      </c>
      <c r="FW166" s="3">
        <f ca="1">IFERROR(__xludf.DUMMYFUNCTION("""COMPUTED_VALUE"""),-0.477636908969623)</f>
        <v>-0.47763690896962302</v>
      </c>
      <c r="FX166" s="3">
        <f ca="1">IFERROR(__xludf.DUMMYFUNCTION("""COMPUTED_VALUE"""),-0.465663295588946)</f>
        <v>-0.46566329558894598</v>
      </c>
      <c r="FY166" s="3">
        <f ca="1">IFERROR(__xludf.DUMMYFUNCTION("""COMPUTED_VALUE"""),-0.381785844207628)</f>
        <v>-0.38178584420762801</v>
      </c>
      <c r="FZ166" s="3">
        <f ca="1">IFERROR(__xludf.DUMMYFUNCTION("""COMPUTED_VALUE"""),-0.372560186390066)</f>
        <v>-0.37256018639006599</v>
      </c>
      <c r="GA166" s="3">
        <f ca="1">IFERROR(__xludf.DUMMYFUNCTION("""COMPUTED_VALUE"""),-0.412937778871815)</f>
        <v>-0.41293777887181499</v>
      </c>
      <c r="GB166" s="3">
        <f ca="1">IFERROR(__xludf.DUMMYFUNCTION("""COMPUTED_VALUE"""),-0.363772954198341)</f>
        <v>-0.36377295419834099</v>
      </c>
      <c r="GC166" s="3">
        <f ca="1">IFERROR(__xludf.DUMMYFUNCTION("""COMPUTED_VALUE"""),-0.494052128177864)</f>
        <v>-0.49405212817786398</v>
      </c>
      <c r="GD166" s="3">
        <f ca="1">IFERROR(__xludf.DUMMYFUNCTION("""COMPUTED_VALUE"""),-0.448512723241002)</f>
        <v>-0.448512723241002</v>
      </c>
      <c r="GE166" s="3">
        <f ca="1">IFERROR(__xludf.DUMMYFUNCTION("""COMPUTED_VALUE"""),-0.464487393010084)</f>
        <v>-0.46448739301008402</v>
      </c>
      <c r="GF166" s="3">
        <f ca="1">IFERROR(__xludf.DUMMYFUNCTION("""COMPUTED_VALUE"""),-0.423343403376833)</f>
        <v>-0.42334340337683302</v>
      </c>
      <c r="GG166" s="3">
        <f ca="1">IFERROR(__xludf.DUMMYFUNCTION("""COMPUTED_VALUE"""),-0.38447923312782)</f>
        <v>-0.38447923312782001</v>
      </c>
      <c r="GH166" s="3">
        <f ca="1">IFERROR(__xludf.DUMMYFUNCTION("""COMPUTED_VALUE"""),-0.407864045113233)</f>
        <v>-0.40786404511323299</v>
      </c>
      <c r="GI166" s="3">
        <f ca="1">IFERROR(__xludf.DUMMYFUNCTION("""COMPUTED_VALUE"""),-0.372305991113164)</f>
        <v>-0.37230599111316398</v>
      </c>
      <c r="GJ166" s="3">
        <f ca="1">IFERROR(__xludf.DUMMYFUNCTION("""COMPUTED_VALUE"""),-0.443921950482894)</f>
        <v>-0.44392195048289401</v>
      </c>
      <c r="GK166" s="3">
        <f ca="1">IFERROR(__xludf.DUMMYFUNCTION("""COMPUTED_VALUE"""),-0.472640699384837)</f>
        <v>-0.47264069938483699</v>
      </c>
      <c r="GL166" s="3">
        <f ca="1">IFERROR(__xludf.DUMMYFUNCTION("""COMPUTED_VALUE"""),-0.476620567834477)</f>
        <v>-0.47662056783447698</v>
      </c>
      <c r="GM166" s="3">
        <f ca="1">IFERROR(__xludf.DUMMYFUNCTION("""COMPUTED_VALUE"""),-0.364095512992871)</f>
        <v>-0.36409551299287102</v>
      </c>
      <c r="GN166" s="3">
        <f ca="1">IFERROR(__xludf.DUMMYFUNCTION("""COMPUTED_VALUE"""),-0.331329417494564)</f>
        <v>-0.33132941749456402</v>
      </c>
      <c r="GO166" s="3">
        <f ca="1">IFERROR(__xludf.DUMMYFUNCTION("""COMPUTED_VALUE"""),-0.393259265973176)</f>
        <v>-0.39325926597317601</v>
      </c>
      <c r="GP166" s="3">
        <f ca="1">IFERROR(__xludf.DUMMYFUNCTION("""COMPUTED_VALUE"""),-0.40825947534432)</f>
        <v>-0.40825947534432</v>
      </c>
      <c r="GQ166" s="3">
        <f ca="1">IFERROR(__xludf.DUMMYFUNCTION("""COMPUTED_VALUE"""),-0.396879556122892)</f>
        <v>-0.396879556122892</v>
      </c>
      <c r="GR166" s="3">
        <f ca="1">IFERROR(__xludf.DUMMYFUNCTION("""COMPUTED_VALUE"""),-0.440539321784288)</f>
        <v>-0.44053932178428801</v>
      </c>
      <c r="GS166" s="3">
        <f ca="1">IFERROR(__xludf.DUMMYFUNCTION("""COMPUTED_VALUE"""),-0.50416161449998)</f>
        <v>-0.50416161449997998</v>
      </c>
      <c r="GT166" s="3">
        <f ca="1">IFERROR(__xludf.DUMMYFUNCTION("""COMPUTED_VALUE"""),-0.409497728164726)</f>
        <v>-0.40949772816472602</v>
      </c>
      <c r="GU166" s="3">
        <f ca="1">IFERROR(__xludf.DUMMYFUNCTION("""COMPUTED_VALUE"""),-0.422660292720587)</f>
        <v>-0.42266029272058703</v>
      </c>
      <c r="GV166" s="3">
        <f ca="1">IFERROR(__xludf.DUMMYFUNCTION("""COMPUTED_VALUE"""),-0.3815286023157)</f>
        <v>-0.38152860231570002</v>
      </c>
      <c r="GW166" s="3">
        <f ca="1">IFERROR(__xludf.DUMMYFUNCTION("""COMPUTED_VALUE"""),-0.384147780500402)</f>
        <v>-0.38414778050040199</v>
      </c>
      <c r="GX166" s="3">
        <f ca="1">IFERROR(__xludf.DUMMYFUNCTION("""COMPUTED_VALUE"""),-0.355456378530662)</f>
        <v>-0.35545637853066198</v>
      </c>
      <c r="GY166" s="3">
        <f ca="1">IFERROR(__xludf.DUMMYFUNCTION("""COMPUTED_VALUE"""),-0.388041376729266)</f>
        <v>-0.38804137672926597</v>
      </c>
      <c r="GZ166" s="3">
        <f ca="1">IFERROR(__xludf.DUMMYFUNCTION("""COMPUTED_VALUE"""),-0.398371305599211)</f>
        <v>-0.39837130559921102</v>
      </c>
      <c r="HA166" s="3">
        <f ca="1">IFERROR(__xludf.DUMMYFUNCTION("""COMPUTED_VALUE"""),-0.28311590152973)</f>
        <v>-0.28311590152972999</v>
      </c>
      <c r="HB166" s="3">
        <f ca="1">IFERROR(__xludf.DUMMYFUNCTION("""COMPUTED_VALUE"""),-0.328004606037412)</f>
        <v>-0.32800460603741199</v>
      </c>
      <c r="HC166" s="3">
        <f ca="1">IFERROR(__xludf.DUMMYFUNCTION("""COMPUTED_VALUE"""),-0.342996071147191)</f>
        <v>-0.342996071147191</v>
      </c>
      <c r="HD166" s="3">
        <f ca="1">IFERROR(__xludf.DUMMYFUNCTION("""COMPUTED_VALUE"""),-0.382655105463849)</f>
        <v>-0.38265510546384901</v>
      </c>
      <c r="HE166" s="3">
        <f ca="1">IFERROR(__xludf.DUMMYFUNCTION("""COMPUTED_VALUE"""),-0.322974442496384)</f>
        <v>-0.32297444249638402</v>
      </c>
      <c r="HF166" s="3">
        <f ca="1">IFERROR(__xludf.DUMMYFUNCTION("""COMPUTED_VALUE"""),-0.425749641090709)</f>
        <v>-0.42574964109070901</v>
      </c>
      <c r="HG166" s="3">
        <f ca="1">IFERROR(__xludf.DUMMYFUNCTION("""COMPUTED_VALUE"""),-0.476873758519767)</f>
        <v>-0.47687375851976699</v>
      </c>
      <c r="HH166" s="3">
        <f ca="1">IFERROR(__xludf.DUMMYFUNCTION("""COMPUTED_VALUE"""),-0.199883453053272)</f>
        <v>-0.19988345305327199</v>
      </c>
      <c r="HI166" s="3">
        <f ca="1">IFERROR(__xludf.DUMMYFUNCTION("""COMPUTED_VALUE"""),-0.172874462060977)</f>
        <v>-0.17287446206097701</v>
      </c>
      <c r="HJ166" s="3">
        <f ca="1">IFERROR(__xludf.DUMMYFUNCTION("""COMPUTED_VALUE"""),-0.227725078979304)</f>
        <v>-0.227725078979304</v>
      </c>
      <c r="HK166" s="3">
        <f ca="1">IFERROR(__xludf.DUMMYFUNCTION("""COMPUTED_VALUE"""),-0.338683195331136)</f>
        <v>-0.338683195331136</v>
      </c>
      <c r="HL166" s="3">
        <f ca="1">IFERROR(__xludf.DUMMYFUNCTION("""COMPUTED_VALUE"""),-0.324499415157718)</f>
        <v>-0.32449941515771802</v>
      </c>
      <c r="HM166" s="3">
        <f ca="1">IFERROR(__xludf.DUMMYFUNCTION("""COMPUTED_VALUE"""),-0.388314496585142)</f>
        <v>-0.388314496585142</v>
      </c>
      <c r="HN166" s="3">
        <f ca="1">IFERROR(__xludf.DUMMYFUNCTION("""COMPUTED_VALUE"""),-0.334268391025498)</f>
        <v>-0.33426839102549799</v>
      </c>
      <c r="HO166" s="3">
        <f ca="1">IFERROR(__xludf.DUMMYFUNCTION("""COMPUTED_VALUE"""),-0.34270976978068)</f>
        <v>-0.34270976978068002</v>
      </c>
      <c r="HP166" s="3">
        <f ca="1">IFERROR(__xludf.DUMMYFUNCTION("""COMPUTED_VALUE"""),-0.327941002263124)</f>
        <v>-0.327941002263124</v>
      </c>
      <c r="HQ166" s="3">
        <f ca="1">IFERROR(__xludf.DUMMYFUNCTION("""COMPUTED_VALUE"""),-0.456497051843947)</f>
        <v>-0.45649705184394701</v>
      </c>
      <c r="HR166" s="3">
        <f ca="1">IFERROR(__xludf.DUMMYFUNCTION("""COMPUTED_VALUE"""),-0.459021374646715)</f>
        <v>-0.459021374646715</v>
      </c>
      <c r="HS166" s="3">
        <f ca="1">IFERROR(__xludf.DUMMYFUNCTION("""COMPUTED_VALUE"""),-0.454848454406116)</f>
        <v>-0.45484845440611599</v>
      </c>
      <c r="HT166" s="3">
        <f ca="1">IFERROR(__xludf.DUMMYFUNCTION("""COMPUTED_VALUE"""),-0.454782517720362)</f>
        <v>-0.45478251772036199</v>
      </c>
      <c r="HU166" s="3">
        <f ca="1">IFERROR(__xludf.DUMMYFUNCTION("""COMPUTED_VALUE"""),-0.388218671233403)</f>
        <v>-0.38821867123340298</v>
      </c>
      <c r="HV166" s="3">
        <f ca="1">IFERROR(__xludf.DUMMYFUNCTION("""COMPUTED_VALUE"""),-0.388291329878406)</f>
        <v>-0.38829132987840598</v>
      </c>
      <c r="HW166" s="3">
        <f ca="1">IFERROR(__xludf.DUMMYFUNCTION("""COMPUTED_VALUE"""),-0.401205611341419)</f>
        <v>-0.40120561134141902</v>
      </c>
      <c r="HX166" s="3">
        <f ca="1">IFERROR(__xludf.DUMMYFUNCTION("""COMPUTED_VALUE"""),-0.468473438482408)</f>
        <v>-0.46847343848240802</v>
      </c>
      <c r="HY166" s="3">
        <f ca="1">IFERROR(__xludf.DUMMYFUNCTION("""COMPUTED_VALUE"""),-0.446787765902)</f>
        <v>-0.44678776590199998</v>
      </c>
      <c r="HZ166" s="3">
        <f ca="1">IFERROR(__xludf.DUMMYFUNCTION("""COMPUTED_VALUE"""),-0.468139570748531)</f>
        <v>-0.46813957074853102</v>
      </c>
      <c r="IA166" s="3">
        <f ca="1">IFERROR(__xludf.DUMMYFUNCTION("""COMPUTED_VALUE"""),-0.560991569180765)</f>
        <v>-0.56099156918076498</v>
      </c>
      <c r="IB166" s="3">
        <f ca="1">IFERROR(__xludf.DUMMYFUNCTION("""COMPUTED_VALUE"""),-0.4803339488017)</f>
        <v>-0.48033394880169999</v>
      </c>
      <c r="IC166" s="3">
        <f ca="1">IFERROR(__xludf.DUMMYFUNCTION("""COMPUTED_VALUE"""),-0.456350749597757)</f>
        <v>-0.45635074959775701</v>
      </c>
      <c r="ID166" s="3">
        <f ca="1">IFERROR(__xludf.DUMMYFUNCTION("""COMPUTED_VALUE"""),-0.418740708824542)</f>
        <v>-0.41874070882454201</v>
      </c>
      <c r="IE166" s="3">
        <f ca="1">IFERROR(__xludf.DUMMYFUNCTION("""COMPUTED_VALUE"""),-0.456942000175059)</f>
        <v>-0.45694200017505898</v>
      </c>
      <c r="IF166" s="3">
        <f ca="1">IFERROR(__xludf.DUMMYFUNCTION("""COMPUTED_VALUE"""),-0.381405328263125)</f>
        <v>-0.38140532826312501</v>
      </c>
      <c r="IG166" s="3">
        <f ca="1">IFERROR(__xludf.DUMMYFUNCTION("""COMPUTED_VALUE"""),-0.34156866943305)</f>
        <v>-0.34156866943304998</v>
      </c>
      <c r="IH166" s="3">
        <f ca="1">IFERROR(__xludf.DUMMYFUNCTION("""COMPUTED_VALUE"""),-0.502117217348074)</f>
        <v>-0.50211721734807402</v>
      </c>
      <c r="II166" s="3">
        <f ca="1">IFERROR(__xludf.DUMMYFUNCTION("""COMPUTED_VALUE"""),-0.47015698217167)</f>
        <v>-0.47015698217167001</v>
      </c>
      <c r="IJ166" s="3">
        <f ca="1">IFERROR(__xludf.DUMMYFUNCTION("""COMPUTED_VALUE"""),-0.407572743294679)</f>
        <v>-0.40757274329467902</v>
      </c>
      <c r="IK166" s="3">
        <f ca="1">IFERROR(__xludf.DUMMYFUNCTION("""COMPUTED_VALUE"""),-0.472064304409812)</f>
        <v>-0.47206430440981201</v>
      </c>
      <c r="IL166" s="3">
        <f ca="1">IFERROR(__xludf.DUMMYFUNCTION("""COMPUTED_VALUE"""),-0.47653263668829)</f>
        <v>-0.47653263668828999</v>
      </c>
      <c r="IM166" s="3">
        <f ca="1">IFERROR(__xludf.DUMMYFUNCTION("""COMPUTED_VALUE"""),-0.479677330469708)</f>
        <v>-0.47967733046970801</v>
      </c>
      <c r="IN166" s="3">
        <f ca="1">IFERROR(__xludf.DUMMYFUNCTION("""COMPUTED_VALUE"""),-0.496073376669419)</f>
        <v>-0.49607337666941898</v>
      </c>
      <c r="IO166" s="3">
        <f ca="1">IFERROR(__xludf.DUMMYFUNCTION("""COMPUTED_VALUE"""),-0.563161270312862)</f>
        <v>-0.56316127031286201</v>
      </c>
      <c r="IP166" s="3">
        <f ca="1">IFERROR(__xludf.DUMMYFUNCTION("""COMPUTED_VALUE"""),-0.543453993718445)</f>
        <v>-0.54345399371844505</v>
      </c>
      <c r="IQ166" s="3">
        <f ca="1">IFERROR(__xludf.DUMMYFUNCTION("""COMPUTED_VALUE"""),-0.47162483275878)</f>
        <v>-0.47162483275877998</v>
      </c>
      <c r="IR166" s="3">
        <f ca="1">IFERROR(__xludf.DUMMYFUNCTION("""COMPUTED_VALUE"""),-0.460858038512122)</f>
        <v>-0.46085803851212198</v>
      </c>
      <c r="IS166" s="3">
        <f ca="1">IFERROR(__xludf.DUMMYFUNCTION("""COMPUTED_VALUE"""),-0.403297853437645)</f>
        <v>-0.40329785343764502</v>
      </c>
      <c r="IT166" s="3">
        <f ca="1">IFERROR(__xludf.DUMMYFUNCTION("""COMPUTED_VALUE"""),-0.353921261216814)</f>
        <v>-0.353921261216814</v>
      </c>
      <c r="IU166" s="3">
        <f ca="1">IFERROR(__xludf.DUMMYFUNCTION("""COMPUTED_VALUE"""),-0.498356048240729)</f>
        <v>-0.49835604824072899</v>
      </c>
      <c r="IV166" s="3">
        <f ca="1">IFERROR(__xludf.DUMMYFUNCTION("""COMPUTED_VALUE"""),-0.504677613996897)</f>
        <v>-0.50467761399689703</v>
      </c>
      <c r="IW166" s="3">
        <f ca="1">IFERROR(__xludf.DUMMYFUNCTION("""COMPUTED_VALUE"""),-0.480986097286557)</f>
        <v>-0.480986097286557</v>
      </c>
      <c r="IX166" s="3">
        <f ca="1">IFERROR(__xludf.DUMMYFUNCTION("""COMPUTED_VALUE"""),-0.472942589199626)</f>
        <v>-0.47294258919962601</v>
      </c>
      <c r="IY166" s="3">
        <f ca="1">IFERROR(__xludf.DUMMYFUNCTION("""COMPUTED_VALUE"""),-0.432422385355652)</f>
        <v>-0.43242238535565197</v>
      </c>
      <c r="IZ166" s="3">
        <f ca="1">IFERROR(__xludf.DUMMYFUNCTION("""COMPUTED_VALUE"""),-0.449930761237741)</f>
        <v>-0.44993076123774101</v>
      </c>
      <c r="JA166" s="3">
        <f ca="1">IFERROR(__xludf.DUMMYFUNCTION("""COMPUTED_VALUE"""),-0.461406415050012)</f>
        <v>-0.46140641505001201</v>
      </c>
      <c r="JB166" s="3">
        <f ca="1">IFERROR(__xludf.DUMMYFUNCTION("""COMPUTED_VALUE"""),-0.550423324723482)</f>
        <v>-0.55042332472348199</v>
      </c>
      <c r="JC166" s="3">
        <f ca="1">IFERROR(__xludf.DUMMYFUNCTION("""COMPUTED_VALUE"""),-0.498590398030065)</f>
        <v>-0.498590398030065</v>
      </c>
      <c r="JD166" s="3">
        <f ca="1">IFERROR(__xludf.DUMMYFUNCTION("""COMPUTED_VALUE"""),-0.477589360339685)</f>
        <v>-0.47758936033968502</v>
      </c>
      <c r="JE166" s="3">
        <f ca="1">IFERROR(__xludf.DUMMYFUNCTION("""COMPUTED_VALUE"""),-0.457533053436987)</f>
        <v>-0.45753305343698703</v>
      </c>
      <c r="JF166" s="3">
        <f ca="1">IFERROR(__xludf.DUMMYFUNCTION("""COMPUTED_VALUE"""),-0.495244255982642)</f>
        <v>-0.49524425598264199</v>
      </c>
      <c r="JG166" s="3">
        <f ca="1">IFERROR(__xludf.DUMMYFUNCTION("""COMPUTED_VALUE"""),-0.519668740275401)</f>
        <v>-0.519668740275401</v>
      </c>
      <c r="JH166" s="3">
        <f ca="1">IFERROR(__xludf.DUMMYFUNCTION("""COMPUTED_VALUE"""),-0.486143741855151)</f>
        <v>-0.48614374185515102</v>
      </c>
      <c r="JI166" s="3">
        <f ca="1">IFERROR(__xludf.DUMMYFUNCTION("""COMPUTED_VALUE"""),-0.534442053734945)</f>
        <v>-0.53444205373494502</v>
      </c>
      <c r="JJ166" s="3">
        <f ca="1">IFERROR(__xludf.DUMMYFUNCTION("""COMPUTED_VALUE"""),-0.49752123990952)</f>
        <v>-0.49752123990952002</v>
      </c>
      <c r="JK166" s="3">
        <f ca="1">IFERROR(__xludf.DUMMYFUNCTION("""COMPUTED_VALUE"""),-0.503456561848353)</f>
        <v>-0.50345656184835297</v>
      </c>
      <c r="JL166" s="3">
        <f ca="1">IFERROR(__xludf.DUMMYFUNCTION("""COMPUTED_VALUE"""),-0.507768971038513)</f>
        <v>-0.50776897103851304</v>
      </c>
      <c r="JM166" s="3">
        <f ca="1">IFERROR(__xludf.DUMMYFUNCTION("""COMPUTED_VALUE"""),-0.476025306095381)</f>
        <v>-0.47602530609538102</v>
      </c>
      <c r="JN166" s="3">
        <f ca="1">IFERROR(__xludf.DUMMYFUNCTION("""COMPUTED_VALUE"""),-0.510254594848297)</f>
        <v>-0.51025459484829705</v>
      </c>
      <c r="JO166" s="3">
        <f ca="1">IFERROR(__xludf.DUMMYFUNCTION("""COMPUTED_VALUE"""),-0.4740827488873)</f>
        <v>-0.47408274888730001</v>
      </c>
      <c r="JP166" s="3">
        <f ca="1">IFERROR(__xludf.DUMMYFUNCTION("""COMPUTED_VALUE"""),-0.519145764899389)</f>
        <v>-0.51914576489938902</v>
      </c>
      <c r="JQ166" s="3">
        <f ca="1">IFERROR(__xludf.DUMMYFUNCTION("""COMPUTED_VALUE"""),-0.612732036174877)</f>
        <v>-0.61273203617487704</v>
      </c>
      <c r="JR166" s="3">
        <f ca="1">IFERROR(__xludf.DUMMYFUNCTION("""COMPUTED_VALUE"""),-0.509521954874274)</f>
        <v>-0.50952195487427399</v>
      </c>
      <c r="JS166" s="3">
        <f ca="1">IFERROR(__xludf.DUMMYFUNCTION("""COMPUTED_VALUE"""),-0.518985381423694)</f>
        <v>-0.51898538142369399</v>
      </c>
      <c r="JT166" s="3">
        <f ca="1">IFERROR(__xludf.DUMMYFUNCTION("""COMPUTED_VALUE"""),-0.556408701144261)</f>
        <v>-0.556408701144261</v>
      </c>
      <c r="JU166" s="3">
        <f ca="1">IFERROR(__xludf.DUMMYFUNCTION("""COMPUTED_VALUE"""),-0.511542038687528)</f>
        <v>-0.51154203868752801</v>
      </c>
      <c r="JV166" s="3">
        <f ca="1">IFERROR(__xludf.DUMMYFUNCTION("""COMPUTED_VALUE"""),-0.561495469705558)</f>
        <v>-0.56149546970555797</v>
      </c>
      <c r="JW166" s="3">
        <f ca="1">IFERROR(__xludf.DUMMYFUNCTION("""COMPUTED_VALUE"""),-0.564834393840236)</f>
        <v>-0.56483439384023604</v>
      </c>
      <c r="JX166" s="3">
        <f ca="1">IFERROR(__xludf.DUMMYFUNCTION("""COMPUTED_VALUE"""),-0.57254818724904)</f>
        <v>-0.57254818724904</v>
      </c>
      <c r="JY166" s="3">
        <f ca="1">IFERROR(__xludf.DUMMYFUNCTION("""COMPUTED_VALUE"""),-0.586487389024849)</f>
        <v>-0.58648738902484898</v>
      </c>
      <c r="JZ166" s="3">
        <f ca="1">IFERROR(__xludf.DUMMYFUNCTION("""COMPUTED_VALUE"""),-0.566587984357556)</f>
        <v>-0.56658798435755597</v>
      </c>
      <c r="KA166" s="3">
        <f ca="1">IFERROR(__xludf.DUMMYFUNCTION("""COMPUTED_VALUE"""),-0.422767706779769)</f>
        <v>-0.42276770677976899</v>
      </c>
      <c r="KB166" s="3">
        <f ca="1">IFERROR(__xludf.DUMMYFUNCTION("""COMPUTED_VALUE"""),-0.569240159892177)</f>
        <v>-0.56924015989217702</v>
      </c>
      <c r="KC166" s="3">
        <f ca="1">IFERROR(__xludf.DUMMYFUNCTION("""COMPUTED_VALUE"""),-0.608591858577252)</f>
        <v>-0.60859185857725195</v>
      </c>
      <c r="KD166" s="3">
        <f ca="1">IFERROR(__xludf.DUMMYFUNCTION("""COMPUTED_VALUE"""),-0.597689486186487)</f>
        <v>-0.59768948618648698</v>
      </c>
      <c r="KE166" s="3">
        <f ca="1">IFERROR(__xludf.DUMMYFUNCTION("""COMPUTED_VALUE"""),-0.637039856999816)</f>
        <v>-0.63703985699981602</v>
      </c>
      <c r="KF166" s="3">
        <f ca="1">IFERROR(__xludf.DUMMYFUNCTION("""COMPUTED_VALUE"""),-0.613901957822184)</f>
        <v>-0.61390195782218404</v>
      </c>
      <c r="KG166" s="3">
        <f ca="1">IFERROR(__xludf.DUMMYFUNCTION("""COMPUTED_VALUE"""),-0.573158545764987)</f>
        <v>-0.57315854576498704</v>
      </c>
      <c r="KH166" s="3">
        <f ca="1">IFERROR(__xludf.DUMMYFUNCTION("""COMPUTED_VALUE"""),-0.564571166157354)</f>
        <v>-0.56457116615735403</v>
      </c>
      <c r="KI166" s="3">
        <f ca="1">IFERROR(__xludf.DUMMYFUNCTION("""COMPUTED_VALUE"""),-0.611934954472638)</f>
        <v>-0.61193495447263802</v>
      </c>
      <c r="KJ166" s="3">
        <f ca="1">IFERROR(__xludf.DUMMYFUNCTION("""COMPUTED_VALUE"""),-0.61274411869641)</f>
        <v>-0.61274411869640999</v>
      </c>
      <c r="KK166" s="3">
        <f ca="1">IFERROR(__xludf.DUMMYFUNCTION("""COMPUTED_VALUE"""),-0.632255803616608)</f>
        <v>-0.63225580361660805</v>
      </c>
      <c r="KL166" s="3">
        <f ca="1">IFERROR(__xludf.DUMMYFUNCTION("""COMPUTED_VALUE"""),-0.678235613966963)</f>
        <v>-0.67823561396696297</v>
      </c>
      <c r="KM166" s="3">
        <f ca="1">IFERROR(__xludf.DUMMYFUNCTION("""COMPUTED_VALUE"""),-0.630856970557196)</f>
        <v>-0.63085697055719603</v>
      </c>
      <c r="KN166" s="3">
        <f ca="1">IFERROR(__xludf.DUMMYFUNCTION("""COMPUTED_VALUE"""),-0.640705146884333)</f>
        <v>-0.640705146884333</v>
      </c>
      <c r="KO166" s="3">
        <f ca="1">IFERROR(__xludf.DUMMYFUNCTION("""COMPUTED_VALUE"""),-0.578030517172671)</f>
        <v>-0.57803051717267095</v>
      </c>
      <c r="KP166" s="3">
        <f ca="1">IFERROR(__xludf.DUMMYFUNCTION("""COMPUTED_VALUE"""),-0.631970313452011)</f>
        <v>-0.63197031345201105</v>
      </c>
      <c r="KQ166" s="3">
        <f ca="1">IFERROR(__xludf.DUMMYFUNCTION("""COMPUTED_VALUE"""),-0.651793705023729)</f>
        <v>-0.65179370502372902</v>
      </c>
      <c r="KR166" s="3">
        <f ca="1">IFERROR(__xludf.DUMMYFUNCTION("""COMPUTED_VALUE"""),-0.624145557216902)</f>
        <v>-0.62414555721690201</v>
      </c>
      <c r="KS166" s="3">
        <f ca="1">IFERROR(__xludf.DUMMYFUNCTION("""COMPUTED_VALUE"""),-0.66732712352591)</f>
        <v>-0.66732712352590995</v>
      </c>
      <c r="KT166" s="3">
        <f ca="1">IFERROR(__xludf.DUMMYFUNCTION("""COMPUTED_VALUE"""),-0.65551041352977)</f>
        <v>-0.65551041352977002</v>
      </c>
      <c r="KU166" s="3">
        <f ca="1">IFERROR(__xludf.DUMMYFUNCTION("""COMPUTED_VALUE"""),-0.616672179601585)</f>
        <v>-0.61667217960158505</v>
      </c>
      <c r="KV166" s="3">
        <f ca="1">IFERROR(__xludf.DUMMYFUNCTION("""COMPUTED_VALUE"""),-0.614198815774288)</f>
        <v>-0.61419881577428803</v>
      </c>
      <c r="KW166" s="3">
        <f ca="1">IFERROR(__xludf.DUMMYFUNCTION("""COMPUTED_VALUE"""),-0.668219167387686)</f>
        <v>-0.66821916738768605</v>
      </c>
      <c r="KX166" s="3">
        <f ca="1">IFERROR(__xludf.DUMMYFUNCTION("""COMPUTED_VALUE"""),-0.659398110166212)</f>
        <v>-0.65939811016621197</v>
      </c>
      <c r="KY166" s="3">
        <f ca="1">IFERROR(__xludf.DUMMYFUNCTION("""COMPUTED_VALUE"""),-0.634776512723079)</f>
        <v>-0.634776512723079</v>
      </c>
      <c r="KZ166" s="3">
        <f ca="1">IFERROR(__xludf.DUMMYFUNCTION("""COMPUTED_VALUE"""),-0.687487325638011)</f>
        <v>-0.68748732563801096</v>
      </c>
      <c r="LA166" s="3">
        <f ca="1">IFERROR(__xludf.DUMMYFUNCTION("""COMPUTED_VALUE"""),-0.682248433156285)</f>
        <v>-0.68224843315628503</v>
      </c>
      <c r="LB166" s="3">
        <f ca="1">IFERROR(__xludf.DUMMYFUNCTION("""COMPUTED_VALUE"""),-0.672102104616734)</f>
        <v>-0.67210210461673403</v>
      </c>
      <c r="LC166" s="3">
        <f ca="1">IFERROR(__xludf.DUMMYFUNCTION("""COMPUTED_VALUE"""),-0.672282342762743)</f>
        <v>-0.67228234276274301</v>
      </c>
      <c r="LD166" s="3">
        <f ca="1">IFERROR(__xludf.DUMMYFUNCTION("""COMPUTED_VALUE"""),-0.706769573136362)</f>
        <v>-0.70676957313636202</v>
      </c>
      <c r="LE166" s="3">
        <f ca="1">IFERROR(__xludf.DUMMYFUNCTION("""COMPUTED_VALUE"""),-0.701678642574424)</f>
        <v>-0.70167864257442403</v>
      </c>
      <c r="LF166" s="3">
        <f ca="1">IFERROR(__xludf.DUMMYFUNCTION("""COMPUTED_VALUE"""),-0.719497318994902)</f>
        <v>-0.71949731899490199</v>
      </c>
      <c r="LG166" s="3">
        <f ca="1">IFERROR(__xludf.DUMMYFUNCTION("""COMPUTED_VALUE"""),-0.664634773112685)</f>
        <v>-0.66463477311268504</v>
      </c>
      <c r="LH166" s="3">
        <f ca="1">IFERROR(__xludf.DUMMYFUNCTION("""COMPUTED_VALUE"""),-0.664666417927079)</f>
        <v>-0.66466641792707903</v>
      </c>
      <c r="LI166" s="3">
        <f ca="1">IFERROR(__xludf.DUMMYFUNCTION("""COMPUTED_VALUE"""),-0.645372715057596)</f>
        <v>-0.64537271505759597</v>
      </c>
      <c r="LJ166" s="3">
        <f ca="1">IFERROR(__xludf.DUMMYFUNCTION("""COMPUTED_VALUE"""),-0.689386734554328)</f>
        <v>-0.68938673455432797</v>
      </c>
      <c r="LK166" s="3">
        <f ca="1">IFERROR(__xludf.DUMMYFUNCTION("""COMPUTED_VALUE"""),-0.649537469682789)</f>
        <v>-0.64953746968278903</v>
      </c>
      <c r="LL166" s="3">
        <f ca="1">IFERROR(__xludf.DUMMYFUNCTION("""COMPUTED_VALUE"""),-0.696537846070122)</f>
        <v>-0.69653784607012204</v>
      </c>
      <c r="LM166" s="3">
        <f ca="1">IFERROR(__xludf.DUMMYFUNCTION("""COMPUTED_VALUE"""),-0.762559349611699)</f>
        <v>-0.76255934961169902</v>
      </c>
      <c r="LN166" s="3">
        <f ca="1">IFERROR(__xludf.DUMMYFUNCTION("""COMPUTED_VALUE"""),-0.758985987517608)</f>
        <v>-0.75898598751760804</v>
      </c>
      <c r="LO166" s="3">
        <f ca="1">IFERROR(__xludf.DUMMYFUNCTION("""COMPUTED_VALUE"""),-0.720918981171409)</f>
        <v>-0.72091898117140896</v>
      </c>
      <c r="LP166" s="3">
        <f ca="1">IFERROR(__xludf.DUMMYFUNCTION("""COMPUTED_VALUE"""),-0.678715599342695)</f>
        <v>-0.67871559934269499</v>
      </c>
      <c r="LQ166" s="3">
        <f ca="1">IFERROR(__xludf.DUMMYFUNCTION("""COMPUTED_VALUE"""),-0.681139081425066)</f>
        <v>-0.68113908142506596</v>
      </c>
      <c r="LR166" s="3">
        <f ca="1">IFERROR(__xludf.DUMMYFUNCTION("""COMPUTED_VALUE"""),-0.747498459904317)</f>
        <v>-0.74749845990431696</v>
      </c>
      <c r="LS166" s="3">
        <f ca="1">IFERROR(__xludf.DUMMYFUNCTION("""COMPUTED_VALUE"""),-0.7546227002453)</f>
        <v>-0.75462270024529998</v>
      </c>
      <c r="LT166" s="3">
        <f ca="1">IFERROR(__xludf.DUMMYFUNCTION("""COMPUTED_VALUE"""),-0.780890207142842)</f>
        <v>-0.78089020714284196</v>
      </c>
      <c r="LU166" s="3">
        <f ca="1">IFERROR(__xludf.DUMMYFUNCTION("""COMPUTED_VALUE"""),-0.787437993029835)</f>
        <v>-0.78743799302983497</v>
      </c>
      <c r="LV166" s="3">
        <f ca="1">IFERROR(__xludf.DUMMYFUNCTION("""COMPUTED_VALUE"""),-0.804846669539835)</f>
        <v>-0.80484666953983497</v>
      </c>
      <c r="LW166" s="3">
        <f ca="1">IFERROR(__xludf.DUMMYFUNCTION("""COMPUTED_VALUE"""),-0.775697272433845)</f>
        <v>-0.77569727243384501</v>
      </c>
      <c r="LX166" s="3">
        <f ca="1">IFERROR(__xludf.DUMMYFUNCTION("""COMPUTED_VALUE"""),-0.791701579929219)</f>
        <v>-0.79170157992921897</v>
      </c>
      <c r="LY166" s="3">
        <f ca="1">IFERROR(__xludf.DUMMYFUNCTION("""COMPUTED_VALUE"""),-0.79220264897105)</f>
        <v>-0.79220264897104997</v>
      </c>
      <c r="LZ166" s="3">
        <f ca="1">IFERROR(__xludf.DUMMYFUNCTION("""COMPUTED_VALUE"""),-0.801148829606141)</f>
        <v>-0.80114882960614098</v>
      </c>
      <c r="MA166" s="3">
        <f ca="1">IFERROR(__xludf.DUMMYFUNCTION("""COMPUTED_VALUE"""),-0.826934368420633)</f>
        <v>-0.82693436842063295</v>
      </c>
      <c r="MB166" s="3">
        <f ca="1">IFERROR(__xludf.DUMMYFUNCTION("""COMPUTED_VALUE"""),-0.824146384293791)</f>
        <v>-0.82414638429379095</v>
      </c>
      <c r="MC166" s="3">
        <f ca="1">IFERROR(__xludf.DUMMYFUNCTION("""COMPUTED_VALUE"""),-0.844489007920315)</f>
        <v>-0.844489007920315</v>
      </c>
      <c r="MD166" s="3">
        <f ca="1">IFERROR(__xludf.DUMMYFUNCTION("""COMPUTED_VALUE"""),-0.814194149495179)</f>
        <v>-0.81419414949517899</v>
      </c>
      <c r="ME166" s="3">
        <f ca="1">IFERROR(__xludf.DUMMYFUNCTION("""COMPUTED_VALUE"""),-0.816298337633976)</f>
        <v>-0.81629833763397597</v>
      </c>
      <c r="MF166" s="3">
        <f ca="1">IFERROR(__xludf.DUMMYFUNCTION("""COMPUTED_VALUE"""),-0.828532558468626)</f>
        <v>-0.82853255846862595</v>
      </c>
      <c r="MG166" s="3">
        <f ca="1">IFERROR(__xludf.DUMMYFUNCTION("""COMPUTED_VALUE"""),-0.829667936578966)</f>
        <v>-0.82966793657896598</v>
      </c>
      <c r="MH166" s="3">
        <f ca="1">IFERROR(__xludf.DUMMYFUNCTION("""COMPUTED_VALUE"""),-0.821333963836353)</f>
        <v>-0.82133396383635304</v>
      </c>
      <c r="MI166" s="3">
        <f ca="1">IFERROR(__xludf.DUMMYFUNCTION("""COMPUTED_VALUE"""),-0.828084095939401)</f>
        <v>-0.82808409593940102</v>
      </c>
      <c r="MJ166" s="3">
        <f ca="1">IFERROR(__xludf.DUMMYFUNCTION("""COMPUTED_VALUE"""),-0.845754842621551)</f>
        <v>-0.84575484262155098</v>
      </c>
      <c r="MK166" s="3">
        <f ca="1">IFERROR(__xludf.DUMMYFUNCTION("""COMPUTED_VALUE"""),-0.813138816714256)</f>
        <v>-0.81313881671425603</v>
      </c>
      <c r="ML166" s="3">
        <f ca="1">IFERROR(__xludf.DUMMYFUNCTION("""COMPUTED_VALUE"""),-0.811650698876247)</f>
        <v>-0.81165069887624697</v>
      </c>
      <c r="MM166" s="3">
        <f ca="1">IFERROR(__xludf.DUMMYFUNCTION("""COMPUTED_VALUE"""),-0.812588154911892)</f>
        <v>-0.81258815491189196</v>
      </c>
      <c r="MN166" s="3">
        <f ca="1">IFERROR(__xludf.DUMMYFUNCTION("""COMPUTED_VALUE"""),-0.835010326711591)</f>
        <v>-0.83501032671159103</v>
      </c>
      <c r="MO166" s="3">
        <f ca="1">IFERROR(__xludf.DUMMYFUNCTION("""COMPUTED_VALUE"""),-0.838712964622187)</f>
        <v>-0.83871296462218703</v>
      </c>
      <c r="MP166" s="3">
        <f ca="1">IFERROR(__xludf.DUMMYFUNCTION("""COMPUTED_VALUE"""),-0.830085044173794)</f>
        <v>-0.83008504417379403</v>
      </c>
      <c r="MQ166" s="3">
        <f ca="1">IFERROR(__xludf.DUMMYFUNCTION("""COMPUTED_VALUE"""),-0.853258081237976)</f>
        <v>-0.85325808123797597</v>
      </c>
      <c r="MR166" s="3">
        <f ca="1">IFERROR(__xludf.DUMMYFUNCTION("""COMPUTED_VALUE"""),-0.859669607310122)</f>
        <v>-0.85966960731012199</v>
      </c>
      <c r="MS166" s="3">
        <f ca="1">IFERROR(__xludf.DUMMYFUNCTION("""COMPUTED_VALUE"""),-0.835549615908764)</f>
        <v>-0.83554961590876398</v>
      </c>
      <c r="MT166" s="3">
        <f ca="1">IFERROR(__xludf.DUMMYFUNCTION("""COMPUTED_VALUE"""),-0.854295960396363)</f>
        <v>-0.85429596039636302</v>
      </c>
      <c r="MU166" s="3">
        <f ca="1">IFERROR(__xludf.DUMMYFUNCTION("""COMPUTED_VALUE"""),-0.854930269601868)</f>
        <v>-0.85493026960186802</v>
      </c>
      <c r="MV166" s="3">
        <f ca="1">IFERROR(__xludf.DUMMYFUNCTION("""COMPUTED_VALUE"""),-0.853551513093632)</f>
        <v>-0.85355151309363197</v>
      </c>
      <c r="MW166" s="3">
        <f ca="1">IFERROR(__xludf.DUMMYFUNCTION("""COMPUTED_VALUE"""),-0.881666268364068)</f>
        <v>-0.88166626836406803</v>
      </c>
      <c r="MX166" s="3">
        <f ca="1">IFERROR(__xludf.DUMMYFUNCTION("""COMPUTED_VALUE"""),-0.858959034866654)</f>
        <v>-0.85895903486665404</v>
      </c>
      <c r="MY166" s="3">
        <f ca="1">IFERROR(__xludf.DUMMYFUNCTION("""COMPUTED_VALUE"""),-0.848709147225411)</f>
        <v>-0.84870914722541102</v>
      </c>
      <c r="MZ166" s="3">
        <f ca="1">IFERROR(__xludf.DUMMYFUNCTION("""COMPUTED_VALUE"""),-0.86048708910592)</f>
        <v>-0.86048708910591998</v>
      </c>
      <c r="NA166" s="3">
        <f ca="1">IFERROR(__xludf.DUMMYFUNCTION("""COMPUTED_VALUE"""),-0.853360508310235)</f>
        <v>-0.85336050831023502</v>
      </c>
      <c r="NB166" s="3">
        <f ca="1">IFERROR(__xludf.DUMMYFUNCTION("""COMPUTED_VALUE"""),-0.877636534920537)</f>
        <v>-0.87763653492053695</v>
      </c>
      <c r="NC166" s="3">
        <f ca="1">IFERROR(__xludf.DUMMYFUNCTION("""COMPUTED_VALUE"""),-0.851302724822158)</f>
        <v>-0.85130272482215796</v>
      </c>
      <c r="ND166" s="3">
        <f ca="1">IFERROR(__xludf.DUMMYFUNCTION("""COMPUTED_VALUE"""),-0.895644893693221)</f>
        <v>-0.89564489369322098</v>
      </c>
      <c r="NE166" s="3">
        <f ca="1">IFERROR(__xludf.DUMMYFUNCTION("""COMPUTED_VALUE"""),-0.870872186334829)</f>
        <v>-0.87087218633482899</v>
      </c>
      <c r="NF166" s="3">
        <f ca="1">IFERROR(__xludf.DUMMYFUNCTION("""COMPUTED_VALUE"""),-0.868129869559093)</f>
        <v>-0.86812986955909299</v>
      </c>
      <c r="NG166" s="3">
        <f ca="1">IFERROR(__xludf.DUMMYFUNCTION("""COMPUTED_VALUE"""),-0.868109371129443)</f>
        <v>-0.86810937112944297</v>
      </c>
      <c r="NH166" s="3">
        <f ca="1">IFERROR(__xludf.DUMMYFUNCTION("""COMPUTED_VALUE"""),-0.856836262686131)</f>
        <v>-0.856836262686131</v>
      </c>
      <c r="NI166" s="3">
        <f ca="1">IFERROR(__xludf.DUMMYFUNCTION("""COMPUTED_VALUE"""),-0.862989940342703)</f>
        <v>-0.86298994034270304</v>
      </c>
      <c r="NJ166" s="3">
        <f ca="1">IFERROR(__xludf.DUMMYFUNCTION("""COMPUTED_VALUE"""),-0.84143546423417)</f>
        <v>-0.84143546423417004</v>
      </c>
      <c r="NK166" s="3">
        <f ca="1">IFERROR(__xludf.DUMMYFUNCTION("""COMPUTED_VALUE"""),-0.885432492971873)</f>
        <v>-0.88543249297187299</v>
      </c>
      <c r="NL166" s="3">
        <f ca="1">IFERROR(__xludf.DUMMYFUNCTION("""COMPUTED_VALUE"""),-0.856954096172111)</f>
        <v>-0.85695409617211105</v>
      </c>
      <c r="NM166" s="3">
        <f ca="1">IFERROR(__xludf.DUMMYFUNCTION("""COMPUTED_VALUE"""),-0.853440076706951)</f>
        <v>-0.85344007670695099</v>
      </c>
      <c r="NN166" s="3">
        <f ca="1">IFERROR(__xludf.DUMMYFUNCTION("""COMPUTED_VALUE"""),-0.864885144306213)</f>
        <v>-0.86488514430621299</v>
      </c>
      <c r="NO166" s="3">
        <f ca="1">IFERROR(__xludf.DUMMYFUNCTION("""COMPUTED_VALUE"""),-0.819376679948993)</f>
        <v>-0.81937667994899299</v>
      </c>
      <c r="NP166" s="3">
        <f ca="1">IFERROR(__xludf.DUMMYFUNCTION("""COMPUTED_VALUE"""),-0.792307717480935)</f>
        <v>-0.79230771748093498</v>
      </c>
      <c r="NQ166" s="3">
        <f ca="1">IFERROR(__xludf.DUMMYFUNCTION("""COMPUTED_VALUE"""),-0.792328059934949)</f>
        <v>-0.79232805993494904</v>
      </c>
      <c r="NR166" s="3">
        <f ca="1">IFERROR(__xludf.DUMMYFUNCTION("""COMPUTED_VALUE"""),-0.826581908509064)</f>
        <v>-0.82658190850906399</v>
      </c>
      <c r="NS166" s="3">
        <f ca="1">IFERROR(__xludf.DUMMYFUNCTION("""COMPUTED_VALUE"""),-0.786551477399885)</f>
        <v>-0.78655147739988496</v>
      </c>
      <c r="NT166" s="3">
        <f ca="1">IFERROR(__xludf.DUMMYFUNCTION("""COMPUTED_VALUE"""),-0.705526515289302)</f>
        <v>-0.70552651528930199</v>
      </c>
      <c r="NU166" s="3">
        <f ca="1">IFERROR(__xludf.DUMMYFUNCTION("""COMPUTED_VALUE"""),-0.788007949737589)</f>
        <v>-0.78800794973758903</v>
      </c>
      <c r="NV166" s="3">
        <f ca="1">IFERROR(__xludf.DUMMYFUNCTION("""COMPUTED_VALUE"""),-0.782258714974861)</f>
        <v>-0.78225871497486099</v>
      </c>
      <c r="NW166" s="3">
        <f ca="1">IFERROR(__xludf.DUMMYFUNCTION("""COMPUTED_VALUE"""),-0.776029626399441)</f>
        <v>-0.77602962639944095</v>
      </c>
      <c r="NX166" s="3">
        <f ca="1">IFERROR(__xludf.DUMMYFUNCTION("""COMPUTED_VALUE"""),-0.75462447834018)</f>
        <v>-0.75462447834017998</v>
      </c>
      <c r="NY166" s="3">
        <f ca="1">IFERROR(__xludf.DUMMYFUNCTION("""COMPUTED_VALUE"""),-0.733763752306364)</f>
        <v>-0.73376375230636404</v>
      </c>
      <c r="NZ166" s="3">
        <f ca="1">IFERROR(__xludf.DUMMYFUNCTION("""COMPUTED_VALUE"""),-0.666247982886584)</f>
        <v>-0.66624798288658404</v>
      </c>
      <c r="OA166" s="3">
        <f ca="1">IFERROR(__xludf.DUMMYFUNCTION("""COMPUTED_VALUE"""),-0.565961438675308)</f>
        <v>-0.56596143867530802</v>
      </c>
      <c r="OB166" s="3">
        <f ca="1">IFERROR(__xludf.DUMMYFUNCTION("""COMPUTED_VALUE"""),-0.548798765822038)</f>
        <v>-0.54879876582203801</v>
      </c>
      <c r="OC166" s="3">
        <f ca="1">IFERROR(__xludf.DUMMYFUNCTION("""COMPUTED_VALUE"""),-0.47482130850435)</f>
        <v>-0.47482130850435</v>
      </c>
      <c r="OD166" s="3">
        <f ca="1">IFERROR(__xludf.DUMMYFUNCTION("""COMPUTED_VALUE"""),-0.297302425479654)</f>
        <v>-0.29730242547965402</v>
      </c>
      <c r="OE166" s="3">
        <f ca="1">IFERROR(__xludf.DUMMYFUNCTION("""COMPUTED_VALUE"""),-0.230760154106261)</f>
        <v>-0.230760154106261</v>
      </c>
      <c r="OF166" s="3">
        <f ca="1">IFERROR(__xludf.DUMMYFUNCTION("""COMPUTED_VALUE"""),-0.115166888233399)</f>
        <v>-0.115166888233399</v>
      </c>
      <c r="OG166" s="3">
        <f ca="1">IFERROR(__xludf.DUMMYFUNCTION("""COMPUTED_VALUE"""),-0.0636079138576339)</f>
        <v>-6.3607913857633896E-2</v>
      </c>
      <c r="OH166" s="3">
        <f ca="1">IFERROR(__xludf.DUMMYFUNCTION("""COMPUTED_VALUE"""),0.0171715779728787)</f>
        <v>1.7171577972878702E-2</v>
      </c>
      <c r="OI166" s="3">
        <f ca="1">IFERROR(__xludf.DUMMYFUNCTION("""COMPUTED_VALUE"""),-0.0155703627949352)</f>
        <v>-1.55703627949352E-2</v>
      </c>
      <c r="OJ166" s="3">
        <f ca="1">IFERROR(__xludf.DUMMYFUNCTION("""COMPUTED_VALUE"""),0.0282201660418313)</f>
        <v>2.82201660418313E-2</v>
      </c>
      <c r="OK166" s="3">
        <f ca="1">IFERROR(__xludf.DUMMYFUNCTION("""COMPUTED_VALUE"""),-0.037464676735579)</f>
        <v>-3.7464676735579003E-2</v>
      </c>
      <c r="OL166" s="3">
        <f ca="1">IFERROR(__xludf.DUMMYFUNCTION("""COMPUTED_VALUE"""),-0.09396010028711)</f>
        <v>-9.3960100287109993E-2</v>
      </c>
      <c r="OM166" s="3">
        <f ca="1">IFERROR(__xludf.DUMMYFUNCTION("""COMPUTED_VALUE"""),-0.0596465198256462)</f>
        <v>-5.9646519825646199E-2</v>
      </c>
      <c r="ON166" s="3">
        <f ca="1">IFERROR(__xludf.DUMMYFUNCTION("""COMPUTED_VALUE"""),0.0291047143344691)</f>
        <v>2.9104714334469099E-2</v>
      </c>
      <c r="OO166" s="3">
        <f ca="1">IFERROR(__xludf.DUMMYFUNCTION("""COMPUTED_VALUE"""),0.0722850228258618)</f>
        <v>7.22850228258618E-2</v>
      </c>
      <c r="OP166" s="3">
        <f ca="1">IFERROR(__xludf.DUMMYFUNCTION("""COMPUTED_VALUE"""),0.0608249445005946)</f>
        <v>6.0824944500594599E-2</v>
      </c>
      <c r="OQ166" s="3">
        <f ca="1">IFERROR(__xludf.DUMMYFUNCTION("""COMPUTED_VALUE"""),-0.00825086972284316)</f>
        <v>-8.2508697228431595E-3</v>
      </c>
      <c r="OR166" s="3">
        <f ca="1">IFERROR(__xludf.DUMMYFUNCTION("""COMPUTED_VALUE"""),-0.00799985238075495)</f>
        <v>-7.9998523807549501E-3</v>
      </c>
      <c r="OS166" s="3">
        <f ca="1">IFERROR(__xludf.DUMMYFUNCTION("""COMPUTED_VALUE"""),-0.0490605141668526)</f>
        <v>-4.9060514166852601E-2</v>
      </c>
      <c r="OT166" s="3">
        <f ca="1">IFERROR(__xludf.DUMMYFUNCTION("""COMPUTED_VALUE"""),0.0481716137158185)</f>
        <v>4.8171613715818497E-2</v>
      </c>
      <c r="OU166" s="3">
        <f ca="1">IFERROR(__xludf.DUMMYFUNCTION("""COMPUTED_VALUE"""),0.0130808897585386)</f>
        <v>1.30808897585386E-2</v>
      </c>
      <c r="OV166" s="3">
        <f ca="1">IFERROR(__xludf.DUMMYFUNCTION("""COMPUTED_VALUE"""),-0.0204747387723478)</f>
        <v>-2.04747387723478E-2</v>
      </c>
      <c r="OW166" s="3">
        <f ca="1">IFERROR(__xludf.DUMMYFUNCTION("""COMPUTED_VALUE"""),-0.0312395866290875)</f>
        <v>-3.1239586629087501E-2</v>
      </c>
      <c r="OX166" s="3">
        <f ca="1">IFERROR(__xludf.DUMMYFUNCTION("""COMPUTED_VALUE"""),0.0436507003944441)</f>
        <v>4.3650700394444103E-2</v>
      </c>
      <c r="OY166" s="3">
        <f ca="1">IFERROR(__xludf.DUMMYFUNCTION("""COMPUTED_VALUE"""),-0.0399390945784203)</f>
        <v>-3.9939094578420299E-2</v>
      </c>
      <c r="OZ166" s="3">
        <f ca="1">IFERROR(__xludf.DUMMYFUNCTION("""COMPUTED_VALUE"""),0.00409904334641009)</f>
        <v>4.09904334641009E-3</v>
      </c>
      <c r="PA166" s="3">
        <f ca="1">IFERROR(__xludf.DUMMYFUNCTION("""COMPUTED_VALUE"""),0.0733574167427062)</f>
        <v>7.3357416742706197E-2</v>
      </c>
      <c r="PB166" s="3">
        <f ca="1">IFERROR(__xludf.DUMMYFUNCTION("""COMPUTED_VALUE"""),0.0399317221742263)</f>
        <v>3.9931722174226303E-2</v>
      </c>
      <c r="PC166" s="3">
        <f ca="1">IFERROR(__xludf.DUMMYFUNCTION("""COMPUTED_VALUE"""),0.0457863009391357)</f>
        <v>4.5786300939135702E-2</v>
      </c>
      <c r="PD166" s="3">
        <f ca="1">IFERROR(__xludf.DUMMYFUNCTION("""COMPUTED_VALUE"""),0.0141594944414042)</f>
        <v>1.41594944414042E-2</v>
      </c>
      <c r="PE166" s="3">
        <f ca="1">IFERROR(__xludf.DUMMYFUNCTION("""COMPUTED_VALUE"""),0.0157862440328544)</f>
        <v>1.5786244032854401E-2</v>
      </c>
      <c r="PF166" s="3">
        <f ca="1">IFERROR(__xludf.DUMMYFUNCTION("""COMPUTED_VALUE"""),0.0339435901017635)</f>
        <v>3.3943590101763503E-2</v>
      </c>
      <c r="PG166" s="3">
        <f ca="1">IFERROR(__xludf.DUMMYFUNCTION("""COMPUTED_VALUE"""),0.0278804034979354)</f>
        <v>2.7880403497935399E-2</v>
      </c>
      <c r="PH166" s="3">
        <f ca="1">IFERROR(__xludf.DUMMYFUNCTION("""COMPUTED_VALUE"""),-0.0170823191453353)</f>
        <v>-1.7082319145335301E-2</v>
      </c>
      <c r="PI166" s="3">
        <f ca="1">IFERROR(__xludf.DUMMYFUNCTION("""COMPUTED_VALUE"""),-0.00713209709156714)</f>
        <v>-7.1320970915671397E-3</v>
      </c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</row>
    <row r="167" spans="1:477" ht="13">
      <c r="A167" s="1" t="str">
        <f ca="1">IFERROR(__xludf.DUMMYFUNCTION("""COMPUTED_VALUE"""),"Transit Windsor")</f>
        <v>Transit Windsor</v>
      </c>
      <c r="B167" s="1" t="str">
        <f ca="1">IFERROR(__xludf.DUMMYFUNCTION("""COMPUTED_VALUE"""),"Windsor")</f>
        <v>Windsor</v>
      </c>
      <c r="C167" s="1" t="str">
        <f ca="1">IFERROR(__xludf.DUMMYFUNCTION("""COMPUTED_VALUE"""),"Canada")</f>
        <v>Canada</v>
      </c>
      <c r="D167" s="1" t="str">
        <f ca="1">IFERROR(__xludf.DUMMYFUNCTION("""COMPUTED_VALUE"""),"Ontario")</f>
        <v>Ontario</v>
      </c>
      <c r="E167" s="3">
        <f ca="1">IFERROR(__xludf.DUMMYFUNCTION("""COMPUTED_VALUE"""),-0.666681139167928)</f>
        <v>-0.66668113916792804</v>
      </c>
      <c r="F167" s="3">
        <f ca="1">IFERROR(__xludf.DUMMYFUNCTION("""COMPUTED_VALUE"""),-0.694179938617639)</f>
        <v>-0.69417993861763905</v>
      </c>
      <c r="G167" s="3">
        <f ca="1">IFERROR(__xludf.DUMMYFUNCTION("""COMPUTED_VALUE"""),-0.702896574844153)</f>
        <v>-0.70289657484415302</v>
      </c>
      <c r="H167" s="3">
        <f ca="1">IFERROR(__xludf.DUMMYFUNCTION("""COMPUTED_VALUE"""),-0.655051529338571)</f>
        <v>-0.65505152933857103</v>
      </c>
      <c r="I167" s="3">
        <f ca="1">IFERROR(__xludf.DUMMYFUNCTION("""COMPUTED_VALUE"""),-0.653829249216071)</f>
        <v>-0.653829249216071</v>
      </c>
      <c r="J167" s="3">
        <f ca="1">IFERROR(__xludf.DUMMYFUNCTION("""COMPUTED_VALUE"""),-0.72068190052764)</f>
        <v>-0.72068190052764003</v>
      </c>
      <c r="K167" s="3">
        <f ca="1">IFERROR(__xludf.DUMMYFUNCTION("""COMPUTED_VALUE"""),-0.612793092913834)</f>
        <v>-0.61279309291383399</v>
      </c>
      <c r="L167" s="3">
        <f ca="1">IFERROR(__xludf.DUMMYFUNCTION("""COMPUTED_VALUE"""),-0.616583826057339)</f>
        <v>-0.61658382605733897</v>
      </c>
      <c r="M167" s="3">
        <f ca="1">IFERROR(__xludf.DUMMYFUNCTION("""COMPUTED_VALUE"""),-0.769927390962084)</f>
        <v>-0.76992739096208396</v>
      </c>
      <c r="N167" s="3">
        <f ca="1">IFERROR(__xludf.DUMMYFUNCTION("""COMPUTED_VALUE"""),-0.657347481684735)</f>
        <v>-0.657347481684735</v>
      </c>
      <c r="O167" s="3">
        <f ca="1">IFERROR(__xludf.DUMMYFUNCTION("""COMPUTED_VALUE"""),-0.672024739794379)</f>
        <v>-0.67202473979437904</v>
      </c>
      <c r="P167" s="3">
        <f ca="1">IFERROR(__xludf.DUMMYFUNCTION("""COMPUTED_VALUE"""),-0.659458021931468)</f>
        <v>-0.65945802193146796</v>
      </c>
      <c r="Q167" s="3">
        <f ca="1">IFERROR(__xludf.DUMMYFUNCTION("""COMPUTED_VALUE"""),-0.688025297505906)</f>
        <v>-0.68802529750590602</v>
      </c>
      <c r="R167" s="3">
        <f ca="1">IFERROR(__xludf.DUMMYFUNCTION("""COMPUTED_VALUE"""),-0.688256938336818)</f>
        <v>-0.688256938336818</v>
      </c>
      <c r="S167" s="3">
        <f ca="1">IFERROR(__xludf.DUMMYFUNCTION("""COMPUTED_VALUE"""),-0.697256992357434)</f>
        <v>-0.69725699235743399</v>
      </c>
      <c r="T167" s="3">
        <f ca="1">IFERROR(__xludf.DUMMYFUNCTION("""COMPUTED_VALUE"""),-0.781833410717468)</f>
        <v>-0.78183341071746804</v>
      </c>
      <c r="U167" s="3">
        <f ca="1">IFERROR(__xludf.DUMMYFUNCTION("""COMPUTED_VALUE"""),-0.773996102615485)</f>
        <v>-0.77399610261548502</v>
      </c>
      <c r="V167" s="3">
        <f ca="1">IFERROR(__xludf.DUMMYFUNCTION("""COMPUTED_VALUE"""),-0.763630349607075)</f>
        <v>-0.76363034960707499</v>
      </c>
      <c r="W167" s="3">
        <f ca="1">IFERROR(__xludf.DUMMYFUNCTION("""COMPUTED_VALUE"""),-0.762257309878483)</f>
        <v>-0.76225730987848295</v>
      </c>
      <c r="X167" s="3">
        <f ca="1">IFERROR(__xludf.DUMMYFUNCTION("""COMPUTED_VALUE"""),-0.759774009394283)</f>
        <v>-0.75977400939428297</v>
      </c>
      <c r="Y167" s="3">
        <f ca="1">IFERROR(__xludf.DUMMYFUNCTION("""COMPUTED_VALUE"""),-0.693958466832035)</f>
        <v>-0.69395846683203499</v>
      </c>
      <c r="Z167" s="3">
        <f ca="1">IFERROR(__xludf.DUMMYFUNCTION("""COMPUTED_VALUE"""),-0.711815787264777)</f>
        <v>-0.71181578726477701</v>
      </c>
      <c r="AA167" s="3">
        <f ca="1">IFERROR(__xludf.DUMMYFUNCTION("""COMPUTED_VALUE"""),-0.761517977604792)</f>
        <v>-0.76151797760479201</v>
      </c>
      <c r="AB167" s="3">
        <f ca="1">IFERROR(__xludf.DUMMYFUNCTION("""COMPUTED_VALUE"""),-0.775670928624199)</f>
        <v>-0.77567092862419895</v>
      </c>
      <c r="AC167" s="3">
        <f ca="1">IFERROR(__xludf.DUMMYFUNCTION("""COMPUTED_VALUE"""),-0.767512939235742)</f>
        <v>-0.76751293923574204</v>
      </c>
      <c r="AD167" s="3">
        <f ca="1">IFERROR(__xludf.DUMMYFUNCTION("""COMPUTED_VALUE"""),-0.777244461715002)</f>
        <v>-0.77724446171500206</v>
      </c>
      <c r="AE167" s="3">
        <f ca="1">IFERROR(__xludf.DUMMYFUNCTION("""COMPUTED_VALUE"""),-0.775973738391152)</f>
        <v>-0.77597373839115202</v>
      </c>
      <c r="AF167" s="3">
        <f ca="1">IFERROR(__xludf.DUMMYFUNCTION("""COMPUTED_VALUE"""),-0.681631122055772)</f>
        <v>-0.68163112205577203</v>
      </c>
      <c r="AG167" s="3">
        <f ca="1">IFERROR(__xludf.DUMMYFUNCTION("""COMPUTED_VALUE"""),-0.729486832084662)</f>
        <v>-0.72948683208466203</v>
      </c>
      <c r="AH167" s="3">
        <f ca="1">IFERROR(__xludf.DUMMYFUNCTION("""COMPUTED_VALUE"""),-0.746753676339782)</f>
        <v>-0.74675367633978196</v>
      </c>
      <c r="AI167" s="3">
        <f ca="1">IFERROR(__xludf.DUMMYFUNCTION("""COMPUTED_VALUE"""),-0.762210121634867)</f>
        <v>-0.76221012163486701</v>
      </c>
      <c r="AJ167" s="3">
        <f ca="1">IFERROR(__xludf.DUMMYFUNCTION("""COMPUTED_VALUE"""),-0.772700052761208)</f>
        <v>-0.77270005276120801</v>
      </c>
      <c r="AK167" s="3">
        <f ca="1">IFERROR(__xludf.DUMMYFUNCTION("""COMPUTED_VALUE"""),-0.764372977148626)</f>
        <v>-0.76437297714862595</v>
      </c>
      <c r="AL167" s="3">
        <f ca="1">IFERROR(__xludf.DUMMYFUNCTION("""COMPUTED_VALUE"""),-0.772919773059972)</f>
        <v>-0.77291977305997195</v>
      </c>
      <c r="AM167" s="3">
        <f ca="1">IFERROR(__xludf.DUMMYFUNCTION("""COMPUTED_VALUE"""),-0.688392549738982)</f>
        <v>-0.68839254973898201</v>
      </c>
      <c r="AN167" s="3">
        <f ca="1">IFERROR(__xludf.DUMMYFUNCTION("""COMPUTED_VALUE"""),-0.727580298628807)</f>
        <v>-0.72758029862880702</v>
      </c>
      <c r="AO167" s="3">
        <f ca="1">IFERROR(__xludf.DUMMYFUNCTION("""COMPUTED_VALUE"""),-0.753402443096795)</f>
        <v>-0.75340244309679505</v>
      </c>
      <c r="AP167" s="3">
        <f ca="1">IFERROR(__xludf.DUMMYFUNCTION("""COMPUTED_VALUE"""),-0.786918785780138)</f>
        <v>-0.78691878578013796</v>
      </c>
      <c r="AQ167" s="3">
        <f ca="1">IFERROR(__xludf.DUMMYFUNCTION("""COMPUTED_VALUE"""),-0.760187708817939)</f>
        <v>-0.76018770881793896</v>
      </c>
      <c r="AR167" s="3">
        <f ca="1">IFERROR(__xludf.DUMMYFUNCTION("""COMPUTED_VALUE"""),-0.755326724895783)</f>
        <v>-0.75532672489578301</v>
      </c>
      <c r="AS167" s="3">
        <f ca="1">IFERROR(__xludf.DUMMYFUNCTION("""COMPUTED_VALUE"""),-0.768805819367725)</f>
        <v>-0.76880581936772496</v>
      </c>
      <c r="AT167" s="3">
        <f ca="1">IFERROR(__xludf.DUMMYFUNCTION("""COMPUTED_VALUE"""),-0.650344618252942)</f>
        <v>-0.65034461825294199</v>
      </c>
      <c r="AU167" s="3">
        <f ca="1">IFERROR(__xludf.DUMMYFUNCTION("""COMPUTED_VALUE"""),-0.68223127579164)</f>
        <v>-0.68223127579164</v>
      </c>
      <c r="AV167" s="3">
        <f ca="1">IFERROR(__xludf.DUMMYFUNCTION("""COMPUTED_VALUE"""),-0.767078584035723)</f>
        <v>-0.76707858403572304</v>
      </c>
      <c r="AW167" s="3">
        <f ca="1">IFERROR(__xludf.DUMMYFUNCTION("""COMPUTED_VALUE"""),-0.779833320081912)</f>
        <v>-0.77983332008191197</v>
      </c>
      <c r="AX167" s="3">
        <f ca="1">IFERROR(__xludf.DUMMYFUNCTION("""COMPUTED_VALUE"""),-0.777886104679869)</f>
        <v>-0.77788610467986896</v>
      </c>
      <c r="AY167" s="3">
        <f ca="1">IFERROR(__xludf.DUMMYFUNCTION("""COMPUTED_VALUE"""),-0.730408378896451)</f>
        <v>-0.73040837889645105</v>
      </c>
      <c r="AZ167" s="3">
        <f ca="1">IFERROR(__xludf.DUMMYFUNCTION("""COMPUTED_VALUE"""),-0.760482836585318)</f>
        <v>-0.76048283658531801</v>
      </c>
      <c r="BA167" s="3">
        <f ca="1">IFERROR(__xludf.DUMMYFUNCTION("""COMPUTED_VALUE"""),-0.717242766523797)</f>
        <v>-0.71724276652379704</v>
      </c>
      <c r="BB167" s="3">
        <f ca="1">IFERROR(__xludf.DUMMYFUNCTION("""COMPUTED_VALUE"""),-0.731460907293377)</f>
        <v>-0.73146090729337698</v>
      </c>
      <c r="BC167" s="3">
        <f ca="1">IFERROR(__xludf.DUMMYFUNCTION("""COMPUTED_VALUE"""),-0.788031324692771)</f>
        <v>-0.78803132469277104</v>
      </c>
      <c r="BD167" s="3">
        <f ca="1">IFERROR(__xludf.DUMMYFUNCTION("""COMPUTED_VALUE"""),-0.796366020046308)</f>
        <v>-0.79636602004630797</v>
      </c>
      <c r="BE167" s="3">
        <f ca="1">IFERROR(__xludf.DUMMYFUNCTION("""COMPUTED_VALUE"""),-0.764087638598472)</f>
        <v>-0.76408763859847195</v>
      </c>
      <c r="BF167" s="3">
        <f ca="1">IFERROR(__xludf.DUMMYFUNCTION("""COMPUTED_VALUE"""),-0.78596940580697)</f>
        <v>-0.78596940580696995</v>
      </c>
      <c r="BG167" s="3">
        <f ca="1">IFERROR(__xludf.DUMMYFUNCTION("""COMPUTED_VALUE"""),-0.863264717352152)</f>
        <v>-0.86326471735215204</v>
      </c>
      <c r="BH167" s="3">
        <f ca="1">IFERROR(__xludf.DUMMYFUNCTION("""COMPUTED_VALUE"""),-0.740058671020138)</f>
        <v>-0.740058671020138</v>
      </c>
      <c r="BI167" s="3">
        <f ca="1">IFERROR(__xludf.DUMMYFUNCTION("""COMPUTED_VALUE"""),-0.792314074451624)</f>
        <v>-0.79231407445162405</v>
      </c>
      <c r="BJ167" s="3">
        <f ca="1">IFERROR(__xludf.DUMMYFUNCTION("""COMPUTED_VALUE"""),-0.840772055334607)</f>
        <v>-0.84077205533460697</v>
      </c>
      <c r="BK167" s="3">
        <f ca="1">IFERROR(__xludf.DUMMYFUNCTION("""COMPUTED_VALUE"""),-0.815372080775978)</f>
        <v>-0.815372080775978</v>
      </c>
      <c r="BL167" s="3">
        <f ca="1">IFERROR(__xludf.DUMMYFUNCTION("""COMPUTED_VALUE"""),-0.827867000819593)</f>
        <v>-0.82786700081959297</v>
      </c>
      <c r="BM167" s="3">
        <f ca="1">IFERROR(__xludf.DUMMYFUNCTION("""COMPUTED_VALUE"""),-0.813920460638953)</f>
        <v>-0.81392046063895296</v>
      </c>
      <c r="BN167" s="3">
        <f ca="1">IFERROR(__xludf.DUMMYFUNCTION("""COMPUTED_VALUE"""),-0.778442791252061)</f>
        <v>-0.77844279125206095</v>
      </c>
      <c r="BO167" s="3">
        <f ca="1">IFERROR(__xludf.DUMMYFUNCTION("""COMPUTED_VALUE"""),-0.777815967144512)</f>
        <v>-0.77781596714451195</v>
      </c>
      <c r="BP167" s="3">
        <f ca="1">IFERROR(__xludf.DUMMYFUNCTION("""COMPUTED_VALUE"""),-0.804117164928152)</f>
        <v>-0.804117164928152</v>
      </c>
      <c r="BQ167" s="3">
        <f ca="1">IFERROR(__xludf.DUMMYFUNCTION("""COMPUTED_VALUE"""),-0.851217965966053)</f>
        <v>-0.85121796596605304</v>
      </c>
      <c r="BR167" s="3">
        <f ca="1">IFERROR(__xludf.DUMMYFUNCTION("""COMPUTED_VALUE"""),-0.808874546636315)</f>
        <v>-0.80887454663631497</v>
      </c>
      <c r="BS167" s="3">
        <f ca="1">IFERROR(__xludf.DUMMYFUNCTION("""COMPUTED_VALUE"""),-0.775784704617349)</f>
        <v>-0.77578470461734905</v>
      </c>
      <c r="BT167" s="3">
        <f ca="1">IFERROR(__xludf.DUMMYFUNCTION("""COMPUTED_VALUE"""),-0.777513823247646)</f>
        <v>-0.77751382324764595</v>
      </c>
      <c r="BU167" s="3">
        <f ca="1">IFERROR(__xludf.DUMMYFUNCTION("""COMPUTED_VALUE"""),-0.786267649968016)</f>
        <v>-0.78626764996801601</v>
      </c>
      <c r="BV167" s="3">
        <f ca="1">IFERROR(__xludf.DUMMYFUNCTION("""COMPUTED_VALUE"""),-0.721241123879993)</f>
        <v>-0.72124112387999295</v>
      </c>
      <c r="BW167" s="3">
        <f ca="1">IFERROR(__xludf.DUMMYFUNCTION("""COMPUTED_VALUE"""),-0.761596961194079)</f>
        <v>-0.76159696119407905</v>
      </c>
      <c r="BX167" s="3">
        <f ca="1">IFERROR(__xludf.DUMMYFUNCTION("""COMPUTED_VALUE"""),-0.782110542850164)</f>
        <v>-0.78211054285016401</v>
      </c>
      <c r="BY167" s="3">
        <f ca="1">IFERROR(__xludf.DUMMYFUNCTION("""COMPUTED_VALUE"""),-0.800768858781612)</f>
        <v>-0.80076885878161197</v>
      </c>
      <c r="BZ167" s="3">
        <f ca="1">IFERROR(__xludf.DUMMYFUNCTION("""COMPUTED_VALUE"""),-0.762609143881545)</f>
        <v>-0.76260914388154499</v>
      </c>
      <c r="CA167" s="3">
        <f ca="1">IFERROR(__xludf.DUMMYFUNCTION("""COMPUTED_VALUE"""),-0.785693179817545)</f>
        <v>-0.78569317981754505</v>
      </c>
      <c r="CB167" s="3">
        <f ca="1">IFERROR(__xludf.DUMMYFUNCTION("""COMPUTED_VALUE"""),-0.79558985263535)</f>
        <v>-0.79558985263534998</v>
      </c>
      <c r="CC167" s="3">
        <f ca="1">IFERROR(__xludf.DUMMYFUNCTION("""COMPUTED_VALUE"""),-0.677124872829452)</f>
        <v>-0.677124872829452</v>
      </c>
      <c r="CD167" s="3">
        <f ca="1">IFERROR(__xludf.DUMMYFUNCTION("""COMPUTED_VALUE"""),-0.747549107758402)</f>
        <v>-0.747549107758402</v>
      </c>
      <c r="CE167" s="3">
        <f ca="1">IFERROR(__xludf.DUMMYFUNCTION("""COMPUTED_VALUE"""),-0.77596159476253)</f>
        <v>-0.77596159476253002</v>
      </c>
      <c r="CF167" s="3">
        <f ca="1">IFERROR(__xludf.DUMMYFUNCTION("""COMPUTED_VALUE"""),-0.780996495590507)</f>
        <v>-0.78099649559050699</v>
      </c>
      <c r="CG167" s="3">
        <f ca="1">IFERROR(__xludf.DUMMYFUNCTION("""COMPUTED_VALUE"""),-0.796983876432606)</f>
        <v>-0.79698387643260604</v>
      </c>
      <c r="CH167" s="3">
        <f ca="1">IFERROR(__xludf.DUMMYFUNCTION("""COMPUTED_VALUE"""),-0.774183004375111)</f>
        <v>-0.77418300437511101</v>
      </c>
      <c r="CI167" s="3">
        <f ca="1">IFERROR(__xludf.DUMMYFUNCTION("""COMPUTED_VALUE"""),-0.766405081140151)</f>
        <v>-0.76640508114015105</v>
      </c>
      <c r="CJ167" s="3">
        <f ca="1">IFERROR(__xludf.DUMMYFUNCTION("""COMPUTED_VALUE"""),-0.688997573672191)</f>
        <v>-0.68899757367219105</v>
      </c>
      <c r="CK167" s="3">
        <f ca="1">IFERROR(__xludf.DUMMYFUNCTION("""COMPUTED_VALUE"""),-0.712251866166278)</f>
        <v>-0.712251866166278</v>
      </c>
      <c r="CL167" s="3">
        <f ca="1">IFERROR(__xludf.DUMMYFUNCTION("""COMPUTED_VALUE"""),-0.7918636561977)</f>
        <v>-0.79186365619770005</v>
      </c>
      <c r="CM167" s="3">
        <f ca="1">IFERROR(__xludf.DUMMYFUNCTION("""COMPUTED_VALUE"""),-0.758263176420096)</f>
        <v>-0.758263176420096</v>
      </c>
      <c r="CN167" s="3">
        <f ca="1">IFERROR(__xludf.DUMMYFUNCTION("""COMPUTED_VALUE"""),-0.745109324890073)</f>
        <v>-0.74510932489007298</v>
      </c>
      <c r="CO167" s="3">
        <f ca="1">IFERROR(__xludf.DUMMYFUNCTION("""COMPUTED_VALUE"""),-0.768297439045963)</f>
        <v>-0.76829743904596304</v>
      </c>
      <c r="CP167" s="3">
        <f ca="1">IFERROR(__xludf.DUMMYFUNCTION("""COMPUTED_VALUE"""),-0.777895691902776)</f>
        <v>-0.77789569190277597</v>
      </c>
      <c r="CQ167" s="3">
        <f ca="1">IFERROR(__xludf.DUMMYFUNCTION("""COMPUTED_VALUE"""),-0.689940965932579)</f>
        <v>-0.68994096593257903</v>
      </c>
      <c r="CR167" s="3">
        <f ca="1">IFERROR(__xludf.DUMMYFUNCTION("""COMPUTED_VALUE"""),-0.700401810188897)</f>
        <v>-0.70040181018889702</v>
      </c>
      <c r="CS167" s="3">
        <f ca="1">IFERROR(__xludf.DUMMYFUNCTION("""COMPUTED_VALUE"""),-0.785809884750681)</f>
        <v>-0.78580988475068103</v>
      </c>
      <c r="CT167" s="3">
        <f ca="1">IFERROR(__xludf.DUMMYFUNCTION("""COMPUTED_VALUE"""),-0.779986778651399)</f>
        <v>-0.77998677865139898</v>
      </c>
      <c r="CU167" s="3">
        <f ca="1">IFERROR(__xludf.DUMMYFUNCTION("""COMPUTED_VALUE"""),-0.72973579566173)</f>
        <v>-0.72973579566172997</v>
      </c>
      <c r="CV167" s="3">
        <f ca="1">IFERROR(__xludf.DUMMYFUNCTION("""COMPUTED_VALUE"""),-0.730844122209393)</f>
        <v>-0.73084412220939299</v>
      </c>
      <c r="CW167" s="3">
        <f ca="1">IFERROR(__xludf.DUMMYFUNCTION("""COMPUTED_VALUE"""),-0.727564963694277)</f>
        <v>-0.72756496369427703</v>
      </c>
      <c r="CX167" s="3">
        <f ca="1">IFERROR(__xludf.DUMMYFUNCTION("""COMPUTED_VALUE"""),-0.674561555296812)</f>
        <v>-0.67456155529681205</v>
      </c>
      <c r="CY167" s="3">
        <f ca="1">IFERROR(__xludf.DUMMYFUNCTION("""COMPUTED_VALUE"""),-0.729378820236773)</f>
        <v>-0.72937882023677303</v>
      </c>
      <c r="CZ167" s="3">
        <f ca="1">IFERROR(__xludf.DUMMYFUNCTION("""COMPUTED_VALUE"""),-0.852390796795805)</f>
        <v>-0.85239079679580498</v>
      </c>
      <c r="DA167" s="3">
        <f ca="1">IFERROR(__xludf.DUMMYFUNCTION("""COMPUTED_VALUE"""),-0.676576617344146)</f>
        <v>-0.67657661734414598</v>
      </c>
      <c r="DB167" s="3">
        <f ca="1">IFERROR(__xludf.DUMMYFUNCTION("""COMPUTED_VALUE"""),-0.62499034316381)</f>
        <v>-0.62499034316380997</v>
      </c>
      <c r="DC167" s="3">
        <f ca="1">IFERROR(__xludf.DUMMYFUNCTION("""COMPUTED_VALUE"""),-0.709159713270812)</f>
        <v>-0.70915971327081195</v>
      </c>
      <c r="DD167" s="3">
        <f ca="1">IFERROR(__xludf.DUMMYFUNCTION("""COMPUTED_VALUE"""),-0.722145454303642)</f>
        <v>-0.72214545430364196</v>
      </c>
      <c r="DE167" s="3">
        <f ca="1">IFERROR(__xludf.DUMMYFUNCTION("""COMPUTED_VALUE"""),-0.716866279440574)</f>
        <v>-0.71686627944057402</v>
      </c>
      <c r="DF167" s="3">
        <f ca="1">IFERROR(__xludf.DUMMYFUNCTION("""COMPUTED_VALUE"""),-0.770771842814232)</f>
        <v>-0.77077184281423206</v>
      </c>
      <c r="DG167" s="3">
        <f ca="1">IFERROR(__xludf.DUMMYFUNCTION("""COMPUTED_VALUE"""),-0.884824047417489)</f>
        <v>-0.88482404741748899</v>
      </c>
      <c r="DH167" s="3">
        <f ca="1">IFERROR(__xludf.DUMMYFUNCTION("""COMPUTED_VALUE"""),-0.679594284575722)</f>
        <v>-0.67959428457572202</v>
      </c>
      <c r="DI167" s="3">
        <f ca="1">IFERROR(__xludf.DUMMYFUNCTION("""COMPUTED_VALUE"""),-0.444733455293535)</f>
        <v>-0.44473345529353497</v>
      </c>
      <c r="DJ167" s="3">
        <f ca="1">IFERROR(__xludf.DUMMYFUNCTION("""COMPUTED_VALUE"""),-0.622605851799615)</f>
        <v>-0.62260585179961503</v>
      </c>
      <c r="DK167" s="3">
        <f ca="1">IFERROR(__xludf.DUMMYFUNCTION("""COMPUTED_VALUE"""),-0.680718881223626)</f>
        <v>-0.680718881223626</v>
      </c>
      <c r="DL167" s="3">
        <f ca="1">IFERROR(__xludf.DUMMYFUNCTION("""COMPUTED_VALUE"""),-0.620904749359251)</f>
        <v>-0.620904749359251</v>
      </c>
      <c r="DM167" s="3">
        <f ca="1">IFERROR(__xludf.DUMMYFUNCTION("""COMPUTED_VALUE"""),-0.679494161325842)</f>
        <v>-0.67949416132584195</v>
      </c>
      <c r="DN167" s="3">
        <f ca="1">IFERROR(__xludf.DUMMYFUNCTION("""COMPUTED_VALUE"""),-0.705324657005151)</f>
        <v>-0.70532465700515101</v>
      </c>
      <c r="DO167" s="3">
        <f ca="1">IFERROR(__xludf.DUMMYFUNCTION("""COMPUTED_VALUE"""),-0.682624360358678)</f>
        <v>-0.68262436035867802</v>
      </c>
      <c r="DP167" s="3">
        <f ca="1">IFERROR(__xludf.DUMMYFUNCTION("""COMPUTED_VALUE"""),-0.601622637799561)</f>
        <v>-0.60162263779956104</v>
      </c>
      <c r="DQ167" s="3">
        <f ca="1">IFERROR(__xludf.DUMMYFUNCTION("""COMPUTED_VALUE"""),-0.677909612015626)</f>
        <v>-0.67790961201562605</v>
      </c>
      <c r="DR167" s="3">
        <f ca="1">IFERROR(__xludf.DUMMYFUNCTION("""COMPUTED_VALUE"""),-0.684880662913149)</f>
        <v>-0.68488066291314897</v>
      </c>
      <c r="DS167" s="3">
        <f ca="1">IFERROR(__xludf.DUMMYFUNCTION("""COMPUTED_VALUE"""),-0.548460133243648)</f>
        <v>-0.54846013324364795</v>
      </c>
      <c r="DT167" s="3">
        <f ca="1">IFERROR(__xludf.DUMMYFUNCTION("""COMPUTED_VALUE"""),-0.649565501704138)</f>
        <v>-0.64956550170413796</v>
      </c>
      <c r="DU167" s="3">
        <f ca="1">IFERROR(__xludf.DUMMYFUNCTION("""COMPUTED_VALUE"""),-0.626041901678771)</f>
        <v>-0.62604190167877105</v>
      </c>
      <c r="DV167" s="3">
        <f ca="1">IFERROR(__xludf.DUMMYFUNCTION("""COMPUTED_VALUE"""),-0.644682804389041)</f>
        <v>-0.64468280438904102</v>
      </c>
      <c r="DW167" s="3">
        <f ca="1">IFERROR(__xludf.DUMMYFUNCTION("""COMPUTED_VALUE"""),-0.626027438460782)</f>
        <v>-0.62602743846078202</v>
      </c>
      <c r="DX167" s="3">
        <f ca="1">IFERROR(__xludf.DUMMYFUNCTION("""COMPUTED_VALUE"""),-0.62918006898857)</f>
        <v>-0.62918006898857004</v>
      </c>
      <c r="DY167" s="3">
        <f ca="1">IFERROR(__xludf.DUMMYFUNCTION("""COMPUTED_VALUE"""),-0.665463057080006)</f>
        <v>-0.66546305708000597</v>
      </c>
      <c r="DZ167" s="3">
        <f ca="1">IFERROR(__xludf.DUMMYFUNCTION("""COMPUTED_VALUE"""),-0.558247467637918)</f>
        <v>-0.55824746763791799</v>
      </c>
      <c r="EA167" s="3">
        <f ca="1">IFERROR(__xludf.DUMMYFUNCTION("""COMPUTED_VALUE"""),-0.558323700300686)</f>
        <v>-0.55832370030068601</v>
      </c>
      <c r="EB167" s="3">
        <f ca="1">IFERROR(__xludf.DUMMYFUNCTION("""COMPUTED_VALUE"""),-0.626198235649607)</f>
        <v>-0.62619823564960697</v>
      </c>
      <c r="EC167" s="3">
        <f ca="1">IFERROR(__xludf.DUMMYFUNCTION("""COMPUTED_VALUE"""),-0.631218746515285)</f>
        <v>-0.63121874651528498</v>
      </c>
      <c r="ED167" s="3">
        <f ca="1">IFERROR(__xludf.DUMMYFUNCTION("""COMPUTED_VALUE"""),-0.623137568787693)</f>
        <v>-0.623137568787693</v>
      </c>
      <c r="EE167" s="3">
        <f ca="1">IFERROR(__xludf.DUMMYFUNCTION("""COMPUTED_VALUE"""),-0.649313733211868)</f>
        <v>-0.64931373321186803</v>
      </c>
      <c r="EF167" s="3">
        <f ca="1">IFERROR(__xludf.DUMMYFUNCTION("""COMPUTED_VALUE"""),-0.63070431867453)</f>
        <v>-0.63070431867453003</v>
      </c>
      <c r="EG167" s="3">
        <f ca="1">IFERROR(__xludf.DUMMYFUNCTION("""COMPUTED_VALUE"""),-0.538417250707024)</f>
        <v>-0.53841725070702395</v>
      </c>
      <c r="EH167" s="3">
        <f ca="1">IFERROR(__xludf.DUMMYFUNCTION("""COMPUTED_VALUE"""),-0.58555905384118)</f>
        <v>-0.58555905384118001</v>
      </c>
      <c r="EI167" s="3">
        <f ca="1">IFERROR(__xludf.DUMMYFUNCTION("""COMPUTED_VALUE"""),-0.581946742646687)</f>
        <v>-0.581946742646687</v>
      </c>
      <c r="EJ167" s="3">
        <f ca="1">IFERROR(__xludf.DUMMYFUNCTION("""COMPUTED_VALUE"""),-0.567196782813759)</f>
        <v>-0.56719678281375896</v>
      </c>
      <c r="EK167" s="3">
        <f ca="1">IFERROR(__xludf.DUMMYFUNCTION("""COMPUTED_VALUE"""),-0.559794266756727)</f>
        <v>-0.55979426675672705</v>
      </c>
      <c r="EL167" s="3">
        <f ca="1">IFERROR(__xludf.DUMMYFUNCTION("""COMPUTED_VALUE"""),-0.596057925120766)</f>
        <v>-0.59605792512076605</v>
      </c>
      <c r="EM167" s="3">
        <f ca="1">IFERROR(__xludf.DUMMYFUNCTION("""COMPUTED_VALUE"""),-0.631356362434419)</f>
        <v>-0.63135636243441895</v>
      </c>
      <c r="EN167" s="3">
        <f ca="1">IFERROR(__xludf.DUMMYFUNCTION("""COMPUTED_VALUE"""),-0.626315692176267)</f>
        <v>-0.62631569217626704</v>
      </c>
      <c r="EO167" s="3">
        <f ca="1">IFERROR(__xludf.DUMMYFUNCTION("""COMPUTED_VALUE"""),-0.525086911982004)</f>
        <v>-0.52508691198200397</v>
      </c>
      <c r="EP167" s="3">
        <f ca="1">IFERROR(__xludf.DUMMYFUNCTION("""COMPUTED_VALUE"""),-0.589615010496751)</f>
        <v>-0.58961501049675102</v>
      </c>
      <c r="EQ167" s="3">
        <f ca="1">IFERROR(__xludf.DUMMYFUNCTION("""COMPUTED_VALUE"""),-0.555999901899823)</f>
        <v>-0.55599990189982296</v>
      </c>
      <c r="ER167" s="3">
        <f ca="1">IFERROR(__xludf.DUMMYFUNCTION("""COMPUTED_VALUE"""),-0.514907422867585)</f>
        <v>-0.51490742286758495</v>
      </c>
      <c r="ES167" s="3">
        <f ca="1">IFERROR(__xludf.DUMMYFUNCTION("""COMPUTED_VALUE"""),-0.553779173099936)</f>
        <v>-0.55377917309993596</v>
      </c>
      <c r="ET167" s="3">
        <f ca="1">IFERROR(__xludf.DUMMYFUNCTION("""COMPUTED_VALUE"""),-0.570900750717856)</f>
        <v>-0.57090075071785595</v>
      </c>
      <c r="EU167" s="3">
        <f ca="1">IFERROR(__xludf.DUMMYFUNCTION("""COMPUTED_VALUE"""),-0.52952964729466)</f>
        <v>-0.52952964729466001</v>
      </c>
      <c r="EV167" s="3">
        <f ca="1">IFERROR(__xludf.DUMMYFUNCTION("""COMPUTED_VALUE"""),-0.510830859564731)</f>
        <v>-0.51083085956473095</v>
      </c>
      <c r="EW167" s="3">
        <f ca="1">IFERROR(__xludf.DUMMYFUNCTION("""COMPUTED_VALUE"""),-0.546522556591468)</f>
        <v>-0.54652255659146798</v>
      </c>
      <c r="EX167" s="3">
        <f ca="1">IFERROR(__xludf.DUMMYFUNCTION("""COMPUTED_VALUE"""),-0.597661260973545)</f>
        <v>-0.59766126097354499</v>
      </c>
      <c r="EY167" s="3">
        <f ca="1">IFERROR(__xludf.DUMMYFUNCTION("""COMPUTED_VALUE"""),-0.496562542588835)</f>
        <v>-0.49656254258883498</v>
      </c>
      <c r="EZ167" s="3">
        <f ca="1">IFERROR(__xludf.DUMMYFUNCTION("""COMPUTED_VALUE"""),-0.527659990840189)</f>
        <v>-0.527659990840189</v>
      </c>
      <c r="FA167" s="3">
        <f ca="1">IFERROR(__xludf.DUMMYFUNCTION("""COMPUTED_VALUE"""),-0.540323422136752)</f>
        <v>-0.540323422136752</v>
      </c>
      <c r="FB167" s="3">
        <f ca="1">IFERROR(__xludf.DUMMYFUNCTION("""COMPUTED_VALUE"""),-0.472014226107959)</f>
        <v>-0.47201422610795901</v>
      </c>
      <c r="FC167" s="3">
        <f ca="1">IFERROR(__xludf.DUMMYFUNCTION("""COMPUTED_VALUE"""),-0.488576587920006)</f>
        <v>-0.48857658792000602</v>
      </c>
      <c r="FD167" s="3">
        <f ca="1">IFERROR(__xludf.DUMMYFUNCTION("""COMPUTED_VALUE"""),-0.537123264799079)</f>
        <v>-0.53712326479907901</v>
      </c>
      <c r="FE167" s="3">
        <f ca="1">IFERROR(__xludf.DUMMYFUNCTION("""COMPUTED_VALUE"""),-0.582808711970196)</f>
        <v>-0.58280871197019601</v>
      </c>
      <c r="FF167" s="3">
        <f ca="1">IFERROR(__xludf.DUMMYFUNCTION("""COMPUTED_VALUE"""),-0.541683989865703)</f>
        <v>-0.54168398986570299</v>
      </c>
      <c r="FG167" s="3">
        <f ca="1">IFERROR(__xludf.DUMMYFUNCTION("""COMPUTED_VALUE"""),-0.584992150394848)</f>
        <v>-0.58499215039484798</v>
      </c>
      <c r="FH167" s="3">
        <f ca="1">IFERROR(__xludf.DUMMYFUNCTION("""COMPUTED_VALUE"""),-0.523033323290844)</f>
        <v>-0.52303332329084395</v>
      </c>
      <c r="FI167" s="3">
        <f ca="1">IFERROR(__xludf.DUMMYFUNCTION("""COMPUTED_VALUE"""),-0.540606665226728)</f>
        <v>-0.54060666522672796</v>
      </c>
      <c r="FJ167" s="3">
        <f ca="1">IFERROR(__xludf.DUMMYFUNCTION("""COMPUTED_VALUE"""),-0.491851142071348)</f>
        <v>-0.491851142071348</v>
      </c>
      <c r="FK167" s="3">
        <f ca="1">IFERROR(__xludf.DUMMYFUNCTION("""COMPUTED_VALUE"""),-0.521162633307174)</f>
        <v>-0.52116263330717405</v>
      </c>
      <c r="FL167" s="3">
        <f ca="1">IFERROR(__xludf.DUMMYFUNCTION("""COMPUTED_VALUE"""),-0.58641161804293)</f>
        <v>-0.58641161804292996</v>
      </c>
      <c r="FM167" s="3">
        <f ca="1">IFERROR(__xludf.DUMMYFUNCTION("""COMPUTED_VALUE"""),-0.514149377506129)</f>
        <v>-0.51414937750612899</v>
      </c>
      <c r="FN167" s="3">
        <f ca="1">IFERROR(__xludf.DUMMYFUNCTION("""COMPUTED_VALUE"""),-0.584295308563488)</f>
        <v>-0.58429530856348799</v>
      </c>
      <c r="FO167" s="3">
        <f ca="1">IFERROR(__xludf.DUMMYFUNCTION("""COMPUTED_VALUE"""),-0.527826678709132)</f>
        <v>-0.52782667870913202</v>
      </c>
      <c r="FP167" s="3">
        <f ca="1">IFERROR(__xludf.DUMMYFUNCTION("""COMPUTED_VALUE"""),-0.396713989925256)</f>
        <v>-0.39671398992525603</v>
      </c>
      <c r="FQ167" s="3">
        <f ca="1">IFERROR(__xludf.DUMMYFUNCTION("""COMPUTED_VALUE"""),-0.392347272643596)</f>
        <v>-0.39234727264359598</v>
      </c>
      <c r="FR167" s="3">
        <f ca="1">IFERROR(__xludf.DUMMYFUNCTION("""COMPUTED_VALUE"""),-0.44541237784601)</f>
        <v>-0.44541237784601001</v>
      </c>
      <c r="FS167" s="3">
        <f ca="1">IFERROR(__xludf.DUMMYFUNCTION("""COMPUTED_VALUE"""),-0.452450682159633)</f>
        <v>-0.45245068215963302</v>
      </c>
      <c r="FT167" s="3">
        <f ca="1">IFERROR(__xludf.DUMMYFUNCTION("""COMPUTED_VALUE"""),-0.448026513420127)</f>
        <v>-0.448026513420127</v>
      </c>
      <c r="FU167" s="3">
        <f ca="1">IFERROR(__xludf.DUMMYFUNCTION("""COMPUTED_VALUE"""),-0.503107820848394)</f>
        <v>-0.50310782084839401</v>
      </c>
      <c r="FV167" s="3">
        <f ca="1">IFERROR(__xludf.DUMMYFUNCTION("""COMPUTED_VALUE"""),-0.484061419798283)</f>
        <v>-0.48406141979828299</v>
      </c>
      <c r="FW167" s="3">
        <f ca="1">IFERROR(__xludf.DUMMYFUNCTION("""COMPUTED_VALUE"""),-0.405618922431145)</f>
        <v>-0.405618922431145</v>
      </c>
      <c r="FX167" s="3">
        <f ca="1">IFERROR(__xludf.DUMMYFUNCTION("""COMPUTED_VALUE"""),-0.344593846026663)</f>
        <v>-0.34459384602666299</v>
      </c>
      <c r="FY167" s="3">
        <f ca="1">IFERROR(__xludf.DUMMYFUNCTION("""COMPUTED_VALUE"""),-0.428454339107882)</f>
        <v>-0.428454339107882</v>
      </c>
      <c r="FZ167" s="3">
        <f ca="1">IFERROR(__xludf.DUMMYFUNCTION("""COMPUTED_VALUE"""),-0.496358084386987)</f>
        <v>-0.49635808438698698</v>
      </c>
      <c r="GA167" s="3">
        <f ca="1">IFERROR(__xludf.DUMMYFUNCTION("""COMPUTED_VALUE"""),-0.438396958523397)</f>
        <v>-0.438396958523397</v>
      </c>
      <c r="GB167" s="3">
        <f ca="1">IFERROR(__xludf.DUMMYFUNCTION("""COMPUTED_VALUE"""),-0.51020458915186)</f>
        <v>-0.51020458915185996</v>
      </c>
      <c r="GC167" s="3">
        <f ca="1">IFERROR(__xludf.DUMMYFUNCTION("""COMPUTED_VALUE"""),-0.627891762688583)</f>
        <v>-0.62789176268858304</v>
      </c>
      <c r="GD167" s="3">
        <f ca="1">IFERROR(__xludf.DUMMYFUNCTION("""COMPUTED_VALUE"""),-0.366259120618927)</f>
        <v>-0.36625912061892701</v>
      </c>
      <c r="GE167" s="3">
        <f ca="1">IFERROR(__xludf.DUMMYFUNCTION("""COMPUTED_VALUE"""),-0.419168826745646)</f>
        <v>-0.41916882674564598</v>
      </c>
      <c r="GF167" s="3">
        <f ca="1">IFERROR(__xludf.DUMMYFUNCTION("""COMPUTED_VALUE"""),-0.48334230921743)</f>
        <v>-0.48334230921742999</v>
      </c>
      <c r="GG167" s="3">
        <f ca="1">IFERROR(__xludf.DUMMYFUNCTION("""COMPUTED_VALUE"""),-0.479575519754042)</f>
        <v>-0.479575519754042</v>
      </c>
      <c r="GH167" s="3">
        <f ca="1">IFERROR(__xludf.DUMMYFUNCTION("""COMPUTED_VALUE"""),-0.519597798039253)</f>
        <v>-0.51959779803925299</v>
      </c>
      <c r="GI167" s="3">
        <f ca="1">IFERROR(__xludf.DUMMYFUNCTION("""COMPUTED_VALUE"""),-0.531685608639124)</f>
        <v>-0.53168560863912395</v>
      </c>
      <c r="GJ167" s="3">
        <f ca="1">IFERROR(__xludf.DUMMYFUNCTION("""COMPUTED_VALUE"""),-0.431219751177789)</f>
        <v>-0.43121975117778899</v>
      </c>
      <c r="GK167" s="3">
        <f ca="1">IFERROR(__xludf.DUMMYFUNCTION("""COMPUTED_VALUE"""),-0.572366597895297)</f>
        <v>-0.57236659789529698</v>
      </c>
      <c r="GL167" s="3">
        <f ca="1">IFERROR(__xludf.DUMMYFUNCTION("""COMPUTED_VALUE"""),-0.499552363473072)</f>
        <v>-0.49955236347307203</v>
      </c>
      <c r="GM167" s="3">
        <f ca="1">IFERROR(__xludf.DUMMYFUNCTION("""COMPUTED_VALUE"""),-0.522224557839218)</f>
        <v>-0.52222455783921795</v>
      </c>
      <c r="GN167" s="3">
        <f ca="1">IFERROR(__xludf.DUMMYFUNCTION("""COMPUTED_VALUE"""),-0.514638149334662)</f>
        <v>-0.51463814933466201</v>
      </c>
      <c r="GO167" s="3">
        <f ca="1">IFERROR(__xludf.DUMMYFUNCTION("""COMPUTED_VALUE"""),-0.52385605276927)</f>
        <v>-0.52385605276927005</v>
      </c>
      <c r="GP167" s="3">
        <f ca="1">IFERROR(__xludf.DUMMYFUNCTION("""COMPUTED_VALUE"""),-0.508985342584996)</f>
        <v>-0.50898534258499595</v>
      </c>
      <c r="GQ167" s="3">
        <f ca="1">IFERROR(__xludf.DUMMYFUNCTION("""COMPUTED_VALUE"""),-0.542267067244646)</f>
        <v>-0.54226706724464602</v>
      </c>
      <c r="GR167" s="3">
        <f ca="1">IFERROR(__xludf.DUMMYFUNCTION("""COMPUTED_VALUE"""),-0.302677284508139)</f>
        <v>-0.30267728450813902</v>
      </c>
      <c r="GS167" s="3">
        <f ca="1">IFERROR(__xludf.DUMMYFUNCTION("""COMPUTED_VALUE"""),-0.415978919507782)</f>
        <v>-0.41597891950778199</v>
      </c>
      <c r="GT167" s="3">
        <f ca="1">IFERROR(__xludf.DUMMYFUNCTION("""COMPUTED_VALUE"""),-0.488235485840728)</f>
        <v>-0.48823548584072801</v>
      </c>
      <c r="GU167" s="3">
        <f ca="1">IFERROR(__xludf.DUMMYFUNCTION("""COMPUTED_VALUE"""),-0.503323160407335)</f>
        <v>-0.50332316040733505</v>
      </c>
      <c r="GV167" s="3">
        <f ca="1">IFERROR(__xludf.DUMMYFUNCTION("""COMPUTED_VALUE"""),-0.503859548955426)</f>
        <v>-0.50385954895542595</v>
      </c>
      <c r="GW167" s="3">
        <f ca="1">IFERROR(__xludf.DUMMYFUNCTION("""COMPUTED_VALUE"""),-0.548989795649212)</f>
        <v>-0.54898979564921202</v>
      </c>
      <c r="GX167" s="3">
        <f ca="1">IFERROR(__xludf.DUMMYFUNCTION("""COMPUTED_VALUE"""),-0.542095924760433)</f>
        <v>-0.542095924760433</v>
      </c>
      <c r="GY167" s="3">
        <f ca="1">IFERROR(__xludf.DUMMYFUNCTION("""COMPUTED_VALUE"""),-0.389230242110454)</f>
        <v>-0.38923024211045398</v>
      </c>
      <c r="GZ167" s="3">
        <f ca="1">IFERROR(__xludf.DUMMYFUNCTION("""COMPUTED_VALUE"""),-0.487246951104054)</f>
        <v>-0.48724695110405403</v>
      </c>
      <c r="HA167" s="3">
        <f ca="1">IFERROR(__xludf.DUMMYFUNCTION("""COMPUTED_VALUE"""),-0.543182893020549)</f>
        <v>-0.54318289302054901</v>
      </c>
      <c r="HB167" s="3">
        <f ca="1">IFERROR(__xludf.DUMMYFUNCTION("""COMPUTED_VALUE"""),-0.537649932704701)</f>
        <v>-0.53764993270470096</v>
      </c>
      <c r="HC167" s="3">
        <f ca="1">IFERROR(__xludf.DUMMYFUNCTION("""COMPUTED_VALUE"""),-0.568142051458118)</f>
        <v>-0.56814205145811802</v>
      </c>
      <c r="HD167" s="3">
        <f ca="1">IFERROR(__xludf.DUMMYFUNCTION("""COMPUTED_VALUE"""),-0.604031084390209)</f>
        <v>-0.60403108439020903</v>
      </c>
      <c r="HE167" s="3">
        <f ca="1">IFERROR(__xludf.DUMMYFUNCTION("""COMPUTED_VALUE"""),-0.579281269118889)</f>
        <v>-0.579281269118889</v>
      </c>
      <c r="HF167" s="3">
        <f ca="1">IFERROR(__xludf.DUMMYFUNCTION("""COMPUTED_VALUE"""),-0.434245040433116)</f>
        <v>-0.43424504043311601</v>
      </c>
      <c r="HG167" s="3">
        <f ca="1">IFERROR(__xludf.DUMMYFUNCTION("""COMPUTED_VALUE"""),-0.510041812343442)</f>
        <v>-0.51004181234344204</v>
      </c>
      <c r="HH167" s="3">
        <f ca="1">IFERROR(__xludf.DUMMYFUNCTION("""COMPUTED_VALUE"""),-0.615786540615336)</f>
        <v>-0.615786540615336</v>
      </c>
      <c r="HI167" s="3">
        <f ca="1">IFERROR(__xludf.DUMMYFUNCTION("""COMPUTED_VALUE"""),-0.605594700530624)</f>
        <v>-0.60559470053062403</v>
      </c>
      <c r="HJ167" s="3">
        <f ca="1">IFERROR(__xludf.DUMMYFUNCTION("""COMPUTED_VALUE"""),-0.614732979961488)</f>
        <v>-0.61473297996148801</v>
      </c>
      <c r="HK167" s="3">
        <f ca="1">IFERROR(__xludf.DUMMYFUNCTION("""COMPUTED_VALUE"""),-0.667616115011227)</f>
        <v>-0.66761611501122697</v>
      </c>
      <c r="HL167" s="3">
        <f ca="1">IFERROR(__xludf.DUMMYFUNCTION("""COMPUTED_VALUE"""),-0.685230234944475)</f>
        <v>-0.68523023494447499</v>
      </c>
      <c r="HM167" s="3">
        <f ca="1">IFERROR(__xludf.DUMMYFUNCTION("""COMPUTED_VALUE"""),-0.487649617389524)</f>
        <v>-0.487649617389524</v>
      </c>
      <c r="HN167" s="3">
        <f ca="1">IFERROR(__xludf.DUMMYFUNCTION("""COMPUTED_VALUE"""),-0.629985792468353)</f>
        <v>-0.62998579246835296</v>
      </c>
      <c r="HO167" s="3">
        <f ca="1">IFERROR(__xludf.DUMMYFUNCTION("""COMPUTED_VALUE"""),-0.63515706952769)</f>
        <v>-0.63515706952769002</v>
      </c>
      <c r="HP167" s="3">
        <f ca="1">IFERROR(__xludf.DUMMYFUNCTION("""COMPUTED_VALUE"""),-0.671426587652928)</f>
        <v>-0.67142658765292795</v>
      </c>
      <c r="HQ167" s="3">
        <f ca="1">IFERROR(__xludf.DUMMYFUNCTION("""COMPUTED_VALUE"""),-0.671850004358542)</f>
        <v>-0.67185000435854203</v>
      </c>
      <c r="HR167" s="3">
        <f ca="1">IFERROR(__xludf.DUMMYFUNCTION("""COMPUTED_VALUE"""),-0.679895067339799)</f>
        <v>-0.67989506733979899</v>
      </c>
      <c r="HS167" s="3">
        <f ca="1">IFERROR(__xludf.DUMMYFUNCTION("""COMPUTED_VALUE"""),-0.555871128423079)</f>
        <v>-0.55587112842307895</v>
      </c>
      <c r="HT167" s="3">
        <f ca="1">IFERROR(__xludf.DUMMYFUNCTION("""COMPUTED_VALUE"""),-0.476999994609661)</f>
        <v>-0.47699999460966103</v>
      </c>
      <c r="HU167" s="3">
        <f ca="1">IFERROR(__xludf.DUMMYFUNCTION("""COMPUTED_VALUE"""),-0.595066591887029)</f>
        <v>-0.59506659188702904</v>
      </c>
      <c r="HV167" s="3">
        <f ca="1">IFERROR(__xludf.DUMMYFUNCTION("""COMPUTED_VALUE"""),-0.673945810781185)</f>
        <v>-0.67394581078118498</v>
      </c>
      <c r="HW167" s="3">
        <f ca="1">IFERROR(__xludf.DUMMYFUNCTION("""COMPUTED_VALUE"""),-0.656255310351319)</f>
        <v>-0.65625531035131901</v>
      </c>
      <c r="HX167" s="3">
        <f ca="1">IFERROR(__xludf.DUMMYFUNCTION("""COMPUTED_VALUE"""),-0.673116434316194)</f>
        <v>-0.67311643431619395</v>
      </c>
      <c r="HY167" s="3">
        <f ca="1">IFERROR(__xludf.DUMMYFUNCTION("""COMPUTED_VALUE"""),-0.585744054199814)</f>
        <v>-0.58574405419981401</v>
      </c>
      <c r="HZ167" s="3">
        <f ca="1">IFERROR(__xludf.DUMMYFUNCTION("""COMPUTED_VALUE"""),-0.464458068002181)</f>
        <v>-0.46445806800218098</v>
      </c>
      <c r="IA167" s="3">
        <f ca="1">IFERROR(__xludf.DUMMYFUNCTION("""COMPUTED_VALUE"""),-0.357237759160804)</f>
        <v>-0.35723775916080402</v>
      </c>
      <c r="IB167" s="3">
        <f ca="1">IFERROR(__xludf.DUMMYFUNCTION("""COMPUTED_VALUE"""),-0.493107006824214)</f>
        <v>-0.49310700682421399</v>
      </c>
      <c r="IC167" s="3">
        <f ca="1">IFERROR(__xludf.DUMMYFUNCTION("""COMPUTED_VALUE"""),-0.552534186619466)</f>
        <v>-0.55253418661946596</v>
      </c>
      <c r="ID167" s="3">
        <f ca="1">IFERROR(__xludf.DUMMYFUNCTION("""COMPUTED_VALUE"""),-0.601069996746342)</f>
        <v>-0.60106999674634198</v>
      </c>
      <c r="IE167" s="3">
        <f ca="1">IFERROR(__xludf.DUMMYFUNCTION("""COMPUTED_VALUE"""),-0.595161008025157)</f>
        <v>-0.59516100802515703</v>
      </c>
      <c r="IF167" s="3">
        <f ca="1">IFERROR(__xludf.DUMMYFUNCTION("""COMPUTED_VALUE"""),-0.565530187810689)</f>
        <v>-0.56553018781068898</v>
      </c>
      <c r="IG167" s="3">
        <f ca="1">IFERROR(__xludf.DUMMYFUNCTION("""COMPUTED_VALUE"""),-0.554089106326789)</f>
        <v>-0.55408910632678898</v>
      </c>
      <c r="IH167" s="3">
        <f ca="1">IFERROR(__xludf.DUMMYFUNCTION("""COMPUTED_VALUE"""),-0.410648990891784)</f>
        <v>-0.41064899089178403</v>
      </c>
      <c r="II167" s="3">
        <f ca="1">IFERROR(__xludf.DUMMYFUNCTION("""COMPUTED_VALUE"""),-0.533526982275303)</f>
        <v>-0.53352698227530304</v>
      </c>
      <c r="IJ167" s="3">
        <f ca="1">IFERROR(__xludf.DUMMYFUNCTION("""COMPUTED_VALUE"""),-0.55793533645565)</f>
        <v>-0.55793533645564997</v>
      </c>
      <c r="IK167" s="3">
        <f ca="1">IFERROR(__xludf.DUMMYFUNCTION("""COMPUTED_VALUE"""),-0.497343747031616)</f>
        <v>-0.49734374703161599</v>
      </c>
      <c r="IL167" s="3">
        <f ca="1">IFERROR(__xludf.DUMMYFUNCTION("""COMPUTED_VALUE"""),-0.602574750004323)</f>
        <v>-0.60257475000432303</v>
      </c>
      <c r="IM167" s="3">
        <f ca="1">IFERROR(__xludf.DUMMYFUNCTION("""COMPUTED_VALUE"""),-0.561329371484624)</f>
        <v>-0.56132937148462403</v>
      </c>
      <c r="IN167" s="3">
        <f ca="1">IFERROR(__xludf.DUMMYFUNCTION("""COMPUTED_VALUE"""),-0.498393819503522)</f>
        <v>-0.49839381950352202</v>
      </c>
      <c r="IO167" s="3">
        <f ca="1">IFERROR(__xludf.DUMMYFUNCTION("""COMPUTED_VALUE"""),-0.428517233978321)</f>
        <v>-0.42851723397832098</v>
      </c>
      <c r="IP167" s="3">
        <f ca="1">IFERROR(__xludf.DUMMYFUNCTION("""COMPUTED_VALUE"""),-0.554311601115628)</f>
        <v>-0.55431160111562805</v>
      </c>
      <c r="IQ167" s="3">
        <f ca="1">IFERROR(__xludf.DUMMYFUNCTION("""COMPUTED_VALUE"""),-0.62505167368546)</f>
        <v>-0.62505167368546</v>
      </c>
      <c r="IR167" s="3">
        <f ca="1">IFERROR(__xludf.DUMMYFUNCTION("""COMPUTED_VALUE"""),-0.582728784155091)</f>
        <v>-0.582728784155091</v>
      </c>
      <c r="IS167" s="3">
        <f ca="1">IFERROR(__xludf.DUMMYFUNCTION("""COMPUTED_VALUE"""),-0.610322415771106)</f>
        <v>-0.61032241577110602</v>
      </c>
      <c r="IT167" s="3">
        <f ca="1">IFERROR(__xludf.DUMMYFUNCTION("""COMPUTED_VALUE"""),-0.63651937107053)</f>
        <v>-0.63651937107053003</v>
      </c>
      <c r="IU167" s="3">
        <f ca="1">IFERROR(__xludf.DUMMYFUNCTION("""COMPUTED_VALUE"""),-0.596946217532472)</f>
        <v>-0.59694621753247201</v>
      </c>
      <c r="IV167" s="3">
        <f ca="1">IFERROR(__xludf.DUMMYFUNCTION("""COMPUTED_VALUE"""),-0.514427783993337)</f>
        <v>-0.514427783993337</v>
      </c>
      <c r="IW167" s="3">
        <f ca="1">IFERROR(__xludf.DUMMYFUNCTION("""COMPUTED_VALUE"""),-0.615821078854652)</f>
        <v>-0.61582107885465198</v>
      </c>
      <c r="IX167" s="3">
        <f ca="1">IFERROR(__xludf.DUMMYFUNCTION("""COMPUTED_VALUE"""),-0.62940414981921)</f>
        <v>-0.62940414981921</v>
      </c>
      <c r="IY167" s="3">
        <f ca="1">IFERROR(__xludf.DUMMYFUNCTION("""COMPUTED_VALUE"""),-0.592633982634349)</f>
        <v>-0.59263398263434897</v>
      </c>
      <c r="IZ167" s="3">
        <f ca="1">IFERROR(__xludf.DUMMYFUNCTION("""COMPUTED_VALUE"""),-0.670495942429581)</f>
        <v>-0.67049594242958099</v>
      </c>
      <c r="JA167" s="3">
        <f ca="1">IFERROR(__xludf.DUMMYFUNCTION("""COMPUTED_VALUE"""),-0.636298357756876)</f>
        <v>-0.63629835775687604</v>
      </c>
      <c r="JB167" s="3">
        <f ca="1">IFERROR(__xludf.DUMMYFUNCTION("""COMPUTED_VALUE"""),-0.587325251028651)</f>
        <v>-0.58732525102865096</v>
      </c>
      <c r="JC167" s="3">
        <f ca="1">IFERROR(__xludf.DUMMYFUNCTION("""COMPUTED_VALUE"""),-0.48274483055356)</f>
        <v>-0.48274483055355999</v>
      </c>
      <c r="JD167" s="3">
        <f ca="1">IFERROR(__xludf.DUMMYFUNCTION("""COMPUTED_VALUE"""),-0.593948249983663)</f>
        <v>-0.59394824998366302</v>
      </c>
      <c r="JE167" s="3">
        <f ca="1">IFERROR(__xludf.DUMMYFUNCTION("""COMPUTED_VALUE"""),-0.603072223120103)</f>
        <v>-0.603072223120103</v>
      </c>
      <c r="JF167" s="3">
        <f ca="1">IFERROR(__xludf.DUMMYFUNCTION("""COMPUTED_VALUE"""),-0.601427211899118)</f>
        <v>-0.60142721189911796</v>
      </c>
      <c r="JG167" s="3">
        <f ca="1">IFERROR(__xludf.DUMMYFUNCTION("""COMPUTED_VALUE"""),-0.649704819134855)</f>
        <v>-0.64970481913485501</v>
      </c>
      <c r="JH167" s="3">
        <f ca="1">IFERROR(__xludf.DUMMYFUNCTION("""COMPUTED_VALUE"""),-0.636642668153312)</f>
        <v>-0.63664266815331205</v>
      </c>
      <c r="JI167" s="3">
        <f ca="1">IFERROR(__xludf.DUMMYFUNCTION("""COMPUTED_VALUE"""),-0.64353316947071)</f>
        <v>-0.64353316947071004</v>
      </c>
      <c r="JJ167" s="3">
        <f ca="1">IFERROR(__xludf.DUMMYFUNCTION("""COMPUTED_VALUE"""),-0.591890957943025)</f>
        <v>-0.59189095794302504</v>
      </c>
      <c r="JK167" s="3">
        <f ca="1">IFERROR(__xludf.DUMMYFUNCTION("""COMPUTED_VALUE"""),-0.59175202188702)</f>
        <v>-0.59175202188702003</v>
      </c>
      <c r="JL167" s="3">
        <f ca="1">IFERROR(__xludf.DUMMYFUNCTION("""COMPUTED_VALUE"""),-0.652782935921538)</f>
        <v>-0.65278293592153802</v>
      </c>
      <c r="JM167" s="3">
        <f ca="1">IFERROR(__xludf.DUMMYFUNCTION("""COMPUTED_VALUE"""),-0.715588758380312)</f>
        <v>-0.715588758380312</v>
      </c>
      <c r="JN167" s="3">
        <f ca="1">IFERROR(__xludf.DUMMYFUNCTION("""COMPUTED_VALUE"""),-0.667965893437221)</f>
        <v>-0.66796589343722101</v>
      </c>
      <c r="JO167" s="3">
        <f ca="1">IFERROR(__xludf.DUMMYFUNCTION("""COMPUTED_VALUE"""),-0.623960997995062)</f>
        <v>-0.62396099799506199</v>
      </c>
      <c r="JP167" s="3">
        <f ca="1">IFERROR(__xludf.DUMMYFUNCTION("""COMPUTED_VALUE"""),-0.633874883818811)</f>
        <v>-0.63387488381881096</v>
      </c>
      <c r="JQ167" s="3">
        <f ca="1">IFERROR(__xludf.DUMMYFUNCTION("""COMPUTED_VALUE"""),-0.443817912375554)</f>
        <v>-0.44381791237555401</v>
      </c>
      <c r="JR167" s="3">
        <f ca="1">IFERROR(__xludf.DUMMYFUNCTION("""COMPUTED_VALUE"""),-0.532297280284129)</f>
        <v>-0.53229728028412904</v>
      </c>
      <c r="JS167" s="3">
        <f ca="1">IFERROR(__xludf.DUMMYFUNCTION("""COMPUTED_VALUE"""),-0.658843811289677)</f>
        <v>-0.65884381128967695</v>
      </c>
      <c r="JT167" s="3">
        <f ca="1">IFERROR(__xludf.DUMMYFUNCTION("""COMPUTED_VALUE"""),-0.647491116677594)</f>
        <v>-0.64749111667759396</v>
      </c>
      <c r="JU167" s="3">
        <f ca="1">IFERROR(__xludf.DUMMYFUNCTION("""COMPUTED_VALUE"""),-0.658567155715788)</f>
        <v>-0.65856715571578806</v>
      </c>
      <c r="JV167" s="3">
        <f ca="1">IFERROR(__xludf.DUMMYFUNCTION("""COMPUTED_VALUE"""),-0.62274350069959)</f>
        <v>-0.62274350069958995</v>
      </c>
      <c r="JW167" s="3">
        <f ca="1">IFERROR(__xludf.DUMMYFUNCTION("""COMPUTED_VALUE"""),-0.649560218181182)</f>
        <v>-0.64956021818118204</v>
      </c>
      <c r="JX167" s="3">
        <f ca="1">IFERROR(__xludf.DUMMYFUNCTION("""COMPUTED_VALUE"""),-0.507351027175231)</f>
        <v>-0.50735102717523095</v>
      </c>
      <c r="JY167" s="3">
        <f ca="1">IFERROR(__xludf.DUMMYFUNCTION("""COMPUTED_VALUE"""),-0.622578129304763)</f>
        <v>-0.62257812930476297</v>
      </c>
      <c r="JZ167" s="3">
        <f ca="1">IFERROR(__xludf.DUMMYFUNCTION("""COMPUTED_VALUE"""),-0.667432423074341)</f>
        <v>-0.66743242307434103</v>
      </c>
      <c r="KA167" s="3">
        <f ca="1">IFERROR(__xludf.DUMMYFUNCTION("""COMPUTED_VALUE"""),-0.614941004858997)</f>
        <v>-0.61494100485899705</v>
      </c>
      <c r="KB167" s="3">
        <f ca="1">IFERROR(__xludf.DUMMYFUNCTION("""COMPUTED_VALUE"""),-0.648186246873237)</f>
        <v>-0.648186246873237</v>
      </c>
      <c r="KC167" s="3">
        <f ca="1">IFERROR(__xludf.DUMMYFUNCTION("""COMPUTED_VALUE"""),-0.592448368382732)</f>
        <v>-0.59244836838273196</v>
      </c>
      <c r="KD167" s="3">
        <f ca="1">IFERROR(__xludf.DUMMYFUNCTION("""COMPUTED_VALUE"""),-0.581110812234062)</f>
        <v>-0.58111081223406202</v>
      </c>
      <c r="KE167" s="3">
        <f ca="1">IFERROR(__xludf.DUMMYFUNCTION("""COMPUTED_VALUE"""),-0.470005662560483)</f>
        <v>-0.47000566256048298</v>
      </c>
      <c r="KF167" s="3">
        <f ca="1">IFERROR(__xludf.DUMMYFUNCTION("""COMPUTED_VALUE"""),-0.561669178615161)</f>
        <v>-0.56166917861516097</v>
      </c>
      <c r="KG167" s="3">
        <f ca="1">IFERROR(__xludf.DUMMYFUNCTION("""COMPUTED_VALUE"""),-0.649234623658102)</f>
        <v>-0.64923462365810203</v>
      </c>
      <c r="KH167" s="3">
        <f ca="1">IFERROR(__xludf.DUMMYFUNCTION("""COMPUTED_VALUE"""),-0.600410853214978)</f>
        <v>-0.600410853214978</v>
      </c>
      <c r="KI167" s="3">
        <f ca="1">IFERROR(__xludf.DUMMYFUNCTION("""COMPUTED_VALUE"""),-0.643147957643783)</f>
        <v>-0.64314795764378296</v>
      </c>
      <c r="KJ167" s="3">
        <f ca="1">IFERROR(__xludf.DUMMYFUNCTION("""COMPUTED_VALUE"""),-0.664250597652446)</f>
        <v>-0.66425059765244598</v>
      </c>
      <c r="KK167" s="3">
        <f ca="1">IFERROR(__xludf.DUMMYFUNCTION("""COMPUTED_VALUE"""),-0.682575462381366)</f>
        <v>-0.68257546238136602</v>
      </c>
      <c r="KL167" s="3">
        <f ca="1">IFERROR(__xludf.DUMMYFUNCTION("""COMPUTED_VALUE"""),-0.495129791182413)</f>
        <v>-0.49512979118241301</v>
      </c>
      <c r="KM167" s="3">
        <f ca="1">IFERROR(__xludf.DUMMYFUNCTION("""COMPUTED_VALUE"""),-0.574778276074094)</f>
        <v>-0.57477827607409404</v>
      </c>
      <c r="KN167" s="3">
        <f ca="1">IFERROR(__xludf.DUMMYFUNCTION("""COMPUTED_VALUE"""),-0.644152851897229)</f>
        <v>-0.64415285189722904</v>
      </c>
      <c r="KO167" s="3">
        <f ca="1">IFERROR(__xludf.DUMMYFUNCTION("""COMPUTED_VALUE"""),-0.609160322881146)</f>
        <v>-0.60916032288114597</v>
      </c>
      <c r="KP167" s="3">
        <f ca="1">IFERROR(__xludf.DUMMYFUNCTION("""COMPUTED_VALUE"""),-0.655673969277894)</f>
        <v>-0.65567396927789401</v>
      </c>
      <c r="KQ167" s="3">
        <f ca="1">IFERROR(__xludf.DUMMYFUNCTION("""COMPUTED_VALUE"""),-0.655364604445281)</f>
        <v>-0.655364604445281</v>
      </c>
      <c r="KR167" s="3">
        <f ca="1">IFERROR(__xludf.DUMMYFUNCTION("""COMPUTED_VALUE"""),-0.667914969510077)</f>
        <v>-0.66791496951007701</v>
      </c>
      <c r="KS167" s="3">
        <f ca="1">IFERROR(__xludf.DUMMYFUNCTION("""COMPUTED_VALUE"""),-0.505384210332717)</f>
        <v>-0.50538421033271697</v>
      </c>
      <c r="KT167" s="3">
        <f ca="1">IFERROR(__xludf.DUMMYFUNCTION("""COMPUTED_VALUE"""),-0.632919321856655)</f>
        <v>-0.632919321856655</v>
      </c>
      <c r="KU167" s="3">
        <f ca="1">IFERROR(__xludf.DUMMYFUNCTION("""COMPUTED_VALUE"""),-0.66180503475979)</f>
        <v>-0.66180503475979002</v>
      </c>
      <c r="KV167" s="3">
        <f ca="1">IFERROR(__xludf.DUMMYFUNCTION("""COMPUTED_VALUE"""),-0.689048137986084)</f>
        <v>-0.689048137986084</v>
      </c>
      <c r="KW167" s="3">
        <f ca="1">IFERROR(__xludf.DUMMYFUNCTION("""COMPUTED_VALUE"""),-0.668627965890219)</f>
        <v>-0.668627965890219</v>
      </c>
      <c r="KX167" s="3">
        <f ca="1">IFERROR(__xludf.DUMMYFUNCTION("""COMPUTED_VALUE"""),-0.679226620969465)</f>
        <v>-0.67922662096946496</v>
      </c>
      <c r="KY167" s="3">
        <f ca="1">IFERROR(__xludf.DUMMYFUNCTION("""COMPUTED_VALUE"""),-0.569159133014937)</f>
        <v>-0.56915913301493704</v>
      </c>
      <c r="KZ167" s="3">
        <f ca="1">IFERROR(__xludf.DUMMYFUNCTION("""COMPUTED_VALUE"""),-0.509544617462817)</f>
        <v>-0.50954461746281698</v>
      </c>
      <c r="LA167" s="3">
        <f ca="1">IFERROR(__xludf.DUMMYFUNCTION("""COMPUTED_VALUE"""),-0.575561116620402)</f>
        <v>-0.57556111662040199</v>
      </c>
      <c r="LB167" s="3">
        <f ca="1">IFERROR(__xludf.DUMMYFUNCTION("""COMPUTED_VALUE"""),-0.68848791303972)</f>
        <v>-0.68848791303972001</v>
      </c>
      <c r="LC167" s="3">
        <f ca="1">IFERROR(__xludf.DUMMYFUNCTION("""COMPUTED_VALUE"""),-0.702933744368245)</f>
        <v>-0.70293374436824496</v>
      </c>
      <c r="LD167" s="3">
        <f ca="1">IFERROR(__xludf.DUMMYFUNCTION("""COMPUTED_VALUE"""),-0.69275570829666)</f>
        <v>-0.69275570829666</v>
      </c>
      <c r="LE167" s="3">
        <f ca="1">IFERROR(__xludf.DUMMYFUNCTION("""COMPUTED_VALUE"""),-0.691846723283574)</f>
        <v>-0.69184672328357399</v>
      </c>
      <c r="LF167" s="3">
        <f ca="1">IFERROR(__xludf.DUMMYFUNCTION("""COMPUTED_VALUE"""),-0.654561654960454)</f>
        <v>-0.65456165496045404</v>
      </c>
      <c r="LG167" s="3">
        <f ca="1">IFERROR(__xludf.DUMMYFUNCTION("""COMPUTED_VALUE"""),-0.586920350523563)</f>
        <v>-0.58692035052356295</v>
      </c>
      <c r="LH167" s="3">
        <f ca="1">IFERROR(__xludf.DUMMYFUNCTION("""COMPUTED_VALUE"""),-0.628177507004875)</f>
        <v>-0.62817750700487496</v>
      </c>
      <c r="LI167" s="3">
        <f ca="1">IFERROR(__xludf.DUMMYFUNCTION("""COMPUTED_VALUE"""),-0.769121160368302)</f>
        <v>-0.76912116036830203</v>
      </c>
      <c r="LJ167" s="3">
        <f ca="1">IFERROR(__xludf.DUMMYFUNCTION("""COMPUTED_VALUE"""),-0.719393452582436)</f>
        <v>-0.71939345258243603</v>
      </c>
      <c r="LK167" s="3">
        <f ca="1">IFERROR(__xludf.DUMMYFUNCTION("""COMPUTED_VALUE"""),-0.646582584979943)</f>
        <v>-0.64658258497994303</v>
      </c>
      <c r="LL167" s="3">
        <f ca="1">IFERROR(__xludf.DUMMYFUNCTION("""COMPUTED_VALUE"""),-0.691843377614947)</f>
        <v>-0.69184337761494696</v>
      </c>
      <c r="LM167" s="3">
        <f ca="1">IFERROR(__xludf.DUMMYFUNCTION("""COMPUTED_VALUE"""),-0.653738897313461)</f>
        <v>-0.65373889731346102</v>
      </c>
      <c r="LN167" s="3">
        <f ca="1">IFERROR(__xludf.DUMMYFUNCTION("""COMPUTED_VALUE"""),-0.504614413091762)</f>
        <v>-0.50461441309176203</v>
      </c>
      <c r="LO167" s="3">
        <f ca="1">IFERROR(__xludf.DUMMYFUNCTION("""COMPUTED_VALUE"""),-0.654652837137858)</f>
        <v>-0.65465283713785805</v>
      </c>
      <c r="LP167" s="3">
        <f ca="1">IFERROR(__xludf.DUMMYFUNCTION("""COMPUTED_VALUE"""),-0.798524050662306)</f>
        <v>-0.79852405066230603</v>
      </c>
      <c r="LQ167" s="3">
        <f ca="1">IFERROR(__xludf.DUMMYFUNCTION("""COMPUTED_VALUE"""),-0.733148523741061)</f>
        <v>-0.73314852374106099</v>
      </c>
      <c r="LR167" s="3">
        <f ca="1">IFERROR(__xludf.DUMMYFUNCTION("""COMPUTED_VALUE"""),-0.717131867219958)</f>
        <v>-0.71713186721995803</v>
      </c>
      <c r="LS167" s="3">
        <f ca="1">IFERROR(__xludf.DUMMYFUNCTION("""COMPUTED_VALUE"""),-0.749155877035659)</f>
        <v>-0.749155877035659</v>
      </c>
      <c r="LT167" s="3">
        <f ca="1">IFERROR(__xludf.DUMMYFUNCTION("""COMPUTED_VALUE"""),-0.772122865458923)</f>
        <v>-0.77212286545892295</v>
      </c>
      <c r="LU167" s="3">
        <f ca="1">IFERROR(__xludf.DUMMYFUNCTION("""COMPUTED_VALUE"""),-0.694507097549818)</f>
        <v>-0.69450709754981799</v>
      </c>
      <c r="LV167" s="3">
        <f ca="1">IFERROR(__xludf.DUMMYFUNCTION("""COMPUTED_VALUE"""),-0.624031688237302)</f>
        <v>-0.62403168823730204</v>
      </c>
      <c r="LW167" s="3">
        <f ca="1">IFERROR(__xludf.DUMMYFUNCTION("""COMPUTED_VALUE"""),-0.802551615157281)</f>
        <v>-0.80255161515728102</v>
      </c>
      <c r="LX167" s="3">
        <f ca="1">IFERROR(__xludf.DUMMYFUNCTION("""COMPUTED_VALUE"""),-0.788944571215572)</f>
        <v>-0.78894457121557204</v>
      </c>
      <c r="LY167" s="3">
        <f ca="1">IFERROR(__xludf.DUMMYFUNCTION("""COMPUTED_VALUE"""),-0.794600801797748)</f>
        <v>-0.79460080179774795</v>
      </c>
      <c r="LZ167" s="3">
        <f ca="1">IFERROR(__xludf.DUMMYFUNCTION("""COMPUTED_VALUE"""),-0.762876998710163)</f>
        <v>-0.76287699871016301</v>
      </c>
      <c r="MA167" s="3">
        <f ca="1">IFERROR(__xludf.DUMMYFUNCTION("""COMPUTED_VALUE"""),-0.743978951282068)</f>
        <v>-0.74397895128206804</v>
      </c>
      <c r="MB167" s="3">
        <f ca="1">IFERROR(__xludf.DUMMYFUNCTION("""COMPUTED_VALUE"""),-0.731017583588615)</f>
        <v>-0.73101758358861502</v>
      </c>
      <c r="MC167" s="3">
        <f ca="1">IFERROR(__xludf.DUMMYFUNCTION("""COMPUTED_VALUE"""),-0.74321580826393)</f>
        <v>-0.74321580826392997</v>
      </c>
      <c r="MD167" s="3">
        <f ca="1">IFERROR(__xludf.DUMMYFUNCTION("""COMPUTED_VALUE"""),-0.772706844835847)</f>
        <v>-0.77270684483584695</v>
      </c>
      <c r="ME167" s="3">
        <f ca="1">IFERROR(__xludf.DUMMYFUNCTION("""COMPUTED_VALUE"""),-0.775289652961963)</f>
        <v>-0.77528965296196295</v>
      </c>
      <c r="MF167" s="3">
        <f ca="1">IFERROR(__xludf.DUMMYFUNCTION("""COMPUTED_VALUE"""),-0.761826616658852)</f>
        <v>-0.76182661665885198</v>
      </c>
      <c r="MG167" s="3">
        <f ca="1">IFERROR(__xludf.DUMMYFUNCTION("""COMPUTED_VALUE"""),-0.711823699446546)</f>
        <v>-0.711823699446546</v>
      </c>
      <c r="MH167" s="3">
        <f ca="1">IFERROR(__xludf.DUMMYFUNCTION("""COMPUTED_VALUE"""),-0.704393629304115)</f>
        <v>-0.70439362930411498</v>
      </c>
      <c r="MI167" s="3">
        <f ca="1">IFERROR(__xludf.DUMMYFUNCTION("""COMPUTED_VALUE"""),-0.644418957844805)</f>
        <v>-0.64441895784480496</v>
      </c>
      <c r="MJ167" s="3">
        <f ca="1">IFERROR(__xludf.DUMMYFUNCTION("""COMPUTED_VALUE"""),-0.789474957463085)</f>
        <v>-0.78947495746308505</v>
      </c>
      <c r="MK167" s="3">
        <f ca="1">IFERROR(__xludf.DUMMYFUNCTION("""COMPUTED_VALUE"""),-0.892037155089286)</f>
        <v>-0.89203715508928605</v>
      </c>
      <c r="ML167" s="3">
        <f ca="1">IFERROR(__xludf.DUMMYFUNCTION("""COMPUTED_VALUE"""),-0.932210754252397)</f>
        <v>-0.93221075425239697</v>
      </c>
      <c r="MM167" s="3">
        <f ca="1">IFERROR(__xludf.DUMMYFUNCTION("""COMPUTED_VALUE"""),-0.945286715235498)</f>
        <v>-0.94528671523549801</v>
      </c>
      <c r="MN167" s="3">
        <f ca="1">IFERROR(__xludf.DUMMYFUNCTION("""COMPUTED_VALUE"""),-0.918592852531633)</f>
        <v>-0.91859285253163303</v>
      </c>
      <c r="MO167" s="3">
        <f ca="1">IFERROR(__xludf.DUMMYFUNCTION("""COMPUTED_VALUE"""),-0.92468642895968)</f>
        <v>-0.92468642895968001</v>
      </c>
      <c r="MP167" s="3">
        <f ca="1">IFERROR(__xludf.DUMMYFUNCTION("""COMPUTED_VALUE"""),-0.896059205168528)</f>
        <v>-0.89605920516852799</v>
      </c>
      <c r="MQ167" s="3">
        <f ca="1">IFERROR(__xludf.DUMMYFUNCTION("""COMPUTED_VALUE"""),-0.903343756705826)</f>
        <v>-0.90334375670582601</v>
      </c>
      <c r="MR167" s="3">
        <f ca="1">IFERROR(__xludf.DUMMYFUNCTION("""COMPUTED_VALUE"""),-0.907704892767936)</f>
        <v>-0.90770489276793598</v>
      </c>
      <c r="MS167" s="3">
        <f ca="1">IFERROR(__xludf.DUMMYFUNCTION("""COMPUTED_VALUE"""),-0.936887863563752)</f>
        <v>-0.93688786356375198</v>
      </c>
      <c r="MT167" s="3">
        <f ca="1">IFERROR(__xludf.DUMMYFUNCTION("""COMPUTED_VALUE"""),-0.940591397950371)</f>
        <v>-0.94059139795037106</v>
      </c>
      <c r="MU167" s="3">
        <f ca="1">IFERROR(__xludf.DUMMYFUNCTION("""COMPUTED_VALUE"""),-0.922570623074161)</f>
        <v>-0.92257062307416104</v>
      </c>
      <c r="MV167" s="3">
        <f ca="1">IFERROR(__xludf.DUMMYFUNCTION("""COMPUTED_VALUE"""),-0.921394397598251)</f>
        <v>-0.92139439759825104</v>
      </c>
      <c r="MW167" s="3">
        <f ca="1">IFERROR(__xludf.DUMMYFUNCTION("""COMPUTED_VALUE"""),-0.888686799049449)</f>
        <v>-0.88868679904944903</v>
      </c>
      <c r="MX167" s="3">
        <f ca="1">IFERROR(__xludf.DUMMYFUNCTION("""COMPUTED_VALUE"""),-0.910689102823238)</f>
        <v>-0.91068910282323801</v>
      </c>
      <c r="MY167" s="3">
        <f ca="1">IFERROR(__xludf.DUMMYFUNCTION("""COMPUTED_VALUE"""),-0.952503296366667)</f>
        <v>-0.95250329636666697</v>
      </c>
      <c r="MZ167" s="3">
        <f ca="1">IFERROR(__xludf.DUMMYFUNCTION("""COMPUTED_VALUE"""),-0.961733595874425)</f>
        <v>-0.96173359587442497</v>
      </c>
      <c r="NA167" s="3">
        <f ca="1">IFERROR(__xludf.DUMMYFUNCTION("""COMPUTED_VALUE"""),-0.952956165679111)</f>
        <v>-0.95295616567911101</v>
      </c>
      <c r="NB167" s="3">
        <f ca="1">IFERROR(__xludf.DUMMYFUNCTION("""COMPUTED_VALUE"""),-0.949039877960706)</f>
        <v>-0.94903987796070599</v>
      </c>
      <c r="NC167" s="3">
        <f ca="1">IFERROR(__xludf.DUMMYFUNCTION("""COMPUTED_VALUE"""),-0.929846911388367)</f>
        <v>-0.92984691138836695</v>
      </c>
      <c r="ND167" s="3">
        <f ca="1">IFERROR(__xludf.DUMMYFUNCTION("""COMPUTED_VALUE"""),-0.900165713693575)</f>
        <v>-0.90016571369357501</v>
      </c>
      <c r="NE167" s="3">
        <f ca="1">IFERROR(__xludf.DUMMYFUNCTION("""COMPUTED_VALUE"""),-0.916078672730959)</f>
        <v>-0.916078672730959</v>
      </c>
      <c r="NF167" s="3">
        <f ca="1">IFERROR(__xludf.DUMMYFUNCTION("""COMPUTED_VALUE"""),-0.947595274310953)</f>
        <v>-0.94759527431095303</v>
      </c>
      <c r="NG167" s="3">
        <f ca="1">IFERROR(__xludf.DUMMYFUNCTION("""COMPUTED_VALUE"""),-0.9355518542527)</f>
        <v>-0.93555185425270004</v>
      </c>
      <c r="NH167" s="3">
        <f ca="1">IFERROR(__xludf.DUMMYFUNCTION("""COMPUTED_VALUE"""),-0.92267179697924)</f>
        <v>-0.92267179697923996</v>
      </c>
      <c r="NI167" s="3">
        <f ca="1">IFERROR(__xludf.DUMMYFUNCTION("""COMPUTED_VALUE"""),-0.916423315513143)</f>
        <v>-0.91642331551314304</v>
      </c>
      <c r="NJ167" s="3">
        <f ca="1">IFERROR(__xludf.DUMMYFUNCTION("""COMPUTED_VALUE"""),-0.917274708378397)</f>
        <v>-0.91727470837839697</v>
      </c>
      <c r="NK167" s="3">
        <f ca="1">IFERROR(__xludf.DUMMYFUNCTION("""COMPUTED_VALUE"""),-0.849153139912252)</f>
        <v>-0.84915313991225205</v>
      </c>
      <c r="NL167" s="3">
        <f ca="1">IFERROR(__xludf.DUMMYFUNCTION("""COMPUTED_VALUE"""),-0.888587965599395)</f>
        <v>-0.88858796559939501</v>
      </c>
      <c r="NM167" s="3">
        <f ca="1">IFERROR(__xludf.DUMMYFUNCTION("""COMPUTED_VALUE"""),-0.916182516910828)</f>
        <v>-0.91618251691082797</v>
      </c>
      <c r="NN167" s="3">
        <f ca="1">IFERROR(__xludf.DUMMYFUNCTION("""COMPUTED_VALUE"""),-0.924004887670236)</f>
        <v>-0.92400488767023603</v>
      </c>
      <c r="NO167" s="3">
        <f ca="1">IFERROR(__xludf.DUMMYFUNCTION("""COMPUTED_VALUE"""),-0.931254337007138)</f>
        <v>-0.931254337007138</v>
      </c>
      <c r="NP167" s="3">
        <f ca="1">IFERROR(__xludf.DUMMYFUNCTION("""COMPUTED_VALUE"""),-0.920902780523967)</f>
        <v>-0.92090278052396701</v>
      </c>
      <c r="NQ167" s="3">
        <f ca="1">IFERROR(__xludf.DUMMYFUNCTION("""COMPUTED_VALUE"""),-0.876545080520011)</f>
        <v>-0.87654508052001101</v>
      </c>
      <c r="NR167" s="3">
        <f ca="1">IFERROR(__xludf.DUMMYFUNCTION("""COMPUTED_VALUE"""),-0.718565291554072)</f>
        <v>-0.71856529155407201</v>
      </c>
      <c r="NS167" s="3">
        <f ca="1">IFERROR(__xludf.DUMMYFUNCTION("""COMPUTED_VALUE"""),-0.724685211979709)</f>
        <v>-0.72468521197970903</v>
      </c>
      <c r="NT167" s="3">
        <f ca="1">IFERROR(__xludf.DUMMYFUNCTION("""COMPUTED_VALUE"""),-0.764255036246266)</f>
        <v>-0.76425503624626601</v>
      </c>
      <c r="NU167" s="3">
        <f ca="1">IFERROR(__xludf.DUMMYFUNCTION("""COMPUTED_VALUE"""),-0.787714013596266)</f>
        <v>-0.78771401359626603</v>
      </c>
      <c r="NV167" s="3">
        <f ca="1">IFERROR(__xludf.DUMMYFUNCTION("""COMPUTED_VALUE"""),-0.758205824569655)</f>
        <v>-0.75820582456965502</v>
      </c>
      <c r="NW167" s="3">
        <f ca="1">IFERROR(__xludf.DUMMYFUNCTION("""COMPUTED_VALUE"""),-0.748425200622639)</f>
        <v>-0.74842520062263895</v>
      </c>
      <c r="NX167" s="3">
        <f ca="1">IFERROR(__xludf.DUMMYFUNCTION("""COMPUTED_VALUE"""),-0.730262894589677)</f>
        <v>-0.73026289458967697</v>
      </c>
      <c r="NY167" s="3">
        <f ca="1">IFERROR(__xludf.DUMMYFUNCTION("""COMPUTED_VALUE"""),-0.58334104520506)</f>
        <v>-0.58334104520506003</v>
      </c>
      <c r="NZ167" s="3">
        <f ca="1">IFERROR(__xludf.DUMMYFUNCTION("""COMPUTED_VALUE"""),-0.596464249614343)</f>
        <v>-0.59646424961434297</v>
      </c>
      <c r="OA167" s="3">
        <f ca="1">IFERROR(__xludf.DUMMYFUNCTION("""COMPUTED_VALUE"""),-0.62635520508087)</f>
        <v>-0.62635520508086995</v>
      </c>
      <c r="OB167" s="3">
        <f ca="1">IFERROR(__xludf.DUMMYFUNCTION("""COMPUTED_VALUE"""),-0.615211067942477)</f>
        <v>-0.61521106794247704</v>
      </c>
      <c r="OC167" s="3">
        <f ca="1">IFERROR(__xludf.DUMMYFUNCTION("""COMPUTED_VALUE"""),-0.608825133867913)</f>
        <v>-0.60882513386791304</v>
      </c>
      <c r="OD167" s="3">
        <f ca="1">IFERROR(__xludf.DUMMYFUNCTION("""COMPUTED_VALUE"""),-0.549600204555428)</f>
        <v>-0.54960020455542802</v>
      </c>
      <c r="OE167" s="3">
        <f ca="1">IFERROR(__xludf.DUMMYFUNCTION("""COMPUTED_VALUE"""),-0.408246420816103)</f>
        <v>-0.40824642081610302</v>
      </c>
      <c r="OF167" s="3">
        <f ca="1">IFERROR(__xludf.DUMMYFUNCTION("""COMPUTED_VALUE"""),-0.199129549851735)</f>
        <v>-0.199129549851735</v>
      </c>
      <c r="OG167" s="3">
        <f ca="1">IFERROR(__xludf.DUMMYFUNCTION("""COMPUTED_VALUE"""),-0.201591590519188)</f>
        <v>-0.20159159051918801</v>
      </c>
      <c r="OH167" s="3">
        <f ca="1">IFERROR(__xludf.DUMMYFUNCTION("""COMPUTED_VALUE"""),-0.0759019632439415)</f>
        <v>-7.5901963243941495E-2</v>
      </c>
      <c r="OI167" s="3">
        <f ca="1">IFERROR(__xludf.DUMMYFUNCTION("""COMPUTED_VALUE"""),-0.0438541440502519)</f>
        <v>-4.3854144050251898E-2</v>
      </c>
      <c r="OJ167" s="3">
        <f ca="1">IFERROR(__xludf.DUMMYFUNCTION("""COMPUTED_VALUE"""),-0.023955094484876)</f>
        <v>-2.3955094484876E-2</v>
      </c>
      <c r="OK167" s="3">
        <f ca="1">IFERROR(__xludf.DUMMYFUNCTION("""COMPUTED_VALUE"""),0.0199837752496607)</f>
        <v>1.9983775249660701E-2</v>
      </c>
      <c r="OL167" s="3">
        <f ca="1">IFERROR(__xludf.DUMMYFUNCTION("""COMPUTED_VALUE"""),-0.0013908108524443)</f>
        <v>-1.3908108524443E-3</v>
      </c>
      <c r="OM167" s="3">
        <f ca="1">IFERROR(__xludf.DUMMYFUNCTION("""COMPUTED_VALUE"""),-0.0175236987258642)</f>
        <v>-1.7523698725864199E-2</v>
      </c>
      <c r="ON167" s="3">
        <f ca="1">IFERROR(__xludf.DUMMYFUNCTION("""COMPUTED_VALUE"""),0.0655395206052609)</f>
        <v>6.5539520605260901E-2</v>
      </c>
      <c r="OO167" s="3">
        <f ca="1">IFERROR(__xludf.DUMMYFUNCTION("""COMPUTED_VALUE"""),-0.00527173157895766)</f>
        <v>-5.2717315789576596E-3</v>
      </c>
      <c r="OP167" s="3">
        <f ca="1">IFERROR(__xludf.DUMMYFUNCTION("""COMPUTED_VALUE"""),0.0715159267041762)</f>
        <v>7.1515926704176197E-2</v>
      </c>
      <c r="OQ167" s="3">
        <f ca="1">IFERROR(__xludf.DUMMYFUNCTION("""COMPUTED_VALUE"""),0.100536498448885)</f>
        <v>0.100536498448885</v>
      </c>
      <c r="OR167" s="3">
        <f ca="1">IFERROR(__xludf.DUMMYFUNCTION("""COMPUTED_VALUE"""),0.097945158183778)</f>
        <v>9.7945158183777997E-2</v>
      </c>
      <c r="OS167" s="3">
        <f ca="1">IFERROR(__xludf.DUMMYFUNCTION("""COMPUTED_VALUE"""),-0.00239348858529619)</f>
        <v>-2.39348858529619E-3</v>
      </c>
      <c r="OT167" s="3">
        <f ca="1">IFERROR(__xludf.DUMMYFUNCTION("""COMPUTED_VALUE"""),0.194755396308013)</f>
        <v>0.194755396308013</v>
      </c>
      <c r="OU167" s="3">
        <f ca="1">IFERROR(__xludf.DUMMYFUNCTION("""COMPUTED_VALUE"""),0.0414391528128925)</f>
        <v>4.1439152812892503E-2</v>
      </c>
      <c r="OV167" s="3">
        <f ca="1">IFERROR(__xludf.DUMMYFUNCTION("""COMPUTED_VALUE"""),-0.0163242993688795)</f>
        <v>-1.63242993688795E-2</v>
      </c>
      <c r="OW167" s="3">
        <f ca="1">IFERROR(__xludf.DUMMYFUNCTION("""COMPUTED_VALUE"""),-0.0342784213793132)</f>
        <v>-3.4278421379313202E-2</v>
      </c>
      <c r="OX167" s="3">
        <f ca="1">IFERROR(__xludf.DUMMYFUNCTION("""COMPUTED_VALUE"""),-0.00606343830661082)</f>
        <v>-6.0634383066108201E-3</v>
      </c>
      <c r="OY167" s="3">
        <f ca="1">IFERROR(__xludf.DUMMYFUNCTION("""COMPUTED_VALUE"""),0.0394223531787585)</f>
        <v>3.9422353178758501E-2</v>
      </c>
      <c r="OZ167" s="3">
        <f ca="1">IFERROR(__xludf.DUMMYFUNCTION("""COMPUTED_VALUE"""),0.0662179177729602)</f>
        <v>6.6217917772960197E-2</v>
      </c>
      <c r="PA167" s="3">
        <f ca="1">IFERROR(__xludf.DUMMYFUNCTION("""COMPUTED_VALUE"""),0.164907023842748)</f>
        <v>0.164907023842748</v>
      </c>
      <c r="PB167" s="3">
        <f ca="1">IFERROR(__xludf.DUMMYFUNCTION("""COMPUTED_VALUE"""),0.0750503932348862)</f>
        <v>7.5050393234886201E-2</v>
      </c>
      <c r="PC167" s="3">
        <f ca="1">IFERROR(__xludf.DUMMYFUNCTION("""COMPUTED_VALUE"""),-0.138511101918067)</f>
        <v>-0.13851110191806701</v>
      </c>
      <c r="PD167" s="3">
        <f ca="1">IFERROR(__xludf.DUMMYFUNCTION("""COMPUTED_VALUE"""),-0.128862664919831)</f>
        <v>-0.128862664919831</v>
      </c>
      <c r="PE167" s="3">
        <f ca="1">IFERROR(__xludf.DUMMYFUNCTION("""COMPUTED_VALUE"""),-0.000723656022682872)</f>
        <v>-7.23656022682872E-4</v>
      </c>
      <c r="PF167" s="3">
        <f ca="1">IFERROR(__xludf.DUMMYFUNCTION("""COMPUTED_VALUE"""),-0.00808227282969586)</f>
        <v>-8.0822728296958603E-3</v>
      </c>
      <c r="PG167" s="3">
        <f ca="1">IFERROR(__xludf.DUMMYFUNCTION("""COMPUTED_VALUE"""),-0.274782951262458)</f>
        <v>-0.274782951262458</v>
      </c>
      <c r="PH167" s="3">
        <f ca="1">IFERROR(__xludf.DUMMYFUNCTION("""COMPUTED_VALUE"""),0.118887154277509)</f>
        <v>0.118887154277509</v>
      </c>
      <c r="PI167" s="3">
        <f ca="1">IFERROR(__xludf.DUMMYFUNCTION("""COMPUTED_VALUE"""),0.0634868623788058)</f>
        <v>6.3486862378805797E-2</v>
      </c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</row>
    <row r="168" spans="1:477" ht="13">
      <c r="A168" s="1" t="str">
        <f ca="1">IFERROR(__xludf.DUMMYFUNCTION("""COMPUTED_VALUE"""),"Winnipeg Transit")</f>
        <v>Winnipeg Transit</v>
      </c>
      <c r="B168" s="1" t="str">
        <f ca="1">IFERROR(__xludf.DUMMYFUNCTION("""COMPUTED_VALUE"""),"Winnipeg")</f>
        <v>Winnipeg</v>
      </c>
      <c r="C168" s="1" t="str">
        <f ca="1">IFERROR(__xludf.DUMMYFUNCTION("""COMPUTED_VALUE"""),"Canada")</f>
        <v>Canada</v>
      </c>
      <c r="D168" s="1" t="str">
        <f ca="1">IFERROR(__xludf.DUMMYFUNCTION("""COMPUTED_VALUE"""),"Manitoba")</f>
        <v>Manitoba</v>
      </c>
      <c r="E168" s="3">
        <f ca="1">IFERROR(__xludf.DUMMYFUNCTION("""COMPUTED_VALUE"""),-0.5481634191956)</f>
        <v>-0.54816341919559997</v>
      </c>
      <c r="F168" s="3">
        <f ca="1">IFERROR(__xludf.DUMMYFUNCTION("""COMPUTED_VALUE"""),-0.543902894569226)</f>
        <v>-0.54390289456922603</v>
      </c>
      <c r="G168" s="3">
        <f ca="1">IFERROR(__xludf.DUMMYFUNCTION("""COMPUTED_VALUE"""),-0.626329889585455)</f>
        <v>-0.62632988958545499</v>
      </c>
      <c r="H168" s="3">
        <f ca="1">IFERROR(__xludf.DUMMYFUNCTION("""COMPUTED_VALUE"""),-0.595667607584738)</f>
        <v>-0.59566760758473802</v>
      </c>
      <c r="I168" s="3">
        <f ca="1">IFERROR(__xludf.DUMMYFUNCTION("""COMPUTED_VALUE"""),-0.594194376477607)</f>
        <v>-0.59419437647760698</v>
      </c>
      <c r="J168" s="3">
        <f ca="1">IFERROR(__xludf.DUMMYFUNCTION("""COMPUTED_VALUE"""),-0.642338648715679)</f>
        <v>-0.64233864871567903</v>
      </c>
      <c r="K168" s="3">
        <f ca="1">IFERROR(__xludf.DUMMYFUNCTION("""COMPUTED_VALUE"""),-0.548342033073275)</f>
        <v>-0.548342033073275</v>
      </c>
      <c r="L168" s="3">
        <f ca="1">IFERROR(__xludf.DUMMYFUNCTION("""COMPUTED_VALUE"""),-0.572524890476197)</f>
        <v>-0.57252489047619703</v>
      </c>
      <c r="M168" s="3">
        <f ca="1">IFERROR(__xludf.DUMMYFUNCTION("""COMPUTED_VALUE"""),-0.73686272598211)</f>
        <v>-0.73686272598211</v>
      </c>
      <c r="N168" s="3">
        <f ca="1">IFERROR(__xludf.DUMMYFUNCTION("""COMPUTED_VALUE"""),-0.624033604784115)</f>
        <v>-0.62403360478411496</v>
      </c>
      <c r="O168" s="3">
        <f ca="1">IFERROR(__xludf.DUMMYFUNCTION("""COMPUTED_VALUE"""),-0.652910798923438)</f>
        <v>-0.65291079892343795</v>
      </c>
      <c r="P168" s="3">
        <f ca="1">IFERROR(__xludf.DUMMYFUNCTION("""COMPUTED_VALUE"""),-0.68770701083211)</f>
        <v>-0.68770701083211005</v>
      </c>
      <c r="Q168" s="3">
        <f ca="1">IFERROR(__xludf.DUMMYFUNCTION("""COMPUTED_VALUE"""),-0.635927099224749)</f>
        <v>-0.63592709922474899</v>
      </c>
      <c r="R168" s="3">
        <f ca="1">IFERROR(__xludf.DUMMYFUNCTION("""COMPUTED_VALUE"""),-0.485020580520761)</f>
        <v>-0.48502058052076102</v>
      </c>
      <c r="S168" s="3">
        <f ca="1">IFERROR(__xludf.DUMMYFUNCTION("""COMPUTED_VALUE"""),-0.523089100580085)</f>
        <v>-0.52308910058008495</v>
      </c>
      <c r="T168" s="3">
        <f ca="1">IFERROR(__xludf.DUMMYFUNCTION("""COMPUTED_VALUE"""),-0.604801846155571)</f>
        <v>-0.60480184615557098</v>
      </c>
      <c r="U168" s="3">
        <f ca="1">IFERROR(__xludf.DUMMYFUNCTION("""COMPUTED_VALUE"""),-0.623287687627193)</f>
        <v>-0.623287687627193</v>
      </c>
      <c r="V168" s="3">
        <f ca="1">IFERROR(__xludf.DUMMYFUNCTION("""COMPUTED_VALUE"""),-0.623547917514672)</f>
        <v>-0.62354791751467198</v>
      </c>
      <c r="W168" s="3">
        <f ca="1">IFERROR(__xludf.DUMMYFUNCTION("""COMPUTED_VALUE"""),-0.612891860832287)</f>
        <v>-0.61289186083228697</v>
      </c>
      <c r="X168" s="3">
        <f ca="1">IFERROR(__xludf.DUMMYFUNCTION("""COMPUTED_VALUE"""),-0.59465790582172)</f>
        <v>-0.59465790582171996</v>
      </c>
      <c r="Y168" s="3">
        <f ca="1">IFERROR(__xludf.DUMMYFUNCTION("""COMPUTED_VALUE"""),-0.493560495056343)</f>
        <v>-0.49356049505634297</v>
      </c>
      <c r="Z168" s="3">
        <f ca="1">IFERROR(__xludf.DUMMYFUNCTION("""COMPUTED_VALUE"""),-0.534567863688411)</f>
        <v>-0.53456786368841103</v>
      </c>
      <c r="AA168" s="3">
        <f ca="1">IFERROR(__xludf.DUMMYFUNCTION("""COMPUTED_VALUE"""),-0.620338677189656)</f>
        <v>-0.62033867718965596</v>
      </c>
      <c r="AB168" s="3">
        <f ca="1">IFERROR(__xludf.DUMMYFUNCTION("""COMPUTED_VALUE"""),-0.619808942787987)</f>
        <v>-0.61980894278798704</v>
      </c>
      <c r="AC168" s="3">
        <f ca="1">IFERROR(__xludf.DUMMYFUNCTION("""COMPUTED_VALUE"""),-0.621008364809784)</f>
        <v>-0.62100836480978405</v>
      </c>
      <c r="AD168" s="3">
        <f ca="1">IFERROR(__xludf.DUMMYFUNCTION("""COMPUTED_VALUE"""),-0.606623589042432)</f>
        <v>-0.60662358904243197</v>
      </c>
      <c r="AE168" s="3">
        <f ca="1">IFERROR(__xludf.DUMMYFUNCTION("""COMPUTED_VALUE"""),-0.600924349315371)</f>
        <v>-0.60092434931537098</v>
      </c>
      <c r="AF168" s="3">
        <f ca="1">IFERROR(__xludf.DUMMYFUNCTION("""COMPUTED_VALUE"""),-0.480127571460104)</f>
        <v>-0.48012757146010399</v>
      </c>
      <c r="AG168" s="3">
        <f ca="1">IFERROR(__xludf.DUMMYFUNCTION("""COMPUTED_VALUE"""),-0.535315843034653)</f>
        <v>-0.53531584303465296</v>
      </c>
      <c r="AH168" s="3">
        <f ca="1">IFERROR(__xludf.DUMMYFUNCTION("""COMPUTED_VALUE"""),-0.619111578219736)</f>
        <v>-0.61911157821973595</v>
      </c>
      <c r="AI168" s="3">
        <f ca="1">IFERROR(__xludf.DUMMYFUNCTION("""COMPUTED_VALUE"""),-0.651339937406327)</f>
        <v>-0.65133993740632701</v>
      </c>
      <c r="AJ168" s="3">
        <f ca="1">IFERROR(__xludf.DUMMYFUNCTION("""COMPUTED_VALUE"""),-0.630521575980026)</f>
        <v>-0.63052157598002601</v>
      </c>
      <c r="AK168" s="3">
        <f ca="1">IFERROR(__xludf.DUMMYFUNCTION("""COMPUTED_VALUE"""),-0.651697929543747)</f>
        <v>-0.65169792954374695</v>
      </c>
      <c r="AL168" s="3">
        <f ca="1">IFERROR(__xludf.DUMMYFUNCTION("""COMPUTED_VALUE"""),-0.631485130329155)</f>
        <v>-0.63148513032915499</v>
      </c>
      <c r="AM168" s="3">
        <f ca="1">IFERROR(__xludf.DUMMYFUNCTION("""COMPUTED_VALUE"""),-0.489553736225335)</f>
        <v>-0.48955373622533499</v>
      </c>
      <c r="AN168" s="3">
        <f ca="1">IFERROR(__xludf.DUMMYFUNCTION("""COMPUTED_VALUE"""),-0.542787723513859)</f>
        <v>-0.54278772351385896</v>
      </c>
      <c r="AO168" s="3">
        <f ca="1">IFERROR(__xludf.DUMMYFUNCTION("""COMPUTED_VALUE"""),-0.621165212209842)</f>
        <v>-0.621165212209842</v>
      </c>
      <c r="AP168" s="3">
        <f ca="1">IFERROR(__xludf.DUMMYFUNCTION("""COMPUTED_VALUE"""),-0.633489113487253)</f>
        <v>-0.63348911348725301</v>
      </c>
      <c r="AQ168" s="3">
        <f ca="1">IFERROR(__xludf.DUMMYFUNCTION("""COMPUTED_VALUE"""),-0.637965877397049)</f>
        <v>-0.63796587739704902</v>
      </c>
      <c r="AR168" s="3">
        <f ca="1">IFERROR(__xludf.DUMMYFUNCTION("""COMPUTED_VALUE"""),-0.629301843325786)</f>
        <v>-0.62930184332578598</v>
      </c>
      <c r="AS168" s="3">
        <f ca="1">IFERROR(__xludf.DUMMYFUNCTION("""COMPUTED_VALUE"""),-0.635082907752414)</f>
        <v>-0.63508290775241405</v>
      </c>
      <c r="AT168" s="3">
        <f ca="1">IFERROR(__xludf.DUMMYFUNCTION("""COMPUTED_VALUE"""),-0.51320559836351)</f>
        <v>-0.51320559836350998</v>
      </c>
      <c r="AU168" s="3">
        <f ca="1">IFERROR(__xludf.DUMMYFUNCTION("""COMPUTED_VALUE"""),-0.588098103864517)</f>
        <v>-0.588098103864517</v>
      </c>
      <c r="AV168" s="3">
        <f ca="1">IFERROR(__xludf.DUMMYFUNCTION("""COMPUTED_VALUE"""),-0.621832186372519)</f>
        <v>-0.62183218637251902</v>
      </c>
      <c r="AW168" s="3">
        <f ca="1">IFERROR(__xludf.DUMMYFUNCTION("""COMPUTED_VALUE"""),-0.616655766264293)</f>
        <v>-0.61665576626429297</v>
      </c>
      <c r="AX168" s="3">
        <f ca="1">IFERROR(__xludf.DUMMYFUNCTION("""COMPUTED_VALUE"""),-0.623466323810646)</f>
        <v>-0.62346632381064604</v>
      </c>
      <c r="AY168" s="3">
        <f ca="1">IFERROR(__xludf.DUMMYFUNCTION("""COMPUTED_VALUE"""),-0.650833997184965)</f>
        <v>-0.65083399718496504</v>
      </c>
      <c r="AZ168" s="3">
        <f ca="1">IFERROR(__xludf.DUMMYFUNCTION("""COMPUTED_VALUE"""),-0.546497033484742)</f>
        <v>-0.54649703348474199</v>
      </c>
      <c r="BA168" s="3">
        <f ca="1">IFERROR(__xludf.DUMMYFUNCTION("""COMPUTED_VALUE"""),-0.501937382118318)</f>
        <v>-0.50193738211831795</v>
      </c>
      <c r="BB168" s="3">
        <f ca="1">IFERROR(__xludf.DUMMYFUNCTION("""COMPUTED_VALUE"""),-0.585375356394293)</f>
        <v>-0.58537535639429294</v>
      </c>
      <c r="BC168" s="3">
        <f ca="1">IFERROR(__xludf.DUMMYFUNCTION("""COMPUTED_VALUE"""),-0.635306218848946)</f>
        <v>-0.635306218848946</v>
      </c>
      <c r="BD168" s="3">
        <f ca="1">IFERROR(__xludf.DUMMYFUNCTION("""COMPUTED_VALUE"""),-0.670159377260108)</f>
        <v>-0.67015937726010799</v>
      </c>
      <c r="BE168" s="3">
        <f ca="1">IFERROR(__xludf.DUMMYFUNCTION("""COMPUTED_VALUE"""),-0.640775150365733)</f>
        <v>-0.64077515036573296</v>
      </c>
      <c r="BF168" s="3">
        <f ca="1">IFERROR(__xludf.DUMMYFUNCTION("""COMPUTED_VALUE"""),-0.660373326513729)</f>
        <v>-0.66037332651372904</v>
      </c>
      <c r="BG168" s="3">
        <f ca="1">IFERROR(__xludf.DUMMYFUNCTION("""COMPUTED_VALUE"""),-0.753637780366665)</f>
        <v>-0.75363778036666496</v>
      </c>
      <c r="BH168" s="3">
        <f ca="1">IFERROR(__xludf.DUMMYFUNCTION("""COMPUTED_VALUE"""),-0.554601015084918)</f>
        <v>-0.55460101508491799</v>
      </c>
      <c r="BI168" s="3">
        <f ca="1">IFERROR(__xludf.DUMMYFUNCTION("""COMPUTED_VALUE"""),-0.628711023516071)</f>
        <v>-0.628711023516071</v>
      </c>
      <c r="BJ168" s="3">
        <f ca="1">IFERROR(__xludf.DUMMYFUNCTION("""COMPUTED_VALUE"""),-0.676820545223789)</f>
        <v>-0.67682054522378898</v>
      </c>
      <c r="BK168" s="3">
        <f ca="1">IFERROR(__xludf.DUMMYFUNCTION("""COMPUTED_VALUE"""),-0.687681097632807)</f>
        <v>-0.68768109763280705</v>
      </c>
      <c r="BL168" s="3">
        <f ca="1">IFERROR(__xludf.DUMMYFUNCTION("""COMPUTED_VALUE"""),-0.669103083989784)</f>
        <v>-0.66910308398978402</v>
      </c>
      <c r="BM168" s="3">
        <f ca="1">IFERROR(__xludf.DUMMYFUNCTION("""COMPUTED_VALUE"""),-0.696436788030834)</f>
        <v>-0.69643678803083398</v>
      </c>
      <c r="BN168" s="3">
        <f ca="1">IFERROR(__xludf.DUMMYFUNCTION("""COMPUTED_VALUE"""),-0.688832039437016)</f>
        <v>-0.68883203943701599</v>
      </c>
      <c r="BO168" s="3">
        <f ca="1">IFERROR(__xludf.DUMMYFUNCTION("""COMPUTED_VALUE"""),-0.674136503929686)</f>
        <v>-0.67413650392968605</v>
      </c>
      <c r="BP168" s="3">
        <f ca="1">IFERROR(__xludf.DUMMYFUNCTION("""COMPUTED_VALUE"""),-0.685530076543142)</f>
        <v>-0.68553007654314202</v>
      </c>
      <c r="BQ168" s="3">
        <f ca="1">IFERROR(__xludf.DUMMYFUNCTION("""COMPUTED_VALUE"""),-0.703859083530562)</f>
        <v>-0.70385908353056204</v>
      </c>
      <c r="BR168" s="3">
        <f ca="1">IFERROR(__xludf.DUMMYFUNCTION("""COMPUTED_VALUE"""),-0.693367015634408)</f>
        <v>-0.69336701563440795</v>
      </c>
      <c r="BS168" s="3">
        <f ca="1">IFERROR(__xludf.DUMMYFUNCTION("""COMPUTED_VALUE"""),-0.685223652273366)</f>
        <v>-0.68522365227336601</v>
      </c>
      <c r="BT168" s="3">
        <f ca="1">IFERROR(__xludf.DUMMYFUNCTION("""COMPUTED_VALUE"""),-0.698306790665761)</f>
        <v>-0.69830679066576096</v>
      </c>
      <c r="BU168" s="3">
        <f ca="1">IFERROR(__xludf.DUMMYFUNCTION("""COMPUTED_VALUE"""),-0.695898401473179)</f>
        <v>-0.69589840147317905</v>
      </c>
      <c r="BV168" s="3">
        <f ca="1">IFERROR(__xludf.DUMMYFUNCTION("""COMPUTED_VALUE"""),-0.595044635689811)</f>
        <v>-0.59504463568981103</v>
      </c>
      <c r="BW168" s="3">
        <f ca="1">IFERROR(__xludf.DUMMYFUNCTION("""COMPUTED_VALUE"""),-0.630514399402629)</f>
        <v>-0.63051439940262899</v>
      </c>
      <c r="BX168" s="3">
        <f ca="1">IFERROR(__xludf.DUMMYFUNCTION("""COMPUTED_VALUE"""),-0.700144983114287)</f>
        <v>-0.70014498311428697</v>
      </c>
      <c r="BY168" s="3">
        <f ca="1">IFERROR(__xludf.DUMMYFUNCTION("""COMPUTED_VALUE"""),-0.722601916958415)</f>
        <v>-0.72260191695841502</v>
      </c>
      <c r="BZ168" s="3">
        <f ca="1">IFERROR(__xludf.DUMMYFUNCTION("""COMPUTED_VALUE"""),-0.737007600990099)</f>
        <v>-0.73700760099009899</v>
      </c>
      <c r="CA168" s="3">
        <f ca="1">IFERROR(__xludf.DUMMYFUNCTION("""COMPUTED_VALUE"""),-0.748643992784765)</f>
        <v>-0.74864399278476501</v>
      </c>
      <c r="CB168" s="3">
        <f ca="1">IFERROR(__xludf.DUMMYFUNCTION("""COMPUTED_VALUE"""),-0.732913187208064)</f>
        <v>-0.73291318720806398</v>
      </c>
      <c r="CC168" s="3">
        <f ca="1">IFERROR(__xludf.DUMMYFUNCTION("""COMPUTED_VALUE"""),-0.628137017130711)</f>
        <v>-0.62813701713071102</v>
      </c>
      <c r="CD168" s="3">
        <f ca="1">IFERROR(__xludf.DUMMYFUNCTION("""COMPUTED_VALUE"""),-0.645132136127398)</f>
        <v>-0.64513213612739795</v>
      </c>
      <c r="CE168" s="3">
        <f ca="1">IFERROR(__xludf.DUMMYFUNCTION("""COMPUTED_VALUE"""),-0.74425140521939)</f>
        <v>-0.74425140521939004</v>
      </c>
      <c r="CF168" s="3">
        <f ca="1">IFERROR(__xludf.DUMMYFUNCTION("""COMPUTED_VALUE"""),-0.744574575579624)</f>
        <v>-0.74457457557962403</v>
      </c>
      <c r="CG168" s="3">
        <f ca="1">IFERROR(__xludf.DUMMYFUNCTION("""COMPUTED_VALUE"""),-0.742884739995846)</f>
        <v>-0.74288473999584603</v>
      </c>
      <c r="CH168" s="3">
        <f ca="1">IFERROR(__xludf.DUMMYFUNCTION("""COMPUTED_VALUE"""),-0.767712399189031)</f>
        <v>-0.767712399189031</v>
      </c>
      <c r="CI168" s="3">
        <f ca="1">IFERROR(__xludf.DUMMYFUNCTION("""COMPUTED_VALUE"""),-0.745990524453932)</f>
        <v>-0.74599052445393199</v>
      </c>
      <c r="CJ168" s="3">
        <f ca="1">IFERROR(__xludf.DUMMYFUNCTION("""COMPUTED_VALUE"""),-0.667988174746291)</f>
        <v>-0.66798817474629102</v>
      </c>
      <c r="CK168" s="3">
        <f ca="1">IFERROR(__xludf.DUMMYFUNCTION("""COMPUTED_VALUE"""),-0.701549210120968)</f>
        <v>-0.70154921012096805</v>
      </c>
      <c r="CL168" s="3">
        <f ca="1">IFERROR(__xludf.DUMMYFUNCTION("""COMPUTED_VALUE"""),-0.785332995601811)</f>
        <v>-0.78533299560181102</v>
      </c>
      <c r="CM168" s="3">
        <f ca="1">IFERROR(__xludf.DUMMYFUNCTION("""COMPUTED_VALUE"""),-0.79330368729302)</f>
        <v>-0.79330368729302003</v>
      </c>
      <c r="CN168" s="3">
        <f ca="1">IFERROR(__xludf.DUMMYFUNCTION("""COMPUTED_VALUE"""),-0.796389162365925)</f>
        <v>-0.79638916236592505</v>
      </c>
      <c r="CO168" s="3">
        <f ca="1">IFERROR(__xludf.DUMMYFUNCTION("""COMPUTED_VALUE"""),-0.786448129137123)</f>
        <v>-0.78644812913712303</v>
      </c>
      <c r="CP168" s="3">
        <f ca="1">IFERROR(__xludf.DUMMYFUNCTION("""COMPUTED_VALUE"""),-0.78997850215373)</f>
        <v>-0.78997850215373</v>
      </c>
      <c r="CQ168" s="3">
        <f ca="1">IFERROR(__xludf.DUMMYFUNCTION("""COMPUTED_VALUE"""),-0.654736893854849)</f>
        <v>-0.65473689385484901</v>
      </c>
      <c r="CR168" s="3">
        <f ca="1">IFERROR(__xludf.DUMMYFUNCTION("""COMPUTED_VALUE"""),-0.67436862817836)</f>
        <v>-0.67436862817835996</v>
      </c>
      <c r="CS168" s="3">
        <f ca="1">IFERROR(__xludf.DUMMYFUNCTION("""COMPUTED_VALUE"""),-0.753243788830918)</f>
        <v>-0.75324378883091803</v>
      </c>
      <c r="CT168" s="3">
        <f ca="1">IFERROR(__xludf.DUMMYFUNCTION("""COMPUTED_VALUE"""),-0.75810543249204)</f>
        <v>-0.75810543249203999</v>
      </c>
      <c r="CU168" s="3">
        <f ca="1">IFERROR(__xludf.DUMMYFUNCTION("""COMPUTED_VALUE"""),-0.717810641536886)</f>
        <v>-0.71781064153688601</v>
      </c>
      <c r="CV168" s="3">
        <f ca="1">IFERROR(__xludf.DUMMYFUNCTION("""COMPUTED_VALUE"""),-0.746109566627133)</f>
        <v>-0.74610956662713301</v>
      </c>
      <c r="CW168" s="3">
        <f ca="1">IFERROR(__xludf.DUMMYFUNCTION("""COMPUTED_VALUE"""),-0.739721469324167)</f>
        <v>-0.73972146932416705</v>
      </c>
      <c r="CX168" s="3">
        <f ca="1">IFERROR(__xludf.DUMMYFUNCTION("""COMPUTED_VALUE"""),-0.650522287588479)</f>
        <v>-0.65052228758847896</v>
      </c>
      <c r="CY168" s="3">
        <f ca="1">IFERROR(__xludf.DUMMYFUNCTION("""COMPUTED_VALUE"""),-0.699452272048088)</f>
        <v>-0.69945227204808802</v>
      </c>
      <c r="CZ168" s="3">
        <f ca="1">IFERROR(__xludf.DUMMYFUNCTION("""COMPUTED_VALUE"""),-0.847945178997861)</f>
        <v>-0.84794517899786104</v>
      </c>
      <c r="DA168" s="3">
        <f ca="1">IFERROR(__xludf.DUMMYFUNCTION("""COMPUTED_VALUE"""),-0.754534503823418)</f>
        <v>-0.75453450382341802</v>
      </c>
      <c r="DB168" s="3">
        <f ca="1">IFERROR(__xludf.DUMMYFUNCTION("""COMPUTED_VALUE"""),-0.62229466999217)</f>
        <v>-0.62229466999216998</v>
      </c>
      <c r="DC168" s="3">
        <f ca="1">IFERROR(__xludf.DUMMYFUNCTION("""COMPUTED_VALUE"""),-0.714270472261934)</f>
        <v>-0.71427047226193396</v>
      </c>
      <c r="DD168" s="3">
        <f ca="1">IFERROR(__xludf.DUMMYFUNCTION("""COMPUTED_VALUE"""),-0.782957864880623)</f>
        <v>-0.78295786488062302</v>
      </c>
      <c r="DE168" s="3">
        <f ca="1">IFERROR(__xludf.DUMMYFUNCTION("""COMPUTED_VALUE"""),-0.688542498062246)</f>
        <v>-0.68854249806224599</v>
      </c>
      <c r="DF168" s="3">
        <f ca="1">IFERROR(__xludf.DUMMYFUNCTION("""COMPUTED_VALUE"""),-0.719607060548795)</f>
        <v>-0.71960706054879497</v>
      </c>
      <c r="DG168" s="3">
        <f ca="1">IFERROR(__xludf.DUMMYFUNCTION("""COMPUTED_VALUE"""),-0.869768423692718)</f>
        <v>-0.86976842369271801</v>
      </c>
      <c r="DH168" s="3">
        <f ca="1">IFERROR(__xludf.DUMMYFUNCTION("""COMPUTED_VALUE"""),-0.750391680754724)</f>
        <v>-0.75039168075472396</v>
      </c>
      <c r="DI168" s="3">
        <f ca="1">IFERROR(__xludf.DUMMYFUNCTION("""COMPUTED_VALUE"""),-0.572534212356895)</f>
        <v>-0.57253421235689494</v>
      </c>
      <c r="DJ168" s="3">
        <f ca="1">IFERROR(__xludf.DUMMYFUNCTION("""COMPUTED_VALUE"""),-0.666993058148275)</f>
        <v>-0.66699305814827503</v>
      </c>
      <c r="DK168" s="3">
        <f ca="1">IFERROR(__xludf.DUMMYFUNCTION("""COMPUTED_VALUE"""),-0.682114558018445)</f>
        <v>-0.68211455801844501</v>
      </c>
      <c r="DL168" s="3">
        <f ca="1">IFERROR(__xludf.DUMMYFUNCTION("""COMPUTED_VALUE"""),-0.658892859665658)</f>
        <v>-0.65889285966565803</v>
      </c>
      <c r="DM168" s="3">
        <f ca="1">IFERROR(__xludf.DUMMYFUNCTION("""COMPUTED_VALUE"""),-0.705699374646885)</f>
        <v>-0.70569937464688504</v>
      </c>
      <c r="DN168" s="3">
        <f ca="1">IFERROR(__xludf.DUMMYFUNCTION("""COMPUTED_VALUE"""),-0.699267028835628)</f>
        <v>-0.69926702883562797</v>
      </c>
      <c r="DO168" s="3">
        <f ca="1">IFERROR(__xludf.DUMMYFUNCTION("""COMPUTED_VALUE"""),-0.655981936644132)</f>
        <v>-0.65598193664413196</v>
      </c>
      <c r="DP168" s="3">
        <f ca="1">IFERROR(__xludf.DUMMYFUNCTION("""COMPUTED_VALUE"""),-0.59695788703368)</f>
        <v>-0.59695788703368002</v>
      </c>
      <c r="DQ168" s="3">
        <f ca="1">IFERROR(__xludf.DUMMYFUNCTION("""COMPUTED_VALUE"""),-0.654221644271961)</f>
        <v>-0.65422164427196094</v>
      </c>
      <c r="DR168" s="3">
        <f ca="1">IFERROR(__xludf.DUMMYFUNCTION("""COMPUTED_VALUE"""),-0.672554043457771)</f>
        <v>-0.67255404345777103</v>
      </c>
      <c r="DS168" s="3">
        <f ca="1">IFERROR(__xludf.DUMMYFUNCTION("""COMPUTED_VALUE"""),-0.669569661087735)</f>
        <v>-0.66956966108773497</v>
      </c>
      <c r="DT168" s="3">
        <f ca="1">IFERROR(__xludf.DUMMYFUNCTION("""COMPUTED_VALUE"""),-0.718378281091655)</f>
        <v>-0.71837828109165502</v>
      </c>
      <c r="DU168" s="3">
        <f ca="1">IFERROR(__xludf.DUMMYFUNCTION("""COMPUTED_VALUE"""),-0.757139900705357)</f>
        <v>-0.75713990070535697</v>
      </c>
      <c r="DV168" s="3">
        <f ca="1">IFERROR(__xludf.DUMMYFUNCTION("""COMPUTED_VALUE"""),-0.731085634989674)</f>
        <v>-0.73108563498967405</v>
      </c>
      <c r="DW168" s="3">
        <f ca="1">IFERROR(__xludf.DUMMYFUNCTION("""COMPUTED_VALUE"""),-0.734754622959547)</f>
        <v>-0.73475462295954697</v>
      </c>
      <c r="DX168" s="3">
        <f ca="1">IFERROR(__xludf.DUMMYFUNCTION("""COMPUTED_VALUE"""),-0.723272696999614)</f>
        <v>-0.72327269699961405</v>
      </c>
      <c r="DY168" s="3">
        <f ca="1">IFERROR(__xludf.DUMMYFUNCTION("""COMPUTED_VALUE"""),-0.748443853383304)</f>
        <v>-0.74844385338330399</v>
      </c>
      <c r="DZ168" s="3">
        <f ca="1">IFERROR(__xludf.DUMMYFUNCTION("""COMPUTED_VALUE"""),-0.691583001041634)</f>
        <v>-0.69158300104163395</v>
      </c>
      <c r="EA168" s="3">
        <f ca="1">IFERROR(__xludf.DUMMYFUNCTION("""COMPUTED_VALUE"""),-0.73353624427819)</f>
        <v>-0.73353624427818997</v>
      </c>
      <c r="EB168" s="3">
        <f ca="1">IFERROR(__xludf.DUMMYFUNCTION("""COMPUTED_VALUE"""),-0.756040953837097)</f>
        <v>-0.75604095383709702</v>
      </c>
      <c r="EC168" s="3">
        <f ca="1">IFERROR(__xludf.DUMMYFUNCTION("""COMPUTED_VALUE"""),-0.746015664514156)</f>
        <v>-0.74601566451415602</v>
      </c>
      <c r="ED168" s="3">
        <f ca="1">IFERROR(__xludf.DUMMYFUNCTION("""COMPUTED_VALUE"""),-0.735891684160942)</f>
        <v>-0.73589168416094197</v>
      </c>
      <c r="EE168" s="3">
        <f ca="1">IFERROR(__xludf.DUMMYFUNCTION("""COMPUTED_VALUE"""),-0.726288498849418)</f>
        <v>-0.72628849884941804</v>
      </c>
      <c r="EF168" s="3">
        <f ca="1">IFERROR(__xludf.DUMMYFUNCTION("""COMPUTED_VALUE"""),-0.750846027688929)</f>
        <v>-0.75084602768892905</v>
      </c>
      <c r="EG168" s="3">
        <f ca="1">IFERROR(__xludf.DUMMYFUNCTION("""COMPUTED_VALUE"""),-0.71328866757009)</f>
        <v>-0.71328866757009002</v>
      </c>
      <c r="EH168" s="3">
        <f ca="1">IFERROR(__xludf.DUMMYFUNCTION("""COMPUTED_VALUE"""),-0.742031278536081)</f>
        <v>-0.74203127853608097</v>
      </c>
      <c r="EI168" s="3">
        <f ca="1">IFERROR(__xludf.DUMMYFUNCTION("""COMPUTED_VALUE"""),-0.743682167738056)</f>
        <v>-0.74368216773805595</v>
      </c>
      <c r="EJ168" s="3">
        <f ca="1">IFERROR(__xludf.DUMMYFUNCTION("""COMPUTED_VALUE"""),-0.744361990120838)</f>
        <v>-0.74436199012083804</v>
      </c>
      <c r="EK168" s="3">
        <f ca="1">IFERROR(__xludf.DUMMYFUNCTION("""COMPUTED_VALUE"""),-0.735250326323842)</f>
        <v>-0.73525032632384202</v>
      </c>
      <c r="EL168" s="3">
        <f ca="1">IFERROR(__xludf.DUMMYFUNCTION("""COMPUTED_VALUE"""),-0.761307841004549)</f>
        <v>-0.76130784100454896</v>
      </c>
      <c r="EM168" s="3">
        <f ca="1">IFERROR(__xludf.DUMMYFUNCTION("""COMPUTED_VALUE"""),-0.756593257566109)</f>
        <v>-0.75659325756610896</v>
      </c>
      <c r="EN168" s="3">
        <f ca="1">IFERROR(__xludf.DUMMYFUNCTION("""COMPUTED_VALUE"""),-0.713483034970346)</f>
        <v>-0.71348303497034604</v>
      </c>
      <c r="EO168" s="3">
        <f ca="1">IFERROR(__xludf.DUMMYFUNCTION("""COMPUTED_VALUE"""),-0.750977682344008)</f>
        <v>-0.75097768234400797</v>
      </c>
      <c r="EP168" s="3">
        <f ca="1">IFERROR(__xludf.DUMMYFUNCTION("""COMPUTED_VALUE"""),-0.759414416692787)</f>
        <v>-0.75941441669278698</v>
      </c>
      <c r="EQ168" s="3">
        <f ca="1">IFERROR(__xludf.DUMMYFUNCTION("""COMPUTED_VALUE"""),-0.738159256618838)</f>
        <v>-0.73815925661883797</v>
      </c>
      <c r="ER168" s="3">
        <f ca="1">IFERROR(__xludf.DUMMYFUNCTION("""COMPUTED_VALUE"""),-0.737000449172573)</f>
        <v>-0.73700044917257301</v>
      </c>
      <c r="ES168" s="3">
        <f ca="1">IFERROR(__xludf.DUMMYFUNCTION("""COMPUTED_VALUE"""),-0.726991392697881)</f>
        <v>-0.72699139269788104</v>
      </c>
      <c r="ET168" s="3">
        <f ca="1">IFERROR(__xludf.DUMMYFUNCTION("""COMPUTED_VALUE"""),-0.66882122958275)</f>
        <v>-0.66882122958275003</v>
      </c>
      <c r="EU168" s="3">
        <f ca="1">IFERROR(__xludf.DUMMYFUNCTION("""COMPUTED_VALUE"""),-0.684104570551173)</f>
        <v>-0.68410457055117302</v>
      </c>
      <c r="EV168" s="3">
        <f ca="1">IFERROR(__xludf.DUMMYFUNCTION("""COMPUTED_VALUE"""),-0.718919734844358)</f>
        <v>-0.718919734844358</v>
      </c>
      <c r="EW168" s="3">
        <f ca="1">IFERROR(__xludf.DUMMYFUNCTION("""COMPUTED_VALUE"""),-0.711856875018348)</f>
        <v>-0.71185687501834805</v>
      </c>
      <c r="EX168" s="3">
        <f ca="1">IFERROR(__xludf.DUMMYFUNCTION("""COMPUTED_VALUE"""),-0.718232081334574)</f>
        <v>-0.71823208133457395</v>
      </c>
      <c r="EY168" s="3">
        <f ca="1">IFERROR(__xludf.DUMMYFUNCTION("""COMPUTED_VALUE"""),-0.781081081486315)</f>
        <v>-0.78108108148631505</v>
      </c>
      <c r="EZ168" s="3">
        <f ca="1">IFERROR(__xludf.DUMMYFUNCTION("""COMPUTED_VALUE"""),-0.67065709911882)</f>
        <v>-0.67065709911881999</v>
      </c>
      <c r="FA168" s="3">
        <f ca="1">IFERROR(__xludf.DUMMYFUNCTION("""COMPUTED_VALUE"""),-0.615338789404802)</f>
        <v>-0.61533878940480202</v>
      </c>
      <c r="FB168" s="3">
        <f ca="1">IFERROR(__xludf.DUMMYFUNCTION("""COMPUTED_VALUE"""),-0.572439635642192)</f>
        <v>-0.57243963564219202</v>
      </c>
      <c r="FC168" s="3">
        <f ca="1">IFERROR(__xludf.DUMMYFUNCTION("""COMPUTED_VALUE"""),-0.623388813201992)</f>
        <v>-0.62338881320199202</v>
      </c>
      <c r="FD168" s="3">
        <f ca="1">IFERROR(__xludf.DUMMYFUNCTION("""COMPUTED_VALUE"""),-0.651602996831096)</f>
        <v>-0.65160299683109602</v>
      </c>
      <c r="FE168" s="3">
        <f ca="1">IFERROR(__xludf.DUMMYFUNCTION("""COMPUTED_VALUE"""),-0.664879746021695)</f>
        <v>-0.66487974602169497</v>
      </c>
      <c r="FF168" s="3">
        <f ca="1">IFERROR(__xludf.DUMMYFUNCTION("""COMPUTED_VALUE"""),-0.655813511426512)</f>
        <v>-0.65581351142651201</v>
      </c>
      <c r="FG168" s="3">
        <f ca="1">IFERROR(__xludf.DUMMYFUNCTION("""COMPUTED_VALUE"""),-0.668937396690314)</f>
        <v>-0.66893739669031405</v>
      </c>
      <c r="FH168" s="3">
        <f ca="1">IFERROR(__xludf.DUMMYFUNCTION("""COMPUTED_VALUE"""),-0.605307860411814)</f>
        <v>-0.60530786041181395</v>
      </c>
      <c r="FI168" s="3">
        <f ca="1">IFERROR(__xludf.DUMMYFUNCTION("""COMPUTED_VALUE"""),-0.54908267913574)</f>
        <v>-0.54908267913574005</v>
      </c>
      <c r="FJ168" s="3">
        <f ca="1">IFERROR(__xludf.DUMMYFUNCTION("""COMPUTED_VALUE"""),-0.60447452182583)</f>
        <v>-0.60447452182582995</v>
      </c>
      <c r="FK168" s="3">
        <f ca="1">IFERROR(__xludf.DUMMYFUNCTION("""COMPUTED_VALUE"""),-0.635666211052248)</f>
        <v>-0.63566621105224796</v>
      </c>
      <c r="FL168" s="3">
        <f ca="1">IFERROR(__xludf.DUMMYFUNCTION("""COMPUTED_VALUE"""),-0.628402011315964)</f>
        <v>-0.62840201131596396</v>
      </c>
      <c r="FM168" s="3">
        <f ca="1">IFERROR(__xludf.DUMMYFUNCTION("""COMPUTED_VALUE"""),-0.606085063520568)</f>
        <v>-0.60608506352056801</v>
      </c>
      <c r="FN168" s="3">
        <f ca="1">IFERROR(__xludf.DUMMYFUNCTION("""COMPUTED_VALUE"""),-0.642963489510144)</f>
        <v>-0.64296348951014404</v>
      </c>
      <c r="FO168" s="3">
        <f ca="1">IFERROR(__xludf.DUMMYFUNCTION("""COMPUTED_VALUE"""),-0.654217036710785)</f>
        <v>-0.65421703671078502</v>
      </c>
      <c r="FP168" s="3">
        <f ca="1">IFERROR(__xludf.DUMMYFUNCTION("""COMPUTED_VALUE"""),-0.538480419012545)</f>
        <v>-0.53848041901254495</v>
      </c>
      <c r="FQ168" s="3">
        <f ca="1">IFERROR(__xludf.DUMMYFUNCTION("""COMPUTED_VALUE"""),-0.566656090231722)</f>
        <v>-0.56665609023172203</v>
      </c>
      <c r="FR168" s="3">
        <f ca="1">IFERROR(__xludf.DUMMYFUNCTION("""COMPUTED_VALUE"""),-0.657079894964291)</f>
        <v>-0.65707989496429098</v>
      </c>
      <c r="FS168" s="3">
        <f ca="1">IFERROR(__xludf.DUMMYFUNCTION("""COMPUTED_VALUE"""),-0.638296991132938)</f>
        <v>-0.63829699113293803</v>
      </c>
      <c r="FT168" s="3">
        <f ca="1">IFERROR(__xludf.DUMMYFUNCTION("""COMPUTED_VALUE"""),-0.62261993872308)</f>
        <v>-0.62261993872307997</v>
      </c>
      <c r="FU168" s="3">
        <f ca="1">IFERROR(__xludf.DUMMYFUNCTION("""COMPUTED_VALUE"""),-0.645411368952637)</f>
        <v>-0.64541136895263695</v>
      </c>
      <c r="FV168" s="3">
        <f ca="1">IFERROR(__xludf.DUMMYFUNCTION("""COMPUTED_VALUE"""),-0.537373584775656)</f>
        <v>-0.537373584775656</v>
      </c>
      <c r="FW168" s="3">
        <f ca="1">IFERROR(__xludf.DUMMYFUNCTION("""COMPUTED_VALUE"""),-0.537006348923575)</f>
        <v>-0.53700634892357502</v>
      </c>
      <c r="FX168" s="3">
        <f ca="1">IFERROR(__xludf.DUMMYFUNCTION("""COMPUTED_VALUE"""),-0.545346142907797)</f>
        <v>-0.54534614290779704</v>
      </c>
      <c r="FY168" s="3">
        <f ca="1">IFERROR(__xludf.DUMMYFUNCTION("""COMPUTED_VALUE"""),-0.646736789244591)</f>
        <v>-0.64673678924459099</v>
      </c>
      <c r="FZ168" s="3">
        <f ca="1">IFERROR(__xludf.DUMMYFUNCTION("""COMPUTED_VALUE"""),-0.640888015689288)</f>
        <v>-0.64088801568928799</v>
      </c>
      <c r="GA168" s="3">
        <f ca="1">IFERROR(__xludf.DUMMYFUNCTION("""COMPUTED_VALUE"""),-0.662753134586812)</f>
        <v>-0.66275313458681195</v>
      </c>
      <c r="GB168" s="3">
        <f ca="1">IFERROR(__xludf.DUMMYFUNCTION("""COMPUTED_VALUE"""),-0.643014319957699)</f>
        <v>-0.64301431995769898</v>
      </c>
      <c r="GC168" s="3">
        <f ca="1">IFERROR(__xludf.DUMMYFUNCTION("""COMPUTED_VALUE"""),-0.75485132257328)</f>
        <v>-0.75485132257328003</v>
      </c>
      <c r="GD168" s="3">
        <f ca="1">IFERROR(__xludf.DUMMYFUNCTION("""COMPUTED_VALUE"""),-0.540636925192403)</f>
        <v>-0.54063692519240303</v>
      </c>
      <c r="GE168" s="3">
        <f ca="1">IFERROR(__xludf.DUMMYFUNCTION("""COMPUTED_VALUE"""),-0.55469682199685)</f>
        <v>-0.55469682199685</v>
      </c>
      <c r="GF168" s="3">
        <f ca="1">IFERROR(__xludf.DUMMYFUNCTION("""COMPUTED_VALUE"""),-0.644788383828335)</f>
        <v>-0.64478838382833503</v>
      </c>
      <c r="GG168" s="3">
        <f ca="1">IFERROR(__xludf.DUMMYFUNCTION("""COMPUTED_VALUE"""),-0.63599491879954)</f>
        <v>-0.63599491879953995</v>
      </c>
      <c r="GH168" s="3">
        <f ca="1">IFERROR(__xludf.DUMMYFUNCTION("""COMPUTED_VALUE"""),-0.632677644415509)</f>
        <v>-0.632677644415509</v>
      </c>
      <c r="GI168" s="3">
        <f ca="1">IFERROR(__xludf.DUMMYFUNCTION("""COMPUTED_VALUE"""),-0.62787761570608)</f>
        <v>-0.62787761570608003</v>
      </c>
      <c r="GJ168" s="3">
        <f ca="1">IFERROR(__xludf.DUMMYFUNCTION("""COMPUTED_VALUE"""),-0.515055211011518)</f>
        <v>-0.51505521101151797</v>
      </c>
      <c r="GK168" s="3">
        <f ca="1">IFERROR(__xludf.DUMMYFUNCTION("""COMPUTED_VALUE"""),-0.487754856595854)</f>
        <v>-0.48775485659585399</v>
      </c>
      <c r="GL168" s="3">
        <f ca="1">IFERROR(__xludf.DUMMYFUNCTION("""COMPUTED_VALUE"""),-0.541147741405727)</f>
        <v>-0.54114774140572697</v>
      </c>
      <c r="GM168" s="3">
        <f ca="1">IFERROR(__xludf.DUMMYFUNCTION("""COMPUTED_VALUE"""),-0.638736252596389)</f>
        <v>-0.638736252596389</v>
      </c>
      <c r="GN168" s="3">
        <f ca="1">IFERROR(__xludf.DUMMYFUNCTION("""COMPUTED_VALUE"""),-0.645793926800426)</f>
        <v>-0.64579392680042602</v>
      </c>
      <c r="GO168" s="3">
        <f ca="1">IFERROR(__xludf.DUMMYFUNCTION("""COMPUTED_VALUE"""),-0.619885786913085)</f>
        <v>-0.61988578691308505</v>
      </c>
      <c r="GP168" s="3">
        <f ca="1">IFERROR(__xludf.DUMMYFUNCTION("""COMPUTED_VALUE"""),-0.63366722541466)</f>
        <v>-0.63366722541466003</v>
      </c>
      <c r="GQ168" s="3">
        <f ca="1">IFERROR(__xludf.DUMMYFUNCTION("""COMPUTED_VALUE"""),-0.598602380976929)</f>
        <v>-0.59860238097692897</v>
      </c>
      <c r="GR168" s="3">
        <f ca="1">IFERROR(__xludf.DUMMYFUNCTION("""COMPUTED_VALUE"""),-0.496697103993656)</f>
        <v>-0.49669710399365602</v>
      </c>
      <c r="GS168" s="3">
        <f ca="1">IFERROR(__xludf.DUMMYFUNCTION("""COMPUTED_VALUE"""),-0.50187568089858)</f>
        <v>-0.50187568089858003</v>
      </c>
      <c r="GT168" s="3">
        <f ca="1">IFERROR(__xludf.DUMMYFUNCTION("""COMPUTED_VALUE"""),-0.592926822514462)</f>
        <v>-0.59292682251446205</v>
      </c>
      <c r="GU168" s="3">
        <f ca="1">IFERROR(__xludf.DUMMYFUNCTION("""COMPUTED_VALUE"""),-0.631579124445747)</f>
        <v>-0.63157912444574704</v>
      </c>
      <c r="GV168" s="3">
        <f ca="1">IFERROR(__xludf.DUMMYFUNCTION("""COMPUTED_VALUE"""),-0.61135579825798)</f>
        <v>-0.61135579825798003</v>
      </c>
      <c r="GW168" s="3">
        <f ca="1">IFERROR(__xludf.DUMMYFUNCTION("""COMPUTED_VALUE"""),-0.607962591210975)</f>
        <v>-0.60796259121097496</v>
      </c>
      <c r="GX168" s="3">
        <f ca="1">IFERROR(__xludf.DUMMYFUNCTION("""COMPUTED_VALUE"""),-0.590244799111671)</f>
        <v>-0.59024479911167105</v>
      </c>
      <c r="GY168" s="3">
        <f ca="1">IFERROR(__xludf.DUMMYFUNCTION("""COMPUTED_VALUE"""),-0.460039520466023)</f>
        <v>-0.46003952046602298</v>
      </c>
      <c r="GZ168" s="3">
        <f ca="1">IFERROR(__xludf.DUMMYFUNCTION("""COMPUTED_VALUE"""),-0.485070563843733)</f>
        <v>-0.48507056384373298</v>
      </c>
      <c r="HA168" s="3">
        <f ca="1">IFERROR(__xludf.DUMMYFUNCTION("""COMPUTED_VALUE"""),-0.59017561034378)</f>
        <v>-0.59017561034377997</v>
      </c>
      <c r="HB168" s="3">
        <f ca="1">IFERROR(__xludf.DUMMYFUNCTION("""COMPUTED_VALUE"""),-0.617428603570996)</f>
        <v>-0.61742860357099605</v>
      </c>
      <c r="HC168" s="3">
        <f ca="1">IFERROR(__xludf.DUMMYFUNCTION("""COMPUTED_VALUE"""),-0.598655621428524)</f>
        <v>-0.59865562142852402</v>
      </c>
      <c r="HD168" s="3">
        <f ca="1">IFERROR(__xludf.DUMMYFUNCTION("""COMPUTED_VALUE"""),-0.594877422707951)</f>
        <v>-0.59487742270795096</v>
      </c>
      <c r="HE168" s="3">
        <f ca="1">IFERROR(__xludf.DUMMYFUNCTION("""COMPUTED_VALUE"""),-0.590903571775447)</f>
        <v>-0.59090357177544695</v>
      </c>
      <c r="HF168" s="3">
        <f ca="1">IFERROR(__xludf.DUMMYFUNCTION("""COMPUTED_VALUE"""),-0.447935862167041)</f>
        <v>-0.44793586216704101</v>
      </c>
      <c r="HG168" s="3">
        <f ca="1">IFERROR(__xludf.DUMMYFUNCTION("""COMPUTED_VALUE"""),-0.47875655007472)</f>
        <v>-0.47875655007472001</v>
      </c>
      <c r="HH168" s="3">
        <f ca="1">IFERROR(__xludf.DUMMYFUNCTION("""COMPUTED_VALUE"""),-0.596088291734737)</f>
        <v>-0.59608829173473699</v>
      </c>
      <c r="HI168" s="3">
        <f ca="1">IFERROR(__xludf.DUMMYFUNCTION("""COMPUTED_VALUE"""),-0.601190605727669)</f>
        <v>-0.60119060572766903</v>
      </c>
      <c r="HJ168" s="3">
        <f ca="1">IFERROR(__xludf.DUMMYFUNCTION("""COMPUTED_VALUE"""),-0.604047999945197)</f>
        <v>-0.60404799994519698</v>
      </c>
      <c r="HK168" s="3">
        <f ca="1">IFERROR(__xludf.DUMMYFUNCTION("""COMPUTED_VALUE"""),-0.578578064294567)</f>
        <v>-0.57857806429456704</v>
      </c>
      <c r="HL168" s="3">
        <f ca="1">IFERROR(__xludf.DUMMYFUNCTION("""COMPUTED_VALUE"""),-0.740182600008275)</f>
        <v>-0.74018260000827496</v>
      </c>
      <c r="HM168" s="3">
        <f ca="1">IFERROR(__xludf.DUMMYFUNCTION("""COMPUTED_VALUE"""),-0.439237044977369)</f>
        <v>-0.43923704497736898</v>
      </c>
      <c r="HN168" s="3">
        <f ca="1">IFERROR(__xludf.DUMMYFUNCTION("""COMPUTED_VALUE"""),-0.462421272287219)</f>
        <v>-0.46242127228721902</v>
      </c>
      <c r="HO168" s="3">
        <f ca="1">IFERROR(__xludf.DUMMYFUNCTION("""COMPUTED_VALUE"""),-0.625532676138745)</f>
        <v>-0.62553267613874497</v>
      </c>
      <c r="HP168" s="3">
        <f ca="1">IFERROR(__xludf.DUMMYFUNCTION("""COMPUTED_VALUE"""),-0.641738416205449)</f>
        <v>-0.64173841620544902</v>
      </c>
      <c r="HQ168" s="3">
        <f ca="1">IFERROR(__xludf.DUMMYFUNCTION("""COMPUTED_VALUE"""),-0.679181926973845)</f>
        <v>-0.67918192697384505</v>
      </c>
      <c r="HR168" s="3">
        <f ca="1">IFERROR(__xludf.DUMMYFUNCTION("""COMPUTED_VALUE"""),-0.639271633273804)</f>
        <v>-0.63927163327380399</v>
      </c>
      <c r="HS168" s="3">
        <f ca="1">IFERROR(__xludf.DUMMYFUNCTION("""COMPUTED_VALUE"""),-0.516687662209992)</f>
        <v>-0.51668766220999196</v>
      </c>
      <c r="HT168" s="3">
        <f ca="1">IFERROR(__xludf.DUMMYFUNCTION("""COMPUTED_VALUE"""),-0.502856122701111)</f>
        <v>-0.50285612270111102</v>
      </c>
      <c r="HU168" s="3">
        <f ca="1">IFERROR(__xludf.DUMMYFUNCTION("""COMPUTED_VALUE"""),-0.423377057937703)</f>
        <v>-0.42337705793770303</v>
      </c>
      <c r="HV168" s="3">
        <f ca="1">IFERROR(__xludf.DUMMYFUNCTION("""COMPUTED_VALUE"""),-0.58403251605162)</f>
        <v>-0.58403251605161999</v>
      </c>
      <c r="HW168" s="3">
        <f ca="1">IFERROR(__xludf.DUMMYFUNCTION("""COMPUTED_VALUE"""),-0.567871441752831)</f>
        <v>-0.567871441752831</v>
      </c>
      <c r="HX168" s="3">
        <f ca="1">IFERROR(__xludf.DUMMYFUNCTION("""COMPUTED_VALUE"""),-0.602762727212152)</f>
        <v>-0.60276272721215196</v>
      </c>
      <c r="HY168" s="3">
        <f ca="1">IFERROR(__xludf.DUMMYFUNCTION("""COMPUTED_VALUE"""),-0.578426757735635)</f>
        <v>-0.57842675773563501</v>
      </c>
      <c r="HZ168" s="3">
        <f ca="1">IFERROR(__xludf.DUMMYFUNCTION("""COMPUTED_VALUE"""),-0.326165902928337)</f>
        <v>-0.32616590292833703</v>
      </c>
      <c r="IA168" s="3">
        <f ca="1">IFERROR(__xludf.DUMMYFUNCTION("""COMPUTED_VALUE"""),-0.37298481637162)</f>
        <v>-0.37298481637162001</v>
      </c>
      <c r="IB168" s="3">
        <f ca="1">IFERROR(__xludf.DUMMYFUNCTION("""COMPUTED_VALUE"""),-0.394715427368725)</f>
        <v>-0.394715427368725</v>
      </c>
      <c r="IC168" s="3">
        <f ca="1">IFERROR(__xludf.DUMMYFUNCTION("""COMPUTED_VALUE"""),-0.456274285565362)</f>
        <v>-0.45627428556536198</v>
      </c>
      <c r="ID168" s="3">
        <f ca="1">IFERROR(__xludf.DUMMYFUNCTION("""COMPUTED_VALUE"""),-0.448171642284232)</f>
        <v>-0.44817164228423201</v>
      </c>
      <c r="IE168" s="3">
        <f ca="1">IFERROR(__xludf.DUMMYFUNCTION("""COMPUTED_VALUE"""),-0.456784280934697)</f>
        <v>-0.45678428093469697</v>
      </c>
      <c r="IF168" s="3">
        <f ca="1">IFERROR(__xludf.DUMMYFUNCTION("""COMPUTED_VALUE"""),-0.429622123056475)</f>
        <v>-0.42962212305647501</v>
      </c>
      <c r="IG168" s="3">
        <f ca="1">IFERROR(__xludf.DUMMYFUNCTION("""COMPUTED_VALUE"""),-0.39552699145592)</f>
        <v>-0.39552699145592002</v>
      </c>
      <c r="IH168" s="3">
        <f ca="1">IFERROR(__xludf.DUMMYFUNCTION("""COMPUTED_VALUE"""),-0.354809842520866)</f>
        <v>-0.354809842520866</v>
      </c>
      <c r="II168" s="3">
        <f ca="1">IFERROR(__xludf.DUMMYFUNCTION("""COMPUTED_VALUE"""),-0.390527172620749)</f>
        <v>-0.39052717262074899</v>
      </c>
      <c r="IJ168" s="3">
        <f ca="1">IFERROR(__xludf.DUMMYFUNCTION("""COMPUTED_VALUE"""),-0.481125074137978)</f>
        <v>-0.481125074137978</v>
      </c>
      <c r="IK168" s="3">
        <f ca="1">IFERROR(__xludf.DUMMYFUNCTION("""COMPUTED_VALUE"""),-0.469306566453264)</f>
        <v>-0.46930656645326402</v>
      </c>
      <c r="IL168" s="3">
        <f ca="1">IFERROR(__xludf.DUMMYFUNCTION("""COMPUTED_VALUE"""),-0.402904149578483)</f>
        <v>-0.40290414957848297</v>
      </c>
      <c r="IM168" s="3">
        <f ca="1">IFERROR(__xludf.DUMMYFUNCTION("""COMPUTED_VALUE"""),-0.402635026514276)</f>
        <v>-0.40263502651427602</v>
      </c>
      <c r="IN168" s="3">
        <f ca="1">IFERROR(__xludf.DUMMYFUNCTION("""COMPUTED_VALUE"""),-0.315026426559059)</f>
        <v>-0.31502642655905899</v>
      </c>
      <c r="IO168" s="3">
        <f ca="1">IFERROR(__xludf.DUMMYFUNCTION("""COMPUTED_VALUE"""),-0.380862673580163)</f>
        <v>-0.38086267358016301</v>
      </c>
      <c r="IP168" s="3">
        <f ca="1">IFERROR(__xludf.DUMMYFUNCTION("""COMPUTED_VALUE"""),-0.368060991264083)</f>
        <v>-0.36806099126408298</v>
      </c>
      <c r="IQ168" s="3">
        <f ca="1">IFERROR(__xludf.DUMMYFUNCTION("""COMPUTED_VALUE"""),-0.412123843881166)</f>
        <v>-0.41212384388116602</v>
      </c>
      <c r="IR168" s="3">
        <f ca="1">IFERROR(__xludf.DUMMYFUNCTION("""COMPUTED_VALUE"""),-0.388890439121477)</f>
        <v>-0.38889043912147703</v>
      </c>
      <c r="IS168" s="3">
        <f ca="1">IFERROR(__xludf.DUMMYFUNCTION("""COMPUTED_VALUE"""),-0.373080488387859)</f>
        <v>-0.37308048838785901</v>
      </c>
      <c r="IT168" s="3">
        <f ca="1">IFERROR(__xludf.DUMMYFUNCTION("""COMPUTED_VALUE"""),-0.374294699250157)</f>
        <v>-0.37429469925015701</v>
      </c>
      <c r="IU168" s="3">
        <f ca="1">IFERROR(__xludf.DUMMYFUNCTION("""COMPUTED_VALUE"""),-0.512178892122872)</f>
        <v>-0.51217889212287204</v>
      </c>
      <c r="IV168" s="3">
        <f ca="1">IFERROR(__xludf.DUMMYFUNCTION("""COMPUTED_VALUE"""),-0.371205048955047)</f>
        <v>-0.37120504895504702</v>
      </c>
      <c r="IW168" s="3">
        <f ca="1">IFERROR(__xludf.DUMMYFUNCTION("""COMPUTED_VALUE"""),-0.407317517274593)</f>
        <v>-0.40731751727459298</v>
      </c>
      <c r="IX168" s="3">
        <f ca="1">IFERROR(__xludf.DUMMYFUNCTION("""COMPUTED_VALUE"""),-0.43803305858742)</f>
        <v>-0.43803305858741998</v>
      </c>
      <c r="IY168" s="3">
        <f ca="1">IFERROR(__xludf.DUMMYFUNCTION("""COMPUTED_VALUE"""),-0.399112797729508)</f>
        <v>-0.39911279772950797</v>
      </c>
      <c r="IZ168" s="3">
        <f ca="1">IFERROR(__xludf.DUMMYFUNCTION("""COMPUTED_VALUE"""),-0.398970938635014)</f>
        <v>-0.39897093863501398</v>
      </c>
      <c r="JA168" s="3">
        <f ca="1">IFERROR(__xludf.DUMMYFUNCTION("""COMPUTED_VALUE"""),-0.462188836495192)</f>
        <v>-0.46218883649519199</v>
      </c>
      <c r="JB168" s="3">
        <f ca="1">IFERROR(__xludf.DUMMYFUNCTION("""COMPUTED_VALUE"""),-0.368867683736324)</f>
        <v>-0.368867683736324</v>
      </c>
      <c r="JC168" s="3">
        <f ca="1">IFERROR(__xludf.DUMMYFUNCTION("""COMPUTED_VALUE"""),-0.39554846454974)</f>
        <v>-0.39554846454974002</v>
      </c>
      <c r="JD168" s="3">
        <f ca="1">IFERROR(__xludf.DUMMYFUNCTION("""COMPUTED_VALUE"""),-0.419186796412476)</f>
        <v>-0.41918679641247603</v>
      </c>
      <c r="JE168" s="3">
        <f ca="1">IFERROR(__xludf.DUMMYFUNCTION("""COMPUTED_VALUE"""),-0.463419587491388)</f>
        <v>-0.46341958749138801</v>
      </c>
      <c r="JF168" s="3">
        <f ca="1">IFERROR(__xludf.DUMMYFUNCTION("""COMPUTED_VALUE"""),-0.454533197940092)</f>
        <v>-0.454533197940092</v>
      </c>
      <c r="JG168" s="3">
        <f ca="1">IFERROR(__xludf.DUMMYFUNCTION("""COMPUTED_VALUE"""),-0.432617664059139)</f>
        <v>-0.43261766405913898</v>
      </c>
      <c r="JH168" s="3">
        <f ca="1">IFERROR(__xludf.DUMMYFUNCTION("""COMPUTED_VALUE"""),-0.445979088425556)</f>
        <v>-0.445979088425556</v>
      </c>
      <c r="JI168" s="3">
        <f ca="1">IFERROR(__xludf.DUMMYFUNCTION("""COMPUTED_VALUE"""),-0.418770970238974)</f>
        <v>-0.41877097023897403</v>
      </c>
      <c r="JJ168" s="3">
        <f ca="1">IFERROR(__xludf.DUMMYFUNCTION("""COMPUTED_VALUE"""),-0.399654340156002)</f>
        <v>-0.39965434015600199</v>
      </c>
      <c r="JK168" s="3">
        <f ca="1">IFERROR(__xludf.DUMMYFUNCTION("""COMPUTED_VALUE"""),-0.455762430185876)</f>
        <v>-0.45576243018587598</v>
      </c>
      <c r="JL168" s="3">
        <f ca="1">IFERROR(__xludf.DUMMYFUNCTION("""COMPUTED_VALUE"""),-0.482398621803789)</f>
        <v>-0.48239862180378901</v>
      </c>
      <c r="JM168" s="3">
        <f ca="1">IFERROR(__xludf.DUMMYFUNCTION("""COMPUTED_VALUE"""),-0.438789700386923)</f>
        <v>-0.438789700386923</v>
      </c>
      <c r="JN168" s="3">
        <f ca="1">IFERROR(__xludf.DUMMYFUNCTION("""COMPUTED_VALUE"""),-0.440298666575644)</f>
        <v>-0.44029866657564398</v>
      </c>
      <c r="JO168" s="3">
        <f ca="1">IFERROR(__xludf.DUMMYFUNCTION("""COMPUTED_VALUE"""),-0.443482555681012)</f>
        <v>-0.44348255568101203</v>
      </c>
      <c r="JP168" s="3">
        <f ca="1">IFERROR(__xludf.DUMMYFUNCTION("""COMPUTED_VALUE"""),-0.501191748295666)</f>
        <v>-0.50119174829566604</v>
      </c>
      <c r="JQ168" s="3">
        <f ca="1">IFERROR(__xludf.DUMMYFUNCTION("""COMPUTED_VALUE"""),-0.447661796074552)</f>
        <v>-0.44766179607455198</v>
      </c>
      <c r="JR168" s="3">
        <f ca="1">IFERROR(__xludf.DUMMYFUNCTION("""COMPUTED_VALUE"""),-0.460792757126437)</f>
        <v>-0.46079275712643702</v>
      </c>
      <c r="JS168" s="3">
        <f ca="1">IFERROR(__xludf.DUMMYFUNCTION("""COMPUTED_VALUE"""),-0.485289029662295)</f>
        <v>-0.48528902966229498</v>
      </c>
      <c r="JT168" s="3">
        <f ca="1">IFERROR(__xludf.DUMMYFUNCTION("""COMPUTED_VALUE"""),-0.487332004118842)</f>
        <v>-0.48733200411884198</v>
      </c>
      <c r="JU168" s="3">
        <f ca="1">IFERROR(__xludf.DUMMYFUNCTION("""COMPUTED_VALUE"""),-0.447135868367585)</f>
        <v>-0.44713586836758501</v>
      </c>
      <c r="JV168" s="3">
        <f ca="1">IFERROR(__xludf.DUMMYFUNCTION("""COMPUTED_VALUE"""),-0.475996713789853)</f>
        <v>-0.47599671378985298</v>
      </c>
      <c r="JW168" s="3">
        <f ca="1">IFERROR(__xludf.DUMMYFUNCTION("""COMPUTED_VALUE"""),-0.374998095375268)</f>
        <v>-0.37499809537526801</v>
      </c>
      <c r="JX168" s="3">
        <f ca="1">IFERROR(__xludf.DUMMYFUNCTION("""COMPUTED_VALUE"""),-0.465657593403453)</f>
        <v>-0.46565759340345297</v>
      </c>
      <c r="JY168" s="3">
        <f ca="1">IFERROR(__xludf.DUMMYFUNCTION("""COMPUTED_VALUE"""),-0.482964759817676)</f>
        <v>-0.482964759817676</v>
      </c>
      <c r="JZ168" s="3">
        <f ca="1">IFERROR(__xludf.DUMMYFUNCTION("""COMPUTED_VALUE"""),-0.50972199783095)</f>
        <v>-0.50972199783094996</v>
      </c>
      <c r="KA168" s="3">
        <f ca="1">IFERROR(__xludf.DUMMYFUNCTION("""COMPUTED_VALUE"""),-0.511258573031355)</f>
        <v>-0.51125857303135502</v>
      </c>
      <c r="KB168" s="3">
        <f ca="1">IFERROR(__xludf.DUMMYFUNCTION("""COMPUTED_VALUE"""),-0.671812276002112)</f>
        <v>-0.67181227600211202</v>
      </c>
      <c r="KC168" s="3">
        <f ca="1">IFERROR(__xludf.DUMMYFUNCTION("""COMPUTED_VALUE"""),-0.495578191721834)</f>
        <v>-0.49557819172183398</v>
      </c>
      <c r="KD168" s="3">
        <f ca="1">IFERROR(__xludf.DUMMYFUNCTION("""COMPUTED_VALUE"""),-0.425308459699379)</f>
        <v>-0.42530845969937903</v>
      </c>
      <c r="KE168" s="3">
        <f ca="1">IFERROR(__xludf.DUMMYFUNCTION("""COMPUTED_VALUE"""),-0.481528084549974)</f>
        <v>-0.48152808454997398</v>
      </c>
      <c r="KF168" s="3">
        <f ca="1">IFERROR(__xludf.DUMMYFUNCTION("""COMPUTED_VALUE"""),-0.492986532704877)</f>
        <v>-0.49298653270487702</v>
      </c>
      <c r="KG168" s="3">
        <f ca="1">IFERROR(__xludf.DUMMYFUNCTION("""COMPUTED_VALUE"""),-0.53764592015813)</f>
        <v>-0.53764592015812995</v>
      </c>
      <c r="KH168" s="3">
        <f ca="1">IFERROR(__xludf.DUMMYFUNCTION("""COMPUTED_VALUE"""),-0.604227146401512)</f>
        <v>-0.60422714640151198</v>
      </c>
      <c r="KI168" s="3">
        <f ca="1">IFERROR(__xludf.DUMMYFUNCTION("""COMPUTED_VALUE"""),-0.550436681503666)</f>
        <v>-0.55043668150366598</v>
      </c>
      <c r="KJ168" s="3">
        <f ca="1">IFERROR(__xludf.DUMMYFUNCTION("""COMPUTED_VALUE"""),-0.573219130502003)</f>
        <v>-0.57321913050200302</v>
      </c>
      <c r="KK168" s="3">
        <f ca="1">IFERROR(__xludf.DUMMYFUNCTION("""COMPUTED_VALUE"""),-0.490062826355658)</f>
        <v>-0.49006282635565801</v>
      </c>
      <c r="KL168" s="3">
        <f ca="1">IFERROR(__xludf.DUMMYFUNCTION("""COMPUTED_VALUE"""),-0.523466726025343)</f>
        <v>-0.52346672602534305</v>
      </c>
      <c r="KM168" s="3">
        <f ca="1">IFERROR(__xludf.DUMMYFUNCTION("""COMPUTED_VALUE"""),-0.573780518988614)</f>
        <v>-0.57378051898861404</v>
      </c>
      <c r="KN168" s="3">
        <f ca="1">IFERROR(__xludf.DUMMYFUNCTION("""COMPUTED_VALUE"""),-0.574371833262413)</f>
        <v>-0.57437183326241303</v>
      </c>
      <c r="KO168" s="3">
        <f ca="1">IFERROR(__xludf.DUMMYFUNCTION("""COMPUTED_VALUE"""),-0.614138139112756)</f>
        <v>-0.61413813911275605</v>
      </c>
      <c r="KP168" s="3">
        <f ca="1">IFERROR(__xludf.DUMMYFUNCTION("""COMPUTED_VALUE"""),-0.636837486237138)</f>
        <v>-0.63683748623713798</v>
      </c>
      <c r="KQ168" s="3">
        <f ca="1">IFERROR(__xludf.DUMMYFUNCTION("""COMPUTED_VALUE"""),-0.6136973589816)</f>
        <v>-0.61369735898160005</v>
      </c>
      <c r="KR168" s="3">
        <f ca="1">IFERROR(__xludf.DUMMYFUNCTION("""COMPUTED_VALUE"""),-0.582838193193606)</f>
        <v>-0.58283819319360597</v>
      </c>
      <c r="KS168" s="3">
        <f ca="1">IFERROR(__xludf.DUMMYFUNCTION("""COMPUTED_VALUE"""),-0.533306673947803)</f>
        <v>-0.53330667394780296</v>
      </c>
      <c r="KT168" s="3">
        <f ca="1">IFERROR(__xludf.DUMMYFUNCTION("""COMPUTED_VALUE"""),-0.560256593291725)</f>
        <v>-0.56025659329172495</v>
      </c>
      <c r="KU168" s="3">
        <f ca="1">IFERROR(__xludf.DUMMYFUNCTION("""COMPUTED_VALUE"""),-0.613740485084121)</f>
        <v>-0.61374048508412105</v>
      </c>
      <c r="KV168" s="3">
        <f ca="1">IFERROR(__xludf.DUMMYFUNCTION("""COMPUTED_VALUE"""),-0.638801807850456)</f>
        <v>-0.63880180785045604</v>
      </c>
      <c r="KW168" s="3">
        <f ca="1">IFERROR(__xludf.DUMMYFUNCTION("""COMPUTED_VALUE"""),-0.633379538622472)</f>
        <v>-0.63337953862247198</v>
      </c>
      <c r="KX168" s="3">
        <f ca="1">IFERROR(__xludf.DUMMYFUNCTION("""COMPUTED_VALUE"""),-0.656194734256883)</f>
        <v>-0.65619473425688302</v>
      </c>
      <c r="KY168" s="3">
        <f ca="1">IFERROR(__xludf.DUMMYFUNCTION("""COMPUTED_VALUE"""),-0.640020630704908)</f>
        <v>-0.640020630704908</v>
      </c>
      <c r="KZ168" s="3">
        <f ca="1">IFERROR(__xludf.DUMMYFUNCTION("""COMPUTED_VALUE"""),-0.589756698237994)</f>
        <v>-0.58975669823799404</v>
      </c>
      <c r="LA168" s="3">
        <f ca="1">IFERROR(__xludf.DUMMYFUNCTION("""COMPUTED_VALUE"""),-0.61496195224705)</f>
        <v>-0.61496195224704997</v>
      </c>
      <c r="LB168" s="3">
        <f ca="1">IFERROR(__xludf.DUMMYFUNCTION("""COMPUTED_VALUE"""),-0.609032150303972)</f>
        <v>-0.60903215030397195</v>
      </c>
      <c r="LC168" s="3">
        <f ca="1">IFERROR(__xludf.DUMMYFUNCTION("""COMPUTED_VALUE"""),-0.641578628524873)</f>
        <v>-0.64157862852487302</v>
      </c>
      <c r="LD168" s="3">
        <f ca="1">IFERROR(__xludf.DUMMYFUNCTION("""COMPUTED_VALUE"""),-0.647410794449488)</f>
        <v>-0.64741079444948801</v>
      </c>
      <c r="LE168" s="3">
        <f ca="1">IFERROR(__xludf.DUMMYFUNCTION("""COMPUTED_VALUE"""),-0.658005456811971)</f>
        <v>-0.65800545681197098</v>
      </c>
      <c r="LF168" s="3">
        <f ca="1">IFERROR(__xludf.DUMMYFUNCTION("""COMPUTED_VALUE"""),-0.632339137352442)</f>
        <v>-0.63233913735244196</v>
      </c>
      <c r="LG168" s="3">
        <f ca="1">IFERROR(__xludf.DUMMYFUNCTION("""COMPUTED_VALUE"""),-0.59083610767101)</f>
        <v>-0.59083610767101002</v>
      </c>
      <c r="LH168" s="3">
        <f ca="1">IFERROR(__xludf.DUMMYFUNCTION("""COMPUTED_VALUE"""),-0.643680071819047)</f>
        <v>-0.64368007181904696</v>
      </c>
      <c r="LI168" s="3">
        <f ca="1">IFERROR(__xludf.DUMMYFUNCTION("""COMPUTED_VALUE"""),-0.690408530048101)</f>
        <v>-0.69040853004810099</v>
      </c>
      <c r="LJ168" s="3">
        <f ca="1">IFERROR(__xludf.DUMMYFUNCTION("""COMPUTED_VALUE"""),-0.716966130996449)</f>
        <v>-0.71696613099644901</v>
      </c>
      <c r="LK168" s="3">
        <f ca="1">IFERROR(__xludf.DUMMYFUNCTION("""COMPUTED_VALUE"""),-0.683953272223399)</f>
        <v>-0.68395327222339897</v>
      </c>
      <c r="LL168" s="3">
        <f ca="1">IFERROR(__xludf.DUMMYFUNCTION("""COMPUTED_VALUE"""),-0.721174923576714)</f>
        <v>-0.72117492357671398</v>
      </c>
      <c r="LM168" s="3">
        <f ca="1">IFERROR(__xludf.DUMMYFUNCTION("""COMPUTED_VALUE"""),-0.649572835442097)</f>
        <v>-0.64957283544209699</v>
      </c>
      <c r="LN168" s="3">
        <f ca="1">IFERROR(__xludf.DUMMYFUNCTION("""COMPUTED_VALUE"""),-0.637039130673673)</f>
        <v>-0.63703913067367302</v>
      </c>
      <c r="LO168" s="3">
        <f ca="1">IFERROR(__xludf.DUMMYFUNCTION("""COMPUTED_VALUE"""),-0.653970013536765)</f>
        <v>-0.65397001353676498</v>
      </c>
      <c r="LP168" s="3">
        <f ca="1">IFERROR(__xludf.DUMMYFUNCTION("""COMPUTED_VALUE"""),-0.699510856247542)</f>
        <v>-0.69951085624754195</v>
      </c>
      <c r="LQ168" s="3">
        <f ca="1">IFERROR(__xludf.DUMMYFUNCTION("""COMPUTED_VALUE"""),-0.702422914758305)</f>
        <v>-0.70242291475830498</v>
      </c>
      <c r="LR168" s="3">
        <f ca="1">IFERROR(__xludf.DUMMYFUNCTION("""COMPUTED_VALUE"""),-0.699825929768431)</f>
        <v>-0.69982592976843105</v>
      </c>
      <c r="LS168" s="3">
        <f ca="1">IFERROR(__xludf.DUMMYFUNCTION("""COMPUTED_VALUE"""),-0.700955548516579)</f>
        <v>-0.70095554851657904</v>
      </c>
      <c r="LT168" s="3">
        <f ca="1">IFERROR(__xludf.DUMMYFUNCTION("""COMPUTED_VALUE"""),-0.756490378455011)</f>
        <v>-0.75649037845501099</v>
      </c>
      <c r="LU168" s="3">
        <f ca="1">IFERROR(__xludf.DUMMYFUNCTION("""COMPUTED_VALUE"""),-0.59730759819928)</f>
        <v>-0.59730759819928003</v>
      </c>
      <c r="LV168" s="3">
        <f ca="1">IFERROR(__xludf.DUMMYFUNCTION("""COMPUTED_VALUE"""),-0.678827315740229)</f>
        <v>-0.67882731574022903</v>
      </c>
      <c r="LW168" s="3">
        <f ca="1">IFERROR(__xludf.DUMMYFUNCTION("""COMPUTED_VALUE"""),-0.724313451891002)</f>
        <v>-0.72431345189100205</v>
      </c>
      <c r="LX168" s="3">
        <f ca="1">IFERROR(__xludf.DUMMYFUNCTION("""COMPUTED_VALUE"""),-0.746683490080114)</f>
        <v>-0.74668349008011403</v>
      </c>
      <c r="LY168" s="3">
        <f ca="1">IFERROR(__xludf.DUMMYFUNCTION("""COMPUTED_VALUE"""),-0.759373185433927)</f>
        <v>-0.75937318543392696</v>
      </c>
      <c r="LZ168" s="3">
        <f ca="1">IFERROR(__xludf.DUMMYFUNCTION("""COMPUTED_VALUE"""),-0.746031490316972)</f>
        <v>-0.74603149031697202</v>
      </c>
      <c r="MA168" s="3">
        <f ca="1">IFERROR(__xludf.DUMMYFUNCTION("""COMPUTED_VALUE"""),-0.68820707902591)</f>
        <v>-0.68820707902591005</v>
      </c>
      <c r="MB168" s="3">
        <f ca="1">IFERROR(__xludf.DUMMYFUNCTION("""COMPUTED_VALUE"""),-0.654278278057798)</f>
        <v>-0.65427827805779804</v>
      </c>
      <c r="MC168" s="3">
        <f ca="1">IFERROR(__xludf.DUMMYFUNCTION("""COMPUTED_VALUE"""),-0.716739466517171)</f>
        <v>-0.71673946651717102</v>
      </c>
      <c r="MD168" s="3">
        <f ca="1">IFERROR(__xludf.DUMMYFUNCTION("""COMPUTED_VALUE"""),-0.738410321980915)</f>
        <v>-0.73841032198091505</v>
      </c>
      <c r="ME168" s="3">
        <f ca="1">IFERROR(__xludf.DUMMYFUNCTION("""COMPUTED_VALUE"""),-0.73712252052316)</f>
        <v>-0.73712252052315996</v>
      </c>
      <c r="MF168" s="3">
        <f ca="1">IFERROR(__xludf.DUMMYFUNCTION("""COMPUTED_VALUE"""),-0.732135133703156)</f>
        <v>-0.73213513370315597</v>
      </c>
      <c r="MG168" s="3">
        <f ca="1">IFERROR(__xludf.DUMMYFUNCTION("""COMPUTED_VALUE"""),-0.734957707670004)</f>
        <v>-0.73495770767000401</v>
      </c>
      <c r="MH168" s="3">
        <f ca="1">IFERROR(__xludf.DUMMYFUNCTION("""COMPUTED_VALUE"""),-0.694068367296335)</f>
        <v>-0.69406836729633503</v>
      </c>
      <c r="MI168" s="3">
        <f ca="1">IFERROR(__xludf.DUMMYFUNCTION("""COMPUTED_VALUE"""),-0.688997740156293)</f>
        <v>-0.688997740156293</v>
      </c>
      <c r="MJ168" s="3">
        <f ca="1">IFERROR(__xludf.DUMMYFUNCTION("""COMPUTED_VALUE"""),-0.730642788143715)</f>
        <v>-0.73064278814371497</v>
      </c>
      <c r="MK168" s="3">
        <f ca="1">IFERROR(__xludf.DUMMYFUNCTION("""COMPUTED_VALUE"""),-0.789750913502862)</f>
        <v>-0.78975091350286197</v>
      </c>
      <c r="ML168" s="3">
        <f ca="1">IFERROR(__xludf.DUMMYFUNCTION("""COMPUTED_VALUE"""),-0.768951888752265)</f>
        <v>-0.76895188875226494</v>
      </c>
      <c r="MM168" s="3">
        <f ca="1">IFERROR(__xludf.DUMMYFUNCTION("""COMPUTED_VALUE"""),-0.771912409071452)</f>
        <v>-0.77191240907145198</v>
      </c>
      <c r="MN168" s="3">
        <f ca="1">IFERROR(__xludf.DUMMYFUNCTION("""COMPUTED_VALUE"""),-0.773964114502072)</f>
        <v>-0.77396411450207203</v>
      </c>
      <c r="MO168" s="3">
        <f ca="1">IFERROR(__xludf.DUMMYFUNCTION("""COMPUTED_VALUE"""),-0.765378649399549)</f>
        <v>-0.76537864939954903</v>
      </c>
      <c r="MP168" s="3">
        <f ca="1">IFERROR(__xludf.DUMMYFUNCTION("""COMPUTED_VALUE"""),-0.674104037111123)</f>
        <v>-0.67410403711112299</v>
      </c>
      <c r="MQ168" s="3">
        <f ca="1">IFERROR(__xludf.DUMMYFUNCTION("""COMPUTED_VALUE"""),-0.753269416204596)</f>
        <v>-0.75326941620459598</v>
      </c>
      <c r="MR168" s="3">
        <f ca="1">IFERROR(__xludf.DUMMYFUNCTION("""COMPUTED_VALUE"""),-0.724559213899888)</f>
        <v>-0.72455921389988798</v>
      </c>
      <c r="MS168" s="3">
        <f ca="1">IFERROR(__xludf.DUMMYFUNCTION("""COMPUTED_VALUE"""),-0.799809870160768)</f>
        <v>-0.79980987016076799</v>
      </c>
      <c r="MT168" s="3">
        <f ca="1">IFERROR(__xludf.DUMMYFUNCTION("""COMPUTED_VALUE"""),-0.793019219676522)</f>
        <v>-0.793019219676522</v>
      </c>
      <c r="MU168" s="3">
        <f ca="1">IFERROR(__xludf.DUMMYFUNCTION("""COMPUTED_VALUE"""),-0.794921047636502)</f>
        <v>-0.79492104763650195</v>
      </c>
      <c r="MV168" s="3">
        <f ca="1">IFERROR(__xludf.DUMMYFUNCTION("""COMPUTED_VALUE"""),-0.782726109741609)</f>
        <v>-0.78272610974160906</v>
      </c>
      <c r="MW168" s="3">
        <f ca="1">IFERROR(__xludf.DUMMYFUNCTION("""COMPUTED_VALUE"""),-0.674913017307369)</f>
        <v>-0.67491301730736897</v>
      </c>
      <c r="MX168" s="3">
        <f ca="1">IFERROR(__xludf.DUMMYFUNCTION("""COMPUTED_VALUE"""),-0.753952948206192)</f>
        <v>-0.75395294820619196</v>
      </c>
      <c r="MY168" s="3">
        <f ca="1">IFERROR(__xludf.DUMMYFUNCTION("""COMPUTED_VALUE"""),-0.757327550822604)</f>
        <v>-0.75732755082260395</v>
      </c>
      <c r="MZ168" s="3">
        <f ca="1">IFERROR(__xludf.DUMMYFUNCTION("""COMPUTED_VALUE"""),-0.814562575295049)</f>
        <v>-0.81456257529504905</v>
      </c>
      <c r="NA168" s="3">
        <f ca="1">IFERROR(__xludf.DUMMYFUNCTION("""COMPUTED_VALUE"""),-0.804502286296371)</f>
        <v>-0.80450228629637099</v>
      </c>
      <c r="NB168" s="3">
        <f ca="1">IFERROR(__xludf.DUMMYFUNCTION("""COMPUTED_VALUE"""),-0.802141876438964)</f>
        <v>-0.80214187643896395</v>
      </c>
      <c r="NC168" s="3">
        <f ca="1">IFERROR(__xludf.DUMMYFUNCTION("""COMPUTED_VALUE"""),-0.788681504401743)</f>
        <v>-0.78868150440174301</v>
      </c>
      <c r="ND168" s="3">
        <f ca="1">IFERROR(__xludf.DUMMYFUNCTION("""COMPUTED_VALUE"""),-0.720655240181995)</f>
        <v>-0.720655240181995</v>
      </c>
      <c r="NE168" s="3">
        <f ca="1">IFERROR(__xludf.DUMMYFUNCTION("""COMPUTED_VALUE"""),-0.763090898647594)</f>
        <v>-0.76309089864759405</v>
      </c>
      <c r="NF168" s="3">
        <f ca="1">IFERROR(__xludf.DUMMYFUNCTION("""COMPUTED_VALUE"""),-0.838463167756307)</f>
        <v>-0.83846316775630703</v>
      </c>
      <c r="NG168" s="3">
        <f ca="1">IFERROR(__xludf.DUMMYFUNCTION("""COMPUTED_VALUE"""),-0.811363704544251)</f>
        <v>-0.811363704544251</v>
      </c>
      <c r="NH168" s="3">
        <f ca="1">IFERROR(__xludf.DUMMYFUNCTION("""COMPUTED_VALUE"""),-0.827217245360528)</f>
        <v>-0.82721724536052799</v>
      </c>
      <c r="NI168" s="3">
        <f ca="1">IFERROR(__xludf.DUMMYFUNCTION("""COMPUTED_VALUE"""),-0.821206847095564)</f>
        <v>-0.82120684709556402</v>
      </c>
      <c r="NJ168" s="3">
        <f ca="1">IFERROR(__xludf.DUMMYFUNCTION("""COMPUTED_VALUE"""),-0.817160956839862)</f>
        <v>-0.81716095683986201</v>
      </c>
      <c r="NK168" s="3">
        <f ca="1">IFERROR(__xludf.DUMMYFUNCTION("""COMPUTED_VALUE"""),-0.726778087990037)</f>
        <v>-0.72677808799003696</v>
      </c>
      <c r="NL168" s="3">
        <f ca="1">IFERROR(__xludf.DUMMYFUNCTION("""COMPUTED_VALUE"""),-0.767396765961038)</f>
        <v>-0.76739676596103801</v>
      </c>
      <c r="NM168" s="3">
        <f ca="1">IFERROR(__xludf.DUMMYFUNCTION("""COMPUTED_VALUE"""),-0.805266963217265)</f>
        <v>-0.80526696321726499</v>
      </c>
      <c r="NN168" s="3">
        <f ca="1">IFERROR(__xludf.DUMMYFUNCTION("""COMPUTED_VALUE"""),-0.819447357507433)</f>
        <v>-0.81944735750743303</v>
      </c>
      <c r="NO168" s="3">
        <f ca="1">IFERROR(__xludf.DUMMYFUNCTION("""COMPUTED_VALUE"""),-0.814243785950077)</f>
        <v>-0.81424378595007696</v>
      </c>
      <c r="NP168" s="3">
        <f ca="1">IFERROR(__xludf.DUMMYFUNCTION("""COMPUTED_VALUE"""),-0.795839447734702)</f>
        <v>-0.79583944773470205</v>
      </c>
      <c r="NQ168" s="3">
        <f ca="1">IFERROR(__xludf.DUMMYFUNCTION("""COMPUTED_VALUE"""),-0.801840796959061)</f>
        <v>-0.80184079695906096</v>
      </c>
      <c r="NR168" s="3">
        <f ca="1">IFERROR(__xludf.DUMMYFUNCTION("""COMPUTED_VALUE"""),-0.697809576899877)</f>
        <v>-0.69780957689987699</v>
      </c>
      <c r="NS168" s="3">
        <f ca="1">IFERROR(__xludf.DUMMYFUNCTION("""COMPUTED_VALUE"""),-0.720077156968493)</f>
        <v>-0.72007715696849295</v>
      </c>
      <c r="NT168" s="3">
        <f ca="1">IFERROR(__xludf.DUMMYFUNCTION("""COMPUTED_VALUE"""),-0.770075366828518)</f>
        <v>-0.77007536682851796</v>
      </c>
      <c r="NU168" s="3">
        <f ca="1">IFERROR(__xludf.DUMMYFUNCTION("""COMPUTED_VALUE"""),-0.80229146944732)</f>
        <v>-0.80229146944731999</v>
      </c>
      <c r="NV168" s="3">
        <f ca="1">IFERROR(__xludf.DUMMYFUNCTION("""COMPUTED_VALUE"""),-0.788485960617866)</f>
        <v>-0.78848596061786602</v>
      </c>
      <c r="NW168" s="3">
        <f ca="1">IFERROR(__xludf.DUMMYFUNCTION("""COMPUTED_VALUE"""),-0.78759498536751)</f>
        <v>-0.78759498536751005</v>
      </c>
      <c r="NX168" s="3">
        <f ca="1">IFERROR(__xludf.DUMMYFUNCTION("""COMPUTED_VALUE"""),-0.754898804775588)</f>
        <v>-0.75489880477558802</v>
      </c>
      <c r="NY168" s="3">
        <f ca="1">IFERROR(__xludf.DUMMYFUNCTION("""COMPUTED_VALUE"""),-0.638032231030867)</f>
        <v>-0.63803223103086704</v>
      </c>
      <c r="NZ168" s="3">
        <f ca="1">IFERROR(__xludf.DUMMYFUNCTION("""COMPUTED_VALUE"""),-0.658364424586446)</f>
        <v>-0.65836442458644595</v>
      </c>
      <c r="OA168" s="3">
        <f ca="1">IFERROR(__xludf.DUMMYFUNCTION("""COMPUTED_VALUE"""),-0.665597971065779)</f>
        <v>-0.665597971065779</v>
      </c>
      <c r="OB168" s="3">
        <f ca="1">IFERROR(__xludf.DUMMYFUNCTION("""COMPUTED_VALUE"""),-0.653628166089679)</f>
        <v>-0.653628166089679</v>
      </c>
      <c r="OC168" s="3">
        <f ca="1">IFERROR(__xludf.DUMMYFUNCTION("""COMPUTED_VALUE"""),-0.608431063343239)</f>
        <v>-0.60843106334323904</v>
      </c>
      <c r="OD168" s="3">
        <f ca="1">IFERROR(__xludf.DUMMYFUNCTION("""COMPUTED_VALUE"""),-0.524108249612278)</f>
        <v>-0.52410824961227798</v>
      </c>
      <c r="OE168" s="3">
        <f ca="1">IFERROR(__xludf.DUMMYFUNCTION("""COMPUTED_VALUE"""),-0.40727772556371)</f>
        <v>-0.40727772556371</v>
      </c>
      <c r="OF168" s="3">
        <f ca="1">IFERROR(__xludf.DUMMYFUNCTION("""COMPUTED_VALUE"""),-0.220135806785642)</f>
        <v>-0.22013580678564201</v>
      </c>
      <c r="OG168" s="3">
        <f ca="1">IFERROR(__xludf.DUMMYFUNCTION("""COMPUTED_VALUE"""),-0.26887521319692)</f>
        <v>-0.26887521319691998</v>
      </c>
      <c r="OH168" s="3">
        <f ca="1">IFERROR(__xludf.DUMMYFUNCTION("""COMPUTED_VALUE"""),-0.178964602063822)</f>
        <v>-0.178964602063822</v>
      </c>
      <c r="OI168" s="3">
        <f ca="1">IFERROR(__xludf.DUMMYFUNCTION("""COMPUTED_VALUE"""),-0.090608981621693)</f>
        <v>-9.0608981621692994E-2</v>
      </c>
      <c r="OJ168" s="3">
        <f ca="1">IFERROR(__xludf.DUMMYFUNCTION("""COMPUTED_VALUE"""),-0.0344529902394162)</f>
        <v>-3.4452990239416198E-2</v>
      </c>
      <c r="OK168" s="3">
        <f ca="1">IFERROR(__xludf.DUMMYFUNCTION("""COMPUTED_VALUE"""),-0.0567812060401234)</f>
        <v>-5.6781206040123398E-2</v>
      </c>
      <c r="OL168" s="3">
        <f ca="1">IFERROR(__xludf.DUMMYFUNCTION("""COMPUTED_VALUE"""),-0.0324902707704253)</f>
        <v>-3.2490270770425302E-2</v>
      </c>
      <c r="OM168" s="3">
        <f ca="1">IFERROR(__xludf.DUMMYFUNCTION("""COMPUTED_VALUE"""),0.0196228898716943)</f>
        <v>1.9622889871694301E-2</v>
      </c>
      <c r="ON168" s="3">
        <f ca="1">IFERROR(__xludf.DUMMYFUNCTION("""COMPUTED_VALUE"""),0.0256914690091871)</f>
        <v>2.56914690091871E-2</v>
      </c>
      <c r="OO168" s="3">
        <f ca="1">IFERROR(__xludf.DUMMYFUNCTION("""COMPUTED_VALUE"""),0.028186425664501)</f>
        <v>2.8186425664501E-2</v>
      </c>
      <c r="OP168" s="3">
        <f ca="1">IFERROR(__xludf.DUMMYFUNCTION("""COMPUTED_VALUE"""),0.0289286786707583)</f>
        <v>2.8928678670758299E-2</v>
      </c>
      <c r="OQ168" s="3">
        <f ca="1">IFERROR(__xludf.DUMMYFUNCTION("""COMPUTED_VALUE"""),0.0102431281141117)</f>
        <v>1.02431281141117E-2</v>
      </c>
      <c r="OR168" s="3">
        <f ca="1">IFERROR(__xludf.DUMMYFUNCTION("""COMPUTED_VALUE"""),-0.00376941028035027)</f>
        <v>-3.7694102803502699E-3</v>
      </c>
      <c r="OS168" s="3">
        <f ca="1">IFERROR(__xludf.DUMMYFUNCTION("""COMPUTED_VALUE"""),-0.00695940351939783)</f>
        <v>-6.9594035193978297E-3</v>
      </c>
      <c r="OT168" s="3">
        <f ca="1">IFERROR(__xludf.DUMMYFUNCTION("""COMPUTED_VALUE"""),0.062153738339431)</f>
        <v>6.2153738339430997E-2</v>
      </c>
      <c r="OU168" s="3">
        <f ca="1">IFERROR(__xludf.DUMMYFUNCTION("""COMPUTED_VALUE"""),-0.0136943468440822)</f>
        <v>-1.36943468440822E-2</v>
      </c>
      <c r="OV168" s="3">
        <f ca="1">IFERROR(__xludf.DUMMYFUNCTION("""COMPUTED_VALUE"""),0.00848694710349851)</f>
        <v>8.48694710349851E-3</v>
      </c>
      <c r="OW168" s="3">
        <f ca="1">IFERROR(__xludf.DUMMYFUNCTION("""COMPUTED_VALUE"""),0.0359555189131477)</f>
        <v>3.5955518913147702E-2</v>
      </c>
      <c r="OX168" s="3">
        <f ca="1">IFERROR(__xludf.DUMMYFUNCTION("""COMPUTED_VALUE"""),0.0993942292670151)</f>
        <v>9.9394229267015105E-2</v>
      </c>
      <c r="OY168" s="3">
        <f ca="1">IFERROR(__xludf.DUMMYFUNCTION("""COMPUTED_VALUE"""),-0.00136409942478821)</f>
        <v>-1.3640994247882099E-3</v>
      </c>
      <c r="OZ168" s="3">
        <f ca="1">IFERROR(__xludf.DUMMYFUNCTION("""COMPUTED_VALUE"""),0.19304462026848)</f>
        <v>0.19304462026847999</v>
      </c>
      <c r="PA168" s="3">
        <f ca="1">IFERROR(__xludf.DUMMYFUNCTION("""COMPUTED_VALUE"""),0.0625883502082687)</f>
        <v>6.2588350208268695E-2</v>
      </c>
      <c r="PB168" s="3">
        <f ca="1">IFERROR(__xludf.DUMMYFUNCTION("""COMPUTED_VALUE"""),0.0496319360865986)</f>
        <v>4.9631936086598598E-2</v>
      </c>
      <c r="PC168" s="3">
        <f ca="1">IFERROR(__xludf.DUMMYFUNCTION("""COMPUTED_VALUE"""),-0.0891839668044405)</f>
        <v>-8.9183966804440504E-2</v>
      </c>
      <c r="PD168" s="3">
        <f ca="1">IFERROR(__xludf.DUMMYFUNCTION("""COMPUTED_VALUE"""),-0.118621166415128)</f>
        <v>-0.118621166415128</v>
      </c>
      <c r="PE168" s="3">
        <f ca="1">IFERROR(__xludf.DUMMYFUNCTION("""COMPUTED_VALUE"""),-0.126847740224794)</f>
        <v>-0.126847740224794</v>
      </c>
      <c r="PF168" s="3">
        <f ca="1">IFERROR(__xludf.DUMMYFUNCTION("""COMPUTED_VALUE"""),-0.124535703946465)</f>
        <v>-0.124535703946465</v>
      </c>
      <c r="PG168" s="3">
        <f ca="1">IFERROR(__xludf.DUMMYFUNCTION("""COMPUTED_VALUE"""),-0.421612448884077)</f>
        <v>-0.42161244888407701</v>
      </c>
      <c r="PH168" s="3">
        <f ca="1">IFERROR(__xludf.DUMMYFUNCTION("""COMPUTED_VALUE"""),0.0825704741698958)</f>
        <v>8.2570474169895797E-2</v>
      </c>
      <c r="PI168" s="3">
        <f ca="1">IFERROR(__xludf.DUMMYFUNCTION("""COMPUTED_VALUE"""),0.00252278840764241)</f>
        <v>2.52278840764241E-3</v>
      </c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</row>
    <row r="169" spans="1:477" ht="13">
      <c r="A169" s="1" t="str">
        <f ca="1">IFERROR(__xludf.DUMMYFUNCTION("""COMPUTED_VALUE"""),"Worcester RTA")</f>
        <v>Worcester RTA</v>
      </c>
      <c r="B169" s="1" t="str">
        <f ca="1">IFERROR(__xludf.DUMMYFUNCTION("""COMPUTED_VALUE"""),"Worcester")</f>
        <v>Worcester</v>
      </c>
      <c r="C169" s="1" t="str">
        <f ca="1">IFERROR(__xludf.DUMMYFUNCTION("""COMPUTED_VALUE"""),"United States")</f>
        <v>United States</v>
      </c>
      <c r="D169" s="1" t="str">
        <f ca="1">IFERROR(__xludf.DUMMYFUNCTION("""COMPUTED_VALUE"""),"Massachusetts")</f>
        <v>Massachusetts</v>
      </c>
      <c r="E169" s="3">
        <f ca="1">IFERROR(__xludf.DUMMYFUNCTION("""COMPUTED_VALUE"""),-0.206904656562058)</f>
        <v>-0.206904656562058</v>
      </c>
      <c r="F169" s="3">
        <f ca="1">IFERROR(__xludf.DUMMYFUNCTION("""COMPUTED_VALUE"""),-0.405797081444488)</f>
        <v>-0.40579708144448801</v>
      </c>
      <c r="G169" s="3">
        <f ca="1">IFERROR(__xludf.DUMMYFUNCTION("""COMPUTED_VALUE"""),-0.536188731095248)</f>
        <v>-0.53618873109524801</v>
      </c>
      <c r="H169" s="3">
        <f ca="1">IFERROR(__xludf.DUMMYFUNCTION("""COMPUTED_VALUE"""),-0.540880014820451)</f>
        <v>-0.540880014820451</v>
      </c>
      <c r="I169" s="3">
        <f ca="1">IFERROR(__xludf.DUMMYFUNCTION("""COMPUTED_VALUE"""),-0.49797978715714)</f>
        <v>-0.49797978715713997</v>
      </c>
      <c r="J169" s="3">
        <f ca="1">IFERROR(__xludf.DUMMYFUNCTION("""COMPUTED_VALUE"""),-0.419767846287667)</f>
        <v>-0.419767846287667</v>
      </c>
      <c r="K169" s="3">
        <f ca="1">IFERROR(__xludf.DUMMYFUNCTION("""COMPUTED_VALUE"""),-0.366383203533298)</f>
        <v>-0.36638320353329801</v>
      </c>
      <c r="L169" s="3">
        <f ca="1">IFERROR(__xludf.DUMMYFUNCTION("""COMPUTED_VALUE"""),-0.371789479377705)</f>
        <v>-0.37178947937770501</v>
      </c>
      <c r="M169" s="3">
        <f ca="1">IFERROR(__xludf.DUMMYFUNCTION("""COMPUTED_VALUE"""),-0.53485219402879)</f>
        <v>-0.53485219402879003</v>
      </c>
      <c r="N169" s="3">
        <f ca="1">IFERROR(__xludf.DUMMYFUNCTION("""COMPUTED_VALUE"""),-0.432526115792001)</f>
        <v>-0.43252611579200101</v>
      </c>
      <c r="O169" s="3">
        <f ca="1">IFERROR(__xludf.DUMMYFUNCTION("""COMPUTED_VALUE"""),-0.556121179710945)</f>
        <v>-0.55612117971094499</v>
      </c>
      <c r="P169" s="3">
        <f ca="1">IFERROR(__xludf.DUMMYFUNCTION("""COMPUTED_VALUE"""),-0.500615451265311)</f>
        <v>-0.50061545126531104</v>
      </c>
      <c r="Q169" s="3">
        <f ca="1">IFERROR(__xludf.DUMMYFUNCTION("""COMPUTED_VALUE"""),-0.490318414315062)</f>
        <v>-0.49031841431506201</v>
      </c>
      <c r="R169" s="3">
        <f ca="1">IFERROR(__xludf.DUMMYFUNCTION("""COMPUTED_VALUE"""),-0.419818200020026)</f>
        <v>-0.41981820002002601</v>
      </c>
      <c r="S169" s="3">
        <f ca="1">IFERROR(__xludf.DUMMYFUNCTION("""COMPUTED_VALUE"""),-0.419150869820235)</f>
        <v>-0.41915086982023497</v>
      </c>
      <c r="T169" s="3">
        <f ca="1">IFERROR(__xludf.DUMMYFUNCTION("""COMPUTED_VALUE"""),-0.44332229319394)</f>
        <v>-0.44332229319394001</v>
      </c>
      <c r="U169" s="3">
        <f ca="1">IFERROR(__xludf.DUMMYFUNCTION("""COMPUTED_VALUE"""),-0.438300168105507)</f>
        <v>-0.43830016810550698</v>
      </c>
      <c r="V169" s="3">
        <f ca="1">IFERROR(__xludf.DUMMYFUNCTION("""COMPUTED_VALUE"""),-0.550072236320487)</f>
        <v>-0.55007223632048696</v>
      </c>
      <c r="W169" s="3">
        <f ca="1">IFERROR(__xludf.DUMMYFUNCTION("""COMPUTED_VALUE"""),-0.524836942648691)</f>
        <v>-0.52483694264869096</v>
      </c>
      <c r="X169" s="3">
        <f ca="1">IFERROR(__xludf.DUMMYFUNCTION("""COMPUTED_VALUE"""),-0.357264716005931)</f>
        <v>-0.35726471600593102</v>
      </c>
      <c r="Y169" s="3">
        <f ca="1">IFERROR(__xludf.DUMMYFUNCTION("""COMPUTED_VALUE"""),-0.0518238473844964)</f>
        <v>-5.1823847384496399E-2</v>
      </c>
      <c r="Z169" s="3">
        <f ca="1">IFERROR(__xludf.DUMMYFUNCTION("""COMPUTED_VALUE"""),-0.386682696108939)</f>
        <v>-0.38668269610893902</v>
      </c>
      <c r="AA169" s="3">
        <f ca="1">IFERROR(__xludf.DUMMYFUNCTION("""COMPUTED_VALUE"""),-0.485850354279968)</f>
        <v>-0.48585035427996798</v>
      </c>
      <c r="AB169" s="3">
        <f ca="1">IFERROR(__xludf.DUMMYFUNCTION("""COMPUTED_VALUE"""),-0.589525763367285)</f>
        <v>-0.58952576336728502</v>
      </c>
      <c r="AC169" s="3">
        <f ca="1">IFERROR(__xludf.DUMMYFUNCTION("""COMPUTED_VALUE"""),-0.568156128179848)</f>
        <v>-0.56815612817984795</v>
      </c>
      <c r="AD169" s="3">
        <f ca="1">IFERROR(__xludf.DUMMYFUNCTION("""COMPUTED_VALUE"""),-0.552559237934012)</f>
        <v>-0.55255923793401196</v>
      </c>
      <c r="AE169" s="3">
        <f ca="1">IFERROR(__xludf.DUMMYFUNCTION("""COMPUTED_VALUE"""),-0.507839184095107)</f>
        <v>-0.50783918409510698</v>
      </c>
      <c r="AF169" s="3">
        <f ca="1">IFERROR(__xludf.DUMMYFUNCTION("""COMPUTED_VALUE"""),-0.343213906053801)</f>
        <v>-0.34321390605380098</v>
      </c>
      <c r="AG169" s="3">
        <f ca="1">IFERROR(__xludf.DUMMYFUNCTION("""COMPUTED_VALUE"""),-0.336214936354003)</f>
        <v>-0.33621493635400301</v>
      </c>
      <c r="AH169" s="3">
        <f ca="1">IFERROR(__xludf.DUMMYFUNCTION("""COMPUTED_VALUE"""),-0.517534161727525)</f>
        <v>-0.51753416172752498</v>
      </c>
      <c r="AI169" s="3">
        <f ca="1">IFERROR(__xludf.DUMMYFUNCTION("""COMPUTED_VALUE"""),-0.506911078113835)</f>
        <v>-0.50691107811383496</v>
      </c>
      <c r="AJ169" s="3">
        <f ca="1">IFERROR(__xludf.DUMMYFUNCTION("""COMPUTED_VALUE"""),-0.576605158057063)</f>
        <v>-0.57660515805706303</v>
      </c>
      <c r="AK169" s="3">
        <f ca="1">IFERROR(__xludf.DUMMYFUNCTION("""COMPUTED_VALUE"""),-0.538605204552352)</f>
        <v>-0.53860520455235195</v>
      </c>
      <c r="AL169" s="3">
        <f ca="1">IFERROR(__xludf.DUMMYFUNCTION("""COMPUTED_VALUE"""),-0.480929629615244)</f>
        <v>-0.48092962961524399</v>
      </c>
      <c r="AM169" s="3">
        <f ca="1">IFERROR(__xludf.DUMMYFUNCTION("""COMPUTED_VALUE"""),-0.370056901018957)</f>
        <v>-0.370056901018957</v>
      </c>
      <c r="AN169" s="3">
        <f ca="1">IFERROR(__xludf.DUMMYFUNCTION("""COMPUTED_VALUE"""),-0.370976884759593)</f>
        <v>-0.37097688475959301</v>
      </c>
      <c r="AO169" s="3">
        <f ca="1">IFERROR(__xludf.DUMMYFUNCTION("""COMPUTED_VALUE"""),-0.588439202734096)</f>
        <v>-0.588439202734096</v>
      </c>
      <c r="AP169" s="3">
        <f ca="1">IFERROR(__xludf.DUMMYFUNCTION("""COMPUTED_VALUE"""),-0.500714053970722)</f>
        <v>-0.500714053970722</v>
      </c>
      <c r="AQ169" s="3">
        <f ca="1">IFERROR(__xludf.DUMMYFUNCTION("""COMPUTED_VALUE"""),-0.595740938187953)</f>
        <v>-0.59574093818795304</v>
      </c>
      <c r="AR169" s="3">
        <f ca="1">IFERROR(__xludf.DUMMYFUNCTION("""COMPUTED_VALUE"""),-0.677236466931876)</f>
        <v>-0.677236466931876</v>
      </c>
      <c r="AS169" s="3">
        <f ca="1">IFERROR(__xludf.DUMMYFUNCTION("""COMPUTED_VALUE"""),-0.5269567139595)</f>
        <v>-0.52695671395949994</v>
      </c>
      <c r="AT169" s="3">
        <f ca="1">IFERROR(__xludf.DUMMYFUNCTION("""COMPUTED_VALUE"""),-0.319877361965116)</f>
        <v>-0.31987736196511601</v>
      </c>
      <c r="AU169" s="3">
        <f ca="1">IFERROR(__xludf.DUMMYFUNCTION("""COMPUTED_VALUE"""),-0.497546260375402)</f>
        <v>-0.49754626037540201</v>
      </c>
      <c r="AV169" s="3">
        <f ca="1">IFERROR(__xludf.DUMMYFUNCTION("""COMPUTED_VALUE"""),-0.64031920348217)</f>
        <v>-0.64031920348216997</v>
      </c>
      <c r="AW169" s="3">
        <f ca="1">IFERROR(__xludf.DUMMYFUNCTION("""COMPUTED_VALUE"""),-0.495946927857549)</f>
        <v>-0.49594692785754901</v>
      </c>
      <c r="AX169" s="3">
        <f ca="1">IFERROR(__xludf.DUMMYFUNCTION("""COMPUTED_VALUE"""),-0.569275204583175)</f>
        <v>-0.56927520458317504</v>
      </c>
      <c r="AY169" s="3">
        <f ca="1">IFERROR(__xludf.DUMMYFUNCTION("""COMPUTED_VALUE"""),-0.508266172736567)</f>
        <v>-0.50826617273656705</v>
      </c>
      <c r="AZ169" s="3">
        <f ca="1">IFERROR(__xludf.DUMMYFUNCTION("""COMPUTED_VALUE"""),-0.557882490950868)</f>
        <v>-0.55788249095086795</v>
      </c>
      <c r="BA169" s="3">
        <f ca="1">IFERROR(__xludf.DUMMYFUNCTION("""COMPUTED_VALUE"""),-0.451668715249318)</f>
        <v>-0.45166871524931801</v>
      </c>
      <c r="BB169" s="3">
        <f ca="1">IFERROR(__xludf.DUMMYFUNCTION("""COMPUTED_VALUE"""),-0.353972509034662)</f>
        <v>-0.35397250903466199</v>
      </c>
      <c r="BC169" s="3">
        <f ca="1">IFERROR(__xludf.DUMMYFUNCTION("""COMPUTED_VALUE"""),-0.645433622216366)</f>
        <v>-0.64543362221636602</v>
      </c>
      <c r="BD169" s="3">
        <f ca="1">IFERROR(__xludf.DUMMYFUNCTION("""COMPUTED_VALUE"""),-0.572472666643409)</f>
        <v>-0.57247266664340901</v>
      </c>
      <c r="BE169" s="3">
        <f ca="1">IFERROR(__xludf.DUMMYFUNCTION("""COMPUTED_VALUE"""),-0.562765758858057)</f>
        <v>-0.56276575885805702</v>
      </c>
      <c r="BF169" s="3">
        <f ca="1">IFERROR(__xludf.DUMMYFUNCTION("""COMPUTED_VALUE"""),-0.537583032409547)</f>
        <v>-0.53758303240954697</v>
      </c>
      <c r="BG169" s="3">
        <f ca="1">IFERROR(__xludf.DUMMYFUNCTION("""COMPUTED_VALUE"""),-0.499051749600465)</f>
        <v>-0.499051749600465</v>
      </c>
      <c r="BH169" s="3">
        <f ca="1">IFERROR(__xludf.DUMMYFUNCTION("""COMPUTED_VALUE"""),-0.341450577945845)</f>
        <v>-0.34145057794584499</v>
      </c>
      <c r="BI169" s="3">
        <f ca="1">IFERROR(__xludf.DUMMYFUNCTION("""COMPUTED_VALUE"""),-0.30522902282182)</f>
        <v>-0.30522902282182002</v>
      </c>
      <c r="BJ169" s="3">
        <f ca="1">IFERROR(__xludf.DUMMYFUNCTION("""COMPUTED_VALUE"""),-0.572296682613987)</f>
        <v>-0.57229668261398703</v>
      </c>
      <c r="BK169" s="3">
        <f ca="1">IFERROR(__xludf.DUMMYFUNCTION("""COMPUTED_VALUE"""),-0.417408079050447)</f>
        <v>-0.41740807905044702</v>
      </c>
      <c r="BL169" s="3">
        <f ca="1">IFERROR(__xludf.DUMMYFUNCTION("""COMPUTED_VALUE"""),-0.574320062037513)</f>
        <v>-0.57432006203751296</v>
      </c>
      <c r="BM169" s="3">
        <f ca="1">IFERROR(__xludf.DUMMYFUNCTION("""COMPUTED_VALUE"""),-0.647845982625693)</f>
        <v>-0.64784598262569304</v>
      </c>
      <c r="BN169" s="3">
        <f ca="1">IFERROR(__xludf.DUMMYFUNCTION("""COMPUTED_VALUE"""),-0.573372805901475)</f>
        <v>-0.57337280590147499</v>
      </c>
      <c r="BO169" s="3">
        <f ca="1">IFERROR(__xludf.DUMMYFUNCTION("""COMPUTED_VALUE"""),-0.355839049895695)</f>
        <v>-0.35583904989569498</v>
      </c>
      <c r="BP169" s="3">
        <f ca="1">IFERROR(__xludf.DUMMYFUNCTION("""COMPUTED_VALUE"""),-0.390786262707705)</f>
        <v>-0.390786262707705</v>
      </c>
      <c r="BQ169" s="3">
        <f ca="1">IFERROR(__xludf.DUMMYFUNCTION("""COMPUTED_VALUE"""),-0.576945017540029)</f>
        <v>-0.57694501754002903</v>
      </c>
      <c r="BR169" s="3">
        <f ca="1">IFERROR(__xludf.DUMMYFUNCTION("""COMPUTED_VALUE"""),-0.486407036907721)</f>
        <v>-0.48640703690772102</v>
      </c>
      <c r="BS169" s="3">
        <f ca="1">IFERROR(__xludf.DUMMYFUNCTION("""COMPUTED_VALUE"""),-0.515938760160241)</f>
        <v>-0.51593876016024098</v>
      </c>
      <c r="BT169" s="3">
        <f ca="1">IFERROR(__xludf.DUMMYFUNCTION("""COMPUTED_VALUE"""),-0.692604922754402)</f>
        <v>-0.692604922754402</v>
      </c>
      <c r="BU169" s="3">
        <f ca="1">IFERROR(__xludf.DUMMYFUNCTION("""COMPUTED_VALUE"""),-0.672819879558767)</f>
        <v>-0.67281987955876699</v>
      </c>
      <c r="BV169" s="3">
        <f ca="1">IFERROR(__xludf.DUMMYFUNCTION("""COMPUTED_VALUE"""),-0.475203347453089)</f>
        <v>-0.47520334745308901</v>
      </c>
      <c r="BW169" s="3">
        <f ca="1">IFERROR(__xludf.DUMMYFUNCTION("""COMPUTED_VALUE"""),-0.555906160347558)</f>
        <v>-0.55590616034755802</v>
      </c>
      <c r="BX169" s="3">
        <f ca="1">IFERROR(__xludf.DUMMYFUNCTION("""COMPUTED_VALUE"""),-0.662459089897367)</f>
        <v>-0.66245908989736701</v>
      </c>
      <c r="BY169" s="3">
        <f ca="1">IFERROR(__xludf.DUMMYFUNCTION("""COMPUTED_VALUE"""),-0.515291877956847)</f>
        <v>-0.51529187795684706</v>
      </c>
      <c r="BZ169" s="3">
        <f ca="1">IFERROR(__xludf.DUMMYFUNCTION("""COMPUTED_VALUE"""),-0.69967239203076)</f>
        <v>-0.69967239203076004</v>
      </c>
      <c r="CA169" s="3">
        <f ca="1">IFERROR(__xludf.DUMMYFUNCTION("""COMPUTED_VALUE"""),-0.634695027596217)</f>
        <v>-0.63469502759621699</v>
      </c>
      <c r="CB169" s="3">
        <f ca="1">IFERROR(__xludf.DUMMYFUNCTION("""COMPUTED_VALUE"""),-0.415425732518991)</f>
        <v>-0.41542573251899101</v>
      </c>
      <c r="CC169" s="3">
        <f ca="1">IFERROR(__xludf.DUMMYFUNCTION("""COMPUTED_VALUE"""),-0.585397913630253)</f>
        <v>-0.58539791363025295</v>
      </c>
      <c r="CD169" s="3">
        <f ca="1">IFERROR(__xludf.DUMMYFUNCTION("""COMPUTED_VALUE"""),-0.477063708381914)</f>
        <v>-0.47706370838191398</v>
      </c>
      <c r="CE169" s="3">
        <f ca="1">IFERROR(__xludf.DUMMYFUNCTION("""COMPUTED_VALUE"""),-0.487156710091993)</f>
        <v>-0.48715671009199302</v>
      </c>
      <c r="CF169" s="3">
        <f ca="1">IFERROR(__xludf.DUMMYFUNCTION("""COMPUTED_VALUE"""),-0.558016438789987)</f>
        <v>-0.55801643878998697</v>
      </c>
      <c r="CG169" s="3">
        <f ca="1">IFERROR(__xludf.DUMMYFUNCTION("""COMPUTED_VALUE"""),-0.610556418318061)</f>
        <v>-0.61055641831806096</v>
      </c>
      <c r="CH169" s="3">
        <f ca="1">IFERROR(__xludf.DUMMYFUNCTION("""COMPUTED_VALUE"""),-0.575380960763284)</f>
        <v>-0.57538096076328404</v>
      </c>
      <c r="CI169" s="3">
        <f ca="1">IFERROR(__xludf.DUMMYFUNCTION("""COMPUTED_VALUE"""),-0.488693101694355)</f>
        <v>-0.48869310169435498</v>
      </c>
      <c r="CJ169" s="3">
        <f ca="1">IFERROR(__xludf.DUMMYFUNCTION("""COMPUTED_VALUE"""),-0.584813923848881)</f>
        <v>-0.58481392384888098</v>
      </c>
      <c r="CK169" s="3">
        <f ca="1">IFERROR(__xludf.DUMMYFUNCTION("""COMPUTED_VALUE"""),-0.534527917673542)</f>
        <v>-0.53452791767354202</v>
      </c>
      <c r="CL169" s="3">
        <f ca="1">IFERROR(__xludf.DUMMYFUNCTION("""COMPUTED_VALUE"""),-0.578262849196906)</f>
        <v>-0.57826284919690596</v>
      </c>
      <c r="CM169" s="3">
        <f ca="1">IFERROR(__xludf.DUMMYFUNCTION("""COMPUTED_VALUE"""),-0.521210883308639)</f>
        <v>-0.52121088330863896</v>
      </c>
      <c r="CN169" s="3">
        <f ca="1">IFERROR(__xludf.DUMMYFUNCTION("""COMPUTED_VALUE"""),-0.543326636638728)</f>
        <v>-0.54332663663872804</v>
      </c>
      <c r="CO169" s="3">
        <f ca="1">IFERROR(__xludf.DUMMYFUNCTION("""COMPUTED_VALUE"""),-0.479765178550398)</f>
        <v>-0.47976517855039802</v>
      </c>
      <c r="CP169" s="3">
        <f ca="1">IFERROR(__xludf.DUMMYFUNCTION("""COMPUTED_VALUE"""),-0.434608653906832)</f>
        <v>-0.43460865390683201</v>
      </c>
      <c r="CQ169" s="3">
        <f ca="1">IFERROR(__xludf.DUMMYFUNCTION("""COMPUTED_VALUE"""),-0.428600752509233)</f>
        <v>-0.42860075250923302</v>
      </c>
      <c r="CR169" s="3">
        <f ca="1">IFERROR(__xludf.DUMMYFUNCTION("""COMPUTED_VALUE"""),-0.416694772183715)</f>
        <v>-0.41669477218371498</v>
      </c>
      <c r="CS169" s="3">
        <f ca="1">IFERROR(__xludf.DUMMYFUNCTION("""COMPUTED_VALUE"""),-0.531489928793452)</f>
        <v>-0.53148992879345203</v>
      </c>
      <c r="CT169" s="3">
        <f ca="1">IFERROR(__xludf.DUMMYFUNCTION("""COMPUTED_VALUE"""),-0.425544747882089)</f>
        <v>-0.42554474788208901</v>
      </c>
      <c r="CU169" s="3">
        <f ca="1">IFERROR(__xludf.DUMMYFUNCTION("""COMPUTED_VALUE"""),-0.275045704693053)</f>
        <v>-0.27504570469305301</v>
      </c>
      <c r="CV169" s="3">
        <f ca="1">IFERROR(__xludf.DUMMYFUNCTION("""COMPUTED_VALUE"""),-0.475429226350612)</f>
        <v>-0.47542922635061202</v>
      </c>
      <c r="CW169" s="3">
        <f ca="1">IFERROR(__xludf.DUMMYFUNCTION("""COMPUTED_VALUE"""),-0.404476311418761)</f>
        <v>-0.404476311418761</v>
      </c>
      <c r="CX169" s="3">
        <f ca="1">IFERROR(__xludf.DUMMYFUNCTION("""COMPUTED_VALUE"""),-0.450924214028444)</f>
        <v>-0.45092421402844401</v>
      </c>
      <c r="CY169" s="3">
        <f ca="1">IFERROR(__xludf.DUMMYFUNCTION("""COMPUTED_VALUE"""),-0.588204669387584)</f>
        <v>-0.58820466938758398</v>
      </c>
      <c r="CZ169" s="3">
        <f ca="1">IFERROR(__xludf.DUMMYFUNCTION("""COMPUTED_VALUE"""),-0.915676661737076)</f>
        <v>-0.91567666173707596</v>
      </c>
      <c r="DA169" s="3">
        <f ca="1">IFERROR(__xludf.DUMMYFUNCTION("""COMPUTED_VALUE"""),-0.417039537766402)</f>
        <v>-0.41703953776640201</v>
      </c>
      <c r="DB169" s="3">
        <f ca="1">IFERROR(__xludf.DUMMYFUNCTION("""COMPUTED_VALUE"""),0.275858754041562)</f>
        <v>0.27585875404156202</v>
      </c>
      <c r="DC169" s="3">
        <f ca="1">IFERROR(__xludf.DUMMYFUNCTION("""COMPUTED_VALUE"""),-0.433361487606737)</f>
        <v>-0.43336148760673698</v>
      </c>
      <c r="DD169" s="3">
        <f ca="1">IFERROR(__xludf.DUMMYFUNCTION("""COMPUTED_VALUE"""),-0.493793486883822)</f>
        <v>-0.49379348688382202</v>
      </c>
      <c r="DE169" s="3">
        <f ca="1">IFERROR(__xludf.DUMMYFUNCTION("""COMPUTED_VALUE"""),-0.445524833843947)</f>
        <v>-0.44552483384394698</v>
      </c>
      <c r="DF169" s="3">
        <f ca="1">IFERROR(__xludf.DUMMYFUNCTION("""COMPUTED_VALUE"""),-0.455708850281277)</f>
        <v>-0.455708850281277</v>
      </c>
      <c r="DG169" s="3">
        <f ca="1">IFERROR(__xludf.DUMMYFUNCTION("""COMPUTED_VALUE"""),-0.948011677780437)</f>
        <v>-0.94801167778043705</v>
      </c>
      <c r="DH169" s="3">
        <f ca="1">IFERROR(__xludf.DUMMYFUNCTION("""COMPUTED_VALUE"""),-0.44177181760013)</f>
        <v>-0.44177181760013001</v>
      </c>
      <c r="DI169" s="3">
        <f ca="1">IFERROR(__xludf.DUMMYFUNCTION("""COMPUTED_VALUE"""),0.170083137124438)</f>
        <v>0.17008313712443801</v>
      </c>
      <c r="DJ169" s="3">
        <f ca="1">IFERROR(__xludf.DUMMYFUNCTION("""COMPUTED_VALUE"""),-0.33360855593989)</f>
        <v>-0.33360855593988997</v>
      </c>
      <c r="DK169" s="3">
        <f ca="1">IFERROR(__xludf.DUMMYFUNCTION("""COMPUTED_VALUE"""),-0.48412481161497)</f>
        <v>-0.48412481161497001</v>
      </c>
      <c r="DL169" s="3">
        <f ca="1">IFERROR(__xludf.DUMMYFUNCTION("""COMPUTED_VALUE"""),-0.498891941839515)</f>
        <v>-0.49889194183951502</v>
      </c>
      <c r="DM169" s="3">
        <f ca="1">IFERROR(__xludf.DUMMYFUNCTION("""COMPUTED_VALUE"""),-0.438262857899605)</f>
        <v>-0.43826285789960501</v>
      </c>
      <c r="DN169" s="3">
        <f ca="1">IFERROR(__xludf.DUMMYFUNCTION("""COMPUTED_VALUE"""),-0.517903980841704)</f>
        <v>-0.51790398084170397</v>
      </c>
      <c r="DO169" s="3">
        <f ca="1">IFERROR(__xludf.DUMMYFUNCTION("""COMPUTED_VALUE"""),-0.706335366184119)</f>
        <v>-0.70633536618411896</v>
      </c>
      <c r="DP169" s="3">
        <f ca="1">IFERROR(__xludf.DUMMYFUNCTION("""COMPUTED_VALUE"""),-0.365581895006205)</f>
        <v>-0.36558189500620503</v>
      </c>
      <c r="DQ169" s="3">
        <f ca="1">IFERROR(__xludf.DUMMYFUNCTION("""COMPUTED_VALUE"""),-0.482092371049057)</f>
        <v>-0.482092371049057</v>
      </c>
      <c r="DR169" s="3">
        <f ca="1">IFERROR(__xludf.DUMMYFUNCTION("""COMPUTED_VALUE"""),-0.530620226603507)</f>
        <v>-0.53062022660350705</v>
      </c>
      <c r="DS169" s="3">
        <f ca="1">IFERROR(__xludf.DUMMYFUNCTION("""COMPUTED_VALUE"""),-0.214319584542257)</f>
        <v>-0.214319584542257</v>
      </c>
      <c r="DT169" s="3">
        <f ca="1">IFERROR(__xludf.DUMMYFUNCTION("""COMPUTED_VALUE"""),-0.514071641579384)</f>
        <v>-0.51407164157938401</v>
      </c>
      <c r="DU169" s="3">
        <f ca="1">IFERROR(__xludf.DUMMYFUNCTION("""COMPUTED_VALUE"""),-0.55136371710357)</f>
        <v>-0.55136371710357002</v>
      </c>
      <c r="DV169" s="3">
        <f ca="1">IFERROR(__xludf.DUMMYFUNCTION("""COMPUTED_VALUE"""),-0.612558336313588)</f>
        <v>-0.61255833631358803</v>
      </c>
      <c r="DW169" s="3">
        <f ca="1">IFERROR(__xludf.DUMMYFUNCTION("""COMPUTED_VALUE"""),-0.569386720552426)</f>
        <v>-0.56938672055242601</v>
      </c>
      <c r="DX169" s="3">
        <f ca="1">IFERROR(__xludf.DUMMYFUNCTION("""COMPUTED_VALUE"""),-0.501081608564514)</f>
        <v>-0.501081608564514</v>
      </c>
      <c r="DY169" s="3">
        <f ca="1">IFERROR(__xludf.DUMMYFUNCTION("""COMPUTED_VALUE"""),-0.462653211076895)</f>
        <v>-0.462653211076895</v>
      </c>
      <c r="DZ169" s="3">
        <f ca="1">IFERROR(__xludf.DUMMYFUNCTION("""COMPUTED_VALUE"""),-0.493929940244467)</f>
        <v>-0.49392994024446701</v>
      </c>
      <c r="EA169" s="3">
        <f ca="1">IFERROR(__xludf.DUMMYFUNCTION("""COMPUTED_VALUE"""),-0.53452776343732)</f>
        <v>-0.53452776343732</v>
      </c>
      <c r="EB169" s="3">
        <f ca="1">IFERROR(__xludf.DUMMYFUNCTION("""COMPUTED_VALUE"""),-0.379441627276469)</f>
        <v>-0.37944162727646902</v>
      </c>
      <c r="EC169" s="3">
        <f ca="1">IFERROR(__xludf.DUMMYFUNCTION("""COMPUTED_VALUE"""),-0.373458660689931)</f>
        <v>-0.373458660689931</v>
      </c>
      <c r="ED169" s="3">
        <f ca="1">IFERROR(__xludf.DUMMYFUNCTION("""COMPUTED_VALUE"""),-0.610613302888075)</f>
        <v>-0.61061330288807503</v>
      </c>
      <c r="EE169" s="3">
        <f ca="1">IFERROR(__xludf.DUMMYFUNCTION("""COMPUTED_VALUE"""),-0.493647308467617)</f>
        <v>-0.49364730846761701</v>
      </c>
      <c r="EF169" s="3">
        <f ca="1">IFERROR(__xludf.DUMMYFUNCTION("""COMPUTED_VALUE"""),-0.52663379257825)</f>
        <v>-0.52663379257825005</v>
      </c>
      <c r="EG169" s="3">
        <f ca="1">IFERROR(__xludf.DUMMYFUNCTION("""COMPUTED_VALUE"""),-0.52629611108621)</f>
        <v>-0.52629611108620999</v>
      </c>
      <c r="EH169" s="3">
        <f ca="1">IFERROR(__xludf.DUMMYFUNCTION("""COMPUTED_VALUE"""),-0.414502317862807)</f>
        <v>-0.414502317862807</v>
      </c>
      <c r="EI169" s="3">
        <f ca="1">IFERROR(__xludf.DUMMYFUNCTION("""COMPUTED_VALUE"""),-0.476732837670662)</f>
        <v>-0.47673283767066199</v>
      </c>
      <c r="EJ169" s="3">
        <f ca="1">IFERROR(__xludf.DUMMYFUNCTION("""COMPUTED_VALUE"""),-0.923116921351448)</f>
        <v>-0.92311692135144796</v>
      </c>
      <c r="EK169" s="3">
        <f ca="1">IFERROR(__xludf.DUMMYFUNCTION("""COMPUTED_VALUE"""),-0.539617544817837)</f>
        <v>-0.53961754481783697</v>
      </c>
      <c r="EL169" s="3">
        <f ca="1">IFERROR(__xludf.DUMMYFUNCTION("""COMPUTED_VALUE"""),-0.440731816818138)</f>
        <v>-0.440731816818138</v>
      </c>
      <c r="EM169" s="3">
        <f ca="1">IFERROR(__xludf.DUMMYFUNCTION("""COMPUTED_VALUE"""),-0.580613257183139)</f>
        <v>-0.58061325718313905</v>
      </c>
      <c r="EN169" s="3">
        <f ca="1">IFERROR(__xludf.DUMMYFUNCTION("""COMPUTED_VALUE"""),-0.607417355486983)</f>
        <v>-0.60741735548698295</v>
      </c>
      <c r="EO169" s="3">
        <f ca="1">IFERROR(__xludf.DUMMYFUNCTION("""COMPUTED_VALUE"""),-0.265818961663293)</f>
        <v>-0.265818961663293</v>
      </c>
      <c r="EP169" s="3">
        <f ca="1">IFERROR(__xludf.DUMMYFUNCTION("""COMPUTED_VALUE"""),-0.35035108114737)</f>
        <v>-0.35035108114737001</v>
      </c>
      <c r="EQ169" s="3">
        <f ca="1">IFERROR(__xludf.DUMMYFUNCTION("""COMPUTED_VALUE"""),-0.500019312937736)</f>
        <v>-0.50001931293773605</v>
      </c>
      <c r="ER169" s="3">
        <f ca="1">IFERROR(__xludf.DUMMYFUNCTION("""COMPUTED_VALUE"""),-0.627770791453485)</f>
        <v>-0.62777079145348502</v>
      </c>
      <c r="ES169" s="3">
        <f ca="1">IFERROR(__xludf.DUMMYFUNCTION("""COMPUTED_VALUE"""),-0.509616523536461)</f>
        <v>-0.50961652353646103</v>
      </c>
      <c r="ET169" s="3">
        <f ca="1">IFERROR(__xludf.DUMMYFUNCTION("""COMPUTED_VALUE"""),-0.476056611028317)</f>
        <v>-0.47605661102831698</v>
      </c>
      <c r="EU169" s="3">
        <f ca="1">IFERROR(__xludf.DUMMYFUNCTION("""COMPUTED_VALUE"""),-0.380807092218109)</f>
        <v>-0.38080709221810899</v>
      </c>
      <c r="EV169" s="3">
        <f ca="1">IFERROR(__xludf.DUMMYFUNCTION("""COMPUTED_VALUE"""),-0.424432803423407)</f>
        <v>-0.424432803423407</v>
      </c>
      <c r="EW169" s="3">
        <f ca="1">IFERROR(__xludf.DUMMYFUNCTION("""COMPUTED_VALUE"""),-0.489092099406853)</f>
        <v>-0.489092099406853</v>
      </c>
      <c r="EX169" s="3">
        <f ca="1">IFERROR(__xludf.DUMMYFUNCTION("""COMPUTED_VALUE"""),-0.486066567129169)</f>
        <v>-0.48606656712916901</v>
      </c>
      <c r="EY169" s="3">
        <f ca="1">IFERROR(__xludf.DUMMYFUNCTION("""COMPUTED_VALUE"""),-0.5532031939425)</f>
        <v>-0.55320319394249995</v>
      </c>
      <c r="EZ169" s="3">
        <f ca="1">IFERROR(__xludf.DUMMYFUNCTION("""COMPUTED_VALUE"""),-0.515975174005806)</f>
        <v>-0.51597517400580595</v>
      </c>
      <c r="FA169" s="3">
        <f ca="1">IFERROR(__xludf.DUMMYFUNCTION("""COMPUTED_VALUE"""),-0.469371536900752)</f>
        <v>-0.46937153690075201</v>
      </c>
      <c r="FB169" s="3">
        <f ca="1">IFERROR(__xludf.DUMMYFUNCTION("""COMPUTED_VALUE"""),-0.310519975147308)</f>
        <v>-0.310519975147308</v>
      </c>
      <c r="FC169" s="3">
        <f ca="1">IFERROR(__xludf.DUMMYFUNCTION("""COMPUTED_VALUE"""),-0.398164462858399)</f>
        <v>-0.39816446285839902</v>
      </c>
      <c r="FD169" s="3">
        <f ca="1">IFERROR(__xludf.DUMMYFUNCTION("""COMPUTED_VALUE"""),-0.376920766685237)</f>
        <v>-0.376920766685237</v>
      </c>
      <c r="FE169" s="3">
        <f ca="1">IFERROR(__xludf.DUMMYFUNCTION("""COMPUTED_VALUE"""),-0.423849794335102)</f>
        <v>-0.423849794335102</v>
      </c>
      <c r="FF169" s="3">
        <f ca="1">IFERROR(__xludf.DUMMYFUNCTION("""COMPUTED_VALUE"""),-0.486028501770506)</f>
        <v>-0.48602850177050599</v>
      </c>
      <c r="FG169" s="3">
        <f ca="1">IFERROR(__xludf.DUMMYFUNCTION("""COMPUTED_VALUE"""),-0.503012596697875)</f>
        <v>-0.50301259669787501</v>
      </c>
      <c r="FH169" s="3">
        <f ca="1">IFERROR(__xludf.DUMMYFUNCTION("""COMPUTED_VALUE"""),-0.42746617263725)</f>
        <v>-0.42746617263725001</v>
      </c>
      <c r="FI169" s="3">
        <f ca="1">IFERROR(__xludf.DUMMYFUNCTION("""COMPUTED_VALUE"""),-0.292031142272915)</f>
        <v>-0.29203114227291499</v>
      </c>
      <c r="FJ169" s="3">
        <f ca="1">IFERROR(__xludf.DUMMYFUNCTION("""COMPUTED_VALUE"""),-0.454707440120561)</f>
        <v>-0.45470744012056102</v>
      </c>
      <c r="FK169" s="3">
        <f ca="1">IFERROR(__xludf.DUMMYFUNCTION("""COMPUTED_VALUE"""),-0.663611509124528)</f>
        <v>-0.66361150912452804</v>
      </c>
      <c r="FL169" s="3">
        <f ca="1">IFERROR(__xludf.DUMMYFUNCTION("""COMPUTED_VALUE"""),-0.583824289300917)</f>
        <v>-0.58382428930091701</v>
      </c>
      <c r="FM169" s="3">
        <f ca="1">IFERROR(__xludf.DUMMYFUNCTION("""COMPUTED_VALUE"""),-0.561984260096944)</f>
        <v>-0.56198426009694402</v>
      </c>
      <c r="FN169" s="3">
        <f ca="1">IFERROR(__xludf.DUMMYFUNCTION("""COMPUTED_VALUE"""),-0.545862496571328)</f>
        <v>-0.54586249657132802</v>
      </c>
      <c r="FO169" s="3">
        <f ca="1">IFERROR(__xludf.DUMMYFUNCTION("""COMPUTED_VALUE"""),-0.544677833017892)</f>
        <v>-0.54467783301789197</v>
      </c>
      <c r="FP169" s="3">
        <f ca="1">IFERROR(__xludf.DUMMYFUNCTION("""COMPUTED_VALUE"""),-0.422977779074464)</f>
        <v>-0.42297777907446399</v>
      </c>
      <c r="FQ169" s="3">
        <f ca="1">IFERROR(__xludf.DUMMYFUNCTION("""COMPUTED_VALUE"""),-0.469673843634269)</f>
        <v>-0.46967384363426901</v>
      </c>
      <c r="FR169" s="3">
        <f ca="1">IFERROR(__xludf.DUMMYFUNCTION("""COMPUTED_VALUE"""),-0.54401626118671)</f>
        <v>-0.54401626118670998</v>
      </c>
      <c r="FS169" s="3">
        <f ca="1">IFERROR(__xludf.DUMMYFUNCTION("""COMPUTED_VALUE"""),-0.466092463446697)</f>
        <v>-0.46609246344669703</v>
      </c>
      <c r="FT169" s="3">
        <f ca="1">IFERROR(__xludf.DUMMYFUNCTION("""COMPUTED_VALUE"""),-0.590051358798444)</f>
        <v>-0.59005135879844395</v>
      </c>
      <c r="FU169" s="3">
        <f ca="1">IFERROR(__xludf.DUMMYFUNCTION("""COMPUTED_VALUE"""),-0.509629880383743)</f>
        <v>-0.50962988038374302</v>
      </c>
      <c r="FV169" s="3">
        <f ca="1">IFERROR(__xludf.DUMMYFUNCTION("""COMPUTED_VALUE"""),-0.450413465573056)</f>
        <v>-0.450413465573056</v>
      </c>
      <c r="FW169" s="3">
        <f ca="1">IFERROR(__xludf.DUMMYFUNCTION("""COMPUTED_VALUE"""),-0.42939381350791)</f>
        <v>-0.42939381350791</v>
      </c>
      <c r="FX169" s="3">
        <f ca="1">IFERROR(__xludf.DUMMYFUNCTION("""COMPUTED_VALUE"""),-0.415449505529996)</f>
        <v>-0.41544950552999599</v>
      </c>
      <c r="FY169" s="3">
        <f ca="1">IFERROR(__xludf.DUMMYFUNCTION("""COMPUTED_VALUE"""),-0.484696246085427)</f>
        <v>-0.484696246085427</v>
      </c>
      <c r="FZ169" s="3">
        <f ca="1">IFERROR(__xludf.DUMMYFUNCTION("""COMPUTED_VALUE"""),-0.381439298060706)</f>
        <v>-0.38143929806070598</v>
      </c>
      <c r="GA169" s="3">
        <f ca="1">IFERROR(__xludf.DUMMYFUNCTION("""COMPUTED_VALUE"""),-0.497964388246052)</f>
        <v>-0.49796438824605199</v>
      </c>
      <c r="GB169" s="3">
        <f ca="1">IFERROR(__xludf.DUMMYFUNCTION("""COMPUTED_VALUE"""),-0.538756379529604)</f>
        <v>-0.53875637952960398</v>
      </c>
      <c r="GC169" s="3">
        <f ca="1">IFERROR(__xludf.DUMMYFUNCTION("""COMPUTED_VALUE"""),-0.437918676163553)</f>
        <v>-0.43791867616355301</v>
      </c>
      <c r="GD169" s="3">
        <f ca="1">IFERROR(__xludf.DUMMYFUNCTION("""COMPUTED_VALUE"""),-0.348883870495188)</f>
        <v>-0.34888387049518799</v>
      </c>
      <c r="GE169" s="3">
        <f ca="1">IFERROR(__xludf.DUMMYFUNCTION("""COMPUTED_VALUE"""),-0.319993278531694)</f>
        <v>-0.31999327853169401</v>
      </c>
      <c r="GF169" s="3">
        <f ca="1">IFERROR(__xludf.DUMMYFUNCTION("""COMPUTED_VALUE"""),-0.456351352185269)</f>
        <v>-0.45635135218526901</v>
      </c>
      <c r="GG169" s="3">
        <f ca="1">IFERROR(__xludf.DUMMYFUNCTION("""COMPUTED_VALUE"""),-0.374625099338826)</f>
        <v>-0.37462509933882598</v>
      </c>
      <c r="GH169" s="3">
        <f ca="1">IFERROR(__xludf.DUMMYFUNCTION("""COMPUTED_VALUE"""),-0.606153524088674)</f>
        <v>-0.60615352408867396</v>
      </c>
      <c r="GI169" s="3">
        <f ca="1">IFERROR(__xludf.DUMMYFUNCTION("""COMPUTED_VALUE"""),-0.539302027033945)</f>
        <v>-0.53930202703394503</v>
      </c>
      <c r="GJ169" s="3">
        <f ca="1">IFERROR(__xludf.DUMMYFUNCTION("""COMPUTED_VALUE"""),-0.399438841976198)</f>
        <v>-0.399438841976198</v>
      </c>
      <c r="GK169" s="3">
        <f ca="1">IFERROR(__xludf.DUMMYFUNCTION("""COMPUTED_VALUE"""),-0.611533608521152)</f>
        <v>-0.61153360852115202</v>
      </c>
      <c r="GL169" s="3">
        <f ca="1">IFERROR(__xludf.DUMMYFUNCTION("""COMPUTED_VALUE"""),-0.392567584794062)</f>
        <v>-0.39256758479406201</v>
      </c>
      <c r="GM169" s="3">
        <f ca="1">IFERROR(__xludf.DUMMYFUNCTION("""COMPUTED_VALUE"""),-0.533821780872066)</f>
        <v>-0.533821780872066</v>
      </c>
      <c r="GN169" s="3">
        <f ca="1">IFERROR(__xludf.DUMMYFUNCTION("""COMPUTED_VALUE"""),-0.471128915952732)</f>
        <v>-0.47112891595273199</v>
      </c>
      <c r="GO169" s="3">
        <f ca="1">IFERROR(__xludf.DUMMYFUNCTION("""COMPUTED_VALUE"""),-0.609281565784674)</f>
        <v>-0.60928156578467396</v>
      </c>
      <c r="GP169" s="3">
        <f ca="1">IFERROR(__xludf.DUMMYFUNCTION("""COMPUTED_VALUE"""),-0.544851051891726)</f>
        <v>-0.544851051891726</v>
      </c>
      <c r="GQ169" s="3">
        <f ca="1">IFERROR(__xludf.DUMMYFUNCTION("""COMPUTED_VALUE"""),-0.513001082613434)</f>
        <v>-0.51300108261343402</v>
      </c>
      <c r="GR169" s="3">
        <f ca="1">IFERROR(__xludf.DUMMYFUNCTION("""COMPUTED_VALUE"""),-0.456165802381583)</f>
        <v>-0.456165802381583</v>
      </c>
      <c r="GS169" s="3">
        <f ca="1">IFERROR(__xludf.DUMMYFUNCTION("""COMPUTED_VALUE"""),-0.333778060878236)</f>
        <v>-0.33377806087823603</v>
      </c>
      <c r="GT169" s="3">
        <f ca="1">IFERROR(__xludf.DUMMYFUNCTION("""COMPUTED_VALUE"""),-0.574497705627541)</f>
        <v>-0.57449770562754099</v>
      </c>
      <c r="GU169" s="3">
        <f ca="1">IFERROR(__xludf.DUMMYFUNCTION("""COMPUTED_VALUE"""),-0.534621922447019)</f>
        <v>-0.534621922447019</v>
      </c>
      <c r="GV169" s="3">
        <f ca="1">IFERROR(__xludf.DUMMYFUNCTION("""COMPUTED_VALUE"""),-0.564116551285355)</f>
        <v>-0.56411655128535498</v>
      </c>
      <c r="GW169" s="3">
        <f ca="1">IFERROR(__xludf.DUMMYFUNCTION("""COMPUTED_VALUE"""),-0.552637018699941)</f>
        <v>-0.55263701869994097</v>
      </c>
      <c r="GX169" s="3">
        <f ca="1">IFERROR(__xludf.DUMMYFUNCTION("""COMPUTED_VALUE"""),-0.500746019445295)</f>
        <v>-0.50074601944529495</v>
      </c>
      <c r="GY169" s="3">
        <f ca="1">IFERROR(__xludf.DUMMYFUNCTION("""COMPUTED_VALUE"""),-0.49590079143153)</f>
        <v>-0.49590079143152999</v>
      </c>
      <c r="GZ169" s="3">
        <f ca="1">IFERROR(__xludf.DUMMYFUNCTION("""COMPUTED_VALUE"""),-0.389752249669654)</f>
        <v>-0.38975224966965399</v>
      </c>
      <c r="HA169" s="3">
        <f ca="1">IFERROR(__xludf.DUMMYFUNCTION("""COMPUTED_VALUE"""),-0.542027240483169)</f>
        <v>-0.54202724048316897</v>
      </c>
      <c r="HB169" s="3">
        <f ca="1">IFERROR(__xludf.DUMMYFUNCTION("""COMPUTED_VALUE"""),-0.478782487513428)</f>
        <v>-0.478782487513428</v>
      </c>
      <c r="HC169" s="3">
        <f ca="1">IFERROR(__xludf.DUMMYFUNCTION("""COMPUTED_VALUE"""),-0.493918123866066)</f>
        <v>-0.49391812386606598</v>
      </c>
      <c r="HD169" s="3">
        <f ca="1">IFERROR(__xludf.DUMMYFUNCTION("""COMPUTED_VALUE"""),-0.506486717177332)</f>
        <v>-0.50648671717733196</v>
      </c>
      <c r="HE169" s="3">
        <f ca="1">IFERROR(__xludf.DUMMYFUNCTION("""COMPUTED_VALUE"""),-0.511782963788272)</f>
        <v>-0.51178296378827204</v>
      </c>
      <c r="HF169" s="3">
        <f ca="1">IFERROR(__xludf.DUMMYFUNCTION("""COMPUTED_VALUE"""),-0.339447829745623)</f>
        <v>-0.33944782974562299</v>
      </c>
      <c r="HG169" s="3">
        <f ca="1">IFERROR(__xludf.DUMMYFUNCTION("""COMPUTED_VALUE"""),-0.391853537502925)</f>
        <v>-0.39185353750292501</v>
      </c>
      <c r="HH169" s="3">
        <f ca="1">IFERROR(__xludf.DUMMYFUNCTION("""COMPUTED_VALUE"""),-0.523478360691855)</f>
        <v>-0.52347836069185505</v>
      </c>
      <c r="HI169" s="3">
        <f ca="1">IFERROR(__xludf.DUMMYFUNCTION("""COMPUTED_VALUE"""),-0.602204388057985)</f>
        <v>-0.60220438805798504</v>
      </c>
      <c r="HJ169" s="3">
        <f ca="1">IFERROR(__xludf.DUMMYFUNCTION("""COMPUTED_VALUE"""),-0.50223396307823)</f>
        <v>-0.50223396307822998</v>
      </c>
      <c r="HK169" s="3">
        <f ca="1">IFERROR(__xludf.DUMMYFUNCTION("""COMPUTED_VALUE"""),-0.521412734989461)</f>
        <v>-0.52141273498946095</v>
      </c>
      <c r="HL169" s="3">
        <f ca="1">IFERROR(__xludf.DUMMYFUNCTION("""COMPUTED_VALUE"""),-0.778088779902815)</f>
        <v>-0.778088779902815</v>
      </c>
      <c r="HM169" s="3">
        <f ca="1">IFERROR(__xludf.DUMMYFUNCTION("""COMPUTED_VALUE"""),-0.472457849612266)</f>
        <v>-0.472457849612266</v>
      </c>
      <c r="HN169" s="3">
        <f ca="1">IFERROR(__xludf.DUMMYFUNCTION("""COMPUTED_VALUE"""),-0.40899813497975)</f>
        <v>-0.40899813497975002</v>
      </c>
      <c r="HO169" s="3">
        <f ca="1">IFERROR(__xludf.DUMMYFUNCTION("""COMPUTED_VALUE"""),-0.586177949832486)</f>
        <v>-0.58617794983248594</v>
      </c>
      <c r="HP169" s="3">
        <f ca="1">IFERROR(__xludf.DUMMYFUNCTION("""COMPUTED_VALUE"""),-0.461257413102508)</f>
        <v>-0.46125741310250801</v>
      </c>
      <c r="HQ169" s="3">
        <f ca="1">IFERROR(__xludf.DUMMYFUNCTION("""COMPUTED_VALUE"""),-0.52747744998914)</f>
        <v>-0.52747744998914003</v>
      </c>
      <c r="HR169" s="3">
        <f ca="1">IFERROR(__xludf.DUMMYFUNCTION("""COMPUTED_VALUE"""),-0.401065158199457)</f>
        <v>-0.40106515819945698</v>
      </c>
      <c r="HS169" s="3">
        <f ca="1">IFERROR(__xludf.DUMMYFUNCTION("""COMPUTED_VALUE"""),-0.398212173995294)</f>
        <v>-0.39821217399529402</v>
      </c>
      <c r="HT169" s="3">
        <f ca="1">IFERROR(__xludf.DUMMYFUNCTION("""COMPUTED_VALUE"""),-0.505247720434673)</f>
        <v>-0.50524772043467303</v>
      </c>
      <c r="HU169" s="3">
        <f ca="1">IFERROR(__xludf.DUMMYFUNCTION("""COMPUTED_VALUE"""),-0.572215494159653)</f>
        <v>-0.572215494159653</v>
      </c>
      <c r="HV169" s="3">
        <f ca="1">IFERROR(__xludf.DUMMYFUNCTION("""COMPUTED_VALUE"""),-0.465836232866941)</f>
        <v>-0.46583623286694098</v>
      </c>
      <c r="HW169" s="3">
        <f ca="1">IFERROR(__xludf.DUMMYFUNCTION("""COMPUTED_VALUE"""),-0.4781369598058)</f>
        <v>-0.47813695980580001</v>
      </c>
      <c r="HX169" s="3">
        <f ca="1">IFERROR(__xludf.DUMMYFUNCTION("""COMPUTED_VALUE"""),-0.594959302483629)</f>
        <v>-0.59495930248362905</v>
      </c>
      <c r="HY169" s="3">
        <f ca="1">IFERROR(__xludf.DUMMYFUNCTION("""COMPUTED_VALUE"""),-0.480076291993342)</f>
        <v>-0.48007629199334201</v>
      </c>
      <c r="HZ169" s="3">
        <f ca="1">IFERROR(__xludf.DUMMYFUNCTION("""COMPUTED_VALUE"""),-0.211397606230528)</f>
        <v>-0.211397606230528</v>
      </c>
      <c r="IA169" s="3">
        <f ca="1">IFERROR(__xludf.DUMMYFUNCTION("""COMPUTED_VALUE"""),-0.510497477023986)</f>
        <v>-0.51049747702398596</v>
      </c>
      <c r="IB169" s="3">
        <f ca="1">IFERROR(__xludf.DUMMYFUNCTION("""COMPUTED_VALUE"""),-0.386413136421099)</f>
        <v>-0.38641313642109898</v>
      </c>
      <c r="IC169" s="3">
        <f ca="1">IFERROR(__xludf.DUMMYFUNCTION("""COMPUTED_VALUE"""),-0.467042312372452)</f>
        <v>-0.46704231237245197</v>
      </c>
      <c r="ID169" s="3">
        <f ca="1">IFERROR(__xludf.DUMMYFUNCTION("""COMPUTED_VALUE"""),-0.561255116886328)</f>
        <v>-0.56125511688632801</v>
      </c>
      <c r="IE169" s="3">
        <f ca="1">IFERROR(__xludf.DUMMYFUNCTION("""COMPUTED_VALUE"""),-0.41789308439774)</f>
        <v>-0.41789308439773998</v>
      </c>
      <c r="IF169" s="3">
        <f ca="1">IFERROR(__xludf.DUMMYFUNCTION("""COMPUTED_VALUE"""),-0.492168954123718)</f>
        <v>-0.49216895412371803</v>
      </c>
      <c r="IG169" s="3">
        <f ca="1">IFERROR(__xludf.DUMMYFUNCTION("""COMPUTED_VALUE"""),-0.560281433273759)</f>
        <v>-0.56028143327375901</v>
      </c>
      <c r="IH169" s="3">
        <f ca="1">IFERROR(__xludf.DUMMYFUNCTION("""COMPUTED_VALUE"""),-0.528465774364607)</f>
        <v>-0.52846577436460695</v>
      </c>
      <c r="II169" s="3">
        <f ca="1">IFERROR(__xludf.DUMMYFUNCTION("""COMPUTED_VALUE"""),-0.551845966816262)</f>
        <v>-0.55184596681626197</v>
      </c>
      <c r="IJ169" s="3">
        <f ca="1">IFERROR(__xludf.DUMMYFUNCTION("""COMPUTED_VALUE"""),-0.527004654408112)</f>
        <v>-0.52700465440811195</v>
      </c>
      <c r="IK169" s="3">
        <f ca="1">IFERROR(__xludf.DUMMYFUNCTION("""COMPUTED_VALUE"""),-0.58364727932904)</f>
        <v>-0.58364727932904004</v>
      </c>
      <c r="IL169" s="3">
        <f ca="1">IFERROR(__xludf.DUMMYFUNCTION("""COMPUTED_VALUE"""),-0.478370567749306)</f>
        <v>-0.47837056774930597</v>
      </c>
      <c r="IM169" s="3">
        <f ca="1">IFERROR(__xludf.DUMMYFUNCTION("""COMPUTED_VALUE"""),-0.464079268285062)</f>
        <v>-0.46407926828506202</v>
      </c>
      <c r="IN169" s="3">
        <f ca="1">IFERROR(__xludf.DUMMYFUNCTION("""COMPUTED_VALUE"""),-0.624103322551203)</f>
        <v>-0.62410332255120304</v>
      </c>
      <c r="IO169" s="3">
        <f ca="1">IFERROR(__xludf.DUMMYFUNCTION("""COMPUTED_VALUE"""),-0.52989241000264)</f>
        <v>-0.52989241000263998</v>
      </c>
      <c r="IP169" s="3">
        <f ca="1">IFERROR(__xludf.DUMMYFUNCTION("""COMPUTED_VALUE"""),-0.44274118576047)</f>
        <v>-0.44274118576047</v>
      </c>
      <c r="IQ169" s="3">
        <f ca="1">IFERROR(__xludf.DUMMYFUNCTION("""COMPUTED_VALUE"""),-0.550110325586695)</f>
        <v>-0.55011032558669504</v>
      </c>
      <c r="IR169" s="3">
        <f ca="1">IFERROR(__xludf.DUMMYFUNCTION("""COMPUTED_VALUE"""),-0.596125044105263)</f>
        <v>-0.59612504410526301</v>
      </c>
      <c r="IS169" s="3">
        <f ca="1">IFERROR(__xludf.DUMMYFUNCTION("""COMPUTED_VALUE"""),-0.47198002196386)</f>
        <v>-0.47198002196386002</v>
      </c>
      <c r="IT169" s="3">
        <f ca="1">IFERROR(__xludf.DUMMYFUNCTION("""COMPUTED_VALUE"""),-0.569793669436533)</f>
        <v>-0.56979366943653298</v>
      </c>
      <c r="IU169" s="3">
        <f ca="1">IFERROR(__xludf.DUMMYFUNCTION("""COMPUTED_VALUE"""),-0.575255088976573)</f>
        <v>-0.57525508897657296</v>
      </c>
      <c r="IV169" s="3">
        <f ca="1">IFERROR(__xludf.DUMMYFUNCTION("""COMPUTED_VALUE"""),-0.597130915419293)</f>
        <v>-0.59713091541929297</v>
      </c>
      <c r="IW169" s="3">
        <f ca="1">IFERROR(__xludf.DUMMYFUNCTION("""COMPUTED_VALUE"""),-0.48482166611846)</f>
        <v>-0.48482166611846</v>
      </c>
      <c r="IX169" s="3">
        <f ca="1">IFERROR(__xludf.DUMMYFUNCTION("""COMPUTED_VALUE"""),-0.48785473064512)</f>
        <v>-0.48785473064512003</v>
      </c>
      <c r="IY169" s="3">
        <f ca="1">IFERROR(__xludf.DUMMYFUNCTION("""COMPUTED_VALUE"""),-0.585272888271548)</f>
        <v>-0.585272888271548</v>
      </c>
      <c r="IZ169" s="3">
        <f ca="1">IFERROR(__xludf.DUMMYFUNCTION("""COMPUTED_VALUE"""),-0.533542647666925)</f>
        <v>-0.53354264766692505</v>
      </c>
      <c r="JA169" s="3">
        <f ca="1">IFERROR(__xludf.DUMMYFUNCTION("""COMPUTED_VALUE"""),-0.352527595798639)</f>
        <v>-0.35252759579863902</v>
      </c>
      <c r="JB169" s="3">
        <f ca="1">IFERROR(__xludf.DUMMYFUNCTION("""COMPUTED_VALUE"""),-0.553005160149481)</f>
        <v>-0.55300516014948098</v>
      </c>
      <c r="JC169" s="3">
        <f ca="1">IFERROR(__xludf.DUMMYFUNCTION("""COMPUTED_VALUE"""),-0.552438834909863)</f>
        <v>-0.55243883490986301</v>
      </c>
      <c r="JD169" s="3">
        <f ca="1">IFERROR(__xludf.DUMMYFUNCTION("""COMPUTED_VALUE"""),-0.390135314674582)</f>
        <v>-0.39013531467458201</v>
      </c>
      <c r="JE169" s="3">
        <f ca="1">IFERROR(__xludf.DUMMYFUNCTION("""COMPUTED_VALUE"""),-0.549507762115198)</f>
        <v>-0.54950776211519803</v>
      </c>
      <c r="JF169" s="3">
        <f ca="1">IFERROR(__xludf.DUMMYFUNCTION("""COMPUTED_VALUE"""),-0.537125961792027)</f>
        <v>-0.53712596179202698</v>
      </c>
      <c r="JG169" s="3">
        <f ca="1">IFERROR(__xludf.DUMMYFUNCTION("""COMPUTED_VALUE"""),-0.506560619049)</f>
        <v>-0.50656061904899996</v>
      </c>
      <c r="JH169" s="3">
        <f ca="1">IFERROR(__xludf.DUMMYFUNCTION("""COMPUTED_VALUE"""),-0.443988875059388)</f>
        <v>-0.443988875059388</v>
      </c>
      <c r="JI169" s="3">
        <f ca="1">IFERROR(__xludf.DUMMYFUNCTION("""COMPUTED_VALUE"""),-0.586457325101517)</f>
        <v>-0.58645732510151705</v>
      </c>
      <c r="JJ169" s="3">
        <f ca="1">IFERROR(__xludf.DUMMYFUNCTION("""COMPUTED_VALUE"""),-0.570971197581868)</f>
        <v>-0.57097119758186798</v>
      </c>
      <c r="JK169" s="3">
        <f ca="1">IFERROR(__xludf.DUMMYFUNCTION("""COMPUTED_VALUE"""),-0.504879275868659)</f>
        <v>-0.50487927586865899</v>
      </c>
      <c r="JL169" s="3">
        <f ca="1">IFERROR(__xludf.DUMMYFUNCTION("""COMPUTED_VALUE"""),-0.540143497685171)</f>
        <v>-0.540143497685171</v>
      </c>
      <c r="JM169" s="3">
        <f ca="1">IFERROR(__xludf.DUMMYFUNCTION("""COMPUTED_VALUE"""),-0.515817246269019)</f>
        <v>-0.51581724626901904</v>
      </c>
      <c r="JN169" s="3">
        <f ca="1">IFERROR(__xludf.DUMMYFUNCTION("""COMPUTED_VALUE"""),-0.522462393106953)</f>
        <v>-0.52246239310695297</v>
      </c>
      <c r="JO169" s="3">
        <f ca="1">IFERROR(__xludf.DUMMYFUNCTION("""COMPUTED_VALUE"""),-0.52629874189188)</f>
        <v>-0.52629874189187997</v>
      </c>
      <c r="JP169" s="3">
        <f ca="1">IFERROR(__xludf.DUMMYFUNCTION("""COMPUTED_VALUE"""),-0.491312716181231)</f>
        <v>-0.49131271618123101</v>
      </c>
      <c r="JQ169" s="3">
        <f ca="1">IFERROR(__xludf.DUMMYFUNCTION("""COMPUTED_VALUE"""),-0.3692765725837)</f>
        <v>-0.3692765725837</v>
      </c>
      <c r="JR169" s="3">
        <f ca="1">IFERROR(__xludf.DUMMYFUNCTION("""COMPUTED_VALUE"""),-0.430303045429124)</f>
        <v>-0.43030304542912401</v>
      </c>
      <c r="JS169" s="3">
        <f ca="1">IFERROR(__xludf.DUMMYFUNCTION("""COMPUTED_VALUE"""),-0.521795651428177)</f>
        <v>-0.52179565142817697</v>
      </c>
      <c r="JT169" s="3">
        <f ca="1">IFERROR(__xludf.DUMMYFUNCTION("""COMPUTED_VALUE"""),-0.343418622234385)</f>
        <v>-0.34341862223438502</v>
      </c>
      <c r="JU169" s="3">
        <f ca="1">IFERROR(__xludf.DUMMYFUNCTION("""COMPUTED_VALUE"""),-0.505638689334827)</f>
        <v>-0.50563868933482703</v>
      </c>
      <c r="JV169" s="3">
        <f ca="1">IFERROR(__xludf.DUMMYFUNCTION("""COMPUTED_VALUE"""),-0.470344519161573)</f>
        <v>-0.47034451916157299</v>
      </c>
      <c r="JW169" s="3">
        <f ca="1">IFERROR(__xludf.DUMMYFUNCTION("""COMPUTED_VALUE"""),-0.45856307295091)</f>
        <v>-0.45856307295090998</v>
      </c>
      <c r="JX169" s="3">
        <f ca="1">IFERROR(__xludf.DUMMYFUNCTION("""COMPUTED_VALUE"""),-0.488904489672584)</f>
        <v>-0.48890448967258399</v>
      </c>
      <c r="JY169" s="3">
        <f ca="1">IFERROR(__xludf.DUMMYFUNCTION("""COMPUTED_VALUE"""),-0.701538385317133)</f>
        <v>-0.70153838531713297</v>
      </c>
      <c r="JZ169" s="3">
        <f ca="1">IFERROR(__xludf.DUMMYFUNCTION("""COMPUTED_VALUE"""),-0.481572920484814)</f>
        <v>-0.48157292048481398</v>
      </c>
      <c r="KA169" s="3">
        <f ca="1">IFERROR(__xludf.DUMMYFUNCTION("""COMPUTED_VALUE"""),-0.315324050955278)</f>
        <v>-0.31532405095527799</v>
      </c>
      <c r="KB169" s="3">
        <f ca="1">IFERROR(__xludf.DUMMYFUNCTION("""COMPUTED_VALUE"""),-0.613863540365222)</f>
        <v>-0.61386354036522195</v>
      </c>
      <c r="KC169" s="3">
        <f ca="1">IFERROR(__xludf.DUMMYFUNCTION("""COMPUTED_VALUE"""),-0.568256325371004)</f>
        <v>-0.56825632537100401</v>
      </c>
      <c r="KD169" s="3">
        <f ca="1">IFERROR(__xludf.DUMMYFUNCTION("""COMPUTED_VALUE"""),-0.569385193273526)</f>
        <v>-0.56938519327352599</v>
      </c>
      <c r="KE169" s="3">
        <f ca="1">IFERROR(__xludf.DUMMYFUNCTION("""COMPUTED_VALUE"""),-0.485849340125925)</f>
        <v>-0.48584934012592501</v>
      </c>
      <c r="KF169" s="3">
        <f ca="1">IFERROR(__xludf.DUMMYFUNCTION("""COMPUTED_VALUE"""),-0.584546225659312)</f>
        <v>-0.58454622565931202</v>
      </c>
      <c r="KG169" s="3">
        <f ca="1">IFERROR(__xludf.DUMMYFUNCTION("""COMPUTED_VALUE"""),-0.480415269031393)</f>
        <v>-0.48041526903139298</v>
      </c>
      <c r="KH169" s="3">
        <f ca="1">IFERROR(__xludf.DUMMYFUNCTION("""COMPUTED_VALUE"""),-0.35859196300334)</f>
        <v>-0.35859196300334001</v>
      </c>
      <c r="KI169" s="3">
        <f ca="1">IFERROR(__xludf.DUMMYFUNCTION("""COMPUTED_VALUE"""),-0.607124984161753)</f>
        <v>-0.60712498416175298</v>
      </c>
      <c r="KJ169" s="3">
        <f ca="1">IFERROR(__xludf.DUMMYFUNCTION("""COMPUTED_VALUE"""),-0.505798396450359)</f>
        <v>-0.50579839645035896</v>
      </c>
      <c r="KK169" s="3">
        <f ca="1">IFERROR(__xludf.DUMMYFUNCTION("""COMPUTED_VALUE"""),-0.554332401532436)</f>
        <v>-0.55433240153243601</v>
      </c>
      <c r="KL169" s="3">
        <f ca="1">IFERROR(__xludf.DUMMYFUNCTION("""COMPUTED_VALUE"""),-0.381647799895563)</f>
        <v>-0.38164779989556302</v>
      </c>
      <c r="KM169" s="3">
        <f ca="1">IFERROR(__xludf.DUMMYFUNCTION("""COMPUTED_VALUE"""),-0.646109954200068)</f>
        <v>-0.646109954200068</v>
      </c>
      <c r="KN169" s="3">
        <f ca="1">IFERROR(__xludf.DUMMYFUNCTION("""COMPUTED_VALUE"""),-0.363447101752392)</f>
        <v>-0.36344710175239198</v>
      </c>
      <c r="KO169" s="3">
        <f ca="1">IFERROR(__xludf.DUMMYFUNCTION("""COMPUTED_VALUE"""),-0.470719019754663)</f>
        <v>-0.47071901975466302</v>
      </c>
      <c r="KP169" s="3">
        <f ca="1">IFERROR(__xludf.DUMMYFUNCTION("""COMPUTED_VALUE"""),-0.522494858444587)</f>
        <v>-0.52249485844458698</v>
      </c>
      <c r="KQ169" s="3">
        <f ca="1">IFERROR(__xludf.DUMMYFUNCTION("""COMPUTED_VALUE"""),-0.571094381594997)</f>
        <v>-0.57109438159499704</v>
      </c>
      <c r="KR169" s="3">
        <f ca="1">IFERROR(__xludf.DUMMYFUNCTION("""COMPUTED_VALUE"""),-0.619827023075169)</f>
        <v>-0.61982702307516901</v>
      </c>
      <c r="KS169" s="3">
        <f ca="1">IFERROR(__xludf.DUMMYFUNCTION("""COMPUTED_VALUE"""),-0.509968614781856)</f>
        <v>-0.50996861478185596</v>
      </c>
      <c r="KT169" s="3">
        <f ca="1">IFERROR(__xludf.DUMMYFUNCTION("""COMPUTED_VALUE"""),-0.620029991233685)</f>
        <v>-0.62002999123368496</v>
      </c>
      <c r="KU169" s="3">
        <f ca="1">IFERROR(__xludf.DUMMYFUNCTION("""COMPUTED_VALUE"""),-0.739848975768688)</f>
        <v>-0.73984897576868802</v>
      </c>
      <c r="KV169" s="3">
        <f ca="1">IFERROR(__xludf.DUMMYFUNCTION("""COMPUTED_VALUE"""),-0.45441419021342)</f>
        <v>-0.45441419021342</v>
      </c>
      <c r="KW169" s="3">
        <f ca="1">IFERROR(__xludf.DUMMYFUNCTION("""COMPUTED_VALUE"""),-0.635248127534343)</f>
        <v>-0.63524812753434301</v>
      </c>
      <c r="KX169" s="3">
        <f ca="1">IFERROR(__xludf.DUMMYFUNCTION("""COMPUTED_VALUE"""),-0.516701786030977)</f>
        <v>-0.51670178603097705</v>
      </c>
      <c r="KY169" s="3">
        <f ca="1">IFERROR(__xludf.DUMMYFUNCTION("""COMPUTED_VALUE"""),-0.563787427379501)</f>
        <v>-0.56378742737950105</v>
      </c>
      <c r="KZ169" s="3">
        <f ca="1">IFERROR(__xludf.DUMMYFUNCTION("""COMPUTED_VALUE"""),-0.684938422143195)</f>
        <v>-0.684938422143195</v>
      </c>
      <c r="LA169" s="3">
        <f ca="1">IFERROR(__xludf.DUMMYFUNCTION("""COMPUTED_VALUE"""),-0.774932502298558)</f>
        <v>-0.77493250229855803</v>
      </c>
      <c r="LB169" s="3">
        <f ca="1">IFERROR(__xludf.DUMMYFUNCTION("""COMPUTED_VALUE"""),-0.677093385990487)</f>
        <v>-0.67709338599048696</v>
      </c>
      <c r="LC169" s="3">
        <f ca="1">IFERROR(__xludf.DUMMYFUNCTION("""COMPUTED_VALUE"""),-0.586962928873945)</f>
        <v>-0.58696292887394497</v>
      </c>
      <c r="LD169" s="3">
        <f ca="1">IFERROR(__xludf.DUMMYFUNCTION("""COMPUTED_VALUE"""),-0.696814519893799)</f>
        <v>-0.69681451989379894</v>
      </c>
      <c r="LE169" s="3">
        <f ca="1">IFERROR(__xludf.DUMMYFUNCTION("""COMPUTED_VALUE"""),-0.686649639592467)</f>
        <v>-0.68664963959246705</v>
      </c>
      <c r="LF169" s="3">
        <f ca="1">IFERROR(__xludf.DUMMYFUNCTION("""COMPUTED_VALUE"""),-0.643644367570809)</f>
        <v>-0.64364436757080901</v>
      </c>
      <c r="LG169" s="3">
        <f ca="1">IFERROR(__xludf.DUMMYFUNCTION("""COMPUTED_VALUE"""),-0.606900396159982)</f>
        <v>-0.60690039615998204</v>
      </c>
      <c r="LH169" s="3">
        <f ca="1">IFERROR(__xludf.DUMMYFUNCTION("""COMPUTED_VALUE"""),-0.625436333451192)</f>
        <v>-0.62543633345119198</v>
      </c>
      <c r="LI169" s="3">
        <f ca="1">IFERROR(__xludf.DUMMYFUNCTION("""COMPUTED_VALUE"""),-0.682551610208952)</f>
        <v>-0.68255161020895205</v>
      </c>
      <c r="LJ169" s="3">
        <f ca="1">IFERROR(__xludf.DUMMYFUNCTION("""COMPUTED_VALUE"""),-0.703160102556798)</f>
        <v>-0.70316010255679795</v>
      </c>
      <c r="LK169" s="3">
        <f ca="1">IFERROR(__xludf.DUMMYFUNCTION("""COMPUTED_VALUE"""),-0.732214391769018)</f>
        <v>-0.73221439176901804</v>
      </c>
      <c r="LL169" s="3">
        <f ca="1">IFERROR(__xludf.DUMMYFUNCTION("""COMPUTED_VALUE"""),-0.607840200360023)</f>
        <v>-0.60784020036002295</v>
      </c>
      <c r="LM169" s="3">
        <f ca="1">IFERROR(__xludf.DUMMYFUNCTION("""COMPUTED_VALUE"""),-0.917593271577078)</f>
        <v>-0.91759327157707804</v>
      </c>
      <c r="LN169" s="3">
        <f ca="1">IFERROR(__xludf.DUMMYFUNCTION("""COMPUTED_VALUE"""),-0.574313720881352)</f>
        <v>-0.57431372088135202</v>
      </c>
      <c r="LO169" s="3">
        <f ca="1">IFERROR(__xludf.DUMMYFUNCTION("""COMPUTED_VALUE"""),-0.843436324514306)</f>
        <v>-0.84343632451430595</v>
      </c>
      <c r="LP169" s="3">
        <f ca="1">IFERROR(__xludf.DUMMYFUNCTION("""COMPUTED_VALUE"""),-0.73131972846012)</f>
        <v>-0.73131972846012006</v>
      </c>
      <c r="LQ169" s="3">
        <f ca="1">IFERROR(__xludf.DUMMYFUNCTION("""COMPUTED_VALUE"""),-0.617727620588556)</f>
        <v>-0.61772762058855601</v>
      </c>
      <c r="LR169" s="3">
        <f ca="1">IFERROR(__xludf.DUMMYFUNCTION("""COMPUTED_VALUE"""),-0.815140457158057)</f>
        <v>-0.81514045715805705</v>
      </c>
      <c r="LS169" s="3">
        <f ca="1">IFERROR(__xludf.DUMMYFUNCTION("""COMPUTED_VALUE"""),-0.689017071054809)</f>
        <v>-0.68901707105480903</v>
      </c>
      <c r="LT169" s="3">
        <f ca="1">IFERROR(__xludf.DUMMYFUNCTION("""COMPUTED_VALUE"""),-0.609957315622047)</f>
        <v>-0.60995731562204702</v>
      </c>
      <c r="LU169" s="3">
        <f ca="1">IFERROR(__xludf.DUMMYFUNCTION("""COMPUTED_VALUE"""),-0.659823405986753)</f>
        <v>-0.65982340598675304</v>
      </c>
      <c r="LV169" s="3">
        <f ca="1">IFERROR(__xludf.DUMMYFUNCTION("""COMPUTED_VALUE"""),-0.832761958259077)</f>
        <v>-0.83276195825907695</v>
      </c>
      <c r="LW169" s="3">
        <f ca="1">IFERROR(__xludf.DUMMYFUNCTION("""COMPUTED_VALUE"""),-0.783496078585843)</f>
        <v>-0.78349607858584303</v>
      </c>
      <c r="LX169" s="3">
        <f ca="1">IFERROR(__xludf.DUMMYFUNCTION("""COMPUTED_VALUE"""),-0.704736332772182)</f>
        <v>-0.70473633277218195</v>
      </c>
      <c r="LY169" s="3">
        <f ca="1">IFERROR(__xludf.DUMMYFUNCTION("""COMPUTED_VALUE"""),-0.748383601702725)</f>
        <v>-0.748383601702725</v>
      </c>
      <c r="LZ169" s="3">
        <f ca="1">IFERROR(__xludf.DUMMYFUNCTION("""COMPUTED_VALUE"""),-0.696333587088501)</f>
        <v>-0.69633358708850102</v>
      </c>
      <c r="MA169" s="3">
        <f ca="1">IFERROR(__xludf.DUMMYFUNCTION("""COMPUTED_VALUE"""),-0.834279067387575)</f>
        <v>-0.83427906738757496</v>
      </c>
      <c r="MB169" s="3">
        <f ca="1">IFERROR(__xludf.DUMMYFUNCTION("""COMPUTED_VALUE"""),-0.687893096040601)</f>
        <v>-0.687893096040601</v>
      </c>
      <c r="MC169" s="3">
        <f ca="1">IFERROR(__xludf.DUMMYFUNCTION("""COMPUTED_VALUE"""),-0.847970592460259)</f>
        <v>-0.84797059246025897</v>
      </c>
      <c r="MD169" s="3">
        <f ca="1">IFERROR(__xludf.DUMMYFUNCTION("""COMPUTED_VALUE"""),-0.761823140351881)</f>
        <v>-0.76182314035188103</v>
      </c>
      <c r="ME169" s="3">
        <f ca="1">IFERROR(__xludf.DUMMYFUNCTION("""COMPUTED_VALUE"""),-0.770120067760889)</f>
        <v>-0.77012006776088904</v>
      </c>
      <c r="MF169" s="3">
        <f ca="1">IFERROR(__xludf.DUMMYFUNCTION("""COMPUTED_VALUE"""),-0.784179673469196)</f>
        <v>-0.78417967346919604</v>
      </c>
      <c r="MG169" s="3">
        <f ca="1">IFERROR(__xludf.DUMMYFUNCTION("""COMPUTED_VALUE"""),-0.709071321128732)</f>
        <v>-0.70907132112873195</v>
      </c>
      <c r="MH169" s="3">
        <f ca="1">IFERROR(__xludf.DUMMYFUNCTION("""COMPUTED_VALUE"""),-0.713418762509867)</f>
        <v>-0.71341876250986702</v>
      </c>
      <c r="MI169" s="3">
        <f ca="1">IFERROR(__xludf.DUMMYFUNCTION("""COMPUTED_VALUE"""),-0.703485219998783)</f>
        <v>-0.703485219998783</v>
      </c>
      <c r="MJ169" s="3">
        <f ca="1">IFERROR(__xludf.DUMMYFUNCTION("""COMPUTED_VALUE"""),-0.798654269532091)</f>
        <v>-0.79865426953209095</v>
      </c>
      <c r="MK169" s="3">
        <f ca="1">IFERROR(__xludf.DUMMYFUNCTION("""COMPUTED_VALUE"""),-0.800335643329502)</f>
        <v>-0.80033564332950202</v>
      </c>
      <c r="ML169" s="3">
        <f ca="1">IFERROR(__xludf.DUMMYFUNCTION("""COMPUTED_VALUE"""),-0.764898573105752)</f>
        <v>-0.76489857310575204</v>
      </c>
      <c r="MM169" s="3">
        <f ca="1">IFERROR(__xludf.DUMMYFUNCTION("""COMPUTED_VALUE"""),-0.739062514672481)</f>
        <v>-0.73906251467248096</v>
      </c>
      <c r="MN169" s="3">
        <f ca="1">IFERROR(__xludf.DUMMYFUNCTION("""COMPUTED_VALUE"""),-0.658159717898182)</f>
        <v>-0.65815971789818195</v>
      </c>
      <c r="MO169" s="3">
        <f ca="1">IFERROR(__xludf.DUMMYFUNCTION("""COMPUTED_VALUE"""),-0.745836456541613)</f>
        <v>-0.74583645654161301</v>
      </c>
      <c r="MP169" s="3">
        <f ca="1">IFERROR(__xludf.DUMMYFUNCTION("""COMPUTED_VALUE"""),-0.741879295784438)</f>
        <v>-0.74187929578443801</v>
      </c>
      <c r="MQ169" s="3">
        <f ca="1">IFERROR(__xludf.DUMMYFUNCTION("""COMPUTED_VALUE"""),-0.745209700666055)</f>
        <v>-0.74520970066605496</v>
      </c>
      <c r="MR169" s="3">
        <f ca="1">IFERROR(__xludf.DUMMYFUNCTION("""COMPUTED_VALUE"""),-0.763469269158706)</f>
        <v>-0.76346926915870605</v>
      </c>
      <c r="MS169" s="3">
        <f ca="1">IFERROR(__xludf.DUMMYFUNCTION("""COMPUTED_VALUE"""),-0.816068768356399)</f>
        <v>-0.81606876835639897</v>
      </c>
      <c r="MT169" s="3">
        <f ca="1">IFERROR(__xludf.DUMMYFUNCTION("""COMPUTED_VALUE"""),-0.783168438898976)</f>
        <v>-0.78316843889897603</v>
      </c>
      <c r="MU169" s="3">
        <f ca="1">IFERROR(__xludf.DUMMYFUNCTION("""COMPUTED_VALUE"""),-0.730627467883305)</f>
        <v>-0.73062746788330502</v>
      </c>
      <c r="MV169" s="3">
        <f ca="1">IFERROR(__xludf.DUMMYFUNCTION("""COMPUTED_VALUE"""),-0.732484113312525)</f>
        <v>-0.73248411331252505</v>
      </c>
      <c r="MW169" s="3">
        <f ca="1">IFERROR(__xludf.DUMMYFUNCTION("""COMPUTED_VALUE"""),-0.587068775641166)</f>
        <v>-0.587068775641166</v>
      </c>
      <c r="MX169" s="3">
        <f ca="1">IFERROR(__xludf.DUMMYFUNCTION("""COMPUTED_VALUE"""),-0.82201992328322)</f>
        <v>-0.82201992328322004</v>
      </c>
      <c r="MY169" s="3">
        <f ca="1">IFERROR(__xludf.DUMMYFUNCTION("""COMPUTED_VALUE"""),-0.793243339388059)</f>
        <v>-0.79324333938805902</v>
      </c>
      <c r="MZ169" s="3">
        <f ca="1">IFERROR(__xludf.DUMMYFUNCTION("""COMPUTED_VALUE"""),-0.706879536012385)</f>
        <v>-0.70687953601238496</v>
      </c>
      <c r="NA169" s="3">
        <f ca="1">IFERROR(__xludf.DUMMYFUNCTION("""COMPUTED_VALUE"""),-0.744222276378229)</f>
        <v>-0.74422227637822902</v>
      </c>
      <c r="NB169" s="3">
        <f ca="1">IFERROR(__xludf.DUMMYFUNCTION("""COMPUTED_VALUE"""),-0.705185743731151)</f>
        <v>-0.70518574373115095</v>
      </c>
      <c r="NC169" s="3">
        <f ca="1">IFERROR(__xludf.DUMMYFUNCTION("""COMPUTED_VALUE"""),-0.726971630770348)</f>
        <v>-0.72697163077034799</v>
      </c>
      <c r="ND169" s="3">
        <f ca="1">IFERROR(__xludf.DUMMYFUNCTION("""COMPUTED_VALUE"""),-0.674348632989797)</f>
        <v>-0.67434863298979697</v>
      </c>
      <c r="NE169" s="3">
        <f ca="1">IFERROR(__xludf.DUMMYFUNCTION("""COMPUTED_VALUE"""),-0.763427108393861)</f>
        <v>-0.76342710839386096</v>
      </c>
      <c r="NF169" s="3">
        <f ca="1">IFERROR(__xludf.DUMMYFUNCTION("""COMPUTED_VALUE"""),-0.735168072925184)</f>
        <v>-0.73516807292518405</v>
      </c>
      <c r="NG169" s="3">
        <f ca="1">IFERROR(__xludf.DUMMYFUNCTION("""COMPUTED_VALUE"""),-0.787454581914609)</f>
        <v>-0.78745458191460904</v>
      </c>
      <c r="NH169" s="3">
        <f ca="1">IFERROR(__xludf.DUMMYFUNCTION("""COMPUTED_VALUE"""),-0.774553985772049)</f>
        <v>-0.77455398577204904</v>
      </c>
      <c r="NI169" s="3">
        <f ca="1">IFERROR(__xludf.DUMMYFUNCTION("""COMPUTED_VALUE"""),-0.720451276827813)</f>
        <v>-0.72045127682781296</v>
      </c>
      <c r="NJ169" s="3">
        <f ca="1">IFERROR(__xludf.DUMMYFUNCTION("""COMPUTED_VALUE"""),-0.678832867419519)</f>
        <v>-0.67883286741951898</v>
      </c>
      <c r="NK169" s="3">
        <f ca="1">IFERROR(__xludf.DUMMYFUNCTION("""COMPUTED_VALUE"""),-0.487389719550247)</f>
        <v>-0.48738971955024701</v>
      </c>
      <c r="NL169" s="3">
        <f ca="1">IFERROR(__xludf.DUMMYFUNCTION("""COMPUTED_VALUE"""),-0.714407955119733)</f>
        <v>-0.71440795511973298</v>
      </c>
      <c r="NM169" s="3">
        <f ca="1">IFERROR(__xludf.DUMMYFUNCTION("""COMPUTED_VALUE"""),-0.818840353851264)</f>
        <v>-0.81884035385126397</v>
      </c>
      <c r="NN169" s="3">
        <f ca="1">IFERROR(__xludf.DUMMYFUNCTION("""COMPUTED_VALUE"""),-0.727854442742167)</f>
        <v>-0.72785444274216704</v>
      </c>
      <c r="NO169" s="3">
        <f ca="1">IFERROR(__xludf.DUMMYFUNCTION("""COMPUTED_VALUE"""),-0.738638039436438)</f>
        <v>-0.73863803943643802</v>
      </c>
      <c r="NP169" s="3">
        <f ca="1">IFERROR(__xludf.DUMMYFUNCTION("""COMPUTED_VALUE"""),-0.668986659857185)</f>
        <v>-0.66898665985718497</v>
      </c>
      <c r="NQ169" s="3">
        <f ca="1">IFERROR(__xludf.DUMMYFUNCTION("""COMPUTED_VALUE"""),-0.782123562046815)</f>
        <v>-0.78212356204681499</v>
      </c>
      <c r="NR169" s="3">
        <f ca="1">IFERROR(__xludf.DUMMYFUNCTION("""COMPUTED_VALUE"""),-0.758416102959158)</f>
        <v>-0.75841610295915796</v>
      </c>
      <c r="NS169" s="3">
        <f ca="1">IFERROR(__xludf.DUMMYFUNCTION("""COMPUTED_VALUE"""),-0.733736391937968)</f>
        <v>-0.73373639193796802</v>
      </c>
      <c r="NT169" s="3">
        <f ca="1">IFERROR(__xludf.DUMMYFUNCTION("""COMPUTED_VALUE"""),-0.769394808594245)</f>
        <v>-0.76939480859424503</v>
      </c>
      <c r="NU169" s="3">
        <f ca="1">IFERROR(__xludf.DUMMYFUNCTION("""COMPUTED_VALUE"""),-0.652743817882989)</f>
        <v>-0.65274381788298896</v>
      </c>
      <c r="NV169" s="3">
        <f ca="1">IFERROR(__xludf.DUMMYFUNCTION("""COMPUTED_VALUE"""),-0.664307142553403)</f>
        <v>-0.66430714255340295</v>
      </c>
      <c r="NW169" s="3">
        <f ca="1">IFERROR(__xludf.DUMMYFUNCTION("""COMPUTED_VALUE"""),-0.682608333935247)</f>
        <v>-0.682608333935247</v>
      </c>
      <c r="NX169" s="3">
        <f ca="1">IFERROR(__xludf.DUMMYFUNCTION("""COMPUTED_VALUE"""),-0.69577196557614)</f>
        <v>-0.69577196557613996</v>
      </c>
      <c r="NY169" s="3">
        <f ca="1">IFERROR(__xludf.DUMMYFUNCTION("""COMPUTED_VALUE"""),-0.338101956279552)</f>
        <v>-0.33810195627955197</v>
      </c>
      <c r="NZ169" s="3">
        <f ca="1">IFERROR(__xludf.DUMMYFUNCTION("""COMPUTED_VALUE"""),-0.560244667639318)</f>
        <v>-0.56024466763931802</v>
      </c>
      <c r="OA169" s="3">
        <f ca="1">IFERROR(__xludf.DUMMYFUNCTION("""COMPUTED_VALUE"""),-0.680652393962713)</f>
        <v>-0.68065239396271304</v>
      </c>
      <c r="OB169" s="3">
        <f ca="1">IFERROR(__xludf.DUMMYFUNCTION("""COMPUTED_VALUE"""),-0.594358662542709)</f>
        <v>-0.59435866254270897</v>
      </c>
      <c r="OC169" s="3">
        <f ca="1">IFERROR(__xludf.DUMMYFUNCTION("""COMPUTED_VALUE"""),-0.599966726104056)</f>
        <v>-0.59996672610405599</v>
      </c>
      <c r="OD169" s="3">
        <f ca="1">IFERROR(__xludf.DUMMYFUNCTION("""COMPUTED_VALUE"""),-0.585017652538121)</f>
        <v>-0.58501765253812099</v>
      </c>
      <c r="OE169" s="3">
        <f ca="1">IFERROR(__xludf.DUMMYFUNCTION("""COMPUTED_VALUE"""),-0.38054997968767)</f>
        <v>-0.38054997968767001</v>
      </c>
      <c r="OF169" s="3">
        <f ca="1">IFERROR(__xludf.DUMMYFUNCTION("""COMPUTED_VALUE"""),-0.205681775270196)</f>
        <v>-0.20568177527019599</v>
      </c>
      <c r="OG169" s="3">
        <f ca="1">IFERROR(__xludf.DUMMYFUNCTION("""COMPUTED_VALUE"""),-0.120241692823848)</f>
        <v>-0.120241692823848</v>
      </c>
      <c r="OH169" s="3">
        <f ca="1">IFERROR(__xludf.DUMMYFUNCTION("""COMPUTED_VALUE"""),-0.401561293177973)</f>
        <v>-0.40156129317797301</v>
      </c>
      <c r="OI169" s="3">
        <f ca="1">IFERROR(__xludf.DUMMYFUNCTION("""COMPUTED_VALUE"""),-0.15559783788598)</f>
        <v>-0.15559783788598</v>
      </c>
      <c r="OJ169" s="3">
        <f ca="1">IFERROR(__xludf.DUMMYFUNCTION("""COMPUTED_VALUE"""),-0.0251718469004398)</f>
        <v>-2.51718469004398E-2</v>
      </c>
      <c r="OK169" s="3">
        <f ca="1">IFERROR(__xludf.DUMMYFUNCTION("""COMPUTED_VALUE"""),-0.207309229018198)</f>
        <v>-0.20730922901819801</v>
      </c>
      <c r="OL169" s="3">
        <f ca="1">IFERROR(__xludf.DUMMYFUNCTION("""COMPUTED_VALUE"""),-0.0140513069845695)</f>
        <v>-1.40513069845695E-2</v>
      </c>
      <c r="OM169" s="3">
        <f ca="1">IFERROR(__xludf.DUMMYFUNCTION("""COMPUTED_VALUE"""),0.0159769630883579)</f>
        <v>1.5976963088357901E-2</v>
      </c>
      <c r="ON169" s="3">
        <f ca="1">IFERROR(__xludf.DUMMYFUNCTION("""COMPUTED_VALUE"""),0.17283774981408)</f>
        <v>0.17283774981408001</v>
      </c>
      <c r="OO169" s="3">
        <f ca="1">IFERROR(__xludf.DUMMYFUNCTION("""COMPUTED_VALUE"""),-0.145344277583378)</f>
        <v>-0.14534427758337801</v>
      </c>
      <c r="OP169" s="3">
        <f ca="1">IFERROR(__xludf.DUMMYFUNCTION("""COMPUTED_VALUE"""),0.0018161152296352)</f>
        <v>1.8161152296352001E-3</v>
      </c>
      <c r="OQ169" s="3">
        <f ca="1">IFERROR(__xludf.DUMMYFUNCTION("""COMPUTED_VALUE"""),-0.0675399863647645)</f>
        <v>-6.7539986364764507E-2</v>
      </c>
      <c r="OR169" s="3">
        <f ca="1">IFERROR(__xludf.DUMMYFUNCTION("""COMPUTED_VALUE"""),0.152726903814728)</f>
        <v>0.152726903814728</v>
      </c>
      <c r="OS169" s="3">
        <f ca="1">IFERROR(__xludf.DUMMYFUNCTION("""COMPUTED_VALUE"""),0.125674327776908)</f>
        <v>0.12567432777690801</v>
      </c>
      <c r="OT169" s="3">
        <f ca="1">IFERROR(__xludf.DUMMYFUNCTION("""COMPUTED_VALUE"""),0.0331386739672752)</f>
        <v>3.3138673967275198E-2</v>
      </c>
      <c r="OU169" s="3">
        <f ca="1">IFERROR(__xludf.DUMMYFUNCTION("""COMPUTED_VALUE"""),0.328675440981816)</f>
        <v>0.328675440981816</v>
      </c>
      <c r="OV169" s="3">
        <f ca="1">IFERROR(__xludf.DUMMYFUNCTION("""COMPUTED_VALUE"""),-0.113519406944143)</f>
        <v>-0.113519406944143</v>
      </c>
      <c r="OW169" s="3">
        <f ca="1">IFERROR(__xludf.DUMMYFUNCTION("""COMPUTED_VALUE"""),0.135571768630077)</f>
        <v>0.135571768630077</v>
      </c>
      <c r="OX169" s="3">
        <f ca="1">IFERROR(__xludf.DUMMYFUNCTION("""COMPUTED_VALUE"""),0.00217540988903852)</f>
        <v>2.17540988903852E-3</v>
      </c>
      <c r="OY169" s="3">
        <f ca="1">IFERROR(__xludf.DUMMYFUNCTION("""COMPUTED_VALUE"""),0.00200805264378045)</f>
        <v>2.0080526437804501E-3</v>
      </c>
      <c r="OZ169" s="3">
        <f ca="1">IFERROR(__xludf.DUMMYFUNCTION("""COMPUTED_VALUE"""),0.26665965081342)</f>
        <v>0.26665965081342002</v>
      </c>
      <c r="PA169" s="3">
        <f ca="1">IFERROR(__xludf.DUMMYFUNCTION("""COMPUTED_VALUE"""),0.147974321470786)</f>
        <v>0.14797432147078601</v>
      </c>
      <c r="PB169" s="3">
        <f ca="1">IFERROR(__xludf.DUMMYFUNCTION("""COMPUTED_VALUE"""),0.105543291325424)</f>
        <v>0.105543291325424</v>
      </c>
      <c r="PC169" s="3">
        <f ca="1">IFERROR(__xludf.DUMMYFUNCTION("""COMPUTED_VALUE"""),-0.221896290577842)</f>
        <v>-0.22189629057784199</v>
      </c>
      <c r="PD169" s="3">
        <f ca="1">IFERROR(__xludf.DUMMYFUNCTION("""COMPUTED_VALUE"""),-0.087597176086995)</f>
        <v>-8.7597176086994993E-2</v>
      </c>
      <c r="PE169" s="3">
        <f ca="1">IFERROR(__xludf.DUMMYFUNCTION("""COMPUTED_VALUE"""),-0.0873571136078182)</f>
        <v>-8.7357113607818199E-2</v>
      </c>
      <c r="PF169" s="3">
        <f ca="1">IFERROR(__xludf.DUMMYFUNCTION("""COMPUTED_VALUE"""),0.0565072330516847)</f>
        <v>5.6507233051684702E-2</v>
      </c>
      <c r="PG169" s="3">
        <f ca="1">IFERROR(__xludf.DUMMYFUNCTION("""COMPUTED_VALUE"""),-0.34438268262666)</f>
        <v>-0.34438268262666</v>
      </c>
      <c r="PH169" s="3">
        <f ca="1">IFERROR(__xludf.DUMMYFUNCTION("""COMPUTED_VALUE"""),-0.00799460074699542)</f>
        <v>-7.9946007469954197E-3</v>
      </c>
      <c r="PI169" s="3">
        <f ca="1">IFERROR(__xludf.DUMMYFUNCTION("""COMPUTED_VALUE"""),0.00256837589956604)</f>
        <v>2.5683758995660401E-3</v>
      </c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</row>
    <row r="170" spans="1:477" ht="1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</row>
    <row r="171" spans="1:477" ht="1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</row>
    <row r="172" spans="1:477" ht="1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</row>
    <row r="173" spans="1:477" ht="1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</row>
    <row r="174" spans="1:477" ht="1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</row>
    <row r="175" spans="1:477" ht="1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</row>
    <row r="176" spans="1:477" ht="1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</row>
    <row r="177" spans="1:477" ht="1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</row>
    <row r="178" spans="1:477" ht="1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</row>
    <row r="179" spans="1:477" ht="1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</row>
    <row r="180" spans="1:477" ht="1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</row>
    <row r="181" spans="1:477" ht="1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</row>
    <row r="182" spans="1:477" ht="1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</row>
    <row r="183" spans="1:477" ht="1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</row>
    <row r="184" spans="1:477" ht="1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</row>
    <row r="185" spans="1:477" ht="1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</row>
    <row r="186" spans="1:477" ht="1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</row>
    <row r="187" spans="1:477" ht="1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</row>
    <row r="188" spans="1:477" ht="1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</row>
    <row r="189" spans="1:477" ht="1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</row>
    <row r="190" spans="1:477" ht="1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</row>
    <row r="191" spans="1:477" ht="1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</row>
    <row r="192" spans="1:477" ht="1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</row>
    <row r="193" spans="1:477" ht="1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</row>
    <row r="194" spans="1:477" ht="1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</row>
    <row r="195" spans="1:477" ht="1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</row>
    <row r="196" spans="1:477" ht="1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</row>
    <row r="197" spans="1:477" ht="1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</row>
    <row r="198" spans="1:477" ht="1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</row>
    <row r="199" spans="1:477" ht="1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</row>
    <row r="200" spans="1:477" ht="1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</row>
    <row r="201" spans="1:477" ht="1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</row>
    <row r="202" spans="1:477" ht="1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</row>
    <row r="203" spans="1:477" ht="1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</row>
    <row r="204" spans="1:477" ht="1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</row>
    <row r="205" spans="1:477" ht="1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</row>
    <row r="206" spans="1:477" ht="1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</row>
    <row r="207" spans="1:477" ht="1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</row>
    <row r="208" spans="1:477" ht="1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</row>
    <row r="209" spans="1:477" ht="1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</row>
    <row r="210" spans="1:477" ht="1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</row>
    <row r="211" spans="1:477" ht="1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</row>
    <row r="212" spans="1:477" ht="1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</row>
    <row r="213" spans="1:477" ht="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</row>
    <row r="214" spans="1:477" ht="1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</row>
    <row r="215" spans="1:477" ht="1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</row>
    <row r="216" spans="1:477" ht="1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</row>
    <row r="217" spans="1:477" ht="1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</row>
    <row r="218" spans="1:477" ht="1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</row>
    <row r="219" spans="1:477" ht="1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</row>
    <row r="220" spans="1:477" ht="1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</row>
    <row r="221" spans="1:477" ht="1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</row>
    <row r="222" spans="1:477" ht="1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</row>
    <row r="223" spans="1:477" ht="1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</row>
    <row r="224" spans="1:477" ht="1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</row>
    <row r="225" spans="1:477" ht="1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</row>
    <row r="226" spans="1:477" ht="1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</row>
    <row r="227" spans="1:477" ht="1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</row>
    <row r="228" spans="1:477" ht="1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</row>
    <row r="229" spans="1:477" ht="1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</row>
    <row r="230" spans="1:477" ht="1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</row>
    <row r="231" spans="1:477" ht="1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</row>
    <row r="232" spans="1:477" ht="1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</row>
    <row r="233" spans="1:477" ht="1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</row>
    <row r="234" spans="1:477" ht="1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</row>
    <row r="235" spans="1:477" ht="1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</row>
    <row r="236" spans="1:477" ht="1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</row>
    <row r="237" spans="1:477" ht="1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</row>
    <row r="238" spans="1:477" ht="1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</row>
    <row r="239" spans="1:477" ht="1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</row>
    <row r="240" spans="1:477" ht="1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</row>
    <row r="241" spans="1:477" ht="1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</row>
    <row r="242" spans="1:477" ht="1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</row>
    <row r="243" spans="1:477" ht="1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</row>
    <row r="244" spans="1:477" ht="1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</row>
    <row r="245" spans="1:477" ht="1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</row>
    <row r="246" spans="1:477" ht="1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</row>
    <row r="247" spans="1:477" ht="1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</row>
    <row r="248" spans="1:477" ht="1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</row>
    <row r="249" spans="1:477" ht="1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</row>
    <row r="250" spans="1:477" ht="1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</row>
    <row r="251" spans="1:477" ht="1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</row>
    <row r="252" spans="1:477" ht="1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</row>
    <row r="253" spans="1:477" ht="1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</row>
    <row r="254" spans="1:477" ht="1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</row>
    <row r="255" spans="1:477" ht="1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</row>
    <row r="256" spans="1:477" ht="1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</row>
    <row r="257" spans="1:477" ht="1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</row>
    <row r="258" spans="1:477" ht="1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</row>
    <row r="259" spans="1:477" ht="1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</row>
    <row r="260" spans="1:477" ht="1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</row>
    <row r="261" spans="1:477" ht="1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</row>
    <row r="262" spans="1:477" ht="1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</row>
    <row r="263" spans="1:477" ht="1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</row>
    <row r="264" spans="1:477" ht="1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</row>
    <row r="265" spans="1:477" ht="1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</row>
    <row r="266" spans="1:477" ht="1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</row>
    <row r="267" spans="1:477" ht="1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</row>
    <row r="268" spans="1:477" ht="1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</row>
    <row r="269" spans="1:477" ht="1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</row>
    <row r="270" spans="1:477" ht="1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</row>
    <row r="271" spans="1:477" ht="1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</row>
    <row r="272" spans="1:477" ht="1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</row>
    <row r="273" spans="1:477" ht="1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</row>
    <row r="274" spans="1:477" ht="1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</row>
    <row r="275" spans="1:477" ht="1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</row>
    <row r="276" spans="1:477" ht="1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</row>
    <row r="277" spans="1:477" ht="1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</row>
    <row r="278" spans="1:477" ht="1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</row>
    <row r="279" spans="1:477" ht="1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</row>
    <row r="280" spans="1:477" ht="1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</row>
    <row r="281" spans="1:477" ht="1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</row>
    <row r="282" spans="1:477" ht="1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</row>
    <row r="283" spans="1:477" ht="1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</row>
    <row r="284" spans="1:477" ht="1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</row>
    <row r="285" spans="1:477" ht="1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</row>
    <row r="286" spans="1:477" ht="1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</row>
    <row r="287" spans="1:477" ht="1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</row>
    <row r="288" spans="1:477" ht="1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</row>
    <row r="289" spans="1:477" ht="1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</row>
    <row r="290" spans="1:477" ht="1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</row>
    <row r="291" spans="1:477" ht="1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</row>
    <row r="292" spans="1:477" ht="1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</row>
    <row r="293" spans="1:477" ht="1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</row>
    <row r="294" spans="1:477" ht="1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</row>
    <row r="295" spans="1:477" ht="1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</row>
    <row r="296" spans="1:477" ht="1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</row>
    <row r="297" spans="1:477" ht="1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</row>
    <row r="298" spans="1:477" ht="1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</row>
    <row r="299" spans="1:477" ht="1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</row>
    <row r="300" spans="1:477" ht="1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</row>
  </sheetData>
  <autoFilter ref="A1:PI169" xr:uid="{56AFD5A6-A0C1-A043-A04D-FB4A4B27C8A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VV300"/>
  <sheetViews>
    <sheetView workbookViewId="0">
      <selection activeCell="B1" sqref="B1"/>
    </sheetView>
  </sheetViews>
  <sheetFormatPr baseColWidth="10" defaultColWidth="14.5" defaultRowHeight="15.75" customHeight="1"/>
  <sheetData>
    <row r="1" spans="1:594" ht="15.75" customHeight="1">
      <c r="A1" s="1" t="str">
        <f ca="1">IFERROR(__xludf.DUMMYFUNCTION("IMPORTRANGE(""docs.google.com/spreadsheets/d/1poUGMWDl7cmGFXobJquGAg04mObsmCEZP3TtpwQbKI4"", ""Metro Areas Daily Public!A1:300"")"),"Metro Area")</f>
        <v>Metro Area</v>
      </c>
      <c r="B1" s="5" t="str">
        <f ca="1">IFERROR(__xludf.DUMMYFUNCTION("""COMPUTED_VALUE"""),"2021-04-10 00:00:00")</f>
        <v>2021-04-10 00:00:00</v>
      </c>
      <c r="C1" s="5" t="str">
        <f ca="1">IFERROR(__xludf.DUMMYFUNCTION("""COMPUTED_VALUE"""),"2021-04-09 00:00:00")</f>
        <v>2021-04-09 00:00:00</v>
      </c>
      <c r="D1" s="5" t="str">
        <f ca="1">IFERROR(__xludf.DUMMYFUNCTION("""COMPUTED_VALUE"""),"2021-04-08 00:00:00")</f>
        <v>2021-04-08 00:00:00</v>
      </c>
      <c r="E1" s="5" t="str">
        <f ca="1">IFERROR(__xludf.DUMMYFUNCTION("""COMPUTED_VALUE"""),"2021-04-07 00:00:00")</f>
        <v>2021-04-07 00:00:00</v>
      </c>
      <c r="F1" s="5" t="str">
        <f ca="1">IFERROR(__xludf.DUMMYFUNCTION("""COMPUTED_VALUE"""),"2021-04-06 00:00:00")</f>
        <v>2021-04-06 00:00:00</v>
      </c>
      <c r="G1" s="5" t="str">
        <f ca="1">IFERROR(__xludf.DUMMYFUNCTION("""COMPUTED_VALUE"""),"2021-04-05 00:00:00")</f>
        <v>2021-04-05 00:00:00</v>
      </c>
      <c r="H1" s="5" t="str">
        <f ca="1">IFERROR(__xludf.DUMMYFUNCTION("""COMPUTED_VALUE"""),"2021-04-04 00:00:00")</f>
        <v>2021-04-04 00:00:00</v>
      </c>
      <c r="I1" s="5" t="str">
        <f ca="1">IFERROR(__xludf.DUMMYFUNCTION("""COMPUTED_VALUE"""),"2021-04-03 00:00:00")</f>
        <v>2021-04-03 00:00:00</v>
      </c>
      <c r="J1" s="5" t="str">
        <f ca="1">IFERROR(__xludf.DUMMYFUNCTION("""COMPUTED_VALUE"""),"2021-04-02 00:00:00")</f>
        <v>2021-04-02 00:00:00</v>
      </c>
      <c r="K1" s="5" t="str">
        <f ca="1">IFERROR(__xludf.DUMMYFUNCTION("""COMPUTED_VALUE"""),"2021-04-01 00:00:00")</f>
        <v>2021-04-01 00:00:00</v>
      </c>
      <c r="L1" s="5" t="str">
        <f ca="1">IFERROR(__xludf.DUMMYFUNCTION("""COMPUTED_VALUE"""),"2021-03-31 00:00:00")</f>
        <v>2021-03-31 00:00:00</v>
      </c>
      <c r="M1" s="5" t="str">
        <f ca="1">IFERROR(__xludf.DUMMYFUNCTION("""COMPUTED_VALUE"""),"2021-03-30 00:00:00")</f>
        <v>2021-03-30 00:00:00</v>
      </c>
      <c r="N1" s="5" t="str">
        <f ca="1">IFERROR(__xludf.DUMMYFUNCTION("""COMPUTED_VALUE"""),"2021-03-29 00:00:00")</f>
        <v>2021-03-29 00:00:00</v>
      </c>
      <c r="O1" s="5" t="str">
        <f ca="1">IFERROR(__xludf.DUMMYFUNCTION("""COMPUTED_VALUE"""),"2021-03-28 00:00:00")</f>
        <v>2021-03-28 00:00:00</v>
      </c>
      <c r="P1" s="5" t="str">
        <f ca="1">IFERROR(__xludf.DUMMYFUNCTION("""COMPUTED_VALUE"""),"2021-03-27 00:00:00")</f>
        <v>2021-03-27 00:00:00</v>
      </c>
      <c r="Q1" s="5" t="str">
        <f ca="1">IFERROR(__xludf.DUMMYFUNCTION("""COMPUTED_VALUE"""),"2021-03-26 00:00:00")</f>
        <v>2021-03-26 00:00:00</v>
      </c>
      <c r="R1" s="5" t="str">
        <f ca="1">IFERROR(__xludf.DUMMYFUNCTION("""COMPUTED_VALUE"""),"2021-03-25 00:00:00")</f>
        <v>2021-03-25 00:00:00</v>
      </c>
      <c r="S1" s="5" t="str">
        <f ca="1">IFERROR(__xludf.DUMMYFUNCTION("""COMPUTED_VALUE"""),"2021-03-24 00:00:00")</f>
        <v>2021-03-24 00:00:00</v>
      </c>
      <c r="T1" s="5" t="str">
        <f ca="1">IFERROR(__xludf.DUMMYFUNCTION("""COMPUTED_VALUE"""),"2021-03-23 00:00:00")</f>
        <v>2021-03-23 00:00:00</v>
      </c>
      <c r="U1" s="5" t="str">
        <f ca="1">IFERROR(__xludf.DUMMYFUNCTION("""COMPUTED_VALUE"""),"2021-03-22 00:00:00")</f>
        <v>2021-03-22 00:00:00</v>
      </c>
      <c r="V1" s="5" t="str">
        <f ca="1">IFERROR(__xludf.DUMMYFUNCTION("""COMPUTED_VALUE"""),"2021-03-21 00:00:00")</f>
        <v>2021-03-21 00:00:00</v>
      </c>
      <c r="W1" s="5" t="str">
        <f ca="1">IFERROR(__xludf.DUMMYFUNCTION("""COMPUTED_VALUE"""),"2021-03-20 00:00:00")</f>
        <v>2021-03-20 00:00:00</v>
      </c>
      <c r="X1" s="5" t="str">
        <f ca="1">IFERROR(__xludf.DUMMYFUNCTION("""COMPUTED_VALUE"""),"2021-03-19 00:00:00")</f>
        <v>2021-03-19 00:00:00</v>
      </c>
      <c r="Y1" s="5" t="str">
        <f ca="1">IFERROR(__xludf.DUMMYFUNCTION("""COMPUTED_VALUE"""),"2021-03-18 00:00:00")</f>
        <v>2021-03-18 00:00:00</v>
      </c>
      <c r="Z1" s="5" t="str">
        <f ca="1">IFERROR(__xludf.DUMMYFUNCTION("""COMPUTED_VALUE"""),"2021-03-17 00:00:00")</f>
        <v>2021-03-17 00:00:00</v>
      </c>
      <c r="AA1" s="5" t="str">
        <f ca="1">IFERROR(__xludf.DUMMYFUNCTION("""COMPUTED_VALUE"""),"2021-03-16 00:00:00")</f>
        <v>2021-03-16 00:00:00</v>
      </c>
      <c r="AB1" s="5" t="str">
        <f ca="1">IFERROR(__xludf.DUMMYFUNCTION("""COMPUTED_VALUE"""),"2021-03-15 00:00:00")</f>
        <v>2021-03-15 00:00:00</v>
      </c>
      <c r="AC1" s="5" t="str">
        <f ca="1">IFERROR(__xludf.DUMMYFUNCTION("""COMPUTED_VALUE"""),"2021-03-14 00:00:00")</f>
        <v>2021-03-14 00:00:00</v>
      </c>
      <c r="AD1" s="5" t="str">
        <f ca="1">IFERROR(__xludf.DUMMYFUNCTION("""COMPUTED_VALUE"""),"2021-03-13 00:00:00")</f>
        <v>2021-03-13 00:00:00</v>
      </c>
      <c r="AE1" s="5" t="str">
        <f ca="1">IFERROR(__xludf.DUMMYFUNCTION("""COMPUTED_VALUE"""),"2021-03-12 00:00:00")</f>
        <v>2021-03-12 00:00:00</v>
      </c>
      <c r="AF1" s="5" t="str">
        <f ca="1">IFERROR(__xludf.DUMMYFUNCTION("""COMPUTED_VALUE"""),"2021-03-11 00:00:00")</f>
        <v>2021-03-11 00:00:00</v>
      </c>
      <c r="AG1" s="5" t="str">
        <f ca="1">IFERROR(__xludf.DUMMYFUNCTION("""COMPUTED_VALUE"""),"2021-03-10 00:00:00")</f>
        <v>2021-03-10 00:00:00</v>
      </c>
      <c r="AH1" s="5" t="str">
        <f ca="1">IFERROR(__xludf.DUMMYFUNCTION("""COMPUTED_VALUE"""),"2021-03-09 00:00:00")</f>
        <v>2021-03-09 00:00:00</v>
      </c>
      <c r="AI1" s="5" t="str">
        <f ca="1">IFERROR(__xludf.DUMMYFUNCTION("""COMPUTED_VALUE"""),"2021-03-08 00:00:00")</f>
        <v>2021-03-08 00:00:00</v>
      </c>
      <c r="AJ1" s="5" t="str">
        <f ca="1">IFERROR(__xludf.DUMMYFUNCTION("""COMPUTED_VALUE"""),"2021-03-07 00:00:00")</f>
        <v>2021-03-07 00:00:00</v>
      </c>
      <c r="AK1" s="5" t="str">
        <f ca="1">IFERROR(__xludf.DUMMYFUNCTION("""COMPUTED_VALUE"""),"2021-03-06 00:00:00")</f>
        <v>2021-03-06 00:00:00</v>
      </c>
      <c r="AL1" s="5" t="str">
        <f ca="1">IFERROR(__xludf.DUMMYFUNCTION("""COMPUTED_VALUE"""),"2021-03-05 00:00:00")</f>
        <v>2021-03-05 00:00:00</v>
      </c>
      <c r="AM1" s="5" t="str">
        <f ca="1">IFERROR(__xludf.DUMMYFUNCTION("""COMPUTED_VALUE"""),"2021-03-04 00:00:00")</f>
        <v>2021-03-04 00:00:00</v>
      </c>
      <c r="AN1" s="5" t="str">
        <f ca="1">IFERROR(__xludf.DUMMYFUNCTION("""COMPUTED_VALUE"""),"2021-03-03 00:00:00")</f>
        <v>2021-03-03 00:00:00</v>
      </c>
      <c r="AO1" s="5" t="str">
        <f ca="1">IFERROR(__xludf.DUMMYFUNCTION("""COMPUTED_VALUE"""),"2021-03-02 00:00:00")</f>
        <v>2021-03-02 00:00:00</v>
      </c>
      <c r="AP1" s="5" t="str">
        <f ca="1">IFERROR(__xludf.DUMMYFUNCTION("""COMPUTED_VALUE"""),"2021-03-01 00:00:00")</f>
        <v>2021-03-01 00:00:00</v>
      </c>
      <c r="AQ1" s="5" t="str">
        <f ca="1">IFERROR(__xludf.DUMMYFUNCTION("""COMPUTED_VALUE"""),"2021-02-28 00:00:00")</f>
        <v>2021-02-28 00:00:00</v>
      </c>
      <c r="AR1" s="5" t="str">
        <f ca="1">IFERROR(__xludf.DUMMYFUNCTION("""COMPUTED_VALUE"""),"2021-02-27 00:00:00")</f>
        <v>2021-02-27 00:00:00</v>
      </c>
      <c r="AS1" s="5" t="str">
        <f ca="1">IFERROR(__xludf.DUMMYFUNCTION("""COMPUTED_VALUE"""),"2021-02-26 00:00:00")</f>
        <v>2021-02-26 00:00:00</v>
      </c>
      <c r="AT1" s="5" t="str">
        <f ca="1">IFERROR(__xludf.DUMMYFUNCTION("""COMPUTED_VALUE"""),"2021-02-25 00:00:00")</f>
        <v>2021-02-25 00:00:00</v>
      </c>
      <c r="AU1" s="5" t="str">
        <f ca="1">IFERROR(__xludf.DUMMYFUNCTION("""COMPUTED_VALUE"""),"2021-02-24 00:00:00")</f>
        <v>2021-02-24 00:00:00</v>
      </c>
      <c r="AV1" s="5" t="str">
        <f ca="1">IFERROR(__xludf.DUMMYFUNCTION("""COMPUTED_VALUE"""),"2021-02-23 00:00:00")</f>
        <v>2021-02-23 00:00:00</v>
      </c>
      <c r="AW1" s="5" t="str">
        <f ca="1">IFERROR(__xludf.DUMMYFUNCTION("""COMPUTED_VALUE"""),"2021-02-22 00:00:00")</f>
        <v>2021-02-22 00:00:00</v>
      </c>
      <c r="AX1" s="5" t="str">
        <f ca="1">IFERROR(__xludf.DUMMYFUNCTION("""COMPUTED_VALUE"""),"2021-02-21 00:00:00")</f>
        <v>2021-02-21 00:00:00</v>
      </c>
      <c r="AY1" s="5" t="str">
        <f ca="1">IFERROR(__xludf.DUMMYFUNCTION("""COMPUTED_VALUE"""),"2021-02-20 00:00:00")</f>
        <v>2021-02-20 00:00:00</v>
      </c>
      <c r="AZ1" s="5" t="str">
        <f ca="1">IFERROR(__xludf.DUMMYFUNCTION("""COMPUTED_VALUE"""),"2021-02-19 00:00:00")</f>
        <v>2021-02-19 00:00:00</v>
      </c>
      <c r="BA1" s="5" t="str">
        <f ca="1">IFERROR(__xludf.DUMMYFUNCTION("""COMPUTED_VALUE"""),"2021-02-18 00:00:00")</f>
        <v>2021-02-18 00:00:00</v>
      </c>
      <c r="BB1" s="5" t="str">
        <f ca="1">IFERROR(__xludf.DUMMYFUNCTION("""COMPUTED_VALUE"""),"2021-02-17 00:00:00")</f>
        <v>2021-02-17 00:00:00</v>
      </c>
      <c r="BC1" s="5" t="str">
        <f ca="1">IFERROR(__xludf.DUMMYFUNCTION("""COMPUTED_VALUE"""),"2021-02-16 00:00:00")</f>
        <v>2021-02-16 00:00:00</v>
      </c>
      <c r="BD1" s="5" t="str">
        <f ca="1">IFERROR(__xludf.DUMMYFUNCTION("""COMPUTED_VALUE"""),"2021-02-15 00:00:00")</f>
        <v>2021-02-15 00:00:00</v>
      </c>
      <c r="BE1" s="5" t="str">
        <f ca="1">IFERROR(__xludf.DUMMYFUNCTION("""COMPUTED_VALUE"""),"2021-02-14 00:00:00")</f>
        <v>2021-02-14 00:00:00</v>
      </c>
      <c r="BF1" s="5" t="str">
        <f ca="1">IFERROR(__xludf.DUMMYFUNCTION("""COMPUTED_VALUE"""),"2021-02-13 00:00:00")</f>
        <v>2021-02-13 00:00:00</v>
      </c>
      <c r="BG1" s="5" t="str">
        <f ca="1">IFERROR(__xludf.DUMMYFUNCTION("""COMPUTED_VALUE"""),"2021-02-12 00:00:00")</f>
        <v>2021-02-12 00:00:00</v>
      </c>
      <c r="BH1" s="5" t="str">
        <f ca="1">IFERROR(__xludf.DUMMYFUNCTION("""COMPUTED_VALUE"""),"2021-02-11 00:00:00")</f>
        <v>2021-02-11 00:00:00</v>
      </c>
      <c r="BI1" s="5" t="str">
        <f ca="1">IFERROR(__xludf.DUMMYFUNCTION("""COMPUTED_VALUE"""),"2021-02-10 00:00:00")</f>
        <v>2021-02-10 00:00:00</v>
      </c>
      <c r="BJ1" s="5" t="str">
        <f ca="1">IFERROR(__xludf.DUMMYFUNCTION("""COMPUTED_VALUE"""),"2021-02-09 00:00:00")</f>
        <v>2021-02-09 00:00:00</v>
      </c>
      <c r="BK1" s="5" t="str">
        <f ca="1">IFERROR(__xludf.DUMMYFUNCTION("""COMPUTED_VALUE"""),"2021-02-08 00:00:00")</f>
        <v>2021-02-08 00:00:00</v>
      </c>
      <c r="BL1" s="5" t="str">
        <f ca="1">IFERROR(__xludf.DUMMYFUNCTION("""COMPUTED_VALUE"""),"2021-02-07 00:00:00")</f>
        <v>2021-02-07 00:00:00</v>
      </c>
      <c r="BM1" s="5" t="str">
        <f ca="1">IFERROR(__xludf.DUMMYFUNCTION("""COMPUTED_VALUE"""),"2021-02-06 00:00:00")</f>
        <v>2021-02-06 00:00:00</v>
      </c>
      <c r="BN1" s="5" t="str">
        <f ca="1">IFERROR(__xludf.DUMMYFUNCTION("""COMPUTED_VALUE"""),"2021-02-05 00:00:00")</f>
        <v>2021-02-05 00:00:00</v>
      </c>
      <c r="BO1" s="5" t="str">
        <f ca="1">IFERROR(__xludf.DUMMYFUNCTION("""COMPUTED_VALUE"""),"2021-02-04 00:00:00")</f>
        <v>2021-02-04 00:00:00</v>
      </c>
      <c r="BP1" s="5" t="str">
        <f ca="1">IFERROR(__xludf.DUMMYFUNCTION("""COMPUTED_VALUE"""),"2021-02-03 00:00:00")</f>
        <v>2021-02-03 00:00:00</v>
      </c>
      <c r="BQ1" s="5" t="str">
        <f ca="1">IFERROR(__xludf.DUMMYFUNCTION("""COMPUTED_VALUE"""),"2021-02-02 00:00:00")</f>
        <v>2021-02-02 00:00:00</v>
      </c>
      <c r="BR1" s="5" t="str">
        <f ca="1">IFERROR(__xludf.DUMMYFUNCTION("""COMPUTED_VALUE"""),"2021-02-01 00:00:00")</f>
        <v>2021-02-01 00:00:00</v>
      </c>
      <c r="BS1" s="5" t="str">
        <f ca="1">IFERROR(__xludf.DUMMYFUNCTION("""COMPUTED_VALUE"""),"2021-01-31 00:00:00")</f>
        <v>2021-01-31 00:00:00</v>
      </c>
      <c r="BT1" s="5" t="str">
        <f ca="1">IFERROR(__xludf.DUMMYFUNCTION("""COMPUTED_VALUE"""),"2021-01-30 00:00:00")</f>
        <v>2021-01-30 00:00:00</v>
      </c>
      <c r="BU1" s="5" t="str">
        <f ca="1">IFERROR(__xludf.DUMMYFUNCTION("""COMPUTED_VALUE"""),"2021-01-29 00:00:00")</f>
        <v>2021-01-29 00:00:00</v>
      </c>
      <c r="BV1" s="5" t="str">
        <f ca="1">IFERROR(__xludf.DUMMYFUNCTION("""COMPUTED_VALUE"""),"2021-01-28 00:00:00")</f>
        <v>2021-01-28 00:00:00</v>
      </c>
      <c r="BW1" s="5" t="str">
        <f ca="1">IFERROR(__xludf.DUMMYFUNCTION("""COMPUTED_VALUE"""),"2021-01-27 00:00:00")</f>
        <v>2021-01-27 00:00:00</v>
      </c>
      <c r="BX1" s="5" t="str">
        <f ca="1">IFERROR(__xludf.DUMMYFUNCTION("""COMPUTED_VALUE"""),"2021-01-26 00:00:00")</f>
        <v>2021-01-26 00:00:00</v>
      </c>
      <c r="BY1" s="5" t="str">
        <f ca="1">IFERROR(__xludf.DUMMYFUNCTION("""COMPUTED_VALUE"""),"2021-01-25 00:00:00")</f>
        <v>2021-01-25 00:00:00</v>
      </c>
      <c r="BZ1" s="5" t="str">
        <f ca="1">IFERROR(__xludf.DUMMYFUNCTION("""COMPUTED_VALUE"""),"2021-01-24 00:00:00")</f>
        <v>2021-01-24 00:00:00</v>
      </c>
      <c r="CA1" s="5" t="str">
        <f ca="1">IFERROR(__xludf.DUMMYFUNCTION("""COMPUTED_VALUE"""),"2021-01-23 00:00:00")</f>
        <v>2021-01-23 00:00:00</v>
      </c>
      <c r="CB1" s="5" t="str">
        <f ca="1">IFERROR(__xludf.DUMMYFUNCTION("""COMPUTED_VALUE"""),"2021-01-22 00:00:00")</f>
        <v>2021-01-22 00:00:00</v>
      </c>
      <c r="CC1" s="5" t="str">
        <f ca="1">IFERROR(__xludf.DUMMYFUNCTION("""COMPUTED_VALUE"""),"2021-01-21 00:00:00")</f>
        <v>2021-01-21 00:00:00</v>
      </c>
      <c r="CD1" s="5" t="str">
        <f ca="1">IFERROR(__xludf.DUMMYFUNCTION("""COMPUTED_VALUE"""),"2021-01-20 00:00:00")</f>
        <v>2021-01-20 00:00:00</v>
      </c>
      <c r="CE1" s="5" t="str">
        <f ca="1">IFERROR(__xludf.DUMMYFUNCTION("""COMPUTED_VALUE"""),"2021-01-19 00:00:00")</f>
        <v>2021-01-19 00:00:00</v>
      </c>
      <c r="CF1" s="5" t="str">
        <f ca="1">IFERROR(__xludf.DUMMYFUNCTION("""COMPUTED_VALUE"""),"2021-01-18 00:00:00")</f>
        <v>2021-01-18 00:00:00</v>
      </c>
      <c r="CG1" s="5" t="str">
        <f ca="1">IFERROR(__xludf.DUMMYFUNCTION("""COMPUTED_VALUE"""),"2021-01-17 00:00:00")</f>
        <v>2021-01-17 00:00:00</v>
      </c>
      <c r="CH1" s="5" t="str">
        <f ca="1">IFERROR(__xludf.DUMMYFUNCTION("""COMPUTED_VALUE"""),"2021-01-16 00:00:00")</f>
        <v>2021-01-16 00:00:00</v>
      </c>
      <c r="CI1" s="5" t="str">
        <f ca="1">IFERROR(__xludf.DUMMYFUNCTION("""COMPUTED_VALUE"""),"2021-01-15 00:00:00")</f>
        <v>2021-01-15 00:00:00</v>
      </c>
      <c r="CJ1" s="5" t="str">
        <f ca="1">IFERROR(__xludf.DUMMYFUNCTION("""COMPUTED_VALUE"""),"2021-01-14 00:00:00")</f>
        <v>2021-01-14 00:00:00</v>
      </c>
      <c r="CK1" s="5" t="str">
        <f ca="1">IFERROR(__xludf.DUMMYFUNCTION("""COMPUTED_VALUE"""),"2021-01-13 00:00:00")</f>
        <v>2021-01-13 00:00:00</v>
      </c>
      <c r="CL1" s="5" t="str">
        <f ca="1">IFERROR(__xludf.DUMMYFUNCTION("""COMPUTED_VALUE"""),"2021-01-12 00:00:00")</f>
        <v>2021-01-12 00:00:00</v>
      </c>
      <c r="CM1" s="5" t="str">
        <f ca="1">IFERROR(__xludf.DUMMYFUNCTION("""COMPUTED_VALUE"""),"2021-01-11 00:00:00")</f>
        <v>2021-01-11 00:00:00</v>
      </c>
      <c r="CN1" s="5" t="str">
        <f ca="1">IFERROR(__xludf.DUMMYFUNCTION("""COMPUTED_VALUE"""),"2021-01-10 00:00:00")</f>
        <v>2021-01-10 00:00:00</v>
      </c>
      <c r="CO1" s="5" t="str">
        <f ca="1">IFERROR(__xludf.DUMMYFUNCTION("""COMPUTED_VALUE"""),"2021-01-09 00:00:00")</f>
        <v>2021-01-09 00:00:00</v>
      </c>
      <c r="CP1" s="5" t="str">
        <f ca="1">IFERROR(__xludf.DUMMYFUNCTION("""COMPUTED_VALUE"""),"2021-01-08 00:00:00")</f>
        <v>2021-01-08 00:00:00</v>
      </c>
      <c r="CQ1" s="5" t="str">
        <f ca="1">IFERROR(__xludf.DUMMYFUNCTION("""COMPUTED_VALUE"""),"2021-01-07 00:00:00")</f>
        <v>2021-01-07 00:00:00</v>
      </c>
      <c r="CR1" s="5" t="str">
        <f ca="1">IFERROR(__xludf.DUMMYFUNCTION("""COMPUTED_VALUE"""),"2021-01-06 00:00:00")</f>
        <v>2021-01-06 00:00:00</v>
      </c>
      <c r="CS1" s="5" t="str">
        <f ca="1">IFERROR(__xludf.DUMMYFUNCTION("""COMPUTED_VALUE"""),"2021-01-05 00:00:00")</f>
        <v>2021-01-05 00:00:00</v>
      </c>
      <c r="CT1" s="5" t="str">
        <f ca="1">IFERROR(__xludf.DUMMYFUNCTION("""COMPUTED_VALUE"""),"2021-01-04 00:00:00")</f>
        <v>2021-01-04 00:00:00</v>
      </c>
      <c r="CU1" s="5" t="str">
        <f ca="1">IFERROR(__xludf.DUMMYFUNCTION("""COMPUTED_VALUE"""),"2021-01-03 00:00:00")</f>
        <v>2021-01-03 00:00:00</v>
      </c>
      <c r="CV1" s="5" t="str">
        <f ca="1">IFERROR(__xludf.DUMMYFUNCTION("""COMPUTED_VALUE"""),"2021-01-02 00:00:00")</f>
        <v>2021-01-02 00:00:00</v>
      </c>
      <c r="CW1" s="5" t="str">
        <f ca="1">IFERROR(__xludf.DUMMYFUNCTION("""COMPUTED_VALUE"""),"2021-01-01 00:00:00")</f>
        <v>2021-01-01 00:00:00</v>
      </c>
      <c r="CX1" s="5" t="str">
        <f ca="1">IFERROR(__xludf.DUMMYFUNCTION("""COMPUTED_VALUE"""),"2020-12-31 00:00:00")</f>
        <v>2020-12-31 00:00:00</v>
      </c>
      <c r="CY1" s="5" t="str">
        <f ca="1">IFERROR(__xludf.DUMMYFUNCTION("""COMPUTED_VALUE"""),"2020-12-30 00:00:00")</f>
        <v>2020-12-30 00:00:00</v>
      </c>
      <c r="CZ1" s="5" t="str">
        <f ca="1">IFERROR(__xludf.DUMMYFUNCTION("""COMPUTED_VALUE"""),"2020-12-29 00:00:00")</f>
        <v>2020-12-29 00:00:00</v>
      </c>
      <c r="DA1" s="5" t="str">
        <f ca="1">IFERROR(__xludf.DUMMYFUNCTION("""COMPUTED_VALUE"""),"2020-12-28 00:00:00")</f>
        <v>2020-12-28 00:00:00</v>
      </c>
      <c r="DB1" s="5" t="str">
        <f ca="1">IFERROR(__xludf.DUMMYFUNCTION("""COMPUTED_VALUE"""),"2020-12-27 00:00:00")</f>
        <v>2020-12-27 00:00:00</v>
      </c>
      <c r="DC1" s="5" t="str">
        <f ca="1">IFERROR(__xludf.DUMMYFUNCTION("""COMPUTED_VALUE"""),"2020-12-26 00:00:00")</f>
        <v>2020-12-26 00:00:00</v>
      </c>
      <c r="DD1" s="5" t="str">
        <f ca="1">IFERROR(__xludf.DUMMYFUNCTION("""COMPUTED_VALUE"""),"2020-12-25 00:00:00")</f>
        <v>2020-12-25 00:00:00</v>
      </c>
      <c r="DE1" s="5" t="str">
        <f ca="1">IFERROR(__xludf.DUMMYFUNCTION("""COMPUTED_VALUE"""),"2020-12-24 00:00:00")</f>
        <v>2020-12-24 00:00:00</v>
      </c>
      <c r="DF1" s="5" t="str">
        <f ca="1">IFERROR(__xludf.DUMMYFUNCTION("""COMPUTED_VALUE"""),"2020-12-23 00:00:00")</f>
        <v>2020-12-23 00:00:00</v>
      </c>
      <c r="DG1" s="5" t="str">
        <f ca="1">IFERROR(__xludf.DUMMYFUNCTION("""COMPUTED_VALUE"""),"2020-12-22 00:00:00")</f>
        <v>2020-12-22 00:00:00</v>
      </c>
      <c r="DH1" s="5" t="str">
        <f ca="1">IFERROR(__xludf.DUMMYFUNCTION("""COMPUTED_VALUE"""),"2020-12-21 00:00:00")</f>
        <v>2020-12-21 00:00:00</v>
      </c>
      <c r="DI1" s="5" t="str">
        <f ca="1">IFERROR(__xludf.DUMMYFUNCTION("""COMPUTED_VALUE"""),"2020-12-20 00:00:00")</f>
        <v>2020-12-20 00:00:00</v>
      </c>
      <c r="DJ1" s="5" t="str">
        <f ca="1">IFERROR(__xludf.DUMMYFUNCTION("""COMPUTED_VALUE"""),"2020-12-19 00:00:00")</f>
        <v>2020-12-19 00:00:00</v>
      </c>
      <c r="DK1" s="5" t="str">
        <f ca="1">IFERROR(__xludf.DUMMYFUNCTION("""COMPUTED_VALUE"""),"2020-12-18 00:00:00")</f>
        <v>2020-12-18 00:00:00</v>
      </c>
      <c r="DL1" s="5" t="str">
        <f ca="1">IFERROR(__xludf.DUMMYFUNCTION("""COMPUTED_VALUE"""),"2020-12-17 00:00:00")</f>
        <v>2020-12-17 00:00:00</v>
      </c>
      <c r="DM1" s="5" t="str">
        <f ca="1">IFERROR(__xludf.DUMMYFUNCTION("""COMPUTED_VALUE"""),"2020-12-16 00:00:00")</f>
        <v>2020-12-16 00:00:00</v>
      </c>
      <c r="DN1" s="5" t="str">
        <f ca="1">IFERROR(__xludf.DUMMYFUNCTION("""COMPUTED_VALUE"""),"2020-12-15 00:00:00")</f>
        <v>2020-12-15 00:00:00</v>
      </c>
      <c r="DO1" s="5" t="str">
        <f ca="1">IFERROR(__xludf.DUMMYFUNCTION("""COMPUTED_VALUE"""),"2020-12-14 00:00:00")</f>
        <v>2020-12-14 00:00:00</v>
      </c>
      <c r="DP1" s="5" t="str">
        <f ca="1">IFERROR(__xludf.DUMMYFUNCTION("""COMPUTED_VALUE"""),"2020-12-13 00:00:00")</f>
        <v>2020-12-13 00:00:00</v>
      </c>
      <c r="DQ1" s="5" t="str">
        <f ca="1">IFERROR(__xludf.DUMMYFUNCTION("""COMPUTED_VALUE"""),"2020-12-12 00:00:00")</f>
        <v>2020-12-12 00:00:00</v>
      </c>
      <c r="DR1" s="5" t="str">
        <f ca="1">IFERROR(__xludf.DUMMYFUNCTION("""COMPUTED_VALUE"""),"2020-12-11 00:00:00")</f>
        <v>2020-12-11 00:00:00</v>
      </c>
      <c r="DS1" s="5" t="str">
        <f ca="1">IFERROR(__xludf.DUMMYFUNCTION("""COMPUTED_VALUE"""),"2020-12-10 00:00:00")</f>
        <v>2020-12-10 00:00:00</v>
      </c>
      <c r="DT1" s="5" t="str">
        <f ca="1">IFERROR(__xludf.DUMMYFUNCTION("""COMPUTED_VALUE"""),"2020-12-09 00:00:00")</f>
        <v>2020-12-09 00:00:00</v>
      </c>
      <c r="DU1" s="5" t="str">
        <f ca="1">IFERROR(__xludf.DUMMYFUNCTION("""COMPUTED_VALUE"""),"2020-12-08 00:00:00")</f>
        <v>2020-12-08 00:00:00</v>
      </c>
      <c r="DV1" s="5" t="str">
        <f ca="1">IFERROR(__xludf.DUMMYFUNCTION("""COMPUTED_VALUE"""),"2020-12-07 00:00:00")</f>
        <v>2020-12-07 00:00:00</v>
      </c>
      <c r="DW1" s="5" t="str">
        <f ca="1">IFERROR(__xludf.DUMMYFUNCTION("""COMPUTED_VALUE"""),"2020-12-06 00:00:00")</f>
        <v>2020-12-06 00:00:00</v>
      </c>
      <c r="DX1" s="5" t="str">
        <f ca="1">IFERROR(__xludf.DUMMYFUNCTION("""COMPUTED_VALUE"""),"2020-12-05 00:00:00")</f>
        <v>2020-12-05 00:00:00</v>
      </c>
      <c r="DY1" s="5" t="str">
        <f ca="1">IFERROR(__xludf.DUMMYFUNCTION("""COMPUTED_VALUE"""),"2020-12-04 00:00:00")</f>
        <v>2020-12-04 00:00:00</v>
      </c>
      <c r="DZ1" s="5" t="str">
        <f ca="1">IFERROR(__xludf.DUMMYFUNCTION("""COMPUTED_VALUE"""),"2020-12-03 00:00:00")</f>
        <v>2020-12-03 00:00:00</v>
      </c>
      <c r="EA1" s="5" t="str">
        <f ca="1">IFERROR(__xludf.DUMMYFUNCTION("""COMPUTED_VALUE"""),"2020-12-02 00:00:00")</f>
        <v>2020-12-02 00:00:00</v>
      </c>
      <c r="EB1" s="5" t="str">
        <f ca="1">IFERROR(__xludf.DUMMYFUNCTION("""COMPUTED_VALUE"""),"2020-12-01 00:00:00")</f>
        <v>2020-12-01 00:00:00</v>
      </c>
      <c r="EC1" s="5" t="str">
        <f ca="1">IFERROR(__xludf.DUMMYFUNCTION("""COMPUTED_VALUE"""),"2020-11-30 00:00:00")</f>
        <v>2020-11-30 00:00:00</v>
      </c>
      <c r="ED1" s="5" t="str">
        <f ca="1">IFERROR(__xludf.DUMMYFUNCTION("""COMPUTED_VALUE"""),"2020-11-29 00:00:00")</f>
        <v>2020-11-29 00:00:00</v>
      </c>
      <c r="EE1" s="5" t="str">
        <f ca="1">IFERROR(__xludf.DUMMYFUNCTION("""COMPUTED_VALUE"""),"2020-11-28 00:00:00")</f>
        <v>2020-11-28 00:00:00</v>
      </c>
      <c r="EF1" s="5" t="str">
        <f ca="1">IFERROR(__xludf.DUMMYFUNCTION("""COMPUTED_VALUE"""),"2020-11-27 00:00:00")</f>
        <v>2020-11-27 00:00:00</v>
      </c>
      <c r="EG1" s="5" t="str">
        <f ca="1">IFERROR(__xludf.DUMMYFUNCTION("""COMPUTED_VALUE"""),"2020-11-26 00:00:00")</f>
        <v>2020-11-26 00:00:00</v>
      </c>
      <c r="EH1" s="5" t="str">
        <f ca="1">IFERROR(__xludf.DUMMYFUNCTION("""COMPUTED_VALUE"""),"2020-11-25 00:00:00")</f>
        <v>2020-11-25 00:00:00</v>
      </c>
      <c r="EI1" s="5" t="str">
        <f ca="1">IFERROR(__xludf.DUMMYFUNCTION("""COMPUTED_VALUE"""),"2020-11-24 00:00:00")</f>
        <v>2020-11-24 00:00:00</v>
      </c>
      <c r="EJ1" s="5" t="str">
        <f ca="1">IFERROR(__xludf.DUMMYFUNCTION("""COMPUTED_VALUE"""),"2020-11-23 00:00:00")</f>
        <v>2020-11-23 00:00:00</v>
      </c>
      <c r="EK1" s="5" t="str">
        <f ca="1">IFERROR(__xludf.DUMMYFUNCTION("""COMPUTED_VALUE"""),"2020-11-22 00:00:00")</f>
        <v>2020-11-22 00:00:00</v>
      </c>
      <c r="EL1" s="5" t="str">
        <f ca="1">IFERROR(__xludf.DUMMYFUNCTION("""COMPUTED_VALUE"""),"2020-11-21 00:00:00")</f>
        <v>2020-11-21 00:00:00</v>
      </c>
      <c r="EM1" s="5" t="str">
        <f ca="1">IFERROR(__xludf.DUMMYFUNCTION("""COMPUTED_VALUE"""),"2020-11-20 00:00:00")</f>
        <v>2020-11-20 00:00:00</v>
      </c>
      <c r="EN1" s="5" t="str">
        <f ca="1">IFERROR(__xludf.DUMMYFUNCTION("""COMPUTED_VALUE"""),"2020-11-19 00:00:00")</f>
        <v>2020-11-19 00:00:00</v>
      </c>
      <c r="EO1" s="5" t="str">
        <f ca="1">IFERROR(__xludf.DUMMYFUNCTION("""COMPUTED_VALUE"""),"2020-11-18 00:00:00")</f>
        <v>2020-11-18 00:00:00</v>
      </c>
      <c r="EP1" s="5" t="str">
        <f ca="1">IFERROR(__xludf.DUMMYFUNCTION("""COMPUTED_VALUE"""),"2020-11-17 00:00:00")</f>
        <v>2020-11-17 00:00:00</v>
      </c>
      <c r="EQ1" s="5" t="str">
        <f ca="1">IFERROR(__xludf.DUMMYFUNCTION("""COMPUTED_VALUE"""),"2020-11-16 00:00:00")</f>
        <v>2020-11-16 00:00:00</v>
      </c>
      <c r="ER1" s="5" t="str">
        <f ca="1">IFERROR(__xludf.DUMMYFUNCTION("""COMPUTED_VALUE"""),"2020-11-15 00:00:00")</f>
        <v>2020-11-15 00:00:00</v>
      </c>
      <c r="ES1" s="5" t="str">
        <f ca="1">IFERROR(__xludf.DUMMYFUNCTION("""COMPUTED_VALUE"""),"2020-11-14 00:00:00")</f>
        <v>2020-11-14 00:00:00</v>
      </c>
      <c r="ET1" s="5" t="str">
        <f ca="1">IFERROR(__xludf.DUMMYFUNCTION("""COMPUTED_VALUE"""),"2020-11-13 00:00:00")</f>
        <v>2020-11-13 00:00:00</v>
      </c>
      <c r="EU1" s="5" t="str">
        <f ca="1">IFERROR(__xludf.DUMMYFUNCTION("""COMPUTED_VALUE"""),"2020-11-12 00:00:00")</f>
        <v>2020-11-12 00:00:00</v>
      </c>
      <c r="EV1" s="5" t="str">
        <f ca="1">IFERROR(__xludf.DUMMYFUNCTION("""COMPUTED_VALUE"""),"2020-11-11 00:00:00")</f>
        <v>2020-11-11 00:00:00</v>
      </c>
      <c r="EW1" s="5" t="str">
        <f ca="1">IFERROR(__xludf.DUMMYFUNCTION("""COMPUTED_VALUE"""),"2020-11-10 00:00:00")</f>
        <v>2020-11-10 00:00:00</v>
      </c>
      <c r="EX1" s="5" t="str">
        <f ca="1">IFERROR(__xludf.DUMMYFUNCTION("""COMPUTED_VALUE"""),"2020-11-09 00:00:00")</f>
        <v>2020-11-09 00:00:00</v>
      </c>
      <c r="EY1" s="5" t="str">
        <f ca="1">IFERROR(__xludf.DUMMYFUNCTION("""COMPUTED_VALUE"""),"2020-11-08 00:00:00")</f>
        <v>2020-11-08 00:00:00</v>
      </c>
      <c r="EZ1" s="5" t="str">
        <f ca="1">IFERROR(__xludf.DUMMYFUNCTION("""COMPUTED_VALUE"""),"2020-11-07 00:00:00")</f>
        <v>2020-11-07 00:00:00</v>
      </c>
      <c r="FA1" s="5" t="str">
        <f ca="1">IFERROR(__xludf.DUMMYFUNCTION("""COMPUTED_VALUE"""),"2020-11-06 00:00:00")</f>
        <v>2020-11-06 00:00:00</v>
      </c>
      <c r="FB1" s="5" t="str">
        <f ca="1">IFERROR(__xludf.DUMMYFUNCTION("""COMPUTED_VALUE"""),"2020-11-05 00:00:00")</f>
        <v>2020-11-05 00:00:00</v>
      </c>
      <c r="FC1" s="5" t="str">
        <f ca="1">IFERROR(__xludf.DUMMYFUNCTION("""COMPUTED_VALUE"""),"2020-11-04 00:00:00")</f>
        <v>2020-11-04 00:00:00</v>
      </c>
      <c r="FD1" s="5" t="str">
        <f ca="1">IFERROR(__xludf.DUMMYFUNCTION("""COMPUTED_VALUE"""),"2020-11-03 00:00:00")</f>
        <v>2020-11-03 00:00:00</v>
      </c>
      <c r="FE1" s="5" t="str">
        <f ca="1">IFERROR(__xludf.DUMMYFUNCTION("""COMPUTED_VALUE"""),"2020-11-02 00:00:00")</f>
        <v>2020-11-02 00:00:00</v>
      </c>
      <c r="FF1" s="5" t="str">
        <f ca="1">IFERROR(__xludf.DUMMYFUNCTION("""COMPUTED_VALUE"""),"2020-11-01 00:00:00")</f>
        <v>2020-11-01 00:00:00</v>
      </c>
      <c r="FG1" s="5" t="str">
        <f ca="1">IFERROR(__xludf.DUMMYFUNCTION("""COMPUTED_VALUE"""),"2020-10-31 00:00:00")</f>
        <v>2020-10-31 00:00:00</v>
      </c>
      <c r="FH1" s="5" t="str">
        <f ca="1">IFERROR(__xludf.DUMMYFUNCTION("""COMPUTED_VALUE"""),"2020-10-30 00:00:00")</f>
        <v>2020-10-30 00:00:00</v>
      </c>
      <c r="FI1" s="5" t="str">
        <f ca="1">IFERROR(__xludf.DUMMYFUNCTION("""COMPUTED_VALUE"""),"2020-10-29 00:00:00")</f>
        <v>2020-10-29 00:00:00</v>
      </c>
      <c r="FJ1" s="5" t="str">
        <f ca="1">IFERROR(__xludf.DUMMYFUNCTION("""COMPUTED_VALUE"""),"2020-10-28 00:00:00")</f>
        <v>2020-10-28 00:00:00</v>
      </c>
      <c r="FK1" s="5" t="str">
        <f ca="1">IFERROR(__xludf.DUMMYFUNCTION("""COMPUTED_VALUE"""),"2020-10-27 00:00:00")</f>
        <v>2020-10-27 00:00:00</v>
      </c>
      <c r="FL1" s="5" t="str">
        <f ca="1">IFERROR(__xludf.DUMMYFUNCTION("""COMPUTED_VALUE"""),"2020-10-26 00:00:00")</f>
        <v>2020-10-26 00:00:00</v>
      </c>
      <c r="FM1" s="5" t="str">
        <f ca="1">IFERROR(__xludf.DUMMYFUNCTION("""COMPUTED_VALUE"""),"2020-10-25 00:00:00")</f>
        <v>2020-10-25 00:00:00</v>
      </c>
      <c r="FN1" s="5" t="str">
        <f ca="1">IFERROR(__xludf.DUMMYFUNCTION("""COMPUTED_VALUE"""),"2020-10-24 00:00:00")</f>
        <v>2020-10-24 00:00:00</v>
      </c>
      <c r="FO1" s="5" t="str">
        <f ca="1">IFERROR(__xludf.DUMMYFUNCTION("""COMPUTED_VALUE"""),"2020-10-23 00:00:00")</f>
        <v>2020-10-23 00:00:00</v>
      </c>
      <c r="FP1" s="5" t="str">
        <f ca="1">IFERROR(__xludf.DUMMYFUNCTION("""COMPUTED_VALUE"""),"2020-10-22 00:00:00")</f>
        <v>2020-10-22 00:00:00</v>
      </c>
      <c r="FQ1" s="5" t="str">
        <f ca="1">IFERROR(__xludf.DUMMYFUNCTION("""COMPUTED_VALUE"""),"2020-10-21 00:00:00")</f>
        <v>2020-10-21 00:00:00</v>
      </c>
      <c r="FR1" s="5" t="str">
        <f ca="1">IFERROR(__xludf.DUMMYFUNCTION("""COMPUTED_VALUE"""),"2020-10-20 00:00:00")</f>
        <v>2020-10-20 00:00:00</v>
      </c>
      <c r="FS1" s="5" t="str">
        <f ca="1">IFERROR(__xludf.DUMMYFUNCTION("""COMPUTED_VALUE"""),"2020-10-19 00:00:00")</f>
        <v>2020-10-19 00:00:00</v>
      </c>
      <c r="FT1" s="5" t="str">
        <f ca="1">IFERROR(__xludf.DUMMYFUNCTION("""COMPUTED_VALUE"""),"2020-10-18 00:00:00")</f>
        <v>2020-10-18 00:00:00</v>
      </c>
      <c r="FU1" s="5" t="str">
        <f ca="1">IFERROR(__xludf.DUMMYFUNCTION("""COMPUTED_VALUE"""),"2020-10-17 00:00:00")</f>
        <v>2020-10-17 00:00:00</v>
      </c>
      <c r="FV1" s="5" t="str">
        <f ca="1">IFERROR(__xludf.DUMMYFUNCTION("""COMPUTED_VALUE"""),"2020-10-16 00:00:00")</f>
        <v>2020-10-16 00:00:00</v>
      </c>
      <c r="FW1" s="5" t="str">
        <f ca="1">IFERROR(__xludf.DUMMYFUNCTION("""COMPUTED_VALUE"""),"2020-10-15 00:00:00")</f>
        <v>2020-10-15 00:00:00</v>
      </c>
      <c r="FX1" s="5" t="str">
        <f ca="1">IFERROR(__xludf.DUMMYFUNCTION("""COMPUTED_VALUE"""),"2020-10-14 00:00:00")</f>
        <v>2020-10-14 00:00:00</v>
      </c>
      <c r="FY1" s="5" t="str">
        <f ca="1">IFERROR(__xludf.DUMMYFUNCTION("""COMPUTED_VALUE"""),"2020-10-13 00:00:00")</f>
        <v>2020-10-13 00:00:00</v>
      </c>
      <c r="FZ1" s="5" t="str">
        <f ca="1">IFERROR(__xludf.DUMMYFUNCTION("""COMPUTED_VALUE"""),"2020-10-12 00:00:00")</f>
        <v>2020-10-12 00:00:00</v>
      </c>
      <c r="GA1" s="5" t="str">
        <f ca="1">IFERROR(__xludf.DUMMYFUNCTION("""COMPUTED_VALUE"""),"2020-10-11 00:00:00")</f>
        <v>2020-10-11 00:00:00</v>
      </c>
      <c r="GB1" s="5" t="str">
        <f ca="1">IFERROR(__xludf.DUMMYFUNCTION("""COMPUTED_VALUE"""),"2020-10-10 00:00:00")</f>
        <v>2020-10-10 00:00:00</v>
      </c>
      <c r="GC1" s="5" t="str">
        <f ca="1">IFERROR(__xludf.DUMMYFUNCTION("""COMPUTED_VALUE"""),"2020-10-09 00:00:00")</f>
        <v>2020-10-09 00:00:00</v>
      </c>
      <c r="GD1" s="5" t="str">
        <f ca="1">IFERROR(__xludf.DUMMYFUNCTION("""COMPUTED_VALUE"""),"2020-10-08 00:00:00")</f>
        <v>2020-10-08 00:00:00</v>
      </c>
      <c r="GE1" s="5" t="str">
        <f ca="1">IFERROR(__xludf.DUMMYFUNCTION("""COMPUTED_VALUE"""),"2020-10-07 00:00:00")</f>
        <v>2020-10-07 00:00:00</v>
      </c>
      <c r="GF1" s="5" t="str">
        <f ca="1">IFERROR(__xludf.DUMMYFUNCTION("""COMPUTED_VALUE"""),"2020-10-06 00:00:00")</f>
        <v>2020-10-06 00:00:00</v>
      </c>
      <c r="GG1" s="5" t="str">
        <f ca="1">IFERROR(__xludf.DUMMYFUNCTION("""COMPUTED_VALUE"""),"2020-10-05 00:00:00")</f>
        <v>2020-10-05 00:00:00</v>
      </c>
      <c r="GH1" s="5" t="str">
        <f ca="1">IFERROR(__xludf.DUMMYFUNCTION("""COMPUTED_VALUE"""),"2020-10-04 00:00:00")</f>
        <v>2020-10-04 00:00:00</v>
      </c>
      <c r="GI1" s="5" t="str">
        <f ca="1">IFERROR(__xludf.DUMMYFUNCTION("""COMPUTED_VALUE"""),"2020-10-03 00:00:00")</f>
        <v>2020-10-03 00:00:00</v>
      </c>
      <c r="GJ1" s="5" t="str">
        <f ca="1">IFERROR(__xludf.DUMMYFUNCTION("""COMPUTED_VALUE"""),"2020-10-02 00:00:00")</f>
        <v>2020-10-02 00:00:00</v>
      </c>
      <c r="GK1" s="5" t="str">
        <f ca="1">IFERROR(__xludf.DUMMYFUNCTION("""COMPUTED_VALUE"""),"2020-10-01 00:00:00")</f>
        <v>2020-10-01 00:00:00</v>
      </c>
      <c r="GL1" s="5" t="str">
        <f ca="1">IFERROR(__xludf.DUMMYFUNCTION("""COMPUTED_VALUE"""),"2020-09-30 00:00:00")</f>
        <v>2020-09-30 00:00:00</v>
      </c>
      <c r="GM1" s="5" t="str">
        <f ca="1">IFERROR(__xludf.DUMMYFUNCTION("""COMPUTED_VALUE"""),"2020-09-29 00:00:00")</f>
        <v>2020-09-29 00:00:00</v>
      </c>
      <c r="GN1" s="5" t="str">
        <f ca="1">IFERROR(__xludf.DUMMYFUNCTION("""COMPUTED_VALUE"""),"2020-09-28 00:00:00")</f>
        <v>2020-09-28 00:00:00</v>
      </c>
      <c r="GO1" s="5" t="str">
        <f ca="1">IFERROR(__xludf.DUMMYFUNCTION("""COMPUTED_VALUE"""),"2020-09-27 00:00:00")</f>
        <v>2020-09-27 00:00:00</v>
      </c>
      <c r="GP1" s="5" t="str">
        <f ca="1">IFERROR(__xludf.DUMMYFUNCTION("""COMPUTED_VALUE"""),"2020-09-26 00:00:00")</f>
        <v>2020-09-26 00:00:00</v>
      </c>
      <c r="GQ1" s="5" t="str">
        <f ca="1">IFERROR(__xludf.DUMMYFUNCTION("""COMPUTED_VALUE"""),"2020-09-25 00:00:00")</f>
        <v>2020-09-25 00:00:00</v>
      </c>
      <c r="GR1" s="5" t="str">
        <f ca="1">IFERROR(__xludf.DUMMYFUNCTION("""COMPUTED_VALUE"""),"2020-09-24 00:00:00")</f>
        <v>2020-09-24 00:00:00</v>
      </c>
      <c r="GS1" s="5" t="str">
        <f ca="1">IFERROR(__xludf.DUMMYFUNCTION("""COMPUTED_VALUE"""),"2020-09-23 00:00:00")</f>
        <v>2020-09-23 00:00:00</v>
      </c>
      <c r="GT1" s="5" t="str">
        <f ca="1">IFERROR(__xludf.DUMMYFUNCTION("""COMPUTED_VALUE"""),"2020-09-22 00:00:00")</f>
        <v>2020-09-22 00:00:00</v>
      </c>
      <c r="GU1" s="5" t="str">
        <f ca="1">IFERROR(__xludf.DUMMYFUNCTION("""COMPUTED_VALUE"""),"2020-09-21 00:00:00")</f>
        <v>2020-09-21 00:00:00</v>
      </c>
      <c r="GV1" s="5" t="str">
        <f ca="1">IFERROR(__xludf.DUMMYFUNCTION("""COMPUTED_VALUE"""),"2020-09-20 00:00:00")</f>
        <v>2020-09-20 00:00:00</v>
      </c>
      <c r="GW1" s="5" t="str">
        <f ca="1">IFERROR(__xludf.DUMMYFUNCTION("""COMPUTED_VALUE"""),"2020-09-19 00:00:00")</f>
        <v>2020-09-19 00:00:00</v>
      </c>
      <c r="GX1" s="5" t="str">
        <f ca="1">IFERROR(__xludf.DUMMYFUNCTION("""COMPUTED_VALUE"""),"2020-09-18 00:00:00")</f>
        <v>2020-09-18 00:00:00</v>
      </c>
      <c r="GY1" s="5" t="str">
        <f ca="1">IFERROR(__xludf.DUMMYFUNCTION("""COMPUTED_VALUE"""),"2020-09-17 00:00:00")</f>
        <v>2020-09-17 00:00:00</v>
      </c>
      <c r="GZ1" s="5" t="str">
        <f ca="1">IFERROR(__xludf.DUMMYFUNCTION("""COMPUTED_VALUE"""),"2020-09-16 00:00:00")</f>
        <v>2020-09-16 00:00:00</v>
      </c>
      <c r="HA1" s="5" t="str">
        <f ca="1">IFERROR(__xludf.DUMMYFUNCTION("""COMPUTED_VALUE"""),"2020-09-15 00:00:00")</f>
        <v>2020-09-15 00:00:00</v>
      </c>
      <c r="HB1" s="5" t="str">
        <f ca="1">IFERROR(__xludf.DUMMYFUNCTION("""COMPUTED_VALUE"""),"2020-09-14 00:00:00")</f>
        <v>2020-09-14 00:00:00</v>
      </c>
      <c r="HC1" s="5" t="str">
        <f ca="1">IFERROR(__xludf.DUMMYFUNCTION("""COMPUTED_VALUE"""),"2020-09-13 00:00:00")</f>
        <v>2020-09-13 00:00:00</v>
      </c>
      <c r="HD1" s="5" t="str">
        <f ca="1">IFERROR(__xludf.DUMMYFUNCTION("""COMPUTED_VALUE"""),"2020-09-12 00:00:00")</f>
        <v>2020-09-12 00:00:00</v>
      </c>
      <c r="HE1" s="5" t="str">
        <f ca="1">IFERROR(__xludf.DUMMYFUNCTION("""COMPUTED_VALUE"""),"2020-09-11 00:00:00")</f>
        <v>2020-09-11 00:00:00</v>
      </c>
      <c r="HF1" s="5" t="str">
        <f ca="1">IFERROR(__xludf.DUMMYFUNCTION("""COMPUTED_VALUE"""),"2020-09-10 00:00:00")</f>
        <v>2020-09-10 00:00:00</v>
      </c>
      <c r="HG1" s="5" t="str">
        <f ca="1">IFERROR(__xludf.DUMMYFUNCTION("""COMPUTED_VALUE"""),"2020-09-09 00:00:00")</f>
        <v>2020-09-09 00:00:00</v>
      </c>
      <c r="HH1" s="5" t="str">
        <f ca="1">IFERROR(__xludf.DUMMYFUNCTION("""COMPUTED_VALUE"""),"2020-09-08 00:00:00")</f>
        <v>2020-09-08 00:00:00</v>
      </c>
      <c r="HI1" s="5" t="str">
        <f ca="1">IFERROR(__xludf.DUMMYFUNCTION("""COMPUTED_VALUE"""),"2020-09-07 00:00:00")</f>
        <v>2020-09-07 00:00:00</v>
      </c>
      <c r="HJ1" s="5" t="str">
        <f ca="1">IFERROR(__xludf.DUMMYFUNCTION("""COMPUTED_VALUE"""),"2020-09-06 00:00:00")</f>
        <v>2020-09-06 00:00:00</v>
      </c>
      <c r="HK1" s="5" t="str">
        <f ca="1">IFERROR(__xludf.DUMMYFUNCTION("""COMPUTED_VALUE"""),"2020-09-05 00:00:00")</f>
        <v>2020-09-05 00:00:00</v>
      </c>
      <c r="HL1" s="5" t="str">
        <f ca="1">IFERROR(__xludf.DUMMYFUNCTION("""COMPUTED_VALUE"""),"2020-09-04 00:00:00")</f>
        <v>2020-09-04 00:00:00</v>
      </c>
      <c r="HM1" s="5" t="str">
        <f ca="1">IFERROR(__xludf.DUMMYFUNCTION("""COMPUTED_VALUE"""),"2020-09-03 00:00:00")</f>
        <v>2020-09-03 00:00:00</v>
      </c>
      <c r="HN1" s="5" t="str">
        <f ca="1">IFERROR(__xludf.DUMMYFUNCTION("""COMPUTED_VALUE"""),"2020-09-02 00:00:00")</f>
        <v>2020-09-02 00:00:00</v>
      </c>
      <c r="HO1" s="5" t="str">
        <f ca="1">IFERROR(__xludf.DUMMYFUNCTION("""COMPUTED_VALUE"""),"2020-09-01 00:00:00")</f>
        <v>2020-09-01 00:00:00</v>
      </c>
      <c r="HP1" s="5" t="str">
        <f ca="1">IFERROR(__xludf.DUMMYFUNCTION("""COMPUTED_VALUE"""),"2020-08-31 00:00:00")</f>
        <v>2020-08-31 00:00:00</v>
      </c>
      <c r="HQ1" s="5" t="str">
        <f ca="1">IFERROR(__xludf.DUMMYFUNCTION("""COMPUTED_VALUE"""),"2020-08-30 00:00:00")</f>
        <v>2020-08-30 00:00:00</v>
      </c>
      <c r="HR1" s="5" t="str">
        <f ca="1">IFERROR(__xludf.DUMMYFUNCTION("""COMPUTED_VALUE"""),"2020-08-29 00:00:00")</f>
        <v>2020-08-29 00:00:00</v>
      </c>
      <c r="HS1" s="5" t="str">
        <f ca="1">IFERROR(__xludf.DUMMYFUNCTION("""COMPUTED_VALUE"""),"2020-08-28 00:00:00")</f>
        <v>2020-08-28 00:00:00</v>
      </c>
      <c r="HT1" s="5" t="str">
        <f ca="1">IFERROR(__xludf.DUMMYFUNCTION("""COMPUTED_VALUE"""),"2020-08-27 00:00:00")</f>
        <v>2020-08-27 00:00:00</v>
      </c>
      <c r="HU1" s="5" t="str">
        <f ca="1">IFERROR(__xludf.DUMMYFUNCTION("""COMPUTED_VALUE"""),"2020-08-26 00:00:00")</f>
        <v>2020-08-26 00:00:00</v>
      </c>
      <c r="HV1" s="5" t="str">
        <f ca="1">IFERROR(__xludf.DUMMYFUNCTION("""COMPUTED_VALUE"""),"2020-08-25 00:00:00")</f>
        <v>2020-08-25 00:00:00</v>
      </c>
      <c r="HW1" s="5" t="str">
        <f ca="1">IFERROR(__xludf.DUMMYFUNCTION("""COMPUTED_VALUE"""),"2020-08-24 00:00:00")</f>
        <v>2020-08-24 00:00:00</v>
      </c>
      <c r="HX1" s="5" t="str">
        <f ca="1">IFERROR(__xludf.DUMMYFUNCTION("""COMPUTED_VALUE"""),"2020-08-23 00:00:00")</f>
        <v>2020-08-23 00:00:00</v>
      </c>
      <c r="HY1" s="5" t="str">
        <f ca="1">IFERROR(__xludf.DUMMYFUNCTION("""COMPUTED_VALUE"""),"2020-08-22 00:00:00")</f>
        <v>2020-08-22 00:00:00</v>
      </c>
      <c r="HZ1" s="5" t="str">
        <f ca="1">IFERROR(__xludf.DUMMYFUNCTION("""COMPUTED_VALUE"""),"2020-08-21 00:00:00")</f>
        <v>2020-08-21 00:00:00</v>
      </c>
      <c r="IA1" s="5" t="str">
        <f ca="1">IFERROR(__xludf.DUMMYFUNCTION("""COMPUTED_VALUE"""),"2020-08-20 00:00:00")</f>
        <v>2020-08-20 00:00:00</v>
      </c>
      <c r="IB1" s="5" t="str">
        <f ca="1">IFERROR(__xludf.DUMMYFUNCTION("""COMPUTED_VALUE"""),"2020-08-19 00:00:00")</f>
        <v>2020-08-19 00:00:00</v>
      </c>
      <c r="IC1" s="5" t="str">
        <f ca="1">IFERROR(__xludf.DUMMYFUNCTION("""COMPUTED_VALUE"""),"2020-08-18 00:00:00")</f>
        <v>2020-08-18 00:00:00</v>
      </c>
      <c r="ID1" s="5" t="str">
        <f ca="1">IFERROR(__xludf.DUMMYFUNCTION("""COMPUTED_VALUE"""),"2020-08-17 00:00:00")</f>
        <v>2020-08-17 00:00:00</v>
      </c>
      <c r="IE1" s="5" t="str">
        <f ca="1">IFERROR(__xludf.DUMMYFUNCTION("""COMPUTED_VALUE"""),"2020-08-16 00:00:00")</f>
        <v>2020-08-16 00:00:00</v>
      </c>
      <c r="IF1" s="5" t="str">
        <f ca="1">IFERROR(__xludf.DUMMYFUNCTION("""COMPUTED_VALUE"""),"2020-08-15 00:00:00")</f>
        <v>2020-08-15 00:00:00</v>
      </c>
      <c r="IG1" s="5" t="str">
        <f ca="1">IFERROR(__xludf.DUMMYFUNCTION("""COMPUTED_VALUE"""),"2020-08-14 00:00:00")</f>
        <v>2020-08-14 00:00:00</v>
      </c>
      <c r="IH1" s="5" t="str">
        <f ca="1">IFERROR(__xludf.DUMMYFUNCTION("""COMPUTED_VALUE"""),"2020-08-13 00:00:00")</f>
        <v>2020-08-13 00:00:00</v>
      </c>
      <c r="II1" s="5" t="str">
        <f ca="1">IFERROR(__xludf.DUMMYFUNCTION("""COMPUTED_VALUE"""),"2020-08-12 00:00:00")</f>
        <v>2020-08-12 00:00:00</v>
      </c>
      <c r="IJ1" s="5" t="str">
        <f ca="1">IFERROR(__xludf.DUMMYFUNCTION("""COMPUTED_VALUE"""),"2020-08-11 00:00:00")</f>
        <v>2020-08-11 00:00:00</v>
      </c>
      <c r="IK1" s="5" t="str">
        <f ca="1">IFERROR(__xludf.DUMMYFUNCTION("""COMPUTED_VALUE"""),"2020-08-10 00:00:00")</f>
        <v>2020-08-10 00:00:00</v>
      </c>
      <c r="IL1" s="5" t="str">
        <f ca="1">IFERROR(__xludf.DUMMYFUNCTION("""COMPUTED_VALUE"""),"2020-08-09 00:00:00")</f>
        <v>2020-08-09 00:00:00</v>
      </c>
      <c r="IM1" s="5" t="str">
        <f ca="1">IFERROR(__xludf.DUMMYFUNCTION("""COMPUTED_VALUE"""),"2020-08-08 00:00:00")</f>
        <v>2020-08-08 00:00:00</v>
      </c>
      <c r="IN1" s="5" t="str">
        <f ca="1">IFERROR(__xludf.DUMMYFUNCTION("""COMPUTED_VALUE"""),"2020-08-07 00:00:00")</f>
        <v>2020-08-07 00:00:00</v>
      </c>
      <c r="IO1" s="5" t="str">
        <f ca="1">IFERROR(__xludf.DUMMYFUNCTION("""COMPUTED_VALUE"""),"2020-08-06 00:00:00")</f>
        <v>2020-08-06 00:00:00</v>
      </c>
      <c r="IP1" s="5" t="str">
        <f ca="1">IFERROR(__xludf.DUMMYFUNCTION("""COMPUTED_VALUE"""),"2020-08-05 00:00:00")</f>
        <v>2020-08-05 00:00:00</v>
      </c>
      <c r="IQ1" s="5" t="str">
        <f ca="1">IFERROR(__xludf.DUMMYFUNCTION("""COMPUTED_VALUE"""),"2020-08-04 00:00:00")</f>
        <v>2020-08-04 00:00:00</v>
      </c>
      <c r="IR1" s="5" t="str">
        <f ca="1">IFERROR(__xludf.DUMMYFUNCTION("""COMPUTED_VALUE"""),"2020-08-03 00:00:00")</f>
        <v>2020-08-03 00:00:00</v>
      </c>
      <c r="IS1" s="5" t="str">
        <f ca="1">IFERROR(__xludf.DUMMYFUNCTION("""COMPUTED_VALUE"""),"2020-08-02 00:00:00")</f>
        <v>2020-08-02 00:00:00</v>
      </c>
      <c r="IT1" s="5" t="str">
        <f ca="1">IFERROR(__xludf.DUMMYFUNCTION("""COMPUTED_VALUE"""),"2020-08-01 00:00:00")</f>
        <v>2020-08-01 00:00:00</v>
      </c>
      <c r="IU1" s="5" t="str">
        <f ca="1">IFERROR(__xludf.DUMMYFUNCTION("""COMPUTED_VALUE"""),"2020-07-31 00:00:00")</f>
        <v>2020-07-31 00:00:00</v>
      </c>
      <c r="IV1" s="5" t="str">
        <f ca="1">IFERROR(__xludf.DUMMYFUNCTION("""COMPUTED_VALUE"""),"2020-07-30 00:00:00")</f>
        <v>2020-07-30 00:00:00</v>
      </c>
      <c r="IW1" s="5" t="str">
        <f ca="1">IFERROR(__xludf.DUMMYFUNCTION("""COMPUTED_VALUE"""),"2020-07-29 00:00:00")</f>
        <v>2020-07-29 00:00:00</v>
      </c>
      <c r="IX1" s="5" t="str">
        <f ca="1">IFERROR(__xludf.DUMMYFUNCTION("""COMPUTED_VALUE"""),"2020-07-28 00:00:00")</f>
        <v>2020-07-28 00:00:00</v>
      </c>
      <c r="IY1" s="5" t="str">
        <f ca="1">IFERROR(__xludf.DUMMYFUNCTION("""COMPUTED_VALUE"""),"2020-07-27 00:00:00")</f>
        <v>2020-07-27 00:00:00</v>
      </c>
      <c r="IZ1" s="5" t="str">
        <f ca="1">IFERROR(__xludf.DUMMYFUNCTION("""COMPUTED_VALUE"""),"2020-07-26 00:00:00")</f>
        <v>2020-07-26 00:00:00</v>
      </c>
      <c r="JA1" s="5" t="str">
        <f ca="1">IFERROR(__xludf.DUMMYFUNCTION("""COMPUTED_VALUE"""),"2020-07-25 00:00:00")</f>
        <v>2020-07-25 00:00:00</v>
      </c>
      <c r="JB1" s="5" t="str">
        <f ca="1">IFERROR(__xludf.DUMMYFUNCTION("""COMPUTED_VALUE"""),"2020-07-24 00:00:00")</f>
        <v>2020-07-24 00:00:00</v>
      </c>
      <c r="JC1" s="5" t="str">
        <f ca="1">IFERROR(__xludf.DUMMYFUNCTION("""COMPUTED_VALUE"""),"2020-07-23 00:00:00")</f>
        <v>2020-07-23 00:00:00</v>
      </c>
      <c r="JD1" s="5" t="str">
        <f ca="1">IFERROR(__xludf.DUMMYFUNCTION("""COMPUTED_VALUE"""),"2020-07-22 00:00:00")</f>
        <v>2020-07-22 00:00:00</v>
      </c>
      <c r="JE1" s="5" t="str">
        <f ca="1">IFERROR(__xludf.DUMMYFUNCTION("""COMPUTED_VALUE"""),"2020-07-21 00:00:00")</f>
        <v>2020-07-21 00:00:00</v>
      </c>
      <c r="JF1" s="5" t="str">
        <f ca="1">IFERROR(__xludf.DUMMYFUNCTION("""COMPUTED_VALUE"""),"2020-07-20 00:00:00")</f>
        <v>2020-07-20 00:00:00</v>
      </c>
      <c r="JG1" s="5" t="str">
        <f ca="1">IFERROR(__xludf.DUMMYFUNCTION("""COMPUTED_VALUE"""),"2020-07-19 00:00:00")</f>
        <v>2020-07-19 00:00:00</v>
      </c>
      <c r="JH1" s="5" t="str">
        <f ca="1">IFERROR(__xludf.DUMMYFUNCTION("""COMPUTED_VALUE"""),"2020-07-18 00:00:00")</f>
        <v>2020-07-18 00:00:00</v>
      </c>
      <c r="JI1" s="5" t="str">
        <f ca="1">IFERROR(__xludf.DUMMYFUNCTION("""COMPUTED_VALUE"""),"2020-07-17 00:00:00")</f>
        <v>2020-07-17 00:00:00</v>
      </c>
      <c r="JJ1" s="5" t="str">
        <f ca="1">IFERROR(__xludf.DUMMYFUNCTION("""COMPUTED_VALUE"""),"2020-07-16 00:00:00")</f>
        <v>2020-07-16 00:00:00</v>
      </c>
      <c r="JK1" s="5" t="str">
        <f ca="1">IFERROR(__xludf.DUMMYFUNCTION("""COMPUTED_VALUE"""),"2020-07-15 00:00:00")</f>
        <v>2020-07-15 00:00:00</v>
      </c>
      <c r="JL1" s="5" t="str">
        <f ca="1">IFERROR(__xludf.DUMMYFUNCTION("""COMPUTED_VALUE"""),"2020-07-14 00:00:00")</f>
        <v>2020-07-14 00:00:00</v>
      </c>
      <c r="JM1" s="5" t="str">
        <f ca="1">IFERROR(__xludf.DUMMYFUNCTION("""COMPUTED_VALUE"""),"2020-07-13 00:00:00")</f>
        <v>2020-07-13 00:00:00</v>
      </c>
      <c r="JN1" s="5" t="str">
        <f ca="1">IFERROR(__xludf.DUMMYFUNCTION("""COMPUTED_VALUE"""),"2020-07-12 00:00:00")</f>
        <v>2020-07-12 00:00:00</v>
      </c>
      <c r="JO1" s="5" t="str">
        <f ca="1">IFERROR(__xludf.DUMMYFUNCTION("""COMPUTED_VALUE"""),"2020-07-11 00:00:00")</f>
        <v>2020-07-11 00:00:00</v>
      </c>
      <c r="JP1" s="5" t="str">
        <f ca="1">IFERROR(__xludf.DUMMYFUNCTION("""COMPUTED_VALUE"""),"2020-07-10 00:00:00")</f>
        <v>2020-07-10 00:00:00</v>
      </c>
      <c r="JQ1" s="5" t="str">
        <f ca="1">IFERROR(__xludf.DUMMYFUNCTION("""COMPUTED_VALUE"""),"2020-07-09 00:00:00")</f>
        <v>2020-07-09 00:00:00</v>
      </c>
      <c r="JR1" s="5" t="str">
        <f ca="1">IFERROR(__xludf.DUMMYFUNCTION("""COMPUTED_VALUE"""),"2020-07-08 00:00:00")</f>
        <v>2020-07-08 00:00:00</v>
      </c>
      <c r="JS1" s="5" t="str">
        <f ca="1">IFERROR(__xludf.DUMMYFUNCTION("""COMPUTED_VALUE"""),"2020-07-07 00:00:00")</f>
        <v>2020-07-07 00:00:00</v>
      </c>
      <c r="JT1" s="5" t="str">
        <f ca="1">IFERROR(__xludf.DUMMYFUNCTION("""COMPUTED_VALUE"""),"2020-07-06 00:00:00")</f>
        <v>2020-07-06 00:00:00</v>
      </c>
      <c r="JU1" s="5" t="str">
        <f ca="1">IFERROR(__xludf.DUMMYFUNCTION("""COMPUTED_VALUE"""),"2020-07-05 00:00:00")</f>
        <v>2020-07-05 00:00:00</v>
      </c>
      <c r="JV1" s="5" t="str">
        <f ca="1">IFERROR(__xludf.DUMMYFUNCTION("""COMPUTED_VALUE"""),"2020-07-04 00:00:00")</f>
        <v>2020-07-04 00:00:00</v>
      </c>
      <c r="JW1" s="5" t="str">
        <f ca="1">IFERROR(__xludf.DUMMYFUNCTION("""COMPUTED_VALUE"""),"2020-07-03 00:00:00")</f>
        <v>2020-07-03 00:00:00</v>
      </c>
      <c r="JX1" s="5" t="str">
        <f ca="1">IFERROR(__xludf.DUMMYFUNCTION("""COMPUTED_VALUE"""),"2020-07-02 00:00:00")</f>
        <v>2020-07-02 00:00:00</v>
      </c>
      <c r="JY1" s="5" t="str">
        <f ca="1">IFERROR(__xludf.DUMMYFUNCTION("""COMPUTED_VALUE"""),"2020-07-01 00:00:00")</f>
        <v>2020-07-01 00:00:00</v>
      </c>
      <c r="JZ1" s="5" t="str">
        <f ca="1">IFERROR(__xludf.DUMMYFUNCTION("""COMPUTED_VALUE"""),"2020-06-30 00:00:00")</f>
        <v>2020-06-30 00:00:00</v>
      </c>
      <c r="KA1" s="5" t="str">
        <f ca="1">IFERROR(__xludf.DUMMYFUNCTION("""COMPUTED_VALUE"""),"2020-06-29 00:00:00")</f>
        <v>2020-06-29 00:00:00</v>
      </c>
      <c r="KB1" s="5" t="str">
        <f ca="1">IFERROR(__xludf.DUMMYFUNCTION("""COMPUTED_VALUE"""),"2020-06-28 00:00:00")</f>
        <v>2020-06-28 00:00:00</v>
      </c>
      <c r="KC1" s="5" t="str">
        <f ca="1">IFERROR(__xludf.DUMMYFUNCTION("""COMPUTED_VALUE"""),"2020-06-27 00:00:00")</f>
        <v>2020-06-27 00:00:00</v>
      </c>
      <c r="KD1" s="5" t="str">
        <f ca="1">IFERROR(__xludf.DUMMYFUNCTION("""COMPUTED_VALUE"""),"2020-06-26 00:00:00")</f>
        <v>2020-06-26 00:00:00</v>
      </c>
      <c r="KE1" s="5" t="str">
        <f ca="1">IFERROR(__xludf.DUMMYFUNCTION("""COMPUTED_VALUE"""),"2020-06-25 00:00:00")</f>
        <v>2020-06-25 00:00:00</v>
      </c>
      <c r="KF1" s="5" t="str">
        <f ca="1">IFERROR(__xludf.DUMMYFUNCTION("""COMPUTED_VALUE"""),"2020-06-24 00:00:00")</f>
        <v>2020-06-24 00:00:00</v>
      </c>
      <c r="KG1" s="5" t="str">
        <f ca="1">IFERROR(__xludf.DUMMYFUNCTION("""COMPUTED_VALUE"""),"2020-06-23 00:00:00")</f>
        <v>2020-06-23 00:00:00</v>
      </c>
      <c r="KH1" s="5" t="str">
        <f ca="1">IFERROR(__xludf.DUMMYFUNCTION("""COMPUTED_VALUE"""),"2020-06-22 00:00:00")</f>
        <v>2020-06-22 00:00:00</v>
      </c>
      <c r="KI1" s="5" t="str">
        <f ca="1">IFERROR(__xludf.DUMMYFUNCTION("""COMPUTED_VALUE"""),"2020-06-21 00:00:00")</f>
        <v>2020-06-21 00:00:00</v>
      </c>
      <c r="KJ1" s="5" t="str">
        <f ca="1">IFERROR(__xludf.DUMMYFUNCTION("""COMPUTED_VALUE"""),"2020-06-20 00:00:00")</f>
        <v>2020-06-20 00:00:00</v>
      </c>
      <c r="KK1" s="5" t="str">
        <f ca="1">IFERROR(__xludf.DUMMYFUNCTION("""COMPUTED_VALUE"""),"2020-06-19 00:00:00")</f>
        <v>2020-06-19 00:00:00</v>
      </c>
      <c r="KL1" s="5" t="str">
        <f ca="1">IFERROR(__xludf.DUMMYFUNCTION("""COMPUTED_VALUE"""),"2020-06-18 00:00:00")</f>
        <v>2020-06-18 00:00:00</v>
      </c>
      <c r="KM1" s="5" t="str">
        <f ca="1">IFERROR(__xludf.DUMMYFUNCTION("""COMPUTED_VALUE"""),"2020-06-17 00:00:00")</f>
        <v>2020-06-17 00:00:00</v>
      </c>
      <c r="KN1" s="5" t="str">
        <f ca="1">IFERROR(__xludf.DUMMYFUNCTION("""COMPUTED_VALUE"""),"2020-06-16 00:00:00")</f>
        <v>2020-06-16 00:00:00</v>
      </c>
      <c r="KO1" s="5" t="str">
        <f ca="1">IFERROR(__xludf.DUMMYFUNCTION("""COMPUTED_VALUE"""),"2020-06-15 00:00:00")</f>
        <v>2020-06-15 00:00:00</v>
      </c>
      <c r="KP1" s="5" t="str">
        <f ca="1">IFERROR(__xludf.DUMMYFUNCTION("""COMPUTED_VALUE"""),"2020-06-14 00:00:00")</f>
        <v>2020-06-14 00:00:00</v>
      </c>
      <c r="KQ1" s="5" t="str">
        <f ca="1">IFERROR(__xludf.DUMMYFUNCTION("""COMPUTED_VALUE"""),"2020-06-13 00:00:00")</f>
        <v>2020-06-13 00:00:00</v>
      </c>
      <c r="KR1" s="5" t="str">
        <f ca="1">IFERROR(__xludf.DUMMYFUNCTION("""COMPUTED_VALUE"""),"2020-06-12 00:00:00")</f>
        <v>2020-06-12 00:00:00</v>
      </c>
      <c r="KS1" s="5" t="str">
        <f ca="1">IFERROR(__xludf.DUMMYFUNCTION("""COMPUTED_VALUE"""),"2020-06-11 00:00:00")</f>
        <v>2020-06-11 00:00:00</v>
      </c>
      <c r="KT1" s="5" t="str">
        <f ca="1">IFERROR(__xludf.DUMMYFUNCTION("""COMPUTED_VALUE"""),"2020-06-10 00:00:00")</f>
        <v>2020-06-10 00:00:00</v>
      </c>
      <c r="KU1" s="5" t="str">
        <f ca="1">IFERROR(__xludf.DUMMYFUNCTION("""COMPUTED_VALUE"""),"2020-06-09 00:00:00")</f>
        <v>2020-06-09 00:00:00</v>
      </c>
      <c r="KV1" s="5" t="str">
        <f ca="1">IFERROR(__xludf.DUMMYFUNCTION("""COMPUTED_VALUE"""),"2020-06-08 00:00:00")</f>
        <v>2020-06-08 00:00:00</v>
      </c>
      <c r="KW1" s="5" t="str">
        <f ca="1">IFERROR(__xludf.DUMMYFUNCTION("""COMPUTED_VALUE"""),"2020-06-07 00:00:00")</f>
        <v>2020-06-07 00:00:00</v>
      </c>
      <c r="KX1" s="5" t="str">
        <f ca="1">IFERROR(__xludf.DUMMYFUNCTION("""COMPUTED_VALUE"""),"2020-06-06 00:00:00")</f>
        <v>2020-06-06 00:00:00</v>
      </c>
      <c r="KY1" s="5" t="str">
        <f ca="1">IFERROR(__xludf.DUMMYFUNCTION("""COMPUTED_VALUE"""),"2020-06-05 00:00:00")</f>
        <v>2020-06-05 00:00:00</v>
      </c>
      <c r="KZ1" s="5" t="str">
        <f ca="1">IFERROR(__xludf.DUMMYFUNCTION("""COMPUTED_VALUE"""),"2020-06-04 00:00:00")</f>
        <v>2020-06-04 00:00:00</v>
      </c>
      <c r="LA1" s="5" t="str">
        <f ca="1">IFERROR(__xludf.DUMMYFUNCTION("""COMPUTED_VALUE"""),"2020-06-03 00:00:00")</f>
        <v>2020-06-03 00:00:00</v>
      </c>
      <c r="LB1" s="5" t="str">
        <f ca="1">IFERROR(__xludf.DUMMYFUNCTION("""COMPUTED_VALUE"""),"2020-06-02 00:00:00")</f>
        <v>2020-06-02 00:00:00</v>
      </c>
      <c r="LC1" s="5" t="str">
        <f ca="1">IFERROR(__xludf.DUMMYFUNCTION("""COMPUTED_VALUE"""),"2020-06-01 00:00:00")</f>
        <v>2020-06-01 00:00:00</v>
      </c>
      <c r="LD1" s="5" t="str">
        <f ca="1">IFERROR(__xludf.DUMMYFUNCTION("""COMPUTED_VALUE"""),"2020-05-31 00:00:00")</f>
        <v>2020-05-31 00:00:00</v>
      </c>
      <c r="LE1" s="5" t="str">
        <f ca="1">IFERROR(__xludf.DUMMYFUNCTION("""COMPUTED_VALUE"""),"2020-05-30 00:00:00")</f>
        <v>2020-05-30 00:00:00</v>
      </c>
      <c r="LF1" s="5" t="str">
        <f ca="1">IFERROR(__xludf.DUMMYFUNCTION("""COMPUTED_VALUE"""),"2020-05-29 00:00:00")</f>
        <v>2020-05-29 00:00:00</v>
      </c>
      <c r="LG1" s="5" t="str">
        <f ca="1">IFERROR(__xludf.DUMMYFUNCTION("""COMPUTED_VALUE"""),"2020-05-28 00:00:00")</f>
        <v>2020-05-28 00:00:00</v>
      </c>
      <c r="LH1" s="5" t="str">
        <f ca="1">IFERROR(__xludf.DUMMYFUNCTION("""COMPUTED_VALUE"""),"2020-05-27 00:00:00")</f>
        <v>2020-05-27 00:00:00</v>
      </c>
      <c r="LI1" s="5" t="str">
        <f ca="1">IFERROR(__xludf.DUMMYFUNCTION("""COMPUTED_VALUE"""),"2020-05-26 00:00:00")</f>
        <v>2020-05-26 00:00:00</v>
      </c>
      <c r="LJ1" s="5" t="str">
        <f ca="1">IFERROR(__xludf.DUMMYFUNCTION("""COMPUTED_VALUE"""),"2020-05-25 00:00:00")</f>
        <v>2020-05-25 00:00:00</v>
      </c>
      <c r="LK1" s="5" t="str">
        <f ca="1">IFERROR(__xludf.DUMMYFUNCTION("""COMPUTED_VALUE"""),"2020-05-24 00:00:00")</f>
        <v>2020-05-24 00:00:00</v>
      </c>
      <c r="LL1" s="5" t="str">
        <f ca="1">IFERROR(__xludf.DUMMYFUNCTION("""COMPUTED_VALUE"""),"2020-05-23 00:00:00")</f>
        <v>2020-05-23 00:00:00</v>
      </c>
      <c r="LM1" s="5" t="str">
        <f ca="1">IFERROR(__xludf.DUMMYFUNCTION("""COMPUTED_VALUE"""),"2020-05-22 00:00:00")</f>
        <v>2020-05-22 00:00:00</v>
      </c>
      <c r="LN1" s="5" t="str">
        <f ca="1">IFERROR(__xludf.DUMMYFUNCTION("""COMPUTED_VALUE"""),"2020-05-21 00:00:00")</f>
        <v>2020-05-21 00:00:00</v>
      </c>
      <c r="LO1" s="5" t="str">
        <f ca="1">IFERROR(__xludf.DUMMYFUNCTION("""COMPUTED_VALUE"""),"2020-05-20 00:00:00")</f>
        <v>2020-05-20 00:00:00</v>
      </c>
      <c r="LP1" s="5" t="str">
        <f ca="1">IFERROR(__xludf.DUMMYFUNCTION("""COMPUTED_VALUE"""),"2020-05-19 00:00:00")</f>
        <v>2020-05-19 00:00:00</v>
      </c>
      <c r="LQ1" s="5" t="str">
        <f ca="1">IFERROR(__xludf.DUMMYFUNCTION("""COMPUTED_VALUE"""),"2020-05-18 00:00:00")</f>
        <v>2020-05-18 00:00:00</v>
      </c>
      <c r="LR1" s="5" t="str">
        <f ca="1">IFERROR(__xludf.DUMMYFUNCTION("""COMPUTED_VALUE"""),"2020-05-17 00:00:00")</f>
        <v>2020-05-17 00:00:00</v>
      </c>
      <c r="LS1" s="5" t="str">
        <f ca="1">IFERROR(__xludf.DUMMYFUNCTION("""COMPUTED_VALUE"""),"2020-05-16 00:00:00")</f>
        <v>2020-05-16 00:00:00</v>
      </c>
      <c r="LT1" s="5" t="str">
        <f ca="1">IFERROR(__xludf.DUMMYFUNCTION("""COMPUTED_VALUE"""),"2020-05-15 00:00:00")</f>
        <v>2020-05-15 00:00:00</v>
      </c>
      <c r="LU1" s="5" t="str">
        <f ca="1">IFERROR(__xludf.DUMMYFUNCTION("""COMPUTED_VALUE"""),"2020-05-14 00:00:00")</f>
        <v>2020-05-14 00:00:00</v>
      </c>
      <c r="LV1" s="5" t="str">
        <f ca="1">IFERROR(__xludf.DUMMYFUNCTION("""COMPUTED_VALUE"""),"2020-05-13 00:00:00")</f>
        <v>2020-05-13 00:00:00</v>
      </c>
      <c r="LW1" s="5" t="str">
        <f ca="1">IFERROR(__xludf.DUMMYFUNCTION("""COMPUTED_VALUE"""),"2020-05-12 00:00:00")</f>
        <v>2020-05-12 00:00:00</v>
      </c>
      <c r="LX1" s="5" t="str">
        <f ca="1">IFERROR(__xludf.DUMMYFUNCTION("""COMPUTED_VALUE"""),"2020-05-11 00:00:00")</f>
        <v>2020-05-11 00:00:00</v>
      </c>
      <c r="LY1" s="5" t="str">
        <f ca="1">IFERROR(__xludf.DUMMYFUNCTION("""COMPUTED_VALUE"""),"2020-05-10 00:00:00")</f>
        <v>2020-05-10 00:00:00</v>
      </c>
      <c r="LZ1" s="5" t="str">
        <f ca="1">IFERROR(__xludf.DUMMYFUNCTION("""COMPUTED_VALUE"""),"2020-05-09 00:00:00")</f>
        <v>2020-05-09 00:00:00</v>
      </c>
      <c r="MA1" s="5" t="str">
        <f ca="1">IFERROR(__xludf.DUMMYFUNCTION("""COMPUTED_VALUE"""),"2020-05-08 00:00:00")</f>
        <v>2020-05-08 00:00:00</v>
      </c>
      <c r="MB1" s="5" t="str">
        <f ca="1">IFERROR(__xludf.DUMMYFUNCTION("""COMPUTED_VALUE"""),"2020-05-07 00:00:00")</f>
        <v>2020-05-07 00:00:00</v>
      </c>
      <c r="MC1" s="5" t="str">
        <f ca="1">IFERROR(__xludf.DUMMYFUNCTION("""COMPUTED_VALUE"""),"2020-05-06 00:00:00")</f>
        <v>2020-05-06 00:00:00</v>
      </c>
      <c r="MD1" s="5" t="str">
        <f ca="1">IFERROR(__xludf.DUMMYFUNCTION("""COMPUTED_VALUE"""),"2020-05-05 00:00:00")</f>
        <v>2020-05-05 00:00:00</v>
      </c>
      <c r="ME1" s="5" t="str">
        <f ca="1">IFERROR(__xludf.DUMMYFUNCTION("""COMPUTED_VALUE"""),"2020-05-04 00:00:00")</f>
        <v>2020-05-04 00:00:00</v>
      </c>
      <c r="MF1" s="5" t="str">
        <f ca="1">IFERROR(__xludf.DUMMYFUNCTION("""COMPUTED_VALUE"""),"2020-05-03 00:00:00")</f>
        <v>2020-05-03 00:00:00</v>
      </c>
      <c r="MG1" s="5" t="str">
        <f ca="1">IFERROR(__xludf.DUMMYFUNCTION("""COMPUTED_VALUE"""),"2020-05-02 00:00:00")</f>
        <v>2020-05-02 00:00:00</v>
      </c>
      <c r="MH1" s="5" t="str">
        <f ca="1">IFERROR(__xludf.DUMMYFUNCTION("""COMPUTED_VALUE"""),"2020-05-01 00:00:00")</f>
        <v>2020-05-01 00:00:00</v>
      </c>
      <c r="MI1" s="5" t="str">
        <f ca="1">IFERROR(__xludf.DUMMYFUNCTION("""COMPUTED_VALUE"""),"2020-04-30 00:00:00")</f>
        <v>2020-04-30 00:00:00</v>
      </c>
      <c r="MJ1" s="5" t="str">
        <f ca="1">IFERROR(__xludf.DUMMYFUNCTION("""COMPUTED_VALUE"""),"2020-04-29 00:00:00")</f>
        <v>2020-04-29 00:00:00</v>
      </c>
      <c r="MK1" s="5" t="str">
        <f ca="1">IFERROR(__xludf.DUMMYFUNCTION("""COMPUTED_VALUE"""),"2020-04-28 00:00:00")</f>
        <v>2020-04-28 00:00:00</v>
      </c>
      <c r="ML1" s="5" t="str">
        <f ca="1">IFERROR(__xludf.DUMMYFUNCTION("""COMPUTED_VALUE"""),"2020-04-27 00:00:00")</f>
        <v>2020-04-27 00:00:00</v>
      </c>
      <c r="MM1" s="5" t="str">
        <f ca="1">IFERROR(__xludf.DUMMYFUNCTION("""COMPUTED_VALUE"""),"2020-04-26 00:00:00")</f>
        <v>2020-04-26 00:00:00</v>
      </c>
      <c r="MN1" s="5" t="str">
        <f ca="1">IFERROR(__xludf.DUMMYFUNCTION("""COMPUTED_VALUE"""),"2020-04-25 00:00:00")</f>
        <v>2020-04-25 00:00:00</v>
      </c>
      <c r="MO1" s="5" t="str">
        <f ca="1">IFERROR(__xludf.DUMMYFUNCTION("""COMPUTED_VALUE"""),"2020-04-24 00:00:00")</f>
        <v>2020-04-24 00:00:00</v>
      </c>
      <c r="MP1" s="5" t="str">
        <f ca="1">IFERROR(__xludf.DUMMYFUNCTION("""COMPUTED_VALUE"""),"2020-04-23 00:00:00")</f>
        <v>2020-04-23 00:00:00</v>
      </c>
      <c r="MQ1" s="5" t="str">
        <f ca="1">IFERROR(__xludf.DUMMYFUNCTION("""COMPUTED_VALUE"""),"2020-04-22 00:00:00")</f>
        <v>2020-04-22 00:00:00</v>
      </c>
      <c r="MR1" s="5" t="str">
        <f ca="1">IFERROR(__xludf.DUMMYFUNCTION("""COMPUTED_VALUE"""),"2020-04-21 00:00:00")</f>
        <v>2020-04-21 00:00:00</v>
      </c>
      <c r="MS1" s="5" t="str">
        <f ca="1">IFERROR(__xludf.DUMMYFUNCTION("""COMPUTED_VALUE"""),"2020-04-20 00:00:00")</f>
        <v>2020-04-20 00:00:00</v>
      </c>
      <c r="MT1" s="5" t="str">
        <f ca="1">IFERROR(__xludf.DUMMYFUNCTION("""COMPUTED_VALUE"""),"2020-04-19 00:00:00")</f>
        <v>2020-04-19 00:00:00</v>
      </c>
      <c r="MU1" s="5" t="str">
        <f ca="1">IFERROR(__xludf.DUMMYFUNCTION("""COMPUTED_VALUE"""),"2020-04-18 00:00:00")</f>
        <v>2020-04-18 00:00:00</v>
      </c>
      <c r="MV1" s="5" t="str">
        <f ca="1">IFERROR(__xludf.DUMMYFUNCTION("""COMPUTED_VALUE"""),"2020-04-17 00:00:00")</f>
        <v>2020-04-17 00:00:00</v>
      </c>
      <c r="MW1" s="5" t="str">
        <f ca="1">IFERROR(__xludf.DUMMYFUNCTION("""COMPUTED_VALUE"""),"2020-04-16 00:00:00")</f>
        <v>2020-04-16 00:00:00</v>
      </c>
      <c r="MX1" s="5" t="str">
        <f ca="1">IFERROR(__xludf.DUMMYFUNCTION("""COMPUTED_VALUE"""),"2020-04-15 00:00:00")</f>
        <v>2020-04-15 00:00:00</v>
      </c>
      <c r="MY1" s="5" t="str">
        <f ca="1">IFERROR(__xludf.DUMMYFUNCTION("""COMPUTED_VALUE"""),"2020-04-14 00:00:00")</f>
        <v>2020-04-14 00:00:00</v>
      </c>
      <c r="MZ1" s="5" t="str">
        <f ca="1">IFERROR(__xludf.DUMMYFUNCTION("""COMPUTED_VALUE"""),"2020-04-13 00:00:00")</f>
        <v>2020-04-13 00:00:00</v>
      </c>
      <c r="NA1" s="5" t="str">
        <f ca="1">IFERROR(__xludf.DUMMYFUNCTION("""COMPUTED_VALUE"""),"2020-04-12 00:00:00")</f>
        <v>2020-04-12 00:00:00</v>
      </c>
      <c r="NB1" s="5" t="str">
        <f ca="1">IFERROR(__xludf.DUMMYFUNCTION("""COMPUTED_VALUE"""),"2020-04-11 00:00:00")</f>
        <v>2020-04-11 00:00:00</v>
      </c>
      <c r="NC1" s="5" t="str">
        <f ca="1">IFERROR(__xludf.DUMMYFUNCTION("""COMPUTED_VALUE"""),"2020-04-10 00:00:00")</f>
        <v>2020-04-10 00:00:00</v>
      </c>
      <c r="ND1" s="5" t="str">
        <f ca="1">IFERROR(__xludf.DUMMYFUNCTION("""COMPUTED_VALUE"""),"2020-04-09 00:00:00")</f>
        <v>2020-04-09 00:00:00</v>
      </c>
      <c r="NE1" s="5" t="str">
        <f ca="1">IFERROR(__xludf.DUMMYFUNCTION("""COMPUTED_VALUE"""),"2020-04-08 00:00:00")</f>
        <v>2020-04-08 00:00:00</v>
      </c>
      <c r="NF1" s="5" t="str">
        <f ca="1">IFERROR(__xludf.DUMMYFUNCTION("""COMPUTED_VALUE"""),"2020-04-07 00:00:00")</f>
        <v>2020-04-07 00:00:00</v>
      </c>
      <c r="NG1" s="5" t="str">
        <f ca="1">IFERROR(__xludf.DUMMYFUNCTION("""COMPUTED_VALUE"""),"2020-04-06 00:00:00")</f>
        <v>2020-04-06 00:00:00</v>
      </c>
      <c r="NH1" s="5" t="str">
        <f ca="1">IFERROR(__xludf.DUMMYFUNCTION("""COMPUTED_VALUE"""),"2020-04-05 00:00:00")</f>
        <v>2020-04-05 00:00:00</v>
      </c>
      <c r="NI1" s="5" t="str">
        <f ca="1">IFERROR(__xludf.DUMMYFUNCTION("""COMPUTED_VALUE"""),"2020-04-04 00:00:00")</f>
        <v>2020-04-04 00:00:00</v>
      </c>
      <c r="NJ1" s="5" t="str">
        <f ca="1">IFERROR(__xludf.DUMMYFUNCTION("""COMPUTED_VALUE"""),"2020-04-03 00:00:00")</f>
        <v>2020-04-03 00:00:00</v>
      </c>
      <c r="NK1" s="5" t="str">
        <f ca="1">IFERROR(__xludf.DUMMYFUNCTION("""COMPUTED_VALUE"""),"2020-04-02 00:00:00")</f>
        <v>2020-04-02 00:00:00</v>
      </c>
      <c r="NL1" s="5" t="str">
        <f ca="1">IFERROR(__xludf.DUMMYFUNCTION("""COMPUTED_VALUE"""),"2020-04-01 00:00:00")</f>
        <v>2020-04-01 00:00:00</v>
      </c>
      <c r="NM1" s="5" t="str">
        <f ca="1">IFERROR(__xludf.DUMMYFUNCTION("""COMPUTED_VALUE"""),"2020-03-31 00:00:00")</f>
        <v>2020-03-31 00:00:00</v>
      </c>
      <c r="NN1" s="5" t="str">
        <f ca="1">IFERROR(__xludf.DUMMYFUNCTION("""COMPUTED_VALUE"""),"2020-03-30 00:00:00")</f>
        <v>2020-03-30 00:00:00</v>
      </c>
      <c r="NO1" s="5" t="str">
        <f ca="1">IFERROR(__xludf.DUMMYFUNCTION("""COMPUTED_VALUE"""),"2020-03-29 00:00:00")</f>
        <v>2020-03-29 00:00:00</v>
      </c>
      <c r="NP1" s="5" t="str">
        <f ca="1">IFERROR(__xludf.DUMMYFUNCTION("""COMPUTED_VALUE"""),"2020-03-28 00:00:00")</f>
        <v>2020-03-28 00:00:00</v>
      </c>
      <c r="NQ1" s="5" t="str">
        <f ca="1">IFERROR(__xludf.DUMMYFUNCTION("""COMPUTED_VALUE"""),"2020-03-27 00:00:00")</f>
        <v>2020-03-27 00:00:00</v>
      </c>
      <c r="NR1" s="5" t="str">
        <f ca="1">IFERROR(__xludf.DUMMYFUNCTION("""COMPUTED_VALUE"""),"2020-03-26 00:00:00")</f>
        <v>2020-03-26 00:00:00</v>
      </c>
      <c r="NS1" s="5" t="str">
        <f ca="1">IFERROR(__xludf.DUMMYFUNCTION("""COMPUTED_VALUE"""),"2020-03-25 00:00:00")</f>
        <v>2020-03-25 00:00:00</v>
      </c>
      <c r="NT1" s="5" t="str">
        <f ca="1">IFERROR(__xludf.DUMMYFUNCTION("""COMPUTED_VALUE"""),"2020-03-24 00:00:00")</f>
        <v>2020-03-24 00:00:00</v>
      </c>
      <c r="NU1" s="5" t="str">
        <f ca="1">IFERROR(__xludf.DUMMYFUNCTION("""COMPUTED_VALUE"""),"2020-03-23 00:00:00")</f>
        <v>2020-03-23 00:00:00</v>
      </c>
      <c r="NV1" s="5" t="str">
        <f ca="1">IFERROR(__xludf.DUMMYFUNCTION("""COMPUTED_VALUE"""),"2020-03-22 00:00:00")</f>
        <v>2020-03-22 00:00:00</v>
      </c>
      <c r="NW1" s="5" t="str">
        <f ca="1">IFERROR(__xludf.DUMMYFUNCTION("""COMPUTED_VALUE"""),"2020-03-21 00:00:00")</f>
        <v>2020-03-21 00:00:00</v>
      </c>
      <c r="NX1" s="5" t="str">
        <f ca="1">IFERROR(__xludf.DUMMYFUNCTION("""COMPUTED_VALUE"""),"2020-03-20 00:00:00")</f>
        <v>2020-03-20 00:00:00</v>
      </c>
      <c r="NY1" s="5" t="str">
        <f ca="1">IFERROR(__xludf.DUMMYFUNCTION("""COMPUTED_VALUE"""),"2020-03-19 00:00:00")</f>
        <v>2020-03-19 00:00:00</v>
      </c>
      <c r="NZ1" s="5" t="str">
        <f ca="1">IFERROR(__xludf.DUMMYFUNCTION("""COMPUTED_VALUE"""),"2020-03-18 00:00:00")</f>
        <v>2020-03-18 00:00:00</v>
      </c>
      <c r="OA1" s="5" t="str">
        <f ca="1">IFERROR(__xludf.DUMMYFUNCTION("""COMPUTED_VALUE"""),"2020-03-17 00:00:00")</f>
        <v>2020-03-17 00:00:00</v>
      </c>
      <c r="OB1" s="5" t="str">
        <f ca="1">IFERROR(__xludf.DUMMYFUNCTION("""COMPUTED_VALUE"""),"2020-03-16 00:00:00")</f>
        <v>2020-03-16 00:00:00</v>
      </c>
      <c r="OC1" s="5" t="str">
        <f ca="1">IFERROR(__xludf.DUMMYFUNCTION("""COMPUTED_VALUE"""),"2020-03-15 00:00:00")</f>
        <v>2020-03-15 00:00:00</v>
      </c>
      <c r="OD1" s="5" t="str">
        <f ca="1">IFERROR(__xludf.DUMMYFUNCTION("""COMPUTED_VALUE"""),"2020-03-14 00:00:00")</f>
        <v>2020-03-14 00:00:00</v>
      </c>
      <c r="OE1" s="5" t="str">
        <f ca="1">IFERROR(__xludf.DUMMYFUNCTION("""COMPUTED_VALUE"""),"2020-03-13 00:00:00")</f>
        <v>2020-03-13 00:00:00</v>
      </c>
      <c r="OF1" s="5" t="str">
        <f ca="1">IFERROR(__xludf.DUMMYFUNCTION("""COMPUTED_VALUE"""),"2020-03-12 00:00:00")</f>
        <v>2020-03-12 00:00:00</v>
      </c>
      <c r="OG1" s="5" t="str">
        <f ca="1">IFERROR(__xludf.DUMMYFUNCTION("""COMPUTED_VALUE"""),"2020-03-11 00:00:00")</f>
        <v>2020-03-11 00:00:00</v>
      </c>
      <c r="OH1" s="5" t="str">
        <f ca="1">IFERROR(__xludf.DUMMYFUNCTION("""COMPUTED_VALUE"""),"2020-03-10 00:00:00")</f>
        <v>2020-03-10 00:00:00</v>
      </c>
      <c r="OI1" s="5" t="str">
        <f ca="1">IFERROR(__xludf.DUMMYFUNCTION("""COMPUTED_VALUE"""),"2020-03-09 00:00:00")</f>
        <v>2020-03-09 00:00:00</v>
      </c>
      <c r="OJ1" s="5" t="str">
        <f ca="1">IFERROR(__xludf.DUMMYFUNCTION("""COMPUTED_VALUE"""),"2020-03-08 00:00:00")</f>
        <v>2020-03-08 00:00:00</v>
      </c>
      <c r="OK1" s="5" t="str">
        <f ca="1">IFERROR(__xludf.DUMMYFUNCTION("""COMPUTED_VALUE"""),"2020-03-07 00:00:00")</f>
        <v>2020-03-07 00:00:00</v>
      </c>
      <c r="OL1" s="5" t="str">
        <f ca="1">IFERROR(__xludf.DUMMYFUNCTION("""COMPUTED_VALUE"""),"2020-03-06 00:00:00")</f>
        <v>2020-03-06 00:00:00</v>
      </c>
      <c r="OM1" s="5" t="str">
        <f ca="1">IFERROR(__xludf.DUMMYFUNCTION("""COMPUTED_VALUE"""),"2020-03-05 00:00:00")</f>
        <v>2020-03-05 00:00:00</v>
      </c>
      <c r="ON1" s="5" t="str">
        <f ca="1">IFERROR(__xludf.DUMMYFUNCTION("""COMPUTED_VALUE"""),"2020-03-04 00:00:00")</f>
        <v>2020-03-04 00:00:00</v>
      </c>
      <c r="OO1" s="5" t="str">
        <f ca="1">IFERROR(__xludf.DUMMYFUNCTION("""COMPUTED_VALUE"""),"2020-03-03 00:00:00")</f>
        <v>2020-03-03 00:00:00</v>
      </c>
      <c r="OP1" s="5" t="str">
        <f ca="1">IFERROR(__xludf.DUMMYFUNCTION("""COMPUTED_VALUE"""),"2020-03-02 00:00:00")</f>
        <v>2020-03-02 00:00:00</v>
      </c>
      <c r="OQ1" s="5" t="str">
        <f ca="1">IFERROR(__xludf.DUMMYFUNCTION("""COMPUTED_VALUE"""),"2020-03-01 00:00:00")</f>
        <v>2020-03-01 00:00:00</v>
      </c>
      <c r="OR1" s="5" t="str">
        <f ca="1">IFERROR(__xludf.DUMMYFUNCTION("""COMPUTED_VALUE"""),"2020-02-29 00:00:00")</f>
        <v>2020-02-29 00:00:00</v>
      </c>
      <c r="OS1" s="5" t="str">
        <f ca="1">IFERROR(__xludf.DUMMYFUNCTION("""COMPUTED_VALUE"""),"2020-02-28 00:00:00")</f>
        <v>2020-02-28 00:00:00</v>
      </c>
      <c r="OT1" s="5" t="str">
        <f ca="1">IFERROR(__xludf.DUMMYFUNCTION("""COMPUTED_VALUE"""),"2020-02-27 00:00:00")</f>
        <v>2020-02-27 00:00:00</v>
      </c>
      <c r="OU1" s="5" t="str">
        <f ca="1">IFERROR(__xludf.DUMMYFUNCTION("""COMPUTED_VALUE"""),"2020-02-26 00:00:00")</f>
        <v>2020-02-26 00:00:00</v>
      </c>
      <c r="OV1" s="5" t="str">
        <f ca="1">IFERROR(__xludf.DUMMYFUNCTION("""COMPUTED_VALUE"""),"2020-02-25 00:00:00")</f>
        <v>2020-02-25 00:00:00</v>
      </c>
      <c r="OW1" s="5" t="str">
        <f ca="1">IFERROR(__xludf.DUMMYFUNCTION("""COMPUTED_VALUE"""),"2020-02-24 00:00:00")</f>
        <v>2020-02-24 00:00:00</v>
      </c>
      <c r="OX1" s="5" t="str">
        <f ca="1">IFERROR(__xludf.DUMMYFUNCTION("""COMPUTED_VALUE"""),"2020-02-23 00:00:00")</f>
        <v>2020-02-23 00:00:00</v>
      </c>
      <c r="OY1" s="5" t="str">
        <f ca="1">IFERROR(__xludf.DUMMYFUNCTION("""COMPUTED_VALUE"""),"2020-02-22 00:00:00")</f>
        <v>2020-02-22 00:00:00</v>
      </c>
      <c r="OZ1" s="5" t="str">
        <f ca="1">IFERROR(__xludf.DUMMYFUNCTION("""COMPUTED_VALUE"""),"2020-02-21 00:00:00")</f>
        <v>2020-02-21 00:00:00</v>
      </c>
      <c r="PA1" s="5" t="str">
        <f ca="1">IFERROR(__xludf.DUMMYFUNCTION("""COMPUTED_VALUE"""),"2020-02-20 00:00:00")</f>
        <v>2020-02-20 00:00:00</v>
      </c>
      <c r="PB1" s="5" t="str">
        <f ca="1">IFERROR(__xludf.DUMMYFUNCTION("""COMPUTED_VALUE"""),"2020-02-19 00:00:00")</f>
        <v>2020-02-19 00:00:00</v>
      </c>
      <c r="PC1" s="5" t="str">
        <f ca="1">IFERROR(__xludf.DUMMYFUNCTION("""COMPUTED_VALUE"""),"2020-02-18 00:00:00")</f>
        <v>2020-02-18 00:00:00</v>
      </c>
      <c r="PD1" s="5" t="str">
        <f ca="1">IFERROR(__xludf.DUMMYFUNCTION("""COMPUTED_VALUE"""),"2020-02-17 00:00:00")</f>
        <v>2020-02-17 00:00:00</v>
      </c>
      <c r="PE1" s="5" t="str">
        <f ca="1">IFERROR(__xludf.DUMMYFUNCTION("""COMPUTED_VALUE"""),"2020-02-16 00:00:00")</f>
        <v>2020-02-16 00:00:00</v>
      </c>
      <c r="PF1" s="5" t="str">
        <f ca="1">IFERROR(__xludf.DUMMYFUNCTION("""COMPUTED_VALUE"""),"2020-02-15 00:00:00")</f>
        <v>2020-02-15 00:00:00</v>
      </c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</row>
    <row r="2" spans="1:594" ht="15.75" customHeight="1">
      <c r="A2" s="1" t="str">
        <f ca="1">IFERROR(__xludf.DUMMYFUNCTION("""COMPUTED_VALUE"""),"Albany")</f>
        <v>Albany</v>
      </c>
      <c r="B2" s="3">
        <f ca="1">IFERROR(__xludf.DUMMYFUNCTION("""COMPUTED_VALUE"""),-0.252945570960213)</f>
        <v>-0.25294557096021297</v>
      </c>
      <c r="C2" s="3">
        <f ca="1">IFERROR(__xludf.DUMMYFUNCTION("""COMPUTED_VALUE"""),-0.378803385225223)</f>
        <v>-0.378803385225223</v>
      </c>
      <c r="D2" s="3">
        <f ca="1">IFERROR(__xludf.DUMMYFUNCTION("""COMPUTED_VALUE"""),-0.380032131188041)</f>
        <v>-0.38003213118804102</v>
      </c>
      <c r="E2" s="3">
        <f ca="1">IFERROR(__xludf.DUMMYFUNCTION("""COMPUTED_VALUE"""),-0.427440126390503)</f>
        <v>-0.42744012639050299</v>
      </c>
      <c r="F2" s="3">
        <f ca="1">IFERROR(__xludf.DUMMYFUNCTION("""COMPUTED_VALUE"""),-0.315252811905341)</f>
        <v>-0.31525281190534099</v>
      </c>
      <c r="G2" s="3">
        <f ca="1">IFERROR(__xludf.DUMMYFUNCTION("""COMPUTED_VALUE"""),-0.416040495715551)</f>
        <v>-0.41604049571555102</v>
      </c>
      <c r="H2" s="3">
        <f ca="1">IFERROR(__xludf.DUMMYFUNCTION("""COMPUTED_VALUE"""),-0.483369004593368)</f>
        <v>-0.48336900459336801</v>
      </c>
      <c r="I2" s="3">
        <f ca="1">IFERROR(__xludf.DUMMYFUNCTION("""COMPUTED_VALUE"""),-0.420523128949287)</f>
        <v>-0.42052312894928701</v>
      </c>
      <c r="J2" s="3">
        <f ca="1">IFERROR(__xludf.DUMMYFUNCTION("""COMPUTED_VALUE"""),-0.465422261213867)</f>
        <v>-0.46542226121386698</v>
      </c>
      <c r="K2" s="3">
        <f ca="1">IFERROR(__xludf.DUMMYFUNCTION("""COMPUTED_VALUE"""),-0.447178239226843)</f>
        <v>-0.44717823922684302</v>
      </c>
      <c r="L2" s="3">
        <f ca="1">IFERROR(__xludf.DUMMYFUNCTION("""COMPUTED_VALUE"""),-0.461917573755835)</f>
        <v>-0.46191757375583498</v>
      </c>
      <c r="M2" s="3">
        <f ca="1">IFERROR(__xludf.DUMMYFUNCTION("""COMPUTED_VALUE"""),-0.368635816995217)</f>
        <v>-0.36863581699521702</v>
      </c>
      <c r="N2" s="3">
        <f ca="1">IFERROR(__xludf.DUMMYFUNCTION("""COMPUTED_VALUE"""),-0.418225602801813)</f>
        <v>-0.41822560280181298</v>
      </c>
      <c r="O2" s="3">
        <f ca="1">IFERROR(__xludf.DUMMYFUNCTION("""COMPUTED_VALUE"""),-0.456930429731978)</f>
        <v>-0.45693042973197801</v>
      </c>
      <c r="P2" s="3">
        <f ca="1">IFERROR(__xludf.DUMMYFUNCTION("""COMPUTED_VALUE"""),-0.170406441790641)</f>
        <v>-0.17040644179064099</v>
      </c>
      <c r="Q2" s="3">
        <f ca="1">IFERROR(__xludf.DUMMYFUNCTION("""COMPUTED_VALUE"""),-0.308538168590765)</f>
        <v>-0.30853816859076499</v>
      </c>
      <c r="R2" s="3">
        <f ca="1">IFERROR(__xludf.DUMMYFUNCTION("""COMPUTED_VALUE"""),-0.246322372039885)</f>
        <v>-0.246322372039885</v>
      </c>
      <c r="S2" s="3">
        <f ca="1">IFERROR(__xludf.DUMMYFUNCTION("""COMPUTED_VALUE"""),-0.326820496969186)</f>
        <v>-0.32682049696918603</v>
      </c>
      <c r="T2" s="3">
        <f ca="1">IFERROR(__xludf.DUMMYFUNCTION("""COMPUTED_VALUE"""),-0.19994382522839)</f>
        <v>-0.19994382522838999</v>
      </c>
      <c r="U2" s="3">
        <f ca="1">IFERROR(__xludf.DUMMYFUNCTION("""COMPUTED_VALUE"""),-0.30773003170883)</f>
        <v>-0.30773003170883001</v>
      </c>
      <c r="V2" s="3">
        <f ca="1">IFERROR(__xludf.DUMMYFUNCTION("""COMPUTED_VALUE"""),-0.155308230307823)</f>
        <v>-0.15530823030782301</v>
      </c>
      <c r="W2" s="3">
        <f ca="1">IFERROR(__xludf.DUMMYFUNCTION("""COMPUTED_VALUE"""),-0.035538667558348)</f>
        <v>-3.5538667558348003E-2</v>
      </c>
      <c r="X2" s="3">
        <f ca="1">IFERROR(__xludf.DUMMYFUNCTION("""COMPUTED_VALUE"""),-0.23859055210746)</f>
        <v>-0.23859055210746</v>
      </c>
      <c r="Y2" s="3">
        <f ca="1">IFERROR(__xludf.DUMMYFUNCTION("""COMPUTED_VALUE"""),-0.318982767595553)</f>
        <v>-0.318982767595553</v>
      </c>
      <c r="Z2" s="3">
        <f ca="1">IFERROR(__xludf.DUMMYFUNCTION("""COMPUTED_VALUE"""),-0.286995470367715)</f>
        <v>-0.286995470367715</v>
      </c>
      <c r="AA2" s="3">
        <f ca="1">IFERROR(__xludf.DUMMYFUNCTION("""COMPUTED_VALUE"""),-0.229444168902648)</f>
        <v>-0.22944416890264799</v>
      </c>
      <c r="AB2" s="3">
        <f ca="1">IFERROR(__xludf.DUMMYFUNCTION("""COMPUTED_VALUE"""),-0.261530752413973)</f>
        <v>-0.261530752413973</v>
      </c>
      <c r="AC2" s="3">
        <f ca="1">IFERROR(__xludf.DUMMYFUNCTION("""COMPUTED_VALUE"""),-0.141628342475303)</f>
        <v>-0.14162834247530301</v>
      </c>
      <c r="AD2" s="3">
        <f ca="1">IFERROR(__xludf.DUMMYFUNCTION("""COMPUTED_VALUE"""),-0.0815859570295062)</f>
        <v>-8.1585957029506204E-2</v>
      </c>
      <c r="AE2" s="3">
        <f ca="1">IFERROR(__xludf.DUMMYFUNCTION("""COMPUTED_VALUE"""),-0.179105256604543)</f>
        <v>-0.17910525660454299</v>
      </c>
      <c r="AF2" s="3">
        <f ca="1">IFERROR(__xludf.DUMMYFUNCTION("""COMPUTED_VALUE"""),-0.248268965557883)</f>
        <v>-0.248268965557883</v>
      </c>
      <c r="AG2" s="3">
        <f ca="1">IFERROR(__xludf.DUMMYFUNCTION("""COMPUTED_VALUE"""),-0.301513314627231)</f>
        <v>-0.30151331462723102</v>
      </c>
      <c r="AH2" s="3">
        <f ca="1">IFERROR(__xludf.DUMMYFUNCTION("""COMPUTED_VALUE"""),-0.389446086987823)</f>
        <v>-0.38944608698782301</v>
      </c>
      <c r="AI2" s="3">
        <f ca="1">IFERROR(__xludf.DUMMYFUNCTION("""COMPUTED_VALUE"""),-0.403813165122387)</f>
        <v>-0.40381316512238702</v>
      </c>
      <c r="AJ2" s="3">
        <f ca="1">IFERROR(__xludf.DUMMYFUNCTION("""COMPUTED_VALUE"""),-0.292704664548543)</f>
        <v>-0.29270466454854299</v>
      </c>
      <c r="AK2" s="3">
        <f ca="1">IFERROR(__xludf.DUMMYFUNCTION("""COMPUTED_VALUE"""),-0.307325368968067)</f>
        <v>-0.307325368968067</v>
      </c>
      <c r="AL2" s="3">
        <f ca="1">IFERROR(__xludf.DUMMYFUNCTION("""COMPUTED_VALUE"""),-0.39437133355161)</f>
        <v>-0.39437133355161003</v>
      </c>
      <c r="AM2" s="3">
        <f ca="1">IFERROR(__xludf.DUMMYFUNCTION("""COMPUTED_VALUE"""),-0.479869625222239)</f>
        <v>-0.47986962522223903</v>
      </c>
      <c r="AN2" s="3">
        <f ca="1">IFERROR(__xludf.DUMMYFUNCTION("""COMPUTED_VALUE"""),-0.401724526810839)</f>
        <v>-0.40172452681083898</v>
      </c>
      <c r="AO2" s="3">
        <f ca="1">IFERROR(__xludf.DUMMYFUNCTION("""COMPUTED_VALUE"""),-0.450466137672938)</f>
        <v>-0.45046613767293803</v>
      </c>
      <c r="AP2" s="3">
        <f ca="1">IFERROR(__xludf.DUMMYFUNCTION("""COMPUTED_VALUE"""),-0.467274248015427)</f>
        <v>-0.467274248015427</v>
      </c>
      <c r="AQ2" s="3">
        <f ca="1">IFERROR(__xludf.DUMMYFUNCTION("""COMPUTED_VALUE"""),-0.411602579824322)</f>
        <v>-0.41160257982432202</v>
      </c>
      <c r="AR2" s="3">
        <f ca="1">IFERROR(__xludf.DUMMYFUNCTION("""COMPUTED_VALUE"""),-0.427839057210487)</f>
        <v>-0.42783905721048698</v>
      </c>
      <c r="AS2" s="3">
        <f ca="1">IFERROR(__xludf.DUMMYFUNCTION("""COMPUTED_VALUE"""),-0.446503834113799)</f>
        <v>-0.44650383411379901</v>
      </c>
      <c r="AT2" s="3">
        <f ca="1">IFERROR(__xludf.DUMMYFUNCTION("""COMPUTED_VALUE"""),-0.492762936566832)</f>
        <v>-0.49276293656683201</v>
      </c>
      <c r="AU2" s="3">
        <f ca="1">IFERROR(__xludf.DUMMYFUNCTION("""COMPUTED_VALUE"""),-0.492395540727414)</f>
        <v>-0.49239554072741398</v>
      </c>
      <c r="AV2" s="3">
        <f ca="1">IFERROR(__xludf.DUMMYFUNCTION("""COMPUTED_VALUE"""),-0.541904203575645)</f>
        <v>-0.54190420357564495</v>
      </c>
      <c r="AW2" s="3">
        <f ca="1">IFERROR(__xludf.DUMMYFUNCTION("""COMPUTED_VALUE"""),-0.449469225993416)</f>
        <v>-0.44946922599341599</v>
      </c>
      <c r="AX2" s="3">
        <f ca="1">IFERROR(__xludf.DUMMYFUNCTION("""COMPUTED_VALUE"""),-0.373295937216461)</f>
        <v>-0.37329593721646098</v>
      </c>
      <c r="AY2" s="3">
        <f ca="1">IFERROR(__xludf.DUMMYFUNCTION("""COMPUTED_VALUE"""),-0.45990937962857)</f>
        <v>-0.45990937962856998</v>
      </c>
      <c r="AZ2" s="3">
        <f ca="1">IFERROR(__xludf.DUMMYFUNCTION("""COMPUTED_VALUE"""),-0.502289816125248)</f>
        <v>-0.50228981612524803</v>
      </c>
      <c r="BA2" s="3">
        <f ca="1">IFERROR(__xludf.DUMMYFUNCTION("""COMPUTED_VALUE"""),-0.566855214756613)</f>
        <v>-0.56685521475661305</v>
      </c>
      <c r="BB2" s="3">
        <f ca="1">IFERROR(__xludf.DUMMYFUNCTION("""COMPUTED_VALUE"""),-0.421079234620379)</f>
        <v>-0.42107923462037899</v>
      </c>
      <c r="BC2" s="3">
        <f ca="1">IFERROR(__xludf.DUMMYFUNCTION("""COMPUTED_VALUE"""),-0.424292030020958)</f>
        <v>-0.424292030020958</v>
      </c>
      <c r="BD2" s="3">
        <f ca="1">IFERROR(__xludf.DUMMYFUNCTION("""COMPUTED_VALUE"""),-0.501297595867645)</f>
        <v>-0.501297595867645</v>
      </c>
      <c r="BE2" s="3">
        <f ca="1">IFERROR(__xludf.DUMMYFUNCTION("""COMPUTED_VALUE"""),-0.358064497460703)</f>
        <v>-0.35806449746070301</v>
      </c>
      <c r="BF2" s="3">
        <f ca="1">IFERROR(__xludf.DUMMYFUNCTION("""COMPUTED_VALUE"""),-0.313455271928937)</f>
        <v>-0.31345527192893702</v>
      </c>
      <c r="BG2" s="3">
        <f ca="1">IFERROR(__xludf.DUMMYFUNCTION("""COMPUTED_VALUE"""),-0.467945278092303)</f>
        <v>-0.46794527809230302</v>
      </c>
      <c r="BH2" s="3">
        <f ca="1">IFERROR(__xludf.DUMMYFUNCTION("""COMPUTED_VALUE"""),-0.46200501008445)</f>
        <v>-0.46200501008445</v>
      </c>
      <c r="BI2" s="3">
        <f ca="1">IFERROR(__xludf.DUMMYFUNCTION("""COMPUTED_VALUE"""),-0.487479378670979)</f>
        <v>-0.48747937867097901</v>
      </c>
      <c r="BJ2" s="3">
        <f ca="1">IFERROR(__xludf.DUMMYFUNCTION("""COMPUTED_VALUE"""),-0.443760306265144)</f>
        <v>-0.44376030626514401</v>
      </c>
      <c r="BK2" s="3">
        <f ca="1">IFERROR(__xludf.DUMMYFUNCTION("""COMPUTED_VALUE"""),-0.488936566849599)</f>
        <v>-0.48893656684959902</v>
      </c>
      <c r="BL2" s="3">
        <f ca="1">IFERROR(__xludf.DUMMYFUNCTION("""COMPUTED_VALUE"""),-0.44596344776632)</f>
        <v>-0.44596344776632002</v>
      </c>
      <c r="BM2" s="3">
        <f ca="1">IFERROR(__xludf.DUMMYFUNCTION("""COMPUTED_VALUE"""),-0.378994095341975)</f>
        <v>-0.37899409534197498</v>
      </c>
      <c r="BN2" s="3">
        <f ca="1">IFERROR(__xludf.DUMMYFUNCTION("""COMPUTED_VALUE"""),-0.490069190959422)</f>
        <v>-0.49006919095942197</v>
      </c>
      <c r="BO2" s="3">
        <f ca="1">IFERROR(__xludf.DUMMYFUNCTION("""COMPUTED_VALUE"""),-0.489755135326661)</f>
        <v>-0.48975513532666098</v>
      </c>
      <c r="BP2" s="3">
        <f ca="1">IFERROR(__xludf.DUMMYFUNCTION("""COMPUTED_VALUE"""),-0.521872010355401)</f>
        <v>-0.52187201035540098</v>
      </c>
      <c r="BQ2" s="3">
        <f ca="1">IFERROR(__xludf.DUMMYFUNCTION("""COMPUTED_VALUE"""),-0.594711971613971)</f>
        <v>-0.59471197161397105</v>
      </c>
      <c r="BR2" s="3">
        <f ca="1">IFERROR(__xludf.DUMMYFUNCTION("""COMPUTED_VALUE"""),-0.590911406899465)</f>
        <v>-0.59091140689946497</v>
      </c>
      <c r="BS2" s="3">
        <f ca="1">IFERROR(__xludf.DUMMYFUNCTION("""COMPUTED_VALUE"""),-0.533141879412335)</f>
        <v>-0.53314187941233504</v>
      </c>
      <c r="BT2" s="3">
        <f ca="1">IFERROR(__xludf.DUMMYFUNCTION("""COMPUTED_VALUE"""),-0.537503616876043)</f>
        <v>-0.53750361687604298</v>
      </c>
      <c r="BU2" s="3">
        <f ca="1">IFERROR(__xludf.DUMMYFUNCTION("""COMPUTED_VALUE"""),-0.599189063313756)</f>
        <v>-0.59918906331375599</v>
      </c>
      <c r="BV2" s="3">
        <f ca="1">IFERROR(__xludf.DUMMYFUNCTION("""COMPUTED_VALUE"""),-0.633899648396623)</f>
        <v>-0.63389964839662305</v>
      </c>
      <c r="BW2" s="3">
        <f ca="1">IFERROR(__xludf.DUMMYFUNCTION("""COMPUTED_VALUE"""),-0.637979135752972)</f>
        <v>-0.63797913575297205</v>
      </c>
      <c r="BX2" s="3">
        <f ca="1">IFERROR(__xludf.DUMMYFUNCTION("""COMPUTED_VALUE"""),-0.645552175858491)</f>
        <v>-0.64555217585849101</v>
      </c>
      <c r="BY2" s="3">
        <f ca="1">IFERROR(__xludf.DUMMYFUNCTION("""COMPUTED_VALUE"""),-0.623845578534392)</f>
        <v>-0.62384557853439204</v>
      </c>
      <c r="BZ2" s="3">
        <f ca="1">IFERROR(__xludf.DUMMYFUNCTION("""COMPUTED_VALUE"""),-0.571893515014483)</f>
        <v>-0.57189351501448304</v>
      </c>
      <c r="CA2" s="3">
        <f ca="1">IFERROR(__xludf.DUMMYFUNCTION("""COMPUTED_VALUE"""),-0.582671738799257)</f>
        <v>-0.58267173879925704</v>
      </c>
      <c r="CB2" s="3">
        <f ca="1">IFERROR(__xludf.DUMMYFUNCTION("""COMPUTED_VALUE"""),-0.566390358061701)</f>
        <v>-0.56639035806170102</v>
      </c>
      <c r="CC2" s="3">
        <f ca="1">IFERROR(__xludf.DUMMYFUNCTION("""COMPUTED_VALUE"""),-0.622098286357124)</f>
        <v>-0.62209828635712405</v>
      </c>
      <c r="CD2" s="3">
        <f ca="1">IFERROR(__xludf.DUMMYFUNCTION("""COMPUTED_VALUE"""),-0.622274093109418)</f>
        <v>-0.62227409310941795</v>
      </c>
      <c r="CE2" s="3">
        <f ca="1">IFERROR(__xludf.DUMMYFUNCTION("""COMPUTED_VALUE"""),-0.635008193234685)</f>
        <v>-0.63500819323468505</v>
      </c>
      <c r="CF2" s="3">
        <f ca="1">IFERROR(__xludf.DUMMYFUNCTION("""COMPUTED_VALUE"""),-0.528757341994076)</f>
        <v>-0.52875734199407598</v>
      </c>
      <c r="CG2" s="3">
        <f ca="1">IFERROR(__xludf.DUMMYFUNCTION("""COMPUTED_VALUE"""),-0.522393201622111)</f>
        <v>-0.522393201622111</v>
      </c>
      <c r="CH2" s="3">
        <f ca="1">IFERROR(__xludf.DUMMYFUNCTION("""COMPUTED_VALUE"""),-0.519338357327117)</f>
        <v>-0.51933835732711697</v>
      </c>
      <c r="CI2" s="3">
        <f ca="1">IFERROR(__xludf.DUMMYFUNCTION("""COMPUTED_VALUE"""),-0.549611956291671)</f>
        <v>-0.54961195629167103</v>
      </c>
      <c r="CJ2" s="3">
        <f ca="1">IFERROR(__xludf.DUMMYFUNCTION("""COMPUTED_VALUE"""),-0.539495039521788)</f>
        <v>-0.53949503952178801</v>
      </c>
      <c r="CK2" s="3">
        <f ca="1">IFERROR(__xludf.DUMMYFUNCTION("""COMPUTED_VALUE"""),-0.531585550932563)</f>
        <v>-0.53158555093256299</v>
      </c>
      <c r="CL2" s="3">
        <f ca="1">IFERROR(__xludf.DUMMYFUNCTION("""COMPUTED_VALUE"""),-0.523584471302643)</f>
        <v>-0.52358447130264296</v>
      </c>
      <c r="CM2" s="3">
        <f ca="1">IFERROR(__xludf.DUMMYFUNCTION("""COMPUTED_VALUE"""),-0.468625660602939)</f>
        <v>-0.46862566060293898</v>
      </c>
      <c r="CN2" s="3">
        <f ca="1">IFERROR(__xludf.DUMMYFUNCTION("""COMPUTED_VALUE"""),-0.34934246479983)</f>
        <v>-0.34934246479983</v>
      </c>
      <c r="CO2" s="3">
        <f ca="1">IFERROR(__xludf.DUMMYFUNCTION("""COMPUTED_VALUE"""),-0.277298421690755)</f>
        <v>-0.27729842169075503</v>
      </c>
      <c r="CP2" s="3">
        <f ca="1">IFERROR(__xludf.DUMMYFUNCTION("""COMPUTED_VALUE"""),-0.295919336619858)</f>
        <v>-0.29591933661985798</v>
      </c>
      <c r="CQ2" s="3">
        <f ca="1">IFERROR(__xludf.DUMMYFUNCTION("""COMPUTED_VALUE"""),-0.28592916926161)</f>
        <v>-0.28592916926160999</v>
      </c>
      <c r="CR2" s="3">
        <f ca="1">IFERROR(__xludf.DUMMYFUNCTION("""COMPUTED_VALUE"""),-0.201846522682519)</f>
        <v>-0.20184652268251899</v>
      </c>
      <c r="CS2" s="3">
        <f ca="1">IFERROR(__xludf.DUMMYFUNCTION("""COMPUTED_VALUE"""),-0.259360477401133)</f>
        <v>-0.25936047740113299</v>
      </c>
      <c r="CT2" s="3">
        <f ca="1">IFERROR(__xludf.DUMMYFUNCTION("""COMPUTED_VALUE"""),-0.265900144389687)</f>
        <v>-0.26590014438968701</v>
      </c>
      <c r="CU2" s="3">
        <f ca="1">IFERROR(__xludf.DUMMYFUNCTION("""COMPUTED_VALUE"""),-0.318537370823566)</f>
        <v>-0.31853737082356598</v>
      </c>
      <c r="CV2" s="3">
        <f ca="1">IFERROR(__xludf.DUMMYFUNCTION("""COMPUTED_VALUE"""),-0.310942690374542)</f>
        <v>-0.31094269037454197</v>
      </c>
      <c r="CW2" s="3">
        <f ca="1">IFERROR(__xludf.DUMMYFUNCTION("""COMPUTED_VALUE"""),-0.542022855231498)</f>
        <v>-0.54202285523149796</v>
      </c>
      <c r="CX2" s="3">
        <f ca="1">IFERROR(__xludf.DUMMYFUNCTION("""COMPUTED_VALUE"""),-0.137822063923204)</f>
        <v>-0.13782206392320401</v>
      </c>
      <c r="CY2" s="3">
        <f ca="1">IFERROR(__xludf.DUMMYFUNCTION("""COMPUTED_VALUE"""),0.0975007572276909)</f>
        <v>9.7500757227690901E-2</v>
      </c>
      <c r="CZ2" s="3">
        <f ca="1">IFERROR(__xludf.DUMMYFUNCTION("""COMPUTED_VALUE"""),-0.217275378363507)</f>
        <v>-0.21727537836350699</v>
      </c>
      <c r="DA2" s="3">
        <f ca="1">IFERROR(__xludf.DUMMYFUNCTION("""COMPUTED_VALUE"""),-0.356469363925126)</f>
        <v>-0.35646936392512601</v>
      </c>
      <c r="DB2" s="3">
        <f ca="1">IFERROR(__xludf.DUMMYFUNCTION("""COMPUTED_VALUE"""),-0.354279306463338)</f>
        <v>-0.354279306463338</v>
      </c>
      <c r="DC2" s="3">
        <f ca="1">IFERROR(__xludf.DUMMYFUNCTION("""COMPUTED_VALUE"""),-0.410933739097148)</f>
        <v>-0.41093373909714798</v>
      </c>
      <c r="DD2" s="3">
        <f ca="1">IFERROR(__xludf.DUMMYFUNCTION("""COMPUTED_VALUE"""),-0.814542277006367)</f>
        <v>-0.81454227700636705</v>
      </c>
      <c r="DE2" s="3">
        <f ca="1">IFERROR(__xludf.DUMMYFUNCTION("""COMPUTED_VALUE"""),-0.287197647127229)</f>
        <v>-0.28719764712722901</v>
      </c>
      <c r="DF2" s="3">
        <f ca="1">IFERROR(__xludf.DUMMYFUNCTION("""COMPUTED_VALUE"""),0.0186224744477605)</f>
        <v>1.8622474447760499E-2</v>
      </c>
      <c r="DG2" s="3">
        <f ca="1">IFERROR(__xludf.DUMMYFUNCTION("""COMPUTED_VALUE"""),-0.34279510932992)</f>
        <v>-0.34279510932992002</v>
      </c>
      <c r="DH2" s="3">
        <f ca="1">IFERROR(__xludf.DUMMYFUNCTION("""COMPUTED_VALUE"""),-0.352783762484765)</f>
        <v>-0.35278376248476501</v>
      </c>
      <c r="DI2" s="3">
        <f ca="1">IFERROR(__xludf.DUMMYFUNCTION("""COMPUTED_VALUE"""),-0.384734370221645)</f>
        <v>-0.38473437022164497</v>
      </c>
      <c r="DJ2" s="3">
        <f ca="1">IFERROR(__xludf.DUMMYFUNCTION("""COMPUTED_VALUE"""),-0.383464045618639)</f>
        <v>-0.383464045618639</v>
      </c>
      <c r="DK2" s="3">
        <f ca="1">IFERROR(__xludf.DUMMYFUNCTION("""COMPUTED_VALUE"""),-0.337094513042731)</f>
        <v>-0.33709451304273103</v>
      </c>
      <c r="DL2" s="3">
        <f ca="1">IFERROR(__xludf.DUMMYFUNCTION("""COMPUTED_VALUE"""),-0.492658538584678)</f>
        <v>-0.49265853858467801</v>
      </c>
      <c r="DM2" s="3">
        <f ca="1">IFERROR(__xludf.DUMMYFUNCTION("""COMPUTED_VALUE"""),-0.470381016544242)</f>
        <v>-0.47038101654424203</v>
      </c>
      <c r="DN2" s="3">
        <f ca="1">IFERROR(__xludf.DUMMYFUNCTION("""COMPUTED_VALUE"""),-0.594367201524905)</f>
        <v>-0.59436720152490496</v>
      </c>
      <c r="DO2" s="3">
        <f ca="1">IFERROR(__xludf.DUMMYFUNCTION("""COMPUTED_VALUE"""),-0.604863308346639)</f>
        <v>-0.60486330834663904</v>
      </c>
      <c r="DP2" s="3">
        <f ca="1">IFERROR(__xludf.DUMMYFUNCTION("""COMPUTED_VALUE"""),-0.589505234536906)</f>
        <v>-0.58950523453690595</v>
      </c>
      <c r="DQ2" s="3">
        <f ca="1">IFERROR(__xludf.DUMMYFUNCTION("""COMPUTED_VALUE"""),-0.637092271793247)</f>
        <v>-0.63709227179324701</v>
      </c>
      <c r="DR2" s="3">
        <f ca="1">IFERROR(__xludf.DUMMYFUNCTION("""COMPUTED_VALUE"""),-0.619669109586435)</f>
        <v>-0.61966910958643495</v>
      </c>
      <c r="DS2" s="3">
        <f ca="1">IFERROR(__xludf.DUMMYFUNCTION("""COMPUTED_VALUE"""),-0.65585677029772)</f>
        <v>-0.65585677029772005</v>
      </c>
      <c r="DT2" s="3">
        <f ca="1">IFERROR(__xludf.DUMMYFUNCTION("""COMPUTED_VALUE"""),-0.684788936939222)</f>
        <v>-0.68478893693922205</v>
      </c>
      <c r="DU2" s="3">
        <f ca="1">IFERROR(__xludf.DUMMYFUNCTION("""COMPUTED_VALUE"""),-0.692597640491994)</f>
        <v>-0.69259764049199402</v>
      </c>
      <c r="DV2" s="3">
        <f ca="1">IFERROR(__xludf.DUMMYFUNCTION("""COMPUTED_VALUE"""),-0.650680427531743)</f>
        <v>-0.65068042753174304</v>
      </c>
      <c r="DW2" s="3">
        <f ca="1">IFERROR(__xludf.DUMMYFUNCTION("""COMPUTED_VALUE"""),-0.647491421425781)</f>
        <v>-0.64749142142578098</v>
      </c>
      <c r="DX2" s="3">
        <f ca="1">IFERROR(__xludf.DUMMYFUNCTION("""COMPUTED_VALUE"""),-0.66159631651664)</f>
        <v>-0.66159631651663997</v>
      </c>
      <c r="DY2" s="3">
        <f ca="1">IFERROR(__xludf.DUMMYFUNCTION("""COMPUTED_VALUE"""),-0.635529562664078)</f>
        <v>-0.63552956266407801</v>
      </c>
      <c r="DZ2" s="3">
        <f ca="1">IFERROR(__xludf.DUMMYFUNCTION("""COMPUTED_VALUE"""),-0.652043605817002)</f>
        <v>-0.65204360581700205</v>
      </c>
      <c r="EA2" s="3">
        <f ca="1">IFERROR(__xludf.DUMMYFUNCTION("""COMPUTED_VALUE"""),-0.712714341999085)</f>
        <v>-0.71271434199908501</v>
      </c>
      <c r="EB2" s="3">
        <f ca="1">IFERROR(__xludf.DUMMYFUNCTION("""COMPUTED_VALUE"""),-0.697061224876958)</f>
        <v>-0.69706122487695799</v>
      </c>
      <c r="EC2" s="3">
        <f ca="1">IFERROR(__xludf.DUMMYFUNCTION("""COMPUTED_VALUE"""),-0.667428780554183)</f>
        <v>-0.66742878055418298</v>
      </c>
      <c r="ED2" s="3">
        <f ca="1">IFERROR(__xludf.DUMMYFUNCTION("""COMPUTED_VALUE"""),-0.633866991448234)</f>
        <v>-0.633866991448234</v>
      </c>
      <c r="EE2" s="3">
        <f ca="1">IFERROR(__xludf.DUMMYFUNCTION("""COMPUTED_VALUE"""),-0.707028290189624)</f>
        <v>-0.70702829018962399</v>
      </c>
      <c r="EF2" s="3">
        <f ca="1">IFERROR(__xludf.DUMMYFUNCTION("""COMPUTED_VALUE"""),-0.701831520433658)</f>
        <v>-0.70183152043365804</v>
      </c>
      <c r="EG2" s="3">
        <f ca="1">IFERROR(__xludf.DUMMYFUNCTION("""COMPUTED_VALUE"""),-0.80907964474004)</f>
        <v>-0.80907964474004002</v>
      </c>
      <c r="EH2" s="3">
        <f ca="1">IFERROR(__xludf.DUMMYFUNCTION("""COMPUTED_VALUE"""),-0.660036854519643)</f>
        <v>-0.660036854519643</v>
      </c>
      <c r="EI2" s="3">
        <f ca="1">IFERROR(__xludf.DUMMYFUNCTION("""COMPUTED_VALUE"""),-0.688057041586847)</f>
        <v>-0.688057041586847</v>
      </c>
      <c r="EJ2" s="3">
        <f ca="1">IFERROR(__xludf.DUMMYFUNCTION("""COMPUTED_VALUE"""),-0.59942836676762)</f>
        <v>-0.59942836676762001</v>
      </c>
      <c r="EK2" s="3">
        <f ca="1">IFERROR(__xludf.DUMMYFUNCTION("""COMPUTED_VALUE"""),-0.566196397702877)</f>
        <v>-0.566196397702877</v>
      </c>
      <c r="EL2" s="3">
        <f ca="1">IFERROR(__xludf.DUMMYFUNCTION("""COMPUTED_VALUE"""),-0.484937191525489)</f>
        <v>-0.48493719152548898</v>
      </c>
      <c r="EM2" s="3">
        <f ca="1">IFERROR(__xludf.DUMMYFUNCTION("""COMPUTED_VALUE"""),-0.543825233817056)</f>
        <v>-0.54382523381705605</v>
      </c>
      <c r="EN2" s="3">
        <f ca="1">IFERROR(__xludf.DUMMYFUNCTION("""COMPUTED_VALUE"""),-0.541077254294906)</f>
        <v>-0.54107725429490605</v>
      </c>
      <c r="EO2" s="3">
        <f ca="1">IFERROR(__xludf.DUMMYFUNCTION("""COMPUTED_VALUE"""),-0.573574929099397)</f>
        <v>-0.573574929099397</v>
      </c>
      <c r="EP2" s="3">
        <f ca="1">IFERROR(__xludf.DUMMYFUNCTION("""COMPUTED_VALUE"""),-0.592353092992863)</f>
        <v>-0.59235309299286298</v>
      </c>
      <c r="EQ2" s="3">
        <f ca="1">IFERROR(__xludf.DUMMYFUNCTION("""COMPUTED_VALUE"""),-0.600633811566555)</f>
        <v>-0.60063381156655504</v>
      </c>
      <c r="ER2" s="3">
        <f ca="1">IFERROR(__xludf.DUMMYFUNCTION("""COMPUTED_VALUE"""),-0.55770058308509)</f>
        <v>-0.55770058308508996</v>
      </c>
      <c r="ES2" s="3">
        <f ca="1">IFERROR(__xludf.DUMMYFUNCTION("""COMPUTED_VALUE"""),-0.57005272119818)</f>
        <v>-0.57005272119817996</v>
      </c>
      <c r="ET2" s="3">
        <f ca="1">IFERROR(__xludf.DUMMYFUNCTION("""COMPUTED_VALUE"""),-0.592622977173367)</f>
        <v>-0.59262297717336698</v>
      </c>
      <c r="EU2" s="3">
        <f ca="1">IFERROR(__xludf.DUMMYFUNCTION("""COMPUTED_VALUE"""),-0.611267911481971)</f>
        <v>-0.61126791148197102</v>
      </c>
      <c r="EV2" s="3">
        <f ca="1">IFERROR(__xludf.DUMMYFUNCTION("""COMPUTED_VALUE"""),-0.619345801048448)</f>
        <v>-0.61934580104844805</v>
      </c>
      <c r="EW2" s="3">
        <f ca="1">IFERROR(__xludf.DUMMYFUNCTION("""COMPUTED_VALUE"""),-0.596630147974572)</f>
        <v>-0.59663014797457203</v>
      </c>
      <c r="EX2" s="3">
        <f ca="1">IFERROR(__xludf.DUMMYFUNCTION("""COMPUTED_VALUE"""),-0.586111373360971)</f>
        <v>-0.58611137336097097</v>
      </c>
      <c r="EY2" s="3">
        <f ca="1">IFERROR(__xludf.DUMMYFUNCTION("""COMPUTED_VALUE"""),-0.520465494271133)</f>
        <v>-0.52046549427113298</v>
      </c>
      <c r="EZ2" s="3">
        <f ca="1">IFERROR(__xludf.DUMMYFUNCTION("""COMPUTED_VALUE"""),-0.532071738643819)</f>
        <v>-0.53207173864381896</v>
      </c>
      <c r="FA2" s="3">
        <f ca="1">IFERROR(__xludf.DUMMYFUNCTION("""COMPUTED_VALUE"""),-0.632396666968919)</f>
        <v>-0.63239666696891905</v>
      </c>
      <c r="FB2" s="3">
        <f ca="1">IFERROR(__xludf.DUMMYFUNCTION("""COMPUTED_VALUE"""),-0.616090560827969)</f>
        <v>-0.61609056082796898</v>
      </c>
      <c r="FC2" s="3">
        <f ca="1">IFERROR(__xludf.DUMMYFUNCTION("""COMPUTED_VALUE"""),-0.554992612883815)</f>
        <v>-0.55499261288381496</v>
      </c>
      <c r="FD2" s="3">
        <f ca="1">IFERROR(__xludf.DUMMYFUNCTION("""COMPUTED_VALUE"""),-0.586911382116385)</f>
        <v>-0.58691138211638505</v>
      </c>
      <c r="FE2" s="3">
        <f ca="1">IFERROR(__xludf.DUMMYFUNCTION("""COMPUTED_VALUE"""),-0.595163430780938)</f>
        <v>-0.59516343078093803</v>
      </c>
      <c r="FF2" s="3">
        <f ca="1">IFERROR(__xludf.DUMMYFUNCTION("""COMPUTED_VALUE"""),-0.508052331013288)</f>
        <v>-0.50805233101328795</v>
      </c>
      <c r="FG2" s="3">
        <f ca="1">IFERROR(__xludf.DUMMYFUNCTION("""COMPUTED_VALUE"""),-0.498986095477346)</f>
        <v>-0.49898609547734601</v>
      </c>
      <c r="FH2" s="3">
        <f ca="1">IFERROR(__xludf.DUMMYFUNCTION("""COMPUTED_VALUE"""),-0.548746025758984)</f>
        <v>-0.54874602575898401</v>
      </c>
      <c r="FI2" s="3">
        <f ca="1">IFERROR(__xludf.DUMMYFUNCTION("""COMPUTED_VALUE"""),-0.616756173912558)</f>
        <v>-0.61675617391255799</v>
      </c>
      <c r="FJ2" s="3">
        <f ca="1">IFERROR(__xludf.DUMMYFUNCTION("""COMPUTED_VALUE"""),-0.543511039240392)</f>
        <v>-0.54351103924039201</v>
      </c>
      <c r="FK2" s="3">
        <f ca="1">IFERROR(__xludf.DUMMYFUNCTION("""COMPUTED_VALUE"""),-0.546301053774573)</f>
        <v>-0.54630105377457305</v>
      </c>
      <c r="FL2" s="3">
        <f ca="1">IFERROR(__xludf.DUMMYFUNCTION("""COMPUTED_VALUE"""),-0.585904010538266)</f>
        <v>-0.58590401053826602</v>
      </c>
      <c r="FM2" s="3">
        <f ca="1">IFERROR(__xludf.DUMMYFUNCTION("""COMPUTED_VALUE"""),-0.457798755098949)</f>
        <v>-0.45779875509894902</v>
      </c>
      <c r="FN2" s="3">
        <f ca="1">IFERROR(__xludf.DUMMYFUNCTION("""COMPUTED_VALUE"""),-0.530092140759361)</f>
        <v>-0.53009214075936095</v>
      </c>
      <c r="FO2" s="3">
        <f ca="1">IFERROR(__xludf.DUMMYFUNCTION("""COMPUTED_VALUE"""),-0.584914014812409)</f>
        <v>-0.58491401481240901</v>
      </c>
      <c r="FP2" s="3">
        <f ca="1">IFERROR(__xludf.DUMMYFUNCTION("""COMPUTED_VALUE"""),-0.546255195740582)</f>
        <v>-0.54625519574058201</v>
      </c>
      <c r="FQ2" s="3">
        <f ca="1">IFERROR(__xludf.DUMMYFUNCTION("""COMPUTED_VALUE"""),-0.548718111299038)</f>
        <v>-0.54871811129903802</v>
      </c>
      <c r="FR2" s="3">
        <f ca="1">IFERROR(__xludf.DUMMYFUNCTION("""COMPUTED_VALUE"""),-0.577173046922404)</f>
        <v>-0.57717304692240401</v>
      </c>
      <c r="FS2" s="3">
        <f ca="1">IFERROR(__xludf.DUMMYFUNCTION("""COMPUTED_VALUE"""),-0.51162697536198)</f>
        <v>-0.51162697536197999</v>
      </c>
      <c r="FT2" s="3">
        <f ca="1">IFERROR(__xludf.DUMMYFUNCTION("""COMPUTED_VALUE"""),-0.411675589012202)</f>
        <v>-0.41167558901220203</v>
      </c>
      <c r="FU2" s="3">
        <f ca="1">IFERROR(__xludf.DUMMYFUNCTION("""COMPUTED_VALUE"""),-0.465903280892998)</f>
        <v>-0.46590328089299798</v>
      </c>
      <c r="FV2" s="3">
        <f ca="1">IFERROR(__xludf.DUMMYFUNCTION("""COMPUTED_VALUE"""),-0.613250315712257)</f>
        <v>-0.61325031571225697</v>
      </c>
      <c r="FW2" s="3">
        <f ca="1">IFERROR(__xludf.DUMMYFUNCTION("""COMPUTED_VALUE"""),-0.535629655058299)</f>
        <v>-0.53562965505829896</v>
      </c>
      <c r="FX2" s="3">
        <f ca="1">IFERROR(__xludf.DUMMYFUNCTION("""COMPUTED_VALUE"""),-0.498527791694645)</f>
        <v>-0.49852779169464501</v>
      </c>
      <c r="FY2" s="3">
        <f ca="1">IFERROR(__xludf.DUMMYFUNCTION("""COMPUTED_VALUE"""),-0.571407073057743)</f>
        <v>-0.57140707305774296</v>
      </c>
      <c r="FZ2" s="3">
        <f ca="1">IFERROR(__xludf.DUMMYFUNCTION("""COMPUTED_VALUE"""),-0.51390306358184)</f>
        <v>-0.51390306358184001</v>
      </c>
      <c r="GA2" s="3">
        <f ca="1">IFERROR(__xludf.DUMMYFUNCTION("""COMPUTED_VALUE"""),-0.413971354701587)</f>
        <v>-0.41397135470158702</v>
      </c>
      <c r="GB2" s="3">
        <f ca="1">IFERROR(__xludf.DUMMYFUNCTION("""COMPUTED_VALUE"""),-0.423452412784707)</f>
        <v>-0.42345241278470702</v>
      </c>
      <c r="GC2" s="3">
        <f ca="1">IFERROR(__xludf.DUMMYFUNCTION("""COMPUTED_VALUE"""),-0.555388440578754)</f>
        <v>-0.55538844057875403</v>
      </c>
      <c r="GD2" s="3">
        <f ca="1">IFERROR(__xludf.DUMMYFUNCTION("""COMPUTED_VALUE"""),-0.562917634593158)</f>
        <v>-0.56291763459315802</v>
      </c>
      <c r="GE2" s="3">
        <f ca="1">IFERROR(__xludf.DUMMYFUNCTION("""COMPUTED_VALUE"""),-0.559666333768842)</f>
        <v>-0.55966633376884201</v>
      </c>
      <c r="GF2" s="3">
        <f ca="1">IFERROR(__xludf.DUMMYFUNCTION("""COMPUTED_VALUE"""),-0.528918071143439)</f>
        <v>-0.52891807114343903</v>
      </c>
      <c r="GG2" s="3">
        <f ca="1">IFERROR(__xludf.DUMMYFUNCTION("""COMPUTED_VALUE"""),-0.45690028822098)</f>
        <v>-0.45690028822098</v>
      </c>
      <c r="GH2" s="3">
        <f ca="1">IFERROR(__xludf.DUMMYFUNCTION("""COMPUTED_VALUE"""),-0.404317161138367)</f>
        <v>-0.40431716113836702</v>
      </c>
      <c r="GI2" s="3">
        <f ca="1">IFERROR(__xludf.DUMMYFUNCTION("""COMPUTED_VALUE"""),-0.4230961264071)</f>
        <v>-0.42309612640709998</v>
      </c>
      <c r="GJ2" s="3">
        <f ca="1">IFERROR(__xludf.DUMMYFUNCTION("""COMPUTED_VALUE"""),-0.544558162191872)</f>
        <v>-0.54455816219187203</v>
      </c>
      <c r="GK2" s="3">
        <f ca="1">IFERROR(__xludf.DUMMYFUNCTION("""COMPUTED_VALUE"""),-0.52018880116879)</f>
        <v>-0.52018880116878996</v>
      </c>
      <c r="GL2" s="3">
        <f ca="1">IFERROR(__xludf.DUMMYFUNCTION("""COMPUTED_VALUE"""),-0.459345086918445)</f>
        <v>-0.459345086918445</v>
      </c>
      <c r="GM2" s="3">
        <f ca="1">IFERROR(__xludf.DUMMYFUNCTION("""COMPUTED_VALUE"""),-0.580870491222984)</f>
        <v>-0.58087049122298395</v>
      </c>
      <c r="GN2" s="3">
        <f ca="1">IFERROR(__xludf.DUMMYFUNCTION("""COMPUTED_VALUE"""),-0.552494969142096)</f>
        <v>-0.55249496914209595</v>
      </c>
      <c r="GO2" s="3">
        <f ca="1">IFERROR(__xludf.DUMMYFUNCTION("""COMPUTED_VALUE"""),-0.466698026759568)</f>
        <v>-0.46669802675956801</v>
      </c>
      <c r="GP2" s="3">
        <f ca="1">IFERROR(__xludf.DUMMYFUNCTION("""COMPUTED_VALUE"""),-0.429548885918071)</f>
        <v>-0.429548885918071</v>
      </c>
      <c r="GQ2" s="3">
        <f ca="1">IFERROR(__xludf.DUMMYFUNCTION("""COMPUTED_VALUE"""),-0.502825214901922)</f>
        <v>-0.502825214901922</v>
      </c>
      <c r="GR2" s="3">
        <f ca="1">IFERROR(__xludf.DUMMYFUNCTION("""COMPUTED_VALUE"""),-0.542495627897352)</f>
        <v>-0.54249562789735195</v>
      </c>
      <c r="GS2" s="3">
        <f ca="1">IFERROR(__xludf.DUMMYFUNCTION("""COMPUTED_VALUE"""),-0.511488191711082)</f>
        <v>-0.51148819171108195</v>
      </c>
      <c r="GT2" s="3">
        <f ca="1">IFERROR(__xludf.DUMMYFUNCTION("""COMPUTED_VALUE"""),-0.539711815417017)</f>
        <v>-0.53971181541701696</v>
      </c>
      <c r="GU2" s="3">
        <f ca="1">IFERROR(__xludf.DUMMYFUNCTION("""COMPUTED_VALUE"""),-0.542539631833549)</f>
        <v>-0.54253963183354903</v>
      </c>
      <c r="GV2" s="3">
        <f ca="1">IFERROR(__xludf.DUMMYFUNCTION("""COMPUTED_VALUE"""),-0.555861756339195)</f>
        <v>-0.55586175633919499</v>
      </c>
      <c r="GW2" s="3">
        <f ca="1">IFERROR(__xludf.DUMMYFUNCTION("""COMPUTED_VALUE"""),-0.464443304290674)</f>
        <v>-0.46444330429067399</v>
      </c>
      <c r="GX2" s="3">
        <f ca="1">IFERROR(__xludf.DUMMYFUNCTION("""COMPUTED_VALUE"""),-0.546237455719201)</f>
        <v>-0.54623745571920101</v>
      </c>
      <c r="GY2" s="3">
        <f ca="1">IFERROR(__xludf.DUMMYFUNCTION("""COMPUTED_VALUE"""),-0.555262258173439)</f>
        <v>-0.55526225817343899</v>
      </c>
      <c r="GZ2" s="3">
        <f ca="1">IFERROR(__xludf.DUMMYFUNCTION("""COMPUTED_VALUE"""),-0.535495238338644)</f>
        <v>-0.53549523833864399</v>
      </c>
      <c r="HA2" s="3">
        <f ca="1">IFERROR(__xludf.DUMMYFUNCTION("""COMPUTED_VALUE"""),-0.520366889777175)</f>
        <v>-0.52036688977717505</v>
      </c>
      <c r="HB2" s="3">
        <f ca="1">IFERROR(__xludf.DUMMYFUNCTION("""COMPUTED_VALUE"""),-0.570808183890253)</f>
        <v>-0.57080818389025301</v>
      </c>
      <c r="HC2" s="3">
        <f ca="1">IFERROR(__xludf.DUMMYFUNCTION("""COMPUTED_VALUE"""),-0.495432896451358)</f>
        <v>-0.49543289645135802</v>
      </c>
      <c r="HD2" s="3">
        <f ca="1">IFERROR(__xludf.DUMMYFUNCTION("""COMPUTED_VALUE"""),-0.466205941351241)</f>
        <v>-0.46620594135124099</v>
      </c>
      <c r="HE2" s="3">
        <f ca="1">IFERROR(__xludf.DUMMYFUNCTION("""COMPUTED_VALUE"""),-0.477908486913176)</f>
        <v>-0.477908486913176</v>
      </c>
      <c r="HF2" s="3">
        <f ca="1">IFERROR(__xludf.DUMMYFUNCTION("""COMPUTED_VALUE"""),-0.539158000657164)</f>
        <v>-0.53915800065716402</v>
      </c>
      <c r="HG2" s="3">
        <f ca="1">IFERROR(__xludf.DUMMYFUNCTION("""COMPUTED_VALUE"""),-0.477899383095835)</f>
        <v>-0.47789938309583502</v>
      </c>
      <c r="HH2" s="3">
        <f ca="1">IFERROR(__xludf.DUMMYFUNCTION("""COMPUTED_VALUE"""),-0.526667599917648)</f>
        <v>-0.526667599917648</v>
      </c>
      <c r="HI2" s="3">
        <f ca="1">IFERROR(__xludf.DUMMYFUNCTION("""COMPUTED_VALUE"""),-0.530047666044693)</f>
        <v>-0.530047666044693</v>
      </c>
      <c r="HJ2" s="3">
        <f ca="1">IFERROR(__xludf.DUMMYFUNCTION("""COMPUTED_VALUE"""),-0.495717532289762)</f>
        <v>-0.49571753228976201</v>
      </c>
      <c r="HK2" s="3">
        <f ca="1">IFERROR(__xludf.DUMMYFUNCTION("""COMPUTED_VALUE"""),-0.426451113101491)</f>
        <v>-0.42645111310149098</v>
      </c>
      <c r="HL2" s="3">
        <f ca="1">IFERROR(__xludf.DUMMYFUNCTION("""COMPUTED_VALUE"""),-0.48968767635545)</f>
        <v>-0.48968767635545002</v>
      </c>
      <c r="HM2" s="3">
        <f ca="1">IFERROR(__xludf.DUMMYFUNCTION("""COMPUTED_VALUE"""),-0.481578058700989)</f>
        <v>-0.48157805870098902</v>
      </c>
      <c r="HN2" s="3">
        <f ca="1">IFERROR(__xludf.DUMMYFUNCTION("""COMPUTED_VALUE"""),-0.560972413752769)</f>
        <v>-0.56097241375276896</v>
      </c>
      <c r="HO2" s="3">
        <f ca="1">IFERROR(__xludf.DUMMYFUNCTION("""COMPUTED_VALUE"""),-0.461603437979649)</f>
        <v>-0.46160343797964898</v>
      </c>
      <c r="HP2" s="3">
        <f ca="1">IFERROR(__xludf.DUMMYFUNCTION("""COMPUTED_VALUE"""),-0.474916751384074)</f>
        <v>-0.47491675138407402</v>
      </c>
      <c r="HQ2" s="3">
        <f ca="1">IFERROR(__xludf.DUMMYFUNCTION("""COMPUTED_VALUE"""),-0.43723105841735)</f>
        <v>-0.43723105841734999</v>
      </c>
      <c r="HR2" s="3">
        <f ca="1">IFERROR(__xludf.DUMMYFUNCTION("""COMPUTED_VALUE"""),-0.488498254667077)</f>
        <v>-0.48849825466707703</v>
      </c>
      <c r="HS2" s="3">
        <f ca="1">IFERROR(__xludf.DUMMYFUNCTION("""COMPUTED_VALUE"""),-0.359779460760909)</f>
        <v>-0.359779460760909</v>
      </c>
      <c r="HT2" s="3">
        <f ca="1">IFERROR(__xludf.DUMMYFUNCTION("""COMPUTED_VALUE"""),-0.437198854471721)</f>
        <v>-0.43719885447172102</v>
      </c>
      <c r="HU2" s="3">
        <f ca="1">IFERROR(__xludf.DUMMYFUNCTION("""COMPUTED_VALUE"""),-0.374088153869407)</f>
        <v>-0.37408815386940703</v>
      </c>
      <c r="HV2" s="3">
        <f ca="1">IFERROR(__xludf.DUMMYFUNCTION("""COMPUTED_VALUE"""),-0.374138792693972)</f>
        <v>-0.37413879269397199</v>
      </c>
      <c r="HW2" s="3">
        <f ca="1">IFERROR(__xludf.DUMMYFUNCTION("""COMPUTED_VALUE"""),-0.285841840613868)</f>
        <v>-0.28584184061386803</v>
      </c>
      <c r="HX2" s="3">
        <f ca="1">IFERROR(__xludf.DUMMYFUNCTION("""COMPUTED_VALUE"""),-0.304353417592747)</f>
        <v>-0.30435341759274698</v>
      </c>
      <c r="HY2" s="3">
        <f ca="1">IFERROR(__xludf.DUMMYFUNCTION("""COMPUTED_VALUE"""),-0.22066422509035)</f>
        <v>-0.22066422509035</v>
      </c>
      <c r="HZ2" s="3">
        <f ca="1">IFERROR(__xludf.DUMMYFUNCTION("""COMPUTED_VALUE"""),-0.274903147352433)</f>
        <v>-0.27490314735243299</v>
      </c>
      <c r="IA2" s="3">
        <f ca="1">IFERROR(__xludf.DUMMYFUNCTION("""COMPUTED_VALUE"""),-0.365809642452485)</f>
        <v>-0.36580964245248498</v>
      </c>
      <c r="IB2" s="3">
        <f ca="1">IFERROR(__xludf.DUMMYFUNCTION("""COMPUTED_VALUE"""),-0.461045054504733)</f>
        <v>-0.46104505450473299</v>
      </c>
      <c r="IC2" s="3">
        <f ca="1">IFERROR(__xludf.DUMMYFUNCTION("""COMPUTED_VALUE"""),-0.408079305433778)</f>
        <v>-0.40807930543377802</v>
      </c>
      <c r="ID2" s="3">
        <f ca="1">IFERROR(__xludf.DUMMYFUNCTION("""COMPUTED_VALUE"""),-0.368080746029043)</f>
        <v>-0.368080746029043</v>
      </c>
      <c r="IE2" s="3">
        <f ca="1">IFERROR(__xludf.DUMMYFUNCTION("""COMPUTED_VALUE"""),-0.432073404075124)</f>
        <v>-0.43207340407512401</v>
      </c>
      <c r="IF2" s="3">
        <f ca="1">IFERROR(__xludf.DUMMYFUNCTION("""COMPUTED_VALUE"""),-0.389490615220782)</f>
        <v>-0.38949061522078199</v>
      </c>
      <c r="IG2" s="3">
        <f ca="1">IFERROR(__xludf.DUMMYFUNCTION("""COMPUTED_VALUE"""),-0.109185914056299)</f>
        <v>-0.109185914056299</v>
      </c>
      <c r="IH2" s="3">
        <f ca="1">IFERROR(__xludf.DUMMYFUNCTION("""COMPUTED_VALUE"""),-0.2221548525372)</f>
        <v>-0.22215485253719999</v>
      </c>
      <c r="II2" s="3">
        <f ca="1">IFERROR(__xludf.DUMMYFUNCTION("""COMPUTED_VALUE"""),-0.221732287580686)</f>
        <v>-0.221732287580686</v>
      </c>
      <c r="IJ2" s="3">
        <f ca="1">IFERROR(__xludf.DUMMYFUNCTION("""COMPUTED_VALUE"""),-0.19661502205791)</f>
        <v>-0.19661502205791001</v>
      </c>
      <c r="IK2" s="3">
        <f ca="1">IFERROR(__xludf.DUMMYFUNCTION("""COMPUTED_VALUE"""),-0.180765938555974)</f>
        <v>-0.180765938555974</v>
      </c>
      <c r="IL2" s="3">
        <f ca="1">IFERROR(__xludf.DUMMYFUNCTION("""COMPUTED_VALUE"""),-0.144880520387519)</f>
        <v>-0.144880520387519</v>
      </c>
      <c r="IM2" s="3">
        <f ca="1">IFERROR(__xludf.DUMMYFUNCTION("""COMPUTED_VALUE"""),-0.110952080303648)</f>
        <v>-0.110952080303648</v>
      </c>
      <c r="IN2" s="3">
        <f ca="1">IFERROR(__xludf.DUMMYFUNCTION("""COMPUTED_VALUE"""),-0.136021496431616)</f>
        <v>-0.13602149643161601</v>
      </c>
      <c r="IO2" s="3">
        <f ca="1">IFERROR(__xludf.DUMMYFUNCTION("""COMPUTED_VALUE"""),-0.224939910398059)</f>
        <v>-0.224939910398059</v>
      </c>
      <c r="IP2" s="3">
        <f ca="1">IFERROR(__xludf.DUMMYFUNCTION("""COMPUTED_VALUE"""),-0.156601183107162)</f>
        <v>-0.15660118310716201</v>
      </c>
      <c r="IQ2" s="3">
        <f ca="1">IFERROR(__xludf.DUMMYFUNCTION("""COMPUTED_VALUE"""),-0.432432802281211)</f>
        <v>-0.432432802281211</v>
      </c>
      <c r="IR2" s="3">
        <f ca="1">IFERROR(__xludf.DUMMYFUNCTION("""COMPUTED_VALUE"""),-0.155914302859958)</f>
        <v>-0.155914302859958</v>
      </c>
      <c r="IS2" s="3">
        <f ca="1">IFERROR(__xludf.DUMMYFUNCTION("""COMPUTED_VALUE"""),-0.155371671600442)</f>
        <v>-0.15537167160044199</v>
      </c>
      <c r="IT2" s="3">
        <f ca="1">IFERROR(__xludf.DUMMYFUNCTION("""COMPUTED_VALUE"""),-0.177510090025462)</f>
        <v>-0.177510090025462</v>
      </c>
      <c r="IU2" s="3">
        <f ca="1">IFERROR(__xludf.DUMMYFUNCTION("""COMPUTED_VALUE"""),-0.231902725387738)</f>
        <v>-0.23190272538773801</v>
      </c>
      <c r="IV2" s="3">
        <f ca="1">IFERROR(__xludf.DUMMYFUNCTION("""COMPUTED_VALUE"""),-0.271760852136102)</f>
        <v>-0.27176085213610202</v>
      </c>
      <c r="IW2" s="3">
        <f ca="1">IFERROR(__xludf.DUMMYFUNCTION("""COMPUTED_VALUE"""),-0.301003921226369)</f>
        <v>-0.30100392122636899</v>
      </c>
      <c r="IX2" s="3">
        <f ca="1">IFERROR(__xludf.DUMMYFUNCTION("""COMPUTED_VALUE"""),-0.273735320044147)</f>
        <v>-0.27373532004414702</v>
      </c>
      <c r="IY2" s="3">
        <f ca="1">IFERROR(__xludf.DUMMYFUNCTION("""COMPUTED_VALUE"""),-0.172889771800822)</f>
        <v>-0.17288977180082199</v>
      </c>
      <c r="IZ2" s="3">
        <f ca="1">IFERROR(__xludf.DUMMYFUNCTION("""COMPUTED_VALUE"""),-0.215834058451531)</f>
        <v>-0.215834058451531</v>
      </c>
      <c r="JA2" s="3">
        <f ca="1">IFERROR(__xludf.DUMMYFUNCTION("""COMPUTED_VALUE"""),-0.115531448904192)</f>
        <v>-0.11553144890419199</v>
      </c>
      <c r="JB2" s="3">
        <f ca="1">IFERROR(__xludf.DUMMYFUNCTION("""COMPUTED_VALUE"""),-0.291713923755259)</f>
        <v>-0.29171392375525901</v>
      </c>
      <c r="JC2" s="3">
        <f ca="1">IFERROR(__xludf.DUMMYFUNCTION("""COMPUTED_VALUE"""),-0.352077977222441)</f>
        <v>-0.352077977222441</v>
      </c>
      <c r="JD2" s="3">
        <f ca="1">IFERROR(__xludf.DUMMYFUNCTION("""COMPUTED_VALUE"""),-0.371000428558291)</f>
        <v>-0.37100042855829102</v>
      </c>
      <c r="JE2" s="3">
        <f ca="1">IFERROR(__xludf.DUMMYFUNCTION("""COMPUTED_VALUE"""),-0.296207712953008)</f>
        <v>-0.29620771295300802</v>
      </c>
      <c r="JF2" s="3">
        <f ca="1">IFERROR(__xludf.DUMMYFUNCTION("""COMPUTED_VALUE"""),-0.205563119592895)</f>
        <v>-0.205563119592895</v>
      </c>
      <c r="JG2" s="3">
        <f ca="1">IFERROR(__xludf.DUMMYFUNCTION("""COMPUTED_VALUE"""),-0.329634161574483)</f>
        <v>-0.329634161574483</v>
      </c>
      <c r="JH2" s="3">
        <f ca="1">IFERROR(__xludf.DUMMYFUNCTION("""COMPUTED_VALUE"""),-0.378357260256753)</f>
        <v>-0.37835726025675298</v>
      </c>
      <c r="JI2" s="3">
        <f ca="1">IFERROR(__xludf.DUMMYFUNCTION("""COMPUTED_VALUE"""),-0.439206711185818)</f>
        <v>-0.439206711185818</v>
      </c>
      <c r="JJ2" s="3">
        <f ca="1">IFERROR(__xludf.DUMMYFUNCTION("""COMPUTED_VALUE"""),-0.387600672937468)</f>
        <v>-0.38760067293746803</v>
      </c>
      <c r="JK2" s="3">
        <f ca="1">IFERROR(__xludf.DUMMYFUNCTION("""COMPUTED_VALUE"""),-0.307416086973447)</f>
        <v>-0.30741608697344702</v>
      </c>
      <c r="JL2" s="3">
        <f ca="1">IFERROR(__xludf.DUMMYFUNCTION("""COMPUTED_VALUE"""),-0.280530854784019)</f>
        <v>-0.28053085478401901</v>
      </c>
      <c r="JM2" s="3">
        <f ca="1">IFERROR(__xludf.DUMMYFUNCTION("""COMPUTED_VALUE"""),-0.195049690874866)</f>
        <v>-0.19504969087486601</v>
      </c>
      <c r="JN2" s="3">
        <f ca="1">IFERROR(__xludf.DUMMYFUNCTION("""COMPUTED_VALUE"""),-0.227772637806695)</f>
        <v>-0.22777263780669499</v>
      </c>
      <c r="JO2" s="3">
        <f ca="1">IFERROR(__xludf.DUMMYFUNCTION("""COMPUTED_VALUE"""),-0.312928545527707)</f>
        <v>-0.31292854552770699</v>
      </c>
      <c r="JP2" s="3">
        <f ca="1">IFERROR(__xludf.DUMMYFUNCTION("""COMPUTED_VALUE"""),-0.328990597767645)</f>
        <v>-0.328990597767645</v>
      </c>
      <c r="JQ2" s="3">
        <f ca="1">IFERROR(__xludf.DUMMYFUNCTION("""COMPUTED_VALUE"""),-0.167612410890848)</f>
        <v>-0.167612410890848</v>
      </c>
      <c r="JR2" s="3">
        <f ca="1">IFERROR(__xludf.DUMMYFUNCTION("""COMPUTED_VALUE"""),-0.27830128238262)</f>
        <v>-0.27830128238261997</v>
      </c>
      <c r="JS2" s="3">
        <f ca="1">IFERROR(__xludf.DUMMYFUNCTION("""COMPUTED_VALUE"""),-0.289345118188597)</f>
        <v>-0.28934511818859698</v>
      </c>
      <c r="JT2" s="3">
        <f ca="1">IFERROR(__xludf.DUMMYFUNCTION("""COMPUTED_VALUE"""),-0.307436488427373)</f>
        <v>-0.30743648842737298</v>
      </c>
      <c r="JU2" s="3">
        <f ca="1">IFERROR(__xludf.DUMMYFUNCTION("""COMPUTED_VALUE"""),-0.226188489554362)</f>
        <v>-0.22618848955436199</v>
      </c>
      <c r="JV2" s="3">
        <f ca="1">IFERROR(__xludf.DUMMYFUNCTION("""COMPUTED_VALUE"""),-0.364595631489317)</f>
        <v>-0.36459563148931701</v>
      </c>
      <c r="JW2" s="3">
        <f ca="1">IFERROR(__xludf.DUMMYFUNCTION("""COMPUTED_VALUE"""),-0.465174002728634)</f>
        <v>-0.46517400272863402</v>
      </c>
      <c r="JX2" s="3">
        <f ca="1">IFERROR(__xludf.DUMMYFUNCTION("""COMPUTED_VALUE"""),-0.176316251317815)</f>
        <v>-0.176316251317815</v>
      </c>
      <c r="JY2" s="3">
        <f ca="1">IFERROR(__xludf.DUMMYFUNCTION("""COMPUTED_VALUE"""),-0.409192179666596)</f>
        <v>-0.40919217966659599</v>
      </c>
      <c r="JZ2" s="3">
        <f ca="1">IFERROR(__xludf.DUMMYFUNCTION("""COMPUTED_VALUE"""),-0.400621292958262)</f>
        <v>-0.40062129295826199</v>
      </c>
      <c r="KA2" s="3">
        <f ca="1">IFERROR(__xludf.DUMMYFUNCTION("""COMPUTED_VALUE"""),-0.461500898585352)</f>
        <v>-0.46150089858535198</v>
      </c>
      <c r="KB2" s="3">
        <f ca="1">IFERROR(__xludf.DUMMYFUNCTION("""COMPUTED_VALUE"""),-0.338597881632945)</f>
        <v>-0.33859788163294502</v>
      </c>
      <c r="KC2" s="3">
        <f ca="1">IFERROR(__xludf.DUMMYFUNCTION("""COMPUTED_VALUE"""),-0.298108198394713)</f>
        <v>-0.29810819839471298</v>
      </c>
      <c r="KD2" s="3">
        <f ca="1">IFERROR(__xludf.DUMMYFUNCTION("""COMPUTED_VALUE"""),-0.401723772614163)</f>
        <v>-0.40172377261416298</v>
      </c>
      <c r="KE2" s="3">
        <f ca="1">IFERROR(__xludf.DUMMYFUNCTION("""COMPUTED_VALUE"""),-0.288497999726676)</f>
        <v>-0.288497999726676</v>
      </c>
      <c r="KF2" s="3">
        <f ca="1">IFERROR(__xludf.DUMMYFUNCTION("""COMPUTED_VALUE"""),-0.405315925077263)</f>
        <v>-0.405315925077263</v>
      </c>
      <c r="KG2" s="3">
        <f ca="1">IFERROR(__xludf.DUMMYFUNCTION("""COMPUTED_VALUE"""),-0.397138210152139)</f>
        <v>-0.39713821015213902</v>
      </c>
      <c r="KH2" s="3">
        <f ca="1">IFERROR(__xludf.DUMMYFUNCTION("""COMPUTED_VALUE"""),-0.338732180098074)</f>
        <v>-0.33873218009807399</v>
      </c>
      <c r="KI2" s="3">
        <f ca="1">IFERROR(__xludf.DUMMYFUNCTION("""COMPUTED_VALUE"""),-0.0946476110202184)</f>
        <v>-9.4647611020218403E-2</v>
      </c>
      <c r="KJ2" s="3">
        <f ca="1">IFERROR(__xludf.DUMMYFUNCTION("""COMPUTED_VALUE"""),-0.247551164204834)</f>
        <v>-0.247551164204834</v>
      </c>
      <c r="KK2" s="3">
        <f ca="1">IFERROR(__xludf.DUMMYFUNCTION("""COMPUTED_VALUE"""),-0.460458792250412)</f>
        <v>-0.46045879225041197</v>
      </c>
      <c r="KL2" s="3">
        <f ca="1">IFERROR(__xludf.DUMMYFUNCTION("""COMPUTED_VALUE"""),-0.339749333845484)</f>
        <v>-0.339749333845484</v>
      </c>
      <c r="KM2" s="3">
        <f ca="1">IFERROR(__xludf.DUMMYFUNCTION("""COMPUTED_VALUE"""),-0.425182764397457)</f>
        <v>-0.425182764397457</v>
      </c>
      <c r="KN2" s="3">
        <f ca="1">IFERROR(__xludf.DUMMYFUNCTION("""COMPUTED_VALUE"""),-0.419770034642493)</f>
        <v>-0.41977003464249302</v>
      </c>
      <c r="KO2" s="3">
        <f ca="1">IFERROR(__xludf.DUMMYFUNCTION("""COMPUTED_VALUE"""),-0.321436838019807)</f>
        <v>-0.32143683801980699</v>
      </c>
      <c r="KP2" s="3">
        <f ca="1">IFERROR(__xludf.DUMMYFUNCTION("""COMPUTED_VALUE"""),-0.199671177537403)</f>
        <v>-0.19967117753740299</v>
      </c>
      <c r="KQ2" s="3">
        <f ca="1">IFERROR(__xludf.DUMMYFUNCTION("""COMPUTED_VALUE"""),-0.335301304111718)</f>
        <v>-0.33530130411171799</v>
      </c>
      <c r="KR2" s="3">
        <f ca="1">IFERROR(__xludf.DUMMYFUNCTION("""COMPUTED_VALUE"""),-0.486675393359394)</f>
        <v>-0.48667539335939403</v>
      </c>
      <c r="KS2" s="3">
        <f ca="1">IFERROR(__xludf.DUMMYFUNCTION("""COMPUTED_VALUE"""),-0.369238341546189)</f>
        <v>-0.36923834154618901</v>
      </c>
      <c r="KT2" s="3">
        <f ca="1">IFERROR(__xludf.DUMMYFUNCTION("""COMPUTED_VALUE"""),-0.420818514444036)</f>
        <v>-0.42081851444403601</v>
      </c>
      <c r="KU2" s="3">
        <f ca="1">IFERROR(__xludf.DUMMYFUNCTION("""COMPUTED_VALUE"""),-0.462478400189082)</f>
        <v>-0.46247840018908198</v>
      </c>
      <c r="KV2" s="3">
        <f ca="1">IFERROR(__xludf.DUMMYFUNCTION("""COMPUTED_VALUE"""),-0.449158671007746)</f>
        <v>-0.44915867100774598</v>
      </c>
      <c r="KW2" s="3">
        <f ca="1">IFERROR(__xludf.DUMMYFUNCTION("""COMPUTED_VALUE"""),-0.40654501002792)</f>
        <v>-0.40654501002791998</v>
      </c>
      <c r="KX2" s="3">
        <f ca="1">IFERROR(__xludf.DUMMYFUNCTION("""COMPUTED_VALUE"""),-0.40586356387903)</f>
        <v>-0.40586356387903</v>
      </c>
      <c r="KY2" s="3">
        <f ca="1">IFERROR(__xludf.DUMMYFUNCTION("""COMPUTED_VALUE"""),-0.426140772046681)</f>
        <v>-0.42614077204668099</v>
      </c>
      <c r="KZ2" s="3">
        <f ca="1">IFERROR(__xludf.DUMMYFUNCTION("""COMPUTED_VALUE"""),-0.475289203615825)</f>
        <v>-0.475289203615825</v>
      </c>
      <c r="LA2" s="3">
        <f ca="1">IFERROR(__xludf.DUMMYFUNCTION("""COMPUTED_VALUE"""),-0.46091808716741)</f>
        <v>-0.46091808716741001</v>
      </c>
      <c r="LB2" s="3">
        <f ca="1">IFERROR(__xludf.DUMMYFUNCTION("""COMPUTED_VALUE"""),-0.497057799644926)</f>
        <v>-0.49705779964492602</v>
      </c>
      <c r="LC2" s="3">
        <f ca="1">IFERROR(__xludf.DUMMYFUNCTION("""COMPUTED_VALUE"""),-0.512947091649313)</f>
        <v>-0.51294709164931296</v>
      </c>
      <c r="LD2" s="3">
        <f ca="1">IFERROR(__xludf.DUMMYFUNCTION("""COMPUTED_VALUE"""),-0.476127887728783)</f>
        <v>-0.47612788772878301</v>
      </c>
      <c r="LE2" s="3">
        <f ca="1">IFERROR(__xludf.DUMMYFUNCTION("""COMPUTED_VALUE"""),-0.392858605245022)</f>
        <v>-0.39285860524502197</v>
      </c>
      <c r="LF2" s="3">
        <f ca="1">IFERROR(__xludf.DUMMYFUNCTION("""COMPUTED_VALUE"""),-0.477345254331128)</f>
        <v>-0.47734525433112801</v>
      </c>
      <c r="LG2" s="3">
        <f ca="1">IFERROR(__xludf.DUMMYFUNCTION("""COMPUTED_VALUE"""),-0.526675715384111)</f>
        <v>-0.52667571538411095</v>
      </c>
      <c r="LH2" s="3">
        <f ca="1">IFERROR(__xludf.DUMMYFUNCTION("""COMPUTED_VALUE"""),-0.355021251154405)</f>
        <v>-0.35502125115440503</v>
      </c>
      <c r="LI2" s="3">
        <f ca="1">IFERROR(__xludf.DUMMYFUNCTION("""COMPUTED_VALUE"""),-0.474558842379446)</f>
        <v>-0.47455884237944601</v>
      </c>
      <c r="LJ2" s="3">
        <f ca="1">IFERROR(__xludf.DUMMYFUNCTION("""COMPUTED_VALUE"""),-0.616420696014235)</f>
        <v>-0.61642069601423499</v>
      </c>
      <c r="LK2" s="3">
        <f ca="1">IFERROR(__xludf.DUMMYFUNCTION("""COMPUTED_VALUE"""),-0.382018775802317)</f>
        <v>-0.38201877580231702</v>
      </c>
      <c r="LL2" s="3">
        <f ca="1">IFERROR(__xludf.DUMMYFUNCTION("""COMPUTED_VALUE"""),-0.531488843070968)</f>
        <v>-0.531488843070968</v>
      </c>
      <c r="LM2" s="3">
        <f ca="1">IFERROR(__xludf.DUMMYFUNCTION("""COMPUTED_VALUE"""),-0.549891049567738)</f>
        <v>-0.54989104956773804</v>
      </c>
      <c r="LN2" s="3">
        <f ca="1">IFERROR(__xludf.DUMMYFUNCTION("""COMPUTED_VALUE"""),-0.574066703011999)</f>
        <v>-0.57406670301199902</v>
      </c>
      <c r="LO2" s="3">
        <f ca="1">IFERROR(__xludf.DUMMYFUNCTION("""COMPUTED_VALUE"""),-0.577013572733332)</f>
        <v>-0.57701357273333198</v>
      </c>
      <c r="LP2" s="3">
        <f ca="1">IFERROR(__xludf.DUMMYFUNCTION("""COMPUTED_VALUE"""),-0.526697274078009)</f>
        <v>-0.52669727407800904</v>
      </c>
      <c r="LQ2" s="3">
        <f ca="1">IFERROR(__xludf.DUMMYFUNCTION("""COMPUTED_VALUE"""),-0.594186901717696)</f>
        <v>-0.59418690171769595</v>
      </c>
      <c r="LR2" s="3">
        <f ca="1">IFERROR(__xludf.DUMMYFUNCTION("""COMPUTED_VALUE"""),-0.608904620147621)</f>
        <v>-0.60890462014762103</v>
      </c>
      <c r="LS2" s="3">
        <f ca="1">IFERROR(__xludf.DUMMYFUNCTION("""COMPUTED_VALUE"""),-0.649050224073767)</f>
        <v>-0.649050224073767</v>
      </c>
      <c r="LT2" s="3">
        <f ca="1">IFERROR(__xludf.DUMMYFUNCTION("""COMPUTED_VALUE"""),-0.699274453497879)</f>
        <v>-0.69927445349787898</v>
      </c>
      <c r="LU2" s="3">
        <f ca="1">IFERROR(__xludf.DUMMYFUNCTION("""COMPUTED_VALUE"""),-0.688718915903491)</f>
        <v>-0.68871891590349099</v>
      </c>
      <c r="LV2" s="3">
        <f ca="1">IFERROR(__xludf.DUMMYFUNCTION("""COMPUTED_VALUE"""),-0.701647881126552)</f>
        <v>-0.70164788112655196</v>
      </c>
      <c r="LW2" s="3">
        <f ca="1">IFERROR(__xludf.DUMMYFUNCTION("""COMPUTED_VALUE"""),-0.691161936187728)</f>
        <v>-0.69116193618772803</v>
      </c>
      <c r="LX2" s="3">
        <f ca="1">IFERROR(__xludf.DUMMYFUNCTION("""COMPUTED_VALUE"""),-0.755656104891782)</f>
        <v>-0.75565610489178203</v>
      </c>
      <c r="LY2" s="3">
        <f ca="1">IFERROR(__xludf.DUMMYFUNCTION("""COMPUTED_VALUE"""),-0.750527423405651)</f>
        <v>-0.75052742340565104</v>
      </c>
      <c r="LZ2" s="3">
        <f ca="1">IFERROR(__xludf.DUMMYFUNCTION("""COMPUTED_VALUE"""),-0.824251458997513)</f>
        <v>-0.82425145899751295</v>
      </c>
      <c r="MA2" s="3">
        <f ca="1">IFERROR(__xludf.DUMMYFUNCTION("""COMPUTED_VALUE"""),-0.796449574587477)</f>
        <v>-0.796449574587477</v>
      </c>
      <c r="MB2" s="3">
        <f ca="1">IFERROR(__xludf.DUMMYFUNCTION("""COMPUTED_VALUE"""),-0.787990508971408)</f>
        <v>-0.78799050897140799</v>
      </c>
      <c r="MC2" s="3">
        <f ca="1">IFERROR(__xludf.DUMMYFUNCTION("""COMPUTED_VALUE"""),-0.794641967199746)</f>
        <v>-0.794641967199746</v>
      </c>
      <c r="MD2" s="3">
        <f ca="1">IFERROR(__xludf.DUMMYFUNCTION("""COMPUTED_VALUE"""),-0.761358291318588)</f>
        <v>-0.76135829131858801</v>
      </c>
      <c r="ME2" s="3">
        <f ca="1">IFERROR(__xludf.DUMMYFUNCTION("""COMPUTED_VALUE"""),-0.764983480054867)</f>
        <v>-0.76498348005486705</v>
      </c>
      <c r="MF2" s="3">
        <f ca="1">IFERROR(__xludf.DUMMYFUNCTION("""COMPUTED_VALUE"""),-0.783643125854568)</f>
        <v>-0.78364312585456797</v>
      </c>
      <c r="MG2" s="3">
        <f ca="1">IFERROR(__xludf.DUMMYFUNCTION("""COMPUTED_VALUE"""),-0.821832943611843)</f>
        <v>-0.821832943611843</v>
      </c>
      <c r="MH2" s="3">
        <f ca="1">IFERROR(__xludf.DUMMYFUNCTION("""COMPUTED_VALUE"""),-0.840389496617548)</f>
        <v>-0.84038949661754803</v>
      </c>
      <c r="MI2" s="3">
        <f ca="1">IFERROR(__xludf.DUMMYFUNCTION("""COMPUTED_VALUE"""),-0.856753829928583)</f>
        <v>-0.85675382992858296</v>
      </c>
      <c r="MJ2" s="3">
        <f ca="1">IFERROR(__xludf.DUMMYFUNCTION("""COMPUTED_VALUE"""),-0.825424822992535)</f>
        <v>-0.82542482299253495</v>
      </c>
      <c r="MK2" s="3">
        <f ca="1">IFERROR(__xludf.DUMMYFUNCTION("""COMPUTED_VALUE"""),-0.775842303452746)</f>
        <v>-0.77584230345274596</v>
      </c>
      <c r="ML2" s="3">
        <f ca="1">IFERROR(__xludf.DUMMYFUNCTION("""COMPUTED_VALUE"""),-0.836433518178893)</f>
        <v>-0.836433518178893</v>
      </c>
      <c r="MM2" s="3">
        <f ca="1">IFERROR(__xludf.DUMMYFUNCTION("""COMPUTED_VALUE"""),-0.834442581184717)</f>
        <v>-0.83444258118471704</v>
      </c>
      <c r="MN2" s="3">
        <f ca="1">IFERROR(__xludf.DUMMYFUNCTION("""COMPUTED_VALUE"""),-0.806454488785579)</f>
        <v>-0.80645448878557902</v>
      </c>
      <c r="MO2" s="3">
        <f ca="1">IFERROR(__xludf.DUMMYFUNCTION("""COMPUTED_VALUE"""),-0.856806762656345)</f>
        <v>-0.85680676265634503</v>
      </c>
      <c r="MP2" s="3">
        <f ca="1">IFERROR(__xludf.DUMMYFUNCTION("""COMPUTED_VALUE"""),-0.816729164829131)</f>
        <v>-0.81672916482913105</v>
      </c>
      <c r="MQ2" s="3">
        <f ca="1">IFERROR(__xludf.DUMMYFUNCTION("""COMPUTED_VALUE"""),-0.820675826580362)</f>
        <v>-0.82067582658036198</v>
      </c>
      <c r="MR2" s="3">
        <f ca="1">IFERROR(__xludf.DUMMYFUNCTION("""COMPUTED_VALUE"""),-0.814609194603952)</f>
        <v>-0.81460919460395198</v>
      </c>
      <c r="MS2" s="3">
        <f ca="1">IFERROR(__xludf.DUMMYFUNCTION("""COMPUTED_VALUE"""),-0.76967500944194)</f>
        <v>-0.76967500944194001</v>
      </c>
      <c r="MT2" s="3">
        <f ca="1">IFERROR(__xludf.DUMMYFUNCTION("""COMPUTED_VALUE"""),-0.793159164455655)</f>
        <v>-0.79315916445565504</v>
      </c>
      <c r="MU2" s="3">
        <f ca="1">IFERROR(__xludf.DUMMYFUNCTION("""COMPUTED_VALUE"""),-0.840187054217683)</f>
        <v>-0.84018705421768303</v>
      </c>
      <c r="MV2" s="3">
        <f ca="1">IFERROR(__xludf.DUMMYFUNCTION("""COMPUTED_VALUE"""),-0.802740004353409)</f>
        <v>-0.80274000435340898</v>
      </c>
      <c r="MW2" s="3">
        <f ca="1">IFERROR(__xludf.DUMMYFUNCTION("""COMPUTED_VALUE"""),-0.805318604547)</f>
        <v>-0.80531860454699999</v>
      </c>
      <c r="MX2" s="3">
        <f ca="1">IFERROR(__xludf.DUMMYFUNCTION("""COMPUTED_VALUE"""),-0.854886400041184)</f>
        <v>-0.85488640004118399</v>
      </c>
      <c r="MY2" s="3">
        <f ca="1">IFERROR(__xludf.DUMMYFUNCTION("""COMPUTED_VALUE"""),-0.800024373393095)</f>
        <v>-0.80002437339309496</v>
      </c>
      <c r="MZ2" s="3">
        <f ca="1">IFERROR(__xludf.DUMMYFUNCTION("""COMPUTED_VALUE"""),-0.828024255864119)</f>
        <v>-0.82802425586411899</v>
      </c>
      <c r="NA2" s="3">
        <f ca="1">IFERROR(__xludf.DUMMYFUNCTION("""COMPUTED_VALUE"""),-0.837212422273173)</f>
        <v>-0.83721242227317305</v>
      </c>
      <c r="NB2" s="3">
        <f ca="1">IFERROR(__xludf.DUMMYFUNCTION("""COMPUTED_VALUE"""),-0.816067148174675)</f>
        <v>-0.81606714817467496</v>
      </c>
      <c r="NC2" s="3">
        <f ca="1">IFERROR(__xludf.DUMMYFUNCTION("""COMPUTED_VALUE"""),-0.81940323627608)</f>
        <v>-0.81940323627608003</v>
      </c>
      <c r="ND2" s="3">
        <f ca="1">IFERROR(__xludf.DUMMYFUNCTION("""COMPUTED_VALUE"""),-0.860476640238948)</f>
        <v>-0.86047664023894799</v>
      </c>
      <c r="NE2" s="3">
        <f ca="1">IFERROR(__xludf.DUMMYFUNCTION("""COMPUTED_VALUE"""),-0.84188529997077)</f>
        <v>-0.84188529997077</v>
      </c>
      <c r="NF2" s="3">
        <f ca="1">IFERROR(__xludf.DUMMYFUNCTION("""COMPUTED_VALUE"""),-0.810414762698154)</f>
        <v>-0.81041476269815405</v>
      </c>
      <c r="NG2" s="3">
        <f ca="1">IFERROR(__xludf.DUMMYFUNCTION("""COMPUTED_VALUE"""),-0.800768239906406)</f>
        <v>-0.800768239906406</v>
      </c>
      <c r="NH2" s="3">
        <f ca="1">IFERROR(__xludf.DUMMYFUNCTION("""COMPUTED_VALUE"""),-0.859116031406647)</f>
        <v>-0.85911603140664705</v>
      </c>
      <c r="NI2" s="3">
        <f ca="1">IFERROR(__xludf.DUMMYFUNCTION("""COMPUTED_VALUE"""),-0.840870314244629)</f>
        <v>-0.84087031424462899</v>
      </c>
      <c r="NJ2" s="3">
        <f ca="1">IFERROR(__xludf.DUMMYFUNCTION("""COMPUTED_VALUE"""),-0.822058446377085)</f>
        <v>-0.82205844637708503</v>
      </c>
      <c r="NK2" s="3">
        <f ca="1">IFERROR(__xludf.DUMMYFUNCTION("""COMPUTED_VALUE"""),-0.825292834564066)</f>
        <v>-0.82529283456406599</v>
      </c>
      <c r="NL2" s="3">
        <f ca="1">IFERROR(__xludf.DUMMYFUNCTION("""COMPUTED_VALUE"""),-0.847255516306308)</f>
        <v>-0.84725551630630802</v>
      </c>
      <c r="NM2" s="3">
        <f ca="1">IFERROR(__xludf.DUMMYFUNCTION("""COMPUTED_VALUE"""),-0.819938026614359)</f>
        <v>-0.81993802661435899</v>
      </c>
      <c r="NN2" s="3">
        <f ca="1">IFERROR(__xludf.DUMMYFUNCTION("""COMPUTED_VALUE"""),-0.809001421225945)</f>
        <v>-0.80900142122594498</v>
      </c>
      <c r="NO2" s="3">
        <f ca="1">IFERROR(__xludf.DUMMYFUNCTION("""COMPUTED_VALUE"""),-0.818674903322785)</f>
        <v>-0.81867490332278503</v>
      </c>
      <c r="NP2" s="3">
        <f ca="1">IFERROR(__xludf.DUMMYFUNCTION("""COMPUTED_VALUE"""),-0.795407830764533)</f>
        <v>-0.79540783076453303</v>
      </c>
      <c r="NQ2" s="3">
        <f ca="1">IFERROR(__xludf.DUMMYFUNCTION("""COMPUTED_VALUE"""),-0.753373854012099)</f>
        <v>-0.753373854012099</v>
      </c>
      <c r="NR2" s="3">
        <f ca="1">IFERROR(__xludf.DUMMYFUNCTION("""COMPUTED_VALUE"""),-0.807450567327191)</f>
        <v>-0.807450567327191</v>
      </c>
      <c r="NS2" s="3">
        <f ca="1">IFERROR(__xludf.DUMMYFUNCTION("""COMPUTED_VALUE"""),-0.781911621197765)</f>
        <v>-0.78191162119776503</v>
      </c>
      <c r="NT2" s="3">
        <f ca="1">IFERROR(__xludf.DUMMYFUNCTION("""COMPUTED_VALUE"""),-0.75900536504004)</f>
        <v>-0.75900536504004001</v>
      </c>
      <c r="NU2" s="3">
        <f ca="1">IFERROR(__xludf.DUMMYFUNCTION("""COMPUTED_VALUE"""),-0.773104572199903)</f>
        <v>-0.77310457219990303</v>
      </c>
      <c r="NV2" s="3">
        <f ca="1">IFERROR(__xludf.DUMMYFUNCTION("""COMPUTED_VALUE"""),-0.739892736548909)</f>
        <v>-0.73989273654890897</v>
      </c>
      <c r="NW2" s="3">
        <f ca="1">IFERROR(__xludf.DUMMYFUNCTION("""COMPUTED_VALUE"""),-0.726144943827998)</f>
        <v>-0.72614494382799799</v>
      </c>
      <c r="NX2" s="3">
        <f ca="1">IFERROR(__xludf.DUMMYFUNCTION("""COMPUTED_VALUE"""),-0.751929664880692)</f>
        <v>-0.75192966488069202</v>
      </c>
      <c r="NY2" s="3">
        <f ca="1">IFERROR(__xludf.DUMMYFUNCTION("""COMPUTED_VALUE"""),-0.707822522325876)</f>
        <v>-0.70782252232587595</v>
      </c>
      <c r="NZ2" s="3">
        <f ca="1">IFERROR(__xludf.DUMMYFUNCTION("""COMPUTED_VALUE"""),-0.730660934910109)</f>
        <v>-0.73066093491010897</v>
      </c>
      <c r="OA2" s="3">
        <f ca="1">IFERROR(__xludf.DUMMYFUNCTION("""COMPUTED_VALUE"""),-0.654569136513661)</f>
        <v>-0.654569136513661</v>
      </c>
      <c r="OB2" s="3">
        <f ca="1">IFERROR(__xludf.DUMMYFUNCTION("""COMPUTED_VALUE"""),-0.563538168341381)</f>
        <v>-0.56353816834138104</v>
      </c>
      <c r="OC2" s="3">
        <f ca="1">IFERROR(__xludf.DUMMYFUNCTION("""COMPUTED_VALUE"""),-0.401223696545917)</f>
        <v>-0.401223696545917</v>
      </c>
      <c r="OD2" s="3">
        <f ca="1">IFERROR(__xludf.DUMMYFUNCTION("""COMPUTED_VALUE"""),-0.312258186403402)</f>
        <v>-0.31225818640340203</v>
      </c>
      <c r="OE2" s="3">
        <f ca="1">IFERROR(__xludf.DUMMYFUNCTION("""COMPUTED_VALUE"""),-0.206615799997533)</f>
        <v>-0.20661579999753299</v>
      </c>
      <c r="OF2" s="3">
        <f ca="1">IFERROR(__xludf.DUMMYFUNCTION("""COMPUTED_VALUE"""),-0.0939062727556419)</f>
        <v>-9.3906272755641895E-2</v>
      </c>
      <c r="OG2" s="3">
        <f ca="1">IFERROR(__xludf.DUMMYFUNCTION("""COMPUTED_VALUE"""),0.0223753220228863)</f>
        <v>2.23753220228863E-2</v>
      </c>
      <c r="OH2" s="3">
        <f ca="1">IFERROR(__xludf.DUMMYFUNCTION("""COMPUTED_VALUE"""),0.0332040235522359)</f>
        <v>3.3204023552235902E-2</v>
      </c>
      <c r="OI2" s="3">
        <f ca="1">IFERROR(__xludf.DUMMYFUNCTION("""COMPUTED_VALUE"""),0.184092610669899)</f>
        <v>0.18409261066989899</v>
      </c>
      <c r="OJ2" s="3">
        <f ca="1">IFERROR(__xludf.DUMMYFUNCTION("""COMPUTED_VALUE"""),0.0952069879239394)</f>
        <v>9.5206987923939404E-2</v>
      </c>
      <c r="OK2" s="3">
        <f ca="1">IFERROR(__xludf.DUMMYFUNCTION("""COMPUTED_VALUE"""),0.208279781765878)</f>
        <v>0.208279781765878</v>
      </c>
      <c r="OL2" s="3">
        <f ca="1">IFERROR(__xludf.DUMMYFUNCTION("""COMPUTED_VALUE"""),0.135442092388214)</f>
        <v>0.135442092388214</v>
      </c>
      <c r="OM2" s="3">
        <f ca="1">IFERROR(__xludf.DUMMYFUNCTION("""COMPUTED_VALUE"""),-0.0942268100655718)</f>
        <v>-9.4226810065571806E-2</v>
      </c>
      <c r="ON2" s="3">
        <f ca="1">IFERROR(__xludf.DUMMYFUNCTION("""COMPUTED_VALUE"""),-0.105599197595988)</f>
        <v>-0.105599197595988</v>
      </c>
      <c r="OO2" s="3">
        <f ca="1">IFERROR(__xludf.DUMMYFUNCTION("""COMPUTED_VALUE"""),-0.088121691718882)</f>
        <v>-8.8121691718881998E-2</v>
      </c>
      <c r="OP2" s="3">
        <f ca="1">IFERROR(__xludf.DUMMYFUNCTION("""COMPUTED_VALUE"""),-0.0572101202850782)</f>
        <v>-5.72101202850782E-2</v>
      </c>
      <c r="OQ2" s="3">
        <f ca="1">IFERROR(__xludf.DUMMYFUNCTION("""COMPUTED_VALUE"""),0.0888169746222766)</f>
        <v>8.8816974622276598E-2</v>
      </c>
      <c r="OR2" s="3">
        <f ca="1">IFERROR(__xludf.DUMMYFUNCTION("""COMPUTED_VALUE"""),0.0536088276152626)</f>
        <v>5.3608827615262603E-2</v>
      </c>
      <c r="OS2" s="3">
        <f ca="1">IFERROR(__xludf.DUMMYFUNCTION("""COMPUTED_VALUE"""),0.0270175296925176)</f>
        <v>2.7017529692517601E-2</v>
      </c>
      <c r="OT2" s="3">
        <f ca="1">IFERROR(__xludf.DUMMYFUNCTION("""COMPUTED_VALUE"""),-0.0350709286818351)</f>
        <v>-3.5070928681835097E-2</v>
      </c>
      <c r="OU2" s="3">
        <f ca="1">IFERROR(__xludf.DUMMYFUNCTION("""COMPUTED_VALUE"""),-0.0374605065447345)</f>
        <v>-3.7460506544734498E-2</v>
      </c>
      <c r="OV2" s="3">
        <f ca="1">IFERROR(__xludf.DUMMYFUNCTION("""COMPUTED_VALUE"""),-0.0132589669642505)</f>
        <v>-1.3258966964250499E-2</v>
      </c>
      <c r="OW2" s="3">
        <f ca="1">IFERROR(__xludf.DUMMYFUNCTION("""COMPUTED_VALUE"""),0.0601847841269167)</f>
        <v>6.0184784126916697E-2</v>
      </c>
      <c r="OX2" s="3">
        <f ca="1">IFERROR(__xludf.DUMMYFUNCTION("""COMPUTED_VALUE"""),0.0936191418126992)</f>
        <v>9.3619141812699203E-2</v>
      </c>
      <c r="OY2" s="3">
        <f ca="1">IFERROR(__xludf.DUMMYFUNCTION("""COMPUTED_VALUE"""),0.0444018134236647)</f>
        <v>4.4401813423664699E-2</v>
      </c>
      <c r="OZ2" s="3">
        <f ca="1">IFERROR(__xludf.DUMMYFUNCTION("""COMPUTED_VALUE"""),-0.0559575017080952)</f>
        <v>-5.59575017080952E-2</v>
      </c>
      <c r="PA2" s="3">
        <f ca="1">IFERROR(__xludf.DUMMYFUNCTION("""COMPUTED_VALUE"""),-0.115048592657839)</f>
        <v>-0.115048592657839</v>
      </c>
      <c r="PB2" s="3">
        <f ca="1">IFERROR(__xludf.DUMMYFUNCTION("""COMPUTED_VALUE"""),-0.0457606958261395)</f>
        <v>-4.5760695826139501E-2</v>
      </c>
      <c r="PC2" s="3">
        <f ca="1">IFERROR(__xludf.DUMMYFUNCTION("""COMPUTED_VALUE"""),0.0527135641846727)</f>
        <v>5.2713564184672698E-2</v>
      </c>
      <c r="PD2" s="3">
        <f ca="1">IFERROR(__xludf.DUMMYFUNCTION("""COMPUTED_VALUE"""),0.133103556950113)</f>
        <v>0.133103556950113</v>
      </c>
      <c r="PE2" s="3">
        <f ca="1">IFERROR(__xludf.DUMMYFUNCTION("""COMPUTED_VALUE"""),0.0936544227397526)</f>
        <v>9.3654422739752594E-2</v>
      </c>
      <c r="PF2" s="3">
        <f ca="1">IFERROR(__xludf.DUMMYFUNCTION("""COMPUTED_VALUE"""),0.00756544479361842)</f>
        <v>7.5654447936184203E-3</v>
      </c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</row>
    <row r="3" spans="1:594" ht="15.75" customHeight="1">
      <c r="A3" s="1" t="str">
        <f ca="1">IFERROR(__xludf.DUMMYFUNCTION("""COMPUTED_VALUE"""),"Ann Arbor")</f>
        <v>Ann Arbor</v>
      </c>
      <c r="B3" s="3">
        <f ca="1">IFERROR(__xludf.DUMMYFUNCTION("""COMPUTED_VALUE"""),-0.855368046328556)</f>
        <v>-0.85536804632855601</v>
      </c>
      <c r="C3" s="3">
        <f ca="1">IFERROR(__xludf.DUMMYFUNCTION("""COMPUTED_VALUE"""),-0.86885330714375)</f>
        <v>-0.86885330714374998</v>
      </c>
      <c r="D3" s="3">
        <f ca="1">IFERROR(__xludf.DUMMYFUNCTION("""COMPUTED_VALUE"""),-0.896989629966425)</f>
        <v>-0.89698962996642495</v>
      </c>
      <c r="E3" s="3">
        <f ca="1">IFERROR(__xludf.DUMMYFUNCTION("""COMPUTED_VALUE"""),-0.871779407445415)</f>
        <v>-0.87177940744541504</v>
      </c>
      <c r="F3" s="3">
        <f ca="1">IFERROR(__xludf.DUMMYFUNCTION("""COMPUTED_VALUE"""),-0.878475309488705)</f>
        <v>-0.878475309488705</v>
      </c>
      <c r="G3" s="3">
        <f ca="1">IFERROR(__xludf.DUMMYFUNCTION("""COMPUTED_VALUE"""),-0.893219532244448)</f>
        <v>-0.89321953224444794</v>
      </c>
      <c r="H3" s="3">
        <f ca="1">IFERROR(__xludf.DUMMYFUNCTION("""COMPUTED_VALUE"""),-0.93775575127214)</f>
        <v>-0.93775575127213995</v>
      </c>
      <c r="I3" s="3">
        <f ca="1">IFERROR(__xludf.DUMMYFUNCTION("""COMPUTED_VALUE"""),-0.838241794143456)</f>
        <v>-0.83824179414345601</v>
      </c>
      <c r="J3" s="3">
        <f ca="1">IFERROR(__xludf.DUMMYFUNCTION("""COMPUTED_VALUE"""),-0.859322201526702)</f>
        <v>-0.85932220152670202</v>
      </c>
      <c r="K3" s="3">
        <f ca="1">IFERROR(__xludf.DUMMYFUNCTION("""COMPUTED_VALUE"""),-0.908429702546349)</f>
        <v>-0.90842970254634903</v>
      </c>
      <c r="L3" s="3">
        <f ca="1">IFERROR(__xludf.DUMMYFUNCTION("""COMPUTED_VALUE"""),-0.905012492469968)</f>
        <v>-0.90501249246996796</v>
      </c>
      <c r="M3" s="3">
        <f ca="1">IFERROR(__xludf.DUMMYFUNCTION("""COMPUTED_VALUE"""),-0.90789453115439)</f>
        <v>-0.90789453115439001</v>
      </c>
      <c r="N3" s="3">
        <f ca="1">IFERROR(__xludf.DUMMYFUNCTION("""COMPUTED_VALUE"""),-0.908335130064454)</f>
        <v>-0.90833513006445399</v>
      </c>
      <c r="O3" s="3">
        <f ca="1">IFERROR(__xludf.DUMMYFUNCTION("""COMPUTED_VALUE"""),-0.775564091599429)</f>
        <v>-0.77556409159942896</v>
      </c>
      <c r="P3" s="3">
        <f ca="1">IFERROR(__xludf.DUMMYFUNCTION("""COMPUTED_VALUE"""),-0.854490619614849)</f>
        <v>-0.85449061961484896</v>
      </c>
      <c r="Q3" s="3">
        <f ca="1">IFERROR(__xludf.DUMMYFUNCTION("""COMPUTED_VALUE"""),-0.88738395148917)</f>
        <v>-0.88738395148917004</v>
      </c>
      <c r="R3" s="3">
        <f ca="1">IFERROR(__xludf.DUMMYFUNCTION("""COMPUTED_VALUE"""),-0.907264062520586)</f>
        <v>-0.907264062520586</v>
      </c>
      <c r="S3" s="3">
        <f ca="1">IFERROR(__xludf.DUMMYFUNCTION("""COMPUTED_VALUE"""),-0.894108974609525)</f>
        <v>-0.89410897460952499</v>
      </c>
      <c r="T3" s="3">
        <f ca="1">IFERROR(__xludf.DUMMYFUNCTION("""COMPUTED_VALUE"""),-0.897340028262585)</f>
        <v>-0.89734002826258497</v>
      </c>
      <c r="U3" s="3">
        <f ca="1">IFERROR(__xludf.DUMMYFUNCTION("""COMPUTED_VALUE"""),-0.898408395830917)</f>
        <v>-0.89840839583091703</v>
      </c>
      <c r="V3" s="3">
        <f ca="1">IFERROR(__xludf.DUMMYFUNCTION("""COMPUTED_VALUE"""),-0.806140760493153)</f>
        <v>-0.80614076049315297</v>
      </c>
      <c r="W3" s="3">
        <f ca="1">IFERROR(__xludf.DUMMYFUNCTION("""COMPUTED_VALUE"""),-0.815167424926773)</f>
        <v>-0.81516742492677297</v>
      </c>
      <c r="X3" s="3">
        <f ca="1">IFERROR(__xludf.DUMMYFUNCTION("""COMPUTED_VALUE"""),-0.885991213192491)</f>
        <v>-0.88599121319249097</v>
      </c>
      <c r="Y3" s="3">
        <f ca="1">IFERROR(__xludf.DUMMYFUNCTION("""COMPUTED_VALUE"""),-0.904516838777267)</f>
        <v>-0.90451683877726696</v>
      </c>
      <c r="Z3" s="3">
        <f ca="1">IFERROR(__xludf.DUMMYFUNCTION("""COMPUTED_VALUE"""),-0.912117018717631)</f>
        <v>-0.91211701871763096</v>
      </c>
      <c r="AA3" s="3">
        <f ca="1">IFERROR(__xludf.DUMMYFUNCTION("""COMPUTED_VALUE"""),-0.903727431512869)</f>
        <v>-0.90372743151286905</v>
      </c>
      <c r="AB3" s="3">
        <f ca="1">IFERROR(__xludf.DUMMYFUNCTION("""COMPUTED_VALUE"""),-0.89807578374124)</f>
        <v>-0.89807578374123997</v>
      </c>
      <c r="AC3" s="3">
        <f ca="1">IFERROR(__xludf.DUMMYFUNCTION("""COMPUTED_VALUE"""),-0.807609773502233)</f>
        <v>-0.80760977350223295</v>
      </c>
      <c r="AD3" s="3">
        <f ca="1">IFERROR(__xludf.DUMMYFUNCTION("""COMPUTED_VALUE"""),-0.847007220153912)</f>
        <v>-0.84700722015391205</v>
      </c>
      <c r="AE3" s="3">
        <f ca="1">IFERROR(__xludf.DUMMYFUNCTION("""COMPUTED_VALUE"""),-0.891273437690334)</f>
        <v>-0.89127343769033396</v>
      </c>
      <c r="AF3" s="3">
        <f ca="1">IFERROR(__xludf.DUMMYFUNCTION("""COMPUTED_VALUE"""),-0.907476434544665)</f>
        <v>-0.90747643454466498</v>
      </c>
      <c r="AG3" s="3">
        <f ca="1">IFERROR(__xludf.DUMMYFUNCTION("""COMPUTED_VALUE"""),-0.901975586277697)</f>
        <v>-0.90197558627769703</v>
      </c>
      <c r="AH3" s="3">
        <f ca="1">IFERROR(__xludf.DUMMYFUNCTION("""COMPUTED_VALUE"""),-0.898172951913902)</f>
        <v>-0.89817295191390201</v>
      </c>
      <c r="AI3" s="3">
        <f ca="1">IFERROR(__xludf.DUMMYFUNCTION("""COMPUTED_VALUE"""),-0.900100827287087)</f>
        <v>-0.90010082728708696</v>
      </c>
      <c r="AJ3" s="3">
        <f ca="1">IFERROR(__xludf.DUMMYFUNCTION("""COMPUTED_VALUE"""),-0.781560285347881)</f>
        <v>-0.78156028534788102</v>
      </c>
      <c r="AK3" s="3">
        <f ca="1">IFERROR(__xludf.DUMMYFUNCTION("""COMPUTED_VALUE"""),-0.814099975183055)</f>
        <v>-0.81409997518305499</v>
      </c>
      <c r="AL3" s="3">
        <f ca="1">IFERROR(__xludf.DUMMYFUNCTION("""COMPUTED_VALUE"""),-0.867293898152462)</f>
        <v>-0.86729389815246205</v>
      </c>
      <c r="AM3" s="3">
        <f ca="1">IFERROR(__xludf.DUMMYFUNCTION("""COMPUTED_VALUE"""),-0.892729126022337)</f>
        <v>-0.89272912602233701</v>
      </c>
      <c r="AN3" s="3">
        <f ca="1">IFERROR(__xludf.DUMMYFUNCTION("""COMPUTED_VALUE"""),-0.883829794090104)</f>
        <v>-0.88382979409010398</v>
      </c>
      <c r="AO3" s="3">
        <f ca="1">IFERROR(__xludf.DUMMYFUNCTION("""COMPUTED_VALUE"""),-0.899524382094704)</f>
        <v>-0.89952438209470398</v>
      </c>
      <c r="AP3" s="3">
        <f ca="1">IFERROR(__xludf.DUMMYFUNCTION("""COMPUTED_VALUE"""),-0.897918124315207)</f>
        <v>-0.89791812431520701</v>
      </c>
      <c r="AQ3" s="3">
        <f ca="1">IFERROR(__xludf.DUMMYFUNCTION("""COMPUTED_VALUE"""),-0.794573992851111)</f>
        <v>-0.79457399285111097</v>
      </c>
      <c r="AR3" s="3">
        <f ca="1">IFERROR(__xludf.DUMMYFUNCTION("""COMPUTED_VALUE"""),-0.800483358195381)</f>
        <v>-0.80048335819538097</v>
      </c>
      <c r="AS3" s="3">
        <f ca="1">IFERROR(__xludf.DUMMYFUNCTION("""COMPUTED_VALUE"""),-0.860217110395136)</f>
        <v>-0.86021711039513604</v>
      </c>
      <c r="AT3" s="3">
        <f ca="1">IFERROR(__xludf.DUMMYFUNCTION("""COMPUTED_VALUE"""),-0.901591100736016)</f>
        <v>-0.901591100736016</v>
      </c>
      <c r="AU3" s="3">
        <f ca="1">IFERROR(__xludf.DUMMYFUNCTION("""COMPUTED_VALUE"""),-0.882266043278039)</f>
        <v>-0.88226604327803904</v>
      </c>
      <c r="AV3" s="3">
        <f ca="1">IFERROR(__xludf.DUMMYFUNCTION("""COMPUTED_VALUE"""),-0.902218918770123)</f>
        <v>-0.90221891877012295</v>
      </c>
      <c r="AW3" s="3">
        <f ca="1">IFERROR(__xludf.DUMMYFUNCTION("""COMPUTED_VALUE"""),-0.910526186113094)</f>
        <v>-0.91052618611309399</v>
      </c>
      <c r="AX3" s="3">
        <f ca="1">IFERROR(__xludf.DUMMYFUNCTION("""COMPUTED_VALUE"""),-0.803331696513935)</f>
        <v>-0.80333169651393499</v>
      </c>
      <c r="AY3" s="3">
        <f ca="1">IFERROR(__xludf.DUMMYFUNCTION("""COMPUTED_VALUE"""),-0.81031828887339)</f>
        <v>-0.81031828887338997</v>
      </c>
      <c r="AZ3" s="3">
        <f ca="1">IFERROR(__xludf.DUMMYFUNCTION("""COMPUTED_VALUE"""),-0.886983441088432)</f>
        <v>-0.88698344108843197</v>
      </c>
      <c r="BA3" s="3">
        <f ca="1">IFERROR(__xludf.DUMMYFUNCTION("""COMPUTED_VALUE"""),-0.901126631503222)</f>
        <v>-0.90112663150322203</v>
      </c>
      <c r="BB3" s="3">
        <f ca="1">IFERROR(__xludf.DUMMYFUNCTION("""COMPUTED_VALUE"""),-0.882532077801592)</f>
        <v>-0.88253207780159204</v>
      </c>
      <c r="BC3" s="3">
        <f ca="1">IFERROR(__xludf.DUMMYFUNCTION("""COMPUTED_VALUE"""),-0.908564816301127)</f>
        <v>-0.90856481630112695</v>
      </c>
      <c r="BD3" s="3">
        <f ca="1">IFERROR(__xludf.DUMMYFUNCTION("""COMPUTED_VALUE"""),-0.917901389447974)</f>
        <v>-0.91790138944797395</v>
      </c>
      <c r="BE3" s="3">
        <f ca="1">IFERROR(__xludf.DUMMYFUNCTION("""COMPUTED_VALUE"""),-0.734447983389572)</f>
        <v>-0.73444798338957196</v>
      </c>
      <c r="BF3" s="3">
        <f ca="1">IFERROR(__xludf.DUMMYFUNCTION("""COMPUTED_VALUE"""),-0.812971251770572)</f>
        <v>-0.81297125177057195</v>
      </c>
      <c r="BG3" s="3">
        <f ca="1">IFERROR(__xludf.DUMMYFUNCTION("""COMPUTED_VALUE"""),-0.897780031125353)</f>
        <v>-0.89778003112535298</v>
      </c>
      <c r="BH3" s="3">
        <f ca="1">IFERROR(__xludf.DUMMYFUNCTION("""COMPUTED_VALUE"""),-0.915544826544598)</f>
        <v>-0.91554482654459801</v>
      </c>
      <c r="BI3" s="3">
        <f ca="1">IFERROR(__xludf.DUMMYFUNCTION("""COMPUTED_VALUE"""),-0.906644664250167)</f>
        <v>-0.90664466425016699</v>
      </c>
      <c r="BJ3" s="3">
        <f ca="1">IFERROR(__xludf.DUMMYFUNCTION("""COMPUTED_VALUE"""),-0.914475331825362)</f>
        <v>-0.914475331825362</v>
      </c>
      <c r="BK3" s="3">
        <f ca="1">IFERROR(__xludf.DUMMYFUNCTION("""COMPUTED_VALUE"""),-0.898482757677766)</f>
        <v>-0.89848275767776598</v>
      </c>
      <c r="BL3" s="3">
        <f ca="1">IFERROR(__xludf.DUMMYFUNCTION("""COMPUTED_VALUE"""),-0.859405585504267)</f>
        <v>-0.85940558550426704</v>
      </c>
      <c r="BM3" s="3">
        <f ca="1">IFERROR(__xludf.DUMMYFUNCTION("""COMPUTED_VALUE"""),-0.87733490228287)</f>
        <v>-0.87733490228287003</v>
      </c>
      <c r="BN3" s="3">
        <f ca="1">IFERROR(__xludf.DUMMYFUNCTION("""COMPUTED_VALUE"""),-0.912490988696268)</f>
        <v>-0.91249098869626799</v>
      </c>
      <c r="BO3" s="3">
        <f ca="1">IFERROR(__xludf.DUMMYFUNCTION("""COMPUTED_VALUE"""),-0.910694793248866)</f>
        <v>-0.91069479324886604</v>
      </c>
      <c r="BP3" s="3">
        <f ca="1">IFERROR(__xludf.DUMMYFUNCTION("""COMPUTED_VALUE"""),-0.916360632840845)</f>
        <v>-0.91636063284084501</v>
      </c>
      <c r="BQ3" s="3">
        <f ca="1">IFERROR(__xludf.DUMMYFUNCTION("""COMPUTED_VALUE"""),-0.907764601890866)</f>
        <v>-0.90776460189086605</v>
      </c>
      <c r="BR3" s="3">
        <f ca="1">IFERROR(__xludf.DUMMYFUNCTION("""COMPUTED_VALUE"""),-0.907353978734117)</f>
        <v>-0.90735397873411705</v>
      </c>
      <c r="BS3" s="3">
        <f ca="1">IFERROR(__xludf.DUMMYFUNCTION("""COMPUTED_VALUE"""),-0.809670486710352)</f>
        <v>-0.80967048671035202</v>
      </c>
      <c r="BT3" s="3">
        <f ca="1">IFERROR(__xludf.DUMMYFUNCTION("""COMPUTED_VALUE"""),-0.858871232970375)</f>
        <v>-0.85887123297037504</v>
      </c>
      <c r="BU3" s="3">
        <f ca="1">IFERROR(__xludf.DUMMYFUNCTION("""COMPUTED_VALUE"""),-0.905832292421108)</f>
        <v>-0.90583229242110797</v>
      </c>
      <c r="BV3" s="3">
        <f ca="1">IFERROR(__xludf.DUMMYFUNCTION("""COMPUTED_VALUE"""),-0.904886345239034)</f>
        <v>-0.904886345239034</v>
      </c>
      <c r="BW3" s="3">
        <f ca="1">IFERROR(__xludf.DUMMYFUNCTION("""COMPUTED_VALUE"""),-0.917290567073268)</f>
        <v>-0.91729056707326795</v>
      </c>
      <c r="BX3" s="3">
        <f ca="1">IFERROR(__xludf.DUMMYFUNCTION("""COMPUTED_VALUE"""),-0.915702026923339)</f>
        <v>-0.91570202692333902</v>
      </c>
      <c r="BY3" s="3">
        <f ca="1">IFERROR(__xludf.DUMMYFUNCTION("""COMPUTED_VALUE"""),-0.896172353539642)</f>
        <v>-0.89617235353964197</v>
      </c>
      <c r="BZ3" s="3">
        <f ca="1">IFERROR(__xludf.DUMMYFUNCTION("""COMPUTED_VALUE"""),-0.865513404413263)</f>
        <v>-0.86551340441326297</v>
      </c>
      <c r="CA3" s="3">
        <f ca="1">IFERROR(__xludf.DUMMYFUNCTION("""COMPUTED_VALUE"""),-0.856686913409365)</f>
        <v>-0.85668691340936498</v>
      </c>
      <c r="CB3" s="3">
        <f ca="1">IFERROR(__xludf.DUMMYFUNCTION("""COMPUTED_VALUE"""),-0.909831955129242)</f>
        <v>-0.90983195512924198</v>
      </c>
      <c r="CC3" s="3">
        <f ca="1">IFERROR(__xludf.DUMMYFUNCTION("""COMPUTED_VALUE"""),-0.916596586781976)</f>
        <v>-0.91659658678197597</v>
      </c>
      <c r="CD3" s="3">
        <f ca="1">IFERROR(__xludf.DUMMYFUNCTION("""COMPUTED_VALUE"""),-0.906720163526785)</f>
        <v>-0.90672016352678497</v>
      </c>
      <c r="CE3" s="3">
        <f ca="1">IFERROR(__xludf.DUMMYFUNCTION("""COMPUTED_VALUE"""),-0.906881439771929)</f>
        <v>-0.90688143977192903</v>
      </c>
      <c r="CF3" s="3">
        <f ca="1">IFERROR(__xludf.DUMMYFUNCTION("""COMPUTED_VALUE"""),-0.90239101357923)</f>
        <v>-0.90239101357923002</v>
      </c>
      <c r="CG3" s="3">
        <f ca="1">IFERROR(__xludf.DUMMYFUNCTION("""COMPUTED_VALUE"""),-0.836123333733889)</f>
        <v>-0.83612333373388903</v>
      </c>
      <c r="CH3" s="3">
        <f ca="1">IFERROR(__xludf.DUMMYFUNCTION("""COMPUTED_VALUE"""),-0.846021292095684)</f>
        <v>-0.846021292095684</v>
      </c>
      <c r="CI3" s="3">
        <f ca="1">IFERROR(__xludf.DUMMYFUNCTION("""COMPUTED_VALUE"""),-0.934999373340068)</f>
        <v>-0.934999373340068</v>
      </c>
      <c r="CJ3" s="3">
        <f ca="1">IFERROR(__xludf.DUMMYFUNCTION("""COMPUTED_VALUE"""),-0.92841517522665)</f>
        <v>-0.92841517522664996</v>
      </c>
      <c r="CK3" s="3">
        <f ca="1">IFERROR(__xludf.DUMMYFUNCTION("""COMPUTED_VALUE"""),-0.930434096312921)</f>
        <v>-0.93043409631292096</v>
      </c>
      <c r="CL3" s="3">
        <f ca="1">IFERROR(__xludf.DUMMYFUNCTION("""COMPUTED_VALUE"""),-0.928942210589812)</f>
        <v>-0.92894221058981197</v>
      </c>
      <c r="CM3" s="3">
        <f ca="1">IFERROR(__xludf.DUMMYFUNCTION("""COMPUTED_VALUE"""),-0.906099054903714)</f>
        <v>-0.90609905490371401</v>
      </c>
      <c r="CN3" s="3">
        <f ca="1">IFERROR(__xludf.DUMMYFUNCTION("""COMPUTED_VALUE"""),-0.825187568871321)</f>
        <v>-0.82518756887132105</v>
      </c>
      <c r="CO3" s="3">
        <f ca="1">IFERROR(__xludf.DUMMYFUNCTION("""COMPUTED_VALUE"""),-0.844548242764878)</f>
        <v>-0.84454824276487805</v>
      </c>
      <c r="CP3" s="3">
        <f ca="1">IFERROR(__xludf.DUMMYFUNCTION("""COMPUTED_VALUE"""),-0.910200377778361)</f>
        <v>-0.91020037777836105</v>
      </c>
      <c r="CQ3" s="3">
        <f ca="1">IFERROR(__xludf.DUMMYFUNCTION("""COMPUTED_VALUE"""),-0.929050964858518)</f>
        <v>-0.92905096485851801</v>
      </c>
      <c r="CR3" s="3">
        <f ca="1">IFERROR(__xludf.DUMMYFUNCTION("""COMPUTED_VALUE"""),-0.927250965972909)</f>
        <v>-0.92725096597290901</v>
      </c>
      <c r="CS3" s="3">
        <f ca="1">IFERROR(__xludf.DUMMYFUNCTION("""COMPUTED_VALUE"""),-0.919580330282185)</f>
        <v>-0.919580330282185</v>
      </c>
      <c r="CT3" s="3">
        <f ca="1">IFERROR(__xludf.DUMMYFUNCTION("""COMPUTED_VALUE"""),-0.908441916495607)</f>
        <v>-0.90844191649560702</v>
      </c>
      <c r="CU3" s="3">
        <f ca="1">IFERROR(__xludf.DUMMYFUNCTION("""COMPUTED_VALUE"""),-0.864787715346378)</f>
        <v>-0.86478771534637799</v>
      </c>
      <c r="CV3" s="3">
        <f ca="1">IFERROR(__xludf.DUMMYFUNCTION("""COMPUTED_VALUE"""),-0.901876030679687)</f>
        <v>-0.90187603067968702</v>
      </c>
      <c r="CW3" s="3">
        <f ca="1">IFERROR(__xludf.DUMMYFUNCTION("""COMPUTED_VALUE"""),-0.979013894495842)</f>
        <v>-0.97901389449584197</v>
      </c>
      <c r="CX3" s="3">
        <f ca="1">IFERROR(__xludf.DUMMYFUNCTION("""COMPUTED_VALUE"""),-0.890974226794111)</f>
        <v>-0.89097422679411098</v>
      </c>
      <c r="CY3" s="3">
        <f ca="1">IFERROR(__xludf.DUMMYFUNCTION("""COMPUTED_VALUE"""),-0.870275795982013)</f>
        <v>-0.87027579598201299</v>
      </c>
      <c r="CZ3" s="3">
        <f ca="1">IFERROR(__xludf.DUMMYFUNCTION("""COMPUTED_VALUE"""),-0.818371139071667)</f>
        <v>-0.81837113907166703</v>
      </c>
      <c r="DA3" s="3">
        <f ca="1">IFERROR(__xludf.DUMMYFUNCTION("""COMPUTED_VALUE"""),-0.879388358357946)</f>
        <v>-0.87938835835794604</v>
      </c>
      <c r="DB3" s="3">
        <f ca="1">IFERROR(__xludf.DUMMYFUNCTION("""COMPUTED_VALUE"""),-0.85874019257777)</f>
        <v>-0.85874019257777001</v>
      </c>
      <c r="DC3" s="3">
        <f ca="1">IFERROR(__xludf.DUMMYFUNCTION("""COMPUTED_VALUE"""),-0.891414912160985)</f>
        <v>-0.89141491216098501</v>
      </c>
      <c r="DD3" s="3">
        <f ca="1">IFERROR(__xludf.DUMMYFUNCTION("""COMPUTED_VALUE"""),-0.988751456250858)</f>
        <v>-0.98875145625085803</v>
      </c>
      <c r="DE3" s="3">
        <f ca="1">IFERROR(__xludf.DUMMYFUNCTION("""COMPUTED_VALUE"""),-0.926022816009304)</f>
        <v>-0.92602281600930403</v>
      </c>
      <c r="DF3" s="3">
        <f ca="1">IFERROR(__xludf.DUMMYFUNCTION("""COMPUTED_VALUE"""),-0.773729437784223)</f>
        <v>-0.77372943778422298</v>
      </c>
      <c r="DG3" s="3">
        <f ca="1">IFERROR(__xludf.DUMMYFUNCTION("""COMPUTED_VALUE"""),-0.856427580026894)</f>
        <v>-0.85642758002689401</v>
      </c>
      <c r="DH3" s="3">
        <f ca="1">IFERROR(__xludf.DUMMYFUNCTION("""COMPUTED_VALUE"""),-0.904568424451886)</f>
        <v>-0.90456842445188601</v>
      </c>
      <c r="DI3" s="3">
        <f ca="1">IFERROR(__xludf.DUMMYFUNCTION("""COMPUTED_VALUE"""),-0.857480180436327)</f>
        <v>-0.85748018043632701</v>
      </c>
      <c r="DJ3" s="3">
        <f ca="1">IFERROR(__xludf.DUMMYFUNCTION("""COMPUTED_VALUE"""),-0.859796037207585)</f>
        <v>-0.85979603720758502</v>
      </c>
      <c r="DK3" s="3">
        <f ca="1">IFERROR(__xludf.DUMMYFUNCTION("""COMPUTED_VALUE"""),-0.886104838985365)</f>
        <v>-0.88610483898536496</v>
      </c>
      <c r="DL3" s="3">
        <f ca="1">IFERROR(__xludf.DUMMYFUNCTION("""COMPUTED_VALUE"""),-0.918106064079236)</f>
        <v>-0.91810606407923601</v>
      </c>
      <c r="DM3" s="3">
        <f ca="1">IFERROR(__xludf.DUMMYFUNCTION("""COMPUTED_VALUE"""),-0.91430904831058)</f>
        <v>-0.91430904831058002</v>
      </c>
      <c r="DN3" s="3">
        <f ca="1">IFERROR(__xludf.DUMMYFUNCTION("""COMPUTED_VALUE"""),-0.910452248463004)</f>
        <v>-0.91045224846300399</v>
      </c>
      <c r="DO3" s="3">
        <f ca="1">IFERROR(__xludf.DUMMYFUNCTION("""COMPUTED_VALUE"""),-0.939880154635134)</f>
        <v>-0.93988015463513397</v>
      </c>
      <c r="DP3" s="3">
        <f ca="1">IFERROR(__xludf.DUMMYFUNCTION("""COMPUTED_VALUE"""),-0.891621504847594)</f>
        <v>-0.89162150484759395</v>
      </c>
      <c r="DQ3" s="3">
        <f ca="1">IFERROR(__xludf.DUMMYFUNCTION("""COMPUTED_VALUE"""),-0.919022965417425)</f>
        <v>-0.91902296541742501</v>
      </c>
      <c r="DR3" s="3">
        <f ca="1">IFERROR(__xludf.DUMMYFUNCTION("""COMPUTED_VALUE"""),-0.935527270236962)</f>
        <v>-0.93552727023696203</v>
      </c>
      <c r="DS3" s="3">
        <f ca="1">IFERROR(__xludf.DUMMYFUNCTION("""COMPUTED_VALUE"""),-0.925414039239934)</f>
        <v>-0.92541403923993404</v>
      </c>
      <c r="DT3" s="3">
        <f ca="1">IFERROR(__xludf.DUMMYFUNCTION("""COMPUTED_VALUE"""),-0.947165466260435)</f>
        <v>-0.94716546626043496</v>
      </c>
      <c r="DU3" s="3">
        <f ca="1">IFERROR(__xludf.DUMMYFUNCTION("""COMPUTED_VALUE"""),-0.954044104019764)</f>
        <v>-0.95404410401976403</v>
      </c>
      <c r="DV3" s="3">
        <f ca="1">IFERROR(__xludf.DUMMYFUNCTION("""COMPUTED_VALUE"""),-0.942149322379177)</f>
        <v>-0.94214932237917703</v>
      </c>
      <c r="DW3" s="3">
        <f ca="1">IFERROR(__xludf.DUMMYFUNCTION("""COMPUTED_VALUE"""),-0.904706943252546)</f>
        <v>-0.90470694325254597</v>
      </c>
      <c r="DX3" s="3">
        <f ca="1">IFERROR(__xludf.DUMMYFUNCTION("""COMPUTED_VALUE"""),-0.885385363587241)</f>
        <v>-0.88538536358724096</v>
      </c>
      <c r="DY3" s="3">
        <f ca="1">IFERROR(__xludf.DUMMYFUNCTION("""COMPUTED_VALUE"""),-0.915124889594857)</f>
        <v>-0.91512488959485705</v>
      </c>
      <c r="DZ3" s="3">
        <f ca="1">IFERROR(__xludf.DUMMYFUNCTION("""COMPUTED_VALUE"""),-0.917095677559944)</f>
        <v>-0.91709567755994403</v>
      </c>
      <c r="EA3" s="3">
        <f ca="1">IFERROR(__xludf.DUMMYFUNCTION("""COMPUTED_VALUE"""),-0.94079376106803)</f>
        <v>-0.94079376106803003</v>
      </c>
      <c r="EB3" s="3">
        <f ca="1">IFERROR(__xludf.DUMMYFUNCTION("""COMPUTED_VALUE"""),-0.950211338689567)</f>
        <v>-0.95021133868956698</v>
      </c>
      <c r="EC3" s="3">
        <f ca="1">IFERROR(__xludf.DUMMYFUNCTION("""COMPUTED_VALUE"""),-0.938648439532406)</f>
        <v>-0.93864843953240595</v>
      </c>
      <c r="ED3" s="3">
        <f ca="1">IFERROR(__xludf.DUMMYFUNCTION("""COMPUTED_VALUE"""),-0.894149001948647)</f>
        <v>-0.89414900194864699</v>
      </c>
      <c r="EE3" s="3">
        <f ca="1">IFERROR(__xludf.DUMMYFUNCTION("""COMPUTED_VALUE"""),-0.910209127046262)</f>
        <v>-0.910209127046262</v>
      </c>
      <c r="EF3" s="3">
        <f ca="1">IFERROR(__xludf.DUMMYFUNCTION("""COMPUTED_VALUE"""),-0.950527312580166)</f>
        <v>-0.95052731258016598</v>
      </c>
      <c r="EG3" s="3">
        <f ca="1">IFERROR(__xludf.DUMMYFUNCTION("""COMPUTED_VALUE"""),-0.98369857341535)</f>
        <v>-0.98369857341535005</v>
      </c>
      <c r="EH3" s="3">
        <f ca="1">IFERROR(__xludf.DUMMYFUNCTION("""COMPUTED_VALUE"""),-0.927566452694001)</f>
        <v>-0.92756645269400095</v>
      </c>
      <c r="EI3" s="3">
        <f ca="1">IFERROR(__xludf.DUMMYFUNCTION("""COMPUTED_VALUE"""),-0.933057469923855)</f>
        <v>-0.93305746992385497</v>
      </c>
      <c r="EJ3" s="3">
        <f ca="1">IFERROR(__xludf.DUMMYFUNCTION("""COMPUTED_VALUE"""),-0.937822233724843)</f>
        <v>-0.93782223372484297</v>
      </c>
      <c r="EK3" s="3">
        <f ca="1">IFERROR(__xludf.DUMMYFUNCTION("""COMPUTED_VALUE"""),-0.879519009774913)</f>
        <v>-0.87951900977491304</v>
      </c>
      <c r="EL3" s="3">
        <f ca="1">IFERROR(__xludf.DUMMYFUNCTION("""COMPUTED_VALUE"""),-0.869395833435262)</f>
        <v>-0.86939583343526206</v>
      </c>
      <c r="EM3" s="3">
        <f ca="1">IFERROR(__xludf.DUMMYFUNCTION("""COMPUTED_VALUE"""),-0.919645717889159)</f>
        <v>-0.91964571788915905</v>
      </c>
      <c r="EN3" s="3">
        <f ca="1">IFERROR(__xludf.DUMMYFUNCTION("""COMPUTED_VALUE"""),-0.942477674021511)</f>
        <v>-0.94247767402151095</v>
      </c>
      <c r="EO3" s="3">
        <f ca="1">IFERROR(__xludf.DUMMYFUNCTION("""COMPUTED_VALUE"""),-0.9305726479138)</f>
        <v>-0.93057264791380001</v>
      </c>
      <c r="EP3" s="3">
        <f ca="1">IFERROR(__xludf.DUMMYFUNCTION("""COMPUTED_VALUE"""),-0.934763323115584)</f>
        <v>-0.93476332311558397</v>
      </c>
      <c r="EQ3" s="3">
        <f ca="1">IFERROR(__xludf.DUMMYFUNCTION("""COMPUTED_VALUE"""),-0.947516767675669)</f>
        <v>-0.94751676767566895</v>
      </c>
      <c r="ER3" s="3">
        <f ca="1">IFERROR(__xludf.DUMMYFUNCTION("""COMPUTED_VALUE"""),-0.909168684438127)</f>
        <v>-0.90916868443812704</v>
      </c>
      <c r="ES3" s="3">
        <f ca="1">IFERROR(__xludf.DUMMYFUNCTION("""COMPUTED_VALUE"""),-0.899657139808657)</f>
        <v>-0.89965713980865702</v>
      </c>
      <c r="ET3" s="3">
        <f ca="1">IFERROR(__xludf.DUMMYFUNCTION("""COMPUTED_VALUE"""),-0.937976663743685)</f>
        <v>-0.93797666374368505</v>
      </c>
      <c r="EU3" s="3">
        <f ca="1">IFERROR(__xludf.DUMMYFUNCTION("""COMPUTED_VALUE"""),-0.950671862842499)</f>
        <v>-0.95067186284249905</v>
      </c>
      <c r="EV3" s="3">
        <f ca="1">IFERROR(__xludf.DUMMYFUNCTION("""COMPUTED_VALUE"""),-0.953345504756286)</f>
        <v>-0.95334550475628599</v>
      </c>
      <c r="EW3" s="3">
        <f ca="1">IFERROR(__xludf.DUMMYFUNCTION("""COMPUTED_VALUE"""),-0.947591257015877)</f>
        <v>-0.94759125701587699</v>
      </c>
      <c r="EX3" s="3">
        <f ca="1">IFERROR(__xludf.DUMMYFUNCTION("""COMPUTED_VALUE"""),-0.943942198892028)</f>
        <v>-0.94394219889202802</v>
      </c>
      <c r="EY3" s="3">
        <f ca="1">IFERROR(__xludf.DUMMYFUNCTION("""COMPUTED_VALUE"""),-0.915220586896124)</f>
        <v>-0.91522058689612396</v>
      </c>
      <c r="EZ3" s="3">
        <f ca="1">IFERROR(__xludf.DUMMYFUNCTION("""COMPUTED_VALUE"""),-0.911519526967955)</f>
        <v>-0.91151952696795502</v>
      </c>
      <c r="FA3" s="3">
        <f ca="1">IFERROR(__xludf.DUMMYFUNCTION("""COMPUTED_VALUE"""),-0.939229265253105)</f>
        <v>-0.93922926525310502</v>
      </c>
      <c r="FB3" s="3">
        <f ca="1">IFERROR(__xludf.DUMMYFUNCTION("""COMPUTED_VALUE"""),-0.946176550927491)</f>
        <v>-0.94617655092749098</v>
      </c>
      <c r="FC3" s="3">
        <f ca="1">IFERROR(__xludf.DUMMYFUNCTION("""COMPUTED_VALUE"""),-0.948981275487989)</f>
        <v>-0.94898127548798905</v>
      </c>
      <c r="FD3" s="3">
        <f ca="1">IFERROR(__xludf.DUMMYFUNCTION("""COMPUTED_VALUE"""),-0.935734873117966)</f>
        <v>-0.93573487311796599</v>
      </c>
      <c r="FE3" s="3">
        <f ca="1">IFERROR(__xludf.DUMMYFUNCTION("""COMPUTED_VALUE"""),-0.943086613253522)</f>
        <v>-0.94308661325352205</v>
      </c>
      <c r="FF3" s="3">
        <f ca="1">IFERROR(__xludf.DUMMYFUNCTION("""COMPUTED_VALUE"""),-0.912749997838998)</f>
        <v>-0.91274999783899802</v>
      </c>
      <c r="FG3" s="3">
        <f ca="1">IFERROR(__xludf.DUMMYFUNCTION("""COMPUTED_VALUE"""),-0.903673073669364)</f>
        <v>-0.903673073669364</v>
      </c>
      <c r="FH3" s="3">
        <f ca="1">IFERROR(__xludf.DUMMYFUNCTION("""COMPUTED_VALUE"""),-0.933000803565813)</f>
        <v>-0.93300080356581305</v>
      </c>
      <c r="FI3" s="3">
        <f ca="1">IFERROR(__xludf.DUMMYFUNCTION("""COMPUTED_VALUE"""),-0.939275624748969)</f>
        <v>-0.93927562474896897</v>
      </c>
      <c r="FJ3" s="3">
        <f ca="1">IFERROR(__xludf.DUMMYFUNCTION("""COMPUTED_VALUE"""),-0.944507714767451)</f>
        <v>-0.94450771476745099</v>
      </c>
      <c r="FK3" s="3">
        <f ca="1">IFERROR(__xludf.DUMMYFUNCTION("""COMPUTED_VALUE"""),-0.939860586793702)</f>
        <v>-0.93986058679370199</v>
      </c>
      <c r="FL3" s="3">
        <f ca="1">IFERROR(__xludf.DUMMYFUNCTION("""COMPUTED_VALUE"""),-0.939280736027076)</f>
        <v>-0.93928073602707596</v>
      </c>
      <c r="FM3" s="3">
        <f ca="1">IFERROR(__xludf.DUMMYFUNCTION("""COMPUTED_VALUE"""),-0.925292234913353)</f>
        <v>-0.925292234913353</v>
      </c>
      <c r="FN3" s="3">
        <f ca="1">IFERROR(__xludf.DUMMYFUNCTION("""COMPUTED_VALUE"""),-0.897141477608868)</f>
        <v>-0.89714147760886798</v>
      </c>
      <c r="FO3" s="3">
        <f ca="1">IFERROR(__xludf.DUMMYFUNCTION("""COMPUTED_VALUE"""),-0.951906251955054)</f>
        <v>-0.95190625195505396</v>
      </c>
      <c r="FP3" s="3">
        <f ca="1">IFERROR(__xludf.DUMMYFUNCTION("""COMPUTED_VALUE"""),-0.940649181203088)</f>
        <v>-0.94064918120308805</v>
      </c>
      <c r="FQ3" s="3">
        <f ca="1">IFERROR(__xludf.DUMMYFUNCTION("""COMPUTED_VALUE"""),-0.94452071274778)</f>
        <v>-0.94452071274778004</v>
      </c>
      <c r="FR3" s="3">
        <f ca="1">IFERROR(__xludf.DUMMYFUNCTION("""COMPUTED_VALUE"""),-0.936368296300692)</f>
        <v>-0.93636829630069196</v>
      </c>
      <c r="FS3" s="3">
        <f ca="1">IFERROR(__xludf.DUMMYFUNCTION("""COMPUTED_VALUE"""),-0.92783110704558)</f>
        <v>-0.92783110704558003</v>
      </c>
      <c r="FT3" s="3">
        <f ca="1">IFERROR(__xludf.DUMMYFUNCTION("""COMPUTED_VALUE"""),-0.930533876012916)</f>
        <v>-0.93053387601291604</v>
      </c>
      <c r="FU3" s="3">
        <f ca="1">IFERROR(__xludf.DUMMYFUNCTION("""COMPUTED_VALUE"""),-0.903511132048999)</f>
        <v>-0.90351113204899902</v>
      </c>
      <c r="FV3" s="3">
        <f ca="1">IFERROR(__xludf.DUMMYFUNCTION("""COMPUTED_VALUE"""),-0.932775225022785)</f>
        <v>-0.93277522502278498</v>
      </c>
      <c r="FW3" s="3">
        <f ca="1">IFERROR(__xludf.DUMMYFUNCTION("""COMPUTED_VALUE"""),-0.949867237820111)</f>
        <v>-0.94986723782011095</v>
      </c>
      <c r="FX3" s="3">
        <f ca="1">IFERROR(__xludf.DUMMYFUNCTION("""COMPUTED_VALUE"""),-0.950045651326645)</f>
        <v>-0.95004565132664498</v>
      </c>
      <c r="FY3" s="3">
        <f ca="1">IFERROR(__xludf.DUMMYFUNCTION("""COMPUTED_VALUE"""),-0.953762564564699)</f>
        <v>-0.95376256456469899</v>
      </c>
      <c r="FZ3" s="3">
        <f ca="1">IFERROR(__xludf.DUMMYFUNCTION("""COMPUTED_VALUE"""),-0.957109929178839)</f>
        <v>-0.95710992917883897</v>
      </c>
      <c r="GA3" s="3">
        <f ca="1">IFERROR(__xludf.DUMMYFUNCTION("""COMPUTED_VALUE"""),-0.893814385915179)</f>
        <v>-0.89381438591517903</v>
      </c>
      <c r="GB3" s="3">
        <f ca="1">IFERROR(__xludf.DUMMYFUNCTION("""COMPUTED_VALUE"""),-0.948648993470723)</f>
        <v>-0.94864899347072296</v>
      </c>
      <c r="GC3" s="3">
        <f ca="1">IFERROR(__xludf.DUMMYFUNCTION("""COMPUTED_VALUE"""),-0.941170158908245)</f>
        <v>-0.94117015890824496</v>
      </c>
      <c r="GD3" s="3">
        <f ca="1">IFERROR(__xludf.DUMMYFUNCTION("""COMPUTED_VALUE"""),-0.953395921144181)</f>
        <v>-0.95339592114418104</v>
      </c>
      <c r="GE3" s="3">
        <f ca="1">IFERROR(__xludf.DUMMYFUNCTION("""COMPUTED_VALUE"""),-0.94593404790835)</f>
        <v>-0.94593404790835001</v>
      </c>
      <c r="GF3" s="3">
        <f ca="1">IFERROR(__xludf.DUMMYFUNCTION("""COMPUTED_VALUE"""),-0.94507176999841)</f>
        <v>-0.94507176999841003</v>
      </c>
      <c r="GG3" s="3">
        <f ca="1">IFERROR(__xludf.DUMMYFUNCTION("""COMPUTED_VALUE"""),-0.936854092467499)</f>
        <v>-0.93685409246749896</v>
      </c>
      <c r="GH3" s="3">
        <f ca="1">IFERROR(__xludf.DUMMYFUNCTION("""COMPUTED_VALUE"""),-0.857917204382765)</f>
        <v>-0.85791720438276498</v>
      </c>
      <c r="GI3" s="3">
        <f ca="1">IFERROR(__xludf.DUMMYFUNCTION("""COMPUTED_VALUE"""),-0.907576238902878)</f>
        <v>-0.90757623890287797</v>
      </c>
      <c r="GJ3" s="3">
        <f ca="1">IFERROR(__xludf.DUMMYFUNCTION("""COMPUTED_VALUE"""),-0.933849791870595)</f>
        <v>-0.93384979187059503</v>
      </c>
      <c r="GK3" s="3">
        <f ca="1">IFERROR(__xludf.DUMMYFUNCTION("""COMPUTED_VALUE"""),-0.939313964197087)</f>
        <v>-0.93931396419708701</v>
      </c>
      <c r="GL3" s="3">
        <f ca="1">IFERROR(__xludf.DUMMYFUNCTION("""COMPUTED_VALUE"""),-0.940446713297023)</f>
        <v>-0.94044671329702301</v>
      </c>
      <c r="GM3" s="3">
        <f ca="1">IFERROR(__xludf.DUMMYFUNCTION("""COMPUTED_VALUE"""),-0.946984954725946)</f>
        <v>-0.94698495472594602</v>
      </c>
      <c r="GN3" s="3">
        <f ca="1">IFERROR(__xludf.DUMMYFUNCTION("""COMPUTED_VALUE"""),-0.940214376185094)</f>
        <v>-0.94021437618509396</v>
      </c>
      <c r="GO3" s="3">
        <f ca="1">IFERROR(__xludf.DUMMYFUNCTION("""COMPUTED_VALUE"""),-0.893391283422142)</f>
        <v>-0.89339128342214202</v>
      </c>
      <c r="GP3" s="3">
        <f ca="1">IFERROR(__xludf.DUMMYFUNCTION("""COMPUTED_VALUE"""),-0.921312394675641)</f>
        <v>-0.92131239467564097</v>
      </c>
      <c r="GQ3" s="3">
        <f ca="1">IFERROR(__xludf.DUMMYFUNCTION("""COMPUTED_VALUE"""),-0.933347244047951)</f>
        <v>-0.933347244047951</v>
      </c>
      <c r="GR3" s="3">
        <f ca="1">IFERROR(__xludf.DUMMYFUNCTION("""COMPUTED_VALUE"""),-0.949461291339461)</f>
        <v>-0.949461291339461</v>
      </c>
      <c r="GS3" s="3">
        <f ca="1">IFERROR(__xludf.DUMMYFUNCTION("""COMPUTED_VALUE"""),-0.948596237826701)</f>
        <v>-0.94859623782670099</v>
      </c>
      <c r="GT3" s="3">
        <f ca="1">IFERROR(__xludf.DUMMYFUNCTION("""COMPUTED_VALUE"""),-0.937031880948405)</f>
        <v>-0.93703188094840495</v>
      </c>
      <c r="GU3" s="3">
        <f ca="1">IFERROR(__xludf.DUMMYFUNCTION("""COMPUTED_VALUE"""),-0.931939141916359)</f>
        <v>-0.93193914191635896</v>
      </c>
      <c r="GV3" s="3">
        <f ca="1">IFERROR(__xludf.DUMMYFUNCTION("""COMPUTED_VALUE"""),-0.902288417179737)</f>
        <v>-0.90228841717973696</v>
      </c>
      <c r="GW3" s="3">
        <f ca="1">IFERROR(__xludf.DUMMYFUNCTION("""COMPUTED_VALUE"""),-0.901174039511726)</f>
        <v>-0.90117403951172603</v>
      </c>
      <c r="GX3" s="3">
        <f ca="1">IFERROR(__xludf.DUMMYFUNCTION("""COMPUTED_VALUE"""),-0.939837034362881)</f>
        <v>-0.93983703436288102</v>
      </c>
      <c r="GY3" s="3">
        <f ca="1">IFERROR(__xludf.DUMMYFUNCTION("""COMPUTED_VALUE"""),-0.946815493319881)</f>
        <v>-0.94681549331988102</v>
      </c>
      <c r="GZ3" s="3">
        <f ca="1">IFERROR(__xludf.DUMMYFUNCTION("""COMPUTED_VALUE"""),-0.942594700752438)</f>
        <v>-0.94259470075243801</v>
      </c>
      <c r="HA3" s="3">
        <f ca="1">IFERROR(__xludf.DUMMYFUNCTION("""COMPUTED_VALUE"""),-0.944310581306486)</f>
        <v>-0.94431058130648604</v>
      </c>
      <c r="HB3" s="3">
        <f ca="1">IFERROR(__xludf.DUMMYFUNCTION("""COMPUTED_VALUE"""),-0.927907634385569)</f>
        <v>-0.927907634385569</v>
      </c>
      <c r="HC3" s="3">
        <f ca="1">IFERROR(__xludf.DUMMYFUNCTION("""COMPUTED_VALUE"""),-0.896531076557603)</f>
        <v>-0.896531076557603</v>
      </c>
      <c r="HD3" s="3">
        <f ca="1">IFERROR(__xludf.DUMMYFUNCTION("""COMPUTED_VALUE"""),-0.894048110299241)</f>
        <v>-0.89404811029924103</v>
      </c>
      <c r="HE3" s="3">
        <f ca="1">IFERROR(__xludf.DUMMYFUNCTION("""COMPUTED_VALUE"""),-0.936284572394695)</f>
        <v>-0.93628457239469498</v>
      </c>
      <c r="HF3" s="3">
        <f ca="1">IFERROR(__xludf.DUMMYFUNCTION("""COMPUTED_VALUE"""),-0.940096776646341)</f>
        <v>-0.94009677664634095</v>
      </c>
      <c r="HG3" s="3">
        <f ca="1">IFERROR(__xludf.DUMMYFUNCTION("""COMPUTED_VALUE"""),-0.92384311889668)</f>
        <v>-0.92384311889668003</v>
      </c>
      <c r="HH3" s="3">
        <f ca="1">IFERROR(__xludf.DUMMYFUNCTION("""COMPUTED_VALUE"""),-0.937261473616637)</f>
        <v>-0.93726147361663703</v>
      </c>
      <c r="HI3" s="3">
        <f ca="1">IFERROR(__xludf.DUMMYFUNCTION("""COMPUTED_VALUE"""),-0.958638065322204)</f>
        <v>-0.95863806532220397</v>
      </c>
      <c r="HJ3" s="3">
        <f ca="1">IFERROR(__xludf.DUMMYFUNCTION("""COMPUTED_VALUE"""),-0.8575356768571)</f>
        <v>-0.85753567685709997</v>
      </c>
      <c r="HK3" s="3">
        <f ca="1">IFERROR(__xludf.DUMMYFUNCTION("""COMPUTED_VALUE"""),-0.882646938827921)</f>
        <v>-0.882646938827921</v>
      </c>
      <c r="HL3" s="3">
        <f ca="1">IFERROR(__xludf.DUMMYFUNCTION("""COMPUTED_VALUE"""),-0.914416010905118)</f>
        <v>-0.91441601090511804</v>
      </c>
      <c r="HM3" s="3">
        <f ca="1">IFERROR(__xludf.DUMMYFUNCTION("""COMPUTED_VALUE"""),-0.921782200466098)</f>
        <v>-0.92178220046609805</v>
      </c>
      <c r="HN3" s="3">
        <f ca="1">IFERROR(__xludf.DUMMYFUNCTION("""COMPUTED_VALUE"""),-0.909350242602578)</f>
        <v>-0.90935024260257802</v>
      </c>
      <c r="HO3" s="3">
        <f ca="1">IFERROR(__xludf.DUMMYFUNCTION("""COMPUTED_VALUE"""),-0.910282629245913)</f>
        <v>-0.91028262924591297</v>
      </c>
      <c r="HP3" s="3">
        <f ca="1">IFERROR(__xludf.DUMMYFUNCTION("""COMPUTED_VALUE"""),-0.844996910468773)</f>
        <v>-0.84499691046877301</v>
      </c>
      <c r="HQ3" s="3">
        <f ca="1">IFERROR(__xludf.DUMMYFUNCTION("""COMPUTED_VALUE"""),-0.789470182663507)</f>
        <v>-0.78947018266350699</v>
      </c>
      <c r="HR3" s="3">
        <f ca="1">IFERROR(__xludf.DUMMYFUNCTION("""COMPUTED_VALUE"""),-0.856205013795441)</f>
        <v>-0.85620501379544101</v>
      </c>
      <c r="HS3" s="3">
        <f ca="1">IFERROR(__xludf.DUMMYFUNCTION("""COMPUTED_VALUE"""),-0.902246661410528)</f>
        <v>-0.90224666141052801</v>
      </c>
      <c r="HT3" s="3">
        <f ca="1">IFERROR(__xludf.DUMMYFUNCTION("""COMPUTED_VALUE"""),-0.914699772263581)</f>
        <v>-0.91469977226358101</v>
      </c>
      <c r="HU3" s="3">
        <f ca="1">IFERROR(__xludf.DUMMYFUNCTION("""COMPUTED_VALUE"""),-0.923384891290338)</f>
        <v>-0.92338489129033796</v>
      </c>
      <c r="HV3" s="3">
        <f ca="1">IFERROR(__xludf.DUMMYFUNCTION("""COMPUTED_VALUE"""),-0.919342808288118)</f>
        <v>-0.91934280828811799</v>
      </c>
      <c r="HW3" s="3">
        <f ca="1">IFERROR(__xludf.DUMMYFUNCTION("""COMPUTED_VALUE"""),-0.812514909547591)</f>
        <v>-0.81251490954759098</v>
      </c>
      <c r="HX3" s="3">
        <f ca="1">IFERROR(__xludf.DUMMYFUNCTION("""COMPUTED_VALUE"""),-0.807091556838173)</f>
        <v>-0.80709155683817302</v>
      </c>
      <c r="HY3" s="3">
        <f ca="1">IFERROR(__xludf.DUMMYFUNCTION("""COMPUTED_VALUE"""),-0.867853009203657)</f>
        <v>-0.86785300920365704</v>
      </c>
      <c r="HZ3" s="3">
        <f ca="1">IFERROR(__xludf.DUMMYFUNCTION("""COMPUTED_VALUE"""),-0.892903646883109)</f>
        <v>-0.89290364688310897</v>
      </c>
      <c r="IA3" s="3">
        <f ca="1">IFERROR(__xludf.DUMMYFUNCTION("""COMPUTED_VALUE"""),-0.893503606832315)</f>
        <v>-0.893503606832315</v>
      </c>
      <c r="IB3" s="3">
        <f ca="1">IFERROR(__xludf.DUMMYFUNCTION("""COMPUTED_VALUE"""),-0.914750239699948)</f>
        <v>-0.91475023969994795</v>
      </c>
      <c r="IC3" s="3">
        <f ca="1">IFERROR(__xludf.DUMMYFUNCTION("""COMPUTED_VALUE"""),-0.874884719942632)</f>
        <v>-0.87488471994263195</v>
      </c>
      <c r="ID3" s="3">
        <f ca="1">IFERROR(__xludf.DUMMYFUNCTION("""COMPUTED_VALUE"""),-0.877686002324299)</f>
        <v>-0.87768600232429905</v>
      </c>
      <c r="IE3" s="3">
        <f ca="1">IFERROR(__xludf.DUMMYFUNCTION("""COMPUTED_VALUE"""),-0.7491021060336)</f>
        <v>-0.74910210603359995</v>
      </c>
      <c r="IF3" s="3">
        <f ca="1">IFERROR(__xludf.DUMMYFUNCTION("""COMPUTED_VALUE"""),-0.84130433973683)</f>
        <v>-0.84130433973683005</v>
      </c>
      <c r="IG3" s="3">
        <f ca="1">IFERROR(__xludf.DUMMYFUNCTION("""COMPUTED_VALUE"""),-0.849094327063604)</f>
        <v>-0.84909432706360399</v>
      </c>
      <c r="IH3" s="3">
        <f ca="1">IFERROR(__xludf.DUMMYFUNCTION("""COMPUTED_VALUE"""),-0.879570449430804)</f>
        <v>-0.87957044943080398</v>
      </c>
      <c r="II3" s="3">
        <f ca="1">IFERROR(__xludf.DUMMYFUNCTION("""COMPUTED_VALUE"""),-0.856904641765662)</f>
        <v>-0.85690464176566195</v>
      </c>
      <c r="IJ3" s="3">
        <f ca="1">IFERROR(__xludf.DUMMYFUNCTION("""COMPUTED_VALUE"""),-0.871005584371478)</f>
        <v>-0.87100558437147801</v>
      </c>
      <c r="IK3" s="3">
        <f ca="1">IFERROR(__xludf.DUMMYFUNCTION("""COMPUTED_VALUE"""),-0.839253648910547)</f>
        <v>-0.83925364891054699</v>
      </c>
      <c r="IL3" s="3">
        <f ca="1">IFERROR(__xludf.DUMMYFUNCTION("""COMPUTED_VALUE"""),-0.708426275552106)</f>
        <v>-0.70842627555210602</v>
      </c>
      <c r="IM3" s="3">
        <f ca="1">IFERROR(__xludf.DUMMYFUNCTION("""COMPUTED_VALUE"""),-0.822436406612904)</f>
        <v>-0.82243640661290396</v>
      </c>
      <c r="IN3" s="3">
        <f ca="1">IFERROR(__xludf.DUMMYFUNCTION("""COMPUTED_VALUE"""),-0.842948265851818)</f>
        <v>-0.84294826585181803</v>
      </c>
      <c r="IO3" s="3">
        <f ca="1">IFERROR(__xludf.DUMMYFUNCTION("""COMPUTED_VALUE"""),-0.836361045353757)</f>
        <v>-0.83636104535375699</v>
      </c>
      <c r="IP3" s="3">
        <f ca="1">IFERROR(__xludf.DUMMYFUNCTION("""COMPUTED_VALUE"""),-0.842924618952366)</f>
        <v>-0.84292461895236603</v>
      </c>
      <c r="IQ3" s="3">
        <f ca="1">IFERROR(__xludf.DUMMYFUNCTION("""COMPUTED_VALUE"""),-0.774366875690034)</f>
        <v>-0.77436687569003404</v>
      </c>
      <c r="IR3" s="3">
        <f ca="1">IFERROR(__xludf.DUMMYFUNCTION("""COMPUTED_VALUE"""),-0.813742369597002)</f>
        <v>-0.81374236959700197</v>
      </c>
      <c r="IS3" s="3">
        <f ca="1">IFERROR(__xludf.DUMMYFUNCTION("""COMPUTED_VALUE"""),-0.784726740928733)</f>
        <v>-0.78472674092873296</v>
      </c>
      <c r="IT3" s="3">
        <f ca="1">IFERROR(__xludf.DUMMYFUNCTION("""COMPUTED_VALUE"""),-0.721796744475644)</f>
        <v>-0.72179674447564401</v>
      </c>
      <c r="IU3" s="3">
        <f ca="1">IFERROR(__xludf.DUMMYFUNCTION("""COMPUTED_VALUE"""),-0.817666497498603)</f>
        <v>-0.81766649749860298</v>
      </c>
      <c r="IV3" s="3">
        <f ca="1">IFERROR(__xludf.DUMMYFUNCTION("""COMPUTED_VALUE"""),-0.838979886715297)</f>
        <v>-0.838979886715297</v>
      </c>
      <c r="IW3" s="3">
        <f ca="1">IFERROR(__xludf.DUMMYFUNCTION("""COMPUTED_VALUE"""),-0.847071978189266)</f>
        <v>-0.84707197818926605</v>
      </c>
      <c r="IX3" s="3">
        <f ca="1">IFERROR(__xludf.DUMMYFUNCTION("""COMPUTED_VALUE"""),-0.84434957115745)</f>
        <v>-0.84434957115745002</v>
      </c>
      <c r="IY3" s="3">
        <f ca="1">IFERROR(__xludf.DUMMYFUNCTION("""COMPUTED_VALUE"""),-0.835509273824691)</f>
        <v>-0.83550927382469098</v>
      </c>
      <c r="IZ3" s="3">
        <f ca="1">IFERROR(__xludf.DUMMYFUNCTION("""COMPUTED_VALUE"""),-0.75528967687174)</f>
        <v>-0.75528967687173998</v>
      </c>
      <c r="JA3" s="3">
        <f ca="1">IFERROR(__xludf.DUMMYFUNCTION("""COMPUTED_VALUE"""),-0.738724796297369)</f>
        <v>-0.73872479629736898</v>
      </c>
      <c r="JB3" s="3">
        <f ca="1">IFERROR(__xludf.DUMMYFUNCTION("""COMPUTED_VALUE"""),-0.84541307449009)</f>
        <v>-0.84541307449008996</v>
      </c>
      <c r="JC3" s="3">
        <f ca="1">IFERROR(__xludf.DUMMYFUNCTION("""COMPUTED_VALUE"""),-0.862934942115567)</f>
        <v>-0.86293494211556698</v>
      </c>
      <c r="JD3" s="3">
        <f ca="1">IFERROR(__xludf.DUMMYFUNCTION("""COMPUTED_VALUE"""),-0.874729087055861)</f>
        <v>-0.87472908705586105</v>
      </c>
      <c r="JE3" s="3">
        <f ca="1">IFERROR(__xludf.DUMMYFUNCTION("""COMPUTED_VALUE"""),-0.832519018052212)</f>
        <v>-0.83251901805221196</v>
      </c>
      <c r="JF3" s="3">
        <f ca="1">IFERROR(__xludf.DUMMYFUNCTION("""COMPUTED_VALUE"""),-0.835050198360922)</f>
        <v>-0.83505019836092198</v>
      </c>
      <c r="JG3" s="3">
        <f ca="1">IFERROR(__xludf.DUMMYFUNCTION("""COMPUTED_VALUE"""),-0.727100686302793)</f>
        <v>-0.72710068630279301</v>
      </c>
      <c r="JH3" s="3">
        <f ca="1">IFERROR(__xludf.DUMMYFUNCTION("""COMPUTED_VALUE"""),-0.737653649052215)</f>
        <v>-0.73765364905221498</v>
      </c>
      <c r="JI3" s="3">
        <f ca="1">IFERROR(__xludf.DUMMYFUNCTION("""COMPUTED_VALUE"""),-0.867040634378887)</f>
        <v>-0.86704063437888701</v>
      </c>
      <c r="JJ3" s="3">
        <f ca="1">IFERROR(__xludf.DUMMYFUNCTION("""COMPUTED_VALUE"""),-0.86935909889122)</f>
        <v>-0.86935909889121998</v>
      </c>
      <c r="JK3" s="3">
        <f ca="1">IFERROR(__xludf.DUMMYFUNCTION("""COMPUTED_VALUE"""),-0.857050749171799)</f>
        <v>-0.85705074917179902</v>
      </c>
      <c r="JL3" s="3">
        <f ca="1">IFERROR(__xludf.DUMMYFUNCTION("""COMPUTED_VALUE"""),-0.821429007992535)</f>
        <v>-0.82142900799253504</v>
      </c>
      <c r="JM3" s="3">
        <f ca="1">IFERROR(__xludf.DUMMYFUNCTION("""COMPUTED_VALUE"""),-0.804052999113216)</f>
        <v>-0.80405299911321604</v>
      </c>
      <c r="JN3" s="3">
        <f ca="1">IFERROR(__xludf.DUMMYFUNCTION("""COMPUTED_VALUE"""),-0.722403378143393)</f>
        <v>-0.72240337814339295</v>
      </c>
      <c r="JO3" s="3">
        <f ca="1">IFERROR(__xludf.DUMMYFUNCTION("""COMPUTED_VALUE"""),-0.764854819425878)</f>
        <v>-0.76485481942587796</v>
      </c>
      <c r="JP3" s="3">
        <f ca="1">IFERROR(__xludf.DUMMYFUNCTION("""COMPUTED_VALUE"""),-0.836421751009926)</f>
        <v>-0.836421751009926</v>
      </c>
      <c r="JQ3" s="3">
        <f ca="1">IFERROR(__xludf.DUMMYFUNCTION("""COMPUTED_VALUE"""),-0.735471297791985)</f>
        <v>-0.73547129779198495</v>
      </c>
      <c r="JR3" s="3">
        <f ca="1">IFERROR(__xludf.DUMMYFUNCTION("""COMPUTED_VALUE"""),-0.857028227433064)</f>
        <v>-0.85702822743306395</v>
      </c>
      <c r="JS3" s="3">
        <f ca="1">IFERROR(__xludf.DUMMYFUNCTION("""COMPUTED_VALUE"""),-0.846400746342527)</f>
        <v>-0.84640074634252704</v>
      </c>
      <c r="JT3" s="3">
        <f ca="1">IFERROR(__xludf.DUMMYFUNCTION("""COMPUTED_VALUE"""),-0.818407269184974)</f>
        <v>-0.81840726918497397</v>
      </c>
      <c r="JU3" s="3">
        <f ca="1">IFERROR(__xludf.DUMMYFUNCTION("""COMPUTED_VALUE"""),-0.770945675966183)</f>
        <v>-0.77094567596618302</v>
      </c>
      <c r="JV3" s="3">
        <f ca="1">IFERROR(__xludf.DUMMYFUNCTION("""COMPUTED_VALUE"""),-0.963379553648729)</f>
        <v>-0.96337955364872896</v>
      </c>
      <c r="JW3" s="3">
        <f ca="1">IFERROR(__xludf.DUMMYFUNCTION("""COMPUTED_VALUE"""),-0.856470081748867)</f>
        <v>-0.85647008174886696</v>
      </c>
      <c r="JX3" s="3">
        <f ca="1">IFERROR(__xludf.DUMMYFUNCTION("""COMPUTED_VALUE"""),-0.748187952411131)</f>
        <v>-0.74818795241113101</v>
      </c>
      <c r="JY3" s="3">
        <f ca="1">IFERROR(__xludf.DUMMYFUNCTION("""COMPUTED_VALUE"""),-0.836631577340675)</f>
        <v>-0.83663157734067495</v>
      </c>
      <c r="JZ3" s="3">
        <f ca="1">IFERROR(__xludf.DUMMYFUNCTION("""COMPUTED_VALUE"""),-0.82264756252113)</f>
        <v>-0.82264756252113003</v>
      </c>
      <c r="KA3" s="3">
        <f ca="1">IFERROR(__xludf.DUMMYFUNCTION("""COMPUTED_VALUE"""),-0.846619040744609)</f>
        <v>-0.84661904074460903</v>
      </c>
      <c r="KB3" s="3">
        <f ca="1">IFERROR(__xludf.DUMMYFUNCTION("""COMPUTED_VALUE"""),-0.660832793677623)</f>
        <v>-0.66083279367762304</v>
      </c>
      <c r="KC3" s="3">
        <f ca="1">IFERROR(__xludf.DUMMYFUNCTION("""COMPUTED_VALUE"""),-0.726633952658986)</f>
        <v>-0.726633952658986</v>
      </c>
      <c r="KD3" s="3">
        <f ca="1">IFERROR(__xludf.DUMMYFUNCTION("""COMPUTED_VALUE"""),-0.799029934456054)</f>
        <v>-0.79902993445605397</v>
      </c>
      <c r="KE3" s="3">
        <f ca="1">IFERROR(__xludf.DUMMYFUNCTION("""COMPUTED_VALUE"""),-0.812461843962878)</f>
        <v>-0.81246184396287802</v>
      </c>
      <c r="KF3" s="3">
        <f ca="1">IFERROR(__xludf.DUMMYFUNCTION("""COMPUTED_VALUE"""),-0.855155644614107)</f>
        <v>-0.85515564461410698</v>
      </c>
      <c r="KG3" s="3">
        <f ca="1">IFERROR(__xludf.DUMMYFUNCTION("""COMPUTED_VALUE"""),-0.829463773302961)</f>
        <v>-0.82946377330296095</v>
      </c>
      <c r="KH3" s="3">
        <f ca="1">IFERROR(__xludf.DUMMYFUNCTION("""COMPUTED_VALUE"""),-0.825795854649163)</f>
        <v>-0.82579585464916305</v>
      </c>
      <c r="KI3" s="3">
        <f ca="1">IFERROR(__xludf.DUMMYFUNCTION("""COMPUTED_VALUE"""),-0.689635669663459)</f>
        <v>-0.68963566966345902</v>
      </c>
      <c r="KJ3" s="3">
        <f ca="1">IFERROR(__xludf.DUMMYFUNCTION("""COMPUTED_VALUE"""),-0.707051985079824)</f>
        <v>-0.70705198507982403</v>
      </c>
      <c r="KK3" s="3">
        <f ca="1">IFERROR(__xludf.DUMMYFUNCTION("""COMPUTED_VALUE"""),-0.851015171300962)</f>
        <v>-0.85101517130096205</v>
      </c>
      <c r="KL3" s="3">
        <f ca="1">IFERROR(__xludf.DUMMYFUNCTION("""COMPUTED_VALUE"""),-0.850932820181182)</f>
        <v>-0.85093282018118199</v>
      </c>
      <c r="KM3" s="3">
        <f ca="1">IFERROR(__xludf.DUMMYFUNCTION("""COMPUTED_VALUE"""),-0.890757107582871)</f>
        <v>-0.89075710758287097</v>
      </c>
      <c r="KN3" s="3">
        <f ca="1">IFERROR(__xludf.DUMMYFUNCTION("""COMPUTED_VALUE"""),-0.879065691806758)</f>
        <v>-0.87906569180675798</v>
      </c>
      <c r="KO3" s="3">
        <f ca="1">IFERROR(__xludf.DUMMYFUNCTION("""COMPUTED_VALUE"""),-0.895400548235059)</f>
        <v>-0.89540054823505899</v>
      </c>
      <c r="KP3" s="3">
        <f ca="1">IFERROR(__xludf.DUMMYFUNCTION("""COMPUTED_VALUE"""),-0.743255540385669)</f>
        <v>-0.74325554038566899</v>
      </c>
      <c r="KQ3" s="3">
        <f ca="1">IFERROR(__xludf.DUMMYFUNCTION("""COMPUTED_VALUE"""),-0.780174773754863)</f>
        <v>-0.78017477375486299</v>
      </c>
      <c r="KR3" s="3">
        <f ca="1">IFERROR(__xludf.DUMMYFUNCTION("""COMPUTED_VALUE"""),-0.88274022364342)</f>
        <v>-0.88274022364341997</v>
      </c>
      <c r="KS3" s="3">
        <f ca="1">IFERROR(__xludf.DUMMYFUNCTION("""COMPUTED_VALUE"""),-0.902219791372679)</f>
        <v>-0.90221979137267905</v>
      </c>
      <c r="KT3" s="3">
        <f ca="1">IFERROR(__xludf.DUMMYFUNCTION("""COMPUTED_VALUE"""),-0.887728931060016)</f>
        <v>-0.88772893106001605</v>
      </c>
      <c r="KU3" s="3">
        <f ca="1">IFERROR(__xludf.DUMMYFUNCTION("""COMPUTED_VALUE"""),-0.878711723326381)</f>
        <v>-0.87871172332638103</v>
      </c>
      <c r="KV3" s="3">
        <f ca="1">IFERROR(__xludf.DUMMYFUNCTION("""COMPUTED_VALUE"""),-0.853862699268311)</f>
        <v>-0.85386269926831104</v>
      </c>
      <c r="KW3" s="3">
        <f ca="1">IFERROR(__xludf.DUMMYFUNCTION("""COMPUTED_VALUE"""),-0.764585999163779)</f>
        <v>-0.76458599916377901</v>
      </c>
      <c r="KX3" s="3">
        <f ca="1">IFERROR(__xludf.DUMMYFUNCTION("""COMPUTED_VALUE"""),-0.840470364658433)</f>
        <v>-0.84047036465843294</v>
      </c>
      <c r="KY3" s="3">
        <f ca="1">IFERROR(__xludf.DUMMYFUNCTION("""COMPUTED_VALUE"""),-0.916994520459539)</f>
        <v>-0.916994520459539</v>
      </c>
      <c r="KZ3" s="3">
        <f ca="1">IFERROR(__xludf.DUMMYFUNCTION("""COMPUTED_VALUE"""),-0.911757831540598)</f>
        <v>-0.91175783154059797</v>
      </c>
      <c r="LA3" s="3">
        <f ca="1">IFERROR(__xludf.DUMMYFUNCTION("""COMPUTED_VALUE"""),-0.931185939454352)</f>
        <v>-0.93118593945435202</v>
      </c>
      <c r="LB3" s="3">
        <f ca="1">IFERROR(__xludf.DUMMYFUNCTION("""COMPUTED_VALUE"""),-0.916906650374763)</f>
        <v>-0.91690665037476304</v>
      </c>
      <c r="LC3" s="3">
        <f ca="1">IFERROR(__xludf.DUMMYFUNCTION("""COMPUTED_VALUE"""),-0.869966378363491)</f>
        <v>-0.869966378363491</v>
      </c>
      <c r="LD3" s="3">
        <f ca="1">IFERROR(__xludf.DUMMYFUNCTION("""COMPUTED_VALUE"""),-0.748512293991278)</f>
        <v>-0.74851229399127805</v>
      </c>
      <c r="LE3" s="3">
        <f ca="1">IFERROR(__xludf.DUMMYFUNCTION("""COMPUTED_VALUE"""),-0.864949751365442)</f>
        <v>-0.86494975136544205</v>
      </c>
      <c r="LF3" s="3">
        <f ca="1">IFERROR(__xludf.DUMMYFUNCTION("""COMPUTED_VALUE"""),-0.897304420259235)</f>
        <v>-0.89730442025923496</v>
      </c>
      <c r="LG3" s="3">
        <f ca="1">IFERROR(__xludf.DUMMYFUNCTION("""COMPUTED_VALUE"""),-0.923390411960552)</f>
        <v>-0.92339041196055205</v>
      </c>
      <c r="LH3" s="3">
        <f ca="1">IFERROR(__xludf.DUMMYFUNCTION("""COMPUTED_VALUE"""),-0.94127747980908)</f>
        <v>-0.94127747980908005</v>
      </c>
      <c r="LI3" s="3">
        <f ca="1">IFERROR(__xludf.DUMMYFUNCTION("""COMPUTED_VALUE"""),-0.933883899341503)</f>
        <v>-0.93388389934150295</v>
      </c>
      <c r="LJ3" s="3">
        <f ca="1">IFERROR(__xludf.DUMMYFUNCTION("""COMPUTED_VALUE"""),-0.971455776009991)</f>
        <v>-0.971455776009991</v>
      </c>
      <c r="LK3" s="3">
        <f ca="1">IFERROR(__xludf.DUMMYFUNCTION("""COMPUTED_VALUE"""),-0.835709576625896)</f>
        <v>-0.83570957662589596</v>
      </c>
      <c r="LL3" s="3">
        <f ca="1">IFERROR(__xludf.DUMMYFUNCTION("""COMPUTED_VALUE"""),-0.860517464679614)</f>
        <v>-0.86051746467961399</v>
      </c>
      <c r="LM3" s="3">
        <f ca="1">IFERROR(__xludf.DUMMYFUNCTION("""COMPUTED_VALUE"""),-0.909620048186922)</f>
        <v>-0.90962004818692199</v>
      </c>
      <c r="LN3" s="3">
        <f ca="1">IFERROR(__xludf.DUMMYFUNCTION("""COMPUTED_VALUE"""),-0.935602576696494)</f>
        <v>-0.93560257669649405</v>
      </c>
      <c r="LO3" s="3">
        <f ca="1">IFERROR(__xludf.DUMMYFUNCTION("""COMPUTED_VALUE"""),-0.946069130656698)</f>
        <v>-0.94606913065669795</v>
      </c>
      <c r="LP3" s="3">
        <f ca="1">IFERROR(__xludf.DUMMYFUNCTION("""COMPUTED_VALUE"""),-0.933724653595845)</f>
        <v>-0.933724653595845</v>
      </c>
      <c r="LQ3" s="3">
        <f ca="1">IFERROR(__xludf.DUMMYFUNCTION("""COMPUTED_VALUE"""),-0.91763681474843)</f>
        <v>-0.91763681474842995</v>
      </c>
      <c r="LR3" s="3">
        <f ca="1">IFERROR(__xludf.DUMMYFUNCTION("""COMPUTED_VALUE"""),-0.855340082399281)</f>
        <v>-0.85534008239928105</v>
      </c>
      <c r="LS3" s="3">
        <f ca="1">IFERROR(__xludf.DUMMYFUNCTION("""COMPUTED_VALUE"""),-0.883654781571335)</f>
        <v>-0.88365478157133504</v>
      </c>
      <c r="LT3" s="3">
        <f ca="1">IFERROR(__xludf.DUMMYFUNCTION("""COMPUTED_VALUE"""),-0.938079018583452)</f>
        <v>-0.938079018583452</v>
      </c>
      <c r="LU3" s="3">
        <f ca="1">IFERROR(__xludf.DUMMYFUNCTION("""COMPUTED_VALUE"""),-0.961166868531162)</f>
        <v>-0.96116686853116196</v>
      </c>
      <c r="LV3" s="3">
        <f ca="1">IFERROR(__xludf.DUMMYFUNCTION("""COMPUTED_VALUE"""),-0.928595028208244)</f>
        <v>-0.92859502820824402</v>
      </c>
      <c r="LW3" s="3">
        <f ca="1">IFERROR(__xludf.DUMMYFUNCTION("""COMPUTED_VALUE"""),-0.926092788553232)</f>
        <v>-0.92609278855323196</v>
      </c>
      <c r="LX3" s="3">
        <f ca="1">IFERROR(__xludf.DUMMYFUNCTION("""COMPUTED_VALUE"""),-0.95425240339283)</f>
        <v>-0.95425240339283002</v>
      </c>
      <c r="LY3" s="3">
        <f ca="1">IFERROR(__xludf.DUMMYFUNCTION("""COMPUTED_VALUE"""),-0.870985778557894)</f>
        <v>-0.87098577855789405</v>
      </c>
      <c r="LZ3" s="3">
        <f ca="1">IFERROR(__xludf.DUMMYFUNCTION("""COMPUTED_VALUE"""),-0.890275930588874)</f>
        <v>-0.890275930588874</v>
      </c>
      <c r="MA3" s="3">
        <f ca="1">IFERROR(__xludf.DUMMYFUNCTION("""COMPUTED_VALUE"""),-0.951089189084189)</f>
        <v>-0.95108918908418905</v>
      </c>
      <c r="MB3" s="3">
        <f ca="1">IFERROR(__xludf.DUMMYFUNCTION("""COMPUTED_VALUE"""),-0.937763835403296)</f>
        <v>-0.937763835403296</v>
      </c>
      <c r="MC3" s="3">
        <f ca="1">IFERROR(__xludf.DUMMYFUNCTION("""COMPUTED_VALUE"""),-0.924079820343045)</f>
        <v>-0.92407982034304503</v>
      </c>
      <c r="MD3" s="3">
        <f ca="1">IFERROR(__xludf.DUMMYFUNCTION("""COMPUTED_VALUE"""),-0.951891986403116)</f>
        <v>-0.95189198640311601</v>
      </c>
      <c r="ME3" s="3">
        <f ca="1">IFERROR(__xludf.DUMMYFUNCTION("""COMPUTED_VALUE"""),-0.94170903227461)</f>
        <v>-0.94170903227461</v>
      </c>
      <c r="MF3" s="3">
        <f ca="1">IFERROR(__xludf.DUMMYFUNCTION("""COMPUTED_VALUE"""),-0.850679111590355)</f>
        <v>-0.85067911159035503</v>
      </c>
      <c r="MG3" s="3">
        <f ca="1">IFERROR(__xludf.DUMMYFUNCTION("""COMPUTED_VALUE"""),-0.910650049247838)</f>
        <v>-0.91065004924783799</v>
      </c>
      <c r="MH3" s="3">
        <f ca="1">IFERROR(__xludf.DUMMYFUNCTION("""COMPUTED_VALUE"""),-0.925816548090139)</f>
        <v>-0.92581654809013902</v>
      </c>
      <c r="MI3" s="3">
        <f ca="1">IFERROR(__xludf.DUMMYFUNCTION("""COMPUTED_VALUE"""),-0.940894405557303)</f>
        <v>-0.94089440555730297</v>
      </c>
      <c r="MJ3" s="3">
        <f ca="1">IFERROR(__xludf.DUMMYFUNCTION("""COMPUTED_VALUE"""),-0.943913339509007)</f>
        <v>-0.94391333950900702</v>
      </c>
      <c r="MK3" s="3">
        <f ca="1">IFERROR(__xludf.DUMMYFUNCTION("""COMPUTED_VALUE"""),-0.965063069212554)</f>
        <v>-0.96506306921255403</v>
      </c>
      <c r="ML3" s="3">
        <f ca="1">IFERROR(__xludf.DUMMYFUNCTION("""COMPUTED_VALUE"""),-0.964610762052097)</f>
        <v>-0.96461076205209695</v>
      </c>
      <c r="MM3" s="3">
        <f ca="1">IFERROR(__xludf.DUMMYFUNCTION("""COMPUTED_VALUE"""),-0.839558022193917)</f>
        <v>-0.83955802219391695</v>
      </c>
      <c r="MN3" s="3">
        <f ca="1">IFERROR(__xludf.DUMMYFUNCTION("""COMPUTED_VALUE"""),-0.931545630186333)</f>
        <v>-0.93154563018633296</v>
      </c>
      <c r="MO3" s="3">
        <f ca="1">IFERROR(__xludf.DUMMYFUNCTION("""COMPUTED_VALUE"""),-0.951500101130554)</f>
        <v>-0.95150010113055405</v>
      </c>
      <c r="MP3" s="3">
        <f ca="1">IFERROR(__xludf.DUMMYFUNCTION("""COMPUTED_VALUE"""),-0.971187978647626)</f>
        <v>-0.97118797864762596</v>
      </c>
      <c r="MQ3" s="3">
        <f ca="1">IFERROR(__xludf.DUMMYFUNCTION("""COMPUTED_VALUE"""),-0.972250257141874)</f>
        <v>-0.97225025714187396</v>
      </c>
      <c r="MR3" s="3">
        <f ca="1">IFERROR(__xludf.DUMMYFUNCTION("""COMPUTED_VALUE"""),-0.959608457930509)</f>
        <v>-0.95960845793050897</v>
      </c>
      <c r="MS3" s="3">
        <f ca="1">IFERROR(__xludf.DUMMYFUNCTION("""COMPUTED_VALUE"""),-0.9676978478119)</f>
        <v>-0.96769784781190005</v>
      </c>
      <c r="MT3" s="3">
        <f ca="1">IFERROR(__xludf.DUMMYFUNCTION("""COMPUTED_VALUE"""),-0.886527118764447)</f>
        <v>-0.88652711876444701</v>
      </c>
      <c r="MU3" s="3">
        <f ca="1">IFERROR(__xludf.DUMMYFUNCTION("""COMPUTED_VALUE"""),-0.927183004820605)</f>
        <v>-0.92718300482060501</v>
      </c>
      <c r="MV3" s="3">
        <f ca="1">IFERROR(__xludf.DUMMYFUNCTION("""COMPUTED_VALUE"""),-0.960449728225925)</f>
        <v>-0.960449728225925</v>
      </c>
      <c r="MW3" s="3">
        <f ca="1">IFERROR(__xludf.DUMMYFUNCTION("""COMPUTED_VALUE"""),-0.96835210722526)</f>
        <v>-0.96835210722525999</v>
      </c>
      <c r="MX3" s="3">
        <f ca="1">IFERROR(__xludf.DUMMYFUNCTION("""COMPUTED_VALUE"""),-0.980270557679714)</f>
        <v>-0.98027055767971405</v>
      </c>
      <c r="MY3" s="3">
        <f ca="1">IFERROR(__xludf.DUMMYFUNCTION("""COMPUTED_VALUE"""),-0.955095656277274)</f>
        <v>-0.955095656277274</v>
      </c>
      <c r="MZ3" s="3">
        <f ca="1">IFERROR(__xludf.DUMMYFUNCTION("""COMPUTED_VALUE"""),-0.970535423153192)</f>
        <v>-0.97053542315319197</v>
      </c>
      <c r="NA3" s="3">
        <f ca="1">IFERROR(__xludf.DUMMYFUNCTION("""COMPUTED_VALUE"""),-0.939136083138654)</f>
        <v>-0.93913608313865404</v>
      </c>
      <c r="NB3" s="3">
        <f ca="1">IFERROR(__xludf.DUMMYFUNCTION("""COMPUTED_VALUE"""),-0.936551015751026)</f>
        <v>-0.93655101575102595</v>
      </c>
      <c r="NC3" s="3">
        <f ca="1">IFERROR(__xludf.DUMMYFUNCTION("""COMPUTED_VALUE"""),-0.940781556935161)</f>
        <v>-0.94078155693516097</v>
      </c>
      <c r="ND3" s="3">
        <f ca="1">IFERROR(__xludf.DUMMYFUNCTION("""COMPUTED_VALUE"""),-0.963283764043071)</f>
        <v>-0.96328376404307103</v>
      </c>
      <c r="NE3" s="3">
        <f ca="1">IFERROR(__xludf.DUMMYFUNCTION("""COMPUTED_VALUE"""),-0.956525795164269)</f>
        <v>-0.95652579516426905</v>
      </c>
      <c r="NF3" s="3">
        <f ca="1">IFERROR(__xludf.DUMMYFUNCTION("""COMPUTED_VALUE"""),-0.959616219077403)</f>
        <v>-0.95961621907740302</v>
      </c>
      <c r="NG3" s="3">
        <f ca="1">IFERROR(__xludf.DUMMYFUNCTION("""COMPUTED_VALUE"""),-0.952973721226852)</f>
        <v>-0.95297372122685198</v>
      </c>
      <c r="NH3" s="3">
        <f ca="1">IFERROR(__xludf.DUMMYFUNCTION("""COMPUTED_VALUE"""),-0.861658924934222)</f>
        <v>-0.86165892493422203</v>
      </c>
      <c r="NI3" s="3">
        <f ca="1">IFERROR(__xludf.DUMMYFUNCTION("""COMPUTED_VALUE"""),-0.922716716511803)</f>
        <v>-0.92271671651180298</v>
      </c>
      <c r="NJ3" s="3">
        <f ca="1">IFERROR(__xludf.DUMMYFUNCTION("""COMPUTED_VALUE"""),-0.944482976018393)</f>
        <v>-0.94448297601839304</v>
      </c>
      <c r="NK3" s="3">
        <f ca="1">IFERROR(__xludf.DUMMYFUNCTION("""COMPUTED_VALUE"""),-0.931989050920346)</f>
        <v>-0.93198905092034601</v>
      </c>
      <c r="NL3" s="3">
        <f ca="1">IFERROR(__xludf.DUMMYFUNCTION("""COMPUTED_VALUE"""),-0.9438367515001)</f>
        <v>-0.94383675150010005</v>
      </c>
      <c r="NM3" s="3">
        <f ca="1">IFERROR(__xludf.DUMMYFUNCTION("""COMPUTED_VALUE"""),-0.94065687913303)</f>
        <v>-0.94065687913302998</v>
      </c>
      <c r="NN3" s="3">
        <f ca="1">IFERROR(__xludf.DUMMYFUNCTION("""COMPUTED_VALUE"""),-0.958998904330824)</f>
        <v>-0.95899890433082402</v>
      </c>
      <c r="NO3" s="3">
        <f ca="1">IFERROR(__xludf.DUMMYFUNCTION("""COMPUTED_VALUE"""),-0.901577956211144)</f>
        <v>-0.901577956211144</v>
      </c>
      <c r="NP3" s="3">
        <f ca="1">IFERROR(__xludf.DUMMYFUNCTION("""COMPUTED_VALUE"""),-0.91756550124103)</f>
        <v>-0.91756550124102998</v>
      </c>
      <c r="NQ3" s="3">
        <f ca="1">IFERROR(__xludf.DUMMYFUNCTION("""COMPUTED_VALUE"""),-0.929592129757425)</f>
        <v>-0.929592129757425</v>
      </c>
      <c r="NR3" s="3">
        <f ca="1">IFERROR(__xludf.DUMMYFUNCTION("""COMPUTED_VALUE"""),-0.903822689840686)</f>
        <v>-0.90382268984068603</v>
      </c>
      <c r="NS3" s="3">
        <f ca="1">IFERROR(__xludf.DUMMYFUNCTION("""COMPUTED_VALUE"""),-0.927700328883479)</f>
        <v>-0.92770032888347898</v>
      </c>
      <c r="NT3" s="3">
        <f ca="1">IFERROR(__xludf.DUMMYFUNCTION("""COMPUTED_VALUE"""),-0.921488248647863)</f>
        <v>-0.92148824864786305</v>
      </c>
      <c r="NU3" s="3">
        <f ca="1">IFERROR(__xludf.DUMMYFUNCTION("""COMPUTED_VALUE"""),-0.900744560749659)</f>
        <v>-0.90074456074965903</v>
      </c>
      <c r="NV3" s="3">
        <f ca="1">IFERROR(__xludf.DUMMYFUNCTION("""COMPUTED_VALUE"""),-0.825901456260107)</f>
        <v>-0.82590145626010703</v>
      </c>
      <c r="NW3" s="3">
        <f ca="1">IFERROR(__xludf.DUMMYFUNCTION("""COMPUTED_VALUE"""),-0.8087784274864)</f>
        <v>-0.80877842748640005</v>
      </c>
      <c r="NX3" s="3">
        <f ca="1">IFERROR(__xludf.DUMMYFUNCTION("""COMPUTED_VALUE"""),-0.865055584310703)</f>
        <v>-0.86505558431070295</v>
      </c>
      <c r="NY3" s="3">
        <f ca="1">IFERROR(__xludf.DUMMYFUNCTION("""COMPUTED_VALUE"""),-0.862591783668613)</f>
        <v>-0.862591783668613</v>
      </c>
      <c r="NZ3" s="3">
        <f ca="1">IFERROR(__xludf.DUMMYFUNCTION("""COMPUTED_VALUE"""),-0.840282748976719)</f>
        <v>-0.84028274897671895</v>
      </c>
      <c r="OA3" s="3">
        <f ca="1">IFERROR(__xludf.DUMMYFUNCTION("""COMPUTED_VALUE"""),-0.810063090347786)</f>
        <v>-0.81006309034778601</v>
      </c>
      <c r="OB3" s="3">
        <f ca="1">IFERROR(__xludf.DUMMYFUNCTION("""COMPUTED_VALUE"""),-0.794718538079897)</f>
        <v>-0.79471853807989701</v>
      </c>
      <c r="OC3" s="3">
        <f ca="1">IFERROR(__xludf.DUMMYFUNCTION("""COMPUTED_VALUE"""),-0.605317108875906)</f>
        <v>-0.60531710887590595</v>
      </c>
      <c r="OD3" s="3">
        <f ca="1">IFERROR(__xludf.DUMMYFUNCTION("""COMPUTED_VALUE"""),-0.597361858754265)</f>
        <v>-0.59736185875426495</v>
      </c>
      <c r="OE3" s="3">
        <f ca="1">IFERROR(__xludf.DUMMYFUNCTION("""COMPUTED_VALUE"""),-0.534673514317882)</f>
        <v>-0.53467351431788201</v>
      </c>
      <c r="OF3" s="3">
        <f ca="1">IFERROR(__xludf.DUMMYFUNCTION("""COMPUTED_VALUE"""),-0.478480658942753)</f>
        <v>-0.47848065894275299</v>
      </c>
      <c r="OG3" s="3">
        <f ca="1">IFERROR(__xludf.DUMMYFUNCTION("""COMPUTED_VALUE"""),-0.140272075906481)</f>
        <v>-0.140272075906481</v>
      </c>
      <c r="OH3" s="3">
        <f ca="1">IFERROR(__xludf.DUMMYFUNCTION("""COMPUTED_VALUE"""),0.0165739240657476)</f>
        <v>1.6573924065747599E-2</v>
      </c>
      <c r="OI3" s="3">
        <f ca="1">IFERROR(__xludf.DUMMYFUNCTION("""COMPUTED_VALUE"""),-0.111472599070576)</f>
        <v>-0.111472599070576</v>
      </c>
      <c r="OJ3" s="3">
        <f ca="1">IFERROR(__xludf.DUMMYFUNCTION("""COMPUTED_VALUE"""),-0.060475068722145)</f>
        <v>-6.0475068722145003E-2</v>
      </c>
      <c r="OK3" s="3">
        <f ca="1">IFERROR(__xludf.DUMMYFUNCTION("""COMPUTED_VALUE"""),-0.110778214625613)</f>
        <v>-0.11077821462561301</v>
      </c>
      <c r="OL3" s="3">
        <f ca="1">IFERROR(__xludf.DUMMYFUNCTION("""COMPUTED_VALUE"""),-0.329107598956971)</f>
        <v>-0.329107598956971</v>
      </c>
      <c r="OM3" s="3">
        <f ca="1">IFERROR(__xludf.DUMMYFUNCTION("""COMPUTED_VALUE"""),-0.366765330608471)</f>
        <v>-0.366765330608471</v>
      </c>
      <c r="ON3" s="3">
        <f ca="1">IFERROR(__xludf.DUMMYFUNCTION("""COMPUTED_VALUE"""),-0.290512599365224)</f>
        <v>-0.290512599365224</v>
      </c>
      <c r="OO3" s="3">
        <f ca="1">IFERROR(__xludf.DUMMYFUNCTION("""COMPUTED_VALUE"""),-0.272699027842976)</f>
        <v>-0.27269902784297601</v>
      </c>
      <c r="OP3" s="3">
        <f ca="1">IFERROR(__xludf.DUMMYFUNCTION("""COMPUTED_VALUE"""),-0.297583950551974)</f>
        <v>-0.29758395055197401</v>
      </c>
      <c r="OQ3" s="3">
        <f ca="1">IFERROR(__xludf.DUMMYFUNCTION("""COMPUTED_VALUE"""),0.0876068279725101)</f>
        <v>8.7606827972510098E-2</v>
      </c>
      <c r="OR3" s="3">
        <f ca="1">IFERROR(__xludf.DUMMYFUNCTION("""COMPUTED_VALUE"""),0.0583606027583816)</f>
        <v>5.8360602758381598E-2</v>
      </c>
      <c r="OS3" s="3">
        <f ca="1">IFERROR(__xludf.DUMMYFUNCTION("""COMPUTED_VALUE"""),0.074832898115164)</f>
        <v>7.4832898115163998E-2</v>
      </c>
      <c r="OT3" s="3">
        <f ca="1">IFERROR(__xludf.DUMMYFUNCTION("""COMPUTED_VALUE"""),0.100919847683915)</f>
        <v>0.100919847683915</v>
      </c>
      <c r="OU3" s="3">
        <f ca="1">IFERROR(__xludf.DUMMYFUNCTION("""COMPUTED_VALUE"""),0.201085708889127)</f>
        <v>0.201085708889127</v>
      </c>
      <c r="OV3" s="3">
        <f ca="1">IFERROR(__xludf.DUMMYFUNCTION("""COMPUTED_VALUE"""),0.107339954712337)</f>
        <v>0.107339954712337</v>
      </c>
      <c r="OW3" s="3">
        <f ca="1">IFERROR(__xludf.DUMMYFUNCTION("""COMPUTED_VALUE"""),-0.00684994973276809)</f>
        <v>-6.8499497327680903E-3</v>
      </c>
      <c r="OX3" s="3">
        <f ca="1">IFERROR(__xludf.DUMMYFUNCTION("""COMPUTED_VALUE"""),0.281523907684944)</f>
        <v>0.28152390768494401</v>
      </c>
      <c r="OY3" s="3">
        <f ca="1">IFERROR(__xludf.DUMMYFUNCTION("""COMPUTED_VALUE"""),0.135353215011957)</f>
        <v>0.13535321501195699</v>
      </c>
      <c r="OZ3" s="3">
        <f ca="1">IFERROR(__xludf.DUMMYFUNCTION("""COMPUTED_VALUE"""),0.08099569699232)</f>
        <v>8.0995696992319996E-2</v>
      </c>
      <c r="PA3" s="3">
        <f ca="1">IFERROR(__xludf.DUMMYFUNCTION("""COMPUTED_VALUE"""),-0.0241306132559839)</f>
        <v>-2.4130613255983899E-2</v>
      </c>
      <c r="PB3" s="3">
        <f ca="1">IFERROR(__xludf.DUMMYFUNCTION("""COMPUTED_VALUE"""),-0.047374905682165)</f>
        <v>-4.7374905682165E-2</v>
      </c>
      <c r="PC3" s="3">
        <f ca="1">IFERROR(__xludf.DUMMYFUNCTION("""COMPUTED_VALUE"""),-0.0286601245372464)</f>
        <v>-2.8660124537246399E-2</v>
      </c>
      <c r="PD3" s="3">
        <f ca="1">IFERROR(__xludf.DUMMYFUNCTION("""COMPUTED_VALUE"""),-0.0572932841202713)</f>
        <v>-5.72932841202713E-2</v>
      </c>
      <c r="PE3" s="3">
        <f ca="1">IFERROR(__xludf.DUMMYFUNCTION("""COMPUTED_VALUE"""),0.195173484173893)</f>
        <v>0.19517348417389299</v>
      </c>
      <c r="PF3" s="3">
        <f ca="1">IFERROR(__xludf.DUMMYFUNCTION("""COMPUTED_VALUE"""),0.133054596850275)</f>
        <v>0.13305459685027499</v>
      </c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</row>
    <row r="4" spans="1:594" ht="15.75" customHeight="1">
      <c r="A4" s="1" t="str">
        <f ca="1">IFERROR(__xludf.DUMMYFUNCTION("""COMPUTED_VALUE"""),"Atlanta")</f>
        <v>Atlanta</v>
      </c>
      <c r="B4" s="3">
        <f ca="1">IFERROR(__xludf.DUMMYFUNCTION("""COMPUTED_VALUE"""),-0.494099517088126)</f>
        <v>-0.49409951708812599</v>
      </c>
      <c r="C4" s="3">
        <f ca="1">IFERROR(__xludf.DUMMYFUNCTION("""COMPUTED_VALUE"""),-0.564772937353983)</f>
        <v>-0.56477293735398304</v>
      </c>
      <c r="D4" s="3">
        <f ca="1">IFERROR(__xludf.DUMMYFUNCTION("""COMPUTED_VALUE"""),-0.64085255860692)</f>
        <v>-0.64085255860692003</v>
      </c>
      <c r="E4" s="3">
        <f ca="1">IFERROR(__xludf.DUMMYFUNCTION("""COMPUTED_VALUE"""),-0.647310617132194)</f>
        <v>-0.64731061713219396</v>
      </c>
      <c r="F4" s="3">
        <f ca="1">IFERROR(__xludf.DUMMYFUNCTION("""COMPUTED_VALUE"""),-0.531225594055137)</f>
        <v>-0.53122559405513703</v>
      </c>
      <c r="G4" s="3">
        <f ca="1">IFERROR(__xludf.DUMMYFUNCTION("""COMPUTED_VALUE"""),-0.559284812991963)</f>
        <v>-0.55928481299196298</v>
      </c>
      <c r="H4" s="3">
        <f ca="1">IFERROR(__xludf.DUMMYFUNCTION("""COMPUTED_VALUE"""),-0.593901611859724)</f>
        <v>-0.59390161185972401</v>
      </c>
      <c r="I4" s="3">
        <f ca="1">IFERROR(__xludf.DUMMYFUNCTION("""COMPUTED_VALUE"""),-0.525604796265449)</f>
        <v>-0.52560479626544898</v>
      </c>
      <c r="J4" s="3">
        <f ca="1">IFERROR(__xludf.DUMMYFUNCTION("""COMPUTED_VALUE"""),-0.596897736339604)</f>
        <v>-0.59689773633960397</v>
      </c>
      <c r="K4" s="3">
        <f ca="1">IFERROR(__xludf.DUMMYFUNCTION("""COMPUTED_VALUE"""),-0.578284452443206)</f>
        <v>-0.57828445244320603</v>
      </c>
      <c r="L4" s="3">
        <f ca="1">IFERROR(__xludf.DUMMYFUNCTION("""COMPUTED_VALUE"""),-0.675805371904896)</f>
        <v>-0.67580537190489598</v>
      </c>
      <c r="M4" s="3">
        <f ca="1">IFERROR(__xludf.DUMMYFUNCTION("""COMPUTED_VALUE"""),-0.589700712796356)</f>
        <v>-0.58970071279635605</v>
      </c>
      <c r="N4" s="3">
        <f ca="1">IFERROR(__xludf.DUMMYFUNCTION("""COMPUTED_VALUE"""),-0.595141588905794)</f>
        <v>-0.59514158890579405</v>
      </c>
      <c r="O4" s="3">
        <f ca="1">IFERROR(__xludf.DUMMYFUNCTION("""COMPUTED_VALUE"""),-0.620249042334601)</f>
        <v>-0.62024904233460099</v>
      </c>
      <c r="P4" s="3">
        <f ca="1">IFERROR(__xludf.DUMMYFUNCTION("""COMPUTED_VALUE"""),-0.556655761765261)</f>
        <v>-0.55665576176526099</v>
      </c>
      <c r="Q4" s="3">
        <f ca="1">IFERROR(__xludf.DUMMYFUNCTION("""COMPUTED_VALUE"""),-0.579915251367896)</f>
        <v>-0.57991525136789601</v>
      </c>
      <c r="R4" s="3">
        <f ca="1">IFERROR(__xludf.DUMMYFUNCTION("""COMPUTED_VALUE"""),-0.646288009570051)</f>
        <v>-0.64628800957005095</v>
      </c>
      <c r="S4" s="3">
        <f ca="1">IFERROR(__xludf.DUMMYFUNCTION("""COMPUTED_VALUE"""),-0.626098992358573)</f>
        <v>-0.62609899235857303</v>
      </c>
      <c r="T4" s="3">
        <f ca="1">IFERROR(__xludf.DUMMYFUNCTION("""COMPUTED_VALUE"""),-0.609867526048926)</f>
        <v>-0.60986752604892602</v>
      </c>
      <c r="U4" s="3">
        <f ca="1">IFERROR(__xludf.DUMMYFUNCTION("""COMPUTED_VALUE"""),-0.557094580094744)</f>
        <v>-0.557094580094744</v>
      </c>
      <c r="V4" s="3">
        <f ca="1">IFERROR(__xludf.DUMMYFUNCTION("""COMPUTED_VALUE"""),-0.48919032364872)</f>
        <v>-0.48919032364872</v>
      </c>
      <c r="W4" s="3">
        <f ca="1">IFERROR(__xludf.DUMMYFUNCTION("""COMPUTED_VALUE"""),-0.562479606413119)</f>
        <v>-0.562479606413119</v>
      </c>
      <c r="X4" s="3">
        <f ca="1">IFERROR(__xludf.DUMMYFUNCTION("""COMPUTED_VALUE"""),-0.557995449613536)</f>
        <v>-0.55799544961353598</v>
      </c>
      <c r="Y4" s="3">
        <f ca="1">IFERROR(__xludf.DUMMYFUNCTION("""COMPUTED_VALUE"""),-0.607213668845866)</f>
        <v>-0.60721366884586603</v>
      </c>
      <c r="Z4" s="3">
        <f ca="1">IFERROR(__xludf.DUMMYFUNCTION("""COMPUTED_VALUE"""),-0.59940087119509)</f>
        <v>-0.59940087119509</v>
      </c>
      <c r="AA4" s="3">
        <f ca="1">IFERROR(__xludf.DUMMYFUNCTION("""COMPUTED_VALUE"""),-0.681762485080329)</f>
        <v>-0.68176248508032899</v>
      </c>
      <c r="AB4" s="3">
        <f ca="1">IFERROR(__xludf.DUMMYFUNCTION("""COMPUTED_VALUE"""),-0.610504632050451)</f>
        <v>-0.61050463205045102</v>
      </c>
      <c r="AC4" s="3">
        <f ca="1">IFERROR(__xludf.DUMMYFUNCTION("""COMPUTED_VALUE"""),-0.644645065162967)</f>
        <v>-0.64464506516296705</v>
      </c>
      <c r="AD4" s="3">
        <f ca="1">IFERROR(__xludf.DUMMYFUNCTION("""COMPUTED_VALUE"""),-0.554874371221124)</f>
        <v>-0.55487437122112404</v>
      </c>
      <c r="AE4" s="3">
        <f ca="1">IFERROR(__xludf.DUMMYFUNCTION("""COMPUTED_VALUE"""),-0.548217829780512)</f>
        <v>-0.54821782978051203</v>
      </c>
      <c r="AF4" s="3">
        <f ca="1">IFERROR(__xludf.DUMMYFUNCTION("""COMPUTED_VALUE"""),-0.547064319591978)</f>
        <v>-0.54706431959197799</v>
      </c>
      <c r="AG4" s="3">
        <f ca="1">IFERROR(__xludf.DUMMYFUNCTION("""COMPUTED_VALUE"""),-0.596088925296437)</f>
        <v>-0.59608892529643698</v>
      </c>
      <c r="AH4" s="3">
        <f ca="1">IFERROR(__xludf.DUMMYFUNCTION("""COMPUTED_VALUE"""),-0.575220945351284)</f>
        <v>-0.57522094535128399</v>
      </c>
      <c r="AI4" s="3">
        <f ca="1">IFERROR(__xludf.DUMMYFUNCTION("""COMPUTED_VALUE"""),-0.603711208086632)</f>
        <v>-0.60371120808663203</v>
      </c>
      <c r="AJ4" s="3">
        <f ca="1">IFERROR(__xludf.DUMMYFUNCTION("""COMPUTED_VALUE"""),-0.551585129665672)</f>
        <v>-0.55158512966567197</v>
      </c>
      <c r="AK4" s="3">
        <f ca="1">IFERROR(__xludf.DUMMYFUNCTION("""COMPUTED_VALUE"""),-0.550875873526809)</f>
        <v>-0.550875873526809</v>
      </c>
      <c r="AL4" s="3">
        <f ca="1">IFERROR(__xludf.DUMMYFUNCTION("""COMPUTED_VALUE"""),-0.5824944193856)</f>
        <v>-0.58249441938559998</v>
      </c>
      <c r="AM4" s="3">
        <f ca="1">IFERROR(__xludf.DUMMYFUNCTION("""COMPUTED_VALUE"""),-0.543933729923355)</f>
        <v>-0.54393372992335498</v>
      </c>
      <c r="AN4" s="3">
        <f ca="1">IFERROR(__xludf.DUMMYFUNCTION("""COMPUTED_VALUE"""),-0.572040271366623)</f>
        <v>-0.57204027136662305</v>
      </c>
      <c r="AO4" s="3">
        <f ca="1">IFERROR(__xludf.DUMMYFUNCTION("""COMPUTED_VALUE"""),-0.587144118782402)</f>
        <v>-0.58714411878240202</v>
      </c>
      <c r="AP4" s="3">
        <f ca="1">IFERROR(__xludf.DUMMYFUNCTION("""COMPUTED_VALUE"""),-0.647868812998213)</f>
        <v>-0.64786881299821297</v>
      </c>
      <c r="AQ4" s="3">
        <f ca="1">IFERROR(__xludf.DUMMYFUNCTION("""COMPUTED_VALUE"""),-0.610027567804105)</f>
        <v>-0.61002756780410505</v>
      </c>
      <c r="AR4" s="3">
        <f ca="1">IFERROR(__xludf.DUMMYFUNCTION("""COMPUTED_VALUE"""),-0.589513714089957)</f>
        <v>-0.58951371408995701</v>
      </c>
      <c r="AS4" s="3">
        <f ca="1">IFERROR(__xludf.DUMMYFUNCTION("""COMPUTED_VALUE"""),-0.740941629591867)</f>
        <v>-0.74094162959186705</v>
      </c>
      <c r="AT4" s="3">
        <f ca="1">IFERROR(__xludf.DUMMYFUNCTION("""COMPUTED_VALUE"""),-0.63729563117261)</f>
        <v>-0.63729563117261001</v>
      </c>
      <c r="AU4" s="3">
        <f ca="1">IFERROR(__xludf.DUMMYFUNCTION("""COMPUTED_VALUE"""),-0.606887546482604)</f>
        <v>-0.60688754648260401</v>
      </c>
      <c r="AV4" s="3">
        <f ca="1">IFERROR(__xludf.DUMMYFUNCTION("""COMPUTED_VALUE"""),-0.610542644922758)</f>
        <v>-0.610542644922758</v>
      </c>
      <c r="AW4" s="3">
        <f ca="1">IFERROR(__xludf.DUMMYFUNCTION("""COMPUTED_VALUE"""),-0.649378243206169)</f>
        <v>-0.64937824320616899</v>
      </c>
      <c r="AX4" s="3">
        <f ca="1">IFERROR(__xludf.DUMMYFUNCTION("""COMPUTED_VALUE"""),-0.613320338683306)</f>
        <v>-0.61332033868330604</v>
      </c>
      <c r="AY4" s="3">
        <f ca="1">IFERROR(__xludf.DUMMYFUNCTION("""COMPUTED_VALUE"""),-0.600466520479306)</f>
        <v>-0.60046652047930604</v>
      </c>
      <c r="AZ4" s="3">
        <f ca="1">IFERROR(__xludf.DUMMYFUNCTION("""COMPUTED_VALUE"""),-0.655215045591737)</f>
        <v>-0.65521504559173704</v>
      </c>
      <c r="BA4" s="3">
        <f ca="1">IFERROR(__xludf.DUMMYFUNCTION("""COMPUTED_VALUE"""),-0.662459667278691)</f>
        <v>-0.66245966727869099</v>
      </c>
      <c r="BB4" s="3">
        <f ca="1">IFERROR(__xludf.DUMMYFUNCTION("""COMPUTED_VALUE"""),-0.682699560595542)</f>
        <v>-0.68269956059554204</v>
      </c>
      <c r="BC4" s="3">
        <f ca="1">IFERROR(__xludf.DUMMYFUNCTION("""COMPUTED_VALUE"""),-0.707288996938214)</f>
        <v>-0.70728899693821401</v>
      </c>
      <c r="BD4" s="3">
        <f ca="1">IFERROR(__xludf.DUMMYFUNCTION("""COMPUTED_VALUE"""),-0.737264123739256)</f>
        <v>-0.73726412373925598</v>
      </c>
      <c r="BE4" s="3">
        <f ca="1">IFERROR(__xludf.DUMMYFUNCTION("""COMPUTED_VALUE"""),-0.56048074032884)</f>
        <v>-0.56048074032883999</v>
      </c>
      <c r="BF4" s="3">
        <f ca="1">IFERROR(__xludf.DUMMYFUNCTION("""COMPUTED_VALUE"""),-0.611002845040798)</f>
        <v>-0.61100284504079805</v>
      </c>
      <c r="BG4" s="3">
        <f ca="1">IFERROR(__xludf.DUMMYFUNCTION("""COMPUTED_VALUE"""),-0.634777030070608)</f>
        <v>-0.63477703007060804</v>
      </c>
      <c r="BH4" s="3">
        <f ca="1">IFERROR(__xludf.DUMMYFUNCTION("""COMPUTED_VALUE"""),-0.676513644717044)</f>
        <v>-0.676513644717044</v>
      </c>
      <c r="BI4" s="3">
        <f ca="1">IFERROR(__xludf.DUMMYFUNCTION("""COMPUTED_VALUE"""),-0.670223712816449)</f>
        <v>-0.67022371281644899</v>
      </c>
      <c r="BJ4" s="3">
        <f ca="1">IFERROR(__xludf.DUMMYFUNCTION("""COMPUTED_VALUE"""),-0.699912936938213)</f>
        <v>-0.69991293693821299</v>
      </c>
      <c r="BK4" s="3">
        <f ca="1">IFERROR(__xludf.DUMMYFUNCTION("""COMPUTED_VALUE"""),-0.626025544063064)</f>
        <v>-0.62602554406306399</v>
      </c>
      <c r="BL4" s="3">
        <f ca="1">IFERROR(__xludf.DUMMYFUNCTION("""COMPUTED_VALUE"""),-0.651389861565575)</f>
        <v>-0.65138986156557499</v>
      </c>
      <c r="BM4" s="3">
        <f ca="1">IFERROR(__xludf.DUMMYFUNCTION("""COMPUTED_VALUE"""),-0.607358224815843)</f>
        <v>-0.60735822481584301</v>
      </c>
      <c r="BN4" s="3">
        <f ca="1">IFERROR(__xludf.DUMMYFUNCTION("""COMPUTED_VALUE"""),-0.61785642949225)</f>
        <v>-0.61785642949224995</v>
      </c>
      <c r="BO4" s="3">
        <f ca="1">IFERROR(__xludf.DUMMYFUNCTION("""COMPUTED_VALUE"""),-0.633494310328214)</f>
        <v>-0.63349431032821402</v>
      </c>
      <c r="BP4" s="3">
        <f ca="1">IFERROR(__xludf.DUMMYFUNCTION("""COMPUTED_VALUE"""),-0.68883105784753)</f>
        <v>-0.68883105784752996</v>
      </c>
      <c r="BQ4" s="3">
        <f ca="1">IFERROR(__xludf.DUMMYFUNCTION("""COMPUTED_VALUE"""),-0.651901951762977)</f>
        <v>-0.65190195176297705</v>
      </c>
      <c r="BR4" s="3">
        <f ca="1">IFERROR(__xludf.DUMMYFUNCTION("""COMPUTED_VALUE"""),-0.643444510402823)</f>
        <v>-0.64344451040282302</v>
      </c>
      <c r="BS4" s="3">
        <f ca="1">IFERROR(__xludf.DUMMYFUNCTION("""COMPUTED_VALUE"""),-0.606309069258489)</f>
        <v>-0.60630906925848904</v>
      </c>
      <c r="BT4" s="3">
        <f ca="1">IFERROR(__xludf.DUMMYFUNCTION("""COMPUTED_VALUE"""),-0.616600654346458)</f>
        <v>-0.61660065434645805</v>
      </c>
      <c r="BU4" s="3">
        <f ca="1">IFERROR(__xludf.DUMMYFUNCTION("""COMPUTED_VALUE"""),-0.717257961509432)</f>
        <v>-0.717257961509432</v>
      </c>
      <c r="BV4" s="3">
        <f ca="1">IFERROR(__xludf.DUMMYFUNCTION("""COMPUTED_VALUE"""),-0.737615010750765)</f>
        <v>-0.73761501075076497</v>
      </c>
      <c r="BW4" s="3">
        <f ca="1">IFERROR(__xludf.DUMMYFUNCTION("""COMPUTED_VALUE"""),-0.683413949713827)</f>
        <v>-0.68341394971382696</v>
      </c>
      <c r="BX4" s="3">
        <f ca="1">IFERROR(__xludf.DUMMYFUNCTION("""COMPUTED_VALUE"""),-0.694833618802761)</f>
        <v>-0.69483361880276096</v>
      </c>
      <c r="BY4" s="3">
        <f ca="1">IFERROR(__xludf.DUMMYFUNCTION("""COMPUTED_VALUE"""),-0.627550643896209)</f>
        <v>-0.62755064389620896</v>
      </c>
      <c r="BZ4" s="3">
        <f ca="1">IFERROR(__xludf.DUMMYFUNCTION("""COMPUTED_VALUE"""),-0.672869845100993)</f>
        <v>-0.67286984510099301</v>
      </c>
      <c r="CA4" s="3">
        <f ca="1">IFERROR(__xludf.DUMMYFUNCTION("""COMPUTED_VALUE"""),-0.607401576874892)</f>
        <v>-0.60740157687489205</v>
      </c>
      <c r="CB4" s="3">
        <f ca="1">IFERROR(__xludf.DUMMYFUNCTION("""COMPUTED_VALUE"""),-0.622148731959836)</f>
        <v>-0.622148731959836</v>
      </c>
      <c r="CC4" s="3">
        <f ca="1">IFERROR(__xludf.DUMMYFUNCTION("""COMPUTED_VALUE"""),-0.705486807777311)</f>
        <v>-0.70548680777731099</v>
      </c>
      <c r="CD4" s="3">
        <f ca="1">IFERROR(__xludf.DUMMYFUNCTION("""COMPUTED_VALUE"""),-0.677220416257476)</f>
        <v>-0.67722041625747598</v>
      </c>
      <c r="CE4" s="3">
        <f ca="1">IFERROR(__xludf.DUMMYFUNCTION("""COMPUTED_VALUE"""),-0.649286513286564)</f>
        <v>-0.64928651328656395</v>
      </c>
      <c r="CF4" s="3">
        <f ca="1">IFERROR(__xludf.DUMMYFUNCTION("""COMPUTED_VALUE"""),-0.624499189142144)</f>
        <v>-0.62449918914214397</v>
      </c>
      <c r="CG4" s="3">
        <f ca="1">IFERROR(__xludf.DUMMYFUNCTION("""COMPUTED_VALUE"""),-0.618565641692697)</f>
        <v>-0.61856564169269701</v>
      </c>
      <c r="CH4" s="3">
        <f ca="1">IFERROR(__xludf.DUMMYFUNCTION("""COMPUTED_VALUE"""),-0.646906314439334)</f>
        <v>-0.646906314439334</v>
      </c>
      <c r="CI4" s="3">
        <f ca="1">IFERROR(__xludf.DUMMYFUNCTION("""COMPUTED_VALUE"""),-0.666331162408709)</f>
        <v>-0.66633116240870904</v>
      </c>
      <c r="CJ4" s="3">
        <f ca="1">IFERROR(__xludf.DUMMYFUNCTION("""COMPUTED_VALUE"""),-0.689215411352483)</f>
        <v>-0.68921541135248299</v>
      </c>
      <c r="CK4" s="3">
        <f ca="1">IFERROR(__xludf.DUMMYFUNCTION("""COMPUTED_VALUE"""),-0.666565217143876)</f>
        <v>-0.66656521714387595</v>
      </c>
      <c r="CL4" s="3">
        <f ca="1">IFERROR(__xludf.DUMMYFUNCTION("""COMPUTED_VALUE"""),-0.613071987121998)</f>
        <v>-0.61307198712199795</v>
      </c>
      <c r="CM4" s="3">
        <f ca="1">IFERROR(__xludf.DUMMYFUNCTION("""COMPUTED_VALUE"""),-0.617952050832181)</f>
        <v>-0.61795205083218097</v>
      </c>
      <c r="CN4" s="3">
        <f ca="1">IFERROR(__xludf.DUMMYFUNCTION("""COMPUTED_VALUE"""),-0.613789197392498)</f>
        <v>-0.61378919739249804</v>
      </c>
      <c r="CO4" s="3">
        <f ca="1">IFERROR(__xludf.DUMMYFUNCTION("""COMPUTED_VALUE"""),-0.627986074004866)</f>
        <v>-0.62798607400486595</v>
      </c>
      <c r="CP4" s="3">
        <f ca="1">IFERROR(__xludf.DUMMYFUNCTION("""COMPUTED_VALUE"""),-0.701503634879891)</f>
        <v>-0.70150363487989098</v>
      </c>
      <c r="CQ4" s="3">
        <f ca="1">IFERROR(__xludf.DUMMYFUNCTION("""COMPUTED_VALUE"""),-0.708355993709773)</f>
        <v>-0.70835599370977298</v>
      </c>
      <c r="CR4" s="3">
        <f ca="1">IFERROR(__xludf.DUMMYFUNCTION("""COMPUTED_VALUE"""),-0.676001214944109)</f>
        <v>-0.67600121494410903</v>
      </c>
      <c r="CS4" s="3">
        <f ca="1">IFERROR(__xludf.DUMMYFUNCTION("""COMPUTED_VALUE"""),-0.685496649396376)</f>
        <v>-0.685496649396376</v>
      </c>
      <c r="CT4" s="3">
        <f ca="1">IFERROR(__xludf.DUMMYFUNCTION("""COMPUTED_VALUE"""),-0.618905207094493)</f>
        <v>-0.61890520709449304</v>
      </c>
      <c r="CU4" s="3">
        <f ca="1">IFERROR(__xludf.DUMMYFUNCTION("""COMPUTED_VALUE"""),-0.512269891521586)</f>
        <v>-0.51226989152158597</v>
      </c>
      <c r="CV4" s="3">
        <f ca="1">IFERROR(__xludf.DUMMYFUNCTION("""COMPUTED_VALUE"""),-0.607639008362518)</f>
        <v>-0.60763900836251805</v>
      </c>
      <c r="CW4" s="3">
        <f ca="1">IFERROR(__xludf.DUMMYFUNCTION("""COMPUTED_VALUE"""),-0.794960598630646)</f>
        <v>-0.79496059863064605</v>
      </c>
      <c r="CX4" s="3">
        <f ca="1">IFERROR(__xludf.DUMMYFUNCTION("""COMPUTED_VALUE"""),-0.5255962413878)</f>
        <v>-0.52559624138780003</v>
      </c>
      <c r="CY4" s="3">
        <f ca="1">IFERROR(__xludf.DUMMYFUNCTION("""COMPUTED_VALUE"""),-0.412847702894672)</f>
        <v>-0.41284770289467199</v>
      </c>
      <c r="CZ4" s="3">
        <f ca="1">IFERROR(__xludf.DUMMYFUNCTION("""COMPUTED_VALUE"""),-0.645819698009824)</f>
        <v>-0.64581969800982397</v>
      </c>
      <c r="DA4" s="3">
        <f ca="1">IFERROR(__xludf.DUMMYFUNCTION("""COMPUTED_VALUE"""),-0.613168020720227)</f>
        <v>-0.61316802072022702</v>
      </c>
      <c r="DB4" s="3">
        <f ca="1">IFERROR(__xludf.DUMMYFUNCTION("""COMPUTED_VALUE"""),-0.629410836806977)</f>
        <v>-0.62941083680697696</v>
      </c>
      <c r="DC4" s="3">
        <f ca="1">IFERROR(__xludf.DUMMYFUNCTION("""COMPUTED_VALUE"""),-0.686020080624347)</f>
        <v>-0.68602008062434705</v>
      </c>
      <c r="DD4" s="3">
        <f ca="1">IFERROR(__xludf.DUMMYFUNCTION("""COMPUTED_VALUE"""),-0.873941502038475)</f>
        <v>-0.87394150203847498</v>
      </c>
      <c r="DE4" s="3">
        <f ca="1">IFERROR(__xludf.DUMMYFUNCTION("""COMPUTED_VALUE"""),-0.585369730039048)</f>
        <v>-0.58536973003904802</v>
      </c>
      <c r="DF4" s="3">
        <f ca="1">IFERROR(__xludf.DUMMYFUNCTION("""COMPUTED_VALUE"""),-0.482037349161171)</f>
        <v>-0.48203734916117102</v>
      </c>
      <c r="DG4" s="3">
        <f ca="1">IFERROR(__xludf.DUMMYFUNCTION("""COMPUTED_VALUE"""),-0.630482975178493)</f>
        <v>-0.63048297517849305</v>
      </c>
      <c r="DH4" s="3">
        <f ca="1">IFERROR(__xludf.DUMMYFUNCTION("""COMPUTED_VALUE"""),-0.603544265265632)</f>
        <v>-0.60354426526563199</v>
      </c>
      <c r="DI4" s="3">
        <f ca="1">IFERROR(__xludf.DUMMYFUNCTION("""COMPUTED_VALUE"""),-0.619475547632472)</f>
        <v>-0.61947554763247203</v>
      </c>
      <c r="DJ4" s="3">
        <f ca="1">IFERROR(__xludf.DUMMYFUNCTION("""COMPUTED_VALUE"""),-0.670921524105961)</f>
        <v>-0.67092152410596095</v>
      </c>
      <c r="DK4" s="3">
        <f ca="1">IFERROR(__xludf.DUMMYFUNCTION("""COMPUTED_VALUE"""),-0.654249942482635)</f>
        <v>-0.65424994248263502</v>
      </c>
      <c r="DL4" s="3">
        <f ca="1">IFERROR(__xludf.DUMMYFUNCTION("""COMPUTED_VALUE"""),-0.593264945680937)</f>
        <v>-0.59326494568093702</v>
      </c>
      <c r="DM4" s="3">
        <f ca="1">IFERROR(__xludf.DUMMYFUNCTION("""COMPUTED_VALUE"""),-0.594343956032533)</f>
        <v>-0.59434395603253298</v>
      </c>
      <c r="DN4" s="3">
        <f ca="1">IFERROR(__xludf.DUMMYFUNCTION("""COMPUTED_VALUE"""),-0.614825804135096)</f>
        <v>-0.61482580413509602</v>
      </c>
      <c r="DO4" s="3">
        <f ca="1">IFERROR(__xludf.DUMMYFUNCTION("""COMPUTED_VALUE"""),-0.547983540050019)</f>
        <v>-0.54798354005001904</v>
      </c>
      <c r="DP4" s="3">
        <f ca="1">IFERROR(__xludf.DUMMYFUNCTION("""COMPUTED_VALUE"""),-0.595316016349349)</f>
        <v>-0.59531601634934905</v>
      </c>
      <c r="DQ4" s="3">
        <f ca="1">IFERROR(__xludf.DUMMYFUNCTION("""COMPUTED_VALUE"""),-0.571859973061223)</f>
        <v>-0.57185997306122305</v>
      </c>
      <c r="DR4" s="3">
        <f ca="1">IFERROR(__xludf.DUMMYFUNCTION("""COMPUTED_VALUE"""),-0.607332087713828)</f>
        <v>-0.60733208771382796</v>
      </c>
      <c r="DS4" s="3">
        <f ca="1">IFERROR(__xludf.DUMMYFUNCTION("""COMPUTED_VALUE"""),-0.585607470416235)</f>
        <v>-0.58560747041623495</v>
      </c>
      <c r="DT4" s="3">
        <f ca="1">IFERROR(__xludf.DUMMYFUNCTION("""COMPUTED_VALUE"""),-0.615870727346254)</f>
        <v>-0.61587072734625403</v>
      </c>
      <c r="DU4" s="3">
        <f ca="1">IFERROR(__xludf.DUMMYFUNCTION("""COMPUTED_VALUE"""),-0.635102833422998)</f>
        <v>-0.635102833422998</v>
      </c>
      <c r="DV4" s="3">
        <f ca="1">IFERROR(__xludf.DUMMYFUNCTION("""COMPUTED_VALUE"""),-0.66436512426218)</f>
        <v>-0.66436512426217997</v>
      </c>
      <c r="DW4" s="3">
        <f ca="1">IFERROR(__xludf.DUMMYFUNCTION("""COMPUTED_VALUE"""),-0.654349378465458)</f>
        <v>-0.65434937846545804</v>
      </c>
      <c r="DX4" s="3">
        <f ca="1">IFERROR(__xludf.DUMMYFUNCTION("""COMPUTED_VALUE"""),-0.551867418157947)</f>
        <v>-0.55186741815794704</v>
      </c>
      <c r="DY4" s="3">
        <f ca="1">IFERROR(__xludf.DUMMYFUNCTION("""COMPUTED_VALUE"""),-0.618267696288462)</f>
        <v>-0.61826769628846201</v>
      </c>
      <c r="DZ4" s="3">
        <f ca="1">IFERROR(__xludf.DUMMYFUNCTION("""COMPUTED_VALUE"""),-0.539126596592407)</f>
        <v>-0.53912659659240703</v>
      </c>
      <c r="EA4" s="3">
        <f ca="1">IFERROR(__xludf.DUMMYFUNCTION("""COMPUTED_VALUE"""),-0.645901272566103)</f>
        <v>-0.64590127256610297</v>
      </c>
      <c r="EB4" s="3">
        <f ca="1">IFERROR(__xludf.DUMMYFUNCTION("""COMPUTED_VALUE"""),-0.604466642525967)</f>
        <v>-0.60446664252596705</v>
      </c>
      <c r="EC4" s="3">
        <f ca="1">IFERROR(__xludf.DUMMYFUNCTION("""COMPUTED_VALUE"""),-0.592112414059375)</f>
        <v>-0.59211241405937498</v>
      </c>
      <c r="ED4" s="3">
        <f ca="1">IFERROR(__xludf.DUMMYFUNCTION("""COMPUTED_VALUE"""),-0.644638963326259)</f>
        <v>-0.64463896332625903</v>
      </c>
      <c r="EE4" s="3">
        <f ca="1">IFERROR(__xludf.DUMMYFUNCTION("""COMPUTED_VALUE"""),-0.509989437624055)</f>
        <v>-0.50998943762405502</v>
      </c>
      <c r="EF4" s="3">
        <f ca="1">IFERROR(__xludf.DUMMYFUNCTION("""COMPUTED_VALUE"""),-0.602526682147685)</f>
        <v>-0.60252668214768501</v>
      </c>
      <c r="EG4" s="3">
        <f ca="1">IFERROR(__xludf.DUMMYFUNCTION("""COMPUTED_VALUE"""),-0.768080777906962)</f>
        <v>-0.76808077790696205</v>
      </c>
      <c r="EH4" s="3">
        <f ca="1">IFERROR(__xludf.DUMMYFUNCTION("""COMPUTED_VALUE"""),-0.612318591448651)</f>
        <v>-0.61231859144865097</v>
      </c>
      <c r="EI4" s="3">
        <f ca="1">IFERROR(__xludf.DUMMYFUNCTION("""COMPUTED_VALUE"""),-0.621318554000124)</f>
        <v>-0.62131855400012403</v>
      </c>
      <c r="EJ4" s="3">
        <f ca="1">IFERROR(__xludf.DUMMYFUNCTION("""COMPUTED_VALUE"""),-0.561645907838018)</f>
        <v>-0.56164590783801804</v>
      </c>
      <c r="EK4" s="3">
        <f ca="1">IFERROR(__xludf.DUMMYFUNCTION("""COMPUTED_VALUE"""),-0.603799035089208)</f>
        <v>-0.60379903508920796</v>
      </c>
      <c r="EL4" s="3">
        <f ca="1">IFERROR(__xludf.DUMMYFUNCTION("""COMPUTED_VALUE"""),-0.582756721989524)</f>
        <v>-0.582756721989524</v>
      </c>
      <c r="EM4" s="3">
        <f ca="1">IFERROR(__xludf.DUMMYFUNCTION("""COMPUTED_VALUE"""),-0.55291793084346)</f>
        <v>-0.55291793084345997</v>
      </c>
      <c r="EN4" s="3">
        <f ca="1">IFERROR(__xludf.DUMMYFUNCTION("""COMPUTED_VALUE"""),-0.55556607921852)</f>
        <v>-0.55556607921851997</v>
      </c>
      <c r="EO4" s="3">
        <f ca="1">IFERROR(__xludf.DUMMYFUNCTION("""COMPUTED_VALUE"""),-0.559326198514536)</f>
        <v>-0.55932619851453602</v>
      </c>
      <c r="EP4" s="3">
        <f ca="1">IFERROR(__xludf.DUMMYFUNCTION("""COMPUTED_VALUE"""),-0.541442388171496)</f>
        <v>-0.54144238817149604</v>
      </c>
      <c r="EQ4" s="3">
        <f ca="1">IFERROR(__xludf.DUMMYFUNCTION("""COMPUTED_VALUE"""),-0.610297216349333)</f>
        <v>-0.61029721634933298</v>
      </c>
      <c r="ER4" s="3">
        <f ca="1">IFERROR(__xludf.DUMMYFUNCTION("""COMPUTED_VALUE"""),-0.625338814004814)</f>
        <v>-0.62533881400481395</v>
      </c>
      <c r="ES4" s="3">
        <f ca="1">IFERROR(__xludf.DUMMYFUNCTION("""COMPUTED_VALUE"""),-0.62680433991117)</f>
        <v>-0.62680433991117002</v>
      </c>
      <c r="ET4" s="3">
        <f ca="1">IFERROR(__xludf.DUMMYFUNCTION("""COMPUTED_VALUE"""),-0.632140902023133)</f>
        <v>-0.632140902023133</v>
      </c>
      <c r="EU4" s="3">
        <f ca="1">IFERROR(__xludf.DUMMYFUNCTION("""COMPUTED_VALUE"""),-0.666291621856287)</f>
        <v>-0.66629162185628699</v>
      </c>
      <c r="EV4" s="3">
        <f ca="1">IFERROR(__xludf.DUMMYFUNCTION("""COMPUTED_VALUE"""),-0.576353226341853)</f>
        <v>-0.57635322634185304</v>
      </c>
      <c r="EW4" s="3">
        <f ca="1">IFERROR(__xludf.DUMMYFUNCTION("""COMPUTED_VALUE"""),-0.56390540700062)</f>
        <v>-0.56390540700061997</v>
      </c>
      <c r="EX4" s="3">
        <f ca="1">IFERROR(__xludf.DUMMYFUNCTION("""COMPUTED_VALUE"""),-0.616435991834731)</f>
        <v>-0.61643599183473097</v>
      </c>
      <c r="EY4" s="3">
        <f ca="1">IFERROR(__xludf.DUMMYFUNCTION("""COMPUTED_VALUE"""),-0.642626229439036)</f>
        <v>-0.64262622943903602</v>
      </c>
      <c r="EZ4" s="3">
        <f ca="1">IFERROR(__xludf.DUMMYFUNCTION("""COMPUTED_VALUE"""),-0.596104161502674)</f>
        <v>-0.59610416150267398</v>
      </c>
      <c r="FA4" s="3">
        <f ca="1">IFERROR(__xludf.DUMMYFUNCTION("""COMPUTED_VALUE"""),-0.658086393744566)</f>
        <v>-0.65808639374456601</v>
      </c>
      <c r="FB4" s="3">
        <f ca="1">IFERROR(__xludf.DUMMYFUNCTION("""COMPUTED_VALUE"""),-0.653203138304277)</f>
        <v>-0.65320313830427701</v>
      </c>
      <c r="FC4" s="3">
        <f ca="1">IFERROR(__xludf.DUMMYFUNCTION("""COMPUTED_VALUE"""),-0.606038135431763)</f>
        <v>-0.60603813543176299</v>
      </c>
      <c r="FD4" s="3">
        <f ca="1">IFERROR(__xludf.DUMMYFUNCTION("""COMPUTED_VALUE"""),-0.665838737754003)</f>
        <v>-0.66583873775400304</v>
      </c>
      <c r="FE4" s="3">
        <f ca="1">IFERROR(__xludf.DUMMYFUNCTION("""COMPUTED_VALUE"""),-0.620896881577264)</f>
        <v>-0.62089688157726397</v>
      </c>
      <c r="FF4" s="3">
        <f ca="1">IFERROR(__xludf.DUMMYFUNCTION("""COMPUTED_VALUE"""),-0.626031246745336)</f>
        <v>-0.62603124674533595</v>
      </c>
      <c r="FG4" s="3">
        <f ca="1">IFERROR(__xludf.DUMMYFUNCTION("""COMPUTED_VALUE"""),-0.570263193282278)</f>
        <v>-0.57026319328227804</v>
      </c>
      <c r="FH4" s="3">
        <f ca="1">IFERROR(__xludf.DUMMYFUNCTION("""COMPUTED_VALUE"""),-0.652105028183835)</f>
        <v>-0.65210502818383498</v>
      </c>
      <c r="FI4" s="3">
        <f ca="1">IFERROR(__xludf.DUMMYFUNCTION("""COMPUTED_VALUE"""),-0.648338833146808)</f>
        <v>-0.64833883314680796</v>
      </c>
      <c r="FJ4" s="3">
        <f ca="1">IFERROR(__xludf.DUMMYFUNCTION("""COMPUTED_VALUE"""),-0.625522973773298)</f>
        <v>-0.62552297377329802</v>
      </c>
      <c r="FK4" s="3">
        <f ca="1">IFERROR(__xludf.DUMMYFUNCTION("""COMPUTED_VALUE"""),-0.610907005234865)</f>
        <v>-0.61090700523486496</v>
      </c>
      <c r="FL4" s="3">
        <f ca="1">IFERROR(__xludf.DUMMYFUNCTION("""COMPUTED_VALUE"""),-0.653279192518657)</f>
        <v>-0.65327919251865696</v>
      </c>
      <c r="FM4" s="3">
        <f ca="1">IFERROR(__xludf.DUMMYFUNCTION("""COMPUTED_VALUE"""),-0.658866011733248)</f>
        <v>-0.65886601173324799</v>
      </c>
      <c r="FN4" s="3">
        <f ca="1">IFERROR(__xludf.DUMMYFUNCTION("""COMPUTED_VALUE"""),-0.581882773116733)</f>
        <v>-0.58188277311673298</v>
      </c>
      <c r="FO4" s="3">
        <f ca="1">IFERROR(__xludf.DUMMYFUNCTION("""COMPUTED_VALUE"""),-0.610489194152447)</f>
        <v>-0.61048919415244696</v>
      </c>
      <c r="FP4" s="3">
        <f ca="1">IFERROR(__xludf.DUMMYFUNCTION("""COMPUTED_VALUE"""),-0.649077221120397)</f>
        <v>-0.64907722112039701</v>
      </c>
      <c r="FQ4" s="3">
        <f ca="1">IFERROR(__xludf.DUMMYFUNCTION("""COMPUTED_VALUE"""),-0.609057952455689)</f>
        <v>-0.60905795245568894</v>
      </c>
      <c r="FR4" s="3">
        <f ca="1">IFERROR(__xludf.DUMMYFUNCTION("""COMPUTED_VALUE"""),-0.611417888929158)</f>
        <v>-0.61141788892915805</v>
      </c>
      <c r="FS4" s="3">
        <f ca="1">IFERROR(__xludf.DUMMYFUNCTION("""COMPUTED_VALUE"""),-0.666029482405876)</f>
        <v>-0.66602948240587601</v>
      </c>
      <c r="FT4" s="3">
        <f ca="1">IFERROR(__xludf.DUMMYFUNCTION("""COMPUTED_VALUE"""),-0.655877001492759)</f>
        <v>-0.65587700149275896</v>
      </c>
      <c r="FU4" s="3">
        <f ca="1">IFERROR(__xludf.DUMMYFUNCTION("""COMPUTED_VALUE"""),-0.582651772452541)</f>
        <v>-0.58265177245254096</v>
      </c>
      <c r="FV4" s="3">
        <f ca="1">IFERROR(__xludf.DUMMYFUNCTION("""COMPUTED_VALUE"""),-0.675957014362751)</f>
        <v>-0.67595701436275102</v>
      </c>
      <c r="FW4" s="3">
        <f ca="1">IFERROR(__xludf.DUMMYFUNCTION("""COMPUTED_VALUE"""),-0.661324458616193)</f>
        <v>-0.66132445861619304</v>
      </c>
      <c r="FX4" s="3">
        <f ca="1">IFERROR(__xludf.DUMMYFUNCTION("""COMPUTED_VALUE"""),-0.64848201834347)</f>
        <v>-0.64848201834346997</v>
      </c>
      <c r="FY4" s="3">
        <f ca="1">IFERROR(__xludf.DUMMYFUNCTION("""COMPUTED_VALUE"""),-0.656329852783759)</f>
        <v>-0.65632985278375899</v>
      </c>
      <c r="FZ4" s="3">
        <f ca="1">IFERROR(__xludf.DUMMYFUNCTION("""COMPUTED_VALUE"""),-0.642493474224912)</f>
        <v>-0.64249347422491199</v>
      </c>
      <c r="GA4" s="3">
        <f ca="1">IFERROR(__xludf.DUMMYFUNCTION("""COMPUTED_VALUE"""),-0.678098690092662)</f>
        <v>-0.67809869009266199</v>
      </c>
      <c r="GB4" s="3">
        <f ca="1">IFERROR(__xludf.DUMMYFUNCTION("""COMPUTED_VALUE"""),-0.636257251982066)</f>
        <v>-0.63625725198206595</v>
      </c>
      <c r="GC4" s="3">
        <f ca="1">IFERROR(__xludf.DUMMYFUNCTION("""COMPUTED_VALUE"""),-0.627545943076799)</f>
        <v>-0.62754594307679901</v>
      </c>
      <c r="GD4" s="3">
        <f ca="1">IFERROR(__xludf.DUMMYFUNCTION("""COMPUTED_VALUE"""),-0.676754222013425)</f>
        <v>-0.67675422201342506</v>
      </c>
      <c r="GE4" s="3">
        <f ca="1">IFERROR(__xludf.DUMMYFUNCTION("""COMPUTED_VALUE"""),-0.687932546277469)</f>
        <v>-0.68793254627746903</v>
      </c>
      <c r="GF4" s="3">
        <f ca="1">IFERROR(__xludf.DUMMYFUNCTION("""COMPUTED_VALUE"""),-0.683875217621765)</f>
        <v>-0.68387521762176495</v>
      </c>
      <c r="GG4" s="3">
        <f ca="1">IFERROR(__xludf.DUMMYFUNCTION("""COMPUTED_VALUE"""),-0.612921904044577)</f>
        <v>-0.61292190404457703</v>
      </c>
      <c r="GH4" s="3">
        <f ca="1">IFERROR(__xludf.DUMMYFUNCTION("""COMPUTED_VALUE"""),-0.570883474075032)</f>
        <v>-0.57088347407503204</v>
      </c>
      <c r="GI4" s="3">
        <f ca="1">IFERROR(__xludf.DUMMYFUNCTION("""COMPUTED_VALUE"""),-0.625268154968703)</f>
        <v>-0.62526815496870303</v>
      </c>
      <c r="GJ4" s="3">
        <f ca="1">IFERROR(__xludf.DUMMYFUNCTION("""COMPUTED_VALUE"""),-0.694752624962321)</f>
        <v>-0.69475262496232104</v>
      </c>
      <c r="GK4" s="3">
        <f ca="1">IFERROR(__xludf.DUMMYFUNCTION("""COMPUTED_VALUE"""),-0.695489198618974)</f>
        <v>-0.69548919861897396</v>
      </c>
      <c r="GL4" s="3">
        <f ca="1">IFERROR(__xludf.DUMMYFUNCTION("""COMPUTED_VALUE"""),-0.695106970256593)</f>
        <v>-0.69510697025659296</v>
      </c>
      <c r="GM4" s="3">
        <f ca="1">IFERROR(__xludf.DUMMYFUNCTION("""COMPUTED_VALUE"""),-0.726231819736435)</f>
        <v>-0.72623181973643502</v>
      </c>
      <c r="GN4" s="3">
        <f ca="1">IFERROR(__xludf.DUMMYFUNCTION("""COMPUTED_VALUE"""),-0.687393618072235)</f>
        <v>-0.68739361807223498</v>
      </c>
      <c r="GO4" s="3">
        <f ca="1">IFERROR(__xludf.DUMMYFUNCTION("""COMPUTED_VALUE"""),-0.661644381038141)</f>
        <v>-0.66164438103814105</v>
      </c>
      <c r="GP4" s="3">
        <f ca="1">IFERROR(__xludf.DUMMYFUNCTION("""COMPUTED_VALUE"""),-0.574046681177483)</f>
        <v>-0.57404668117748303</v>
      </c>
      <c r="GQ4" s="3">
        <f ca="1">IFERROR(__xludf.DUMMYFUNCTION("""COMPUTED_VALUE"""),-0.701840997948747)</f>
        <v>-0.70184099794874699</v>
      </c>
      <c r="GR4" s="3">
        <f ca="1">IFERROR(__xludf.DUMMYFUNCTION("""COMPUTED_VALUE"""),-0.748812935690348)</f>
        <v>-0.74881293569034801</v>
      </c>
      <c r="GS4" s="3">
        <f ca="1">IFERROR(__xludf.DUMMYFUNCTION("""COMPUTED_VALUE"""),-0.738359092515525)</f>
        <v>-0.73835909251552501</v>
      </c>
      <c r="GT4" s="3">
        <f ca="1">IFERROR(__xludf.DUMMYFUNCTION("""COMPUTED_VALUE"""),-0.726348558818786)</f>
        <v>-0.72634855881878602</v>
      </c>
      <c r="GU4" s="3">
        <f ca="1">IFERROR(__xludf.DUMMYFUNCTION("""COMPUTED_VALUE"""),-0.675598816387112)</f>
        <v>-0.67559881638711194</v>
      </c>
      <c r="GV4" s="3">
        <f ca="1">IFERROR(__xludf.DUMMYFUNCTION("""COMPUTED_VALUE"""),-0.672067132811256)</f>
        <v>-0.67206713281125596</v>
      </c>
      <c r="GW4" s="3">
        <f ca="1">IFERROR(__xludf.DUMMYFUNCTION("""COMPUTED_VALUE"""),-0.598733649962095)</f>
        <v>-0.59873364996209499</v>
      </c>
      <c r="GX4" s="3">
        <f ca="1">IFERROR(__xludf.DUMMYFUNCTION("""COMPUTED_VALUE"""),-0.712020027051055)</f>
        <v>-0.71202002705105505</v>
      </c>
      <c r="GY4" s="3">
        <f ca="1">IFERROR(__xludf.DUMMYFUNCTION("""COMPUTED_VALUE"""),-0.736876584754782)</f>
        <v>-0.73687658475478202</v>
      </c>
      <c r="GZ4" s="3">
        <f ca="1">IFERROR(__xludf.DUMMYFUNCTION("""COMPUTED_VALUE"""),-0.75341452533116)</f>
        <v>-0.75341452533116005</v>
      </c>
      <c r="HA4" s="3">
        <f ca="1">IFERROR(__xludf.DUMMYFUNCTION("""COMPUTED_VALUE"""),-0.715564890534499)</f>
        <v>-0.71556489053449901</v>
      </c>
      <c r="HB4" s="3">
        <f ca="1">IFERROR(__xludf.DUMMYFUNCTION("""COMPUTED_VALUE"""),-0.691083824730515)</f>
        <v>-0.691083824730515</v>
      </c>
      <c r="HC4" s="3">
        <f ca="1">IFERROR(__xludf.DUMMYFUNCTION("""COMPUTED_VALUE"""),-0.663689642958953)</f>
        <v>-0.66368964295895305</v>
      </c>
      <c r="HD4" s="3">
        <f ca="1">IFERROR(__xludf.DUMMYFUNCTION("""COMPUTED_VALUE"""),-0.656060413556676)</f>
        <v>-0.65606041355667599</v>
      </c>
      <c r="HE4" s="3">
        <f ca="1">IFERROR(__xludf.DUMMYFUNCTION("""COMPUTED_VALUE"""),-0.703855710161461)</f>
        <v>-0.70385571016146098</v>
      </c>
      <c r="HF4" s="3">
        <f ca="1">IFERROR(__xludf.DUMMYFUNCTION("""COMPUTED_VALUE"""),-0.7215161902937)</f>
        <v>-0.72151619029369995</v>
      </c>
      <c r="HG4" s="3">
        <f ca="1">IFERROR(__xludf.DUMMYFUNCTION("""COMPUTED_VALUE"""),-0.705710237828738)</f>
        <v>-0.70571023782873799</v>
      </c>
      <c r="HH4" s="3">
        <f ca="1">IFERROR(__xludf.DUMMYFUNCTION("""COMPUTED_VALUE"""),-0.66766907545127)</f>
        <v>-0.66766907545126997</v>
      </c>
      <c r="HI4" s="3">
        <f ca="1">IFERROR(__xludf.DUMMYFUNCTION("""COMPUTED_VALUE"""),-0.694705169681994)</f>
        <v>-0.69470516968199403</v>
      </c>
      <c r="HJ4" s="3">
        <f ca="1">IFERROR(__xludf.DUMMYFUNCTION("""COMPUTED_VALUE"""),-0.574030522555297)</f>
        <v>-0.57403052255529696</v>
      </c>
      <c r="HK4" s="3">
        <f ca="1">IFERROR(__xludf.DUMMYFUNCTION("""COMPUTED_VALUE"""),-0.594198405095115)</f>
        <v>-0.59419840509511501</v>
      </c>
      <c r="HL4" s="3">
        <f ca="1">IFERROR(__xludf.DUMMYFUNCTION("""COMPUTED_VALUE"""),-0.662119701712224)</f>
        <v>-0.66211970171222401</v>
      </c>
      <c r="HM4" s="3">
        <f ca="1">IFERROR(__xludf.DUMMYFUNCTION("""COMPUTED_VALUE"""),-0.650840070915869)</f>
        <v>-0.65084007091586904</v>
      </c>
      <c r="HN4" s="3">
        <f ca="1">IFERROR(__xludf.DUMMYFUNCTION("""COMPUTED_VALUE"""),-0.648496473357103)</f>
        <v>-0.64849647335710303</v>
      </c>
      <c r="HO4" s="3">
        <f ca="1">IFERROR(__xludf.DUMMYFUNCTION("""COMPUTED_VALUE"""),-0.645693190479791)</f>
        <v>-0.64569319047979101</v>
      </c>
      <c r="HP4" s="3">
        <f ca="1">IFERROR(__xludf.DUMMYFUNCTION("""COMPUTED_VALUE"""),-0.572752468913502)</f>
        <v>-0.57275246891350196</v>
      </c>
      <c r="HQ4" s="3">
        <f ca="1">IFERROR(__xludf.DUMMYFUNCTION("""COMPUTED_VALUE"""),-0.607748985005678)</f>
        <v>-0.60774898500567798</v>
      </c>
      <c r="HR4" s="3">
        <f ca="1">IFERROR(__xludf.DUMMYFUNCTION("""COMPUTED_VALUE"""),-0.585008561013323)</f>
        <v>-0.58500856101332299</v>
      </c>
      <c r="HS4" s="3">
        <f ca="1">IFERROR(__xludf.DUMMYFUNCTION("""COMPUTED_VALUE"""),-0.631520740280816)</f>
        <v>-0.63152074028081595</v>
      </c>
      <c r="HT4" s="3">
        <f ca="1">IFERROR(__xludf.DUMMYFUNCTION("""COMPUTED_VALUE"""),-0.616356849256597)</f>
        <v>-0.61635684925659695</v>
      </c>
      <c r="HU4" s="3">
        <f ca="1">IFERROR(__xludf.DUMMYFUNCTION("""COMPUTED_VALUE"""),-0.661514853410085)</f>
        <v>-0.66151485341008498</v>
      </c>
      <c r="HV4" s="3">
        <f ca="1">IFERROR(__xludf.DUMMYFUNCTION("""COMPUTED_VALUE"""),-0.681129950671461)</f>
        <v>-0.68112995067146098</v>
      </c>
      <c r="HW4" s="3">
        <f ca="1">IFERROR(__xludf.DUMMYFUNCTION("""COMPUTED_VALUE"""),-0.62966146935573)</f>
        <v>-0.62966146935572997</v>
      </c>
      <c r="HX4" s="3">
        <f ca="1">IFERROR(__xludf.DUMMYFUNCTION("""COMPUTED_VALUE"""),-0.628564671164151)</f>
        <v>-0.62856467116415105</v>
      </c>
      <c r="HY4" s="3">
        <f ca="1">IFERROR(__xludf.DUMMYFUNCTION("""COMPUTED_VALUE"""),-0.534798758930524)</f>
        <v>-0.53479875893052398</v>
      </c>
      <c r="HZ4" s="3">
        <f ca="1">IFERROR(__xludf.DUMMYFUNCTION("""COMPUTED_VALUE"""),-0.597808369994694)</f>
        <v>-0.597808369994694</v>
      </c>
      <c r="IA4" s="3">
        <f ca="1">IFERROR(__xludf.DUMMYFUNCTION("""COMPUTED_VALUE"""),-0.627887574869774)</f>
        <v>-0.62788757486977398</v>
      </c>
      <c r="IB4" s="3">
        <f ca="1">IFERROR(__xludf.DUMMYFUNCTION("""COMPUTED_VALUE"""),-0.62145714662379)</f>
        <v>-0.62145714662379004</v>
      </c>
      <c r="IC4" s="3">
        <f ca="1">IFERROR(__xludf.DUMMYFUNCTION("""COMPUTED_VALUE"""),-0.672613281517743)</f>
        <v>-0.67261328151774302</v>
      </c>
      <c r="ID4" s="3">
        <f ca="1">IFERROR(__xludf.DUMMYFUNCTION("""COMPUTED_VALUE"""),-0.627454055958225)</f>
        <v>-0.62745405595822501</v>
      </c>
      <c r="IE4" s="3">
        <f ca="1">IFERROR(__xludf.DUMMYFUNCTION("""COMPUTED_VALUE"""),-0.607958219071885)</f>
        <v>-0.60795821907188496</v>
      </c>
      <c r="IF4" s="3">
        <f ca="1">IFERROR(__xludf.DUMMYFUNCTION("""COMPUTED_VALUE"""),-0.610035928935699)</f>
        <v>-0.61003592893569902</v>
      </c>
      <c r="IG4" s="3">
        <f ca="1">IFERROR(__xludf.DUMMYFUNCTION("""COMPUTED_VALUE"""),-0.653247267554307)</f>
        <v>-0.65324726755430695</v>
      </c>
      <c r="IH4" s="3">
        <f ca="1">IFERROR(__xludf.DUMMYFUNCTION("""COMPUTED_VALUE"""),-0.641226007371344)</f>
        <v>-0.64122600737134405</v>
      </c>
      <c r="II4" s="3">
        <f ca="1">IFERROR(__xludf.DUMMYFUNCTION("""COMPUTED_VALUE"""),-0.614169780956502)</f>
        <v>-0.61416978095650199</v>
      </c>
      <c r="IJ4" s="3">
        <f ca="1">IFERROR(__xludf.DUMMYFUNCTION("""COMPUTED_VALUE"""),-0.581125336726732)</f>
        <v>-0.58112533672673194</v>
      </c>
      <c r="IK4" s="3">
        <f ca="1">IFERROR(__xludf.DUMMYFUNCTION("""COMPUTED_VALUE"""),-0.561903908051804)</f>
        <v>-0.56190390805180401</v>
      </c>
      <c r="IL4" s="3">
        <f ca="1">IFERROR(__xludf.DUMMYFUNCTION("""COMPUTED_VALUE"""),-0.575147330246219)</f>
        <v>-0.575147330246219</v>
      </c>
      <c r="IM4" s="3">
        <f ca="1">IFERROR(__xludf.DUMMYFUNCTION("""COMPUTED_VALUE"""),-0.541393575322762)</f>
        <v>-0.541393575322762</v>
      </c>
      <c r="IN4" s="3">
        <f ca="1">IFERROR(__xludf.DUMMYFUNCTION("""COMPUTED_VALUE"""),-0.619533964048676)</f>
        <v>-0.619533964048676</v>
      </c>
      <c r="IO4" s="3">
        <f ca="1">IFERROR(__xludf.DUMMYFUNCTION("""COMPUTED_VALUE"""),-0.608666666788562)</f>
        <v>-0.60866666678856196</v>
      </c>
      <c r="IP4" s="3">
        <f ca="1">IFERROR(__xludf.DUMMYFUNCTION("""COMPUTED_VALUE"""),-0.583722311454113)</f>
        <v>-0.58372231145411302</v>
      </c>
      <c r="IQ4" s="3">
        <f ca="1">IFERROR(__xludf.DUMMYFUNCTION("""COMPUTED_VALUE"""),-0.605568989518389)</f>
        <v>-0.605568989518389</v>
      </c>
      <c r="IR4" s="3">
        <f ca="1">IFERROR(__xludf.DUMMYFUNCTION("""COMPUTED_VALUE"""),-0.586332834072429)</f>
        <v>-0.58633283407242898</v>
      </c>
      <c r="IS4" s="3">
        <f ca="1">IFERROR(__xludf.DUMMYFUNCTION("""COMPUTED_VALUE"""),-0.550943618774534)</f>
        <v>-0.55094361877453402</v>
      </c>
      <c r="IT4" s="3">
        <f ca="1">IFERROR(__xludf.DUMMYFUNCTION("""COMPUTED_VALUE"""),-0.505175706698657)</f>
        <v>-0.50517570669865697</v>
      </c>
      <c r="IU4" s="3">
        <f ca="1">IFERROR(__xludf.DUMMYFUNCTION("""COMPUTED_VALUE"""),-0.617098269149416)</f>
        <v>-0.61709826914941601</v>
      </c>
      <c r="IV4" s="3">
        <f ca="1">IFERROR(__xludf.DUMMYFUNCTION("""COMPUTED_VALUE"""),-0.656380116624746)</f>
        <v>-0.65638011662474605</v>
      </c>
      <c r="IW4" s="3">
        <f ca="1">IFERROR(__xludf.DUMMYFUNCTION("""COMPUTED_VALUE"""),-0.635383933215185)</f>
        <v>-0.63538393321518505</v>
      </c>
      <c r="IX4" s="3">
        <f ca="1">IFERROR(__xludf.DUMMYFUNCTION("""COMPUTED_VALUE"""),-0.610487775789196)</f>
        <v>-0.610487775789196</v>
      </c>
      <c r="IY4" s="3">
        <f ca="1">IFERROR(__xludf.DUMMYFUNCTION("""COMPUTED_VALUE"""),-0.599388528224583)</f>
        <v>-0.59938852822458299</v>
      </c>
      <c r="IZ4" s="3">
        <f ca="1">IFERROR(__xludf.DUMMYFUNCTION("""COMPUTED_VALUE"""),-0.588107957847293)</f>
        <v>-0.58810795784729297</v>
      </c>
      <c r="JA4" s="3">
        <f ca="1">IFERROR(__xludf.DUMMYFUNCTION("""COMPUTED_VALUE"""),-0.599256904442507)</f>
        <v>-0.59925690444250701</v>
      </c>
      <c r="JB4" s="3">
        <f ca="1">IFERROR(__xludf.DUMMYFUNCTION("""COMPUTED_VALUE"""),-0.591566092610168)</f>
        <v>-0.59156609261016802</v>
      </c>
      <c r="JC4" s="3">
        <f ca="1">IFERROR(__xludf.DUMMYFUNCTION("""COMPUTED_VALUE"""),-0.588614036732837)</f>
        <v>-0.58861403673283696</v>
      </c>
      <c r="JD4" s="3">
        <f ca="1">IFERROR(__xludf.DUMMYFUNCTION("""COMPUTED_VALUE"""),-0.599168993092005)</f>
        <v>-0.599168993092005</v>
      </c>
      <c r="JE4" s="3">
        <f ca="1">IFERROR(__xludf.DUMMYFUNCTION("""COMPUTED_VALUE"""),-0.616341001072131)</f>
        <v>-0.61634100107213097</v>
      </c>
      <c r="JF4" s="3">
        <f ca="1">IFERROR(__xludf.DUMMYFUNCTION("""COMPUTED_VALUE"""),-0.563442330740875)</f>
        <v>-0.56344233074087502</v>
      </c>
      <c r="JG4" s="3">
        <f ca="1">IFERROR(__xludf.DUMMYFUNCTION("""COMPUTED_VALUE"""),-0.555418590383348)</f>
        <v>-0.55541859038334795</v>
      </c>
      <c r="JH4" s="3">
        <f ca="1">IFERROR(__xludf.DUMMYFUNCTION("""COMPUTED_VALUE"""),-0.544736154790691)</f>
        <v>-0.54473615479069104</v>
      </c>
      <c r="JI4" s="3">
        <f ca="1">IFERROR(__xludf.DUMMYFUNCTION("""COMPUTED_VALUE"""),-0.607449391941541)</f>
        <v>-0.60744939194154102</v>
      </c>
      <c r="JJ4" s="3">
        <f ca="1">IFERROR(__xludf.DUMMYFUNCTION("""COMPUTED_VALUE"""),-0.628603136682105)</f>
        <v>-0.62860313668210499</v>
      </c>
      <c r="JK4" s="3">
        <f ca="1">IFERROR(__xludf.DUMMYFUNCTION("""COMPUTED_VALUE"""),-0.574040003212497)</f>
        <v>-0.57404000321249704</v>
      </c>
      <c r="JL4" s="3">
        <f ca="1">IFERROR(__xludf.DUMMYFUNCTION("""COMPUTED_VALUE"""),-0.550854638629981)</f>
        <v>-0.55085463862998096</v>
      </c>
      <c r="JM4" s="3">
        <f ca="1">IFERROR(__xludf.DUMMYFUNCTION("""COMPUTED_VALUE"""),-0.501533953460786)</f>
        <v>-0.501533953460786</v>
      </c>
      <c r="JN4" s="3">
        <f ca="1">IFERROR(__xludf.DUMMYFUNCTION("""COMPUTED_VALUE"""),-0.46643997981087)</f>
        <v>-0.46643997981086999</v>
      </c>
      <c r="JO4" s="3">
        <f ca="1">IFERROR(__xludf.DUMMYFUNCTION("""COMPUTED_VALUE"""),-0.487448205286533)</f>
        <v>-0.48744820528653299</v>
      </c>
      <c r="JP4" s="3">
        <f ca="1">IFERROR(__xludf.DUMMYFUNCTION("""COMPUTED_VALUE"""),-0.538576913551003)</f>
        <v>-0.53857691355100301</v>
      </c>
      <c r="JQ4" s="3">
        <f ca="1">IFERROR(__xludf.DUMMYFUNCTION("""COMPUTED_VALUE"""),-0.638569650455815)</f>
        <v>-0.63856965045581504</v>
      </c>
      <c r="JR4" s="3">
        <f ca="1">IFERROR(__xludf.DUMMYFUNCTION("""COMPUTED_VALUE"""),-0.590697624473164)</f>
        <v>-0.59069762447316398</v>
      </c>
      <c r="JS4" s="3">
        <f ca="1">IFERROR(__xludf.DUMMYFUNCTION("""COMPUTED_VALUE"""),-0.590857015748395)</f>
        <v>-0.590857015748395</v>
      </c>
      <c r="JT4" s="3">
        <f ca="1">IFERROR(__xludf.DUMMYFUNCTION("""COMPUTED_VALUE"""),-0.559643107163866)</f>
        <v>-0.559643107163866</v>
      </c>
      <c r="JU4" s="3">
        <f ca="1">IFERROR(__xludf.DUMMYFUNCTION("""COMPUTED_VALUE"""),-0.506976756218192)</f>
        <v>-0.50697675621819205</v>
      </c>
      <c r="JV4" s="3">
        <f ca="1">IFERROR(__xludf.DUMMYFUNCTION("""COMPUTED_VALUE"""),-0.523856963642993)</f>
        <v>-0.52385696364299295</v>
      </c>
      <c r="JW4" s="3">
        <f ca="1">IFERROR(__xludf.DUMMYFUNCTION("""COMPUTED_VALUE"""),-0.323876509032796)</f>
        <v>-0.32387650903279602</v>
      </c>
      <c r="JX4" s="3">
        <f ca="1">IFERROR(__xludf.DUMMYFUNCTION("""COMPUTED_VALUE"""),-0.537721593247039)</f>
        <v>-0.53772159324703905</v>
      </c>
      <c r="JY4" s="3">
        <f ca="1">IFERROR(__xludf.DUMMYFUNCTION("""COMPUTED_VALUE"""),-0.572858725656047)</f>
        <v>-0.57285872565604701</v>
      </c>
      <c r="JZ4" s="3">
        <f ca="1">IFERROR(__xludf.DUMMYFUNCTION("""COMPUTED_VALUE"""),-0.596698154108413)</f>
        <v>-0.59669815410841298</v>
      </c>
      <c r="KA4" s="3">
        <f ca="1">IFERROR(__xludf.DUMMYFUNCTION("""COMPUTED_VALUE"""),-0.53759457737985)</f>
        <v>-0.53759457737984995</v>
      </c>
      <c r="KB4" s="3">
        <f ca="1">IFERROR(__xludf.DUMMYFUNCTION("""COMPUTED_VALUE"""),-0.486383149644432)</f>
        <v>-0.48638314964443202</v>
      </c>
      <c r="KC4" s="3">
        <f ca="1">IFERROR(__xludf.DUMMYFUNCTION("""COMPUTED_VALUE"""),-0.472361406155626)</f>
        <v>-0.472361406155626</v>
      </c>
      <c r="KD4" s="3">
        <f ca="1">IFERROR(__xludf.DUMMYFUNCTION("""COMPUTED_VALUE"""),-0.547168454633459)</f>
        <v>-0.54716845463345898</v>
      </c>
      <c r="KE4" s="3">
        <f ca="1">IFERROR(__xludf.DUMMYFUNCTION("""COMPUTED_VALUE"""),-0.586911800714781)</f>
        <v>-0.586911800714781</v>
      </c>
      <c r="KF4" s="3">
        <f ca="1">IFERROR(__xludf.DUMMYFUNCTION("""COMPUTED_VALUE"""),-0.621581193886951)</f>
        <v>-0.62158119388695099</v>
      </c>
      <c r="KG4" s="3">
        <f ca="1">IFERROR(__xludf.DUMMYFUNCTION("""COMPUTED_VALUE"""),-0.56507217949036)</f>
        <v>-0.56507217949036004</v>
      </c>
      <c r="KH4" s="3">
        <f ca="1">IFERROR(__xludf.DUMMYFUNCTION("""COMPUTED_VALUE"""),-0.564475932185853)</f>
        <v>-0.56447593218585301</v>
      </c>
      <c r="KI4" s="3">
        <f ca="1">IFERROR(__xludf.DUMMYFUNCTION("""COMPUTED_VALUE"""),-0.61362304503887)</f>
        <v>-0.61362304503887</v>
      </c>
      <c r="KJ4" s="3">
        <f ca="1">IFERROR(__xludf.DUMMYFUNCTION("""COMPUTED_VALUE"""),-0.4823255406173)</f>
        <v>-0.48232554061729999</v>
      </c>
      <c r="KK4" s="3">
        <f ca="1">IFERROR(__xludf.DUMMYFUNCTION("""COMPUTED_VALUE"""),-0.583824397680345)</f>
        <v>-0.583824397680345</v>
      </c>
      <c r="KL4" s="3">
        <f ca="1">IFERROR(__xludf.DUMMYFUNCTION("""COMPUTED_VALUE"""),-0.620740223975589)</f>
        <v>-0.62074022397558903</v>
      </c>
      <c r="KM4" s="3">
        <f ca="1">IFERROR(__xludf.DUMMYFUNCTION("""COMPUTED_VALUE"""),-0.638168358878024)</f>
        <v>-0.63816835887802403</v>
      </c>
      <c r="KN4" s="3">
        <f ca="1">IFERROR(__xludf.DUMMYFUNCTION("""COMPUTED_VALUE"""),-0.647944214203425)</f>
        <v>-0.64794421420342496</v>
      </c>
      <c r="KO4" s="3">
        <f ca="1">IFERROR(__xludf.DUMMYFUNCTION("""COMPUTED_VALUE"""),-0.651873943829806)</f>
        <v>-0.65187394382980601</v>
      </c>
      <c r="KP4" s="3">
        <f ca="1">IFERROR(__xludf.DUMMYFUNCTION("""COMPUTED_VALUE"""),-0.488987509498765)</f>
        <v>-0.48898750949876502</v>
      </c>
      <c r="KQ4" s="3">
        <f ca="1">IFERROR(__xludf.DUMMYFUNCTION("""COMPUTED_VALUE"""),-0.545223937006143)</f>
        <v>-0.54522393700614302</v>
      </c>
      <c r="KR4" s="3">
        <f ca="1">IFERROR(__xludf.DUMMYFUNCTION("""COMPUTED_VALUE"""),-0.643963607028288)</f>
        <v>-0.64396360702828803</v>
      </c>
      <c r="KS4" s="3">
        <f ca="1">IFERROR(__xludf.DUMMYFUNCTION("""COMPUTED_VALUE"""),-0.651798181932259)</f>
        <v>-0.65179818193225902</v>
      </c>
      <c r="KT4" s="3">
        <f ca="1">IFERROR(__xludf.DUMMYFUNCTION("""COMPUTED_VALUE"""),-0.601372531139995)</f>
        <v>-0.601372531139995</v>
      </c>
      <c r="KU4" s="3">
        <f ca="1">IFERROR(__xludf.DUMMYFUNCTION("""COMPUTED_VALUE"""),-0.659915671200368)</f>
        <v>-0.65991567120036798</v>
      </c>
      <c r="KV4" s="3">
        <f ca="1">IFERROR(__xludf.DUMMYFUNCTION("""COMPUTED_VALUE"""),-0.561103911413027)</f>
        <v>-0.56110391141302696</v>
      </c>
      <c r="KW4" s="3">
        <f ca="1">IFERROR(__xludf.DUMMYFUNCTION("""COMPUTED_VALUE"""),-0.569988656430956)</f>
        <v>-0.56998865643095598</v>
      </c>
      <c r="KX4" s="3">
        <f ca="1">IFERROR(__xludf.DUMMYFUNCTION("""COMPUTED_VALUE"""),-0.540925812860026)</f>
        <v>-0.54092581286002595</v>
      </c>
      <c r="KY4" s="3">
        <f ca="1">IFERROR(__xludf.DUMMYFUNCTION("""COMPUTED_VALUE"""),-0.605345106595542)</f>
        <v>-0.60534510659554197</v>
      </c>
      <c r="KZ4" s="3">
        <f ca="1">IFERROR(__xludf.DUMMYFUNCTION("""COMPUTED_VALUE"""),-0.571362234377422)</f>
        <v>-0.57136223437742195</v>
      </c>
      <c r="LA4" s="3">
        <f ca="1">IFERROR(__xludf.DUMMYFUNCTION("""COMPUTED_VALUE"""),-0.615733231619201)</f>
        <v>-0.61573323161920102</v>
      </c>
      <c r="LB4" s="3">
        <f ca="1">IFERROR(__xludf.DUMMYFUNCTION("""COMPUTED_VALUE"""),-0.572043668085586)</f>
        <v>-0.57204366808558604</v>
      </c>
      <c r="LC4" s="3">
        <f ca="1">IFERROR(__xludf.DUMMYFUNCTION("""COMPUTED_VALUE"""),-0.464931275185627)</f>
        <v>-0.46493127518562699</v>
      </c>
      <c r="LD4" s="3">
        <f ca="1">IFERROR(__xludf.DUMMYFUNCTION("""COMPUTED_VALUE"""),-0.510870918258026)</f>
        <v>-0.510870918258026</v>
      </c>
      <c r="LE4" s="3">
        <f ca="1">IFERROR(__xludf.DUMMYFUNCTION("""COMPUTED_VALUE"""),-0.539381980762514)</f>
        <v>-0.53938198076251398</v>
      </c>
      <c r="LF4" s="3">
        <f ca="1">IFERROR(__xludf.DUMMYFUNCTION("""COMPUTED_VALUE"""),-0.551725259588762)</f>
        <v>-0.55172525958876195</v>
      </c>
      <c r="LG4" s="3">
        <f ca="1">IFERROR(__xludf.DUMMYFUNCTION("""COMPUTED_VALUE"""),-0.436702984006874)</f>
        <v>-0.43670298400687402</v>
      </c>
      <c r="LH4" s="3">
        <f ca="1">IFERROR(__xludf.DUMMYFUNCTION("""COMPUTED_VALUE"""),-0.639457202946955)</f>
        <v>-0.63945720294695496</v>
      </c>
      <c r="LI4" s="3">
        <f ca="1">IFERROR(__xludf.DUMMYFUNCTION("""COMPUTED_VALUE"""),-0.62124782043892)</f>
        <v>-0.62124782043892002</v>
      </c>
      <c r="LJ4" s="3">
        <f ca="1">IFERROR(__xludf.DUMMYFUNCTION("""COMPUTED_VALUE"""),-0.672693657974105)</f>
        <v>-0.67269365797410496</v>
      </c>
      <c r="LK4" s="3">
        <f ca="1">IFERROR(__xludf.DUMMYFUNCTION("""COMPUTED_VALUE"""),-0.562008914218344)</f>
        <v>-0.56200891421834398</v>
      </c>
      <c r="LL4" s="3">
        <f ca="1">IFERROR(__xludf.DUMMYFUNCTION("""COMPUTED_VALUE"""),-0.63276437594617)</f>
        <v>-0.63276437594616997</v>
      </c>
      <c r="LM4" s="3">
        <f ca="1">IFERROR(__xludf.DUMMYFUNCTION("""COMPUTED_VALUE"""),-0.618705169566749)</f>
        <v>-0.61870516956674904</v>
      </c>
      <c r="LN4" s="3">
        <f ca="1">IFERROR(__xludf.DUMMYFUNCTION("""COMPUTED_VALUE"""),-0.672202455136865)</f>
        <v>-0.67220245513686505</v>
      </c>
      <c r="LO4" s="3">
        <f ca="1">IFERROR(__xludf.DUMMYFUNCTION("""COMPUTED_VALUE"""),-0.634779939797727)</f>
        <v>-0.63477993979772696</v>
      </c>
      <c r="LP4" s="3">
        <f ca="1">IFERROR(__xludf.DUMMYFUNCTION("""COMPUTED_VALUE"""),-0.635492975541927)</f>
        <v>-0.63549297554192696</v>
      </c>
      <c r="LQ4" s="3">
        <f ca="1">IFERROR(__xludf.DUMMYFUNCTION("""COMPUTED_VALUE"""),-0.631631658233648)</f>
        <v>-0.63163165823364797</v>
      </c>
      <c r="LR4" s="3">
        <f ca="1">IFERROR(__xludf.DUMMYFUNCTION("""COMPUTED_VALUE"""),-0.553988925846096)</f>
        <v>-0.55398892584609605</v>
      </c>
      <c r="LS4" s="3">
        <f ca="1">IFERROR(__xludf.DUMMYFUNCTION("""COMPUTED_VALUE"""),-0.590631882887195)</f>
        <v>-0.59063188288719504</v>
      </c>
      <c r="LT4" s="3">
        <f ca="1">IFERROR(__xludf.DUMMYFUNCTION("""COMPUTED_VALUE"""),-0.539689349229653)</f>
        <v>-0.53968934922965295</v>
      </c>
      <c r="LU4" s="3">
        <f ca="1">IFERROR(__xludf.DUMMYFUNCTION("""COMPUTED_VALUE"""),-0.616298040062632)</f>
        <v>-0.616298040062632</v>
      </c>
      <c r="LV4" s="3">
        <f ca="1">IFERROR(__xludf.DUMMYFUNCTION("""COMPUTED_VALUE"""),-0.598079977981594)</f>
        <v>-0.59807997798159396</v>
      </c>
      <c r="LW4" s="3">
        <f ca="1">IFERROR(__xludf.DUMMYFUNCTION("""COMPUTED_VALUE"""),-0.648174518189841)</f>
        <v>-0.64817451818984095</v>
      </c>
      <c r="LX4" s="3">
        <f ca="1">IFERROR(__xludf.DUMMYFUNCTION("""COMPUTED_VALUE"""),-0.642016954899311)</f>
        <v>-0.64201695489931099</v>
      </c>
      <c r="LY4" s="3">
        <f ca="1">IFERROR(__xludf.DUMMYFUNCTION("""COMPUTED_VALUE"""),-0.52068346984677)</f>
        <v>-0.52068346984677005</v>
      </c>
      <c r="LZ4" s="3">
        <f ca="1">IFERROR(__xludf.DUMMYFUNCTION("""COMPUTED_VALUE"""),-0.586025243876707)</f>
        <v>-0.58602524387670696</v>
      </c>
      <c r="MA4" s="3">
        <f ca="1">IFERROR(__xludf.DUMMYFUNCTION("""COMPUTED_VALUE"""),-0.646810916773225)</f>
        <v>-0.646810916773225</v>
      </c>
      <c r="MB4" s="3">
        <f ca="1">IFERROR(__xludf.DUMMYFUNCTION("""COMPUTED_VALUE"""),-0.615018837884406)</f>
        <v>-0.61501883788440603</v>
      </c>
      <c r="MC4" s="3">
        <f ca="1">IFERROR(__xludf.DUMMYFUNCTION("""COMPUTED_VALUE"""),-0.601885274274128)</f>
        <v>-0.60188527427412797</v>
      </c>
      <c r="MD4" s="3">
        <f ca="1">IFERROR(__xludf.DUMMYFUNCTION("""COMPUTED_VALUE"""),-0.591621259265588)</f>
        <v>-0.59162125926558795</v>
      </c>
      <c r="ME4" s="3">
        <f ca="1">IFERROR(__xludf.DUMMYFUNCTION("""COMPUTED_VALUE"""),-0.610609475832677)</f>
        <v>-0.610609475832677</v>
      </c>
      <c r="MF4" s="3">
        <f ca="1">IFERROR(__xludf.DUMMYFUNCTION("""COMPUTED_VALUE"""),-0.545652514699697)</f>
        <v>-0.545652514699697</v>
      </c>
      <c r="MG4" s="3">
        <f ca="1">IFERROR(__xludf.DUMMYFUNCTION("""COMPUTED_VALUE"""),-0.559339428835195)</f>
        <v>-0.55933942883519505</v>
      </c>
      <c r="MH4" s="3">
        <f ca="1">IFERROR(__xludf.DUMMYFUNCTION("""COMPUTED_VALUE"""),-0.555381791726821)</f>
        <v>-0.55538179172682101</v>
      </c>
      <c r="MI4" s="3">
        <f ca="1">IFERROR(__xludf.DUMMYFUNCTION("""COMPUTED_VALUE"""),-0.635596322650177)</f>
        <v>-0.63559632265017696</v>
      </c>
      <c r="MJ4" s="3">
        <f ca="1">IFERROR(__xludf.DUMMYFUNCTION("""COMPUTED_VALUE"""),-0.58142515968155)</f>
        <v>-0.58142515968154995</v>
      </c>
      <c r="MK4" s="3">
        <f ca="1">IFERROR(__xludf.DUMMYFUNCTION("""COMPUTED_VALUE"""),-0.575473814931496)</f>
        <v>-0.57547381493149596</v>
      </c>
      <c r="ML4" s="3">
        <f ca="1">IFERROR(__xludf.DUMMYFUNCTION("""COMPUTED_VALUE"""),-0.507347611993822)</f>
        <v>-0.50734761199382195</v>
      </c>
      <c r="MM4" s="3">
        <f ca="1">IFERROR(__xludf.DUMMYFUNCTION("""COMPUTED_VALUE"""),-0.347506691222929)</f>
        <v>-0.34750669122292899</v>
      </c>
      <c r="MN4" s="3">
        <f ca="1">IFERROR(__xludf.DUMMYFUNCTION("""COMPUTED_VALUE"""),-0.477401171024841)</f>
        <v>-0.47740117102484098</v>
      </c>
      <c r="MO4" s="3">
        <f ca="1">IFERROR(__xludf.DUMMYFUNCTION("""COMPUTED_VALUE"""),-0.42858700717614)</f>
        <v>-0.42858700717614001</v>
      </c>
      <c r="MP4" s="3">
        <f ca="1">IFERROR(__xludf.DUMMYFUNCTION("""COMPUTED_VALUE"""),-0.661934687979782)</f>
        <v>-0.66193468797978205</v>
      </c>
      <c r="MQ4" s="3">
        <f ca="1">IFERROR(__xludf.DUMMYFUNCTION("""COMPUTED_VALUE"""),-0.495534378302007)</f>
        <v>-0.49553437830200697</v>
      </c>
      <c r="MR4" s="3">
        <f ca="1">IFERROR(__xludf.DUMMYFUNCTION("""COMPUTED_VALUE"""),-0.417816329532121)</f>
        <v>-0.417816329532121</v>
      </c>
      <c r="MS4" s="3">
        <f ca="1">IFERROR(__xludf.DUMMYFUNCTION("""COMPUTED_VALUE"""),-0.321537525308601)</f>
        <v>-0.32153752530860102</v>
      </c>
      <c r="MT4" s="3">
        <f ca="1">IFERROR(__xludf.DUMMYFUNCTION("""COMPUTED_VALUE"""),-0.476538570848143)</f>
        <v>-0.47653857084814299</v>
      </c>
      <c r="MU4" s="3">
        <f ca="1">IFERROR(__xludf.DUMMYFUNCTION("""COMPUTED_VALUE"""),-0.30085185120529)</f>
        <v>-0.30085185120529001</v>
      </c>
      <c r="MV4" s="3">
        <f ca="1">IFERROR(__xludf.DUMMYFUNCTION("""COMPUTED_VALUE"""),-0.461434644703499)</f>
        <v>-0.46143464470349899</v>
      </c>
      <c r="MW4" s="3">
        <f ca="1">IFERROR(__xludf.DUMMYFUNCTION("""COMPUTED_VALUE"""),-0.573806017506085)</f>
        <v>-0.57380601750608495</v>
      </c>
      <c r="MX4" s="3">
        <f ca="1">IFERROR(__xludf.DUMMYFUNCTION("""COMPUTED_VALUE"""),-0.369235318074462)</f>
        <v>-0.36923531807446203</v>
      </c>
      <c r="MY4" s="3">
        <f ca="1">IFERROR(__xludf.DUMMYFUNCTION("""COMPUTED_VALUE"""),-0.45966052296376)</f>
        <v>-0.45966052296375998</v>
      </c>
      <c r="MZ4" s="3">
        <f ca="1">IFERROR(__xludf.DUMMYFUNCTION("""COMPUTED_VALUE"""),-0.303171098967045)</f>
        <v>-0.30317109896704503</v>
      </c>
      <c r="NA4" s="3">
        <f ca="1">IFERROR(__xludf.DUMMYFUNCTION("""COMPUTED_VALUE"""),-0.56532508365683)</f>
        <v>-0.56532508365682999</v>
      </c>
      <c r="NB4" s="3">
        <f ca="1">IFERROR(__xludf.DUMMYFUNCTION("""COMPUTED_VALUE"""),-0.426048723703727)</f>
        <v>-0.42604872370372698</v>
      </c>
      <c r="NC4" s="3">
        <f ca="1">IFERROR(__xludf.DUMMYFUNCTION("""COMPUTED_VALUE"""),-0.395379741958502)</f>
        <v>-0.39537974195850201</v>
      </c>
      <c r="ND4" s="3">
        <f ca="1">IFERROR(__xludf.DUMMYFUNCTION("""COMPUTED_VALUE"""),-0.601957554418489)</f>
        <v>-0.60195755441848897</v>
      </c>
      <c r="NE4" s="3">
        <f ca="1">IFERROR(__xludf.DUMMYFUNCTION("""COMPUTED_VALUE"""),-0.588235944888471)</f>
        <v>-0.58823594488847097</v>
      </c>
      <c r="NF4" s="3">
        <f ca="1">IFERROR(__xludf.DUMMYFUNCTION("""COMPUTED_VALUE"""),-0.484599218559473)</f>
        <v>-0.48459921855947302</v>
      </c>
      <c r="NG4" s="3">
        <f ca="1">IFERROR(__xludf.DUMMYFUNCTION("""COMPUTED_VALUE"""),-0.494518842031651)</f>
        <v>-0.49451884203165097</v>
      </c>
      <c r="NH4" s="3">
        <f ca="1">IFERROR(__xludf.DUMMYFUNCTION("""COMPUTED_VALUE"""),-0.528426719993405)</f>
        <v>-0.52842671999340496</v>
      </c>
      <c r="NI4" s="3">
        <f ca="1">IFERROR(__xludf.DUMMYFUNCTION("""COMPUTED_VALUE"""),-0.506767666372945)</f>
        <v>-0.50676766637294501</v>
      </c>
      <c r="NJ4" s="3">
        <f ca="1">IFERROR(__xludf.DUMMYFUNCTION("""COMPUTED_VALUE"""),-0.529714025729538)</f>
        <v>-0.52971402572953796</v>
      </c>
      <c r="NK4" s="3">
        <f ca="1">IFERROR(__xludf.DUMMYFUNCTION("""COMPUTED_VALUE"""),-0.510948801228376)</f>
        <v>-0.51094880122837605</v>
      </c>
      <c r="NL4" s="3">
        <f ca="1">IFERROR(__xludf.DUMMYFUNCTION("""COMPUTED_VALUE"""),-0.500052433897019)</f>
        <v>-0.50005243389701903</v>
      </c>
      <c r="NM4" s="3">
        <f ca="1">IFERROR(__xludf.DUMMYFUNCTION("""COMPUTED_VALUE"""),-0.35681329944382)</f>
        <v>-0.35681329944382001</v>
      </c>
      <c r="NN4" s="3">
        <f ca="1">IFERROR(__xludf.DUMMYFUNCTION("""COMPUTED_VALUE"""),-0.472367211366832)</f>
        <v>-0.47236721136683202</v>
      </c>
      <c r="NO4" s="3">
        <f ca="1">IFERROR(__xludf.DUMMYFUNCTION("""COMPUTED_VALUE"""),-0.51441680823113)</f>
        <v>-0.51441680823113001</v>
      </c>
      <c r="NP4" s="3">
        <f ca="1">IFERROR(__xludf.DUMMYFUNCTION("""COMPUTED_VALUE"""),-0.484041746887524)</f>
        <v>-0.48404174688752399</v>
      </c>
      <c r="NQ4" s="3">
        <f ca="1">IFERROR(__xludf.DUMMYFUNCTION("""COMPUTED_VALUE"""),-0.551994725015043)</f>
        <v>-0.55199472501504299</v>
      </c>
      <c r="NR4" s="3">
        <f ca="1">IFERROR(__xludf.DUMMYFUNCTION("""COMPUTED_VALUE"""),-0.643202286822033)</f>
        <v>-0.64320228682203295</v>
      </c>
      <c r="NS4" s="3">
        <f ca="1">IFERROR(__xludf.DUMMYFUNCTION("""COMPUTED_VALUE"""),-0.641141947516252)</f>
        <v>-0.64114194751625198</v>
      </c>
      <c r="NT4" s="3">
        <f ca="1">IFERROR(__xludf.DUMMYFUNCTION("""COMPUTED_VALUE"""),-0.540984348214259)</f>
        <v>-0.540984348214259</v>
      </c>
      <c r="NU4" s="3">
        <f ca="1">IFERROR(__xludf.DUMMYFUNCTION("""COMPUTED_VALUE"""),-0.670655060661802)</f>
        <v>-0.67065506066180203</v>
      </c>
      <c r="NV4" s="3">
        <f ca="1">IFERROR(__xludf.DUMMYFUNCTION("""COMPUTED_VALUE"""),-0.523115064962372)</f>
        <v>-0.52311506496237203</v>
      </c>
      <c r="NW4" s="3">
        <f ca="1">IFERROR(__xludf.DUMMYFUNCTION("""COMPUTED_VALUE"""),-0.527490005734425)</f>
        <v>-0.52749000573442495</v>
      </c>
      <c r="NX4" s="3">
        <f ca="1">IFERROR(__xludf.DUMMYFUNCTION("""COMPUTED_VALUE"""),-0.437536106731533)</f>
        <v>-0.43753610673153298</v>
      </c>
      <c r="NY4" s="3">
        <f ca="1">IFERROR(__xludf.DUMMYFUNCTION("""COMPUTED_VALUE"""),-0.419951768254675)</f>
        <v>-0.41995176825467501</v>
      </c>
      <c r="NZ4" s="3">
        <f ca="1">IFERROR(__xludf.DUMMYFUNCTION("""COMPUTED_VALUE"""),-0.492179008701749)</f>
        <v>-0.49217900870174902</v>
      </c>
      <c r="OA4" s="3">
        <f ca="1">IFERROR(__xludf.DUMMYFUNCTION("""COMPUTED_VALUE"""),-0.426908009835794)</f>
        <v>-0.42690800983579402</v>
      </c>
      <c r="OB4" s="3">
        <f ca="1">IFERROR(__xludf.DUMMYFUNCTION("""COMPUTED_VALUE"""),-0.406963118069494)</f>
        <v>-0.40696311806949398</v>
      </c>
      <c r="OC4" s="3">
        <f ca="1">IFERROR(__xludf.DUMMYFUNCTION("""COMPUTED_VALUE"""),-0.363285004884206)</f>
        <v>-0.36328500488420601</v>
      </c>
      <c r="OD4" s="3">
        <f ca="1">IFERROR(__xludf.DUMMYFUNCTION("""COMPUTED_VALUE"""),-0.213268652073039)</f>
        <v>-0.21326865207303899</v>
      </c>
      <c r="OE4" s="3">
        <f ca="1">IFERROR(__xludf.DUMMYFUNCTION("""COMPUTED_VALUE"""),-0.155090630874235)</f>
        <v>-0.155090630874235</v>
      </c>
      <c r="OF4" s="3">
        <f ca="1">IFERROR(__xludf.DUMMYFUNCTION("""COMPUTED_VALUE"""),-0.0933012002713753)</f>
        <v>-9.3301200271375298E-2</v>
      </c>
      <c r="OG4" s="3">
        <f ca="1">IFERROR(__xludf.DUMMYFUNCTION("""COMPUTED_VALUE"""),0.0162898508503475)</f>
        <v>1.6289850850347499E-2</v>
      </c>
      <c r="OH4" s="3">
        <f ca="1">IFERROR(__xludf.DUMMYFUNCTION("""COMPUTED_VALUE"""),-0.0284579108931675)</f>
        <v>-2.8457910893167501E-2</v>
      </c>
      <c r="OI4" s="3">
        <f ca="1">IFERROR(__xludf.DUMMYFUNCTION("""COMPUTED_VALUE"""),0.0266614897821819)</f>
        <v>2.6661489782181899E-2</v>
      </c>
      <c r="OJ4" s="3">
        <f ca="1">IFERROR(__xludf.DUMMYFUNCTION("""COMPUTED_VALUE"""),-0.171279020892412)</f>
        <v>-0.17127902089241201</v>
      </c>
      <c r="OK4" s="3">
        <f ca="1">IFERROR(__xludf.DUMMYFUNCTION("""COMPUTED_VALUE"""),0.0964324999632559)</f>
        <v>9.6432499963255897E-2</v>
      </c>
      <c r="OL4" s="3">
        <f ca="1">IFERROR(__xludf.DUMMYFUNCTION("""COMPUTED_VALUE"""),0.140226256642187)</f>
        <v>0.14022625664218699</v>
      </c>
      <c r="OM4" s="3">
        <f ca="1">IFERROR(__xludf.DUMMYFUNCTION("""COMPUTED_VALUE"""),0.271925387931478)</f>
        <v>0.27192538793147802</v>
      </c>
      <c r="ON4" s="3">
        <f ca="1">IFERROR(__xludf.DUMMYFUNCTION("""COMPUTED_VALUE"""),0.0754614190232532)</f>
        <v>7.5461419023253207E-2</v>
      </c>
      <c r="OO4" s="3">
        <f ca="1">IFERROR(__xludf.DUMMYFUNCTION("""COMPUTED_VALUE"""),0.104943224753868)</f>
        <v>0.104943224753868</v>
      </c>
      <c r="OP4" s="3">
        <f ca="1">IFERROR(__xludf.DUMMYFUNCTION("""COMPUTED_VALUE"""),0.000514262339623261)</f>
        <v>5.1426233962326097E-4</v>
      </c>
      <c r="OQ4" s="3">
        <f ca="1">IFERROR(__xludf.DUMMYFUNCTION("""COMPUTED_VALUE"""),-0.131802928912517)</f>
        <v>-0.13180292891251699</v>
      </c>
      <c r="OR4" s="3">
        <f ca="1">IFERROR(__xludf.DUMMYFUNCTION("""COMPUTED_VALUE"""),0.0702160558593736)</f>
        <v>7.02160558593736E-2</v>
      </c>
      <c r="OS4" s="3">
        <f ca="1">IFERROR(__xludf.DUMMYFUNCTION("""COMPUTED_VALUE"""),-0.0238777296659036)</f>
        <v>-2.38777296659036E-2</v>
      </c>
      <c r="OT4" s="3">
        <f ca="1">IFERROR(__xludf.DUMMYFUNCTION("""COMPUTED_VALUE"""),0.061302573409389)</f>
        <v>6.1302573409389001E-2</v>
      </c>
      <c r="OU4" s="3">
        <f ca="1">IFERROR(__xludf.DUMMYFUNCTION("""COMPUTED_VALUE"""),0.0404597707847935)</f>
        <v>4.04597707847935E-2</v>
      </c>
      <c r="OV4" s="3">
        <f ca="1">IFERROR(__xludf.DUMMYFUNCTION("""COMPUTED_VALUE"""),0.105601589856197)</f>
        <v>0.105601589856197</v>
      </c>
      <c r="OW4" s="3">
        <f ca="1">IFERROR(__xludf.DUMMYFUNCTION("""COMPUTED_VALUE"""),-0.0610920298264427)</f>
        <v>-6.1092029826442698E-2</v>
      </c>
      <c r="OX4" s="3">
        <f ca="1">IFERROR(__xludf.DUMMYFUNCTION("""COMPUTED_VALUE"""),0.127336367125754)</f>
        <v>0.127336367125754</v>
      </c>
      <c r="OY4" s="3">
        <f ca="1">IFERROR(__xludf.DUMMYFUNCTION("""COMPUTED_VALUE"""),-0.0811544560022689)</f>
        <v>-8.1154456002268893E-2</v>
      </c>
      <c r="OZ4" s="3">
        <f ca="1">IFERROR(__xludf.DUMMYFUNCTION("""COMPUTED_VALUE"""),-0.115108136346677)</f>
        <v>-0.11510813634667701</v>
      </c>
      <c r="PA4" s="3">
        <f ca="1">IFERROR(__xludf.DUMMYFUNCTION("""COMPUTED_VALUE"""),-0.00607317892019865)</f>
        <v>-6.0731789201986502E-3</v>
      </c>
      <c r="PB4" s="3">
        <f ca="1">IFERROR(__xludf.DUMMYFUNCTION("""COMPUTED_VALUE"""),0.0439207083202779)</f>
        <v>4.3920708320277897E-2</v>
      </c>
      <c r="PC4" s="3">
        <f ca="1">IFERROR(__xludf.DUMMYFUNCTION("""COMPUTED_VALUE"""),0.112667045237631)</f>
        <v>0.11266704523763101</v>
      </c>
      <c r="PD4" s="3">
        <f ca="1">IFERROR(__xludf.DUMMYFUNCTION("""COMPUTED_VALUE"""),-0.0847921650456947)</f>
        <v>-8.4792165045694701E-2</v>
      </c>
      <c r="PE4" s="3">
        <f ca="1">IFERROR(__xludf.DUMMYFUNCTION("""COMPUTED_VALUE"""),-0.0868081347246312)</f>
        <v>-8.6808134724631197E-2</v>
      </c>
      <c r="PF4" s="3">
        <f ca="1">IFERROR(__xludf.DUMMYFUNCTION("""COMPUTED_VALUE"""),-0.0557826941490049)</f>
        <v>-5.5782694149004899E-2</v>
      </c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</row>
    <row r="5" spans="1:594" ht="15.75" customHeight="1">
      <c r="A5" s="1" t="str">
        <f ca="1">IFERROR(__xludf.DUMMYFUNCTION("""COMPUTED_VALUE"""),"Austin")</f>
        <v>Austin</v>
      </c>
      <c r="B5" s="3">
        <f ca="1">IFERROR(__xludf.DUMMYFUNCTION("""COMPUTED_VALUE"""),-0.541217028063628)</f>
        <v>-0.54121702806362804</v>
      </c>
      <c r="C5" s="3">
        <f ca="1">IFERROR(__xludf.DUMMYFUNCTION("""COMPUTED_VALUE"""),-0.687497500191089)</f>
        <v>-0.68749750019108902</v>
      </c>
      <c r="D5" s="3">
        <f ca="1">IFERROR(__xludf.DUMMYFUNCTION("""COMPUTED_VALUE"""),-0.695323729390348)</f>
        <v>-0.69532372939034803</v>
      </c>
      <c r="E5" s="3">
        <f ca="1">IFERROR(__xludf.DUMMYFUNCTION("""COMPUTED_VALUE"""),-0.696125070302484)</f>
        <v>-0.69612507030248405</v>
      </c>
      <c r="F5" s="3">
        <f ca="1">IFERROR(__xludf.DUMMYFUNCTION("""COMPUTED_VALUE"""),-0.707879859710674)</f>
        <v>-0.70787985971067402</v>
      </c>
      <c r="G5" s="3">
        <f ca="1">IFERROR(__xludf.DUMMYFUNCTION("""COMPUTED_VALUE"""),-0.738965312299791)</f>
        <v>-0.73896531229979101</v>
      </c>
      <c r="H5" s="3">
        <f ca="1">IFERROR(__xludf.DUMMYFUNCTION("""COMPUTED_VALUE"""),-0.610616336711651)</f>
        <v>-0.61061633671165105</v>
      </c>
      <c r="I5" s="3">
        <f ca="1">IFERROR(__xludf.DUMMYFUNCTION("""COMPUTED_VALUE"""),-0.583342001841156)</f>
        <v>-0.58334200184115603</v>
      </c>
      <c r="J5" s="3">
        <f ca="1">IFERROR(__xludf.DUMMYFUNCTION("""COMPUTED_VALUE"""),-0.711493577604642)</f>
        <v>-0.71149357760464205</v>
      </c>
      <c r="K5" s="3">
        <f ca="1">IFERROR(__xludf.DUMMYFUNCTION("""COMPUTED_VALUE"""),-0.718205037796191)</f>
        <v>-0.71820503779619105</v>
      </c>
      <c r="L5" s="3">
        <f ca="1">IFERROR(__xludf.DUMMYFUNCTION("""COMPUTED_VALUE"""),-0.728129385026095)</f>
        <v>-0.72812938502609503</v>
      </c>
      <c r="M5" s="3">
        <f ca="1">IFERROR(__xludf.DUMMYFUNCTION("""COMPUTED_VALUE"""),-0.718037709270226)</f>
        <v>-0.71803770927022603</v>
      </c>
      <c r="N5" s="3">
        <f ca="1">IFERROR(__xludf.DUMMYFUNCTION("""COMPUTED_VALUE"""),-0.726226927800837)</f>
        <v>-0.72622692780083697</v>
      </c>
      <c r="O5" s="3">
        <f ca="1">IFERROR(__xludf.DUMMYFUNCTION("""COMPUTED_VALUE"""),-0.494157519916878)</f>
        <v>-0.49415751991687801</v>
      </c>
      <c r="P5" s="3">
        <f ca="1">IFERROR(__xludf.DUMMYFUNCTION("""COMPUTED_VALUE"""),-0.586587231657038)</f>
        <v>-0.58658723165703797</v>
      </c>
      <c r="Q5" s="3">
        <f ca="1">IFERROR(__xludf.DUMMYFUNCTION("""COMPUTED_VALUE"""),-0.668038100092599)</f>
        <v>-0.66803810009259901</v>
      </c>
      <c r="R5" s="3">
        <f ca="1">IFERROR(__xludf.DUMMYFUNCTION("""COMPUTED_VALUE"""),-0.712831595254009)</f>
        <v>-0.71283159525400897</v>
      </c>
      <c r="S5" s="3">
        <f ca="1">IFERROR(__xludf.DUMMYFUNCTION("""COMPUTED_VALUE"""),-0.702515969453221)</f>
        <v>-0.70251596945322103</v>
      </c>
      <c r="T5" s="3">
        <f ca="1">IFERROR(__xludf.DUMMYFUNCTION("""COMPUTED_VALUE"""),-0.688432930492843)</f>
        <v>-0.68843293049284304</v>
      </c>
      <c r="U5" s="3">
        <f ca="1">IFERROR(__xludf.DUMMYFUNCTION("""COMPUTED_VALUE"""),-0.705803744724429)</f>
        <v>-0.70580374472442897</v>
      </c>
      <c r="V5" s="3">
        <f ca="1">IFERROR(__xludf.DUMMYFUNCTION("""COMPUTED_VALUE"""),-0.495671062641208)</f>
        <v>-0.49567106264120803</v>
      </c>
      <c r="W5" s="3">
        <f ca="1">IFERROR(__xludf.DUMMYFUNCTION("""COMPUTED_VALUE"""),-0.581607158518133)</f>
        <v>-0.58160715851813305</v>
      </c>
      <c r="X5" s="3">
        <f ca="1">IFERROR(__xludf.DUMMYFUNCTION("""COMPUTED_VALUE"""),-0.717979763599343)</f>
        <v>-0.71797976359934301</v>
      </c>
      <c r="Y5" s="3">
        <f ca="1">IFERROR(__xludf.DUMMYFUNCTION("""COMPUTED_VALUE"""),-0.723862842533068)</f>
        <v>-0.72386284253306798</v>
      </c>
      <c r="Z5" s="3">
        <f ca="1">IFERROR(__xludf.DUMMYFUNCTION("""COMPUTED_VALUE"""),-0.72894347572466)</f>
        <v>-0.72894347572466001</v>
      </c>
      <c r="AA5" s="3">
        <f ca="1">IFERROR(__xludf.DUMMYFUNCTION("""COMPUTED_VALUE"""),-0.712263405639853)</f>
        <v>-0.71226340563985302</v>
      </c>
      <c r="AB5" s="3">
        <f ca="1">IFERROR(__xludf.DUMMYFUNCTION("""COMPUTED_VALUE"""),-0.697764949616904)</f>
        <v>-0.69776494961690405</v>
      </c>
      <c r="AC5" s="3">
        <f ca="1">IFERROR(__xludf.DUMMYFUNCTION("""COMPUTED_VALUE"""),-0.567595232859206)</f>
        <v>-0.56759523285920599</v>
      </c>
      <c r="AD5" s="3">
        <f ca="1">IFERROR(__xludf.DUMMYFUNCTION("""COMPUTED_VALUE"""),-0.638589739309179)</f>
        <v>-0.63858973930917895</v>
      </c>
      <c r="AE5" s="3">
        <f ca="1">IFERROR(__xludf.DUMMYFUNCTION("""COMPUTED_VALUE"""),-0.724754286773797)</f>
        <v>-0.72475428677379705</v>
      </c>
      <c r="AF5" s="3">
        <f ca="1">IFERROR(__xludf.DUMMYFUNCTION("""COMPUTED_VALUE"""),-0.707624534036392)</f>
        <v>-0.70762453403639203</v>
      </c>
      <c r="AG5" s="3">
        <f ca="1">IFERROR(__xludf.DUMMYFUNCTION("""COMPUTED_VALUE"""),-0.716871555973003)</f>
        <v>-0.71687155597300301</v>
      </c>
      <c r="AH5" s="3">
        <f ca="1">IFERROR(__xludf.DUMMYFUNCTION("""COMPUTED_VALUE"""),-0.701064563522616)</f>
        <v>-0.70106456352261604</v>
      </c>
      <c r="AI5" s="3">
        <f ca="1">IFERROR(__xludf.DUMMYFUNCTION("""COMPUTED_VALUE"""),-0.705453165714604)</f>
        <v>-0.70545316571460404</v>
      </c>
      <c r="AJ5" s="3">
        <f ca="1">IFERROR(__xludf.DUMMYFUNCTION("""COMPUTED_VALUE"""),-0.583129039766811)</f>
        <v>-0.58312903976681096</v>
      </c>
      <c r="AK5" s="3">
        <f ca="1">IFERROR(__xludf.DUMMYFUNCTION("""COMPUTED_VALUE"""),-0.623322812948519)</f>
        <v>-0.62332281294851899</v>
      </c>
      <c r="AL5" s="3">
        <f ca="1">IFERROR(__xludf.DUMMYFUNCTION("""COMPUTED_VALUE"""),-0.729228371634622)</f>
        <v>-0.72922837163462195</v>
      </c>
      <c r="AM5" s="3">
        <f ca="1">IFERROR(__xludf.DUMMYFUNCTION("""COMPUTED_VALUE"""),-0.744363061012576)</f>
        <v>-0.74436306101257599</v>
      </c>
      <c r="AN5" s="3">
        <f ca="1">IFERROR(__xludf.DUMMYFUNCTION("""COMPUTED_VALUE"""),-0.743560716150816)</f>
        <v>-0.74356071615081598</v>
      </c>
      <c r="AO5" s="3">
        <f ca="1">IFERROR(__xludf.DUMMYFUNCTION("""COMPUTED_VALUE"""),-0.731481817275022)</f>
        <v>-0.73148181727502204</v>
      </c>
      <c r="AP5" s="3">
        <f ca="1">IFERROR(__xludf.DUMMYFUNCTION("""COMPUTED_VALUE"""),-0.753463358358844)</f>
        <v>-0.75346335835884404</v>
      </c>
      <c r="AQ5" s="3">
        <f ca="1">IFERROR(__xludf.DUMMYFUNCTION("""COMPUTED_VALUE"""),-0.614940509663553)</f>
        <v>-0.61494050966355296</v>
      </c>
      <c r="AR5" s="3">
        <f ca="1">IFERROR(__xludf.DUMMYFUNCTION("""COMPUTED_VALUE"""),-0.625430073569352)</f>
        <v>-0.62543007356935199</v>
      </c>
      <c r="AS5" s="3">
        <f ca="1">IFERROR(__xludf.DUMMYFUNCTION("""COMPUTED_VALUE"""),-0.732613507527431)</f>
        <v>-0.73261350752743104</v>
      </c>
      <c r="AT5" s="3">
        <f ca="1">IFERROR(__xludf.DUMMYFUNCTION("""COMPUTED_VALUE"""),-0.747059858260702)</f>
        <v>-0.74705985826070198</v>
      </c>
      <c r="AU5" s="3">
        <f ca="1">IFERROR(__xludf.DUMMYFUNCTION("""COMPUTED_VALUE"""),-0.732327395037373)</f>
        <v>-0.73232739503737299</v>
      </c>
      <c r="AV5" s="3">
        <f ca="1">IFERROR(__xludf.DUMMYFUNCTION("""COMPUTED_VALUE"""),-0.72388211650688)</f>
        <v>-0.72388211650687995</v>
      </c>
      <c r="AW5" s="3">
        <f ca="1">IFERROR(__xludf.DUMMYFUNCTION("""COMPUTED_VALUE"""),-0.721109056649716)</f>
        <v>-0.72110905664971603</v>
      </c>
      <c r="AX5" s="3">
        <f ca="1">IFERROR(__xludf.DUMMYFUNCTION("""COMPUTED_VALUE"""),-0.55496460865637)</f>
        <v>-0.55496460865636998</v>
      </c>
      <c r="AY5" s="3">
        <f ca="1">IFERROR(__xludf.DUMMYFUNCTION("""COMPUTED_VALUE"""),-0.576694549890426)</f>
        <v>-0.57669454989042601</v>
      </c>
      <c r="AZ5" s="3">
        <f ca="1">IFERROR(__xludf.DUMMYFUNCTION("""COMPUTED_VALUE"""),-0.730792385281607)</f>
        <v>-0.73079238528160695</v>
      </c>
      <c r="BA5" s="3">
        <f ca="1">IFERROR(__xludf.DUMMYFUNCTION("""COMPUTED_VALUE"""),-0.8631432338361)</f>
        <v>-0.86314323383610003</v>
      </c>
      <c r="BB5" s="3">
        <f ca="1">IFERROR(__xludf.DUMMYFUNCTION("""COMPUTED_VALUE"""),-0.959352504637888)</f>
        <v>-0.95935250463788802</v>
      </c>
      <c r="BC5" s="3">
        <f ca="1">IFERROR(__xludf.DUMMYFUNCTION("""COMPUTED_VALUE"""),-0.940793112254983)</f>
        <v>-0.94079311225498297</v>
      </c>
      <c r="BD5" s="3">
        <f ca="1">IFERROR(__xludf.DUMMYFUNCTION("""COMPUTED_VALUE"""),-0.941978542311186)</f>
        <v>-0.94197854231118605</v>
      </c>
      <c r="BE5" s="3">
        <f ca="1">IFERROR(__xludf.DUMMYFUNCTION("""COMPUTED_VALUE"""),-0.541503622379519)</f>
        <v>-0.54150362237951899</v>
      </c>
      <c r="BF5" s="3">
        <f ca="1">IFERROR(__xludf.DUMMYFUNCTION("""COMPUTED_VALUE"""),-0.637820265559485)</f>
        <v>-0.63782026555948501</v>
      </c>
      <c r="BG5" s="3">
        <f ca="1">IFERROR(__xludf.DUMMYFUNCTION("""COMPUTED_VALUE"""),-0.755553165181814)</f>
        <v>-0.75555316518181403</v>
      </c>
      <c r="BH5" s="3">
        <f ca="1">IFERROR(__xludf.DUMMYFUNCTION("""COMPUTED_VALUE"""),-0.809873394535956)</f>
        <v>-0.80987339453595597</v>
      </c>
      <c r="BI5" s="3">
        <f ca="1">IFERROR(__xludf.DUMMYFUNCTION("""COMPUTED_VALUE"""),-0.755145870535006)</f>
        <v>-0.75514587053500604</v>
      </c>
      <c r="BJ5" s="3">
        <f ca="1">IFERROR(__xludf.DUMMYFUNCTION("""COMPUTED_VALUE"""),-0.750602009680509)</f>
        <v>-0.75060200968050905</v>
      </c>
      <c r="BK5" s="3">
        <f ca="1">IFERROR(__xludf.DUMMYFUNCTION("""COMPUTED_VALUE"""),-0.73644452995556)</f>
        <v>-0.73644452995555998</v>
      </c>
      <c r="BL5" s="3">
        <f ca="1">IFERROR(__xludf.DUMMYFUNCTION("""COMPUTED_VALUE"""),-0.606633286378897)</f>
        <v>-0.60663328637889702</v>
      </c>
      <c r="BM5" s="3">
        <f ca="1">IFERROR(__xludf.DUMMYFUNCTION("""COMPUTED_VALUE"""),-0.617964937720267)</f>
        <v>-0.61796493772026695</v>
      </c>
      <c r="BN5" s="3">
        <f ca="1">IFERROR(__xludf.DUMMYFUNCTION("""COMPUTED_VALUE"""),-0.728767040990505)</f>
        <v>-0.72876704099050504</v>
      </c>
      <c r="BO5" s="3">
        <f ca="1">IFERROR(__xludf.DUMMYFUNCTION("""COMPUTED_VALUE"""),-0.755894047071367)</f>
        <v>-0.75589404707136698</v>
      </c>
      <c r="BP5" s="3">
        <f ca="1">IFERROR(__xludf.DUMMYFUNCTION("""COMPUTED_VALUE"""),-0.740023065106781)</f>
        <v>-0.74002306510678095</v>
      </c>
      <c r="BQ5" s="3">
        <f ca="1">IFERROR(__xludf.DUMMYFUNCTION("""COMPUTED_VALUE"""),-0.756724549828425)</f>
        <v>-0.75672454982842496</v>
      </c>
      <c r="BR5" s="3">
        <f ca="1">IFERROR(__xludf.DUMMYFUNCTION("""COMPUTED_VALUE"""),-0.72933151291119)</f>
        <v>-0.72933151291119003</v>
      </c>
      <c r="BS5" s="3">
        <f ca="1">IFERROR(__xludf.DUMMYFUNCTION("""COMPUTED_VALUE"""),-0.579477425731848)</f>
        <v>-0.57947742573184802</v>
      </c>
      <c r="BT5" s="3">
        <f ca="1">IFERROR(__xludf.DUMMYFUNCTION("""COMPUTED_VALUE"""),-0.597573928992734)</f>
        <v>-0.59757392899273398</v>
      </c>
      <c r="BU5" s="3">
        <f ca="1">IFERROR(__xludf.DUMMYFUNCTION("""COMPUTED_VALUE"""),-0.727734719628524)</f>
        <v>-0.72773471962852398</v>
      </c>
      <c r="BV5" s="3">
        <f ca="1">IFERROR(__xludf.DUMMYFUNCTION("""COMPUTED_VALUE"""),-0.769774290438243)</f>
        <v>-0.76977429043824297</v>
      </c>
      <c r="BW5" s="3">
        <f ca="1">IFERROR(__xludf.DUMMYFUNCTION("""COMPUTED_VALUE"""),-0.73286147825805)</f>
        <v>-0.73286147825805004</v>
      </c>
      <c r="BX5" s="3">
        <f ca="1">IFERROR(__xludf.DUMMYFUNCTION("""COMPUTED_VALUE"""),-0.758494048242134)</f>
        <v>-0.75849404824213396</v>
      </c>
      <c r="BY5" s="3">
        <f ca="1">IFERROR(__xludf.DUMMYFUNCTION("""COMPUTED_VALUE"""),-0.723460191493108)</f>
        <v>-0.72346019149310803</v>
      </c>
      <c r="BZ5" s="3">
        <f ca="1">IFERROR(__xludf.DUMMYFUNCTION("""COMPUTED_VALUE"""),-0.615756795831611)</f>
        <v>-0.61575679583161103</v>
      </c>
      <c r="CA5" s="3">
        <f ca="1">IFERROR(__xludf.DUMMYFUNCTION("""COMPUTED_VALUE"""),-0.564774445084591)</f>
        <v>-0.56477444508459096</v>
      </c>
      <c r="CB5" s="3">
        <f ca="1">IFERROR(__xludf.DUMMYFUNCTION("""COMPUTED_VALUE"""),-0.694282944381447)</f>
        <v>-0.694282944381447</v>
      </c>
      <c r="CC5" s="3">
        <f ca="1">IFERROR(__xludf.DUMMYFUNCTION("""COMPUTED_VALUE"""),-0.750198818903549)</f>
        <v>-0.750198818903549</v>
      </c>
      <c r="CD5" s="3">
        <f ca="1">IFERROR(__xludf.DUMMYFUNCTION("""COMPUTED_VALUE"""),-0.756632033001685)</f>
        <v>-0.75663203300168502</v>
      </c>
      <c r="CE5" s="3">
        <f ca="1">IFERROR(__xludf.DUMMYFUNCTION("""COMPUTED_VALUE"""),-0.756705587064791)</f>
        <v>-0.75670558706479096</v>
      </c>
      <c r="CF5" s="3">
        <f ca="1">IFERROR(__xludf.DUMMYFUNCTION("""COMPUTED_VALUE"""),-0.728345239427101)</f>
        <v>-0.72834523942710105</v>
      </c>
      <c r="CG5" s="3">
        <f ca="1">IFERROR(__xludf.DUMMYFUNCTION("""COMPUTED_VALUE"""),-0.557414217575402)</f>
        <v>-0.55741421757540199</v>
      </c>
      <c r="CH5" s="3">
        <f ca="1">IFERROR(__xludf.DUMMYFUNCTION("""COMPUTED_VALUE"""),-0.540660109410767)</f>
        <v>-0.54066010941076703</v>
      </c>
      <c r="CI5" s="3">
        <f ca="1">IFERROR(__xludf.DUMMYFUNCTION("""COMPUTED_VALUE"""),-0.689199239261657)</f>
        <v>-0.68919923926165705</v>
      </c>
      <c r="CJ5" s="3">
        <f ca="1">IFERROR(__xludf.DUMMYFUNCTION("""COMPUTED_VALUE"""),-0.700809412857809)</f>
        <v>-0.70080941285780896</v>
      </c>
      <c r="CK5" s="3">
        <f ca="1">IFERROR(__xludf.DUMMYFUNCTION("""COMPUTED_VALUE"""),-0.6975033521815)</f>
        <v>-0.69750335218149995</v>
      </c>
      <c r="CL5" s="3">
        <f ca="1">IFERROR(__xludf.DUMMYFUNCTION("""COMPUTED_VALUE"""),-0.704045078128468)</f>
        <v>-0.70404507812846795</v>
      </c>
      <c r="CM5" s="3">
        <f ca="1">IFERROR(__xludf.DUMMYFUNCTION("""COMPUTED_VALUE"""),-0.67634769572141)</f>
        <v>-0.67634769572140996</v>
      </c>
      <c r="CN5" s="3">
        <f ca="1">IFERROR(__xludf.DUMMYFUNCTION("""COMPUTED_VALUE"""),-0.62957056482252)</f>
        <v>-0.62957056482252005</v>
      </c>
      <c r="CO5" s="3">
        <f ca="1">IFERROR(__xludf.DUMMYFUNCTION("""COMPUTED_VALUE"""),-0.519215583971347)</f>
        <v>-0.51921558397134704</v>
      </c>
      <c r="CP5" s="3">
        <f ca="1">IFERROR(__xludf.DUMMYFUNCTION("""COMPUTED_VALUE"""),-0.63894425485178)</f>
        <v>-0.63894425485177997</v>
      </c>
      <c r="CQ5" s="3">
        <f ca="1">IFERROR(__xludf.DUMMYFUNCTION("""COMPUTED_VALUE"""),-0.657795921805435)</f>
        <v>-0.657795921805435</v>
      </c>
      <c r="CR5" s="3">
        <f ca="1">IFERROR(__xludf.DUMMYFUNCTION("""COMPUTED_VALUE"""),-0.654121966997859)</f>
        <v>-0.65412196699785896</v>
      </c>
      <c r="CS5" s="3">
        <f ca="1">IFERROR(__xludf.DUMMYFUNCTION("""COMPUTED_VALUE"""),-0.624037829934876)</f>
        <v>-0.624037829934876</v>
      </c>
      <c r="CT5" s="3">
        <f ca="1">IFERROR(__xludf.DUMMYFUNCTION("""COMPUTED_VALUE"""),-0.65280530881121)</f>
        <v>-0.65280530881121002</v>
      </c>
      <c r="CU5" s="3">
        <f ca="1">IFERROR(__xludf.DUMMYFUNCTION("""COMPUTED_VALUE"""),-0.523228691639564)</f>
        <v>-0.52322869163956398</v>
      </c>
      <c r="CV5" s="3">
        <f ca="1">IFERROR(__xludf.DUMMYFUNCTION("""COMPUTED_VALUE"""),-0.568082624568386)</f>
        <v>-0.56808262456838599</v>
      </c>
      <c r="CW5" s="3">
        <f ca="1">IFERROR(__xludf.DUMMYFUNCTION("""COMPUTED_VALUE"""),-0.69357190681838)</f>
        <v>-0.69357190681837999</v>
      </c>
      <c r="CX5" s="3">
        <f ca="1">IFERROR(__xludf.DUMMYFUNCTION("""COMPUTED_VALUE"""),-0.693034357571088)</f>
        <v>-0.693034357571088</v>
      </c>
      <c r="CY5" s="3">
        <f ca="1">IFERROR(__xludf.DUMMYFUNCTION("""COMPUTED_VALUE"""),-0.537688801470184)</f>
        <v>-0.53768880147018405</v>
      </c>
      <c r="CZ5" s="3">
        <f ca="1">IFERROR(__xludf.DUMMYFUNCTION("""COMPUTED_VALUE"""),-0.580181762271182)</f>
        <v>-0.58018176227118201</v>
      </c>
      <c r="DA5" s="3">
        <f ca="1">IFERROR(__xludf.DUMMYFUNCTION("""COMPUTED_VALUE"""),-0.572144119297014)</f>
        <v>-0.57214411929701403</v>
      </c>
      <c r="DB5" s="3">
        <f ca="1">IFERROR(__xludf.DUMMYFUNCTION("""COMPUTED_VALUE"""),-0.507225136415961)</f>
        <v>-0.50722513641596101</v>
      </c>
      <c r="DC5" s="3">
        <f ca="1">IFERROR(__xludf.DUMMYFUNCTION("""COMPUTED_VALUE"""),-0.581693547807)</f>
        <v>-0.581693547807</v>
      </c>
      <c r="DD5" s="3">
        <f ca="1">IFERROR(__xludf.DUMMYFUNCTION("""COMPUTED_VALUE"""),-0.826962130280243)</f>
        <v>-0.82696213028024301</v>
      </c>
      <c r="DE5" s="3">
        <f ca="1">IFERROR(__xludf.DUMMYFUNCTION("""COMPUTED_VALUE"""),-0.715741103348279)</f>
        <v>-0.71574110334827901</v>
      </c>
      <c r="DF5" s="3">
        <f ca="1">IFERROR(__xludf.DUMMYFUNCTION("""COMPUTED_VALUE"""),-0.541850648747201)</f>
        <v>-0.54185064874720101</v>
      </c>
      <c r="DG5" s="3">
        <f ca="1">IFERROR(__xludf.DUMMYFUNCTION("""COMPUTED_VALUE"""),-0.63751029858914)</f>
        <v>-0.63751029858913999</v>
      </c>
      <c r="DH5" s="3">
        <f ca="1">IFERROR(__xludf.DUMMYFUNCTION("""COMPUTED_VALUE"""),-0.628414512787049)</f>
        <v>-0.62841451278704896</v>
      </c>
      <c r="DI5" s="3">
        <f ca="1">IFERROR(__xludf.DUMMYFUNCTION("""COMPUTED_VALUE"""),-0.508720860924037)</f>
        <v>-0.50872086092403701</v>
      </c>
      <c r="DJ5" s="3">
        <f ca="1">IFERROR(__xludf.DUMMYFUNCTION("""COMPUTED_VALUE"""),-0.651914971841936)</f>
        <v>-0.65191497184193603</v>
      </c>
      <c r="DK5" s="3">
        <f ca="1">IFERROR(__xludf.DUMMYFUNCTION("""COMPUTED_VALUE"""),-0.652053554140279)</f>
        <v>-0.65205355414027899</v>
      </c>
      <c r="DL5" s="3">
        <f ca="1">IFERROR(__xludf.DUMMYFUNCTION("""COMPUTED_VALUE"""),-0.671548032153781)</f>
        <v>-0.671548032153781</v>
      </c>
      <c r="DM5" s="3">
        <f ca="1">IFERROR(__xludf.DUMMYFUNCTION("""COMPUTED_VALUE"""),-0.669190978956416)</f>
        <v>-0.66919097895641599</v>
      </c>
      <c r="DN5" s="3">
        <f ca="1">IFERROR(__xludf.DUMMYFUNCTION("""COMPUTED_VALUE"""),-0.700682063336184)</f>
        <v>-0.70068206333618399</v>
      </c>
      <c r="DO5" s="3">
        <f ca="1">IFERROR(__xludf.DUMMYFUNCTION("""COMPUTED_VALUE"""),-0.726059120598794)</f>
        <v>-0.72605912059879396</v>
      </c>
      <c r="DP5" s="3">
        <f ca="1">IFERROR(__xludf.DUMMYFUNCTION("""COMPUTED_VALUE"""),-0.631671114940924)</f>
        <v>-0.63167111494092398</v>
      </c>
      <c r="DQ5" s="3">
        <f ca="1">IFERROR(__xludf.DUMMYFUNCTION("""COMPUTED_VALUE"""),-0.626197503149357)</f>
        <v>-0.62619750314935696</v>
      </c>
      <c r="DR5" s="3">
        <f ca="1">IFERROR(__xludf.DUMMYFUNCTION("""COMPUTED_VALUE"""),-0.719171627562332)</f>
        <v>-0.71917162756233199</v>
      </c>
      <c r="DS5" s="3">
        <f ca="1">IFERROR(__xludf.DUMMYFUNCTION("""COMPUTED_VALUE"""),-0.738493231077925)</f>
        <v>-0.73849323107792497</v>
      </c>
      <c r="DT5" s="3">
        <f ca="1">IFERROR(__xludf.DUMMYFUNCTION("""COMPUTED_VALUE"""),-0.714570330061953)</f>
        <v>-0.71457033006195303</v>
      </c>
      <c r="DU5" s="3">
        <f ca="1">IFERROR(__xludf.DUMMYFUNCTION("""COMPUTED_VALUE"""),-0.741576024433286)</f>
        <v>-0.74157602443328596</v>
      </c>
      <c r="DV5" s="3">
        <f ca="1">IFERROR(__xludf.DUMMYFUNCTION("""COMPUTED_VALUE"""),-0.780384090174362)</f>
        <v>-0.78038409017436206</v>
      </c>
      <c r="DW5" s="3">
        <f ca="1">IFERROR(__xludf.DUMMYFUNCTION("""COMPUTED_VALUE"""),-0.634492231936189)</f>
        <v>-0.63449223193618898</v>
      </c>
      <c r="DX5" s="3">
        <f ca="1">IFERROR(__xludf.DUMMYFUNCTION("""COMPUTED_VALUE"""),-0.660794574864679)</f>
        <v>-0.66079457486467896</v>
      </c>
      <c r="DY5" s="3">
        <f ca="1">IFERROR(__xludf.DUMMYFUNCTION("""COMPUTED_VALUE"""),-0.716120001527911)</f>
        <v>-0.716120001527911</v>
      </c>
      <c r="DZ5" s="3">
        <f ca="1">IFERROR(__xludf.DUMMYFUNCTION("""COMPUTED_VALUE"""),-0.678974655872145)</f>
        <v>-0.67897465587214501</v>
      </c>
      <c r="EA5" s="3">
        <f ca="1">IFERROR(__xludf.DUMMYFUNCTION("""COMPUTED_VALUE"""),-0.715804810967371)</f>
        <v>-0.71580481096737103</v>
      </c>
      <c r="EB5" s="3">
        <f ca="1">IFERROR(__xludf.DUMMYFUNCTION("""COMPUTED_VALUE"""),-0.752931203552704)</f>
        <v>-0.75293120355270404</v>
      </c>
      <c r="EC5" s="3">
        <f ca="1">IFERROR(__xludf.DUMMYFUNCTION("""COMPUTED_VALUE"""),-0.766294506806717)</f>
        <v>-0.76629450680671696</v>
      </c>
      <c r="ED5" s="3">
        <f ca="1">IFERROR(__xludf.DUMMYFUNCTION("""COMPUTED_VALUE"""),-0.63554558105018)</f>
        <v>-0.63554558105018</v>
      </c>
      <c r="EE5" s="3">
        <f ca="1">IFERROR(__xludf.DUMMYFUNCTION("""COMPUTED_VALUE"""),-0.703150849169734)</f>
        <v>-0.70315084916973403</v>
      </c>
      <c r="EF5" s="3">
        <f ca="1">IFERROR(__xludf.DUMMYFUNCTION("""COMPUTED_VALUE"""),-0.746342907012333)</f>
        <v>-0.74634290701233297</v>
      </c>
      <c r="EG5" s="3">
        <f ca="1">IFERROR(__xludf.DUMMYFUNCTION("""COMPUTED_VALUE"""),-0.830983694305104)</f>
        <v>-0.83098369430510399</v>
      </c>
      <c r="EH5" s="3">
        <f ca="1">IFERROR(__xludf.DUMMYFUNCTION("""COMPUTED_VALUE"""),-0.699847952371113)</f>
        <v>-0.69984795237111297</v>
      </c>
      <c r="EI5" s="3">
        <f ca="1">IFERROR(__xludf.DUMMYFUNCTION("""COMPUTED_VALUE"""),-0.758726665786416)</f>
        <v>-0.75872666578641601</v>
      </c>
      <c r="EJ5" s="3">
        <f ca="1">IFERROR(__xludf.DUMMYFUNCTION("""COMPUTED_VALUE"""),-0.767831886534014)</f>
        <v>-0.76783188653401402</v>
      </c>
      <c r="EK5" s="3">
        <f ca="1">IFERROR(__xludf.DUMMYFUNCTION("""COMPUTED_VALUE"""),-0.578801746179209)</f>
        <v>-0.57880174617920899</v>
      </c>
      <c r="EL5" s="3">
        <f ca="1">IFERROR(__xludf.DUMMYFUNCTION("""COMPUTED_VALUE"""),-0.587711039159305)</f>
        <v>-0.587711039159305</v>
      </c>
      <c r="EM5" s="3">
        <f ca="1">IFERROR(__xludf.DUMMYFUNCTION("""COMPUTED_VALUE"""),-0.68077479850289)</f>
        <v>-0.68077479850289002</v>
      </c>
      <c r="EN5" s="3">
        <f ca="1">IFERROR(__xludf.DUMMYFUNCTION("""COMPUTED_VALUE"""),-0.693746415807516)</f>
        <v>-0.69374641580751595</v>
      </c>
      <c r="EO5" s="3">
        <f ca="1">IFERROR(__xludf.DUMMYFUNCTION("""COMPUTED_VALUE"""),-0.721233811671654)</f>
        <v>-0.72123381167165401</v>
      </c>
      <c r="EP5" s="3">
        <f ca="1">IFERROR(__xludf.DUMMYFUNCTION("""COMPUTED_VALUE"""),-0.743180827800927)</f>
        <v>-0.74318082780092698</v>
      </c>
      <c r="EQ5" s="3">
        <f ca="1">IFERROR(__xludf.DUMMYFUNCTION("""COMPUTED_VALUE"""),-0.745908438827237)</f>
        <v>-0.74590843882723701</v>
      </c>
      <c r="ER5" s="3">
        <f ca="1">IFERROR(__xludf.DUMMYFUNCTION("""COMPUTED_VALUE"""),-0.608250356775411)</f>
        <v>-0.60825035677541095</v>
      </c>
      <c r="ES5" s="3">
        <f ca="1">IFERROR(__xludf.DUMMYFUNCTION("""COMPUTED_VALUE"""),-0.631561748785565)</f>
        <v>-0.63156174878556504</v>
      </c>
      <c r="ET5" s="3">
        <f ca="1">IFERROR(__xludf.DUMMYFUNCTION("""COMPUTED_VALUE"""),-0.733652124655205)</f>
        <v>-0.73365212465520502</v>
      </c>
      <c r="EU5" s="3">
        <f ca="1">IFERROR(__xludf.DUMMYFUNCTION("""COMPUTED_VALUE"""),-0.784779331606406)</f>
        <v>-0.78477933160640601</v>
      </c>
      <c r="EV5" s="3">
        <f ca="1">IFERROR(__xludf.DUMMYFUNCTION("""COMPUTED_VALUE"""),-0.749953401721152)</f>
        <v>-0.74995340172115199</v>
      </c>
      <c r="EW5" s="3">
        <f ca="1">IFERROR(__xludf.DUMMYFUNCTION("""COMPUTED_VALUE"""),-0.765464927458364)</f>
        <v>-0.76546492745836403</v>
      </c>
      <c r="EX5" s="3">
        <f ca="1">IFERROR(__xludf.DUMMYFUNCTION("""COMPUTED_VALUE"""),-0.757108675882867)</f>
        <v>-0.75710867588286701</v>
      </c>
      <c r="EY5" s="3">
        <f ca="1">IFERROR(__xludf.DUMMYFUNCTION("""COMPUTED_VALUE"""),-0.634946082744707)</f>
        <v>-0.63494608274470699</v>
      </c>
      <c r="EZ5" s="3">
        <f ca="1">IFERROR(__xludf.DUMMYFUNCTION("""COMPUTED_VALUE"""),-0.659453998775174)</f>
        <v>-0.65945399877517397</v>
      </c>
      <c r="FA5" s="3">
        <f ca="1">IFERROR(__xludf.DUMMYFUNCTION("""COMPUTED_VALUE"""),-0.747041300486103)</f>
        <v>-0.74704130048610295</v>
      </c>
      <c r="FB5" s="3">
        <f ca="1">IFERROR(__xludf.DUMMYFUNCTION("""COMPUTED_VALUE"""),-0.761511773837545)</f>
        <v>-0.76151177383754498</v>
      </c>
      <c r="FC5" s="3">
        <f ca="1">IFERROR(__xludf.DUMMYFUNCTION("""COMPUTED_VALUE"""),-0.772317662671272)</f>
        <v>-0.772317662671272</v>
      </c>
      <c r="FD5" s="3">
        <f ca="1">IFERROR(__xludf.DUMMYFUNCTION("""COMPUTED_VALUE"""),-0.759305998801423)</f>
        <v>-0.75930599880142302</v>
      </c>
      <c r="FE5" s="3">
        <f ca="1">IFERROR(__xludf.DUMMYFUNCTION("""COMPUTED_VALUE"""),-0.749000146983351)</f>
        <v>-0.74900014698335105</v>
      </c>
      <c r="FF5" s="3">
        <f ca="1">IFERROR(__xludf.DUMMYFUNCTION("""COMPUTED_VALUE"""),-0.635586907007021)</f>
        <v>-0.63558690700702103</v>
      </c>
      <c r="FG5" s="3">
        <f ca="1">IFERROR(__xludf.DUMMYFUNCTION("""COMPUTED_VALUE"""),-0.633412323806568)</f>
        <v>-0.63341232380656798</v>
      </c>
      <c r="FH5" s="3">
        <f ca="1">IFERROR(__xludf.DUMMYFUNCTION("""COMPUTED_VALUE"""),-0.709583580453384)</f>
        <v>-0.70958358045338399</v>
      </c>
      <c r="FI5" s="3">
        <f ca="1">IFERROR(__xludf.DUMMYFUNCTION("""COMPUTED_VALUE"""),-0.757975583865604)</f>
        <v>-0.75797558386560404</v>
      </c>
      <c r="FJ5" s="3">
        <f ca="1">IFERROR(__xludf.DUMMYFUNCTION("""COMPUTED_VALUE"""),-0.783470840721725)</f>
        <v>-0.78347084072172501</v>
      </c>
      <c r="FK5" s="3">
        <f ca="1">IFERROR(__xludf.DUMMYFUNCTION("""COMPUTED_VALUE"""),-0.783396242336382)</f>
        <v>-0.78339624233638205</v>
      </c>
      <c r="FL5" s="3">
        <f ca="1">IFERROR(__xludf.DUMMYFUNCTION("""COMPUTED_VALUE"""),-0.759674054220686)</f>
        <v>-0.75967405422068601</v>
      </c>
      <c r="FM5" s="3">
        <f ca="1">IFERROR(__xludf.DUMMYFUNCTION("""COMPUTED_VALUE"""),-0.632509197539568)</f>
        <v>-0.63250919753956802</v>
      </c>
      <c r="FN5" s="3">
        <f ca="1">IFERROR(__xludf.DUMMYFUNCTION("""COMPUTED_VALUE"""),-0.644528100115299)</f>
        <v>-0.64452810011529904</v>
      </c>
      <c r="FO5" s="3">
        <f ca="1">IFERROR(__xludf.DUMMYFUNCTION("""COMPUTED_VALUE"""),-0.725461947470018)</f>
        <v>-0.72546194747001802</v>
      </c>
      <c r="FP5" s="3">
        <f ca="1">IFERROR(__xludf.DUMMYFUNCTION("""COMPUTED_VALUE"""),-0.751121438746281)</f>
        <v>-0.75112143874628101</v>
      </c>
      <c r="FQ5" s="3">
        <f ca="1">IFERROR(__xludf.DUMMYFUNCTION("""COMPUTED_VALUE"""),-0.746960107396764)</f>
        <v>-0.74696010739676399</v>
      </c>
      <c r="FR5" s="3">
        <f ca="1">IFERROR(__xludf.DUMMYFUNCTION("""COMPUTED_VALUE"""),-0.768507272362408)</f>
        <v>-0.76850727236240801</v>
      </c>
      <c r="FS5" s="3">
        <f ca="1">IFERROR(__xludf.DUMMYFUNCTION("""COMPUTED_VALUE"""),-0.735698670820218)</f>
        <v>-0.735698670820218</v>
      </c>
      <c r="FT5" s="3">
        <f ca="1">IFERROR(__xludf.DUMMYFUNCTION("""COMPUTED_VALUE"""),-0.615093740795979)</f>
        <v>-0.615093740795979</v>
      </c>
      <c r="FU5" s="3">
        <f ca="1">IFERROR(__xludf.DUMMYFUNCTION("""COMPUTED_VALUE"""),-0.667115382619938)</f>
        <v>-0.66711538261993797</v>
      </c>
      <c r="FV5" s="3">
        <f ca="1">IFERROR(__xludf.DUMMYFUNCTION("""COMPUTED_VALUE"""),-0.761483933466033)</f>
        <v>-0.76148393346603305</v>
      </c>
      <c r="FW5" s="3">
        <f ca="1">IFERROR(__xludf.DUMMYFUNCTION("""COMPUTED_VALUE"""),-0.761789112722715)</f>
        <v>-0.76178911272271499</v>
      </c>
      <c r="FX5" s="3">
        <f ca="1">IFERROR(__xludf.DUMMYFUNCTION("""COMPUTED_VALUE"""),-0.735427381280403)</f>
        <v>-0.73542738128040297</v>
      </c>
      <c r="FY5" s="3">
        <f ca="1">IFERROR(__xludf.DUMMYFUNCTION("""COMPUTED_VALUE"""),-0.77262833171347)</f>
        <v>-0.77262833171347001</v>
      </c>
      <c r="FZ5" s="3">
        <f ca="1">IFERROR(__xludf.DUMMYFUNCTION("""COMPUTED_VALUE"""),-0.759762271342933)</f>
        <v>-0.75976227134293295</v>
      </c>
      <c r="GA5" s="3">
        <f ca="1">IFERROR(__xludf.DUMMYFUNCTION("""COMPUTED_VALUE"""),-0.645050475701981)</f>
        <v>-0.64505047570198104</v>
      </c>
      <c r="GB5" s="3">
        <f ca="1">IFERROR(__xludf.DUMMYFUNCTION("""COMPUTED_VALUE"""),-0.658560314483978)</f>
        <v>-0.658560314483978</v>
      </c>
      <c r="GC5" s="3">
        <f ca="1">IFERROR(__xludf.DUMMYFUNCTION("""COMPUTED_VALUE"""),-0.728961452538034)</f>
        <v>-0.72896145253803402</v>
      </c>
      <c r="GD5" s="3">
        <f ca="1">IFERROR(__xludf.DUMMYFUNCTION("""COMPUTED_VALUE"""),-0.784054959741097)</f>
        <v>-0.78405495974109696</v>
      </c>
      <c r="GE5" s="3">
        <f ca="1">IFERROR(__xludf.DUMMYFUNCTION("""COMPUTED_VALUE"""),-0.754422807619155)</f>
        <v>-0.75442280761915503</v>
      </c>
      <c r="GF5" s="3">
        <f ca="1">IFERROR(__xludf.DUMMYFUNCTION("""COMPUTED_VALUE"""),-0.756463517906962)</f>
        <v>-0.75646351790696198</v>
      </c>
      <c r="GG5" s="3">
        <f ca="1">IFERROR(__xludf.DUMMYFUNCTION("""COMPUTED_VALUE"""),-0.74762747128509)</f>
        <v>-0.74762747128509</v>
      </c>
      <c r="GH5" s="3">
        <f ca="1">IFERROR(__xludf.DUMMYFUNCTION("""COMPUTED_VALUE"""),-0.6413806219321)</f>
        <v>-0.64138062193209999</v>
      </c>
      <c r="GI5" s="3">
        <f ca="1">IFERROR(__xludf.DUMMYFUNCTION("""COMPUTED_VALUE"""),-0.650592673498274)</f>
        <v>-0.65059267349827399</v>
      </c>
      <c r="GJ5" s="3">
        <f ca="1">IFERROR(__xludf.DUMMYFUNCTION("""COMPUTED_VALUE"""),-0.738738901891656)</f>
        <v>-0.73873890189165603</v>
      </c>
      <c r="GK5" s="3">
        <f ca="1">IFERROR(__xludf.DUMMYFUNCTION("""COMPUTED_VALUE"""),-0.77156733679038)</f>
        <v>-0.77156733679038003</v>
      </c>
      <c r="GL5" s="3">
        <f ca="1">IFERROR(__xludf.DUMMYFUNCTION("""COMPUTED_VALUE"""),-0.776970132490719)</f>
        <v>-0.776970132490719</v>
      </c>
      <c r="GM5" s="3">
        <f ca="1">IFERROR(__xludf.DUMMYFUNCTION("""COMPUTED_VALUE"""),-0.776362461493001)</f>
        <v>-0.77636246149300103</v>
      </c>
      <c r="GN5" s="3">
        <f ca="1">IFERROR(__xludf.DUMMYFUNCTION("""COMPUTED_VALUE"""),-0.766629101340838)</f>
        <v>-0.76662910134083795</v>
      </c>
      <c r="GO5" s="3">
        <f ca="1">IFERROR(__xludf.DUMMYFUNCTION("""COMPUTED_VALUE"""),-0.659801773742992)</f>
        <v>-0.65980177374299198</v>
      </c>
      <c r="GP5" s="3">
        <f ca="1">IFERROR(__xludf.DUMMYFUNCTION("""COMPUTED_VALUE"""),-0.628952570772492)</f>
        <v>-0.628952570772492</v>
      </c>
      <c r="GQ5" s="3">
        <f ca="1">IFERROR(__xludf.DUMMYFUNCTION("""COMPUTED_VALUE"""),-0.741691797250378)</f>
        <v>-0.74169179725037804</v>
      </c>
      <c r="GR5" s="3">
        <f ca="1">IFERROR(__xludf.DUMMYFUNCTION("""COMPUTED_VALUE"""),-0.763487431574566)</f>
        <v>-0.763487431574566</v>
      </c>
      <c r="GS5" s="3">
        <f ca="1">IFERROR(__xludf.DUMMYFUNCTION("""COMPUTED_VALUE"""),-0.757200009786728)</f>
        <v>-0.75720000978672797</v>
      </c>
      <c r="GT5" s="3">
        <f ca="1">IFERROR(__xludf.DUMMYFUNCTION("""COMPUTED_VALUE"""),-0.78072242956023)</f>
        <v>-0.78072242956022997</v>
      </c>
      <c r="GU5" s="3">
        <f ca="1">IFERROR(__xludf.DUMMYFUNCTION("""COMPUTED_VALUE"""),-0.78856405895656)</f>
        <v>-0.78856405895656001</v>
      </c>
      <c r="GV5" s="3">
        <f ca="1">IFERROR(__xludf.DUMMYFUNCTION("""COMPUTED_VALUE"""),-0.660188711700352)</f>
        <v>-0.66018871170035198</v>
      </c>
      <c r="GW5" s="3">
        <f ca="1">IFERROR(__xludf.DUMMYFUNCTION("""COMPUTED_VALUE"""),-0.662956427175322)</f>
        <v>-0.66295642717532199</v>
      </c>
      <c r="GX5" s="3">
        <f ca="1">IFERROR(__xludf.DUMMYFUNCTION("""COMPUTED_VALUE"""),-0.74173876577832)</f>
        <v>-0.74173876577831999</v>
      </c>
      <c r="GY5" s="3">
        <f ca="1">IFERROR(__xludf.DUMMYFUNCTION("""COMPUTED_VALUE"""),-0.787923485422313)</f>
        <v>-0.78792348542231305</v>
      </c>
      <c r="GZ5" s="3">
        <f ca="1">IFERROR(__xludf.DUMMYFUNCTION("""COMPUTED_VALUE"""),-0.762912939335015)</f>
        <v>-0.76291293933501503</v>
      </c>
      <c r="HA5" s="3">
        <f ca="1">IFERROR(__xludf.DUMMYFUNCTION("""COMPUTED_VALUE"""),-0.766926386335189)</f>
        <v>-0.76692638633518895</v>
      </c>
      <c r="HB5" s="3">
        <f ca="1">IFERROR(__xludf.DUMMYFUNCTION("""COMPUTED_VALUE"""),-0.755841465637268)</f>
        <v>-0.75584146563726795</v>
      </c>
      <c r="HC5" s="3">
        <f ca="1">IFERROR(__xludf.DUMMYFUNCTION("""COMPUTED_VALUE"""),-0.662069380149633)</f>
        <v>-0.66206938014963301</v>
      </c>
      <c r="HD5" s="3">
        <f ca="1">IFERROR(__xludf.DUMMYFUNCTION("""COMPUTED_VALUE"""),-0.647247800410823)</f>
        <v>-0.64724780041082297</v>
      </c>
      <c r="HE5" s="3">
        <f ca="1">IFERROR(__xludf.DUMMYFUNCTION("""COMPUTED_VALUE"""),-0.730510175612798)</f>
        <v>-0.73051017561279796</v>
      </c>
      <c r="HF5" s="3">
        <f ca="1">IFERROR(__xludf.DUMMYFUNCTION("""COMPUTED_VALUE"""),-0.779425572141766)</f>
        <v>-0.779425572141766</v>
      </c>
      <c r="HG5" s="3">
        <f ca="1">IFERROR(__xludf.DUMMYFUNCTION("""COMPUTED_VALUE"""),-0.822708465713979)</f>
        <v>-0.82270846571397904</v>
      </c>
      <c r="HH5" s="3">
        <f ca="1">IFERROR(__xludf.DUMMYFUNCTION("""COMPUTED_VALUE"""),-0.769712395277067)</f>
        <v>-0.76971239527706703</v>
      </c>
      <c r="HI5" s="3">
        <f ca="1">IFERROR(__xludf.DUMMYFUNCTION("""COMPUTED_VALUE"""),-0.774396750937959)</f>
        <v>-0.77439675093795901</v>
      </c>
      <c r="HJ5" s="3">
        <f ca="1">IFERROR(__xludf.DUMMYFUNCTION("""COMPUTED_VALUE"""),-0.68315702110168)</f>
        <v>-0.68315702110167997</v>
      </c>
      <c r="HK5" s="3">
        <f ca="1">IFERROR(__xludf.DUMMYFUNCTION("""COMPUTED_VALUE"""),-0.686369976670801)</f>
        <v>-0.68636997667080102</v>
      </c>
      <c r="HL5" s="3">
        <f ca="1">IFERROR(__xludf.DUMMYFUNCTION("""COMPUTED_VALUE"""),-0.783840917196254)</f>
        <v>-0.78384091719625404</v>
      </c>
      <c r="HM5" s="3">
        <f ca="1">IFERROR(__xludf.DUMMYFUNCTION("""COMPUTED_VALUE"""),-0.777802796413165)</f>
        <v>-0.77780279641316497</v>
      </c>
      <c r="HN5" s="3">
        <f ca="1">IFERROR(__xludf.DUMMYFUNCTION("""COMPUTED_VALUE"""),-0.78356173654829)</f>
        <v>-0.78356173654828998</v>
      </c>
      <c r="HO5" s="3">
        <f ca="1">IFERROR(__xludf.DUMMYFUNCTION("""COMPUTED_VALUE"""),-0.759895637487332)</f>
        <v>-0.75989563748733202</v>
      </c>
      <c r="HP5" s="3">
        <f ca="1">IFERROR(__xludf.DUMMYFUNCTION("""COMPUTED_VALUE"""),-0.717945648954479)</f>
        <v>-0.71794564895447899</v>
      </c>
      <c r="HQ5" s="3">
        <f ca="1">IFERROR(__xludf.DUMMYFUNCTION("""COMPUTED_VALUE"""),-0.655341265371147)</f>
        <v>-0.65534126537114701</v>
      </c>
      <c r="HR5" s="3">
        <f ca="1">IFERROR(__xludf.DUMMYFUNCTION("""COMPUTED_VALUE"""),-0.661183528909075)</f>
        <v>-0.66118352890907495</v>
      </c>
      <c r="HS5" s="3">
        <f ca="1">IFERROR(__xludf.DUMMYFUNCTION("""COMPUTED_VALUE"""),-0.74064534091759)</f>
        <v>-0.74064534091759004</v>
      </c>
      <c r="HT5" s="3">
        <f ca="1">IFERROR(__xludf.DUMMYFUNCTION("""COMPUTED_VALUE"""),-0.742212504146724)</f>
        <v>-0.74221250414672402</v>
      </c>
      <c r="HU5" s="3">
        <f ca="1">IFERROR(__xludf.DUMMYFUNCTION("""COMPUTED_VALUE"""),-0.736556251476246)</f>
        <v>-0.73655625147624604</v>
      </c>
      <c r="HV5" s="3">
        <f ca="1">IFERROR(__xludf.DUMMYFUNCTION("""COMPUTED_VALUE"""),-0.758827750410864)</f>
        <v>-0.75882775041086403</v>
      </c>
      <c r="HW5" s="3">
        <f ca="1">IFERROR(__xludf.DUMMYFUNCTION("""COMPUTED_VALUE"""),-0.700189874960579)</f>
        <v>-0.70018987496057905</v>
      </c>
      <c r="HX5" s="3">
        <f ca="1">IFERROR(__xludf.DUMMYFUNCTION("""COMPUTED_VALUE"""),-0.660718778896738)</f>
        <v>-0.66071877889673802</v>
      </c>
      <c r="HY5" s="3">
        <f ca="1">IFERROR(__xludf.DUMMYFUNCTION("""COMPUTED_VALUE"""),-0.63174693428303)</f>
        <v>-0.63174693428302997</v>
      </c>
      <c r="HZ5" s="3">
        <f ca="1">IFERROR(__xludf.DUMMYFUNCTION("""COMPUTED_VALUE"""),-0.724332857920834)</f>
        <v>-0.72433285792083402</v>
      </c>
      <c r="IA5" s="3">
        <f ca="1">IFERROR(__xludf.DUMMYFUNCTION("""COMPUTED_VALUE"""),-0.770121632345767)</f>
        <v>-0.77012163234576703</v>
      </c>
      <c r="IB5" s="3">
        <f ca="1">IFERROR(__xludf.DUMMYFUNCTION("""COMPUTED_VALUE"""),-0.756911192303683)</f>
        <v>-0.75691119230368298</v>
      </c>
      <c r="IC5" s="3">
        <f ca="1">IFERROR(__xludf.DUMMYFUNCTION("""COMPUTED_VALUE"""),-0.706637041899184)</f>
        <v>-0.70663704189918397</v>
      </c>
      <c r="ID5" s="3">
        <f ca="1">IFERROR(__xludf.DUMMYFUNCTION("""COMPUTED_VALUE"""),-0.741671351479933)</f>
        <v>-0.74167135147993302</v>
      </c>
      <c r="IE5" s="3">
        <f ca="1">IFERROR(__xludf.DUMMYFUNCTION("""COMPUTED_VALUE"""),-0.651747329607696)</f>
        <v>-0.65174732960769599</v>
      </c>
      <c r="IF5" s="3">
        <f ca="1">IFERROR(__xludf.DUMMYFUNCTION("""COMPUTED_VALUE"""),-0.643326034749679)</f>
        <v>-0.64332603474967898</v>
      </c>
      <c r="IG5" s="3">
        <f ca="1">IFERROR(__xludf.DUMMYFUNCTION("""COMPUTED_VALUE"""),-0.713083634622441)</f>
        <v>-0.71308363462244095</v>
      </c>
      <c r="IH5" s="3">
        <f ca="1">IFERROR(__xludf.DUMMYFUNCTION("""COMPUTED_VALUE"""),-0.723488219004612)</f>
        <v>-0.72348821900461202</v>
      </c>
      <c r="II5" s="3">
        <f ca="1">IFERROR(__xludf.DUMMYFUNCTION("""COMPUTED_VALUE"""),-0.702664826474223)</f>
        <v>-0.70266482647422301</v>
      </c>
      <c r="IJ5" s="3">
        <f ca="1">IFERROR(__xludf.DUMMYFUNCTION("""COMPUTED_VALUE"""),-0.711482246168602)</f>
        <v>-0.71148224616860201</v>
      </c>
      <c r="IK5" s="3">
        <f ca="1">IFERROR(__xludf.DUMMYFUNCTION("""COMPUTED_VALUE"""),-0.703206564557254)</f>
        <v>-0.70320656455725405</v>
      </c>
      <c r="IL5" s="3">
        <f ca="1">IFERROR(__xludf.DUMMYFUNCTION("""COMPUTED_VALUE"""),-0.613716810929956)</f>
        <v>-0.613716810929956</v>
      </c>
      <c r="IM5" s="3">
        <f ca="1">IFERROR(__xludf.DUMMYFUNCTION("""COMPUTED_VALUE"""),-0.601366954268908)</f>
        <v>-0.60136695426890796</v>
      </c>
      <c r="IN5" s="3">
        <f ca="1">IFERROR(__xludf.DUMMYFUNCTION("""COMPUTED_VALUE"""),-0.692670039348385)</f>
        <v>-0.692670039348385</v>
      </c>
      <c r="IO5" s="3">
        <f ca="1">IFERROR(__xludf.DUMMYFUNCTION("""COMPUTED_VALUE"""),-0.698285254594871)</f>
        <v>-0.69828525459487101</v>
      </c>
      <c r="IP5" s="3">
        <f ca="1">IFERROR(__xludf.DUMMYFUNCTION("""COMPUTED_VALUE"""),-0.695096048145076)</f>
        <v>-0.69509604814507597</v>
      </c>
      <c r="IQ5" s="3">
        <f ca="1">IFERROR(__xludf.DUMMYFUNCTION("""COMPUTED_VALUE"""),-0.716774014952038)</f>
        <v>-0.71677401495203796</v>
      </c>
      <c r="IR5" s="3">
        <f ca="1">IFERROR(__xludf.DUMMYFUNCTION("""COMPUTED_VALUE"""),-0.7100501456073)</f>
        <v>-0.71005014560729995</v>
      </c>
      <c r="IS5" s="3">
        <f ca="1">IFERROR(__xludf.DUMMYFUNCTION("""COMPUTED_VALUE"""),-0.596540554200159)</f>
        <v>-0.59654055420015895</v>
      </c>
      <c r="IT5" s="3">
        <f ca="1">IFERROR(__xludf.DUMMYFUNCTION("""COMPUTED_VALUE"""),-0.620218604764411)</f>
        <v>-0.62021860476441104</v>
      </c>
      <c r="IU5" s="3">
        <f ca="1">IFERROR(__xludf.DUMMYFUNCTION("""COMPUTED_VALUE"""),-0.71648005479088)</f>
        <v>-0.71648005479087995</v>
      </c>
      <c r="IV5" s="3">
        <f ca="1">IFERROR(__xludf.DUMMYFUNCTION("""COMPUTED_VALUE"""),-0.708534197571984)</f>
        <v>-0.70853419757198399</v>
      </c>
      <c r="IW5" s="3">
        <f ca="1">IFERROR(__xludf.DUMMYFUNCTION("""COMPUTED_VALUE"""),-0.725585330934258)</f>
        <v>-0.72558533093425803</v>
      </c>
      <c r="IX5" s="3">
        <f ca="1">IFERROR(__xludf.DUMMYFUNCTION("""COMPUTED_VALUE"""),-0.711463126884459)</f>
        <v>-0.71146312688445901</v>
      </c>
      <c r="IY5" s="3">
        <f ca="1">IFERROR(__xludf.DUMMYFUNCTION("""COMPUTED_VALUE"""),-0.718319223464864)</f>
        <v>-0.71831922346486399</v>
      </c>
      <c r="IZ5" s="3">
        <f ca="1">IFERROR(__xludf.DUMMYFUNCTION("""COMPUTED_VALUE"""),-0.601119888312961)</f>
        <v>-0.60111988831296104</v>
      </c>
      <c r="JA5" s="3">
        <f ca="1">IFERROR(__xludf.DUMMYFUNCTION("""COMPUTED_VALUE"""),-0.604679548283338)</f>
        <v>-0.60467954828333803</v>
      </c>
      <c r="JB5" s="3">
        <f ca="1">IFERROR(__xludf.DUMMYFUNCTION("""COMPUTED_VALUE"""),-0.669687942509475)</f>
        <v>-0.66968794250947505</v>
      </c>
      <c r="JC5" s="3">
        <f ca="1">IFERROR(__xludf.DUMMYFUNCTION("""COMPUTED_VALUE"""),-0.682699113765959)</f>
        <v>-0.68269911376595904</v>
      </c>
      <c r="JD5" s="3">
        <f ca="1">IFERROR(__xludf.DUMMYFUNCTION("""COMPUTED_VALUE"""),-0.714549142450851)</f>
        <v>-0.71454914245085099</v>
      </c>
      <c r="JE5" s="3">
        <f ca="1">IFERROR(__xludf.DUMMYFUNCTION("""COMPUTED_VALUE"""),-0.68356718219835)</f>
        <v>-0.68356718219835</v>
      </c>
      <c r="JF5" s="3">
        <f ca="1">IFERROR(__xludf.DUMMYFUNCTION("""COMPUTED_VALUE"""),-0.670969858880008)</f>
        <v>-0.67096985888000804</v>
      </c>
      <c r="JG5" s="3">
        <f ca="1">IFERROR(__xludf.DUMMYFUNCTION("""COMPUTED_VALUE"""),-0.609752964198349)</f>
        <v>-0.60975296419834901</v>
      </c>
      <c r="JH5" s="3">
        <f ca="1">IFERROR(__xludf.DUMMYFUNCTION("""COMPUTED_VALUE"""),-0.590026237542746)</f>
        <v>-0.59002623754274597</v>
      </c>
      <c r="JI5" s="3">
        <f ca="1">IFERROR(__xludf.DUMMYFUNCTION("""COMPUTED_VALUE"""),-0.667432412202505)</f>
        <v>-0.66743241220250504</v>
      </c>
      <c r="JJ5" s="3">
        <f ca="1">IFERROR(__xludf.DUMMYFUNCTION("""COMPUTED_VALUE"""),-0.707615904194344)</f>
        <v>-0.70761590419434395</v>
      </c>
      <c r="JK5" s="3">
        <f ca="1">IFERROR(__xludf.DUMMYFUNCTION("""COMPUTED_VALUE"""),-0.699853722292253)</f>
        <v>-0.69985372229225296</v>
      </c>
      <c r="JL5" s="3">
        <f ca="1">IFERROR(__xludf.DUMMYFUNCTION("""COMPUTED_VALUE"""),-0.698457625833497)</f>
        <v>-0.69845762583349702</v>
      </c>
      <c r="JM5" s="3">
        <f ca="1">IFERROR(__xludf.DUMMYFUNCTION("""COMPUTED_VALUE"""),-0.685145389885935)</f>
        <v>-0.68514538988593499</v>
      </c>
      <c r="JN5" s="3">
        <f ca="1">IFERROR(__xludf.DUMMYFUNCTION("""COMPUTED_VALUE"""),-0.590033695795963)</f>
        <v>-0.59003369579596299</v>
      </c>
      <c r="JO5" s="3">
        <f ca="1">IFERROR(__xludf.DUMMYFUNCTION("""COMPUTED_VALUE"""),-0.574560047886699)</f>
        <v>-0.57456004788669901</v>
      </c>
      <c r="JP5" s="3">
        <f ca="1">IFERROR(__xludf.DUMMYFUNCTION("""COMPUTED_VALUE"""),-0.657142004691579)</f>
        <v>-0.65714200469157902</v>
      </c>
      <c r="JQ5" s="3">
        <f ca="1">IFERROR(__xludf.DUMMYFUNCTION("""COMPUTED_VALUE"""),-0.657125560953215)</f>
        <v>-0.65712556095321495</v>
      </c>
      <c r="JR5" s="3">
        <f ca="1">IFERROR(__xludf.DUMMYFUNCTION("""COMPUTED_VALUE"""),-0.713277944081)</f>
        <v>-0.71327794408099998</v>
      </c>
      <c r="JS5" s="3">
        <f ca="1">IFERROR(__xludf.DUMMYFUNCTION("""COMPUTED_VALUE"""),-0.700673094487944)</f>
        <v>-0.70067309448794401</v>
      </c>
      <c r="JT5" s="3">
        <f ca="1">IFERROR(__xludf.DUMMYFUNCTION("""COMPUTED_VALUE"""),-0.714031124657814)</f>
        <v>-0.71403112465781404</v>
      </c>
      <c r="JU5" s="3">
        <f ca="1">IFERROR(__xludf.DUMMYFUNCTION("""COMPUTED_VALUE"""),-0.558406735827749)</f>
        <v>-0.55840673582774902</v>
      </c>
      <c r="JV5" s="3">
        <f ca="1">IFERROR(__xludf.DUMMYFUNCTION("""COMPUTED_VALUE"""),-0.629033956313775)</f>
        <v>-0.62903395631377501</v>
      </c>
      <c r="JW5" s="3">
        <f ca="1">IFERROR(__xludf.DUMMYFUNCTION("""COMPUTED_VALUE"""),-0.638440474062227)</f>
        <v>-0.63844047406222704</v>
      </c>
      <c r="JX5" s="3">
        <f ca="1">IFERROR(__xludf.DUMMYFUNCTION("""COMPUTED_VALUE"""),-0.624973810310895)</f>
        <v>-0.62497381031089505</v>
      </c>
      <c r="JY5" s="3">
        <f ca="1">IFERROR(__xludf.DUMMYFUNCTION("""COMPUTED_VALUE"""),-0.689310098259269)</f>
        <v>-0.68931009825926903</v>
      </c>
      <c r="JZ5" s="3">
        <f ca="1">IFERROR(__xludf.DUMMYFUNCTION("""COMPUTED_VALUE"""),-0.708072463289682)</f>
        <v>-0.70807246328968199</v>
      </c>
      <c r="KA5" s="3">
        <f ca="1">IFERROR(__xludf.DUMMYFUNCTION("""COMPUTED_VALUE"""),-0.683048567935449)</f>
        <v>-0.68304856793544899</v>
      </c>
      <c r="KB5" s="3">
        <f ca="1">IFERROR(__xludf.DUMMYFUNCTION("""COMPUTED_VALUE"""),-0.638551881839125)</f>
        <v>-0.63855188183912504</v>
      </c>
      <c r="KC5" s="3">
        <f ca="1">IFERROR(__xludf.DUMMYFUNCTION("""COMPUTED_VALUE"""),-0.604194636513173)</f>
        <v>-0.60419463651317296</v>
      </c>
      <c r="KD5" s="3">
        <f ca="1">IFERROR(__xludf.DUMMYFUNCTION("""COMPUTED_VALUE"""),-0.682419146018489)</f>
        <v>-0.68241914601848896</v>
      </c>
      <c r="KE5" s="3">
        <f ca="1">IFERROR(__xludf.DUMMYFUNCTION("""COMPUTED_VALUE"""),-0.616717657387547)</f>
        <v>-0.61671765738754702</v>
      </c>
      <c r="KF5" s="3">
        <f ca="1">IFERROR(__xludf.DUMMYFUNCTION("""COMPUTED_VALUE"""),-0.671803071577338)</f>
        <v>-0.67180307157733798</v>
      </c>
      <c r="KG5" s="3">
        <f ca="1">IFERROR(__xludf.DUMMYFUNCTION("""COMPUTED_VALUE"""),-0.71270310148166)</f>
        <v>-0.71270310148166005</v>
      </c>
      <c r="KH5" s="3">
        <f ca="1">IFERROR(__xludf.DUMMYFUNCTION("""COMPUTED_VALUE"""),-0.690025553798729)</f>
        <v>-0.69002555379872899</v>
      </c>
      <c r="KI5" s="3">
        <f ca="1">IFERROR(__xludf.DUMMYFUNCTION("""COMPUTED_VALUE"""),-0.507596363792049)</f>
        <v>-0.50759636379204898</v>
      </c>
      <c r="KJ5" s="3">
        <f ca="1">IFERROR(__xludf.DUMMYFUNCTION("""COMPUTED_VALUE"""),-0.582808132234001)</f>
        <v>-0.58280813223400096</v>
      </c>
      <c r="KK5" s="3">
        <f ca="1">IFERROR(__xludf.DUMMYFUNCTION("""COMPUTED_VALUE"""),-0.640420921075779)</f>
        <v>-0.64042092107577897</v>
      </c>
      <c r="KL5" s="3">
        <f ca="1">IFERROR(__xludf.DUMMYFUNCTION("""COMPUTED_VALUE"""),-0.656066223265892)</f>
        <v>-0.65606622326589203</v>
      </c>
      <c r="KM5" s="3">
        <f ca="1">IFERROR(__xludf.DUMMYFUNCTION("""COMPUTED_VALUE"""),-0.693381800172593)</f>
        <v>-0.69338180017259299</v>
      </c>
      <c r="KN5" s="3">
        <f ca="1">IFERROR(__xludf.DUMMYFUNCTION("""COMPUTED_VALUE"""),-0.641438610818663)</f>
        <v>-0.64143861081866305</v>
      </c>
      <c r="KO5" s="3">
        <f ca="1">IFERROR(__xludf.DUMMYFUNCTION("""COMPUTED_VALUE"""),-0.65112503455107)</f>
        <v>-0.65112503455106996</v>
      </c>
      <c r="KP5" s="3">
        <f ca="1">IFERROR(__xludf.DUMMYFUNCTION("""COMPUTED_VALUE"""),-0.562900869767126)</f>
        <v>-0.56290086976712606</v>
      </c>
      <c r="KQ5" s="3">
        <f ca="1">IFERROR(__xludf.DUMMYFUNCTION("""COMPUTED_VALUE"""),-0.526330781553736)</f>
        <v>-0.52633078155373603</v>
      </c>
      <c r="KR5" s="3">
        <f ca="1">IFERROR(__xludf.DUMMYFUNCTION("""COMPUTED_VALUE"""),-0.631054296103577)</f>
        <v>-0.63105429610357699</v>
      </c>
      <c r="KS5" s="3">
        <f ca="1">IFERROR(__xludf.DUMMYFUNCTION("""COMPUTED_VALUE"""),-0.690720923226489)</f>
        <v>-0.69072092322648904</v>
      </c>
      <c r="KT5" s="3">
        <f ca="1">IFERROR(__xludf.DUMMYFUNCTION("""COMPUTED_VALUE"""),-0.705978947183054)</f>
        <v>-0.70597894718305398</v>
      </c>
      <c r="KU5" s="3">
        <f ca="1">IFERROR(__xludf.DUMMYFUNCTION("""COMPUTED_VALUE"""),-0.737728094439135)</f>
        <v>-0.73772809443913501</v>
      </c>
      <c r="KV5" s="3">
        <f ca="1">IFERROR(__xludf.DUMMYFUNCTION("""COMPUTED_VALUE"""),-0.6829435168773)</f>
        <v>-0.68294351687730004</v>
      </c>
      <c r="KW5" s="3">
        <f ca="1">IFERROR(__xludf.DUMMYFUNCTION("""COMPUTED_VALUE"""),-0.542431647623387)</f>
        <v>-0.54243164762338703</v>
      </c>
      <c r="KX5" s="3">
        <f ca="1">IFERROR(__xludf.DUMMYFUNCTION("""COMPUTED_VALUE"""),-0.615655082639008)</f>
        <v>-0.61565508263900803</v>
      </c>
      <c r="KY5" s="3">
        <f ca="1">IFERROR(__xludf.DUMMYFUNCTION("""COMPUTED_VALUE"""),-0.678537757719997)</f>
        <v>-0.67853775771999703</v>
      </c>
      <c r="KZ5" s="3">
        <f ca="1">IFERROR(__xludf.DUMMYFUNCTION("""COMPUTED_VALUE"""),-0.734349324737443)</f>
        <v>-0.73434932473744297</v>
      </c>
      <c r="LA5" s="3">
        <f ca="1">IFERROR(__xludf.DUMMYFUNCTION("""COMPUTED_VALUE"""),-0.718497753259522)</f>
        <v>-0.71849775325952203</v>
      </c>
      <c r="LB5" s="3">
        <f ca="1">IFERROR(__xludf.DUMMYFUNCTION("""COMPUTED_VALUE"""),-0.710704361214224)</f>
        <v>-0.71070436121422398</v>
      </c>
      <c r="LC5" s="3">
        <f ca="1">IFERROR(__xludf.DUMMYFUNCTION("""COMPUTED_VALUE"""),-0.657823864890835)</f>
        <v>-0.657823864890835</v>
      </c>
      <c r="LD5" s="3">
        <f ca="1">IFERROR(__xludf.DUMMYFUNCTION("""COMPUTED_VALUE"""),-0.522589526074215)</f>
        <v>-0.52258952607421505</v>
      </c>
      <c r="LE5" s="3">
        <f ca="1">IFERROR(__xludf.DUMMYFUNCTION("""COMPUTED_VALUE"""),-0.579893731316684)</f>
        <v>-0.57989373131668398</v>
      </c>
      <c r="LF5" s="3">
        <f ca="1">IFERROR(__xludf.DUMMYFUNCTION("""COMPUTED_VALUE"""),-0.684238855895639)</f>
        <v>-0.68423885589563904</v>
      </c>
      <c r="LG5" s="3">
        <f ca="1">IFERROR(__xludf.DUMMYFUNCTION("""COMPUTED_VALUE"""),-0.687925169118728)</f>
        <v>-0.68792516911872803</v>
      </c>
      <c r="LH5" s="3">
        <f ca="1">IFERROR(__xludf.DUMMYFUNCTION("""COMPUTED_VALUE"""),-0.70413847686929)</f>
        <v>-0.70413847686928999</v>
      </c>
      <c r="LI5" s="3">
        <f ca="1">IFERROR(__xludf.DUMMYFUNCTION("""COMPUTED_VALUE"""),-0.714891969462845)</f>
        <v>-0.71489196946284495</v>
      </c>
      <c r="LJ5" s="3">
        <f ca="1">IFERROR(__xludf.DUMMYFUNCTION("""COMPUTED_VALUE"""),-0.779108424414527)</f>
        <v>-0.77910842441452699</v>
      </c>
      <c r="LK5" s="3">
        <f ca="1">IFERROR(__xludf.DUMMYFUNCTION("""COMPUTED_VALUE"""),-0.582570652373085)</f>
        <v>-0.58257065237308503</v>
      </c>
      <c r="LL5" s="3">
        <f ca="1">IFERROR(__xludf.DUMMYFUNCTION("""COMPUTED_VALUE"""),-0.643092779572062)</f>
        <v>-0.64309277957206201</v>
      </c>
      <c r="LM5" s="3">
        <f ca="1">IFERROR(__xludf.DUMMYFUNCTION("""COMPUTED_VALUE"""),-0.705243887135576)</f>
        <v>-0.70524388713557595</v>
      </c>
      <c r="LN5" s="3">
        <f ca="1">IFERROR(__xludf.DUMMYFUNCTION("""COMPUTED_VALUE"""),-0.689012510689665)</f>
        <v>-0.68901251068966496</v>
      </c>
      <c r="LO5" s="3">
        <f ca="1">IFERROR(__xludf.DUMMYFUNCTION("""COMPUTED_VALUE"""),-0.715909852039455)</f>
        <v>-0.71590985203945501</v>
      </c>
      <c r="LP5" s="3">
        <f ca="1">IFERROR(__xludf.DUMMYFUNCTION("""COMPUTED_VALUE"""),-0.744037206685828)</f>
        <v>-0.74403720668582796</v>
      </c>
      <c r="LQ5" s="3">
        <f ca="1">IFERROR(__xludf.DUMMYFUNCTION("""COMPUTED_VALUE"""),-0.66878805852872)</f>
        <v>-0.66878805852872003</v>
      </c>
      <c r="LR5" s="3">
        <f ca="1">IFERROR(__xludf.DUMMYFUNCTION("""COMPUTED_VALUE"""),-0.647701723153999)</f>
        <v>-0.64770172315399899</v>
      </c>
      <c r="LS5" s="3">
        <f ca="1">IFERROR(__xludf.DUMMYFUNCTION("""COMPUTED_VALUE"""),-0.638335263485461)</f>
        <v>-0.63833526348546099</v>
      </c>
      <c r="LT5" s="3">
        <f ca="1">IFERROR(__xludf.DUMMYFUNCTION("""COMPUTED_VALUE"""),-0.702666783066572)</f>
        <v>-0.70266678306657204</v>
      </c>
      <c r="LU5" s="3">
        <f ca="1">IFERROR(__xludf.DUMMYFUNCTION("""COMPUTED_VALUE"""),-0.74230745146123)</f>
        <v>-0.74230745146123001</v>
      </c>
      <c r="LV5" s="3">
        <f ca="1">IFERROR(__xludf.DUMMYFUNCTION("""COMPUTED_VALUE"""),-0.742819854211271)</f>
        <v>-0.74281985421127095</v>
      </c>
      <c r="LW5" s="3">
        <f ca="1">IFERROR(__xludf.DUMMYFUNCTION("""COMPUTED_VALUE"""),-0.836401101913788)</f>
        <v>-0.83640110191378803</v>
      </c>
      <c r="LX5" s="3">
        <f ca="1">IFERROR(__xludf.DUMMYFUNCTION("""COMPUTED_VALUE"""),-0.745531399695145)</f>
        <v>-0.74553139969514504</v>
      </c>
      <c r="LY5" s="3">
        <f ca="1">IFERROR(__xludf.DUMMYFUNCTION("""COMPUTED_VALUE"""),-0.631450431754293)</f>
        <v>-0.63145043175429305</v>
      </c>
      <c r="LZ5" s="3">
        <f ca="1">IFERROR(__xludf.DUMMYFUNCTION("""COMPUTED_VALUE"""),-0.685556799815297)</f>
        <v>-0.68555679981529705</v>
      </c>
      <c r="MA5" s="3">
        <f ca="1">IFERROR(__xludf.DUMMYFUNCTION("""COMPUTED_VALUE"""),-0.726790854508896)</f>
        <v>-0.72679085450889602</v>
      </c>
      <c r="MB5" s="3">
        <f ca="1">IFERROR(__xludf.DUMMYFUNCTION("""COMPUTED_VALUE"""),-0.80210383797962)</f>
        <v>-0.80210383797962004</v>
      </c>
      <c r="MC5" s="3">
        <f ca="1">IFERROR(__xludf.DUMMYFUNCTION("""COMPUTED_VALUE"""),-0.7903813555943)</f>
        <v>-0.79038135559430001</v>
      </c>
      <c r="MD5" s="3">
        <f ca="1">IFERROR(__xludf.DUMMYFUNCTION("""COMPUTED_VALUE"""),-0.80526552915544)</f>
        <v>-0.80526552915544003</v>
      </c>
      <c r="ME5" s="3">
        <f ca="1">IFERROR(__xludf.DUMMYFUNCTION("""COMPUTED_VALUE"""),-0.746187984619585)</f>
        <v>-0.74618798461958502</v>
      </c>
      <c r="MF5" s="3">
        <f ca="1">IFERROR(__xludf.DUMMYFUNCTION("""COMPUTED_VALUE"""),-0.720168546036425)</f>
        <v>-0.72016854603642499</v>
      </c>
      <c r="MG5" s="3">
        <f ca="1">IFERROR(__xludf.DUMMYFUNCTION("""COMPUTED_VALUE"""),-0.747737560523127)</f>
        <v>-0.74773756052312701</v>
      </c>
      <c r="MH5" s="3">
        <f ca="1">IFERROR(__xludf.DUMMYFUNCTION("""COMPUTED_VALUE"""),-0.785903164748932)</f>
        <v>-0.78590316474893196</v>
      </c>
      <c r="MI5" s="3">
        <f ca="1">IFERROR(__xludf.DUMMYFUNCTION("""COMPUTED_VALUE"""),-0.824365025350606)</f>
        <v>-0.82436502535060596</v>
      </c>
      <c r="MJ5" s="3">
        <f ca="1">IFERROR(__xludf.DUMMYFUNCTION("""COMPUTED_VALUE"""),-0.813122721963017)</f>
        <v>-0.81312272196301705</v>
      </c>
      <c r="MK5" s="3">
        <f ca="1">IFERROR(__xludf.DUMMYFUNCTION("""COMPUTED_VALUE"""),-0.795418600862403)</f>
        <v>-0.79541860086240301</v>
      </c>
      <c r="ML5" s="3">
        <f ca="1">IFERROR(__xludf.DUMMYFUNCTION("""COMPUTED_VALUE"""),-0.807991429148484)</f>
        <v>-0.80799142914848399</v>
      </c>
      <c r="MM5" s="3">
        <f ca="1">IFERROR(__xludf.DUMMYFUNCTION("""COMPUTED_VALUE"""),-0.701716477498996)</f>
        <v>-0.70171647749899602</v>
      </c>
      <c r="MN5" s="3">
        <f ca="1">IFERROR(__xludf.DUMMYFUNCTION("""COMPUTED_VALUE"""),-0.773171616143549)</f>
        <v>-0.77317161614354901</v>
      </c>
      <c r="MO5" s="3">
        <f ca="1">IFERROR(__xludf.DUMMYFUNCTION("""COMPUTED_VALUE"""),-0.798955312746687)</f>
        <v>-0.79895531274668696</v>
      </c>
      <c r="MP5" s="3">
        <f ca="1">IFERROR(__xludf.DUMMYFUNCTION("""COMPUTED_VALUE"""),-0.787894427690499)</f>
        <v>-0.787894427690499</v>
      </c>
      <c r="MQ5" s="3">
        <f ca="1">IFERROR(__xludf.DUMMYFUNCTION("""COMPUTED_VALUE"""),-0.837480025175118)</f>
        <v>-0.83748002517511799</v>
      </c>
      <c r="MR5" s="3">
        <f ca="1">IFERROR(__xludf.DUMMYFUNCTION("""COMPUTED_VALUE"""),-0.793730768770518)</f>
        <v>-0.79373076877051796</v>
      </c>
      <c r="MS5" s="3">
        <f ca="1">IFERROR(__xludf.DUMMYFUNCTION("""COMPUTED_VALUE"""),-0.816570839728001)</f>
        <v>-0.81657083972800104</v>
      </c>
      <c r="MT5" s="3">
        <f ca="1">IFERROR(__xludf.DUMMYFUNCTION("""COMPUTED_VALUE"""),-0.75561594986782)</f>
        <v>-0.75561594986781999</v>
      </c>
      <c r="MU5" s="3">
        <f ca="1">IFERROR(__xludf.DUMMYFUNCTION("""COMPUTED_VALUE"""),-0.725338966506177)</f>
        <v>-0.72533896650617702</v>
      </c>
      <c r="MV5" s="3">
        <f ca="1">IFERROR(__xludf.DUMMYFUNCTION("""COMPUTED_VALUE"""),-0.792675346711241)</f>
        <v>-0.79267534671124096</v>
      </c>
      <c r="MW5" s="3">
        <f ca="1">IFERROR(__xludf.DUMMYFUNCTION("""COMPUTED_VALUE"""),-0.833031851547311)</f>
        <v>-0.83303185154731096</v>
      </c>
      <c r="MX5" s="3">
        <f ca="1">IFERROR(__xludf.DUMMYFUNCTION("""COMPUTED_VALUE"""),-0.774395688494221)</f>
        <v>-0.77439568849422102</v>
      </c>
      <c r="MY5" s="3">
        <f ca="1">IFERROR(__xludf.DUMMYFUNCTION("""COMPUTED_VALUE"""),-0.821133045009576)</f>
        <v>-0.82113304500957596</v>
      </c>
      <c r="MZ5" s="3">
        <f ca="1">IFERROR(__xludf.DUMMYFUNCTION("""COMPUTED_VALUE"""),-0.828512521547859)</f>
        <v>-0.82851252154785904</v>
      </c>
      <c r="NA5" s="3">
        <f ca="1">IFERROR(__xludf.DUMMYFUNCTION("""COMPUTED_VALUE"""),-0.640328915082224)</f>
        <v>-0.640328915082224</v>
      </c>
      <c r="NB5" s="3">
        <f ca="1">IFERROR(__xludf.DUMMYFUNCTION("""COMPUTED_VALUE"""),-0.735373623030418)</f>
        <v>-0.73537362303041798</v>
      </c>
      <c r="NC5" s="3">
        <f ca="1">IFERROR(__xludf.DUMMYFUNCTION("""COMPUTED_VALUE"""),-0.818153105036751)</f>
        <v>-0.81815310503675098</v>
      </c>
      <c r="ND5" s="3">
        <f ca="1">IFERROR(__xludf.DUMMYFUNCTION("""COMPUTED_VALUE"""),-0.848647772903171)</f>
        <v>-0.84864777290317095</v>
      </c>
      <c r="NE5" s="3">
        <f ca="1">IFERROR(__xludf.DUMMYFUNCTION("""COMPUTED_VALUE"""),-0.811559984693178)</f>
        <v>-0.81155998469317803</v>
      </c>
      <c r="NF5" s="3">
        <f ca="1">IFERROR(__xludf.DUMMYFUNCTION("""COMPUTED_VALUE"""),-0.818756722578005)</f>
        <v>-0.81875672257800503</v>
      </c>
      <c r="NG5" s="3">
        <f ca="1">IFERROR(__xludf.DUMMYFUNCTION("""COMPUTED_VALUE"""),-0.796623090186241)</f>
        <v>-0.796623090186241</v>
      </c>
      <c r="NH5" s="3">
        <f ca="1">IFERROR(__xludf.DUMMYFUNCTION("""COMPUTED_VALUE"""),-0.66166604456508)</f>
        <v>-0.66166604456508005</v>
      </c>
      <c r="NI5" s="3">
        <f ca="1">IFERROR(__xludf.DUMMYFUNCTION("""COMPUTED_VALUE"""),-0.778539848095277)</f>
        <v>-0.77853984809527699</v>
      </c>
      <c r="NJ5" s="3">
        <f ca="1">IFERROR(__xludf.DUMMYFUNCTION("""COMPUTED_VALUE"""),-0.823922338256978)</f>
        <v>-0.82392233825697803</v>
      </c>
      <c r="NK5" s="3">
        <f ca="1">IFERROR(__xludf.DUMMYFUNCTION("""COMPUTED_VALUE"""),-0.833183379239693)</f>
        <v>-0.83318337923969299</v>
      </c>
      <c r="NL5" s="3">
        <f ca="1">IFERROR(__xludf.DUMMYFUNCTION("""COMPUTED_VALUE"""),-0.782102831778608)</f>
        <v>-0.78210283177860795</v>
      </c>
      <c r="NM5" s="3">
        <f ca="1">IFERROR(__xludf.DUMMYFUNCTION("""COMPUTED_VALUE"""),-0.753771782385969)</f>
        <v>-0.75377178238596898</v>
      </c>
      <c r="NN5" s="3">
        <f ca="1">IFERROR(__xludf.DUMMYFUNCTION("""COMPUTED_VALUE"""),-0.790274479451932)</f>
        <v>-0.79027447945193197</v>
      </c>
      <c r="NO5" s="3">
        <f ca="1">IFERROR(__xludf.DUMMYFUNCTION("""COMPUTED_VALUE"""),-0.641375482910502)</f>
        <v>-0.64137548291050195</v>
      </c>
      <c r="NP5" s="3">
        <f ca="1">IFERROR(__xludf.DUMMYFUNCTION("""COMPUTED_VALUE"""),-0.645352859323576)</f>
        <v>-0.645352859323576</v>
      </c>
      <c r="NQ5" s="3">
        <f ca="1">IFERROR(__xludf.DUMMYFUNCTION("""COMPUTED_VALUE"""),-0.765208748005349)</f>
        <v>-0.76520874800534899</v>
      </c>
      <c r="NR5" s="3">
        <f ca="1">IFERROR(__xludf.DUMMYFUNCTION("""COMPUTED_VALUE"""),-0.792129596475765)</f>
        <v>-0.79212959647576497</v>
      </c>
      <c r="NS5" s="3">
        <f ca="1">IFERROR(__xludf.DUMMYFUNCTION("""COMPUTED_VALUE"""),-0.750136675472546)</f>
        <v>-0.75013667547254603</v>
      </c>
      <c r="NT5" s="3">
        <f ca="1">IFERROR(__xludf.DUMMYFUNCTION("""COMPUTED_VALUE"""),-0.698882840749759)</f>
        <v>-0.69888284074975904</v>
      </c>
      <c r="NU5" s="3">
        <f ca="1">IFERROR(__xludf.DUMMYFUNCTION("""COMPUTED_VALUE"""),-0.71152609751583)</f>
        <v>-0.71152609751582996</v>
      </c>
      <c r="NV5" s="3">
        <f ca="1">IFERROR(__xludf.DUMMYFUNCTION("""COMPUTED_VALUE"""),-0.586655136167107)</f>
        <v>-0.58665513616710696</v>
      </c>
      <c r="NW5" s="3">
        <f ca="1">IFERROR(__xludf.DUMMYFUNCTION("""COMPUTED_VALUE"""),-0.698899553846233)</f>
        <v>-0.69889955384623303</v>
      </c>
      <c r="NX5" s="3">
        <f ca="1">IFERROR(__xludf.DUMMYFUNCTION("""COMPUTED_VALUE"""),-0.709106939906598)</f>
        <v>-0.70910693990659801</v>
      </c>
      <c r="NY5" s="3">
        <f ca="1">IFERROR(__xludf.DUMMYFUNCTION("""COMPUTED_VALUE"""),-0.690955305632864)</f>
        <v>-0.690955305632864</v>
      </c>
      <c r="NZ5" s="3">
        <f ca="1">IFERROR(__xludf.DUMMYFUNCTION("""COMPUTED_VALUE"""),-0.610813706734367)</f>
        <v>-0.61081370673436697</v>
      </c>
      <c r="OA5" s="3">
        <f ca="1">IFERROR(__xludf.DUMMYFUNCTION("""COMPUTED_VALUE"""),-0.579778574419183)</f>
        <v>-0.57977857441918301</v>
      </c>
      <c r="OB5" s="3">
        <f ca="1">IFERROR(__xludf.DUMMYFUNCTION("""COMPUTED_VALUE"""),-0.542050447437953)</f>
        <v>-0.54205044743795305</v>
      </c>
      <c r="OC5" s="3">
        <f ca="1">IFERROR(__xludf.DUMMYFUNCTION("""COMPUTED_VALUE"""),-0.329563133864567)</f>
        <v>-0.32956313386456698</v>
      </c>
      <c r="OD5" s="3">
        <f ca="1">IFERROR(__xludf.DUMMYFUNCTION("""COMPUTED_VALUE"""),-0.400547964461605)</f>
        <v>-0.40054796446160501</v>
      </c>
      <c r="OE5" s="3">
        <f ca="1">IFERROR(__xludf.DUMMYFUNCTION("""COMPUTED_VALUE"""),-0.391917565916146)</f>
        <v>-0.39191756591614602</v>
      </c>
      <c r="OF5" s="3">
        <f ca="1">IFERROR(__xludf.DUMMYFUNCTION("""COMPUTED_VALUE"""),-0.135267620946685)</f>
        <v>-0.13526762094668501</v>
      </c>
      <c r="OG5" s="3">
        <f ca="1">IFERROR(__xludf.DUMMYFUNCTION("""COMPUTED_VALUE"""),-0.0525098857722773)</f>
        <v>-5.2509885772277297E-2</v>
      </c>
      <c r="OH5" s="3">
        <f ca="1">IFERROR(__xludf.DUMMYFUNCTION("""COMPUTED_VALUE"""),0.0283683741427527)</f>
        <v>2.83683741427527E-2</v>
      </c>
      <c r="OI5" s="3">
        <f ca="1">IFERROR(__xludf.DUMMYFUNCTION("""COMPUTED_VALUE"""),0.0573446548109661)</f>
        <v>5.7344654810966102E-2</v>
      </c>
      <c r="OJ5" s="3">
        <f ca="1">IFERROR(__xludf.DUMMYFUNCTION("""COMPUTED_VALUE"""),-0.0316641735646978)</f>
        <v>-3.1664173564697799E-2</v>
      </c>
      <c r="OK5" s="3">
        <f ca="1">IFERROR(__xludf.DUMMYFUNCTION("""COMPUTED_VALUE"""),-0.189590966961883)</f>
        <v>-0.18959096696188299</v>
      </c>
      <c r="OL5" s="3">
        <f ca="1">IFERROR(__xludf.DUMMYFUNCTION("""COMPUTED_VALUE"""),-0.120968612123464)</f>
        <v>-0.12096861212346401</v>
      </c>
      <c r="OM5" s="3">
        <f ca="1">IFERROR(__xludf.DUMMYFUNCTION("""COMPUTED_VALUE"""),-0.0512062204900831)</f>
        <v>-5.1206220490083103E-2</v>
      </c>
      <c r="ON5" s="3">
        <f ca="1">IFERROR(__xludf.DUMMYFUNCTION("""COMPUTED_VALUE"""),-0.0910519201088653)</f>
        <v>-9.10519201088653E-2</v>
      </c>
      <c r="OO5" s="3">
        <f ca="1">IFERROR(__xludf.DUMMYFUNCTION("""COMPUTED_VALUE"""),0.0334272857205488)</f>
        <v>3.3427285720548802E-2</v>
      </c>
      <c r="OP5" s="3">
        <f ca="1">IFERROR(__xludf.DUMMYFUNCTION("""COMPUTED_VALUE"""),-0.00570720204567587)</f>
        <v>-5.70720204567587E-3</v>
      </c>
      <c r="OQ5" s="3">
        <f ca="1">IFERROR(__xludf.DUMMYFUNCTION("""COMPUTED_VALUE"""),-0.0374027664683702)</f>
        <v>-3.7402766468370201E-2</v>
      </c>
      <c r="OR5" s="3">
        <f ca="1">IFERROR(__xludf.DUMMYFUNCTION("""COMPUTED_VALUE"""),-0.123895751818143)</f>
        <v>-0.123895751818143</v>
      </c>
      <c r="OS5" s="3">
        <f ca="1">IFERROR(__xludf.DUMMYFUNCTION("""COMPUTED_VALUE"""),-0.0339283758930956)</f>
        <v>-3.3928375893095601E-2</v>
      </c>
      <c r="OT5" s="3">
        <f ca="1">IFERROR(__xludf.DUMMYFUNCTION("""COMPUTED_VALUE"""),-0.013969550909394)</f>
        <v>-1.3969550909394E-2</v>
      </c>
      <c r="OU5" s="3">
        <f ca="1">IFERROR(__xludf.DUMMYFUNCTION("""COMPUTED_VALUE"""),0.033784858284515)</f>
        <v>3.3784858284515003E-2</v>
      </c>
      <c r="OV5" s="3">
        <f ca="1">IFERROR(__xludf.DUMMYFUNCTION("""COMPUTED_VALUE"""),0.0620626086699682)</f>
        <v>6.2062608669968197E-2</v>
      </c>
      <c r="OW5" s="3">
        <f ca="1">IFERROR(__xludf.DUMMYFUNCTION("""COMPUTED_VALUE"""),0.053775243301932)</f>
        <v>5.3775243301932001E-2</v>
      </c>
      <c r="OX5" s="3">
        <f ca="1">IFERROR(__xludf.DUMMYFUNCTION("""COMPUTED_VALUE"""),0.00125082087507522)</f>
        <v>1.2508208750752199E-3</v>
      </c>
      <c r="OY5" s="3">
        <f ca="1">IFERROR(__xludf.DUMMYFUNCTION("""COMPUTED_VALUE"""),0.0122218058253869)</f>
        <v>1.22218058253869E-2</v>
      </c>
      <c r="OZ5" s="3">
        <f ca="1">IFERROR(__xludf.DUMMYFUNCTION("""COMPUTED_VALUE"""),0.0715172099227432)</f>
        <v>7.15172099227432E-2</v>
      </c>
      <c r="PA5" s="3">
        <f ca="1">IFERROR(__xludf.DUMMYFUNCTION("""COMPUTED_VALUE"""),-0.0501290234777633)</f>
        <v>-5.0129023477763303E-2</v>
      </c>
      <c r="PB5" s="3">
        <f ca="1">IFERROR(__xludf.DUMMYFUNCTION("""COMPUTED_VALUE"""),-0.00922867385277892)</f>
        <v>-9.2286738527789201E-3</v>
      </c>
      <c r="PC5" s="3">
        <f ca="1">IFERROR(__xludf.DUMMYFUNCTION("""COMPUTED_VALUE"""),-0.0107668394063886)</f>
        <v>-1.07668394063886E-2</v>
      </c>
      <c r="PD5" s="3">
        <f ca="1">IFERROR(__xludf.DUMMYFUNCTION("""COMPUTED_VALUE"""),-0.085233698078171)</f>
        <v>-8.5233698078170994E-2</v>
      </c>
      <c r="PE5" s="3">
        <f ca="1">IFERROR(__xludf.DUMMYFUNCTION("""COMPUTED_VALUE"""),0.151489300022132)</f>
        <v>0.15148930002213201</v>
      </c>
      <c r="PF5" s="3">
        <f ca="1">IFERROR(__xludf.DUMMYFUNCTION("""COMPUTED_VALUE"""),0.00164599957415623)</f>
        <v>1.6459995741562299E-3</v>
      </c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</row>
    <row r="6" spans="1:594" ht="15.75" customHeight="1">
      <c r="A6" s="1" t="str">
        <f ca="1">IFERROR(__xludf.DUMMYFUNCTION("""COMPUTED_VALUE"""),"Baltimore")</f>
        <v>Baltimore</v>
      </c>
      <c r="B6" s="3">
        <f ca="1">IFERROR(__xludf.DUMMYFUNCTION("""COMPUTED_VALUE"""),-0.41942882338218)</f>
        <v>-0.41942882338218002</v>
      </c>
      <c r="C6" s="3">
        <f ca="1">IFERROR(__xludf.DUMMYFUNCTION("""COMPUTED_VALUE"""),-0.560183603666856)</f>
        <v>-0.56018360366685604</v>
      </c>
      <c r="D6" s="3">
        <f ca="1">IFERROR(__xludf.DUMMYFUNCTION("""COMPUTED_VALUE"""),-0.570412111672909)</f>
        <v>-0.57041211167290895</v>
      </c>
      <c r="E6" s="3">
        <f ca="1">IFERROR(__xludf.DUMMYFUNCTION("""COMPUTED_VALUE"""),-0.569751188598304)</f>
        <v>-0.56975118859830398</v>
      </c>
      <c r="F6" s="3">
        <f ca="1">IFERROR(__xludf.DUMMYFUNCTION("""COMPUTED_VALUE"""),-0.573327231173915)</f>
        <v>-0.57332723117391504</v>
      </c>
      <c r="G6" s="3">
        <f ca="1">IFERROR(__xludf.DUMMYFUNCTION("""COMPUTED_VALUE"""),-0.544578665510162)</f>
        <v>-0.54457866551016199</v>
      </c>
      <c r="H6" s="3">
        <f ca="1">IFERROR(__xludf.DUMMYFUNCTION("""COMPUTED_VALUE"""),-0.419797208993335)</f>
        <v>-0.419797208993335</v>
      </c>
      <c r="I6" s="3">
        <f ca="1">IFERROR(__xludf.DUMMYFUNCTION("""COMPUTED_VALUE"""),-0.449222891289606)</f>
        <v>-0.44922289128960602</v>
      </c>
      <c r="J6" s="3">
        <f ca="1">IFERROR(__xludf.DUMMYFUNCTION("""COMPUTED_VALUE"""),-0.601894605087103)</f>
        <v>-0.60189460508710302</v>
      </c>
      <c r="K6" s="3">
        <f ca="1">IFERROR(__xludf.DUMMYFUNCTION("""COMPUTED_VALUE"""),-0.621963598171572)</f>
        <v>-0.62196359817157199</v>
      </c>
      <c r="L6" s="3">
        <f ca="1">IFERROR(__xludf.DUMMYFUNCTION("""COMPUTED_VALUE"""),-0.663532515135647)</f>
        <v>-0.66353251513564704</v>
      </c>
      <c r="M6" s="3">
        <f ca="1">IFERROR(__xludf.DUMMYFUNCTION("""COMPUTED_VALUE"""),-0.625306899092922)</f>
        <v>-0.62530689909292203</v>
      </c>
      <c r="N6" s="3">
        <f ca="1">IFERROR(__xludf.DUMMYFUNCTION("""COMPUTED_VALUE"""),-0.607330735816761)</f>
        <v>-0.607330735816761</v>
      </c>
      <c r="O6" s="3">
        <f ca="1">IFERROR(__xludf.DUMMYFUNCTION("""COMPUTED_VALUE"""),-0.504387437749401)</f>
        <v>-0.50438743774940098</v>
      </c>
      <c r="P6" s="3">
        <f ca="1">IFERROR(__xludf.DUMMYFUNCTION("""COMPUTED_VALUE"""),-0.428483030316698)</f>
        <v>-0.42848303031669799</v>
      </c>
      <c r="Q6" s="3">
        <f ca="1">IFERROR(__xludf.DUMMYFUNCTION("""COMPUTED_VALUE"""),-0.547719408197556)</f>
        <v>-0.54771940819755605</v>
      </c>
      <c r="R6" s="3">
        <f ca="1">IFERROR(__xludf.DUMMYFUNCTION("""COMPUTED_VALUE"""),-0.606587147589811)</f>
        <v>-0.60658714758981103</v>
      </c>
      <c r="S6" s="3">
        <f ca="1">IFERROR(__xludf.DUMMYFUNCTION("""COMPUTED_VALUE"""),-0.692513612271119)</f>
        <v>-0.69251361227111896</v>
      </c>
      <c r="T6" s="3">
        <f ca="1">IFERROR(__xludf.DUMMYFUNCTION("""COMPUTED_VALUE"""),-0.610280333146871)</f>
        <v>-0.61028033314687102</v>
      </c>
      <c r="U6" s="3">
        <f ca="1">IFERROR(__xludf.DUMMYFUNCTION("""COMPUTED_VALUE"""),-0.595301270460147)</f>
        <v>-0.59530127046014703</v>
      </c>
      <c r="V6" s="3">
        <f ca="1">IFERROR(__xludf.DUMMYFUNCTION("""COMPUTED_VALUE"""),-0.405412766715373)</f>
        <v>-0.40541276671537302</v>
      </c>
      <c r="W6" s="3">
        <f ca="1">IFERROR(__xludf.DUMMYFUNCTION("""COMPUTED_VALUE"""),-0.460462628980677)</f>
        <v>-0.46046262898067702</v>
      </c>
      <c r="X6" s="3">
        <f ca="1">IFERROR(__xludf.DUMMYFUNCTION("""COMPUTED_VALUE"""),-0.579589488823076)</f>
        <v>-0.57958948882307604</v>
      </c>
      <c r="Y6" s="3">
        <f ca="1">IFERROR(__xludf.DUMMYFUNCTION("""COMPUTED_VALUE"""),-0.649970599185046)</f>
        <v>-0.64997059918504596</v>
      </c>
      <c r="Z6" s="3">
        <f ca="1">IFERROR(__xludf.DUMMYFUNCTION("""COMPUTED_VALUE"""),-0.623950670676715)</f>
        <v>-0.62395067067671495</v>
      </c>
      <c r="AA6" s="3">
        <f ca="1">IFERROR(__xludf.DUMMYFUNCTION("""COMPUTED_VALUE"""),-0.647991336619892)</f>
        <v>-0.64799133661989206</v>
      </c>
      <c r="AB6" s="3">
        <f ca="1">IFERROR(__xludf.DUMMYFUNCTION("""COMPUTED_VALUE"""),-0.616319094890281)</f>
        <v>-0.61631909489028103</v>
      </c>
      <c r="AC6" s="3">
        <f ca="1">IFERROR(__xludf.DUMMYFUNCTION("""COMPUTED_VALUE"""),-0.421346892471202)</f>
        <v>-0.42134689247120199</v>
      </c>
      <c r="AD6" s="3">
        <f ca="1">IFERROR(__xludf.DUMMYFUNCTION("""COMPUTED_VALUE"""),-0.426241757086768)</f>
        <v>-0.42624175708676798</v>
      </c>
      <c r="AE6" s="3">
        <f ca="1">IFERROR(__xludf.DUMMYFUNCTION("""COMPUTED_VALUE"""),-0.561563514588779)</f>
        <v>-0.56156351458877896</v>
      </c>
      <c r="AF6" s="3">
        <f ca="1">IFERROR(__xludf.DUMMYFUNCTION("""COMPUTED_VALUE"""),-0.586310464989698)</f>
        <v>-0.58631046498969797</v>
      </c>
      <c r="AG6" s="3">
        <f ca="1">IFERROR(__xludf.DUMMYFUNCTION("""COMPUTED_VALUE"""),-0.610267389490938)</f>
        <v>-0.61026738949093795</v>
      </c>
      <c r="AH6" s="3">
        <f ca="1">IFERROR(__xludf.DUMMYFUNCTION("""COMPUTED_VALUE"""),-0.607354390062055)</f>
        <v>-0.60735439006205505</v>
      </c>
      <c r="AI6" s="3">
        <f ca="1">IFERROR(__xludf.DUMMYFUNCTION("""COMPUTED_VALUE"""),-0.589553249252303)</f>
        <v>-0.58955324925230301</v>
      </c>
      <c r="AJ6" s="3">
        <f ca="1">IFERROR(__xludf.DUMMYFUNCTION("""COMPUTED_VALUE"""),-0.410349614176718)</f>
        <v>-0.410349614176718</v>
      </c>
      <c r="AK6" s="3">
        <f ca="1">IFERROR(__xludf.DUMMYFUNCTION("""COMPUTED_VALUE"""),-0.47149796785182)</f>
        <v>-0.47149796785182002</v>
      </c>
      <c r="AL6" s="3">
        <f ca="1">IFERROR(__xludf.DUMMYFUNCTION("""COMPUTED_VALUE"""),-0.581759908971011)</f>
        <v>-0.58175990897101104</v>
      </c>
      <c r="AM6" s="3">
        <f ca="1">IFERROR(__xludf.DUMMYFUNCTION("""COMPUTED_VALUE"""),-0.624742612821962)</f>
        <v>-0.62474261282196197</v>
      </c>
      <c r="AN6" s="3">
        <f ca="1">IFERROR(__xludf.DUMMYFUNCTION("""COMPUTED_VALUE"""),-0.602234050201572)</f>
        <v>-0.60223405020157195</v>
      </c>
      <c r="AO6" s="3">
        <f ca="1">IFERROR(__xludf.DUMMYFUNCTION("""COMPUTED_VALUE"""),-0.636048581992654)</f>
        <v>-0.63604858199265402</v>
      </c>
      <c r="AP6" s="3">
        <f ca="1">IFERROR(__xludf.DUMMYFUNCTION("""COMPUTED_VALUE"""),-0.606959811526129)</f>
        <v>-0.60695981152612899</v>
      </c>
      <c r="AQ6" s="3">
        <f ca="1">IFERROR(__xludf.DUMMYFUNCTION("""COMPUTED_VALUE"""),-0.49571261699686)</f>
        <v>-0.49571261699685998</v>
      </c>
      <c r="AR6" s="3">
        <f ca="1">IFERROR(__xludf.DUMMYFUNCTION("""COMPUTED_VALUE"""),-0.480453023790686)</f>
        <v>-0.480453023790686</v>
      </c>
      <c r="AS6" s="3">
        <f ca="1">IFERROR(__xludf.DUMMYFUNCTION("""COMPUTED_VALUE"""),-0.60502547041745)</f>
        <v>-0.60502547041745003</v>
      </c>
      <c r="AT6" s="3">
        <f ca="1">IFERROR(__xludf.DUMMYFUNCTION("""COMPUTED_VALUE"""),-0.625679243334972)</f>
        <v>-0.62567924333497205</v>
      </c>
      <c r="AU6" s="3">
        <f ca="1">IFERROR(__xludf.DUMMYFUNCTION("""COMPUTED_VALUE"""),-0.525638557771756)</f>
        <v>-0.52563855777175605</v>
      </c>
      <c r="AV6" s="3">
        <f ca="1">IFERROR(__xludf.DUMMYFUNCTION("""COMPUTED_VALUE"""),-0.625486695204927)</f>
        <v>-0.62548669520492695</v>
      </c>
      <c r="AW6" s="3">
        <f ca="1">IFERROR(__xludf.DUMMYFUNCTION("""COMPUTED_VALUE"""),-0.607205787272395)</f>
        <v>-0.60720578727239505</v>
      </c>
      <c r="AX6" s="3">
        <f ca="1">IFERROR(__xludf.DUMMYFUNCTION("""COMPUTED_VALUE"""),-0.415857686125749)</f>
        <v>-0.41585768612574903</v>
      </c>
      <c r="AY6" s="3">
        <f ca="1">IFERROR(__xludf.DUMMYFUNCTION("""COMPUTED_VALUE"""),-0.497594914071781)</f>
        <v>-0.49759491407178102</v>
      </c>
      <c r="AZ6" s="3">
        <f ca="1">IFERROR(__xludf.DUMMYFUNCTION("""COMPUTED_VALUE"""),-0.629988739198124)</f>
        <v>-0.62998873919812404</v>
      </c>
      <c r="BA6" s="3">
        <f ca="1">IFERROR(__xludf.DUMMYFUNCTION("""COMPUTED_VALUE"""),-0.722811965228127)</f>
        <v>-0.72281196522812696</v>
      </c>
      <c r="BB6" s="3">
        <f ca="1">IFERROR(__xludf.DUMMYFUNCTION("""COMPUTED_VALUE"""),-0.548345779663897)</f>
        <v>-0.54834577966389697</v>
      </c>
      <c r="BC6" s="3">
        <f ca="1">IFERROR(__xludf.DUMMYFUNCTION("""COMPUTED_VALUE"""),-0.579060947278117)</f>
        <v>-0.57906094727811697</v>
      </c>
      <c r="BD6" s="3">
        <f ca="1">IFERROR(__xludf.DUMMYFUNCTION("""COMPUTED_VALUE"""),-0.540040564181891)</f>
        <v>-0.54004056418189095</v>
      </c>
      <c r="BE6" s="3">
        <f ca="1">IFERROR(__xludf.DUMMYFUNCTION("""COMPUTED_VALUE"""),-0.391753247733906)</f>
        <v>-0.39175324773390602</v>
      </c>
      <c r="BF6" s="3">
        <f ca="1">IFERROR(__xludf.DUMMYFUNCTION("""COMPUTED_VALUE"""),-0.485841647950459)</f>
        <v>-0.48584164795045898</v>
      </c>
      <c r="BG6" s="3">
        <f ca="1">IFERROR(__xludf.DUMMYFUNCTION("""COMPUTED_VALUE"""),-0.621040966543047)</f>
        <v>-0.62104096654304697</v>
      </c>
      <c r="BH6" s="3">
        <f ca="1">IFERROR(__xludf.DUMMYFUNCTION("""COMPUTED_VALUE"""),-0.657798517848889)</f>
        <v>-0.65779851784888899</v>
      </c>
      <c r="BI6" s="3">
        <f ca="1">IFERROR(__xludf.DUMMYFUNCTION("""COMPUTED_VALUE"""),-0.6277753425299)</f>
        <v>-0.62777534252989997</v>
      </c>
      <c r="BJ6" s="3">
        <f ca="1">IFERROR(__xludf.DUMMYFUNCTION("""COMPUTED_VALUE"""),-0.614544543740453)</f>
        <v>-0.61454454374045298</v>
      </c>
      <c r="BK6" s="3">
        <f ca="1">IFERROR(__xludf.DUMMYFUNCTION("""COMPUTED_VALUE"""),-0.57995457247751)</f>
        <v>-0.57995457247751003</v>
      </c>
      <c r="BL6" s="3">
        <f ca="1">IFERROR(__xludf.DUMMYFUNCTION("""COMPUTED_VALUE"""),-0.463565404626077)</f>
        <v>-0.46356540462607698</v>
      </c>
      <c r="BM6" s="3">
        <f ca="1">IFERROR(__xludf.DUMMYFUNCTION("""COMPUTED_VALUE"""),-0.430490976172792)</f>
        <v>-0.43049097617279197</v>
      </c>
      <c r="BN6" s="3">
        <f ca="1">IFERROR(__xludf.DUMMYFUNCTION("""COMPUTED_VALUE"""),-0.60709606113148)</f>
        <v>-0.60709606113147996</v>
      </c>
      <c r="BO6" s="3">
        <f ca="1">IFERROR(__xludf.DUMMYFUNCTION("""COMPUTED_VALUE"""),-0.621203612459603)</f>
        <v>-0.62120361245960298</v>
      </c>
      <c r="BP6" s="3">
        <f ca="1">IFERROR(__xludf.DUMMYFUNCTION("""COMPUTED_VALUE"""),-0.623499485130233)</f>
        <v>-0.62349948513023301</v>
      </c>
      <c r="BQ6" s="3">
        <f ca="1">IFERROR(__xludf.DUMMYFUNCTION("""COMPUTED_VALUE"""),-0.647861936901814)</f>
        <v>-0.64786193690181404</v>
      </c>
      <c r="BR6" s="3">
        <f ca="1">IFERROR(__xludf.DUMMYFUNCTION("""COMPUTED_VALUE"""),-0.710659436397394)</f>
        <v>-0.71065943639739404</v>
      </c>
      <c r="BS6" s="3">
        <f ca="1">IFERROR(__xludf.DUMMYFUNCTION("""COMPUTED_VALUE"""),-0.516784593052673)</f>
        <v>-0.51678459305267299</v>
      </c>
      <c r="BT6" s="3">
        <f ca="1">IFERROR(__xludf.DUMMYFUNCTION("""COMPUTED_VALUE"""),-0.479761990763984)</f>
        <v>-0.47976199076398401</v>
      </c>
      <c r="BU6" s="3">
        <f ca="1">IFERROR(__xludf.DUMMYFUNCTION("""COMPUTED_VALUE"""),-0.625469066813045)</f>
        <v>-0.62546906681304504</v>
      </c>
      <c r="BV6" s="3">
        <f ca="1">IFERROR(__xludf.DUMMYFUNCTION("""COMPUTED_VALUE"""),-0.652857445531169)</f>
        <v>-0.65285744553116898</v>
      </c>
      <c r="BW6" s="3">
        <f ca="1">IFERROR(__xludf.DUMMYFUNCTION("""COMPUTED_VALUE"""),-0.643772110902113)</f>
        <v>-0.64377211090211295</v>
      </c>
      <c r="BX6" s="3">
        <f ca="1">IFERROR(__xludf.DUMMYFUNCTION("""COMPUTED_VALUE"""),-0.654085780231152)</f>
        <v>-0.65408578023115205</v>
      </c>
      <c r="BY6" s="3">
        <f ca="1">IFERROR(__xludf.DUMMYFUNCTION("""COMPUTED_VALUE"""),-0.583264116229883)</f>
        <v>-0.58326411622988295</v>
      </c>
      <c r="BZ6" s="3">
        <f ca="1">IFERROR(__xludf.DUMMYFUNCTION("""COMPUTED_VALUE"""),-0.479679430205186)</f>
        <v>-0.479679430205186</v>
      </c>
      <c r="CA6" s="3">
        <f ca="1">IFERROR(__xludf.DUMMYFUNCTION("""COMPUTED_VALUE"""),-0.469293269343182)</f>
        <v>-0.469293269343182</v>
      </c>
      <c r="CB6" s="3">
        <f ca="1">IFERROR(__xludf.DUMMYFUNCTION("""COMPUTED_VALUE"""),-0.604400517720893)</f>
        <v>-0.60440051772089298</v>
      </c>
      <c r="CC6" s="3">
        <f ca="1">IFERROR(__xludf.DUMMYFUNCTION("""COMPUTED_VALUE"""),-0.638932353414445)</f>
        <v>-0.63893235341444499</v>
      </c>
      <c r="CD6" s="3">
        <f ca="1">IFERROR(__xludf.DUMMYFUNCTION("""COMPUTED_VALUE"""),-0.653335936945123)</f>
        <v>-0.65333593694512304</v>
      </c>
      <c r="CE6" s="3">
        <f ca="1">IFERROR(__xludf.DUMMYFUNCTION("""COMPUTED_VALUE"""),-0.635311761541558)</f>
        <v>-0.635311761541558</v>
      </c>
      <c r="CF6" s="3">
        <f ca="1">IFERROR(__xludf.DUMMYFUNCTION("""COMPUTED_VALUE"""),-0.62597550735932)</f>
        <v>-0.62597550735931995</v>
      </c>
      <c r="CG6" s="3">
        <f ca="1">IFERROR(__xludf.DUMMYFUNCTION("""COMPUTED_VALUE"""),-0.456541925032211)</f>
        <v>-0.45654192503221103</v>
      </c>
      <c r="CH6" s="3">
        <f ca="1">IFERROR(__xludf.DUMMYFUNCTION("""COMPUTED_VALUE"""),-0.43827806683113)</f>
        <v>-0.43827806683113002</v>
      </c>
      <c r="CI6" s="3">
        <f ca="1">IFERROR(__xludf.DUMMYFUNCTION("""COMPUTED_VALUE"""),-0.602557803626182)</f>
        <v>-0.60255780362618205</v>
      </c>
      <c r="CJ6" s="3">
        <f ca="1">IFERROR(__xludf.DUMMYFUNCTION("""COMPUTED_VALUE"""),-0.631936048927608)</f>
        <v>-0.63193604892760802</v>
      </c>
      <c r="CK6" s="3">
        <f ca="1">IFERROR(__xludf.DUMMYFUNCTION("""COMPUTED_VALUE"""),-0.619094929300138)</f>
        <v>-0.61909492930013799</v>
      </c>
      <c r="CL6" s="3">
        <f ca="1">IFERROR(__xludf.DUMMYFUNCTION("""COMPUTED_VALUE"""),-0.633306207939146)</f>
        <v>-0.63330620793914605</v>
      </c>
      <c r="CM6" s="3">
        <f ca="1">IFERROR(__xludf.DUMMYFUNCTION("""COMPUTED_VALUE"""),-0.577893989374081)</f>
        <v>-0.57789398937408099</v>
      </c>
      <c r="CN6" s="3">
        <f ca="1">IFERROR(__xludf.DUMMYFUNCTION("""COMPUTED_VALUE"""),-0.481998304136721)</f>
        <v>-0.48199830413672101</v>
      </c>
      <c r="CO6" s="3">
        <f ca="1">IFERROR(__xludf.DUMMYFUNCTION("""COMPUTED_VALUE"""),-0.478424868554487)</f>
        <v>-0.47842486855448701</v>
      </c>
      <c r="CP6" s="3">
        <f ca="1">IFERROR(__xludf.DUMMYFUNCTION("""COMPUTED_VALUE"""),-0.630226419784265)</f>
        <v>-0.63022641978426497</v>
      </c>
      <c r="CQ6" s="3">
        <f ca="1">IFERROR(__xludf.DUMMYFUNCTION("""COMPUTED_VALUE"""),-0.623627071786568)</f>
        <v>-0.62362707178656795</v>
      </c>
      <c r="CR6" s="3">
        <f ca="1">IFERROR(__xludf.DUMMYFUNCTION("""COMPUTED_VALUE"""),-0.529046410386969)</f>
        <v>-0.52904641038696898</v>
      </c>
      <c r="CS6" s="3">
        <f ca="1">IFERROR(__xludf.DUMMYFUNCTION("""COMPUTED_VALUE"""),-0.586338898392808)</f>
        <v>-0.58633889839280795</v>
      </c>
      <c r="CT6" s="3">
        <f ca="1">IFERROR(__xludf.DUMMYFUNCTION("""COMPUTED_VALUE"""),-0.56479192017409)</f>
        <v>-0.56479192017408997</v>
      </c>
      <c r="CU6" s="3">
        <f ca="1">IFERROR(__xludf.DUMMYFUNCTION("""COMPUTED_VALUE"""),-0.49684152748968)</f>
        <v>-0.49684152748968002</v>
      </c>
      <c r="CV6" s="3">
        <f ca="1">IFERROR(__xludf.DUMMYFUNCTION("""COMPUTED_VALUE"""),-0.483396576206414)</f>
        <v>-0.48339657620641402</v>
      </c>
      <c r="CW6" s="3">
        <f ca="1">IFERROR(__xludf.DUMMYFUNCTION("""COMPUTED_VALUE"""),-0.751241333131493)</f>
        <v>-0.75124133313149299</v>
      </c>
      <c r="CX6" s="3">
        <f ca="1">IFERROR(__xludf.DUMMYFUNCTION("""COMPUTED_VALUE"""),-0.56660070727671)</f>
        <v>-0.56660070727670997</v>
      </c>
      <c r="CY6" s="3">
        <f ca="1">IFERROR(__xludf.DUMMYFUNCTION("""COMPUTED_VALUE"""),-0.300275996850567)</f>
        <v>-0.300275996850567</v>
      </c>
      <c r="CZ6" s="3">
        <f ca="1">IFERROR(__xludf.DUMMYFUNCTION("""COMPUTED_VALUE"""),-0.5513709518167)</f>
        <v>-0.55137095181670004</v>
      </c>
      <c r="DA6" s="3">
        <f ca="1">IFERROR(__xludf.DUMMYFUNCTION("""COMPUTED_VALUE"""),-0.54654875955152)</f>
        <v>-0.54654875955152005</v>
      </c>
      <c r="DB6" s="3">
        <f ca="1">IFERROR(__xludf.DUMMYFUNCTION("""COMPUTED_VALUE"""),-0.474431278927125)</f>
        <v>-0.474431278927125</v>
      </c>
      <c r="DC6" s="3">
        <f ca="1">IFERROR(__xludf.DUMMYFUNCTION("""COMPUTED_VALUE"""),-0.555040993344761)</f>
        <v>-0.55504099334476098</v>
      </c>
      <c r="DD6" s="3">
        <f ca="1">IFERROR(__xludf.DUMMYFUNCTION("""COMPUTED_VALUE"""),-0.819959398644708)</f>
        <v>-0.81995939864470802</v>
      </c>
      <c r="DE6" s="3">
        <f ca="1">IFERROR(__xludf.DUMMYFUNCTION("""COMPUTED_VALUE"""),-0.616825595796425)</f>
        <v>-0.61682559579642504</v>
      </c>
      <c r="DF6" s="3">
        <f ca="1">IFERROR(__xludf.DUMMYFUNCTION("""COMPUTED_VALUE"""),-0.320934423133611)</f>
        <v>-0.32093442313361098</v>
      </c>
      <c r="DG6" s="3">
        <f ca="1">IFERROR(__xludf.DUMMYFUNCTION("""COMPUTED_VALUE"""),-0.516096416811275)</f>
        <v>-0.51609641681127505</v>
      </c>
      <c r="DH6" s="3">
        <f ca="1">IFERROR(__xludf.DUMMYFUNCTION("""COMPUTED_VALUE"""),-0.504324037007781)</f>
        <v>-0.50432403700778095</v>
      </c>
      <c r="DI6" s="3">
        <f ca="1">IFERROR(__xludf.DUMMYFUNCTION("""COMPUTED_VALUE"""),-0.462112381417559)</f>
        <v>-0.462112381417559</v>
      </c>
      <c r="DJ6" s="3">
        <f ca="1">IFERROR(__xludf.DUMMYFUNCTION("""COMPUTED_VALUE"""),-0.493989824319663)</f>
        <v>-0.49398982431966298</v>
      </c>
      <c r="DK6" s="3">
        <f ca="1">IFERROR(__xludf.DUMMYFUNCTION("""COMPUTED_VALUE"""),-0.588327132383552)</f>
        <v>-0.58832713238355205</v>
      </c>
      <c r="DL6" s="3">
        <f ca="1">IFERROR(__xludf.DUMMYFUNCTION("""COMPUTED_VALUE"""),-0.594823908293547)</f>
        <v>-0.59482390829354703</v>
      </c>
      <c r="DM6" s="3">
        <f ca="1">IFERROR(__xludf.DUMMYFUNCTION("""COMPUTED_VALUE"""),-0.542676036088202)</f>
        <v>-0.54267603608820203</v>
      </c>
      <c r="DN6" s="3">
        <f ca="1">IFERROR(__xludf.DUMMYFUNCTION("""COMPUTED_VALUE"""),-0.555599330961296)</f>
        <v>-0.55559933096129599</v>
      </c>
      <c r="DO6" s="3">
        <f ca="1">IFERROR(__xludf.DUMMYFUNCTION("""COMPUTED_VALUE"""),-0.591139652840055)</f>
        <v>-0.59113965284005499</v>
      </c>
      <c r="DP6" s="3">
        <f ca="1">IFERROR(__xludf.DUMMYFUNCTION("""COMPUTED_VALUE"""),-0.444521885016703)</f>
        <v>-0.44452188501670298</v>
      </c>
      <c r="DQ6" s="3">
        <f ca="1">IFERROR(__xludf.DUMMYFUNCTION("""COMPUTED_VALUE"""),-0.467354899489163)</f>
        <v>-0.46735489948916298</v>
      </c>
      <c r="DR6" s="3">
        <f ca="1">IFERROR(__xludf.DUMMYFUNCTION("""COMPUTED_VALUE"""),-0.589258945828254)</f>
        <v>-0.589258945828254</v>
      </c>
      <c r="DS6" s="3">
        <f ca="1">IFERROR(__xludf.DUMMYFUNCTION("""COMPUTED_VALUE"""),-0.626196605851055)</f>
        <v>-0.62619660585105497</v>
      </c>
      <c r="DT6" s="3">
        <f ca="1">IFERROR(__xludf.DUMMYFUNCTION("""COMPUTED_VALUE"""),-0.63682428210263)</f>
        <v>-0.63682428210262998</v>
      </c>
      <c r="DU6" s="3">
        <f ca="1">IFERROR(__xludf.DUMMYFUNCTION("""COMPUTED_VALUE"""),-0.626492191307834)</f>
        <v>-0.62649219130783396</v>
      </c>
      <c r="DV6" s="3">
        <f ca="1">IFERROR(__xludf.DUMMYFUNCTION("""COMPUTED_VALUE"""),-0.578922113329902)</f>
        <v>-0.57892211332990196</v>
      </c>
      <c r="DW6" s="3">
        <f ca="1">IFERROR(__xludf.DUMMYFUNCTION("""COMPUTED_VALUE"""),-0.414675550126596)</f>
        <v>-0.41467555012659602</v>
      </c>
      <c r="DX6" s="3">
        <f ca="1">IFERROR(__xludf.DUMMYFUNCTION("""COMPUTED_VALUE"""),-0.444974915601544)</f>
        <v>-0.44497491560154401</v>
      </c>
      <c r="DY6" s="3">
        <f ca="1">IFERROR(__xludf.DUMMYFUNCTION("""COMPUTED_VALUE"""),-0.55359863624389)</f>
        <v>-0.55359863624389005</v>
      </c>
      <c r="DZ6" s="3">
        <f ca="1">IFERROR(__xludf.DUMMYFUNCTION("""COMPUTED_VALUE"""),-0.52930486297543)</f>
        <v>-0.52930486297543</v>
      </c>
      <c r="EA6" s="3">
        <f ca="1">IFERROR(__xludf.DUMMYFUNCTION("""COMPUTED_VALUE"""),-0.631368311378721)</f>
        <v>-0.63136831137872096</v>
      </c>
      <c r="EB6" s="3">
        <f ca="1">IFERROR(__xludf.DUMMYFUNCTION("""COMPUTED_VALUE"""),-0.624613823833409)</f>
        <v>-0.62461382383340902</v>
      </c>
      <c r="EC6" s="3">
        <f ca="1">IFERROR(__xludf.DUMMYFUNCTION("""COMPUTED_VALUE"""),-0.639347909327657)</f>
        <v>-0.63934790932765695</v>
      </c>
      <c r="ED6" s="3">
        <f ca="1">IFERROR(__xludf.DUMMYFUNCTION("""COMPUTED_VALUE"""),-0.411640212782477)</f>
        <v>-0.41164021278247698</v>
      </c>
      <c r="EE6" s="3">
        <f ca="1">IFERROR(__xludf.DUMMYFUNCTION("""COMPUTED_VALUE"""),-0.461594092459073)</f>
        <v>-0.46159409245907301</v>
      </c>
      <c r="EF6" s="3">
        <f ca="1">IFERROR(__xludf.DUMMYFUNCTION("""COMPUTED_VALUE"""),-0.606401989473123)</f>
        <v>-0.60640198947312296</v>
      </c>
      <c r="EG6" s="3">
        <f ca="1">IFERROR(__xludf.DUMMYFUNCTION("""COMPUTED_VALUE"""),-0.722408443677701)</f>
        <v>-0.72240844367770096</v>
      </c>
      <c r="EH6" s="3">
        <f ca="1">IFERROR(__xludf.DUMMYFUNCTION("""COMPUTED_VALUE"""),-0.61952031414648)</f>
        <v>-0.61952031414648001</v>
      </c>
      <c r="EI6" s="3">
        <f ca="1">IFERROR(__xludf.DUMMYFUNCTION("""COMPUTED_VALUE"""),-0.623490279937562)</f>
        <v>-0.62349027993756201</v>
      </c>
      <c r="EJ6" s="3">
        <f ca="1">IFERROR(__xludf.DUMMYFUNCTION("""COMPUTED_VALUE"""),-0.609166532069139)</f>
        <v>-0.60916653206913896</v>
      </c>
      <c r="EK6" s="3">
        <f ca="1">IFERROR(__xludf.DUMMYFUNCTION("""COMPUTED_VALUE"""),-0.4239175305603)</f>
        <v>-0.42391753056030002</v>
      </c>
      <c r="EL6" s="3">
        <f ca="1">IFERROR(__xludf.DUMMYFUNCTION("""COMPUTED_VALUE"""),-0.435945700308295)</f>
        <v>-0.43594570030829499</v>
      </c>
      <c r="EM6" s="3">
        <f ca="1">IFERROR(__xludf.DUMMYFUNCTION("""COMPUTED_VALUE"""),-0.541300820426969)</f>
        <v>-0.54130082042696903</v>
      </c>
      <c r="EN6" s="3">
        <f ca="1">IFERROR(__xludf.DUMMYFUNCTION("""COMPUTED_VALUE"""),-0.540852943901341)</f>
        <v>-0.54085294390134098</v>
      </c>
      <c r="EO6" s="3">
        <f ca="1">IFERROR(__xludf.DUMMYFUNCTION("""COMPUTED_VALUE"""),-0.618348103304859)</f>
        <v>-0.61834810330485901</v>
      </c>
      <c r="EP6" s="3">
        <f ca="1">IFERROR(__xludf.DUMMYFUNCTION("""COMPUTED_VALUE"""),-0.627270581678183)</f>
        <v>-0.62727058167818295</v>
      </c>
      <c r="EQ6" s="3">
        <f ca="1">IFERROR(__xludf.DUMMYFUNCTION("""COMPUTED_VALUE"""),-0.596761545977202)</f>
        <v>-0.59676154597720199</v>
      </c>
      <c r="ER6" s="3">
        <f ca="1">IFERROR(__xludf.DUMMYFUNCTION("""COMPUTED_VALUE"""),-0.445613056181446)</f>
        <v>-0.44561305618144598</v>
      </c>
      <c r="ES6" s="3">
        <f ca="1">IFERROR(__xludf.DUMMYFUNCTION("""COMPUTED_VALUE"""),-0.44108246403796)</f>
        <v>-0.44108246403795998</v>
      </c>
      <c r="ET6" s="3">
        <f ca="1">IFERROR(__xludf.DUMMYFUNCTION("""COMPUTED_VALUE"""),-0.603076629641024)</f>
        <v>-0.60307662964102404</v>
      </c>
      <c r="EU6" s="3">
        <f ca="1">IFERROR(__xludf.DUMMYFUNCTION("""COMPUTED_VALUE"""),-0.642506138691178)</f>
        <v>-0.64250613869117801</v>
      </c>
      <c r="EV6" s="3">
        <f ca="1">IFERROR(__xludf.DUMMYFUNCTION("""COMPUTED_VALUE"""),-0.66960241962323)</f>
        <v>-0.66960241962322997</v>
      </c>
      <c r="EW6" s="3">
        <f ca="1">IFERROR(__xludf.DUMMYFUNCTION("""COMPUTED_VALUE"""),-0.601994369420896)</f>
        <v>-0.60199436942089601</v>
      </c>
      <c r="EX6" s="3">
        <f ca="1">IFERROR(__xludf.DUMMYFUNCTION("""COMPUTED_VALUE"""),-0.559442818418109)</f>
        <v>-0.55944281841810894</v>
      </c>
      <c r="EY6" s="3">
        <f ca="1">IFERROR(__xludf.DUMMYFUNCTION("""COMPUTED_VALUE"""),-0.39431120652765)</f>
        <v>-0.39431120652765</v>
      </c>
      <c r="EZ6" s="3">
        <f ca="1">IFERROR(__xludf.DUMMYFUNCTION("""COMPUTED_VALUE"""),-0.431072276898838)</f>
        <v>-0.43107227689883798</v>
      </c>
      <c r="FA6" s="3">
        <f ca="1">IFERROR(__xludf.DUMMYFUNCTION("""COMPUTED_VALUE"""),-0.610198017462488)</f>
        <v>-0.61019801746248803</v>
      </c>
      <c r="FB6" s="3">
        <f ca="1">IFERROR(__xludf.DUMMYFUNCTION("""COMPUTED_VALUE"""),-0.610307095689647)</f>
        <v>-0.61030709568964703</v>
      </c>
      <c r="FC6" s="3">
        <f ca="1">IFERROR(__xludf.DUMMYFUNCTION("""COMPUTED_VALUE"""),-0.607609342345119)</f>
        <v>-0.60760934234511899</v>
      </c>
      <c r="FD6" s="3">
        <f ca="1">IFERROR(__xludf.DUMMYFUNCTION("""COMPUTED_VALUE"""),-0.604345013134077)</f>
        <v>-0.60434501313407696</v>
      </c>
      <c r="FE6" s="3">
        <f ca="1">IFERROR(__xludf.DUMMYFUNCTION("""COMPUTED_VALUE"""),-0.581682189437493)</f>
        <v>-0.58168218943749295</v>
      </c>
      <c r="FF6" s="3">
        <f ca="1">IFERROR(__xludf.DUMMYFUNCTION("""COMPUTED_VALUE"""),-0.434687160134617)</f>
        <v>-0.434687160134617</v>
      </c>
      <c r="FG6" s="3">
        <f ca="1">IFERROR(__xludf.DUMMYFUNCTION("""COMPUTED_VALUE"""),-0.44644359181165)</f>
        <v>-0.44644359181165</v>
      </c>
      <c r="FH6" s="3">
        <f ca="1">IFERROR(__xludf.DUMMYFUNCTION("""COMPUTED_VALUE"""),-0.622290138378016)</f>
        <v>-0.62229013837801594</v>
      </c>
      <c r="FI6" s="3">
        <f ca="1">IFERROR(__xludf.DUMMYFUNCTION("""COMPUTED_VALUE"""),-0.686063639937829)</f>
        <v>-0.68606363993782904</v>
      </c>
      <c r="FJ6" s="3">
        <f ca="1">IFERROR(__xludf.DUMMYFUNCTION("""COMPUTED_VALUE"""),-0.618376091774176)</f>
        <v>-0.61837609177417596</v>
      </c>
      <c r="FK6" s="3">
        <f ca="1">IFERROR(__xludf.DUMMYFUNCTION("""COMPUTED_VALUE"""),-0.617074222140134)</f>
        <v>-0.61707422214013397</v>
      </c>
      <c r="FL6" s="3">
        <f ca="1">IFERROR(__xludf.DUMMYFUNCTION("""COMPUTED_VALUE"""),-0.582437052147896)</f>
        <v>-0.58243705214789598</v>
      </c>
      <c r="FM6" s="3">
        <f ca="1">IFERROR(__xludf.DUMMYFUNCTION("""COMPUTED_VALUE"""),-0.423115306066576)</f>
        <v>-0.42311530606657599</v>
      </c>
      <c r="FN6" s="3">
        <f ca="1">IFERROR(__xludf.DUMMYFUNCTION("""COMPUTED_VALUE"""),-0.482302261589205)</f>
        <v>-0.48230226158920497</v>
      </c>
      <c r="FO6" s="3">
        <f ca="1">IFERROR(__xludf.DUMMYFUNCTION("""COMPUTED_VALUE"""),-0.602525093497371)</f>
        <v>-0.60252509349737104</v>
      </c>
      <c r="FP6" s="3">
        <f ca="1">IFERROR(__xludf.DUMMYFUNCTION("""COMPUTED_VALUE"""),-0.604585508662795)</f>
        <v>-0.60458550866279503</v>
      </c>
      <c r="FQ6" s="3">
        <f ca="1">IFERROR(__xludf.DUMMYFUNCTION("""COMPUTED_VALUE"""),-0.613243711347963)</f>
        <v>-0.61324371134796296</v>
      </c>
      <c r="FR6" s="3">
        <f ca="1">IFERROR(__xludf.DUMMYFUNCTION("""COMPUTED_VALUE"""),-0.612387578576748)</f>
        <v>-0.61238757857674797</v>
      </c>
      <c r="FS6" s="3">
        <f ca="1">IFERROR(__xludf.DUMMYFUNCTION("""COMPUTED_VALUE"""),-0.594677210360064)</f>
        <v>-0.59467721036006405</v>
      </c>
      <c r="FT6" s="3">
        <f ca="1">IFERROR(__xludf.DUMMYFUNCTION("""COMPUTED_VALUE"""),-0.369261583865238)</f>
        <v>-0.369261583865238</v>
      </c>
      <c r="FU6" s="3">
        <f ca="1">IFERROR(__xludf.DUMMYFUNCTION("""COMPUTED_VALUE"""),-0.405702469674441)</f>
        <v>-0.40570246967444101</v>
      </c>
      <c r="FV6" s="3">
        <f ca="1">IFERROR(__xludf.DUMMYFUNCTION("""COMPUTED_VALUE"""),-0.600080620584503)</f>
        <v>-0.60008062058450296</v>
      </c>
      <c r="FW6" s="3">
        <f ca="1">IFERROR(__xludf.DUMMYFUNCTION("""COMPUTED_VALUE"""),-0.589143192179904)</f>
        <v>-0.58914319217990396</v>
      </c>
      <c r="FX6" s="3">
        <f ca="1">IFERROR(__xludf.DUMMYFUNCTION("""COMPUTED_VALUE"""),-0.601808199808152)</f>
        <v>-0.60180819980815203</v>
      </c>
      <c r="FY6" s="3">
        <f ca="1">IFERROR(__xludf.DUMMYFUNCTION("""COMPUTED_VALUE"""),-0.609111608737152)</f>
        <v>-0.60911160873715198</v>
      </c>
      <c r="FZ6" s="3">
        <f ca="1">IFERROR(__xludf.DUMMYFUNCTION("""COMPUTED_VALUE"""),-0.636052140354255)</f>
        <v>-0.63605214035425495</v>
      </c>
      <c r="GA6" s="3">
        <f ca="1">IFERROR(__xludf.DUMMYFUNCTION("""COMPUTED_VALUE"""),-0.428976307659155)</f>
        <v>-0.42897630765915501</v>
      </c>
      <c r="GB6" s="3">
        <f ca="1">IFERROR(__xludf.DUMMYFUNCTION("""COMPUTED_VALUE"""),-0.481879439701253)</f>
        <v>-0.48187943970125302</v>
      </c>
      <c r="GC6" s="3">
        <f ca="1">IFERROR(__xludf.DUMMYFUNCTION("""COMPUTED_VALUE"""),-0.585790285947374)</f>
        <v>-0.58579028594737403</v>
      </c>
      <c r="GD6" s="3">
        <f ca="1">IFERROR(__xludf.DUMMYFUNCTION("""COMPUTED_VALUE"""),-0.612724634316863)</f>
        <v>-0.61272463431686297</v>
      </c>
      <c r="GE6" s="3">
        <f ca="1">IFERROR(__xludf.DUMMYFUNCTION("""COMPUTED_VALUE"""),-0.619401614892122)</f>
        <v>-0.61940161489212198</v>
      </c>
      <c r="GF6" s="3">
        <f ca="1">IFERROR(__xludf.DUMMYFUNCTION("""COMPUTED_VALUE"""),-0.62827757117188)</f>
        <v>-0.62827757117187999</v>
      </c>
      <c r="GG6" s="3">
        <f ca="1">IFERROR(__xludf.DUMMYFUNCTION("""COMPUTED_VALUE"""),-0.587295671348376)</f>
        <v>-0.58729567134837601</v>
      </c>
      <c r="GH6" s="3">
        <f ca="1">IFERROR(__xludf.DUMMYFUNCTION("""COMPUTED_VALUE"""),-0.415009512598401)</f>
        <v>-0.41500951259840102</v>
      </c>
      <c r="GI6" s="3">
        <f ca="1">IFERROR(__xludf.DUMMYFUNCTION("""COMPUTED_VALUE"""),-0.449503613699582)</f>
        <v>-0.44950361369958203</v>
      </c>
      <c r="GJ6" s="3">
        <f ca="1">IFERROR(__xludf.DUMMYFUNCTION("""COMPUTED_VALUE"""),-0.610634102742567)</f>
        <v>-0.61063410274256702</v>
      </c>
      <c r="GK6" s="3">
        <f ca="1">IFERROR(__xludf.DUMMYFUNCTION("""COMPUTED_VALUE"""),-0.626509545019772)</f>
        <v>-0.62650954501977196</v>
      </c>
      <c r="GL6" s="3">
        <f ca="1">IFERROR(__xludf.DUMMYFUNCTION("""COMPUTED_VALUE"""),-0.632555558509535)</f>
        <v>-0.63255555850953504</v>
      </c>
      <c r="GM6" s="3">
        <f ca="1">IFERROR(__xludf.DUMMYFUNCTION("""COMPUTED_VALUE"""),-0.632382002372305)</f>
        <v>-0.63238200237230502</v>
      </c>
      <c r="GN6" s="3">
        <f ca="1">IFERROR(__xludf.DUMMYFUNCTION("""COMPUTED_VALUE"""),-0.60343274769869)</f>
        <v>-0.60343274769869004</v>
      </c>
      <c r="GO6" s="3">
        <f ca="1">IFERROR(__xludf.DUMMYFUNCTION("""COMPUTED_VALUE"""),-0.410914613682655)</f>
        <v>-0.41091461368265503</v>
      </c>
      <c r="GP6" s="3">
        <f ca="1">IFERROR(__xludf.DUMMYFUNCTION("""COMPUTED_VALUE"""),-0.484306867780313)</f>
        <v>-0.48430686778031301</v>
      </c>
      <c r="GQ6" s="3">
        <f ca="1">IFERROR(__xludf.DUMMYFUNCTION("""COMPUTED_VALUE"""),-0.630732075356981)</f>
        <v>-0.63073207535698095</v>
      </c>
      <c r="GR6" s="3">
        <f ca="1">IFERROR(__xludf.DUMMYFUNCTION("""COMPUTED_VALUE"""),-0.64478852594613)</f>
        <v>-0.64478852594613001</v>
      </c>
      <c r="GS6" s="3">
        <f ca="1">IFERROR(__xludf.DUMMYFUNCTION("""COMPUTED_VALUE"""),-0.63312060088019)</f>
        <v>-0.63312060088018995</v>
      </c>
      <c r="GT6" s="3">
        <f ca="1">IFERROR(__xludf.DUMMYFUNCTION("""COMPUTED_VALUE"""),-0.635994561037803)</f>
        <v>-0.63599456103780305</v>
      </c>
      <c r="GU6" s="3">
        <f ca="1">IFERROR(__xludf.DUMMYFUNCTION("""COMPUTED_VALUE"""),-0.615125385184852)</f>
        <v>-0.61512538518485205</v>
      </c>
      <c r="GV6" s="3">
        <f ca="1">IFERROR(__xludf.DUMMYFUNCTION("""COMPUTED_VALUE"""),-0.448611035259923)</f>
        <v>-0.44861103525992302</v>
      </c>
      <c r="GW6" s="3">
        <f ca="1">IFERROR(__xludf.DUMMYFUNCTION("""COMPUTED_VALUE"""),-0.463765068088915)</f>
        <v>-0.46376506808891499</v>
      </c>
      <c r="GX6" s="3">
        <f ca="1">IFERROR(__xludf.DUMMYFUNCTION("""COMPUTED_VALUE"""),-0.620637709144096)</f>
        <v>-0.62063770914409599</v>
      </c>
      <c r="GY6" s="3">
        <f ca="1">IFERROR(__xludf.DUMMYFUNCTION("""COMPUTED_VALUE"""),-0.654230399563959)</f>
        <v>-0.65423039956395901</v>
      </c>
      <c r="GZ6" s="3">
        <f ca="1">IFERROR(__xludf.DUMMYFUNCTION("""COMPUTED_VALUE"""),-0.640586869791277)</f>
        <v>-0.64058686979127699</v>
      </c>
      <c r="HA6" s="3">
        <f ca="1">IFERROR(__xludf.DUMMYFUNCTION("""COMPUTED_VALUE"""),-0.644742072998664)</f>
        <v>-0.64474207299866404</v>
      </c>
      <c r="HB6" s="3">
        <f ca="1">IFERROR(__xludf.DUMMYFUNCTION("""COMPUTED_VALUE"""),-0.634277200887878)</f>
        <v>-0.63427720088787798</v>
      </c>
      <c r="HC6" s="3">
        <f ca="1">IFERROR(__xludf.DUMMYFUNCTION("""COMPUTED_VALUE"""),-0.43567106987737)</f>
        <v>-0.43567106987736998</v>
      </c>
      <c r="HD6" s="3">
        <f ca="1">IFERROR(__xludf.DUMMYFUNCTION("""COMPUTED_VALUE"""),-0.471609876985839)</f>
        <v>-0.471609876985839</v>
      </c>
      <c r="HE6" s="3">
        <f ca="1">IFERROR(__xludf.DUMMYFUNCTION("""COMPUTED_VALUE"""),-0.643367494709625)</f>
        <v>-0.64336749470962495</v>
      </c>
      <c r="HF6" s="3">
        <f ca="1">IFERROR(__xludf.DUMMYFUNCTION("""COMPUTED_VALUE"""),-0.66762198406687)</f>
        <v>-0.66762198406687001</v>
      </c>
      <c r="HG6" s="3">
        <f ca="1">IFERROR(__xludf.DUMMYFUNCTION("""COMPUTED_VALUE"""),-0.663349494156121)</f>
        <v>-0.66334949415612099</v>
      </c>
      <c r="HH6" s="3">
        <f ca="1">IFERROR(__xludf.DUMMYFUNCTION("""COMPUTED_VALUE"""),-0.640441463855661)</f>
        <v>-0.64044146385566103</v>
      </c>
      <c r="HI6" s="3">
        <f ca="1">IFERROR(__xludf.DUMMYFUNCTION("""COMPUTED_VALUE"""),-0.63149342319869)</f>
        <v>-0.63149342319868995</v>
      </c>
      <c r="HJ6" s="3">
        <f ca="1">IFERROR(__xludf.DUMMYFUNCTION("""COMPUTED_VALUE"""),-0.436075754116703)</f>
        <v>-0.43607575411670302</v>
      </c>
      <c r="HK6" s="3">
        <f ca="1">IFERROR(__xludf.DUMMYFUNCTION("""COMPUTED_VALUE"""),-0.417789697786113)</f>
        <v>-0.41778969778611302</v>
      </c>
      <c r="HL6" s="3">
        <f ca="1">IFERROR(__xludf.DUMMYFUNCTION("""COMPUTED_VALUE"""),-0.580376751435597)</f>
        <v>-0.58037675143559697</v>
      </c>
      <c r="HM6" s="3">
        <f ca="1">IFERROR(__xludf.DUMMYFUNCTION("""COMPUTED_VALUE"""),-0.617510535346515)</f>
        <v>-0.61751053534651501</v>
      </c>
      <c r="HN6" s="3">
        <f ca="1">IFERROR(__xludf.DUMMYFUNCTION("""COMPUTED_VALUE"""),-0.62467016484536)</f>
        <v>-0.62467016484535998</v>
      </c>
      <c r="HO6" s="3">
        <f ca="1">IFERROR(__xludf.DUMMYFUNCTION("""COMPUTED_VALUE"""),-0.612942013154803)</f>
        <v>-0.61294201315480301</v>
      </c>
      <c r="HP6" s="3">
        <f ca="1">IFERROR(__xludf.DUMMYFUNCTION("""COMPUTED_VALUE"""),-0.544122780819715)</f>
        <v>-0.54412278081971499</v>
      </c>
      <c r="HQ6" s="3">
        <f ca="1">IFERROR(__xludf.DUMMYFUNCTION("""COMPUTED_VALUE"""),-0.411866638987786)</f>
        <v>-0.41186663898778603</v>
      </c>
      <c r="HR6" s="3">
        <f ca="1">IFERROR(__xludf.DUMMYFUNCTION("""COMPUTED_VALUE"""),-0.495445442439714)</f>
        <v>-0.495445442439714</v>
      </c>
      <c r="HS6" s="3">
        <f ca="1">IFERROR(__xludf.DUMMYFUNCTION("""COMPUTED_VALUE"""),-0.5652354322778)</f>
        <v>-0.56523543227780004</v>
      </c>
      <c r="HT6" s="3">
        <f ca="1">IFERROR(__xludf.DUMMYFUNCTION("""COMPUTED_VALUE"""),-0.584145076570825)</f>
        <v>-0.58414507657082504</v>
      </c>
      <c r="HU6" s="3">
        <f ca="1">IFERROR(__xludf.DUMMYFUNCTION("""COMPUTED_VALUE"""),-0.580691075253896)</f>
        <v>-0.58069107525389596</v>
      </c>
      <c r="HV6" s="3">
        <f ca="1">IFERROR(__xludf.DUMMYFUNCTION("""COMPUTED_VALUE"""),-0.573731027342088)</f>
        <v>-0.57373102734208803</v>
      </c>
      <c r="HW6" s="3">
        <f ca="1">IFERROR(__xludf.DUMMYFUNCTION("""COMPUTED_VALUE"""),-0.443893975114885)</f>
        <v>-0.44389397511488499</v>
      </c>
      <c r="HX6" s="3">
        <f ca="1">IFERROR(__xludf.DUMMYFUNCTION("""COMPUTED_VALUE"""),-0.40115388579627)</f>
        <v>-0.40115388579626998</v>
      </c>
      <c r="HY6" s="3">
        <f ca="1">IFERROR(__xludf.DUMMYFUNCTION("""COMPUTED_VALUE"""),-0.461781218696954)</f>
        <v>-0.46178121869695399</v>
      </c>
      <c r="HZ6" s="3">
        <f ca="1">IFERROR(__xludf.DUMMYFUNCTION("""COMPUTED_VALUE"""),-0.530669959756669)</f>
        <v>-0.53066995975666897</v>
      </c>
      <c r="IA6" s="3">
        <f ca="1">IFERROR(__xludf.DUMMYFUNCTION("""COMPUTED_VALUE"""),-0.542024721494008)</f>
        <v>-0.54202472149400804</v>
      </c>
      <c r="IB6" s="3">
        <f ca="1">IFERROR(__xludf.DUMMYFUNCTION("""COMPUTED_VALUE"""),-0.550328661373344)</f>
        <v>-0.55032866137334402</v>
      </c>
      <c r="IC6" s="3">
        <f ca="1">IFERROR(__xludf.DUMMYFUNCTION("""COMPUTED_VALUE"""),-0.523141691256656)</f>
        <v>-0.52314169125665599</v>
      </c>
      <c r="ID6" s="3">
        <f ca="1">IFERROR(__xludf.DUMMYFUNCTION("""COMPUTED_VALUE"""),-0.505420994147436)</f>
        <v>-0.50542099414743602</v>
      </c>
      <c r="IE6" s="3">
        <f ca="1">IFERROR(__xludf.DUMMYFUNCTION("""COMPUTED_VALUE"""),-0.43516973688206)</f>
        <v>-0.43516973688206001</v>
      </c>
      <c r="IF6" s="3">
        <f ca="1">IFERROR(__xludf.DUMMYFUNCTION("""COMPUTED_VALUE"""),-0.468618613156946)</f>
        <v>-0.46861861315694597</v>
      </c>
      <c r="IG6" s="3">
        <f ca="1">IFERROR(__xludf.DUMMYFUNCTION("""COMPUTED_VALUE"""),-0.532546527658295)</f>
        <v>-0.53254652765829502</v>
      </c>
      <c r="IH6" s="3">
        <f ca="1">IFERROR(__xludf.DUMMYFUNCTION("""COMPUTED_VALUE"""),-0.581755453841283)</f>
        <v>-0.58175545384128302</v>
      </c>
      <c r="II6" s="3">
        <f ca="1">IFERROR(__xludf.DUMMYFUNCTION("""COMPUTED_VALUE"""),-0.546913114534677)</f>
        <v>-0.54691311453467695</v>
      </c>
      <c r="IJ6" s="3">
        <f ca="1">IFERROR(__xludf.DUMMYFUNCTION("""COMPUTED_VALUE"""),-0.529610705941452)</f>
        <v>-0.52961070594145199</v>
      </c>
      <c r="IK6" s="3">
        <f ca="1">IFERROR(__xludf.DUMMYFUNCTION("""COMPUTED_VALUE"""),-0.505870803969648)</f>
        <v>-0.50587080396964801</v>
      </c>
      <c r="IL6" s="3">
        <f ca="1">IFERROR(__xludf.DUMMYFUNCTION("""COMPUTED_VALUE"""),-0.401316270786371)</f>
        <v>-0.401316270786371</v>
      </c>
      <c r="IM6" s="3">
        <f ca="1">IFERROR(__xludf.DUMMYFUNCTION("""COMPUTED_VALUE"""),-0.461608153199566)</f>
        <v>-0.461608153199566</v>
      </c>
      <c r="IN6" s="3">
        <f ca="1">IFERROR(__xludf.DUMMYFUNCTION("""COMPUTED_VALUE"""),-0.556960772302737)</f>
        <v>-0.55696077230273699</v>
      </c>
      <c r="IO6" s="3">
        <f ca="1">IFERROR(__xludf.DUMMYFUNCTION("""COMPUTED_VALUE"""),-0.579991653536367)</f>
        <v>-0.57999165353636695</v>
      </c>
      <c r="IP6" s="3">
        <f ca="1">IFERROR(__xludf.DUMMYFUNCTION("""COMPUTED_VALUE"""),-0.520277777913497)</f>
        <v>-0.52027777791349705</v>
      </c>
      <c r="IQ6" s="3">
        <f ca="1">IFERROR(__xludf.DUMMYFUNCTION("""COMPUTED_VALUE"""),-0.616906614790116)</f>
        <v>-0.61690661479011599</v>
      </c>
      <c r="IR6" s="3">
        <f ca="1">IFERROR(__xludf.DUMMYFUNCTION("""COMPUTED_VALUE"""),-0.513951829833325)</f>
        <v>-0.51395182983332499</v>
      </c>
      <c r="IS6" s="3">
        <f ca="1">IFERROR(__xludf.DUMMYFUNCTION("""COMPUTED_VALUE"""),-0.42607202642004)</f>
        <v>-0.42607202642004</v>
      </c>
      <c r="IT6" s="3">
        <f ca="1">IFERROR(__xludf.DUMMYFUNCTION("""COMPUTED_VALUE"""),-0.458717013904345)</f>
        <v>-0.45871701390434499</v>
      </c>
      <c r="IU6" s="3">
        <f ca="1">IFERROR(__xludf.DUMMYFUNCTION("""COMPUTED_VALUE"""),-0.577962283306051)</f>
        <v>-0.57796228330605104</v>
      </c>
      <c r="IV6" s="3">
        <f ca="1">IFERROR(__xludf.DUMMYFUNCTION("""COMPUTED_VALUE"""),-0.590884292242147)</f>
        <v>-0.590884292242147</v>
      </c>
      <c r="IW6" s="3">
        <f ca="1">IFERROR(__xludf.DUMMYFUNCTION("""COMPUTED_VALUE"""),-0.562895538908171)</f>
        <v>-0.56289553890817101</v>
      </c>
      <c r="IX6" s="3">
        <f ca="1">IFERROR(__xludf.DUMMYFUNCTION("""COMPUTED_VALUE"""),-0.573540818792624)</f>
        <v>-0.57354081879262397</v>
      </c>
      <c r="IY6" s="3">
        <f ca="1">IFERROR(__xludf.DUMMYFUNCTION("""COMPUTED_VALUE"""),-0.544971965561757)</f>
        <v>-0.54497196556175698</v>
      </c>
      <c r="IZ6" s="3">
        <f ca="1">IFERROR(__xludf.DUMMYFUNCTION("""COMPUTED_VALUE"""),-0.419077664055379)</f>
        <v>-0.419077664055379</v>
      </c>
      <c r="JA6" s="3">
        <f ca="1">IFERROR(__xludf.DUMMYFUNCTION("""COMPUTED_VALUE"""),-0.458770973661114)</f>
        <v>-0.45877097366111402</v>
      </c>
      <c r="JB6" s="3">
        <f ca="1">IFERROR(__xludf.DUMMYFUNCTION("""COMPUTED_VALUE"""),-0.592877463077522)</f>
        <v>-0.59287746307752198</v>
      </c>
      <c r="JC6" s="3">
        <f ca="1">IFERROR(__xludf.DUMMYFUNCTION("""COMPUTED_VALUE"""),-0.583945372400836)</f>
        <v>-0.58394537240083599</v>
      </c>
      <c r="JD6" s="3">
        <f ca="1">IFERROR(__xludf.DUMMYFUNCTION("""COMPUTED_VALUE"""),-0.602584984272895)</f>
        <v>-0.60258498427289497</v>
      </c>
      <c r="JE6" s="3">
        <f ca="1">IFERROR(__xludf.DUMMYFUNCTION("""COMPUTED_VALUE"""),-0.584098868908461)</f>
        <v>-0.58409886890846097</v>
      </c>
      <c r="JF6" s="3">
        <f ca="1">IFERROR(__xludf.DUMMYFUNCTION("""COMPUTED_VALUE"""),-0.570647623562846)</f>
        <v>-0.57064762356284604</v>
      </c>
      <c r="JG6" s="3">
        <f ca="1">IFERROR(__xludf.DUMMYFUNCTION("""COMPUTED_VALUE"""),-0.411884025274231)</f>
        <v>-0.41188402527423101</v>
      </c>
      <c r="JH6" s="3">
        <f ca="1">IFERROR(__xludf.DUMMYFUNCTION("""COMPUTED_VALUE"""),-0.444314798635971)</f>
        <v>-0.44431479863597101</v>
      </c>
      <c r="JI6" s="3">
        <f ca="1">IFERROR(__xludf.DUMMYFUNCTION("""COMPUTED_VALUE"""),-0.573679959427558)</f>
        <v>-0.57367995942755801</v>
      </c>
      <c r="JJ6" s="3">
        <f ca="1">IFERROR(__xludf.DUMMYFUNCTION("""COMPUTED_VALUE"""),-0.572411951606591)</f>
        <v>-0.57241195160659097</v>
      </c>
      <c r="JK6" s="3">
        <f ca="1">IFERROR(__xludf.DUMMYFUNCTION("""COMPUTED_VALUE"""),-0.571214172370042)</f>
        <v>-0.57121417237004202</v>
      </c>
      <c r="JL6" s="3">
        <f ca="1">IFERROR(__xludf.DUMMYFUNCTION("""COMPUTED_VALUE"""),-0.558679444380969)</f>
        <v>-0.55867944438096895</v>
      </c>
      <c r="JM6" s="3">
        <f ca="1">IFERROR(__xludf.DUMMYFUNCTION("""COMPUTED_VALUE"""),-0.51536604842013)</f>
        <v>-0.51536604842013001</v>
      </c>
      <c r="JN6" s="3">
        <f ca="1">IFERROR(__xludf.DUMMYFUNCTION("""COMPUTED_VALUE"""),-0.313357048574755)</f>
        <v>-0.31335704857475499</v>
      </c>
      <c r="JO6" s="3">
        <f ca="1">IFERROR(__xludf.DUMMYFUNCTION("""COMPUTED_VALUE"""),-0.371464422580293)</f>
        <v>-0.371464422580293</v>
      </c>
      <c r="JP6" s="3">
        <f ca="1">IFERROR(__xludf.DUMMYFUNCTION("""COMPUTED_VALUE"""),-0.495403725810351)</f>
        <v>-0.49540372581035103</v>
      </c>
      <c r="JQ6" s="3">
        <f ca="1">IFERROR(__xludf.DUMMYFUNCTION("""COMPUTED_VALUE"""),-0.447524113772941)</f>
        <v>-0.44752411377294099</v>
      </c>
      <c r="JR6" s="3">
        <f ca="1">IFERROR(__xludf.DUMMYFUNCTION("""COMPUTED_VALUE"""),-0.532676854239488)</f>
        <v>-0.53267685423948796</v>
      </c>
      <c r="JS6" s="3">
        <f ca="1">IFERROR(__xludf.DUMMYFUNCTION("""COMPUTED_VALUE"""),-0.544841171195383)</f>
        <v>-0.544841171195383</v>
      </c>
      <c r="JT6" s="3">
        <f ca="1">IFERROR(__xludf.DUMMYFUNCTION("""COMPUTED_VALUE"""),-0.497178074673347)</f>
        <v>-0.49717807467334701</v>
      </c>
      <c r="JU6" s="3">
        <f ca="1">IFERROR(__xludf.DUMMYFUNCTION("""COMPUTED_VALUE"""),-0.325579838989299)</f>
        <v>-0.32557983898929899</v>
      </c>
      <c r="JV6" s="3">
        <f ca="1">IFERROR(__xludf.DUMMYFUNCTION("""COMPUTED_VALUE"""),-0.432303027296396)</f>
        <v>-0.43230302729639603</v>
      </c>
      <c r="JW6" s="3">
        <f ca="1">IFERROR(__xludf.DUMMYFUNCTION("""COMPUTED_VALUE"""),-0.460241911171892)</f>
        <v>-0.460241911171892</v>
      </c>
      <c r="JX6" s="3">
        <f ca="1">IFERROR(__xludf.DUMMYFUNCTION("""COMPUTED_VALUE"""),-0.415831117942831)</f>
        <v>-0.41583111794283101</v>
      </c>
      <c r="JY6" s="3">
        <f ca="1">IFERROR(__xludf.DUMMYFUNCTION("""COMPUTED_VALUE"""),-0.519719715318954)</f>
        <v>-0.519719715318954</v>
      </c>
      <c r="JZ6" s="3">
        <f ca="1">IFERROR(__xludf.DUMMYFUNCTION("""COMPUTED_VALUE"""),-0.512913948786788)</f>
        <v>-0.51291394878678798</v>
      </c>
      <c r="KA6" s="3">
        <f ca="1">IFERROR(__xludf.DUMMYFUNCTION("""COMPUTED_VALUE"""),-0.438835514844943)</f>
        <v>-0.43883551484494299</v>
      </c>
      <c r="KB6" s="3">
        <f ca="1">IFERROR(__xludf.DUMMYFUNCTION("""COMPUTED_VALUE"""),-0.28704985015805)</f>
        <v>-0.28704985015805001</v>
      </c>
      <c r="KC6" s="3">
        <f ca="1">IFERROR(__xludf.DUMMYFUNCTION("""COMPUTED_VALUE"""),-0.380256766162012)</f>
        <v>-0.38025676616201198</v>
      </c>
      <c r="KD6" s="3">
        <f ca="1">IFERROR(__xludf.DUMMYFUNCTION("""COMPUTED_VALUE"""),-0.420204260842367)</f>
        <v>-0.42020426084236701</v>
      </c>
      <c r="KE6" s="3">
        <f ca="1">IFERROR(__xludf.DUMMYFUNCTION("""COMPUTED_VALUE"""),-0.409671242494985)</f>
        <v>-0.40967124249498499</v>
      </c>
      <c r="KF6" s="3">
        <f ca="1">IFERROR(__xludf.DUMMYFUNCTION("""COMPUTED_VALUE"""),-0.475927823914224)</f>
        <v>-0.475927823914224</v>
      </c>
      <c r="KG6" s="3">
        <f ca="1">IFERROR(__xludf.DUMMYFUNCTION("""COMPUTED_VALUE"""),-0.494679693967122)</f>
        <v>-0.49467969396712203</v>
      </c>
      <c r="KH6" s="3">
        <f ca="1">IFERROR(__xludf.DUMMYFUNCTION("""COMPUTED_VALUE"""),-0.467925459791589)</f>
        <v>-0.467925459791589</v>
      </c>
      <c r="KI6" s="3">
        <f ca="1">IFERROR(__xludf.DUMMYFUNCTION("""COMPUTED_VALUE"""),-0.283129354943956)</f>
        <v>-0.28312935494395602</v>
      </c>
      <c r="KJ6" s="3">
        <f ca="1">IFERROR(__xludf.DUMMYFUNCTION("""COMPUTED_VALUE"""),-0.460820611622446)</f>
        <v>-0.46082061162244597</v>
      </c>
      <c r="KK6" s="3">
        <f ca="1">IFERROR(__xludf.DUMMYFUNCTION("""COMPUTED_VALUE"""),-0.511778128160601)</f>
        <v>-0.51177812816060098</v>
      </c>
      <c r="KL6" s="3">
        <f ca="1">IFERROR(__xludf.DUMMYFUNCTION("""COMPUTED_VALUE"""),-0.504339537071535)</f>
        <v>-0.504339537071535</v>
      </c>
      <c r="KM6" s="3">
        <f ca="1">IFERROR(__xludf.DUMMYFUNCTION("""COMPUTED_VALUE"""),-0.528994878627929)</f>
        <v>-0.52899487862792904</v>
      </c>
      <c r="KN6" s="3">
        <f ca="1">IFERROR(__xludf.DUMMYFUNCTION("""COMPUTED_VALUE"""),-0.510877431104582)</f>
        <v>-0.51087743110458195</v>
      </c>
      <c r="KO6" s="3">
        <f ca="1">IFERROR(__xludf.DUMMYFUNCTION("""COMPUTED_VALUE"""),-0.458749720264023)</f>
        <v>-0.458749720264023</v>
      </c>
      <c r="KP6" s="3">
        <f ca="1">IFERROR(__xludf.DUMMYFUNCTION("""COMPUTED_VALUE"""),-0.334209648357199)</f>
        <v>-0.33420964835719902</v>
      </c>
      <c r="KQ6" s="3">
        <f ca="1">IFERROR(__xludf.DUMMYFUNCTION("""COMPUTED_VALUE"""),-0.395855228240784)</f>
        <v>-0.39585522824078401</v>
      </c>
      <c r="KR6" s="3">
        <f ca="1">IFERROR(__xludf.DUMMYFUNCTION("""COMPUTED_VALUE"""),-0.480784467858801)</f>
        <v>-0.48078446785880102</v>
      </c>
      <c r="KS6" s="3">
        <f ca="1">IFERROR(__xludf.DUMMYFUNCTION("""COMPUTED_VALUE"""),-0.526278810144876)</f>
        <v>-0.52627881014487599</v>
      </c>
      <c r="KT6" s="3">
        <f ca="1">IFERROR(__xludf.DUMMYFUNCTION("""COMPUTED_VALUE"""),-0.489618052452419)</f>
        <v>-0.48961805245241902</v>
      </c>
      <c r="KU6" s="3">
        <f ca="1">IFERROR(__xludf.DUMMYFUNCTION("""COMPUTED_VALUE"""),-0.509230241353589)</f>
        <v>-0.50923024135358896</v>
      </c>
      <c r="KV6" s="3">
        <f ca="1">IFERROR(__xludf.DUMMYFUNCTION("""COMPUTED_VALUE"""),-0.487056574500874)</f>
        <v>-0.48705657450087397</v>
      </c>
      <c r="KW6" s="3">
        <f ca="1">IFERROR(__xludf.DUMMYFUNCTION("""COMPUTED_VALUE"""),-0.331239426113652)</f>
        <v>-0.33123942611365198</v>
      </c>
      <c r="KX6" s="3">
        <f ca="1">IFERROR(__xludf.DUMMYFUNCTION("""COMPUTED_VALUE"""),-0.425881531346752)</f>
        <v>-0.425881531346752</v>
      </c>
      <c r="KY6" s="3">
        <f ca="1">IFERROR(__xludf.DUMMYFUNCTION("""COMPUTED_VALUE"""),-0.555192207955121)</f>
        <v>-0.55519220795512103</v>
      </c>
      <c r="KZ6" s="3">
        <f ca="1">IFERROR(__xludf.DUMMYFUNCTION("""COMPUTED_VALUE"""),-0.538112193382858)</f>
        <v>-0.53811219338285798</v>
      </c>
      <c r="LA6" s="3">
        <f ca="1">IFERROR(__xludf.DUMMYFUNCTION("""COMPUTED_VALUE"""),-0.50838145915401)</f>
        <v>-0.50838145915401001</v>
      </c>
      <c r="LB6" s="3">
        <f ca="1">IFERROR(__xludf.DUMMYFUNCTION("""COMPUTED_VALUE"""),-0.553846247262215)</f>
        <v>-0.55384624726221499</v>
      </c>
      <c r="LC6" s="3">
        <f ca="1">IFERROR(__xludf.DUMMYFUNCTION("""COMPUTED_VALUE"""),-0.399607655791355)</f>
        <v>-0.39960765579135499</v>
      </c>
      <c r="LD6" s="3">
        <f ca="1">IFERROR(__xludf.DUMMYFUNCTION("""COMPUTED_VALUE"""),-0.349002247571868)</f>
        <v>-0.34900224757186799</v>
      </c>
      <c r="LE6" s="3">
        <f ca="1">IFERROR(__xludf.DUMMYFUNCTION("""COMPUTED_VALUE"""),-0.486875092035177)</f>
        <v>-0.48687509203517698</v>
      </c>
      <c r="LF6" s="3">
        <f ca="1">IFERROR(__xludf.DUMMYFUNCTION("""COMPUTED_VALUE"""),-0.608754722721313)</f>
        <v>-0.60875472272131304</v>
      </c>
      <c r="LG6" s="3">
        <f ca="1">IFERROR(__xludf.DUMMYFUNCTION("""COMPUTED_VALUE"""),-0.61945359998378)</f>
        <v>-0.61945359998378002</v>
      </c>
      <c r="LH6" s="3">
        <f ca="1">IFERROR(__xludf.DUMMYFUNCTION("""COMPUTED_VALUE"""),-0.569136419267619)</f>
        <v>-0.56913641926761904</v>
      </c>
      <c r="LI6" s="3">
        <f ca="1">IFERROR(__xludf.DUMMYFUNCTION("""COMPUTED_VALUE"""),-0.572889401459674)</f>
        <v>-0.57288940145967404</v>
      </c>
      <c r="LJ6" s="3">
        <f ca="1">IFERROR(__xludf.DUMMYFUNCTION("""COMPUTED_VALUE"""),-0.604344032229856)</f>
        <v>-0.604344032229856</v>
      </c>
      <c r="LK6" s="3">
        <f ca="1">IFERROR(__xludf.DUMMYFUNCTION("""COMPUTED_VALUE"""),-0.426171355276884)</f>
        <v>-0.42617135527688399</v>
      </c>
      <c r="LL6" s="3">
        <f ca="1">IFERROR(__xludf.DUMMYFUNCTION("""COMPUTED_VALUE"""),-0.472324367338779)</f>
        <v>-0.47232436733877903</v>
      </c>
      <c r="LM6" s="3">
        <f ca="1">IFERROR(__xludf.DUMMYFUNCTION("""COMPUTED_VALUE"""),-0.64716514993575)</f>
        <v>-0.64716514993575003</v>
      </c>
      <c r="LN6" s="3">
        <f ca="1">IFERROR(__xludf.DUMMYFUNCTION("""COMPUTED_VALUE"""),-0.60428251602736)</f>
        <v>-0.60428251602736005</v>
      </c>
      <c r="LO6" s="3">
        <f ca="1">IFERROR(__xludf.DUMMYFUNCTION("""COMPUTED_VALUE"""),-0.606893408197333)</f>
        <v>-0.60689340819733295</v>
      </c>
      <c r="LP6" s="3">
        <f ca="1">IFERROR(__xludf.DUMMYFUNCTION("""COMPUTED_VALUE"""),-0.597925482814981)</f>
        <v>-0.59792548281498104</v>
      </c>
      <c r="LQ6" s="3">
        <f ca="1">IFERROR(__xludf.DUMMYFUNCTION("""COMPUTED_VALUE"""),-0.523505149252341)</f>
        <v>-0.52350514925234104</v>
      </c>
      <c r="LR6" s="3">
        <f ca="1">IFERROR(__xludf.DUMMYFUNCTION("""COMPUTED_VALUE"""),-0.425885443223648)</f>
        <v>-0.42588544322364802</v>
      </c>
      <c r="LS6" s="3">
        <f ca="1">IFERROR(__xludf.DUMMYFUNCTION("""COMPUTED_VALUE"""),-0.480664156939298)</f>
        <v>-0.48066415693929798</v>
      </c>
      <c r="LT6" s="3">
        <f ca="1">IFERROR(__xludf.DUMMYFUNCTION("""COMPUTED_VALUE"""),-0.574710645447039)</f>
        <v>-0.57471064544703898</v>
      </c>
      <c r="LU6" s="3">
        <f ca="1">IFERROR(__xludf.DUMMYFUNCTION("""COMPUTED_VALUE"""),-0.61610310127116)</f>
        <v>-0.61610310127115997</v>
      </c>
      <c r="LV6" s="3">
        <f ca="1">IFERROR(__xludf.DUMMYFUNCTION("""COMPUTED_VALUE"""),-0.613991064462466)</f>
        <v>-0.61399106446246599</v>
      </c>
      <c r="LW6" s="3">
        <f ca="1">IFERROR(__xludf.DUMMYFUNCTION("""COMPUTED_VALUE"""),-0.627734569172712)</f>
        <v>-0.62773456917271198</v>
      </c>
      <c r="LX6" s="3">
        <f ca="1">IFERROR(__xludf.DUMMYFUNCTION("""COMPUTED_VALUE"""),-0.6016156985401)</f>
        <v>-0.6016156985401</v>
      </c>
      <c r="LY6" s="3">
        <f ca="1">IFERROR(__xludf.DUMMYFUNCTION("""COMPUTED_VALUE"""),-0.393506594542331)</f>
        <v>-0.393506594542331</v>
      </c>
      <c r="LZ6" s="3">
        <f ca="1">IFERROR(__xludf.DUMMYFUNCTION("""COMPUTED_VALUE"""),-0.554697592918128)</f>
        <v>-0.55469759291812804</v>
      </c>
      <c r="MA6" s="3">
        <f ca="1">IFERROR(__xludf.DUMMYFUNCTION("""COMPUTED_VALUE"""),-0.656210867277971)</f>
        <v>-0.65621086727797096</v>
      </c>
      <c r="MB6" s="3">
        <f ca="1">IFERROR(__xludf.DUMMYFUNCTION("""COMPUTED_VALUE"""),-0.608350329780617)</f>
        <v>-0.60835032978061698</v>
      </c>
      <c r="MC6" s="3">
        <f ca="1">IFERROR(__xludf.DUMMYFUNCTION("""COMPUTED_VALUE"""),-0.678827772318753)</f>
        <v>-0.67882777231875302</v>
      </c>
      <c r="MD6" s="3">
        <f ca="1">IFERROR(__xludf.DUMMYFUNCTION("""COMPUTED_VALUE"""),-0.623669302528272)</f>
        <v>-0.62366930252827202</v>
      </c>
      <c r="ME6" s="3">
        <f ca="1">IFERROR(__xludf.DUMMYFUNCTION("""COMPUTED_VALUE"""),-0.576335246426803)</f>
        <v>-0.57633524642680301</v>
      </c>
      <c r="MF6" s="3">
        <f ca="1">IFERROR(__xludf.DUMMYFUNCTION("""COMPUTED_VALUE"""),-0.41671335161327)</f>
        <v>-0.41671335161327</v>
      </c>
      <c r="MG6" s="3">
        <f ca="1">IFERROR(__xludf.DUMMYFUNCTION("""COMPUTED_VALUE"""),-0.507172035464226)</f>
        <v>-0.50717203546422596</v>
      </c>
      <c r="MH6" s="3">
        <f ca="1">IFERROR(__xludf.DUMMYFUNCTION("""COMPUTED_VALUE"""),-0.622342077206229)</f>
        <v>-0.62234207720622903</v>
      </c>
      <c r="MI6" s="3">
        <f ca="1">IFERROR(__xludf.DUMMYFUNCTION("""COMPUTED_VALUE"""),-0.716040581508092)</f>
        <v>-0.71604058150809202</v>
      </c>
      <c r="MJ6" s="3">
        <f ca="1">IFERROR(__xludf.DUMMYFUNCTION("""COMPUTED_VALUE"""),-0.632404802043167)</f>
        <v>-0.63240480204316696</v>
      </c>
      <c r="MK6" s="3">
        <f ca="1">IFERROR(__xludf.DUMMYFUNCTION("""COMPUTED_VALUE"""),-0.644264623568755)</f>
        <v>-0.64426462356875502</v>
      </c>
      <c r="ML6" s="3">
        <f ca="1">IFERROR(__xludf.DUMMYFUNCTION("""COMPUTED_VALUE"""),-0.585532492872867)</f>
        <v>-0.58553249287286702</v>
      </c>
      <c r="MM6" s="3">
        <f ca="1">IFERROR(__xludf.DUMMYFUNCTION("""COMPUTED_VALUE"""),-0.48634871347617)</f>
        <v>-0.48634871347616998</v>
      </c>
      <c r="MN6" s="3">
        <f ca="1">IFERROR(__xludf.DUMMYFUNCTION("""COMPUTED_VALUE"""),-0.53151032759428)</f>
        <v>-0.53151032759427996</v>
      </c>
      <c r="MO6" s="3">
        <f ca="1">IFERROR(__xludf.DUMMYFUNCTION("""COMPUTED_VALUE"""),-0.594963634891812)</f>
        <v>-0.59496363489181203</v>
      </c>
      <c r="MP6" s="3">
        <f ca="1">IFERROR(__xludf.DUMMYFUNCTION("""COMPUTED_VALUE"""),-0.60102650940798)</f>
        <v>-0.60102650940797997</v>
      </c>
      <c r="MQ6" s="3">
        <f ca="1">IFERROR(__xludf.DUMMYFUNCTION("""COMPUTED_VALUE"""),-0.577886331142753)</f>
        <v>-0.57788633114275301</v>
      </c>
      <c r="MR6" s="3">
        <f ca="1">IFERROR(__xludf.DUMMYFUNCTION("""COMPUTED_VALUE"""),-0.592884829858678)</f>
        <v>-0.59288482985867796</v>
      </c>
      <c r="MS6" s="3">
        <f ca="1">IFERROR(__xludf.DUMMYFUNCTION("""COMPUTED_VALUE"""),-0.491507285564383)</f>
        <v>-0.491507285564383</v>
      </c>
      <c r="MT6" s="3">
        <f ca="1">IFERROR(__xludf.DUMMYFUNCTION("""COMPUTED_VALUE"""),-0.484333522308433)</f>
        <v>-0.48433352230843302</v>
      </c>
      <c r="MU6" s="3">
        <f ca="1">IFERROR(__xludf.DUMMYFUNCTION("""COMPUTED_VALUE"""),-0.576074856221178)</f>
        <v>-0.57607485622117804</v>
      </c>
      <c r="MV6" s="3">
        <f ca="1">IFERROR(__xludf.DUMMYFUNCTION("""COMPUTED_VALUE"""),-0.573156619704293)</f>
        <v>-0.57315661970429299</v>
      </c>
      <c r="MW6" s="3">
        <f ca="1">IFERROR(__xludf.DUMMYFUNCTION("""COMPUTED_VALUE"""),-0.617982789420658)</f>
        <v>-0.61798278942065799</v>
      </c>
      <c r="MX6" s="3">
        <f ca="1">IFERROR(__xludf.DUMMYFUNCTION("""COMPUTED_VALUE"""),-0.576338447469628)</f>
        <v>-0.57633844746962803</v>
      </c>
      <c r="MY6" s="3">
        <f ca="1">IFERROR(__xludf.DUMMYFUNCTION("""COMPUTED_VALUE"""),-0.577013202624449)</f>
        <v>-0.577013202624449</v>
      </c>
      <c r="MZ6" s="3">
        <f ca="1">IFERROR(__xludf.DUMMYFUNCTION("""COMPUTED_VALUE"""),-0.580172747927866)</f>
        <v>-0.58017274792786599</v>
      </c>
      <c r="NA6" s="3">
        <f ca="1">IFERROR(__xludf.DUMMYFUNCTION("""COMPUTED_VALUE"""),-0.472244478153866)</f>
        <v>-0.472244478153866</v>
      </c>
      <c r="NB6" s="3">
        <f ca="1">IFERROR(__xludf.DUMMYFUNCTION("""COMPUTED_VALUE"""),-0.557768482347909)</f>
        <v>-0.55776848234790899</v>
      </c>
      <c r="NC6" s="3">
        <f ca="1">IFERROR(__xludf.DUMMYFUNCTION("""COMPUTED_VALUE"""),-0.604758524169418)</f>
        <v>-0.604758524169418</v>
      </c>
      <c r="ND6" s="3">
        <f ca="1">IFERROR(__xludf.DUMMYFUNCTION("""COMPUTED_VALUE"""),-0.636459378529941)</f>
        <v>-0.63645937852994094</v>
      </c>
      <c r="NE6" s="3">
        <f ca="1">IFERROR(__xludf.DUMMYFUNCTION("""COMPUTED_VALUE"""),-0.626529998917508)</f>
        <v>-0.62652999891750805</v>
      </c>
      <c r="NF6" s="3">
        <f ca="1">IFERROR(__xludf.DUMMYFUNCTION("""COMPUTED_VALUE"""),-0.619957802625641)</f>
        <v>-0.61995780262564104</v>
      </c>
      <c r="NG6" s="3">
        <f ca="1">IFERROR(__xludf.DUMMYFUNCTION("""COMPUTED_VALUE"""),-0.581457898459329)</f>
        <v>-0.58145789845932905</v>
      </c>
      <c r="NH6" s="3">
        <f ca="1">IFERROR(__xludf.DUMMYFUNCTION("""COMPUTED_VALUE"""),-0.458306914198074)</f>
        <v>-0.45830691419807401</v>
      </c>
      <c r="NI6" s="3">
        <f ca="1">IFERROR(__xludf.DUMMYFUNCTION("""COMPUTED_VALUE"""),-0.57178854151011)</f>
        <v>-0.57178854151011005</v>
      </c>
      <c r="NJ6" s="3">
        <f ca="1">IFERROR(__xludf.DUMMYFUNCTION("""COMPUTED_VALUE"""),-0.631790979304747)</f>
        <v>-0.63179097930474704</v>
      </c>
      <c r="NK6" s="3">
        <f ca="1">IFERROR(__xludf.DUMMYFUNCTION("""COMPUTED_VALUE"""),-0.646954705202381)</f>
        <v>-0.64695470520238096</v>
      </c>
      <c r="NL6" s="3">
        <f ca="1">IFERROR(__xludf.DUMMYFUNCTION("""COMPUTED_VALUE"""),-0.651336998298948)</f>
        <v>-0.65133699829894798</v>
      </c>
      <c r="NM6" s="3">
        <f ca="1">IFERROR(__xludf.DUMMYFUNCTION("""COMPUTED_VALUE"""),-0.663231377967314)</f>
        <v>-0.66323137796731402</v>
      </c>
      <c r="NN6" s="3">
        <f ca="1">IFERROR(__xludf.DUMMYFUNCTION("""COMPUTED_VALUE"""),-0.586724751413979)</f>
        <v>-0.58672475141397895</v>
      </c>
      <c r="NO6" s="3">
        <f ca="1">IFERROR(__xludf.DUMMYFUNCTION("""COMPUTED_VALUE"""),-0.422101817722494)</f>
        <v>-0.422101817722494</v>
      </c>
      <c r="NP6" s="3">
        <f ca="1">IFERROR(__xludf.DUMMYFUNCTION("""COMPUTED_VALUE"""),-0.538709169521052)</f>
        <v>-0.53870916952105197</v>
      </c>
      <c r="NQ6" s="3">
        <f ca="1">IFERROR(__xludf.DUMMYFUNCTION("""COMPUTED_VALUE"""),-0.529337288674907)</f>
        <v>-0.52933728867490704</v>
      </c>
      <c r="NR6" s="3">
        <f ca="1">IFERROR(__xludf.DUMMYFUNCTION("""COMPUTED_VALUE"""),-0.573978152524254)</f>
        <v>-0.57397815252425399</v>
      </c>
      <c r="NS6" s="3">
        <f ca="1">IFERROR(__xludf.DUMMYFUNCTION("""COMPUTED_VALUE"""),-0.606881731525447)</f>
        <v>-0.606881731525447</v>
      </c>
      <c r="NT6" s="3">
        <f ca="1">IFERROR(__xludf.DUMMYFUNCTION("""COMPUTED_VALUE"""),-0.556782388187058)</f>
        <v>-0.55678238818705805</v>
      </c>
      <c r="NU6" s="3">
        <f ca="1">IFERROR(__xludf.DUMMYFUNCTION("""COMPUTED_VALUE"""),-0.609499338845332)</f>
        <v>-0.60949933884533203</v>
      </c>
      <c r="NV6" s="3">
        <f ca="1">IFERROR(__xludf.DUMMYFUNCTION("""COMPUTED_VALUE"""),-0.395886730665753)</f>
        <v>-0.39588673066575297</v>
      </c>
      <c r="NW6" s="3">
        <f ca="1">IFERROR(__xludf.DUMMYFUNCTION("""COMPUTED_VALUE"""),-0.443424491196767)</f>
        <v>-0.44342449119676702</v>
      </c>
      <c r="NX6" s="3">
        <f ca="1">IFERROR(__xludf.DUMMYFUNCTION("""COMPUTED_VALUE"""),-0.47796172649736)</f>
        <v>-0.47796172649736002</v>
      </c>
      <c r="NY6" s="3">
        <f ca="1">IFERROR(__xludf.DUMMYFUNCTION("""COMPUTED_VALUE"""),-0.46239170524928)</f>
        <v>-0.46239170524928003</v>
      </c>
      <c r="NZ6" s="3">
        <f ca="1">IFERROR(__xludf.DUMMYFUNCTION("""COMPUTED_VALUE"""),-0.42761859121114)</f>
        <v>-0.42761859121113999</v>
      </c>
      <c r="OA6" s="3">
        <f ca="1">IFERROR(__xludf.DUMMYFUNCTION("""COMPUTED_VALUE"""),-0.420783995168822)</f>
        <v>-0.42078399516882198</v>
      </c>
      <c r="OB6" s="3">
        <f ca="1">IFERROR(__xludf.DUMMYFUNCTION("""COMPUTED_VALUE"""),-0.390693024678666)</f>
        <v>-0.39069302467866601</v>
      </c>
      <c r="OC6" s="3">
        <f ca="1">IFERROR(__xludf.DUMMYFUNCTION("""COMPUTED_VALUE"""),-0.16993971090858)</f>
        <v>-0.16993971090858001</v>
      </c>
      <c r="OD6" s="3">
        <f ca="1">IFERROR(__xludf.DUMMYFUNCTION("""COMPUTED_VALUE"""),-0.144540450412826)</f>
        <v>-0.14454045041282601</v>
      </c>
      <c r="OE6" s="3">
        <f ca="1">IFERROR(__xludf.DUMMYFUNCTION("""COMPUTED_VALUE"""),-0.231035387497238)</f>
        <v>-0.23103538749723801</v>
      </c>
      <c r="OF6" s="3">
        <f ca="1">IFERROR(__xludf.DUMMYFUNCTION("""COMPUTED_VALUE"""),-0.0776366180377658)</f>
        <v>-7.7636618037765795E-2</v>
      </c>
      <c r="OG6" s="3">
        <f ca="1">IFERROR(__xludf.DUMMYFUNCTION("""COMPUTED_VALUE"""),-0.0693412030797357)</f>
        <v>-6.9341203079735694E-2</v>
      </c>
      <c r="OH6" s="3">
        <f ca="1">IFERROR(__xludf.DUMMYFUNCTION("""COMPUTED_VALUE"""),-0.0699634753009886)</f>
        <v>-6.9963475300988606E-2</v>
      </c>
      <c r="OI6" s="3">
        <f ca="1">IFERROR(__xludf.DUMMYFUNCTION("""COMPUTED_VALUE"""),-0.0082256880070215)</f>
        <v>-8.2256880070214998E-3</v>
      </c>
      <c r="OJ6" s="3">
        <f ca="1">IFERROR(__xludf.DUMMYFUNCTION("""COMPUTED_VALUE"""),-0.0222342869780914)</f>
        <v>-2.2234286978091398E-2</v>
      </c>
      <c r="OK6" s="3">
        <f ca="1">IFERROR(__xludf.DUMMYFUNCTION("""COMPUTED_VALUE"""),-0.0541561720451537)</f>
        <v>-5.4156172045153703E-2</v>
      </c>
      <c r="OL6" s="3">
        <f ca="1">IFERROR(__xludf.DUMMYFUNCTION("""COMPUTED_VALUE"""),0.0203679222662047)</f>
        <v>2.0367922266204701E-2</v>
      </c>
      <c r="OM6" s="3">
        <f ca="1">IFERROR(__xludf.DUMMYFUNCTION("""COMPUTED_VALUE"""),-0.0315003072331845)</f>
        <v>-3.1500307233184498E-2</v>
      </c>
      <c r="ON6" s="3">
        <f ca="1">IFERROR(__xludf.DUMMYFUNCTION("""COMPUTED_VALUE"""),0.0131344240737025)</f>
        <v>1.3134424073702499E-2</v>
      </c>
      <c r="OO6" s="3">
        <f ca="1">IFERROR(__xludf.DUMMYFUNCTION("""COMPUTED_VALUE"""),-0.0583189199649273)</f>
        <v>-5.8318919964927302E-2</v>
      </c>
      <c r="OP6" s="3">
        <f ca="1">IFERROR(__xludf.DUMMYFUNCTION("""COMPUTED_VALUE"""),-0.0258222365954899)</f>
        <v>-2.5822236595489899E-2</v>
      </c>
      <c r="OQ6" s="3">
        <f ca="1">IFERROR(__xludf.DUMMYFUNCTION("""COMPUTED_VALUE"""),-0.032129094127422)</f>
        <v>-3.2129094127422E-2</v>
      </c>
      <c r="OR6" s="3">
        <f ca="1">IFERROR(__xludf.DUMMYFUNCTION("""COMPUTED_VALUE"""),-0.0830864647138039)</f>
        <v>-8.3086464713803904E-2</v>
      </c>
      <c r="OS6" s="3">
        <f ca="1">IFERROR(__xludf.DUMMYFUNCTION("""COMPUTED_VALUE"""),0.00802556100413287)</f>
        <v>8.0255610041328699E-3</v>
      </c>
      <c r="OT6" s="3">
        <f ca="1">IFERROR(__xludf.DUMMYFUNCTION("""COMPUTED_VALUE"""),-0.0636567153473909)</f>
        <v>-6.3656715347390896E-2</v>
      </c>
      <c r="OU6" s="3">
        <f ca="1">IFERROR(__xludf.DUMMYFUNCTION("""COMPUTED_VALUE"""),0.15844506661663)</f>
        <v>0.15844506661662999</v>
      </c>
      <c r="OV6" s="3">
        <f ca="1">IFERROR(__xludf.DUMMYFUNCTION("""COMPUTED_VALUE"""),-0.0784648168937759)</f>
        <v>-7.8464816893775893E-2</v>
      </c>
      <c r="OW6" s="3">
        <f ca="1">IFERROR(__xludf.DUMMYFUNCTION("""COMPUTED_VALUE"""),0.107417690426019)</f>
        <v>0.10741769042601899</v>
      </c>
      <c r="OX6" s="3">
        <f ca="1">IFERROR(__xludf.DUMMYFUNCTION("""COMPUTED_VALUE"""),0.0320627676529385)</f>
        <v>3.2062767652938501E-2</v>
      </c>
      <c r="OY6" s="3">
        <f ca="1">IFERROR(__xludf.DUMMYFUNCTION("""COMPUTED_VALUE"""),-0.038637376169055)</f>
        <v>-3.8637376169055E-2</v>
      </c>
      <c r="OZ6" s="3">
        <f ca="1">IFERROR(__xludf.DUMMYFUNCTION("""COMPUTED_VALUE"""),-0.053569941096294)</f>
        <v>-5.3569941096294003E-2</v>
      </c>
      <c r="PA6" s="3">
        <f ca="1">IFERROR(__xludf.DUMMYFUNCTION("""COMPUTED_VALUE"""),-0.0386542762810827)</f>
        <v>-3.86542762810827E-2</v>
      </c>
      <c r="PB6" s="3">
        <f ca="1">IFERROR(__xludf.DUMMYFUNCTION("""COMPUTED_VALUE"""),0.187553678989264)</f>
        <v>0.18755367898926401</v>
      </c>
      <c r="PC6" s="3">
        <f ca="1">IFERROR(__xludf.DUMMYFUNCTION("""COMPUTED_VALUE"""),0.0663364755586588)</f>
        <v>6.6336475558658806E-2</v>
      </c>
      <c r="PD6" s="3">
        <f ca="1">IFERROR(__xludf.DUMMYFUNCTION("""COMPUTED_VALUE"""),-0.10149402960445)</f>
        <v>-0.10149402960445</v>
      </c>
      <c r="PE6" s="3">
        <f ca="1">IFERROR(__xludf.DUMMYFUNCTION("""COMPUTED_VALUE"""),-0.0411343002834466)</f>
        <v>-4.1134300283446598E-2</v>
      </c>
      <c r="PF6" s="3">
        <f ca="1">IFERROR(__xludf.DUMMYFUNCTION("""COMPUTED_VALUE"""),-0.0645360066611568)</f>
        <v>-6.4536006661156803E-2</v>
      </c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</row>
    <row r="7" spans="1:594" ht="15.75" customHeight="1">
      <c r="A7" s="1" t="str">
        <f ca="1">IFERROR(__xludf.DUMMYFUNCTION("""COMPUTED_VALUE"""),"Boston")</f>
        <v>Boston</v>
      </c>
      <c r="B7" s="3">
        <f ca="1">IFERROR(__xludf.DUMMYFUNCTION("""COMPUTED_VALUE"""),-0.434600600329698)</f>
        <v>-0.43460060032969799</v>
      </c>
      <c r="C7" s="3">
        <f ca="1">IFERROR(__xludf.DUMMYFUNCTION("""COMPUTED_VALUE"""),-0.548210072146591)</f>
        <v>-0.54821007214659101</v>
      </c>
      <c r="D7" s="3">
        <f ca="1">IFERROR(__xludf.DUMMYFUNCTION("""COMPUTED_VALUE"""),-0.588985664026041)</f>
        <v>-0.58898566402604102</v>
      </c>
      <c r="E7" s="3">
        <f ca="1">IFERROR(__xludf.DUMMYFUNCTION("""COMPUTED_VALUE"""),-0.605702667378157)</f>
        <v>-0.60570266737815703</v>
      </c>
      <c r="F7" s="3">
        <f ca="1">IFERROR(__xludf.DUMMYFUNCTION("""COMPUTED_VALUE"""),-0.59467476446241)</f>
        <v>-0.59467476446240997</v>
      </c>
      <c r="G7" s="3">
        <f ca="1">IFERROR(__xludf.DUMMYFUNCTION("""COMPUTED_VALUE"""),-0.560598746070204)</f>
        <v>-0.56059874607020399</v>
      </c>
      <c r="H7" s="3">
        <f ca="1">IFERROR(__xludf.DUMMYFUNCTION("""COMPUTED_VALUE"""),-0.531904289511707)</f>
        <v>-0.53190428951170698</v>
      </c>
      <c r="I7" s="3">
        <f ca="1">IFERROR(__xludf.DUMMYFUNCTION("""COMPUTED_VALUE"""),-0.499579560311431)</f>
        <v>-0.49957956031143103</v>
      </c>
      <c r="J7" s="3">
        <f ca="1">IFERROR(__xludf.DUMMYFUNCTION("""COMPUTED_VALUE"""),-0.60283755254498)</f>
        <v>-0.60283755254497995</v>
      </c>
      <c r="K7" s="3">
        <f ca="1">IFERROR(__xludf.DUMMYFUNCTION("""COMPUTED_VALUE"""),-0.619952170372959)</f>
        <v>-0.61995217037295902</v>
      </c>
      <c r="L7" s="3">
        <f ca="1">IFERROR(__xludf.DUMMYFUNCTION("""COMPUTED_VALUE"""),-0.626499839352618)</f>
        <v>-0.62649983935261799</v>
      </c>
      <c r="M7" s="3">
        <f ca="1">IFERROR(__xludf.DUMMYFUNCTION("""COMPUTED_VALUE"""),-0.625544163751922)</f>
        <v>-0.62554416375192201</v>
      </c>
      <c r="N7" s="3">
        <f ca="1">IFERROR(__xludf.DUMMYFUNCTION("""COMPUTED_VALUE"""),-0.617688348256555)</f>
        <v>-0.61768834825655505</v>
      </c>
      <c r="O7" s="3">
        <f ca="1">IFERROR(__xludf.DUMMYFUNCTION("""COMPUTED_VALUE"""),-0.54999496856619)</f>
        <v>-0.54999496856619001</v>
      </c>
      <c r="P7" s="3">
        <f ca="1">IFERROR(__xludf.DUMMYFUNCTION("""COMPUTED_VALUE"""),-0.512017455355336)</f>
        <v>-0.51201745535533605</v>
      </c>
      <c r="Q7" s="3">
        <f ca="1">IFERROR(__xludf.DUMMYFUNCTION("""COMPUTED_VALUE"""),-0.609340244381698)</f>
        <v>-0.60934024438169798</v>
      </c>
      <c r="R7" s="3">
        <f ca="1">IFERROR(__xludf.DUMMYFUNCTION("""COMPUTED_VALUE"""),-0.617340482245905)</f>
        <v>-0.61734048224590499</v>
      </c>
      <c r="S7" s="3">
        <f ca="1">IFERROR(__xludf.DUMMYFUNCTION("""COMPUTED_VALUE"""),-0.634888726941311)</f>
        <v>-0.63488872694131104</v>
      </c>
      <c r="T7" s="3">
        <f ca="1">IFERROR(__xludf.DUMMYFUNCTION("""COMPUTED_VALUE"""),-0.623240991421011)</f>
        <v>-0.62324099142101097</v>
      </c>
      <c r="U7" s="3">
        <f ca="1">IFERROR(__xludf.DUMMYFUNCTION("""COMPUTED_VALUE"""),-0.614052410438945)</f>
        <v>-0.61405241043894498</v>
      </c>
      <c r="V7" s="3">
        <f ca="1">IFERROR(__xludf.DUMMYFUNCTION("""COMPUTED_VALUE"""),-0.469775962905858)</f>
        <v>-0.46977596290585799</v>
      </c>
      <c r="W7" s="3">
        <f ca="1">IFERROR(__xludf.DUMMYFUNCTION("""COMPUTED_VALUE"""),-0.519670511290733)</f>
        <v>-0.51967051129073305</v>
      </c>
      <c r="X7" s="3">
        <f ca="1">IFERROR(__xludf.DUMMYFUNCTION("""COMPUTED_VALUE"""),-0.603010616930367)</f>
        <v>-0.60301061693036695</v>
      </c>
      <c r="Y7" s="3">
        <f ca="1">IFERROR(__xludf.DUMMYFUNCTION("""COMPUTED_VALUE"""),-0.632867933926728)</f>
        <v>-0.63286793392672802</v>
      </c>
      <c r="Z7" s="3">
        <f ca="1">IFERROR(__xludf.DUMMYFUNCTION("""COMPUTED_VALUE"""),-0.618489300323603)</f>
        <v>-0.61848930032360305</v>
      </c>
      <c r="AA7" s="3">
        <f ca="1">IFERROR(__xludf.DUMMYFUNCTION("""COMPUTED_VALUE"""),-0.630102298232274)</f>
        <v>-0.63010229823227404</v>
      </c>
      <c r="AB7" s="3">
        <f ca="1">IFERROR(__xludf.DUMMYFUNCTION("""COMPUTED_VALUE"""),-0.643524015238407)</f>
        <v>-0.64352401523840697</v>
      </c>
      <c r="AC7" s="3">
        <f ca="1">IFERROR(__xludf.DUMMYFUNCTION("""COMPUTED_VALUE"""),-0.500075015018141)</f>
        <v>-0.500075015018141</v>
      </c>
      <c r="AD7" s="3">
        <f ca="1">IFERROR(__xludf.DUMMYFUNCTION("""COMPUTED_VALUE"""),-0.536876011028864)</f>
        <v>-0.53687601102886395</v>
      </c>
      <c r="AE7" s="3">
        <f ca="1">IFERROR(__xludf.DUMMYFUNCTION("""COMPUTED_VALUE"""),-0.616024576920845)</f>
        <v>-0.616024576920845</v>
      </c>
      <c r="AF7" s="3">
        <f ca="1">IFERROR(__xludf.DUMMYFUNCTION("""COMPUTED_VALUE"""),-0.634337570236549)</f>
        <v>-0.63433757023654902</v>
      </c>
      <c r="AG7" s="3">
        <f ca="1">IFERROR(__xludf.DUMMYFUNCTION("""COMPUTED_VALUE"""),-0.657224756352065)</f>
        <v>-0.65722475635206501</v>
      </c>
      <c r="AH7" s="3">
        <f ca="1">IFERROR(__xludf.DUMMYFUNCTION("""COMPUTED_VALUE"""),-0.658059564907462)</f>
        <v>-0.65805956490746198</v>
      </c>
      <c r="AI7" s="3">
        <f ca="1">IFERROR(__xludf.DUMMYFUNCTION("""COMPUTED_VALUE"""),-0.631047294247002)</f>
        <v>-0.63104729424700201</v>
      </c>
      <c r="AJ7" s="3">
        <f ca="1">IFERROR(__xludf.DUMMYFUNCTION("""COMPUTED_VALUE"""),-0.508330689499046)</f>
        <v>-0.50833068949904603</v>
      </c>
      <c r="AK7" s="3">
        <f ca="1">IFERROR(__xludf.DUMMYFUNCTION("""COMPUTED_VALUE"""),-0.524724428142496)</f>
        <v>-0.52472442814249598</v>
      </c>
      <c r="AL7" s="3">
        <f ca="1">IFERROR(__xludf.DUMMYFUNCTION("""COMPUTED_VALUE"""),-0.652468311412547)</f>
        <v>-0.65246831141254702</v>
      </c>
      <c r="AM7" s="3">
        <f ca="1">IFERROR(__xludf.DUMMYFUNCTION("""COMPUTED_VALUE"""),-0.652068765834869)</f>
        <v>-0.65206876583486895</v>
      </c>
      <c r="AN7" s="3">
        <f ca="1">IFERROR(__xludf.DUMMYFUNCTION("""COMPUTED_VALUE"""),-0.661348213269032)</f>
        <v>-0.66134821326903204</v>
      </c>
      <c r="AO7" s="3">
        <f ca="1">IFERROR(__xludf.DUMMYFUNCTION("""COMPUTED_VALUE"""),-0.68922879278335)</f>
        <v>-0.68922879278335003</v>
      </c>
      <c r="AP7" s="3">
        <f ca="1">IFERROR(__xludf.DUMMYFUNCTION("""COMPUTED_VALUE"""),-0.639130191427547)</f>
        <v>-0.63913019142754701</v>
      </c>
      <c r="AQ7" s="3">
        <f ca="1">IFERROR(__xludf.DUMMYFUNCTION("""COMPUTED_VALUE"""),-0.47440215281593)</f>
        <v>-0.47440215281593001</v>
      </c>
      <c r="AR7" s="3">
        <f ca="1">IFERROR(__xludf.DUMMYFUNCTION("""COMPUTED_VALUE"""),-0.543302747083941)</f>
        <v>-0.543302747083941</v>
      </c>
      <c r="AS7" s="3">
        <f ca="1">IFERROR(__xludf.DUMMYFUNCTION("""COMPUTED_VALUE"""),-0.644859285360292)</f>
        <v>-0.64485928536029202</v>
      </c>
      <c r="AT7" s="3">
        <f ca="1">IFERROR(__xludf.DUMMYFUNCTION("""COMPUTED_VALUE"""),-0.645270858501569)</f>
        <v>-0.64527085850156896</v>
      </c>
      <c r="AU7" s="3">
        <f ca="1">IFERROR(__xludf.DUMMYFUNCTION("""COMPUTED_VALUE"""),-0.655670937528893)</f>
        <v>-0.65567093752889305</v>
      </c>
      <c r="AV7" s="3">
        <f ca="1">IFERROR(__xludf.DUMMYFUNCTION("""COMPUTED_VALUE"""),-0.661967692506554)</f>
        <v>-0.66196769250655396</v>
      </c>
      <c r="AW7" s="3">
        <f ca="1">IFERROR(__xludf.DUMMYFUNCTION("""COMPUTED_VALUE"""),-0.587820961027432)</f>
        <v>-0.58782096102743198</v>
      </c>
      <c r="AX7" s="3">
        <f ca="1">IFERROR(__xludf.DUMMYFUNCTION("""COMPUTED_VALUE"""),-0.496816182317729)</f>
        <v>-0.496816182317729</v>
      </c>
      <c r="AY7" s="3">
        <f ca="1">IFERROR(__xludf.DUMMYFUNCTION("""COMPUTED_VALUE"""),-0.493124652830644)</f>
        <v>-0.49312465283064399</v>
      </c>
      <c r="AZ7" s="3">
        <f ca="1">IFERROR(__xludf.DUMMYFUNCTION("""COMPUTED_VALUE"""),-0.661036850381798)</f>
        <v>-0.66103685038179805</v>
      </c>
      <c r="BA7" s="3">
        <f ca="1">IFERROR(__xludf.DUMMYFUNCTION("""COMPUTED_VALUE"""),-0.654469645715706)</f>
        <v>-0.65446964571570598</v>
      </c>
      <c r="BB7" s="3">
        <f ca="1">IFERROR(__xludf.DUMMYFUNCTION("""COMPUTED_VALUE"""),-0.640278164405328)</f>
        <v>-0.64027816440532803</v>
      </c>
      <c r="BC7" s="3">
        <f ca="1">IFERROR(__xludf.DUMMYFUNCTION("""COMPUTED_VALUE"""),-0.670974366695102)</f>
        <v>-0.67097436669510202</v>
      </c>
      <c r="BD7" s="3">
        <f ca="1">IFERROR(__xludf.DUMMYFUNCTION("""COMPUTED_VALUE"""),-0.644403405326856)</f>
        <v>-0.64440340532685603</v>
      </c>
      <c r="BE7" s="3">
        <f ca="1">IFERROR(__xludf.DUMMYFUNCTION("""COMPUTED_VALUE"""),-0.499155021862912)</f>
        <v>-0.499155021862912</v>
      </c>
      <c r="BF7" s="3">
        <f ca="1">IFERROR(__xludf.DUMMYFUNCTION("""COMPUTED_VALUE"""),-0.515183811205788)</f>
        <v>-0.51518381120578804</v>
      </c>
      <c r="BG7" s="3">
        <f ca="1">IFERROR(__xludf.DUMMYFUNCTION("""COMPUTED_VALUE"""),-0.656307876061772)</f>
        <v>-0.65630787606177199</v>
      </c>
      <c r="BH7" s="3">
        <f ca="1">IFERROR(__xludf.DUMMYFUNCTION("""COMPUTED_VALUE"""),-0.658667346387127)</f>
        <v>-0.65866734638712698</v>
      </c>
      <c r="BI7" s="3">
        <f ca="1">IFERROR(__xludf.DUMMYFUNCTION("""COMPUTED_VALUE"""),-0.67250368008172)</f>
        <v>-0.67250368008172001</v>
      </c>
      <c r="BJ7" s="3">
        <f ca="1">IFERROR(__xludf.DUMMYFUNCTION("""COMPUTED_VALUE"""),-0.690688230923209)</f>
        <v>-0.69068823092320897</v>
      </c>
      <c r="BK7" s="3">
        <f ca="1">IFERROR(__xludf.DUMMYFUNCTION("""COMPUTED_VALUE"""),-0.62573345841857)</f>
        <v>-0.62573345841856998</v>
      </c>
      <c r="BL7" s="3">
        <f ca="1">IFERROR(__xludf.DUMMYFUNCTION("""COMPUTED_VALUE"""),-0.562911843124245)</f>
        <v>-0.56291184312424503</v>
      </c>
      <c r="BM7" s="3">
        <f ca="1">IFERROR(__xludf.DUMMYFUNCTION("""COMPUTED_VALUE"""),-0.554074279652737)</f>
        <v>-0.55407427965273703</v>
      </c>
      <c r="BN7" s="3">
        <f ca="1">IFERROR(__xludf.DUMMYFUNCTION("""COMPUTED_VALUE"""),-0.674503890188877)</f>
        <v>-0.67450389018887702</v>
      </c>
      <c r="BO7" s="3">
        <f ca="1">IFERROR(__xludf.DUMMYFUNCTION("""COMPUTED_VALUE"""),-0.66862849194495)</f>
        <v>-0.66862849194495</v>
      </c>
      <c r="BP7" s="3">
        <f ca="1">IFERROR(__xludf.DUMMYFUNCTION("""COMPUTED_VALUE"""),-0.681894017528662)</f>
        <v>-0.68189401752866197</v>
      </c>
      <c r="BQ7" s="3">
        <f ca="1">IFERROR(__xludf.DUMMYFUNCTION("""COMPUTED_VALUE"""),-0.743420918514904)</f>
        <v>-0.74342091851490399</v>
      </c>
      <c r="BR7" s="3">
        <f ca="1">IFERROR(__xludf.DUMMYFUNCTION("""COMPUTED_VALUE"""),-0.712987470890114)</f>
        <v>-0.71298747089011405</v>
      </c>
      <c r="BS7" s="3">
        <f ca="1">IFERROR(__xludf.DUMMYFUNCTION("""COMPUTED_VALUE"""),-0.58797186010501)</f>
        <v>-0.58797186010501001</v>
      </c>
      <c r="BT7" s="3">
        <f ca="1">IFERROR(__xludf.DUMMYFUNCTION("""COMPUTED_VALUE"""),-0.622624456812307)</f>
        <v>-0.62262445681230705</v>
      </c>
      <c r="BU7" s="3">
        <f ca="1">IFERROR(__xludf.DUMMYFUNCTION("""COMPUTED_VALUE"""),-0.722119226425612)</f>
        <v>-0.72211922642561199</v>
      </c>
      <c r="BV7" s="3">
        <f ca="1">IFERROR(__xludf.DUMMYFUNCTION("""COMPUTED_VALUE"""),-0.698342027099447)</f>
        <v>-0.69834202709944704</v>
      </c>
      <c r="BW7" s="3">
        <f ca="1">IFERROR(__xludf.DUMMYFUNCTION("""COMPUTED_VALUE"""),-0.708804624748984)</f>
        <v>-0.70880462474898398</v>
      </c>
      <c r="BX7" s="3">
        <f ca="1">IFERROR(__xludf.DUMMYFUNCTION("""COMPUTED_VALUE"""),-0.692799623590079)</f>
        <v>-0.69279962359007896</v>
      </c>
      <c r="BY7" s="3">
        <f ca="1">IFERROR(__xludf.DUMMYFUNCTION("""COMPUTED_VALUE"""),-0.649886879328434)</f>
        <v>-0.64988687932843403</v>
      </c>
      <c r="BZ7" s="3">
        <f ca="1">IFERROR(__xludf.DUMMYFUNCTION("""COMPUTED_VALUE"""),-0.592673950873496)</f>
        <v>-0.59267395087349595</v>
      </c>
      <c r="CA7" s="3">
        <f ca="1">IFERROR(__xludf.DUMMYFUNCTION("""COMPUTED_VALUE"""),-0.581411666207006)</f>
        <v>-0.58141166620700602</v>
      </c>
      <c r="CB7" s="3">
        <f ca="1">IFERROR(__xludf.DUMMYFUNCTION("""COMPUTED_VALUE"""),-0.674518705630846)</f>
        <v>-0.67451870563084604</v>
      </c>
      <c r="CC7" s="3">
        <f ca="1">IFERROR(__xludf.DUMMYFUNCTION("""COMPUTED_VALUE"""),-0.695740703006633)</f>
        <v>-0.69574070300663304</v>
      </c>
      <c r="CD7" s="3">
        <f ca="1">IFERROR(__xludf.DUMMYFUNCTION("""COMPUTED_VALUE"""),-0.702878204348901)</f>
        <v>-0.70287820434890103</v>
      </c>
      <c r="CE7" s="3">
        <f ca="1">IFERROR(__xludf.DUMMYFUNCTION("""COMPUTED_VALUE"""),-0.687632585569608)</f>
        <v>-0.68763258556960805</v>
      </c>
      <c r="CF7" s="3">
        <f ca="1">IFERROR(__xludf.DUMMYFUNCTION("""COMPUTED_VALUE"""),-0.654121267257068)</f>
        <v>-0.65412126725706798</v>
      </c>
      <c r="CG7" s="3">
        <f ca="1">IFERROR(__xludf.DUMMYFUNCTION("""COMPUTED_VALUE"""),-0.577388350680761)</f>
        <v>-0.577388350680761</v>
      </c>
      <c r="CH7" s="3">
        <f ca="1">IFERROR(__xludf.DUMMYFUNCTION("""COMPUTED_VALUE"""),-0.625352314229044)</f>
        <v>-0.62535231422904403</v>
      </c>
      <c r="CI7" s="3">
        <f ca="1">IFERROR(__xludf.DUMMYFUNCTION("""COMPUTED_VALUE"""),-0.678385172268877)</f>
        <v>-0.67838517226887696</v>
      </c>
      <c r="CJ7" s="3">
        <f ca="1">IFERROR(__xludf.DUMMYFUNCTION("""COMPUTED_VALUE"""),-0.695397627501452)</f>
        <v>-0.69539762750145195</v>
      </c>
      <c r="CK7" s="3">
        <f ca="1">IFERROR(__xludf.DUMMYFUNCTION("""COMPUTED_VALUE"""),-0.701495649084075)</f>
        <v>-0.70149564908407502</v>
      </c>
      <c r="CL7" s="3">
        <f ca="1">IFERROR(__xludf.DUMMYFUNCTION("""COMPUTED_VALUE"""),-0.696893913924665)</f>
        <v>-0.69689391392466504</v>
      </c>
      <c r="CM7" s="3">
        <f ca="1">IFERROR(__xludf.DUMMYFUNCTION("""COMPUTED_VALUE"""),-0.662516494149856)</f>
        <v>-0.66251649414985603</v>
      </c>
      <c r="CN7" s="3">
        <f ca="1">IFERROR(__xludf.DUMMYFUNCTION("""COMPUTED_VALUE"""),-0.580689318626492)</f>
        <v>-0.58068931862649198</v>
      </c>
      <c r="CO7" s="3">
        <f ca="1">IFERROR(__xludf.DUMMYFUNCTION("""COMPUTED_VALUE"""),-0.574706762289177)</f>
        <v>-0.57470676228917705</v>
      </c>
      <c r="CP7" s="3">
        <f ca="1">IFERROR(__xludf.DUMMYFUNCTION("""COMPUTED_VALUE"""),-0.661608262388169)</f>
        <v>-0.66160826238816905</v>
      </c>
      <c r="CQ7" s="3">
        <f ca="1">IFERROR(__xludf.DUMMYFUNCTION("""COMPUTED_VALUE"""),-0.672088887615626)</f>
        <v>-0.67208888761562602</v>
      </c>
      <c r="CR7" s="3">
        <f ca="1">IFERROR(__xludf.DUMMYFUNCTION("""COMPUTED_VALUE"""),-0.627529163928046)</f>
        <v>-0.62752916392804603</v>
      </c>
      <c r="CS7" s="3">
        <f ca="1">IFERROR(__xludf.DUMMYFUNCTION("""COMPUTED_VALUE"""),-0.667965995161002)</f>
        <v>-0.66796599516100197</v>
      </c>
      <c r="CT7" s="3">
        <f ca="1">IFERROR(__xludf.DUMMYFUNCTION("""COMPUTED_VALUE"""),-0.657663924216487)</f>
        <v>-0.65766392421648701</v>
      </c>
      <c r="CU7" s="3">
        <f ca="1">IFERROR(__xludf.DUMMYFUNCTION("""COMPUTED_VALUE"""),-0.588023410338403)</f>
        <v>-0.588023410338403</v>
      </c>
      <c r="CV7" s="3">
        <f ca="1">IFERROR(__xludf.DUMMYFUNCTION("""COMPUTED_VALUE"""),-0.586219585573728)</f>
        <v>-0.586219585573728</v>
      </c>
      <c r="CW7" s="3">
        <f ca="1">IFERROR(__xludf.DUMMYFUNCTION("""COMPUTED_VALUE"""),-0.761740927897724)</f>
        <v>-0.76174092789772396</v>
      </c>
      <c r="CX7" s="3">
        <f ca="1">IFERROR(__xludf.DUMMYFUNCTION("""COMPUTED_VALUE"""),-0.637065520675873)</f>
        <v>-0.63706552067587296</v>
      </c>
      <c r="CY7" s="3">
        <f ca="1">IFERROR(__xludf.DUMMYFUNCTION("""COMPUTED_VALUE"""),-0.464654345693907)</f>
        <v>-0.46465434569390701</v>
      </c>
      <c r="CZ7" s="3">
        <f ca="1">IFERROR(__xludf.DUMMYFUNCTION("""COMPUTED_VALUE"""),-0.606736775888218)</f>
        <v>-0.60673677588821795</v>
      </c>
      <c r="DA7" s="3">
        <f ca="1">IFERROR(__xludf.DUMMYFUNCTION("""COMPUTED_VALUE"""),-0.638135320632057)</f>
        <v>-0.63813532063205702</v>
      </c>
      <c r="DB7" s="3">
        <f ca="1">IFERROR(__xludf.DUMMYFUNCTION("""COMPUTED_VALUE"""),-0.571027578282597)</f>
        <v>-0.57102757828259698</v>
      </c>
      <c r="DC7" s="3">
        <f ca="1">IFERROR(__xludf.DUMMYFUNCTION("""COMPUTED_VALUE"""),-0.588110111494289)</f>
        <v>-0.58811011149428905</v>
      </c>
      <c r="DD7" s="3">
        <f ca="1">IFERROR(__xludf.DUMMYFUNCTION("""COMPUTED_VALUE"""),-0.878396463679508)</f>
        <v>-0.87839646367950797</v>
      </c>
      <c r="DE7" s="3">
        <f ca="1">IFERROR(__xludf.DUMMYFUNCTION("""COMPUTED_VALUE"""),-0.636892958372572)</f>
        <v>-0.63689295837257198</v>
      </c>
      <c r="DF7" s="3">
        <f ca="1">IFERROR(__xludf.DUMMYFUNCTION("""COMPUTED_VALUE"""),-0.398041634714547)</f>
        <v>-0.39804163471454701</v>
      </c>
      <c r="DG7" s="3">
        <f ca="1">IFERROR(__xludf.DUMMYFUNCTION("""COMPUTED_VALUE"""),-0.555066015755137)</f>
        <v>-0.55506601575513703</v>
      </c>
      <c r="DH7" s="3">
        <f ca="1">IFERROR(__xludf.DUMMYFUNCTION("""COMPUTED_VALUE"""),-0.599436639482249)</f>
        <v>-0.59943663948224901</v>
      </c>
      <c r="DI7" s="3">
        <f ca="1">IFERROR(__xludf.DUMMYFUNCTION("""COMPUTED_VALUE"""),-0.542337228988544)</f>
        <v>-0.54233722898854397</v>
      </c>
      <c r="DJ7" s="3">
        <f ca="1">IFERROR(__xludf.DUMMYFUNCTION("""COMPUTED_VALUE"""),-0.518721939200896)</f>
        <v>-0.51872193920089604</v>
      </c>
      <c r="DK7" s="3">
        <f ca="1">IFERROR(__xludf.DUMMYFUNCTION("""COMPUTED_VALUE"""),-0.615264238644682)</f>
        <v>-0.61526423864468205</v>
      </c>
      <c r="DL7" s="3">
        <f ca="1">IFERROR(__xludf.DUMMYFUNCTION("""COMPUTED_VALUE"""),-0.729091556959045)</f>
        <v>-0.72909155695904504</v>
      </c>
      <c r="DM7" s="3">
        <f ca="1">IFERROR(__xludf.DUMMYFUNCTION("""COMPUTED_VALUE"""),-0.589461431368056)</f>
        <v>-0.58946143136805595</v>
      </c>
      <c r="DN7" s="3">
        <f ca="1">IFERROR(__xludf.DUMMYFUNCTION("""COMPUTED_VALUE"""),-0.642598415840759)</f>
        <v>-0.64259841584075905</v>
      </c>
      <c r="DO7" s="3">
        <f ca="1">IFERROR(__xludf.DUMMYFUNCTION("""COMPUTED_VALUE"""),-0.677100407201873)</f>
        <v>-0.67710040720187303</v>
      </c>
      <c r="DP7" s="3">
        <f ca="1">IFERROR(__xludf.DUMMYFUNCTION("""COMPUTED_VALUE"""),-0.545105624974439)</f>
        <v>-0.54510562497443904</v>
      </c>
      <c r="DQ7" s="3">
        <f ca="1">IFERROR(__xludf.DUMMYFUNCTION("""COMPUTED_VALUE"""),-0.593178597446871)</f>
        <v>-0.59317859744687096</v>
      </c>
      <c r="DR7" s="3">
        <f ca="1">IFERROR(__xludf.DUMMYFUNCTION("""COMPUTED_VALUE"""),-0.67432815011959)</f>
        <v>-0.67432815011959002</v>
      </c>
      <c r="DS7" s="3">
        <f ca="1">IFERROR(__xludf.DUMMYFUNCTION("""COMPUTED_VALUE"""),-0.698070103879393)</f>
        <v>-0.69807010387939294</v>
      </c>
      <c r="DT7" s="3">
        <f ca="1">IFERROR(__xludf.DUMMYFUNCTION("""COMPUTED_VALUE"""),-0.714088029173951)</f>
        <v>-0.71408802917395098</v>
      </c>
      <c r="DU7" s="3">
        <f ca="1">IFERROR(__xludf.DUMMYFUNCTION("""COMPUTED_VALUE"""),-0.673093607573813)</f>
        <v>-0.67309360757381298</v>
      </c>
      <c r="DV7" s="3">
        <f ca="1">IFERROR(__xludf.DUMMYFUNCTION("""COMPUTED_VALUE"""),-0.693004002186965)</f>
        <v>-0.69300400218696501</v>
      </c>
      <c r="DW7" s="3">
        <f ca="1">IFERROR(__xludf.DUMMYFUNCTION("""COMPUTED_VALUE"""),-0.570497380401748)</f>
        <v>-0.57049738040174802</v>
      </c>
      <c r="DX7" s="3">
        <f ca="1">IFERROR(__xludf.DUMMYFUNCTION("""COMPUTED_VALUE"""),-0.655377615713835)</f>
        <v>-0.65537761571383502</v>
      </c>
      <c r="DY7" s="3">
        <f ca="1">IFERROR(__xludf.DUMMYFUNCTION("""COMPUTED_VALUE"""),-0.631059762501969)</f>
        <v>-0.63105976250196905</v>
      </c>
      <c r="DZ7" s="3">
        <f ca="1">IFERROR(__xludf.DUMMYFUNCTION("""COMPUTED_VALUE"""),-0.602568214203657)</f>
        <v>-0.60256821420365703</v>
      </c>
      <c r="EA7" s="3">
        <f ca="1">IFERROR(__xludf.DUMMYFUNCTION("""COMPUTED_VALUE"""),-0.702575772078291)</f>
        <v>-0.70257577207829103</v>
      </c>
      <c r="EB7" s="3">
        <f ca="1">IFERROR(__xludf.DUMMYFUNCTION("""COMPUTED_VALUE"""),-0.666070045577587)</f>
        <v>-0.66607004557758698</v>
      </c>
      <c r="EC7" s="3">
        <f ca="1">IFERROR(__xludf.DUMMYFUNCTION("""COMPUTED_VALUE"""),-0.704533476201369)</f>
        <v>-0.70453347620136897</v>
      </c>
      <c r="ED7" s="3">
        <f ca="1">IFERROR(__xludf.DUMMYFUNCTION("""COMPUTED_VALUE"""),-0.528469388662405)</f>
        <v>-0.528469388662405</v>
      </c>
      <c r="EE7" s="3">
        <f ca="1">IFERROR(__xludf.DUMMYFUNCTION("""COMPUTED_VALUE"""),-0.595476252763232)</f>
        <v>-0.59547625276323202</v>
      </c>
      <c r="EF7" s="3">
        <f ca="1">IFERROR(__xludf.DUMMYFUNCTION("""COMPUTED_VALUE"""),-0.68605613859141)</f>
        <v>-0.68605613859141001</v>
      </c>
      <c r="EG7" s="3">
        <f ca="1">IFERROR(__xludf.DUMMYFUNCTION("""COMPUTED_VALUE"""),-0.818925395383794)</f>
        <v>-0.81892539538379405</v>
      </c>
      <c r="EH7" s="3">
        <f ca="1">IFERROR(__xludf.DUMMYFUNCTION("""COMPUTED_VALUE"""),-0.682463484016815)</f>
        <v>-0.682463484016815</v>
      </c>
      <c r="EI7" s="3">
        <f ca="1">IFERROR(__xludf.DUMMYFUNCTION("""COMPUTED_VALUE"""),-0.64531588167137)</f>
        <v>-0.64531588167137</v>
      </c>
      <c r="EJ7" s="3">
        <f ca="1">IFERROR(__xludf.DUMMYFUNCTION("""COMPUTED_VALUE"""),-0.698832322461674)</f>
        <v>-0.69883232246167404</v>
      </c>
      <c r="EK7" s="3">
        <f ca="1">IFERROR(__xludf.DUMMYFUNCTION("""COMPUTED_VALUE"""),-0.529471035300716)</f>
        <v>-0.52947103530071604</v>
      </c>
      <c r="EL7" s="3">
        <f ca="1">IFERROR(__xludf.DUMMYFUNCTION("""COMPUTED_VALUE"""),-0.546219048860374)</f>
        <v>-0.54621904886037398</v>
      </c>
      <c r="EM7" s="3">
        <f ca="1">IFERROR(__xludf.DUMMYFUNCTION("""COMPUTED_VALUE"""),-0.623110731743875)</f>
        <v>-0.62311073174387499</v>
      </c>
      <c r="EN7" s="3">
        <f ca="1">IFERROR(__xludf.DUMMYFUNCTION("""COMPUTED_VALUE"""),-0.594220047650536)</f>
        <v>-0.59422004765053604</v>
      </c>
      <c r="EO7" s="3">
        <f ca="1">IFERROR(__xludf.DUMMYFUNCTION("""COMPUTED_VALUE"""),-0.673894145969671)</f>
        <v>-0.67389414596967101</v>
      </c>
      <c r="EP7" s="3">
        <f ca="1">IFERROR(__xludf.DUMMYFUNCTION("""COMPUTED_VALUE"""),-0.686558323360409)</f>
        <v>-0.68655832336040901</v>
      </c>
      <c r="EQ7" s="3">
        <f ca="1">IFERROR(__xludf.DUMMYFUNCTION("""COMPUTED_VALUE"""),-0.649327500079231)</f>
        <v>-0.64932750007923101</v>
      </c>
      <c r="ER7" s="3">
        <f ca="1">IFERROR(__xludf.DUMMYFUNCTION("""COMPUTED_VALUE"""),-0.521061610638741)</f>
        <v>-0.52106161063874101</v>
      </c>
      <c r="ES7" s="3">
        <f ca="1">IFERROR(__xludf.DUMMYFUNCTION("""COMPUTED_VALUE"""),-0.559084958303248)</f>
        <v>-0.559084958303248</v>
      </c>
      <c r="ET7" s="3">
        <f ca="1">IFERROR(__xludf.DUMMYFUNCTION("""COMPUTED_VALUE"""),-0.682869595310968)</f>
        <v>-0.68286959531096803</v>
      </c>
      <c r="EU7" s="3">
        <f ca="1">IFERROR(__xludf.DUMMYFUNCTION("""COMPUTED_VALUE"""),-0.686376414491532)</f>
        <v>-0.68637641449153197</v>
      </c>
      <c r="EV7" s="3">
        <f ca="1">IFERROR(__xludf.DUMMYFUNCTION("""COMPUTED_VALUE"""),-0.69091158566852)</f>
        <v>-0.69091158566851996</v>
      </c>
      <c r="EW7" s="3">
        <f ca="1">IFERROR(__xludf.DUMMYFUNCTION("""COMPUTED_VALUE"""),-0.677009191608991)</f>
        <v>-0.67700919160899098</v>
      </c>
      <c r="EX7" s="3">
        <f ca="1">IFERROR(__xludf.DUMMYFUNCTION("""COMPUTED_VALUE"""),-0.646682858405674)</f>
        <v>-0.64668285840567397</v>
      </c>
      <c r="EY7" s="3">
        <f ca="1">IFERROR(__xludf.DUMMYFUNCTION("""COMPUTED_VALUE"""),-0.554607763934638)</f>
        <v>-0.55460776393463795</v>
      </c>
      <c r="EZ7" s="3">
        <f ca="1">IFERROR(__xludf.DUMMYFUNCTION("""COMPUTED_VALUE"""),-0.554351683729976)</f>
        <v>-0.55435168372997601</v>
      </c>
      <c r="FA7" s="3">
        <f ca="1">IFERROR(__xludf.DUMMYFUNCTION("""COMPUTED_VALUE"""),-0.668974711989383)</f>
        <v>-0.66897471198938296</v>
      </c>
      <c r="FB7" s="3">
        <f ca="1">IFERROR(__xludf.DUMMYFUNCTION("""COMPUTED_VALUE"""),-0.673305318005207)</f>
        <v>-0.67330531800520699</v>
      </c>
      <c r="FC7" s="3">
        <f ca="1">IFERROR(__xludf.DUMMYFUNCTION("""COMPUTED_VALUE"""),-0.680457449662881)</f>
        <v>-0.68045744966288102</v>
      </c>
      <c r="FD7" s="3">
        <f ca="1">IFERROR(__xludf.DUMMYFUNCTION("""COMPUTED_VALUE"""),-0.66326034145048)</f>
        <v>-0.66326034145047996</v>
      </c>
      <c r="FE7" s="3">
        <f ca="1">IFERROR(__xludf.DUMMYFUNCTION("""COMPUTED_VALUE"""),-0.629661275796068)</f>
        <v>-0.62966127579606801</v>
      </c>
      <c r="FF7" s="3">
        <f ca="1">IFERROR(__xludf.DUMMYFUNCTION("""COMPUTED_VALUE"""),-0.531098976253492)</f>
        <v>-0.53109897625349201</v>
      </c>
      <c r="FG7" s="3">
        <f ca="1">IFERROR(__xludf.DUMMYFUNCTION("""COMPUTED_VALUE"""),-0.563134825231092)</f>
        <v>-0.56313482523109204</v>
      </c>
      <c r="FH7" s="3">
        <f ca="1">IFERROR(__xludf.DUMMYFUNCTION("""COMPUTED_VALUE"""),-0.711824726310206)</f>
        <v>-0.71182472631020599</v>
      </c>
      <c r="FI7" s="3">
        <f ca="1">IFERROR(__xludf.DUMMYFUNCTION("""COMPUTED_VALUE"""),-0.707390021204866)</f>
        <v>-0.70739002120486605</v>
      </c>
      <c r="FJ7" s="3">
        <f ca="1">IFERROR(__xludf.DUMMYFUNCTION("""COMPUTED_VALUE"""),-0.701476828344567)</f>
        <v>-0.70147682834456704</v>
      </c>
      <c r="FK7" s="3">
        <f ca="1">IFERROR(__xludf.DUMMYFUNCTION("""COMPUTED_VALUE"""),-0.6846165971317)</f>
        <v>-0.68461659713169998</v>
      </c>
      <c r="FL7" s="3">
        <f ca="1">IFERROR(__xludf.DUMMYFUNCTION("""COMPUTED_VALUE"""),-0.700910192187375)</f>
        <v>-0.70091019218737505</v>
      </c>
      <c r="FM7" s="3">
        <f ca="1">IFERROR(__xludf.DUMMYFUNCTION("""COMPUTED_VALUE"""),-0.532238259237355)</f>
        <v>-0.53223825923735502</v>
      </c>
      <c r="FN7" s="3">
        <f ca="1">IFERROR(__xludf.DUMMYFUNCTION("""COMPUTED_VALUE"""),-0.552999929457919)</f>
        <v>-0.55299992945791898</v>
      </c>
      <c r="FO7" s="3">
        <f ca="1">IFERROR(__xludf.DUMMYFUNCTION("""COMPUTED_VALUE"""),-0.677302347820769)</f>
        <v>-0.67730234782076904</v>
      </c>
      <c r="FP7" s="3">
        <f ca="1">IFERROR(__xludf.DUMMYFUNCTION("""COMPUTED_VALUE"""),-0.677939148259765)</f>
        <v>-0.67793914825976498</v>
      </c>
      <c r="FQ7" s="3">
        <f ca="1">IFERROR(__xludf.DUMMYFUNCTION("""COMPUTED_VALUE"""),-0.677282309648525)</f>
        <v>-0.67728230964852498</v>
      </c>
      <c r="FR7" s="3">
        <f ca="1">IFERROR(__xludf.DUMMYFUNCTION("""COMPUTED_VALUE"""),-0.672182479829645)</f>
        <v>-0.67218247982964496</v>
      </c>
      <c r="FS7" s="3">
        <f ca="1">IFERROR(__xludf.DUMMYFUNCTION("""COMPUTED_VALUE"""),-0.644520881982076)</f>
        <v>-0.64452088198207602</v>
      </c>
      <c r="FT7" s="3">
        <f ca="1">IFERROR(__xludf.DUMMYFUNCTION("""COMPUTED_VALUE"""),-0.514810006730532)</f>
        <v>-0.51481000673053201</v>
      </c>
      <c r="FU7" s="3">
        <f ca="1">IFERROR(__xludf.DUMMYFUNCTION("""COMPUTED_VALUE"""),-0.567924751116767)</f>
        <v>-0.56792475111676699</v>
      </c>
      <c r="FV7" s="3">
        <f ca="1">IFERROR(__xludf.DUMMYFUNCTION("""COMPUTED_VALUE"""),-0.686566643024759)</f>
        <v>-0.686566643024759</v>
      </c>
      <c r="FW7" s="3">
        <f ca="1">IFERROR(__xludf.DUMMYFUNCTION("""COMPUTED_VALUE"""),-0.672371719223628)</f>
        <v>-0.67237171922362804</v>
      </c>
      <c r="FX7" s="3">
        <f ca="1">IFERROR(__xludf.DUMMYFUNCTION("""COMPUTED_VALUE"""),-0.658228734239811)</f>
        <v>-0.65822873423981099</v>
      </c>
      <c r="FY7" s="3">
        <f ca="1">IFERROR(__xludf.DUMMYFUNCTION("""COMPUTED_VALUE"""),-0.709638172719938)</f>
        <v>-0.70963817271993801</v>
      </c>
      <c r="FZ7" s="3">
        <f ca="1">IFERROR(__xludf.DUMMYFUNCTION("""COMPUTED_VALUE"""),-0.671769232600936)</f>
        <v>-0.67176923260093602</v>
      </c>
      <c r="GA7" s="3">
        <f ca="1">IFERROR(__xludf.DUMMYFUNCTION("""COMPUTED_VALUE"""),-0.535780919737277)</f>
        <v>-0.53578091973727704</v>
      </c>
      <c r="GB7" s="3">
        <f ca="1">IFERROR(__xludf.DUMMYFUNCTION("""COMPUTED_VALUE"""),-0.547152527108317)</f>
        <v>-0.54715252710831697</v>
      </c>
      <c r="GC7" s="3">
        <f ca="1">IFERROR(__xludf.DUMMYFUNCTION("""COMPUTED_VALUE"""),-0.668160726986161)</f>
        <v>-0.66816072698616102</v>
      </c>
      <c r="GD7" s="3">
        <f ca="1">IFERROR(__xludf.DUMMYFUNCTION("""COMPUTED_VALUE"""),-0.669976559371578)</f>
        <v>-0.66997655937157796</v>
      </c>
      <c r="GE7" s="3">
        <f ca="1">IFERROR(__xludf.DUMMYFUNCTION("""COMPUTED_VALUE"""),-0.663621258103474)</f>
        <v>-0.66362125810347405</v>
      </c>
      <c r="GF7" s="3">
        <f ca="1">IFERROR(__xludf.DUMMYFUNCTION("""COMPUTED_VALUE"""),-0.665430875064402)</f>
        <v>-0.66543087506440202</v>
      </c>
      <c r="GG7" s="3">
        <f ca="1">IFERROR(__xludf.DUMMYFUNCTION("""COMPUTED_VALUE"""),-0.619970302112789)</f>
        <v>-0.61997030211278903</v>
      </c>
      <c r="GH7" s="3">
        <f ca="1">IFERROR(__xludf.DUMMYFUNCTION("""COMPUTED_VALUE"""),-0.546999236545834)</f>
        <v>-0.54699923654583404</v>
      </c>
      <c r="GI7" s="3">
        <f ca="1">IFERROR(__xludf.DUMMYFUNCTION("""COMPUTED_VALUE"""),-0.552356095029457)</f>
        <v>-0.55235609502945704</v>
      </c>
      <c r="GJ7" s="3">
        <f ca="1">IFERROR(__xludf.DUMMYFUNCTION("""COMPUTED_VALUE"""),-0.656427914070829)</f>
        <v>-0.65642791407082901</v>
      </c>
      <c r="GK7" s="3">
        <f ca="1">IFERROR(__xludf.DUMMYFUNCTION("""COMPUTED_VALUE"""),-0.665817542895421)</f>
        <v>-0.66581754289542106</v>
      </c>
      <c r="GL7" s="3">
        <f ca="1">IFERROR(__xludf.DUMMYFUNCTION("""COMPUTED_VALUE"""),-0.674817203788714)</f>
        <v>-0.67481720378871402</v>
      </c>
      <c r="GM7" s="3">
        <f ca="1">IFERROR(__xludf.DUMMYFUNCTION("""COMPUTED_VALUE"""),-0.669704156170359)</f>
        <v>-0.66970415617035906</v>
      </c>
      <c r="GN7" s="3">
        <f ca="1">IFERROR(__xludf.DUMMYFUNCTION("""COMPUTED_VALUE"""),-0.671726389137032)</f>
        <v>-0.67172638913703198</v>
      </c>
      <c r="GO7" s="3">
        <f ca="1">IFERROR(__xludf.DUMMYFUNCTION("""COMPUTED_VALUE"""),-0.537624985212981)</f>
        <v>-0.53762498521298097</v>
      </c>
      <c r="GP7" s="3">
        <f ca="1">IFERROR(__xludf.DUMMYFUNCTION("""COMPUTED_VALUE"""),-0.547120538974079)</f>
        <v>-0.54712053897407897</v>
      </c>
      <c r="GQ7" s="3">
        <f ca="1">IFERROR(__xludf.DUMMYFUNCTION("""COMPUTED_VALUE"""),-0.658617587749782)</f>
        <v>-0.65861758774978196</v>
      </c>
      <c r="GR7" s="3">
        <f ca="1">IFERROR(__xludf.DUMMYFUNCTION("""COMPUTED_VALUE"""),-0.668719627456015)</f>
        <v>-0.66871962745601499</v>
      </c>
      <c r="GS7" s="3">
        <f ca="1">IFERROR(__xludf.DUMMYFUNCTION("""COMPUTED_VALUE"""),-0.671827807375498)</f>
        <v>-0.67182780737549797</v>
      </c>
      <c r="GT7" s="3">
        <f ca="1">IFERROR(__xludf.DUMMYFUNCTION("""COMPUTED_VALUE"""),-0.677274839286291)</f>
        <v>-0.67727483928629095</v>
      </c>
      <c r="GU7" s="3">
        <f ca="1">IFERROR(__xludf.DUMMYFUNCTION("""COMPUTED_VALUE"""),-0.663329304546702)</f>
        <v>-0.66332930454670203</v>
      </c>
      <c r="GV7" s="3">
        <f ca="1">IFERROR(__xludf.DUMMYFUNCTION("""COMPUTED_VALUE"""),-0.534023275735354)</f>
        <v>-0.53402327573535402</v>
      </c>
      <c r="GW7" s="3">
        <f ca="1">IFERROR(__xludf.DUMMYFUNCTION("""COMPUTED_VALUE"""),-0.543952851885615)</f>
        <v>-0.54395285188561504</v>
      </c>
      <c r="GX7" s="3">
        <f ca="1">IFERROR(__xludf.DUMMYFUNCTION("""COMPUTED_VALUE"""),-0.64662692701866)</f>
        <v>-0.64662692701865998</v>
      </c>
      <c r="GY7" s="3">
        <f ca="1">IFERROR(__xludf.DUMMYFUNCTION("""COMPUTED_VALUE"""),-0.654887892077904)</f>
        <v>-0.65488789207790399</v>
      </c>
      <c r="GZ7" s="3">
        <f ca="1">IFERROR(__xludf.DUMMYFUNCTION("""COMPUTED_VALUE"""),-0.659625541090227)</f>
        <v>-0.65962554109022697</v>
      </c>
      <c r="HA7" s="3">
        <f ca="1">IFERROR(__xludf.DUMMYFUNCTION("""COMPUTED_VALUE"""),-0.658607053843239)</f>
        <v>-0.65860705384323903</v>
      </c>
      <c r="HB7" s="3">
        <f ca="1">IFERROR(__xludf.DUMMYFUNCTION("""COMPUTED_VALUE"""),-0.655279724081111)</f>
        <v>-0.65527972408111101</v>
      </c>
      <c r="HC7" s="3">
        <f ca="1">IFERROR(__xludf.DUMMYFUNCTION("""COMPUTED_VALUE"""),-0.525857121149826)</f>
        <v>-0.52585712114982597</v>
      </c>
      <c r="HD7" s="3">
        <f ca="1">IFERROR(__xludf.DUMMYFUNCTION("""COMPUTED_VALUE"""),-0.515656946329683)</f>
        <v>-0.51565694632968295</v>
      </c>
      <c r="HE7" s="3">
        <f ca="1">IFERROR(__xludf.DUMMYFUNCTION("""COMPUTED_VALUE"""),-0.652618792972109)</f>
        <v>-0.65261879297210901</v>
      </c>
      <c r="HF7" s="3">
        <f ca="1">IFERROR(__xludf.DUMMYFUNCTION("""COMPUTED_VALUE"""),-0.671664115089925)</f>
        <v>-0.67166411508992496</v>
      </c>
      <c r="HG7" s="3">
        <f ca="1">IFERROR(__xludf.DUMMYFUNCTION("""COMPUTED_VALUE"""),-0.639497483101442)</f>
        <v>-0.63949748310144205</v>
      </c>
      <c r="HH7" s="3">
        <f ca="1">IFERROR(__xludf.DUMMYFUNCTION("""COMPUTED_VALUE"""),-0.640896593315163)</f>
        <v>-0.64089659331516302</v>
      </c>
      <c r="HI7" s="3">
        <f ca="1">IFERROR(__xludf.DUMMYFUNCTION("""COMPUTED_VALUE"""),-0.652418287834522)</f>
        <v>-0.65241828783452205</v>
      </c>
      <c r="HJ7" s="3">
        <f ca="1">IFERROR(__xludf.DUMMYFUNCTION("""COMPUTED_VALUE"""),-0.500506787093757)</f>
        <v>-0.50050678709375696</v>
      </c>
      <c r="HK7" s="3">
        <f ca="1">IFERROR(__xludf.DUMMYFUNCTION("""COMPUTED_VALUE"""),-0.491203630315746)</f>
        <v>-0.49120363031574599</v>
      </c>
      <c r="HL7" s="3">
        <f ca="1">IFERROR(__xludf.DUMMYFUNCTION("""COMPUTED_VALUE"""),-0.600426774489696)</f>
        <v>-0.60042677448969595</v>
      </c>
      <c r="HM7" s="3">
        <f ca="1">IFERROR(__xludf.DUMMYFUNCTION("""COMPUTED_VALUE"""),-0.628237709923931)</f>
        <v>-0.62823770992393102</v>
      </c>
      <c r="HN7" s="3">
        <f ca="1">IFERROR(__xludf.DUMMYFUNCTION("""COMPUTED_VALUE"""),-0.643030898676642)</f>
        <v>-0.64303089867664198</v>
      </c>
      <c r="HO7" s="3">
        <f ca="1">IFERROR(__xludf.DUMMYFUNCTION("""COMPUTED_VALUE"""),-0.595466444855337)</f>
        <v>-0.59546644485533695</v>
      </c>
      <c r="HP7" s="3">
        <f ca="1">IFERROR(__xludf.DUMMYFUNCTION("""COMPUTED_VALUE"""),-0.541463768420303)</f>
        <v>-0.54146376842030297</v>
      </c>
      <c r="HQ7" s="3">
        <f ca="1">IFERROR(__xludf.DUMMYFUNCTION("""COMPUTED_VALUE"""),-0.501608076743989)</f>
        <v>-0.501608076743989</v>
      </c>
      <c r="HR7" s="3">
        <f ca="1">IFERROR(__xludf.DUMMYFUNCTION("""COMPUTED_VALUE"""),-0.559459415750585)</f>
        <v>-0.559459415750585</v>
      </c>
      <c r="HS7" s="3">
        <f ca="1">IFERROR(__xludf.DUMMYFUNCTION("""COMPUTED_VALUE"""),-0.608925577925883)</f>
        <v>-0.60892557792588298</v>
      </c>
      <c r="HT7" s="3">
        <f ca="1">IFERROR(__xludf.DUMMYFUNCTION("""COMPUTED_VALUE"""),-0.65944697489088)</f>
        <v>-0.65944697489088</v>
      </c>
      <c r="HU7" s="3">
        <f ca="1">IFERROR(__xludf.DUMMYFUNCTION("""COMPUTED_VALUE"""),-0.610852583153454)</f>
        <v>-0.61085258315345403</v>
      </c>
      <c r="HV7" s="3">
        <f ca="1">IFERROR(__xludf.DUMMYFUNCTION("""COMPUTED_VALUE"""),-0.601030827321807)</f>
        <v>-0.60103082732180702</v>
      </c>
      <c r="HW7" s="3">
        <f ca="1">IFERROR(__xludf.DUMMYFUNCTION("""COMPUTED_VALUE"""),-0.517702163176548)</f>
        <v>-0.51770216317654805</v>
      </c>
      <c r="HX7" s="3">
        <f ca="1">IFERROR(__xludf.DUMMYFUNCTION("""COMPUTED_VALUE"""),-0.525743875405974)</f>
        <v>-0.525743875405974</v>
      </c>
      <c r="HY7" s="3">
        <f ca="1">IFERROR(__xludf.DUMMYFUNCTION("""COMPUTED_VALUE"""),-0.517110775525757)</f>
        <v>-0.51711077552575702</v>
      </c>
      <c r="HZ7" s="3">
        <f ca="1">IFERROR(__xludf.DUMMYFUNCTION("""COMPUTED_VALUE"""),-0.566601542155101)</f>
        <v>-0.56660154215510095</v>
      </c>
      <c r="IA7" s="3">
        <f ca="1">IFERROR(__xludf.DUMMYFUNCTION("""COMPUTED_VALUE"""),-0.591311329131346)</f>
        <v>-0.59131132913134599</v>
      </c>
      <c r="IB7" s="3">
        <f ca="1">IFERROR(__xludf.DUMMYFUNCTION("""COMPUTED_VALUE"""),-0.594027605401076)</f>
        <v>-0.59402760540107602</v>
      </c>
      <c r="IC7" s="3">
        <f ca="1">IFERROR(__xludf.DUMMYFUNCTION("""COMPUTED_VALUE"""),-0.592651495059492)</f>
        <v>-0.592651495059492</v>
      </c>
      <c r="ID7" s="3">
        <f ca="1">IFERROR(__xludf.DUMMYFUNCTION("""COMPUTED_VALUE"""),-0.598143482952612)</f>
        <v>-0.59814348295261199</v>
      </c>
      <c r="IE7" s="3">
        <f ca="1">IFERROR(__xludf.DUMMYFUNCTION("""COMPUTED_VALUE"""),-0.551412872885208)</f>
        <v>-0.55141287288520802</v>
      </c>
      <c r="IF7" s="3">
        <f ca="1">IFERROR(__xludf.DUMMYFUNCTION("""COMPUTED_VALUE"""),-0.529843847100664)</f>
        <v>-0.52984384710066401</v>
      </c>
      <c r="IG7" s="3">
        <f ca="1">IFERROR(__xludf.DUMMYFUNCTION("""COMPUTED_VALUE"""),-0.575703149422099)</f>
        <v>-0.57570314942209899</v>
      </c>
      <c r="IH7" s="3">
        <f ca="1">IFERROR(__xludf.DUMMYFUNCTION("""COMPUTED_VALUE"""),-0.593698477033409)</f>
        <v>-0.59369847703340894</v>
      </c>
      <c r="II7" s="3">
        <f ca="1">IFERROR(__xludf.DUMMYFUNCTION("""COMPUTED_VALUE"""),-0.596491182911748)</f>
        <v>-0.59649118291174796</v>
      </c>
      <c r="IJ7" s="3">
        <f ca="1">IFERROR(__xludf.DUMMYFUNCTION("""COMPUTED_VALUE"""),-0.58169046737674)</f>
        <v>-0.58169046737674002</v>
      </c>
      <c r="IK7" s="3">
        <f ca="1">IFERROR(__xludf.DUMMYFUNCTION("""COMPUTED_VALUE"""),-0.574398230710625)</f>
        <v>-0.57439823071062501</v>
      </c>
      <c r="IL7" s="3">
        <f ca="1">IFERROR(__xludf.DUMMYFUNCTION("""COMPUTED_VALUE"""),-0.513158263801576)</f>
        <v>-0.51315826380157603</v>
      </c>
      <c r="IM7" s="3">
        <f ca="1">IFERROR(__xludf.DUMMYFUNCTION("""COMPUTED_VALUE"""),-0.512352665350156)</f>
        <v>-0.512352665350156</v>
      </c>
      <c r="IN7" s="3">
        <f ca="1">IFERROR(__xludf.DUMMYFUNCTION("""COMPUTED_VALUE"""),-0.590202246563017)</f>
        <v>-0.59020224656301701</v>
      </c>
      <c r="IO7" s="3">
        <f ca="1">IFERROR(__xludf.DUMMYFUNCTION("""COMPUTED_VALUE"""),-0.602745170076914)</f>
        <v>-0.60274517007691397</v>
      </c>
      <c r="IP7" s="3">
        <f ca="1">IFERROR(__xludf.DUMMYFUNCTION("""COMPUTED_VALUE"""),-0.599294208730155)</f>
        <v>-0.59929420873015504</v>
      </c>
      <c r="IQ7" s="3">
        <f ca="1">IFERROR(__xludf.DUMMYFUNCTION("""COMPUTED_VALUE"""),-0.626408376602506)</f>
        <v>-0.62640837660250603</v>
      </c>
      <c r="IR7" s="3">
        <f ca="1">IFERROR(__xludf.DUMMYFUNCTION("""COMPUTED_VALUE"""),-0.589299618503056)</f>
        <v>-0.58929961850305601</v>
      </c>
      <c r="IS7" s="3">
        <f ca="1">IFERROR(__xludf.DUMMYFUNCTION("""COMPUTED_VALUE"""),-0.511187234319758)</f>
        <v>-0.51118723431975799</v>
      </c>
      <c r="IT7" s="3">
        <f ca="1">IFERROR(__xludf.DUMMYFUNCTION("""COMPUTED_VALUE"""),-0.499461902555213)</f>
        <v>-0.499461902555213</v>
      </c>
      <c r="IU7" s="3">
        <f ca="1">IFERROR(__xludf.DUMMYFUNCTION("""COMPUTED_VALUE"""),-0.591795345016656)</f>
        <v>-0.59179534501665598</v>
      </c>
      <c r="IV7" s="3">
        <f ca="1">IFERROR(__xludf.DUMMYFUNCTION("""COMPUTED_VALUE"""),-0.614269825669728)</f>
        <v>-0.61426982566972799</v>
      </c>
      <c r="IW7" s="3">
        <f ca="1">IFERROR(__xludf.DUMMYFUNCTION("""COMPUTED_VALUE"""),-0.612037197165111)</f>
        <v>-0.61203719716511096</v>
      </c>
      <c r="IX7" s="3">
        <f ca="1">IFERROR(__xludf.DUMMYFUNCTION("""COMPUTED_VALUE"""),-0.623706017842508)</f>
        <v>-0.62370601784250801</v>
      </c>
      <c r="IY7" s="3">
        <f ca="1">IFERROR(__xludf.DUMMYFUNCTION("""COMPUTED_VALUE"""),-0.61196935651728)</f>
        <v>-0.61196935651728002</v>
      </c>
      <c r="IZ7" s="3">
        <f ca="1">IFERROR(__xludf.DUMMYFUNCTION("""COMPUTED_VALUE"""),-0.539295317398541)</f>
        <v>-0.53929531739854097</v>
      </c>
      <c r="JA7" s="3">
        <f ca="1">IFERROR(__xludf.DUMMYFUNCTION("""COMPUTED_VALUE"""),-0.514242352536925)</f>
        <v>-0.51424235253692496</v>
      </c>
      <c r="JB7" s="3">
        <f ca="1">IFERROR(__xludf.DUMMYFUNCTION("""COMPUTED_VALUE"""),-0.594745480431299)</f>
        <v>-0.59474548043129905</v>
      </c>
      <c r="JC7" s="3">
        <f ca="1">IFERROR(__xludf.DUMMYFUNCTION("""COMPUTED_VALUE"""),-0.630863416659764)</f>
        <v>-0.63086341665976398</v>
      </c>
      <c r="JD7" s="3">
        <f ca="1">IFERROR(__xludf.DUMMYFUNCTION("""COMPUTED_VALUE"""),-0.629480020600279)</f>
        <v>-0.62948002060027897</v>
      </c>
      <c r="JE7" s="3">
        <f ca="1">IFERROR(__xludf.DUMMYFUNCTION("""COMPUTED_VALUE"""),-0.618335838606605)</f>
        <v>-0.61833583860660501</v>
      </c>
      <c r="JF7" s="3">
        <f ca="1">IFERROR(__xludf.DUMMYFUNCTION("""COMPUTED_VALUE"""),-0.614100370444144)</f>
        <v>-0.61410037044414401</v>
      </c>
      <c r="JG7" s="3">
        <f ca="1">IFERROR(__xludf.DUMMYFUNCTION("""COMPUTED_VALUE"""),-0.484339153034718)</f>
        <v>-0.48433915303471797</v>
      </c>
      <c r="JH7" s="3">
        <f ca="1">IFERROR(__xludf.DUMMYFUNCTION("""COMPUTED_VALUE"""),-0.465603979336204)</f>
        <v>-0.46560397933620401</v>
      </c>
      <c r="JI7" s="3">
        <f ca="1">IFERROR(__xludf.DUMMYFUNCTION("""COMPUTED_VALUE"""),-0.594226816746594)</f>
        <v>-0.59422681674659406</v>
      </c>
      <c r="JJ7" s="3">
        <f ca="1">IFERROR(__xludf.DUMMYFUNCTION("""COMPUTED_VALUE"""),-0.588923093794283)</f>
        <v>-0.58892309379428298</v>
      </c>
      <c r="JK7" s="3">
        <f ca="1">IFERROR(__xludf.DUMMYFUNCTION("""COMPUTED_VALUE"""),-0.596254327555482)</f>
        <v>-0.59625432755548202</v>
      </c>
      <c r="JL7" s="3">
        <f ca="1">IFERROR(__xludf.DUMMYFUNCTION("""COMPUTED_VALUE"""),-0.611861853244369)</f>
        <v>-0.61186185324436904</v>
      </c>
      <c r="JM7" s="3">
        <f ca="1">IFERROR(__xludf.DUMMYFUNCTION("""COMPUTED_VALUE"""),-0.610948574713957)</f>
        <v>-0.61094857471395703</v>
      </c>
      <c r="JN7" s="3">
        <f ca="1">IFERROR(__xludf.DUMMYFUNCTION("""COMPUTED_VALUE"""),-0.458640626852302)</f>
        <v>-0.458640626852302</v>
      </c>
      <c r="JO7" s="3">
        <f ca="1">IFERROR(__xludf.DUMMYFUNCTION("""COMPUTED_VALUE"""),-0.466284213982751)</f>
        <v>-0.46628421398275099</v>
      </c>
      <c r="JP7" s="3">
        <f ca="1">IFERROR(__xludf.DUMMYFUNCTION("""COMPUTED_VALUE"""),-0.56165219123295)</f>
        <v>-0.56165219123294996</v>
      </c>
      <c r="JQ7" s="3">
        <f ca="1">IFERROR(__xludf.DUMMYFUNCTION("""COMPUTED_VALUE"""),-0.52553175277621)</f>
        <v>-0.52553175277621</v>
      </c>
      <c r="JR7" s="3">
        <f ca="1">IFERROR(__xludf.DUMMYFUNCTION("""COMPUTED_VALUE"""),-0.623828322344724)</f>
        <v>-0.62382832234472396</v>
      </c>
      <c r="JS7" s="3">
        <f ca="1">IFERROR(__xludf.DUMMYFUNCTION("""COMPUTED_VALUE"""),-0.611355728953543)</f>
        <v>-0.61135572895354295</v>
      </c>
      <c r="JT7" s="3">
        <f ca="1">IFERROR(__xludf.DUMMYFUNCTION("""COMPUTED_VALUE"""),-0.615310223955474)</f>
        <v>-0.61531022395547397</v>
      </c>
      <c r="JU7" s="3">
        <f ca="1">IFERROR(__xludf.DUMMYFUNCTION("""COMPUTED_VALUE"""),-0.524789706451712)</f>
        <v>-0.52478970645171197</v>
      </c>
      <c r="JV7" s="3">
        <f ca="1">IFERROR(__xludf.DUMMYFUNCTION("""COMPUTED_VALUE"""),-0.516050571097438)</f>
        <v>-0.51605057109743802</v>
      </c>
      <c r="JW7" s="3">
        <f ca="1">IFERROR(__xludf.DUMMYFUNCTION("""COMPUTED_VALUE"""),-0.604366489022266)</f>
        <v>-0.60436648902226597</v>
      </c>
      <c r="JX7" s="3">
        <f ca="1">IFERROR(__xludf.DUMMYFUNCTION("""COMPUTED_VALUE"""),-0.527209432204626)</f>
        <v>-0.52720943220462602</v>
      </c>
      <c r="JY7" s="3">
        <f ca="1">IFERROR(__xludf.DUMMYFUNCTION("""COMPUTED_VALUE"""),-0.628477688989441)</f>
        <v>-0.62847768898944101</v>
      </c>
      <c r="JZ7" s="3">
        <f ca="1">IFERROR(__xludf.DUMMYFUNCTION("""COMPUTED_VALUE"""),-0.64018427616975)</f>
        <v>-0.64018427616975004</v>
      </c>
      <c r="KA7" s="3">
        <f ca="1">IFERROR(__xludf.DUMMYFUNCTION("""COMPUTED_VALUE"""),-0.657094794142729)</f>
        <v>-0.65709479414272898</v>
      </c>
      <c r="KB7" s="3">
        <f ca="1">IFERROR(__xludf.DUMMYFUNCTION("""COMPUTED_VALUE"""),-0.559086017148422)</f>
        <v>-0.55908601714842199</v>
      </c>
      <c r="KC7" s="3">
        <f ca="1">IFERROR(__xludf.DUMMYFUNCTION("""COMPUTED_VALUE"""),-0.526203784648112)</f>
        <v>-0.52620378464811202</v>
      </c>
      <c r="KD7" s="3">
        <f ca="1">IFERROR(__xludf.DUMMYFUNCTION("""COMPUTED_VALUE"""),-0.545331252709122)</f>
        <v>-0.54533125270912197</v>
      </c>
      <c r="KE7" s="3">
        <f ca="1">IFERROR(__xludf.DUMMYFUNCTION("""COMPUTED_VALUE"""),-0.530346174479673)</f>
        <v>-0.53034617447967303</v>
      </c>
      <c r="KF7" s="3">
        <f ca="1">IFERROR(__xludf.DUMMYFUNCTION("""COMPUTED_VALUE"""),-0.622534417260862)</f>
        <v>-0.62253441726086201</v>
      </c>
      <c r="KG7" s="3">
        <f ca="1">IFERROR(__xludf.DUMMYFUNCTION("""COMPUTED_VALUE"""),-0.595305165904765)</f>
        <v>-0.59530516590476501</v>
      </c>
      <c r="KH7" s="3">
        <f ca="1">IFERROR(__xludf.DUMMYFUNCTION("""COMPUTED_VALUE"""),-0.613956034300933)</f>
        <v>-0.61395603430093304</v>
      </c>
      <c r="KI7" s="3">
        <f ca="1">IFERROR(__xludf.DUMMYFUNCTION("""COMPUTED_VALUE"""),-0.535495630372582)</f>
        <v>-0.53549563037258197</v>
      </c>
      <c r="KJ7" s="3">
        <f ca="1">IFERROR(__xludf.DUMMYFUNCTION("""COMPUTED_VALUE"""),-0.550309617174519)</f>
        <v>-0.55030961717451898</v>
      </c>
      <c r="KK7" s="3">
        <f ca="1">IFERROR(__xludf.DUMMYFUNCTION("""COMPUTED_VALUE"""),-0.605095367492004)</f>
        <v>-0.60509536749200399</v>
      </c>
      <c r="KL7" s="3">
        <f ca="1">IFERROR(__xludf.DUMMYFUNCTION("""COMPUTED_VALUE"""),-0.667575771726321)</f>
        <v>-0.66757577172632099</v>
      </c>
      <c r="KM7" s="3">
        <f ca="1">IFERROR(__xludf.DUMMYFUNCTION("""COMPUTED_VALUE"""),-0.678937580450712)</f>
        <v>-0.67893758045071195</v>
      </c>
      <c r="KN7" s="3">
        <f ca="1">IFERROR(__xludf.DUMMYFUNCTION("""COMPUTED_VALUE"""),-0.699194607783088)</f>
        <v>-0.69919460778308795</v>
      </c>
      <c r="KO7" s="3">
        <f ca="1">IFERROR(__xludf.DUMMYFUNCTION("""COMPUTED_VALUE"""),-0.685813418413278)</f>
        <v>-0.68581341841327803</v>
      </c>
      <c r="KP7" s="3">
        <f ca="1">IFERROR(__xludf.DUMMYFUNCTION("""COMPUTED_VALUE"""),-0.607871732679114)</f>
        <v>-0.60787173267911399</v>
      </c>
      <c r="KQ7" s="3">
        <f ca="1">IFERROR(__xludf.DUMMYFUNCTION("""COMPUTED_VALUE"""),-0.622597852999911)</f>
        <v>-0.62259785299991099</v>
      </c>
      <c r="KR7" s="3">
        <f ca="1">IFERROR(__xludf.DUMMYFUNCTION("""COMPUTED_VALUE"""),-0.672086071548619)</f>
        <v>-0.67208607154861899</v>
      </c>
      <c r="KS7" s="3">
        <f ca="1">IFERROR(__xludf.DUMMYFUNCTION("""COMPUTED_VALUE"""),-0.735082029802883)</f>
        <v>-0.73508202980288295</v>
      </c>
      <c r="KT7" s="3">
        <f ca="1">IFERROR(__xludf.DUMMYFUNCTION("""COMPUTED_VALUE"""),-0.727795550803899)</f>
        <v>-0.72779555080389902</v>
      </c>
      <c r="KU7" s="3">
        <f ca="1">IFERROR(__xludf.DUMMYFUNCTION("""COMPUTED_VALUE"""),-0.739306698835382)</f>
        <v>-0.73930669883538203</v>
      </c>
      <c r="KV7" s="3">
        <f ca="1">IFERROR(__xludf.DUMMYFUNCTION("""COMPUTED_VALUE"""),-0.71559874740084)</f>
        <v>-0.71559874740083995</v>
      </c>
      <c r="KW7" s="3">
        <f ca="1">IFERROR(__xludf.DUMMYFUNCTION("""COMPUTED_VALUE"""),-0.667027984775959)</f>
        <v>-0.66702798477595904</v>
      </c>
      <c r="KX7" s="3">
        <f ca="1">IFERROR(__xludf.DUMMYFUNCTION("""COMPUTED_VALUE"""),-0.692204855132467)</f>
        <v>-0.69220485513246699</v>
      </c>
      <c r="KY7" s="3">
        <f ca="1">IFERROR(__xludf.DUMMYFUNCTION("""COMPUTED_VALUE"""),-0.736843182877639)</f>
        <v>-0.73684318287763895</v>
      </c>
      <c r="KZ7" s="3">
        <f ca="1">IFERROR(__xludf.DUMMYFUNCTION("""COMPUTED_VALUE"""),-0.741730833443754)</f>
        <v>-0.74173083344375401</v>
      </c>
      <c r="LA7" s="3">
        <f ca="1">IFERROR(__xludf.DUMMYFUNCTION("""COMPUTED_VALUE"""),-0.762843056124102)</f>
        <v>-0.76284305612410197</v>
      </c>
      <c r="LB7" s="3">
        <f ca="1">IFERROR(__xludf.DUMMYFUNCTION("""COMPUTED_VALUE"""),-0.766375399998596)</f>
        <v>-0.76637539999859605</v>
      </c>
      <c r="LC7" s="3">
        <f ca="1">IFERROR(__xludf.DUMMYFUNCTION("""COMPUTED_VALUE"""),-0.707143037747839)</f>
        <v>-0.70714303774783904</v>
      </c>
      <c r="LD7" s="3">
        <f ca="1">IFERROR(__xludf.DUMMYFUNCTION("""COMPUTED_VALUE"""),-0.65472602840783)</f>
        <v>-0.65472602840783001</v>
      </c>
      <c r="LE7" s="3">
        <f ca="1">IFERROR(__xludf.DUMMYFUNCTION("""COMPUTED_VALUE"""),-0.675955330738908)</f>
        <v>-0.67595533073890801</v>
      </c>
      <c r="LF7" s="3">
        <f ca="1">IFERROR(__xludf.DUMMYFUNCTION("""COMPUTED_VALUE"""),-0.745521559466076)</f>
        <v>-0.74552155946607601</v>
      </c>
      <c r="LG7" s="3">
        <f ca="1">IFERROR(__xludf.DUMMYFUNCTION("""COMPUTED_VALUE"""),-0.756980968219053)</f>
        <v>-0.75698096821905303</v>
      </c>
      <c r="LH7" s="3">
        <f ca="1">IFERROR(__xludf.DUMMYFUNCTION("""COMPUTED_VALUE"""),-0.747706087649756)</f>
        <v>-0.74770608764975599</v>
      </c>
      <c r="LI7" s="3">
        <f ca="1">IFERROR(__xludf.DUMMYFUNCTION("""COMPUTED_VALUE"""),-0.763442406408837)</f>
        <v>-0.76344240640883698</v>
      </c>
      <c r="LJ7" s="3">
        <f ca="1">IFERROR(__xludf.DUMMYFUNCTION("""COMPUTED_VALUE"""),-0.787058499228124)</f>
        <v>-0.78705849922812399</v>
      </c>
      <c r="LK7" s="3">
        <f ca="1">IFERROR(__xludf.DUMMYFUNCTION("""COMPUTED_VALUE"""),-0.718382487953507)</f>
        <v>-0.71838248795350701</v>
      </c>
      <c r="LL7" s="3">
        <f ca="1">IFERROR(__xludf.DUMMYFUNCTION("""COMPUTED_VALUE"""),-0.73129588572188)</f>
        <v>-0.73129588572187998</v>
      </c>
      <c r="LM7" s="3">
        <f ca="1">IFERROR(__xludf.DUMMYFUNCTION("""COMPUTED_VALUE"""),-0.757609137502264)</f>
        <v>-0.757609137502264</v>
      </c>
      <c r="LN7" s="3">
        <f ca="1">IFERROR(__xludf.DUMMYFUNCTION("""COMPUTED_VALUE"""),-0.782185424687065)</f>
        <v>-0.78218542468706498</v>
      </c>
      <c r="LO7" s="3">
        <f ca="1">IFERROR(__xludf.DUMMYFUNCTION("""COMPUTED_VALUE"""),-0.795006665361533)</f>
        <v>-0.79500666536153297</v>
      </c>
      <c r="LP7" s="3">
        <f ca="1">IFERROR(__xludf.DUMMYFUNCTION("""COMPUTED_VALUE"""),-0.79875231460236)</f>
        <v>-0.79875231460235996</v>
      </c>
      <c r="LQ7" s="3">
        <f ca="1">IFERROR(__xludf.DUMMYFUNCTION("""COMPUTED_VALUE"""),-0.753721928731786)</f>
        <v>-0.75372192873178601</v>
      </c>
      <c r="LR7" s="3">
        <f ca="1">IFERROR(__xludf.DUMMYFUNCTION("""COMPUTED_VALUE"""),-0.727846303801585)</f>
        <v>-0.72784630380158499</v>
      </c>
      <c r="LS7" s="3">
        <f ca="1">IFERROR(__xludf.DUMMYFUNCTION("""COMPUTED_VALUE"""),-0.740485060933784)</f>
        <v>-0.74048506093378397</v>
      </c>
      <c r="LT7" s="3">
        <f ca="1">IFERROR(__xludf.DUMMYFUNCTION("""COMPUTED_VALUE"""),-0.795109242265162)</f>
        <v>-0.795109242265162</v>
      </c>
      <c r="LU7" s="3">
        <f ca="1">IFERROR(__xludf.DUMMYFUNCTION("""COMPUTED_VALUE"""),-0.807603128407923)</f>
        <v>-0.80760312840792303</v>
      </c>
      <c r="LV7" s="3">
        <f ca="1">IFERROR(__xludf.DUMMYFUNCTION("""COMPUTED_VALUE"""),-0.812171945794013)</f>
        <v>-0.81217194579401297</v>
      </c>
      <c r="LW7" s="3">
        <f ca="1">IFERROR(__xludf.DUMMYFUNCTION("""COMPUTED_VALUE"""),-0.81595188207708)</f>
        <v>-0.81595188207708003</v>
      </c>
      <c r="LX7" s="3">
        <f ca="1">IFERROR(__xludf.DUMMYFUNCTION("""COMPUTED_VALUE"""),-0.817963856960202)</f>
        <v>-0.81796385696020202</v>
      </c>
      <c r="LY7" s="3">
        <f ca="1">IFERROR(__xludf.DUMMYFUNCTION("""COMPUTED_VALUE"""),-0.735068354515549)</f>
        <v>-0.73506835451554897</v>
      </c>
      <c r="LZ7" s="3">
        <f ca="1">IFERROR(__xludf.DUMMYFUNCTION("""COMPUTED_VALUE"""),-0.777108049030864)</f>
        <v>-0.77710804903086395</v>
      </c>
      <c r="MA7" s="3">
        <f ca="1">IFERROR(__xludf.DUMMYFUNCTION("""COMPUTED_VALUE"""),-0.80967956811147)</f>
        <v>-0.80967956811147002</v>
      </c>
      <c r="MB7" s="3">
        <f ca="1">IFERROR(__xludf.DUMMYFUNCTION("""COMPUTED_VALUE"""),-0.823198605361413)</f>
        <v>-0.82319860536141298</v>
      </c>
      <c r="MC7" s="3">
        <f ca="1">IFERROR(__xludf.DUMMYFUNCTION("""COMPUTED_VALUE"""),-0.819659632140733)</f>
        <v>-0.81965963214073301</v>
      </c>
      <c r="MD7" s="3">
        <f ca="1">IFERROR(__xludf.DUMMYFUNCTION("""COMPUTED_VALUE"""),-0.810423594275602)</f>
        <v>-0.81042359427560196</v>
      </c>
      <c r="ME7" s="3">
        <f ca="1">IFERROR(__xludf.DUMMYFUNCTION("""COMPUTED_VALUE"""),-0.794612356145539)</f>
        <v>-0.79461235614553904</v>
      </c>
      <c r="MF7" s="3">
        <f ca="1">IFERROR(__xludf.DUMMYFUNCTION("""COMPUTED_VALUE"""),-0.733518774465445)</f>
        <v>-0.733518774465445</v>
      </c>
      <c r="MG7" s="3">
        <f ca="1">IFERROR(__xludf.DUMMYFUNCTION("""COMPUTED_VALUE"""),-0.766799243738215)</f>
        <v>-0.76679924373821495</v>
      </c>
      <c r="MH7" s="3">
        <f ca="1">IFERROR(__xludf.DUMMYFUNCTION("""COMPUTED_VALUE"""),-0.825319641209909)</f>
        <v>-0.82531964120990897</v>
      </c>
      <c r="MI7" s="3">
        <f ca="1">IFERROR(__xludf.DUMMYFUNCTION("""COMPUTED_VALUE"""),-0.840190198547999)</f>
        <v>-0.84019019854799903</v>
      </c>
      <c r="MJ7" s="3">
        <f ca="1">IFERROR(__xludf.DUMMYFUNCTION("""COMPUTED_VALUE"""),-0.825636877036539)</f>
        <v>-0.82563687703653899</v>
      </c>
      <c r="MK7" s="3">
        <f ca="1">IFERROR(__xludf.DUMMYFUNCTION("""COMPUTED_VALUE"""),-0.829978470521726)</f>
        <v>-0.82997847052172602</v>
      </c>
      <c r="ML7" s="3">
        <f ca="1">IFERROR(__xludf.DUMMYFUNCTION("""COMPUTED_VALUE"""),-0.838495312909776)</f>
        <v>-0.83849531290977597</v>
      </c>
      <c r="MM7" s="3">
        <f ca="1">IFERROR(__xludf.DUMMYFUNCTION("""COMPUTED_VALUE"""),-0.779371579866871)</f>
        <v>-0.779371579866871</v>
      </c>
      <c r="MN7" s="3">
        <f ca="1">IFERROR(__xludf.DUMMYFUNCTION("""COMPUTED_VALUE"""),-0.773597276333862)</f>
        <v>-0.77359727633386199</v>
      </c>
      <c r="MO7" s="3">
        <f ca="1">IFERROR(__xludf.DUMMYFUNCTION("""COMPUTED_VALUE"""),-0.832645331367818)</f>
        <v>-0.83264533136781804</v>
      </c>
      <c r="MP7" s="3">
        <f ca="1">IFERROR(__xludf.DUMMYFUNCTION("""COMPUTED_VALUE"""),-0.830798546673279)</f>
        <v>-0.83079854667327901</v>
      </c>
      <c r="MQ7" s="3">
        <f ca="1">IFERROR(__xludf.DUMMYFUNCTION("""COMPUTED_VALUE"""),-0.836127390741231)</f>
        <v>-0.83612739074123099</v>
      </c>
      <c r="MR7" s="3">
        <f ca="1">IFERROR(__xludf.DUMMYFUNCTION("""COMPUTED_VALUE"""),-0.841242285314014)</f>
        <v>-0.84124228531401402</v>
      </c>
      <c r="MS7" s="3">
        <f ca="1">IFERROR(__xludf.DUMMYFUNCTION("""COMPUTED_VALUE"""),-0.826268069418797)</f>
        <v>-0.82626806941879705</v>
      </c>
      <c r="MT7" s="3">
        <f ca="1">IFERROR(__xludf.DUMMYFUNCTION("""COMPUTED_VALUE"""),-0.771413193379278)</f>
        <v>-0.77141319337927805</v>
      </c>
      <c r="MU7" s="3">
        <f ca="1">IFERROR(__xludf.DUMMYFUNCTION("""COMPUTED_VALUE"""),-0.813910583921531)</f>
        <v>-0.81391058392153104</v>
      </c>
      <c r="MV7" s="3">
        <f ca="1">IFERROR(__xludf.DUMMYFUNCTION("""COMPUTED_VALUE"""),-0.82363634391518)</f>
        <v>-0.82363634391518004</v>
      </c>
      <c r="MW7" s="3">
        <f ca="1">IFERROR(__xludf.DUMMYFUNCTION("""COMPUTED_VALUE"""),-0.839056571660528)</f>
        <v>-0.83905657166052805</v>
      </c>
      <c r="MX7" s="3">
        <f ca="1">IFERROR(__xludf.DUMMYFUNCTION("""COMPUTED_VALUE"""),-0.840604312459831)</f>
        <v>-0.84060431245983103</v>
      </c>
      <c r="MY7" s="3">
        <f ca="1">IFERROR(__xludf.DUMMYFUNCTION("""COMPUTED_VALUE"""),-0.832405176990319)</f>
        <v>-0.83240517699031902</v>
      </c>
      <c r="MZ7" s="3">
        <f ca="1">IFERROR(__xludf.DUMMYFUNCTION("""COMPUTED_VALUE"""),-0.836121085693722)</f>
        <v>-0.83612108569372201</v>
      </c>
      <c r="NA7" s="3">
        <f ca="1">IFERROR(__xludf.DUMMYFUNCTION("""COMPUTED_VALUE"""),-0.784254495880084)</f>
        <v>-0.784254495880084</v>
      </c>
      <c r="NB7" s="3">
        <f ca="1">IFERROR(__xludf.DUMMYFUNCTION("""COMPUTED_VALUE"""),-0.78280967039701)</f>
        <v>-0.78280967039700999</v>
      </c>
      <c r="NC7" s="3">
        <f ca="1">IFERROR(__xludf.DUMMYFUNCTION("""COMPUTED_VALUE"""),-0.824119304366351)</f>
        <v>-0.82411930436635095</v>
      </c>
      <c r="ND7" s="3">
        <f ca="1">IFERROR(__xludf.DUMMYFUNCTION("""COMPUTED_VALUE"""),-0.840371382059126)</f>
        <v>-0.84037138205912598</v>
      </c>
      <c r="NE7" s="3">
        <f ca="1">IFERROR(__xludf.DUMMYFUNCTION("""COMPUTED_VALUE"""),-0.829862883495715)</f>
        <v>-0.82986288349571502</v>
      </c>
      <c r="NF7" s="3">
        <f ca="1">IFERROR(__xludf.DUMMYFUNCTION("""COMPUTED_VALUE"""),-0.823713995489205)</f>
        <v>-0.82371399548920499</v>
      </c>
      <c r="NG7" s="3">
        <f ca="1">IFERROR(__xludf.DUMMYFUNCTION("""COMPUTED_VALUE"""),-0.797520777432012)</f>
        <v>-0.797520777432012</v>
      </c>
      <c r="NH7" s="3">
        <f ca="1">IFERROR(__xludf.DUMMYFUNCTION("""COMPUTED_VALUE"""),-0.756194934143521)</f>
        <v>-0.75619493414352101</v>
      </c>
      <c r="NI7" s="3">
        <f ca="1">IFERROR(__xludf.DUMMYFUNCTION("""COMPUTED_VALUE"""),-0.769145556922992)</f>
        <v>-0.76914555692299202</v>
      </c>
      <c r="NJ7" s="3">
        <f ca="1">IFERROR(__xludf.DUMMYFUNCTION("""COMPUTED_VALUE"""),-0.821181904272108)</f>
        <v>-0.82118190427210802</v>
      </c>
      <c r="NK7" s="3">
        <f ca="1">IFERROR(__xludf.DUMMYFUNCTION("""COMPUTED_VALUE"""),-0.825903893371732)</f>
        <v>-0.82590389337173198</v>
      </c>
      <c r="NL7" s="3">
        <f ca="1">IFERROR(__xludf.DUMMYFUNCTION("""COMPUTED_VALUE"""),-0.80677845736506)</f>
        <v>-0.80677845736506004</v>
      </c>
      <c r="NM7" s="3">
        <f ca="1">IFERROR(__xludf.DUMMYFUNCTION("""COMPUTED_VALUE"""),-0.804900708855001)</f>
        <v>-0.80490070885500098</v>
      </c>
      <c r="NN7" s="3">
        <f ca="1">IFERROR(__xludf.DUMMYFUNCTION("""COMPUTED_VALUE"""),-0.801612925276076)</f>
        <v>-0.80161292527607597</v>
      </c>
      <c r="NO7" s="3">
        <f ca="1">IFERROR(__xludf.DUMMYFUNCTION("""COMPUTED_VALUE"""),-0.747931572164015)</f>
        <v>-0.74793157216401496</v>
      </c>
      <c r="NP7" s="3">
        <f ca="1">IFERROR(__xludf.DUMMYFUNCTION("""COMPUTED_VALUE"""),-0.746028436818444)</f>
        <v>-0.746028436818444</v>
      </c>
      <c r="NQ7" s="3">
        <f ca="1">IFERROR(__xludf.DUMMYFUNCTION("""COMPUTED_VALUE"""),-0.783593592122641)</f>
        <v>-0.78359359212264101</v>
      </c>
      <c r="NR7" s="3">
        <f ca="1">IFERROR(__xludf.DUMMYFUNCTION("""COMPUTED_VALUE"""),-0.78589174140202)</f>
        <v>-0.78589174140202001</v>
      </c>
      <c r="NS7" s="3">
        <f ca="1">IFERROR(__xludf.DUMMYFUNCTION("""COMPUTED_VALUE"""),-0.784605807075231)</f>
        <v>-0.78460580707523098</v>
      </c>
      <c r="NT7" s="3">
        <f ca="1">IFERROR(__xludf.DUMMYFUNCTION("""COMPUTED_VALUE"""),-0.731997976123312)</f>
        <v>-0.73199797612331197</v>
      </c>
      <c r="NU7" s="3">
        <f ca="1">IFERROR(__xludf.DUMMYFUNCTION("""COMPUTED_VALUE"""),-0.737388745561957)</f>
        <v>-0.73738874556195699</v>
      </c>
      <c r="NV7" s="3">
        <f ca="1">IFERROR(__xludf.DUMMYFUNCTION("""COMPUTED_VALUE"""),-0.640102980241052)</f>
        <v>-0.64010298024105206</v>
      </c>
      <c r="NW7" s="3">
        <f ca="1">IFERROR(__xludf.DUMMYFUNCTION("""COMPUTED_VALUE"""),-0.641240513842606)</f>
        <v>-0.64124051384260605</v>
      </c>
      <c r="NX7" s="3">
        <f ca="1">IFERROR(__xludf.DUMMYFUNCTION("""COMPUTED_VALUE"""),-0.652792699383302)</f>
        <v>-0.65279269938330198</v>
      </c>
      <c r="NY7" s="3">
        <f ca="1">IFERROR(__xludf.DUMMYFUNCTION("""COMPUTED_VALUE"""),-0.668917859701556)</f>
        <v>-0.66891785970155604</v>
      </c>
      <c r="NZ7" s="3">
        <f ca="1">IFERROR(__xludf.DUMMYFUNCTION("""COMPUTED_VALUE"""),-0.595811334572762)</f>
        <v>-0.59581133457276203</v>
      </c>
      <c r="OA7" s="3">
        <f ca="1">IFERROR(__xludf.DUMMYFUNCTION("""COMPUTED_VALUE"""),-0.567189437023494)</f>
        <v>-0.567189437023494</v>
      </c>
      <c r="OB7" s="3">
        <f ca="1">IFERROR(__xludf.DUMMYFUNCTION("""COMPUTED_VALUE"""),-0.411703073744054)</f>
        <v>-0.41170307374405402</v>
      </c>
      <c r="OC7" s="3">
        <f ca="1">IFERROR(__xludf.DUMMYFUNCTION("""COMPUTED_VALUE"""),-0.319302930370026)</f>
        <v>-0.31930293037002599</v>
      </c>
      <c r="OD7" s="3">
        <f ca="1">IFERROR(__xludf.DUMMYFUNCTION("""COMPUTED_VALUE"""),-0.332193185521647)</f>
        <v>-0.33219318552164701</v>
      </c>
      <c r="OE7" s="3">
        <f ca="1">IFERROR(__xludf.DUMMYFUNCTION("""COMPUTED_VALUE"""),-0.307618462319313)</f>
        <v>-0.307618462319313</v>
      </c>
      <c r="OF7" s="3">
        <f ca="1">IFERROR(__xludf.DUMMYFUNCTION("""COMPUTED_VALUE"""),-0.203326097273678)</f>
        <v>-0.20332609727367801</v>
      </c>
      <c r="OG7" s="3">
        <f ca="1">IFERROR(__xludf.DUMMYFUNCTION("""COMPUTED_VALUE"""),-0.118010273566183)</f>
        <v>-0.118010273566183</v>
      </c>
      <c r="OH7" s="3">
        <f ca="1">IFERROR(__xludf.DUMMYFUNCTION("""COMPUTED_VALUE"""),-0.118913117970779)</f>
        <v>-0.118913117970779</v>
      </c>
      <c r="OI7" s="3">
        <f ca="1">IFERROR(__xludf.DUMMYFUNCTION("""COMPUTED_VALUE"""),-0.0199505113528581)</f>
        <v>-1.9950511352858101E-2</v>
      </c>
      <c r="OJ7" s="3">
        <f ca="1">IFERROR(__xludf.DUMMYFUNCTION("""COMPUTED_VALUE"""),-0.0294821395253872)</f>
        <v>-2.94821395253872E-2</v>
      </c>
      <c r="OK7" s="3">
        <f ca="1">IFERROR(__xludf.DUMMYFUNCTION("""COMPUTED_VALUE"""),0.00667303394779494)</f>
        <v>6.6730339477949398E-3</v>
      </c>
      <c r="OL7" s="3">
        <f ca="1">IFERROR(__xludf.DUMMYFUNCTION("""COMPUTED_VALUE"""),-0.0657244577263943)</f>
        <v>-6.5724457726394306E-2</v>
      </c>
      <c r="OM7" s="3">
        <f ca="1">IFERROR(__xludf.DUMMYFUNCTION("""COMPUTED_VALUE"""),-0.0327188813004457)</f>
        <v>-3.2718881300445701E-2</v>
      </c>
      <c r="ON7" s="3">
        <f ca="1">IFERROR(__xludf.DUMMYFUNCTION("""COMPUTED_VALUE"""),-0.0540400902040024)</f>
        <v>-5.4040090204002397E-2</v>
      </c>
      <c r="OO7" s="3">
        <f ca="1">IFERROR(__xludf.DUMMYFUNCTION("""COMPUTED_VALUE"""),-0.0506031790213886)</f>
        <v>-5.0603179021388597E-2</v>
      </c>
      <c r="OP7" s="3">
        <f ca="1">IFERROR(__xludf.DUMMYFUNCTION("""COMPUTED_VALUE"""),0.00201434806702871)</f>
        <v>2.0143480670287098E-3</v>
      </c>
      <c r="OQ7" s="3">
        <f ca="1">IFERROR(__xludf.DUMMYFUNCTION("""COMPUTED_VALUE"""),0.094164562923519)</f>
        <v>9.4164562923519005E-2</v>
      </c>
      <c r="OR7" s="3">
        <f ca="1">IFERROR(__xludf.DUMMYFUNCTION("""COMPUTED_VALUE"""),0.0976052777759532)</f>
        <v>9.7605277775953195E-2</v>
      </c>
      <c r="OS7" s="3">
        <f ca="1">IFERROR(__xludf.DUMMYFUNCTION("""COMPUTED_VALUE"""),-0.00169497108121208)</f>
        <v>-1.69497108121208E-3</v>
      </c>
      <c r="OT7" s="3">
        <f ca="1">IFERROR(__xludf.DUMMYFUNCTION("""COMPUTED_VALUE"""),0.00500395834724831)</f>
        <v>5.0039583472483102E-3</v>
      </c>
      <c r="OU7" s="3">
        <f ca="1">IFERROR(__xludf.DUMMYFUNCTION("""COMPUTED_VALUE"""),-0.0116214186838233)</f>
        <v>-1.16214186838233E-2</v>
      </c>
      <c r="OV7" s="3">
        <f ca="1">IFERROR(__xludf.DUMMYFUNCTION("""COMPUTED_VALUE"""),-0.0209174486496667)</f>
        <v>-2.0917448649666701E-2</v>
      </c>
      <c r="OW7" s="3">
        <f ca="1">IFERROR(__xludf.DUMMYFUNCTION("""COMPUTED_VALUE"""),0.182994162851209)</f>
        <v>0.18299416285120901</v>
      </c>
      <c r="OX7" s="3">
        <f ca="1">IFERROR(__xludf.DUMMYFUNCTION("""COMPUTED_VALUE"""),0.031096193247369)</f>
        <v>3.1096193247369001E-2</v>
      </c>
      <c r="OY7" s="3">
        <f ca="1">IFERROR(__xludf.DUMMYFUNCTION("""COMPUTED_VALUE"""),0.0917361711712254)</f>
        <v>9.17361711712254E-2</v>
      </c>
      <c r="OZ7" s="3">
        <f ca="1">IFERROR(__xludf.DUMMYFUNCTION("""COMPUTED_VALUE"""),-0.0930664537878929)</f>
        <v>-9.3066453787892897E-2</v>
      </c>
      <c r="PA7" s="3">
        <f ca="1">IFERROR(__xludf.DUMMYFUNCTION("""COMPUTED_VALUE"""),-0.063472441740356)</f>
        <v>-6.3472441740356003E-2</v>
      </c>
      <c r="PB7" s="3">
        <f ca="1">IFERROR(__xludf.DUMMYFUNCTION("""COMPUTED_VALUE"""),-0.0535491294772992)</f>
        <v>-5.3549129477299201E-2</v>
      </c>
      <c r="PC7" s="3">
        <f ca="1">IFERROR(__xludf.DUMMYFUNCTION("""COMPUTED_VALUE"""),-0.090508129997489)</f>
        <v>-9.0508129997489001E-2</v>
      </c>
      <c r="PD7" s="3">
        <f ca="1">IFERROR(__xludf.DUMMYFUNCTION("""COMPUTED_VALUE"""),-0.198099453465338)</f>
        <v>-0.198099453465338</v>
      </c>
      <c r="PE7" s="3">
        <f ca="1">IFERROR(__xludf.DUMMYFUNCTION("""COMPUTED_VALUE"""),0.0793688268236334)</f>
        <v>7.9368826823633401E-2</v>
      </c>
      <c r="PF7" s="3">
        <f ca="1">IFERROR(__xludf.DUMMYFUNCTION("""COMPUTED_VALUE"""),0.0204402161275853)</f>
        <v>2.0440216127585301E-2</v>
      </c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</row>
    <row r="8" spans="1:594" ht="15.75" customHeight="1">
      <c r="A8" s="1" t="str">
        <f ca="1">IFERROR(__xludf.DUMMYFUNCTION("""COMPUTED_VALUE"""),"Brisbane")</f>
        <v>Brisbane</v>
      </c>
      <c r="B8" s="3">
        <f ca="1">IFERROR(__xludf.DUMMYFUNCTION("""COMPUTED_VALUE"""),0.297010524602468)</f>
        <v>0.29701052460246802</v>
      </c>
      <c r="C8" s="3">
        <f ca="1">IFERROR(__xludf.DUMMYFUNCTION("""COMPUTED_VALUE"""),0.183182789921939)</f>
        <v>0.18318278992193901</v>
      </c>
      <c r="D8" s="3">
        <f ca="1">IFERROR(__xludf.DUMMYFUNCTION("""COMPUTED_VALUE"""),0.125179201881838)</f>
        <v>0.12517920188183801</v>
      </c>
      <c r="E8" s="3">
        <f ca="1">IFERROR(__xludf.DUMMYFUNCTION("""COMPUTED_VALUE"""),0.128250587103008)</f>
        <v>0.12825058710300799</v>
      </c>
      <c r="F8" s="3">
        <f ca="1">IFERROR(__xludf.DUMMYFUNCTION("""COMPUTED_VALUE"""),0.109197896143873)</f>
        <v>0.109197896143873</v>
      </c>
      <c r="G8" s="3">
        <f ca="1">IFERROR(__xludf.DUMMYFUNCTION("""COMPUTED_VALUE"""),-0.0942486649051941)</f>
        <v>-9.4248664905194096E-2</v>
      </c>
      <c r="H8" s="3">
        <f ca="1">IFERROR(__xludf.DUMMYFUNCTION("""COMPUTED_VALUE"""),-0.365214534480932)</f>
        <v>-0.365214534480932</v>
      </c>
      <c r="I8" s="3">
        <f ca="1">IFERROR(__xludf.DUMMYFUNCTION("""COMPUTED_VALUE"""),-0.282226486175568)</f>
        <v>-0.282226486175568</v>
      </c>
      <c r="J8" s="3">
        <f ca="1">IFERROR(__xludf.DUMMYFUNCTION("""COMPUTED_VALUE"""),-0.393851810750013)</f>
        <v>-0.39385181075001302</v>
      </c>
      <c r="K8" s="3">
        <f ca="1">IFERROR(__xludf.DUMMYFUNCTION("""COMPUTED_VALUE"""),-0.520870082131419)</f>
        <v>-0.52087008213141905</v>
      </c>
      <c r="L8" s="3">
        <f ca="1">IFERROR(__xludf.DUMMYFUNCTION("""COMPUTED_VALUE"""),-0.486935039275773)</f>
        <v>-0.48693503927577297</v>
      </c>
      <c r="M8" s="3">
        <f ca="1">IFERROR(__xludf.DUMMYFUNCTION("""COMPUTED_VALUE"""),-0.519141451417034)</f>
        <v>-0.51914145141703405</v>
      </c>
      <c r="N8" s="3">
        <f ca="1">IFERROR(__xludf.DUMMYFUNCTION("""COMPUTED_VALUE"""),-0.295919056436888)</f>
        <v>-0.29591905643688798</v>
      </c>
      <c r="O8" s="3">
        <f ca="1">IFERROR(__xludf.DUMMYFUNCTION("""COMPUTED_VALUE"""),0.169893735313776)</f>
        <v>0.169893735313776</v>
      </c>
      <c r="P8" s="3">
        <f ca="1">IFERROR(__xludf.DUMMYFUNCTION("""COMPUTED_VALUE"""),0.259171710713849)</f>
        <v>0.25917171071384898</v>
      </c>
      <c r="Q8" s="3">
        <f ca="1">IFERROR(__xludf.DUMMYFUNCTION("""COMPUTED_VALUE"""),0.188473706275895)</f>
        <v>0.18847370627589499</v>
      </c>
      <c r="R8" s="3">
        <f ca="1">IFERROR(__xludf.DUMMYFUNCTION("""COMPUTED_VALUE"""),0.243802831601113)</f>
        <v>0.24380283160111299</v>
      </c>
      <c r="S8" s="3">
        <f ca="1">IFERROR(__xludf.DUMMYFUNCTION("""COMPUTED_VALUE"""),0.271990217640132)</f>
        <v>0.27199021764013198</v>
      </c>
      <c r="T8" s="3">
        <f ca="1">IFERROR(__xludf.DUMMYFUNCTION("""COMPUTED_VALUE"""),0.300571331770093)</f>
        <v>0.30057133177009299</v>
      </c>
      <c r="U8" s="3">
        <f ca="1">IFERROR(__xludf.DUMMYFUNCTION("""COMPUTED_VALUE"""),0.0353178509890002)</f>
        <v>3.5317850989000199E-2</v>
      </c>
      <c r="V8" s="3">
        <f ca="1">IFERROR(__xludf.DUMMYFUNCTION("""COMPUTED_VALUE"""),-0.0841116644337039)</f>
        <v>-8.4111664433703895E-2</v>
      </c>
      <c r="W8" s="3">
        <f ca="1">IFERROR(__xludf.DUMMYFUNCTION("""COMPUTED_VALUE"""),0.124462597764364)</f>
        <v>0.124462597764364</v>
      </c>
      <c r="X8" s="3">
        <f ca="1">IFERROR(__xludf.DUMMYFUNCTION("""COMPUTED_VALUE"""),0.142872594479244)</f>
        <v>0.142872594479244</v>
      </c>
      <c r="Y8" s="3">
        <f ca="1">IFERROR(__xludf.DUMMYFUNCTION("""COMPUTED_VALUE"""),0.0578213063289279)</f>
        <v>5.7821306328927902E-2</v>
      </c>
      <c r="Z8" s="3">
        <f ca="1">IFERROR(__xludf.DUMMYFUNCTION("""COMPUTED_VALUE"""),0.0808237228549462)</f>
        <v>8.0823722854946198E-2</v>
      </c>
      <c r="AA8" s="3">
        <f ca="1">IFERROR(__xludf.DUMMYFUNCTION("""COMPUTED_VALUE"""),0.215341977997016)</f>
        <v>0.21534197799701599</v>
      </c>
      <c r="AB8" s="3">
        <f ca="1">IFERROR(__xludf.DUMMYFUNCTION("""COMPUTED_VALUE"""),0.1657376015811)</f>
        <v>0.16573760158110001</v>
      </c>
      <c r="AC8" s="3">
        <f ca="1">IFERROR(__xludf.DUMMYFUNCTION("""COMPUTED_VALUE"""),-0.0220503778201569)</f>
        <v>-2.20503778201569E-2</v>
      </c>
      <c r="AD8" s="3">
        <f ca="1">IFERROR(__xludf.DUMMYFUNCTION("""COMPUTED_VALUE"""),0.180920820389582)</f>
        <v>0.18092082038958199</v>
      </c>
      <c r="AE8" s="3">
        <f ca="1">IFERROR(__xludf.DUMMYFUNCTION("""COMPUTED_VALUE"""),0.125442148312589)</f>
        <v>0.12544214831258901</v>
      </c>
      <c r="AF8" s="3">
        <f ca="1">IFERROR(__xludf.DUMMYFUNCTION("""COMPUTED_VALUE"""),0.0862940341270135)</f>
        <v>8.6294034127013503E-2</v>
      </c>
      <c r="AG8" s="3">
        <f ca="1">IFERROR(__xludf.DUMMYFUNCTION("""COMPUTED_VALUE"""),0.101620070025593)</f>
        <v>0.10162007002559301</v>
      </c>
      <c r="AH8" s="3">
        <f ca="1">IFERROR(__xludf.DUMMYFUNCTION("""COMPUTED_VALUE"""),0.205617663159559)</f>
        <v>0.20561766315955901</v>
      </c>
      <c r="AI8" s="3">
        <f ca="1">IFERROR(__xludf.DUMMYFUNCTION("""COMPUTED_VALUE"""),0.171124953804545)</f>
        <v>0.17112495380454501</v>
      </c>
      <c r="AJ8" s="3">
        <f ca="1">IFERROR(__xludf.DUMMYFUNCTION("""COMPUTED_VALUE"""),0.120075414307288)</f>
        <v>0.12007541430728801</v>
      </c>
      <c r="AK8" s="3">
        <f ca="1">IFERROR(__xludf.DUMMYFUNCTION("""COMPUTED_VALUE"""),0.161731375757752)</f>
        <v>0.16173137575775201</v>
      </c>
      <c r="AL8" s="3">
        <f ca="1">IFERROR(__xludf.DUMMYFUNCTION("""COMPUTED_VALUE"""),0.180773909208381)</f>
        <v>0.18077390920838099</v>
      </c>
      <c r="AM8" s="3">
        <f ca="1">IFERROR(__xludf.DUMMYFUNCTION("""COMPUTED_VALUE"""),0.0320818433823641)</f>
        <v>3.2081843382364097E-2</v>
      </c>
      <c r="AN8" s="3">
        <f ca="1">IFERROR(__xludf.DUMMYFUNCTION("""COMPUTED_VALUE"""),-0.0336527973867533)</f>
        <v>-3.3652797386753301E-2</v>
      </c>
      <c r="AO8" s="3">
        <f ca="1">IFERROR(__xludf.DUMMYFUNCTION("""COMPUTED_VALUE"""),0.0864924315700401)</f>
        <v>8.6492431570040093E-2</v>
      </c>
      <c r="AP8" s="3">
        <f ca="1">IFERROR(__xludf.DUMMYFUNCTION("""COMPUTED_VALUE"""),0.117890827993496)</f>
        <v>0.117890827993496</v>
      </c>
      <c r="AQ8" s="3">
        <f ca="1">IFERROR(__xludf.DUMMYFUNCTION("""COMPUTED_VALUE"""),-0.051049289761907)</f>
        <v>-5.1049289761907E-2</v>
      </c>
      <c r="AR8" s="3">
        <f ca="1">IFERROR(__xludf.DUMMYFUNCTION("""COMPUTED_VALUE"""),0.12486066632756)</f>
        <v>0.12486066632756</v>
      </c>
      <c r="AS8" s="3">
        <f ca="1">IFERROR(__xludf.DUMMYFUNCTION("""COMPUTED_VALUE"""),0.193179893137372)</f>
        <v>0.19317989313737199</v>
      </c>
      <c r="AT8" s="3">
        <f ca="1">IFERROR(__xludf.DUMMYFUNCTION("""COMPUTED_VALUE"""),0.0251091209308838)</f>
        <v>2.5109120930883799E-2</v>
      </c>
      <c r="AU8" s="3">
        <f ca="1">IFERROR(__xludf.DUMMYFUNCTION("""COMPUTED_VALUE"""),-0.0212533838791659)</f>
        <v>-2.12533838791659E-2</v>
      </c>
      <c r="AV8" s="3">
        <f ca="1">IFERROR(__xludf.DUMMYFUNCTION("""COMPUTED_VALUE"""),0.0248721666372964)</f>
        <v>2.4872166637296401E-2</v>
      </c>
      <c r="AW8" s="3">
        <f ca="1">IFERROR(__xludf.DUMMYFUNCTION("""COMPUTED_VALUE"""),0.0900808613958115)</f>
        <v>9.0080861395811507E-2</v>
      </c>
      <c r="AX8" s="3">
        <f ca="1">IFERROR(__xludf.DUMMYFUNCTION("""COMPUTED_VALUE"""),0.0516171707071257)</f>
        <v>5.1617170707125702E-2</v>
      </c>
      <c r="AY8" s="3">
        <f ca="1">IFERROR(__xludf.DUMMYFUNCTION("""COMPUTED_VALUE"""),0.161390462029491)</f>
        <v>0.16139046202949101</v>
      </c>
      <c r="AZ8" s="3">
        <f ca="1">IFERROR(__xludf.DUMMYFUNCTION("""COMPUTED_VALUE"""),0.0805811077721732)</f>
        <v>8.0581107772173199E-2</v>
      </c>
      <c r="BA8" s="3">
        <f ca="1">IFERROR(__xludf.DUMMYFUNCTION("""COMPUTED_VALUE"""),-0.0596386619919832)</f>
        <v>-5.96386619919832E-2</v>
      </c>
      <c r="BB8" s="3">
        <f ca="1">IFERROR(__xludf.DUMMYFUNCTION("""COMPUTED_VALUE"""),-0.0552377145789624)</f>
        <v>-5.5237714578962399E-2</v>
      </c>
      <c r="BC8" s="3">
        <f ca="1">IFERROR(__xludf.DUMMYFUNCTION("""COMPUTED_VALUE"""),0.0585040818222835)</f>
        <v>5.8504081822283498E-2</v>
      </c>
      <c r="BD8" s="3">
        <f ca="1">IFERROR(__xludf.DUMMYFUNCTION("""COMPUTED_VALUE"""),-0.046947114789011)</f>
        <v>-4.6947114789011E-2</v>
      </c>
      <c r="BE8" s="3">
        <f ca="1">IFERROR(__xludf.DUMMYFUNCTION("""COMPUTED_VALUE"""),0.0559621534094112)</f>
        <v>5.59621534094112E-2</v>
      </c>
      <c r="BF8" s="3">
        <f ca="1">IFERROR(__xludf.DUMMYFUNCTION("""COMPUTED_VALUE"""),0.194532305343756)</f>
        <v>0.19453230534375601</v>
      </c>
      <c r="BG8" s="3">
        <f ca="1">IFERROR(__xludf.DUMMYFUNCTION("""COMPUTED_VALUE"""),0.0804480065147539)</f>
        <v>8.0448006514753895E-2</v>
      </c>
      <c r="BH8" s="3">
        <f ca="1">IFERROR(__xludf.DUMMYFUNCTION("""COMPUTED_VALUE"""),0.131478309921125)</f>
        <v>0.131478309921125</v>
      </c>
      <c r="BI8" s="3">
        <f ca="1">IFERROR(__xludf.DUMMYFUNCTION("""COMPUTED_VALUE"""),0.112306868533634)</f>
        <v>0.112306868533634</v>
      </c>
      <c r="BJ8" s="3">
        <f ca="1">IFERROR(__xludf.DUMMYFUNCTION("""COMPUTED_VALUE"""),0.0444064363033398)</f>
        <v>4.4406436303339798E-2</v>
      </c>
      <c r="BK8" s="3">
        <f ca="1">IFERROR(__xludf.DUMMYFUNCTION("""COMPUTED_VALUE"""),0.0325174115829292)</f>
        <v>3.2517411582929201E-2</v>
      </c>
      <c r="BL8" s="3">
        <f ca="1">IFERROR(__xludf.DUMMYFUNCTION("""COMPUTED_VALUE"""),0.0300034958975059)</f>
        <v>3.0003495897505901E-2</v>
      </c>
      <c r="BM8" s="3">
        <f ca="1">IFERROR(__xludf.DUMMYFUNCTION("""COMPUTED_VALUE"""),0.143849115455257)</f>
        <v>0.143849115455257</v>
      </c>
      <c r="BN8" s="3">
        <f ca="1">IFERROR(__xludf.DUMMYFUNCTION("""COMPUTED_VALUE"""),0.0304276914440677)</f>
        <v>3.0427691444067699E-2</v>
      </c>
      <c r="BO8" s="3">
        <f ca="1">IFERROR(__xludf.DUMMYFUNCTION("""COMPUTED_VALUE"""),0.0763689567153707)</f>
        <v>7.6368956715370695E-2</v>
      </c>
      <c r="BP8" s="3">
        <f ca="1">IFERROR(__xludf.DUMMYFUNCTION("""COMPUTED_VALUE"""),0.125522175031426)</f>
        <v>0.12552217503142599</v>
      </c>
      <c r="BQ8" s="3">
        <f ca="1">IFERROR(__xludf.DUMMYFUNCTION("""COMPUTED_VALUE"""),0.0438722829154025)</f>
        <v>4.3872282915402502E-2</v>
      </c>
      <c r="BR8" s="3">
        <f ca="1">IFERROR(__xludf.DUMMYFUNCTION("""COMPUTED_VALUE"""),0.15073574461895)</f>
        <v>0.15073574461895001</v>
      </c>
      <c r="BS8" s="3">
        <f ca="1">IFERROR(__xludf.DUMMYFUNCTION("""COMPUTED_VALUE"""),0.0481668055620627)</f>
        <v>4.8166805562062702E-2</v>
      </c>
      <c r="BT8" s="3">
        <f ca="1">IFERROR(__xludf.DUMMYFUNCTION("""COMPUTED_VALUE"""),0.0654012089867073)</f>
        <v>6.5401208986707302E-2</v>
      </c>
      <c r="BU8" s="3">
        <f ca="1">IFERROR(__xludf.DUMMYFUNCTION("""COMPUTED_VALUE"""),0.0687347311171748)</f>
        <v>6.8734731117174805E-2</v>
      </c>
      <c r="BV8" s="3">
        <f ca="1">IFERROR(__xludf.DUMMYFUNCTION("""COMPUTED_VALUE"""),-0.00710396218887166)</f>
        <v>-7.1039621888716598E-3</v>
      </c>
      <c r="BW8" s="3">
        <f ca="1">IFERROR(__xludf.DUMMYFUNCTION("""COMPUTED_VALUE"""),0.0188052899943123)</f>
        <v>1.8805289994312299E-2</v>
      </c>
      <c r="BX8" s="3">
        <f ca="1">IFERROR(__xludf.DUMMYFUNCTION("""COMPUTED_VALUE"""),-0.174458573382789)</f>
        <v>-0.174458573382789</v>
      </c>
      <c r="BY8" s="3">
        <f ca="1">IFERROR(__xludf.DUMMYFUNCTION("""COMPUTED_VALUE"""),-0.289567553768012)</f>
        <v>-0.28956755376801202</v>
      </c>
      <c r="BZ8" s="3">
        <f ca="1">IFERROR(__xludf.DUMMYFUNCTION("""COMPUTED_VALUE"""),0.0926833503465383)</f>
        <v>9.2683350346538296E-2</v>
      </c>
      <c r="CA8" s="3">
        <f ca="1">IFERROR(__xludf.DUMMYFUNCTION("""COMPUTED_VALUE"""),-0.0680429611021504)</f>
        <v>-6.8042961102150398E-2</v>
      </c>
      <c r="CB8" s="3">
        <f ca="1">IFERROR(__xludf.DUMMYFUNCTION("""COMPUTED_VALUE"""),-0.0303935985811685)</f>
        <v>-3.03935985811685E-2</v>
      </c>
      <c r="CC8" s="3">
        <f ca="1">IFERROR(__xludf.DUMMYFUNCTION("""COMPUTED_VALUE"""),-0.129097525147641)</f>
        <v>-0.129097525147641</v>
      </c>
      <c r="CD8" s="3">
        <f ca="1">IFERROR(__xludf.DUMMYFUNCTION("""COMPUTED_VALUE"""),-0.0423464498805219)</f>
        <v>-4.23464498805219E-2</v>
      </c>
      <c r="CE8" s="3">
        <f ca="1">IFERROR(__xludf.DUMMYFUNCTION("""COMPUTED_VALUE"""),-0.0631702145531875)</f>
        <v>-6.3170214553187498E-2</v>
      </c>
      <c r="CF8" s="3">
        <f ca="1">IFERROR(__xludf.DUMMYFUNCTION("""COMPUTED_VALUE"""),-0.0201248897653191)</f>
        <v>-2.01248897653191E-2</v>
      </c>
      <c r="CG8" s="3">
        <f ca="1">IFERROR(__xludf.DUMMYFUNCTION("""COMPUTED_VALUE"""),-0.00751926634576027)</f>
        <v>-7.5192663457602704E-3</v>
      </c>
      <c r="CH8" s="3">
        <f ca="1">IFERROR(__xludf.DUMMYFUNCTION("""COMPUTED_VALUE"""),-0.0828680989249572)</f>
        <v>-8.2868098924957195E-2</v>
      </c>
      <c r="CI8" s="3">
        <f ca="1">IFERROR(__xludf.DUMMYFUNCTION("""COMPUTED_VALUE"""),-0.0149750858863734)</f>
        <v>-1.4975085886373401E-2</v>
      </c>
      <c r="CJ8" s="3">
        <f ca="1">IFERROR(__xludf.DUMMYFUNCTION("""COMPUTED_VALUE"""),-0.107908072919)</f>
        <v>-0.10790807291899999</v>
      </c>
      <c r="CK8" s="3">
        <f ca="1">IFERROR(__xludf.DUMMYFUNCTION("""COMPUTED_VALUE"""),-0.145821289358593)</f>
        <v>-0.14582128935859301</v>
      </c>
      <c r="CL8" s="3">
        <f ca="1">IFERROR(__xludf.DUMMYFUNCTION("""COMPUTED_VALUE"""),-0.217132040579715)</f>
        <v>-0.217132040579715</v>
      </c>
      <c r="CM8" s="3">
        <f ca="1">IFERROR(__xludf.DUMMYFUNCTION("""COMPUTED_VALUE"""),-0.32437105943031)</f>
        <v>-0.32437105943031003</v>
      </c>
      <c r="CN8" s="3">
        <f ca="1">IFERROR(__xludf.DUMMYFUNCTION("""COMPUTED_VALUE"""),-0.620747102839764)</f>
        <v>-0.62074710283976398</v>
      </c>
      <c r="CO8" s="3">
        <f ca="1">IFERROR(__xludf.DUMMYFUNCTION("""COMPUTED_VALUE"""),-0.639351016302275)</f>
        <v>-0.63935101630227498</v>
      </c>
      <c r="CP8" s="3">
        <f ca="1">IFERROR(__xludf.DUMMYFUNCTION("""COMPUTED_VALUE"""),-0.634390508185516)</f>
        <v>-0.63439050818551601</v>
      </c>
      <c r="CQ8" s="3">
        <f ca="1">IFERROR(__xludf.DUMMYFUNCTION("""COMPUTED_VALUE"""),-0.154550091532809)</f>
        <v>-0.15455009153280899</v>
      </c>
      <c r="CR8" s="3">
        <f ca="1">IFERROR(__xludf.DUMMYFUNCTION("""COMPUTED_VALUE"""),-0.00237133435477676)</f>
        <v>-2.3713343547767602E-3</v>
      </c>
      <c r="CS8" s="3">
        <f ca="1">IFERROR(__xludf.DUMMYFUNCTION("""COMPUTED_VALUE"""),-0.0956666273209085)</f>
        <v>-9.5666627320908498E-2</v>
      </c>
      <c r="CT8" s="3">
        <f ca="1">IFERROR(__xludf.DUMMYFUNCTION("""COMPUTED_VALUE"""),0.0113216644586939)</f>
        <v>1.1321664458693899E-2</v>
      </c>
      <c r="CU8" s="3">
        <f ca="1">IFERROR(__xludf.DUMMYFUNCTION("""COMPUTED_VALUE"""),-0.0310873734569477)</f>
        <v>-3.10873734569477E-2</v>
      </c>
      <c r="CV8" s="3">
        <f ca="1">IFERROR(__xludf.DUMMYFUNCTION("""COMPUTED_VALUE"""),0.098800062720932)</f>
        <v>9.8800062720932003E-2</v>
      </c>
      <c r="CW8" s="3">
        <f ca="1">IFERROR(__xludf.DUMMYFUNCTION("""COMPUTED_VALUE"""),-0.337890778718149)</f>
        <v>-0.33789077871814899</v>
      </c>
      <c r="CX8" s="3">
        <f ca="1">IFERROR(__xludf.DUMMYFUNCTION("""COMPUTED_VALUE"""),0.00355605075614806)</f>
        <v>3.5560507561480598E-3</v>
      </c>
      <c r="CY8" s="3">
        <f ca="1">IFERROR(__xludf.DUMMYFUNCTION("""COMPUTED_VALUE"""),-0.0255762372282788)</f>
        <v>-2.55762372282788E-2</v>
      </c>
      <c r="CZ8" s="3">
        <f ca="1">IFERROR(__xludf.DUMMYFUNCTION("""COMPUTED_VALUE"""),-0.146104118103175)</f>
        <v>-0.146104118103175</v>
      </c>
      <c r="DA8" s="3">
        <f ca="1">IFERROR(__xludf.DUMMYFUNCTION("""COMPUTED_VALUE"""),-0.175041557232293)</f>
        <v>-0.175041557232293</v>
      </c>
      <c r="DB8" s="3">
        <f ca="1">IFERROR(__xludf.DUMMYFUNCTION("""COMPUTED_VALUE"""),-0.142476958789744)</f>
        <v>-0.14247695878974401</v>
      </c>
      <c r="DC8" s="3">
        <f ca="1">IFERROR(__xludf.DUMMYFUNCTION("""COMPUTED_VALUE"""),-0.0252532475848258)</f>
        <v>-2.5253247584825798E-2</v>
      </c>
      <c r="DD8" s="3">
        <f ca="1">IFERROR(__xludf.DUMMYFUNCTION("""COMPUTED_VALUE"""),-0.296676960028379)</f>
        <v>-0.29667696002837901</v>
      </c>
      <c r="DE8" s="3">
        <f ca="1">IFERROR(__xludf.DUMMYFUNCTION("""COMPUTED_VALUE"""),-0.571046180440284)</f>
        <v>-0.57104618044028399</v>
      </c>
      <c r="DF8" s="3">
        <f ca="1">IFERROR(__xludf.DUMMYFUNCTION("""COMPUTED_VALUE"""),0.047701591888366)</f>
        <v>4.7701591888366E-2</v>
      </c>
      <c r="DG8" s="3">
        <f ca="1">IFERROR(__xludf.DUMMYFUNCTION("""COMPUTED_VALUE"""),0.232107119896237)</f>
        <v>0.232107119896237</v>
      </c>
      <c r="DH8" s="3">
        <f ca="1">IFERROR(__xludf.DUMMYFUNCTION("""COMPUTED_VALUE"""),0.178071969752619)</f>
        <v>0.17807196975261899</v>
      </c>
      <c r="DI8" s="3">
        <f ca="1">IFERROR(__xludf.DUMMYFUNCTION("""COMPUTED_VALUE"""),-0.0320081426896831)</f>
        <v>-3.2008142689683099E-2</v>
      </c>
      <c r="DJ8" s="3">
        <f ca="1">IFERROR(__xludf.DUMMYFUNCTION("""COMPUTED_VALUE"""),0.0248245617045419)</f>
        <v>2.4824561704541899E-2</v>
      </c>
      <c r="DK8" s="3">
        <f ca="1">IFERROR(__xludf.DUMMYFUNCTION("""COMPUTED_VALUE"""),0.0334571737487747)</f>
        <v>3.3457173748774702E-2</v>
      </c>
      <c r="DL8" s="3">
        <f ca="1">IFERROR(__xludf.DUMMYFUNCTION("""COMPUTED_VALUE"""),0.045950755975028)</f>
        <v>4.5950755975027999E-2</v>
      </c>
      <c r="DM8" s="3">
        <f ca="1">IFERROR(__xludf.DUMMYFUNCTION("""COMPUTED_VALUE"""),-0.0469950679927397)</f>
        <v>-4.6995067992739697E-2</v>
      </c>
      <c r="DN8" s="3">
        <f ca="1">IFERROR(__xludf.DUMMYFUNCTION("""COMPUTED_VALUE"""),0.0765575050108324)</f>
        <v>7.6557505010832402E-2</v>
      </c>
      <c r="DO8" s="3">
        <f ca="1">IFERROR(__xludf.DUMMYFUNCTION("""COMPUTED_VALUE"""),-0.056818856361926)</f>
        <v>-5.6818856361925997E-2</v>
      </c>
      <c r="DP8" s="3">
        <f ca="1">IFERROR(__xludf.DUMMYFUNCTION("""COMPUTED_VALUE"""),-0.168663182531383)</f>
        <v>-0.16866318253138299</v>
      </c>
      <c r="DQ8" s="3">
        <f ca="1">IFERROR(__xludf.DUMMYFUNCTION("""COMPUTED_VALUE"""),-0.268418174075259)</f>
        <v>-0.26841817407525898</v>
      </c>
      <c r="DR8" s="3">
        <f ca="1">IFERROR(__xludf.DUMMYFUNCTION("""COMPUTED_VALUE"""),-0.127864007393122)</f>
        <v>-0.12786400739312201</v>
      </c>
      <c r="DS8" s="3">
        <f ca="1">IFERROR(__xludf.DUMMYFUNCTION("""COMPUTED_VALUE"""),-0.109098249120383)</f>
        <v>-0.109098249120383</v>
      </c>
      <c r="DT8" s="3">
        <f ca="1">IFERROR(__xludf.DUMMYFUNCTION("""COMPUTED_VALUE"""),-0.0760432348917871)</f>
        <v>-7.6043234891787104E-2</v>
      </c>
      <c r="DU8" s="3">
        <f ca="1">IFERROR(__xludf.DUMMYFUNCTION("""COMPUTED_VALUE"""),-0.154456968788039)</f>
        <v>-0.154456968788039</v>
      </c>
      <c r="DV8" s="3">
        <f ca="1">IFERROR(__xludf.DUMMYFUNCTION("""COMPUTED_VALUE"""),-0.124483230497045)</f>
        <v>-0.124483230497045</v>
      </c>
      <c r="DW8" s="3">
        <f ca="1">IFERROR(__xludf.DUMMYFUNCTION("""COMPUTED_VALUE"""),-0.0660573140922431)</f>
        <v>-6.6057314092243094E-2</v>
      </c>
      <c r="DX8" s="3">
        <f ca="1">IFERROR(__xludf.DUMMYFUNCTION("""COMPUTED_VALUE"""),-0.129571095471036)</f>
        <v>-0.12957109547103601</v>
      </c>
      <c r="DY8" s="3">
        <f ca="1">IFERROR(__xludf.DUMMYFUNCTION("""COMPUTED_VALUE"""),-0.144425151682461)</f>
        <v>-0.14442515168246101</v>
      </c>
      <c r="DZ8" s="3">
        <f ca="1">IFERROR(__xludf.DUMMYFUNCTION("""COMPUTED_VALUE"""),-0.109384333982881)</f>
        <v>-0.109384333982881</v>
      </c>
      <c r="EA8" s="3">
        <f ca="1">IFERROR(__xludf.DUMMYFUNCTION("""COMPUTED_VALUE"""),-0.0800859278441992)</f>
        <v>-8.0085927844199198E-2</v>
      </c>
      <c r="EB8" s="3">
        <f ca="1">IFERROR(__xludf.DUMMYFUNCTION("""COMPUTED_VALUE"""),-0.0803770784807381)</f>
        <v>-8.0377078480738107E-2</v>
      </c>
      <c r="EC8" s="3">
        <f ca="1">IFERROR(__xludf.DUMMYFUNCTION("""COMPUTED_VALUE"""),-0.0125740001011754)</f>
        <v>-1.25740001011754E-2</v>
      </c>
      <c r="ED8" s="3">
        <f ca="1">IFERROR(__xludf.DUMMYFUNCTION("""COMPUTED_VALUE"""),-0.0290920651431181)</f>
        <v>-2.9092065143118101E-2</v>
      </c>
      <c r="EE8" s="3">
        <f ca="1">IFERROR(__xludf.DUMMYFUNCTION("""COMPUTED_VALUE"""),0.0530033075663058)</f>
        <v>5.30033075663058E-2</v>
      </c>
      <c r="EF8" s="3">
        <f ca="1">IFERROR(__xludf.DUMMYFUNCTION("""COMPUTED_VALUE"""),-0.108968633198567)</f>
        <v>-0.10896863319856701</v>
      </c>
      <c r="EG8" s="3">
        <f ca="1">IFERROR(__xludf.DUMMYFUNCTION("""COMPUTED_VALUE"""),-0.105809052004915)</f>
        <v>-0.105809052004915</v>
      </c>
      <c r="EH8" s="3">
        <f ca="1">IFERROR(__xludf.DUMMYFUNCTION("""COMPUTED_VALUE"""),-0.158136438512588)</f>
        <v>-0.15813643851258799</v>
      </c>
      <c r="EI8" s="3">
        <f ca="1">IFERROR(__xludf.DUMMYFUNCTION("""COMPUTED_VALUE"""),-0.18960643901126)</f>
        <v>-0.18960643901126001</v>
      </c>
      <c r="EJ8" s="3">
        <f ca="1">IFERROR(__xludf.DUMMYFUNCTION("""COMPUTED_VALUE"""),-0.163674707514616)</f>
        <v>-0.16367470751461599</v>
      </c>
      <c r="EK8" s="3">
        <f ca="1">IFERROR(__xludf.DUMMYFUNCTION("""COMPUTED_VALUE"""),-0.127437344468418)</f>
        <v>-0.12743734446841801</v>
      </c>
      <c r="EL8" s="3">
        <f ca="1">IFERROR(__xludf.DUMMYFUNCTION("""COMPUTED_VALUE"""),-0.171247209105507)</f>
        <v>-0.171247209105507</v>
      </c>
      <c r="EM8" s="3">
        <f ca="1">IFERROR(__xludf.DUMMYFUNCTION("""COMPUTED_VALUE"""),-0.288516672319016)</f>
        <v>-0.28851667231901601</v>
      </c>
      <c r="EN8" s="3">
        <f ca="1">IFERROR(__xludf.DUMMYFUNCTION("""COMPUTED_VALUE"""),-0.296268500249672)</f>
        <v>-0.296268500249672</v>
      </c>
      <c r="EO8" s="3">
        <f ca="1">IFERROR(__xludf.DUMMYFUNCTION("""COMPUTED_VALUE"""),-0.214602347227891)</f>
        <v>-0.21460234722789101</v>
      </c>
      <c r="EP8" s="3">
        <f ca="1">IFERROR(__xludf.DUMMYFUNCTION("""COMPUTED_VALUE"""),-0.232963658611901)</f>
        <v>-0.23296365861190099</v>
      </c>
      <c r="EQ8" s="3">
        <f ca="1">IFERROR(__xludf.DUMMYFUNCTION("""COMPUTED_VALUE"""),-0.22781613514423)</f>
        <v>-0.22781613514422999</v>
      </c>
      <c r="ER8" s="3">
        <f ca="1">IFERROR(__xludf.DUMMYFUNCTION("""COMPUTED_VALUE"""),-0.177547712209848)</f>
        <v>-0.177547712209848</v>
      </c>
      <c r="ES8" s="3">
        <f ca="1">IFERROR(__xludf.DUMMYFUNCTION("""COMPUTED_VALUE"""),-0.125310692091673)</f>
        <v>-0.125310692091673</v>
      </c>
      <c r="ET8" s="3">
        <f ca="1">IFERROR(__xludf.DUMMYFUNCTION("""COMPUTED_VALUE"""),-0.268905126653217)</f>
        <v>-0.26890512665321697</v>
      </c>
      <c r="EU8" s="3">
        <f ca="1">IFERROR(__xludf.DUMMYFUNCTION("""COMPUTED_VALUE"""),-0.232065222475842)</f>
        <v>-0.23206522247584199</v>
      </c>
      <c r="EV8" s="3">
        <f ca="1">IFERROR(__xludf.DUMMYFUNCTION("""COMPUTED_VALUE"""),-0.264834371314002)</f>
        <v>-0.264834371314002</v>
      </c>
      <c r="EW8" s="3">
        <f ca="1">IFERROR(__xludf.DUMMYFUNCTION("""COMPUTED_VALUE"""),-0.23714856512232)</f>
        <v>-0.23714856512231999</v>
      </c>
      <c r="EX8" s="3">
        <f ca="1">IFERROR(__xludf.DUMMYFUNCTION("""COMPUTED_VALUE"""),-0.268700451705648)</f>
        <v>-0.26870045170564799</v>
      </c>
      <c r="EY8" s="3">
        <f ca="1">IFERROR(__xludf.DUMMYFUNCTION("""COMPUTED_VALUE"""),-0.256920235697861)</f>
        <v>-0.25692023569786099</v>
      </c>
      <c r="EZ8" s="3">
        <f ca="1">IFERROR(__xludf.DUMMYFUNCTION("""COMPUTED_VALUE"""),-0.214266812721389)</f>
        <v>-0.21426681272138901</v>
      </c>
      <c r="FA8" s="3">
        <f ca="1">IFERROR(__xludf.DUMMYFUNCTION("""COMPUTED_VALUE"""),-0.309457551025609)</f>
        <v>-0.30945755102560901</v>
      </c>
      <c r="FB8" s="3">
        <f ca="1">IFERROR(__xludf.DUMMYFUNCTION("""COMPUTED_VALUE"""),-0.252514838098488)</f>
        <v>-0.25251483809848801</v>
      </c>
      <c r="FC8" s="3">
        <f ca="1">IFERROR(__xludf.DUMMYFUNCTION("""COMPUTED_VALUE"""),-0.272541566186216)</f>
        <v>-0.272541566186216</v>
      </c>
      <c r="FD8" s="3">
        <f ca="1">IFERROR(__xludf.DUMMYFUNCTION("""COMPUTED_VALUE"""),-0.220807014534242)</f>
        <v>-0.22080701453424201</v>
      </c>
      <c r="FE8" s="3">
        <f ca="1">IFERROR(__xludf.DUMMYFUNCTION("""COMPUTED_VALUE"""),-0.215588085014437)</f>
        <v>-0.21558808501443699</v>
      </c>
      <c r="FF8" s="3">
        <f ca="1">IFERROR(__xludf.DUMMYFUNCTION("""COMPUTED_VALUE"""),-0.234029234967595)</f>
        <v>-0.23402923496759501</v>
      </c>
      <c r="FG8" s="3">
        <f ca="1">IFERROR(__xludf.DUMMYFUNCTION("""COMPUTED_VALUE"""),-0.196738828710708)</f>
        <v>-0.196738828710708</v>
      </c>
      <c r="FH8" s="3">
        <f ca="1">IFERROR(__xludf.DUMMYFUNCTION("""COMPUTED_VALUE"""),-0.263852462051435)</f>
        <v>-0.26385246205143498</v>
      </c>
      <c r="FI8" s="3">
        <f ca="1">IFERROR(__xludf.DUMMYFUNCTION("""COMPUTED_VALUE"""),-0.16352733399271)</f>
        <v>-0.16352733399270999</v>
      </c>
      <c r="FJ8" s="3">
        <f ca="1">IFERROR(__xludf.DUMMYFUNCTION("""COMPUTED_VALUE"""),-0.290933136312849)</f>
        <v>-0.29093313631284901</v>
      </c>
      <c r="FK8" s="3">
        <f ca="1">IFERROR(__xludf.DUMMYFUNCTION("""COMPUTED_VALUE"""),-0.282020108230772)</f>
        <v>-0.282020108230772</v>
      </c>
      <c r="FL8" s="3">
        <f ca="1">IFERROR(__xludf.DUMMYFUNCTION("""COMPUTED_VALUE"""),-0.312528259884531)</f>
        <v>-0.31252825988453098</v>
      </c>
      <c r="FM8" s="3">
        <f ca="1">IFERROR(__xludf.DUMMYFUNCTION("""COMPUTED_VALUE"""),-0.368855993285533)</f>
        <v>-0.36885599328553298</v>
      </c>
      <c r="FN8" s="3">
        <f ca="1">IFERROR(__xludf.DUMMYFUNCTION("""COMPUTED_VALUE"""),-0.290630730572994)</f>
        <v>-0.29063073057299399</v>
      </c>
      <c r="FO8" s="3">
        <f ca="1">IFERROR(__xludf.DUMMYFUNCTION("""COMPUTED_VALUE"""),-0.33914415177341)</f>
        <v>-0.33914415177341001</v>
      </c>
      <c r="FP8" s="3">
        <f ca="1">IFERROR(__xludf.DUMMYFUNCTION("""COMPUTED_VALUE"""),-0.288038702601626)</f>
        <v>-0.28803870260162601</v>
      </c>
      <c r="FQ8" s="3">
        <f ca="1">IFERROR(__xludf.DUMMYFUNCTION("""COMPUTED_VALUE"""),-0.211092514448345)</f>
        <v>-0.21109251444834501</v>
      </c>
      <c r="FR8" s="3">
        <f ca="1">IFERROR(__xludf.DUMMYFUNCTION("""COMPUTED_VALUE"""),-0.209697995416566)</f>
        <v>-0.209697995416566</v>
      </c>
      <c r="FS8" s="3">
        <f ca="1">IFERROR(__xludf.DUMMYFUNCTION("""COMPUTED_VALUE"""),-0.175034850868407)</f>
        <v>-0.175034850868407</v>
      </c>
      <c r="FT8" s="3">
        <f ca="1">IFERROR(__xludf.DUMMYFUNCTION("""COMPUTED_VALUE"""),-0.235317915597313)</f>
        <v>-0.23531791559731299</v>
      </c>
      <c r="FU8" s="3">
        <f ca="1">IFERROR(__xludf.DUMMYFUNCTION("""COMPUTED_VALUE"""),-0.116573953464522)</f>
        <v>-0.116573953464522</v>
      </c>
      <c r="FV8" s="3">
        <f ca="1">IFERROR(__xludf.DUMMYFUNCTION("""COMPUTED_VALUE"""),-0.23174763001027)</f>
        <v>-0.23174763001026999</v>
      </c>
      <c r="FW8" s="3">
        <f ca="1">IFERROR(__xludf.DUMMYFUNCTION("""COMPUTED_VALUE"""),-0.226035517785716)</f>
        <v>-0.22603551778571601</v>
      </c>
      <c r="FX8" s="3">
        <f ca="1">IFERROR(__xludf.DUMMYFUNCTION("""COMPUTED_VALUE"""),-0.246274454496233)</f>
        <v>-0.246274454496233</v>
      </c>
      <c r="FY8" s="3">
        <f ca="1">IFERROR(__xludf.DUMMYFUNCTION("""COMPUTED_VALUE"""),-0.236797974419426)</f>
        <v>-0.23679797441942599</v>
      </c>
      <c r="FZ8" s="3">
        <f ca="1">IFERROR(__xludf.DUMMYFUNCTION("""COMPUTED_VALUE"""),-0.232315758224289)</f>
        <v>-0.23231575822428899</v>
      </c>
      <c r="GA8" s="3">
        <f ca="1">IFERROR(__xludf.DUMMYFUNCTION("""COMPUTED_VALUE"""),-0.287419061557093)</f>
        <v>-0.28741906155709301</v>
      </c>
      <c r="GB8" s="3">
        <f ca="1">IFERROR(__xludf.DUMMYFUNCTION("""COMPUTED_VALUE"""),-0.182066198506555)</f>
        <v>-0.182066198506555</v>
      </c>
      <c r="GC8" s="3">
        <f ca="1">IFERROR(__xludf.DUMMYFUNCTION("""COMPUTED_VALUE"""),-0.252570690633274)</f>
        <v>-0.25257069063327398</v>
      </c>
      <c r="GD8" s="3">
        <f ca="1">IFERROR(__xludf.DUMMYFUNCTION("""COMPUTED_VALUE"""),-0.23840703595644)</f>
        <v>-0.23840703595644</v>
      </c>
      <c r="GE8" s="3">
        <f ca="1">IFERROR(__xludf.DUMMYFUNCTION("""COMPUTED_VALUE"""),-0.293115002345628)</f>
        <v>-0.29311500234562798</v>
      </c>
      <c r="GF8" s="3">
        <f ca="1">IFERROR(__xludf.DUMMYFUNCTION("""COMPUTED_VALUE"""),-0.285398199221277)</f>
        <v>-0.28539819922127702</v>
      </c>
      <c r="GG8" s="3">
        <f ca="1">IFERROR(__xludf.DUMMYFUNCTION("""COMPUTED_VALUE"""),-0.342104096960998)</f>
        <v>-0.34210409696099803</v>
      </c>
      <c r="GH8" s="3">
        <f ca="1">IFERROR(__xludf.DUMMYFUNCTION("""COMPUTED_VALUE"""),-0.359042903041731)</f>
        <v>-0.35904290304173098</v>
      </c>
      <c r="GI8" s="3">
        <f ca="1">IFERROR(__xludf.DUMMYFUNCTION("""COMPUTED_VALUE"""),-0.243177893916569)</f>
        <v>-0.24317789391656899</v>
      </c>
      <c r="GJ8" s="3">
        <f ca="1">IFERROR(__xludf.DUMMYFUNCTION("""COMPUTED_VALUE"""),-0.3104237554379)</f>
        <v>-0.31042375543790002</v>
      </c>
      <c r="GK8" s="3">
        <f ca="1">IFERROR(__xludf.DUMMYFUNCTION("""COMPUTED_VALUE"""),-0.295135539454474)</f>
        <v>-0.29513553945447402</v>
      </c>
      <c r="GL8" s="3">
        <f ca="1">IFERROR(__xludf.DUMMYFUNCTION("""COMPUTED_VALUE"""),-0.36348671913051)</f>
        <v>-0.36348671913051001</v>
      </c>
      <c r="GM8" s="3">
        <f ca="1">IFERROR(__xludf.DUMMYFUNCTION("""COMPUTED_VALUE"""),-0.327115912096914)</f>
        <v>-0.32711591209691399</v>
      </c>
      <c r="GN8" s="3">
        <f ca="1">IFERROR(__xludf.DUMMYFUNCTION("""COMPUTED_VALUE"""),-0.241213190176809)</f>
        <v>-0.24121319017680901</v>
      </c>
      <c r="GO8" s="3">
        <f ca="1">IFERROR(__xludf.DUMMYFUNCTION("""COMPUTED_VALUE"""),-0.193381242774062)</f>
        <v>-0.19338124277406199</v>
      </c>
      <c r="GP8" s="3">
        <f ca="1">IFERROR(__xludf.DUMMYFUNCTION("""COMPUTED_VALUE"""),-0.339109806360762)</f>
        <v>-0.33910980636076199</v>
      </c>
      <c r="GQ8" s="3">
        <f ca="1">IFERROR(__xludf.DUMMYFUNCTION("""COMPUTED_VALUE"""),-0.330777545913394)</f>
        <v>-0.33077754591339398</v>
      </c>
      <c r="GR8" s="3">
        <f ca="1">IFERROR(__xludf.DUMMYFUNCTION("""COMPUTED_VALUE"""),-0.24280124102731)</f>
        <v>-0.24280124102730999</v>
      </c>
      <c r="GS8" s="3">
        <f ca="1">IFERROR(__xludf.DUMMYFUNCTION("""COMPUTED_VALUE"""),-0.282364100178978)</f>
        <v>-0.28236410017897801</v>
      </c>
      <c r="GT8" s="3">
        <f ca="1">IFERROR(__xludf.DUMMYFUNCTION("""COMPUTED_VALUE"""),-0.239958218306517)</f>
        <v>-0.23995821830651701</v>
      </c>
      <c r="GU8" s="3">
        <f ca="1">IFERROR(__xludf.DUMMYFUNCTION("""COMPUTED_VALUE"""),-0.213106927059329)</f>
        <v>-0.21310692705932899</v>
      </c>
      <c r="GV8" s="3">
        <f ca="1">IFERROR(__xludf.DUMMYFUNCTION("""COMPUTED_VALUE"""),-0.293566193822418)</f>
        <v>-0.293566193822418</v>
      </c>
      <c r="GW8" s="3">
        <f ca="1">IFERROR(__xludf.DUMMYFUNCTION("""COMPUTED_VALUE"""),-0.305189609101837)</f>
        <v>-0.30518960910183701</v>
      </c>
      <c r="GX8" s="3">
        <f ca="1">IFERROR(__xludf.DUMMYFUNCTION("""COMPUTED_VALUE"""),-0.293691293055609)</f>
        <v>-0.29369129305560898</v>
      </c>
      <c r="GY8" s="3">
        <f ca="1">IFERROR(__xludf.DUMMYFUNCTION("""COMPUTED_VALUE"""),-0.173822133148184)</f>
        <v>-0.17382213314818401</v>
      </c>
      <c r="GZ8" s="3">
        <f ca="1">IFERROR(__xludf.DUMMYFUNCTION("""COMPUTED_VALUE"""),-0.119990612335743)</f>
        <v>-0.119990612335743</v>
      </c>
      <c r="HA8" s="3">
        <f ca="1">IFERROR(__xludf.DUMMYFUNCTION("""COMPUTED_VALUE"""),-0.210416269790316)</f>
        <v>-0.210416269790316</v>
      </c>
      <c r="HB8" s="3">
        <f ca="1">IFERROR(__xludf.DUMMYFUNCTION("""COMPUTED_VALUE"""),-0.282470317637801)</f>
        <v>-0.282470317637801</v>
      </c>
      <c r="HC8" s="3">
        <f ca="1">IFERROR(__xludf.DUMMYFUNCTION("""COMPUTED_VALUE"""),-0.275576127874414)</f>
        <v>-0.27557612787441399</v>
      </c>
      <c r="HD8" s="3">
        <f ca="1">IFERROR(__xludf.DUMMYFUNCTION("""COMPUTED_VALUE"""),-0.19422247337955)</f>
        <v>-0.19422247337955001</v>
      </c>
      <c r="HE8" s="3">
        <f ca="1">IFERROR(__xludf.DUMMYFUNCTION("""COMPUTED_VALUE"""),-0.295947353521948)</f>
        <v>-0.29594735352194801</v>
      </c>
      <c r="HF8" s="3">
        <f ca="1">IFERROR(__xludf.DUMMYFUNCTION("""COMPUTED_VALUE"""),-0.265880535113753)</f>
        <v>-0.26588053511375298</v>
      </c>
      <c r="HG8" s="3">
        <f ca="1">IFERROR(__xludf.DUMMYFUNCTION("""COMPUTED_VALUE"""),-0.19237641837349)</f>
        <v>-0.19237641837349001</v>
      </c>
      <c r="HH8" s="3">
        <f ca="1">IFERROR(__xludf.DUMMYFUNCTION("""COMPUTED_VALUE"""),-0.216883930202043)</f>
        <v>-0.216883930202043</v>
      </c>
      <c r="HI8" s="3">
        <f ca="1">IFERROR(__xludf.DUMMYFUNCTION("""COMPUTED_VALUE"""),-0.257542323735819)</f>
        <v>-0.25754232373581898</v>
      </c>
      <c r="HJ8" s="3">
        <f ca="1">IFERROR(__xludf.DUMMYFUNCTION("""COMPUTED_VALUE"""),-0.281004002011526)</f>
        <v>-0.28100400201152598</v>
      </c>
      <c r="HK8" s="3">
        <f ca="1">IFERROR(__xludf.DUMMYFUNCTION("""COMPUTED_VALUE"""),-0.30820077542712)</f>
        <v>-0.30820077542711999</v>
      </c>
      <c r="HL8" s="3">
        <f ca="1">IFERROR(__xludf.DUMMYFUNCTION("""COMPUTED_VALUE"""),-0.29127649818868)</f>
        <v>-0.29127649818868001</v>
      </c>
      <c r="HM8" s="3">
        <f ca="1">IFERROR(__xludf.DUMMYFUNCTION("""COMPUTED_VALUE"""),-0.238148348513791)</f>
        <v>-0.23814834851379099</v>
      </c>
      <c r="HN8" s="3">
        <f ca="1">IFERROR(__xludf.DUMMYFUNCTION("""COMPUTED_VALUE"""),-0.240063794934862)</f>
        <v>-0.24006379493486199</v>
      </c>
      <c r="HO8" s="3">
        <f ca="1">IFERROR(__xludf.DUMMYFUNCTION("""COMPUTED_VALUE"""),-0.173262732081837)</f>
        <v>-0.17326273208183701</v>
      </c>
      <c r="HP8" s="3">
        <f ca="1">IFERROR(__xludf.DUMMYFUNCTION("""COMPUTED_VALUE"""),-0.238881221076659)</f>
        <v>-0.23888122107665899</v>
      </c>
      <c r="HQ8" s="3">
        <f ca="1">IFERROR(__xludf.DUMMYFUNCTION("""COMPUTED_VALUE"""),-0.148793060539075)</f>
        <v>-0.14879306053907501</v>
      </c>
      <c r="HR8" s="3">
        <f ca="1">IFERROR(__xludf.DUMMYFUNCTION("""COMPUTED_VALUE"""),-0.158638708089035)</f>
        <v>-0.15863870808903499</v>
      </c>
      <c r="HS8" s="3">
        <f ca="1">IFERROR(__xludf.DUMMYFUNCTION("""COMPUTED_VALUE"""),-0.217871211237066)</f>
        <v>-0.21787121123706599</v>
      </c>
      <c r="HT8" s="3">
        <f ca="1">IFERROR(__xludf.DUMMYFUNCTION("""COMPUTED_VALUE"""),-0.275904189850399)</f>
        <v>-0.275904189850399</v>
      </c>
      <c r="HU8" s="3">
        <f ca="1">IFERROR(__xludf.DUMMYFUNCTION("""COMPUTED_VALUE"""),-0.234902304389199)</f>
        <v>-0.23490230438919901</v>
      </c>
      <c r="HV8" s="3">
        <f ca="1">IFERROR(__xludf.DUMMYFUNCTION("""COMPUTED_VALUE"""),-0.271471461391353)</f>
        <v>-0.27147146139135298</v>
      </c>
      <c r="HW8" s="3">
        <f ca="1">IFERROR(__xludf.DUMMYFUNCTION("""COMPUTED_VALUE"""),-0.277179067443658)</f>
        <v>-0.277179067443658</v>
      </c>
      <c r="HX8" s="3">
        <f ca="1">IFERROR(__xludf.DUMMYFUNCTION("""COMPUTED_VALUE"""),-0.130602100848596)</f>
        <v>-0.130602100848596</v>
      </c>
      <c r="HY8" s="3">
        <f ca="1">IFERROR(__xludf.DUMMYFUNCTION("""COMPUTED_VALUE"""),-0.108728349871441)</f>
        <v>-0.108728349871441</v>
      </c>
      <c r="HZ8" s="3">
        <f ca="1">IFERROR(__xludf.DUMMYFUNCTION("""COMPUTED_VALUE"""),-0.167821734250611)</f>
        <v>-0.167821734250611</v>
      </c>
      <c r="IA8" s="3">
        <f ca="1">IFERROR(__xludf.DUMMYFUNCTION("""COMPUTED_VALUE"""),-0.0987192891559036)</f>
        <v>-9.8719289155903597E-2</v>
      </c>
      <c r="IB8" s="3">
        <f ca="1">IFERROR(__xludf.DUMMYFUNCTION("""COMPUTED_VALUE"""),-0.171955801955252)</f>
        <v>-0.17195580195525201</v>
      </c>
      <c r="IC8" s="3">
        <f ca="1">IFERROR(__xludf.DUMMYFUNCTION("""COMPUTED_VALUE"""),-0.151293237250542)</f>
        <v>-0.151293237250542</v>
      </c>
      <c r="ID8" s="3">
        <f ca="1">IFERROR(__xludf.DUMMYFUNCTION("""COMPUTED_VALUE"""),-0.132297561125492)</f>
        <v>-0.13229756112549201</v>
      </c>
      <c r="IE8" s="3">
        <f ca="1">IFERROR(__xludf.DUMMYFUNCTION("""COMPUTED_VALUE"""),-0.165057378475359)</f>
        <v>-0.16505737847535901</v>
      </c>
      <c r="IF8" s="3">
        <f ca="1">IFERROR(__xludf.DUMMYFUNCTION("""COMPUTED_VALUE"""),-0.173078685368998)</f>
        <v>-0.17307868536899801</v>
      </c>
      <c r="IG8" s="3">
        <f ca="1">IFERROR(__xludf.DUMMYFUNCTION("""COMPUTED_VALUE"""),-0.400500103264764)</f>
        <v>-0.40050010326476398</v>
      </c>
      <c r="IH8" s="3">
        <f ca="1">IFERROR(__xludf.DUMMYFUNCTION("""COMPUTED_VALUE"""),-0.330476434033421)</f>
        <v>-0.33047643403342097</v>
      </c>
      <c r="II8" s="3">
        <f ca="1">IFERROR(__xludf.DUMMYFUNCTION("""COMPUTED_VALUE"""),-0.222010436275907)</f>
        <v>-0.222010436275907</v>
      </c>
      <c r="IJ8" s="3">
        <f ca="1">IFERROR(__xludf.DUMMYFUNCTION("""COMPUTED_VALUE"""),-0.246697362491935)</f>
        <v>-0.246697362491935</v>
      </c>
      <c r="IK8" s="3">
        <f ca="1">IFERROR(__xludf.DUMMYFUNCTION("""COMPUTED_VALUE"""),-0.180818298655417)</f>
        <v>-0.18081829865541699</v>
      </c>
      <c r="IL8" s="3">
        <f ca="1">IFERROR(__xludf.DUMMYFUNCTION("""COMPUTED_VALUE"""),-0.226816959782509)</f>
        <v>-0.22681695978250899</v>
      </c>
      <c r="IM8" s="3">
        <f ca="1">IFERROR(__xludf.DUMMYFUNCTION("""COMPUTED_VALUE"""),-0.0548332274456768)</f>
        <v>-5.4833227445676799E-2</v>
      </c>
      <c r="IN8" s="3">
        <f ca="1">IFERROR(__xludf.DUMMYFUNCTION("""COMPUTED_VALUE"""),-0.283577954053987)</f>
        <v>-0.283577954053987</v>
      </c>
      <c r="IO8" s="3">
        <f ca="1">IFERROR(__xludf.DUMMYFUNCTION("""COMPUTED_VALUE"""),-0.297264556060096)</f>
        <v>-0.297264556060096</v>
      </c>
      <c r="IP8" s="3">
        <f ca="1">IFERROR(__xludf.DUMMYFUNCTION("""COMPUTED_VALUE"""),-0.273649355471941)</f>
        <v>-0.27364935547194102</v>
      </c>
      <c r="IQ8" s="3">
        <f ca="1">IFERROR(__xludf.DUMMYFUNCTION("""COMPUTED_VALUE"""),-0.271672600898869)</f>
        <v>-0.27167260089886902</v>
      </c>
      <c r="IR8" s="3">
        <f ca="1">IFERROR(__xludf.DUMMYFUNCTION("""COMPUTED_VALUE"""),-0.307459630082243)</f>
        <v>-0.30745963008224297</v>
      </c>
      <c r="IS8" s="3">
        <f ca="1">IFERROR(__xludf.DUMMYFUNCTION("""COMPUTED_VALUE"""),-0.207772721771013)</f>
        <v>-0.207772721771013</v>
      </c>
      <c r="IT8" s="3">
        <f ca="1">IFERROR(__xludf.DUMMYFUNCTION("""COMPUTED_VALUE"""),-0.107768983119851)</f>
        <v>-0.107768983119851</v>
      </c>
      <c r="IU8" s="3">
        <f ca="1">IFERROR(__xludf.DUMMYFUNCTION("""COMPUTED_VALUE"""),-0.214992255545446)</f>
        <v>-0.21499225554544599</v>
      </c>
      <c r="IV8" s="3">
        <f ca="1">IFERROR(__xludf.DUMMYFUNCTION("""COMPUTED_VALUE"""),-0.299643979807505)</f>
        <v>-0.29964397980750501</v>
      </c>
      <c r="IW8" s="3">
        <f ca="1">IFERROR(__xludf.DUMMYFUNCTION("""COMPUTED_VALUE"""),-0.232346860259144)</f>
        <v>-0.232346860259144</v>
      </c>
      <c r="IX8" s="3">
        <f ca="1">IFERROR(__xludf.DUMMYFUNCTION("""COMPUTED_VALUE"""),-0.263804547913266)</f>
        <v>-0.26380454791326602</v>
      </c>
      <c r="IY8" s="3">
        <f ca="1">IFERROR(__xludf.DUMMYFUNCTION("""COMPUTED_VALUE"""),-0.295823726952959)</f>
        <v>-0.295823726952959</v>
      </c>
      <c r="IZ8" s="3">
        <f ca="1">IFERROR(__xludf.DUMMYFUNCTION("""COMPUTED_VALUE"""),-0.225176038120249)</f>
        <v>-0.225176038120249</v>
      </c>
      <c r="JA8" s="3">
        <f ca="1">IFERROR(__xludf.DUMMYFUNCTION("""COMPUTED_VALUE"""),-0.328510903213377)</f>
        <v>-0.328510903213377</v>
      </c>
      <c r="JB8" s="3">
        <f ca="1">IFERROR(__xludf.DUMMYFUNCTION("""COMPUTED_VALUE"""),-0.354685408534488)</f>
        <v>-0.35468540853448799</v>
      </c>
      <c r="JC8" s="3">
        <f ca="1">IFERROR(__xludf.DUMMYFUNCTION("""COMPUTED_VALUE"""),-0.330769413920348)</f>
        <v>-0.33076941392034798</v>
      </c>
      <c r="JD8" s="3">
        <f ca="1">IFERROR(__xludf.DUMMYFUNCTION("""COMPUTED_VALUE"""),-0.296268708014279)</f>
        <v>-0.29626870801427901</v>
      </c>
      <c r="JE8" s="3">
        <f ca="1">IFERROR(__xludf.DUMMYFUNCTION("""COMPUTED_VALUE"""),-0.321410327470526)</f>
        <v>-0.321410327470526</v>
      </c>
      <c r="JF8" s="3">
        <f ca="1">IFERROR(__xludf.DUMMYFUNCTION("""COMPUTED_VALUE"""),-0.28632419706115)</f>
        <v>-0.28632419706114998</v>
      </c>
      <c r="JG8" s="3">
        <f ca="1">IFERROR(__xludf.DUMMYFUNCTION("""COMPUTED_VALUE"""),-0.253268015600991)</f>
        <v>-0.25326801560099099</v>
      </c>
      <c r="JH8" s="3">
        <f ca="1">IFERROR(__xludf.DUMMYFUNCTION("""COMPUTED_VALUE"""),-0.188800930568757)</f>
        <v>-0.18880093056875699</v>
      </c>
      <c r="JI8" s="3">
        <f ca="1">IFERROR(__xludf.DUMMYFUNCTION("""COMPUTED_VALUE"""),-0.302249664875175)</f>
        <v>-0.30224966487517502</v>
      </c>
      <c r="JJ8" s="3">
        <f ca="1">IFERROR(__xludf.DUMMYFUNCTION("""COMPUTED_VALUE"""),-0.268105175674557)</f>
        <v>-0.26810517567455699</v>
      </c>
      <c r="JK8" s="3">
        <f ca="1">IFERROR(__xludf.DUMMYFUNCTION("""COMPUTED_VALUE"""),-0.270422382316848)</f>
        <v>-0.27042238231684801</v>
      </c>
      <c r="JL8" s="3">
        <f ca="1">IFERROR(__xludf.DUMMYFUNCTION("""COMPUTED_VALUE"""),-0.312073046350623)</f>
        <v>-0.312073046350623</v>
      </c>
      <c r="JM8" s="3">
        <f ca="1">IFERROR(__xludf.DUMMYFUNCTION("""COMPUTED_VALUE"""),-0.273791302168897)</f>
        <v>-0.27379130216889702</v>
      </c>
      <c r="JN8" s="3">
        <f ca="1">IFERROR(__xludf.DUMMYFUNCTION("""COMPUTED_VALUE"""),-0.363236550000213)</f>
        <v>-0.36323655000021299</v>
      </c>
      <c r="JO8" s="3">
        <f ca="1">IFERROR(__xludf.DUMMYFUNCTION("""COMPUTED_VALUE"""),-0.274199761452544)</f>
        <v>-0.27419976145254399</v>
      </c>
      <c r="JP8" s="3">
        <f ca="1">IFERROR(__xludf.DUMMYFUNCTION("""COMPUTED_VALUE"""),-0.190869521650015)</f>
        <v>-0.190869521650015</v>
      </c>
      <c r="JQ8" s="3">
        <f ca="1">IFERROR(__xludf.DUMMYFUNCTION("""COMPUTED_VALUE"""),-0.323757167638106)</f>
        <v>-0.32375716763810602</v>
      </c>
      <c r="JR8" s="3">
        <f ca="1">IFERROR(__xludf.DUMMYFUNCTION("""COMPUTED_VALUE"""),-0.182809478025719)</f>
        <v>-0.18280947802571901</v>
      </c>
      <c r="JS8" s="3">
        <f ca="1">IFERROR(__xludf.DUMMYFUNCTION("""COMPUTED_VALUE"""),-0.339558921476807)</f>
        <v>-0.339558921476807</v>
      </c>
      <c r="JT8" s="3">
        <f ca="1">IFERROR(__xludf.DUMMYFUNCTION("""COMPUTED_VALUE"""),-0.293513173607942)</f>
        <v>-0.29351317360794199</v>
      </c>
      <c r="JU8" s="3">
        <f ca="1">IFERROR(__xludf.DUMMYFUNCTION("""COMPUTED_VALUE"""),-0.351262493542991)</f>
        <v>-0.35126249354299099</v>
      </c>
      <c r="JV8" s="3">
        <f ca="1">IFERROR(__xludf.DUMMYFUNCTION("""COMPUTED_VALUE"""),-0.325249493144592)</f>
        <v>-0.32524949314459201</v>
      </c>
      <c r="JW8" s="3">
        <f ca="1">IFERROR(__xludf.DUMMYFUNCTION("""COMPUTED_VALUE"""),-0.313468660922236)</f>
        <v>-0.31346866092223602</v>
      </c>
      <c r="JX8" s="3">
        <f ca="1">IFERROR(__xludf.DUMMYFUNCTION("""COMPUTED_VALUE"""),-0.24908954904468)</f>
        <v>-0.24908954904468</v>
      </c>
      <c r="JY8" s="3">
        <f ca="1">IFERROR(__xludf.DUMMYFUNCTION("""COMPUTED_VALUE"""),-0.25584966133998)</f>
        <v>-0.25584966133997999</v>
      </c>
      <c r="JZ8" s="3">
        <f ca="1">IFERROR(__xludf.DUMMYFUNCTION("""COMPUTED_VALUE"""),-0.258133226383807)</f>
        <v>-0.25813322638380698</v>
      </c>
      <c r="KA8" s="3">
        <f ca="1">IFERROR(__xludf.DUMMYFUNCTION("""COMPUTED_VALUE"""),-0.336969115822203)</f>
        <v>-0.33696911582220301</v>
      </c>
      <c r="KB8" s="3">
        <f ca="1">IFERROR(__xludf.DUMMYFUNCTION("""COMPUTED_VALUE"""),-0.286515229742947)</f>
        <v>-0.28651522974294702</v>
      </c>
      <c r="KC8" s="3">
        <f ca="1">IFERROR(__xludf.DUMMYFUNCTION("""COMPUTED_VALUE"""),-0.204640964509547)</f>
        <v>-0.204640964509547</v>
      </c>
      <c r="KD8" s="3">
        <f ca="1">IFERROR(__xludf.DUMMYFUNCTION("""COMPUTED_VALUE"""),-0.286584777878787)</f>
        <v>-0.286584777878787</v>
      </c>
      <c r="KE8" s="3">
        <f ca="1">IFERROR(__xludf.DUMMYFUNCTION("""COMPUTED_VALUE"""),-0.30294803519866)</f>
        <v>-0.30294803519865998</v>
      </c>
      <c r="KF8" s="3">
        <f ca="1">IFERROR(__xludf.DUMMYFUNCTION("""COMPUTED_VALUE"""),-0.236625953990082)</f>
        <v>-0.23662595399008199</v>
      </c>
      <c r="KG8" s="3">
        <f ca="1">IFERROR(__xludf.DUMMYFUNCTION("""COMPUTED_VALUE"""),-0.320936644605076)</f>
        <v>-0.32093664460507598</v>
      </c>
      <c r="KH8" s="3">
        <f ca="1">IFERROR(__xludf.DUMMYFUNCTION("""COMPUTED_VALUE"""),-0.331146609092627)</f>
        <v>-0.331146609092627</v>
      </c>
      <c r="KI8" s="3">
        <f ca="1">IFERROR(__xludf.DUMMYFUNCTION("""COMPUTED_VALUE"""),-0.328591478669755)</f>
        <v>-0.32859147866975502</v>
      </c>
      <c r="KJ8" s="3">
        <f ca="1">IFERROR(__xludf.DUMMYFUNCTION("""COMPUTED_VALUE"""),-0.311416509068031)</f>
        <v>-0.31141650906803098</v>
      </c>
      <c r="KK8" s="3">
        <f ca="1">IFERROR(__xludf.DUMMYFUNCTION("""COMPUTED_VALUE"""),-0.394441317008572)</f>
        <v>-0.39444131700857199</v>
      </c>
      <c r="KL8" s="3">
        <f ca="1">IFERROR(__xludf.DUMMYFUNCTION("""COMPUTED_VALUE"""),-0.333973953222686)</f>
        <v>-0.33397395322268603</v>
      </c>
      <c r="KM8" s="3">
        <f ca="1">IFERROR(__xludf.DUMMYFUNCTION("""COMPUTED_VALUE"""),-0.401520123641336)</f>
        <v>-0.40152012364133599</v>
      </c>
      <c r="KN8" s="3">
        <f ca="1">IFERROR(__xludf.DUMMYFUNCTION("""COMPUTED_VALUE"""),-0.32234387293316)</f>
        <v>-0.32234387293316002</v>
      </c>
      <c r="KO8" s="3">
        <f ca="1">IFERROR(__xludf.DUMMYFUNCTION("""COMPUTED_VALUE"""),-0.350997810480361)</f>
        <v>-0.35099781048036099</v>
      </c>
      <c r="KP8" s="3">
        <f ca="1">IFERROR(__xludf.DUMMYFUNCTION("""COMPUTED_VALUE"""),-0.340704426160975)</f>
        <v>-0.34070442616097502</v>
      </c>
      <c r="KQ8" s="3">
        <f ca="1">IFERROR(__xludf.DUMMYFUNCTION("""COMPUTED_VALUE"""),-0.293711654895889)</f>
        <v>-0.29371165489588902</v>
      </c>
      <c r="KR8" s="3">
        <f ca="1">IFERROR(__xludf.DUMMYFUNCTION("""COMPUTED_VALUE"""),-0.387149957422951)</f>
        <v>-0.387149957422951</v>
      </c>
      <c r="KS8" s="3">
        <f ca="1">IFERROR(__xludf.DUMMYFUNCTION("""COMPUTED_VALUE"""),-0.378262130633245)</f>
        <v>-0.37826213063324499</v>
      </c>
      <c r="KT8" s="3">
        <f ca="1">IFERROR(__xludf.DUMMYFUNCTION("""COMPUTED_VALUE"""),-0.510260041972423)</f>
        <v>-0.51026004197242303</v>
      </c>
      <c r="KU8" s="3">
        <f ca="1">IFERROR(__xludf.DUMMYFUNCTION("""COMPUTED_VALUE"""),-0.453281956668996)</f>
        <v>-0.45328195666899601</v>
      </c>
      <c r="KV8" s="3">
        <f ca="1">IFERROR(__xludf.DUMMYFUNCTION("""COMPUTED_VALUE"""),-0.447653805471234)</f>
        <v>-0.44765380547123401</v>
      </c>
      <c r="KW8" s="3">
        <f ca="1">IFERROR(__xludf.DUMMYFUNCTION("""COMPUTED_VALUE"""),-0.477938539524316)</f>
        <v>-0.47793853952431598</v>
      </c>
      <c r="KX8" s="3">
        <f ca="1">IFERROR(__xludf.DUMMYFUNCTION("""COMPUTED_VALUE"""),-0.280786875858085)</f>
        <v>-0.28078687585808498</v>
      </c>
      <c r="KY8" s="3">
        <f ca="1">IFERROR(__xludf.DUMMYFUNCTION("""COMPUTED_VALUE"""),-0.345760815153984)</f>
        <v>-0.34576081515398399</v>
      </c>
      <c r="KZ8" s="3">
        <f ca="1">IFERROR(__xludf.DUMMYFUNCTION("""COMPUTED_VALUE"""),-0.483282494377846)</f>
        <v>-0.48328249437784598</v>
      </c>
      <c r="LA8" s="3">
        <f ca="1">IFERROR(__xludf.DUMMYFUNCTION("""COMPUTED_VALUE"""),-0.51638346444931)</f>
        <v>-0.51638346444931005</v>
      </c>
      <c r="LB8" s="3">
        <f ca="1">IFERROR(__xludf.DUMMYFUNCTION("""COMPUTED_VALUE"""),-0.546956471644745)</f>
        <v>-0.54695647164474503</v>
      </c>
      <c r="LC8" s="3">
        <f ca="1">IFERROR(__xludf.DUMMYFUNCTION("""COMPUTED_VALUE"""),-0.533629508516273)</f>
        <v>-0.533629508516273</v>
      </c>
      <c r="LD8" s="3">
        <f ca="1">IFERROR(__xludf.DUMMYFUNCTION("""COMPUTED_VALUE"""),-0.498323598530816)</f>
        <v>-0.49832359853081598</v>
      </c>
      <c r="LE8" s="3">
        <f ca="1">IFERROR(__xludf.DUMMYFUNCTION("""COMPUTED_VALUE"""),-0.504642384858587)</f>
        <v>-0.50464238485858703</v>
      </c>
      <c r="LF8" s="3">
        <f ca="1">IFERROR(__xludf.DUMMYFUNCTION("""COMPUTED_VALUE"""),-0.558500500009144)</f>
        <v>-0.55850050000914397</v>
      </c>
      <c r="LG8" s="3">
        <f ca="1">IFERROR(__xludf.DUMMYFUNCTION("""COMPUTED_VALUE"""),-0.499388101156875)</f>
        <v>-0.49938810115687499</v>
      </c>
      <c r="LH8" s="3">
        <f ca="1">IFERROR(__xludf.DUMMYFUNCTION("""COMPUTED_VALUE"""),-0.507233290109327)</f>
        <v>-0.50723329010932705</v>
      </c>
      <c r="LI8" s="3">
        <f ca="1">IFERROR(__xludf.DUMMYFUNCTION("""COMPUTED_VALUE"""),-0.571487647589042)</f>
        <v>-0.57148764758904202</v>
      </c>
      <c r="LJ8" s="3">
        <f ca="1">IFERROR(__xludf.DUMMYFUNCTION("""COMPUTED_VALUE"""),-0.556892396428994)</f>
        <v>-0.55689239642899402</v>
      </c>
      <c r="LK8" s="3">
        <f ca="1">IFERROR(__xludf.DUMMYFUNCTION("""COMPUTED_VALUE"""),-0.560074744869268)</f>
        <v>-0.560074744869268</v>
      </c>
      <c r="LL8" s="3">
        <f ca="1">IFERROR(__xludf.DUMMYFUNCTION("""COMPUTED_VALUE"""),-0.545922284948944)</f>
        <v>-0.54592228494894401</v>
      </c>
      <c r="LM8" s="3">
        <f ca="1">IFERROR(__xludf.DUMMYFUNCTION("""COMPUTED_VALUE"""),-0.635407789072725)</f>
        <v>-0.63540778907272499</v>
      </c>
      <c r="LN8" s="3">
        <f ca="1">IFERROR(__xludf.DUMMYFUNCTION("""COMPUTED_VALUE"""),-0.660784128156371)</f>
        <v>-0.660784128156371</v>
      </c>
      <c r="LO8" s="3">
        <f ca="1">IFERROR(__xludf.DUMMYFUNCTION("""COMPUTED_VALUE"""),-0.649838378356933)</f>
        <v>-0.64983837835693303</v>
      </c>
      <c r="LP8" s="3">
        <f ca="1">IFERROR(__xludf.DUMMYFUNCTION("""COMPUTED_VALUE"""),-0.601110054931357)</f>
        <v>-0.60111005493135705</v>
      </c>
      <c r="LQ8" s="3">
        <f ca="1">IFERROR(__xludf.DUMMYFUNCTION("""COMPUTED_VALUE"""),-0.679235069176469)</f>
        <v>-0.67923506917646903</v>
      </c>
      <c r="LR8" s="3">
        <f ca="1">IFERROR(__xludf.DUMMYFUNCTION("""COMPUTED_VALUE"""),-0.623361261613825)</f>
        <v>-0.62336126161382499</v>
      </c>
      <c r="LS8" s="3">
        <f ca="1">IFERROR(__xludf.DUMMYFUNCTION("""COMPUTED_VALUE"""),-0.649692601046844)</f>
        <v>-0.64969260104684401</v>
      </c>
      <c r="LT8" s="3">
        <f ca="1">IFERROR(__xludf.DUMMYFUNCTION("""COMPUTED_VALUE"""),-0.660758896132111)</f>
        <v>-0.66075889613211103</v>
      </c>
      <c r="LU8" s="3">
        <f ca="1">IFERROR(__xludf.DUMMYFUNCTION("""COMPUTED_VALUE"""),-0.666972262855855)</f>
        <v>-0.66697226285585498</v>
      </c>
      <c r="LV8" s="3">
        <f ca="1">IFERROR(__xludf.DUMMYFUNCTION("""COMPUTED_VALUE"""),-0.64964559751587)</f>
        <v>-0.64964559751587003</v>
      </c>
      <c r="LW8" s="3">
        <f ca="1">IFERROR(__xludf.DUMMYFUNCTION("""COMPUTED_VALUE"""),-0.661416000950062)</f>
        <v>-0.66141600095006203</v>
      </c>
      <c r="LX8" s="3">
        <f ca="1">IFERROR(__xludf.DUMMYFUNCTION("""COMPUTED_VALUE"""),-0.675393926069747)</f>
        <v>-0.67539392606974702</v>
      </c>
      <c r="LY8" s="3">
        <f ca="1">IFERROR(__xludf.DUMMYFUNCTION("""COMPUTED_VALUE"""),-0.631717304788038)</f>
        <v>-0.631717304788038</v>
      </c>
      <c r="LZ8" s="3">
        <f ca="1">IFERROR(__xludf.DUMMYFUNCTION("""COMPUTED_VALUE"""),-0.725774249211597)</f>
        <v>-0.72577424921159694</v>
      </c>
      <c r="MA8" s="3">
        <f ca="1">IFERROR(__xludf.DUMMYFUNCTION("""COMPUTED_VALUE"""),-0.720799981257751)</f>
        <v>-0.72079998125775102</v>
      </c>
      <c r="MB8" s="3">
        <f ca="1">IFERROR(__xludf.DUMMYFUNCTION("""COMPUTED_VALUE"""),-0.747045268083153)</f>
        <v>-0.74704526808315297</v>
      </c>
      <c r="MC8" s="3">
        <f ca="1">IFERROR(__xludf.DUMMYFUNCTION("""COMPUTED_VALUE"""),-0.799706705086181)</f>
        <v>-0.79970670508618102</v>
      </c>
      <c r="MD8" s="3">
        <f ca="1">IFERROR(__xludf.DUMMYFUNCTION("""COMPUTED_VALUE"""),-0.713520233773659)</f>
        <v>-0.71352023377365903</v>
      </c>
      <c r="ME8" s="3">
        <f ca="1">IFERROR(__xludf.DUMMYFUNCTION("""COMPUTED_VALUE"""),-0.789917887312403)</f>
        <v>-0.78991788731240298</v>
      </c>
      <c r="MF8" s="3">
        <f ca="1">IFERROR(__xludf.DUMMYFUNCTION("""COMPUTED_VALUE"""),-0.758991076237838)</f>
        <v>-0.75899107623783801</v>
      </c>
      <c r="MG8" s="3">
        <f ca="1">IFERROR(__xludf.DUMMYFUNCTION("""COMPUTED_VALUE"""),-0.727550586242549)</f>
        <v>-0.72755058624254898</v>
      </c>
      <c r="MH8" s="3">
        <f ca="1">IFERROR(__xludf.DUMMYFUNCTION("""COMPUTED_VALUE"""),-0.768775674961761)</f>
        <v>-0.76877567496176102</v>
      </c>
      <c r="MI8" s="3">
        <f ca="1">IFERROR(__xludf.DUMMYFUNCTION("""COMPUTED_VALUE"""),-0.774112527397572)</f>
        <v>-0.77411252739757197</v>
      </c>
      <c r="MJ8" s="3">
        <f ca="1">IFERROR(__xludf.DUMMYFUNCTION("""COMPUTED_VALUE"""),-0.744823714164278)</f>
        <v>-0.74482371416427795</v>
      </c>
      <c r="MK8" s="3">
        <f ca="1">IFERROR(__xludf.DUMMYFUNCTION("""COMPUTED_VALUE"""),-0.783195312766428)</f>
        <v>-0.78319531276642795</v>
      </c>
      <c r="ML8" s="3">
        <f ca="1">IFERROR(__xludf.DUMMYFUNCTION("""COMPUTED_VALUE"""),-0.725488004210445)</f>
        <v>-0.72548800421044501</v>
      </c>
      <c r="MM8" s="3">
        <f ca="1">IFERROR(__xludf.DUMMYFUNCTION("""COMPUTED_VALUE"""),-0.643525404899746)</f>
        <v>-0.64352540489974597</v>
      </c>
      <c r="MN8" s="3">
        <f ca="1">IFERROR(__xludf.DUMMYFUNCTION("""COMPUTED_VALUE"""),-0.810803071440389)</f>
        <v>-0.81080307144038899</v>
      </c>
      <c r="MO8" s="3">
        <f ca="1">IFERROR(__xludf.DUMMYFUNCTION("""COMPUTED_VALUE"""),-0.798356288705228)</f>
        <v>-0.79835628870522801</v>
      </c>
      <c r="MP8" s="3">
        <f ca="1">IFERROR(__xludf.DUMMYFUNCTION("""COMPUTED_VALUE"""),-0.71805588725001)</f>
        <v>-0.71805588725001002</v>
      </c>
      <c r="MQ8" s="3">
        <f ca="1">IFERROR(__xludf.DUMMYFUNCTION("""COMPUTED_VALUE"""),-0.747483168085821)</f>
        <v>-0.74748316808582105</v>
      </c>
      <c r="MR8" s="3">
        <f ca="1">IFERROR(__xludf.DUMMYFUNCTION("""COMPUTED_VALUE"""),-0.796217841088901)</f>
        <v>-0.79621784108890103</v>
      </c>
      <c r="MS8" s="3">
        <f ca="1">IFERROR(__xludf.DUMMYFUNCTION("""COMPUTED_VALUE"""),-0.755294324584265)</f>
        <v>-0.75529432458426504</v>
      </c>
      <c r="MT8" s="3">
        <f ca="1">IFERROR(__xludf.DUMMYFUNCTION("""COMPUTED_VALUE"""),-0.728966865891487)</f>
        <v>-0.72896686589148696</v>
      </c>
      <c r="MU8" s="3">
        <f ca="1">IFERROR(__xludf.DUMMYFUNCTION("""COMPUTED_VALUE"""),-0.799987311902858)</f>
        <v>-0.79998731190285799</v>
      </c>
      <c r="MV8" s="3">
        <f ca="1">IFERROR(__xludf.DUMMYFUNCTION("""COMPUTED_VALUE"""),-0.770748413912264)</f>
        <v>-0.77074841391226401</v>
      </c>
      <c r="MW8" s="3">
        <f ca="1">IFERROR(__xludf.DUMMYFUNCTION("""COMPUTED_VALUE"""),-0.76080825640095)</f>
        <v>-0.76080825640094996</v>
      </c>
      <c r="MX8" s="3">
        <f ca="1">IFERROR(__xludf.DUMMYFUNCTION("""COMPUTED_VALUE"""),-0.748165264467183)</f>
        <v>-0.74816526446718301</v>
      </c>
      <c r="MY8" s="3">
        <f ca="1">IFERROR(__xludf.DUMMYFUNCTION("""COMPUTED_VALUE"""),-0.811169057037697)</f>
        <v>-0.81116905703769704</v>
      </c>
      <c r="MZ8" s="3">
        <f ca="1">IFERROR(__xludf.DUMMYFUNCTION("""COMPUTED_VALUE"""),-0.819815847480624)</f>
        <v>-0.81981584748062397</v>
      </c>
      <c r="NA8" s="3">
        <f ca="1">IFERROR(__xludf.DUMMYFUNCTION("""COMPUTED_VALUE"""),-0.842723402690813)</f>
        <v>-0.84272340269081303</v>
      </c>
      <c r="NB8" s="3">
        <f ca="1">IFERROR(__xludf.DUMMYFUNCTION("""COMPUTED_VALUE"""),-0.809682527424175)</f>
        <v>-0.80968252742417501</v>
      </c>
      <c r="NC8" s="3">
        <f ca="1">IFERROR(__xludf.DUMMYFUNCTION("""COMPUTED_VALUE"""),-0.854829901452318)</f>
        <v>-0.85482990145231796</v>
      </c>
      <c r="ND8" s="3">
        <f ca="1">IFERROR(__xludf.DUMMYFUNCTION("""COMPUTED_VALUE"""),-0.831354638502153)</f>
        <v>-0.83135463850215296</v>
      </c>
      <c r="NE8" s="3">
        <f ca="1">IFERROR(__xludf.DUMMYFUNCTION("""COMPUTED_VALUE"""),-0.828956361088903)</f>
        <v>-0.82895636108890303</v>
      </c>
      <c r="NF8" s="3">
        <f ca="1">IFERROR(__xludf.DUMMYFUNCTION("""COMPUTED_VALUE"""),-0.802760014471918)</f>
        <v>-0.80276001447191803</v>
      </c>
      <c r="NG8" s="3">
        <f ca="1">IFERROR(__xludf.DUMMYFUNCTION("""COMPUTED_VALUE"""),-0.811983886749051)</f>
        <v>-0.81198388674905098</v>
      </c>
      <c r="NH8" s="3">
        <f ca="1">IFERROR(__xludf.DUMMYFUNCTION("""COMPUTED_VALUE"""),-0.760937255301383)</f>
        <v>-0.76093725530138301</v>
      </c>
      <c r="NI8" s="3">
        <f ca="1">IFERROR(__xludf.DUMMYFUNCTION("""COMPUTED_VALUE"""),-0.779623175163645)</f>
        <v>-0.77962317516364499</v>
      </c>
      <c r="NJ8" s="3">
        <f ca="1">IFERROR(__xludf.DUMMYFUNCTION("""COMPUTED_VALUE"""),-0.78954800214549)</f>
        <v>-0.78954800214549004</v>
      </c>
      <c r="NK8" s="3">
        <f ca="1">IFERROR(__xludf.DUMMYFUNCTION("""COMPUTED_VALUE"""),-0.832616552570947)</f>
        <v>-0.83261655257094702</v>
      </c>
      <c r="NL8" s="3">
        <f ca="1">IFERROR(__xludf.DUMMYFUNCTION("""COMPUTED_VALUE"""),-0.773440633762571)</f>
        <v>-0.77344063376257099</v>
      </c>
      <c r="NM8" s="3">
        <f ca="1">IFERROR(__xludf.DUMMYFUNCTION("""COMPUTED_VALUE"""),-0.758796645623869)</f>
        <v>-0.75879664562386895</v>
      </c>
      <c r="NN8" s="3">
        <f ca="1">IFERROR(__xludf.DUMMYFUNCTION("""COMPUTED_VALUE"""),-0.812959366731712)</f>
        <v>-0.81295936673171199</v>
      </c>
      <c r="NO8" s="3">
        <f ca="1">IFERROR(__xludf.DUMMYFUNCTION("""COMPUTED_VALUE"""),-0.783661944273741)</f>
        <v>-0.78366194427374103</v>
      </c>
      <c r="NP8" s="3">
        <f ca="1">IFERROR(__xludf.DUMMYFUNCTION("""COMPUTED_VALUE"""),-0.738821578194014)</f>
        <v>-0.73882157819401395</v>
      </c>
      <c r="NQ8" s="3">
        <f ca="1">IFERROR(__xludf.DUMMYFUNCTION("""COMPUTED_VALUE"""),-0.692471700769743)</f>
        <v>-0.69247170076974296</v>
      </c>
      <c r="NR8" s="3">
        <f ca="1">IFERROR(__xludf.DUMMYFUNCTION("""COMPUTED_VALUE"""),-0.687651837422103)</f>
        <v>-0.68765183742210301</v>
      </c>
      <c r="NS8" s="3">
        <f ca="1">IFERROR(__xludf.DUMMYFUNCTION("""COMPUTED_VALUE"""),-0.682822026915766)</f>
        <v>-0.68282202691576599</v>
      </c>
      <c r="NT8" s="3">
        <f ca="1">IFERROR(__xludf.DUMMYFUNCTION("""COMPUTED_VALUE"""),-0.577676985028445)</f>
        <v>-0.577676985028445</v>
      </c>
      <c r="NU8" s="3">
        <f ca="1">IFERROR(__xludf.DUMMYFUNCTION("""COMPUTED_VALUE"""),-0.529721521070556)</f>
        <v>-0.52972152107055603</v>
      </c>
      <c r="NV8" s="3">
        <f ca="1">IFERROR(__xludf.DUMMYFUNCTION("""COMPUTED_VALUE"""),-0.435306237506739)</f>
        <v>-0.43530623750673902</v>
      </c>
      <c r="NW8" s="3">
        <f ca="1">IFERROR(__xludf.DUMMYFUNCTION("""COMPUTED_VALUE"""),-0.248658567858156)</f>
        <v>-0.24865856785815599</v>
      </c>
      <c r="NX8" s="3">
        <f ca="1">IFERROR(__xludf.DUMMYFUNCTION("""COMPUTED_VALUE"""),-0.31827334194684)</f>
        <v>-0.31827334194683998</v>
      </c>
      <c r="NY8" s="3">
        <f ca="1">IFERROR(__xludf.DUMMYFUNCTION("""COMPUTED_VALUE"""),-0.291717326863377)</f>
        <v>-0.29171732686337698</v>
      </c>
      <c r="NZ8" s="3">
        <f ca="1">IFERROR(__xludf.DUMMYFUNCTION("""COMPUTED_VALUE"""),-0.339503798896708)</f>
        <v>-0.33950379889670801</v>
      </c>
      <c r="OA8" s="3">
        <f ca="1">IFERROR(__xludf.DUMMYFUNCTION("""COMPUTED_VALUE"""),-0.175283946129863)</f>
        <v>-0.17528394612986301</v>
      </c>
      <c r="OB8" s="3">
        <f ca="1">IFERROR(__xludf.DUMMYFUNCTION("""COMPUTED_VALUE"""),-0.160357686239826)</f>
        <v>-0.16035768623982599</v>
      </c>
      <c r="OC8" s="3">
        <f ca="1">IFERROR(__xludf.DUMMYFUNCTION("""COMPUTED_VALUE"""),-0.103632601515612)</f>
        <v>-0.103632601515612</v>
      </c>
      <c r="OD8" s="3">
        <f ca="1">IFERROR(__xludf.DUMMYFUNCTION("""COMPUTED_VALUE"""),-0.0969822298134389)</f>
        <v>-9.6982229813438903E-2</v>
      </c>
      <c r="OE8" s="3">
        <f ca="1">IFERROR(__xludf.DUMMYFUNCTION("""COMPUTED_VALUE"""),-0.0970864441130167)</f>
        <v>-9.7086444113016701E-2</v>
      </c>
      <c r="OF8" s="3">
        <f ca="1">IFERROR(__xludf.DUMMYFUNCTION("""COMPUTED_VALUE"""),-0.0266721694581975)</f>
        <v>-2.66721694581975E-2</v>
      </c>
      <c r="OG8" s="3">
        <f ca="1">IFERROR(__xludf.DUMMYFUNCTION("""COMPUTED_VALUE"""),-0.0310922005618081)</f>
        <v>-3.10922005618081E-2</v>
      </c>
      <c r="OH8" s="3">
        <f ca="1">IFERROR(__xludf.DUMMYFUNCTION("""COMPUTED_VALUE"""),0.0733821319341379)</f>
        <v>7.3382131934137895E-2</v>
      </c>
      <c r="OI8" s="3">
        <f ca="1">IFERROR(__xludf.DUMMYFUNCTION("""COMPUTED_VALUE"""),0.0842107504030369)</f>
        <v>8.4210750403036896E-2</v>
      </c>
      <c r="OJ8" s="3">
        <f ca="1">IFERROR(__xludf.DUMMYFUNCTION("""COMPUTED_VALUE"""),-0.0614455977421043)</f>
        <v>-6.1445597742104299E-2</v>
      </c>
      <c r="OK8" s="3">
        <f ca="1">IFERROR(__xludf.DUMMYFUNCTION("""COMPUTED_VALUE"""),-0.106393881028049)</f>
        <v>-0.106393881028049</v>
      </c>
      <c r="OL8" s="3">
        <f ca="1">IFERROR(__xludf.DUMMYFUNCTION("""COMPUTED_VALUE"""),0.0648697218014233)</f>
        <v>6.4869721801423294E-2</v>
      </c>
      <c r="OM8" s="3">
        <f ca="1">IFERROR(__xludf.DUMMYFUNCTION("""COMPUTED_VALUE"""),0.0275117392788262)</f>
        <v>2.7511739278826199E-2</v>
      </c>
      <c r="ON8" s="3">
        <f ca="1">IFERROR(__xludf.DUMMYFUNCTION("""COMPUTED_VALUE"""),-0.051817218488506)</f>
        <v>-5.1817218488505998E-2</v>
      </c>
      <c r="OO8" s="3">
        <f ca="1">IFERROR(__xludf.DUMMYFUNCTION("""COMPUTED_VALUE"""),-0.0196633842843376)</f>
        <v>-1.9663384284337601E-2</v>
      </c>
      <c r="OP8" s="3">
        <f ca="1">IFERROR(__xludf.DUMMYFUNCTION("""COMPUTED_VALUE"""),0.163393387734641)</f>
        <v>0.16339338773464099</v>
      </c>
      <c r="OQ8" s="3">
        <f ca="1">IFERROR(__xludf.DUMMYFUNCTION("""COMPUTED_VALUE"""),0.0621177082382833)</f>
        <v>6.2117708238283303E-2</v>
      </c>
      <c r="OR8" s="3">
        <f ca="1">IFERROR(__xludf.DUMMYFUNCTION("""COMPUTED_VALUE"""),0.102586197687411)</f>
        <v>0.10258619768741099</v>
      </c>
      <c r="OS8" s="3">
        <f ca="1">IFERROR(__xludf.DUMMYFUNCTION("""COMPUTED_VALUE"""),0.0511271600881155)</f>
        <v>5.1127160088115499E-2</v>
      </c>
      <c r="OT8" s="3">
        <f ca="1">IFERROR(__xludf.DUMMYFUNCTION("""COMPUTED_VALUE"""),0.0939231211142794)</f>
        <v>9.3923121114279404E-2</v>
      </c>
      <c r="OU8" s="3">
        <f ca="1">IFERROR(__xludf.DUMMYFUNCTION("""COMPUTED_VALUE"""),0.0142945990515004)</f>
        <v>1.4294599051500399E-2</v>
      </c>
      <c r="OV8" s="3">
        <f ca="1">IFERROR(__xludf.DUMMYFUNCTION("""COMPUTED_VALUE"""),0.0354492288763921)</f>
        <v>3.5449228876392097E-2</v>
      </c>
      <c r="OW8" s="3">
        <f ca="1">IFERROR(__xludf.DUMMYFUNCTION("""COMPUTED_VALUE"""),0.044483478657189)</f>
        <v>4.4483478657188998E-2</v>
      </c>
      <c r="OX8" s="3">
        <f ca="1">IFERROR(__xludf.DUMMYFUNCTION("""COMPUTED_VALUE"""),0.00164115171620893)</f>
        <v>1.64115171620893E-3</v>
      </c>
      <c r="OY8" s="3">
        <f ca="1">IFERROR(__xludf.DUMMYFUNCTION("""COMPUTED_VALUE"""),-0.0313752976905541)</f>
        <v>-3.1375297690554103E-2</v>
      </c>
      <c r="OZ8" s="3">
        <f ca="1">IFERROR(__xludf.DUMMYFUNCTION("""COMPUTED_VALUE"""),0.0173632327625141)</f>
        <v>1.73632327625141E-2</v>
      </c>
      <c r="PA8" s="3">
        <f ca="1">IFERROR(__xludf.DUMMYFUNCTION("""COMPUTED_VALUE"""),-0.0135101420398856)</f>
        <v>-1.3510142039885599E-2</v>
      </c>
      <c r="PB8" s="3">
        <f ca="1">IFERROR(__xludf.DUMMYFUNCTION("""COMPUTED_VALUE"""),-0.0577301381228548)</f>
        <v>-5.7730138122854803E-2</v>
      </c>
      <c r="PC8" s="3">
        <f ca="1">IFERROR(__xludf.DUMMYFUNCTION("""COMPUTED_VALUE"""),0.044241049588257)</f>
        <v>4.4241049588257003E-2</v>
      </c>
      <c r="PD8" s="3">
        <f ca="1">IFERROR(__xludf.DUMMYFUNCTION("""COMPUTED_VALUE"""),0.0470997054895119)</f>
        <v>4.7099705489511902E-2</v>
      </c>
      <c r="PE8" s="3">
        <f ca="1">IFERROR(__xludf.DUMMYFUNCTION("""COMPUTED_VALUE"""),-0.00325230051471459)</f>
        <v>-3.25230051471459E-3</v>
      </c>
      <c r="PF8" s="3">
        <f ca="1">IFERROR(__xludf.DUMMYFUNCTION("""COMPUTED_VALUE"""),0.117382999379116)</f>
        <v>0.117382999379116</v>
      </c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</row>
    <row r="9" spans="1:594" ht="15.75" customHeight="1">
      <c r="A9" s="1" t="str">
        <f ca="1">IFERROR(__xludf.DUMMYFUNCTION("""COMPUTED_VALUE"""),"Buffalo")</f>
        <v>Buffalo</v>
      </c>
      <c r="B9" s="3">
        <f ca="1">IFERROR(__xludf.DUMMYFUNCTION("""COMPUTED_VALUE"""),-0.415572425090578)</f>
        <v>-0.41557242509057801</v>
      </c>
      <c r="C9" s="3">
        <f ca="1">IFERROR(__xludf.DUMMYFUNCTION("""COMPUTED_VALUE"""),-0.53728755558044)</f>
        <v>-0.53728755558043995</v>
      </c>
      <c r="D9" s="3">
        <f ca="1">IFERROR(__xludf.DUMMYFUNCTION("""COMPUTED_VALUE"""),-0.50112545335483)</f>
        <v>-0.50112545335483005</v>
      </c>
      <c r="E9" s="3">
        <f ca="1">IFERROR(__xludf.DUMMYFUNCTION("""COMPUTED_VALUE"""),-0.551836093688629)</f>
        <v>-0.55183609368862896</v>
      </c>
      <c r="F9" s="3">
        <f ca="1">IFERROR(__xludf.DUMMYFUNCTION("""COMPUTED_VALUE"""),-0.565326428132128)</f>
        <v>-0.56532642813212797</v>
      </c>
      <c r="G9" s="3">
        <f ca="1">IFERROR(__xludf.DUMMYFUNCTION("""COMPUTED_VALUE"""),-0.610777327765298)</f>
        <v>-0.61077732776529803</v>
      </c>
      <c r="H9" s="3">
        <f ca="1">IFERROR(__xludf.DUMMYFUNCTION("""COMPUTED_VALUE"""),-0.493295095579477)</f>
        <v>-0.49329509557947698</v>
      </c>
      <c r="I9" s="3">
        <f ca="1">IFERROR(__xludf.DUMMYFUNCTION("""COMPUTED_VALUE"""),-0.506050004508906)</f>
        <v>-0.50605000450890603</v>
      </c>
      <c r="J9" s="3">
        <f ca="1">IFERROR(__xludf.DUMMYFUNCTION("""COMPUTED_VALUE"""),-0.597546408161092)</f>
        <v>-0.59754640816109195</v>
      </c>
      <c r="K9" s="3">
        <f ca="1">IFERROR(__xludf.DUMMYFUNCTION("""COMPUTED_VALUE"""),-0.476357277844514)</f>
        <v>-0.47635727784451398</v>
      </c>
      <c r="L9" s="3">
        <f ca="1">IFERROR(__xludf.DUMMYFUNCTION("""COMPUTED_VALUE"""),-0.551365075316047)</f>
        <v>-0.55136507531604695</v>
      </c>
      <c r="M9" s="3">
        <f ca="1">IFERROR(__xludf.DUMMYFUNCTION("""COMPUTED_VALUE"""),-0.496511895685973)</f>
        <v>-0.49651189568597298</v>
      </c>
      <c r="N9" s="3">
        <f ca="1">IFERROR(__xludf.DUMMYFUNCTION("""COMPUTED_VALUE"""),-0.544490383498)</f>
        <v>-0.54449038349800005</v>
      </c>
      <c r="O9" s="3">
        <f ca="1">IFERROR(__xludf.DUMMYFUNCTION("""COMPUTED_VALUE"""),-0.509709505012957)</f>
        <v>-0.50970950501295698</v>
      </c>
      <c r="P9" s="3">
        <f ca="1">IFERROR(__xludf.DUMMYFUNCTION("""COMPUTED_VALUE"""),-0.407407033953494)</f>
        <v>-0.40740703395349398</v>
      </c>
      <c r="Q9" s="3">
        <f ca="1">IFERROR(__xludf.DUMMYFUNCTION("""COMPUTED_VALUE"""),-0.583474965584527)</f>
        <v>-0.58347496558452705</v>
      </c>
      <c r="R9" s="3">
        <f ca="1">IFERROR(__xludf.DUMMYFUNCTION("""COMPUTED_VALUE"""),-0.527600864825213)</f>
        <v>-0.52760086482521296</v>
      </c>
      <c r="S9" s="3">
        <f ca="1">IFERROR(__xludf.DUMMYFUNCTION("""COMPUTED_VALUE"""),-0.523643837800078)</f>
        <v>-0.52364383780007795</v>
      </c>
      <c r="T9" s="3">
        <f ca="1">IFERROR(__xludf.DUMMYFUNCTION("""COMPUTED_VALUE"""),-0.527824623764572)</f>
        <v>-0.52782462376457195</v>
      </c>
      <c r="U9" s="3">
        <f ca="1">IFERROR(__xludf.DUMMYFUNCTION("""COMPUTED_VALUE"""),-0.530536527360006)</f>
        <v>-0.530536527360006</v>
      </c>
      <c r="V9" s="3">
        <f ca="1">IFERROR(__xludf.DUMMYFUNCTION("""COMPUTED_VALUE"""),-0.401729160020746)</f>
        <v>-0.40172916002074599</v>
      </c>
      <c r="W9" s="3">
        <f ca="1">IFERROR(__xludf.DUMMYFUNCTION("""COMPUTED_VALUE"""),-0.445419812274041)</f>
        <v>-0.44541981227404098</v>
      </c>
      <c r="X9" s="3">
        <f ca="1">IFERROR(__xludf.DUMMYFUNCTION("""COMPUTED_VALUE"""),-0.551094342950489)</f>
        <v>-0.55109434295048898</v>
      </c>
      <c r="Y9" s="3">
        <f ca="1">IFERROR(__xludf.DUMMYFUNCTION("""COMPUTED_VALUE"""),-0.590360074479547)</f>
        <v>-0.59036007447954697</v>
      </c>
      <c r="Z9" s="3">
        <f ca="1">IFERROR(__xludf.DUMMYFUNCTION("""COMPUTED_VALUE"""),-0.564495349314512)</f>
        <v>-0.56449534931451195</v>
      </c>
      <c r="AA9" s="3">
        <f ca="1">IFERROR(__xludf.DUMMYFUNCTION("""COMPUTED_VALUE"""),-0.600916529242245)</f>
        <v>-0.60091652924224503</v>
      </c>
      <c r="AB9" s="3">
        <f ca="1">IFERROR(__xludf.DUMMYFUNCTION("""COMPUTED_VALUE"""),-0.595181331882455)</f>
        <v>-0.59518133188245503</v>
      </c>
      <c r="AC9" s="3">
        <f ca="1">IFERROR(__xludf.DUMMYFUNCTION("""COMPUTED_VALUE"""),-0.489759303047353)</f>
        <v>-0.48975930304735299</v>
      </c>
      <c r="AD9" s="3">
        <f ca="1">IFERROR(__xludf.DUMMYFUNCTION("""COMPUTED_VALUE"""),-0.488617639359256)</f>
        <v>-0.48861763935925601</v>
      </c>
      <c r="AE9" s="3">
        <f ca="1">IFERROR(__xludf.DUMMYFUNCTION("""COMPUTED_VALUE"""),-0.559195401750804)</f>
        <v>-0.55919540175080396</v>
      </c>
      <c r="AF9" s="3">
        <f ca="1">IFERROR(__xludf.DUMMYFUNCTION("""COMPUTED_VALUE"""),-0.560946708030567)</f>
        <v>-0.56094670803056701</v>
      </c>
      <c r="AG9" s="3">
        <f ca="1">IFERROR(__xludf.DUMMYFUNCTION("""COMPUTED_VALUE"""),-0.562713595452879)</f>
        <v>-0.56271359545287902</v>
      </c>
      <c r="AH9" s="3">
        <f ca="1">IFERROR(__xludf.DUMMYFUNCTION("""COMPUTED_VALUE"""),-0.57343477878211)</f>
        <v>-0.57343477878211002</v>
      </c>
      <c r="AI9" s="3">
        <f ca="1">IFERROR(__xludf.DUMMYFUNCTION("""COMPUTED_VALUE"""),-0.590830013823749)</f>
        <v>-0.590830013823749</v>
      </c>
      <c r="AJ9" s="3">
        <f ca="1">IFERROR(__xludf.DUMMYFUNCTION("""COMPUTED_VALUE"""),-0.48445357513023)</f>
        <v>-0.48445357513023002</v>
      </c>
      <c r="AK9" s="3">
        <f ca="1">IFERROR(__xludf.DUMMYFUNCTION("""COMPUTED_VALUE"""),-0.529702756464594)</f>
        <v>-0.52970275646459397</v>
      </c>
      <c r="AL9" s="3">
        <f ca="1">IFERROR(__xludf.DUMMYFUNCTION("""COMPUTED_VALUE"""),-0.578175827698115)</f>
        <v>-0.57817582769811504</v>
      </c>
      <c r="AM9" s="3">
        <f ca="1">IFERROR(__xludf.DUMMYFUNCTION("""COMPUTED_VALUE"""),-0.59451044846304)</f>
        <v>-0.59451044846304002</v>
      </c>
      <c r="AN9" s="3">
        <f ca="1">IFERROR(__xludf.DUMMYFUNCTION("""COMPUTED_VALUE"""),-0.590728774863251)</f>
        <v>-0.59072877486325104</v>
      </c>
      <c r="AO9" s="3">
        <f ca="1">IFERROR(__xludf.DUMMYFUNCTION("""COMPUTED_VALUE"""),-0.580551573094177)</f>
        <v>-0.58055157309417704</v>
      </c>
      <c r="AP9" s="3">
        <f ca="1">IFERROR(__xludf.DUMMYFUNCTION("""COMPUTED_VALUE"""),-0.574507563706774)</f>
        <v>-0.57450756370677403</v>
      </c>
      <c r="AQ9" s="3">
        <f ca="1">IFERROR(__xludf.DUMMYFUNCTION("""COMPUTED_VALUE"""),-0.40427821724541)</f>
        <v>-0.40427821724541002</v>
      </c>
      <c r="AR9" s="3">
        <f ca="1">IFERROR(__xludf.DUMMYFUNCTION("""COMPUTED_VALUE"""),-0.534956274944875)</f>
        <v>-0.53495627494487497</v>
      </c>
      <c r="AS9" s="3">
        <f ca="1">IFERROR(__xludf.DUMMYFUNCTION("""COMPUTED_VALUE"""),-0.539574149120267)</f>
        <v>-0.53957414912026702</v>
      </c>
      <c r="AT9" s="3">
        <f ca="1">IFERROR(__xludf.DUMMYFUNCTION("""COMPUTED_VALUE"""),-0.566256171458758)</f>
        <v>-0.56625617145875795</v>
      </c>
      <c r="AU9" s="3">
        <f ca="1">IFERROR(__xludf.DUMMYFUNCTION("""COMPUTED_VALUE"""),-0.567939166883676)</f>
        <v>-0.56793916688367596</v>
      </c>
      <c r="AV9" s="3">
        <f ca="1">IFERROR(__xludf.DUMMYFUNCTION("""COMPUTED_VALUE"""),-0.587076706424969)</f>
        <v>-0.58707670642496901</v>
      </c>
      <c r="AW9" s="3">
        <f ca="1">IFERROR(__xludf.DUMMYFUNCTION("""COMPUTED_VALUE"""),-0.484117527042753)</f>
        <v>-0.48411752704275302</v>
      </c>
      <c r="AX9" s="3">
        <f ca="1">IFERROR(__xludf.DUMMYFUNCTION("""COMPUTED_VALUE"""),-0.509153699521082)</f>
        <v>-0.50915369952108203</v>
      </c>
      <c r="AY9" s="3">
        <f ca="1">IFERROR(__xludf.DUMMYFUNCTION("""COMPUTED_VALUE"""),-0.546428432500841)</f>
        <v>-0.54642843250084105</v>
      </c>
      <c r="AZ9" s="3">
        <f ca="1">IFERROR(__xludf.DUMMYFUNCTION("""COMPUTED_VALUE"""),-0.603572153877773)</f>
        <v>-0.60357215387777297</v>
      </c>
      <c r="BA9" s="3">
        <f ca="1">IFERROR(__xludf.DUMMYFUNCTION("""COMPUTED_VALUE"""),-0.655929941797834)</f>
        <v>-0.65592994179783404</v>
      </c>
      <c r="BB9" s="3">
        <f ca="1">IFERROR(__xludf.DUMMYFUNCTION("""COMPUTED_VALUE"""),-0.599080544665578)</f>
        <v>-0.59908054466557803</v>
      </c>
      <c r="BC9" s="3">
        <f ca="1">IFERROR(__xludf.DUMMYFUNCTION("""COMPUTED_VALUE"""),-0.64778088746269)</f>
        <v>-0.64778088746269002</v>
      </c>
      <c r="BD9" s="3">
        <f ca="1">IFERROR(__xludf.DUMMYFUNCTION("""COMPUTED_VALUE"""),-0.572632594897884)</f>
        <v>-0.57263259489788398</v>
      </c>
      <c r="BE9" s="3">
        <f ca="1">IFERROR(__xludf.DUMMYFUNCTION("""COMPUTED_VALUE"""),-0.440385255047427)</f>
        <v>-0.44038525504742698</v>
      </c>
      <c r="BF9" s="3">
        <f ca="1">IFERROR(__xludf.DUMMYFUNCTION("""COMPUTED_VALUE"""),-0.553404441932656)</f>
        <v>-0.55340444193265603</v>
      </c>
      <c r="BG9" s="3">
        <f ca="1">IFERROR(__xludf.DUMMYFUNCTION("""COMPUTED_VALUE"""),-0.494551737990387)</f>
        <v>-0.49455173799038699</v>
      </c>
      <c r="BH9" s="3">
        <f ca="1">IFERROR(__xludf.DUMMYFUNCTION("""COMPUTED_VALUE"""),-0.59120201511076)</f>
        <v>-0.59120201511075998</v>
      </c>
      <c r="BI9" s="3">
        <f ca="1">IFERROR(__xludf.DUMMYFUNCTION("""COMPUTED_VALUE"""),-0.606173015481812)</f>
        <v>-0.60617301548181202</v>
      </c>
      <c r="BJ9" s="3">
        <f ca="1">IFERROR(__xludf.DUMMYFUNCTION("""COMPUTED_VALUE"""),-0.586293573309548)</f>
        <v>-0.58629357330954801</v>
      </c>
      <c r="BK9" s="3">
        <f ca="1">IFERROR(__xludf.DUMMYFUNCTION("""COMPUTED_VALUE"""),-0.592584989129318)</f>
        <v>-0.59258498912931801</v>
      </c>
      <c r="BL9" s="3">
        <f ca="1">IFERROR(__xludf.DUMMYFUNCTION("""COMPUTED_VALUE"""),-0.53628539978975)</f>
        <v>-0.53628539978974998</v>
      </c>
      <c r="BM9" s="3">
        <f ca="1">IFERROR(__xludf.DUMMYFUNCTION("""COMPUTED_VALUE"""),-0.649137292077052)</f>
        <v>-0.64913729207705195</v>
      </c>
      <c r="BN9" s="3">
        <f ca="1">IFERROR(__xludf.DUMMYFUNCTION("""COMPUTED_VALUE"""),-0.592677183793949)</f>
        <v>-0.59267718379394896</v>
      </c>
      <c r="BO9" s="3">
        <f ca="1">IFERROR(__xludf.DUMMYFUNCTION("""COMPUTED_VALUE"""),-0.636253801103403)</f>
        <v>-0.63625380110340302</v>
      </c>
      <c r="BP9" s="3">
        <f ca="1">IFERROR(__xludf.DUMMYFUNCTION("""COMPUTED_VALUE"""),-0.665288440357848)</f>
        <v>-0.66528844035784795</v>
      </c>
      <c r="BQ9" s="3">
        <f ca="1">IFERROR(__xludf.DUMMYFUNCTION("""COMPUTED_VALUE"""),-0.640960730396451)</f>
        <v>-0.64096073039645096</v>
      </c>
      <c r="BR9" s="3">
        <f ca="1">IFERROR(__xludf.DUMMYFUNCTION("""COMPUTED_VALUE"""),-0.656278812156502)</f>
        <v>-0.65627881215650197</v>
      </c>
      <c r="BS9" s="3">
        <f ca="1">IFERROR(__xludf.DUMMYFUNCTION("""COMPUTED_VALUE"""),-0.511740176580488)</f>
        <v>-0.51174017658048798</v>
      </c>
      <c r="BT9" s="3">
        <f ca="1">IFERROR(__xludf.DUMMYFUNCTION("""COMPUTED_VALUE"""),-0.594890390485498)</f>
        <v>-0.59489039048549797</v>
      </c>
      <c r="BU9" s="3">
        <f ca="1">IFERROR(__xludf.DUMMYFUNCTION("""COMPUTED_VALUE"""),-0.662849184564168)</f>
        <v>-0.66284918456416797</v>
      </c>
      <c r="BV9" s="3">
        <f ca="1">IFERROR(__xludf.DUMMYFUNCTION("""COMPUTED_VALUE"""),-0.729887098747566)</f>
        <v>-0.72988709874756597</v>
      </c>
      <c r="BW9" s="3">
        <f ca="1">IFERROR(__xludf.DUMMYFUNCTION("""COMPUTED_VALUE"""),-0.719071828504301)</f>
        <v>-0.71907182850430096</v>
      </c>
      <c r="BX9" s="3">
        <f ca="1">IFERROR(__xludf.DUMMYFUNCTION("""COMPUTED_VALUE"""),-0.698331082265144)</f>
        <v>-0.69833108226514395</v>
      </c>
      <c r="BY9" s="3">
        <f ca="1">IFERROR(__xludf.DUMMYFUNCTION("""COMPUTED_VALUE"""),-0.659250343409756)</f>
        <v>-0.65925034340975597</v>
      </c>
      <c r="BZ9" s="3">
        <f ca="1">IFERROR(__xludf.DUMMYFUNCTION("""COMPUTED_VALUE"""),-0.477671434429566)</f>
        <v>-0.477671434429566</v>
      </c>
      <c r="CA9" s="3">
        <f ca="1">IFERROR(__xludf.DUMMYFUNCTION("""COMPUTED_VALUE"""),-0.582094568390047)</f>
        <v>-0.58209456839004703</v>
      </c>
      <c r="CB9" s="3">
        <f ca="1">IFERROR(__xludf.DUMMYFUNCTION("""COMPUTED_VALUE"""),-0.692740515040455)</f>
        <v>-0.69274051504045497</v>
      </c>
      <c r="CC9" s="3">
        <f ca="1">IFERROR(__xludf.DUMMYFUNCTION("""COMPUTED_VALUE"""),-0.693884649373946)</f>
        <v>-0.69388464937394601</v>
      </c>
      <c r="CD9" s="3">
        <f ca="1">IFERROR(__xludf.DUMMYFUNCTION("""COMPUTED_VALUE"""),-0.700550201526004)</f>
        <v>-0.700550201526004</v>
      </c>
      <c r="CE9" s="3">
        <f ca="1">IFERROR(__xludf.DUMMYFUNCTION("""COMPUTED_VALUE"""),-0.697204100837373)</f>
        <v>-0.69720410083737305</v>
      </c>
      <c r="CF9" s="3">
        <f ca="1">IFERROR(__xludf.DUMMYFUNCTION("""COMPUTED_VALUE"""),-0.662985740233371)</f>
        <v>-0.66298574023337098</v>
      </c>
      <c r="CG9" s="3">
        <f ca="1">IFERROR(__xludf.DUMMYFUNCTION("""COMPUTED_VALUE"""),-0.463025625892733)</f>
        <v>-0.46302562589273299</v>
      </c>
      <c r="CH9" s="3">
        <f ca="1">IFERROR(__xludf.DUMMYFUNCTION("""COMPUTED_VALUE"""),-0.518962875775366)</f>
        <v>-0.51896287577536604</v>
      </c>
      <c r="CI9" s="3">
        <f ca="1">IFERROR(__xludf.DUMMYFUNCTION("""COMPUTED_VALUE"""),-0.666108600163829)</f>
        <v>-0.666108600163829</v>
      </c>
      <c r="CJ9" s="3">
        <f ca="1">IFERROR(__xludf.DUMMYFUNCTION("""COMPUTED_VALUE"""),-0.702027826890745)</f>
        <v>-0.70202782689074505</v>
      </c>
      <c r="CK9" s="3">
        <f ca="1">IFERROR(__xludf.DUMMYFUNCTION("""COMPUTED_VALUE"""),-0.716133977756276)</f>
        <v>-0.71613397775627596</v>
      </c>
      <c r="CL9" s="3">
        <f ca="1">IFERROR(__xludf.DUMMYFUNCTION("""COMPUTED_VALUE"""),-0.705355841454941)</f>
        <v>-0.70535584145494101</v>
      </c>
      <c r="CM9" s="3">
        <f ca="1">IFERROR(__xludf.DUMMYFUNCTION("""COMPUTED_VALUE"""),-0.662814978860658)</f>
        <v>-0.66281497886065799</v>
      </c>
      <c r="CN9" s="3">
        <f ca="1">IFERROR(__xludf.DUMMYFUNCTION("""COMPUTED_VALUE"""),-0.526461555716686)</f>
        <v>-0.52646155571668596</v>
      </c>
      <c r="CO9" s="3">
        <f ca="1">IFERROR(__xludf.DUMMYFUNCTION("""COMPUTED_VALUE"""),-0.561627592288158)</f>
        <v>-0.56162759228815795</v>
      </c>
      <c r="CP9" s="3">
        <f ca="1">IFERROR(__xludf.DUMMYFUNCTION("""COMPUTED_VALUE"""),-0.697342322520177)</f>
        <v>-0.69734232252017703</v>
      </c>
      <c r="CQ9" s="3">
        <f ca="1">IFERROR(__xludf.DUMMYFUNCTION("""COMPUTED_VALUE"""),-0.673455033349013)</f>
        <v>-0.67345503334901302</v>
      </c>
      <c r="CR9" s="3">
        <f ca="1">IFERROR(__xludf.DUMMYFUNCTION("""COMPUTED_VALUE"""),-0.654578261793204)</f>
        <v>-0.654578261793204</v>
      </c>
      <c r="CS9" s="3">
        <f ca="1">IFERROR(__xludf.DUMMYFUNCTION("""COMPUTED_VALUE"""),-0.650483663190886)</f>
        <v>-0.65048366319088602</v>
      </c>
      <c r="CT9" s="3">
        <f ca="1">IFERROR(__xludf.DUMMYFUNCTION("""COMPUTED_VALUE"""),-0.657701586303111)</f>
        <v>-0.65770158630311104</v>
      </c>
      <c r="CU9" s="3">
        <f ca="1">IFERROR(__xludf.DUMMYFUNCTION("""COMPUTED_VALUE"""),-0.512915677496792)</f>
        <v>-0.51291567749679201</v>
      </c>
      <c r="CV9" s="3">
        <f ca="1">IFERROR(__xludf.DUMMYFUNCTION("""COMPUTED_VALUE"""),-0.59906953681302)</f>
        <v>-0.59906953681302</v>
      </c>
      <c r="CW9" s="3">
        <f ca="1">IFERROR(__xludf.DUMMYFUNCTION("""COMPUTED_VALUE"""),-0.722300700232431)</f>
        <v>-0.72230070023243098</v>
      </c>
      <c r="CX9" s="3">
        <f ca="1">IFERROR(__xludf.DUMMYFUNCTION("""COMPUTED_VALUE"""),-0.641613934602043)</f>
        <v>-0.64161393460204297</v>
      </c>
      <c r="CY9" s="3">
        <f ca="1">IFERROR(__xludf.DUMMYFUNCTION("""COMPUTED_VALUE"""),-0.566313684041543)</f>
        <v>-0.56631368404154303</v>
      </c>
      <c r="CZ9" s="3">
        <f ca="1">IFERROR(__xludf.DUMMYFUNCTION("""COMPUTED_VALUE"""),-0.600559215063756)</f>
        <v>-0.60055921506375598</v>
      </c>
      <c r="DA9" s="3">
        <f ca="1">IFERROR(__xludf.DUMMYFUNCTION("""COMPUTED_VALUE"""),-0.654189183642643)</f>
        <v>-0.654189183642643</v>
      </c>
      <c r="DB9" s="3">
        <f ca="1">IFERROR(__xludf.DUMMYFUNCTION("""COMPUTED_VALUE"""),-0.52746706017647)</f>
        <v>-0.52746706017647005</v>
      </c>
      <c r="DC9" s="3">
        <f ca="1">IFERROR(__xludf.DUMMYFUNCTION("""COMPUTED_VALUE"""),-0.599005752865723)</f>
        <v>-0.599005752865723</v>
      </c>
      <c r="DD9" s="3">
        <f ca="1">IFERROR(__xludf.DUMMYFUNCTION("""COMPUTED_VALUE"""),-0.831048465331156)</f>
        <v>-0.83104846533115595</v>
      </c>
      <c r="DE9" s="3">
        <f ca="1">IFERROR(__xludf.DUMMYFUNCTION("""COMPUTED_VALUE"""),-0.694881647069294)</f>
        <v>-0.69488164706929401</v>
      </c>
      <c r="DF9" s="3">
        <f ca="1">IFERROR(__xludf.DUMMYFUNCTION("""COMPUTED_VALUE"""),-0.51031465481927)</f>
        <v>-0.51031465481926996</v>
      </c>
      <c r="DG9" s="3">
        <f ca="1">IFERROR(__xludf.DUMMYFUNCTION("""COMPUTED_VALUE"""),-0.596815182335094)</f>
        <v>-0.59681518233509401</v>
      </c>
      <c r="DH9" s="3">
        <f ca="1">IFERROR(__xludf.DUMMYFUNCTION("""COMPUTED_VALUE"""),-0.620424514715928)</f>
        <v>-0.62042451471592797</v>
      </c>
      <c r="DI9" s="3">
        <f ca="1">IFERROR(__xludf.DUMMYFUNCTION("""COMPUTED_VALUE"""),-0.540301103835923)</f>
        <v>-0.540301103835923</v>
      </c>
      <c r="DJ9" s="3">
        <f ca="1">IFERROR(__xludf.DUMMYFUNCTION("""COMPUTED_VALUE"""),-0.52180968898178)</f>
        <v>-0.52180968898178004</v>
      </c>
      <c r="DK9" s="3">
        <f ca="1">IFERROR(__xludf.DUMMYFUNCTION("""COMPUTED_VALUE"""),-0.661825194788909)</f>
        <v>-0.661825194788909</v>
      </c>
      <c r="DL9" s="3">
        <f ca="1">IFERROR(__xludf.DUMMYFUNCTION("""COMPUTED_VALUE"""),-0.698905642050318)</f>
        <v>-0.69890564205031802</v>
      </c>
      <c r="DM9" s="3">
        <f ca="1">IFERROR(__xludf.DUMMYFUNCTION("""COMPUTED_VALUE"""),-0.609537503240077)</f>
        <v>-0.60953750324007705</v>
      </c>
      <c r="DN9" s="3">
        <f ca="1">IFERROR(__xludf.DUMMYFUNCTION("""COMPUTED_VALUE"""),-0.670062550090852)</f>
        <v>-0.67006255009085203</v>
      </c>
      <c r="DO9" s="3">
        <f ca="1">IFERROR(__xludf.DUMMYFUNCTION("""COMPUTED_VALUE"""),-0.693324503694841)</f>
        <v>-0.693324503694841</v>
      </c>
      <c r="DP9" s="3">
        <f ca="1">IFERROR(__xludf.DUMMYFUNCTION("""COMPUTED_VALUE"""),-0.545161137785016)</f>
        <v>-0.54516113778501596</v>
      </c>
      <c r="DQ9" s="3">
        <f ca="1">IFERROR(__xludf.DUMMYFUNCTION("""COMPUTED_VALUE"""),-0.59109997070131)</f>
        <v>-0.59109997070131004</v>
      </c>
      <c r="DR9" s="3">
        <f ca="1">IFERROR(__xludf.DUMMYFUNCTION("""COMPUTED_VALUE"""),-0.704094730972352)</f>
        <v>-0.70409473097235198</v>
      </c>
      <c r="DS9" s="3">
        <f ca="1">IFERROR(__xludf.DUMMYFUNCTION("""COMPUTED_VALUE"""),-0.73205112665419)</f>
        <v>-0.73205112665419003</v>
      </c>
      <c r="DT9" s="3">
        <f ca="1">IFERROR(__xludf.DUMMYFUNCTION("""COMPUTED_VALUE"""),-0.74602694261656)</f>
        <v>-0.74602694261656</v>
      </c>
      <c r="DU9" s="3">
        <f ca="1">IFERROR(__xludf.DUMMYFUNCTION("""COMPUTED_VALUE"""),-0.719102170860081)</f>
        <v>-0.71910217086008099</v>
      </c>
      <c r="DV9" s="3">
        <f ca="1">IFERROR(__xludf.DUMMYFUNCTION("""COMPUTED_VALUE"""),-0.732748363246907)</f>
        <v>-0.73274836324690695</v>
      </c>
      <c r="DW9" s="3">
        <f ca="1">IFERROR(__xludf.DUMMYFUNCTION("""COMPUTED_VALUE"""),-0.529132454039051)</f>
        <v>-0.52913245403905096</v>
      </c>
      <c r="DX9" s="3">
        <f ca="1">IFERROR(__xludf.DUMMYFUNCTION("""COMPUTED_VALUE"""),-0.548863109255959)</f>
        <v>-0.54886310925595905</v>
      </c>
      <c r="DY9" s="3">
        <f ca="1">IFERROR(__xludf.DUMMYFUNCTION("""COMPUTED_VALUE"""),-0.675394334309641)</f>
        <v>-0.67539433430964102</v>
      </c>
      <c r="DZ9" s="3">
        <f ca="1">IFERROR(__xludf.DUMMYFUNCTION("""COMPUTED_VALUE"""),-0.639822680215887)</f>
        <v>-0.63982268021588695</v>
      </c>
      <c r="EA9" s="3">
        <f ca="1">IFERROR(__xludf.DUMMYFUNCTION("""COMPUTED_VALUE"""),-0.701020727464024)</f>
        <v>-0.701020727464024</v>
      </c>
      <c r="EB9" s="3">
        <f ca="1">IFERROR(__xludf.DUMMYFUNCTION("""COMPUTED_VALUE"""),-0.700297500582092)</f>
        <v>-0.70029750058209195</v>
      </c>
      <c r="EC9" s="3">
        <f ca="1">IFERROR(__xludf.DUMMYFUNCTION("""COMPUTED_VALUE"""),-0.731383310687612)</f>
        <v>-0.73138331068761198</v>
      </c>
      <c r="ED9" s="3">
        <f ca="1">IFERROR(__xludf.DUMMYFUNCTION("""COMPUTED_VALUE"""),-0.497955820716447)</f>
        <v>-0.49795582071644701</v>
      </c>
      <c r="EE9" s="3">
        <f ca="1">IFERROR(__xludf.DUMMYFUNCTION("""COMPUTED_VALUE"""),-0.575202798818749)</f>
        <v>-0.57520279881874903</v>
      </c>
      <c r="EF9" s="3">
        <f ca="1">IFERROR(__xludf.DUMMYFUNCTION("""COMPUTED_VALUE"""),-0.689340344787484)</f>
        <v>-0.68934034478748396</v>
      </c>
      <c r="EG9" s="3">
        <f ca="1">IFERROR(__xludf.DUMMYFUNCTION("""COMPUTED_VALUE"""),-0.762472480457235)</f>
        <v>-0.76247248045723504</v>
      </c>
      <c r="EH9" s="3">
        <f ca="1">IFERROR(__xludf.DUMMYFUNCTION("""COMPUTED_VALUE"""),-0.674287012398681)</f>
        <v>-0.67428701239868105</v>
      </c>
      <c r="EI9" s="3">
        <f ca="1">IFERROR(__xludf.DUMMYFUNCTION("""COMPUTED_VALUE"""),-0.708778650017911)</f>
        <v>-0.70877865001791096</v>
      </c>
      <c r="EJ9" s="3">
        <f ca="1">IFERROR(__xludf.DUMMYFUNCTION("""COMPUTED_VALUE"""),-0.723930721799615)</f>
        <v>-0.72393072179961504</v>
      </c>
      <c r="EK9" s="3">
        <f ca="1">IFERROR(__xludf.DUMMYFUNCTION("""COMPUTED_VALUE"""),-0.54035337692602)</f>
        <v>-0.54035337692602003</v>
      </c>
      <c r="EL9" s="3">
        <f ca="1">IFERROR(__xludf.DUMMYFUNCTION("""COMPUTED_VALUE"""),-0.577134308791698)</f>
        <v>-0.57713430879169803</v>
      </c>
      <c r="EM9" s="3">
        <f ca="1">IFERROR(__xludf.DUMMYFUNCTION("""COMPUTED_VALUE"""),-0.619095351054491)</f>
        <v>-0.61909535105449098</v>
      </c>
      <c r="EN9" s="3">
        <f ca="1">IFERROR(__xludf.DUMMYFUNCTION("""COMPUTED_VALUE"""),-0.611015288730722)</f>
        <v>-0.61101528873072197</v>
      </c>
      <c r="EO9" s="3">
        <f ca="1">IFERROR(__xludf.DUMMYFUNCTION("""COMPUTED_VALUE"""),-0.668469212414149)</f>
        <v>-0.66846921241414903</v>
      </c>
      <c r="EP9" s="3">
        <f ca="1">IFERROR(__xludf.DUMMYFUNCTION("""COMPUTED_VALUE"""),-0.654296986036193)</f>
        <v>-0.65429698603619302</v>
      </c>
      <c r="EQ9" s="3">
        <f ca="1">IFERROR(__xludf.DUMMYFUNCTION("""COMPUTED_VALUE"""),-0.641934762941925)</f>
        <v>-0.64193476294192497</v>
      </c>
      <c r="ER9" s="3">
        <f ca="1">IFERROR(__xludf.DUMMYFUNCTION("""COMPUTED_VALUE"""),-0.564605660427509)</f>
        <v>-0.56460566042750904</v>
      </c>
      <c r="ES9" s="3">
        <f ca="1">IFERROR(__xludf.DUMMYFUNCTION("""COMPUTED_VALUE"""),-0.520526726818503)</f>
        <v>-0.52052672681850298</v>
      </c>
      <c r="ET9" s="3">
        <f ca="1">IFERROR(__xludf.DUMMYFUNCTION("""COMPUTED_VALUE"""),-0.654985523577996)</f>
        <v>-0.654985523577996</v>
      </c>
      <c r="EU9" s="3">
        <f ca="1">IFERROR(__xludf.DUMMYFUNCTION("""COMPUTED_VALUE"""),-0.636882149246034)</f>
        <v>-0.63688214924603403</v>
      </c>
      <c r="EV9" s="3">
        <f ca="1">IFERROR(__xludf.DUMMYFUNCTION("""COMPUTED_VALUE"""),-0.669566115440567)</f>
        <v>-0.66956611544056699</v>
      </c>
      <c r="EW9" s="3">
        <f ca="1">IFERROR(__xludf.DUMMYFUNCTION("""COMPUTED_VALUE"""),-0.575659914263792)</f>
        <v>-0.57565991426379204</v>
      </c>
      <c r="EX9" s="3">
        <f ca="1">IFERROR(__xludf.DUMMYFUNCTION("""COMPUTED_VALUE"""),-0.591665984319487)</f>
        <v>-0.59166598431948703</v>
      </c>
      <c r="EY9" s="3">
        <f ca="1">IFERROR(__xludf.DUMMYFUNCTION("""COMPUTED_VALUE"""),-0.426967732627734)</f>
        <v>-0.42696773262773402</v>
      </c>
      <c r="EZ9" s="3">
        <f ca="1">IFERROR(__xludf.DUMMYFUNCTION("""COMPUTED_VALUE"""),-0.50312329034973)</f>
        <v>-0.50312329034973002</v>
      </c>
      <c r="FA9" s="3">
        <f ca="1">IFERROR(__xludf.DUMMYFUNCTION("""COMPUTED_VALUE"""),-0.636430151816777)</f>
        <v>-0.63643015181677698</v>
      </c>
      <c r="FB9" s="3">
        <f ca="1">IFERROR(__xludf.DUMMYFUNCTION("""COMPUTED_VALUE"""),-0.64127421852874)</f>
        <v>-0.64127421852874</v>
      </c>
      <c r="FC9" s="3">
        <f ca="1">IFERROR(__xludf.DUMMYFUNCTION("""COMPUTED_VALUE"""),-0.651130227623198)</f>
        <v>-0.65113022762319805</v>
      </c>
      <c r="FD9" s="3">
        <f ca="1">IFERROR(__xludf.DUMMYFUNCTION("""COMPUTED_VALUE"""),-0.632154016089557)</f>
        <v>-0.63215401608955701</v>
      </c>
      <c r="FE9" s="3">
        <f ca="1">IFERROR(__xludf.DUMMYFUNCTION("""COMPUTED_VALUE"""),-0.613090543517567)</f>
        <v>-0.61309054351756698</v>
      </c>
      <c r="FF9" s="3">
        <f ca="1">IFERROR(__xludf.DUMMYFUNCTION("""COMPUTED_VALUE"""),-0.540938456421309)</f>
        <v>-0.540938456421309</v>
      </c>
      <c r="FG9" s="3">
        <f ca="1">IFERROR(__xludf.DUMMYFUNCTION("""COMPUTED_VALUE"""),-0.475833595136876)</f>
        <v>-0.47583359513687601</v>
      </c>
      <c r="FH9" s="3">
        <f ca="1">IFERROR(__xludf.DUMMYFUNCTION("""COMPUTED_VALUE"""),-0.620648445495237)</f>
        <v>-0.62064844549523701</v>
      </c>
      <c r="FI9" s="3">
        <f ca="1">IFERROR(__xludf.DUMMYFUNCTION("""COMPUTED_VALUE"""),-0.648066099401389)</f>
        <v>-0.64806609940138904</v>
      </c>
      <c r="FJ9" s="3">
        <f ca="1">IFERROR(__xludf.DUMMYFUNCTION("""COMPUTED_VALUE"""),-0.66318132669746)</f>
        <v>-0.66318132669745999</v>
      </c>
      <c r="FK9" s="3">
        <f ca="1">IFERROR(__xludf.DUMMYFUNCTION("""COMPUTED_VALUE"""),-0.604152070879817)</f>
        <v>-0.60415207087981704</v>
      </c>
      <c r="FL9" s="3">
        <f ca="1">IFERROR(__xludf.DUMMYFUNCTION("""COMPUTED_VALUE"""),-0.671360852320959)</f>
        <v>-0.67136085232095899</v>
      </c>
      <c r="FM9" s="3">
        <f ca="1">IFERROR(__xludf.DUMMYFUNCTION("""COMPUTED_VALUE"""),-0.497654854971544)</f>
        <v>-0.49765485497154399</v>
      </c>
      <c r="FN9" s="3">
        <f ca="1">IFERROR(__xludf.DUMMYFUNCTION("""COMPUTED_VALUE"""),-0.573147837799221)</f>
        <v>-0.57314783779922096</v>
      </c>
      <c r="FO9" s="3">
        <f ca="1">IFERROR(__xludf.DUMMYFUNCTION("""COMPUTED_VALUE"""),-0.641630322758292)</f>
        <v>-0.64163032275829202</v>
      </c>
      <c r="FP9" s="3">
        <f ca="1">IFERROR(__xludf.DUMMYFUNCTION("""COMPUTED_VALUE"""),-0.662113310255634)</f>
        <v>-0.66211331025563402</v>
      </c>
      <c r="FQ9" s="3">
        <f ca="1">IFERROR(__xludf.DUMMYFUNCTION("""COMPUTED_VALUE"""),-0.666583530447755)</f>
        <v>-0.66658353044775498</v>
      </c>
      <c r="FR9" s="3">
        <f ca="1">IFERROR(__xludf.DUMMYFUNCTION("""COMPUTED_VALUE"""),-0.665259581190111)</f>
        <v>-0.66525958119011097</v>
      </c>
      <c r="FS9" s="3">
        <f ca="1">IFERROR(__xludf.DUMMYFUNCTION("""COMPUTED_VALUE"""),-0.639391207619314)</f>
        <v>-0.63939120761931401</v>
      </c>
      <c r="FT9" s="3">
        <f ca="1">IFERROR(__xludf.DUMMYFUNCTION("""COMPUTED_VALUE"""),-0.489186207855467)</f>
        <v>-0.48918620785546701</v>
      </c>
      <c r="FU9" s="3">
        <f ca="1">IFERROR(__xludf.DUMMYFUNCTION("""COMPUTED_VALUE"""),-0.545599980957457)</f>
        <v>-0.54559998095745699</v>
      </c>
      <c r="FV9" s="3">
        <f ca="1">IFERROR(__xludf.DUMMYFUNCTION("""COMPUTED_VALUE"""),-0.651847533824938)</f>
        <v>-0.65184753382493799</v>
      </c>
      <c r="FW9" s="3">
        <f ca="1">IFERROR(__xludf.DUMMYFUNCTION("""COMPUTED_VALUE"""),-0.694549872342724)</f>
        <v>-0.69454987234272403</v>
      </c>
      <c r="FX9" s="3">
        <f ca="1">IFERROR(__xludf.DUMMYFUNCTION("""COMPUTED_VALUE"""),-0.651670972855887)</f>
        <v>-0.65167097285588704</v>
      </c>
      <c r="FY9" s="3">
        <f ca="1">IFERROR(__xludf.DUMMYFUNCTION("""COMPUTED_VALUE"""),-0.647933717549102)</f>
        <v>-0.64793371754910201</v>
      </c>
      <c r="FZ9" s="3">
        <f ca="1">IFERROR(__xludf.DUMMYFUNCTION("""COMPUTED_VALUE"""),-0.637785418278592)</f>
        <v>-0.63778541827859203</v>
      </c>
      <c r="GA9" s="3">
        <f ca="1">IFERROR(__xludf.DUMMYFUNCTION("""COMPUTED_VALUE"""),-0.520981623164649)</f>
        <v>-0.52098162316464902</v>
      </c>
      <c r="GB9" s="3">
        <f ca="1">IFERROR(__xludf.DUMMYFUNCTION("""COMPUTED_VALUE"""),-0.551820897995346)</f>
        <v>-0.55182089799534595</v>
      </c>
      <c r="GC9" s="3">
        <f ca="1">IFERROR(__xludf.DUMMYFUNCTION("""COMPUTED_VALUE"""),-0.668248072649997)</f>
        <v>-0.66824807264999697</v>
      </c>
      <c r="GD9" s="3">
        <f ca="1">IFERROR(__xludf.DUMMYFUNCTION("""COMPUTED_VALUE"""),-0.646911982370664)</f>
        <v>-0.64691198237066405</v>
      </c>
      <c r="GE9" s="3">
        <f ca="1">IFERROR(__xludf.DUMMYFUNCTION("""COMPUTED_VALUE"""),-0.675713966473843)</f>
        <v>-0.67571396647384296</v>
      </c>
      <c r="GF9" s="3">
        <f ca="1">IFERROR(__xludf.DUMMYFUNCTION("""COMPUTED_VALUE"""),-0.667128176982241)</f>
        <v>-0.66712817698224103</v>
      </c>
      <c r="GG9" s="3">
        <f ca="1">IFERROR(__xludf.DUMMYFUNCTION("""COMPUTED_VALUE"""),-0.623317109351675)</f>
        <v>-0.62331710935167495</v>
      </c>
      <c r="GH9" s="3">
        <f ca="1">IFERROR(__xludf.DUMMYFUNCTION("""COMPUTED_VALUE"""),-0.496556519109084)</f>
        <v>-0.49655651910908399</v>
      </c>
      <c r="GI9" s="3">
        <f ca="1">IFERROR(__xludf.DUMMYFUNCTION("""COMPUTED_VALUE"""),-0.492544875315955)</f>
        <v>-0.49254487531595498</v>
      </c>
      <c r="GJ9" s="3">
        <f ca="1">IFERROR(__xludf.DUMMYFUNCTION("""COMPUTED_VALUE"""),-0.649975343409102)</f>
        <v>-0.64997534340910201</v>
      </c>
      <c r="GK9" s="3">
        <f ca="1">IFERROR(__xludf.DUMMYFUNCTION("""COMPUTED_VALUE"""),-0.625175049152522)</f>
        <v>-0.62517504915252198</v>
      </c>
      <c r="GL9" s="3">
        <f ca="1">IFERROR(__xludf.DUMMYFUNCTION("""COMPUTED_VALUE"""),-0.694559407576694)</f>
        <v>-0.69455940757669399</v>
      </c>
      <c r="GM9" s="3">
        <f ca="1">IFERROR(__xludf.DUMMYFUNCTION("""COMPUTED_VALUE"""),-0.664908106852379)</f>
        <v>-0.664908106852379</v>
      </c>
      <c r="GN9" s="3">
        <f ca="1">IFERROR(__xludf.DUMMYFUNCTION("""COMPUTED_VALUE"""),-0.641581157878693)</f>
        <v>-0.64158115787869296</v>
      </c>
      <c r="GO9" s="3">
        <f ca="1">IFERROR(__xludf.DUMMYFUNCTION("""COMPUTED_VALUE"""),-0.462112529140175)</f>
        <v>-0.46211252914017498</v>
      </c>
      <c r="GP9" s="3">
        <f ca="1">IFERROR(__xludf.DUMMYFUNCTION("""COMPUTED_VALUE"""),-0.485397981513842)</f>
        <v>-0.485397981513842</v>
      </c>
      <c r="GQ9" s="3">
        <f ca="1">IFERROR(__xludf.DUMMYFUNCTION("""COMPUTED_VALUE"""),-0.632198341338763)</f>
        <v>-0.63219834133876296</v>
      </c>
      <c r="GR9" s="3">
        <f ca="1">IFERROR(__xludf.DUMMYFUNCTION("""COMPUTED_VALUE"""),-0.639199657055662)</f>
        <v>-0.63919965705566195</v>
      </c>
      <c r="GS9" s="3">
        <f ca="1">IFERROR(__xludf.DUMMYFUNCTION("""COMPUTED_VALUE"""),-0.619494010746478)</f>
        <v>-0.61949401074647803</v>
      </c>
      <c r="GT9" s="3">
        <f ca="1">IFERROR(__xludf.DUMMYFUNCTION("""COMPUTED_VALUE"""),-0.619776358589147)</f>
        <v>-0.61977635858914704</v>
      </c>
      <c r="GU9" s="3">
        <f ca="1">IFERROR(__xludf.DUMMYFUNCTION("""COMPUTED_VALUE"""),-0.610952637422689)</f>
        <v>-0.61095263742268902</v>
      </c>
      <c r="GV9" s="3">
        <f ca="1">IFERROR(__xludf.DUMMYFUNCTION("""COMPUTED_VALUE"""),-0.401586039620941)</f>
        <v>-0.40158603962094103</v>
      </c>
      <c r="GW9" s="3">
        <f ca="1">IFERROR(__xludf.DUMMYFUNCTION("""COMPUTED_VALUE"""),-0.478546640062136)</f>
        <v>-0.47854664006213599</v>
      </c>
      <c r="GX9" s="3">
        <f ca="1">IFERROR(__xludf.DUMMYFUNCTION("""COMPUTED_VALUE"""),-0.671390128765467)</f>
        <v>-0.671390128765467</v>
      </c>
      <c r="GY9" s="3">
        <f ca="1">IFERROR(__xludf.DUMMYFUNCTION("""COMPUTED_VALUE"""),-0.668402304318061)</f>
        <v>-0.66840230431806102</v>
      </c>
      <c r="GZ9" s="3">
        <f ca="1">IFERROR(__xludf.DUMMYFUNCTION("""COMPUTED_VALUE"""),-0.657781823681448)</f>
        <v>-0.657781823681448</v>
      </c>
      <c r="HA9" s="3">
        <f ca="1">IFERROR(__xludf.DUMMYFUNCTION("""COMPUTED_VALUE"""),-0.673056214996069)</f>
        <v>-0.67305621499606905</v>
      </c>
      <c r="HB9" s="3">
        <f ca="1">IFERROR(__xludf.DUMMYFUNCTION("""COMPUTED_VALUE"""),-0.664685887027286)</f>
        <v>-0.66468588702728604</v>
      </c>
      <c r="HC9" s="3">
        <f ca="1">IFERROR(__xludf.DUMMYFUNCTION("""COMPUTED_VALUE"""),-0.508809807128256)</f>
        <v>-0.50880980712825596</v>
      </c>
      <c r="HD9" s="3">
        <f ca="1">IFERROR(__xludf.DUMMYFUNCTION("""COMPUTED_VALUE"""),-0.499381227559638)</f>
        <v>-0.49938122755963799</v>
      </c>
      <c r="HE9" s="3">
        <f ca="1">IFERROR(__xludf.DUMMYFUNCTION("""COMPUTED_VALUE"""),-0.677371300314877)</f>
        <v>-0.67737130031487702</v>
      </c>
      <c r="HF9" s="3">
        <f ca="1">IFERROR(__xludf.DUMMYFUNCTION("""COMPUTED_VALUE"""),-0.663299608855006)</f>
        <v>-0.66329960885500605</v>
      </c>
      <c r="HG9" s="3">
        <f ca="1">IFERROR(__xludf.DUMMYFUNCTION("""COMPUTED_VALUE"""),-0.648650649853108)</f>
        <v>-0.64865064985310805</v>
      </c>
      <c r="HH9" s="3">
        <f ca="1">IFERROR(__xludf.DUMMYFUNCTION("""COMPUTED_VALUE"""),-0.663871204538046)</f>
        <v>-0.66387120453804604</v>
      </c>
      <c r="HI9" s="3">
        <f ca="1">IFERROR(__xludf.DUMMYFUNCTION("""COMPUTED_VALUE"""),-0.654246737889173)</f>
        <v>-0.65424673788917298</v>
      </c>
      <c r="HJ9" s="3">
        <f ca="1">IFERROR(__xludf.DUMMYFUNCTION("""COMPUTED_VALUE"""),-0.365463033600792)</f>
        <v>-0.36546303360079202</v>
      </c>
      <c r="HK9" s="3">
        <f ca="1">IFERROR(__xludf.DUMMYFUNCTION("""COMPUTED_VALUE"""),-0.488241352523238)</f>
        <v>-0.48824135252323803</v>
      </c>
      <c r="HL9" s="3">
        <f ca="1">IFERROR(__xludf.DUMMYFUNCTION("""COMPUTED_VALUE"""),-0.617354046535119)</f>
        <v>-0.61735404653511905</v>
      </c>
      <c r="HM9" s="3">
        <f ca="1">IFERROR(__xludf.DUMMYFUNCTION("""COMPUTED_VALUE"""),-0.600676559404428)</f>
        <v>-0.60067655940442799</v>
      </c>
      <c r="HN9" s="3">
        <f ca="1">IFERROR(__xludf.DUMMYFUNCTION("""COMPUTED_VALUE"""),-0.638368941889258)</f>
        <v>-0.63836894188925797</v>
      </c>
      <c r="HO9" s="3">
        <f ca="1">IFERROR(__xludf.DUMMYFUNCTION("""COMPUTED_VALUE"""),-0.597892185395944)</f>
        <v>-0.59789218539594402</v>
      </c>
      <c r="HP9" s="3">
        <f ca="1">IFERROR(__xludf.DUMMYFUNCTION("""COMPUTED_VALUE"""),-0.5596444337854)</f>
        <v>-0.55964443378539996</v>
      </c>
      <c r="HQ9" s="3">
        <f ca="1">IFERROR(__xludf.DUMMYFUNCTION("""COMPUTED_VALUE"""),-0.46961542152807)</f>
        <v>-0.46961542152807001</v>
      </c>
      <c r="HR9" s="3">
        <f ca="1">IFERROR(__xludf.DUMMYFUNCTION("""COMPUTED_VALUE"""),-0.513019220139847)</f>
        <v>-0.51301922013984702</v>
      </c>
      <c r="HS9" s="3">
        <f ca="1">IFERROR(__xludf.DUMMYFUNCTION("""COMPUTED_VALUE"""),-0.630493480321279)</f>
        <v>-0.63049348032127905</v>
      </c>
      <c r="HT9" s="3">
        <f ca="1">IFERROR(__xludf.DUMMYFUNCTION("""COMPUTED_VALUE"""),-0.640700930268646)</f>
        <v>-0.64070093026864605</v>
      </c>
      <c r="HU9" s="3">
        <f ca="1">IFERROR(__xludf.DUMMYFUNCTION("""COMPUTED_VALUE"""),-0.613926465767543)</f>
        <v>-0.61392646576754295</v>
      </c>
      <c r="HV9" s="3">
        <f ca="1">IFERROR(__xludf.DUMMYFUNCTION("""COMPUTED_VALUE"""),-0.60935546854169)</f>
        <v>-0.60935546854168998</v>
      </c>
      <c r="HW9" s="3">
        <f ca="1">IFERROR(__xludf.DUMMYFUNCTION("""COMPUTED_VALUE"""),-0.497046026473226)</f>
        <v>-0.49704602647322599</v>
      </c>
      <c r="HX9" s="3">
        <f ca="1">IFERROR(__xludf.DUMMYFUNCTION("""COMPUTED_VALUE"""),-0.419066093559126)</f>
        <v>-0.419066093559126</v>
      </c>
      <c r="HY9" s="3">
        <f ca="1">IFERROR(__xludf.DUMMYFUNCTION("""COMPUTED_VALUE"""),-0.406046657804832)</f>
        <v>-0.40604665780483201</v>
      </c>
      <c r="HZ9" s="3">
        <f ca="1">IFERROR(__xludf.DUMMYFUNCTION("""COMPUTED_VALUE"""),-0.517703286946853)</f>
        <v>-0.51770328694685297</v>
      </c>
      <c r="IA9" s="3">
        <f ca="1">IFERROR(__xludf.DUMMYFUNCTION("""COMPUTED_VALUE"""),-0.551734841972376)</f>
        <v>-0.55173484197237599</v>
      </c>
      <c r="IB9" s="3">
        <f ca="1">IFERROR(__xludf.DUMMYFUNCTION("""COMPUTED_VALUE"""),-0.555616420651696)</f>
        <v>-0.55561642065169603</v>
      </c>
      <c r="IC9" s="3">
        <f ca="1">IFERROR(__xludf.DUMMYFUNCTION("""COMPUTED_VALUE"""),-0.549623893909027)</f>
        <v>-0.54962389390902699</v>
      </c>
      <c r="ID9" s="3">
        <f ca="1">IFERROR(__xludf.DUMMYFUNCTION("""COMPUTED_VALUE"""),-0.560369533372829)</f>
        <v>-0.56036953337282902</v>
      </c>
      <c r="IE9" s="3">
        <f ca="1">IFERROR(__xludf.DUMMYFUNCTION("""COMPUTED_VALUE"""),-0.398260237461254)</f>
        <v>-0.398260237461254</v>
      </c>
      <c r="IF9" s="3">
        <f ca="1">IFERROR(__xludf.DUMMYFUNCTION("""COMPUTED_VALUE"""),-0.447937289493072)</f>
        <v>-0.44793728949307199</v>
      </c>
      <c r="IG9" s="3">
        <f ca="1">IFERROR(__xludf.DUMMYFUNCTION("""COMPUTED_VALUE"""),-0.514008450605953)</f>
        <v>-0.51400845060595302</v>
      </c>
      <c r="IH9" s="3">
        <f ca="1">IFERROR(__xludf.DUMMYFUNCTION("""COMPUTED_VALUE"""),-0.493546870121249)</f>
        <v>-0.49354687012124898</v>
      </c>
      <c r="II9" s="3">
        <f ca="1">IFERROR(__xludf.DUMMYFUNCTION("""COMPUTED_VALUE"""),-0.538197266546996)</f>
        <v>-0.53819726654699596</v>
      </c>
      <c r="IJ9" s="3">
        <f ca="1">IFERROR(__xludf.DUMMYFUNCTION("""COMPUTED_VALUE"""),-0.541803162952946)</f>
        <v>-0.54180316295294595</v>
      </c>
      <c r="IK9" s="3">
        <f ca="1">IFERROR(__xludf.DUMMYFUNCTION("""COMPUTED_VALUE"""),-0.542543973707833)</f>
        <v>-0.54254397370783303</v>
      </c>
      <c r="IL9" s="3">
        <f ca="1">IFERROR(__xludf.DUMMYFUNCTION("""COMPUTED_VALUE"""),-0.392578566287467)</f>
        <v>-0.39257856628746701</v>
      </c>
      <c r="IM9" s="3">
        <f ca="1">IFERROR(__xludf.DUMMYFUNCTION("""COMPUTED_VALUE"""),-0.38462090886747)</f>
        <v>-0.38462090886747002</v>
      </c>
      <c r="IN9" s="3">
        <f ca="1">IFERROR(__xludf.DUMMYFUNCTION("""COMPUTED_VALUE"""),-0.529335466596131)</f>
        <v>-0.52933546659613095</v>
      </c>
      <c r="IO9" s="3">
        <f ca="1">IFERROR(__xludf.DUMMYFUNCTION("""COMPUTED_VALUE"""),-0.548824286604044)</f>
        <v>-0.54882428660404403</v>
      </c>
      <c r="IP9" s="3">
        <f ca="1">IFERROR(__xludf.DUMMYFUNCTION("""COMPUTED_VALUE"""),-0.578612265663671)</f>
        <v>-0.57861226566367097</v>
      </c>
      <c r="IQ9" s="3">
        <f ca="1">IFERROR(__xludf.DUMMYFUNCTION("""COMPUTED_VALUE"""),-0.582019111325562)</f>
        <v>-0.58201911132556206</v>
      </c>
      <c r="IR9" s="3">
        <f ca="1">IFERROR(__xludf.DUMMYFUNCTION("""COMPUTED_VALUE"""),-0.549367000058969)</f>
        <v>-0.54936700005896899</v>
      </c>
      <c r="IS9" s="3">
        <f ca="1">IFERROR(__xludf.DUMMYFUNCTION("""COMPUTED_VALUE"""),-0.441373807339411)</f>
        <v>-0.44137380733941101</v>
      </c>
      <c r="IT9" s="3">
        <f ca="1">IFERROR(__xludf.DUMMYFUNCTION("""COMPUTED_VALUE"""),-0.407313033877921)</f>
        <v>-0.407313033877921</v>
      </c>
      <c r="IU9" s="3">
        <f ca="1">IFERROR(__xludf.DUMMYFUNCTION("""COMPUTED_VALUE"""),-0.557240258105891)</f>
        <v>-0.55724025810589095</v>
      </c>
      <c r="IV9" s="3">
        <f ca="1">IFERROR(__xludf.DUMMYFUNCTION("""COMPUTED_VALUE"""),-0.577636687859947)</f>
        <v>-0.57763668785994704</v>
      </c>
      <c r="IW9" s="3">
        <f ca="1">IFERROR(__xludf.DUMMYFUNCTION("""COMPUTED_VALUE"""),-0.597795570651056)</f>
        <v>-0.59779557065105604</v>
      </c>
      <c r="IX9" s="3">
        <f ca="1">IFERROR(__xludf.DUMMYFUNCTION("""COMPUTED_VALUE"""),-0.590637887395776)</f>
        <v>-0.59063788739577605</v>
      </c>
      <c r="IY9" s="3">
        <f ca="1">IFERROR(__xludf.DUMMYFUNCTION("""COMPUTED_VALUE"""),-0.614599918878334)</f>
        <v>-0.61459991887833398</v>
      </c>
      <c r="IZ9" s="3">
        <f ca="1">IFERROR(__xludf.DUMMYFUNCTION("""COMPUTED_VALUE"""),-0.463059725263674)</f>
        <v>-0.463059725263674</v>
      </c>
      <c r="JA9" s="3">
        <f ca="1">IFERROR(__xludf.DUMMYFUNCTION("""COMPUTED_VALUE"""),-0.422272058021856)</f>
        <v>-0.42227205802185602</v>
      </c>
      <c r="JB9" s="3">
        <f ca="1">IFERROR(__xludf.DUMMYFUNCTION("""COMPUTED_VALUE"""),-0.580962342039434)</f>
        <v>-0.58096234203943398</v>
      </c>
      <c r="JC9" s="3">
        <f ca="1">IFERROR(__xludf.DUMMYFUNCTION("""COMPUTED_VALUE"""),-0.591131527500236)</f>
        <v>-0.59113152750023601</v>
      </c>
      <c r="JD9" s="3">
        <f ca="1">IFERROR(__xludf.DUMMYFUNCTION("""COMPUTED_VALUE"""),-0.621864597390146)</f>
        <v>-0.62186459739014599</v>
      </c>
      <c r="JE9" s="3">
        <f ca="1">IFERROR(__xludf.DUMMYFUNCTION("""COMPUTED_VALUE"""),-0.588760993532863)</f>
        <v>-0.58876099353286304</v>
      </c>
      <c r="JF9" s="3">
        <f ca="1">IFERROR(__xludf.DUMMYFUNCTION("""COMPUTED_VALUE"""),-0.583632401309856)</f>
        <v>-0.58363240130985605</v>
      </c>
      <c r="JG9" s="3">
        <f ca="1">IFERROR(__xludf.DUMMYFUNCTION("""COMPUTED_VALUE"""),-0.471762903608639)</f>
        <v>-0.47176290360863898</v>
      </c>
      <c r="JH9" s="3">
        <f ca="1">IFERROR(__xludf.DUMMYFUNCTION("""COMPUTED_VALUE"""),-0.427589076446255)</f>
        <v>-0.42758907644625499</v>
      </c>
      <c r="JI9" s="3">
        <f ca="1">IFERROR(__xludf.DUMMYFUNCTION("""COMPUTED_VALUE"""),-0.543967557544766)</f>
        <v>-0.543967557544766</v>
      </c>
      <c r="JJ9" s="3">
        <f ca="1">IFERROR(__xludf.DUMMYFUNCTION("""COMPUTED_VALUE"""),-0.654496366792008)</f>
        <v>-0.65449636679200796</v>
      </c>
      <c r="JK9" s="3">
        <f ca="1">IFERROR(__xludf.DUMMYFUNCTION("""COMPUTED_VALUE"""),-0.568567213216761)</f>
        <v>-0.56856721321676096</v>
      </c>
      <c r="JL9" s="3">
        <f ca="1">IFERROR(__xludf.DUMMYFUNCTION("""COMPUTED_VALUE"""),-0.59073606606928)</f>
        <v>-0.59073606606927997</v>
      </c>
      <c r="JM9" s="3">
        <f ca="1">IFERROR(__xludf.DUMMYFUNCTION("""COMPUTED_VALUE"""),-0.568367560170395)</f>
        <v>-0.56836756017039503</v>
      </c>
      <c r="JN9" s="3">
        <f ca="1">IFERROR(__xludf.DUMMYFUNCTION("""COMPUTED_VALUE"""),-0.447747199973072)</f>
        <v>-0.447747199973072</v>
      </c>
      <c r="JO9" s="3">
        <f ca="1">IFERROR(__xludf.DUMMYFUNCTION("""COMPUTED_VALUE"""),-0.524703885093266)</f>
        <v>-0.52470388509326604</v>
      </c>
      <c r="JP9" s="3">
        <f ca="1">IFERROR(__xludf.DUMMYFUNCTION("""COMPUTED_VALUE"""),-0.48436484262325)</f>
        <v>-0.48436484262325002</v>
      </c>
      <c r="JQ9" s="3">
        <f ca="1">IFERROR(__xludf.DUMMYFUNCTION("""COMPUTED_VALUE"""),-0.50904624497825)</f>
        <v>-0.50904624497825002</v>
      </c>
      <c r="JR9" s="3">
        <f ca="1">IFERROR(__xludf.DUMMYFUNCTION("""COMPUTED_VALUE"""),-0.53937873370439)</f>
        <v>-0.53937873370439005</v>
      </c>
      <c r="JS9" s="3">
        <f ca="1">IFERROR(__xludf.DUMMYFUNCTION("""COMPUTED_VALUE"""),-0.511994053503025)</f>
        <v>-0.51199405350302496</v>
      </c>
      <c r="JT9" s="3">
        <f ca="1">IFERROR(__xludf.DUMMYFUNCTION("""COMPUTED_VALUE"""),-0.5607017822986)</f>
        <v>-0.56070178229860002</v>
      </c>
      <c r="JU9" s="3">
        <f ca="1">IFERROR(__xludf.DUMMYFUNCTION("""COMPUTED_VALUE"""),-0.472110588136882)</f>
        <v>-0.472110588136882</v>
      </c>
      <c r="JV9" s="3">
        <f ca="1">IFERROR(__xludf.DUMMYFUNCTION("""COMPUTED_VALUE"""),-0.413592745714948)</f>
        <v>-0.41359274571494797</v>
      </c>
      <c r="JW9" s="3">
        <f ca="1">IFERROR(__xludf.DUMMYFUNCTION("""COMPUTED_VALUE"""),-0.312267320797821)</f>
        <v>-0.31226732079782099</v>
      </c>
      <c r="JX9" s="3">
        <f ca="1">IFERROR(__xludf.DUMMYFUNCTION("""COMPUTED_VALUE"""),-0.401416097607528)</f>
        <v>-0.401416097607528</v>
      </c>
      <c r="JY9" s="3">
        <f ca="1">IFERROR(__xludf.DUMMYFUNCTION("""COMPUTED_VALUE"""),-0.454296776699001)</f>
        <v>-0.45429677669900098</v>
      </c>
      <c r="JZ9" s="3">
        <f ca="1">IFERROR(__xludf.DUMMYFUNCTION("""COMPUTED_VALUE"""),-0.513742121964205)</f>
        <v>-0.51374212196420499</v>
      </c>
      <c r="KA9" s="3">
        <f ca="1">IFERROR(__xludf.DUMMYFUNCTION("""COMPUTED_VALUE"""),-0.511399403116156)</f>
        <v>-0.51139940311615595</v>
      </c>
      <c r="KB9" s="3">
        <f ca="1">IFERROR(__xludf.DUMMYFUNCTION("""COMPUTED_VALUE"""),-0.0509747308187444)</f>
        <v>-5.0974730818744401E-2</v>
      </c>
      <c r="KC9" s="3">
        <f ca="1">IFERROR(__xludf.DUMMYFUNCTION("""COMPUTED_VALUE"""),-0.19051059619849)</f>
        <v>-0.19051059619849001</v>
      </c>
      <c r="KD9" s="3">
        <f ca="1">IFERROR(__xludf.DUMMYFUNCTION("""COMPUTED_VALUE"""),-0.231673915199275)</f>
        <v>-0.23167391519927499</v>
      </c>
      <c r="KE9" s="3">
        <f ca="1">IFERROR(__xludf.DUMMYFUNCTION("""COMPUTED_VALUE"""),-0.172861674942918)</f>
        <v>-0.17286167494291799</v>
      </c>
      <c r="KF9" s="3">
        <f ca="1">IFERROR(__xludf.DUMMYFUNCTION("""COMPUTED_VALUE"""),-0.303846147140459)</f>
        <v>-0.30384614714045899</v>
      </c>
      <c r="KG9" s="3">
        <f ca="1">IFERROR(__xludf.DUMMYFUNCTION("""COMPUTED_VALUE"""),-0.372945700962863)</f>
        <v>-0.372945700962863</v>
      </c>
      <c r="KH9" s="3">
        <f ca="1">IFERROR(__xludf.DUMMYFUNCTION("""COMPUTED_VALUE"""),-0.354796658681196)</f>
        <v>-0.35479665868119598</v>
      </c>
      <c r="KI9" s="3">
        <f ca="1">IFERROR(__xludf.DUMMYFUNCTION("""COMPUTED_VALUE"""),0.0450342016025726)</f>
        <v>4.5034201602572599E-2</v>
      </c>
      <c r="KJ9" s="3">
        <f ca="1">IFERROR(__xludf.DUMMYFUNCTION("""COMPUTED_VALUE"""),0.0153102844550463)</f>
        <v>1.53102844550463E-2</v>
      </c>
      <c r="KK9" s="3">
        <f ca="1">IFERROR(__xludf.DUMMYFUNCTION("""COMPUTED_VALUE"""),-0.355798718579707)</f>
        <v>-0.35579871857970702</v>
      </c>
      <c r="KL9" s="3">
        <f ca="1">IFERROR(__xludf.DUMMYFUNCTION("""COMPUTED_VALUE"""),-0.271661553707129)</f>
        <v>-0.27166155370712902</v>
      </c>
      <c r="KM9" s="3">
        <f ca="1">IFERROR(__xludf.DUMMYFUNCTION("""COMPUTED_VALUE"""),-0.35802350544401)</f>
        <v>-0.35802350544401002</v>
      </c>
      <c r="KN9" s="3">
        <f ca="1">IFERROR(__xludf.DUMMYFUNCTION("""COMPUTED_VALUE"""),-0.370466357720969)</f>
        <v>-0.37046635772096898</v>
      </c>
      <c r="KO9" s="3">
        <f ca="1">IFERROR(__xludf.DUMMYFUNCTION("""COMPUTED_VALUE"""),-0.395129624045401)</f>
        <v>-0.39512962404540097</v>
      </c>
      <c r="KP9" s="3">
        <f ca="1">IFERROR(__xludf.DUMMYFUNCTION("""COMPUTED_VALUE"""),-0.131724298508707)</f>
        <v>-0.13172429850870701</v>
      </c>
      <c r="KQ9" s="3">
        <f ca="1">IFERROR(__xludf.DUMMYFUNCTION("""COMPUTED_VALUE"""),-0.135346223279159)</f>
        <v>-0.13534622327915899</v>
      </c>
      <c r="KR9" s="3">
        <f ca="1">IFERROR(__xludf.DUMMYFUNCTION("""COMPUTED_VALUE"""),-0.41546010545099)</f>
        <v>-0.41546010545098999</v>
      </c>
      <c r="KS9" s="3">
        <f ca="1">IFERROR(__xludf.DUMMYFUNCTION("""COMPUTED_VALUE"""),-0.449306284739884)</f>
        <v>-0.44930628473988399</v>
      </c>
      <c r="KT9" s="3">
        <f ca="1">IFERROR(__xludf.DUMMYFUNCTION("""COMPUTED_VALUE"""),-0.460492550910351)</f>
        <v>-0.46049255091035102</v>
      </c>
      <c r="KU9" s="3">
        <f ca="1">IFERROR(__xludf.DUMMYFUNCTION("""COMPUTED_VALUE"""),-0.426461820275304)</f>
        <v>-0.42646182027530399</v>
      </c>
      <c r="KV9" s="3">
        <f ca="1">IFERROR(__xludf.DUMMYFUNCTION("""COMPUTED_VALUE"""),-0.449788607351214)</f>
        <v>-0.44978860735121401</v>
      </c>
      <c r="KW9" s="3">
        <f ca="1">IFERROR(__xludf.DUMMYFUNCTION("""COMPUTED_VALUE"""),-0.109301432215543)</f>
        <v>-0.109301432215543</v>
      </c>
      <c r="KX9" s="3">
        <f ca="1">IFERROR(__xludf.DUMMYFUNCTION("""COMPUTED_VALUE"""),-0.23791051676761)</f>
        <v>-0.23791051676760999</v>
      </c>
      <c r="KY9" s="3">
        <f ca="1">IFERROR(__xludf.DUMMYFUNCTION("""COMPUTED_VALUE"""),-0.425222750830504)</f>
        <v>-0.42522275083050398</v>
      </c>
      <c r="KZ9" s="3">
        <f ca="1">IFERROR(__xludf.DUMMYFUNCTION("""COMPUTED_VALUE"""),-0.435966152184818)</f>
        <v>-0.43596615218481799</v>
      </c>
      <c r="LA9" s="3">
        <f ca="1">IFERROR(__xludf.DUMMYFUNCTION("""COMPUTED_VALUE"""),-0.526611771905727)</f>
        <v>-0.52661177190572706</v>
      </c>
      <c r="LB9" s="3">
        <f ca="1">IFERROR(__xludf.DUMMYFUNCTION("""COMPUTED_VALUE"""),-0.526012872053025)</f>
        <v>-0.52601287205302505</v>
      </c>
      <c r="LC9" s="3">
        <f ca="1">IFERROR(__xludf.DUMMYFUNCTION("""COMPUTED_VALUE"""),-0.415997947581244)</f>
        <v>-0.41599794758124398</v>
      </c>
      <c r="LD9" s="3">
        <f ca="1">IFERROR(__xludf.DUMMYFUNCTION("""COMPUTED_VALUE"""),-0.293011419219451)</f>
        <v>-0.29301141921945101</v>
      </c>
      <c r="LE9" s="3">
        <f ca="1">IFERROR(__xludf.DUMMYFUNCTION("""COMPUTED_VALUE"""),-0.267956619672294)</f>
        <v>-0.26795661967229401</v>
      </c>
      <c r="LF9" s="3">
        <f ca="1">IFERROR(__xludf.DUMMYFUNCTION("""COMPUTED_VALUE"""),-0.588168162587769)</f>
        <v>-0.58816816258776905</v>
      </c>
      <c r="LG9" s="3">
        <f ca="1">IFERROR(__xludf.DUMMYFUNCTION("""COMPUTED_VALUE"""),-0.525689296717123)</f>
        <v>-0.52568929671712294</v>
      </c>
      <c r="LH9" s="3">
        <f ca="1">IFERROR(__xludf.DUMMYFUNCTION("""COMPUTED_VALUE"""),-0.452548119279624)</f>
        <v>-0.45254811927962402</v>
      </c>
      <c r="LI9" s="3">
        <f ca="1">IFERROR(__xludf.DUMMYFUNCTION("""COMPUTED_VALUE"""),-0.456235390886318)</f>
        <v>-0.45623539088631798</v>
      </c>
      <c r="LJ9" s="3">
        <f ca="1">IFERROR(__xludf.DUMMYFUNCTION("""COMPUTED_VALUE"""),-0.51169424351625)</f>
        <v>-0.51169424351625004</v>
      </c>
      <c r="LK9" s="3">
        <f ca="1">IFERROR(__xludf.DUMMYFUNCTION("""COMPUTED_VALUE"""),-0.201489675586434)</f>
        <v>-0.20148967558643399</v>
      </c>
      <c r="LL9" s="3">
        <f ca="1">IFERROR(__xludf.DUMMYFUNCTION("""COMPUTED_VALUE"""),-0.335034810968835)</f>
        <v>-0.33503481096883497</v>
      </c>
      <c r="LM9" s="3">
        <f ca="1">IFERROR(__xludf.DUMMYFUNCTION("""COMPUTED_VALUE"""),-0.498202325277318)</f>
        <v>-0.498202325277318</v>
      </c>
      <c r="LN9" s="3">
        <f ca="1">IFERROR(__xludf.DUMMYFUNCTION("""COMPUTED_VALUE"""),-0.464071231015043)</f>
        <v>-0.464071231015043</v>
      </c>
      <c r="LO9" s="3">
        <f ca="1">IFERROR(__xludf.DUMMYFUNCTION("""COMPUTED_VALUE"""),-0.476562501917984)</f>
        <v>-0.47656250191798399</v>
      </c>
      <c r="LP9" s="3">
        <f ca="1">IFERROR(__xludf.DUMMYFUNCTION("""COMPUTED_VALUE"""),-0.495605703652359)</f>
        <v>-0.49560570365235901</v>
      </c>
      <c r="LQ9" s="3">
        <f ca="1">IFERROR(__xludf.DUMMYFUNCTION("""COMPUTED_VALUE"""),-0.507346477128893)</f>
        <v>-0.50734647712889303</v>
      </c>
      <c r="LR9" s="3">
        <f ca="1">IFERROR(__xludf.DUMMYFUNCTION("""COMPUTED_VALUE"""),-0.366969704193175)</f>
        <v>-0.36696970419317498</v>
      </c>
      <c r="LS9" s="3">
        <f ca="1">IFERROR(__xludf.DUMMYFUNCTION("""COMPUTED_VALUE"""),-0.31170392604483)</f>
        <v>-0.31170392604482999</v>
      </c>
      <c r="LT9" s="3">
        <f ca="1">IFERROR(__xludf.DUMMYFUNCTION("""COMPUTED_VALUE"""),-0.553646272757792)</f>
        <v>-0.55364627275779199</v>
      </c>
      <c r="LU9" s="3">
        <f ca="1">IFERROR(__xludf.DUMMYFUNCTION("""COMPUTED_VALUE"""),-0.55386866848375)</f>
        <v>-0.55386866848375005</v>
      </c>
      <c r="LV9" s="3">
        <f ca="1">IFERROR(__xludf.DUMMYFUNCTION("""COMPUTED_VALUE"""),-0.567718612277914)</f>
        <v>-0.56771861227791398</v>
      </c>
      <c r="LW9" s="3">
        <f ca="1">IFERROR(__xludf.DUMMYFUNCTION("""COMPUTED_VALUE"""),-0.577639786661276)</f>
        <v>-0.57763978666127602</v>
      </c>
      <c r="LX9" s="3">
        <f ca="1">IFERROR(__xludf.DUMMYFUNCTION("""COMPUTED_VALUE"""),-0.617446538837346)</f>
        <v>-0.61744653883734602</v>
      </c>
      <c r="LY9" s="3">
        <f ca="1">IFERROR(__xludf.DUMMYFUNCTION("""COMPUTED_VALUE"""),-0.396452730196199)</f>
        <v>-0.39645273019619898</v>
      </c>
      <c r="LZ9" s="3">
        <f ca="1">IFERROR(__xludf.DUMMYFUNCTION("""COMPUTED_VALUE"""),-0.472880890027194)</f>
        <v>-0.47288089002719402</v>
      </c>
      <c r="MA9" s="3">
        <f ca="1">IFERROR(__xludf.DUMMYFUNCTION("""COMPUTED_VALUE"""),-0.584642411746864)</f>
        <v>-0.58464241174686404</v>
      </c>
      <c r="MB9" s="3">
        <f ca="1">IFERROR(__xludf.DUMMYFUNCTION("""COMPUTED_VALUE"""),-0.604076970101399)</f>
        <v>-0.60407697010139905</v>
      </c>
      <c r="MC9" s="3">
        <f ca="1">IFERROR(__xludf.DUMMYFUNCTION("""COMPUTED_VALUE"""),-0.588969361540419)</f>
        <v>-0.58896936154041901</v>
      </c>
      <c r="MD9" s="3">
        <f ca="1">IFERROR(__xludf.DUMMYFUNCTION("""COMPUTED_VALUE"""),-0.577037848150353)</f>
        <v>-0.57703784815035297</v>
      </c>
      <c r="ME9" s="3">
        <f ca="1">IFERROR(__xludf.DUMMYFUNCTION("""COMPUTED_VALUE"""),-0.61997882369565)</f>
        <v>-0.61997882369565005</v>
      </c>
      <c r="MF9" s="3">
        <f ca="1">IFERROR(__xludf.DUMMYFUNCTION("""COMPUTED_VALUE"""),-0.204167678861909)</f>
        <v>-0.20416767886190901</v>
      </c>
      <c r="MG9" s="3">
        <f ca="1">IFERROR(__xludf.DUMMYFUNCTION("""COMPUTED_VALUE"""),-0.391524788139528)</f>
        <v>-0.39152478813952801</v>
      </c>
      <c r="MH9" s="3">
        <f ca="1">IFERROR(__xludf.DUMMYFUNCTION("""COMPUTED_VALUE"""),-0.52515206640531)</f>
        <v>-0.52515206640530998</v>
      </c>
      <c r="MI9" s="3">
        <f ca="1">IFERROR(__xludf.DUMMYFUNCTION("""COMPUTED_VALUE"""),-0.592032447625408)</f>
        <v>-0.59203244762540796</v>
      </c>
      <c r="MJ9" s="3">
        <f ca="1">IFERROR(__xludf.DUMMYFUNCTION("""COMPUTED_VALUE"""),-0.610534243023923)</f>
        <v>-0.61053424302392301</v>
      </c>
      <c r="MK9" s="3">
        <f ca="1">IFERROR(__xludf.DUMMYFUNCTION("""COMPUTED_VALUE"""),-0.598897588528585)</f>
        <v>-0.59889758852858499</v>
      </c>
      <c r="ML9" s="3">
        <f ca="1">IFERROR(__xludf.DUMMYFUNCTION("""COMPUTED_VALUE"""),-0.57131688242724)</f>
        <v>-0.57131688242723999</v>
      </c>
      <c r="MM9" s="3">
        <f ca="1">IFERROR(__xludf.DUMMYFUNCTION("""COMPUTED_VALUE"""),-0.44518594023243)</f>
        <v>-0.44518594023243002</v>
      </c>
      <c r="MN9" s="3">
        <f ca="1">IFERROR(__xludf.DUMMYFUNCTION("""COMPUTED_VALUE"""),-0.397397928272721)</f>
        <v>-0.39739792827272102</v>
      </c>
      <c r="MO9" s="3">
        <f ca="1">IFERROR(__xludf.DUMMYFUNCTION("""COMPUTED_VALUE"""),-0.493051526083318)</f>
        <v>-0.49305152608331798</v>
      </c>
      <c r="MP9" s="3">
        <f ca="1">IFERROR(__xludf.DUMMYFUNCTION("""COMPUTED_VALUE"""),-0.651935285908098)</f>
        <v>-0.65193528590809802</v>
      </c>
      <c r="MQ9" s="3">
        <f ca="1">IFERROR(__xludf.DUMMYFUNCTION("""COMPUTED_VALUE"""),-0.590231169599638)</f>
        <v>-0.59023116959963795</v>
      </c>
      <c r="MR9" s="3">
        <f ca="1">IFERROR(__xludf.DUMMYFUNCTION("""COMPUTED_VALUE"""),-0.617951465638036)</f>
        <v>-0.61795146563803605</v>
      </c>
      <c r="MS9" s="3">
        <f ca="1">IFERROR(__xludf.DUMMYFUNCTION("""COMPUTED_VALUE"""),-0.52904029776211)</f>
        <v>-0.52904029776211003</v>
      </c>
      <c r="MT9" s="3">
        <f ca="1">IFERROR(__xludf.DUMMYFUNCTION("""COMPUTED_VALUE"""),-0.324269072126464)</f>
        <v>-0.324269072126464</v>
      </c>
      <c r="MU9" s="3">
        <f ca="1">IFERROR(__xludf.DUMMYFUNCTION("""COMPUTED_VALUE"""),-0.432018947122626)</f>
        <v>-0.43201894712262601</v>
      </c>
      <c r="MV9" s="3">
        <f ca="1">IFERROR(__xludf.DUMMYFUNCTION("""COMPUTED_VALUE"""),-0.51435713182744)</f>
        <v>-0.51435713182744003</v>
      </c>
      <c r="MW9" s="3">
        <f ca="1">IFERROR(__xludf.DUMMYFUNCTION("""COMPUTED_VALUE"""),-0.517777032121169)</f>
        <v>-0.51777703212116899</v>
      </c>
      <c r="MX9" s="3">
        <f ca="1">IFERROR(__xludf.DUMMYFUNCTION("""COMPUTED_VALUE"""),-0.573099988739873)</f>
        <v>-0.573099988739873</v>
      </c>
      <c r="MY9" s="3">
        <f ca="1">IFERROR(__xludf.DUMMYFUNCTION("""COMPUTED_VALUE"""),-0.542200160625455)</f>
        <v>-0.54220016062545495</v>
      </c>
      <c r="MZ9" s="3">
        <f ca="1">IFERROR(__xludf.DUMMYFUNCTION("""COMPUTED_VALUE"""),-0.647613274580382)</f>
        <v>-0.64761327458038198</v>
      </c>
      <c r="NA9" s="3">
        <f ca="1">IFERROR(__xludf.DUMMYFUNCTION("""COMPUTED_VALUE"""),-0.353519202311606)</f>
        <v>-0.353519202311606</v>
      </c>
      <c r="NB9" s="3">
        <f ca="1">IFERROR(__xludf.DUMMYFUNCTION("""COMPUTED_VALUE"""),-0.514722896452563)</f>
        <v>-0.51472289645256297</v>
      </c>
      <c r="NC9" s="3">
        <f ca="1">IFERROR(__xludf.DUMMYFUNCTION("""COMPUTED_VALUE"""),-0.610977775472867)</f>
        <v>-0.61097777547286702</v>
      </c>
      <c r="ND9" s="3">
        <f ca="1">IFERROR(__xludf.DUMMYFUNCTION("""COMPUTED_VALUE"""),-0.631531727315533)</f>
        <v>-0.63153172731553298</v>
      </c>
      <c r="NE9" s="3">
        <f ca="1">IFERROR(__xludf.DUMMYFUNCTION("""COMPUTED_VALUE"""),-0.644104319010502)</f>
        <v>-0.64410431901050202</v>
      </c>
      <c r="NF9" s="3">
        <f ca="1">IFERROR(__xludf.DUMMYFUNCTION("""COMPUTED_VALUE"""),-0.60364930801892)</f>
        <v>-0.60364930801892003</v>
      </c>
      <c r="NG9" s="3">
        <f ca="1">IFERROR(__xludf.DUMMYFUNCTION("""COMPUTED_VALUE"""),-0.626789739954497)</f>
        <v>-0.62678973995449705</v>
      </c>
      <c r="NH9" s="3">
        <f ca="1">IFERROR(__xludf.DUMMYFUNCTION("""COMPUTED_VALUE"""),-0.332309758559262)</f>
        <v>-0.33230975855926198</v>
      </c>
      <c r="NI9" s="3">
        <f ca="1">IFERROR(__xludf.DUMMYFUNCTION("""COMPUTED_VALUE"""),-0.493065789369274)</f>
        <v>-0.49306578936927398</v>
      </c>
      <c r="NJ9" s="3">
        <f ca="1">IFERROR(__xludf.DUMMYFUNCTION("""COMPUTED_VALUE"""),-0.638313857292994)</f>
        <v>-0.63831385729299395</v>
      </c>
      <c r="NK9" s="3">
        <f ca="1">IFERROR(__xludf.DUMMYFUNCTION("""COMPUTED_VALUE"""),-0.599766693213858)</f>
        <v>-0.599766693213858</v>
      </c>
      <c r="NL9" s="3">
        <f ca="1">IFERROR(__xludf.DUMMYFUNCTION("""COMPUTED_VALUE"""),-0.604926335241259)</f>
        <v>-0.60492633524125905</v>
      </c>
      <c r="NM9" s="3">
        <f ca="1">IFERROR(__xludf.DUMMYFUNCTION("""COMPUTED_VALUE"""),-0.645933985666051)</f>
        <v>-0.64593398566605098</v>
      </c>
      <c r="NN9" s="3">
        <f ca="1">IFERROR(__xludf.DUMMYFUNCTION("""COMPUTED_VALUE"""),-0.684323671721141)</f>
        <v>-0.68432367172114095</v>
      </c>
      <c r="NO9" s="3">
        <f ca="1">IFERROR(__xludf.DUMMYFUNCTION("""COMPUTED_VALUE"""),-0.382675173396192)</f>
        <v>-0.382675173396192</v>
      </c>
      <c r="NP9" s="3">
        <f ca="1">IFERROR(__xludf.DUMMYFUNCTION("""COMPUTED_VALUE"""),-0.547975995203321)</f>
        <v>-0.54797599520332096</v>
      </c>
      <c r="NQ9" s="3">
        <f ca="1">IFERROR(__xludf.DUMMYFUNCTION("""COMPUTED_VALUE"""),-0.641824557210073)</f>
        <v>-0.64182455721007303</v>
      </c>
      <c r="NR9" s="3">
        <f ca="1">IFERROR(__xludf.DUMMYFUNCTION("""COMPUTED_VALUE"""),-0.767425992389964)</f>
        <v>-0.76742599238996401</v>
      </c>
      <c r="NS9" s="3">
        <f ca="1">IFERROR(__xludf.DUMMYFUNCTION("""COMPUTED_VALUE"""),-0.759896401899934)</f>
        <v>-0.75989640189993402</v>
      </c>
      <c r="NT9" s="3">
        <f ca="1">IFERROR(__xludf.DUMMYFUNCTION("""COMPUTED_VALUE"""),-0.771874130591828)</f>
        <v>-0.77187413059182797</v>
      </c>
      <c r="NU9" s="3">
        <f ca="1">IFERROR(__xludf.DUMMYFUNCTION("""COMPUTED_VALUE"""),-0.786974934933255)</f>
        <v>-0.78697493493325499</v>
      </c>
      <c r="NV9" s="3">
        <f ca="1">IFERROR(__xludf.DUMMYFUNCTION("""COMPUTED_VALUE"""),-0.589307916837499)</f>
        <v>-0.58930791683749895</v>
      </c>
      <c r="NW9" s="3">
        <f ca="1">IFERROR(__xludf.DUMMYFUNCTION("""COMPUTED_VALUE"""),-0.587418823583075)</f>
        <v>-0.58741882358307496</v>
      </c>
      <c r="NX9" s="3">
        <f ca="1">IFERROR(__xludf.DUMMYFUNCTION("""COMPUTED_VALUE"""),-0.676199653950848)</f>
        <v>-0.67619965395084802</v>
      </c>
      <c r="NY9" s="3">
        <f ca="1">IFERROR(__xludf.DUMMYFUNCTION("""COMPUTED_VALUE"""),-0.667344661537154)</f>
        <v>-0.66734466153715399</v>
      </c>
      <c r="NZ9" s="3">
        <f ca="1">IFERROR(__xludf.DUMMYFUNCTION("""COMPUTED_VALUE"""),-0.657328965605661)</f>
        <v>-0.65732896560566101</v>
      </c>
      <c r="OA9" s="3">
        <f ca="1">IFERROR(__xludf.DUMMYFUNCTION("""COMPUTED_VALUE"""),-0.322898284473811)</f>
        <v>-0.32289828447381103</v>
      </c>
      <c r="OB9" s="3">
        <f ca="1">IFERROR(__xludf.DUMMYFUNCTION("""COMPUTED_VALUE"""),-0.500123256476937)</f>
        <v>-0.50012325647693701</v>
      </c>
      <c r="OC9" s="3">
        <f ca="1">IFERROR(__xludf.DUMMYFUNCTION("""COMPUTED_VALUE"""),-0.240895772662253)</f>
        <v>-0.24089577266225301</v>
      </c>
      <c r="OD9" s="3">
        <f ca="1">IFERROR(__xludf.DUMMYFUNCTION("""COMPUTED_VALUE"""),-0.257063772196789)</f>
        <v>-0.257063772196789</v>
      </c>
      <c r="OE9" s="3">
        <f ca="1">IFERROR(__xludf.DUMMYFUNCTION("""COMPUTED_VALUE"""),-0.00915632676864175)</f>
        <v>-9.1563267686417503E-3</v>
      </c>
      <c r="OF9" s="3">
        <f ca="1">IFERROR(__xludf.DUMMYFUNCTION("""COMPUTED_VALUE"""),0.0639255494634596)</f>
        <v>6.3925549463459602E-2</v>
      </c>
      <c r="OG9" s="3">
        <f ca="1">IFERROR(__xludf.DUMMYFUNCTION("""COMPUTED_VALUE"""),0.0910447737118227)</f>
        <v>9.1044773711822694E-2</v>
      </c>
      <c r="OH9" s="3">
        <f ca="1">IFERROR(__xludf.DUMMYFUNCTION("""COMPUTED_VALUE"""),0.0408865127295818)</f>
        <v>4.0886512729581798E-2</v>
      </c>
      <c r="OI9" s="3">
        <f ca="1">IFERROR(__xludf.DUMMYFUNCTION("""COMPUTED_VALUE"""),0.114416544132177)</f>
        <v>0.114416544132177</v>
      </c>
      <c r="OJ9" s="3">
        <f ca="1">IFERROR(__xludf.DUMMYFUNCTION("""COMPUTED_VALUE"""),-0.0527115498840179)</f>
        <v>-5.2711549884017897E-2</v>
      </c>
      <c r="OK9" s="3">
        <f ca="1">IFERROR(__xludf.DUMMYFUNCTION("""COMPUTED_VALUE"""),-0.0111305178513703)</f>
        <v>-1.11305178513703E-2</v>
      </c>
      <c r="OL9" s="3">
        <f ca="1">IFERROR(__xludf.DUMMYFUNCTION("""COMPUTED_VALUE"""),0.0723868339986717)</f>
        <v>7.2386833998671699E-2</v>
      </c>
      <c r="OM9" s="3">
        <f ca="1">IFERROR(__xludf.DUMMYFUNCTION("""COMPUTED_VALUE"""),0.140827126930041)</f>
        <v>0.14082712693004101</v>
      </c>
      <c r="ON9" s="3">
        <f ca="1">IFERROR(__xludf.DUMMYFUNCTION("""COMPUTED_VALUE"""),0.118746819874175)</f>
        <v>0.118746819874175</v>
      </c>
      <c r="OO9" s="3">
        <f ca="1">IFERROR(__xludf.DUMMYFUNCTION("""COMPUTED_VALUE"""),0.124640958162121)</f>
        <v>0.12464095816212099</v>
      </c>
      <c r="OP9" s="3">
        <f ca="1">IFERROR(__xludf.DUMMYFUNCTION("""COMPUTED_VALUE"""),0.225235686068463)</f>
        <v>0.225235686068463</v>
      </c>
      <c r="OQ9" s="3">
        <f ca="1">IFERROR(__xludf.DUMMYFUNCTION("""COMPUTED_VALUE"""),0.0165305927806793)</f>
        <v>1.6530592780679299E-2</v>
      </c>
      <c r="OR9" s="3">
        <f ca="1">IFERROR(__xludf.DUMMYFUNCTION("""COMPUTED_VALUE"""),-0.0858705485609215)</f>
        <v>-8.5870548560921495E-2</v>
      </c>
      <c r="OS9" s="3">
        <f ca="1">IFERROR(__xludf.DUMMYFUNCTION("""COMPUTED_VALUE"""),0.0823621841590183)</f>
        <v>8.2362184159018303E-2</v>
      </c>
      <c r="OT9" s="3">
        <f ca="1">IFERROR(__xludf.DUMMYFUNCTION("""COMPUTED_VALUE"""),-0.433867632763617)</f>
        <v>-0.43386763276361701</v>
      </c>
      <c r="OU9" s="3">
        <f ca="1">IFERROR(__xludf.DUMMYFUNCTION("""COMPUTED_VALUE"""),0.228243330920579)</f>
        <v>0.228243330920579</v>
      </c>
      <c r="OV9" s="3">
        <f ca="1">IFERROR(__xludf.DUMMYFUNCTION("""COMPUTED_VALUE"""),0.159964857000538)</f>
        <v>0.159964857000538</v>
      </c>
      <c r="OW9" s="3">
        <f ca="1">IFERROR(__xludf.DUMMYFUNCTION("""COMPUTED_VALUE"""),0.55343876944808)</f>
        <v>0.55343876944808001</v>
      </c>
      <c r="OX9" s="3">
        <f ca="1">IFERROR(__xludf.DUMMYFUNCTION("""COMPUTED_VALUE"""),0.0202373913208797)</f>
        <v>2.0237391320879702E-2</v>
      </c>
      <c r="OY9" s="3">
        <f ca="1">IFERROR(__xludf.DUMMYFUNCTION("""COMPUTED_VALUE"""),-0.0868126397654811)</f>
        <v>-8.6812639765481106E-2</v>
      </c>
      <c r="OZ9" s="3">
        <f ca="1">IFERROR(__xludf.DUMMYFUNCTION("""COMPUTED_VALUE"""),-0.198113813306123)</f>
        <v>-0.19811381330612299</v>
      </c>
      <c r="PA9" s="3">
        <f ca="1">IFERROR(__xludf.DUMMYFUNCTION("""COMPUTED_VALUE"""),-0.246321440029745)</f>
        <v>-0.24632144002974499</v>
      </c>
      <c r="PB9" s="3">
        <f ca="1">IFERROR(__xludf.DUMMYFUNCTION("""COMPUTED_VALUE"""),-0.177585535068502)</f>
        <v>-0.177585535068502</v>
      </c>
      <c r="PC9" s="3">
        <f ca="1">IFERROR(__xludf.DUMMYFUNCTION("""COMPUTED_VALUE"""),-0.224362728063555)</f>
        <v>-0.22436272806355501</v>
      </c>
      <c r="PD9" s="3">
        <f ca="1">IFERROR(__xludf.DUMMYFUNCTION("""COMPUTED_VALUE"""),-0.146247991187299)</f>
        <v>-0.146247991187299</v>
      </c>
      <c r="PE9" s="3">
        <f ca="1">IFERROR(__xludf.DUMMYFUNCTION("""COMPUTED_VALUE"""),0.0883963631926587)</f>
        <v>8.83963631926587E-2</v>
      </c>
      <c r="PF9" s="3">
        <f ca="1">IFERROR(__xludf.DUMMYFUNCTION("""COMPUTED_VALUE"""),-0.10544640337545)</f>
        <v>-0.10544640337545</v>
      </c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</row>
    <row r="10" spans="1:594" ht="15.75" customHeight="1">
      <c r="A10" s="1" t="str">
        <f ca="1">IFERROR(__xludf.DUMMYFUNCTION("""COMPUTED_VALUE"""),"Calgary")</f>
        <v>Calgary</v>
      </c>
      <c r="B10" s="3">
        <f ca="1">IFERROR(__xludf.DUMMYFUNCTION("""COMPUTED_VALUE"""),-0.609236754752553)</f>
        <v>-0.60923675475255301</v>
      </c>
      <c r="C10" s="3">
        <f ca="1">IFERROR(__xludf.DUMMYFUNCTION("""COMPUTED_VALUE"""),-0.604276639662762)</f>
        <v>-0.60427663966276202</v>
      </c>
      <c r="D10" s="3">
        <f ca="1">IFERROR(__xludf.DUMMYFUNCTION("""COMPUTED_VALUE"""),-0.660591004421077)</f>
        <v>-0.66059100442107699</v>
      </c>
      <c r="E10" s="3">
        <f ca="1">IFERROR(__xludf.DUMMYFUNCTION("""COMPUTED_VALUE"""),-0.625382262332982)</f>
        <v>-0.625382262332982</v>
      </c>
      <c r="F10" s="3">
        <f ca="1">IFERROR(__xludf.DUMMYFUNCTION("""COMPUTED_VALUE"""),-0.60956592223367)</f>
        <v>-0.60956592223367001</v>
      </c>
      <c r="G10" s="3">
        <f ca="1">IFERROR(__xludf.DUMMYFUNCTION("""COMPUTED_VALUE"""),-0.687225577336325)</f>
        <v>-0.68722557733632506</v>
      </c>
      <c r="H10" s="3">
        <f ca="1">IFERROR(__xludf.DUMMYFUNCTION("""COMPUTED_VALUE"""),-0.599180202469891)</f>
        <v>-0.59918020246989101</v>
      </c>
      <c r="I10" s="3">
        <f ca="1">IFERROR(__xludf.DUMMYFUNCTION("""COMPUTED_VALUE"""),-0.583728806389765)</f>
        <v>-0.58372880638976499</v>
      </c>
      <c r="J10" s="3">
        <f ca="1">IFERROR(__xludf.DUMMYFUNCTION("""COMPUTED_VALUE"""),-0.715195157903971)</f>
        <v>-0.71519515790397103</v>
      </c>
      <c r="K10" s="3">
        <f ca="1">IFERROR(__xludf.DUMMYFUNCTION("""COMPUTED_VALUE"""),-0.630563554739701)</f>
        <v>-0.63056355473970105</v>
      </c>
      <c r="L10" s="3">
        <f ca="1">IFERROR(__xludf.DUMMYFUNCTION("""COMPUTED_VALUE"""),-0.635500033338461)</f>
        <v>-0.63550003333846095</v>
      </c>
      <c r="M10" s="3">
        <f ca="1">IFERROR(__xludf.DUMMYFUNCTION("""COMPUTED_VALUE"""),-0.647783725903228)</f>
        <v>-0.64778372590322797</v>
      </c>
      <c r="N10" s="3">
        <f ca="1">IFERROR(__xludf.DUMMYFUNCTION("""COMPUTED_VALUE"""),-0.695646763897679)</f>
        <v>-0.69564676389767899</v>
      </c>
      <c r="O10" s="3">
        <f ca="1">IFERROR(__xludf.DUMMYFUNCTION("""COMPUTED_VALUE"""),-0.537006222822457)</f>
        <v>-0.53700622282245702</v>
      </c>
      <c r="P10" s="3">
        <f ca="1">IFERROR(__xludf.DUMMYFUNCTION("""COMPUTED_VALUE"""),-0.552065707912045)</f>
        <v>-0.55206570791204501</v>
      </c>
      <c r="Q10" s="3">
        <f ca="1">IFERROR(__xludf.DUMMYFUNCTION("""COMPUTED_VALUE"""),-0.615304210525629)</f>
        <v>-0.615304210525629</v>
      </c>
      <c r="R10" s="3">
        <f ca="1">IFERROR(__xludf.DUMMYFUNCTION("""COMPUTED_VALUE"""),-0.63697183465399)</f>
        <v>-0.63697183465398999</v>
      </c>
      <c r="S10" s="3">
        <f ca="1">IFERROR(__xludf.DUMMYFUNCTION("""COMPUTED_VALUE"""),-0.632691835614802)</f>
        <v>-0.63269183561480202</v>
      </c>
      <c r="T10" s="3">
        <f ca="1">IFERROR(__xludf.DUMMYFUNCTION("""COMPUTED_VALUE"""),-0.617098538517435)</f>
        <v>-0.61709853851743501</v>
      </c>
      <c r="U10" s="3">
        <f ca="1">IFERROR(__xludf.DUMMYFUNCTION("""COMPUTED_VALUE"""),-0.615260803005246)</f>
        <v>-0.61526080300524599</v>
      </c>
      <c r="V10" s="3">
        <f ca="1">IFERROR(__xludf.DUMMYFUNCTION("""COMPUTED_VALUE"""),-0.529077026312897)</f>
        <v>-0.52907702631289699</v>
      </c>
      <c r="W10" s="3">
        <f ca="1">IFERROR(__xludf.DUMMYFUNCTION("""COMPUTED_VALUE"""),-0.523852710653653)</f>
        <v>-0.52385271065365302</v>
      </c>
      <c r="X10" s="3">
        <f ca="1">IFERROR(__xludf.DUMMYFUNCTION("""COMPUTED_VALUE"""),-0.598966404873474)</f>
        <v>-0.59896640487347397</v>
      </c>
      <c r="Y10" s="3">
        <f ca="1">IFERROR(__xludf.DUMMYFUNCTION("""COMPUTED_VALUE"""),-0.620986411264936)</f>
        <v>-0.62098641126493603</v>
      </c>
      <c r="Z10" s="3">
        <f ca="1">IFERROR(__xludf.DUMMYFUNCTION("""COMPUTED_VALUE"""),-0.618790536896384)</f>
        <v>-0.61879053689638397</v>
      </c>
      <c r="AA10" s="3">
        <f ca="1">IFERROR(__xludf.DUMMYFUNCTION("""COMPUTED_VALUE"""),-0.612572795885853)</f>
        <v>-0.61257279588585301</v>
      </c>
      <c r="AB10" s="3">
        <f ca="1">IFERROR(__xludf.DUMMYFUNCTION("""COMPUTED_VALUE"""),-0.606584641613371)</f>
        <v>-0.606584641613371</v>
      </c>
      <c r="AC10" s="3">
        <f ca="1">IFERROR(__xludf.DUMMYFUNCTION("""COMPUTED_VALUE"""),-0.497330412373929)</f>
        <v>-0.497330412373929</v>
      </c>
      <c r="AD10" s="3">
        <f ca="1">IFERROR(__xludf.DUMMYFUNCTION("""COMPUTED_VALUE"""),-0.538980301665652)</f>
        <v>-0.53898030166565203</v>
      </c>
      <c r="AE10" s="3">
        <f ca="1">IFERROR(__xludf.DUMMYFUNCTION("""COMPUTED_VALUE"""),-0.659738985444294)</f>
        <v>-0.65973898544429399</v>
      </c>
      <c r="AF10" s="3">
        <f ca="1">IFERROR(__xludf.DUMMYFUNCTION("""COMPUTED_VALUE"""),-0.645399869777837)</f>
        <v>-0.64539986977783703</v>
      </c>
      <c r="AG10" s="3">
        <f ca="1">IFERROR(__xludf.DUMMYFUNCTION("""COMPUTED_VALUE"""),-0.651439533515832)</f>
        <v>-0.65143953351583195</v>
      </c>
      <c r="AH10" s="3">
        <f ca="1">IFERROR(__xludf.DUMMYFUNCTION("""COMPUTED_VALUE"""),-0.648407832728668)</f>
        <v>-0.64840783272866798</v>
      </c>
      <c r="AI10" s="3">
        <f ca="1">IFERROR(__xludf.DUMMYFUNCTION("""COMPUTED_VALUE"""),-0.63839206884829)</f>
        <v>-0.63839206884829003</v>
      </c>
      <c r="AJ10" s="3">
        <f ca="1">IFERROR(__xludf.DUMMYFUNCTION("""COMPUTED_VALUE"""),-0.508859341940478)</f>
        <v>-0.50885934194047799</v>
      </c>
      <c r="AK10" s="3">
        <f ca="1">IFERROR(__xludf.DUMMYFUNCTION("""COMPUTED_VALUE"""),-0.540968200930818)</f>
        <v>-0.54096820093081799</v>
      </c>
      <c r="AL10" s="3">
        <f ca="1">IFERROR(__xludf.DUMMYFUNCTION("""COMPUTED_VALUE"""),-0.588377315767698)</f>
        <v>-0.58837731576769803</v>
      </c>
      <c r="AM10" s="3">
        <f ca="1">IFERROR(__xludf.DUMMYFUNCTION("""COMPUTED_VALUE"""),-0.642116396770553)</f>
        <v>-0.64211639677055299</v>
      </c>
      <c r="AN10" s="3">
        <f ca="1">IFERROR(__xludf.DUMMYFUNCTION("""COMPUTED_VALUE"""),-0.642419007368381)</f>
        <v>-0.64241900736838098</v>
      </c>
      <c r="AO10" s="3">
        <f ca="1">IFERROR(__xludf.DUMMYFUNCTION("""COMPUTED_VALUE"""),-0.642616394782531)</f>
        <v>-0.64261639478253096</v>
      </c>
      <c r="AP10" s="3">
        <f ca="1">IFERROR(__xludf.DUMMYFUNCTION("""COMPUTED_VALUE"""),-0.632295840696345)</f>
        <v>-0.63229584069634504</v>
      </c>
      <c r="AQ10" s="3">
        <f ca="1">IFERROR(__xludf.DUMMYFUNCTION("""COMPUTED_VALUE"""),-0.527264587660153)</f>
        <v>-0.52726458766015305</v>
      </c>
      <c r="AR10" s="3">
        <f ca="1">IFERROR(__xludf.DUMMYFUNCTION("""COMPUTED_VALUE"""),-0.555304443143199)</f>
        <v>-0.55530444314319904</v>
      </c>
      <c r="AS10" s="3">
        <f ca="1">IFERROR(__xludf.DUMMYFUNCTION("""COMPUTED_VALUE"""),-0.595932813356228)</f>
        <v>-0.59593281335622805</v>
      </c>
      <c r="AT10" s="3">
        <f ca="1">IFERROR(__xludf.DUMMYFUNCTION("""COMPUTED_VALUE"""),-0.637551421640458)</f>
        <v>-0.63755142164045797</v>
      </c>
      <c r="AU10" s="3">
        <f ca="1">IFERROR(__xludf.DUMMYFUNCTION("""COMPUTED_VALUE"""),-0.635182614139788)</f>
        <v>-0.63518261413978805</v>
      </c>
      <c r="AV10" s="3">
        <f ca="1">IFERROR(__xludf.DUMMYFUNCTION("""COMPUTED_VALUE"""),-0.660731125833444)</f>
        <v>-0.66073112583344396</v>
      </c>
      <c r="AW10" s="3">
        <f ca="1">IFERROR(__xludf.DUMMYFUNCTION("""COMPUTED_VALUE"""),-0.571429452696921)</f>
        <v>-0.57142945269692103</v>
      </c>
      <c r="AX10" s="3">
        <f ca="1">IFERROR(__xludf.DUMMYFUNCTION("""COMPUTED_VALUE"""),-0.548397648698193)</f>
        <v>-0.54839764869819296</v>
      </c>
      <c r="AY10" s="3">
        <f ca="1">IFERROR(__xludf.DUMMYFUNCTION("""COMPUTED_VALUE"""),-0.523236021907406)</f>
        <v>-0.52323602190740603</v>
      </c>
      <c r="AZ10" s="3">
        <f ca="1">IFERROR(__xludf.DUMMYFUNCTION("""COMPUTED_VALUE"""),-0.575819415207521)</f>
        <v>-0.575819415207521</v>
      </c>
      <c r="BA10" s="3">
        <f ca="1">IFERROR(__xludf.DUMMYFUNCTION("""COMPUTED_VALUE"""),-0.642684769228101)</f>
        <v>-0.64268476922810103</v>
      </c>
      <c r="BB10" s="3">
        <f ca="1">IFERROR(__xludf.DUMMYFUNCTION("""COMPUTED_VALUE"""),-0.633780434677117)</f>
        <v>-0.63378043467711698</v>
      </c>
      <c r="BC10" s="3">
        <f ca="1">IFERROR(__xludf.DUMMYFUNCTION("""COMPUTED_VALUE"""),-0.622826680242801)</f>
        <v>-0.62282668024280097</v>
      </c>
      <c r="BD10" s="3">
        <f ca="1">IFERROR(__xludf.DUMMYFUNCTION("""COMPUTED_VALUE"""),-0.752679377669955)</f>
        <v>-0.75267937766995496</v>
      </c>
      <c r="BE10" s="3">
        <f ca="1">IFERROR(__xludf.DUMMYFUNCTION("""COMPUTED_VALUE"""),-0.530248963520349)</f>
        <v>-0.530248963520349</v>
      </c>
      <c r="BF10" s="3">
        <f ca="1">IFERROR(__xludf.DUMMYFUNCTION("""COMPUTED_VALUE"""),-0.554352307931222)</f>
        <v>-0.55435230793122203</v>
      </c>
      <c r="BG10" s="3">
        <f ca="1">IFERROR(__xludf.DUMMYFUNCTION("""COMPUTED_VALUE"""),-0.759986380628168)</f>
        <v>-0.75998638062816803</v>
      </c>
      <c r="BH10" s="3">
        <f ca="1">IFERROR(__xludf.DUMMYFUNCTION("""COMPUTED_VALUE"""),-0.772964954574572)</f>
        <v>-0.77296495457457204</v>
      </c>
      <c r="BI10" s="3">
        <f ca="1">IFERROR(__xludf.DUMMYFUNCTION("""COMPUTED_VALUE"""),-0.693779261656002)</f>
        <v>-0.69377926165600201</v>
      </c>
      <c r="BJ10" s="3">
        <f ca="1">IFERROR(__xludf.DUMMYFUNCTION("""COMPUTED_VALUE"""),-0.693737426625744)</f>
        <v>-0.693737426625744</v>
      </c>
      <c r="BK10" s="3">
        <f ca="1">IFERROR(__xludf.DUMMYFUNCTION("""COMPUTED_VALUE"""),-0.633389889906959)</f>
        <v>-0.63338988990695899</v>
      </c>
      <c r="BL10" s="3">
        <f ca="1">IFERROR(__xludf.DUMMYFUNCTION("""COMPUTED_VALUE"""),-0.671467301931514)</f>
        <v>-0.67146730193151405</v>
      </c>
      <c r="BM10" s="3">
        <f ca="1">IFERROR(__xludf.DUMMYFUNCTION("""COMPUTED_VALUE"""),-0.6896558836346)</f>
        <v>-0.68965588363459995</v>
      </c>
      <c r="BN10" s="3">
        <f ca="1">IFERROR(__xludf.DUMMYFUNCTION("""COMPUTED_VALUE"""),-0.631119864198455)</f>
        <v>-0.63111986419845501</v>
      </c>
      <c r="BO10" s="3">
        <f ca="1">IFERROR(__xludf.DUMMYFUNCTION("""COMPUTED_VALUE"""),-0.631918688640769)</f>
        <v>-0.63191868864076906</v>
      </c>
      <c r="BP10" s="3">
        <f ca="1">IFERROR(__xludf.DUMMYFUNCTION("""COMPUTED_VALUE"""),-0.636579115458825)</f>
        <v>-0.63657911545882495</v>
      </c>
      <c r="BQ10" s="3">
        <f ca="1">IFERROR(__xludf.DUMMYFUNCTION("""COMPUTED_VALUE"""),-0.662634223192646)</f>
        <v>-0.66263422319264598</v>
      </c>
      <c r="BR10" s="3">
        <f ca="1">IFERROR(__xludf.DUMMYFUNCTION("""COMPUTED_VALUE"""),-0.639029971037055)</f>
        <v>-0.63902997103705494</v>
      </c>
      <c r="BS10" s="3">
        <f ca="1">IFERROR(__xludf.DUMMYFUNCTION("""COMPUTED_VALUE"""),-0.609117264226883)</f>
        <v>-0.60911726422688295</v>
      </c>
      <c r="BT10" s="3">
        <f ca="1">IFERROR(__xludf.DUMMYFUNCTION("""COMPUTED_VALUE"""),-0.634033134732811)</f>
        <v>-0.63403313473281098</v>
      </c>
      <c r="BU10" s="3">
        <f ca="1">IFERROR(__xludf.DUMMYFUNCTION("""COMPUTED_VALUE"""),-0.745971986377996)</f>
        <v>-0.745971986377996</v>
      </c>
      <c r="BV10" s="3">
        <f ca="1">IFERROR(__xludf.DUMMYFUNCTION("""COMPUTED_VALUE"""),-0.752102802608806)</f>
        <v>-0.75210280260880602</v>
      </c>
      <c r="BW10" s="3">
        <f ca="1">IFERROR(__xludf.DUMMYFUNCTION("""COMPUTED_VALUE"""),-0.752420347852151)</f>
        <v>-0.75242034785215095</v>
      </c>
      <c r="BX10" s="3">
        <f ca="1">IFERROR(__xludf.DUMMYFUNCTION("""COMPUTED_VALUE"""),-0.763288571065745)</f>
        <v>-0.76328857106574499</v>
      </c>
      <c r="BY10" s="3">
        <f ca="1">IFERROR(__xludf.DUMMYFUNCTION("""COMPUTED_VALUE"""),-0.759476389772983)</f>
        <v>-0.75947638977298304</v>
      </c>
      <c r="BZ10" s="3">
        <f ca="1">IFERROR(__xludf.DUMMYFUNCTION("""COMPUTED_VALUE"""),-0.660334992518254)</f>
        <v>-0.660334992518254</v>
      </c>
      <c r="CA10" s="3">
        <f ca="1">IFERROR(__xludf.DUMMYFUNCTION("""COMPUTED_VALUE"""),-0.619242813554021)</f>
        <v>-0.619242813554021</v>
      </c>
      <c r="CB10" s="3">
        <f ca="1">IFERROR(__xludf.DUMMYFUNCTION("""COMPUTED_VALUE"""),-0.672491118464583)</f>
        <v>-0.67249111846458298</v>
      </c>
      <c r="CC10" s="3">
        <f ca="1">IFERROR(__xludf.DUMMYFUNCTION("""COMPUTED_VALUE"""),-0.671913259903768)</f>
        <v>-0.67191325990376805</v>
      </c>
      <c r="CD10" s="3">
        <f ca="1">IFERROR(__xludf.DUMMYFUNCTION("""COMPUTED_VALUE"""),-0.659052151445616)</f>
        <v>-0.65905215144561602</v>
      </c>
      <c r="CE10" s="3">
        <f ca="1">IFERROR(__xludf.DUMMYFUNCTION("""COMPUTED_VALUE"""),-0.671325520840254)</f>
        <v>-0.67132552084025399</v>
      </c>
      <c r="CF10" s="3">
        <f ca="1">IFERROR(__xludf.DUMMYFUNCTION("""COMPUTED_VALUE"""),-0.660237409259471)</f>
        <v>-0.66023740925947105</v>
      </c>
      <c r="CG10" s="3">
        <f ca="1">IFERROR(__xludf.DUMMYFUNCTION("""COMPUTED_VALUE"""),-0.610610367282701)</f>
        <v>-0.61061036728270102</v>
      </c>
      <c r="CH10" s="3">
        <f ca="1">IFERROR(__xludf.DUMMYFUNCTION("""COMPUTED_VALUE"""),-0.622820414374082)</f>
        <v>-0.62282041437408198</v>
      </c>
      <c r="CI10" s="3">
        <f ca="1">IFERROR(__xludf.DUMMYFUNCTION("""COMPUTED_VALUE"""),-0.636562162919259)</f>
        <v>-0.63656216291925904</v>
      </c>
      <c r="CJ10" s="3">
        <f ca="1">IFERROR(__xludf.DUMMYFUNCTION("""COMPUTED_VALUE"""),-0.660488101497376)</f>
        <v>-0.66048810149737602</v>
      </c>
      <c r="CK10" s="3">
        <f ca="1">IFERROR(__xludf.DUMMYFUNCTION("""COMPUTED_VALUE"""),-0.673660996477877)</f>
        <v>-0.67366099647787703</v>
      </c>
      <c r="CL10" s="3">
        <f ca="1">IFERROR(__xludf.DUMMYFUNCTION("""COMPUTED_VALUE"""),-0.654441996991102)</f>
        <v>-0.65444199699110195</v>
      </c>
      <c r="CM10" s="3">
        <f ca="1">IFERROR(__xludf.DUMMYFUNCTION("""COMPUTED_VALUE"""),-0.631718400420146)</f>
        <v>-0.63171840042014604</v>
      </c>
      <c r="CN10" s="3">
        <f ca="1">IFERROR(__xludf.DUMMYFUNCTION("""COMPUTED_VALUE"""),-0.599816786527374)</f>
        <v>-0.59981678652737402</v>
      </c>
      <c r="CO10" s="3">
        <f ca="1">IFERROR(__xludf.DUMMYFUNCTION("""COMPUTED_VALUE"""),-0.609432511336157)</f>
        <v>-0.60943251133615695</v>
      </c>
      <c r="CP10" s="3">
        <f ca="1">IFERROR(__xludf.DUMMYFUNCTION("""COMPUTED_VALUE"""),-0.731787935411968)</f>
        <v>-0.73178793541196796</v>
      </c>
      <c r="CQ10" s="3">
        <f ca="1">IFERROR(__xludf.DUMMYFUNCTION("""COMPUTED_VALUE"""),-0.736429614166385)</f>
        <v>-0.73642961416638497</v>
      </c>
      <c r="CR10" s="3">
        <f ca="1">IFERROR(__xludf.DUMMYFUNCTION("""COMPUTED_VALUE"""),-0.71708331413215)</f>
        <v>-0.71708331413214998</v>
      </c>
      <c r="CS10" s="3">
        <f ca="1">IFERROR(__xludf.DUMMYFUNCTION("""COMPUTED_VALUE"""),-0.724942498154221)</f>
        <v>-0.72494249815422096</v>
      </c>
      <c r="CT10" s="3">
        <f ca="1">IFERROR(__xludf.DUMMYFUNCTION("""COMPUTED_VALUE"""),-0.716739148816356)</f>
        <v>-0.71673914881635603</v>
      </c>
      <c r="CU10" s="3">
        <f ca="1">IFERROR(__xludf.DUMMYFUNCTION("""COMPUTED_VALUE"""),-0.615663279870129)</f>
        <v>-0.61566327987012903</v>
      </c>
      <c r="CV10" s="3">
        <f ca="1">IFERROR(__xludf.DUMMYFUNCTION("""COMPUTED_VALUE"""),-0.635622723223607)</f>
        <v>-0.63562272322360702</v>
      </c>
      <c r="CW10" s="3">
        <f ca="1">IFERROR(__xludf.DUMMYFUNCTION("""COMPUTED_VALUE"""),-0.811334659523146)</f>
        <v>-0.81133465952314598</v>
      </c>
      <c r="CX10" s="3">
        <f ca="1">IFERROR(__xludf.DUMMYFUNCTION("""COMPUTED_VALUE"""),-0.702802756254964)</f>
        <v>-0.70280275625496402</v>
      </c>
      <c r="CY10" s="3">
        <f ca="1">IFERROR(__xludf.DUMMYFUNCTION("""COMPUTED_VALUE"""),-0.568409790099098)</f>
        <v>-0.56840979009909798</v>
      </c>
      <c r="CZ10" s="3">
        <f ca="1">IFERROR(__xludf.DUMMYFUNCTION("""COMPUTED_VALUE"""),-0.671230879912326)</f>
        <v>-0.671230879912326</v>
      </c>
      <c r="DA10" s="3">
        <f ca="1">IFERROR(__xludf.DUMMYFUNCTION("""COMPUTED_VALUE"""),-0.708991985628415)</f>
        <v>-0.70899198562841503</v>
      </c>
      <c r="DB10" s="3">
        <f ca="1">IFERROR(__xludf.DUMMYFUNCTION("""COMPUTED_VALUE"""),-0.627916608572694)</f>
        <v>-0.62791660857269405</v>
      </c>
      <c r="DC10" s="3">
        <f ca="1">IFERROR(__xludf.DUMMYFUNCTION("""COMPUTED_VALUE"""),-0.66132080546203)</f>
        <v>-0.66132080546202998</v>
      </c>
      <c r="DD10" s="3">
        <f ca="1">IFERROR(__xludf.DUMMYFUNCTION("""COMPUTED_VALUE"""),-0.88899725332664)</f>
        <v>-0.88899725332664004</v>
      </c>
      <c r="DE10" s="3">
        <f ca="1">IFERROR(__xludf.DUMMYFUNCTION("""COMPUTED_VALUE"""),-0.65633642589685)</f>
        <v>-0.65633642589685004</v>
      </c>
      <c r="DF10" s="3">
        <f ca="1">IFERROR(__xludf.DUMMYFUNCTION("""COMPUTED_VALUE"""),-0.313694966907169)</f>
        <v>-0.31369496690716903</v>
      </c>
      <c r="DG10" s="3">
        <f ca="1">IFERROR(__xludf.DUMMYFUNCTION("""COMPUTED_VALUE"""),-0.38976864146271)</f>
        <v>-0.38976864146271001</v>
      </c>
      <c r="DH10" s="3">
        <f ca="1">IFERROR(__xludf.DUMMYFUNCTION("""COMPUTED_VALUE"""),-0.663028364064525)</f>
        <v>-0.66302836406452503</v>
      </c>
      <c r="DI10" s="3">
        <f ca="1">IFERROR(__xludf.DUMMYFUNCTION("""COMPUTED_VALUE"""),-0.607979263115943)</f>
        <v>-0.60797926311594297</v>
      </c>
      <c r="DJ10" s="3">
        <f ca="1">IFERROR(__xludf.DUMMYFUNCTION("""COMPUTED_VALUE"""),-0.646601787347071)</f>
        <v>-0.64660178734707097</v>
      </c>
      <c r="DK10" s="3">
        <f ca="1">IFERROR(__xludf.DUMMYFUNCTION("""COMPUTED_VALUE"""),-0.693022528366759)</f>
        <v>-0.69302252836675904</v>
      </c>
      <c r="DL10" s="3">
        <f ca="1">IFERROR(__xludf.DUMMYFUNCTION("""COMPUTED_VALUE"""),-0.708163352548468)</f>
        <v>-0.70816335254846796</v>
      </c>
      <c r="DM10" s="3">
        <f ca="1">IFERROR(__xludf.DUMMYFUNCTION("""COMPUTED_VALUE"""),-0.657895843221817)</f>
        <v>-0.65789584322181704</v>
      </c>
      <c r="DN10" s="3">
        <f ca="1">IFERROR(__xludf.DUMMYFUNCTION("""COMPUTED_VALUE"""),-0.706064478743444)</f>
        <v>-0.70606447874344402</v>
      </c>
      <c r="DO10" s="3">
        <f ca="1">IFERROR(__xludf.DUMMYFUNCTION("""COMPUTED_VALUE"""),-0.742330523569883)</f>
        <v>-0.74233052356988305</v>
      </c>
      <c r="DP10" s="3">
        <f ca="1">IFERROR(__xludf.DUMMYFUNCTION("""COMPUTED_VALUE"""),-0.683370431928583)</f>
        <v>-0.68337043192858304</v>
      </c>
      <c r="DQ10" s="3">
        <f ca="1">IFERROR(__xludf.DUMMYFUNCTION("""COMPUTED_VALUE"""),-0.624606933273851)</f>
        <v>-0.62460693327385097</v>
      </c>
      <c r="DR10" s="3">
        <f ca="1">IFERROR(__xludf.DUMMYFUNCTION("""COMPUTED_VALUE"""),-0.716296371353905)</f>
        <v>-0.716296371353905</v>
      </c>
      <c r="DS10" s="3">
        <f ca="1">IFERROR(__xludf.DUMMYFUNCTION("""COMPUTED_VALUE"""),-0.726372415791382)</f>
        <v>-0.72637241579138201</v>
      </c>
      <c r="DT10" s="3">
        <f ca="1">IFERROR(__xludf.DUMMYFUNCTION("""COMPUTED_VALUE"""),-0.740856409980124)</f>
        <v>-0.74085640998012403</v>
      </c>
      <c r="DU10" s="3">
        <f ca="1">IFERROR(__xludf.DUMMYFUNCTION("""COMPUTED_VALUE"""),-0.715249676533002)</f>
        <v>-0.71524967653300198</v>
      </c>
      <c r="DV10" s="3">
        <f ca="1">IFERROR(__xludf.DUMMYFUNCTION("""COMPUTED_VALUE"""),-0.725756680743251)</f>
        <v>-0.72575668074325095</v>
      </c>
      <c r="DW10" s="3">
        <f ca="1">IFERROR(__xludf.DUMMYFUNCTION("""COMPUTED_VALUE"""),-0.601849504892026)</f>
        <v>-0.60184950489202604</v>
      </c>
      <c r="DX10" s="3">
        <f ca="1">IFERROR(__xludf.DUMMYFUNCTION("""COMPUTED_VALUE"""),-0.619765404841863)</f>
        <v>-0.61976540484186304</v>
      </c>
      <c r="DY10" s="3">
        <f ca="1">IFERROR(__xludf.DUMMYFUNCTION("""COMPUTED_VALUE"""),-0.721808347781099)</f>
        <v>-0.72180834778109904</v>
      </c>
      <c r="DZ10" s="3">
        <f ca="1">IFERROR(__xludf.DUMMYFUNCTION("""COMPUTED_VALUE"""),-0.742755584896576)</f>
        <v>-0.742755584896576</v>
      </c>
      <c r="EA10" s="3">
        <f ca="1">IFERROR(__xludf.DUMMYFUNCTION("""COMPUTED_VALUE"""),-0.740713206475244)</f>
        <v>-0.74071320647524397</v>
      </c>
      <c r="EB10" s="3">
        <f ca="1">IFERROR(__xludf.DUMMYFUNCTION("""COMPUTED_VALUE"""),-0.724288398327571)</f>
        <v>-0.72428839832757097</v>
      </c>
      <c r="EC10" s="3">
        <f ca="1">IFERROR(__xludf.DUMMYFUNCTION("""COMPUTED_VALUE"""),-0.714590528992466)</f>
        <v>-0.714590528992466</v>
      </c>
      <c r="ED10" s="3">
        <f ca="1">IFERROR(__xludf.DUMMYFUNCTION("""COMPUTED_VALUE"""),-0.584292926626818)</f>
        <v>-0.58429292662681798</v>
      </c>
      <c r="EE10" s="3">
        <f ca="1">IFERROR(__xludf.DUMMYFUNCTION("""COMPUTED_VALUE"""),-0.60487372182091)</f>
        <v>-0.60487372182091004</v>
      </c>
      <c r="EF10" s="3">
        <f ca="1">IFERROR(__xludf.DUMMYFUNCTION("""COMPUTED_VALUE"""),-0.619549512777938)</f>
        <v>-0.61954951277793802</v>
      </c>
      <c r="EG10" s="3">
        <f ca="1">IFERROR(__xludf.DUMMYFUNCTION("""COMPUTED_VALUE"""),-0.651240590336007)</f>
        <v>-0.65124059033600701</v>
      </c>
      <c r="EH10" s="3">
        <f ca="1">IFERROR(__xludf.DUMMYFUNCTION("""COMPUTED_VALUE"""),-0.657560141004396)</f>
        <v>-0.65756014100439597</v>
      </c>
      <c r="EI10" s="3">
        <f ca="1">IFERROR(__xludf.DUMMYFUNCTION("""COMPUTED_VALUE"""),-0.659646248119504)</f>
        <v>-0.65964624811950401</v>
      </c>
      <c r="EJ10" s="3">
        <f ca="1">IFERROR(__xludf.DUMMYFUNCTION("""COMPUTED_VALUE"""),-0.628142767747015)</f>
        <v>-0.62814276774701505</v>
      </c>
      <c r="EK10" s="3">
        <f ca="1">IFERROR(__xludf.DUMMYFUNCTION("""COMPUTED_VALUE"""),-0.595093169948894)</f>
        <v>-0.59509316994889405</v>
      </c>
      <c r="EL10" s="3">
        <f ca="1">IFERROR(__xludf.DUMMYFUNCTION("""COMPUTED_VALUE"""),-0.578696883485527)</f>
        <v>-0.57869688348552695</v>
      </c>
      <c r="EM10" s="3">
        <f ca="1">IFERROR(__xludf.DUMMYFUNCTION("""COMPUTED_VALUE"""),-0.660082755974807)</f>
        <v>-0.66008275597480703</v>
      </c>
      <c r="EN10" s="3">
        <f ca="1">IFERROR(__xludf.DUMMYFUNCTION("""COMPUTED_VALUE"""),-0.644602275240197)</f>
        <v>-0.64460227524019698</v>
      </c>
      <c r="EO10" s="3">
        <f ca="1">IFERROR(__xludf.DUMMYFUNCTION("""COMPUTED_VALUE"""),-0.626507135788531)</f>
        <v>-0.62650713578853101</v>
      </c>
      <c r="EP10" s="3">
        <f ca="1">IFERROR(__xludf.DUMMYFUNCTION("""COMPUTED_VALUE"""),-0.638152637541655)</f>
        <v>-0.63815263754165497</v>
      </c>
      <c r="EQ10" s="3">
        <f ca="1">IFERROR(__xludf.DUMMYFUNCTION("""COMPUTED_VALUE"""),-0.585968977035332)</f>
        <v>-0.58596897703533202</v>
      </c>
      <c r="ER10" s="3">
        <f ca="1">IFERROR(__xludf.DUMMYFUNCTION("""COMPUTED_VALUE"""),-0.548247363331529)</f>
        <v>-0.54824736333152901</v>
      </c>
      <c r="ES10" s="3">
        <f ca="1">IFERROR(__xludf.DUMMYFUNCTION("""COMPUTED_VALUE"""),-0.577907012454174)</f>
        <v>-0.57790701245417397</v>
      </c>
      <c r="ET10" s="3">
        <f ca="1">IFERROR(__xludf.DUMMYFUNCTION("""COMPUTED_VALUE"""),-0.601313101644024)</f>
        <v>-0.60131310164402396</v>
      </c>
      <c r="EU10" s="3">
        <f ca="1">IFERROR(__xludf.DUMMYFUNCTION("""COMPUTED_VALUE"""),-0.590163473774904)</f>
        <v>-0.59016347377490397</v>
      </c>
      <c r="EV10" s="3">
        <f ca="1">IFERROR(__xludf.DUMMYFUNCTION("""COMPUTED_VALUE"""),-0.712697846830185)</f>
        <v>-0.712697846830185</v>
      </c>
      <c r="EW10" s="3">
        <f ca="1">IFERROR(__xludf.DUMMYFUNCTION("""COMPUTED_VALUE"""),-0.568291234963638)</f>
        <v>-0.56829123496363798</v>
      </c>
      <c r="EX10" s="3">
        <f ca="1">IFERROR(__xludf.DUMMYFUNCTION("""COMPUTED_VALUE"""),-0.542871699635225)</f>
        <v>-0.54287169963522497</v>
      </c>
      <c r="EY10" s="3">
        <f ca="1">IFERROR(__xludf.DUMMYFUNCTION("""COMPUTED_VALUE"""),-0.606169793816676)</f>
        <v>-0.60616979381667602</v>
      </c>
      <c r="EZ10" s="3">
        <f ca="1">IFERROR(__xludf.DUMMYFUNCTION("""COMPUTED_VALUE"""),-0.572868105579956)</f>
        <v>-0.57286810557995604</v>
      </c>
      <c r="FA10" s="3">
        <f ca="1">IFERROR(__xludf.DUMMYFUNCTION("""COMPUTED_VALUE"""),-0.556818843155285)</f>
        <v>-0.55681884315528496</v>
      </c>
      <c r="FB10" s="3">
        <f ca="1">IFERROR(__xludf.DUMMYFUNCTION("""COMPUTED_VALUE"""),-0.595512994974551)</f>
        <v>-0.59551299497455101</v>
      </c>
      <c r="FC10" s="3">
        <f ca="1">IFERROR(__xludf.DUMMYFUNCTION("""COMPUTED_VALUE"""),-0.593308868841741)</f>
        <v>-0.59330886884174106</v>
      </c>
      <c r="FD10" s="3">
        <f ca="1">IFERROR(__xludf.DUMMYFUNCTION("""COMPUTED_VALUE"""),-0.5878811716901)</f>
        <v>-0.58788117169010001</v>
      </c>
      <c r="FE10" s="3">
        <f ca="1">IFERROR(__xludf.DUMMYFUNCTION("""COMPUTED_VALUE"""),-0.524755229640066)</f>
        <v>-0.52475522964006605</v>
      </c>
      <c r="FF10" s="3">
        <f ca="1">IFERROR(__xludf.DUMMYFUNCTION("""COMPUTED_VALUE"""),-0.509038850512145)</f>
        <v>-0.50903885051214504</v>
      </c>
      <c r="FG10" s="3">
        <f ca="1">IFERROR(__xludf.DUMMYFUNCTION("""COMPUTED_VALUE"""),-0.475712492288828)</f>
        <v>-0.475712492288828</v>
      </c>
      <c r="FH10" s="3">
        <f ca="1">IFERROR(__xludf.DUMMYFUNCTION("""COMPUTED_VALUE"""),-0.627455801499433)</f>
        <v>-0.62745580149943303</v>
      </c>
      <c r="FI10" s="3">
        <f ca="1">IFERROR(__xludf.DUMMYFUNCTION("""COMPUTED_VALUE"""),-0.621906902383121)</f>
        <v>-0.62190690238312096</v>
      </c>
      <c r="FJ10" s="3">
        <f ca="1">IFERROR(__xludf.DUMMYFUNCTION("""COMPUTED_VALUE"""),-0.591448089346417)</f>
        <v>-0.59144808934641702</v>
      </c>
      <c r="FK10" s="3">
        <f ca="1">IFERROR(__xludf.DUMMYFUNCTION("""COMPUTED_VALUE"""),-0.577958566470915)</f>
        <v>-0.57795856647091504</v>
      </c>
      <c r="FL10" s="3">
        <f ca="1">IFERROR(__xludf.DUMMYFUNCTION("""COMPUTED_VALUE"""),-0.581599982059415)</f>
        <v>-0.58159998205941499</v>
      </c>
      <c r="FM10" s="3">
        <f ca="1">IFERROR(__xludf.DUMMYFUNCTION("""COMPUTED_VALUE"""),-0.526242498085741)</f>
        <v>-0.52624249808574097</v>
      </c>
      <c r="FN10" s="3">
        <f ca="1">IFERROR(__xludf.DUMMYFUNCTION("""COMPUTED_VALUE"""),-0.545787325487401)</f>
        <v>-0.54578732548740105</v>
      </c>
      <c r="FO10" s="3">
        <f ca="1">IFERROR(__xludf.DUMMYFUNCTION("""COMPUTED_VALUE"""),-0.548252657011729)</f>
        <v>-0.54825265701172898</v>
      </c>
      <c r="FP10" s="3">
        <f ca="1">IFERROR(__xludf.DUMMYFUNCTION("""COMPUTED_VALUE"""),-0.575035287709803)</f>
        <v>-0.57503528770980294</v>
      </c>
      <c r="FQ10" s="3">
        <f ca="1">IFERROR(__xludf.DUMMYFUNCTION("""COMPUTED_VALUE"""),-0.565892907366812)</f>
        <v>-0.56589290736681197</v>
      </c>
      <c r="FR10" s="3">
        <f ca="1">IFERROR(__xludf.DUMMYFUNCTION("""COMPUTED_VALUE"""),-0.542174549539816)</f>
        <v>-0.54217454953981603</v>
      </c>
      <c r="FS10" s="3">
        <f ca="1">IFERROR(__xludf.DUMMYFUNCTION("""COMPUTED_VALUE"""),-0.476072092820805)</f>
        <v>-0.47607209282080498</v>
      </c>
      <c r="FT10" s="3">
        <f ca="1">IFERROR(__xludf.DUMMYFUNCTION("""COMPUTED_VALUE"""),-0.504082668094089)</f>
        <v>-0.50408266809408897</v>
      </c>
      <c r="FU10" s="3">
        <f ca="1">IFERROR(__xludf.DUMMYFUNCTION("""COMPUTED_VALUE"""),-0.524266804000985)</f>
        <v>-0.52426680400098502</v>
      </c>
      <c r="FV10" s="3">
        <f ca="1">IFERROR(__xludf.DUMMYFUNCTION("""COMPUTED_VALUE"""),-0.54722898705458)</f>
        <v>-0.54722898705458001</v>
      </c>
      <c r="FW10" s="3">
        <f ca="1">IFERROR(__xludf.DUMMYFUNCTION("""COMPUTED_VALUE"""),-0.555609210520148)</f>
        <v>-0.555609210520148</v>
      </c>
      <c r="FX10" s="3">
        <f ca="1">IFERROR(__xludf.DUMMYFUNCTION("""COMPUTED_VALUE"""),-0.592436239875683)</f>
        <v>-0.59243623987568295</v>
      </c>
      <c r="FY10" s="3">
        <f ca="1">IFERROR(__xludf.DUMMYFUNCTION("""COMPUTED_VALUE"""),-0.581748619124077)</f>
        <v>-0.58174861912407705</v>
      </c>
      <c r="FZ10" s="3">
        <f ca="1">IFERROR(__xludf.DUMMYFUNCTION("""COMPUTED_VALUE"""),-0.725039043607587)</f>
        <v>-0.72503904360758697</v>
      </c>
      <c r="GA10" s="3">
        <f ca="1">IFERROR(__xludf.DUMMYFUNCTION("""COMPUTED_VALUE"""),-0.515372975624145)</f>
        <v>-0.51537297562414497</v>
      </c>
      <c r="GB10" s="3">
        <f ca="1">IFERROR(__xludf.DUMMYFUNCTION("""COMPUTED_VALUE"""),-0.526154434720246)</f>
        <v>-0.52615443472024603</v>
      </c>
      <c r="GC10" s="3">
        <f ca="1">IFERROR(__xludf.DUMMYFUNCTION("""COMPUTED_VALUE"""),-0.599729228655643)</f>
        <v>-0.59972922865564304</v>
      </c>
      <c r="GD10" s="3">
        <f ca="1">IFERROR(__xludf.DUMMYFUNCTION("""COMPUTED_VALUE"""),-0.57259705227209)</f>
        <v>-0.57259705227209001</v>
      </c>
      <c r="GE10" s="3">
        <f ca="1">IFERROR(__xludf.DUMMYFUNCTION("""COMPUTED_VALUE"""),-0.571521913782769)</f>
        <v>-0.57152191378276895</v>
      </c>
      <c r="GF10" s="3">
        <f ca="1">IFERROR(__xludf.DUMMYFUNCTION("""COMPUTED_VALUE"""),-0.565167363837375)</f>
        <v>-0.56516736383737498</v>
      </c>
      <c r="GG10" s="3">
        <f ca="1">IFERROR(__xludf.DUMMYFUNCTION("""COMPUTED_VALUE"""),-0.512385887586797)</f>
        <v>-0.51238588758679704</v>
      </c>
      <c r="GH10" s="3">
        <f ca="1">IFERROR(__xludf.DUMMYFUNCTION("""COMPUTED_VALUE"""),-0.484929458631659)</f>
        <v>-0.48492945863165898</v>
      </c>
      <c r="GI10" s="3">
        <f ca="1">IFERROR(__xludf.DUMMYFUNCTION("""COMPUTED_VALUE"""),-0.485260460037017)</f>
        <v>-0.48526046003701701</v>
      </c>
      <c r="GJ10" s="3">
        <f ca="1">IFERROR(__xludf.DUMMYFUNCTION("""COMPUTED_VALUE"""),-0.524626526339951)</f>
        <v>-0.52462652633995099</v>
      </c>
      <c r="GK10" s="3">
        <f ca="1">IFERROR(__xludf.DUMMYFUNCTION("""COMPUTED_VALUE"""),-0.563072574945222)</f>
        <v>-0.563072574945222</v>
      </c>
      <c r="GL10" s="3">
        <f ca="1">IFERROR(__xludf.DUMMYFUNCTION("""COMPUTED_VALUE"""),-0.564909728980479)</f>
        <v>-0.56490972898047898</v>
      </c>
      <c r="GM10" s="3">
        <f ca="1">IFERROR(__xludf.DUMMYFUNCTION("""COMPUTED_VALUE"""),-0.573602277567975)</f>
        <v>-0.57360227756797499</v>
      </c>
      <c r="GN10" s="3">
        <f ca="1">IFERROR(__xludf.DUMMYFUNCTION("""COMPUTED_VALUE"""),-0.581602398437701)</f>
        <v>-0.58160239843770101</v>
      </c>
      <c r="GO10" s="3">
        <f ca="1">IFERROR(__xludf.DUMMYFUNCTION("""COMPUTED_VALUE"""),-0.468625693907602)</f>
        <v>-0.468625693907602</v>
      </c>
      <c r="GP10" s="3">
        <f ca="1">IFERROR(__xludf.DUMMYFUNCTION("""COMPUTED_VALUE"""),-0.484644725309414)</f>
        <v>-0.48464472530941399</v>
      </c>
      <c r="GQ10" s="3">
        <f ca="1">IFERROR(__xludf.DUMMYFUNCTION("""COMPUTED_VALUE"""),-0.59324695916218)</f>
        <v>-0.59324695916217995</v>
      </c>
      <c r="GR10" s="3">
        <f ca="1">IFERROR(__xludf.DUMMYFUNCTION("""COMPUTED_VALUE"""),-0.547238113574612)</f>
        <v>-0.54723811357461205</v>
      </c>
      <c r="GS10" s="3">
        <f ca="1">IFERROR(__xludf.DUMMYFUNCTION("""COMPUTED_VALUE"""),-0.564959576409322)</f>
        <v>-0.56495957640932204</v>
      </c>
      <c r="GT10" s="3">
        <f ca="1">IFERROR(__xludf.DUMMYFUNCTION("""COMPUTED_VALUE"""),-0.560145824798963)</f>
        <v>-0.56014582479896302</v>
      </c>
      <c r="GU10" s="3">
        <f ca="1">IFERROR(__xludf.DUMMYFUNCTION("""COMPUTED_VALUE"""),-0.574704285776144)</f>
        <v>-0.57470428577614396</v>
      </c>
      <c r="GV10" s="3">
        <f ca="1">IFERROR(__xludf.DUMMYFUNCTION("""COMPUTED_VALUE"""),-0.463296366913695)</f>
        <v>-0.46329636691369502</v>
      </c>
      <c r="GW10" s="3">
        <f ca="1">IFERROR(__xludf.DUMMYFUNCTION("""COMPUTED_VALUE"""),-0.512653980094331)</f>
        <v>-0.51265398009433105</v>
      </c>
      <c r="GX10" s="3">
        <f ca="1">IFERROR(__xludf.DUMMYFUNCTION("""COMPUTED_VALUE"""),-0.558768339345792)</f>
        <v>-0.55876833934579195</v>
      </c>
      <c r="GY10" s="3">
        <f ca="1">IFERROR(__xludf.DUMMYFUNCTION("""COMPUTED_VALUE"""),-0.545151573959275)</f>
        <v>-0.54515157395927505</v>
      </c>
      <c r="GZ10" s="3">
        <f ca="1">IFERROR(__xludf.DUMMYFUNCTION("""COMPUTED_VALUE"""),-0.535068489197056)</f>
        <v>-0.53506848919705596</v>
      </c>
      <c r="HA10" s="3">
        <f ca="1">IFERROR(__xludf.DUMMYFUNCTION("""COMPUTED_VALUE"""),-0.534030871872594)</f>
        <v>-0.53403087187259402</v>
      </c>
      <c r="HB10" s="3">
        <f ca="1">IFERROR(__xludf.DUMMYFUNCTION("""COMPUTED_VALUE"""),-0.550418535004169)</f>
        <v>-0.55041853500416904</v>
      </c>
      <c r="HC10" s="3">
        <f ca="1">IFERROR(__xludf.DUMMYFUNCTION("""COMPUTED_VALUE"""),-0.461581449980474)</f>
        <v>-0.46158144998047401</v>
      </c>
      <c r="HD10" s="3">
        <f ca="1">IFERROR(__xludf.DUMMYFUNCTION("""COMPUTED_VALUE"""),-0.459462666176969)</f>
        <v>-0.45946266617696901</v>
      </c>
      <c r="HE10" s="3">
        <f ca="1">IFERROR(__xludf.DUMMYFUNCTION("""COMPUTED_VALUE"""),-0.491076391722514)</f>
        <v>-0.49107639172251399</v>
      </c>
      <c r="HF10" s="3">
        <f ca="1">IFERROR(__xludf.DUMMYFUNCTION("""COMPUTED_VALUE"""),-0.516501497464178)</f>
        <v>-0.51650149746417795</v>
      </c>
      <c r="HG10" s="3">
        <f ca="1">IFERROR(__xludf.DUMMYFUNCTION("""COMPUTED_VALUE"""),-0.491630248257912)</f>
        <v>-0.49163024825791202</v>
      </c>
      <c r="HH10" s="3">
        <f ca="1">IFERROR(__xludf.DUMMYFUNCTION("""COMPUTED_VALUE"""),-0.485808863311927)</f>
        <v>-0.48580886331192702</v>
      </c>
      <c r="HI10" s="3">
        <f ca="1">IFERROR(__xludf.DUMMYFUNCTION("""COMPUTED_VALUE"""),-0.713324932923847)</f>
        <v>-0.71332493292384702</v>
      </c>
      <c r="HJ10" s="3">
        <f ca="1">IFERROR(__xludf.DUMMYFUNCTION("""COMPUTED_VALUE"""),-0.479165775226256)</f>
        <v>-0.47916577522625597</v>
      </c>
      <c r="HK10" s="3">
        <f ca="1">IFERROR(__xludf.DUMMYFUNCTION("""COMPUTED_VALUE"""),-0.443895752104555)</f>
        <v>-0.44389575210455501</v>
      </c>
      <c r="HL10" s="3">
        <f ca="1">IFERROR(__xludf.DUMMYFUNCTION("""COMPUTED_VALUE"""),-0.472956703970471)</f>
        <v>-0.47295670397047102</v>
      </c>
      <c r="HM10" s="3">
        <f ca="1">IFERROR(__xludf.DUMMYFUNCTION("""COMPUTED_VALUE"""),-0.515772599873621)</f>
        <v>-0.51577259987362101</v>
      </c>
      <c r="HN10" s="3">
        <f ca="1">IFERROR(__xludf.DUMMYFUNCTION("""COMPUTED_VALUE"""),-0.508750189587586)</f>
        <v>-0.508750189587586</v>
      </c>
      <c r="HO10" s="3">
        <f ca="1">IFERROR(__xludf.DUMMYFUNCTION("""COMPUTED_VALUE"""),-0.534822622343151)</f>
        <v>-0.53482262234315103</v>
      </c>
      <c r="HP10" s="3">
        <f ca="1">IFERROR(__xludf.DUMMYFUNCTION("""COMPUTED_VALUE"""),-0.486166983034104)</f>
        <v>-0.48616698303410399</v>
      </c>
      <c r="HQ10" s="3">
        <f ca="1">IFERROR(__xludf.DUMMYFUNCTION("""COMPUTED_VALUE"""),-0.396985923241382)</f>
        <v>-0.39698592324138199</v>
      </c>
      <c r="HR10" s="3">
        <f ca="1">IFERROR(__xludf.DUMMYFUNCTION("""COMPUTED_VALUE"""),-0.443477793926216)</f>
        <v>-0.443477793926216</v>
      </c>
      <c r="HS10" s="3">
        <f ca="1">IFERROR(__xludf.DUMMYFUNCTION("""COMPUTED_VALUE"""),-0.570423012502122)</f>
        <v>-0.57042301250212202</v>
      </c>
      <c r="HT10" s="3">
        <f ca="1">IFERROR(__xludf.DUMMYFUNCTION("""COMPUTED_VALUE"""),-0.587736367433519)</f>
        <v>-0.58773636743351898</v>
      </c>
      <c r="HU10" s="3">
        <f ca="1">IFERROR(__xludf.DUMMYFUNCTION("""COMPUTED_VALUE"""),-0.570546598941358)</f>
        <v>-0.57054659894135795</v>
      </c>
      <c r="HV10" s="3">
        <f ca="1">IFERROR(__xludf.DUMMYFUNCTION("""COMPUTED_VALUE"""),-0.602695634113665)</f>
        <v>-0.602695634113665</v>
      </c>
      <c r="HW10" s="3">
        <f ca="1">IFERROR(__xludf.DUMMYFUNCTION("""COMPUTED_VALUE"""),-0.452299002291688)</f>
        <v>-0.45229900229168801</v>
      </c>
      <c r="HX10" s="3">
        <f ca="1">IFERROR(__xludf.DUMMYFUNCTION("""COMPUTED_VALUE"""),-0.439978431329535)</f>
        <v>-0.43997843132953501</v>
      </c>
      <c r="HY10" s="3">
        <f ca="1">IFERROR(__xludf.DUMMYFUNCTION("""COMPUTED_VALUE"""),-0.407777644123915)</f>
        <v>-0.40777764412391498</v>
      </c>
      <c r="HZ10" s="3">
        <f ca="1">IFERROR(__xludf.DUMMYFUNCTION("""COMPUTED_VALUE"""),-0.496136871082235)</f>
        <v>-0.49613687108223498</v>
      </c>
      <c r="IA10" s="3">
        <f ca="1">IFERROR(__xludf.DUMMYFUNCTION("""COMPUTED_VALUE"""),-0.537476835992083)</f>
        <v>-0.53747683599208296</v>
      </c>
      <c r="IB10" s="3">
        <f ca="1">IFERROR(__xludf.DUMMYFUNCTION("""COMPUTED_VALUE"""),-0.52289478503836)</f>
        <v>-0.52289478503835995</v>
      </c>
      <c r="IC10" s="3">
        <f ca="1">IFERROR(__xludf.DUMMYFUNCTION("""COMPUTED_VALUE"""),-0.511784849085611)</f>
        <v>-0.51178484908561095</v>
      </c>
      <c r="ID10" s="3">
        <f ca="1">IFERROR(__xludf.DUMMYFUNCTION("""COMPUTED_VALUE"""),-0.499595219613234)</f>
        <v>-0.499595219613234</v>
      </c>
      <c r="IE10" s="3">
        <f ca="1">IFERROR(__xludf.DUMMYFUNCTION("""COMPUTED_VALUE"""),-0.397513047942523)</f>
        <v>-0.39751304794252301</v>
      </c>
      <c r="IF10" s="3">
        <f ca="1">IFERROR(__xludf.DUMMYFUNCTION("""COMPUTED_VALUE"""),-0.417254848643023)</f>
        <v>-0.41725484864302298</v>
      </c>
      <c r="IG10" s="3">
        <f ca="1">IFERROR(__xludf.DUMMYFUNCTION("""COMPUTED_VALUE"""),-0.503387669690701)</f>
        <v>-0.50338766969070103</v>
      </c>
      <c r="IH10" s="3">
        <f ca="1">IFERROR(__xludf.DUMMYFUNCTION("""COMPUTED_VALUE"""),-0.518710847639816)</f>
        <v>-0.51871084763981601</v>
      </c>
      <c r="II10" s="3">
        <f ca="1">IFERROR(__xludf.DUMMYFUNCTION("""COMPUTED_VALUE"""),-0.523354512099363)</f>
        <v>-0.52335451209936301</v>
      </c>
      <c r="IJ10" s="3">
        <f ca="1">IFERROR(__xludf.DUMMYFUNCTION("""COMPUTED_VALUE"""),-0.513715513644197)</f>
        <v>-0.51371551364419699</v>
      </c>
      <c r="IK10" s="3">
        <f ca="1">IFERROR(__xludf.DUMMYFUNCTION("""COMPUTED_VALUE"""),-0.439765528566869)</f>
        <v>-0.43976552856686901</v>
      </c>
      <c r="IL10" s="3">
        <f ca="1">IFERROR(__xludf.DUMMYFUNCTION("""COMPUTED_VALUE"""),-0.43561848847905)</f>
        <v>-0.43561848847904999</v>
      </c>
      <c r="IM10" s="3">
        <f ca="1">IFERROR(__xludf.DUMMYFUNCTION("""COMPUTED_VALUE"""),-0.455615397473759)</f>
        <v>-0.45561539747375901</v>
      </c>
      <c r="IN10" s="3">
        <f ca="1">IFERROR(__xludf.DUMMYFUNCTION("""COMPUTED_VALUE"""),-0.505900484579444)</f>
        <v>-0.50590048457944403</v>
      </c>
      <c r="IO10" s="3">
        <f ca="1">IFERROR(__xludf.DUMMYFUNCTION("""COMPUTED_VALUE"""),-0.528215356645165)</f>
        <v>-0.52821535664516495</v>
      </c>
      <c r="IP10" s="3">
        <f ca="1">IFERROR(__xludf.DUMMYFUNCTION("""COMPUTED_VALUE"""),-0.521883767780318)</f>
        <v>-0.52188376778031798</v>
      </c>
      <c r="IQ10" s="3">
        <f ca="1">IFERROR(__xludf.DUMMYFUNCTION("""COMPUTED_VALUE"""),-0.529862041065712)</f>
        <v>-0.529862041065712</v>
      </c>
      <c r="IR10" s="3">
        <f ca="1">IFERROR(__xludf.DUMMYFUNCTION("""COMPUTED_VALUE"""),-0.556731680106582)</f>
        <v>-0.55673168010658203</v>
      </c>
      <c r="IS10" s="3">
        <f ca="1">IFERROR(__xludf.DUMMYFUNCTION("""COMPUTED_VALUE"""),-0.432655037332383)</f>
        <v>-0.43265503733238297</v>
      </c>
      <c r="IT10" s="3">
        <f ca="1">IFERROR(__xludf.DUMMYFUNCTION("""COMPUTED_VALUE"""),-0.443067224843295)</f>
        <v>-0.44306722484329503</v>
      </c>
      <c r="IU10" s="3">
        <f ca="1">IFERROR(__xludf.DUMMYFUNCTION("""COMPUTED_VALUE"""),-0.495271891807638)</f>
        <v>-0.49527189180763798</v>
      </c>
      <c r="IV10" s="3">
        <f ca="1">IFERROR(__xludf.DUMMYFUNCTION("""COMPUTED_VALUE"""),-0.550005632460715)</f>
        <v>-0.55000563246071499</v>
      </c>
      <c r="IW10" s="3">
        <f ca="1">IFERROR(__xludf.DUMMYFUNCTION("""COMPUTED_VALUE"""),-0.531997280988734)</f>
        <v>-0.531997280988734</v>
      </c>
      <c r="IX10" s="3">
        <f ca="1">IFERROR(__xludf.DUMMYFUNCTION("""COMPUTED_VALUE"""),-0.562996641270835)</f>
        <v>-0.56299664127083504</v>
      </c>
      <c r="IY10" s="3">
        <f ca="1">IFERROR(__xludf.DUMMYFUNCTION("""COMPUTED_VALUE"""),-0.4872205427349)</f>
        <v>-0.48722054273490001</v>
      </c>
      <c r="IZ10" s="3">
        <f ca="1">IFERROR(__xludf.DUMMYFUNCTION("""COMPUTED_VALUE"""),-0.479571756255128)</f>
        <v>-0.47957175625512799</v>
      </c>
      <c r="JA10" s="3">
        <f ca="1">IFERROR(__xludf.DUMMYFUNCTION("""COMPUTED_VALUE"""),-0.465052940386271)</f>
        <v>-0.46505294038627099</v>
      </c>
      <c r="JB10" s="3">
        <f ca="1">IFERROR(__xludf.DUMMYFUNCTION("""COMPUTED_VALUE"""),-0.581491333009992)</f>
        <v>-0.58149133300999201</v>
      </c>
      <c r="JC10" s="3">
        <f ca="1">IFERROR(__xludf.DUMMYFUNCTION("""COMPUTED_VALUE"""),-0.570570676415453)</f>
        <v>-0.570570676415453</v>
      </c>
      <c r="JD10" s="3">
        <f ca="1">IFERROR(__xludf.DUMMYFUNCTION("""COMPUTED_VALUE"""),-0.553442560171688)</f>
        <v>-0.55344256017168802</v>
      </c>
      <c r="JE10" s="3">
        <f ca="1">IFERROR(__xludf.DUMMYFUNCTION("""COMPUTED_VALUE"""),-0.58812523817911)</f>
        <v>-0.58812523817911</v>
      </c>
      <c r="JF10" s="3">
        <f ca="1">IFERROR(__xludf.DUMMYFUNCTION("""COMPUTED_VALUE"""),-0.559108001000011)</f>
        <v>-0.55910800100001101</v>
      </c>
      <c r="JG10" s="3">
        <f ca="1">IFERROR(__xludf.DUMMYFUNCTION("""COMPUTED_VALUE"""),-0.527610254204595)</f>
        <v>-0.52761025420459495</v>
      </c>
      <c r="JH10" s="3">
        <f ca="1">IFERROR(__xludf.DUMMYFUNCTION("""COMPUTED_VALUE"""),-0.491358051566395)</f>
        <v>-0.491358051566395</v>
      </c>
      <c r="JI10" s="3">
        <f ca="1">IFERROR(__xludf.DUMMYFUNCTION("""COMPUTED_VALUE"""),-0.587723415066662)</f>
        <v>-0.58772341506666204</v>
      </c>
      <c r="JJ10" s="3">
        <f ca="1">IFERROR(__xludf.DUMMYFUNCTION("""COMPUTED_VALUE"""),-0.59021880817388)</f>
        <v>-0.59021880817387995</v>
      </c>
      <c r="JK10" s="3">
        <f ca="1">IFERROR(__xludf.DUMMYFUNCTION("""COMPUTED_VALUE"""),-0.594598088529817)</f>
        <v>-0.59459808852981699</v>
      </c>
      <c r="JL10" s="3">
        <f ca="1">IFERROR(__xludf.DUMMYFUNCTION("""COMPUTED_VALUE"""),-0.599556848769499)</f>
        <v>-0.599556848769499</v>
      </c>
      <c r="JM10" s="3">
        <f ca="1">IFERROR(__xludf.DUMMYFUNCTION("""COMPUTED_VALUE"""),-0.586919614247605)</f>
        <v>-0.58691961424760497</v>
      </c>
      <c r="JN10" s="3">
        <f ca="1">IFERROR(__xludf.DUMMYFUNCTION("""COMPUTED_VALUE"""),-0.534350612792361)</f>
        <v>-0.53435061279236096</v>
      </c>
      <c r="JO10" s="3">
        <f ca="1">IFERROR(__xludf.DUMMYFUNCTION("""COMPUTED_VALUE"""),-0.50050451676079)</f>
        <v>-0.50050451676079</v>
      </c>
      <c r="JP10" s="3">
        <f ca="1">IFERROR(__xludf.DUMMYFUNCTION("""COMPUTED_VALUE"""),-0.61606511288844)</f>
        <v>-0.61606511288844001</v>
      </c>
      <c r="JQ10" s="3">
        <f ca="1">IFERROR(__xludf.DUMMYFUNCTION("""COMPUTED_VALUE"""),-0.613414552466742)</f>
        <v>-0.61341455246674204</v>
      </c>
      <c r="JR10" s="3">
        <f ca="1">IFERROR(__xludf.DUMMYFUNCTION("""COMPUTED_VALUE"""),-0.657055111824455)</f>
        <v>-0.65705511182445497</v>
      </c>
      <c r="JS10" s="3">
        <f ca="1">IFERROR(__xludf.DUMMYFUNCTION("""COMPUTED_VALUE"""),-0.632701444269509)</f>
        <v>-0.63270144426950903</v>
      </c>
      <c r="JT10" s="3">
        <f ca="1">IFERROR(__xludf.DUMMYFUNCTION("""COMPUTED_VALUE"""),-0.571377825120637)</f>
        <v>-0.57137782512063695</v>
      </c>
      <c r="JU10" s="3">
        <f ca="1">IFERROR(__xludf.DUMMYFUNCTION("""COMPUTED_VALUE"""),-0.548384724493384)</f>
        <v>-0.54838472449338405</v>
      </c>
      <c r="JV10" s="3">
        <f ca="1">IFERROR(__xludf.DUMMYFUNCTION("""COMPUTED_VALUE"""),-0.546861726375216)</f>
        <v>-0.54686172637521602</v>
      </c>
      <c r="JW10" s="3">
        <f ca="1">IFERROR(__xludf.DUMMYFUNCTION("""COMPUTED_VALUE"""),-0.613548343813513)</f>
        <v>-0.61354834381351298</v>
      </c>
      <c r="JX10" s="3">
        <f ca="1">IFERROR(__xludf.DUMMYFUNCTION("""COMPUTED_VALUE"""),-0.607435635411715)</f>
        <v>-0.60743563541171497</v>
      </c>
      <c r="JY10" s="3">
        <f ca="1">IFERROR(__xludf.DUMMYFUNCTION("""COMPUTED_VALUE"""),-0.677609905984827)</f>
        <v>-0.67760990598482695</v>
      </c>
      <c r="JZ10" s="3">
        <f ca="1">IFERROR(__xludf.DUMMYFUNCTION("""COMPUTED_VALUE"""),-0.685894269764939)</f>
        <v>-0.68589426976493895</v>
      </c>
      <c r="KA10" s="3">
        <f ca="1">IFERROR(__xludf.DUMMYFUNCTION("""COMPUTED_VALUE"""),-0.608611611503707)</f>
        <v>-0.60861161150370702</v>
      </c>
      <c r="KB10" s="3">
        <f ca="1">IFERROR(__xludf.DUMMYFUNCTION("""COMPUTED_VALUE"""),-0.551844831542608)</f>
        <v>-0.55184483154260799</v>
      </c>
      <c r="KC10" s="3">
        <f ca="1">IFERROR(__xludf.DUMMYFUNCTION("""COMPUTED_VALUE"""),-0.529707365319618)</f>
        <v>-0.52970736531961804</v>
      </c>
      <c r="KD10" s="3">
        <f ca="1">IFERROR(__xludf.DUMMYFUNCTION("""COMPUTED_VALUE"""),-0.614394320147484)</f>
        <v>-0.61439432014748396</v>
      </c>
      <c r="KE10" s="3">
        <f ca="1">IFERROR(__xludf.DUMMYFUNCTION("""COMPUTED_VALUE"""),-0.631870262493322)</f>
        <v>-0.63187026249332201</v>
      </c>
      <c r="KF10" s="3">
        <f ca="1">IFERROR(__xludf.DUMMYFUNCTION("""COMPUTED_VALUE"""),-0.664493042698977)</f>
        <v>-0.66449304269897702</v>
      </c>
      <c r="KG10" s="3">
        <f ca="1">IFERROR(__xludf.DUMMYFUNCTION("""COMPUTED_VALUE"""),-0.658724150945704)</f>
        <v>-0.65872415094570402</v>
      </c>
      <c r="KH10" s="3">
        <f ca="1">IFERROR(__xludf.DUMMYFUNCTION("""COMPUTED_VALUE"""),-0.611741489858001)</f>
        <v>-0.61174148985800103</v>
      </c>
      <c r="KI10" s="3">
        <f ca="1">IFERROR(__xludf.DUMMYFUNCTION("""COMPUTED_VALUE"""),-0.542657106306625)</f>
        <v>-0.542657106306625</v>
      </c>
      <c r="KJ10" s="3">
        <f ca="1">IFERROR(__xludf.DUMMYFUNCTION("""COMPUTED_VALUE"""),-0.519668109419447)</f>
        <v>-0.51966810941944697</v>
      </c>
      <c r="KK10" s="3">
        <f ca="1">IFERROR(__xludf.DUMMYFUNCTION("""COMPUTED_VALUE"""),-0.648375201141983)</f>
        <v>-0.64837520114198299</v>
      </c>
      <c r="KL10" s="3">
        <f ca="1">IFERROR(__xludf.DUMMYFUNCTION("""COMPUTED_VALUE"""),-0.696016235874297)</f>
        <v>-0.69601623587429695</v>
      </c>
      <c r="KM10" s="3">
        <f ca="1">IFERROR(__xludf.DUMMYFUNCTION("""COMPUTED_VALUE"""),-0.714657345010929)</f>
        <v>-0.71465734501092903</v>
      </c>
      <c r="KN10" s="3">
        <f ca="1">IFERROR(__xludf.DUMMYFUNCTION("""COMPUTED_VALUE"""),-0.687088126109449)</f>
        <v>-0.68708812610944903</v>
      </c>
      <c r="KO10" s="3">
        <f ca="1">IFERROR(__xludf.DUMMYFUNCTION("""COMPUTED_VALUE"""),-0.682455676551921)</f>
        <v>-0.68245567655192096</v>
      </c>
      <c r="KP10" s="3">
        <f ca="1">IFERROR(__xludf.DUMMYFUNCTION("""COMPUTED_VALUE"""),-0.561584660055502)</f>
        <v>-0.56158466005550201</v>
      </c>
      <c r="KQ10" s="3">
        <f ca="1">IFERROR(__xludf.DUMMYFUNCTION("""COMPUTED_VALUE"""),-0.598987258048059)</f>
        <v>-0.59898725804805897</v>
      </c>
      <c r="KR10" s="3">
        <f ca="1">IFERROR(__xludf.DUMMYFUNCTION("""COMPUTED_VALUE"""),-0.704440377796458)</f>
        <v>-0.70444037779645796</v>
      </c>
      <c r="KS10" s="3">
        <f ca="1">IFERROR(__xludf.DUMMYFUNCTION("""COMPUTED_VALUE"""),-0.717017218807788)</f>
        <v>-0.71701721880778801</v>
      </c>
      <c r="KT10" s="3">
        <f ca="1">IFERROR(__xludf.DUMMYFUNCTION("""COMPUTED_VALUE"""),-0.701894429994198)</f>
        <v>-0.70189442999419804</v>
      </c>
      <c r="KU10" s="3">
        <f ca="1">IFERROR(__xludf.DUMMYFUNCTION("""COMPUTED_VALUE"""),-0.722330970653416)</f>
        <v>-0.722330970653416</v>
      </c>
      <c r="KV10" s="3">
        <f ca="1">IFERROR(__xludf.DUMMYFUNCTION("""COMPUTED_VALUE"""),-0.709114392994868)</f>
        <v>-0.709114392994868</v>
      </c>
      <c r="KW10" s="3">
        <f ca="1">IFERROR(__xludf.DUMMYFUNCTION("""COMPUTED_VALUE"""),-0.661365970396617)</f>
        <v>-0.66136597039661704</v>
      </c>
      <c r="KX10" s="3">
        <f ca="1">IFERROR(__xludf.DUMMYFUNCTION("""COMPUTED_VALUE"""),-0.607737221225794)</f>
        <v>-0.60773722122579399</v>
      </c>
      <c r="KY10" s="3">
        <f ca="1">IFERROR(__xludf.DUMMYFUNCTION("""COMPUTED_VALUE"""),-0.727149714240079)</f>
        <v>-0.72714971424007901</v>
      </c>
      <c r="KZ10" s="3">
        <f ca="1">IFERROR(__xludf.DUMMYFUNCTION("""COMPUTED_VALUE"""),-0.734281778688632)</f>
        <v>-0.73428177868863198</v>
      </c>
      <c r="LA10" s="3">
        <f ca="1">IFERROR(__xludf.DUMMYFUNCTION("""COMPUTED_VALUE"""),-0.717977002662312)</f>
        <v>-0.71797700266231201</v>
      </c>
      <c r="LB10" s="3">
        <f ca="1">IFERROR(__xludf.DUMMYFUNCTION("""COMPUTED_VALUE"""),-0.728294821041184)</f>
        <v>-0.72829482104118404</v>
      </c>
      <c r="LC10" s="3">
        <f ca="1">IFERROR(__xludf.DUMMYFUNCTION("""COMPUTED_VALUE"""),-0.694108432263287)</f>
        <v>-0.694108432263287</v>
      </c>
      <c r="LD10" s="3">
        <f ca="1">IFERROR(__xludf.DUMMYFUNCTION("""COMPUTED_VALUE"""),-0.660154842334859)</f>
        <v>-0.66015484233485899</v>
      </c>
      <c r="LE10" s="3">
        <f ca="1">IFERROR(__xludf.DUMMYFUNCTION("""COMPUTED_VALUE"""),-0.611332220768336)</f>
        <v>-0.61133222076833604</v>
      </c>
      <c r="LF10" s="3">
        <f ca="1">IFERROR(__xludf.DUMMYFUNCTION("""COMPUTED_VALUE"""),-0.736508149335751)</f>
        <v>-0.73650814933575104</v>
      </c>
      <c r="LG10" s="3">
        <f ca="1">IFERROR(__xludf.DUMMYFUNCTION("""COMPUTED_VALUE"""),-0.748305031455574)</f>
        <v>-0.74830503145557403</v>
      </c>
      <c r="LH10" s="3">
        <f ca="1">IFERROR(__xludf.DUMMYFUNCTION("""COMPUTED_VALUE"""),-0.744764577347495)</f>
        <v>-0.74476457734749502</v>
      </c>
      <c r="LI10" s="3">
        <f ca="1">IFERROR(__xludf.DUMMYFUNCTION("""COMPUTED_VALUE"""),-0.755857853667805)</f>
        <v>-0.755857853667805</v>
      </c>
      <c r="LJ10" s="3">
        <f ca="1">IFERROR(__xludf.DUMMYFUNCTION("""COMPUTED_VALUE"""),-0.708575762110569)</f>
        <v>-0.70857576211056905</v>
      </c>
      <c r="LK10" s="3">
        <f ca="1">IFERROR(__xludf.DUMMYFUNCTION("""COMPUTED_VALUE"""),-0.658216990013882)</f>
        <v>-0.65821699001388201</v>
      </c>
      <c r="LL10" s="3">
        <f ca="1">IFERROR(__xludf.DUMMYFUNCTION("""COMPUTED_VALUE"""),-0.6842074483722)</f>
        <v>-0.68420744837220004</v>
      </c>
      <c r="LM10" s="3">
        <f ca="1">IFERROR(__xludf.DUMMYFUNCTION("""COMPUTED_VALUE"""),-0.78448553039508)</f>
        <v>-0.78448553039507996</v>
      </c>
      <c r="LN10" s="3">
        <f ca="1">IFERROR(__xludf.DUMMYFUNCTION("""COMPUTED_VALUE"""),-0.818542242282176)</f>
        <v>-0.81854224228217598</v>
      </c>
      <c r="LO10" s="3">
        <f ca="1">IFERROR(__xludf.DUMMYFUNCTION("""COMPUTED_VALUE"""),-0.792322007225978)</f>
        <v>-0.79232200722597801</v>
      </c>
      <c r="LP10" s="3">
        <f ca="1">IFERROR(__xludf.DUMMYFUNCTION("""COMPUTED_VALUE"""),-0.777864105075331)</f>
        <v>-0.77786410507533099</v>
      </c>
      <c r="LQ10" s="3">
        <f ca="1">IFERROR(__xludf.DUMMYFUNCTION("""COMPUTED_VALUE"""),-0.755642954871562)</f>
        <v>-0.75564295487156197</v>
      </c>
      <c r="LR10" s="3">
        <f ca="1">IFERROR(__xludf.DUMMYFUNCTION("""COMPUTED_VALUE"""),-0.657890980734148)</f>
        <v>-0.65789098073414798</v>
      </c>
      <c r="LS10" s="3">
        <f ca="1">IFERROR(__xludf.DUMMYFUNCTION("""COMPUTED_VALUE"""),-0.680337313305345)</f>
        <v>-0.68033731330534497</v>
      </c>
      <c r="LT10" s="3">
        <f ca="1">IFERROR(__xludf.DUMMYFUNCTION("""COMPUTED_VALUE"""),-0.789019373145516)</f>
        <v>-0.78901937314551596</v>
      </c>
      <c r="LU10" s="3">
        <f ca="1">IFERROR(__xludf.DUMMYFUNCTION("""COMPUTED_VALUE"""),-0.804194190189179)</f>
        <v>-0.80419419018917904</v>
      </c>
      <c r="LV10" s="3">
        <f ca="1">IFERROR(__xludf.DUMMYFUNCTION("""COMPUTED_VALUE"""),-0.807348151258836)</f>
        <v>-0.80734815125883597</v>
      </c>
      <c r="LW10" s="3">
        <f ca="1">IFERROR(__xludf.DUMMYFUNCTION("""COMPUTED_VALUE"""),-0.810894509983199)</f>
        <v>-0.81089450998319901</v>
      </c>
      <c r="LX10" s="3">
        <f ca="1">IFERROR(__xludf.DUMMYFUNCTION("""COMPUTED_VALUE"""),-0.76891206010429)</f>
        <v>-0.76891206010429003</v>
      </c>
      <c r="LY10" s="3">
        <f ca="1">IFERROR(__xludf.DUMMYFUNCTION("""COMPUTED_VALUE"""),-0.728034744718014)</f>
        <v>-0.72803474471801399</v>
      </c>
      <c r="LZ10" s="3">
        <f ca="1">IFERROR(__xludf.DUMMYFUNCTION("""COMPUTED_VALUE"""),-0.745458572476872)</f>
        <v>-0.74545857247687197</v>
      </c>
      <c r="MA10" s="3">
        <f ca="1">IFERROR(__xludf.DUMMYFUNCTION("""COMPUTED_VALUE"""),-0.814887045243051)</f>
        <v>-0.814887045243051</v>
      </c>
      <c r="MB10" s="3">
        <f ca="1">IFERROR(__xludf.DUMMYFUNCTION("""COMPUTED_VALUE"""),-0.819260319089898)</f>
        <v>-0.81926031908989805</v>
      </c>
      <c r="MC10" s="3">
        <f ca="1">IFERROR(__xludf.DUMMYFUNCTION("""COMPUTED_VALUE"""),-0.815952475021463)</f>
        <v>-0.81595247502146295</v>
      </c>
      <c r="MD10" s="3">
        <f ca="1">IFERROR(__xludf.DUMMYFUNCTION("""COMPUTED_VALUE"""),-0.811881021395697)</f>
        <v>-0.81188102139569696</v>
      </c>
      <c r="ME10" s="3">
        <f ca="1">IFERROR(__xludf.DUMMYFUNCTION("""COMPUTED_VALUE"""),-0.815091776456)</f>
        <v>-0.81509177645599995</v>
      </c>
      <c r="MF10" s="3">
        <f ca="1">IFERROR(__xludf.DUMMYFUNCTION("""COMPUTED_VALUE"""),-0.703907494533328)</f>
        <v>-0.70390749453332802</v>
      </c>
      <c r="MG10" s="3">
        <f ca="1">IFERROR(__xludf.DUMMYFUNCTION("""COMPUTED_VALUE"""),-0.73980648946083)</f>
        <v>-0.73980648946083005</v>
      </c>
      <c r="MH10" s="3">
        <f ca="1">IFERROR(__xludf.DUMMYFUNCTION("""COMPUTED_VALUE"""),-0.830704674909504)</f>
        <v>-0.83070467490950395</v>
      </c>
      <c r="MI10" s="3">
        <f ca="1">IFERROR(__xludf.DUMMYFUNCTION("""COMPUTED_VALUE"""),-0.818174312019019)</f>
        <v>-0.81817431201901902</v>
      </c>
      <c r="MJ10" s="3">
        <f ca="1">IFERROR(__xludf.DUMMYFUNCTION("""COMPUTED_VALUE"""),-0.822132833895528)</f>
        <v>-0.82213283389552805</v>
      </c>
      <c r="MK10" s="3">
        <f ca="1">IFERROR(__xludf.DUMMYFUNCTION("""COMPUTED_VALUE"""),-0.82309078687803)</f>
        <v>-0.82309078687802995</v>
      </c>
      <c r="ML10" s="3">
        <f ca="1">IFERROR(__xludf.DUMMYFUNCTION("""COMPUTED_VALUE"""),-0.808823783536895)</f>
        <v>-0.80882378353689499</v>
      </c>
      <c r="MM10" s="3">
        <f ca="1">IFERROR(__xludf.DUMMYFUNCTION("""COMPUTED_VALUE"""),-0.73572952559633)</f>
        <v>-0.73572952559632998</v>
      </c>
      <c r="MN10" s="3">
        <f ca="1">IFERROR(__xludf.DUMMYFUNCTION("""COMPUTED_VALUE"""),-0.759924756329114)</f>
        <v>-0.75992475632911405</v>
      </c>
      <c r="MO10" s="3">
        <f ca="1">IFERROR(__xludf.DUMMYFUNCTION("""COMPUTED_VALUE"""),-0.81197935157009)</f>
        <v>-0.81197935157009005</v>
      </c>
      <c r="MP10" s="3">
        <f ca="1">IFERROR(__xludf.DUMMYFUNCTION("""COMPUTED_VALUE"""),-0.82695402049144)</f>
        <v>-0.82695402049143996</v>
      </c>
      <c r="MQ10" s="3">
        <f ca="1">IFERROR(__xludf.DUMMYFUNCTION("""COMPUTED_VALUE"""),-0.824624107925241)</f>
        <v>-0.82462410792524099</v>
      </c>
      <c r="MR10" s="3">
        <f ca="1">IFERROR(__xludf.DUMMYFUNCTION("""COMPUTED_VALUE"""),-0.821500673697556)</f>
        <v>-0.82150067369755597</v>
      </c>
      <c r="MS10" s="3">
        <f ca="1">IFERROR(__xludf.DUMMYFUNCTION("""COMPUTED_VALUE"""),-0.800762484390404)</f>
        <v>-0.80076248439040398</v>
      </c>
      <c r="MT10" s="3">
        <f ca="1">IFERROR(__xludf.DUMMYFUNCTION("""COMPUTED_VALUE"""),-0.743401886304844)</f>
        <v>-0.74340188630484405</v>
      </c>
      <c r="MU10" s="3">
        <f ca="1">IFERROR(__xludf.DUMMYFUNCTION("""COMPUTED_VALUE"""),-0.773878821884654)</f>
        <v>-0.77387882188465396</v>
      </c>
      <c r="MV10" s="3">
        <f ca="1">IFERROR(__xludf.DUMMYFUNCTION("""COMPUTED_VALUE"""),-0.821650861116738)</f>
        <v>-0.82165086111673802</v>
      </c>
      <c r="MW10" s="3">
        <f ca="1">IFERROR(__xludf.DUMMYFUNCTION("""COMPUTED_VALUE"""),-0.838268135184683)</f>
        <v>-0.83826813518468302</v>
      </c>
      <c r="MX10" s="3">
        <f ca="1">IFERROR(__xludf.DUMMYFUNCTION("""COMPUTED_VALUE"""),-0.84112387663702)</f>
        <v>-0.84112387663702004</v>
      </c>
      <c r="MY10" s="3">
        <f ca="1">IFERROR(__xludf.DUMMYFUNCTION("""COMPUTED_VALUE"""),-0.833269888734803)</f>
        <v>-0.83326988873480301</v>
      </c>
      <c r="MZ10" s="3">
        <f ca="1">IFERROR(__xludf.DUMMYFUNCTION("""COMPUTED_VALUE"""),-0.822018613560061)</f>
        <v>-0.82201861356006101</v>
      </c>
      <c r="NA10" s="3">
        <f ca="1">IFERROR(__xludf.DUMMYFUNCTION("""COMPUTED_VALUE"""),-0.756840859050925)</f>
        <v>-0.75684085905092502</v>
      </c>
      <c r="NB10" s="3">
        <f ca="1">IFERROR(__xludf.DUMMYFUNCTION("""COMPUTED_VALUE"""),-0.775729258448976)</f>
        <v>-0.775729258448976</v>
      </c>
      <c r="NC10" s="3">
        <f ca="1">IFERROR(__xludf.DUMMYFUNCTION("""COMPUTED_VALUE"""),-0.84260782584264)</f>
        <v>-0.84260782584264005</v>
      </c>
      <c r="ND10" s="3">
        <f ca="1">IFERROR(__xludf.DUMMYFUNCTION("""COMPUTED_VALUE"""),-0.814070891212916)</f>
        <v>-0.81407089121291598</v>
      </c>
      <c r="NE10" s="3">
        <f ca="1">IFERROR(__xludf.DUMMYFUNCTION("""COMPUTED_VALUE"""),-0.83711923901196)</f>
        <v>-0.83711923901195995</v>
      </c>
      <c r="NF10" s="3">
        <f ca="1">IFERROR(__xludf.DUMMYFUNCTION("""COMPUTED_VALUE"""),-0.836050839824131)</f>
        <v>-0.83605083982413098</v>
      </c>
      <c r="NG10" s="3">
        <f ca="1">IFERROR(__xludf.DUMMYFUNCTION("""COMPUTED_VALUE"""),-0.815996829465515)</f>
        <v>-0.81599682946551499</v>
      </c>
      <c r="NH10" s="3">
        <f ca="1">IFERROR(__xludf.DUMMYFUNCTION("""COMPUTED_VALUE"""),-0.765657219761472)</f>
        <v>-0.76565721976147205</v>
      </c>
      <c r="NI10" s="3">
        <f ca="1">IFERROR(__xludf.DUMMYFUNCTION("""COMPUTED_VALUE"""),-0.76546925304266)</f>
        <v>-0.76546925304266</v>
      </c>
      <c r="NJ10" s="3">
        <f ca="1">IFERROR(__xludf.DUMMYFUNCTION("""COMPUTED_VALUE"""),-0.831873962614639)</f>
        <v>-0.83187396261463897</v>
      </c>
      <c r="NK10" s="3">
        <f ca="1">IFERROR(__xludf.DUMMYFUNCTION("""COMPUTED_VALUE"""),-0.815504928262051)</f>
        <v>-0.81550492826205101</v>
      </c>
      <c r="NL10" s="3">
        <f ca="1">IFERROR(__xludf.DUMMYFUNCTION("""COMPUTED_VALUE"""),-0.827412058068268)</f>
        <v>-0.82741205806826801</v>
      </c>
      <c r="NM10" s="3">
        <f ca="1">IFERROR(__xludf.DUMMYFUNCTION("""COMPUTED_VALUE"""),-0.822402041520877)</f>
        <v>-0.82240204152087704</v>
      </c>
      <c r="NN10" s="3">
        <f ca="1">IFERROR(__xludf.DUMMYFUNCTION("""COMPUTED_VALUE"""),-0.817907804259072)</f>
        <v>-0.81790780425907195</v>
      </c>
      <c r="NO10" s="3">
        <f ca="1">IFERROR(__xludf.DUMMYFUNCTION("""COMPUTED_VALUE"""),-0.725225007199221)</f>
        <v>-0.72522500719922101</v>
      </c>
      <c r="NP10" s="3">
        <f ca="1">IFERROR(__xludf.DUMMYFUNCTION("""COMPUTED_VALUE"""),-0.759684307405727)</f>
        <v>-0.75968430740572701</v>
      </c>
      <c r="NQ10" s="3">
        <f ca="1">IFERROR(__xludf.DUMMYFUNCTION("""COMPUTED_VALUE"""),-0.821833086903663)</f>
        <v>-0.82183308690366297</v>
      </c>
      <c r="NR10" s="3">
        <f ca="1">IFERROR(__xludf.DUMMYFUNCTION("""COMPUTED_VALUE"""),-0.823968314111078)</f>
        <v>-0.82396831411107796</v>
      </c>
      <c r="NS10" s="3">
        <f ca="1">IFERROR(__xludf.DUMMYFUNCTION("""COMPUTED_VALUE"""),-0.821221076856598)</f>
        <v>-0.82122107685659795</v>
      </c>
      <c r="NT10" s="3">
        <f ca="1">IFERROR(__xludf.DUMMYFUNCTION("""COMPUTED_VALUE"""),-0.813082576045596)</f>
        <v>-0.81308257604559597</v>
      </c>
      <c r="NU10" s="3">
        <f ca="1">IFERROR(__xludf.DUMMYFUNCTION("""COMPUTED_VALUE"""),-0.783275628208541)</f>
        <v>-0.78327562820854102</v>
      </c>
      <c r="NV10" s="3">
        <f ca="1">IFERROR(__xludf.DUMMYFUNCTION("""COMPUTED_VALUE"""),-0.663382680390402)</f>
        <v>-0.66338268039040205</v>
      </c>
      <c r="NW10" s="3">
        <f ca="1">IFERROR(__xludf.DUMMYFUNCTION("""COMPUTED_VALUE"""),-0.673131813988131)</f>
        <v>-0.67313181398813104</v>
      </c>
      <c r="NX10" s="3">
        <f ca="1">IFERROR(__xludf.DUMMYFUNCTION("""COMPUTED_VALUE"""),-0.739362375743734)</f>
        <v>-0.73936237574373398</v>
      </c>
      <c r="NY10" s="3">
        <f ca="1">IFERROR(__xludf.DUMMYFUNCTION("""COMPUTED_VALUE"""),-0.737973327602767)</f>
        <v>-0.73797332760276702</v>
      </c>
      <c r="NZ10" s="3">
        <f ca="1">IFERROR(__xludf.DUMMYFUNCTION("""COMPUTED_VALUE"""),-0.716264927801927)</f>
        <v>-0.71626492780192696</v>
      </c>
      <c r="OA10" s="3">
        <f ca="1">IFERROR(__xludf.DUMMYFUNCTION("""COMPUTED_VALUE"""),-0.659334497536995)</f>
        <v>-0.65933449753699502</v>
      </c>
      <c r="OB10" s="3">
        <f ca="1">IFERROR(__xludf.DUMMYFUNCTION("""COMPUTED_VALUE"""),-0.58982585524754)</f>
        <v>-0.58982585524754005</v>
      </c>
      <c r="OC10" s="3">
        <f ca="1">IFERROR(__xludf.DUMMYFUNCTION("""COMPUTED_VALUE"""),-0.316406012271527)</f>
        <v>-0.31640601227152698</v>
      </c>
      <c r="OD10" s="3">
        <f ca="1">IFERROR(__xludf.DUMMYFUNCTION("""COMPUTED_VALUE"""),-0.374284571905256)</f>
        <v>-0.37428457190525599</v>
      </c>
      <c r="OE10" s="3">
        <f ca="1">IFERROR(__xludf.DUMMYFUNCTION("""COMPUTED_VALUE"""),-0.245474233615998)</f>
        <v>-0.24547423361599799</v>
      </c>
      <c r="OF10" s="3">
        <f ca="1">IFERROR(__xludf.DUMMYFUNCTION("""COMPUTED_VALUE"""),-0.141939313780769)</f>
        <v>-0.14193931378076899</v>
      </c>
      <c r="OG10" s="3">
        <f ca="1">IFERROR(__xludf.DUMMYFUNCTION("""COMPUTED_VALUE"""),-0.0901227950949488)</f>
        <v>-9.0122795094948804E-2</v>
      </c>
      <c r="OH10" s="3">
        <f ca="1">IFERROR(__xludf.DUMMYFUNCTION("""COMPUTED_VALUE"""),-0.0842928026761035)</f>
        <v>-8.4292802676103507E-2</v>
      </c>
      <c r="OI10" s="3">
        <f ca="1">IFERROR(__xludf.DUMMYFUNCTION("""COMPUTED_VALUE"""),-0.0789841973880572)</f>
        <v>-7.8984197388057203E-2</v>
      </c>
      <c r="OJ10" s="3">
        <f ca="1">IFERROR(__xludf.DUMMYFUNCTION("""COMPUTED_VALUE"""),-0.0135874546656304)</f>
        <v>-1.35874546656304E-2</v>
      </c>
      <c r="OK10" s="3">
        <f ca="1">IFERROR(__xludf.DUMMYFUNCTION("""COMPUTED_VALUE"""),-0.00950025713420699)</f>
        <v>-9.5002571342069908E-3</v>
      </c>
      <c r="OL10" s="3">
        <f ca="1">IFERROR(__xludf.DUMMYFUNCTION("""COMPUTED_VALUE"""),0.0256028183636018)</f>
        <v>2.5602818363601801E-2</v>
      </c>
      <c r="OM10" s="3">
        <f ca="1">IFERROR(__xludf.DUMMYFUNCTION("""COMPUTED_VALUE"""),-0.0421935466968766)</f>
        <v>-4.2193546696876597E-2</v>
      </c>
      <c r="ON10" s="3">
        <f ca="1">IFERROR(__xludf.DUMMYFUNCTION("""COMPUTED_VALUE"""),-0.0192230715944807)</f>
        <v>-1.9223071594480699E-2</v>
      </c>
      <c r="OO10" s="3">
        <f ca="1">IFERROR(__xludf.DUMMYFUNCTION("""COMPUTED_VALUE"""),-0.0641949528038926)</f>
        <v>-6.4194952803892605E-2</v>
      </c>
      <c r="OP10" s="3">
        <f ca="1">IFERROR(__xludf.DUMMYFUNCTION("""COMPUTED_VALUE"""),-0.0618020282789283)</f>
        <v>-6.1802028278928299E-2</v>
      </c>
      <c r="OQ10" s="3">
        <f ca="1">IFERROR(__xludf.DUMMYFUNCTION("""COMPUTED_VALUE"""),0.0970578222339861)</f>
        <v>9.7057822233986096E-2</v>
      </c>
      <c r="OR10" s="3">
        <f ca="1">IFERROR(__xludf.DUMMYFUNCTION("""COMPUTED_VALUE"""),0.105885719136907)</f>
        <v>0.105885719136907</v>
      </c>
      <c r="OS10" s="3">
        <f ca="1">IFERROR(__xludf.DUMMYFUNCTION("""COMPUTED_VALUE"""),0.0317909171542813)</f>
        <v>3.1790917154281298E-2</v>
      </c>
      <c r="OT10" s="3">
        <f ca="1">IFERROR(__xludf.DUMMYFUNCTION("""COMPUTED_VALUE"""),-0.0193422507734397)</f>
        <v>-1.93422507734397E-2</v>
      </c>
      <c r="OU10" s="3">
        <f ca="1">IFERROR(__xludf.DUMMYFUNCTION("""COMPUTED_VALUE"""),-0.0015367061641518)</f>
        <v>-1.5367061641518001E-3</v>
      </c>
      <c r="OV10" s="3">
        <f ca="1">IFERROR(__xludf.DUMMYFUNCTION("""COMPUTED_VALUE"""),-0.0085894081301463)</f>
        <v>-8.5894081301462998E-3</v>
      </c>
      <c r="OW10" s="3">
        <f ca="1">IFERROR(__xludf.DUMMYFUNCTION("""COMPUTED_VALUE"""),0.150664453140308)</f>
        <v>0.15066445314030799</v>
      </c>
      <c r="OX10" s="3">
        <f ca="1">IFERROR(__xludf.DUMMYFUNCTION("""COMPUTED_VALUE"""),0.0921858311796723)</f>
        <v>9.2185831179672301E-2</v>
      </c>
      <c r="OY10" s="3">
        <f ca="1">IFERROR(__xludf.DUMMYFUNCTION("""COMPUTED_VALUE"""),0.185621524491141)</f>
        <v>0.185621524491141</v>
      </c>
      <c r="OZ10" s="3">
        <f ca="1">IFERROR(__xludf.DUMMYFUNCTION("""COMPUTED_VALUE"""),0.0140565141543507)</f>
        <v>1.40565141543507E-2</v>
      </c>
      <c r="PA10" s="3">
        <f ca="1">IFERROR(__xludf.DUMMYFUNCTION("""COMPUTED_VALUE"""),-0.117428167502596)</f>
        <v>-0.11742816750259601</v>
      </c>
      <c r="PB10" s="3">
        <f ca="1">IFERROR(__xludf.DUMMYFUNCTION("""COMPUTED_VALUE"""),-0.15012160320869)</f>
        <v>-0.15012160320869</v>
      </c>
      <c r="PC10" s="3">
        <f ca="1">IFERROR(__xludf.DUMMYFUNCTION("""COMPUTED_VALUE"""),-0.156556857399695)</f>
        <v>-0.15655685739969499</v>
      </c>
      <c r="PD10" s="3">
        <f ca="1">IFERROR(__xludf.DUMMYFUNCTION("""COMPUTED_VALUE"""),-0.407996357407635)</f>
        <v>-0.40799635740763501</v>
      </c>
      <c r="PE10" s="3">
        <f ca="1">IFERROR(__xludf.DUMMYFUNCTION("""COMPUTED_VALUE"""),0.140071543540212)</f>
        <v>0.14007154354021201</v>
      </c>
      <c r="PF10" s="3">
        <f ca="1">IFERROR(__xludf.DUMMYFUNCTION("""COMPUTED_VALUE"""),0.164487931931029)</f>
        <v>0.16448793193102901</v>
      </c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</row>
    <row r="11" spans="1:594" ht="15.75" customHeight="1">
      <c r="A11" s="1" t="str">
        <f ca="1">IFERROR(__xludf.DUMMYFUNCTION("""COMPUTED_VALUE"""),"Canberra, AU")</f>
        <v>Canberra, AU</v>
      </c>
      <c r="B11" s="3">
        <f ca="1">IFERROR(__xludf.DUMMYFUNCTION("""COMPUTED_VALUE"""),0.6274311433308)</f>
        <v>0.62743114333079997</v>
      </c>
      <c r="C11" s="3">
        <f ca="1">IFERROR(__xludf.DUMMYFUNCTION("""COMPUTED_VALUE"""),0.815010570530234)</f>
        <v>0.81501057053023396</v>
      </c>
      <c r="D11" s="3">
        <f ca="1">IFERROR(__xludf.DUMMYFUNCTION("""COMPUTED_VALUE"""),0.441796023380226)</f>
        <v>0.441796023380226</v>
      </c>
      <c r="E11" s="3">
        <f ca="1">IFERROR(__xludf.DUMMYFUNCTION("""COMPUTED_VALUE"""),0.361857744016858)</f>
        <v>0.361857744016858</v>
      </c>
      <c r="F11" s="3">
        <f ca="1">IFERROR(__xludf.DUMMYFUNCTION("""COMPUTED_VALUE"""),0.451469688708853)</f>
        <v>0.45146968870885301</v>
      </c>
      <c r="G11" s="3">
        <f ca="1">IFERROR(__xludf.DUMMYFUNCTION("""COMPUTED_VALUE"""),0.00783218888477343)</f>
        <v>7.8321888847734302E-3</v>
      </c>
      <c r="H11" s="3">
        <f ca="1">IFERROR(__xludf.DUMMYFUNCTION("""COMPUTED_VALUE"""),-0.0610673472603047)</f>
        <v>-6.1067347260304702E-2</v>
      </c>
      <c r="I11" s="3">
        <f ca="1">IFERROR(__xludf.DUMMYFUNCTION("""COMPUTED_VALUE"""),0.252744229587089)</f>
        <v>0.25274422958708898</v>
      </c>
      <c r="J11" s="3">
        <f ca="1">IFERROR(__xludf.DUMMYFUNCTION("""COMPUTED_VALUE"""),-0.111899834838944)</f>
        <v>-0.111899834838944</v>
      </c>
      <c r="K11" s="3">
        <f ca="1">IFERROR(__xludf.DUMMYFUNCTION("""COMPUTED_VALUE"""),0.0523601579920602)</f>
        <v>5.2360157992060202E-2</v>
      </c>
      <c r="L11" s="3">
        <f ca="1">IFERROR(__xludf.DUMMYFUNCTION("""COMPUTED_VALUE"""),0.430689194793938)</f>
        <v>0.43068919479393802</v>
      </c>
      <c r="M11" s="3">
        <f ca="1">IFERROR(__xludf.DUMMYFUNCTION("""COMPUTED_VALUE"""),0.43774994488664)</f>
        <v>0.43774994488663999</v>
      </c>
      <c r="N11" s="3">
        <f ca="1">IFERROR(__xludf.DUMMYFUNCTION("""COMPUTED_VALUE"""),0.316046747083667)</f>
        <v>0.31604674708366698</v>
      </c>
      <c r="O11" s="3">
        <f ca="1">IFERROR(__xludf.DUMMYFUNCTION("""COMPUTED_VALUE"""),0.352210008580591)</f>
        <v>0.35221000858059098</v>
      </c>
      <c r="P11" s="3">
        <f ca="1">IFERROR(__xludf.DUMMYFUNCTION("""COMPUTED_VALUE"""),0.578058629583068)</f>
        <v>0.57805862958306797</v>
      </c>
      <c r="Q11" s="3">
        <f ca="1">IFERROR(__xludf.DUMMYFUNCTION("""COMPUTED_VALUE"""),0.645090083094501)</f>
        <v>0.645090083094501</v>
      </c>
      <c r="R11" s="3">
        <f ca="1">IFERROR(__xludf.DUMMYFUNCTION("""COMPUTED_VALUE"""),0.469957456335207)</f>
        <v>0.46995745633520702</v>
      </c>
      <c r="S11" s="3">
        <f ca="1">IFERROR(__xludf.DUMMYFUNCTION("""COMPUTED_VALUE"""),0.546102973873197)</f>
        <v>0.54610297387319695</v>
      </c>
      <c r="T11" s="3">
        <f ca="1">IFERROR(__xludf.DUMMYFUNCTION("""COMPUTED_VALUE"""),0.384439038284303)</f>
        <v>0.38443903828430298</v>
      </c>
      <c r="U11" s="3">
        <f ca="1">IFERROR(__xludf.DUMMYFUNCTION("""COMPUTED_VALUE"""),0.317790626197628)</f>
        <v>0.31779062619762799</v>
      </c>
      <c r="V11" s="3">
        <f ca="1">IFERROR(__xludf.DUMMYFUNCTION("""COMPUTED_VALUE"""),0.337045081210867)</f>
        <v>0.33704508121086701</v>
      </c>
      <c r="W11" s="3">
        <f ca="1">IFERROR(__xludf.DUMMYFUNCTION("""COMPUTED_VALUE"""),0.348356087363291)</f>
        <v>0.34835608736329099</v>
      </c>
      <c r="X11" s="3">
        <f ca="1">IFERROR(__xludf.DUMMYFUNCTION("""COMPUTED_VALUE"""),0.394102220712519)</f>
        <v>0.39410222071251899</v>
      </c>
      <c r="Y11" s="3">
        <f ca="1">IFERROR(__xludf.DUMMYFUNCTION("""COMPUTED_VALUE"""),0.251467313560501)</f>
        <v>0.251467313560501</v>
      </c>
      <c r="Z11" s="3">
        <f ca="1">IFERROR(__xludf.DUMMYFUNCTION("""COMPUTED_VALUE"""),0.432152231946334)</f>
        <v>0.43215223194633401</v>
      </c>
      <c r="AA11" s="3">
        <f ca="1">IFERROR(__xludf.DUMMYFUNCTION("""COMPUTED_VALUE"""),0.240286665846109)</f>
        <v>0.240286665846109</v>
      </c>
      <c r="AB11" s="3">
        <f ca="1">IFERROR(__xludf.DUMMYFUNCTION("""COMPUTED_VALUE"""),0.40085075142335)</f>
        <v>0.40085075142335003</v>
      </c>
      <c r="AC11" s="3">
        <f ca="1">IFERROR(__xludf.DUMMYFUNCTION("""COMPUTED_VALUE"""),0.459513312262519)</f>
        <v>0.45951331226251901</v>
      </c>
      <c r="AD11" s="3">
        <f ca="1">IFERROR(__xludf.DUMMYFUNCTION("""COMPUTED_VALUE"""),0.105462619304419)</f>
        <v>0.105462619304419</v>
      </c>
      <c r="AE11" s="3">
        <f ca="1">IFERROR(__xludf.DUMMYFUNCTION("""COMPUTED_VALUE"""),0.239059065878537)</f>
        <v>0.23905906587853701</v>
      </c>
      <c r="AF11" s="3">
        <f ca="1">IFERROR(__xludf.DUMMYFUNCTION("""COMPUTED_VALUE"""),0.181417005827672)</f>
        <v>0.18141700582767201</v>
      </c>
      <c r="AG11" s="3">
        <f ca="1">IFERROR(__xludf.DUMMYFUNCTION("""COMPUTED_VALUE"""),0.356744527541774)</f>
        <v>0.35674452754177399</v>
      </c>
      <c r="AH11" s="3">
        <f ca="1">IFERROR(__xludf.DUMMYFUNCTION("""COMPUTED_VALUE"""),0.243689695371291)</f>
        <v>0.24368969537129101</v>
      </c>
      <c r="AI11" s="3">
        <f ca="1">IFERROR(__xludf.DUMMYFUNCTION("""COMPUTED_VALUE"""),0.19467842294965)</f>
        <v>0.19467842294964999</v>
      </c>
      <c r="AJ11" s="3">
        <f ca="1">IFERROR(__xludf.DUMMYFUNCTION("""COMPUTED_VALUE"""),-0.0265415214577833)</f>
        <v>-2.6541521457783299E-2</v>
      </c>
      <c r="AK11" s="3">
        <f ca="1">IFERROR(__xludf.DUMMYFUNCTION("""COMPUTED_VALUE"""),0.198164003826295)</f>
        <v>0.19816400382629501</v>
      </c>
      <c r="AL11" s="3">
        <f ca="1">IFERROR(__xludf.DUMMYFUNCTION("""COMPUTED_VALUE"""),0.249950165324672)</f>
        <v>0.24995016532467201</v>
      </c>
      <c r="AM11" s="3">
        <f ca="1">IFERROR(__xludf.DUMMYFUNCTION("""COMPUTED_VALUE"""),0.140151161498496)</f>
        <v>0.14015116149849599</v>
      </c>
      <c r="AN11" s="3">
        <f ca="1">IFERROR(__xludf.DUMMYFUNCTION("""COMPUTED_VALUE"""),0.299679776405779)</f>
        <v>0.29967977640577897</v>
      </c>
      <c r="AO11" s="3">
        <f ca="1">IFERROR(__xludf.DUMMYFUNCTION("""COMPUTED_VALUE"""),0.24432320233014)</f>
        <v>0.24432320233013999</v>
      </c>
      <c r="AP11" s="3">
        <f ca="1">IFERROR(__xludf.DUMMYFUNCTION("""COMPUTED_VALUE"""),0.325099241538174)</f>
        <v>0.32509924153817399</v>
      </c>
      <c r="AQ11" s="3">
        <f ca="1">IFERROR(__xludf.DUMMYFUNCTION("""COMPUTED_VALUE"""),0.48956473019901)</f>
        <v>0.48956473019900998</v>
      </c>
      <c r="AR11" s="3">
        <f ca="1">IFERROR(__xludf.DUMMYFUNCTION("""COMPUTED_VALUE"""),0.267424974127811)</f>
        <v>0.26742497412781102</v>
      </c>
      <c r="AS11" s="3">
        <f ca="1">IFERROR(__xludf.DUMMYFUNCTION("""COMPUTED_VALUE"""),0.227775438486622)</f>
        <v>0.22777543848662199</v>
      </c>
      <c r="AT11" s="3">
        <f ca="1">IFERROR(__xludf.DUMMYFUNCTION("""COMPUTED_VALUE"""),0.234013667679712)</f>
        <v>0.23401366767971199</v>
      </c>
      <c r="AU11" s="3">
        <f ca="1">IFERROR(__xludf.DUMMYFUNCTION("""COMPUTED_VALUE"""),0.347420671334737)</f>
        <v>0.34742067133473697</v>
      </c>
      <c r="AV11" s="3">
        <f ca="1">IFERROR(__xludf.DUMMYFUNCTION("""COMPUTED_VALUE"""),0.298187217847729)</f>
        <v>0.298187217847729</v>
      </c>
      <c r="AW11" s="3">
        <f ca="1">IFERROR(__xludf.DUMMYFUNCTION("""COMPUTED_VALUE"""),0.209696634110779)</f>
        <v>0.20969663411077899</v>
      </c>
      <c r="AX11" s="3">
        <f ca="1">IFERROR(__xludf.DUMMYFUNCTION("""COMPUTED_VALUE"""),0.514839335014591)</f>
        <v>0.514839335014591</v>
      </c>
      <c r="AY11" s="3">
        <f ca="1">IFERROR(__xludf.DUMMYFUNCTION("""COMPUTED_VALUE"""),0.554473908741683)</f>
        <v>0.55447390874168301</v>
      </c>
      <c r="AZ11" s="3">
        <f ca="1">IFERROR(__xludf.DUMMYFUNCTION("""COMPUTED_VALUE"""),0.434480716842376)</f>
        <v>0.43448071684237599</v>
      </c>
      <c r="BA11" s="3">
        <f ca="1">IFERROR(__xludf.DUMMYFUNCTION("""COMPUTED_VALUE"""),0.357401341320311)</f>
        <v>0.35740134132031098</v>
      </c>
      <c r="BB11" s="3">
        <f ca="1">IFERROR(__xludf.DUMMYFUNCTION("""COMPUTED_VALUE"""),0.357673077303798)</f>
        <v>0.35767307730379799</v>
      </c>
      <c r="BC11" s="3">
        <f ca="1">IFERROR(__xludf.DUMMYFUNCTION("""COMPUTED_VALUE"""),0.315357956139362)</f>
        <v>0.31535795613936202</v>
      </c>
      <c r="BD11" s="3">
        <f ca="1">IFERROR(__xludf.DUMMYFUNCTION("""COMPUTED_VALUE"""),0.30894288821781)</f>
        <v>0.30894288821781002</v>
      </c>
      <c r="BE11" s="3">
        <f ca="1">IFERROR(__xludf.DUMMYFUNCTION("""COMPUTED_VALUE"""),0.433046465415156)</f>
        <v>0.43304646541515601</v>
      </c>
      <c r="BF11" s="3">
        <f ca="1">IFERROR(__xludf.DUMMYFUNCTION("""COMPUTED_VALUE"""),0.588605151766885)</f>
        <v>0.58860515176688499</v>
      </c>
      <c r="BG11" s="3">
        <f ca="1">IFERROR(__xludf.DUMMYFUNCTION("""COMPUTED_VALUE"""),0.102095703297024)</f>
        <v>0.102095703297024</v>
      </c>
      <c r="BH11" s="3">
        <f ca="1">IFERROR(__xludf.DUMMYFUNCTION("""COMPUTED_VALUE"""),0.245363088065146)</f>
        <v>0.24536308806514601</v>
      </c>
      <c r="BI11" s="3">
        <f ca="1">IFERROR(__xludf.DUMMYFUNCTION("""COMPUTED_VALUE"""),0.414732724899362)</f>
        <v>0.41473272489936203</v>
      </c>
      <c r="BJ11" s="3">
        <f ca="1">IFERROR(__xludf.DUMMYFUNCTION("""COMPUTED_VALUE"""),0.36840124181056)</f>
        <v>0.36840124181056</v>
      </c>
      <c r="BK11" s="3">
        <f ca="1">IFERROR(__xludf.DUMMYFUNCTION("""COMPUTED_VALUE"""),0.445695869724717)</f>
        <v>0.44569586972471698</v>
      </c>
      <c r="BL11" s="3">
        <f ca="1">IFERROR(__xludf.DUMMYFUNCTION("""COMPUTED_VALUE"""),0.527347134187921)</f>
        <v>0.52734713418792101</v>
      </c>
      <c r="BM11" s="3">
        <f ca="1">IFERROR(__xludf.DUMMYFUNCTION("""COMPUTED_VALUE"""),0.334808192421073)</f>
        <v>0.33480819242107301</v>
      </c>
      <c r="BN11" s="3">
        <f ca="1">IFERROR(__xludf.DUMMYFUNCTION("""COMPUTED_VALUE"""),0.226097049447648)</f>
        <v>0.226097049447648</v>
      </c>
      <c r="BO11" s="3">
        <f ca="1">IFERROR(__xludf.DUMMYFUNCTION("""COMPUTED_VALUE"""),0.322693881743786)</f>
        <v>0.32269388174378599</v>
      </c>
      <c r="BP11" s="3">
        <f ca="1">IFERROR(__xludf.DUMMYFUNCTION("""COMPUTED_VALUE"""),0.463490685062369)</f>
        <v>0.46349068506236901</v>
      </c>
      <c r="BQ11" s="3">
        <f ca="1">IFERROR(__xludf.DUMMYFUNCTION("""COMPUTED_VALUE"""),0.507409541729031)</f>
        <v>0.50740954172903097</v>
      </c>
      <c r="BR11" s="3">
        <f ca="1">IFERROR(__xludf.DUMMYFUNCTION("""COMPUTED_VALUE"""),0.580409672357957)</f>
        <v>0.58040967235795704</v>
      </c>
      <c r="BS11" s="3">
        <f ca="1">IFERROR(__xludf.DUMMYFUNCTION("""COMPUTED_VALUE"""),0.572905105928494)</f>
        <v>0.57290510592849397</v>
      </c>
      <c r="BT11" s="3">
        <f ca="1">IFERROR(__xludf.DUMMYFUNCTION("""COMPUTED_VALUE"""),0.410274869071112)</f>
        <v>0.41027486907111199</v>
      </c>
      <c r="BU11" s="3">
        <f ca="1">IFERROR(__xludf.DUMMYFUNCTION("""COMPUTED_VALUE"""),0.165738123003576)</f>
        <v>0.16573812300357599</v>
      </c>
      <c r="BV11" s="3">
        <f ca="1">IFERROR(__xludf.DUMMYFUNCTION("""COMPUTED_VALUE"""),-0.112808444396105)</f>
        <v>-0.112808444396105</v>
      </c>
      <c r="BW11" s="3">
        <f ca="1">IFERROR(__xludf.DUMMYFUNCTION("""COMPUTED_VALUE"""),-0.019766003737217)</f>
        <v>-1.9766003737217E-2</v>
      </c>
      <c r="BX11" s="3">
        <f ca="1">IFERROR(__xludf.DUMMYFUNCTION("""COMPUTED_VALUE"""),-0.0168703198062474)</f>
        <v>-1.68703198062474E-2</v>
      </c>
      <c r="BY11" s="3">
        <f ca="1">IFERROR(__xludf.DUMMYFUNCTION("""COMPUTED_VALUE"""),-0.207463454743185)</f>
        <v>-0.20746345474318501</v>
      </c>
      <c r="BZ11" s="3">
        <f ca="1">IFERROR(__xludf.DUMMYFUNCTION("""COMPUTED_VALUE"""),-0.0204052200205991)</f>
        <v>-2.0405220020599101E-2</v>
      </c>
      <c r="CA11" s="3">
        <f ca="1">IFERROR(__xludf.DUMMYFUNCTION("""COMPUTED_VALUE"""),0.122946514230616)</f>
        <v>0.12294651423061601</v>
      </c>
      <c r="CB11" s="3">
        <f ca="1">IFERROR(__xludf.DUMMYFUNCTION("""COMPUTED_VALUE"""),0.114602631515858)</f>
        <v>0.11460263151585801</v>
      </c>
      <c r="CC11" s="3">
        <f ca="1">IFERROR(__xludf.DUMMYFUNCTION("""COMPUTED_VALUE"""),0.166382044403657)</f>
        <v>0.166382044403657</v>
      </c>
      <c r="CD11" s="3">
        <f ca="1">IFERROR(__xludf.DUMMYFUNCTION("""COMPUTED_VALUE"""),0.131140198603143)</f>
        <v>0.13114019860314299</v>
      </c>
      <c r="CE11" s="3">
        <f ca="1">IFERROR(__xludf.DUMMYFUNCTION("""COMPUTED_VALUE"""),0.195452904876609)</f>
        <v>0.19545290487660899</v>
      </c>
      <c r="CF11" s="3">
        <f ca="1">IFERROR(__xludf.DUMMYFUNCTION("""COMPUTED_VALUE"""),0.396952065244828)</f>
        <v>0.39695206524482801</v>
      </c>
      <c r="CG11" s="3">
        <f ca="1">IFERROR(__xludf.DUMMYFUNCTION("""COMPUTED_VALUE"""),0.268813833285701)</f>
        <v>0.26881383328570102</v>
      </c>
      <c r="CH11" s="3">
        <f ca="1">IFERROR(__xludf.DUMMYFUNCTION("""COMPUTED_VALUE"""),0.190840869449993)</f>
        <v>0.19084086944999301</v>
      </c>
      <c r="CI11" s="3">
        <f ca="1">IFERROR(__xludf.DUMMYFUNCTION("""COMPUTED_VALUE"""),0.12765638508233)</f>
        <v>0.12765638508232999</v>
      </c>
      <c r="CJ11" s="3">
        <f ca="1">IFERROR(__xludf.DUMMYFUNCTION("""COMPUTED_VALUE"""),0.13398591446272)</f>
        <v>0.13398591446272001</v>
      </c>
      <c r="CK11" s="3">
        <f ca="1">IFERROR(__xludf.DUMMYFUNCTION("""COMPUTED_VALUE"""),0.0882968262254975)</f>
        <v>8.8296826225497504E-2</v>
      </c>
      <c r="CL11" s="3">
        <f ca="1">IFERROR(__xludf.DUMMYFUNCTION("""COMPUTED_VALUE"""),0.139698718409263)</f>
        <v>0.13969871840926301</v>
      </c>
      <c r="CM11" s="3">
        <f ca="1">IFERROR(__xludf.DUMMYFUNCTION("""COMPUTED_VALUE"""),0.221264684827425)</f>
        <v>0.22126468482742501</v>
      </c>
      <c r="CN11" s="3">
        <f ca="1">IFERROR(__xludf.DUMMYFUNCTION("""COMPUTED_VALUE"""),0.144940435401804)</f>
        <v>0.14494043540180401</v>
      </c>
      <c r="CO11" s="3">
        <f ca="1">IFERROR(__xludf.DUMMYFUNCTION("""COMPUTED_VALUE"""),0.397768042358994)</f>
        <v>0.39776804235899399</v>
      </c>
      <c r="CP11" s="3">
        <f ca="1">IFERROR(__xludf.DUMMYFUNCTION("""COMPUTED_VALUE"""),0.224565481425895)</f>
        <v>0.224565481425895</v>
      </c>
      <c r="CQ11" s="3">
        <f ca="1">IFERROR(__xludf.DUMMYFUNCTION("""COMPUTED_VALUE"""),0.0771043636310317)</f>
        <v>7.7104363631031694E-2</v>
      </c>
      <c r="CR11" s="3">
        <f ca="1">IFERROR(__xludf.DUMMYFUNCTION("""COMPUTED_VALUE"""),0.167765575774893)</f>
        <v>0.16776557577489301</v>
      </c>
      <c r="CS11" s="3">
        <f ca="1">IFERROR(__xludf.DUMMYFUNCTION("""COMPUTED_VALUE"""),0.146334188428215)</f>
        <v>0.146334188428215</v>
      </c>
      <c r="CT11" s="3">
        <f ca="1">IFERROR(__xludf.DUMMYFUNCTION("""COMPUTED_VALUE"""),-0.0862535366619644)</f>
        <v>-8.6253536661964406E-2</v>
      </c>
      <c r="CU11" s="3">
        <f ca="1">IFERROR(__xludf.DUMMYFUNCTION("""COMPUTED_VALUE"""),0.149316204955018)</f>
        <v>0.14931620495501799</v>
      </c>
      <c r="CV11" s="3">
        <f ca="1">IFERROR(__xludf.DUMMYFUNCTION("""COMPUTED_VALUE"""),0.251805055449218)</f>
        <v>0.251805055449218</v>
      </c>
      <c r="CW11" s="3">
        <f ca="1">IFERROR(__xludf.DUMMYFUNCTION("""COMPUTED_VALUE"""),-0.133203522605085)</f>
        <v>-0.133203522605085</v>
      </c>
      <c r="CX11" s="3">
        <f ca="1">IFERROR(__xludf.DUMMYFUNCTION("""COMPUTED_VALUE"""),-0.0754393052694816)</f>
        <v>-7.5439305269481602E-2</v>
      </c>
      <c r="CY11" s="3">
        <f ca="1">IFERROR(__xludf.DUMMYFUNCTION("""COMPUTED_VALUE"""),-0.0553666498653233)</f>
        <v>-5.5366649865323303E-2</v>
      </c>
      <c r="CZ11" s="3">
        <f ca="1">IFERROR(__xludf.DUMMYFUNCTION("""COMPUTED_VALUE"""),0.269043176631152)</f>
        <v>0.26904317663115201</v>
      </c>
      <c r="DA11" s="3">
        <f ca="1">IFERROR(__xludf.DUMMYFUNCTION("""COMPUTED_VALUE"""),-0.144092498338528)</f>
        <v>-0.144092498338528</v>
      </c>
      <c r="DB11" s="3">
        <f ca="1">IFERROR(__xludf.DUMMYFUNCTION("""COMPUTED_VALUE"""),-0.0267277253767304)</f>
        <v>-2.6727725376730401E-2</v>
      </c>
      <c r="DC11" s="3">
        <f ca="1">IFERROR(__xludf.DUMMYFUNCTION("""COMPUTED_VALUE"""),0.298967553123141)</f>
        <v>0.29896755312314099</v>
      </c>
      <c r="DD11" s="3">
        <f ca="1">IFERROR(__xludf.DUMMYFUNCTION("""COMPUTED_VALUE"""),-0.0382613971519759)</f>
        <v>-3.82613971519759E-2</v>
      </c>
      <c r="DE11" s="3">
        <f ca="1">IFERROR(__xludf.DUMMYFUNCTION("""COMPUTED_VALUE"""),-0.629606676425801)</f>
        <v>-0.62960667642580104</v>
      </c>
      <c r="DF11" s="3">
        <f ca="1">IFERROR(__xludf.DUMMYFUNCTION("""COMPUTED_VALUE"""),0.119322216393242)</f>
        <v>0.119322216393242</v>
      </c>
      <c r="DG11" s="3">
        <f ca="1">IFERROR(__xludf.DUMMYFUNCTION("""COMPUTED_VALUE"""),0.481407680743036)</f>
        <v>0.48140768074303603</v>
      </c>
      <c r="DH11" s="3">
        <f ca="1">IFERROR(__xludf.DUMMYFUNCTION("""COMPUTED_VALUE"""),0.446970676050947)</f>
        <v>0.44697067605094698</v>
      </c>
      <c r="DI11" s="3">
        <f ca="1">IFERROR(__xludf.DUMMYFUNCTION("""COMPUTED_VALUE"""),0.230068289127936)</f>
        <v>0.230068289127936</v>
      </c>
      <c r="DJ11" s="3">
        <f ca="1">IFERROR(__xludf.DUMMYFUNCTION("""COMPUTED_VALUE"""),0.366832264399283)</f>
        <v>0.36683226439928301</v>
      </c>
      <c r="DK11" s="3">
        <f ca="1">IFERROR(__xludf.DUMMYFUNCTION("""COMPUTED_VALUE"""),0.209963077584597)</f>
        <v>0.20996307758459701</v>
      </c>
      <c r="DL11" s="3">
        <f ca="1">IFERROR(__xludf.DUMMYFUNCTION("""COMPUTED_VALUE"""),0.360682121579887)</f>
        <v>0.36068212157988699</v>
      </c>
      <c r="DM11" s="3">
        <f ca="1">IFERROR(__xludf.DUMMYFUNCTION("""COMPUTED_VALUE"""),0.499981156027642)</f>
        <v>0.49998115602764198</v>
      </c>
      <c r="DN11" s="3">
        <f ca="1">IFERROR(__xludf.DUMMYFUNCTION("""COMPUTED_VALUE"""),0.419622146145034)</f>
        <v>0.41962214614503401</v>
      </c>
      <c r="DO11" s="3">
        <f ca="1">IFERROR(__xludf.DUMMYFUNCTION("""COMPUTED_VALUE"""),0.284948042096927)</f>
        <v>0.28494804209692698</v>
      </c>
      <c r="DP11" s="3">
        <f ca="1">IFERROR(__xludf.DUMMYFUNCTION("""COMPUTED_VALUE"""),0.106275393955428)</f>
        <v>0.106275393955428</v>
      </c>
      <c r="DQ11" s="3">
        <f ca="1">IFERROR(__xludf.DUMMYFUNCTION("""COMPUTED_VALUE"""),0.124688552727338)</f>
        <v>0.124688552727338</v>
      </c>
      <c r="DR11" s="3">
        <f ca="1">IFERROR(__xludf.DUMMYFUNCTION("""COMPUTED_VALUE"""),0.0494908268010518)</f>
        <v>4.9490826801051803E-2</v>
      </c>
      <c r="DS11" s="3">
        <f ca="1">IFERROR(__xludf.DUMMYFUNCTION("""COMPUTED_VALUE"""),0.0372408375703219)</f>
        <v>3.72408375703219E-2</v>
      </c>
      <c r="DT11" s="3">
        <f ca="1">IFERROR(__xludf.DUMMYFUNCTION("""COMPUTED_VALUE"""),0.0995907716480866)</f>
        <v>9.9590771648086607E-2</v>
      </c>
      <c r="DU11" s="3">
        <f ca="1">IFERROR(__xludf.DUMMYFUNCTION("""COMPUTED_VALUE"""),0.00842441831147677)</f>
        <v>8.4244183114767692E-3</v>
      </c>
      <c r="DV11" s="3">
        <f ca="1">IFERROR(__xludf.DUMMYFUNCTION("""COMPUTED_VALUE"""),0.120954601807296)</f>
        <v>0.120954601807296</v>
      </c>
      <c r="DW11" s="3">
        <f ca="1">IFERROR(__xludf.DUMMYFUNCTION("""COMPUTED_VALUE"""),0.181267501928633)</f>
        <v>0.181267501928633</v>
      </c>
      <c r="DX11" s="3">
        <f ca="1">IFERROR(__xludf.DUMMYFUNCTION("""COMPUTED_VALUE"""),0.21889342539832)</f>
        <v>0.21889342539831999</v>
      </c>
      <c r="DY11" s="3">
        <f ca="1">IFERROR(__xludf.DUMMYFUNCTION("""COMPUTED_VALUE"""),0.0710357901980875)</f>
        <v>7.1035790198087506E-2</v>
      </c>
      <c r="DZ11" s="3">
        <f ca="1">IFERROR(__xludf.DUMMYFUNCTION("""COMPUTED_VALUE"""),0.0555867912488736)</f>
        <v>5.5586791248873599E-2</v>
      </c>
      <c r="EA11" s="3">
        <f ca="1">IFERROR(__xludf.DUMMYFUNCTION("""COMPUTED_VALUE"""),0.185376709234942)</f>
        <v>0.18537670923494201</v>
      </c>
      <c r="EB11" s="3">
        <f ca="1">IFERROR(__xludf.DUMMYFUNCTION("""COMPUTED_VALUE"""),0.0354747730240667)</f>
        <v>3.5474773024066701E-2</v>
      </c>
      <c r="EC11" s="3">
        <f ca="1">IFERROR(__xludf.DUMMYFUNCTION("""COMPUTED_VALUE"""),0.0697218856047263)</f>
        <v>6.9721885604726294E-2</v>
      </c>
      <c r="ED11" s="3">
        <f ca="1">IFERROR(__xludf.DUMMYFUNCTION("""COMPUTED_VALUE"""),-0.0252372000867102)</f>
        <v>-2.5237200086710199E-2</v>
      </c>
      <c r="EE11" s="3">
        <f ca="1">IFERROR(__xludf.DUMMYFUNCTION("""COMPUTED_VALUE"""),0.0760779167234579)</f>
        <v>7.60779167234579E-2</v>
      </c>
      <c r="EF11" s="3">
        <f ca="1">IFERROR(__xludf.DUMMYFUNCTION("""COMPUTED_VALUE"""),0.170636811404739)</f>
        <v>0.17063681140473899</v>
      </c>
      <c r="EG11" s="3">
        <f ca="1">IFERROR(__xludf.DUMMYFUNCTION("""COMPUTED_VALUE"""),-0.0254979164220092)</f>
        <v>-2.5497916422009201E-2</v>
      </c>
      <c r="EH11" s="3">
        <f ca="1">IFERROR(__xludf.DUMMYFUNCTION("""COMPUTED_VALUE"""),0.138861271499018)</f>
        <v>0.138861271499018</v>
      </c>
      <c r="EI11" s="3">
        <f ca="1">IFERROR(__xludf.DUMMYFUNCTION("""COMPUTED_VALUE"""),-0.0235979325123988)</f>
        <v>-2.3597932512398799E-2</v>
      </c>
      <c r="EJ11" s="3">
        <f ca="1">IFERROR(__xludf.DUMMYFUNCTION("""COMPUTED_VALUE"""),0.147233578093102)</f>
        <v>0.147233578093102</v>
      </c>
      <c r="EK11" s="3">
        <f ca="1">IFERROR(__xludf.DUMMYFUNCTION("""COMPUTED_VALUE"""),-0.0290454885186595)</f>
        <v>-2.9045488518659499E-2</v>
      </c>
      <c r="EL11" s="3">
        <f ca="1">IFERROR(__xludf.DUMMYFUNCTION("""COMPUTED_VALUE"""),-0.00943728010808353)</f>
        <v>-9.4372801080835293E-3</v>
      </c>
      <c r="EM11" s="3">
        <f ca="1">IFERROR(__xludf.DUMMYFUNCTION("""COMPUTED_VALUE"""),0.0999283385621216)</f>
        <v>9.9928338562121605E-2</v>
      </c>
      <c r="EN11" s="3">
        <f ca="1">IFERROR(__xludf.DUMMYFUNCTION("""COMPUTED_VALUE"""),0.0346327459881976)</f>
        <v>3.46327459881976E-2</v>
      </c>
      <c r="EO11" s="3">
        <f ca="1">IFERROR(__xludf.DUMMYFUNCTION("""COMPUTED_VALUE"""),0.131675416049651)</f>
        <v>0.131675416049651</v>
      </c>
      <c r="EP11" s="3">
        <f ca="1">IFERROR(__xludf.DUMMYFUNCTION("""COMPUTED_VALUE"""),0.0959345183980873)</f>
        <v>9.5934518398087296E-2</v>
      </c>
      <c r="EQ11" s="3">
        <f ca="1">IFERROR(__xludf.DUMMYFUNCTION("""COMPUTED_VALUE"""),0.0329001857821631)</f>
        <v>3.2900185782163097E-2</v>
      </c>
      <c r="ER11" s="3">
        <f ca="1">IFERROR(__xludf.DUMMYFUNCTION("""COMPUTED_VALUE"""),0.114810313451468)</f>
        <v>0.114810313451468</v>
      </c>
      <c r="ES11" s="3">
        <f ca="1">IFERROR(__xludf.DUMMYFUNCTION("""COMPUTED_VALUE"""),0.0521596109748896)</f>
        <v>5.2159610974889602E-2</v>
      </c>
      <c r="ET11" s="3">
        <f ca="1">IFERROR(__xludf.DUMMYFUNCTION("""COMPUTED_VALUE"""),-0.0294441948488113)</f>
        <v>-2.9444194848811299E-2</v>
      </c>
      <c r="EU11" s="3">
        <f ca="1">IFERROR(__xludf.DUMMYFUNCTION("""COMPUTED_VALUE"""),0.000217821935004414)</f>
        <v>2.17821935004414E-4</v>
      </c>
      <c r="EV11" s="3">
        <f ca="1">IFERROR(__xludf.DUMMYFUNCTION("""COMPUTED_VALUE"""),0.0550228345207486)</f>
        <v>5.5022834520748597E-2</v>
      </c>
      <c r="EW11" s="3">
        <f ca="1">IFERROR(__xludf.DUMMYFUNCTION("""COMPUTED_VALUE"""),0.24312365798359)</f>
        <v>0.24312365798359001</v>
      </c>
      <c r="EX11" s="3">
        <f ca="1">IFERROR(__xludf.DUMMYFUNCTION("""COMPUTED_VALUE"""),0.184753142289149)</f>
        <v>0.18475314228914899</v>
      </c>
      <c r="EY11" s="3">
        <f ca="1">IFERROR(__xludf.DUMMYFUNCTION("""COMPUTED_VALUE"""),0.0072690017759398)</f>
        <v>7.2690017759398E-3</v>
      </c>
      <c r="EZ11" s="3">
        <f ca="1">IFERROR(__xludf.DUMMYFUNCTION("""COMPUTED_VALUE"""),-0.0982092559584997)</f>
        <v>-9.8209255958499705E-2</v>
      </c>
      <c r="FA11" s="3">
        <f ca="1">IFERROR(__xludf.DUMMYFUNCTION("""COMPUTED_VALUE"""),0.10331100178247)</f>
        <v>0.10331100178247</v>
      </c>
      <c r="FB11" s="3">
        <f ca="1">IFERROR(__xludf.DUMMYFUNCTION("""COMPUTED_VALUE"""),-0.00224890232852492)</f>
        <v>-2.24890232852492E-3</v>
      </c>
      <c r="FC11" s="3">
        <f ca="1">IFERROR(__xludf.DUMMYFUNCTION("""COMPUTED_VALUE"""),-0.0440331583683846)</f>
        <v>-4.4033158368384603E-2</v>
      </c>
      <c r="FD11" s="3">
        <f ca="1">IFERROR(__xludf.DUMMYFUNCTION("""COMPUTED_VALUE"""),-0.0248277619428014)</f>
        <v>-2.48277619428014E-2</v>
      </c>
      <c r="FE11" s="3">
        <f ca="1">IFERROR(__xludf.DUMMYFUNCTION("""COMPUTED_VALUE"""),-0.000571688091106414)</f>
        <v>-5.7168809110641396E-4</v>
      </c>
      <c r="FF11" s="3">
        <f ca="1">IFERROR(__xludf.DUMMYFUNCTION("""COMPUTED_VALUE"""),0.23905560592921)</f>
        <v>0.23905560592920999</v>
      </c>
      <c r="FG11" s="3">
        <f ca="1">IFERROR(__xludf.DUMMYFUNCTION("""COMPUTED_VALUE"""),-0.00875379721349711)</f>
        <v>-8.7537972134971095E-3</v>
      </c>
      <c r="FH11" s="3">
        <f ca="1">IFERROR(__xludf.DUMMYFUNCTION("""COMPUTED_VALUE"""),-0.0267496667574392)</f>
        <v>-2.67496667574392E-2</v>
      </c>
      <c r="FI11" s="3">
        <f ca="1">IFERROR(__xludf.DUMMYFUNCTION("""COMPUTED_VALUE"""),0.00494380987121223)</f>
        <v>4.9438098712122304E-3</v>
      </c>
      <c r="FJ11" s="3">
        <f ca="1">IFERROR(__xludf.DUMMYFUNCTION("""COMPUTED_VALUE"""),0.00682538417010536)</f>
        <v>6.8253841701053598E-3</v>
      </c>
      <c r="FK11" s="3">
        <f ca="1">IFERROR(__xludf.DUMMYFUNCTION("""COMPUTED_VALUE"""),-0.0577332772016758)</f>
        <v>-5.7733277201675801E-2</v>
      </c>
      <c r="FL11" s="3">
        <f ca="1">IFERROR(__xludf.DUMMYFUNCTION("""COMPUTED_VALUE"""),-0.00926443500994489)</f>
        <v>-9.2644350099448901E-3</v>
      </c>
      <c r="FM11" s="3">
        <f ca="1">IFERROR(__xludf.DUMMYFUNCTION("""COMPUTED_VALUE"""),-0.0898856262289472)</f>
        <v>-8.9885626228947205E-2</v>
      </c>
      <c r="FN11" s="3">
        <f ca="1">IFERROR(__xludf.DUMMYFUNCTION("""COMPUTED_VALUE"""),-0.282259020159202)</f>
        <v>-0.28225902015920201</v>
      </c>
      <c r="FO11" s="3">
        <f ca="1">IFERROR(__xludf.DUMMYFUNCTION("""COMPUTED_VALUE"""),-0.0520193181200355)</f>
        <v>-5.2019318120035497E-2</v>
      </c>
      <c r="FP11" s="3">
        <f ca="1">IFERROR(__xludf.DUMMYFUNCTION("""COMPUTED_VALUE"""),0.0217378833529642)</f>
        <v>2.1737883352964199E-2</v>
      </c>
      <c r="FQ11" s="3">
        <f ca="1">IFERROR(__xludf.DUMMYFUNCTION("""COMPUTED_VALUE"""),-0.0519283324248588)</f>
        <v>-5.1928332424858802E-2</v>
      </c>
      <c r="FR11" s="3">
        <f ca="1">IFERROR(__xludf.DUMMYFUNCTION("""COMPUTED_VALUE"""),-0.0753476808673718)</f>
        <v>-7.53476808673718E-2</v>
      </c>
      <c r="FS11" s="3">
        <f ca="1">IFERROR(__xludf.DUMMYFUNCTION("""COMPUTED_VALUE"""),0.0336870691799164)</f>
        <v>3.3687069179916401E-2</v>
      </c>
      <c r="FT11" s="3">
        <f ca="1">IFERROR(__xludf.DUMMYFUNCTION("""COMPUTED_VALUE"""),0.0466064104327437)</f>
        <v>4.6606410432743703E-2</v>
      </c>
      <c r="FU11" s="3">
        <f ca="1">IFERROR(__xludf.DUMMYFUNCTION("""COMPUTED_VALUE"""),-0.0819078512333518)</f>
        <v>-8.19078512333518E-2</v>
      </c>
      <c r="FV11" s="3">
        <f ca="1">IFERROR(__xludf.DUMMYFUNCTION("""COMPUTED_VALUE"""),-0.0739866435191334)</f>
        <v>-7.3986643519133394E-2</v>
      </c>
      <c r="FW11" s="3">
        <f ca="1">IFERROR(__xludf.DUMMYFUNCTION("""COMPUTED_VALUE"""),-0.0651268816799198)</f>
        <v>-6.5126881679919799E-2</v>
      </c>
      <c r="FX11" s="3">
        <f ca="1">IFERROR(__xludf.DUMMYFUNCTION("""COMPUTED_VALUE"""),-0.0303633856382764)</f>
        <v>-3.03633856382764E-2</v>
      </c>
      <c r="FY11" s="3">
        <f ca="1">IFERROR(__xludf.DUMMYFUNCTION("""COMPUTED_VALUE"""),-0.116259522790185)</f>
        <v>-0.116259522790185</v>
      </c>
      <c r="FZ11" s="3">
        <f ca="1">IFERROR(__xludf.DUMMYFUNCTION("""COMPUTED_VALUE"""),0.0638588094551129)</f>
        <v>6.3858809455112894E-2</v>
      </c>
      <c r="GA11" s="3">
        <f ca="1">IFERROR(__xludf.DUMMYFUNCTION("""COMPUTED_VALUE"""),0.0599386100285639)</f>
        <v>5.9938610028563898E-2</v>
      </c>
      <c r="GB11" s="3">
        <f ca="1">IFERROR(__xludf.DUMMYFUNCTION("""COMPUTED_VALUE"""),0.00428284044008475)</f>
        <v>4.2828404400847503E-3</v>
      </c>
      <c r="GC11" s="3">
        <f ca="1">IFERROR(__xludf.DUMMYFUNCTION("""COMPUTED_VALUE"""),-0.0111181551239782)</f>
        <v>-1.11181551239782E-2</v>
      </c>
      <c r="GD11" s="3">
        <f ca="1">IFERROR(__xludf.DUMMYFUNCTION("""COMPUTED_VALUE"""),-0.208680528915306)</f>
        <v>-0.208680528915306</v>
      </c>
      <c r="GE11" s="3">
        <f ca="1">IFERROR(__xludf.DUMMYFUNCTION("""COMPUTED_VALUE"""),-0.287100797212032)</f>
        <v>-0.28710079721203202</v>
      </c>
      <c r="GF11" s="3">
        <f ca="1">IFERROR(__xludf.DUMMYFUNCTION("""COMPUTED_VALUE"""),-0.148247290453268)</f>
        <v>-0.14824729045326801</v>
      </c>
      <c r="GG11" s="3">
        <f ca="1">IFERROR(__xludf.DUMMYFUNCTION("""COMPUTED_VALUE"""),-0.276151038976295)</f>
        <v>-0.276151038976295</v>
      </c>
      <c r="GH11" s="3">
        <f ca="1">IFERROR(__xludf.DUMMYFUNCTION("""COMPUTED_VALUE"""),-0.329936891429052)</f>
        <v>-0.32993689142905203</v>
      </c>
      <c r="GI11" s="3">
        <f ca="1">IFERROR(__xludf.DUMMYFUNCTION("""COMPUTED_VALUE"""),-0.228179554145233)</f>
        <v>-0.228179554145233</v>
      </c>
      <c r="GJ11" s="3">
        <f ca="1">IFERROR(__xludf.DUMMYFUNCTION("""COMPUTED_VALUE"""),-0.201931747535366)</f>
        <v>-0.201931747535366</v>
      </c>
      <c r="GK11" s="3">
        <f ca="1">IFERROR(__xludf.DUMMYFUNCTION("""COMPUTED_VALUE"""),-0.213527722026501)</f>
        <v>-0.213527722026501</v>
      </c>
      <c r="GL11" s="3">
        <f ca="1">IFERROR(__xludf.DUMMYFUNCTION("""COMPUTED_VALUE"""),-0.155861037341236)</f>
        <v>-0.15586103734123599</v>
      </c>
      <c r="GM11" s="3">
        <f ca="1">IFERROR(__xludf.DUMMYFUNCTION("""COMPUTED_VALUE"""),-0.248663518899813)</f>
        <v>-0.248663518899813</v>
      </c>
      <c r="GN11" s="3">
        <f ca="1">IFERROR(__xludf.DUMMYFUNCTION("""COMPUTED_VALUE"""),-0.0319728775383132)</f>
        <v>-3.1972877538313203E-2</v>
      </c>
      <c r="GO11" s="3">
        <f ca="1">IFERROR(__xludf.DUMMYFUNCTION("""COMPUTED_VALUE"""),0.0317752124366257)</f>
        <v>3.1775212436625698E-2</v>
      </c>
      <c r="GP11" s="3">
        <f ca="1">IFERROR(__xludf.DUMMYFUNCTION("""COMPUTED_VALUE"""),-0.187559313522003)</f>
        <v>-0.187559313522003</v>
      </c>
      <c r="GQ11" s="3">
        <f ca="1">IFERROR(__xludf.DUMMYFUNCTION("""COMPUTED_VALUE"""),-0.148713240025689)</f>
        <v>-0.148713240025689</v>
      </c>
      <c r="GR11" s="3">
        <f ca="1">IFERROR(__xludf.DUMMYFUNCTION("""COMPUTED_VALUE"""),-0.0866923251019118)</f>
        <v>-8.6692325101911799E-2</v>
      </c>
      <c r="GS11" s="3">
        <f ca="1">IFERROR(__xludf.DUMMYFUNCTION("""COMPUTED_VALUE"""),0.0161343922745369)</f>
        <v>1.6134392274536901E-2</v>
      </c>
      <c r="GT11" s="3">
        <f ca="1">IFERROR(__xludf.DUMMYFUNCTION("""COMPUTED_VALUE"""),0.0118268239663548)</f>
        <v>1.18268239663548E-2</v>
      </c>
      <c r="GU11" s="3">
        <f ca="1">IFERROR(__xludf.DUMMYFUNCTION("""COMPUTED_VALUE"""),0.00741062343711695)</f>
        <v>7.4106234371169501E-3</v>
      </c>
      <c r="GV11" s="3">
        <f ca="1">IFERROR(__xludf.DUMMYFUNCTION("""COMPUTED_VALUE"""),-0.0529292170510273)</f>
        <v>-5.2929217051027301E-2</v>
      </c>
      <c r="GW11" s="3">
        <f ca="1">IFERROR(__xludf.DUMMYFUNCTION("""COMPUTED_VALUE"""),-0.168440619484781)</f>
        <v>-0.16844061948478101</v>
      </c>
      <c r="GX11" s="3">
        <f ca="1">IFERROR(__xludf.DUMMYFUNCTION("""COMPUTED_VALUE"""),-0.206414047986574)</f>
        <v>-0.20641404798657401</v>
      </c>
      <c r="GY11" s="3">
        <f ca="1">IFERROR(__xludf.DUMMYFUNCTION("""COMPUTED_VALUE"""),-0.0375437611990788)</f>
        <v>-3.7543761199078797E-2</v>
      </c>
      <c r="GZ11" s="3">
        <f ca="1">IFERROR(__xludf.DUMMYFUNCTION("""COMPUTED_VALUE"""),0.0247466564666927)</f>
        <v>2.4746656466692701E-2</v>
      </c>
      <c r="HA11" s="3">
        <f ca="1">IFERROR(__xludf.DUMMYFUNCTION("""COMPUTED_VALUE"""),-0.0804435537062198)</f>
        <v>-8.0443553706219806E-2</v>
      </c>
      <c r="HB11" s="3">
        <f ca="1">IFERROR(__xludf.DUMMYFUNCTION("""COMPUTED_VALUE"""),-0.12457944962752)</f>
        <v>-0.12457944962752</v>
      </c>
      <c r="HC11" s="3">
        <f ca="1">IFERROR(__xludf.DUMMYFUNCTION("""COMPUTED_VALUE"""),-0.19590793951792)</f>
        <v>-0.19590793951791999</v>
      </c>
      <c r="HD11" s="3">
        <f ca="1">IFERROR(__xludf.DUMMYFUNCTION("""COMPUTED_VALUE"""),-0.165433468020003)</f>
        <v>-0.165433468020003</v>
      </c>
      <c r="HE11" s="3">
        <f ca="1">IFERROR(__xludf.DUMMYFUNCTION("""COMPUTED_VALUE"""),-0.0785879553058891)</f>
        <v>-7.8587955305889107E-2</v>
      </c>
      <c r="HF11" s="3">
        <f ca="1">IFERROR(__xludf.DUMMYFUNCTION("""COMPUTED_VALUE"""),0.000289864549789742)</f>
        <v>2.8986454978974197E-4</v>
      </c>
      <c r="HG11" s="3">
        <f ca="1">IFERROR(__xludf.DUMMYFUNCTION("""COMPUTED_VALUE"""),-0.060908663934443)</f>
        <v>-6.0908663934442997E-2</v>
      </c>
      <c r="HH11" s="3">
        <f ca="1">IFERROR(__xludf.DUMMYFUNCTION("""COMPUTED_VALUE"""),0.00861213216517819)</f>
        <v>8.6121321651781903E-3</v>
      </c>
      <c r="HI11" s="3">
        <f ca="1">IFERROR(__xludf.DUMMYFUNCTION("""COMPUTED_VALUE"""),-0.036335624505668)</f>
        <v>-3.6335624505667997E-2</v>
      </c>
      <c r="HJ11" s="3">
        <f ca="1">IFERROR(__xludf.DUMMYFUNCTION("""COMPUTED_VALUE"""),-0.0984198786664086)</f>
        <v>-9.8419878666408597E-2</v>
      </c>
      <c r="HK11" s="3">
        <f ca="1">IFERROR(__xludf.DUMMYFUNCTION("""COMPUTED_VALUE"""),-0.188743845071922)</f>
        <v>-0.18874384507192199</v>
      </c>
      <c r="HL11" s="3">
        <f ca="1">IFERROR(__xludf.DUMMYFUNCTION("""COMPUTED_VALUE"""),-0.0092060492223116)</f>
        <v>-9.2060492223116006E-3</v>
      </c>
      <c r="HM11" s="3">
        <f ca="1">IFERROR(__xludf.DUMMYFUNCTION("""COMPUTED_VALUE"""),-0.0570390008149293)</f>
        <v>-5.7039000814929297E-2</v>
      </c>
      <c r="HN11" s="3">
        <f ca="1">IFERROR(__xludf.DUMMYFUNCTION("""COMPUTED_VALUE"""),-0.156647469964418)</f>
        <v>-0.156647469964418</v>
      </c>
      <c r="HO11" s="3">
        <f ca="1">IFERROR(__xludf.DUMMYFUNCTION("""COMPUTED_VALUE"""),-0.040549251766952)</f>
        <v>-4.0549251766952003E-2</v>
      </c>
      <c r="HP11" s="3">
        <f ca="1">IFERROR(__xludf.DUMMYFUNCTION("""COMPUTED_VALUE"""),-0.0995248845486694)</f>
        <v>-9.9524884548669396E-2</v>
      </c>
      <c r="HQ11" s="3">
        <f ca="1">IFERROR(__xludf.DUMMYFUNCTION("""COMPUTED_VALUE"""),-0.0542725358519814)</f>
        <v>-5.4272535851981399E-2</v>
      </c>
      <c r="HR11" s="3">
        <f ca="1">IFERROR(__xludf.DUMMYFUNCTION("""COMPUTED_VALUE"""),-0.221006369175187)</f>
        <v>-0.22100636917518701</v>
      </c>
      <c r="HS11" s="3">
        <f ca="1">IFERROR(__xludf.DUMMYFUNCTION("""COMPUTED_VALUE"""),-0.0886180629983094)</f>
        <v>-8.8618062998309405E-2</v>
      </c>
      <c r="HT11" s="3">
        <f ca="1">IFERROR(__xludf.DUMMYFUNCTION("""COMPUTED_VALUE"""),-0.174333578957959)</f>
        <v>-0.17433357895795901</v>
      </c>
      <c r="HU11" s="3">
        <f ca="1">IFERROR(__xludf.DUMMYFUNCTION("""COMPUTED_VALUE"""),-0.119761437457521)</f>
        <v>-0.11976143745752101</v>
      </c>
      <c r="HV11" s="3">
        <f ca="1">IFERROR(__xludf.DUMMYFUNCTION("""COMPUTED_VALUE"""),-0.200888626387857)</f>
        <v>-0.20088862638785701</v>
      </c>
      <c r="HW11" s="3">
        <f ca="1">IFERROR(__xludf.DUMMYFUNCTION("""COMPUTED_VALUE"""),-0.165157879315574)</f>
        <v>-0.16515787931557399</v>
      </c>
      <c r="HX11" s="3">
        <f ca="1">IFERROR(__xludf.DUMMYFUNCTION("""COMPUTED_VALUE"""),-0.150801758807653)</f>
        <v>-0.15080175880765301</v>
      </c>
      <c r="HY11" s="3">
        <f ca="1">IFERROR(__xludf.DUMMYFUNCTION("""COMPUTED_VALUE"""),-0.177193357068122)</f>
        <v>-0.177193357068122</v>
      </c>
      <c r="HZ11" s="3">
        <f ca="1">IFERROR(__xludf.DUMMYFUNCTION("""COMPUTED_VALUE"""),-0.0743922533538168)</f>
        <v>-7.4392253353816801E-2</v>
      </c>
      <c r="IA11" s="3">
        <f ca="1">IFERROR(__xludf.DUMMYFUNCTION("""COMPUTED_VALUE"""),-0.189913184017659)</f>
        <v>-0.189913184017659</v>
      </c>
      <c r="IB11" s="3">
        <f ca="1">IFERROR(__xludf.DUMMYFUNCTION("""COMPUTED_VALUE"""),-0.144176305373553)</f>
        <v>-0.144176305373553</v>
      </c>
      <c r="IC11" s="3">
        <f ca="1">IFERROR(__xludf.DUMMYFUNCTION("""COMPUTED_VALUE"""),-0.0697649477932952)</f>
        <v>-6.9764947793295201E-2</v>
      </c>
      <c r="ID11" s="3">
        <f ca="1">IFERROR(__xludf.DUMMYFUNCTION("""COMPUTED_VALUE"""),-0.164215016837581)</f>
        <v>-0.164215016837581</v>
      </c>
      <c r="IE11" s="3">
        <f ca="1">IFERROR(__xludf.DUMMYFUNCTION("""COMPUTED_VALUE"""),-0.200433266692961)</f>
        <v>-0.20043326669296099</v>
      </c>
      <c r="IF11" s="3">
        <f ca="1">IFERROR(__xludf.DUMMYFUNCTION("""COMPUTED_VALUE"""),-0.228643156507918)</f>
        <v>-0.228643156507918</v>
      </c>
      <c r="IG11" s="3">
        <f ca="1">IFERROR(__xludf.DUMMYFUNCTION("""COMPUTED_VALUE"""),0.00577796734659652)</f>
        <v>5.7779673465965199E-3</v>
      </c>
      <c r="IH11" s="3">
        <f ca="1">IFERROR(__xludf.DUMMYFUNCTION("""COMPUTED_VALUE"""),-0.0881125146426275)</f>
        <v>-8.8112514642627496E-2</v>
      </c>
      <c r="II11" s="3">
        <f ca="1">IFERROR(__xludf.DUMMYFUNCTION("""COMPUTED_VALUE"""),-0.0994304968182027)</f>
        <v>-9.9430496818202693E-2</v>
      </c>
      <c r="IJ11" s="3">
        <f ca="1">IFERROR(__xludf.DUMMYFUNCTION("""COMPUTED_VALUE"""),-0.114384000063651)</f>
        <v>-0.114384000063651</v>
      </c>
      <c r="IK11" s="3">
        <f ca="1">IFERROR(__xludf.DUMMYFUNCTION("""COMPUTED_VALUE"""),-0.15257073871837)</f>
        <v>-0.15257073871837001</v>
      </c>
      <c r="IL11" s="3">
        <f ca="1">IFERROR(__xludf.DUMMYFUNCTION("""COMPUTED_VALUE"""),-0.27377287107463)</f>
        <v>-0.27377287107463</v>
      </c>
      <c r="IM11" s="3">
        <f ca="1">IFERROR(__xludf.DUMMYFUNCTION("""COMPUTED_VALUE"""),-0.357979512184891)</f>
        <v>-0.35797951218489099</v>
      </c>
      <c r="IN11" s="3">
        <f ca="1">IFERROR(__xludf.DUMMYFUNCTION("""COMPUTED_VALUE"""),-0.219057481652129)</f>
        <v>-0.21905748165212899</v>
      </c>
      <c r="IO11" s="3">
        <f ca="1">IFERROR(__xludf.DUMMYFUNCTION("""COMPUTED_VALUE"""),-0.275537806486946)</f>
        <v>-0.27553780648694598</v>
      </c>
      <c r="IP11" s="3">
        <f ca="1">IFERROR(__xludf.DUMMYFUNCTION("""COMPUTED_VALUE"""),-0.171768746365538)</f>
        <v>-0.17176874636553799</v>
      </c>
      <c r="IQ11" s="3">
        <f ca="1">IFERROR(__xludf.DUMMYFUNCTION("""COMPUTED_VALUE"""),-0.170985773564878)</f>
        <v>-0.17098577356487801</v>
      </c>
      <c r="IR11" s="3">
        <f ca="1">IFERROR(__xludf.DUMMYFUNCTION("""COMPUTED_VALUE"""),-0.154699636765231)</f>
        <v>-0.15469963676523099</v>
      </c>
      <c r="IS11" s="3">
        <f ca="1">IFERROR(__xludf.DUMMYFUNCTION("""COMPUTED_VALUE"""),-0.171554867091492)</f>
        <v>-0.17155486709149201</v>
      </c>
      <c r="IT11" s="3">
        <f ca="1">IFERROR(__xludf.DUMMYFUNCTION("""COMPUTED_VALUE"""),-0.246278665364368)</f>
        <v>-0.24627866536436799</v>
      </c>
      <c r="IU11" s="3">
        <f ca="1">IFERROR(__xludf.DUMMYFUNCTION("""COMPUTED_VALUE"""),-0.0820320101941045)</f>
        <v>-8.2032010194104499E-2</v>
      </c>
      <c r="IV11" s="3">
        <f ca="1">IFERROR(__xludf.DUMMYFUNCTION("""COMPUTED_VALUE"""),-0.126511653109505)</f>
        <v>-0.12651165310950499</v>
      </c>
      <c r="IW11" s="3">
        <f ca="1">IFERROR(__xludf.DUMMYFUNCTION("""COMPUTED_VALUE"""),-0.0311939685196754)</f>
        <v>-3.1193968519675399E-2</v>
      </c>
      <c r="IX11" s="3">
        <f ca="1">IFERROR(__xludf.DUMMYFUNCTION("""COMPUTED_VALUE"""),-0.130366204761447)</f>
        <v>-0.130366204761447</v>
      </c>
      <c r="IY11" s="3">
        <f ca="1">IFERROR(__xludf.DUMMYFUNCTION("""COMPUTED_VALUE"""),-0.0933666746084079)</f>
        <v>-9.3366674608407904E-2</v>
      </c>
      <c r="IZ11" s="3">
        <f ca="1">IFERROR(__xludf.DUMMYFUNCTION("""COMPUTED_VALUE"""),-0.230643736283667)</f>
        <v>-0.23064373628366699</v>
      </c>
      <c r="JA11" s="3">
        <f ca="1">IFERROR(__xludf.DUMMYFUNCTION("""COMPUTED_VALUE"""),-0.392557531854393)</f>
        <v>-0.39255753185439302</v>
      </c>
      <c r="JB11" s="3">
        <f ca="1">IFERROR(__xludf.DUMMYFUNCTION("""COMPUTED_VALUE"""),0.143166926344587)</f>
        <v>0.143166926344587</v>
      </c>
      <c r="JC11" s="3">
        <f ca="1">IFERROR(__xludf.DUMMYFUNCTION("""COMPUTED_VALUE"""),-0.129678650642555)</f>
        <v>-0.12967865064255499</v>
      </c>
      <c r="JD11" s="3">
        <f ca="1">IFERROR(__xludf.DUMMYFUNCTION("""COMPUTED_VALUE"""),-0.133815536964564)</f>
        <v>-0.133815536964564</v>
      </c>
      <c r="JE11" s="3">
        <f ca="1">IFERROR(__xludf.DUMMYFUNCTION("""COMPUTED_VALUE"""),-0.0738757629979774)</f>
        <v>-7.3875762997977407E-2</v>
      </c>
      <c r="JF11" s="3">
        <f ca="1">IFERROR(__xludf.DUMMYFUNCTION("""COMPUTED_VALUE"""),-0.0456069244172443)</f>
        <v>-4.5606924417244302E-2</v>
      </c>
      <c r="JG11" s="3">
        <f ca="1">IFERROR(__xludf.DUMMYFUNCTION("""COMPUTED_VALUE"""),-0.0871256963393791)</f>
        <v>-8.7125696339379097E-2</v>
      </c>
      <c r="JH11" s="3">
        <f ca="1">IFERROR(__xludf.DUMMYFUNCTION("""COMPUTED_VALUE"""),-0.261094623559704)</f>
        <v>-0.26109462355970398</v>
      </c>
      <c r="JI11" s="3">
        <f ca="1">IFERROR(__xludf.DUMMYFUNCTION("""COMPUTED_VALUE"""),-0.0880480141991761)</f>
        <v>-8.80480141991761E-2</v>
      </c>
      <c r="JJ11" s="3">
        <f ca="1">IFERROR(__xludf.DUMMYFUNCTION("""COMPUTED_VALUE"""),-0.248911792913118)</f>
        <v>-0.24891179291311799</v>
      </c>
      <c r="JK11" s="3">
        <f ca="1">IFERROR(__xludf.DUMMYFUNCTION("""COMPUTED_VALUE"""),-0.293949300762305)</f>
        <v>-0.29394930076230502</v>
      </c>
      <c r="JL11" s="3">
        <f ca="1">IFERROR(__xludf.DUMMYFUNCTION("""COMPUTED_VALUE"""),-0.455415846243964)</f>
        <v>-0.45541584624396397</v>
      </c>
      <c r="JM11" s="3">
        <f ca="1">IFERROR(__xludf.DUMMYFUNCTION("""COMPUTED_VALUE"""),-0.428805875708701)</f>
        <v>-0.42880587570870099</v>
      </c>
      <c r="JN11" s="3">
        <f ca="1">IFERROR(__xludf.DUMMYFUNCTION("""COMPUTED_VALUE"""),-0.564720048061941)</f>
        <v>-0.56472004806194098</v>
      </c>
      <c r="JO11" s="3">
        <f ca="1">IFERROR(__xludf.DUMMYFUNCTION("""COMPUTED_VALUE"""),-0.522692889810784)</f>
        <v>-0.52269288981078399</v>
      </c>
      <c r="JP11" s="3">
        <f ca="1">IFERROR(__xludf.DUMMYFUNCTION("""COMPUTED_VALUE"""),-0.451255642874076)</f>
        <v>-0.45125564287407599</v>
      </c>
      <c r="JQ11" s="3">
        <f ca="1">IFERROR(__xludf.DUMMYFUNCTION("""COMPUTED_VALUE"""),-0.256535586980036)</f>
        <v>-0.25653558698003598</v>
      </c>
      <c r="JR11" s="3">
        <f ca="1">IFERROR(__xludf.DUMMYFUNCTION("""COMPUTED_VALUE"""),-0.221545850643168)</f>
        <v>-0.22154585064316801</v>
      </c>
      <c r="JS11" s="3">
        <f ca="1">IFERROR(__xludf.DUMMYFUNCTION("""COMPUTED_VALUE"""),-0.355993056882926)</f>
        <v>-0.35599305688292598</v>
      </c>
      <c r="JT11" s="3">
        <f ca="1">IFERROR(__xludf.DUMMYFUNCTION("""COMPUTED_VALUE"""),-0.227566940819061)</f>
        <v>-0.22756694081906101</v>
      </c>
      <c r="JU11" s="3">
        <f ca="1">IFERROR(__xludf.DUMMYFUNCTION("""COMPUTED_VALUE"""),-0.37329840397706)</f>
        <v>-0.37329840397705999</v>
      </c>
      <c r="JV11" s="3">
        <f ca="1">IFERROR(__xludf.DUMMYFUNCTION("""COMPUTED_VALUE"""),-0.450105776440085)</f>
        <v>-0.45010577644008498</v>
      </c>
      <c r="JW11" s="3">
        <f ca="1">IFERROR(__xludf.DUMMYFUNCTION("""COMPUTED_VALUE"""),-0.212033367329761)</f>
        <v>-0.212033367329761</v>
      </c>
      <c r="JX11" s="3">
        <f ca="1">IFERROR(__xludf.DUMMYFUNCTION("""COMPUTED_VALUE"""),-0.197223934815575)</f>
        <v>-0.19722393481557501</v>
      </c>
      <c r="JY11" s="3">
        <f ca="1">IFERROR(__xludf.DUMMYFUNCTION("""COMPUTED_VALUE"""),-0.350768566573011)</f>
        <v>-0.35076856657301098</v>
      </c>
      <c r="JZ11" s="3">
        <f ca="1">IFERROR(__xludf.DUMMYFUNCTION("""COMPUTED_VALUE"""),-0.398073219644307)</f>
        <v>-0.39807321964430697</v>
      </c>
      <c r="KA11" s="3">
        <f ca="1">IFERROR(__xludf.DUMMYFUNCTION("""COMPUTED_VALUE"""),-0.145327425894576)</f>
        <v>-0.14532742589457601</v>
      </c>
      <c r="KB11" s="3">
        <f ca="1">IFERROR(__xludf.DUMMYFUNCTION("""COMPUTED_VALUE"""),-0.457289471830532)</f>
        <v>-0.45728947183053198</v>
      </c>
      <c r="KC11" s="3">
        <f ca="1">IFERROR(__xludf.DUMMYFUNCTION("""COMPUTED_VALUE"""),-0.364288327849734)</f>
        <v>-0.36428832784973397</v>
      </c>
      <c r="KD11" s="3">
        <f ca="1">IFERROR(__xludf.DUMMYFUNCTION("""COMPUTED_VALUE"""),-0.27040404275803)</f>
        <v>-0.27040404275802998</v>
      </c>
      <c r="KE11" s="3">
        <f ca="1">IFERROR(__xludf.DUMMYFUNCTION("""COMPUTED_VALUE"""),-0.361423170399609)</f>
        <v>-0.36142317039960897</v>
      </c>
      <c r="KF11" s="3">
        <f ca="1">IFERROR(__xludf.DUMMYFUNCTION("""COMPUTED_VALUE"""),-0.382806262100758)</f>
        <v>-0.38280626210075802</v>
      </c>
      <c r="KG11" s="3">
        <f ca="1">IFERROR(__xludf.DUMMYFUNCTION("""COMPUTED_VALUE"""),-0.434934118676851)</f>
        <v>-0.434934118676851</v>
      </c>
      <c r="KH11" s="3">
        <f ca="1">IFERROR(__xludf.DUMMYFUNCTION("""COMPUTED_VALUE"""),-0.366233877090052)</f>
        <v>-0.36623387709005201</v>
      </c>
      <c r="KI11" s="3">
        <f ca="1">IFERROR(__xludf.DUMMYFUNCTION("""COMPUTED_VALUE"""),-0.450451539667094)</f>
        <v>-0.450451539667094</v>
      </c>
      <c r="KJ11" s="3">
        <f ca="1">IFERROR(__xludf.DUMMYFUNCTION("""COMPUTED_VALUE"""),-0.376878944732446)</f>
        <v>-0.37687894473244599</v>
      </c>
      <c r="KK11" s="3">
        <f ca="1">IFERROR(__xludf.DUMMYFUNCTION("""COMPUTED_VALUE"""),-0.337224175886606)</f>
        <v>-0.33722417588660603</v>
      </c>
      <c r="KL11" s="3">
        <f ca="1">IFERROR(__xludf.DUMMYFUNCTION("""COMPUTED_VALUE"""),-0.407693789577401)</f>
        <v>-0.40769378957740099</v>
      </c>
      <c r="KM11" s="3">
        <f ca="1">IFERROR(__xludf.DUMMYFUNCTION("""COMPUTED_VALUE"""),-0.479403482868763)</f>
        <v>-0.479403482868763</v>
      </c>
      <c r="KN11" s="3">
        <f ca="1">IFERROR(__xludf.DUMMYFUNCTION("""COMPUTED_VALUE"""),-0.357769296530733)</f>
        <v>-0.35776929653073303</v>
      </c>
      <c r="KO11" s="3">
        <f ca="1">IFERROR(__xludf.DUMMYFUNCTION("""COMPUTED_VALUE"""),-0.422541746877693)</f>
        <v>-0.42254174687769303</v>
      </c>
      <c r="KP11" s="3">
        <f ca="1">IFERROR(__xludf.DUMMYFUNCTION("""COMPUTED_VALUE"""),-0.45783516712645)</f>
        <v>-0.45783516712645</v>
      </c>
      <c r="KQ11" s="3">
        <f ca="1">IFERROR(__xludf.DUMMYFUNCTION("""COMPUTED_VALUE"""),-0.364277413348387)</f>
        <v>-0.36427741334838698</v>
      </c>
      <c r="KR11" s="3">
        <f ca="1">IFERROR(__xludf.DUMMYFUNCTION("""COMPUTED_VALUE"""),-0.411817349828932)</f>
        <v>-0.41181734982893198</v>
      </c>
      <c r="KS11" s="3">
        <f ca="1">IFERROR(__xludf.DUMMYFUNCTION("""COMPUTED_VALUE"""),-0.507354150961875)</f>
        <v>-0.50735415096187497</v>
      </c>
      <c r="KT11" s="3">
        <f ca="1">IFERROR(__xludf.DUMMYFUNCTION("""COMPUTED_VALUE"""),-0.454271609075715)</f>
        <v>-0.45427160907571501</v>
      </c>
      <c r="KU11" s="3">
        <f ca="1">IFERROR(__xludf.DUMMYFUNCTION("""COMPUTED_VALUE"""),-0.389899132172379)</f>
        <v>-0.38989913217237898</v>
      </c>
      <c r="KV11" s="3">
        <f ca="1">IFERROR(__xludf.DUMMYFUNCTION("""COMPUTED_VALUE"""),-0.552264026205455)</f>
        <v>-0.55226402620545501</v>
      </c>
      <c r="KW11" s="3">
        <f ca="1">IFERROR(__xludf.DUMMYFUNCTION("""COMPUTED_VALUE"""),-0.577710298437562)</f>
        <v>-0.57771029843756205</v>
      </c>
      <c r="KX11" s="3">
        <f ca="1">IFERROR(__xludf.DUMMYFUNCTION("""COMPUTED_VALUE"""),-0.481756608679023)</f>
        <v>-0.48175660867902298</v>
      </c>
      <c r="KY11" s="3">
        <f ca="1">IFERROR(__xludf.DUMMYFUNCTION("""COMPUTED_VALUE"""),-0.476586903778935)</f>
        <v>-0.47658690377893498</v>
      </c>
      <c r="KZ11" s="3">
        <f ca="1">IFERROR(__xludf.DUMMYFUNCTION("""COMPUTED_VALUE"""),-0.480339716125464)</f>
        <v>-0.480339716125464</v>
      </c>
      <c r="LA11" s="3">
        <f ca="1">IFERROR(__xludf.DUMMYFUNCTION("""COMPUTED_VALUE"""),-0.423383830331596)</f>
        <v>-0.42338383033159599</v>
      </c>
      <c r="LB11" s="3">
        <f ca="1">IFERROR(__xludf.DUMMYFUNCTION("""COMPUTED_VALUE"""),-0.416641511885155)</f>
        <v>-0.41664151188515502</v>
      </c>
      <c r="LC11" s="3">
        <f ca="1">IFERROR(__xludf.DUMMYFUNCTION("""COMPUTED_VALUE"""),-0.529459459698744)</f>
        <v>-0.52945945969874397</v>
      </c>
      <c r="LD11" s="3">
        <f ca="1">IFERROR(__xludf.DUMMYFUNCTION("""COMPUTED_VALUE"""),-0.507695030692591)</f>
        <v>-0.50769503069259103</v>
      </c>
      <c r="LE11" s="3">
        <f ca="1">IFERROR(__xludf.DUMMYFUNCTION("""COMPUTED_VALUE"""),-0.417814033768241)</f>
        <v>-0.417814033768241</v>
      </c>
      <c r="LF11" s="3">
        <f ca="1">IFERROR(__xludf.DUMMYFUNCTION("""COMPUTED_VALUE"""),-0.544627825238379)</f>
        <v>-0.54462782523837905</v>
      </c>
      <c r="LG11" s="3">
        <f ca="1">IFERROR(__xludf.DUMMYFUNCTION("""COMPUTED_VALUE"""),-0.478404255550182)</f>
        <v>-0.47840425555018201</v>
      </c>
      <c r="LH11" s="3">
        <f ca="1">IFERROR(__xludf.DUMMYFUNCTION("""COMPUTED_VALUE"""),-0.449408428438508)</f>
        <v>-0.44940842843850798</v>
      </c>
      <c r="LI11" s="3">
        <f ca="1">IFERROR(__xludf.DUMMYFUNCTION("""COMPUTED_VALUE"""),-0.475345681771016)</f>
        <v>-0.47534568177101599</v>
      </c>
      <c r="LJ11" s="3">
        <f ca="1">IFERROR(__xludf.DUMMYFUNCTION("""COMPUTED_VALUE"""),-0.528399808920735)</f>
        <v>-0.52839980892073501</v>
      </c>
      <c r="LK11" s="3">
        <f ca="1">IFERROR(__xludf.DUMMYFUNCTION("""COMPUTED_VALUE"""),-0.524839306386212)</f>
        <v>-0.52483930638621201</v>
      </c>
      <c r="LL11" s="3">
        <f ca="1">IFERROR(__xludf.DUMMYFUNCTION("""COMPUTED_VALUE"""),-0.568300732649528)</f>
        <v>-0.56830073264952796</v>
      </c>
      <c r="LM11" s="3">
        <f ca="1">IFERROR(__xludf.DUMMYFUNCTION("""COMPUTED_VALUE"""),-0.580055151967802)</f>
        <v>-0.580055151967802</v>
      </c>
      <c r="LN11" s="3">
        <f ca="1">IFERROR(__xludf.DUMMYFUNCTION("""COMPUTED_VALUE"""),-0.697632402536132)</f>
        <v>-0.69763240253613201</v>
      </c>
      <c r="LO11" s="3">
        <f ca="1">IFERROR(__xludf.DUMMYFUNCTION("""COMPUTED_VALUE"""),-0.621094395063309)</f>
        <v>-0.62109439506330899</v>
      </c>
      <c r="LP11" s="3">
        <f ca="1">IFERROR(__xludf.DUMMYFUNCTION("""COMPUTED_VALUE"""),-0.647819311327514)</f>
        <v>-0.64781931132751402</v>
      </c>
      <c r="LQ11" s="3">
        <f ca="1">IFERROR(__xludf.DUMMYFUNCTION("""COMPUTED_VALUE"""),-0.618212192154092)</f>
        <v>-0.61821219215409196</v>
      </c>
      <c r="LR11" s="3">
        <f ca="1">IFERROR(__xludf.DUMMYFUNCTION("""COMPUTED_VALUE"""),-0.708386557059945)</f>
        <v>-0.70838655705994502</v>
      </c>
      <c r="LS11" s="3">
        <f ca="1">IFERROR(__xludf.DUMMYFUNCTION("""COMPUTED_VALUE"""),-0.665782672883004)</f>
        <v>-0.66578267288300397</v>
      </c>
      <c r="LT11" s="3">
        <f ca="1">IFERROR(__xludf.DUMMYFUNCTION("""COMPUTED_VALUE"""),-0.772491503323834)</f>
        <v>-0.77249150332383398</v>
      </c>
      <c r="LU11" s="3">
        <f ca="1">IFERROR(__xludf.DUMMYFUNCTION("""COMPUTED_VALUE"""),-0.777880050631628)</f>
        <v>-0.77788005063162802</v>
      </c>
      <c r="LV11" s="3">
        <f ca="1">IFERROR(__xludf.DUMMYFUNCTION("""COMPUTED_VALUE"""),-0.792587931971383)</f>
        <v>-0.792587931971383</v>
      </c>
      <c r="LW11" s="3">
        <f ca="1">IFERROR(__xludf.DUMMYFUNCTION("""COMPUTED_VALUE"""),-0.810279166289847)</f>
        <v>-0.81027916628984697</v>
      </c>
      <c r="LX11" s="3">
        <f ca="1">IFERROR(__xludf.DUMMYFUNCTION("""COMPUTED_VALUE"""),-0.808473138219217)</f>
        <v>-0.80847313821921696</v>
      </c>
      <c r="LY11" s="3">
        <f ca="1">IFERROR(__xludf.DUMMYFUNCTION("""COMPUTED_VALUE"""),-0.834977179216573)</f>
        <v>-0.834977179216573</v>
      </c>
      <c r="LZ11" s="3">
        <f ca="1">IFERROR(__xludf.DUMMYFUNCTION("""COMPUTED_VALUE"""),-0.824898598842971)</f>
        <v>-0.82489859884297101</v>
      </c>
      <c r="MA11" s="3">
        <f ca="1">IFERROR(__xludf.DUMMYFUNCTION("""COMPUTED_VALUE"""),-0.746664220436412)</f>
        <v>-0.74666422043641201</v>
      </c>
      <c r="MB11" s="3">
        <f ca="1">IFERROR(__xludf.DUMMYFUNCTION("""COMPUTED_VALUE"""),-0.828786102591859)</f>
        <v>-0.82878610259185903</v>
      </c>
      <c r="MC11" s="3">
        <f ca="1">IFERROR(__xludf.DUMMYFUNCTION("""COMPUTED_VALUE"""),-0.860002411579993)</f>
        <v>-0.86000241157999302</v>
      </c>
      <c r="MD11" s="3">
        <f ca="1">IFERROR(__xludf.DUMMYFUNCTION("""COMPUTED_VALUE"""),-0.871035019287237)</f>
        <v>-0.87103501928723703</v>
      </c>
      <c r="ME11" s="3">
        <f ca="1">IFERROR(__xludf.DUMMYFUNCTION("""COMPUTED_VALUE"""),-0.889573875120196)</f>
        <v>-0.88957387512019603</v>
      </c>
      <c r="MF11" s="3">
        <f ca="1">IFERROR(__xludf.DUMMYFUNCTION("""COMPUTED_VALUE"""),-0.833321841299117)</f>
        <v>-0.83332184129911702</v>
      </c>
      <c r="MG11" s="3">
        <f ca="1">IFERROR(__xludf.DUMMYFUNCTION("""COMPUTED_VALUE"""),-0.764585883097994)</f>
        <v>-0.76458588309799402</v>
      </c>
      <c r="MH11" s="3">
        <f ca="1">IFERROR(__xludf.DUMMYFUNCTION("""COMPUTED_VALUE"""),-0.812583585485292)</f>
        <v>-0.81258358548529197</v>
      </c>
      <c r="MI11" s="3">
        <f ca="1">IFERROR(__xludf.DUMMYFUNCTION("""COMPUTED_VALUE"""),-0.870424390449339)</f>
        <v>-0.87042439044933895</v>
      </c>
      <c r="MJ11" s="3">
        <f ca="1">IFERROR(__xludf.DUMMYFUNCTION("""COMPUTED_VALUE"""),-0.89763284308952)</f>
        <v>-0.89763284308951996</v>
      </c>
      <c r="MK11" s="3">
        <f ca="1">IFERROR(__xludf.DUMMYFUNCTION("""COMPUTED_VALUE"""),-0.881098097736891)</f>
        <v>-0.88109809773689096</v>
      </c>
      <c r="ML11" s="3">
        <f ca="1">IFERROR(__xludf.DUMMYFUNCTION("""COMPUTED_VALUE"""),-0.846466516073757)</f>
        <v>-0.846466516073757</v>
      </c>
      <c r="MM11" s="3">
        <f ca="1">IFERROR(__xludf.DUMMYFUNCTION("""COMPUTED_VALUE"""),-0.887392550102623)</f>
        <v>-0.88739255010262297</v>
      </c>
      <c r="MN11" s="3">
        <f ca="1">IFERROR(__xludf.DUMMYFUNCTION("""COMPUTED_VALUE"""),-0.805823214877184)</f>
        <v>-0.805823214877184</v>
      </c>
      <c r="MO11" s="3">
        <f ca="1">IFERROR(__xludf.DUMMYFUNCTION("""COMPUTED_VALUE"""),-0.818565132927992)</f>
        <v>-0.81856513292799205</v>
      </c>
      <c r="MP11" s="3">
        <f ca="1">IFERROR(__xludf.DUMMYFUNCTION("""COMPUTED_VALUE"""),-0.815097999000851)</f>
        <v>-0.815097999000851</v>
      </c>
      <c r="MQ11" s="3">
        <f ca="1">IFERROR(__xludf.DUMMYFUNCTION("""COMPUTED_VALUE"""),-0.866991719043666)</f>
        <v>-0.86699171904366601</v>
      </c>
      <c r="MR11" s="3">
        <f ca="1">IFERROR(__xludf.DUMMYFUNCTION("""COMPUTED_VALUE"""),-0.876381138915884)</f>
        <v>-0.87638113891588398</v>
      </c>
      <c r="MS11" s="3">
        <f ca="1">IFERROR(__xludf.DUMMYFUNCTION("""COMPUTED_VALUE"""),-0.876063856739462)</f>
        <v>-0.87606385673946197</v>
      </c>
      <c r="MT11" s="3">
        <f ca="1">IFERROR(__xludf.DUMMYFUNCTION("""COMPUTED_VALUE"""),-0.827572784936842)</f>
        <v>-0.82757278493684205</v>
      </c>
      <c r="MU11" s="3">
        <f ca="1">IFERROR(__xludf.DUMMYFUNCTION("""COMPUTED_VALUE"""),-0.743631258531084)</f>
        <v>-0.74363125853108403</v>
      </c>
      <c r="MV11" s="3">
        <f ca="1">IFERROR(__xludf.DUMMYFUNCTION("""COMPUTED_VALUE"""),-0.74635095239484)</f>
        <v>-0.74635095239483995</v>
      </c>
      <c r="MW11" s="3">
        <f ca="1">IFERROR(__xludf.DUMMYFUNCTION("""COMPUTED_VALUE"""),-0.832096824015939)</f>
        <v>-0.83209682401593899</v>
      </c>
      <c r="MX11" s="3">
        <f ca="1">IFERROR(__xludf.DUMMYFUNCTION("""COMPUTED_VALUE"""),-0.813039263441114)</f>
        <v>-0.81303926344111399</v>
      </c>
      <c r="MY11" s="3">
        <f ca="1">IFERROR(__xludf.DUMMYFUNCTION("""COMPUTED_VALUE"""),-0.834493029852257)</f>
        <v>-0.83449302985225704</v>
      </c>
      <c r="MZ11" s="3">
        <f ca="1">IFERROR(__xludf.DUMMYFUNCTION("""COMPUTED_VALUE"""),-0.854976464724945)</f>
        <v>-0.85497646472494504</v>
      </c>
      <c r="NA11" s="3">
        <f ca="1">IFERROR(__xludf.DUMMYFUNCTION("""COMPUTED_VALUE"""),-0.902061550043983)</f>
        <v>-0.90206155004398303</v>
      </c>
      <c r="NB11" s="3">
        <f ca="1">IFERROR(__xludf.DUMMYFUNCTION("""COMPUTED_VALUE"""),-0.820824487408655)</f>
        <v>-0.82082448740865499</v>
      </c>
      <c r="NC11" s="3">
        <f ca="1">IFERROR(__xludf.DUMMYFUNCTION("""COMPUTED_VALUE"""),-0.850042937936301)</f>
        <v>-0.85004293793630104</v>
      </c>
      <c r="ND11" s="3">
        <f ca="1">IFERROR(__xludf.DUMMYFUNCTION("""COMPUTED_VALUE"""),-0.859974075030024)</f>
        <v>-0.85997407503002399</v>
      </c>
      <c r="NE11" s="3">
        <f ca="1">IFERROR(__xludf.DUMMYFUNCTION("""COMPUTED_VALUE"""),-0.833926969162052)</f>
        <v>-0.833926969162052</v>
      </c>
      <c r="NF11" s="3">
        <f ca="1">IFERROR(__xludf.DUMMYFUNCTION("""COMPUTED_VALUE"""),-0.831682442288797)</f>
        <v>-0.83168244228879695</v>
      </c>
      <c r="NG11" s="3">
        <f ca="1">IFERROR(__xludf.DUMMYFUNCTION("""COMPUTED_VALUE"""),-0.858619597164896)</f>
        <v>-0.858619597164896</v>
      </c>
      <c r="NH11" s="3">
        <f ca="1">IFERROR(__xludf.DUMMYFUNCTION("""COMPUTED_VALUE"""),-0.836214495629503)</f>
        <v>-0.83621449562950301</v>
      </c>
      <c r="NI11" s="3">
        <f ca="1">IFERROR(__xludf.DUMMYFUNCTION("""COMPUTED_VALUE"""),-0.746902807059843)</f>
        <v>-0.74690280705984302</v>
      </c>
      <c r="NJ11" s="3">
        <f ca="1">IFERROR(__xludf.DUMMYFUNCTION("""COMPUTED_VALUE"""),-0.770864549178113)</f>
        <v>-0.77086454917811298</v>
      </c>
      <c r="NK11" s="3">
        <f ca="1">IFERROR(__xludf.DUMMYFUNCTION("""COMPUTED_VALUE"""),-0.825872835538709)</f>
        <v>-0.82587283553870905</v>
      </c>
      <c r="NL11" s="3">
        <f ca="1">IFERROR(__xludf.DUMMYFUNCTION("""COMPUTED_VALUE"""),-0.858697363477141)</f>
        <v>-0.85869736347714098</v>
      </c>
      <c r="NM11" s="3">
        <f ca="1">IFERROR(__xludf.DUMMYFUNCTION("""COMPUTED_VALUE"""),-0.833396257388837)</f>
        <v>-0.83339625738883705</v>
      </c>
      <c r="NN11" s="3">
        <f ca="1">IFERROR(__xludf.DUMMYFUNCTION("""COMPUTED_VALUE"""),-0.816255337642343)</f>
        <v>-0.81625533764234304</v>
      </c>
      <c r="NO11" s="3">
        <f ca="1">IFERROR(__xludf.DUMMYFUNCTION("""COMPUTED_VALUE"""),-0.817617451158748)</f>
        <v>-0.81761745115874795</v>
      </c>
      <c r="NP11" s="3">
        <f ca="1">IFERROR(__xludf.DUMMYFUNCTION("""COMPUTED_VALUE"""),-0.788862866197897)</f>
        <v>-0.78886286619789703</v>
      </c>
      <c r="NQ11" s="3">
        <f ca="1">IFERROR(__xludf.DUMMYFUNCTION("""COMPUTED_VALUE"""),-0.778523611297478)</f>
        <v>-0.77852361129747805</v>
      </c>
      <c r="NR11" s="3">
        <f ca="1">IFERROR(__xludf.DUMMYFUNCTION("""COMPUTED_VALUE"""),-0.732168768549093)</f>
        <v>-0.73216876854909296</v>
      </c>
      <c r="NS11" s="3">
        <f ca="1">IFERROR(__xludf.DUMMYFUNCTION("""COMPUTED_VALUE"""),-0.773141658342513)</f>
        <v>-0.77314165834251303</v>
      </c>
      <c r="NT11" s="3">
        <f ca="1">IFERROR(__xludf.DUMMYFUNCTION("""COMPUTED_VALUE"""),-0.769127015542894)</f>
        <v>-0.76912701554289398</v>
      </c>
      <c r="NU11" s="3">
        <f ca="1">IFERROR(__xludf.DUMMYFUNCTION("""COMPUTED_VALUE"""),-0.633157119595394)</f>
        <v>-0.633157119595394</v>
      </c>
      <c r="NV11" s="3">
        <f ca="1">IFERROR(__xludf.DUMMYFUNCTION("""COMPUTED_VALUE"""),-0.325292641945735)</f>
        <v>-0.32529264194573498</v>
      </c>
      <c r="NW11" s="3">
        <f ca="1">IFERROR(__xludf.DUMMYFUNCTION("""COMPUTED_VALUE"""),-0.393014951409263)</f>
        <v>-0.39301495140926301</v>
      </c>
      <c r="NX11" s="3">
        <f ca="1">IFERROR(__xludf.DUMMYFUNCTION("""COMPUTED_VALUE"""),-0.279623443927538)</f>
        <v>-0.27962344392753802</v>
      </c>
      <c r="NY11" s="3">
        <f ca="1">IFERROR(__xludf.DUMMYFUNCTION("""COMPUTED_VALUE"""),-0.355774214385188)</f>
        <v>-0.35577421438518803</v>
      </c>
      <c r="NZ11" s="3">
        <f ca="1">IFERROR(__xludf.DUMMYFUNCTION("""COMPUTED_VALUE"""),-0.276872104908027)</f>
        <v>-0.27687210490802699</v>
      </c>
      <c r="OA11" s="3">
        <f ca="1">IFERROR(__xludf.DUMMYFUNCTION("""COMPUTED_VALUE"""),-0.301971063911315)</f>
        <v>-0.30197106391131501</v>
      </c>
      <c r="OB11" s="3">
        <f ca="1">IFERROR(__xludf.DUMMYFUNCTION("""COMPUTED_VALUE"""),-0.159430541110967)</f>
        <v>-0.15943054111096699</v>
      </c>
      <c r="OC11" s="3">
        <f ca="1">IFERROR(__xludf.DUMMYFUNCTION("""COMPUTED_VALUE"""),0.0529563681369029)</f>
        <v>5.2956368136902902E-2</v>
      </c>
      <c r="OD11" s="3">
        <f ca="1">IFERROR(__xludf.DUMMYFUNCTION("""COMPUTED_VALUE"""),-0.0981184795296369)</f>
        <v>-9.8118479529636898E-2</v>
      </c>
      <c r="OE11" s="3">
        <f ca="1">IFERROR(__xludf.DUMMYFUNCTION("""COMPUTED_VALUE"""),-0.0770241632941765)</f>
        <v>-7.7024163294176495E-2</v>
      </c>
      <c r="OF11" s="3">
        <f ca="1">IFERROR(__xludf.DUMMYFUNCTION("""COMPUTED_VALUE"""),-0.104827622883886)</f>
        <v>-0.104827622883886</v>
      </c>
      <c r="OG11" s="3">
        <f ca="1">IFERROR(__xludf.DUMMYFUNCTION("""COMPUTED_VALUE"""),0.0316134159807874)</f>
        <v>3.1613415980787402E-2</v>
      </c>
      <c r="OH11" s="3">
        <f ca="1">IFERROR(__xludf.DUMMYFUNCTION("""COMPUTED_VALUE"""),-0.0783033057136523)</f>
        <v>-7.8303305713652294E-2</v>
      </c>
      <c r="OI11" s="3">
        <f ca="1">IFERROR(__xludf.DUMMYFUNCTION("""COMPUTED_VALUE"""),-0.241492430220237)</f>
        <v>-0.241492430220237</v>
      </c>
      <c r="OJ11" s="3">
        <f ca="1">IFERROR(__xludf.DUMMYFUNCTION("""COMPUTED_VALUE"""),-0.379810636208178)</f>
        <v>-0.37981063620817801</v>
      </c>
      <c r="OK11" s="3">
        <f ca="1">IFERROR(__xludf.DUMMYFUNCTION("""COMPUTED_VALUE"""),-0.0960455372512834)</f>
        <v>-9.6045537251283397E-2</v>
      </c>
      <c r="OL11" s="3">
        <f ca="1">IFERROR(__xludf.DUMMYFUNCTION("""COMPUTED_VALUE"""),-0.148016030810088)</f>
        <v>-0.14801603081008799</v>
      </c>
      <c r="OM11" s="3">
        <f ca="1">IFERROR(__xludf.DUMMYFUNCTION("""COMPUTED_VALUE"""),-0.180819842654188)</f>
        <v>-0.18081984265418799</v>
      </c>
      <c r="ON11" s="3">
        <f ca="1">IFERROR(__xludf.DUMMYFUNCTION("""COMPUTED_VALUE"""),-0.188253770851445)</f>
        <v>-0.18825377085144501</v>
      </c>
      <c r="OO11" s="3">
        <f ca="1">IFERROR(__xludf.DUMMYFUNCTION("""COMPUTED_VALUE"""),-0.0839949220694308)</f>
        <v>-8.3994922069430794E-2</v>
      </c>
      <c r="OP11" s="3">
        <f ca="1">IFERROR(__xludf.DUMMYFUNCTION("""COMPUTED_VALUE"""),0.0440253062657498)</f>
        <v>4.4025306265749797E-2</v>
      </c>
      <c r="OQ11" s="3">
        <f ca="1">IFERROR(__xludf.DUMMYFUNCTION("""COMPUTED_VALUE"""),0.0656876455164319)</f>
        <v>6.56876455164319E-2</v>
      </c>
      <c r="OR11" s="3">
        <f ca="1">IFERROR(__xludf.DUMMYFUNCTION("""COMPUTED_VALUE"""),-0.071235432575447)</f>
        <v>-7.1235432575446997E-2</v>
      </c>
      <c r="OS11" s="3">
        <f ca="1">IFERROR(__xludf.DUMMYFUNCTION("""COMPUTED_VALUE"""),-0.032599972886786)</f>
        <v>-3.2599972886785997E-2</v>
      </c>
      <c r="OT11" s="3">
        <f ca="1">IFERROR(__xludf.DUMMYFUNCTION("""COMPUTED_VALUE"""),0.0652377389053928)</f>
        <v>6.5237738905392806E-2</v>
      </c>
      <c r="OU11" s="3">
        <f ca="1">IFERROR(__xludf.DUMMYFUNCTION("""COMPUTED_VALUE"""),-0.0520370040655924)</f>
        <v>-5.2037004065592397E-2</v>
      </c>
      <c r="OV11" s="3">
        <f ca="1">IFERROR(__xludf.DUMMYFUNCTION("""COMPUTED_VALUE"""),-0.0687538897695932)</f>
        <v>-6.8753889769593193E-2</v>
      </c>
      <c r="OW11" s="3">
        <f ca="1">IFERROR(__xludf.DUMMYFUNCTION("""COMPUTED_VALUE"""),-0.03937582349647)</f>
        <v>-3.9375823496470001E-2</v>
      </c>
      <c r="OX11" s="3">
        <f ca="1">IFERROR(__xludf.DUMMYFUNCTION("""COMPUTED_VALUE"""),0.0180337164613662)</f>
        <v>1.80337164613662E-2</v>
      </c>
      <c r="OY11" s="3">
        <f ca="1">IFERROR(__xludf.DUMMYFUNCTION("""COMPUTED_VALUE"""),0.12667783619389)</f>
        <v>0.12667783619389</v>
      </c>
      <c r="OZ11" s="3">
        <f ca="1">IFERROR(__xludf.DUMMYFUNCTION("""COMPUTED_VALUE"""),-0.0242827685229599)</f>
        <v>-2.4282768522959901E-2</v>
      </c>
      <c r="PA11" s="3">
        <f ca="1">IFERROR(__xludf.DUMMYFUNCTION("""COMPUTED_VALUE"""),0.0501203899718953)</f>
        <v>5.0120389971895302E-2</v>
      </c>
      <c r="PB11" s="3">
        <f ca="1">IFERROR(__xludf.DUMMYFUNCTION("""COMPUTED_VALUE"""),-0.0499389476165581)</f>
        <v>-4.9938947616558101E-2</v>
      </c>
      <c r="PC11" s="3">
        <f ca="1">IFERROR(__xludf.DUMMYFUNCTION("""COMPUTED_VALUE"""),0.0851427953048757)</f>
        <v>8.5142795304875701E-2</v>
      </c>
      <c r="PD11" s="3">
        <f ca="1">IFERROR(__xludf.DUMMYFUNCTION("""COMPUTED_VALUE"""),-0.014499529485161)</f>
        <v>-1.4499529485161E-2</v>
      </c>
      <c r="PE11" s="3">
        <f ca="1">IFERROR(__xludf.DUMMYFUNCTION("""COMPUTED_VALUE"""),-0.0300383331009844)</f>
        <v>-3.0038333100984398E-2</v>
      </c>
      <c r="PF11" s="3">
        <f ca="1">IFERROR(__xludf.DUMMYFUNCTION("""COMPUTED_VALUE"""),0.28928666539071)</f>
        <v>0.28928666539071002</v>
      </c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</row>
    <row r="12" spans="1:594" ht="15.75" customHeight="1">
      <c r="A12" s="1" t="str">
        <f ca="1">IFERROR(__xludf.DUMMYFUNCTION("""COMPUTED_VALUE"""),"Central Fraser Valley")</f>
        <v>Central Fraser Valley</v>
      </c>
      <c r="B12" s="3">
        <f ca="1">IFERROR(__xludf.DUMMYFUNCTION("""COMPUTED_VALUE"""),-0.565767910998121)</f>
        <v>-0.56576791099812096</v>
      </c>
      <c r="C12" s="3">
        <f ca="1">IFERROR(__xludf.DUMMYFUNCTION("""COMPUTED_VALUE"""),-0.532399852512262)</f>
        <v>-0.53239985251226196</v>
      </c>
      <c r="D12" s="3">
        <f ca="1">IFERROR(__xludf.DUMMYFUNCTION("""COMPUTED_VALUE"""),-0.516471361023691)</f>
        <v>-0.51647136102369096</v>
      </c>
      <c r="E12" s="3">
        <f ca="1">IFERROR(__xludf.DUMMYFUNCTION("""COMPUTED_VALUE"""),-0.567987316969337)</f>
        <v>-0.56798731696933702</v>
      </c>
      <c r="F12" s="3">
        <f ca="1">IFERROR(__xludf.DUMMYFUNCTION("""COMPUTED_VALUE"""),-0.527502590283932)</f>
        <v>-0.52750259028393198</v>
      </c>
      <c r="G12" s="3">
        <f ca="1">IFERROR(__xludf.DUMMYFUNCTION("""COMPUTED_VALUE"""),-0.501556842669852)</f>
        <v>-0.50155684266985201</v>
      </c>
      <c r="H12" s="3">
        <f ca="1">IFERROR(__xludf.DUMMYFUNCTION("""COMPUTED_VALUE"""),-0.567955955052329)</f>
        <v>-0.56795595505232899</v>
      </c>
      <c r="I12" s="3">
        <f ca="1">IFERROR(__xludf.DUMMYFUNCTION("""COMPUTED_VALUE"""),-0.489481800665739)</f>
        <v>-0.48948180066573899</v>
      </c>
      <c r="J12" s="3">
        <f ca="1">IFERROR(__xludf.DUMMYFUNCTION("""COMPUTED_VALUE"""),-0.524842970529348)</f>
        <v>-0.52484297052934803</v>
      </c>
      <c r="K12" s="3">
        <f ca="1">IFERROR(__xludf.DUMMYFUNCTION("""COMPUTED_VALUE"""),-0.537038102051873)</f>
        <v>-0.53703810205187297</v>
      </c>
      <c r="L12" s="3">
        <f ca="1">IFERROR(__xludf.DUMMYFUNCTION("""COMPUTED_VALUE"""),-0.522733191023991)</f>
        <v>-0.52273319102399096</v>
      </c>
      <c r="M12" s="3">
        <f ca="1">IFERROR(__xludf.DUMMYFUNCTION("""COMPUTED_VALUE"""),-0.509901580233852)</f>
        <v>-0.50990158023385201</v>
      </c>
      <c r="N12" s="3">
        <f ca="1">IFERROR(__xludf.DUMMYFUNCTION("""COMPUTED_VALUE"""),-0.553878374560837)</f>
        <v>-0.55387837456083699</v>
      </c>
      <c r="O12" s="3">
        <f ca="1">IFERROR(__xludf.DUMMYFUNCTION("""COMPUTED_VALUE"""),-0.570975115095565)</f>
        <v>-0.57097511509556498</v>
      </c>
      <c r="P12" s="3">
        <f ca="1">IFERROR(__xludf.DUMMYFUNCTION("""COMPUTED_VALUE"""),-0.512586201307741)</f>
        <v>-0.51258620130774102</v>
      </c>
      <c r="Q12" s="3">
        <f ca="1">IFERROR(__xludf.DUMMYFUNCTION("""COMPUTED_VALUE"""),-0.532228009191544)</f>
        <v>-0.532228009191544</v>
      </c>
      <c r="R12" s="3">
        <f ca="1">IFERROR(__xludf.DUMMYFUNCTION("""COMPUTED_VALUE"""),-0.515248971648455)</f>
        <v>-0.51524897164845496</v>
      </c>
      <c r="S12" s="3">
        <f ca="1">IFERROR(__xludf.DUMMYFUNCTION("""COMPUTED_VALUE"""),-0.56828791508171)</f>
        <v>-0.56828791508170995</v>
      </c>
      <c r="T12" s="3">
        <f ca="1">IFERROR(__xludf.DUMMYFUNCTION("""COMPUTED_VALUE"""),-0.564928186758727)</f>
        <v>-0.56492818675872702</v>
      </c>
      <c r="U12" s="3">
        <f ca="1">IFERROR(__xludf.DUMMYFUNCTION("""COMPUTED_VALUE"""),-0.585699417728895)</f>
        <v>-0.585699417728895</v>
      </c>
      <c r="V12" s="3">
        <f ca="1">IFERROR(__xludf.DUMMYFUNCTION("""COMPUTED_VALUE"""),-0.618662309410784)</f>
        <v>-0.61866230941078404</v>
      </c>
      <c r="W12" s="3">
        <f ca="1">IFERROR(__xludf.DUMMYFUNCTION("""COMPUTED_VALUE"""),-0.582695777402017)</f>
        <v>-0.58269577740201695</v>
      </c>
      <c r="X12" s="3">
        <f ca="1">IFERROR(__xludf.DUMMYFUNCTION("""COMPUTED_VALUE"""),-0.531176227383647)</f>
        <v>-0.531176227383647</v>
      </c>
      <c r="Y12" s="3">
        <f ca="1">IFERROR(__xludf.DUMMYFUNCTION("""COMPUTED_VALUE"""),-0.57725664303395)</f>
        <v>-0.57725664303394997</v>
      </c>
      <c r="Z12" s="3">
        <f ca="1">IFERROR(__xludf.DUMMYFUNCTION("""COMPUTED_VALUE"""),-0.508444717617992)</f>
        <v>-0.50844471761799204</v>
      </c>
      <c r="AA12" s="3">
        <f ca="1">IFERROR(__xludf.DUMMYFUNCTION("""COMPUTED_VALUE"""),-0.500184064232018)</f>
        <v>-0.500184064232018</v>
      </c>
      <c r="AB12" s="3">
        <f ca="1">IFERROR(__xludf.DUMMYFUNCTION("""COMPUTED_VALUE"""),-0.547876764417687)</f>
        <v>-0.54787676441768696</v>
      </c>
      <c r="AC12" s="3">
        <f ca="1">IFERROR(__xludf.DUMMYFUNCTION("""COMPUTED_VALUE"""),-0.623495141446471)</f>
        <v>-0.623495141446471</v>
      </c>
      <c r="AD12" s="3">
        <f ca="1">IFERROR(__xludf.DUMMYFUNCTION("""COMPUTED_VALUE"""),-0.555577230472945)</f>
        <v>-0.55557723047294505</v>
      </c>
      <c r="AE12" s="3">
        <f ca="1">IFERROR(__xludf.DUMMYFUNCTION("""COMPUTED_VALUE"""),-0.56397921345483)</f>
        <v>-0.56397921345483004</v>
      </c>
      <c r="AF12" s="3">
        <f ca="1">IFERROR(__xludf.DUMMYFUNCTION("""COMPUTED_VALUE"""),-0.533345058013244)</f>
        <v>-0.53334505801324394</v>
      </c>
      <c r="AG12" s="3">
        <f ca="1">IFERROR(__xludf.DUMMYFUNCTION("""COMPUTED_VALUE"""),-0.540901411566448)</f>
        <v>-0.540901411566448</v>
      </c>
      <c r="AH12" s="3">
        <f ca="1">IFERROR(__xludf.DUMMYFUNCTION("""COMPUTED_VALUE"""),-0.551136675868089)</f>
        <v>-0.55113667586808901</v>
      </c>
      <c r="AI12" s="3">
        <f ca="1">IFERROR(__xludf.DUMMYFUNCTION("""COMPUTED_VALUE"""),-0.551597691502558)</f>
        <v>-0.551597691502558</v>
      </c>
      <c r="AJ12" s="3">
        <f ca="1">IFERROR(__xludf.DUMMYFUNCTION("""COMPUTED_VALUE"""),-0.590716305160539)</f>
        <v>-0.59071630516053897</v>
      </c>
      <c r="AK12" s="3">
        <f ca="1">IFERROR(__xludf.DUMMYFUNCTION("""COMPUTED_VALUE"""),-0.573995972363741)</f>
        <v>-0.573995972363741</v>
      </c>
      <c r="AL12" s="3">
        <f ca="1">IFERROR(__xludf.DUMMYFUNCTION("""COMPUTED_VALUE"""),-0.544641811622674)</f>
        <v>-0.544641811622674</v>
      </c>
      <c r="AM12" s="3">
        <f ca="1">IFERROR(__xludf.DUMMYFUNCTION("""COMPUTED_VALUE"""),-0.53524458906108)</f>
        <v>-0.53524458906107997</v>
      </c>
      <c r="AN12" s="3">
        <f ca="1">IFERROR(__xludf.DUMMYFUNCTION("""COMPUTED_VALUE"""),-0.562459880868978)</f>
        <v>-0.56245988086897802</v>
      </c>
      <c r="AO12" s="3">
        <f ca="1">IFERROR(__xludf.DUMMYFUNCTION("""COMPUTED_VALUE"""),-0.535969887970656)</f>
        <v>-0.53596988797065603</v>
      </c>
      <c r="AP12" s="3">
        <f ca="1">IFERROR(__xludf.DUMMYFUNCTION("""COMPUTED_VALUE"""),-0.521635545912479)</f>
        <v>-0.52163554591247896</v>
      </c>
      <c r="AQ12" s="3">
        <f ca="1">IFERROR(__xludf.DUMMYFUNCTION("""COMPUTED_VALUE"""),-0.541818783375333)</f>
        <v>-0.54181878337533296</v>
      </c>
      <c r="AR12" s="3">
        <f ca="1">IFERROR(__xludf.DUMMYFUNCTION("""COMPUTED_VALUE"""),-0.52980785681807)</f>
        <v>-0.52980785681806997</v>
      </c>
      <c r="AS12" s="3">
        <f ca="1">IFERROR(__xludf.DUMMYFUNCTION("""COMPUTED_VALUE"""),-0.529717697075777)</f>
        <v>-0.52971769707577698</v>
      </c>
      <c r="AT12" s="3">
        <f ca="1">IFERROR(__xludf.DUMMYFUNCTION("""COMPUTED_VALUE"""),-0.540253241476988)</f>
        <v>-0.54025324147698806</v>
      </c>
      <c r="AU12" s="3">
        <f ca="1">IFERROR(__xludf.DUMMYFUNCTION("""COMPUTED_VALUE"""),-0.544073787922402)</f>
        <v>-0.54407378792240202</v>
      </c>
      <c r="AV12" s="3">
        <f ca="1">IFERROR(__xludf.DUMMYFUNCTION("""COMPUTED_VALUE"""),-0.520704429655682)</f>
        <v>-0.52070442965568198</v>
      </c>
      <c r="AW12" s="3">
        <f ca="1">IFERROR(__xludf.DUMMYFUNCTION("""COMPUTED_VALUE"""),-0.599521114136963)</f>
        <v>-0.59952111413696296</v>
      </c>
      <c r="AX12" s="3">
        <f ca="1">IFERROR(__xludf.DUMMYFUNCTION("""COMPUTED_VALUE"""),-0.612370461871116)</f>
        <v>-0.61237046187111599</v>
      </c>
      <c r="AY12" s="3">
        <f ca="1">IFERROR(__xludf.DUMMYFUNCTION("""COMPUTED_VALUE"""),-0.543825488601149)</f>
        <v>-0.54382548860114899</v>
      </c>
      <c r="AZ12" s="3">
        <f ca="1">IFERROR(__xludf.DUMMYFUNCTION("""COMPUTED_VALUE"""),-0.530656728373563)</f>
        <v>-0.53065672837356304</v>
      </c>
      <c r="BA12" s="3">
        <f ca="1">IFERROR(__xludf.DUMMYFUNCTION("""COMPUTED_VALUE"""),-0.55928976431054)</f>
        <v>-0.55928976431054001</v>
      </c>
      <c r="BB12" s="3">
        <f ca="1">IFERROR(__xludf.DUMMYFUNCTION("""COMPUTED_VALUE"""),-0.473182513187892)</f>
        <v>-0.47318251318789201</v>
      </c>
      <c r="BC12" s="3">
        <f ca="1">IFERROR(__xludf.DUMMYFUNCTION("""COMPUTED_VALUE"""),-0.441978836780164)</f>
        <v>-0.44197883678016398</v>
      </c>
      <c r="BD12" s="3">
        <f ca="1">IFERROR(__xludf.DUMMYFUNCTION("""COMPUTED_VALUE"""),-0.55518460739542)</f>
        <v>-0.55518460739541997</v>
      </c>
      <c r="BE12" s="3">
        <f ca="1">IFERROR(__xludf.DUMMYFUNCTION("""COMPUTED_VALUE"""),-0.554596678158161)</f>
        <v>-0.55459667815816105</v>
      </c>
      <c r="BF12" s="3">
        <f ca="1">IFERROR(__xludf.DUMMYFUNCTION("""COMPUTED_VALUE"""),-0.595744885464348)</f>
        <v>-0.59574488546434801</v>
      </c>
      <c r="BG12" s="3">
        <f ca="1">IFERROR(__xludf.DUMMYFUNCTION("""COMPUTED_VALUE"""),-0.653416713482793)</f>
        <v>-0.65341671348279295</v>
      </c>
      <c r="BH12" s="3">
        <f ca="1">IFERROR(__xludf.DUMMYFUNCTION("""COMPUTED_VALUE"""),-0.674682425716919)</f>
        <v>-0.67468242571691905</v>
      </c>
      <c r="BI12" s="3">
        <f ca="1">IFERROR(__xludf.DUMMYFUNCTION("""COMPUTED_VALUE"""),-0.634443871109387)</f>
        <v>-0.63444387110938705</v>
      </c>
      <c r="BJ12" s="3">
        <f ca="1">IFERROR(__xludf.DUMMYFUNCTION("""COMPUTED_VALUE"""),-0.644888681999153)</f>
        <v>-0.64488868199915295</v>
      </c>
      <c r="BK12" s="3">
        <f ca="1">IFERROR(__xludf.DUMMYFUNCTION("""COMPUTED_VALUE"""),-0.540208636822621)</f>
        <v>-0.54020863682262099</v>
      </c>
      <c r="BL12" s="3">
        <f ca="1">IFERROR(__xludf.DUMMYFUNCTION("""COMPUTED_VALUE"""),-0.566980534972616)</f>
        <v>-0.56698053497261602</v>
      </c>
      <c r="BM12" s="3">
        <f ca="1">IFERROR(__xludf.DUMMYFUNCTION("""COMPUTED_VALUE"""),-0.534681804619391)</f>
        <v>-0.53468180461939097</v>
      </c>
      <c r="BN12" s="3">
        <f ca="1">IFERROR(__xludf.DUMMYFUNCTION("""COMPUTED_VALUE"""),-0.643091929405703)</f>
        <v>-0.64309192940570303</v>
      </c>
      <c r="BO12" s="3">
        <f ca="1">IFERROR(__xludf.DUMMYFUNCTION("""COMPUTED_VALUE"""),-0.66389167999108)</f>
        <v>-0.66389167999108001</v>
      </c>
      <c r="BP12" s="3">
        <f ca="1">IFERROR(__xludf.DUMMYFUNCTION("""COMPUTED_VALUE"""),-0.604903677010361)</f>
        <v>-0.60490367701036096</v>
      </c>
      <c r="BQ12" s="3">
        <f ca="1">IFERROR(__xludf.DUMMYFUNCTION("""COMPUTED_VALUE"""),-0.607885273653441)</f>
        <v>-0.60788527365344103</v>
      </c>
      <c r="BR12" s="3">
        <f ca="1">IFERROR(__xludf.DUMMYFUNCTION("""COMPUTED_VALUE"""),-0.587114890331576)</f>
        <v>-0.58711489033157604</v>
      </c>
      <c r="BS12" s="3">
        <f ca="1">IFERROR(__xludf.DUMMYFUNCTION("""COMPUTED_VALUE"""),-0.56148443000334)</f>
        <v>-0.56148443000334003</v>
      </c>
      <c r="BT12" s="3">
        <f ca="1">IFERROR(__xludf.DUMMYFUNCTION("""COMPUTED_VALUE"""),-0.525165999502778)</f>
        <v>-0.52516599950277798</v>
      </c>
      <c r="BU12" s="3">
        <f ca="1">IFERROR(__xludf.DUMMYFUNCTION("""COMPUTED_VALUE"""),-0.611204383876988)</f>
        <v>-0.61120438387698806</v>
      </c>
      <c r="BV12" s="3">
        <f ca="1">IFERROR(__xludf.DUMMYFUNCTION("""COMPUTED_VALUE"""),-0.632004095892058)</f>
        <v>-0.63200409589205797</v>
      </c>
      <c r="BW12" s="3">
        <f ca="1">IFERROR(__xludf.DUMMYFUNCTION("""COMPUTED_VALUE"""),-0.637433231320914)</f>
        <v>-0.63743323132091401</v>
      </c>
      <c r="BX12" s="3">
        <f ca="1">IFERROR(__xludf.DUMMYFUNCTION("""COMPUTED_VALUE"""),-0.629457018333001)</f>
        <v>-0.62945701833300105</v>
      </c>
      <c r="BY12" s="3">
        <f ca="1">IFERROR(__xludf.DUMMYFUNCTION("""COMPUTED_VALUE"""),-0.616860455875101)</f>
        <v>-0.61686045587510097</v>
      </c>
      <c r="BZ12" s="3">
        <f ca="1">IFERROR(__xludf.DUMMYFUNCTION("""COMPUTED_VALUE"""),-0.594916663652877)</f>
        <v>-0.59491666365287699</v>
      </c>
      <c r="CA12" s="3">
        <f ca="1">IFERROR(__xludf.DUMMYFUNCTION("""COMPUTED_VALUE"""),-0.47975766994159)</f>
        <v>-0.47975766994159003</v>
      </c>
      <c r="CB12" s="3">
        <f ca="1">IFERROR(__xludf.DUMMYFUNCTION("""COMPUTED_VALUE"""),-0.566544314374672)</f>
        <v>-0.56654431437467201</v>
      </c>
      <c r="CC12" s="3">
        <f ca="1">IFERROR(__xludf.DUMMYFUNCTION("""COMPUTED_VALUE"""),-0.538753760234372)</f>
        <v>-0.53875376023437205</v>
      </c>
      <c r="CD12" s="3">
        <f ca="1">IFERROR(__xludf.DUMMYFUNCTION("""COMPUTED_VALUE"""),-0.596354662331844)</f>
        <v>-0.59635466233184398</v>
      </c>
      <c r="CE12" s="3">
        <f ca="1">IFERROR(__xludf.DUMMYFUNCTION("""COMPUTED_VALUE"""),-0.650539491529964)</f>
        <v>-0.65053949152996404</v>
      </c>
      <c r="CF12" s="3">
        <f ca="1">IFERROR(__xludf.DUMMYFUNCTION("""COMPUTED_VALUE"""),-0.599835106006678)</f>
        <v>-0.599835106006678</v>
      </c>
      <c r="CG12" s="3">
        <f ca="1">IFERROR(__xludf.DUMMYFUNCTION("""COMPUTED_VALUE"""),-0.520604962774518)</f>
        <v>-0.52060496277451795</v>
      </c>
      <c r="CH12" s="3">
        <f ca="1">IFERROR(__xludf.DUMMYFUNCTION("""COMPUTED_VALUE"""),-0.522166569366879)</f>
        <v>-0.522166569366879</v>
      </c>
      <c r="CI12" s="3">
        <f ca="1">IFERROR(__xludf.DUMMYFUNCTION("""COMPUTED_VALUE"""),-0.595262847057805)</f>
        <v>-0.59526284705780497</v>
      </c>
      <c r="CJ12" s="3">
        <f ca="1">IFERROR(__xludf.DUMMYFUNCTION("""COMPUTED_VALUE"""),-0.597578955567212)</f>
        <v>-0.59757895556721197</v>
      </c>
      <c r="CK12" s="3">
        <f ca="1">IFERROR(__xludf.DUMMYFUNCTION("""COMPUTED_VALUE"""),-0.58806631699262)</f>
        <v>-0.58806631699262002</v>
      </c>
      <c r="CL12" s="3">
        <f ca="1">IFERROR(__xludf.DUMMYFUNCTION("""COMPUTED_VALUE"""),-0.67073291166762)</f>
        <v>-0.67073291166761995</v>
      </c>
      <c r="CM12" s="3">
        <f ca="1">IFERROR(__xludf.DUMMYFUNCTION("""COMPUTED_VALUE"""),-0.622496658142473)</f>
        <v>-0.62249665814247301</v>
      </c>
      <c r="CN12" s="3">
        <f ca="1">IFERROR(__xludf.DUMMYFUNCTION("""COMPUTED_VALUE"""),-0.544962346244706)</f>
        <v>-0.54496234624470596</v>
      </c>
      <c r="CO12" s="3">
        <f ca="1">IFERROR(__xludf.DUMMYFUNCTION("""COMPUTED_VALUE"""),-0.509025669305887)</f>
        <v>-0.509025669305887</v>
      </c>
      <c r="CP12" s="3">
        <f ca="1">IFERROR(__xludf.DUMMYFUNCTION("""COMPUTED_VALUE"""),-0.601733197080401)</f>
        <v>-0.60173319708040096</v>
      </c>
      <c r="CQ12" s="3">
        <f ca="1">IFERROR(__xludf.DUMMYFUNCTION("""COMPUTED_VALUE"""),-0.560549314851178)</f>
        <v>-0.56054931485117798</v>
      </c>
      <c r="CR12" s="3">
        <f ca="1">IFERROR(__xludf.DUMMYFUNCTION("""COMPUTED_VALUE"""),-0.496439072783714)</f>
        <v>-0.49643907278371402</v>
      </c>
      <c r="CS12" s="3">
        <f ca="1">IFERROR(__xludf.DUMMYFUNCTION("""COMPUTED_VALUE"""),-0.528301390385462)</f>
        <v>-0.52830139038546198</v>
      </c>
      <c r="CT12" s="3">
        <f ca="1">IFERROR(__xludf.DUMMYFUNCTION("""COMPUTED_VALUE"""),-0.550661571451685)</f>
        <v>-0.55066157145168504</v>
      </c>
      <c r="CU12" s="3">
        <f ca="1">IFERROR(__xludf.DUMMYFUNCTION("""COMPUTED_VALUE"""),-0.57132529325876)</f>
        <v>-0.57132529325876003</v>
      </c>
      <c r="CV12" s="3">
        <f ca="1">IFERROR(__xludf.DUMMYFUNCTION("""COMPUTED_VALUE"""),-0.593752164730978)</f>
        <v>-0.59375216473097803</v>
      </c>
      <c r="CW12" s="3">
        <f ca="1">IFERROR(__xludf.DUMMYFUNCTION("""COMPUTED_VALUE"""),-0.659605621791758)</f>
        <v>-0.65960562179175797</v>
      </c>
      <c r="CX12" s="3">
        <f ca="1">IFERROR(__xludf.DUMMYFUNCTION("""COMPUTED_VALUE"""),-0.586954350810292)</f>
        <v>-0.58695435081029201</v>
      </c>
      <c r="CY12" s="3">
        <f ca="1">IFERROR(__xludf.DUMMYFUNCTION("""COMPUTED_VALUE"""),-0.528916583325075)</f>
        <v>-0.52891658332507496</v>
      </c>
      <c r="CZ12" s="3">
        <f ca="1">IFERROR(__xludf.DUMMYFUNCTION("""COMPUTED_VALUE"""),-0.553683261387864)</f>
        <v>-0.55368326138786395</v>
      </c>
      <c r="DA12" s="3">
        <f ca="1">IFERROR(__xludf.DUMMYFUNCTION("""COMPUTED_VALUE"""),-0.593342223031693)</f>
        <v>-0.59334222303169304</v>
      </c>
      <c r="DB12" s="3">
        <f ca="1">IFERROR(__xludf.DUMMYFUNCTION("""COMPUTED_VALUE"""),-0.521916242557239)</f>
        <v>-0.52191624255723901</v>
      </c>
      <c r="DC12" s="3">
        <f ca="1">IFERROR(__xludf.DUMMYFUNCTION("""COMPUTED_VALUE"""),-0.532548712524871)</f>
        <v>-0.53254871252487102</v>
      </c>
      <c r="DD12" s="3">
        <f ca="1">IFERROR(__xludf.DUMMYFUNCTION("""COMPUTED_VALUE"""),-0.743461660459683)</f>
        <v>-0.74346166045968298</v>
      </c>
      <c r="DE12" s="3">
        <f ca="1">IFERROR(__xludf.DUMMYFUNCTION("""COMPUTED_VALUE"""),-0.575759055660088)</f>
        <v>-0.575759055660088</v>
      </c>
      <c r="DF12" s="3">
        <f ca="1">IFERROR(__xludf.DUMMYFUNCTION("""COMPUTED_VALUE"""),-0.350410055822057)</f>
        <v>-0.35041005582205698</v>
      </c>
      <c r="DG12" s="3">
        <f ca="1">IFERROR(__xludf.DUMMYFUNCTION("""COMPUTED_VALUE"""),-0.454377652402482)</f>
        <v>-0.45437765240248201</v>
      </c>
      <c r="DH12" s="3">
        <f ca="1">IFERROR(__xludf.DUMMYFUNCTION("""COMPUTED_VALUE"""),-0.517934777937189)</f>
        <v>-0.51793477793718901</v>
      </c>
      <c r="DI12" s="3">
        <f ca="1">IFERROR(__xludf.DUMMYFUNCTION("""COMPUTED_VALUE"""),-0.582911033429052)</f>
        <v>-0.58291103342905204</v>
      </c>
      <c r="DJ12" s="3">
        <f ca="1">IFERROR(__xludf.DUMMYFUNCTION("""COMPUTED_VALUE"""),-0.546490028056314)</f>
        <v>-0.54649002805631397</v>
      </c>
      <c r="DK12" s="3">
        <f ca="1">IFERROR(__xludf.DUMMYFUNCTION("""COMPUTED_VALUE"""),-0.529566442281293)</f>
        <v>-0.52956644228129301</v>
      </c>
      <c r="DL12" s="3">
        <f ca="1">IFERROR(__xludf.DUMMYFUNCTION("""COMPUTED_VALUE"""),-0.511203121116791)</f>
        <v>-0.511203121116791</v>
      </c>
      <c r="DM12" s="3">
        <f ca="1">IFERROR(__xludf.DUMMYFUNCTION("""COMPUTED_VALUE"""),-0.45472286430912)</f>
        <v>-0.45472286430912001</v>
      </c>
      <c r="DN12" s="3">
        <f ca="1">IFERROR(__xludf.DUMMYFUNCTION("""COMPUTED_VALUE"""),-0.529942336699051)</f>
        <v>-0.529942336699051</v>
      </c>
      <c r="DO12" s="3">
        <f ca="1">IFERROR(__xludf.DUMMYFUNCTION("""COMPUTED_VALUE"""),-0.605379329057157)</f>
        <v>-0.60537932905715697</v>
      </c>
      <c r="DP12" s="3">
        <f ca="1">IFERROR(__xludf.DUMMYFUNCTION("""COMPUTED_VALUE"""),-0.583271934804449)</f>
        <v>-0.58327193480444905</v>
      </c>
      <c r="DQ12" s="3">
        <f ca="1">IFERROR(__xludf.DUMMYFUNCTION("""COMPUTED_VALUE"""),-0.566121739631977)</f>
        <v>-0.56612173963197698</v>
      </c>
      <c r="DR12" s="3">
        <f ca="1">IFERROR(__xludf.DUMMYFUNCTION("""COMPUTED_VALUE"""),-0.549330837195527)</f>
        <v>-0.549330837195527</v>
      </c>
      <c r="DS12" s="3">
        <f ca="1">IFERROR(__xludf.DUMMYFUNCTION("""COMPUTED_VALUE"""),-0.482642356499022)</f>
        <v>-0.48264235649902198</v>
      </c>
      <c r="DT12" s="3">
        <f ca="1">IFERROR(__xludf.DUMMYFUNCTION("""COMPUTED_VALUE"""),-0.555164773919385)</f>
        <v>-0.55516477391938501</v>
      </c>
      <c r="DU12" s="3">
        <f ca="1">IFERROR(__xludf.DUMMYFUNCTION("""COMPUTED_VALUE"""),-0.587280422703155)</f>
        <v>-0.58728042270315495</v>
      </c>
      <c r="DV12" s="3">
        <f ca="1">IFERROR(__xludf.DUMMYFUNCTION("""COMPUTED_VALUE"""),-0.548273532020073)</f>
        <v>-0.54827353202007301</v>
      </c>
      <c r="DW12" s="3">
        <f ca="1">IFERROR(__xludf.DUMMYFUNCTION("""COMPUTED_VALUE"""),-0.546525689179684)</f>
        <v>-0.54652568917968403</v>
      </c>
      <c r="DX12" s="3">
        <f ca="1">IFERROR(__xludf.DUMMYFUNCTION("""COMPUTED_VALUE"""),-0.513858327693546)</f>
        <v>-0.513858327693546</v>
      </c>
      <c r="DY12" s="3">
        <f ca="1">IFERROR(__xludf.DUMMYFUNCTION("""COMPUTED_VALUE"""),-0.545446668809126)</f>
        <v>-0.54544666880912596</v>
      </c>
      <c r="DZ12" s="3">
        <f ca="1">IFERROR(__xludf.DUMMYFUNCTION("""COMPUTED_VALUE"""),-0.485619025781384)</f>
        <v>-0.48561902578138399</v>
      </c>
      <c r="EA12" s="3">
        <f ca="1">IFERROR(__xludf.DUMMYFUNCTION("""COMPUTED_VALUE"""),-0.554952048696399)</f>
        <v>-0.55495204869639903</v>
      </c>
      <c r="EB12" s="3">
        <f ca="1">IFERROR(__xludf.DUMMYFUNCTION("""COMPUTED_VALUE"""),-0.566160852193642)</f>
        <v>-0.56616085219364198</v>
      </c>
      <c r="EC12" s="3">
        <f ca="1">IFERROR(__xludf.DUMMYFUNCTION("""COMPUTED_VALUE"""),-0.573531989252715)</f>
        <v>-0.57353198925271498</v>
      </c>
      <c r="ED12" s="3">
        <f ca="1">IFERROR(__xludf.DUMMYFUNCTION("""COMPUTED_VALUE"""),-0.610381429080182)</f>
        <v>-0.610381429080182</v>
      </c>
      <c r="EE12" s="3">
        <f ca="1">IFERROR(__xludf.DUMMYFUNCTION("""COMPUTED_VALUE"""),-0.559493090251514)</f>
        <v>-0.55949309025151395</v>
      </c>
      <c r="EF12" s="3">
        <f ca="1">IFERROR(__xludf.DUMMYFUNCTION("""COMPUTED_VALUE"""),-0.503748931641038)</f>
        <v>-0.50374893164103796</v>
      </c>
      <c r="EG12" s="3">
        <f ca="1">IFERROR(__xludf.DUMMYFUNCTION("""COMPUTED_VALUE"""),-0.470091342225556)</f>
        <v>-0.47009134222555599</v>
      </c>
      <c r="EH12" s="3">
        <f ca="1">IFERROR(__xludf.DUMMYFUNCTION("""COMPUTED_VALUE"""),-0.593739215912185)</f>
        <v>-0.59373921591218504</v>
      </c>
      <c r="EI12" s="3">
        <f ca="1">IFERROR(__xludf.DUMMYFUNCTION("""COMPUTED_VALUE"""),-0.63474883103355)</f>
        <v>-0.63474883103354995</v>
      </c>
      <c r="EJ12" s="3">
        <f ca="1">IFERROR(__xludf.DUMMYFUNCTION("""COMPUTED_VALUE"""),-0.579610326128452)</f>
        <v>-0.57961032612845198</v>
      </c>
      <c r="EK12" s="3">
        <f ca="1">IFERROR(__xludf.DUMMYFUNCTION("""COMPUTED_VALUE"""),-0.549065164548584)</f>
        <v>-0.54906516454858401</v>
      </c>
      <c r="EL12" s="3">
        <f ca="1">IFERROR(__xludf.DUMMYFUNCTION("""COMPUTED_VALUE"""),-0.563499762298629)</f>
        <v>-0.56349976229862897</v>
      </c>
      <c r="EM12" s="3">
        <f ca="1">IFERROR(__xludf.DUMMYFUNCTION("""COMPUTED_VALUE"""),-0.594050785678841)</f>
        <v>-0.59405078567884095</v>
      </c>
      <c r="EN12" s="3">
        <f ca="1">IFERROR(__xludf.DUMMYFUNCTION("""COMPUTED_VALUE"""),-0.593270146910698)</f>
        <v>-0.59327014691069802</v>
      </c>
      <c r="EO12" s="3">
        <f ca="1">IFERROR(__xludf.DUMMYFUNCTION("""COMPUTED_VALUE"""),-0.555127402692944)</f>
        <v>-0.55512740269294403</v>
      </c>
      <c r="EP12" s="3">
        <f ca="1">IFERROR(__xludf.DUMMYFUNCTION("""COMPUTED_VALUE"""),-0.587858524861059)</f>
        <v>-0.58785852486105905</v>
      </c>
      <c r="EQ12" s="3">
        <f ca="1">IFERROR(__xludf.DUMMYFUNCTION("""COMPUTED_VALUE"""),-0.603515989389603)</f>
        <v>-0.60351598938960305</v>
      </c>
      <c r="ER12" s="3">
        <f ca="1">IFERROR(__xludf.DUMMYFUNCTION("""COMPUTED_VALUE"""),-0.588638161171894)</f>
        <v>-0.58863816117189405</v>
      </c>
      <c r="ES12" s="3">
        <f ca="1">IFERROR(__xludf.DUMMYFUNCTION("""COMPUTED_VALUE"""),-0.592886655822244)</f>
        <v>-0.59288665582224398</v>
      </c>
      <c r="ET12" s="3">
        <f ca="1">IFERROR(__xludf.DUMMYFUNCTION("""COMPUTED_VALUE"""),-0.589848907551652)</f>
        <v>-0.58984890755165198</v>
      </c>
      <c r="EU12" s="3">
        <f ca="1">IFERROR(__xludf.DUMMYFUNCTION("""COMPUTED_VALUE"""),-0.574382926751209)</f>
        <v>-0.57438292675120906</v>
      </c>
      <c r="EV12" s="3">
        <f ca="1">IFERROR(__xludf.DUMMYFUNCTION("""COMPUTED_VALUE"""),-0.614340557213925)</f>
        <v>-0.614340557213925</v>
      </c>
      <c r="EW12" s="3">
        <f ca="1">IFERROR(__xludf.DUMMYFUNCTION("""COMPUTED_VALUE"""),-0.591500205177188)</f>
        <v>-0.59150020517718804</v>
      </c>
      <c r="EX12" s="3">
        <f ca="1">IFERROR(__xludf.DUMMYFUNCTION("""COMPUTED_VALUE"""),-0.566653769412593)</f>
        <v>-0.56665376941259304</v>
      </c>
      <c r="EY12" s="3">
        <f ca="1">IFERROR(__xludf.DUMMYFUNCTION("""COMPUTED_VALUE"""),-0.531884770512822)</f>
        <v>-0.53188477051282201</v>
      </c>
      <c r="EZ12" s="3">
        <f ca="1">IFERROR(__xludf.DUMMYFUNCTION("""COMPUTED_VALUE"""),-0.516703575256342)</f>
        <v>-0.51670357525634203</v>
      </c>
      <c r="FA12" s="3">
        <f ca="1">IFERROR(__xludf.DUMMYFUNCTION("""COMPUTED_VALUE"""),-0.516962119008599)</f>
        <v>-0.51696211900859901</v>
      </c>
      <c r="FB12" s="3">
        <f ca="1">IFERROR(__xludf.DUMMYFUNCTION("""COMPUTED_VALUE"""),-0.542255346957803)</f>
        <v>-0.54225534695780298</v>
      </c>
      <c r="FC12" s="3">
        <f ca="1">IFERROR(__xludf.DUMMYFUNCTION("""COMPUTED_VALUE"""),-0.586579012154823)</f>
        <v>-0.586579012154823</v>
      </c>
      <c r="FD12" s="3">
        <f ca="1">IFERROR(__xludf.DUMMYFUNCTION("""COMPUTED_VALUE"""),-0.578187060373299)</f>
        <v>-0.57818706037329903</v>
      </c>
      <c r="FE12" s="3">
        <f ca="1">IFERROR(__xludf.DUMMYFUNCTION("""COMPUTED_VALUE"""),-0.516094887751019)</f>
        <v>-0.51609488775101897</v>
      </c>
      <c r="FF12" s="3">
        <f ca="1">IFERROR(__xludf.DUMMYFUNCTION("""COMPUTED_VALUE"""),-0.483631716070138)</f>
        <v>-0.483631716070138</v>
      </c>
      <c r="FG12" s="3">
        <f ca="1">IFERROR(__xludf.DUMMYFUNCTION("""COMPUTED_VALUE"""),-0.518330556031971)</f>
        <v>-0.51833055603197098</v>
      </c>
      <c r="FH12" s="3">
        <f ca="1">IFERROR(__xludf.DUMMYFUNCTION("""COMPUTED_VALUE"""),-0.497858249712874)</f>
        <v>-0.49785824971287401</v>
      </c>
      <c r="FI12" s="3">
        <f ca="1">IFERROR(__xludf.DUMMYFUNCTION("""COMPUTED_VALUE"""),-0.568120865031822)</f>
        <v>-0.56812086503182202</v>
      </c>
      <c r="FJ12" s="3">
        <f ca="1">IFERROR(__xludf.DUMMYFUNCTION("""COMPUTED_VALUE"""),-0.536572468011096)</f>
        <v>-0.53657246801109604</v>
      </c>
      <c r="FK12" s="3">
        <f ca="1">IFERROR(__xludf.DUMMYFUNCTION("""COMPUTED_VALUE"""),-0.500385202144601)</f>
        <v>-0.50038520214460103</v>
      </c>
      <c r="FL12" s="3">
        <f ca="1">IFERROR(__xludf.DUMMYFUNCTION("""COMPUTED_VALUE"""),-0.515163667325875)</f>
        <v>-0.51516366732587504</v>
      </c>
      <c r="FM12" s="3">
        <f ca="1">IFERROR(__xludf.DUMMYFUNCTION("""COMPUTED_VALUE"""),-0.437137327075998)</f>
        <v>-0.43713732707599801</v>
      </c>
      <c r="FN12" s="3">
        <f ca="1">IFERROR(__xludf.DUMMYFUNCTION("""COMPUTED_VALUE"""),-0.471635574068751)</f>
        <v>-0.47163557406875101</v>
      </c>
      <c r="FO12" s="3">
        <f ca="1">IFERROR(__xludf.DUMMYFUNCTION("""COMPUTED_VALUE"""),-0.570494140641406)</f>
        <v>-0.57049414064140602</v>
      </c>
      <c r="FP12" s="3">
        <f ca="1">IFERROR(__xludf.DUMMYFUNCTION("""COMPUTED_VALUE"""),-0.495032103513997)</f>
        <v>-0.49503210351399701</v>
      </c>
      <c r="FQ12" s="3">
        <f ca="1">IFERROR(__xludf.DUMMYFUNCTION("""COMPUTED_VALUE"""),-0.520731964942599)</f>
        <v>-0.52073196494259899</v>
      </c>
      <c r="FR12" s="3">
        <f ca="1">IFERROR(__xludf.DUMMYFUNCTION("""COMPUTED_VALUE"""),-0.479519015225981)</f>
        <v>-0.479519015225981</v>
      </c>
      <c r="FS12" s="3">
        <f ca="1">IFERROR(__xludf.DUMMYFUNCTION("""COMPUTED_VALUE"""),-0.427259957583658)</f>
        <v>-0.42725995758365798</v>
      </c>
      <c r="FT12" s="3">
        <f ca="1">IFERROR(__xludf.DUMMYFUNCTION("""COMPUTED_VALUE"""),-0.465102184079503)</f>
        <v>-0.46510218407950299</v>
      </c>
      <c r="FU12" s="3">
        <f ca="1">IFERROR(__xludf.DUMMYFUNCTION("""COMPUTED_VALUE"""),-0.444014924644689)</f>
        <v>-0.444014924644689</v>
      </c>
      <c r="FV12" s="3">
        <f ca="1">IFERROR(__xludf.DUMMYFUNCTION("""COMPUTED_VALUE"""),-0.554279364509415)</f>
        <v>-0.55427936450941495</v>
      </c>
      <c r="FW12" s="3">
        <f ca="1">IFERROR(__xludf.DUMMYFUNCTION("""COMPUTED_VALUE"""),-0.490384910904165)</f>
        <v>-0.49038491090416497</v>
      </c>
      <c r="FX12" s="3">
        <f ca="1">IFERROR(__xludf.DUMMYFUNCTION("""COMPUTED_VALUE"""),-0.565723786917674)</f>
        <v>-0.565723786917674</v>
      </c>
      <c r="FY12" s="3">
        <f ca="1">IFERROR(__xludf.DUMMYFUNCTION("""COMPUTED_VALUE"""),-0.529411155545261)</f>
        <v>-0.52941115554526097</v>
      </c>
      <c r="FZ12" s="3">
        <f ca="1">IFERROR(__xludf.DUMMYFUNCTION("""COMPUTED_VALUE"""),-0.467550411024411)</f>
        <v>-0.46755041102441097</v>
      </c>
      <c r="GA12" s="3">
        <f ca="1">IFERROR(__xludf.DUMMYFUNCTION("""COMPUTED_VALUE"""),-0.420331981064635)</f>
        <v>-0.42033198106463499</v>
      </c>
      <c r="GB12" s="3">
        <f ca="1">IFERROR(__xludf.DUMMYFUNCTION("""COMPUTED_VALUE"""),-0.529513022332768)</f>
        <v>-0.52951302233276798</v>
      </c>
      <c r="GC12" s="3">
        <f ca="1">IFERROR(__xludf.DUMMYFUNCTION("""COMPUTED_VALUE"""),-0.516396720979631)</f>
        <v>-0.51639672097963096</v>
      </c>
      <c r="GD12" s="3">
        <f ca="1">IFERROR(__xludf.DUMMYFUNCTION("""COMPUTED_VALUE"""),-0.481462097816136)</f>
        <v>-0.48146209781613603</v>
      </c>
      <c r="GE12" s="3">
        <f ca="1">IFERROR(__xludf.DUMMYFUNCTION("""COMPUTED_VALUE"""),-0.488209927250869)</f>
        <v>-0.48820992725086898</v>
      </c>
      <c r="GF12" s="3">
        <f ca="1">IFERROR(__xludf.DUMMYFUNCTION("""COMPUTED_VALUE"""),-0.511070629002423)</f>
        <v>-0.51107062900242295</v>
      </c>
      <c r="GG12" s="3">
        <f ca="1">IFERROR(__xludf.DUMMYFUNCTION("""COMPUTED_VALUE"""),-0.50085895534554)</f>
        <v>-0.50085895534554004</v>
      </c>
      <c r="GH12" s="3">
        <f ca="1">IFERROR(__xludf.DUMMYFUNCTION("""COMPUTED_VALUE"""),-0.486096301242312)</f>
        <v>-0.48609630124231201</v>
      </c>
      <c r="GI12" s="3">
        <f ca="1">IFERROR(__xludf.DUMMYFUNCTION("""COMPUTED_VALUE"""),-0.524408072505285)</f>
        <v>-0.52440807250528498</v>
      </c>
      <c r="GJ12" s="3">
        <f ca="1">IFERROR(__xludf.DUMMYFUNCTION("""COMPUTED_VALUE"""),-0.55745085889869)</f>
        <v>-0.55745085889868995</v>
      </c>
      <c r="GK12" s="3">
        <f ca="1">IFERROR(__xludf.DUMMYFUNCTION("""COMPUTED_VALUE"""),-0.482224338861903)</f>
        <v>-0.48222433886190302</v>
      </c>
      <c r="GL12" s="3">
        <f ca="1">IFERROR(__xludf.DUMMYFUNCTION("""COMPUTED_VALUE"""),-0.455375331797185)</f>
        <v>-0.45537533179718498</v>
      </c>
      <c r="GM12" s="3">
        <f ca="1">IFERROR(__xludf.DUMMYFUNCTION("""COMPUTED_VALUE"""),-0.481843740946436)</f>
        <v>-0.48184374094643601</v>
      </c>
      <c r="GN12" s="3">
        <f ca="1">IFERROR(__xludf.DUMMYFUNCTION("""COMPUTED_VALUE"""),-0.465709758725623)</f>
        <v>-0.46570975872562298</v>
      </c>
      <c r="GO12" s="3">
        <f ca="1">IFERROR(__xludf.DUMMYFUNCTION("""COMPUTED_VALUE"""),-0.431813039180311)</f>
        <v>-0.431813039180311</v>
      </c>
      <c r="GP12" s="3">
        <f ca="1">IFERROR(__xludf.DUMMYFUNCTION("""COMPUTED_VALUE"""),-0.525307780186851)</f>
        <v>-0.52530778018685098</v>
      </c>
      <c r="GQ12" s="3">
        <f ca="1">IFERROR(__xludf.DUMMYFUNCTION("""COMPUTED_VALUE"""),-0.513619238383683)</f>
        <v>-0.51361923838368295</v>
      </c>
      <c r="GR12" s="3">
        <f ca="1">IFERROR(__xludf.DUMMYFUNCTION("""COMPUTED_VALUE"""),-0.548137505800162)</f>
        <v>-0.54813750580016196</v>
      </c>
      <c r="GS12" s="3">
        <f ca="1">IFERROR(__xludf.DUMMYFUNCTION("""COMPUTED_VALUE"""),-0.498886940259274)</f>
        <v>-0.49888694025927399</v>
      </c>
      <c r="GT12" s="3">
        <f ca="1">IFERROR(__xludf.DUMMYFUNCTION("""COMPUTED_VALUE"""),-0.506434430611967)</f>
        <v>-0.50643443061196702</v>
      </c>
      <c r="GU12" s="3">
        <f ca="1">IFERROR(__xludf.DUMMYFUNCTION("""COMPUTED_VALUE"""),-0.527753988609294)</f>
        <v>-0.52775398860929401</v>
      </c>
      <c r="GV12" s="3">
        <f ca="1">IFERROR(__xludf.DUMMYFUNCTION("""COMPUTED_VALUE"""),-0.415462129652768)</f>
        <v>-0.41546212965276802</v>
      </c>
      <c r="GW12" s="3">
        <f ca="1">IFERROR(__xludf.DUMMYFUNCTION("""COMPUTED_VALUE"""),-0.456943413590686)</f>
        <v>-0.45694341359068602</v>
      </c>
      <c r="GX12" s="3">
        <f ca="1">IFERROR(__xludf.DUMMYFUNCTION("""COMPUTED_VALUE"""),-0.548100160759392)</f>
        <v>-0.54810016075939205</v>
      </c>
      <c r="GY12" s="3">
        <f ca="1">IFERROR(__xludf.DUMMYFUNCTION("""COMPUTED_VALUE"""),-0.522016633882834)</f>
        <v>-0.52201663388283404</v>
      </c>
      <c r="GZ12" s="3">
        <f ca="1">IFERROR(__xludf.DUMMYFUNCTION("""COMPUTED_VALUE"""),-0.494169550520774)</f>
        <v>-0.49416955052077399</v>
      </c>
      <c r="HA12" s="3">
        <f ca="1">IFERROR(__xludf.DUMMYFUNCTION("""COMPUTED_VALUE"""),-0.533842862047628)</f>
        <v>-0.53384286204762799</v>
      </c>
      <c r="HB12" s="3">
        <f ca="1">IFERROR(__xludf.DUMMYFUNCTION("""COMPUTED_VALUE"""),-0.53360703965164)</f>
        <v>-0.53360703965164002</v>
      </c>
      <c r="HC12" s="3">
        <f ca="1">IFERROR(__xludf.DUMMYFUNCTION("""COMPUTED_VALUE"""),-0.475193451437565)</f>
        <v>-0.47519345143756497</v>
      </c>
      <c r="HD12" s="3">
        <f ca="1">IFERROR(__xludf.DUMMYFUNCTION("""COMPUTED_VALUE"""),-0.524426433601974)</f>
        <v>-0.52442643360197405</v>
      </c>
      <c r="HE12" s="3">
        <f ca="1">IFERROR(__xludf.DUMMYFUNCTION("""COMPUTED_VALUE"""),-0.507594750354893)</f>
        <v>-0.50759475035489299</v>
      </c>
      <c r="HF12" s="3">
        <f ca="1">IFERROR(__xludf.DUMMYFUNCTION("""COMPUTED_VALUE"""),-0.499532520632913)</f>
        <v>-0.49953252063291298</v>
      </c>
      <c r="HG12" s="3">
        <f ca="1">IFERROR(__xludf.DUMMYFUNCTION("""COMPUTED_VALUE"""),-0.477420471723233)</f>
        <v>-0.47742047172323299</v>
      </c>
      <c r="HH12" s="3">
        <f ca="1">IFERROR(__xludf.DUMMYFUNCTION("""COMPUTED_VALUE"""),-0.461567658252641)</f>
        <v>-0.46156765825264101</v>
      </c>
      <c r="HI12" s="3">
        <f ca="1">IFERROR(__xludf.DUMMYFUNCTION("""COMPUTED_VALUE"""),-0.436496974549766)</f>
        <v>-0.43649697454976599</v>
      </c>
      <c r="HJ12" s="3">
        <f ca="1">IFERROR(__xludf.DUMMYFUNCTION("""COMPUTED_VALUE"""),-0.34205204617847)</f>
        <v>-0.34205204617847002</v>
      </c>
      <c r="HK12" s="3">
        <f ca="1">IFERROR(__xludf.DUMMYFUNCTION("""COMPUTED_VALUE"""),-0.418746789126281)</f>
        <v>-0.41874678912628099</v>
      </c>
      <c r="HL12" s="3">
        <f ca="1">IFERROR(__xludf.DUMMYFUNCTION("""COMPUTED_VALUE"""),-0.46622877408485)</f>
        <v>-0.46622877408484997</v>
      </c>
      <c r="HM12" s="3">
        <f ca="1">IFERROR(__xludf.DUMMYFUNCTION("""COMPUTED_VALUE"""),-0.513069206534546)</f>
        <v>-0.51306920653454602</v>
      </c>
      <c r="HN12" s="3">
        <f ca="1">IFERROR(__xludf.DUMMYFUNCTION("""COMPUTED_VALUE"""),-0.517434327557188)</f>
        <v>-0.51743432755718799</v>
      </c>
      <c r="HO12" s="3">
        <f ca="1">IFERROR(__xludf.DUMMYFUNCTION("""COMPUTED_VALUE"""),-0.451742181673273)</f>
        <v>-0.45174218167327301</v>
      </c>
      <c r="HP12" s="3">
        <f ca="1">IFERROR(__xludf.DUMMYFUNCTION("""COMPUTED_VALUE"""),-0.450005995608073)</f>
        <v>-0.45000599560807297</v>
      </c>
      <c r="HQ12" s="3">
        <f ca="1">IFERROR(__xludf.DUMMYFUNCTION("""COMPUTED_VALUE"""),-0.410321141301339)</f>
        <v>-0.41032114130133901</v>
      </c>
      <c r="HR12" s="3">
        <f ca="1">IFERROR(__xludf.DUMMYFUNCTION("""COMPUTED_VALUE"""),-0.412973545174543)</f>
        <v>-0.41297354517454299</v>
      </c>
      <c r="HS12" s="3">
        <f ca="1">IFERROR(__xludf.DUMMYFUNCTION("""COMPUTED_VALUE"""),-0.450947673541672)</f>
        <v>-0.45094767354167198</v>
      </c>
      <c r="HT12" s="3">
        <f ca="1">IFERROR(__xludf.DUMMYFUNCTION("""COMPUTED_VALUE"""),-0.486839014314823)</f>
        <v>-0.48683901431482302</v>
      </c>
      <c r="HU12" s="3">
        <f ca="1">IFERROR(__xludf.DUMMYFUNCTION("""COMPUTED_VALUE"""),-0.424653906794757)</f>
        <v>-0.42465390679475701</v>
      </c>
      <c r="HV12" s="3">
        <f ca="1">IFERROR(__xludf.DUMMYFUNCTION("""COMPUTED_VALUE"""),-0.482936888589102)</f>
        <v>-0.482936888589102</v>
      </c>
      <c r="HW12" s="3">
        <f ca="1">IFERROR(__xludf.DUMMYFUNCTION("""COMPUTED_VALUE"""),-0.425488132922301)</f>
        <v>-0.42548813292230098</v>
      </c>
      <c r="HX12" s="3">
        <f ca="1">IFERROR(__xludf.DUMMYFUNCTION("""COMPUTED_VALUE"""),-0.387778650329424)</f>
        <v>-0.38777865032942399</v>
      </c>
      <c r="HY12" s="3">
        <f ca="1">IFERROR(__xludf.DUMMYFUNCTION("""COMPUTED_VALUE"""),-0.329694017206527)</f>
        <v>-0.32969401720652702</v>
      </c>
      <c r="HZ12" s="3">
        <f ca="1">IFERROR(__xludf.DUMMYFUNCTION("""COMPUTED_VALUE"""),-0.388847487937911)</f>
        <v>-0.38884748793791102</v>
      </c>
      <c r="IA12" s="3">
        <f ca="1">IFERROR(__xludf.DUMMYFUNCTION("""COMPUTED_VALUE"""),-0.45032587473014)</f>
        <v>-0.45032587473014002</v>
      </c>
      <c r="IB12" s="3">
        <f ca="1">IFERROR(__xludf.DUMMYFUNCTION("""COMPUTED_VALUE"""),-0.368278364010352)</f>
        <v>-0.36827836401035202</v>
      </c>
      <c r="IC12" s="3">
        <f ca="1">IFERROR(__xludf.DUMMYFUNCTION("""COMPUTED_VALUE"""),-0.388087242284818)</f>
        <v>-0.388087242284818</v>
      </c>
      <c r="ID12" s="3">
        <f ca="1">IFERROR(__xludf.DUMMYFUNCTION("""COMPUTED_VALUE"""),-0.347578600037265)</f>
        <v>-0.34757860003726498</v>
      </c>
      <c r="IE12" s="3">
        <f ca="1">IFERROR(__xludf.DUMMYFUNCTION("""COMPUTED_VALUE"""),-0.267461874049423)</f>
        <v>-0.26746187404942301</v>
      </c>
      <c r="IF12" s="3">
        <f ca="1">IFERROR(__xludf.DUMMYFUNCTION("""COMPUTED_VALUE"""),-0.250285468464918)</f>
        <v>-0.250285468464918</v>
      </c>
      <c r="IG12" s="3">
        <f ca="1">IFERROR(__xludf.DUMMYFUNCTION("""COMPUTED_VALUE"""),-0.331824654059913)</f>
        <v>-0.33182465405991302</v>
      </c>
      <c r="IH12" s="3">
        <f ca="1">IFERROR(__xludf.DUMMYFUNCTION("""COMPUTED_VALUE"""),-0.413679613342693)</f>
        <v>-0.41367961334269299</v>
      </c>
      <c r="II12" s="3">
        <f ca="1">IFERROR(__xludf.DUMMYFUNCTION("""COMPUTED_VALUE"""),-0.359802102460263)</f>
        <v>-0.35980210246026301</v>
      </c>
      <c r="IJ12" s="3">
        <f ca="1">IFERROR(__xludf.DUMMYFUNCTION("""COMPUTED_VALUE"""),-0.35280880535821)</f>
        <v>-0.35280880535821002</v>
      </c>
      <c r="IK12" s="3">
        <f ca="1">IFERROR(__xludf.DUMMYFUNCTION("""COMPUTED_VALUE"""),-0.316570519442394)</f>
        <v>-0.316570519442394</v>
      </c>
      <c r="IL12" s="3">
        <f ca="1">IFERROR(__xludf.DUMMYFUNCTION("""COMPUTED_VALUE"""),-0.329578711883436)</f>
        <v>-0.32957871188343602</v>
      </c>
      <c r="IM12" s="3">
        <f ca="1">IFERROR(__xludf.DUMMYFUNCTION("""COMPUTED_VALUE"""),-0.320757271818287)</f>
        <v>-0.320757271818287</v>
      </c>
      <c r="IN12" s="3">
        <f ca="1">IFERROR(__xludf.DUMMYFUNCTION("""COMPUTED_VALUE"""),-0.384846176793677)</f>
        <v>-0.384846176793677</v>
      </c>
      <c r="IO12" s="3">
        <f ca="1">IFERROR(__xludf.DUMMYFUNCTION("""COMPUTED_VALUE"""),-0.428316998613484)</f>
        <v>-0.42831699861348399</v>
      </c>
      <c r="IP12" s="3">
        <f ca="1">IFERROR(__xludf.DUMMYFUNCTION("""COMPUTED_VALUE"""),-0.27868092690581)</f>
        <v>-0.27868092690580998</v>
      </c>
      <c r="IQ12" s="3">
        <f ca="1">IFERROR(__xludf.DUMMYFUNCTION("""COMPUTED_VALUE"""),-0.318327901379853)</f>
        <v>-0.31832790137985301</v>
      </c>
      <c r="IR12" s="3">
        <f ca="1">IFERROR(__xludf.DUMMYFUNCTION("""COMPUTED_VALUE"""),-0.330911262967499)</f>
        <v>-0.33091126296749901</v>
      </c>
      <c r="IS12" s="3">
        <f ca="1">IFERROR(__xludf.DUMMYFUNCTION("""COMPUTED_VALUE"""),-0.315955552575177)</f>
        <v>-0.31595555257517699</v>
      </c>
      <c r="IT12" s="3">
        <f ca="1">IFERROR(__xludf.DUMMYFUNCTION("""COMPUTED_VALUE"""),-0.342279140719605)</f>
        <v>-0.34227914071960502</v>
      </c>
      <c r="IU12" s="3">
        <f ca="1">IFERROR(__xludf.DUMMYFUNCTION("""COMPUTED_VALUE"""),-0.398453660641415)</f>
        <v>-0.39845366064141502</v>
      </c>
      <c r="IV12" s="3">
        <f ca="1">IFERROR(__xludf.DUMMYFUNCTION("""COMPUTED_VALUE"""),-0.352173384786939)</f>
        <v>-0.35217338478693899</v>
      </c>
      <c r="IW12" s="3">
        <f ca="1">IFERROR(__xludf.DUMMYFUNCTION("""COMPUTED_VALUE"""),-0.366462004452364)</f>
        <v>-0.36646200445236399</v>
      </c>
      <c r="IX12" s="3">
        <f ca="1">IFERROR(__xludf.DUMMYFUNCTION("""COMPUTED_VALUE"""),-0.388408006181523)</f>
        <v>-0.38840800618152299</v>
      </c>
      <c r="IY12" s="3">
        <f ca="1">IFERROR(__xludf.DUMMYFUNCTION("""COMPUTED_VALUE"""),-0.394704852193306)</f>
        <v>-0.39470485219330598</v>
      </c>
      <c r="IZ12" s="3">
        <f ca="1">IFERROR(__xludf.DUMMYFUNCTION("""COMPUTED_VALUE"""),-0.353061620797948)</f>
        <v>-0.35306162079794801</v>
      </c>
      <c r="JA12" s="3">
        <f ca="1">IFERROR(__xludf.DUMMYFUNCTION("""COMPUTED_VALUE"""),-0.355873167196381)</f>
        <v>-0.35587316719638101</v>
      </c>
      <c r="JB12" s="3">
        <f ca="1">IFERROR(__xludf.DUMMYFUNCTION("""COMPUTED_VALUE"""),-0.40219109190463)</f>
        <v>-0.40219109190462998</v>
      </c>
      <c r="JC12" s="3">
        <f ca="1">IFERROR(__xludf.DUMMYFUNCTION("""COMPUTED_VALUE"""),-0.405408388861869)</f>
        <v>-0.40540838886186897</v>
      </c>
      <c r="JD12" s="3">
        <f ca="1">IFERROR(__xludf.DUMMYFUNCTION("""COMPUTED_VALUE"""),-0.388296549279049)</f>
        <v>-0.388296549279049</v>
      </c>
      <c r="JE12" s="3">
        <f ca="1">IFERROR(__xludf.DUMMYFUNCTION("""COMPUTED_VALUE"""),-0.436993123243571)</f>
        <v>-0.43699312324357098</v>
      </c>
      <c r="JF12" s="3">
        <f ca="1">IFERROR(__xludf.DUMMYFUNCTION("""COMPUTED_VALUE"""),-0.37862757153716)</f>
        <v>-0.37862757153715998</v>
      </c>
      <c r="JG12" s="3">
        <f ca="1">IFERROR(__xludf.DUMMYFUNCTION("""COMPUTED_VALUE"""),-0.313543484832877)</f>
        <v>-0.31354348483287697</v>
      </c>
      <c r="JH12" s="3">
        <f ca="1">IFERROR(__xludf.DUMMYFUNCTION("""COMPUTED_VALUE"""),-0.321968673789524)</f>
        <v>-0.32196867378952398</v>
      </c>
      <c r="JI12" s="3">
        <f ca="1">IFERROR(__xludf.DUMMYFUNCTION("""COMPUTED_VALUE"""),-0.46925308127728)</f>
        <v>-0.46925308127727999</v>
      </c>
      <c r="JJ12" s="3">
        <f ca="1">IFERROR(__xludf.DUMMYFUNCTION("""COMPUTED_VALUE"""),-0.446279670047189)</f>
        <v>-0.44627967004718899</v>
      </c>
      <c r="JK12" s="3">
        <f ca="1">IFERROR(__xludf.DUMMYFUNCTION("""COMPUTED_VALUE"""),-0.381649380644174)</f>
        <v>-0.38164938064417397</v>
      </c>
      <c r="JL12" s="3">
        <f ca="1">IFERROR(__xludf.DUMMYFUNCTION("""COMPUTED_VALUE"""),-0.482404141809216)</f>
        <v>-0.48240414180921598</v>
      </c>
      <c r="JM12" s="3">
        <f ca="1">IFERROR(__xludf.DUMMYFUNCTION("""COMPUTED_VALUE"""),-0.451025989080405)</f>
        <v>-0.45102598908040498</v>
      </c>
      <c r="JN12" s="3">
        <f ca="1">IFERROR(__xludf.DUMMYFUNCTION("""COMPUTED_VALUE"""),-0.48285022582015)</f>
        <v>-0.48285022582015003</v>
      </c>
      <c r="JO12" s="3">
        <f ca="1">IFERROR(__xludf.DUMMYFUNCTION("""COMPUTED_VALUE"""),-0.401931869318444)</f>
        <v>-0.40193186931844399</v>
      </c>
      <c r="JP12" s="3">
        <f ca="1">IFERROR(__xludf.DUMMYFUNCTION("""COMPUTED_VALUE"""),-0.419371465790715)</f>
        <v>-0.41937146579071499</v>
      </c>
      <c r="JQ12" s="3">
        <f ca="1">IFERROR(__xludf.DUMMYFUNCTION("""COMPUTED_VALUE"""),-0.472073836867372)</f>
        <v>-0.47207383686737198</v>
      </c>
      <c r="JR12" s="3">
        <f ca="1">IFERROR(__xludf.DUMMYFUNCTION("""COMPUTED_VALUE"""),-0.446101047811295)</f>
        <v>-0.446101047811295</v>
      </c>
      <c r="JS12" s="3">
        <f ca="1">IFERROR(__xludf.DUMMYFUNCTION("""COMPUTED_VALUE"""),-0.352263611725879)</f>
        <v>-0.352263611725879</v>
      </c>
      <c r="JT12" s="3">
        <f ca="1">IFERROR(__xludf.DUMMYFUNCTION("""COMPUTED_VALUE"""),-0.263426958274985)</f>
        <v>-0.26342695827498502</v>
      </c>
      <c r="JU12" s="3">
        <f ca="1">IFERROR(__xludf.DUMMYFUNCTION("""COMPUTED_VALUE"""),-0.30507382485489)</f>
        <v>-0.30507382485488999</v>
      </c>
      <c r="JV12" s="3">
        <f ca="1">IFERROR(__xludf.DUMMYFUNCTION("""COMPUTED_VALUE"""),-0.415651048582403)</f>
        <v>-0.41565104858240298</v>
      </c>
      <c r="JW12" s="3">
        <f ca="1">IFERROR(__xludf.DUMMYFUNCTION("""COMPUTED_VALUE"""),-0.449118109532645)</f>
        <v>-0.44911810953264503</v>
      </c>
      <c r="JX12" s="3">
        <f ca="1">IFERROR(__xludf.DUMMYFUNCTION("""COMPUTED_VALUE"""),-0.507606394584643)</f>
        <v>-0.50760639458464296</v>
      </c>
      <c r="JY12" s="3">
        <f ca="1">IFERROR(__xludf.DUMMYFUNCTION("""COMPUTED_VALUE"""),-0.58983319435541)</f>
        <v>-0.58983319435541004</v>
      </c>
      <c r="JZ12" s="3">
        <f ca="1">IFERROR(__xludf.DUMMYFUNCTION("""COMPUTED_VALUE"""),-0.460091735451062)</f>
        <v>-0.46009173545106202</v>
      </c>
      <c r="KA12" s="3">
        <f ca="1">IFERROR(__xludf.DUMMYFUNCTION("""COMPUTED_VALUE"""),-0.233135937979421)</f>
        <v>-0.233135937979421</v>
      </c>
      <c r="KB12" s="3">
        <f ca="1">IFERROR(__xludf.DUMMYFUNCTION("""COMPUTED_VALUE"""),-0.412505368759473)</f>
        <v>-0.41250536875947302</v>
      </c>
      <c r="KC12" s="3">
        <f ca="1">IFERROR(__xludf.DUMMYFUNCTION("""COMPUTED_VALUE"""),-0.48147412696586)</f>
        <v>-0.48147412696586001</v>
      </c>
      <c r="KD12" s="3">
        <f ca="1">IFERROR(__xludf.DUMMYFUNCTION("""COMPUTED_VALUE"""),-0.50653955113294)</f>
        <v>-0.50653955113294002</v>
      </c>
      <c r="KE12" s="3">
        <f ca="1">IFERROR(__xludf.DUMMYFUNCTION("""COMPUTED_VALUE"""),-0.505016286193279)</f>
        <v>-0.50501628619327898</v>
      </c>
      <c r="KF12" s="3">
        <f ca="1">IFERROR(__xludf.DUMMYFUNCTION("""COMPUTED_VALUE"""),-0.49116006418345)</f>
        <v>-0.49116006418344998</v>
      </c>
      <c r="KG12" s="3">
        <f ca="1">IFERROR(__xludf.DUMMYFUNCTION("""COMPUTED_VALUE"""),-0.369649400014588)</f>
        <v>-0.36964940001458801</v>
      </c>
      <c r="KH12" s="3">
        <f ca="1">IFERROR(__xludf.DUMMYFUNCTION("""COMPUTED_VALUE"""),-0.255667973555738)</f>
        <v>-0.255667973555738</v>
      </c>
      <c r="KI12" s="3">
        <f ca="1">IFERROR(__xludf.DUMMYFUNCTION("""COMPUTED_VALUE"""),-0.468235185690524)</f>
        <v>-0.46823518569052403</v>
      </c>
      <c r="KJ12" s="3">
        <f ca="1">IFERROR(__xludf.DUMMYFUNCTION("""COMPUTED_VALUE"""),-0.483108307095291)</f>
        <v>-0.48310830709529101</v>
      </c>
      <c r="KK12" s="3">
        <f ca="1">IFERROR(__xludf.DUMMYFUNCTION("""COMPUTED_VALUE"""),-0.416250494419114)</f>
        <v>-0.41625049441911399</v>
      </c>
      <c r="KL12" s="3">
        <f ca="1">IFERROR(__xludf.DUMMYFUNCTION("""COMPUTED_VALUE"""),-0.4404536974992)</f>
        <v>-0.44045369749919999</v>
      </c>
      <c r="KM12" s="3">
        <f ca="1">IFERROR(__xludf.DUMMYFUNCTION("""COMPUTED_VALUE"""),-0.492944189711868)</f>
        <v>-0.49294418971186799</v>
      </c>
      <c r="KN12" s="3">
        <f ca="1">IFERROR(__xludf.DUMMYFUNCTION("""COMPUTED_VALUE"""),-0.543817191697965)</f>
        <v>-0.54381719169796505</v>
      </c>
      <c r="KO12" s="3">
        <f ca="1">IFERROR(__xludf.DUMMYFUNCTION("""COMPUTED_VALUE"""),-0.57045602609029)</f>
        <v>-0.57045602609029</v>
      </c>
      <c r="KP12" s="3">
        <f ca="1">IFERROR(__xludf.DUMMYFUNCTION("""COMPUTED_VALUE"""),-0.585284175630282)</f>
        <v>-0.58528417563028201</v>
      </c>
      <c r="KQ12" s="3">
        <f ca="1">IFERROR(__xludf.DUMMYFUNCTION("""COMPUTED_VALUE"""),-0.52381385882505)</f>
        <v>-0.52381385882505005</v>
      </c>
      <c r="KR12" s="3">
        <f ca="1">IFERROR(__xludf.DUMMYFUNCTION("""COMPUTED_VALUE"""),-0.53182474131426)</f>
        <v>-0.53182474131426005</v>
      </c>
      <c r="KS12" s="3">
        <f ca="1">IFERROR(__xludf.DUMMYFUNCTION("""COMPUTED_VALUE"""),-0.611262582630225)</f>
        <v>-0.61126258263022504</v>
      </c>
      <c r="KT12" s="3">
        <f ca="1">IFERROR(__xludf.DUMMYFUNCTION("""COMPUTED_VALUE"""),-0.534732420240229)</f>
        <v>-0.53473242024022904</v>
      </c>
      <c r="KU12" s="3">
        <f ca="1">IFERROR(__xludf.DUMMYFUNCTION("""COMPUTED_VALUE"""),-0.549099557209819)</f>
        <v>-0.54909955720981896</v>
      </c>
      <c r="KV12" s="3">
        <f ca="1">IFERROR(__xludf.DUMMYFUNCTION("""COMPUTED_VALUE"""),-0.553485332258452)</f>
        <v>-0.55348533225845198</v>
      </c>
      <c r="KW12" s="3">
        <f ca="1">IFERROR(__xludf.DUMMYFUNCTION("""COMPUTED_VALUE"""),-0.521276095590872)</f>
        <v>-0.52127609559087196</v>
      </c>
      <c r="KX12" s="3">
        <f ca="1">IFERROR(__xludf.DUMMYFUNCTION("""COMPUTED_VALUE"""),-0.602822429655676)</f>
        <v>-0.60282242965567601</v>
      </c>
      <c r="KY12" s="3">
        <f ca="1">IFERROR(__xludf.DUMMYFUNCTION("""COMPUTED_VALUE"""),-0.509422641453805)</f>
        <v>-0.509422641453805</v>
      </c>
      <c r="KZ12" s="3">
        <f ca="1">IFERROR(__xludf.DUMMYFUNCTION("""COMPUTED_VALUE"""),-0.566284839995621)</f>
        <v>-0.56628483999562096</v>
      </c>
      <c r="LA12" s="3">
        <f ca="1">IFERROR(__xludf.DUMMYFUNCTION("""COMPUTED_VALUE"""),-0.542843830469447)</f>
        <v>-0.54284383046944695</v>
      </c>
      <c r="LB12" s="3">
        <f ca="1">IFERROR(__xludf.DUMMYFUNCTION("""COMPUTED_VALUE"""),-0.572491827817754)</f>
        <v>-0.57249182781775398</v>
      </c>
      <c r="LC12" s="3">
        <f ca="1">IFERROR(__xludf.DUMMYFUNCTION("""COMPUTED_VALUE"""),-0.486335796262333)</f>
        <v>-0.48633579626233298</v>
      </c>
      <c r="LD12" s="3">
        <f ca="1">IFERROR(__xludf.DUMMYFUNCTION("""COMPUTED_VALUE"""),-0.522666601825163)</f>
        <v>-0.522666601825163</v>
      </c>
      <c r="LE12" s="3">
        <f ca="1">IFERROR(__xludf.DUMMYFUNCTION("""COMPUTED_VALUE"""),-0.516801225291218)</f>
        <v>-0.51680122529121797</v>
      </c>
      <c r="LF12" s="3">
        <f ca="1">IFERROR(__xludf.DUMMYFUNCTION("""COMPUTED_VALUE"""),-0.472011444378532)</f>
        <v>-0.47201144437853199</v>
      </c>
      <c r="LG12" s="3">
        <f ca="1">IFERROR(__xludf.DUMMYFUNCTION("""COMPUTED_VALUE"""),-0.532674886863136)</f>
        <v>-0.53267488686313602</v>
      </c>
      <c r="LH12" s="3">
        <f ca="1">IFERROR(__xludf.DUMMYFUNCTION("""COMPUTED_VALUE"""),-0.463103848309681)</f>
        <v>-0.46310384830968099</v>
      </c>
      <c r="LI12" s="3">
        <f ca="1">IFERROR(__xludf.DUMMYFUNCTION("""COMPUTED_VALUE"""),-0.574876282660539)</f>
        <v>-0.57487628266053903</v>
      </c>
      <c r="LJ12" s="3">
        <f ca="1">IFERROR(__xludf.DUMMYFUNCTION("""COMPUTED_VALUE"""),-0.620857431099106)</f>
        <v>-0.62085743109910596</v>
      </c>
      <c r="LK12" s="3">
        <f ca="1">IFERROR(__xludf.DUMMYFUNCTION("""COMPUTED_VALUE"""),-0.545936571190259)</f>
        <v>-0.54593657119025896</v>
      </c>
      <c r="LL12" s="3">
        <f ca="1">IFERROR(__xludf.DUMMYFUNCTION("""COMPUTED_VALUE"""),-0.529587403223888)</f>
        <v>-0.52958740322388798</v>
      </c>
      <c r="LM12" s="3">
        <f ca="1">IFERROR(__xludf.DUMMYFUNCTION("""COMPUTED_VALUE"""),-0.583928874426101)</f>
        <v>-0.58392887442610097</v>
      </c>
      <c r="LN12" s="3">
        <f ca="1">IFERROR(__xludf.DUMMYFUNCTION("""COMPUTED_VALUE"""),-0.602189686415104)</f>
        <v>-0.60218968641510395</v>
      </c>
      <c r="LO12" s="3">
        <f ca="1">IFERROR(__xludf.DUMMYFUNCTION("""COMPUTED_VALUE"""),-0.602913162248155)</f>
        <v>-0.60291316224815505</v>
      </c>
      <c r="LP12" s="3">
        <f ca="1">IFERROR(__xludf.DUMMYFUNCTION("""COMPUTED_VALUE"""),-0.589323356737938)</f>
        <v>-0.58932335673793801</v>
      </c>
      <c r="LQ12" s="3">
        <f ca="1">IFERROR(__xludf.DUMMYFUNCTION("""COMPUTED_VALUE"""),-0.584612629632442)</f>
        <v>-0.58461262963244198</v>
      </c>
      <c r="LR12" s="3">
        <f ca="1">IFERROR(__xludf.DUMMYFUNCTION("""COMPUTED_VALUE"""),-0.63480530882313)</f>
        <v>-0.63480530882313002</v>
      </c>
      <c r="LS12" s="3">
        <f ca="1">IFERROR(__xludf.DUMMYFUNCTION("""COMPUTED_VALUE"""),-0.598834489292384)</f>
        <v>-0.59883448929238403</v>
      </c>
      <c r="LT12" s="3">
        <f ca="1">IFERROR(__xludf.DUMMYFUNCTION("""COMPUTED_VALUE"""),-0.609699058944365)</f>
        <v>-0.60969905894436505</v>
      </c>
      <c r="LU12" s="3">
        <f ca="1">IFERROR(__xludf.DUMMYFUNCTION("""COMPUTED_VALUE"""),-0.637226012017174)</f>
        <v>-0.63722601201717399</v>
      </c>
      <c r="LV12" s="3">
        <f ca="1">IFERROR(__xludf.DUMMYFUNCTION("""COMPUTED_VALUE"""),-0.679368978350309)</f>
        <v>-0.67936897835030896</v>
      </c>
      <c r="LW12" s="3">
        <f ca="1">IFERROR(__xludf.DUMMYFUNCTION("""COMPUTED_VALUE"""),-0.703822691959221)</f>
        <v>-0.70382269195922098</v>
      </c>
      <c r="LX12" s="3">
        <f ca="1">IFERROR(__xludf.DUMMYFUNCTION("""COMPUTED_VALUE"""),-0.630415738985943)</f>
        <v>-0.63041573898594305</v>
      </c>
      <c r="LY12" s="3">
        <f ca="1">IFERROR(__xludf.DUMMYFUNCTION("""COMPUTED_VALUE"""),-0.633106077132149)</f>
        <v>-0.63310607713214895</v>
      </c>
      <c r="LZ12" s="3">
        <f ca="1">IFERROR(__xludf.DUMMYFUNCTION("""COMPUTED_VALUE"""),-0.621308701581932)</f>
        <v>-0.62130870158193197</v>
      </c>
      <c r="MA12" s="3">
        <f ca="1">IFERROR(__xludf.DUMMYFUNCTION("""COMPUTED_VALUE"""),-0.628937448052411)</f>
        <v>-0.62893744805241103</v>
      </c>
      <c r="MB12" s="3">
        <f ca="1">IFERROR(__xludf.DUMMYFUNCTION("""COMPUTED_VALUE"""),-0.714496788895858)</f>
        <v>-0.71449678889585799</v>
      </c>
      <c r="MC12" s="3">
        <f ca="1">IFERROR(__xludf.DUMMYFUNCTION("""COMPUTED_VALUE"""),-0.719407470877994)</f>
        <v>-0.71940747087799395</v>
      </c>
      <c r="MD12" s="3">
        <f ca="1">IFERROR(__xludf.DUMMYFUNCTION("""COMPUTED_VALUE"""),-0.698327384789609)</f>
        <v>-0.69832738478960898</v>
      </c>
      <c r="ME12" s="3">
        <f ca="1">IFERROR(__xludf.DUMMYFUNCTION("""COMPUTED_VALUE"""),-0.711926885515468)</f>
        <v>-0.71192688551546801</v>
      </c>
      <c r="MF12" s="3">
        <f ca="1">IFERROR(__xludf.DUMMYFUNCTION("""COMPUTED_VALUE"""),-0.679694196886562)</f>
        <v>-0.67969419688656196</v>
      </c>
      <c r="MG12" s="3">
        <f ca="1">IFERROR(__xludf.DUMMYFUNCTION("""COMPUTED_VALUE"""),-0.736439243678898)</f>
        <v>-0.73643924367889801</v>
      </c>
      <c r="MH12" s="3">
        <f ca="1">IFERROR(__xludf.DUMMYFUNCTION("""COMPUTED_VALUE"""),-0.720709338424535)</f>
        <v>-0.720709338424535</v>
      </c>
      <c r="MI12" s="3">
        <f ca="1">IFERROR(__xludf.DUMMYFUNCTION("""COMPUTED_VALUE"""),-0.754774474280094)</f>
        <v>-0.75477447428009403</v>
      </c>
      <c r="MJ12" s="3">
        <f ca="1">IFERROR(__xludf.DUMMYFUNCTION("""COMPUTED_VALUE"""),-0.744194470357768)</f>
        <v>-0.74419447035776798</v>
      </c>
      <c r="MK12" s="3">
        <f ca="1">IFERROR(__xludf.DUMMYFUNCTION("""COMPUTED_VALUE"""),-0.747310765216378)</f>
        <v>-0.74731076521637796</v>
      </c>
      <c r="ML12" s="3">
        <f ca="1">IFERROR(__xludf.DUMMYFUNCTION("""COMPUTED_VALUE"""),-0.741049704848472)</f>
        <v>-0.74104970484847199</v>
      </c>
      <c r="MM12" s="3">
        <f ca="1">IFERROR(__xludf.DUMMYFUNCTION("""COMPUTED_VALUE"""),-0.694881945086263)</f>
        <v>-0.694881945086263</v>
      </c>
      <c r="MN12" s="3">
        <f ca="1">IFERROR(__xludf.DUMMYFUNCTION("""COMPUTED_VALUE"""),-0.713884904882075)</f>
        <v>-0.71388490488207501</v>
      </c>
      <c r="MO12" s="3">
        <f ca="1">IFERROR(__xludf.DUMMYFUNCTION("""COMPUTED_VALUE"""),-0.737497960944896)</f>
        <v>-0.73749796094489595</v>
      </c>
      <c r="MP12" s="3">
        <f ca="1">IFERROR(__xludf.DUMMYFUNCTION("""COMPUTED_VALUE"""),-0.714947261079205)</f>
        <v>-0.71494726107920503</v>
      </c>
      <c r="MQ12" s="3">
        <f ca="1">IFERROR(__xludf.DUMMYFUNCTION("""COMPUTED_VALUE"""),-0.766130291150834)</f>
        <v>-0.76613029115083398</v>
      </c>
      <c r="MR12" s="3">
        <f ca="1">IFERROR(__xludf.DUMMYFUNCTION("""COMPUTED_VALUE"""),-0.728056581725733)</f>
        <v>-0.72805658172573295</v>
      </c>
      <c r="MS12" s="3">
        <f ca="1">IFERROR(__xludf.DUMMYFUNCTION("""COMPUTED_VALUE"""),-0.69999139882029)</f>
        <v>-0.69999139882029005</v>
      </c>
      <c r="MT12" s="3">
        <f ca="1">IFERROR(__xludf.DUMMYFUNCTION("""COMPUTED_VALUE"""),-0.70005072297686)</f>
        <v>-0.70005072297686</v>
      </c>
      <c r="MU12" s="3">
        <f ca="1">IFERROR(__xludf.DUMMYFUNCTION("""COMPUTED_VALUE"""),-0.72669100081091)</f>
        <v>-0.72669100081090998</v>
      </c>
      <c r="MV12" s="3">
        <f ca="1">IFERROR(__xludf.DUMMYFUNCTION("""COMPUTED_VALUE"""),-0.73694291096045)</f>
        <v>-0.73694291096044995</v>
      </c>
      <c r="MW12" s="3">
        <f ca="1">IFERROR(__xludf.DUMMYFUNCTION("""COMPUTED_VALUE"""),-0.750919848254967)</f>
        <v>-0.75091984825496705</v>
      </c>
      <c r="MX12" s="3">
        <f ca="1">IFERROR(__xludf.DUMMYFUNCTION("""COMPUTED_VALUE"""),-0.753377662107454)</f>
        <v>-0.75337766210745405</v>
      </c>
      <c r="MY12" s="3">
        <f ca="1">IFERROR(__xludf.DUMMYFUNCTION("""COMPUTED_VALUE"""),-0.755810974014168)</f>
        <v>-0.75581097401416797</v>
      </c>
      <c r="MZ12" s="3">
        <f ca="1">IFERROR(__xludf.DUMMYFUNCTION("""COMPUTED_VALUE"""),-0.718108669064227)</f>
        <v>-0.71810866906422699</v>
      </c>
      <c r="NA12" s="3">
        <f ca="1">IFERROR(__xludf.DUMMYFUNCTION("""COMPUTED_VALUE"""),-0.699682060360234)</f>
        <v>-0.69968206036023395</v>
      </c>
      <c r="NB12" s="3">
        <f ca="1">IFERROR(__xludf.DUMMYFUNCTION("""COMPUTED_VALUE"""),-0.702999861374284)</f>
        <v>-0.70299986137428405</v>
      </c>
      <c r="NC12" s="3">
        <f ca="1">IFERROR(__xludf.DUMMYFUNCTION("""COMPUTED_VALUE"""),-0.712449864200194)</f>
        <v>-0.71244986420019396</v>
      </c>
      <c r="ND12" s="3">
        <f ca="1">IFERROR(__xludf.DUMMYFUNCTION("""COMPUTED_VALUE"""),-0.726890457593187)</f>
        <v>-0.72689045759318704</v>
      </c>
      <c r="NE12" s="3">
        <f ca="1">IFERROR(__xludf.DUMMYFUNCTION("""COMPUTED_VALUE"""),-0.763276493742083)</f>
        <v>-0.76327649374208295</v>
      </c>
      <c r="NF12" s="3">
        <f ca="1">IFERROR(__xludf.DUMMYFUNCTION("""COMPUTED_VALUE"""),-0.74632341273669)</f>
        <v>-0.74632341273669001</v>
      </c>
      <c r="NG12" s="3">
        <f ca="1">IFERROR(__xludf.DUMMYFUNCTION("""COMPUTED_VALUE"""),-0.761908247240278)</f>
        <v>-0.76190824724027795</v>
      </c>
      <c r="NH12" s="3">
        <f ca="1">IFERROR(__xludf.DUMMYFUNCTION("""COMPUTED_VALUE"""),-0.744996877478589)</f>
        <v>-0.744996877478589</v>
      </c>
      <c r="NI12" s="3">
        <f ca="1">IFERROR(__xludf.DUMMYFUNCTION("""COMPUTED_VALUE"""),-0.740493353456626)</f>
        <v>-0.74049335345662604</v>
      </c>
      <c r="NJ12" s="3">
        <f ca="1">IFERROR(__xludf.DUMMYFUNCTION("""COMPUTED_VALUE"""),-0.750507927091357)</f>
        <v>-0.75050792709135705</v>
      </c>
      <c r="NK12" s="3">
        <f ca="1">IFERROR(__xludf.DUMMYFUNCTION("""COMPUTED_VALUE"""),-0.719950940049405)</f>
        <v>-0.71995094004940496</v>
      </c>
      <c r="NL12" s="3">
        <f ca="1">IFERROR(__xludf.DUMMYFUNCTION("""COMPUTED_VALUE"""),-0.734294738700331)</f>
        <v>-0.73429473870033102</v>
      </c>
      <c r="NM12" s="3">
        <f ca="1">IFERROR(__xludf.DUMMYFUNCTION("""COMPUTED_VALUE"""),-0.749916546530204)</f>
        <v>-0.74991654653020401</v>
      </c>
      <c r="NN12" s="3">
        <f ca="1">IFERROR(__xludf.DUMMYFUNCTION("""COMPUTED_VALUE"""),-0.769805208833597)</f>
        <v>-0.76980520883359704</v>
      </c>
      <c r="NO12" s="3">
        <f ca="1">IFERROR(__xludf.DUMMYFUNCTION("""COMPUTED_VALUE"""),-0.719589833575218)</f>
        <v>-0.719589833575218</v>
      </c>
      <c r="NP12" s="3">
        <f ca="1">IFERROR(__xludf.DUMMYFUNCTION("""COMPUTED_VALUE"""),-0.713225937983247)</f>
        <v>-0.71322593798324696</v>
      </c>
      <c r="NQ12" s="3">
        <f ca="1">IFERROR(__xludf.DUMMYFUNCTION("""COMPUTED_VALUE"""),-0.756620965325369)</f>
        <v>-0.75662096532536904</v>
      </c>
      <c r="NR12" s="3">
        <f ca="1">IFERROR(__xludf.DUMMYFUNCTION("""COMPUTED_VALUE"""),-0.770738992603277)</f>
        <v>-0.77073899260327705</v>
      </c>
      <c r="NS12" s="3">
        <f ca="1">IFERROR(__xludf.DUMMYFUNCTION("""COMPUTED_VALUE"""),-0.752765580408969)</f>
        <v>-0.75276558040896902</v>
      </c>
      <c r="NT12" s="3">
        <f ca="1">IFERROR(__xludf.DUMMYFUNCTION("""COMPUTED_VALUE"""),-0.706282703357342)</f>
        <v>-0.706282703357342</v>
      </c>
      <c r="NU12" s="3">
        <f ca="1">IFERROR(__xludf.DUMMYFUNCTION("""COMPUTED_VALUE"""),-0.720697047375227)</f>
        <v>-0.720697047375227</v>
      </c>
      <c r="NV12" s="3">
        <f ca="1">IFERROR(__xludf.DUMMYFUNCTION("""COMPUTED_VALUE"""),-0.629199386497173)</f>
        <v>-0.629199386497173</v>
      </c>
      <c r="NW12" s="3">
        <f ca="1">IFERROR(__xludf.DUMMYFUNCTION("""COMPUTED_VALUE"""),-0.660177086138676)</f>
        <v>-0.66017708613867598</v>
      </c>
      <c r="NX12" s="3">
        <f ca="1">IFERROR(__xludf.DUMMYFUNCTION("""COMPUTED_VALUE"""),-0.600636695381669)</f>
        <v>-0.60063669538166897</v>
      </c>
      <c r="NY12" s="3">
        <f ca="1">IFERROR(__xludf.DUMMYFUNCTION("""COMPUTED_VALUE"""),-0.601978062534813)</f>
        <v>-0.60197806253481301</v>
      </c>
      <c r="NZ12" s="3">
        <f ca="1">IFERROR(__xludf.DUMMYFUNCTION("""COMPUTED_VALUE"""),-0.518428431462977)</f>
        <v>-0.51842843146297701</v>
      </c>
      <c r="OA12" s="3">
        <f ca="1">IFERROR(__xludf.DUMMYFUNCTION("""COMPUTED_VALUE"""),-0.389560084292135)</f>
        <v>-0.38956008429213501</v>
      </c>
      <c r="OB12" s="3">
        <f ca="1">IFERROR(__xludf.DUMMYFUNCTION("""COMPUTED_VALUE"""),-0.349982104784195)</f>
        <v>-0.349982104784195</v>
      </c>
      <c r="OC12" s="3">
        <f ca="1">IFERROR(__xludf.DUMMYFUNCTION("""COMPUTED_VALUE"""),-0.339566483168906)</f>
        <v>-0.33956648316890597</v>
      </c>
      <c r="OD12" s="3">
        <f ca="1">IFERROR(__xludf.DUMMYFUNCTION("""COMPUTED_VALUE"""),-0.272204872363948)</f>
        <v>-0.27220487236394802</v>
      </c>
      <c r="OE12" s="3">
        <f ca="1">IFERROR(__xludf.DUMMYFUNCTION("""COMPUTED_VALUE"""),-0.0725695891796318)</f>
        <v>-7.2569589179631799E-2</v>
      </c>
      <c r="OF12" s="3">
        <f ca="1">IFERROR(__xludf.DUMMYFUNCTION("""COMPUTED_VALUE"""),0.0481551184850901)</f>
        <v>4.8155118485090097E-2</v>
      </c>
      <c r="OG12" s="3">
        <f ca="1">IFERROR(__xludf.DUMMYFUNCTION("""COMPUTED_VALUE"""),-0.00744235898419831)</f>
        <v>-7.4423589841983101E-3</v>
      </c>
      <c r="OH12" s="3">
        <f ca="1">IFERROR(__xludf.DUMMYFUNCTION("""COMPUTED_VALUE"""),-0.0360643908402572)</f>
        <v>-3.6064390840257199E-2</v>
      </c>
      <c r="OI12" s="3">
        <f ca="1">IFERROR(__xludf.DUMMYFUNCTION("""COMPUTED_VALUE"""),-0.0638541510906083)</f>
        <v>-6.3854151090608297E-2</v>
      </c>
      <c r="OJ12" s="3">
        <f ca="1">IFERROR(__xludf.DUMMYFUNCTION("""COMPUTED_VALUE"""),-0.134696392583547)</f>
        <v>-0.13469639258354699</v>
      </c>
      <c r="OK12" s="3">
        <f ca="1">IFERROR(__xludf.DUMMYFUNCTION("""COMPUTED_VALUE"""),-0.110546836758216)</f>
        <v>-0.110546836758216</v>
      </c>
      <c r="OL12" s="3">
        <f ca="1">IFERROR(__xludf.DUMMYFUNCTION("""COMPUTED_VALUE"""),0.0270284254836414)</f>
        <v>2.70284254836414E-2</v>
      </c>
      <c r="OM12" s="3">
        <f ca="1">IFERROR(__xludf.DUMMYFUNCTION("""COMPUTED_VALUE"""),0.0585193133816024)</f>
        <v>5.8519313381602399E-2</v>
      </c>
      <c r="ON12" s="3">
        <f ca="1">IFERROR(__xludf.DUMMYFUNCTION("""COMPUTED_VALUE"""),0.0661949625286268)</f>
        <v>6.6194962528626805E-2</v>
      </c>
      <c r="OO12" s="3">
        <f ca="1">IFERROR(__xludf.DUMMYFUNCTION("""COMPUTED_VALUE"""),-0.0329028052179513)</f>
        <v>-3.2902805217951303E-2</v>
      </c>
      <c r="OP12" s="3">
        <f ca="1">IFERROR(__xludf.DUMMYFUNCTION("""COMPUTED_VALUE"""),-0.0954932982967062)</f>
        <v>-9.5493298296706206E-2</v>
      </c>
      <c r="OQ12" s="3">
        <f ca="1">IFERROR(__xludf.DUMMYFUNCTION("""COMPUTED_VALUE"""),-0.00874595694000479)</f>
        <v>-8.7459569400047902E-3</v>
      </c>
      <c r="OR12" s="3">
        <f ca="1">IFERROR(__xludf.DUMMYFUNCTION("""COMPUTED_VALUE"""),0.0247367277636489)</f>
        <v>2.4736727763648901E-2</v>
      </c>
      <c r="OS12" s="3">
        <f ca="1">IFERROR(__xludf.DUMMYFUNCTION("""COMPUTED_VALUE"""),0.0758997186396455)</f>
        <v>7.5899718639645494E-2</v>
      </c>
      <c r="OT12" s="3">
        <f ca="1">IFERROR(__xludf.DUMMYFUNCTION("""COMPUTED_VALUE"""),0.144945501948965)</f>
        <v>0.14494550194896499</v>
      </c>
      <c r="OU12" s="3">
        <f ca="1">IFERROR(__xludf.DUMMYFUNCTION("""COMPUTED_VALUE"""),0.173679189256943)</f>
        <v>0.17367918925694301</v>
      </c>
      <c r="OV12" s="3">
        <f ca="1">IFERROR(__xludf.DUMMYFUNCTION("""COMPUTED_VALUE"""),0.0852310079741049)</f>
        <v>8.5231007974104905E-2</v>
      </c>
      <c r="OW12" s="3">
        <f ca="1">IFERROR(__xludf.DUMMYFUNCTION("""COMPUTED_VALUE"""),-0.0467289937279474)</f>
        <v>-4.67289937279474E-2</v>
      </c>
      <c r="OX12" s="3">
        <f ca="1">IFERROR(__xludf.DUMMYFUNCTION("""COMPUTED_VALUE"""),-0.135626988733028)</f>
        <v>-0.135626988733028</v>
      </c>
      <c r="OY12" s="3">
        <f ca="1">IFERROR(__xludf.DUMMYFUNCTION("""COMPUTED_VALUE"""),-0.0993210298278225)</f>
        <v>-9.9321029827822496E-2</v>
      </c>
      <c r="OZ12" s="3">
        <f ca="1">IFERROR(__xludf.DUMMYFUNCTION("""COMPUTED_VALUE"""),-0.0997613242686494)</f>
        <v>-9.9761324268649407E-2</v>
      </c>
      <c r="PA12" s="3">
        <f ca="1">IFERROR(__xludf.DUMMYFUNCTION("""COMPUTED_VALUE"""),-0.025179568643719)</f>
        <v>-2.5179568643719001E-2</v>
      </c>
      <c r="PB12" s="3">
        <f ca="1">IFERROR(__xludf.DUMMYFUNCTION("""COMPUTED_VALUE"""),0.102421178430432)</f>
        <v>0.102421178430432</v>
      </c>
      <c r="PC12" s="3">
        <f ca="1">IFERROR(__xludf.DUMMYFUNCTION("""COMPUTED_VALUE"""),0.191917951086339)</f>
        <v>0.19191795108633899</v>
      </c>
      <c r="PD12" s="3">
        <f ca="1">IFERROR(__xludf.DUMMYFUNCTION("""COMPUTED_VALUE"""),-0.11747030356964)</f>
        <v>-0.11747030356964</v>
      </c>
      <c r="PE12" s="3">
        <f ca="1">IFERROR(__xludf.DUMMYFUNCTION("""COMPUTED_VALUE"""),-0.000558399769533091)</f>
        <v>-5.5839976953309101E-4</v>
      </c>
      <c r="PF12" s="3">
        <f ca="1">IFERROR(__xludf.DUMMYFUNCTION("""COMPUTED_VALUE"""),-0.0265689811989371)</f>
        <v>-2.6568981198937101E-2</v>
      </c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</row>
    <row r="13" spans="1:594" ht="15.75" customHeight="1">
      <c r="A13" s="1" t="str">
        <f ca="1">IFERROR(__xludf.DUMMYFUNCTION("""COMPUTED_VALUE"""),"Charleston")</f>
        <v>Charleston</v>
      </c>
      <c r="B13" s="3">
        <f ca="1">IFERROR(__xludf.DUMMYFUNCTION("""COMPUTED_VALUE"""),-0.365670430863418)</f>
        <v>-0.36567043086341799</v>
      </c>
      <c r="C13" s="3">
        <f ca="1">IFERROR(__xludf.DUMMYFUNCTION("""COMPUTED_VALUE"""),-0.399547954900649)</f>
        <v>-0.39954795490064898</v>
      </c>
      <c r="D13" s="3">
        <f ca="1">IFERROR(__xludf.DUMMYFUNCTION("""COMPUTED_VALUE"""),-0.474953673228036)</f>
        <v>-0.474953673228036</v>
      </c>
      <c r="E13" s="3">
        <f ca="1">IFERROR(__xludf.DUMMYFUNCTION("""COMPUTED_VALUE"""),-0.517788152791245)</f>
        <v>-0.51778815279124502</v>
      </c>
      <c r="F13" s="3">
        <f ca="1">IFERROR(__xludf.DUMMYFUNCTION("""COMPUTED_VALUE"""),-0.485675057454579)</f>
        <v>-0.48567505745457901</v>
      </c>
      <c r="G13" s="3">
        <f ca="1">IFERROR(__xludf.DUMMYFUNCTION("""COMPUTED_VALUE"""),-0.464425195992784)</f>
        <v>-0.46442519599278398</v>
      </c>
      <c r="H13" s="3">
        <f ca="1">IFERROR(__xludf.DUMMYFUNCTION("""COMPUTED_VALUE"""),-0.484439417059876)</f>
        <v>-0.48443941705987598</v>
      </c>
      <c r="I13" s="3">
        <f ca="1">IFERROR(__xludf.DUMMYFUNCTION("""COMPUTED_VALUE"""),-0.381239181234593)</f>
        <v>-0.38123918123459299</v>
      </c>
      <c r="J13" s="3">
        <f ca="1">IFERROR(__xludf.DUMMYFUNCTION("""COMPUTED_VALUE"""),-0.408761091030323)</f>
        <v>-0.40876109103032299</v>
      </c>
      <c r="K13" s="3">
        <f ca="1">IFERROR(__xludf.DUMMYFUNCTION("""COMPUTED_VALUE"""),-0.480101605496231)</f>
        <v>-0.48010160549623099</v>
      </c>
      <c r="L13" s="3">
        <f ca="1">IFERROR(__xludf.DUMMYFUNCTION("""COMPUTED_VALUE"""),-0.504165557626904)</f>
        <v>-0.50416555762690396</v>
      </c>
      <c r="M13" s="3">
        <f ca="1">IFERROR(__xludf.DUMMYFUNCTION("""COMPUTED_VALUE"""),-0.491279258718129)</f>
        <v>-0.491279258718129</v>
      </c>
      <c r="N13" s="3">
        <f ca="1">IFERROR(__xludf.DUMMYFUNCTION("""COMPUTED_VALUE"""),-0.49257052314999)</f>
        <v>-0.49257052314999</v>
      </c>
      <c r="O13" s="3">
        <f ca="1">IFERROR(__xludf.DUMMYFUNCTION("""COMPUTED_VALUE"""),-0.423609066812857)</f>
        <v>-0.42360906681285698</v>
      </c>
      <c r="P13" s="3">
        <f ca="1">IFERROR(__xludf.DUMMYFUNCTION("""COMPUTED_VALUE"""),-0.385715205951806)</f>
        <v>-0.38571520595180597</v>
      </c>
      <c r="Q13" s="3">
        <f ca="1">IFERROR(__xludf.DUMMYFUNCTION("""COMPUTED_VALUE"""),-0.438016598266398)</f>
        <v>-0.43801659826639799</v>
      </c>
      <c r="R13" s="3">
        <f ca="1">IFERROR(__xludf.DUMMYFUNCTION("""COMPUTED_VALUE"""),-0.469987712466355)</f>
        <v>-0.46998771246635501</v>
      </c>
      <c r="S13" s="3">
        <f ca="1">IFERROR(__xludf.DUMMYFUNCTION("""COMPUTED_VALUE"""),-0.550754450462054)</f>
        <v>-0.55075445046205396</v>
      </c>
      <c r="T13" s="3">
        <f ca="1">IFERROR(__xludf.DUMMYFUNCTION("""COMPUTED_VALUE"""),-0.465979265825875)</f>
        <v>-0.46597926582587501</v>
      </c>
      <c r="U13" s="3">
        <f ca="1">IFERROR(__xludf.DUMMYFUNCTION("""COMPUTED_VALUE"""),-0.495874900607616)</f>
        <v>-0.49587490060761602</v>
      </c>
      <c r="V13" s="3">
        <f ca="1">IFERROR(__xludf.DUMMYFUNCTION("""COMPUTED_VALUE"""),-0.483785402744814)</f>
        <v>-0.48378540274481402</v>
      </c>
      <c r="W13" s="3">
        <f ca="1">IFERROR(__xludf.DUMMYFUNCTION("""COMPUTED_VALUE"""),-0.448499650152684)</f>
        <v>-0.448499650152684</v>
      </c>
      <c r="X13" s="3">
        <f ca="1">IFERROR(__xludf.DUMMYFUNCTION("""COMPUTED_VALUE"""),-0.467282757676827)</f>
        <v>-0.46728275767682698</v>
      </c>
      <c r="Y13" s="3">
        <f ca="1">IFERROR(__xludf.DUMMYFUNCTION("""COMPUTED_VALUE"""),-0.55681453907709)</f>
        <v>-0.55681453907709</v>
      </c>
      <c r="Z13" s="3">
        <f ca="1">IFERROR(__xludf.DUMMYFUNCTION("""COMPUTED_VALUE"""),-0.529035384054963)</f>
        <v>-0.52903538405496298</v>
      </c>
      <c r="AA13" s="3">
        <f ca="1">IFERROR(__xludf.DUMMYFUNCTION("""COMPUTED_VALUE"""),-0.513917010639479)</f>
        <v>-0.51391701063947903</v>
      </c>
      <c r="AB13" s="3">
        <f ca="1">IFERROR(__xludf.DUMMYFUNCTION("""COMPUTED_VALUE"""),-0.491821845313999)</f>
        <v>-0.49182184531399897</v>
      </c>
      <c r="AC13" s="3">
        <f ca="1">IFERROR(__xludf.DUMMYFUNCTION("""COMPUTED_VALUE"""),-0.414554617719435)</f>
        <v>-0.41455461771943503</v>
      </c>
      <c r="AD13" s="3">
        <f ca="1">IFERROR(__xludf.DUMMYFUNCTION("""COMPUTED_VALUE"""),-0.317425449542316)</f>
        <v>-0.317425449542316</v>
      </c>
      <c r="AE13" s="3">
        <f ca="1">IFERROR(__xludf.DUMMYFUNCTION("""COMPUTED_VALUE"""),-0.430328832573729)</f>
        <v>-0.430328832573729</v>
      </c>
      <c r="AF13" s="3">
        <f ca="1">IFERROR(__xludf.DUMMYFUNCTION("""COMPUTED_VALUE"""),-0.481779348599716)</f>
        <v>-0.481779348599716</v>
      </c>
      <c r="AG13" s="3">
        <f ca="1">IFERROR(__xludf.DUMMYFUNCTION("""COMPUTED_VALUE"""),-0.453480944379779)</f>
        <v>-0.45348094437977898</v>
      </c>
      <c r="AH13" s="3">
        <f ca="1">IFERROR(__xludf.DUMMYFUNCTION("""COMPUTED_VALUE"""),-0.531360127730801)</f>
        <v>-0.53136012773080099</v>
      </c>
      <c r="AI13" s="3">
        <f ca="1">IFERROR(__xludf.DUMMYFUNCTION("""COMPUTED_VALUE"""),-0.52671007390764)</f>
        <v>-0.52671007390764002</v>
      </c>
      <c r="AJ13" s="3">
        <f ca="1">IFERROR(__xludf.DUMMYFUNCTION("""COMPUTED_VALUE"""),-0.278259418693145)</f>
        <v>-0.27825941869314502</v>
      </c>
      <c r="AK13" s="3">
        <f ca="1">IFERROR(__xludf.DUMMYFUNCTION("""COMPUTED_VALUE"""),-0.445580839813093)</f>
        <v>-0.44558083981309299</v>
      </c>
      <c r="AL13" s="3">
        <f ca="1">IFERROR(__xludf.DUMMYFUNCTION("""COMPUTED_VALUE"""),-0.515560117308622)</f>
        <v>-0.51556011730862195</v>
      </c>
      <c r="AM13" s="3">
        <f ca="1">IFERROR(__xludf.DUMMYFUNCTION("""COMPUTED_VALUE"""),-0.572722182788581)</f>
        <v>-0.572722182788581</v>
      </c>
      <c r="AN13" s="3">
        <f ca="1">IFERROR(__xludf.DUMMYFUNCTION("""COMPUTED_VALUE"""),-0.569179906293438)</f>
        <v>-0.56917990629343795</v>
      </c>
      <c r="AO13" s="3">
        <f ca="1">IFERROR(__xludf.DUMMYFUNCTION("""COMPUTED_VALUE"""),-0.59258380010225)</f>
        <v>-0.59258380010224998</v>
      </c>
      <c r="AP13" s="3">
        <f ca="1">IFERROR(__xludf.DUMMYFUNCTION("""COMPUTED_VALUE"""),-0.556314680067032)</f>
        <v>-0.556314680067032</v>
      </c>
      <c r="AQ13" s="3">
        <f ca="1">IFERROR(__xludf.DUMMYFUNCTION("""COMPUTED_VALUE"""),-0.404909893074852)</f>
        <v>-0.40490989307485198</v>
      </c>
      <c r="AR13" s="3">
        <f ca="1">IFERROR(__xludf.DUMMYFUNCTION("""COMPUTED_VALUE"""),-0.351034290966195)</f>
        <v>-0.35103429096619498</v>
      </c>
      <c r="AS13" s="3">
        <f ca="1">IFERROR(__xludf.DUMMYFUNCTION("""COMPUTED_VALUE"""),-0.488954062055115)</f>
        <v>-0.48895406205511499</v>
      </c>
      <c r="AT13" s="3">
        <f ca="1">IFERROR(__xludf.DUMMYFUNCTION("""COMPUTED_VALUE"""),-0.555473019896388)</f>
        <v>-0.55547301989638798</v>
      </c>
      <c r="AU13" s="3">
        <f ca="1">IFERROR(__xludf.DUMMYFUNCTION("""COMPUTED_VALUE"""),-0.561214560146516)</f>
        <v>-0.56121456014651605</v>
      </c>
      <c r="AV13" s="3">
        <f ca="1">IFERROR(__xludf.DUMMYFUNCTION("""COMPUTED_VALUE"""),-0.570629449590081)</f>
        <v>-0.57062944959008099</v>
      </c>
      <c r="AW13" s="3">
        <f ca="1">IFERROR(__xludf.DUMMYFUNCTION("""COMPUTED_VALUE"""),-0.566597344074806)</f>
        <v>-0.566597344074806</v>
      </c>
      <c r="AX13" s="3">
        <f ca="1">IFERROR(__xludf.DUMMYFUNCTION("""COMPUTED_VALUE"""),-0.489084575988593)</f>
        <v>-0.48908457598859301</v>
      </c>
      <c r="AY13" s="3">
        <f ca="1">IFERROR(__xludf.DUMMYFUNCTION("""COMPUTED_VALUE"""),-0.481767493475826)</f>
        <v>-0.48176749347582598</v>
      </c>
      <c r="AZ13" s="3">
        <f ca="1">IFERROR(__xludf.DUMMYFUNCTION("""COMPUTED_VALUE"""),-0.649904479829358)</f>
        <v>-0.64990447982935795</v>
      </c>
      <c r="BA13" s="3">
        <f ca="1">IFERROR(__xludf.DUMMYFUNCTION("""COMPUTED_VALUE"""),-0.592037841530645)</f>
        <v>-0.59203784153064498</v>
      </c>
      <c r="BB13" s="3">
        <f ca="1">IFERROR(__xludf.DUMMYFUNCTION("""COMPUTED_VALUE"""),-0.563675963486499)</f>
        <v>-0.56367596348649895</v>
      </c>
      <c r="BC13" s="3">
        <f ca="1">IFERROR(__xludf.DUMMYFUNCTION("""COMPUTED_VALUE"""),-0.521797601309122)</f>
        <v>-0.52179760130912201</v>
      </c>
      <c r="BD13" s="3">
        <f ca="1">IFERROR(__xludf.DUMMYFUNCTION("""COMPUTED_VALUE"""),-0.56178867661051)</f>
        <v>-0.56178867661051002</v>
      </c>
      <c r="BE13" s="3">
        <f ca="1">IFERROR(__xludf.DUMMYFUNCTION("""COMPUTED_VALUE"""),-0.516818946499663)</f>
        <v>-0.51681894649966298</v>
      </c>
      <c r="BF13" s="3">
        <f ca="1">IFERROR(__xludf.DUMMYFUNCTION("""COMPUTED_VALUE"""),-0.551914136418046)</f>
        <v>-0.55191413641804599</v>
      </c>
      <c r="BG13" s="3">
        <f ca="1">IFERROR(__xludf.DUMMYFUNCTION("""COMPUTED_VALUE"""),-0.532678478413389)</f>
        <v>-0.532678478413389</v>
      </c>
      <c r="BH13" s="3">
        <f ca="1">IFERROR(__xludf.DUMMYFUNCTION("""COMPUTED_VALUE"""),-0.610692968216756)</f>
        <v>-0.610692968216756</v>
      </c>
      <c r="BI13" s="3">
        <f ca="1">IFERROR(__xludf.DUMMYFUNCTION("""COMPUTED_VALUE"""),-0.618310841841134)</f>
        <v>-0.61831084184113405</v>
      </c>
      <c r="BJ13" s="3">
        <f ca="1">IFERROR(__xludf.DUMMYFUNCTION("""COMPUTED_VALUE"""),-0.598584921957652)</f>
        <v>-0.59858492195765201</v>
      </c>
      <c r="BK13" s="3">
        <f ca="1">IFERROR(__xludf.DUMMYFUNCTION("""COMPUTED_VALUE"""),-0.506884307413559)</f>
        <v>-0.50688430741355905</v>
      </c>
      <c r="BL13" s="3">
        <f ca="1">IFERROR(__xludf.DUMMYFUNCTION("""COMPUTED_VALUE"""),-0.52447163381249)</f>
        <v>-0.52447163381248996</v>
      </c>
      <c r="BM13" s="3">
        <f ca="1">IFERROR(__xludf.DUMMYFUNCTION("""COMPUTED_VALUE"""),-0.57184887496235)</f>
        <v>-0.57184887496235004</v>
      </c>
      <c r="BN13" s="3">
        <f ca="1">IFERROR(__xludf.DUMMYFUNCTION("""COMPUTED_VALUE"""),-0.587502034860592)</f>
        <v>-0.58750203486059205</v>
      </c>
      <c r="BO13" s="3">
        <f ca="1">IFERROR(__xludf.DUMMYFUNCTION("""COMPUTED_VALUE"""),-0.588928842522388)</f>
        <v>-0.58892884252238797</v>
      </c>
      <c r="BP13" s="3">
        <f ca="1">IFERROR(__xludf.DUMMYFUNCTION("""COMPUTED_VALUE"""),-0.620179331012662)</f>
        <v>-0.62017933101266198</v>
      </c>
      <c r="BQ13" s="3">
        <f ca="1">IFERROR(__xludf.DUMMYFUNCTION("""COMPUTED_VALUE"""),-0.606282388530991)</f>
        <v>-0.60628238853099103</v>
      </c>
      <c r="BR13" s="3">
        <f ca="1">IFERROR(__xludf.DUMMYFUNCTION("""COMPUTED_VALUE"""),-0.540533474703417)</f>
        <v>-0.54053347470341695</v>
      </c>
      <c r="BS13" s="3">
        <f ca="1">IFERROR(__xludf.DUMMYFUNCTION("""COMPUTED_VALUE"""),-0.557314749596132)</f>
        <v>-0.55731474959613203</v>
      </c>
      <c r="BT13" s="3">
        <f ca="1">IFERROR(__xludf.DUMMYFUNCTION("""COMPUTED_VALUE"""),-0.457272165893255)</f>
        <v>-0.45727216589325498</v>
      </c>
      <c r="BU13" s="3">
        <f ca="1">IFERROR(__xludf.DUMMYFUNCTION("""COMPUTED_VALUE"""),-0.536583742101671)</f>
        <v>-0.53658374210167104</v>
      </c>
      <c r="BV13" s="3">
        <f ca="1">IFERROR(__xludf.DUMMYFUNCTION("""COMPUTED_VALUE"""),-0.589778362085762)</f>
        <v>-0.58977836208576195</v>
      </c>
      <c r="BW13" s="3">
        <f ca="1">IFERROR(__xludf.DUMMYFUNCTION("""COMPUTED_VALUE"""),-0.631985126312914)</f>
        <v>-0.63198512631291404</v>
      </c>
      <c r="BX13" s="3">
        <f ca="1">IFERROR(__xludf.DUMMYFUNCTION("""COMPUTED_VALUE"""),-0.561779368885275)</f>
        <v>-0.56177936888527502</v>
      </c>
      <c r="BY13" s="3">
        <f ca="1">IFERROR(__xludf.DUMMYFUNCTION("""COMPUTED_VALUE"""),-0.44302712856275)</f>
        <v>-0.44302712856275001</v>
      </c>
      <c r="BZ13" s="3">
        <f ca="1">IFERROR(__xludf.DUMMYFUNCTION("""COMPUTED_VALUE"""),-0.525532145693712)</f>
        <v>-0.52553214569371198</v>
      </c>
      <c r="CA13" s="3">
        <f ca="1">IFERROR(__xludf.DUMMYFUNCTION("""COMPUTED_VALUE"""),-0.452796361595959)</f>
        <v>-0.45279636159595898</v>
      </c>
      <c r="CB13" s="3">
        <f ca="1">IFERROR(__xludf.DUMMYFUNCTION("""COMPUTED_VALUE"""),-0.555715226197479)</f>
        <v>-0.55571522619747904</v>
      </c>
      <c r="CC13" s="3">
        <f ca="1">IFERROR(__xludf.DUMMYFUNCTION("""COMPUTED_VALUE"""),-0.607993622919881)</f>
        <v>-0.60799362291988102</v>
      </c>
      <c r="CD13" s="3">
        <f ca="1">IFERROR(__xludf.DUMMYFUNCTION("""COMPUTED_VALUE"""),-0.584721484890968)</f>
        <v>-0.58472148489096798</v>
      </c>
      <c r="CE13" s="3">
        <f ca="1">IFERROR(__xludf.DUMMYFUNCTION("""COMPUTED_VALUE"""),-0.596240619768525)</f>
        <v>-0.59624061976852505</v>
      </c>
      <c r="CF13" s="3">
        <f ca="1">IFERROR(__xludf.DUMMYFUNCTION("""COMPUTED_VALUE"""),-0.423581376457423)</f>
        <v>-0.423581376457423</v>
      </c>
      <c r="CG13" s="3">
        <f ca="1">IFERROR(__xludf.DUMMYFUNCTION("""COMPUTED_VALUE"""),-0.48875681003759)</f>
        <v>-0.48875681003758997</v>
      </c>
      <c r="CH13" s="3">
        <f ca="1">IFERROR(__xludf.DUMMYFUNCTION("""COMPUTED_VALUE"""),-0.430159534732675)</f>
        <v>-0.43015953473267499</v>
      </c>
      <c r="CI13" s="3">
        <f ca="1">IFERROR(__xludf.DUMMYFUNCTION("""COMPUTED_VALUE"""),-0.555242283841351)</f>
        <v>-0.55524228384135099</v>
      </c>
      <c r="CJ13" s="3">
        <f ca="1">IFERROR(__xludf.DUMMYFUNCTION("""COMPUTED_VALUE"""),-0.562454375049086)</f>
        <v>-0.56245437504908602</v>
      </c>
      <c r="CK13" s="3">
        <f ca="1">IFERROR(__xludf.DUMMYFUNCTION("""COMPUTED_VALUE"""),-0.578171589059568)</f>
        <v>-0.578171589059568</v>
      </c>
      <c r="CL13" s="3">
        <f ca="1">IFERROR(__xludf.DUMMYFUNCTION("""COMPUTED_VALUE"""),-0.560833818919942)</f>
        <v>-0.560833818919942</v>
      </c>
      <c r="CM13" s="3">
        <f ca="1">IFERROR(__xludf.DUMMYFUNCTION("""COMPUTED_VALUE"""),-0.482485368652823)</f>
        <v>-0.48248536865282299</v>
      </c>
      <c r="CN13" s="3">
        <f ca="1">IFERROR(__xludf.DUMMYFUNCTION("""COMPUTED_VALUE"""),-0.430896450189506)</f>
        <v>-0.43089645018950601</v>
      </c>
      <c r="CO13" s="3">
        <f ca="1">IFERROR(__xludf.DUMMYFUNCTION("""COMPUTED_VALUE"""),-0.378928530423005)</f>
        <v>-0.37892853042300501</v>
      </c>
      <c r="CP13" s="3">
        <f ca="1">IFERROR(__xludf.DUMMYFUNCTION("""COMPUTED_VALUE"""),-0.590079246227506)</f>
        <v>-0.59007924622750596</v>
      </c>
      <c r="CQ13" s="3">
        <f ca="1">IFERROR(__xludf.DUMMYFUNCTION("""COMPUTED_VALUE"""),-0.547195162759532)</f>
        <v>-0.54719516275953195</v>
      </c>
      <c r="CR13" s="3">
        <f ca="1">IFERROR(__xludf.DUMMYFUNCTION("""COMPUTED_VALUE"""),-0.501580637149347)</f>
        <v>-0.50158063714934698</v>
      </c>
      <c r="CS13" s="3">
        <f ca="1">IFERROR(__xludf.DUMMYFUNCTION("""COMPUTED_VALUE"""),-0.51453523621809)</f>
        <v>-0.51453523621809005</v>
      </c>
      <c r="CT13" s="3">
        <f ca="1">IFERROR(__xludf.DUMMYFUNCTION("""COMPUTED_VALUE"""),-0.581807961554255)</f>
        <v>-0.58180796155425496</v>
      </c>
      <c r="CU13" s="3">
        <f ca="1">IFERROR(__xludf.DUMMYFUNCTION("""COMPUTED_VALUE"""),-0.542969329632656)</f>
        <v>-0.54296932963265598</v>
      </c>
      <c r="CV13" s="3">
        <f ca="1">IFERROR(__xludf.DUMMYFUNCTION("""COMPUTED_VALUE"""),-0.481235739465749)</f>
        <v>-0.48123573946574899</v>
      </c>
      <c r="CW13" s="3">
        <f ca="1">IFERROR(__xludf.DUMMYFUNCTION("""COMPUTED_VALUE"""),-0.676186255365961)</f>
        <v>-0.676186255365961</v>
      </c>
      <c r="CX13" s="3">
        <f ca="1">IFERROR(__xludf.DUMMYFUNCTION("""COMPUTED_VALUE"""),-0.523730978023519)</f>
        <v>-0.52373097802351898</v>
      </c>
      <c r="CY13" s="3">
        <f ca="1">IFERROR(__xludf.DUMMYFUNCTION("""COMPUTED_VALUE"""),-0.279187457207815)</f>
        <v>-0.27918745720781502</v>
      </c>
      <c r="CZ13" s="3">
        <f ca="1">IFERROR(__xludf.DUMMYFUNCTION("""COMPUTED_VALUE"""),-0.40517321789614)</f>
        <v>-0.40517321789614003</v>
      </c>
      <c r="DA13" s="3">
        <f ca="1">IFERROR(__xludf.DUMMYFUNCTION("""COMPUTED_VALUE"""),-0.485146826319654)</f>
        <v>-0.485146826319654</v>
      </c>
      <c r="DB13" s="3">
        <f ca="1">IFERROR(__xludf.DUMMYFUNCTION("""COMPUTED_VALUE"""),-0.395791473095242)</f>
        <v>-0.39579147309524199</v>
      </c>
      <c r="DC13" s="3">
        <f ca="1">IFERROR(__xludf.DUMMYFUNCTION("""COMPUTED_VALUE"""),-0.517969405610619)</f>
        <v>-0.51796940561061899</v>
      </c>
      <c r="DD13" s="3">
        <f ca="1">IFERROR(__xludf.DUMMYFUNCTION("""COMPUTED_VALUE"""),-0.887558172716921)</f>
        <v>-0.88755817271692095</v>
      </c>
      <c r="DE13" s="3">
        <f ca="1">IFERROR(__xludf.DUMMYFUNCTION("""COMPUTED_VALUE"""),-0.578558277612823)</f>
        <v>-0.57855827761282297</v>
      </c>
      <c r="DF13" s="3">
        <f ca="1">IFERROR(__xludf.DUMMYFUNCTION("""COMPUTED_VALUE"""),-0.133036045368178)</f>
        <v>-0.13303604536817801</v>
      </c>
      <c r="DG13" s="3">
        <f ca="1">IFERROR(__xludf.DUMMYFUNCTION("""COMPUTED_VALUE"""),-0.407093573232204)</f>
        <v>-0.40709357323220402</v>
      </c>
      <c r="DH13" s="3">
        <f ca="1">IFERROR(__xludf.DUMMYFUNCTION("""COMPUTED_VALUE"""),-0.341796104331411)</f>
        <v>-0.341796104331411</v>
      </c>
      <c r="DI13" s="3">
        <f ca="1">IFERROR(__xludf.DUMMYFUNCTION("""COMPUTED_VALUE"""),-0.460902434944116)</f>
        <v>-0.46090243494411598</v>
      </c>
      <c r="DJ13" s="3">
        <f ca="1">IFERROR(__xludf.DUMMYFUNCTION("""COMPUTED_VALUE"""),-0.378697918885892)</f>
        <v>-0.37869791888589199</v>
      </c>
      <c r="DK13" s="3">
        <f ca="1">IFERROR(__xludf.DUMMYFUNCTION("""COMPUTED_VALUE"""),-0.432096132816332)</f>
        <v>-0.43209613281633202</v>
      </c>
      <c r="DL13" s="3">
        <f ca="1">IFERROR(__xludf.DUMMYFUNCTION("""COMPUTED_VALUE"""),-0.544466344030832)</f>
        <v>-0.54446634403083205</v>
      </c>
      <c r="DM13" s="3">
        <f ca="1">IFERROR(__xludf.DUMMYFUNCTION("""COMPUTED_VALUE"""),-0.450283952456089)</f>
        <v>-0.45028395245608899</v>
      </c>
      <c r="DN13" s="3">
        <f ca="1">IFERROR(__xludf.DUMMYFUNCTION("""COMPUTED_VALUE"""),-0.483103803901689)</f>
        <v>-0.483103803901689</v>
      </c>
      <c r="DO13" s="3">
        <f ca="1">IFERROR(__xludf.DUMMYFUNCTION("""COMPUTED_VALUE"""),-0.519337955679605)</f>
        <v>-0.51933795567960495</v>
      </c>
      <c r="DP13" s="3">
        <f ca="1">IFERROR(__xludf.DUMMYFUNCTION("""COMPUTED_VALUE"""),-0.435834473004588)</f>
        <v>-0.435834473004588</v>
      </c>
      <c r="DQ13" s="3">
        <f ca="1">IFERROR(__xludf.DUMMYFUNCTION("""COMPUTED_VALUE"""),-0.475535853338178)</f>
        <v>-0.47553585333817799</v>
      </c>
      <c r="DR13" s="3">
        <f ca="1">IFERROR(__xludf.DUMMYFUNCTION("""COMPUTED_VALUE"""),-0.48876994056321)</f>
        <v>-0.48876994056320999</v>
      </c>
      <c r="DS13" s="3">
        <f ca="1">IFERROR(__xludf.DUMMYFUNCTION("""COMPUTED_VALUE"""),-0.558055195485876)</f>
        <v>-0.55805519548587601</v>
      </c>
      <c r="DT13" s="3">
        <f ca="1">IFERROR(__xludf.DUMMYFUNCTION("""COMPUTED_VALUE"""),-0.551662636876299)</f>
        <v>-0.55166263687629902</v>
      </c>
      <c r="DU13" s="3">
        <f ca="1">IFERROR(__xludf.DUMMYFUNCTION("""COMPUTED_VALUE"""),-0.561148770338812)</f>
        <v>-0.56114877033881205</v>
      </c>
      <c r="DV13" s="3">
        <f ca="1">IFERROR(__xludf.DUMMYFUNCTION("""COMPUTED_VALUE"""),-0.560317322283921)</f>
        <v>-0.56031732228392095</v>
      </c>
      <c r="DW13" s="3">
        <f ca="1">IFERROR(__xludf.DUMMYFUNCTION("""COMPUTED_VALUE"""),-0.533349345307397)</f>
        <v>-0.53334934530739697</v>
      </c>
      <c r="DX13" s="3">
        <f ca="1">IFERROR(__xludf.DUMMYFUNCTION("""COMPUTED_VALUE"""),-0.40293823276055)</f>
        <v>-0.40293823276055002</v>
      </c>
      <c r="DY13" s="3">
        <f ca="1">IFERROR(__xludf.DUMMYFUNCTION("""COMPUTED_VALUE"""),-0.464820718743876)</f>
        <v>-0.46482071874387598</v>
      </c>
      <c r="DZ13" s="3">
        <f ca="1">IFERROR(__xludf.DUMMYFUNCTION("""COMPUTED_VALUE"""),-0.473545946401281)</f>
        <v>-0.473545946401281</v>
      </c>
      <c r="EA13" s="3">
        <f ca="1">IFERROR(__xludf.DUMMYFUNCTION("""COMPUTED_VALUE"""),-0.473914716688657)</f>
        <v>-0.47391471668865698</v>
      </c>
      <c r="EB13" s="3">
        <f ca="1">IFERROR(__xludf.DUMMYFUNCTION("""COMPUTED_VALUE"""),-0.548555850375655)</f>
        <v>-0.54855585037565502</v>
      </c>
      <c r="EC13" s="3">
        <f ca="1">IFERROR(__xludf.DUMMYFUNCTION("""COMPUTED_VALUE"""),-0.579329738791394)</f>
        <v>-0.57932973879139404</v>
      </c>
      <c r="ED13" s="3">
        <f ca="1">IFERROR(__xludf.DUMMYFUNCTION("""COMPUTED_VALUE"""),-0.502896074215298)</f>
        <v>-0.50289607421529803</v>
      </c>
      <c r="EE13" s="3">
        <f ca="1">IFERROR(__xludf.DUMMYFUNCTION("""COMPUTED_VALUE"""),-0.524293028553042)</f>
        <v>-0.52429302855304205</v>
      </c>
      <c r="EF13" s="3">
        <f ca="1">IFERROR(__xludf.DUMMYFUNCTION("""COMPUTED_VALUE"""),-0.603622859272426)</f>
        <v>-0.60362285927242598</v>
      </c>
      <c r="EG13" s="3">
        <f ca="1">IFERROR(__xludf.DUMMYFUNCTION("""COMPUTED_VALUE"""),-0.795806815231497)</f>
        <v>-0.79580681523149699</v>
      </c>
      <c r="EH13" s="3">
        <f ca="1">IFERROR(__xludf.DUMMYFUNCTION("""COMPUTED_VALUE"""),-0.545856257804148)</f>
        <v>-0.54585625780414804</v>
      </c>
      <c r="EI13" s="3">
        <f ca="1">IFERROR(__xludf.DUMMYFUNCTION("""COMPUTED_VALUE"""),-0.527619456078531)</f>
        <v>-0.527619456078531</v>
      </c>
      <c r="EJ13" s="3">
        <f ca="1">IFERROR(__xludf.DUMMYFUNCTION("""COMPUTED_VALUE"""),-0.554879133637914)</f>
        <v>-0.55487913363791397</v>
      </c>
      <c r="EK13" s="3">
        <f ca="1">IFERROR(__xludf.DUMMYFUNCTION("""COMPUTED_VALUE"""),-0.455229371503424)</f>
        <v>-0.45522937150342402</v>
      </c>
      <c r="EL13" s="3">
        <f ca="1">IFERROR(__xludf.DUMMYFUNCTION("""COMPUTED_VALUE"""),-0.383630299411698)</f>
        <v>-0.38363029941169802</v>
      </c>
      <c r="EM13" s="3">
        <f ca="1">IFERROR(__xludf.DUMMYFUNCTION("""COMPUTED_VALUE"""),-0.443869346679901)</f>
        <v>-0.44386934667990102</v>
      </c>
      <c r="EN13" s="3">
        <f ca="1">IFERROR(__xludf.DUMMYFUNCTION("""COMPUTED_VALUE"""),-0.479343963369801)</f>
        <v>-0.47934396336980101</v>
      </c>
      <c r="EO13" s="3">
        <f ca="1">IFERROR(__xludf.DUMMYFUNCTION("""COMPUTED_VALUE"""),-0.505521463126285)</f>
        <v>-0.50552146312628499</v>
      </c>
      <c r="EP13" s="3">
        <f ca="1">IFERROR(__xludf.DUMMYFUNCTION("""COMPUTED_VALUE"""),-0.564817542366825)</f>
        <v>-0.56481754236682502</v>
      </c>
      <c r="EQ13" s="3">
        <f ca="1">IFERROR(__xludf.DUMMYFUNCTION("""COMPUTED_VALUE"""),-0.552771854155697)</f>
        <v>-0.55277185415569696</v>
      </c>
      <c r="ER13" s="3">
        <f ca="1">IFERROR(__xludf.DUMMYFUNCTION("""COMPUTED_VALUE"""),-0.357496331414751)</f>
        <v>-0.35749633141475101</v>
      </c>
      <c r="ES13" s="3">
        <f ca="1">IFERROR(__xludf.DUMMYFUNCTION("""COMPUTED_VALUE"""),-0.361772910580072)</f>
        <v>-0.36177291058007199</v>
      </c>
      <c r="ET13" s="3">
        <f ca="1">IFERROR(__xludf.DUMMYFUNCTION("""COMPUTED_VALUE"""),-0.512698826464028)</f>
        <v>-0.51269882646402798</v>
      </c>
      <c r="EU13" s="3">
        <f ca="1">IFERROR(__xludf.DUMMYFUNCTION("""COMPUTED_VALUE"""),-0.626346186686717)</f>
        <v>-0.62634618668671704</v>
      </c>
      <c r="EV13" s="3">
        <f ca="1">IFERROR(__xludf.DUMMYFUNCTION("""COMPUTED_VALUE"""),-0.612113949956317)</f>
        <v>-0.61211394995631696</v>
      </c>
      <c r="EW13" s="3">
        <f ca="1">IFERROR(__xludf.DUMMYFUNCTION("""COMPUTED_VALUE"""),-0.529872077725158)</f>
        <v>-0.52987207772515799</v>
      </c>
      <c r="EX13" s="3">
        <f ca="1">IFERROR(__xludf.DUMMYFUNCTION("""COMPUTED_VALUE"""),-0.535462990798614)</f>
        <v>-0.53546299079861404</v>
      </c>
      <c r="EY13" s="3">
        <f ca="1">IFERROR(__xludf.DUMMYFUNCTION("""COMPUTED_VALUE"""),-0.471681856109028)</f>
        <v>-0.47168185610902802</v>
      </c>
      <c r="EZ13" s="3">
        <f ca="1">IFERROR(__xludf.DUMMYFUNCTION("""COMPUTED_VALUE"""),-0.391254077301944)</f>
        <v>-0.391254077301944</v>
      </c>
      <c r="FA13" s="3">
        <f ca="1">IFERROR(__xludf.DUMMYFUNCTION("""COMPUTED_VALUE"""),-0.551678200741147)</f>
        <v>-0.55167820074114704</v>
      </c>
      <c r="FB13" s="3">
        <f ca="1">IFERROR(__xludf.DUMMYFUNCTION("""COMPUTED_VALUE"""),-0.63660300250266)</f>
        <v>-0.63660300250266</v>
      </c>
      <c r="FC13" s="3">
        <f ca="1">IFERROR(__xludf.DUMMYFUNCTION("""COMPUTED_VALUE"""),-0.615646622506893)</f>
        <v>-0.61564662250689295</v>
      </c>
      <c r="FD13" s="3">
        <f ca="1">IFERROR(__xludf.DUMMYFUNCTION("""COMPUTED_VALUE"""),-0.590216519874665)</f>
        <v>-0.59021651987466495</v>
      </c>
      <c r="FE13" s="3">
        <f ca="1">IFERROR(__xludf.DUMMYFUNCTION("""COMPUTED_VALUE"""),-0.559066326713889)</f>
        <v>-0.55906632671388901</v>
      </c>
      <c r="FF13" s="3">
        <f ca="1">IFERROR(__xludf.DUMMYFUNCTION("""COMPUTED_VALUE"""),-0.588451083045071)</f>
        <v>-0.58845108304507099</v>
      </c>
      <c r="FG13" s="3">
        <f ca="1">IFERROR(__xludf.DUMMYFUNCTION("""COMPUTED_VALUE"""),-0.432924641775259)</f>
        <v>-0.43292464177525902</v>
      </c>
      <c r="FH13" s="3">
        <f ca="1">IFERROR(__xludf.DUMMYFUNCTION("""COMPUTED_VALUE"""),-0.573374211066332)</f>
        <v>-0.57337421106633202</v>
      </c>
      <c r="FI13" s="3">
        <f ca="1">IFERROR(__xludf.DUMMYFUNCTION("""COMPUTED_VALUE"""),-0.611681860533835)</f>
        <v>-0.611681860533835</v>
      </c>
      <c r="FJ13" s="3">
        <f ca="1">IFERROR(__xludf.DUMMYFUNCTION("""COMPUTED_VALUE"""),-0.577034847742253)</f>
        <v>-0.577034847742253</v>
      </c>
      <c r="FK13" s="3">
        <f ca="1">IFERROR(__xludf.DUMMYFUNCTION("""COMPUTED_VALUE"""),-0.579878476042647)</f>
        <v>-0.57987847604264697</v>
      </c>
      <c r="FL13" s="3">
        <f ca="1">IFERROR(__xludf.DUMMYFUNCTION("""COMPUTED_VALUE"""),-0.533955715607967)</f>
        <v>-0.53395571560796695</v>
      </c>
      <c r="FM13" s="3">
        <f ca="1">IFERROR(__xludf.DUMMYFUNCTION("""COMPUTED_VALUE"""),-0.559881500531251)</f>
        <v>-0.55988150053125096</v>
      </c>
      <c r="FN13" s="3">
        <f ca="1">IFERROR(__xludf.DUMMYFUNCTION("""COMPUTED_VALUE"""),-0.324314534920219)</f>
        <v>-0.324314534920219</v>
      </c>
      <c r="FO13" s="3">
        <f ca="1">IFERROR(__xludf.DUMMYFUNCTION("""COMPUTED_VALUE"""),-0.541767335584637)</f>
        <v>-0.54176733558463697</v>
      </c>
      <c r="FP13" s="3">
        <f ca="1">IFERROR(__xludf.DUMMYFUNCTION("""COMPUTED_VALUE"""),-0.571998502873952)</f>
        <v>-0.57199850287395204</v>
      </c>
      <c r="FQ13" s="3">
        <f ca="1">IFERROR(__xludf.DUMMYFUNCTION("""COMPUTED_VALUE"""),-0.546705299508512)</f>
        <v>-0.54670529950851199</v>
      </c>
      <c r="FR13" s="3">
        <f ca="1">IFERROR(__xludf.DUMMYFUNCTION("""COMPUTED_VALUE"""),-0.553469747885457)</f>
        <v>-0.553469747885457</v>
      </c>
      <c r="FS13" s="3">
        <f ca="1">IFERROR(__xludf.DUMMYFUNCTION("""COMPUTED_VALUE"""),-0.527980239796329)</f>
        <v>-0.52798023979632902</v>
      </c>
      <c r="FT13" s="3">
        <f ca="1">IFERROR(__xludf.DUMMYFUNCTION("""COMPUTED_VALUE"""),-0.511345453466659)</f>
        <v>-0.51134545346665905</v>
      </c>
      <c r="FU13" s="3">
        <f ca="1">IFERROR(__xludf.DUMMYFUNCTION("""COMPUTED_VALUE"""),-0.367880932199971)</f>
        <v>-0.36788093219997098</v>
      </c>
      <c r="FV13" s="3">
        <f ca="1">IFERROR(__xludf.DUMMYFUNCTION("""COMPUTED_VALUE"""),-0.537079617881234)</f>
        <v>-0.53707961788123404</v>
      </c>
      <c r="FW13" s="3">
        <f ca="1">IFERROR(__xludf.DUMMYFUNCTION("""COMPUTED_VALUE"""),-0.573487606378248)</f>
        <v>-0.57348760637824803</v>
      </c>
      <c r="FX13" s="3">
        <f ca="1">IFERROR(__xludf.DUMMYFUNCTION("""COMPUTED_VALUE"""),-0.523080418394588)</f>
        <v>-0.52308041839458796</v>
      </c>
      <c r="FY13" s="3">
        <f ca="1">IFERROR(__xludf.DUMMYFUNCTION("""COMPUTED_VALUE"""),-0.573127804776152)</f>
        <v>-0.57312780477615199</v>
      </c>
      <c r="FZ13" s="3">
        <f ca="1">IFERROR(__xludf.DUMMYFUNCTION("""COMPUTED_VALUE"""),-0.581432656864036)</f>
        <v>-0.581432656864036</v>
      </c>
      <c r="GA13" s="3">
        <f ca="1">IFERROR(__xludf.DUMMYFUNCTION("""COMPUTED_VALUE"""),-0.515605558791231)</f>
        <v>-0.51560555879123104</v>
      </c>
      <c r="GB13" s="3">
        <f ca="1">IFERROR(__xludf.DUMMYFUNCTION("""COMPUTED_VALUE"""),-0.389427323248394)</f>
        <v>-0.38942732324839402</v>
      </c>
      <c r="GC13" s="3">
        <f ca="1">IFERROR(__xludf.DUMMYFUNCTION("""COMPUTED_VALUE"""),-0.555129847130914)</f>
        <v>-0.55512984713091396</v>
      </c>
      <c r="GD13" s="3">
        <f ca="1">IFERROR(__xludf.DUMMYFUNCTION("""COMPUTED_VALUE"""),-0.54166316023668)</f>
        <v>-0.54166316023668004</v>
      </c>
      <c r="GE13" s="3">
        <f ca="1">IFERROR(__xludf.DUMMYFUNCTION("""COMPUTED_VALUE"""),-0.549836857383924)</f>
        <v>-0.54983685738392396</v>
      </c>
      <c r="GF13" s="3">
        <f ca="1">IFERROR(__xludf.DUMMYFUNCTION("""COMPUTED_VALUE"""),-0.585279128629905)</f>
        <v>-0.58527912862990505</v>
      </c>
      <c r="GG13" s="3">
        <f ca="1">IFERROR(__xludf.DUMMYFUNCTION("""COMPUTED_VALUE"""),-0.562103195659938)</f>
        <v>-0.56210319565993805</v>
      </c>
      <c r="GH13" s="3">
        <f ca="1">IFERROR(__xludf.DUMMYFUNCTION("""COMPUTED_VALUE"""),-0.563926645504574)</f>
        <v>-0.56392664550457405</v>
      </c>
      <c r="GI13" s="3">
        <f ca="1">IFERROR(__xludf.DUMMYFUNCTION("""COMPUTED_VALUE"""),-0.41423598260806)</f>
        <v>-0.41423598260805999</v>
      </c>
      <c r="GJ13" s="3">
        <f ca="1">IFERROR(__xludf.DUMMYFUNCTION("""COMPUTED_VALUE"""),-0.570004960295184)</f>
        <v>-0.57000496029518399</v>
      </c>
      <c r="GK13" s="3">
        <f ca="1">IFERROR(__xludf.DUMMYFUNCTION("""COMPUTED_VALUE"""),-0.600910803031658)</f>
        <v>-0.600910803031658</v>
      </c>
      <c r="GL13" s="3">
        <f ca="1">IFERROR(__xludf.DUMMYFUNCTION("""COMPUTED_VALUE"""),-0.616448362564462)</f>
        <v>-0.616448362564462</v>
      </c>
      <c r="GM13" s="3">
        <f ca="1">IFERROR(__xludf.DUMMYFUNCTION("""COMPUTED_VALUE"""),-0.564220096098768)</f>
        <v>-0.564220096098768</v>
      </c>
      <c r="GN13" s="3">
        <f ca="1">IFERROR(__xludf.DUMMYFUNCTION("""COMPUTED_VALUE"""),-0.625576673897104)</f>
        <v>-0.62557667389710403</v>
      </c>
      <c r="GO13" s="3">
        <f ca="1">IFERROR(__xludf.DUMMYFUNCTION("""COMPUTED_VALUE"""),-0.519303000485864)</f>
        <v>-0.51930300048586397</v>
      </c>
      <c r="GP13" s="3">
        <f ca="1">IFERROR(__xludf.DUMMYFUNCTION("""COMPUTED_VALUE"""),-0.49973048742868)</f>
        <v>-0.49973048742867998</v>
      </c>
      <c r="GQ13" s="3">
        <f ca="1">IFERROR(__xludf.DUMMYFUNCTION("""COMPUTED_VALUE"""),-0.568554207320255)</f>
        <v>-0.56855420732025497</v>
      </c>
      <c r="GR13" s="3">
        <f ca="1">IFERROR(__xludf.DUMMYFUNCTION("""COMPUTED_VALUE"""),-0.597565034534143)</f>
        <v>-0.597565034534143</v>
      </c>
      <c r="GS13" s="3">
        <f ca="1">IFERROR(__xludf.DUMMYFUNCTION("""COMPUTED_VALUE"""),-0.630922723787299)</f>
        <v>-0.63092272378729897</v>
      </c>
      <c r="GT13" s="3">
        <f ca="1">IFERROR(__xludf.DUMMYFUNCTION("""COMPUTED_VALUE"""),-0.65794573419083)</f>
        <v>-0.65794573419083002</v>
      </c>
      <c r="GU13" s="3">
        <f ca="1">IFERROR(__xludf.DUMMYFUNCTION("""COMPUTED_VALUE"""),-0.58312378350903)</f>
        <v>-0.58312378350903005</v>
      </c>
      <c r="GV13" s="3">
        <f ca="1">IFERROR(__xludf.DUMMYFUNCTION("""COMPUTED_VALUE"""),-0.483508308249666)</f>
        <v>-0.48350830824966601</v>
      </c>
      <c r="GW13" s="3">
        <f ca="1">IFERROR(__xludf.DUMMYFUNCTION("""COMPUTED_VALUE"""),-0.557744930866204)</f>
        <v>-0.55774493086620403</v>
      </c>
      <c r="GX13" s="3">
        <f ca="1">IFERROR(__xludf.DUMMYFUNCTION("""COMPUTED_VALUE"""),-0.650051965767249)</f>
        <v>-0.650051965767249</v>
      </c>
      <c r="GY13" s="3">
        <f ca="1">IFERROR(__xludf.DUMMYFUNCTION("""COMPUTED_VALUE"""),-0.631760595053982)</f>
        <v>-0.63176059505398197</v>
      </c>
      <c r="GZ13" s="3">
        <f ca="1">IFERROR(__xludf.DUMMYFUNCTION("""COMPUTED_VALUE"""),-0.637196205739898)</f>
        <v>-0.63719620573989799</v>
      </c>
      <c r="HA13" s="3">
        <f ca="1">IFERROR(__xludf.DUMMYFUNCTION("""COMPUTED_VALUE"""),-0.626207045795238)</f>
        <v>-0.626207045795238</v>
      </c>
      <c r="HB13" s="3">
        <f ca="1">IFERROR(__xludf.DUMMYFUNCTION("""COMPUTED_VALUE"""),-0.562302796801664)</f>
        <v>-0.56230279680166395</v>
      </c>
      <c r="HC13" s="3">
        <f ca="1">IFERROR(__xludf.DUMMYFUNCTION("""COMPUTED_VALUE"""),-0.484564328727009)</f>
        <v>-0.484564328727009</v>
      </c>
      <c r="HD13" s="3">
        <f ca="1">IFERROR(__xludf.DUMMYFUNCTION("""COMPUTED_VALUE"""),-0.500777150795434)</f>
        <v>-0.50077715079543395</v>
      </c>
      <c r="HE13" s="3">
        <f ca="1">IFERROR(__xludf.DUMMYFUNCTION("""COMPUTED_VALUE"""),-0.499739353385579)</f>
        <v>-0.49973935338557901</v>
      </c>
      <c r="HF13" s="3">
        <f ca="1">IFERROR(__xludf.DUMMYFUNCTION("""COMPUTED_VALUE"""),-0.489848926465253)</f>
        <v>-0.48984892646525302</v>
      </c>
      <c r="HG13" s="3">
        <f ca="1">IFERROR(__xludf.DUMMYFUNCTION("""COMPUTED_VALUE"""),-0.417187904674064)</f>
        <v>-0.41718790467406403</v>
      </c>
      <c r="HH13" s="3">
        <f ca="1">IFERROR(__xludf.DUMMYFUNCTION("""COMPUTED_VALUE"""),-0.522345763380455)</f>
        <v>-0.52234576338045502</v>
      </c>
      <c r="HI13" s="3">
        <f ca="1">IFERROR(__xludf.DUMMYFUNCTION("""COMPUTED_VALUE"""),-0.496567905653155)</f>
        <v>-0.49656790565315501</v>
      </c>
      <c r="HJ13" s="3">
        <f ca="1">IFERROR(__xludf.DUMMYFUNCTION("""COMPUTED_VALUE"""),-0.501077679507712)</f>
        <v>-0.50107767950771198</v>
      </c>
      <c r="HK13" s="3">
        <f ca="1">IFERROR(__xludf.DUMMYFUNCTION("""COMPUTED_VALUE"""),-0.500552780779001)</f>
        <v>-0.50055278077900101</v>
      </c>
      <c r="HL13" s="3">
        <f ca="1">IFERROR(__xludf.DUMMYFUNCTION("""COMPUTED_VALUE"""),-0.527741497376886)</f>
        <v>-0.52774149737688603</v>
      </c>
      <c r="HM13" s="3">
        <f ca="1">IFERROR(__xludf.DUMMYFUNCTION("""COMPUTED_VALUE"""),-0.457336312217475)</f>
        <v>-0.45733631221747501</v>
      </c>
      <c r="HN13" s="3">
        <f ca="1">IFERROR(__xludf.DUMMYFUNCTION("""COMPUTED_VALUE"""),-0.445338397916216)</f>
        <v>-0.44533839791621599</v>
      </c>
      <c r="HO13" s="3">
        <f ca="1">IFERROR(__xludf.DUMMYFUNCTION("""COMPUTED_VALUE"""),-0.498864223656569)</f>
        <v>-0.49886422365656902</v>
      </c>
      <c r="HP13" s="3">
        <f ca="1">IFERROR(__xludf.DUMMYFUNCTION("""COMPUTED_VALUE"""),-0.483157379477015)</f>
        <v>-0.48315737947701498</v>
      </c>
      <c r="HQ13" s="3">
        <f ca="1">IFERROR(__xludf.DUMMYFUNCTION("""COMPUTED_VALUE"""),-0.444613150808751)</f>
        <v>-0.44461315080875102</v>
      </c>
      <c r="HR13" s="3">
        <f ca="1">IFERROR(__xludf.DUMMYFUNCTION("""COMPUTED_VALUE"""),-0.430830617391614)</f>
        <v>-0.43083061739161399</v>
      </c>
      <c r="HS13" s="3">
        <f ca="1">IFERROR(__xludf.DUMMYFUNCTION("""COMPUTED_VALUE"""),-0.552853801868259)</f>
        <v>-0.55285380186825905</v>
      </c>
      <c r="HT13" s="3">
        <f ca="1">IFERROR(__xludf.DUMMYFUNCTION("""COMPUTED_VALUE"""),-0.454584921400594)</f>
        <v>-0.45458492140059398</v>
      </c>
      <c r="HU13" s="3">
        <f ca="1">IFERROR(__xludf.DUMMYFUNCTION("""COMPUTED_VALUE"""),-0.481421516670337)</f>
        <v>-0.481421516670337</v>
      </c>
      <c r="HV13" s="3">
        <f ca="1">IFERROR(__xludf.DUMMYFUNCTION("""COMPUTED_VALUE"""),-0.521596565019698)</f>
        <v>-0.52159656501969798</v>
      </c>
      <c r="HW13" s="3">
        <f ca="1">IFERROR(__xludf.DUMMYFUNCTION("""COMPUTED_VALUE"""),-0.563459071877242)</f>
        <v>-0.56345907187724198</v>
      </c>
      <c r="HX13" s="3">
        <f ca="1">IFERROR(__xludf.DUMMYFUNCTION("""COMPUTED_VALUE"""),-0.485332410983652)</f>
        <v>-0.48533241098365199</v>
      </c>
      <c r="HY13" s="3">
        <f ca="1">IFERROR(__xludf.DUMMYFUNCTION("""COMPUTED_VALUE"""),-0.440284331151495)</f>
        <v>-0.44028433115149501</v>
      </c>
      <c r="HZ13" s="3">
        <f ca="1">IFERROR(__xludf.DUMMYFUNCTION("""COMPUTED_VALUE"""),-0.613780836421401)</f>
        <v>-0.61378083642140102</v>
      </c>
      <c r="IA13" s="3">
        <f ca="1">IFERROR(__xludf.DUMMYFUNCTION("""COMPUTED_VALUE"""),-0.643400932144227)</f>
        <v>-0.643400932144227</v>
      </c>
      <c r="IB13" s="3">
        <f ca="1">IFERROR(__xludf.DUMMYFUNCTION("""COMPUTED_VALUE"""),-0.691931546699266)</f>
        <v>-0.69193154669926604</v>
      </c>
      <c r="IC13" s="3">
        <f ca="1">IFERROR(__xludf.DUMMYFUNCTION("""COMPUTED_VALUE"""),-0.661736039208148)</f>
        <v>-0.66173603920814805</v>
      </c>
      <c r="ID13" s="3">
        <f ca="1">IFERROR(__xludf.DUMMYFUNCTION("""COMPUTED_VALUE"""),-0.607947332732976)</f>
        <v>-0.60794733273297596</v>
      </c>
      <c r="IE13" s="3">
        <f ca="1">IFERROR(__xludf.DUMMYFUNCTION("""COMPUTED_VALUE"""),-0.455858706177547)</f>
        <v>-0.45585870617754698</v>
      </c>
      <c r="IF13" s="3">
        <f ca="1">IFERROR(__xludf.DUMMYFUNCTION("""COMPUTED_VALUE"""),-0.402672896386279)</f>
        <v>-0.40267289638627901</v>
      </c>
      <c r="IG13" s="3">
        <f ca="1">IFERROR(__xludf.DUMMYFUNCTION("""COMPUTED_VALUE"""),-0.560687678305443)</f>
        <v>-0.56068767830544297</v>
      </c>
      <c r="IH13" s="3">
        <f ca="1">IFERROR(__xludf.DUMMYFUNCTION("""COMPUTED_VALUE"""),-0.616920557371029)</f>
        <v>-0.61692055737102902</v>
      </c>
      <c r="II13" s="3">
        <f ca="1">IFERROR(__xludf.DUMMYFUNCTION("""COMPUTED_VALUE"""),-0.655122574162293)</f>
        <v>-0.65512257416229303</v>
      </c>
      <c r="IJ13" s="3">
        <f ca="1">IFERROR(__xludf.DUMMYFUNCTION("""COMPUTED_VALUE"""),-0.661877058746966)</f>
        <v>-0.66187705874696601</v>
      </c>
      <c r="IK13" s="3">
        <f ca="1">IFERROR(__xludf.DUMMYFUNCTION("""COMPUTED_VALUE"""),-0.595541444982993)</f>
        <v>-0.595541444982993</v>
      </c>
      <c r="IL13" s="3">
        <f ca="1">IFERROR(__xludf.DUMMYFUNCTION("""COMPUTED_VALUE"""),-0.547409477987196)</f>
        <v>-0.54740947798719597</v>
      </c>
      <c r="IM13" s="3">
        <f ca="1">IFERROR(__xludf.DUMMYFUNCTION("""COMPUTED_VALUE"""),-0.453232820690079)</f>
        <v>-0.45323282069007897</v>
      </c>
      <c r="IN13" s="3">
        <f ca="1">IFERROR(__xludf.DUMMYFUNCTION("""COMPUTED_VALUE"""),-0.473923325231386)</f>
        <v>-0.47392332523138597</v>
      </c>
      <c r="IO13" s="3">
        <f ca="1">IFERROR(__xludf.DUMMYFUNCTION("""COMPUTED_VALUE"""),-0.625646666567309)</f>
        <v>-0.62564666656730905</v>
      </c>
      <c r="IP13" s="3">
        <f ca="1">IFERROR(__xludf.DUMMYFUNCTION("""COMPUTED_VALUE"""),-0.62468272625996)</f>
        <v>-0.62468272625996002</v>
      </c>
      <c r="IQ13" s="3">
        <f ca="1">IFERROR(__xludf.DUMMYFUNCTION("""COMPUTED_VALUE"""),-0.591770042550611)</f>
        <v>-0.59177004255061105</v>
      </c>
      <c r="IR13" s="3">
        <f ca="1">IFERROR(__xludf.DUMMYFUNCTION("""COMPUTED_VALUE"""),-0.680013248611015)</f>
        <v>-0.68001324861101498</v>
      </c>
      <c r="IS13" s="3">
        <f ca="1">IFERROR(__xludf.DUMMYFUNCTION("""COMPUTED_VALUE"""),-0.516483689025327)</f>
        <v>-0.51648368902532704</v>
      </c>
      <c r="IT13" s="3">
        <f ca="1">IFERROR(__xludf.DUMMYFUNCTION("""COMPUTED_VALUE"""),-0.456449004849067)</f>
        <v>-0.45644900484906697</v>
      </c>
      <c r="IU13" s="3">
        <f ca="1">IFERROR(__xludf.DUMMYFUNCTION("""COMPUTED_VALUE"""),-0.557775564421021)</f>
        <v>-0.55777556442102105</v>
      </c>
      <c r="IV13" s="3">
        <f ca="1">IFERROR(__xludf.DUMMYFUNCTION("""COMPUTED_VALUE"""),-0.534145114459787)</f>
        <v>-0.53414511445978696</v>
      </c>
      <c r="IW13" s="3">
        <f ca="1">IFERROR(__xludf.DUMMYFUNCTION("""COMPUTED_VALUE"""),-0.571817708176729)</f>
        <v>-0.57181770817672894</v>
      </c>
      <c r="IX13" s="3">
        <f ca="1">IFERROR(__xludf.DUMMYFUNCTION("""COMPUTED_VALUE"""),-0.604415963318117)</f>
        <v>-0.60441596331811698</v>
      </c>
      <c r="IY13" s="3">
        <f ca="1">IFERROR(__xludf.DUMMYFUNCTION("""COMPUTED_VALUE"""),-0.592187337617289)</f>
        <v>-0.59218733761728903</v>
      </c>
      <c r="IZ13" s="3">
        <f ca="1">IFERROR(__xludf.DUMMYFUNCTION("""COMPUTED_VALUE"""),-0.540726816003759)</f>
        <v>-0.54072681600375905</v>
      </c>
      <c r="JA13" s="3">
        <f ca="1">IFERROR(__xludf.DUMMYFUNCTION("""COMPUTED_VALUE"""),-0.471881531252807)</f>
        <v>-0.47188153125280702</v>
      </c>
      <c r="JB13" s="3">
        <f ca="1">IFERROR(__xludf.DUMMYFUNCTION("""COMPUTED_VALUE"""),-0.509322326250606)</f>
        <v>-0.50932232625060603</v>
      </c>
      <c r="JC13" s="3">
        <f ca="1">IFERROR(__xludf.DUMMYFUNCTION("""COMPUTED_VALUE"""),-0.500615700770336)</f>
        <v>-0.50061570077033601</v>
      </c>
      <c r="JD13" s="3">
        <f ca="1">IFERROR(__xludf.DUMMYFUNCTION("""COMPUTED_VALUE"""),-0.537035035989551)</f>
        <v>-0.53703503598955105</v>
      </c>
      <c r="JE13" s="3">
        <f ca="1">IFERROR(__xludf.DUMMYFUNCTION("""COMPUTED_VALUE"""),-0.492432556563318)</f>
        <v>-0.49243255656331802</v>
      </c>
      <c r="JF13" s="3">
        <f ca="1">IFERROR(__xludf.DUMMYFUNCTION("""COMPUTED_VALUE"""),-0.548616305152787)</f>
        <v>-0.54861630515278703</v>
      </c>
      <c r="JG13" s="3">
        <f ca="1">IFERROR(__xludf.DUMMYFUNCTION("""COMPUTED_VALUE"""),-0.476039690945987)</f>
        <v>-0.47603969094598703</v>
      </c>
      <c r="JH13" s="3">
        <f ca="1">IFERROR(__xludf.DUMMYFUNCTION("""COMPUTED_VALUE"""),-0.559501261092963)</f>
        <v>-0.55950126109296305</v>
      </c>
      <c r="JI13" s="3">
        <f ca="1">IFERROR(__xludf.DUMMYFUNCTION("""COMPUTED_VALUE"""),-0.549019641664552)</f>
        <v>-0.54901964166455197</v>
      </c>
      <c r="JJ13" s="3">
        <f ca="1">IFERROR(__xludf.DUMMYFUNCTION("""COMPUTED_VALUE"""),-0.565304954320776)</f>
        <v>-0.56530495432077599</v>
      </c>
      <c r="JK13" s="3">
        <f ca="1">IFERROR(__xludf.DUMMYFUNCTION("""COMPUTED_VALUE"""),-0.592894642570226)</f>
        <v>-0.59289464257022595</v>
      </c>
      <c r="JL13" s="3">
        <f ca="1">IFERROR(__xludf.DUMMYFUNCTION("""COMPUTED_VALUE"""),-0.583268594019666)</f>
        <v>-0.58326859401966602</v>
      </c>
      <c r="JM13" s="3">
        <f ca="1">IFERROR(__xludf.DUMMYFUNCTION("""COMPUTED_VALUE"""),-0.608482440178623)</f>
        <v>-0.60848244017862296</v>
      </c>
      <c r="JN13" s="3">
        <f ca="1">IFERROR(__xludf.DUMMYFUNCTION("""COMPUTED_VALUE"""),-0.476287844237918)</f>
        <v>-0.47628784423791798</v>
      </c>
      <c r="JO13" s="3">
        <f ca="1">IFERROR(__xludf.DUMMYFUNCTION("""COMPUTED_VALUE"""),-0.492851135957269)</f>
        <v>-0.49285113595726898</v>
      </c>
      <c r="JP13" s="3">
        <f ca="1">IFERROR(__xludf.DUMMYFUNCTION("""COMPUTED_VALUE"""),-0.511893082029961)</f>
        <v>-0.51189308202996098</v>
      </c>
      <c r="JQ13" s="3">
        <f ca="1">IFERROR(__xludf.DUMMYFUNCTION("""COMPUTED_VALUE"""),-0.455574458498936)</f>
        <v>-0.45557445849893602</v>
      </c>
      <c r="JR13" s="3">
        <f ca="1">IFERROR(__xludf.DUMMYFUNCTION("""COMPUTED_VALUE"""),-0.551367947424549)</f>
        <v>-0.55136794742454898</v>
      </c>
      <c r="JS13" s="3">
        <f ca="1">IFERROR(__xludf.DUMMYFUNCTION("""COMPUTED_VALUE"""),-0.641650279364461)</f>
        <v>-0.64165027936446095</v>
      </c>
      <c r="JT13" s="3">
        <f ca="1">IFERROR(__xludf.DUMMYFUNCTION("""COMPUTED_VALUE"""),-0.595035409108292)</f>
        <v>-0.595035409108292</v>
      </c>
      <c r="JU13" s="3">
        <f ca="1">IFERROR(__xludf.DUMMYFUNCTION("""COMPUTED_VALUE"""),-0.495731427411416)</f>
        <v>-0.49573142741141601</v>
      </c>
      <c r="JV13" s="3">
        <f ca="1">IFERROR(__xludf.DUMMYFUNCTION("""COMPUTED_VALUE"""),-0.491103931479321)</f>
        <v>-0.49110393147932102</v>
      </c>
      <c r="JW13" s="3">
        <f ca="1">IFERROR(__xludf.DUMMYFUNCTION("""COMPUTED_VALUE"""),-0.509512821656525)</f>
        <v>-0.50951282165652501</v>
      </c>
      <c r="JX13" s="3">
        <f ca="1">IFERROR(__xludf.DUMMYFUNCTION("""COMPUTED_VALUE"""),-0.475119316038273)</f>
        <v>-0.47511931603827301</v>
      </c>
      <c r="JY13" s="3">
        <f ca="1">IFERROR(__xludf.DUMMYFUNCTION("""COMPUTED_VALUE"""),-0.538784372587392)</f>
        <v>-0.53878437258739198</v>
      </c>
      <c r="JZ13" s="3">
        <f ca="1">IFERROR(__xludf.DUMMYFUNCTION("""COMPUTED_VALUE"""),-0.599797239709677)</f>
        <v>-0.59979723970967702</v>
      </c>
      <c r="KA13" s="3">
        <f ca="1">IFERROR(__xludf.DUMMYFUNCTION("""COMPUTED_VALUE"""),-0.523849286413608)</f>
        <v>-0.52384928641360795</v>
      </c>
      <c r="KB13" s="3">
        <f ca="1">IFERROR(__xludf.DUMMYFUNCTION("""COMPUTED_VALUE"""),-0.49711999445689)</f>
        <v>-0.49711999445688998</v>
      </c>
      <c r="KC13" s="3">
        <f ca="1">IFERROR(__xludf.DUMMYFUNCTION("""COMPUTED_VALUE"""),-0.534552664376521)</f>
        <v>-0.53455266437652105</v>
      </c>
      <c r="KD13" s="3">
        <f ca="1">IFERROR(__xludf.DUMMYFUNCTION("""COMPUTED_VALUE"""),-0.390379536523188)</f>
        <v>-0.39037953652318802</v>
      </c>
      <c r="KE13" s="3">
        <f ca="1">IFERROR(__xludf.DUMMYFUNCTION("""COMPUTED_VALUE"""),-0.438003011519431)</f>
        <v>-0.438003011519431</v>
      </c>
      <c r="KF13" s="3">
        <f ca="1">IFERROR(__xludf.DUMMYFUNCTION("""COMPUTED_VALUE"""),-0.50497048444527)</f>
        <v>-0.50497048444527004</v>
      </c>
      <c r="KG13" s="3">
        <f ca="1">IFERROR(__xludf.DUMMYFUNCTION("""COMPUTED_VALUE"""),-0.549582140616007)</f>
        <v>-0.54958214061600696</v>
      </c>
      <c r="KH13" s="3">
        <f ca="1">IFERROR(__xludf.DUMMYFUNCTION("""COMPUTED_VALUE"""),-0.570555939888379)</f>
        <v>-0.57055593988837905</v>
      </c>
      <c r="KI13" s="3">
        <f ca="1">IFERROR(__xludf.DUMMYFUNCTION("""COMPUTED_VALUE"""),-0.395010113967983)</f>
        <v>-0.39501011396798302</v>
      </c>
      <c r="KJ13" s="3">
        <f ca="1">IFERROR(__xludf.DUMMYFUNCTION("""COMPUTED_VALUE"""),-0.460956839435764)</f>
        <v>-0.46095683943576399</v>
      </c>
      <c r="KK13" s="3">
        <f ca="1">IFERROR(__xludf.DUMMYFUNCTION("""COMPUTED_VALUE"""),-0.518452424631818)</f>
        <v>-0.51845242463181795</v>
      </c>
      <c r="KL13" s="3">
        <f ca="1">IFERROR(__xludf.DUMMYFUNCTION("""COMPUTED_VALUE"""),-0.415314323494785)</f>
        <v>-0.41531432349478498</v>
      </c>
      <c r="KM13" s="3">
        <f ca="1">IFERROR(__xludf.DUMMYFUNCTION("""COMPUTED_VALUE"""),-0.550975359410125)</f>
        <v>-0.55097535941012499</v>
      </c>
      <c r="KN13" s="3">
        <f ca="1">IFERROR(__xludf.DUMMYFUNCTION("""COMPUTED_VALUE"""),-0.496557479333109)</f>
        <v>-0.49655747933310901</v>
      </c>
      <c r="KO13" s="3">
        <f ca="1">IFERROR(__xludf.DUMMYFUNCTION("""COMPUTED_VALUE"""),-0.539387917580361)</f>
        <v>-0.53938791758036098</v>
      </c>
      <c r="KP13" s="3">
        <f ca="1">IFERROR(__xludf.DUMMYFUNCTION("""COMPUTED_VALUE"""),-0.549995408699104)</f>
        <v>-0.54999540869910402</v>
      </c>
      <c r="KQ13" s="3">
        <f ca="1">IFERROR(__xludf.DUMMYFUNCTION("""COMPUTED_VALUE"""),-0.461522136790973)</f>
        <v>-0.46152213679097298</v>
      </c>
      <c r="KR13" s="3">
        <f ca="1">IFERROR(__xludf.DUMMYFUNCTION("""COMPUTED_VALUE"""),-0.530616667893999)</f>
        <v>-0.53061666789399897</v>
      </c>
      <c r="KS13" s="3">
        <f ca="1">IFERROR(__xludf.DUMMYFUNCTION("""COMPUTED_VALUE"""),-0.612972331030615)</f>
        <v>-0.61297233103061499</v>
      </c>
      <c r="KT13" s="3">
        <f ca="1">IFERROR(__xludf.DUMMYFUNCTION("""COMPUTED_VALUE"""),-0.585088930296352)</f>
        <v>-0.58508893029635201</v>
      </c>
      <c r="KU13" s="3">
        <f ca="1">IFERROR(__xludf.DUMMYFUNCTION("""COMPUTED_VALUE"""),-0.633319939271159)</f>
        <v>-0.63331993927115904</v>
      </c>
      <c r="KV13" s="3">
        <f ca="1">IFERROR(__xludf.DUMMYFUNCTION("""COMPUTED_VALUE"""),-0.620169195756075)</f>
        <v>-0.62016919575607499</v>
      </c>
      <c r="KW13" s="3">
        <f ca="1">IFERROR(__xludf.DUMMYFUNCTION("""COMPUTED_VALUE"""),-0.549321388382159)</f>
        <v>-0.54932138838215905</v>
      </c>
      <c r="KX13" s="3">
        <f ca="1">IFERROR(__xludf.DUMMYFUNCTION("""COMPUTED_VALUE"""),-0.596628010906913)</f>
        <v>-0.59662801090691298</v>
      </c>
      <c r="KY13" s="3">
        <f ca="1">IFERROR(__xludf.DUMMYFUNCTION("""COMPUTED_VALUE"""),-0.577438055208303)</f>
        <v>-0.57743805520830305</v>
      </c>
      <c r="KZ13" s="3">
        <f ca="1">IFERROR(__xludf.DUMMYFUNCTION("""COMPUTED_VALUE"""),-0.523931361310931)</f>
        <v>-0.52393136131093099</v>
      </c>
      <c r="LA13" s="3">
        <f ca="1">IFERROR(__xludf.DUMMYFUNCTION("""COMPUTED_VALUE"""),-0.507030149196721)</f>
        <v>-0.50703014919672096</v>
      </c>
      <c r="LB13" s="3">
        <f ca="1">IFERROR(__xludf.DUMMYFUNCTION("""COMPUTED_VALUE"""),-0.603036215145219)</f>
        <v>-0.60303621514521899</v>
      </c>
      <c r="LC13" s="3">
        <f ca="1">IFERROR(__xludf.DUMMYFUNCTION("""COMPUTED_VALUE"""),-0.545115344931466)</f>
        <v>-0.54511534493146596</v>
      </c>
      <c r="LD13" s="3">
        <f ca="1">IFERROR(__xludf.DUMMYFUNCTION("""COMPUTED_VALUE"""),-0.615358901864322)</f>
        <v>-0.61535890186432196</v>
      </c>
      <c r="LE13" s="3">
        <f ca="1">IFERROR(__xludf.DUMMYFUNCTION("""COMPUTED_VALUE"""),-0.486838003782851)</f>
        <v>-0.48683800378285103</v>
      </c>
      <c r="LF13" s="3">
        <f ca="1">IFERROR(__xludf.DUMMYFUNCTION("""COMPUTED_VALUE"""),-0.582466171068427)</f>
        <v>-0.58246617106842702</v>
      </c>
      <c r="LG13" s="3">
        <f ca="1">IFERROR(__xludf.DUMMYFUNCTION("""COMPUTED_VALUE"""),-0.560208157821175)</f>
        <v>-0.56020815782117495</v>
      </c>
      <c r="LH13" s="3">
        <f ca="1">IFERROR(__xludf.DUMMYFUNCTION("""COMPUTED_VALUE"""),-0.689191751586255)</f>
        <v>-0.68919175158625501</v>
      </c>
      <c r="LI13" s="3">
        <f ca="1">IFERROR(__xludf.DUMMYFUNCTION("""COMPUTED_VALUE"""),-0.627833478713492)</f>
        <v>-0.62783347871349204</v>
      </c>
      <c r="LJ13" s="3">
        <f ca="1">IFERROR(__xludf.DUMMYFUNCTION("""COMPUTED_VALUE"""),-0.714942509162985)</f>
        <v>-0.71494250916298496</v>
      </c>
      <c r="LK13" s="3">
        <f ca="1">IFERROR(__xludf.DUMMYFUNCTION("""COMPUTED_VALUE"""),-0.571031659700155)</f>
        <v>-0.57103165970015501</v>
      </c>
      <c r="LL13" s="3">
        <f ca="1">IFERROR(__xludf.DUMMYFUNCTION("""COMPUTED_VALUE"""),-0.538567369929527)</f>
        <v>-0.53856736992952703</v>
      </c>
      <c r="LM13" s="3">
        <f ca="1">IFERROR(__xludf.DUMMYFUNCTION("""COMPUTED_VALUE"""),-0.594560414758472)</f>
        <v>-0.59456041475847199</v>
      </c>
      <c r="LN13" s="3">
        <f ca="1">IFERROR(__xludf.DUMMYFUNCTION("""COMPUTED_VALUE"""),-0.681454229873307)</f>
        <v>-0.68145422987330695</v>
      </c>
      <c r="LO13" s="3">
        <f ca="1">IFERROR(__xludf.DUMMYFUNCTION("""COMPUTED_VALUE"""),-0.689180800653387)</f>
        <v>-0.68918080065338705</v>
      </c>
      <c r="LP13" s="3">
        <f ca="1">IFERROR(__xludf.DUMMYFUNCTION("""COMPUTED_VALUE"""),-0.660490238377071)</f>
        <v>-0.66049023837707099</v>
      </c>
      <c r="LQ13" s="3">
        <f ca="1">IFERROR(__xludf.DUMMYFUNCTION("""COMPUTED_VALUE"""),-0.57445281279837)</f>
        <v>-0.57445281279837002</v>
      </c>
      <c r="LR13" s="3">
        <f ca="1">IFERROR(__xludf.DUMMYFUNCTION("""COMPUTED_VALUE"""),-0.680844366746786)</f>
        <v>-0.68084436674678595</v>
      </c>
      <c r="LS13" s="3">
        <f ca="1">IFERROR(__xludf.DUMMYFUNCTION("""COMPUTED_VALUE"""),-0.618436251810498)</f>
        <v>-0.61843625181049799</v>
      </c>
      <c r="LT13" s="3">
        <f ca="1">IFERROR(__xludf.DUMMYFUNCTION("""COMPUTED_VALUE"""),-0.712728729421889)</f>
        <v>-0.71272872942188903</v>
      </c>
      <c r="LU13" s="3">
        <f ca="1">IFERROR(__xludf.DUMMYFUNCTION("""COMPUTED_VALUE"""),-0.641053225010085)</f>
        <v>-0.64105322501008499</v>
      </c>
      <c r="LV13" s="3">
        <f ca="1">IFERROR(__xludf.DUMMYFUNCTION("""COMPUTED_VALUE"""),-0.696864369392716)</f>
        <v>-0.69686436939271601</v>
      </c>
      <c r="LW13" s="3">
        <f ca="1">IFERROR(__xludf.DUMMYFUNCTION("""COMPUTED_VALUE"""),-0.607983291496845)</f>
        <v>-0.60798329149684505</v>
      </c>
      <c r="LX13" s="3">
        <f ca="1">IFERROR(__xludf.DUMMYFUNCTION("""COMPUTED_VALUE"""),-0.543283175908132)</f>
        <v>-0.54328317590813202</v>
      </c>
      <c r="LY13" s="3">
        <f ca="1">IFERROR(__xludf.DUMMYFUNCTION("""COMPUTED_VALUE"""),-0.664364661694371)</f>
        <v>-0.66436466169437103</v>
      </c>
      <c r="LZ13" s="3">
        <f ca="1">IFERROR(__xludf.DUMMYFUNCTION("""COMPUTED_VALUE"""),-0.59801951270198)</f>
        <v>-0.59801951270197995</v>
      </c>
      <c r="MA13" s="3">
        <f ca="1">IFERROR(__xludf.DUMMYFUNCTION("""COMPUTED_VALUE"""),-0.698240095931406)</f>
        <v>-0.69824009593140601</v>
      </c>
      <c r="MB13" s="3">
        <f ca="1">IFERROR(__xludf.DUMMYFUNCTION("""COMPUTED_VALUE"""),-0.760514611637313)</f>
        <v>-0.76051461163731304</v>
      </c>
      <c r="MC13" s="3">
        <f ca="1">IFERROR(__xludf.DUMMYFUNCTION("""COMPUTED_VALUE"""),-0.728265569141311)</f>
        <v>-0.72826556914131102</v>
      </c>
      <c r="MD13" s="3">
        <f ca="1">IFERROR(__xludf.DUMMYFUNCTION("""COMPUTED_VALUE"""),-0.727280722908476)</f>
        <v>-0.72728072290847601</v>
      </c>
      <c r="ME13" s="3">
        <f ca="1">IFERROR(__xludf.DUMMYFUNCTION("""COMPUTED_VALUE"""),-0.736177205731091)</f>
        <v>-0.73617720573109102</v>
      </c>
      <c r="MF13" s="3">
        <f ca="1">IFERROR(__xludf.DUMMYFUNCTION("""COMPUTED_VALUE"""),-0.67738236322946)</f>
        <v>-0.67738236322945999</v>
      </c>
      <c r="MG13" s="3">
        <f ca="1">IFERROR(__xludf.DUMMYFUNCTION("""COMPUTED_VALUE"""),-0.677635001820284)</f>
        <v>-0.67763500182028402</v>
      </c>
      <c r="MH13" s="3">
        <f ca="1">IFERROR(__xludf.DUMMYFUNCTION("""COMPUTED_VALUE"""),-0.684583046785207)</f>
        <v>-0.68458304678520698</v>
      </c>
      <c r="MI13" s="3">
        <f ca="1">IFERROR(__xludf.DUMMYFUNCTION("""COMPUTED_VALUE"""),-0.770931148849803)</f>
        <v>-0.77093114884980296</v>
      </c>
      <c r="MJ13" s="3">
        <f ca="1">IFERROR(__xludf.DUMMYFUNCTION("""COMPUTED_VALUE"""),-0.739836519525053)</f>
        <v>-0.73983651952505303</v>
      </c>
      <c r="MK13" s="3">
        <f ca="1">IFERROR(__xludf.DUMMYFUNCTION("""COMPUTED_VALUE"""),-0.775018505946576)</f>
        <v>-0.77501850594657595</v>
      </c>
      <c r="ML13" s="3">
        <f ca="1">IFERROR(__xludf.DUMMYFUNCTION("""COMPUTED_VALUE"""),-0.735742618452007)</f>
        <v>-0.73574261845200695</v>
      </c>
      <c r="MM13" s="3">
        <f ca="1">IFERROR(__xludf.DUMMYFUNCTION("""COMPUTED_VALUE"""),-0.710582142397156)</f>
        <v>-0.710582142397156</v>
      </c>
      <c r="MN13" s="3">
        <f ca="1">IFERROR(__xludf.DUMMYFUNCTION("""COMPUTED_VALUE"""),-0.740156761784075)</f>
        <v>-0.74015676178407497</v>
      </c>
      <c r="MO13" s="3">
        <f ca="1">IFERROR(__xludf.DUMMYFUNCTION("""COMPUTED_VALUE"""),-0.681221508559456)</f>
        <v>-0.68122150855945596</v>
      </c>
      <c r="MP13" s="3">
        <f ca="1">IFERROR(__xludf.DUMMYFUNCTION("""COMPUTED_VALUE"""),-0.833791900494009)</f>
        <v>-0.83379190049400898</v>
      </c>
      <c r="MQ13" s="3">
        <f ca="1">IFERROR(__xludf.DUMMYFUNCTION("""COMPUTED_VALUE"""),-0.795090482497187)</f>
        <v>-0.79509048249718695</v>
      </c>
      <c r="MR13" s="3">
        <f ca="1">IFERROR(__xludf.DUMMYFUNCTION("""COMPUTED_VALUE"""),-0.76630082236078)</f>
        <v>-0.76630082236078001</v>
      </c>
      <c r="MS13" s="3">
        <f ca="1">IFERROR(__xludf.DUMMYFUNCTION("""COMPUTED_VALUE"""),-0.824814533665317)</f>
        <v>-0.82481453366531698</v>
      </c>
      <c r="MT13" s="3">
        <f ca="1">IFERROR(__xludf.DUMMYFUNCTION("""COMPUTED_VALUE"""),-0.821906775912946)</f>
        <v>-0.82190677591294603</v>
      </c>
      <c r="MU13" s="3">
        <f ca="1">IFERROR(__xludf.DUMMYFUNCTION("""COMPUTED_VALUE"""),-0.712443258803069)</f>
        <v>-0.71244325880306902</v>
      </c>
      <c r="MV13" s="3">
        <f ca="1">IFERROR(__xludf.DUMMYFUNCTION("""COMPUTED_VALUE"""),-0.720332349780552)</f>
        <v>-0.72033234978055205</v>
      </c>
      <c r="MW13" s="3">
        <f ca="1">IFERROR(__xludf.DUMMYFUNCTION("""COMPUTED_VALUE"""),-0.753822566105931)</f>
        <v>-0.75382256610593101</v>
      </c>
      <c r="MX13" s="3">
        <f ca="1">IFERROR(__xludf.DUMMYFUNCTION("""COMPUTED_VALUE"""),-0.809926181730626)</f>
        <v>-0.80992618173062603</v>
      </c>
      <c r="MY13" s="3">
        <f ca="1">IFERROR(__xludf.DUMMYFUNCTION("""COMPUTED_VALUE"""),-0.71902547698789)</f>
        <v>-0.71902547698788999</v>
      </c>
      <c r="MZ13" s="3">
        <f ca="1">IFERROR(__xludf.DUMMYFUNCTION("""COMPUTED_VALUE"""),-0.780914450582964)</f>
        <v>-0.78091445058296405</v>
      </c>
      <c r="NA13" s="3">
        <f ca="1">IFERROR(__xludf.DUMMYFUNCTION("""COMPUTED_VALUE"""),-0.718196480095947)</f>
        <v>-0.71819648009594705</v>
      </c>
      <c r="NB13" s="3">
        <f ca="1">IFERROR(__xludf.DUMMYFUNCTION("""COMPUTED_VALUE"""),-0.663683527953752)</f>
        <v>-0.66368352795375196</v>
      </c>
      <c r="NC13" s="3">
        <f ca="1">IFERROR(__xludf.DUMMYFUNCTION("""COMPUTED_VALUE"""),-0.698676635139822)</f>
        <v>-0.69867663513982203</v>
      </c>
      <c r="ND13" s="3">
        <f ca="1">IFERROR(__xludf.DUMMYFUNCTION("""COMPUTED_VALUE"""),-0.768654335578383)</f>
        <v>-0.76865433557838303</v>
      </c>
      <c r="NE13" s="3">
        <f ca="1">IFERROR(__xludf.DUMMYFUNCTION("""COMPUTED_VALUE"""),-0.738831062048483)</f>
        <v>-0.73883106204848303</v>
      </c>
      <c r="NF13" s="3">
        <f ca="1">IFERROR(__xludf.DUMMYFUNCTION("""COMPUTED_VALUE"""),-0.73797469110626)</f>
        <v>-0.73797469110626002</v>
      </c>
      <c r="NG13" s="3">
        <f ca="1">IFERROR(__xludf.DUMMYFUNCTION("""COMPUTED_VALUE"""),-0.716542429344132)</f>
        <v>-0.71654242934413204</v>
      </c>
      <c r="NH13" s="3">
        <f ca="1">IFERROR(__xludf.DUMMYFUNCTION("""COMPUTED_VALUE"""),-0.569868139633658)</f>
        <v>-0.56986813963365801</v>
      </c>
      <c r="NI13" s="3">
        <f ca="1">IFERROR(__xludf.DUMMYFUNCTION("""COMPUTED_VALUE"""),-0.616724940922651)</f>
        <v>-0.61672494092265095</v>
      </c>
      <c r="NJ13" s="3">
        <f ca="1">IFERROR(__xludf.DUMMYFUNCTION("""COMPUTED_VALUE"""),-0.689607148891752)</f>
        <v>-0.68960714889175201</v>
      </c>
      <c r="NK13" s="3">
        <f ca="1">IFERROR(__xludf.DUMMYFUNCTION("""COMPUTED_VALUE"""),-0.711175383925771)</f>
        <v>-0.71117538392577095</v>
      </c>
      <c r="NL13" s="3">
        <f ca="1">IFERROR(__xludf.DUMMYFUNCTION("""COMPUTED_VALUE"""),-0.693453706235552)</f>
        <v>-0.69345370623555203</v>
      </c>
      <c r="NM13" s="3">
        <f ca="1">IFERROR(__xludf.DUMMYFUNCTION("""COMPUTED_VALUE"""),-0.64559614637151)</f>
        <v>-0.64559614637150997</v>
      </c>
      <c r="NN13" s="3">
        <f ca="1">IFERROR(__xludf.DUMMYFUNCTION("""COMPUTED_VALUE"""),-0.634531776369754)</f>
        <v>-0.634531776369754</v>
      </c>
      <c r="NO13" s="3">
        <f ca="1">IFERROR(__xludf.DUMMYFUNCTION("""COMPUTED_VALUE"""),-0.633745967478085)</f>
        <v>-0.63374596747808498</v>
      </c>
      <c r="NP13" s="3">
        <f ca="1">IFERROR(__xludf.DUMMYFUNCTION("""COMPUTED_VALUE"""),-0.616547858137803)</f>
        <v>-0.616547858137803</v>
      </c>
      <c r="NQ13" s="3">
        <f ca="1">IFERROR(__xludf.DUMMYFUNCTION("""COMPUTED_VALUE"""),-0.613805811706563)</f>
        <v>-0.61380581170656301</v>
      </c>
      <c r="NR13" s="3">
        <f ca="1">IFERROR(__xludf.DUMMYFUNCTION("""COMPUTED_VALUE"""),-0.517475012963)</f>
        <v>-0.51747501296300003</v>
      </c>
      <c r="NS13" s="3">
        <f ca="1">IFERROR(__xludf.DUMMYFUNCTION("""COMPUTED_VALUE"""),-0.592999693050349)</f>
        <v>-0.59299969305034905</v>
      </c>
      <c r="NT13" s="3">
        <f ca="1">IFERROR(__xludf.DUMMYFUNCTION("""COMPUTED_VALUE"""),-0.589965222964711)</f>
        <v>-0.58996522296471099</v>
      </c>
      <c r="NU13" s="3">
        <f ca="1">IFERROR(__xludf.DUMMYFUNCTION("""COMPUTED_VALUE"""),-0.516959352033737)</f>
        <v>-0.516959352033737</v>
      </c>
      <c r="NV13" s="3">
        <f ca="1">IFERROR(__xludf.DUMMYFUNCTION("""COMPUTED_VALUE"""),-0.560943292495675)</f>
        <v>-0.56094329249567498</v>
      </c>
      <c r="NW13" s="3">
        <f ca="1">IFERROR(__xludf.DUMMYFUNCTION("""COMPUTED_VALUE"""),-0.557768878346732)</f>
        <v>-0.55776887834673206</v>
      </c>
      <c r="NX13" s="3">
        <f ca="1">IFERROR(__xludf.DUMMYFUNCTION("""COMPUTED_VALUE"""),-0.54063693067212)</f>
        <v>-0.54063693067212004</v>
      </c>
      <c r="NY13" s="3">
        <f ca="1">IFERROR(__xludf.DUMMYFUNCTION("""COMPUTED_VALUE"""),-0.486731826411779)</f>
        <v>-0.48673182641177898</v>
      </c>
      <c r="NZ13" s="3">
        <f ca="1">IFERROR(__xludf.DUMMYFUNCTION("""COMPUTED_VALUE"""),-0.461946620034271)</f>
        <v>-0.461946620034271</v>
      </c>
      <c r="OA13" s="3">
        <f ca="1">IFERROR(__xludf.DUMMYFUNCTION("""COMPUTED_VALUE"""),-0.310181313063303)</f>
        <v>-0.31018131306330299</v>
      </c>
      <c r="OB13" s="3">
        <f ca="1">IFERROR(__xludf.DUMMYFUNCTION("""COMPUTED_VALUE"""),-0.444436482198786)</f>
        <v>-0.44443648219878601</v>
      </c>
      <c r="OC13" s="3">
        <f ca="1">IFERROR(__xludf.DUMMYFUNCTION("""COMPUTED_VALUE"""),-0.080952011993259)</f>
        <v>-8.0952011993258993E-2</v>
      </c>
      <c r="OD13" s="3">
        <f ca="1">IFERROR(__xludf.DUMMYFUNCTION("""COMPUTED_VALUE"""),-0.203959435161909)</f>
        <v>-0.20395943516190901</v>
      </c>
      <c r="OE13" s="3">
        <f ca="1">IFERROR(__xludf.DUMMYFUNCTION("""COMPUTED_VALUE"""),-0.0960748245381345)</f>
        <v>-9.6074824538134498E-2</v>
      </c>
      <c r="OF13" s="3">
        <f ca="1">IFERROR(__xludf.DUMMYFUNCTION("""COMPUTED_VALUE"""),-0.122324536034143)</f>
        <v>-0.12232453603414301</v>
      </c>
      <c r="OG13" s="3">
        <f ca="1">IFERROR(__xludf.DUMMYFUNCTION("""COMPUTED_VALUE"""),0.0186673950398263)</f>
        <v>1.8667395039826298E-2</v>
      </c>
      <c r="OH13" s="3">
        <f ca="1">IFERROR(__xludf.DUMMYFUNCTION("""COMPUTED_VALUE"""),-0.077820694559486)</f>
        <v>-7.7820694559485995E-2</v>
      </c>
      <c r="OI13" s="3">
        <f ca="1">IFERROR(__xludf.DUMMYFUNCTION("""COMPUTED_VALUE"""),-0.0537683748048675)</f>
        <v>-5.37683748048675E-2</v>
      </c>
      <c r="OJ13" s="3">
        <f ca="1">IFERROR(__xludf.DUMMYFUNCTION("""COMPUTED_VALUE"""),-0.116225085222666)</f>
        <v>-0.116225085222666</v>
      </c>
      <c r="OK13" s="3">
        <f ca="1">IFERROR(__xludf.DUMMYFUNCTION("""COMPUTED_VALUE"""),-0.0154215770840858)</f>
        <v>-1.54215770840858E-2</v>
      </c>
      <c r="OL13" s="3">
        <f ca="1">IFERROR(__xludf.DUMMYFUNCTION("""COMPUTED_VALUE"""),-0.0755426730801127)</f>
        <v>-7.5542673080112699E-2</v>
      </c>
      <c r="OM13" s="3">
        <f ca="1">IFERROR(__xludf.DUMMYFUNCTION("""COMPUTED_VALUE"""),-0.0658757083263152)</f>
        <v>-6.5875708326315202E-2</v>
      </c>
      <c r="ON13" s="3">
        <f ca="1">IFERROR(__xludf.DUMMYFUNCTION("""COMPUTED_VALUE"""),-0.0660427771400588)</f>
        <v>-6.6042777140058795E-2</v>
      </c>
      <c r="OO13" s="3">
        <f ca="1">IFERROR(__xludf.DUMMYFUNCTION("""COMPUTED_VALUE"""),-0.150436801174242)</f>
        <v>-0.15043680117424199</v>
      </c>
      <c r="OP13" s="3">
        <f ca="1">IFERROR(__xludf.DUMMYFUNCTION("""COMPUTED_VALUE"""),-0.100894336161961)</f>
        <v>-0.100894336161961</v>
      </c>
      <c r="OQ13" s="3">
        <f ca="1">IFERROR(__xludf.DUMMYFUNCTION("""COMPUTED_VALUE"""),-0.0647227301310484)</f>
        <v>-6.47227301310484E-2</v>
      </c>
      <c r="OR13" s="3">
        <f ca="1">IFERROR(__xludf.DUMMYFUNCTION("""COMPUTED_VALUE"""),0.102349362227698)</f>
        <v>0.102349362227698</v>
      </c>
      <c r="OS13" s="3">
        <f ca="1">IFERROR(__xludf.DUMMYFUNCTION("""COMPUTED_VALUE"""),0.0401640800049154)</f>
        <v>4.0164080004915399E-2</v>
      </c>
      <c r="OT13" s="3">
        <f ca="1">IFERROR(__xludf.DUMMYFUNCTION("""COMPUTED_VALUE"""),0.0084977006601048)</f>
        <v>8.4977006601047993E-3</v>
      </c>
      <c r="OU13" s="3">
        <f ca="1">IFERROR(__xludf.DUMMYFUNCTION("""COMPUTED_VALUE"""),0.0177931567157998)</f>
        <v>1.7793156715799799E-2</v>
      </c>
      <c r="OV13" s="3">
        <f ca="1">IFERROR(__xludf.DUMMYFUNCTION("""COMPUTED_VALUE"""),-0.107616769220967)</f>
        <v>-0.107616769220967</v>
      </c>
      <c r="OW13" s="3">
        <f ca="1">IFERROR(__xludf.DUMMYFUNCTION("""COMPUTED_VALUE"""),-0.0642698311535306)</f>
        <v>-6.4269831153530604E-2</v>
      </c>
      <c r="OX13" s="3">
        <f ca="1">IFERROR(__xludf.DUMMYFUNCTION("""COMPUTED_VALUE"""),-0.01507500221072)</f>
        <v>-1.5075002210719999E-2</v>
      </c>
      <c r="OY13" s="3">
        <f ca="1">IFERROR(__xludf.DUMMYFUNCTION("""COMPUTED_VALUE"""),0.0819068307360186)</f>
        <v>8.1906830736018593E-2</v>
      </c>
      <c r="OZ13" s="3">
        <f ca="1">IFERROR(__xludf.DUMMYFUNCTION("""COMPUTED_VALUE"""),0.0270711559735483)</f>
        <v>2.7071155973548301E-2</v>
      </c>
      <c r="PA13" s="3">
        <f ca="1">IFERROR(__xludf.DUMMYFUNCTION("""COMPUTED_VALUE"""),0.00533598516817979)</f>
        <v>5.3359851681797901E-3</v>
      </c>
      <c r="PB13" s="3">
        <f ca="1">IFERROR(__xludf.DUMMYFUNCTION("""COMPUTED_VALUE"""),0.0312520470131176)</f>
        <v>3.1252047013117602E-2</v>
      </c>
      <c r="PC13" s="3">
        <f ca="1">IFERROR(__xludf.DUMMYFUNCTION("""COMPUTED_VALUE"""),0.000126707254249458)</f>
        <v>1.2670725424945801E-4</v>
      </c>
      <c r="PD13" s="3">
        <f ca="1">IFERROR(__xludf.DUMMYFUNCTION("""COMPUTED_VALUE"""),-0.0319799189984495)</f>
        <v>-3.19799189984495E-2</v>
      </c>
      <c r="PE13" s="3">
        <f ca="1">IFERROR(__xludf.DUMMYFUNCTION("""COMPUTED_VALUE"""),-0.0100542804700251)</f>
        <v>-1.0054280470025099E-2</v>
      </c>
      <c r="PF13" s="3">
        <f ca="1">IFERROR(__xludf.DUMMYFUNCTION("""COMPUTED_VALUE"""),0.0767590442420984)</f>
        <v>7.6759044242098395E-2</v>
      </c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</row>
    <row r="14" spans="1:594" ht="15.75" customHeight="1">
      <c r="A14" s="1" t="str">
        <f ca="1">IFERROR(__xludf.DUMMYFUNCTION("""COMPUTED_VALUE"""),"Chicago")</f>
        <v>Chicago</v>
      </c>
      <c r="B14" s="3">
        <f ca="1">IFERROR(__xludf.DUMMYFUNCTION("""COMPUTED_VALUE"""),-0.518621584106215)</f>
        <v>-0.51862158410621495</v>
      </c>
      <c r="C14" s="3">
        <f ca="1">IFERROR(__xludf.DUMMYFUNCTION("""COMPUTED_VALUE"""),-0.59362834807327)</f>
        <v>-0.59362834807327003</v>
      </c>
      <c r="D14" s="3">
        <f ca="1">IFERROR(__xludf.DUMMYFUNCTION("""COMPUTED_VALUE"""),-0.637482798548047)</f>
        <v>-0.63748279854804701</v>
      </c>
      <c r="E14" s="3">
        <f ca="1">IFERROR(__xludf.DUMMYFUNCTION("""COMPUTED_VALUE"""),-0.630877524078432)</f>
        <v>-0.63087752407843201</v>
      </c>
      <c r="F14" s="3">
        <f ca="1">IFERROR(__xludf.DUMMYFUNCTION("""COMPUTED_VALUE"""),-0.625977823843497)</f>
        <v>-0.62597782384349698</v>
      </c>
      <c r="G14" s="3">
        <f ca="1">IFERROR(__xludf.DUMMYFUNCTION("""COMPUTED_VALUE"""),-0.628014208191947)</f>
        <v>-0.62801420819194698</v>
      </c>
      <c r="H14" s="3">
        <f ca="1">IFERROR(__xludf.DUMMYFUNCTION("""COMPUTED_VALUE"""),-0.476058833006107)</f>
        <v>-0.47605883300610702</v>
      </c>
      <c r="I14" s="3">
        <f ca="1">IFERROR(__xludf.DUMMYFUNCTION("""COMPUTED_VALUE"""),-0.479803427592608)</f>
        <v>-0.47980342759260802</v>
      </c>
      <c r="J14" s="3">
        <f ca="1">IFERROR(__xludf.DUMMYFUNCTION("""COMPUTED_VALUE"""),-0.601937257877273)</f>
        <v>-0.60193725787727304</v>
      </c>
      <c r="K14" s="3">
        <f ca="1">IFERROR(__xludf.DUMMYFUNCTION("""COMPUTED_VALUE"""),-0.620431835893866)</f>
        <v>-0.62043183589386597</v>
      </c>
      <c r="L14" s="3">
        <f ca="1">IFERROR(__xludf.DUMMYFUNCTION("""COMPUTED_VALUE"""),-0.634587658151534)</f>
        <v>-0.63458765815153395</v>
      </c>
      <c r="M14" s="3">
        <f ca="1">IFERROR(__xludf.DUMMYFUNCTION("""COMPUTED_VALUE"""),-0.638090690678979)</f>
        <v>-0.63809069067897894</v>
      </c>
      <c r="N14" s="3">
        <f ca="1">IFERROR(__xludf.DUMMYFUNCTION("""COMPUTED_VALUE"""),-0.62993677577375)</f>
        <v>-0.62993677577374996</v>
      </c>
      <c r="O14" s="3">
        <f ca="1">IFERROR(__xludf.DUMMYFUNCTION("""COMPUTED_VALUE"""),-0.498373173619506)</f>
        <v>-0.498373173619506</v>
      </c>
      <c r="P14" s="3">
        <f ca="1">IFERROR(__xludf.DUMMYFUNCTION("""COMPUTED_VALUE"""),-0.51731397620539)</f>
        <v>-0.51731397620538999</v>
      </c>
      <c r="Q14" s="3">
        <f ca="1">IFERROR(__xludf.DUMMYFUNCTION("""COMPUTED_VALUE"""),-0.618416762413754)</f>
        <v>-0.61841676241375398</v>
      </c>
      <c r="R14" s="3">
        <f ca="1">IFERROR(__xludf.DUMMYFUNCTION("""COMPUTED_VALUE"""),-0.662496921176543)</f>
        <v>-0.66249692117654302</v>
      </c>
      <c r="S14" s="3">
        <f ca="1">IFERROR(__xludf.DUMMYFUNCTION("""COMPUTED_VALUE"""),-0.669896080788171)</f>
        <v>-0.66989608078817098</v>
      </c>
      <c r="T14" s="3">
        <f ca="1">IFERROR(__xludf.DUMMYFUNCTION("""COMPUTED_VALUE"""),-0.677717781732422)</f>
        <v>-0.67771778173242203</v>
      </c>
      <c r="U14" s="3">
        <f ca="1">IFERROR(__xludf.DUMMYFUNCTION("""COMPUTED_VALUE"""),-0.656511002171042)</f>
        <v>-0.65651100217104197</v>
      </c>
      <c r="V14" s="3">
        <f ca="1">IFERROR(__xludf.DUMMYFUNCTION("""COMPUTED_VALUE"""),-0.502144990718643)</f>
        <v>-0.50214499071864305</v>
      </c>
      <c r="W14" s="3">
        <f ca="1">IFERROR(__xludf.DUMMYFUNCTION("""COMPUTED_VALUE"""),-0.540891292089984)</f>
        <v>-0.54089129208998399</v>
      </c>
      <c r="X14" s="3">
        <f ca="1">IFERROR(__xludf.DUMMYFUNCTION("""COMPUTED_VALUE"""),-0.633187771861033)</f>
        <v>-0.63318777186103303</v>
      </c>
      <c r="Y14" s="3">
        <f ca="1">IFERROR(__xludf.DUMMYFUNCTION("""COMPUTED_VALUE"""),-0.664919987270526)</f>
        <v>-0.66491998727052604</v>
      </c>
      <c r="Z14" s="3">
        <f ca="1">IFERROR(__xludf.DUMMYFUNCTION("""COMPUTED_VALUE"""),-0.660646333614339)</f>
        <v>-0.660646333614339</v>
      </c>
      <c r="AA14" s="3">
        <f ca="1">IFERROR(__xludf.DUMMYFUNCTION("""COMPUTED_VALUE"""),-0.670194574191631)</f>
        <v>-0.67019457419163098</v>
      </c>
      <c r="AB14" s="3">
        <f ca="1">IFERROR(__xludf.DUMMYFUNCTION("""COMPUTED_VALUE"""),-0.668916354797667)</f>
        <v>-0.66891635479766698</v>
      </c>
      <c r="AC14" s="3">
        <f ca="1">IFERROR(__xludf.DUMMYFUNCTION("""COMPUTED_VALUE"""),-0.538900034682851)</f>
        <v>-0.53890003468285097</v>
      </c>
      <c r="AD14" s="3">
        <f ca="1">IFERROR(__xludf.DUMMYFUNCTION("""COMPUTED_VALUE"""),-0.56492166475559)</f>
        <v>-0.56492166475559003</v>
      </c>
      <c r="AE14" s="3">
        <f ca="1">IFERROR(__xludf.DUMMYFUNCTION("""COMPUTED_VALUE"""),-0.662336960121073)</f>
        <v>-0.66233696012107302</v>
      </c>
      <c r="AF14" s="3">
        <f ca="1">IFERROR(__xludf.DUMMYFUNCTION("""COMPUTED_VALUE"""),-0.688369862116324)</f>
        <v>-0.68836986211632401</v>
      </c>
      <c r="AG14" s="3">
        <f ca="1">IFERROR(__xludf.DUMMYFUNCTION("""COMPUTED_VALUE"""),-0.702187525918661)</f>
        <v>-0.70218752591866096</v>
      </c>
      <c r="AH14" s="3">
        <f ca="1">IFERROR(__xludf.DUMMYFUNCTION("""COMPUTED_VALUE"""),-0.689552219801462)</f>
        <v>-0.68955221980146197</v>
      </c>
      <c r="AI14" s="3">
        <f ca="1">IFERROR(__xludf.DUMMYFUNCTION("""COMPUTED_VALUE"""),-0.678995742238648)</f>
        <v>-0.678995742238648</v>
      </c>
      <c r="AJ14" s="3">
        <f ca="1">IFERROR(__xludf.DUMMYFUNCTION("""COMPUTED_VALUE"""),-0.555135925041788)</f>
        <v>-0.55513592504178799</v>
      </c>
      <c r="AK14" s="3">
        <f ca="1">IFERROR(__xludf.DUMMYFUNCTION("""COMPUTED_VALUE"""),-0.591211392061707)</f>
        <v>-0.59121139206170703</v>
      </c>
      <c r="AL14" s="3">
        <f ca="1">IFERROR(__xludf.DUMMYFUNCTION("""COMPUTED_VALUE"""),-0.656250638480845)</f>
        <v>-0.65625063848084497</v>
      </c>
      <c r="AM14" s="3">
        <f ca="1">IFERROR(__xludf.DUMMYFUNCTION("""COMPUTED_VALUE"""),-0.689539925431905)</f>
        <v>-0.68953992543190501</v>
      </c>
      <c r="AN14" s="3">
        <f ca="1">IFERROR(__xludf.DUMMYFUNCTION("""COMPUTED_VALUE"""),-0.681605709588368)</f>
        <v>-0.68160570958836797</v>
      </c>
      <c r="AO14" s="3">
        <f ca="1">IFERROR(__xludf.DUMMYFUNCTION("""COMPUTED_VALUE"""),-0.692821297138548)</f>
        <v>-0.69282129713854801</v>
      </c>
      <c r="AP14" s="3">
        <f ca="1">IFERROR(__xludf.DUMMYFUNCTION("""COMPUTED_VALUE"""),-0.669154219851619)</f>
        <v>-0.66915421985161905</v>
      </c>
      <c r="AQ14" s="3">
        <f ca="1">IFERROR(__xludf.DUMMYFUNCTION("""COMPUTED_VALUE"""),-0.545947946545684)</f>
        <v>-0.54594794654568402</v>
      </c>
      <c r="AR14" s="3">
        <f ca="1">IFERROR(__xludf.DUMMYFUNCTION("""COMPUTED_VALUE"""),-0.525845258880339)</f>
        <v>-0.52584525888033895</v>
      </c>
      <c r="AS14" s="3">
        <f ca="1">IFERROR(__xludf.DUMMYFUNCTION("""COMPUTED_VALUE"""),-0.65923576366453)</f>
        <v>-0.65923576366452996</v>
      </c>
      <c r="AT14" s="3">
        <f ca="1">IFERROR(__xludf.DUMMYFUNCTION("""COMPUTED_VALUE"""),-0.687915335882649)</f>
        <v>-0.68791533588264897</v>
      </c>
      <c r="AU14" s="3">
        <f ca="1">IFERROR(__xludf.DUMMYFUNCTION("""COMPUTED_VALUE"""),-0.683714382257866)</f>
        <v>-0.68371438225786596</v>
      </c>
      <c r="AV14" s="3">
        <f ca="1">IFERROR(__xludf.DUMMYFUNCTION("""COMPUTED_VALUE"""),-0.671299574255914)</f>
        <v>-0.67129957425591402</v>
      </c>
      <c r="AW14" s="3">
        <f ca="1">IFERROR(__xludf.DUMMYFUNCTION("""COMPUTED_VALUE"""),-0.640865663214386)</f>
        <v>-0.64086566321438598</v>
      </c>
      <c r="AX14" s="3">
        <f ca="1">IFERROR(__xludf.DUMMYFUNCTION("""COMPUTED_VALUE"""),-0.559111378547034)</f>
        <v>-0.55911137854703397</v>
      </c>
      <c r="AY14" s="3">
        <f ca="1">IFERROR(__xludf.DUMMYFUNCTION("""COMPUTED_VALUE"""),-0.548355943756561)</f>
        <v>-0.54835594375656105</v>
      </c>
      <c r="AZ14" s="3">
        <f ca="1">IFERROR(__xludf.DUMMYFUNCTION("""COMPUTED_VALUE"""),-0.645639474182444)</f>
        <v>-0.64563947418244405</v>
      </c>
      <c r="BA14" s="3">
        <f ca="1">IFERROR(__xludf.DUMMYFUNCTION("""COMPUTED_VALUE"""),-0.660505414035179)</f>
        <v>-0.66050541403517904</v>
      </c>
      <c r="BB14" s="3">
        <f ca="1">IFERROR(__xludf.DUMMYFUNCTION("""COMPUTED_VALUE"""),-0.649921901835413)</f>
        <v>-0.64992190183541299</v>
      </c>
      <c r="BC14" s="3">
        <f ca="1">IFERROR(__xludf.DUMMYFUNCTION("""COMPUTED_VALUE"""),-0.584628693344989)</f>
        <v>-0.58462869334498901</v>
      </c>
      <c r="BD14" s="3">
        <f ca="1">IFERROR(__xludf.DUMMYFUNCTION("""COMPUTED_VALUE"""),-0.622236195511378)</f>
        <v>-0.62223619551137799</v>
      </c>
      <c r="BE14" s="3">
        <f ca="1">IFERROR(__xludf.DUMMYFUNCTION("""COMPUTED_VALUE"""),-0.590995159265166)</f>
        <v>-0.59099515926516599</v>
      </c>
      <c r="BF14" s="3">
        <f ca="1">IFERROR(__xludf.DUMMYFUNCTION("""COMPUTED_VALUE"""),-0.53259936996807)</f>
        <v>-0.53259936996807</v>
      </c>
      <c r="BG14" s="3">
        <f ca="1">IFERROR(__xludf.DUMMYFUNCTION("""COMPUTED_VALUE"""),-0.683829436819464)</f>
        <v>-0.68382943681946395</v>
      </c>
      <c r="BH14" s="3">
        <f ca="1">IFERROR(__xludf.DUMMYFUNCTION("""COMPUTED_VALUE"""),-0.708031143178516)</f>
        <v>-0.70803114317851601</v>
      </c>
      <c r="BI14" s="3">
        <f ca="1">IFERROR(__xludf.DUMMYFUNCTION("""COMPUTED_VALUE"""),-0.720831128974917)</f>
        <v>-0.72083112897491697</v>
      </c>
      <c r="BJ14" s="3">
        <f ca="1">IFERROR(__xludf.DUMMYFUNCTION("""COMPUTED_VALUE"""),-0.708764709044327)</f>
        <v>-0.70876470904432698</v>
      </c>
      <c r="BK14" s="3">
        <f ca="1">IFERROR(__xludf.DUMMYFUNCTION("""COMPUTED_VALUE"""),-0.682572764282783)</f>
        <v>-0.68257276428278302</v>
      </c>
      <c r="BL14" s="3">
        <f ca="1">IFERROR(__xludf.DUMMYFUNCTION("""COMPUTED_VALUE"""),-0.628290974877365)</f>
        <v>-0.62829097487736496</v>
      </c>
      <c r="BM14" s="3">
        <f ca="1">IFERROR(__xludf.DUMMYFUNCTION("""COMPUTED_VALUE"""),-0.648615943346407)</f>
        <v>-0.64861594334640704</v>
      </c>
      <c r="BN14" s="3">
        <f ca="1">IFERROR(__xludf.DUMMYFUNCTION("""COMPUTED_VALUE"""),-0.696232528666691)</f>
        <v>-0.69623252866669105</v>
      </c>
      <c r="BO14" s="3">
        <f ca="1">IFERROR(__xludf.DUMMYFUNCTION("""COMPUTED_VALUE"""),-0.70894798911152)</f>
        <v>-0.70894798911152002</v>
      </c>
      <c r="BP14" s="3">
        <f ca="1">IFERROR(__xludf.DUMMYFUNCTION("""COMPUTED_VALUE"""),-0.700807623183819)</f>
        <v>-0.70080762318381895</v>
      </c>
      <c r="BQ14" s="3">
        <f ca="1">IFERROR(__xludf.DUMMYFUNCTION("""COMPUTED_VALUE"""),-0.700938902048086)</f>
        <v>-0.70093890204808595</v>
      </c>
      <c r="BR14" s="3">
        <f ca="1">IFERROR(__xludf.DUMMYFUNCTION("""COMPUTED_VALUE"""),-0.669153977857561)</f>
        <v>-0.66915397785756103</v>
      </c>
      <c r="BS14" s="3">
        <f ca="1">IFERROR(__xludf.DUMMYFUNCTION("""COMPUTED_VALUE"""),-0.512005430672822)</f>
        <v>-0.512005430672822</v>
      </c>
      <c r="BT14" s="3">
        <f ca="1">IFERROR(__xludf.DUMMYFUNCTION("""COMPUTED_VALUE"""),-0.609995701633013)</f>
        <v>-0.60999570163301298</v>
      </c>
      <c r="BU14" s="3">
        <f ca="1">IFERROR(__xludf.DUMMYFUNCTION("""COMPUTED_VALUE"""),-0.711059764810794)</f>
        <v>-0.71105976481079403</v>
      </c>
      <c r="BV14" s="3">
        <f ca="1">IFERROR(__xludf.DUMMYFUNCTION("""COMPUTED_VALUE"""),-0.737962865843729)</f>
        <v>-0.73796286584372905</v>
      </c>
      <c r="BW14" s="3">
        <f ca="1">IFERROR(__xludf.DUMMYFUNCTION("""COMPUTED_VALUE"""),-0.736236995527644)</f>
        <v>-0.73623699552764399</v>
      </c>
      <c r="BX14" s="3">
        <f ca="1">IFERROR(__xludf.DUMMYFUNCTION("""COMPUTED_VALUE"""),-0.725943844263208)</f>
        <v>-0.72594384426320802</v>
      </c>
      <c r="BY14" s="3">
        <f ca="1">IFERROR(__xludf.DUMMYFUNCTION("""COMPUTED_VALUE"""),-0.685625838013942)</f>
        <v>-0.68562583801394195</v>
      </c>
      <c r="BZ14" s="3">
        <f ca="1">IFERROR(__xludf.DUMMYFUNCTION("""COMPUTED_VALUE"""),-0.611120835525356)</f>
        <v>-0.61112083552535601</v>
      </c>
      <c r="CA14" s="3">
        <f ca="1">IFERROR(__xludf.DUMMYFUNCTION("""COMPUTED_VALUE"""),-0.640412612351545)</f>
        <v>-0.64041261235154501</v>
      </c>
      <c r="CB14" s="3">
        <f ca="1">IFERROR(__xludf.DUMMYFUNCTION("""COMPUTED_VALUE"""),-0.730848395779398)</f>
        <v>-0.73084839577939797</v>
      </c>
      <c r="CC14" s="3">
        <f ca="1">IFERROR(__xludf.DUMMYFUNCTION("""COMPUTED_VALUE"""),-0.735233423473781)</f>
        <v>-0.73523342347378096</v>
      </c>
      <c r="CD14" s="3">
        <f ca="1">IFERROR(__xludf.DUMMYFUNCTION("""COMPUTED_VALUE"""),-0.741771364905669)</f>
        <v>-0.74177136490566897</v>
      </c>
      <c r="CE14" s="3">
        <f ca="1">IFERROR(__xludf.DUMMYFUNCTION("""COMPUTED_VALUE"""),-0.73949512698038)</f>
        <v>-0.73949512698038</v>
      </c>
      <c r="CF14" s="3">
        <f ca="1">IFERROR(__xludf.DUMMYFUNCTION("""COMPUTED_VALUE"""),-0.716156898753733)</f>
        <v>-0.71615689875373301</v>
      </c>
      <c r="CG14" s="3">
        <f ca="1">IFERROR(__xludf.DUMMYFUNCTION("""COMPUTED_VALUE"""),-0.610072751457258)</f>
        <v>-0.61007275145725803</v>
      </c>
      <c r="CH14" s="3">
        <f ca="1">IFERROR(__xludf.DUMMYFUNCTION("""COMPUTED_VALUE"""),-0.636428931772382)</f>
        <v>-0.63642893177238202</v>
      </c>
      <c r="CI14" s="3">
        <f ca="1">IFERROR(__xludf.DUMMYFUNCTION("""COMPUTED_VALUE"""),-0.734458596775905)</f>
        <v>-0.73445859677590497</v>
      </c>
      <c r="CJ14" s="3">
        <f ca="1">IFERROR(__xludf.DUMMYFUNCTION("""COMPUTED_VALUE"""),-0.735281300819769)</f>
        <v>-0.73528130081976895</v>
      </c>
      <c r="CK14" s="3">
        <f ca="1">IFERROR(__xludf.DUMMYFUNCTION("""COMPUTED_VALUE"""),-0.733624580839913)</f>
        <v>-0.733624580839913</v>
      </c>
      <c r="CL14" s="3">
        <f ca="1">IFERROR(__xludf.DUMMYFUNCTION("""COMPUTED_VALUE"""),-0.736667746705992)</f>
        <v>-0.736667746705992</v>
      </c>
      <c r="CM14" s="3">
        <f ca="1">IFERROR(__xludf.DUMMYFUNCTION("""COMPUTED_VALUE"""),-0.694447671998139)</f>
        <v>-0.69444767199813895</v>
      </c>
      <c r="CN14" s="3">
        <f ca="1">IFERROR(__xludf.DUMMYFUNCTION("""COMPUTED_VALUE"""),-0.610750461489029)</f>
        <v>-0.61075046148902901</v>
      </c>
      <c r="CO14" s="3">
        <f ca="1">IFERROR(__xludf.DUMMYFUNCTION("""COMPUTED_VALUE"""),-0.619924108532633)</f>
        <v>-0.61992410853263302</v>
      </c>
      <c r="CP14" s="3">
        <f ca="1">IFERROR(__xludf.DUMMYFUNCTION("""COMPUTED_VALUE"""),-0.720140941001905)</f>
        <v>-0.72014094100190496</v>
      </c>
      <c r="CQ14" s="3">
        <f ca="1">IFERROR(__xludf.DUMMYFUNCTION("""COMPUTED_VALUE"""),-0.714296775003227)</f>
        <v>-0.71429677500322697</v>
      </c>
      <c r="CR14" s="3">
        <f ca="1">IFERROR(__xludf.DUMMYFUNCTION("""COMPUTED_VALUE"""),-0.682573819863335)</f>
        <v>-0.68257381986333499</v>
      </c>
      <c r="CS14" s="3">
        <f ca="1">IFERROR(__xludf.DUMMYFUNCTION("""COMPUTED_VALUE"""),-0.695930582383425)</f>
        <v>-0.69593058238342498</v>
      </c>
      <c r="CT14" s="3">
        <f ca="1">IFERROR(__xludf.DUMMYFUNCTION("""COMPUTED_VALUE"""),-0.678983007881299)</f>
        <v>-0.67898300788129895</v>
      </c>
      <c r="CU14" s="3">
        <f ca="1">IFERROR(__xludf.DUMMYFUNCTION("""COMPUTED_VALUE"""),-0.616923948809861)</f>
        <v>-0.61692394880986101</v>
      </c>
      <c r="CV14" s="3">
        <f ca="1">IFERROR(__xludf.DUMMYFUNCTION("""COMPUTED_VALUE"""),-0.631280442076289)</f>
        <v>-0.63128044207628897</v>
      </c>
      <c r="CW14" s="3">
        <f ca="1">IFERROR(__xludf.DUMMYFUNCTION("""COMPUTED_VALUE"""),-0.764983688348532)</f>
        <v>-0.76498368834853203</v>
      </c>
      <c r="CX14" s="3">
        <f ca="1">IFERROR(__xludf.DUMMYFUNCTION("""COMPUTED_VALUE"""),-0.648299735752064)</f>
        <v>-0.64829973575206401</v>
      </c>
      <c r="CY14" s="3">
        <f ca="1">IFERROR(__xludf.DUMMYFUNCTION("""COMPUTED_VALUE"""),-0.544778818231496)</f>
        <v>-0.54477881823149599</v>
      </c>
      <c r="CZ14" s="3">
        <f ca="1">IFERROR(__xludf.DUMMYFUNCTION("""COMPUTED_VALUE"""),-0.609927583071842)</f>
        <v>-0.60992758307184203</v>
      </c>
      <c r="DA14" s="3">
        <f ca="1">IFERROR(__xludf.DUMMYFUNCTION("""COMPUTED_VALUE"""),-0.655146105294177)</f>
        <v>-0.65514610529417705</v>
      </c>
      <c r="DB14" s="3">
        <f ca="1">IFERROR(__xludf.DUMMYFUNCTION("""COMPUTED_VALUE"""),-0.616327867430912)</f>
        <v>-0.61632786743091195</v>
      </c>
      <c r="DC14" s="3">
        <f ca="1">IFERROR(__xludf.DUMMYFUNCTION("""COMPUTED_VALUE"""),-0.65097971032752)</f>
        <v>-0.65097971032752</v>
      </c>
      <c r="DD14" s="3">
        <f ca="1">IFERROR(__xludf.DUMMYFUNCTION("""COMPUTED_VALUE"""),-0.848896197501861)</f>
        <v>-0.84889619750186096</v>
      </c>
      <c r="DE14" s="3">
        <f ca="1">IFERROR(__xludf.DUMMYFUNCTION("""COMPUTED_VALUE"""),-0.707268424540314)</f>
        <v>-0.70726842454031402</v>
      </c>
      <c r="DF14" s="3">
        <f ca="1">IFERROR(__xludf.DUMMYFUNCTION("""COMPUTED_VALUE"""),-0.501270736180538)</f>
        <v>-0.50127073618053797</v>
      </c>
      <c r="DG14" s="3">
        <f ca="1">IFERROR(__xludf.DUMMYFUNCTION("""COMPUTED_VALUE"""),-0.62282119241164)</f>
        <v>-0.62282119241164002</v>
      </c>
      <c r="DH14" s="3">
        <f ca="1">IFERROR(__xludf.DUMMYFUNCTION("""COMPUTED_VALUE"""),-0.628496583707626)</f>
        <v>-0.62849658370762596</v>
      </c>
      <c r="DI14" s="3">
        <f ca="1">IFERROR(__xludf.DUMMYFUNCTION("""COMPUTED_VALUE"""),-0.606792921236848)</f>
        <v>-0.60679292123684803</v>
      </c>
      <c r="DJ14" s="3">
        <f ca="1">IFERROR(__xludf.DUMMYFUNCTION("""COMPUTED_VALUE"""),-0.614435587844856)</f>
        <v>-0.61443558784485597</v>
      </c>
      <c r="DK14" s="3">
        <f ca="1">IFERROR(__xludf.DUMMYFUNCTION("""COMPUTED_VALUE"""),-0.666781627264081)</f>
        <v>-0.66678162726408097</v>
      </c>
      <c r="DL14" s="3">
        <f ca="1">IFERROR(__xludf.DUMMYFUNCTION("""COMPUTED_VALUE"""),-0.673147397356651)</f>
        <v>-0.67314739735665097</v>
      </c>
      <c r="DM14" s="3">
        <f ca="1">IFERROR(__xludf.DUMMYFUNCTION("""COMPUTED_VALUE"""),-0.639411501882834)</f>
        <v>-0.63941150188283402</v>
      </c>
      <c r="DN14" s="3">
        <f ca="1">IFERROR(__xludf.DUMMYFUNCTION("""COMPUTED_VALUE"""),-0.678739394672436)</f>
        <v>-0.67873939467243605</v>
      </c>
      <c r="DO14" s="3">
        <f ca="1">IFERROR(__xludf.DUMMYFUNCTION("""COMPUTED_VALUE"""),-0.686793863235322)</f>
        <v>-0.68679386323532199</v>
      </c>
      <c r="DP14" s="3">
        <f ca="1">IFERROR(__xludf.DUMMYFUNCTION("""COMPUTED_VALUE"""),-0.630738873858031)</f>
        <v>-0.63073887385803096</v>
      </c>
      <c r="DQ14" s="3">
        <f ca="1">IFERROR(__xludf.DUMMYFUNCTION("""COMPUTED_VALUE"""),-0.670663160181737)</f>
        <v>-0.67066316018173699</v>
      </c>
      <c r="DR14" s="3">
        <f ca="1">IFERROR(__xludf.DUMMYFUNCTION("""COMPUTED_VALUE"""),-0.724150005181184)</f>
        <v>-0.724150005181184</v>
      </c>
      <c r="DS14" s="3">
        <f ca="1">IFERROR(__xludf.DUMMYFUNCTION("""COMPUTED_VALUE"""),-0.726638844132057)</f>
        <v>-0.72663884413205704</v>
      </c>
      <c r="DT14" s="3">
        <f ca="1">IFERROR(__xludf.DUMMYFUNCTION("""COMPUTED_VALUE"""),-0.728358139490769)</f>
        <v>-0.728358139490769</v>
      </c>
      <c r="DU14" s="3">
        <f ca="1">IFERROR(__xludf.DUMMYFUNCTION("""COMPUTED_VALUE"""),-0.731863758790469)</f>
        <v>-0.73186375879046905</v>
      </c>
      <c r="DV14" s="3">
        <f ca="1">IFERROR(__xludf.DUMMYFUNCTION("""COMPUTED_VALUE"""),-0.719299704569962)</f>
        <v>-0.71929970456996195</v>
      </c>
      <c r="DW14" s="3">
        <f ca="1">IFERROR(__xludf.DUMMYFUNCTION("""COMPUTED_VALUE"""),-0.641382510963293)</f>
        <v>-0.64138251096329302</v>
      </c>
      <c r="DX14" s="3">
        <f ca="1">IFERROR(__xludf.DUMMYFUNCTION("""COMPUTED_VALUE"""),-0.638897247150598)</f>
        <v>-0.63889724715059804</v>
      </c>
      <c r="DY14" s="3">
        <f ca="1">IFERROR(__xludf.DUMMYFUNCTION("""COMPUTED_VALUE"""),-0.662520292604994)</f>
        <v>-0.66252029260499401</v>
      </c>
      <c r="DZ14" s="3">
        <f ca="1">IFERROR(__xludf.DUMMYFUNCTION("""COMPUTED_VALUE"""),-0.671595397615623)</f>
        <v>-0.67159539761562304</v>
      </c>
      <c r="EA14" s="3">
        <f ca="1">IFERROR(__xludf.DUMMYFUNCTION("""COMPUTED_VALUE"""),-0.71468621868846)</f>
        <v>-0.71468621868846005</v>
      </c>
      <c r="EB14" s="3">
        <f ca="1">IFERROR(__xludf.DUMMYFUNCTION("""COMPUTED_VALUE"""),-0.730959296337778)</f>
        <v>-0.73095929633777801</v>
      </c>
      <c r="EC14" s="3">
        <f ca="1">IFERROR(__xludf.DUMMYFUNCTION("""COMPUTED_VALUE"""),-0.723956491181323)</f>
        <v>-0.72395649118132299</v>
      </c>
      <c r="ED14" s="3">
        <f ca="1">IFERROR(__xludf.DUMMYFUNCTION("""COMPUTED_VALUE"""),-0.643848593007724)</f>
        <v>-0.64384859300772401</v>
      </c>
      <c r="EE14" s="3">
        <f ca="1">IFERROR(__xludf.DUMMYFUNCTION("""COMPUTED_VALUE"""),-0.658797306889703)</f>
        <v>-0.65879730688970295</v>
      </c>
      <c r="EF14" s="3">
        <f ca="1">IFERROR(__xludf.DUMMYFUNCTION("""COMPUTED_VALUE"""),-0.724159657611933)</f>
        <v>-0.72415965761193302</v>
      </c>
      <c r="EG14" s="3">
        <f ca="1">IFERROR(__xludf.DUMMYFUNCTION("""COMPUTED_VALUE"""),-0.799282925169896)</f>
        <v>-0.79928292516989596</v>
      </c>
      <c r="EH14" s="3">
        <f ca="1">IFERROR(__xludf.DUMMYFUNCTION("""COMPUTED_VALUE"""),-0.721717458186177)</f>
        <v>-0.72171745818617705</v>
      </c>
      <c r="EI14" s="3">
        <f ca="1">IFERROR(__xludf.DUMMYFUNCTION("""COMPUTED_VALUE"""),-0.747169208995404)</f>
        <v>-0.74716920899540396</v>
      </c>
      <c r="EJ14" s="3">
        <f ca="1">IFERROR(__xludf.DUMMYFUNCTION("""COMPUTED_VALUE"""),-0.727200363044353)</f>
        <v>-0.72720036304435298</v>
      </c>
      <c r="EK14" s="3">
        <f ca="1">IFERROR(__xludf.DUMMYFUNCTION("""COMPUTED_VALUE"""),-0.627736577799319)</f>
        <v>-0.62773657779931902</v>
      </c>
      <c r="EL14" s="3">
        <f ca="1">IFERROR(__xludf.DUMMYFUNCTION("""COMPUTED_VALUE"""),-0.627337405691249)</f>
        <v>-0.62733740569124896</v>
      </c>
      <c r="EM14" s="3">
        <f ca="1">IFERROR(__xludf.DUMMYFUNCTION("""COMPUTED_VALUE"""),-0.682842258847715)</f>
        <v>-0.68284225884771499</v>
      </c>
      <c r="EN14" s="3">
        <f ca="1">IFERROR(__xludf.DUMMYFUNCTION("""COMPUTED_VALUE"""),-0.682468836510615)</f>
        <v>-0.68246883651061496</v>
      </c>
      <c r="EO14" s="3">
        <f ca="1">IFERROR(__xludf.DUMMYFUNCTION("""COMPUTED_VALUE"""),-0.72522466765616)</f>
        <v>-0.72522466765616</v>
      </c>
      <c r="EP14" s="3">
        <f ca="1">IFERROR(__xludf.DUMMYFUNCTION("""COMPUTED_VALUE"""),-0.743088081270116)</f>
        <v>-0.74308808127011605</v>
      </c>
      <c r="EQ14" s="3">
        <f ca="1">IFERROR(__xludf.DUMMYFUNCTION("""COMPUTED_VALUE"""),-0.717751642996329)</f>
        <v>-0.71775164299632899</v>
      </c>
      <c r="ER14" s="3">
        <f ca="1">IFERROR(__xludf.DUMMYFUNCTION("""COMPUTED_VALUE"""),-0.650897336687795)</f>
        <v>-0.65089733668779504</v>
      </c>
      <c r="ES14" s="3">
        <f ca="1">IFERROR(__xludf.DUMMYFUNCTION("""COMPUTED_VALUE"""),-0.662550246507103)</f>
        <v>-0.66255024650710304</v>
      </c>
      <c r="ET14" s="3">
        <f ca="1">IFERROR(__xludf.DUMMYFUNCTION("""COMPUTED_VALUE"""),-0.721375611699135)</f>
        <v>-0.721375611699135</v>
      </c>
      <c r="EU14" s="3">
        <f ca="1">IFERROR(__xludf.DUMMYFUNCTION("""COMPUTED_VALUE"""),-0.737559045510132)</f>
        <v>-0.73755904551013196</v>
      </c>
      <c r="EV14" s="3">
        <f ca="1">IFERROR(__xludf.DUMMYFUNCTION("""COMPUTED_VALUE"""),-0.737617770817317)</f>
        <v>-0.73761777081731705</v>
      </c>
      <c r="EW14" s="3">
        <f ca="1">IFERROR(__xludf.DUMMYFUNCTION("""COMPUTED_VALUE"""),-0.735667037931464)</f>
        <v>-0.73566703793146404</v>
      </c>
      <c r="EX14" s="3">
        <f ca="1">IFERROR(__xludf.DUMMYFUNCTION("""COMPUTED_VALUE"""),-0.703727368146473)</f>
        <v>-0.70372736814647296</v>
      </c>
      <c r="EY14" s="3">
        <f ca="1">IFERROR(__xludf.DUMMYFUNCTION("""COMPUTED_VALUE"""),-0.600217331390068)</f>
        <v>-0.60021733139006805</v>
      </c>
      <c r="EZ14" s="3">
        <f ca="1">IFERROR(__xludf.DUMMYFUNCTION("""COMPUTED_VALUE"""),-0.61077920992982)</f>
        <v>-0.61077920992982004</v>
      </c>
      <c r="FA14" s="3">
        <f ca="1">IFERROR(__xludf.DUMMYFUNCTION("""COMPUTED_VALUE"""),-0.695787234584589)</f>
        <v>-0.69578723458458902</v>
      </c>
      <c r="FB14" s="3">
        <f ca="1">IFERROR(__xludf.DUMMYFUNCTION("""COMPUTED_VALUE"""),-0.731886085293209)</f>
        <v>-0.73188608529320898</v>
      </c>
      <c r="FC14" s="3">
        <f ca="1">IFERROR(__xludf.DUMMYFUNCTION("""COMPUTED_VALUE"""),-0.723000403537927)</f>
        <v>-0.72300040353792705</v>
      </c>
      <c r="FD14" s="3">
        <f ca="1">IFERROR(__xludf.DUMMYFUNCTION("""COMPUTED_VALUE"""),-0.710223739571156)</f>
        <v>-0.71022373957115603</v>
      </c>
      <c r="FE14" s="3">
        <f ca="1">IFERROR(__xludf.DUMMYFUNCTION("""COMPUTED_VALUE"""),-0.679411665138231)</f>
        <v>-0.67941166513823104</v>
      </c>
      <c r="FF14" s="3">
        <f ca="1">IFERROR(__xludf.DUMMYFUNCTION("""COMPUTED_VALUE"""),-0.578391617170499)</f>
        <v>-0.57839161717049903</v>
      </c>
      <c r="FG14" s="3">
        <f ca="1">IFERROR(__xludf.DUMMYFUNCTION("""COMPUTED_VALUE"""),-0.586256950255661)</f>
        <v>-0.58625695025566105</v>
      </c>
      <c r="FH14" s="3">
        <f ca="1">IFERROR(__xludf.DUMMYFUNCTION("""COMPUTED_VALUE"""),-0.677738101292186)</f>
        <v>-0.67773810129218603</v>
      </c>
      <c r="FI14" s="3">
        <f ca="1">IFERROR(__xludf.DUMMYFUNCTION("""COMPUTED_VALUE"""),-0.716675546373169)</f>
        <v>-0.71667554637316899</v>
      </c>
      <c r="FJ14" s="3">
        <f ca="1">IFERROR(__xludf.DUMMYFUNCTION("""COMPUTED_VALUE"""),-0.713124850626622)</f>
        <v>-0.71312485062662201</v>
      </c>
      <c r="FK14" s="3">
        <f ca="1">IFERROR(__xludf.DUMMYFUNCTION("""COMPUTED_VALUE"""),-0.714693741109447)</f>
        <v>-0.71469374110944695</v>
      </c>
      <c r="FL14" s="3">
        <f ca="1">IFERROR(__xludf.DUMMYFUNCTION("""COMPUTED_VALUE"""),-0.69267114770964)</f>
        <v>-0.69267114770964</v>
      </c>
      <c r="FM14" s="3">
        <f ca="1">IFERROR(__xludf.DUMMYFUNCTION("""COMPUTED_VALUE"""),-0.607773706039837)</f>
        <v>-0.60777370603983705</v>
      </c>
      <c r="FN14" s="3">
        <f ca="1">IFERROR(__xludf.DUMMYFUNCTION("""COMPUTED_VALUE"""),-0.596350943445697)</f>
        <v>-0.59635094344569695</v>
      </c>
      <c r="FO14" s="3">
        <f ca="1">IFERROR(__xludf.DUMMYFUNCTION("""COMPUTED_VALUE"""),-0.696015798587895)</f>
        <v>-0.69601579858789497</v>
      </c>
      <c r="FP14" s="3">
        <f ca="1">IFERROR(__xludf.DUMMYFUNCTION("""COMPUTED_VALUE"""),-0.701066939688052)</f>
        <v>-0.701066939688052</v>
      </c>
      <c r="FQ14" s="3">
        <f ca="1">IFERROR(__xludf.DUMMYFUNCTION("""COMPUTED_VALUE"""),-0.709616806800351)</f>
        <v>-0.709616806800351</v>
      </c>
      <c r="FR14" s="3">
        <f ca="1">IFERROR(__xludf.DUMMYFUNCTION("""COMPUTED_VALUE"""),-0.7067105304679)</f>
        <v>-0.7067105304679</v>
      </c>
      <c r="FS14" s="3">
        <f ca="1">IFERROR(__xludf.DUMMYFUNCTION("""COMPUTED_VALUE"""),-0.672591938078168)</f>
        <v>-0.67259193807816797</v>
      </c>
      <c r="FT14" s="3">
        <f ca="1">IFERROR(__xludf.DUMMYFUNCTION("""COMPUTED_VALUE"""),-0.611007720590391)</f>
        <v>-0.61100772059039099</v>
      </c>
      <c r="FU14" s="3">
        <f ca="1">IFERROR(__xludf.DUMMYFUNCTION("""COMPUTED_VALUE"""),-0.594532223707797)</f>
        <v>-0.59453222370779701</v>
      </c>
      <c r="FV14" s="3">
        <f ca="1">IFERROR(__xludf.DUMMYFUNCTION("""COMPUTED_VALUE"""),-0.683775943723151)</f>
        <v>-0.68377594372315098</v>
      </c>
      <c r="FW14" s="3">
        <f ca="1">IFERROR(__xludf.DUMMYFUNCTION("""COMPUTED_VALUE"""),-0.70465167233944)</f>
        <v>-0.70465167233944004</v>
      </c>
      <c r="FX14" s="3">
        <f ca="1">IFERROR(__xludf.DUMMYFUNCTION("""COMPUTED_VALUE"""),-0.711119193916239)</f>
        <v>-0.71111919391623901</v>
      </c>
      <c r="FY14" s="3">
        <f ca="1">IFERROR(__xludf.DUMMYFUNCTION("""COMPUTED_VALUE"""),-0.710312036388829)</f>
        <v>-0.710312036388829</v>
      </c>
      <c r="FZ14" s="3">
        <f ca="1">IFERROR(__xludf.DUMMYFUNCTION("""COMPUTED_VALUE"""),-0.698786718683211)</f>
        <v>-0.69878671868321096</v>
      </c>
      <c r="GA14" s="3">
        <f ca="1">IFERROR(__xludf.DUMMYFUNCTION("""COMPUTED_VALUE"""),-0.588039302521963)</f>
        <v>-0.58803930252196301</v>
      </c>
      <c r="GB14" s="3">
        <f ca="1">IFERROR(__xludf.DUMMYFUNCTION("""COMPUTED_VALUE"""),-0.60123581924807)</f>
        <v>-0.60123581924807001</v>
      </c>
      <c r="GC14" s="3">
        <f ca="1">IFERROR(__xludf.DUMMYFUNCTION("""COMPUTED_VALUE"""),-0.68336735258699)</f>
        <v>-0.68336735258699</v>
      </c>
      <c r="GD14" s="3">
        <f ca="1">IFERROR(__xludf.DUMMYFUNCTION("""COMPUTED_VALUE"""),-0.707698312207601)</f>
        <v>-0.70769831220760104</v>
      </c>
      <c r="GE14" s="3">
        <f ca="1">IFERROR(__xludf.DUMMYFUNCTION("""COMPUTED_VALUE"""),-0.70760407844668)</f>
        <v>-0.70760407844668005</v>
      </c>
      <c r="GF14" s="3">
        <f ca="1">IFERROR(__xludf.DUMMYFUNCTION("""COMPUTED_VALUE"""),-0.709907491047254)</f>
        <v>-0.70990749104725404</v>
      </c>
      <c r="GG14" s="3">
        <f ca="1">IFERROR(__xludf.DUMMYFUNCTION("""COMPUTED_VALUE"""),-0.688862490541589)</f>
        <v>-0.68886249054158899</v>
      </c>
      <c r="GH14" s="3">
        <f ca="1">IFERROR(__xludf.DUMMYFUNCTION("""COMPUTED_VALUE"""),-0.561783595105523)</f>
        <v>-0.561783595105523</v>
      </c>
      <c r="GI14" s="3">
        <f ca="1">IFERROR(__xludf.DUMMYFUNCTION("""COMPUTED_VALUE"""),-0.598629797010878)</f>
        <v>-0.59862979701087804</v>
      </c>
      <c r="GJ14" s="3">
        <f ca="1">IFERROR(__xludf.DUMMYFUNCTION("""COMPUTED_VALUE"""),-0.691974025268159)</f>
        <v>-0.69197402526815899</v>
      </c>
      <c r="GK14" s="3">
        <f ca="1">IFERROR(__xludf.DUMMYFUNCTION("""COMPUTED_VALUE"""),-0.725248984654437)</f>
        <v>-0.72524898465443699</v>
      </c>
      <c r="GL14" s="3">
        <f ca="1">IFERROR(__xludf.DUMMYFUNCTION("""COMPUTED_VALUE"""),-0.723733535570814)</f>
        <v>-0.72373353557081399</v>
      </c>
      <c r="GM14" s="3">
        <f ca="1">IFERROR(__xludf.DUMMYFUNCTION("""COMPUTED_VALUE"""),-0.719345045326846)</f>
        <v>-0.71934504532684596</v>
      </c>
      <c r="GN14" s="3">
        <f ca="1">IFERROR(__xludf.DUMMYFUNCTION("""COMPUTED_VALUE"""),-0.703892875090715)</f>
        <v>-0.70389287509071496</v>
      </c>
      <c r="GO14" s="3">
        <f ca="1">IFERROR(__xludf.DUMMYFUNCTION("""COMPUTED_VALUE"""),-0.560653309412963)</f>
        <v>-0.56065330941296299</v>
      </c>
      <c r="GP14" s="3">
        <f ca="1">IFERROR(__xludf.DUMMYFUNCTION("""COMPUTED_VALUE"""),-0.592201780928473)</f>
        <v>-0.59220178092847298</v>
      </c>
      <c r="GQ14" s="3">
        <f ca="1">IFERROR(__xludf.DUMMYFUNCTION("""COMPUTED_VALUE"""),-0.679062961880138)</f>
        <v>-0.67906296188013804</v>
      </c>
      <c r="GR14" s="3">
        <f ca="1">IFERROR(__xludf.DUMMYFUNCTION("""COMPUTED_VALUE"""),-0.716598257626904)</f>
        <v>-0.71659825762690399</v>
      </c>
      <c r="GS14" s="3">
        <f ca="1">IFERROR(__xludf.DUMMYFUNCTION("""COMPUTED_VALUE"""),-0.71412824742012)</f>
        <v>-0.71412824742012004</v>
      </c>
      <c r="GT14" s="3">
        <f ca="1">IFERROR(__xludf.DUMMYFUNCTION("""COMPUTED_VALUE"""),-0.707632068624869)</f>
        <v>-0.70763206862486905</v>
      </c>
      <c r="GU14" s="3">
        <f ca="1">IFERROR(__xludf.DUMMYFUNCTION("""COMPUTED_VALUE"""),-0.682226448003006)</f>
        <v>-0.68222644800300603</v>
      </c>
      <c r="GV14" s="3">
        <f ca="1">IFERROR(__xludf.DUMMYFUNCTION("""COMPUTED_VALUE"""),-0.534410318777096)</f>
        <v>-0.53441031877709599</v>
      </c>
      <c r="GW14" s="3">
        <f ca="1">IFERROR(__xludf.DUMMYFUNCTION("""COMPUTED_VALUE"""),-0.588517245164284)</f>
        <v>-0.58851724516428405</v>
      </c>
      <c r="GX14" s="3">
        <f ca="1">IFERROR(__xludf.DUMMYFUNCTION("""COMPUTED_VALUE"""),-0.679310326437711)</f>
        <v>-0.67931032643771105</v>
      </c>
      <c r="GY14" s="3">
        <f ca="1">IFERROR(__xludf.DUMMYFUNCTION("""COMPUTED_VALUE"""),-0.705592718375407)</f>
        <v>-0.70559271837540705</v>
      </c>
      <c r="GZ14" s="3">
        <f ca="1">IFERROR(__xludf.DUMMYFUNCTION("""COMPUTED_VALUE"""),-0.682954869479416)</f>
        <v>-0.68295486947941597</v>
      </c>
      <c r="HA14" s="3">
        <f ca="1">IFERROR(__xludf.DUMMYFUNCTION("""COMPUTED_VALUE"""),-0.698467427328056)</f>
        <v>-0.698467427328056</v>
      </c>
      <c r="HB14" s="3">
        <f ca="1">IFERROR(__xludf.DUMMYFUNCTION("""COMPUTED_VALUE"""),-0.684514750788631)</f>
        <v>-0.684514750788631</v>
      </c>
      <c r="HC14" s="3">
        <f ca="1">IFERROR(__xludf.DUMMYFUNCTION("""COMPUTED_VALUE"""),-0.539181558579451)</f>
        <v>-0.53918155857945105</v>
      </c>
      <c r="HD14" s="3">
        <f ca="1">IFERROR(__xludf.DUMMYFUNCTION("""COMPUTED_VALUE"""),-0.635898961103895)</f>
        <v>-0.63589896110389499</v>
      </c>
      <c r="HE14" s="3">
        <f ca="1">IFERROR(__xludf.DUMMYFUNCTION("""COMPUTED_VALUE"""),-0.68676632021167)</f>
        <v>-0.68676632021166995</v>
      </c>
      <c r="HF14" s="3">
        <f ca="1">IFERROR(__xludf.DUMMYFUNCTION("""COMPUTED_VALUE"""),-0.707106030860362)</f>
        <v>-0.70710603086036194</v>
      </c>
      <c r="HG14" s="3">
        <f ca="1">IFERROR(__xludf.DUMMYFUNCTION("""COMPUTED_VALUE"""),-0.701569357747378)</f>
        <v>-0.70156935774737805</v>
      </c>
      <c r="HH14" s="3">
        <f ca="1">IFERROR(__xludf.DUMMYFUNCTION("""COMPUTED_VALUE"""),-0.710512938484392)</f>
        <v>-0.71051293848439201</v>
      </c>
      <c r="HI14" s="3">
        <f ca="1">IFERROR(__xludf.DUMMYFUNCTION("""COMPUTED_VALUE"""),-0.658303359604195)</f>
        <v>-0.65830335960419495</v>
      </c>
      <c r="HJ14" s="3">
        <f ca="1">IFERROR(__xludf.DUMMYFUNCTION("""COMPUTED_VALUE"""),-0.553809855506672)</f>
        <v>-0.55380985550667206</v>
      </c>
      <c r="HK14" s="3">
        <f ca="1">IFERROR(__xludf.DUMMYFUNCTION("""COMPUTED_VALUE"""),-0.54971152220895)</f>
        <v>-0.54971152220895003</v>
      </c>
      <c r="HL14" s="3">
        <f ca="1">IFERROR(__xludf.DUMMYFUNCTION("""COMPUTED_VALUE"""),-0.646603999805307)</f>
        <v>-0.64660399980530703</v>
      </c>
      <c r="HM14" s="3">
        <f ca="1">IFERROR(__xludf.DUMMYFUNCTION("""COMPUTED_VALUE"""),-0.690446957967822)</f>
        <v>-0.69044695796782196</v>
      </c>
      <c r="HN14" s="3">
        <f ca="1">IFERROR(__xludf.DUMMYFUNCTION("""COMPUTED_VALUE"""),-0.674493848815245)</f>
        <v>-0.67449384881524499</v>
      </c>
      <c r="HO14" s="3">
        <f ca="1">IFERROR(__xludf.DUMMYFUNCTION("""COMPUTED_VALUE"""),-0.69880289512589)</f>
        <v>-0.69880289512589</v>
      </c>
      <c r="HP14" s="3">
        <f ca="1">IFERROR(__xludf.DUMMYFUNCTION("""COMPUTED_VALUE"""),-0.604679427729728)</f>
        <v>-0.60467942772972805</v>
      </c>
      <c r="HQ14" s="3">
        <f ca="1">IFERROR(__xludf.DUMMYFUNCTION("""COMPUTED_VALUE"""),-0.511436692402355)</f>
        <v>-0.51143669240235501</v>
      </c>
      <c r="HR14" s="3">
        <f ca="1">IFERROR(__xludf.DUMMYFUNCTION("""COMPUTED_VALUE"""),-0.532951645457035)</f>
        <v>-0.53295164545703499</v>
      </c>
      <c r="HS14" s="3">
        <f ca="1">IFERROR(__xludf.DUMMYFUNCTION("""COMPUTED_VALUE"""),-0.6345587854564)</f>
        <v>-0.63455878545639999</v>
      </c>
      <c r="HT14" s="3">
        <f ca="1">IFERROR(__xludf.DUMMYFUNCTION("""COMPUTED_VALUE"""),-0.66072554776762)</f>
        <v>-0.66072554776762005</v>
      </c>
      <c r="HU14" s="3">
        <f ca="1">IFERROR(__xludf.DUMMYFUNCTION("""COMPUTED_VALUE"""),-0.675232108084402)</f>
        <v>-0.67523210808440204</v>
      </c>
      <c r="HV14" s="3">
        <f ca="1">IFERROR(__xludf.DUMMYFUNCTION("""COMPUTED_VALUE"""),-0.661124272554373)</f>
        <v>-0.661124272554373</v>
      </c>
      <c r="HW14" s="3">
        <f ca="1">IFERROR(__xludf.DUMMYFUNCTION("""COMPUTED_VALUE"""),-0.579016868841217)</f>
        <v>-0.57901686884121695</v>
      </c>
      <c r="HX14" s="3">
        <f ca="1">IFERROR(__xludf.DUMMYFUNCTION("""COMPUTED_VALUE"""),-0.531229246744974)</f>
        <v>-0.53122924674497396</v>
      </c>
      <c r="HY14" s="3">
        <f ca="1">IFERROR(__xludf.DUMMYFUNCTION("""COMPUTED_VALUE"""),-0.503391047977187)</f>
        <v>-0.50339104797718703</v>
      </c>
      <c r="HZ14" s="3">
        <f ca="1">IFERROR(__xludf.DUMMYFUNCTION("""COMPUTED_VALUE"""),-0.620118209240897)</f>
        <v>-0.620118209240897</v>
      </c>
      <c r="IA14" s="3">
        <f ca="1">IFERROR(__xludf.DUMMYFUNCTION("""COMPUTED_VALUE"""),-0.640547276561965)</f>
        <v>-0.64054727656196497</v>
      </c>
      <c r="IB14" s="3">
        <f ca="1">IFERROR(__xludf.DUMMYFUNCTION("""COMPUTED_VALUE"""),-0.657323018664097)</f>
        <v>-0.65732301866409704</v>
      </c>
      <c r="IC14" s="3">
        <f ca="1">IFERROR(__xludf.DUMMYFUNCTION("""COMPUTED_VALUE"""),-0.649725878575763)</f>
        <v>-0.64972587857576303</v>
      </c>
      <c r="ID14" s="3">
        <f ca="1">IFERROR(__xludf.DUMMYFUNCTION("""COMPUTED_VALUE"""),-0.623199055584622)</f>
        <v>-0.62319905558462196</v>
      </c>
      <c r="IE14" s="3">
        <f ca="1">IFERROR(__xludf.DUMMYFUNCTION("""COMPUTED_VALUE"""),-0.499065886721902)</f>
        <v>-0.499065886721902</v>
      </c>
      <c r="IF14" s="3">
        <f ca="1">IFERROR(__xludf.DUMMYFUNCTION("""COMPUTED_VALUE"""),-0.522467686445335)</f>
        <v>-0.52246768644533503</v>
      </c>
      <c r="IG14" s="3">
        <f ca="1">IFERROR(__xludf.DUMMYFUNCTION("""COMPUTED_VALUE"""),-0.593860445979023)</f>
        <v>-0.59386044597902299</v>
      </c>
      <c r="IH14" s="3">
        <f ca="1">IFERROR(__xludf.DUMMYFUNCTION("""COMPUTED_VALUE"""),-0.621862376937467)</f>
        <v>-0.62186237693746704</v>
      </c>
      <c r="II14" s="3">
        <f ca="1">IFERROR(__xludf.DUMMYFUNCTION("""COMPUTED_VALUE"""),-0.634529555925981)</f>
        <v>-0.63452955592598104</v>
      </c>
      <c r="IJ14" s="3">
        <f ca="1">IFERROR(__xludf.DUMMYFUNCTION("""COMPUTED_VALUE"""),-0.621170651379786)</f>
        <v>-0.621170651379786</v>
      </c>
      <c r="IK14" s="3">
        <f ca="1">IFERROR(__xludf.DUMMYFUNCTION("""COMPUTED_VALUE"""),-0.632302880490365)</f>
        <v>-0.63230288049036498</v>
      </c>
      <c r="IL14" s="3">
        <f ca="1">IFERROR(__xludf.DUMMYFUNCTION("""COMPUTED_VALUE"""),-0.54197047956989)</f>
        <v>-0.54197047956988997</v>
      </c>
      <c r="IM14" s="3">
        <f ca="1">IFERROR(__xludf.DUMMYFUNCTION("""COMPUTED_VALUE"""),-0.568891762049138)</f>
        <v>-0.56889176204913805</v>
      </c>
      <c r="IN14" s="3">
        <f ca="1">IFERROR(__xludf.DUMMYFUNCTION("""COMPUTED_VALUE"""),-0.630930714390807)</f>
        <v>-0.63093071439080695</v>
      </c>
      <c r="IO14" s="3">
        <f ca="1">IFERROR(__xludf.DUMMYFUNCTION("""COMPUTED_VALUE"""),-0.668172516798671)</f>
        <v>-0.66817251679867096</v>
      </c>
      <c r="IP14" s="3">
        <f ca="1">IFERROR(__xludf.DUMMYFUNCTION("""COMPUTED_VALUE"""),-0.662554085371262)</f>
        <v>-0.66255408537126204</v>
      </c>
      <c r="IQ14" s="3">
        <f ca="1">IFERROR(__xludf.DUMMYFUNCTION("""COMPUTED_VALUE"""),-0.650971238136072)</f>
        <v>-0.65097123813607205</v>
      </c>
      <c r="IR14" s="3">
        <f ca="1">IFERROR(__xludf.DUMMYFUNCTION("""COMPUTED_VALUE"""),-0.632360353801261)</f>
        <v>-0.63236035380126099</v>
      </c>
      <c r="IS14" s="3">
        <f ca="1">IFERROR(__xludf.DUMMYFUNCTION("""COMPUTED_VALUE"""),-0.565392257056001)</f>
        <v>-0.56539225705600105</v>
      </c>
      <c r="IT14" s="3">
        <f ca="1">IFERROR(__xludf.DUMMYFUNCTION("""COMPUTED_VALUE"""),-0.574945466417697)</f>
        <v>-0.57494546641769695</v>
      </c>
      <c r="IU14" s="3">
        <f ca="1">IFERROR(__xludf.DUMMYFUNCTION("""COMPUTED_VALUE"""),-0.630169644975549)</f>
        <v>-0.63016964497554895</v>
      </c>
      <c r="IV14" s="3">
        <f ca="1">IFERROR(__xludf.DUMMYFUNCTION("""COMPUTED_VALUE"""),-0.683155094509658)</f>
        <v>-0.68315509450965795</v>
      </c>
      <c r="IW14" s="3">
        <f ca="1">IFERROR(__xludf.DUMMYFUNCTION("""COMPUTED_VALUE"""),-0.669631936733073)</f>
        <v>-0.66963193673307297</v>
      </c>
      <c r="IX14" s="3">
        <f ca="1">IFERROR(__xludf.DUMMYFUNCTION("""COMPUTED_VALUE"""),-0.663487461991444)</f>
        <v>-0.66348746199144404</v>
      </c>
      <c r="IY14" s="3">
        <f ca="1">IFERROR(__xludf.DUMMYFUNCTION("""COMPUTED_VALUE"""),-0.644502419830559)</f>
        <v>-0.644502419830559</v>
      </c>
      <c r="IZ14" s="3">
        <f ca="1">IFERROR(__xludf.DUMMYFUNCTION("""COMPUTED_VALUE"""),-0.545011025315079)</f>
        <v>-0.54501102531507895</v>
      </c>
      <c r="JA14" s="3">
        <f ca="1">IFERROR(__xludf.DUMMYFUNCTION("""COMPUTED_VALUE"""),-0.572775948800442)</f>
        <v>-0.57277594880044203</v>
      </c>
      <c r="JB14" s="3">
        <f ca="1">IFERROR(__xludf.DUMMYFUNCTION("""COMPUTED_VALUE"""),-0.647244123757889)</f>
        <v>-0.64724412375788898</v>
      </c>
      <c r="JC14" s="3">
        <f ca="1">IFERROR(__xludf.DUMMYFUNCTION("""COMPUTED_VALUE"""),-0.678238168954079)</f>
        <v>-0.67823816895407896</v>
      </c>
      <c r="JD14" s="3">
        <f ca="1">IFERROR(__xludf.DUMMYFUNCTION("""COMPUTED_VALUE"""),-0.670622936431442)</f>
        <v>-0.670622936431442</v>
      </c>
      <c r="JE14" s="3">
        <f ca="1">IFERROR(__xludf.DUMMYFUNCTION("""COMPUTED_VALUE"""),-0.685013874422001)</f>
        <v>-0.68501387442200101</v>
      </c>
      <c r="JF14" s="3">
        <f ca="1">IFERROR(__xludf.DUMMYFUNCTION("""COMPUTED_VALUE"""),-0.654080565696368)</f>
        <v>-0.65408056569636797</v>
      </c>
      <c r="JG14" s="3">
        <f ca="1">IFERROR(__xludf.DUMMYFUNCTION("""COMPUTED_VALUE"""),-0.622035867113444)</f>
        <v>-0.62203586711344405</v>
      </c>
      <c r="JH14" s="3">
        <f ca="1">IFERROR(__xludf.DUMMYFUNCTION("""COMPUTED_VALUE"""),-0.583060628392375)</f>
        <v>-0.58306062839237505</v>
      </c>
      <c r="JI14" s="3">
        <f ca="1">IFERROR(__xludf.DUMMYFUNCTION("""COMPUTED_VALUE"""),-0.639332695426065)</f>
        <v>-0.63933269542606497</v>
      </c>
      <c r="JJ14" s="3">
        <f ca="1">IFERROR(__xludf.DUMMYFUNCTION("""COMPUTED_VALUE"""),-0.675197707665072)</f>
        <v>-0.67519770766507203</v>
      </c>
      <c r="JK14" s="3">
        <f ca="1">IFERROR(__xludf.DUMMYFUNCTION("""COMPUTED_VALUE"""),-0.687220863237387)</f>
        <v>-0.68722086323738696</v>
      </c>
      <c r="JL14" s="3">
        <f ca="1">IFERROR(__xludf.DUMMYFUNCTION("""COMPUTED_VALUE"""),-0.671648637020385)</f>
        <v>-0.67164863702038502</v>
      </c>
      <c r="JM14" s="3">
        <f ca="1">IFERROR(__xludf.DUMMYFUNCTION("""COMPUTED_VALUE"""),-0.653002087214108)</f>
        <v>-0.65300208721410802</v>
      </c>
      <c r="JN14" s="3">
        <f ca="1">IFERROR(__xludf.DUMMYFUNCTION("""COMPUTED_VALUE"""),-0.570304839472173)</f>
        <v>-0.57030483947217303</v>
      </c>
      <c r="JO14" s="3">
        <f ca="1">IFERROR(__xludf.DUMMYFUNCTION("""COMPUTED_VALUE"""),-0.578753291264658)</f>
        <v>-0.57875329126465802</v>
      </c>
      <c r="JP14" s="3">
        <f ca="1">IFERROR(__xludf.DUMMYFUNCTION("""COMPUTED_VALUE"""),-0.64377209752993)</f>
        <v>-0.64377209752993003</v>
      </c>
      <c r="JQ14" s="3">
        <f ca="1">IFERROR(__xludf.DUMMYFUNCTION("""COMPUTED_VALUE"""),-0.645195533783317)</f>
        <v>-0.64519553378331695</v>
      </c>
      <c r="JR14" s="3">
        <f ca="1">IFERROR(__xludf.DUMMYFUNCTION("""COMPUTED_VALUE"""),-0.683429904929976)</f>
        <v>-0.68342990492997602</v>
      </c>
      <c r="JS14" s="3">
        <f ca="1">IFERROR(__xludf.DUMMYFUNCTION("""COMPUTED_VALUE"""),-0.666026994827558)</f>
        <v>-0.66602699482755801</v>
      </c>
      <c r="JT14" s="3">
        <f ca="1">IFERROR(__xludf.DUMMYFUNCTION("""COMPUTED_VALUE"""),-0.65741271740731)</f>
        <v>-0.65741271740731</v>
      </c>
      <c r="JU14" s="3">
        <f ca="1">IFERROR(__xludf.DUMMYFUNCTION("""COMPUTED_VALUE"""),-0.592287441402562)</f>
        <v>-0.59228744140256195</v>
      </c>
      <c r="JV14" s="3">
        <f ca="1">IFERROR(__xludf.DUMMYFUNCTION("""COMPUTED_VALUE"""),-0.60745450830318)</f>
        <v>-0.60745450830318004</v>
      </c>
      <c r="JW14" s="3">
        <f ca="1">IFERROR(__xludf.DUMMYFUNCTION("""COMPUTED_VALUE"""),-0.571978150002172)</f>
        <v>-0.571978150002172</v>
      </c>
      <c r="JX14" s="3">
        <f ca="1">IFERROR(__xludf.DUMMYFUNCTION("""COMPUTED_VALUE"""),-0.648900288496057)</f>
        <v>-0.64890028849605697</v>
      </c>
      <c r="JY14" s="3">
        <f ca="1">IFERROR(__xludf.DUMMYFUNCTION("""COMPUTED_VALUE"""),-0.702510621911234)</f>
        <v>-0.70251062191123403</v>
      </c>
      <c r="JZ14" s="3">
        <f ca="1">IFERROR(__xludf.DUMMYFUNCTION("""COMPUTED_VALUE"""),-0.70906833377238)</f>
        <v>-0.70906833377237999</v>
      </c>
      <c r="KA14" s="3">
        <f ca="1">IFERROR(__xludf.DUMMYFUNCTION("""COMPUTED_VALUE"""),-0.684645272885379)</f>
        <v>-0.68464527288537902</v>
      </c>
      <c r="KB14" s="3">
        <f ca="1">IFERROR(__xludf.DUMMYFUNCTION("""COMPUTED_VALUE"""),-0.576220424874615)</f>
        <v>-0.576220424874615</v>
      </c>
      <c r="KC14" s="3">
        <f ca="1">IFERROR(__xludf.DUMMYFUNCTION("""COMPUTED_VALUE"""),-0.596847204138691)</f>
        <v>-0.59684720413869097</v>
      </c>
      <c r="KD14" s="3">
        <f ca="1">IFERROR(__xludf.DUMMYFUNCTION("""COMPUTED_VALUE"""),-0.686338675583077)</f>
        <v>-0.68633867558307704</v>
      </c>
      <c r="KE14" s="3">
        <f ca="1">IFERROR(__xludf.DUMMYFUNCTION("""COMPUTED_VALUE"""),-0.669917416411664)</f>
        <v>-0.66991741641166402</v>
      </c>
      <c r="KF14" s="3">
        <f ca="1">IFERROR(__xludf.DUMMYFUNCTION("""COMPUTED_VALUE"""),-0.713698814094877)</f>
        <v>-0.71369881409487701</v>
      </c>
      <c r="KG14" s="3">
        <f ca="1">IFERROR(__xludf.DUMMYFUNCTION("""COMPUTED_VALUE"""),-0.710748194703579)</f>
        <v>-0.71074819470357897</v>
      </c>
      <c r="KH14" s="3">
        <f ca="1">IFERROR(__xludf.DUMMYFUNCTION("""COMPUTED_VALUE"""),-0.692050259838424)</f>
        <v>-0.69205025983842405</v>
      </c>
      <c r="KI14" s="3">
        <f ca="1">IFERROR(__xludf.DUMMYFUNCTION("""COMPUTED_VALUE"""),-0.604791632366297)</f>
        <v>-0.60479163236629696</v>
      </c>
      <c r="KJ14" s="3">
        <f ca="1">IFERROR(__xludf.DUMMYFUNCTION("""COMPUTED_VALUE"""),-0.563732983928104)</f>
        <v>-0.563732983928104</v>
      </c>
      <c r="KK14" s="3">
        <f ca="1">IFERROR(__xludf.DUMMYFUNCTION("""COMPUTED_VALUE"""),-0.631302501613071)</f>
        <v>-0.631302501613071</v>
      </c>
      <c r="KL14" s="3">
        <f ca="1">IFERROR(__xludf.DUMMYFUNCTION("""COMPUTED_VALUE"""),-0.672178904720984)</f>
        <v>-0.67217890472098396</v>
      </c>
      <c r="KM14" s="3">
        <f ca="1">IFERROR(__xludf.DUMMYFUNCTION("""COMPUTED_VALUE"""),-0.672240383138815)</f>
        <v>-0.67224038313881496</v>
      </c>
      <c r="KN14" s="3">
        <f ca="1">IFERROR(__xludf.DUMMYFUNCTION("""COMPUTED_VALUE"""),-0.676222039167188)</f>
        <v>-0.67622203916718804</v>
      </c>
      <c r="KO14" s="3">
        <f ca="1">IFERROR(__xludf.DUMMYFUNCTION("""COMPUTED_VALUE"""),-0.641856143628118)</f>
        <v>-0.64185614362811805</v>
      </c>
      <c r="KP14" s="3">
        <f ca="1">IFERROR(__xludf.DUMMYFUNCTION("""COMPUTED_VALUE"""),-0.567183465531442)</f>
        <v>-0.56718346553144205</v>
      </c>
      <c r="KQ14" s="3">
        <f ca="1">IFERROR(__xludf.DUMMYFUNCTION("""COMPUTED_VALUE"""),-0.576881365791521)</f>
        <v>-0.57688136579152105</v>
      </c>
      <c r="KR14" s="3">
        <f ca="1">IFERROR(__xludf.DUMMYFUNCTION("""COMPUTED_VALUE"""),-0.663401012413806)</f>
        <v>-0.663401012413806</v>
      </c>
      <c r="KS14" s="3">
        <f ca="1">IFERROR(__xludf.DUMMYFUNCTION("""COMPUTED_VALUE"""),-0.678012788208438)</f>
        <v>-0.67801278820843802</v>
      </c>
      <c r="KT14" s="3">
        <f ca="1">IFERROR(__xludf.DUMMYFUNCTION("""COMPUTED_VALUE"""),-0.693112143055046)</f>
        <v>-0.69311214305504598</v>
      </c>
      <c r="KU14" s="3">
        <f ca="1">IFERROR(__xludf.DUMMYFUNCTION("""COMPUTED_VALUE"""),-0.697454846012952)</f>
        <v>-0.69745484601295205</v>
      </c>
      <c r="KV14" s="3">
        <f ca="1">IFERROR(__xludf.DUMMYFUNCTION("""COMPUTED_VALUE"""),-0.652691183805448)</f>
        <v>-0.65269118380544799</v>
      </c>
      <c r="KW14" s="3">
        <f ca="1">IFERROR(__xludf.DUMMYFUNCTION("""COMPUTED_VALUE"""),-0.599928472422217)</f>
        <v>-0.59992847242221703</v>
      </c>
      <c r="KX14" s="3">
        <f ca="1">IFERROR(__xludf.DUMMYFUNCTION("""COMPUTED_VALUE"""),-0.581581435349611)</f>
        <v>-0.58158143534961104</v>
      </c>
      <c r="KY14" s="3">
        <f ca="1">IFERROR(__xludf.DUMMYFUNCTION("""COMPUTED_VALUE"""),-0.705156479375276)</f>
        <v>-0.70515647937527604</v>
      </c>
      <c r="KZ14" s="3">
        <f ca="1">IFERROR(__xludf.DUMMYFUNCTION("""COMPUTED_VALUE"""),-0.717787929957294)</f>
        <v>-0.71778792995729401</v>
      </c>
      <c r="LA14" s="3">
        <f ca="1">IFERROR(__xludf.DUMMYFUNCTION("""COMPUTED_VALUE"""),-0.747310572611946)</f>
        <v>-0.747310572611946</v>
      </c>
      <c r="LB14" s="3">
        <f ca="1">IFERROR(__xludf.DUMMYFUNCTION("""COMPUTED_VALUE"""),-0.733308064179849)</f>
        <v>-0.73330806417984895</v>
      </c>
      <c r="LC14" s="3">
        <f ca="1">IFERROR(__xludf.DUMMYFUNCTION("""COMPUTED_VALUE"""),-0.712081302686036)</f>
        <v>-0.71208130268603598</v>
      </c>
      <c r="LD14" s="3">
        <f ca="1">IFERROR(__xludf.DUMMYFUNCTION("""COMPUTED_VALUE"""),-0.665973610833047)</f>
        <v>-0.66597361083304696</v>
      </c>
      <c r="LE14" s="3">
        <f ca="1">IFERROR(__xludf.DUMMYFUNCTION("""COMPUTED_VALUE"""),-0.617750812960082)</f>
        <v>-0.61775081296008205</v>
      </c>
      <c r="LF14" s="3">
        <f ca="1">IFERROR(__xludf.DUMMYFUNCTION("""COMPUTED_VALUE"""),-0.722712089457488)</f>
        <v>-0.72271208945748799</v>
      </c>
      <c r="LG14" s="3">
        <f ca="1">IFERROR(__xludf.DUMMYFUNCTION("""COMPUTED_VALUE"""),-0.748817499014601)</f>
        <v>-0.74881749901460104</v>
      </c>
      <c r="LH14" s="3">
        <f ca="1">IFERROR(__xludf.DUMMYFUNCTION("""COMPUTED_VALUE"""),-0.73634736042545)</f>
        <v>-0.73634736042545001</v>
      </c>
      <c r="LI14" s="3">
        <f ca="1">IFERROR(__xludf.DUMMYFUNCTION("""COMPUTED_VALUE"""),-0.721620460850413)</f>
        <v>-0.72162046085041298</v>
      </c>
      <c r="LJ14" s="3">
        <f ca="1">IFERROR(__xludf.DUMMYFUNCTION("""COMPUTED_VALUE"""),-0.677813774629913)</f>
        <v>-0.67781377462991299</v>
      </c>
      <c r="LK14" s="3">
        <f ca="1">IFERROR(__xludf.DUMMYFUNCTION("""COMPUTED_VALUE"""),-0.612919104366812)</f>
        <v>-0.61291910436681196</v>
      </c>
      <c r="LL14" s="3">
        <f ca="1">IFERROR(__xludf.DUMMYFUNCTION("""COMPUTED_VALUE"""),-0.670332049047496)</f>
        <v>-0.67033204904749599</v>
      </c>
      <c r="LM14" s="3">
        <f ca="1">IFERROR(__xludf.DUMMYFUNCTION("""COMPUTED_VALUE"""),-0.736912833200599)</f>
        <v>-0.73691283320059897</v>
      </c>
      <c r="LN14" s="3">
        <f ca="1">IFERROR(__xludf.DUMMYFUNCTION("""COMPUTED_VALUE"""),-0.748480511837112)</f>
        <v>-0.74848051183711195</v>
      </c>
      <c r="LO14" s="3">
        <f ca="1">IFERROR(__xludf.DUMMYFUNCTION("""COMPUTED_VALUE"""),-0.754401214342953)</f>
        <v>-0.75440121434295304</v>
      </c>
      <c r="LP14" s="3">
        <f ca="1">IFERROR(__xludf.DUMMYFUNCTION("""COMPUTED_VALUE"""),-0.757535703659858)</f>
        <v>-0.75753570365985801</v>
      </c>
      <c r="LQ14" s="3">
        <f ca="1">IFERROR(__xludf.DUMMYFUNCTION("""COMPUTED_VALUE"""),-0.697233678922434)</f>
        <v>-0.69723367892243404</v>
      </c>
      <c r="LR14" s="3">
        <f ca="1">IFERROR(__xludf.DUMMYFUNCTION("""COMPUTED_VALUE"""),-0.688017776659276)</f>
        <v>-0.68801777665927599</v>
      </c>
      <c r="LS14" s="3">
        <f ca="1">IFERROR(__xludf.DUMMYFUNCTION("""COMPUTED_VALUE"""),-0.705436582172899)</f>
        <v>-0.70543658217289895</v>
      </c>
      <c r="LT14" s="3">
        <f ca="1">IFERROR(__xludf.DUMMYFUNCTION("""COMPUTED_VALUE"""),-0.754584127477205)</f>
        <v>-0.75458412747720505</v>
      </c>
      <c r="LU14" s="3">
        <f ca="1">IFERROR(__xludf.DUMMYFUNCTION("""COMPUTED_VALUE"""),-0.794573321806917)</f>
        <v>-0.79457332180691698</v>
      </c>
      <c r="LV14" s="3">
        <f ca="1">IFERROR(__xludf.DUMMYFUNCTION("""COMPUTED_VALUE"""),-0.7702608282184)</f>
        <v>-0.77026082821840003</v>
      </c>
      <c r="LW14" s="3">
        <f ca="1">IFERROR(__xludf.DUMMYFUNCTION("""COMPUTED_VALUE"""),-0.775880890691252)</f>
        <v>-0.77588089069125199</v>
      </c>
      <c r="LX14" s="3">
        <f ca="1">IFERROR(__xludf.DUMMYFUNCTION("""COMPUTED_VALUE"""),-0.766110682236912)</f>
        <v>-0.76611068223691203</v>
      </c>
      <c r="LY14" s="3">
        <f ca="1">IFERROR(__xludf.DUMMYFUNCTION("""COMPUTED_VALUE"""),-0.702884020459698)</f>
        <v>-0.702884020459698</v>
      </c>
      <c r="LZ14" s="3">
        <f ca="1">IFERROR(__xludf.DUMMYFUNCTION("""COMPUTED_VALUE"""),-0.723041700952002)</f>
        <v>-0.72304170095200204</v>
      </c>
      <c r="MA14" s="3">
        <f ca="1">IFERROR(__xludf.DUMMYFUNCTION("""COMPUTED_VALUE"""),-0.779723913693079)</f>
        <v>-0.77972391369307903</v>
      </c>
      <c r="MB14" s="3">
        <f ca="1">IFERROR(__xludf.DUMMYFUNCTION("""COMPUTED_VALUE"""),-0.787944225346559)</f>
        <v>-0.78794422534655895</v>
      </c>
      <c r="MC14" s="3">
        <f ca="1">IFERROR(__xludf.DUMMYFUNCTION("""COMPUTED_VALUE"""),-0.798557923186086)</f>
        <v>-0.79855792318608598</v>
      </c>
      <c r="MD14" s="3">
        <f ca="1">IFERROR(__xludf.DUMMYFUNCTION("""COMPUTED_VALUE"""),-0.808045156828628)</f>
        <v>-0.80804515682862799</v>
      </c>
      <c r="ME14" s="3">
        <f ca="1">IFERROR(__xludf.DUMMYFUNCTION("""COMPUTED_VALUE"""),-0.766855502757436)</f>
        <v>-0.76685550275743597</v>
      </c>
      <c r="MF14" s="3">
        <f ca="1">IFERROR(__xludf.DUMMYFUNCTION("""COMPUTED_VALUE"""),-0.672452175778486)</f>
        <v>-0.67245217577848604</v>
      </c>
      <c r="MG14" s="3">
        <f ca="1">IFERROR(__xludf.DUMMYFUNCTION("""COMPUTED_VALUE"""),-0.687435269167394)</f>
        <v>-0.68743526916739395</v>
      </c>
      <c r="MH14" s="3">
        <f ca="1">IFERROR(__xludf.DUMMYFUNCTION("""COMPUTED_VALUE"""),-0.788541180843503)</f>
        <v>-0.788541180843503</v>
      </c>
      <c r="MI14" s="3">
        <f ca="1">IFERROR(__xludf.DUMMYFUNCTION("""COMPUTED_VALUE"""),-0.809217302548355)</f>
        <v>-0.809217302548355</v>
      </c>
      <c r="MJ14" s="3">
        <f ca="1">IFERROR(__xludf.DUMMYFUNCTION("""COMPUTED_VALUE"""),-0.816743066214387)</f>
        <v>-0.81674306621438697</v>
      </c>
      <c r="MK14" s="3">
        <f ca="1">IFERROR(__xludf.DUMMYFUNCTION("""COMPUTED_VALUE"""),-0.800937705867804)</f>
        <v>-0.800937705867804</v>
      </c>
      <c r="ML14" s="3">
        <f ca="1">IFERROR(__xludf.DUMMYFUNCTION("""COMPUTED_VALUE"""),-0.798079166289088)</f>
        <v>-0.79807916628908804</v>
      </c>
      <c r="MM14" s="3">
        <f ca="1">IFERROR(__xludf.DUMMYFUNCTION("""COMPUTED_VALUE"""),-0.706777510588854)</f>
        <v>-0.70677751058885396</v>
      </c>
      <c r="MN14" s="3">
        <f ca="1">IFERROR(__xludf.DUMMYFUNCTION("""COMPUTED_VALUE"""),-0.750108710784763)</f>
        <v>-0.75010871078476304</v>
      </c>
      <c r="MO14" s="3">
        <f ca="1">IFERROR(__xludf.DUMMYFUNCTION("""COMPUTED_VALUE"""),-0.796199683197403)</f>
        <v>-0.79619968319740297</v>
      </c>
      <c r="MP14" s="3">
        <f ca="1">IFERROR(__xludf.DUMMYFUNCTION("""COMPUTED_VALUE"""),-0.801131157650579)</f>
        <v>-0.80113115765057896</v>
      </c>
      <c r="MQ14" s="3">
        <f ca="1">IFERROR(__xludf.DUMMYFUNCTION("""COMPUTED_VALUE"""),-0.811230166011346)</f>
        <v>-0.81123016601134601</v>
      </c>
      <c r="MR14" s="3">
        <f ca="1">IFERROR(__xludf.DUMMYFUNCTION("""COMPUTED_VALUE"""),-0.79161688499013)</f>
        <v>-0.79161688499013005</v>
      </c>
      <c r="MS14" s="3">
        <f ca="1">IFERROR(__xludf.DUMMYFUNCTION("""COMPUTED_VALUE"""),-0.772026943383106)</f>
        <v>-0.77202694338310596</v>
      </c>
      <c r="MT14" s="3">
        <f ca="1">IFERROR(__xludf.DUMMYFUNCTION("""COMPUTED_VALUE"""),-0.704270945804751)</f>
        <v>-0.70427094580475103</v>
      </c>
      <c r="MU14" s="3">
        <f ca="1">IFERROR(__xludf.DUMMYFUNCTION("""COMPUTED_VALUE"""),-0.729272976846504)</f>
        <v>-0.72927297684650405</v>
      </c>
      <c r="MV14" s="3">
        <f ca="1">IFERROR(__xludf.DUMMYFUNCTION("""COMPUTED_VALUE"""),-0.796556536437254)</f>
        <v>-0.79655653643725399</v>
      </c>
      <c r="MW14" s="3">
        <f ca="1">IFERROR(__xludf.DUMMYFUNCTION("""COMPUTED_VALUE"""),-0.803498937823311)</f>
        <v>-0.80349893782331105</v>
      </c>
      <c r="MX14" s="3">
        <f ca="1">IFERROR(__xludf.DUMMYFUNCTION("""COMPUTED_VALUE"""),-0.7990221679384)</f>
        <v>-0.79902216793839997</v>
      </c>
      <c r="MY14" s="3">
        <f ca="1">IFERROR(__xludf.DUMMYFUNCTION("""COMPUTED_VALUE"""),-0.795108265438952)</f>
        <v>-0.79510826543895197</v>
      </c>
      <c r="MZ14" s="3">
        <f ca="1">IFERROR(__xludf.DUMMYFUNCTION("""COMPUTED_VALUE"""),-0.800162368189371)</f>
        <v>-0.80016236818937103</v>
      </c>
      <c r="NA14" s="3">
        <f ca="1">IFERROR(__xludf.DUMMYFUNCTION("""COMPUTED_VALUE"""),-0.730280876027453)</f>
        <v>-0.73028087602745295</v>
      </c>
      <c r="NB14" s="3">
        <f ca="1">IFERROR(__xludf.DUMMYFUNCTION("""COMPUTED_VALUE"""),-0.751393230491778)</f>
        <v>-0.75139323049177797</v>
      </c>
      <c r="NC14" s="3">
        <f ca="1">IFERROR(__xludf.DUMMYFUNCTION("""COMPUTED_VALUE"""),-0.792498529366039)</f>
        <v>-0.79249852936603904</v>
      </c>
      <c r="ND14" s="3">
        <f ca="1">IFERROR(__xludf.DUMMYFUNCTION("""COMPUTED_VALUE"""),-0.812354547718331)</f>
        <v>-0.81235454771833104</v>
      </c>
      <c r="NE14" s="3">
        <f ca="1">IFERROR(__xludf.DUMMYFUNCTION("""COMPUTED_VALUE"""),-0.81323643065536)</f>
        <v>-0.81323643065536</v>
      </c>
      <c r="NF14" s="3">
        <f ca="1">IFERROR(__xludf.DUMMYFUNCTION("""COMPUTED_VALUE"""),-0.800253735092976)</f>
        <v>-0.80025373509297604</v>
      </c>
      <c r="NG14" s="3">
        <f ca="1">IFERROR(__xludf.DUMMYFUNCTION("""COMPUTED_VALUE"""),-0.800142715620758)</f>
        <v>-0.800142715620758</v>
      </c>
      <c r="NH14" s="3">
        <f ca="1">IFERROR(__xludf.DUMMYFUNCTION("""COMPUTED_VALUE"""),-0.705800381665287)</f>
        <v>-0.70580038166528702</v>
      </c>
      <c r="NI14" s="3">
        <f ca="1">IFERROR(__xludf.DUMMYFUNCTION("""COMPUTED_VALUE"""),-0.746973038715476)</f>
        <v>-0.74697303871547605</v>
      </c>
      <c r="NJ14" s="3">
        <f ca="1">IFERROR(__xludf.DUMMYFUNCTION("""COMPUTED_VALUE"""),-0.784436016359634)</f>
        <v>-0.784436016359634</v>
      </c>
      <c r="NK14" s="3">
        <f ca="1">IFERROR(__xludf.DUMMYFUNCTION("""COMPUTED_VALUE"""),-0.810159356937255)</f>
        <v>-0.81015935693725505</v>
      </c>
      <c r="NL14" s="3">
        <f ca="1">IFERROR(__xludf.DUMMYFUNCTION("""COMPUTED_VALUE"""),-0.811783962450538)</f>
        <v>-0.81178396245053797</v>
      </c>
      <c r="NM14" s="3">
        <f ca="1">IFERROR(__xludf.DUMMYFUNCTION("""COMPUTED_VALUE"""),-0.809831738272168)</f>
        <v>-0.80983173827216803</v>
      </c>
      <c r="NN14" s="3">
        <f ca="1">IFERROR(__xludf.DUMMYFUNCTION("""COMPUTED_VALUE"""),-0.797723051030955)</f>
        <v>-0.79772305103095498</v>
      </c>
      <c r="NO14" s="3">
        <f ca="1">IFERROR(__xludf.DUMMYFUNCTION("""COMPUTED_VALUE"""),-0.70027808627008)</f>
        <v>-0.70027808627008004</v>
      </c>
      <c r="NP14" s="3">
        <f ca="1">IFERROR(__xludf.DUMMYFUNCTION("""COMPUTED_VALUE"""),-0.751850291997147)</f>
        <v>-0.75185029199714704</v>
      </c>
      <c r="NQ14" s="3">
        <f ca="1">IFERROR(__xludf.DUMMYFUNCTION("""COMPUTED_VALUE"""),-0.788964219887316)</f>
        <v>-0.78896421988731602</v>
      </c>
      <c r="NR14" s="3">
        <f ca="1">IFERROR(__xludf.DUMMYFUNCTION("""COMPUTED_VALUE"""),-0.793184488511538)</f>
        <v>-0.793184488511538</v>
      </c>
      <c r="NS14" s="3">
        <f ca="1">IFERROR(__xludf.DUMMYFUNCTION("""COMPUTED_VALUE"""),-0.791029426490401)</f>
        <v>-0.79102942649040098</v>
      </c>
      <c r="NT14" s="3">
        <f ca="1">IFERROR(__xludf.DUMMYFUNCTION("""COMPUTED_VALUE"""),-0.771939511688841)</f>
        <v>-0.77193951168884101</v>
      </c>
      <c r="NU14" s="3">
        <f ca="1">IFERROR(__xludf.DUMMYFUNCTION("""COMPUTED_VALUE"""),-0.786142835648136)</f>
        <v>-0.78614283564813603</v>
      </c>
      <c r="NV14" s="3">
        <f ca="1">IFERROR(__xludf.DUMMYFUNCTION("""COMPUTED_VALUE"""),-0.693197851821774)</f>
        <v>-0.69319785182177396</v>
      </c>
      <c r="NW14" s="3">
        <f ca="1">IFERROR(__xludf.DUMMYFUNCTION("""COMPUTED_VALUE"""),-0.70678540957146)</f>
        <v>-0.70678540957145997</v>
      </c>
      <c r="NX14" s="3">
        <f ca="1">IFERROR(__xludf.DUMMYFUNCTION("""COMPUTED_VALUE"""),-0.71283290291921)</f>
        <v>-0.71283290291920998</v>
      </c>
      <c r="NY14" s="3">
        <f ca="1">IFERROR(__xludf.DUMMYFUNCTION("""COMPUTED_VALUE"""),-0.719142156966677)</f>
        <v>-0.71914215696667705</v>
      </c>
      <c r="NZ14" s="3">
        <f ca="1">IFERROR(__xludf.DUMMYFUNCTION("""COMPUTED_VALUE"""),-0.706614160034091)</f>
        <v>-0.70661416003409105</v>
      </c>
      <c r="OA14" s="3">
        <f ca="1">IFERROR(__xludf.DUMMYFUNCTION("""COMPUTED_VALUE"""),-0.648887061367447)</f>
        <v>-0.648887061367447</v>
      </c>
      <c r="OB14" s="3">
        <f ca="1">IFERROR(__xludf.DUMMYFUNCTION("""COMPUTED_VALUE"""),-0.51272893188861)</f>
        <v>-0.51272893188861002</v>
      </c>
      <c r="OC14" s="3">
        <f ca="1">IFERROR(__xludf.DUMMYFUNCTION("""COMPUTED_VALUE"""),-0.336876388661006)</f>
        <v>-0.336876388661006</v>
      </c>
      <c r="OD14" s="3">
        <f ca="1">IFERROR(__xludf.DUMMYFUNCTION("""COMPUTED_VALUE"""),-0.338618166980152)</f>
        <v>-0.33861816698015201</v>
      </c>
      <c r="OE14" s="3">
        <f ca="1">IFERROR(__xludf.DUMMYFUNCTION("""COMPUTED_VALUE"""),-0.255320165223641)</f>
        <v>-0.25532016522364098</v>
      </c>
      <c r="OF14" s="3">
        <f ca="1">IFERROR(__xludf.DUMMYFUNCTION("""COMPUTED_VALUE"""),-0.187318490379944)</f>
        <v>-0.187318490379944</v>
      </c>
      <c r="OG14" s="3">
        <f ca="1">IFERROR(__xludf.DUMMYFUNCTION("""COMPUTED_VALUE"""),-0.110053223103628)</f>
        <v>-0.110053223103628</v>
      </c>
      <c r="OH14" s="3">
        <f ca="1">IFERROR(__xludf.DUMMYFUNCTION("""COMPUTED_VALUE"""),-0.0658403479069819)</f>
        <v>-6.58403479069819E-2</v>
      </c>
      <c r="OI14" s="3">
        <f ca="1">IFERROR(__xludf.DUMMYFUNCTION("""COMPUTED_VALUE"""),-0.0498172933898278)</f>
        <v>-4.9817293389827801E-2</v>
      </c>
      <c r="OJ14" s="3">
        <f ca="1">IFERROR(__xludf.DUMMYFUNCTION("""COMPUTED_VALUE"""),0.029822663060917)</f>
        <v>2.9822663060917E-2</v>
      </c>
      <c r="OK14" s="3">
        <f ca="1">IFERROR(__xludf.DUMMYFUNCTION("""COMPUTED_VALUE"""),-0.0232276467019404)</f>
        <v>-2.3227646701940399E-2</v>
      </c>
      <c r="OL14" s="3">
        <f ca="1">IFERROR(__xludf.DUMMYFUNCTION("""COMPUTED_VALUE"""),-0.035119055743139)</f>
        <v>-3.5119055743138998E-2</v>
      </c>
      <c r="OM14" s="3">
        <f ca="1">IFERROR(__xludf.DUMMYFUNCTION("""COMPUTED_VALUE"""),-0.0478389313018061)</f>
        <v>-4.7838931301806102E-2</v>
      </c>
      <c r="ON14" s="3">
        <f ca="1">IFERROR(__xludf.DUMMYFUNCTION("""COMPUTED_VALUE"""),-0.0611047433520128)</f>
        <v>-6.1104743352012797E-2</v>
      </c>
      <c r="OO14" s="3">
        <f ca="1">IFERROR(__xludf.DUMMYFUNCTION("""COMPUTED_VALUE"""),-0.0281512722940223)</f>
        <v>-2.8151272294022301E-2</v>
      </c>
      <c r="OP14" s="3">
        <f ca="1">IFERROR(__xludf.DUMMYFUNCTION("""COMPUTED_VALUE"""),-0.039346074838421)</f>
        <v>-3.9346074838421001E-2</v>
      </c>
      <c r="OQ14" s="3">
        <f ca="1">IFERROR(__xludf.DUMMYFUNCTION("""COMPUTED_VALUE"""),0.0599375618216637)</f>
        <v>5.9937561821663703E-2</v>
      </c>
      <c r="OR14" s="3">
        <f ca="1">IFERROR(__xludf.DUMMYFUNCTION("""COMPUTED_VALUE"""),0.0834526032788238)</f>
        <v>8.3452603278823798E-2</v>
      </c>
      <c r="OS14" s="3">
        <f ca="1">IFERROR(__xludf.DUMMYFUNCTION("""COMPUTED_VALUE"""),0.0171227339190025)</f>
        <v>1.71227339190025E-2</v>
      </c>
      <c r="OT14" s="3">
        <f ca="1">IFERROR(__xludf.DUMMYFUNCTION("""COMPUTED_VALUE"""),-0.019216220479557)</f>
        <v>-1.9216220479557001E-2</v>
      </c>
      <c r="OU14" s="3">
        <f ca="1">IFERROR(__xludf.DUMMYFUNCTION("""COMPUTED_VALUE"""),-0.0436115679486273)</f>
        <v>-4.3611567948627299E-2</v>
      </c>
      <c r="OV14" s="3">
        <f ca="1">IFERROR(__xludf.DUMMYFUNCTION("""COMPUTED_VALUE"""),-0.0276409747443209)</f>
        <v>-2.7640974744320899E-2</v>
      </c>
      <c r="OW14" s="3">
        <f ca="1">IFERROR(__xludf.DUMMYFUNCTION("""COMPUTED_VALUE"""),0.0282334246396325)</f>
        <v>2.82334246396325E-2</v>
      </c>
      <c r="OX14" s="3">
        <f ca="1">IFERROR(__xludf.DUMMYFUNCTION("""COMPUTED_VALUE"""),0.0372317330843265)</f>
        <v>3.72317330843265E-2</v>
      </c>
      <c r="OY14" s="3">
        <f ca="1">IFERROR(__xludf.DUMMYFUNCTION("""COMPUTED_VALUE"""),0.0637334646117644)</f>
        <v>6.3733464611764407E-2</v>
      </c>
      <c r="OZ14" s="3">
        <f ca="1">IFERROR(__xludf.DUMMYFUNCTION("""COMPUTED_VALUE"""),0.00752985060888189)</f>
        <v>7.5298506088818896E-3</v>
      </c>
      <c r="PA14" s="3">
        <f ca="1">IFERROR(__xludf.DUMMYFUNCTION("""COMPUTED_VALUE"""),-0.0403952511990127)</f>
        <v>-4.0395251199012702E-2</v>
      </c>
      <c r="PB14" s="3">
        <f ca="1">IFERROR(__xludf.DUMMYFUNCTION("""COMPUTED_VALUE"""),-0.0287671609648653)</f>
        <v>-2.8767160964865299E-2</v>
      </c>
      <c r="PC14" s="3">
        <f ca="1">IFERROR(__xludf.DUMMYFUNCTION("""COMPUTED_VALUE"""),-0.0219718961914348)</f>
        <v>-2.19718961914348E-2</v>
      </c>
      <c r="PD14" s="3">
        <f ca="1">IFERROR(__xludf.DUMMYFUNCTION("""COMPUTED_VALUE"""),-0.139278602220123)</f>
        <v>-0.139278602220123</v>
      </c>
      <c r="PE14" s="3">
        <f ca="1">IFERROR(__xludf.DUMMYFUNCTION("""COMPUTED_VALUE"""),0.0778440581744475)</f>
        <v>7.7844058174447506E-2</v>
      </c>
      <c r="PF14" s="3">
        <f ca="1">IFERROR(__xludf.DUMMYFUNCTION("""COMPUTED_VALUE"""),0.0264355015038366)</f>
        <v>2.6435501503836601E-2</v>
      </c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</row>
    <row r="15" spans="1:594" ht="15.75" customHeight="1">
      <c r="A15" s="1" t="str">
        <f ca="1">IFERROR(__xludf.DUMMYFUNCTION("""COMPUTED_VALUE"""),"Cincinnati")</f>
        <v>Cincinnati</v>
      </c>
      <c r="B15" s="3">
        <f ca="1">IFERROR(__xludf.DUMMYFUNCTION("""COMPUTED_VALUE"""),-0.166381353135697)</f>
        <v>-0.16638135313569699</v>
      </c>
      <c r="C15" s="3">
        <f ca="1">IFERROR(__xludf.DUMMYFUNCTION("""COMPUTED_VALUE"""),-0.131916599034558)</f>
        <v>-0.13191659903455799</v>
      </c>
      <c r="D15" s="3">
        <f ca="1">IFERROR(__xludf.DUMMYFUNCTION("""COMPUTED_VALUE"""),-0.278380733521635)</f>
        <v>-0.278380733521635</v>
      </c>
      <c r="E15" s="3">
        <f ca="1">IFERROR(__xludf.DUMMYFUNCTION("""COMPUTED_VALUE"""),-0.169044847927017)</f>
        <v>-0.16904484792701699</v>
      </c>
      <c r="F15" s="3">
        <f ca="1">IFERROR(__xludf.DUMMYFUNCTION("""COMPUTED_VALUE"""),-0.201086227681626)</f>
        <v>-0.20108622768162601</v>
      </c>
      <c r="G15" s="3">
        <f ca="1">IFERROR(__xludf.DUMMYFUNCTION("""COMPUTED_VALUE"""),-0.282729970697451)</f>
        <v>-0.28272997069745098</v>
      </c>
      <c r="H15" s="3">
        <f ca="1">IFERROR(__xludf.DUMMYFUNCTION("""COMPUTED_VALUE"""),-0.124322861412638)</f>
        <v>-0.124322861412638</v>
      </c>
      <c r="I15" s="3">
        <f ca="1">IFERROR(__xludf.DUMMYFUNCTION("""COMPUTED_VALUE"""),-0.12361038810002)</f>
        <v>-0.12361038810001999</v>
      </c>
      <c r="J15" s="3">
        <f ca="1">IFERROR(__xludf.DUMMYFUNCTION("""COMPUTED_VALUE"""),-0.201954422924638)</f>
        <v>-0.201954422924638</v>
      </c>
      <c r="K15" s="3">
        <f ca="1">IFERROR(__xludf.DUMMYFUNCTION("""COMPUTED_VALUE"""),-0.227270200747768)</f>
        <v>-0.22727020074776799</v>
      </c>
      <c r="L15" s="3">
        <f ca="1">IFERROR(__xludf.DUMMYFUNCTION("""COMPUTED_VALUE"""),-0.244071685910067)</f>
        <v>-0.244071685910067</v>
      </c>
      <c r="M15" s="3">
        <f ca="1">IFERROR(__xludf.DUMMYFUNCTION("""COMPUTED_VALUE"""),-0.372270732930005)</f>
        <v>-0.37227073293000501</v>
      </c>
      <c r="N15" s="3">
        <f ca="1">IFERROR(__xludf.DUMMYFUNCTION("""COMPUTED_VALUE"""),-0.343063224755998)</f>
        <v>-0.34306322475599799</v>
      </c>
      <c r="O15" s="3">
        <f ca="1">IFERROR(__xludf.DUMMYFUNCTION("""COMPUTED_VALUE"""),-0.162801395593568)</f>
        <v>-0.16280139559356799</v>
      </c>
      <c r="P15" s="3">
        <f ca="1">IFERROR(__xludf.DUMMYFUNCTION("""COMPUTED_VALUE"""),-0.0826003343898473)</f>
        <v>-8.2600334389847305E-2</v>
      </c>
      <c r="Q15" s="3">
        <f ca="1">IFERROR(__xludf.DUMMYFUNCTION("""COMPUTED_VALUE"""),-0.288244084131755)</f>
        <v>-0.28824408413175501</v>
      </c>
      <c r="R15" s="3">
        <f ca="1">IFERROR(__xludf.DUMMYFUNCTION("""COMPUTED_VALUE"""),-0.446787198372896)</f>
        <v>-0.44678719837289599</v>
      </c>
      <c r="S15" s="3">
        <f ca="1">IFERROR(__xludf.DUMMYFUNCTION("""COMPUTED_VALUE"""),-0.35133926593082)</f>
        <v>-0.35133926593081999</v>
      </c>
      <c r="T15" s="3">
        <f ca="1">IFERROR(__xludf.DUMMYFUNCTION("""COMPUTED_VALUE"""),-0.343748889404928)</f>
        <v>-0.34374888940492798</v>
      </c>
      <c r="U15" s="3">
        <f ca="1">IFERROR(__xludf.DUMMYFUNCTION("""COMPUTED_VALUE"""),-0.313751514227967)</f>
        <v>-0.31375151422796699</v>
      </c>
      <c r="V15" s="3">
        <f ca="1">IFERROR(__xludf.DUMMYFUNCTION("""COMPUTED_VALUE"""),-0.0549530547861639)</f>
        <v>-5.4953054786163899E-2</v>
      </c>
      <c r="W15" s="3">
        <f ca="1">IFERROR(__xludf.DUMMYFUNCTION("""COMPUTED_VALUE"""),-0.10340627725757)</f>
        <v>-0.10340627725757</v>
      </c>
      <c r="X15" s="3">
        <f ca="1">IFERROR(__xludf.DUMMYFUNCTION("""COMPUTED_VALUE"""),-0.203163883930626)</f>
        <v>-0.20316388393062601</v>
      </c>
      <c r="Y15" s="3">
        <f ca="1">IFERROR(__xludf.DUMMYFUNCTION("""COMPUTED_VALUE"""),-0.342581254919648)</f>
        <v>-0.34258125491964803</v>
      </c>
      <c r="Z15" s="3">
        <f ca="1">IFERROR(__xludf.DUMMYFUNCTION("""COMPUTED_VALUE"""),-0.263077537868202)</f>
        <v>-0.26307753786820198</v>
      </c>
      <c r="AA15" s="3">
        <f ca="1">IFERROR(__xludf.DUMMYFUNCTION("""COMPUTED_VALUE"""),-0.2985414447107)</f>
        <v>-0.29854144471069999</v>
      </c>
      <c r="AB15" s="3">
        <f ca="1">IFERROR(__xludf.DUMMYFUNCTION("""COMPUTED_VALUE"""),-0.402704089506118)</f>
        <v>-0.40270408950611802</v>
      </c>
      <c r="AC15" s="3">
        <f ca="1">IFERROR(__xludf.DUMMYFUNCTION("""COMPUTED_VALUE"""),-0.176588502323961)</f>
        <v>-0.17658850232396101</v>
      </c>
      <c r="AD15" s="3">
        <f ca="1">IFERROR(__xludf.DUMMYFUNCTION("""COMPUTED_VALUE"""),-0.154297995845929)</f>
        <v>-0.15429799584592899</v>
      </c>
      <c r="AE15" s="3">
        <f ca="1">IFERROR(__xludf.DUMMYFUNCTION("""COMPUTED_VALUE"""),-0.321490697282988)</f>
        <v>-0.32149069728298801</v>
      </c>
      <c r="AF15" s="3">
        <f ca="1">IFERROR(__xludf.DUMMYFUNCTION("""COMPUTED_VALUE"""),-0.394121685466652)</f>
        <v>-0.39412168546665199</v>
      </c>
      <c r="AG15" s="3">
        <f ca="1">IFERROR(__xludf.DUMMYFUNCTION("""COMPUTED_VALUE"""),-0.342802464414444)</f>
        <v>-0.34280246441444401</v>
      </c>
      <c r="AH15" s="3">
        <f ca="1">IFERROR(__xludf.DUMMYFUNCTION("""COMPUTED_VALUE"""),-0.31875451532308)</f>
        <v>-0.31875451532308002</v>
      </c>
      <c r="AI15" s="3">
        <f ca="1">IFERROR(__xludf.DUMMYFUNCTION("""COMPUTED_VALUE"""),-0.374445483201234)</f>
        <v>-0.374445483201234</v>
      </c>
      <c r="AJ15" s="3">
        <f ca="1">IFERROR(__xludf.DUMMYFUNCTION("""COMPUTED_VALUE"""),-0.130025420558304)</f>
        <v>-0.13002542055830399</v>
      </c>
      <c r="AK15" s="3">
        <f ca="1">IFERROR(__xludf.DUMMYFUNCTION("""COMPUTED_VALUE"""),-0.119673085927586)</f>
        <v>-0.11967308592758601</v>
      </c>
      <c r="AL15" s="3">
        <f ca="1">IFERROR(__xludf.DUMMYFUNCTION("""COMPUTED_VALUE"""),-0.397019932424395)</f>
        <v>-0.39701993242439498</v>
      </c>
      <c r="AM15" s="3">
        <f ca="1">IFERROR(__xludf.DUMMYFUNCTION("""COMPUTED_VALUE"""),-0.383212214731428)</f>
        <v>-0.38321221473142802</v>
      </c>
      <c r="AN15" s="3">
        <f ca="1">IFERROR(__xludf.DUMMYFUNCTION("""COMPUTED_VALUE"""),-0.353100517955454)</f>
        <v>-0.353100517955454</v>
      </c>
      <c r="AO15" s="3">
        <f ca="1">IFERROR(__xludf.DUMMYFUNCTION("""COMPUTED_VALUE"""),-0.36800211729512)</f>
        <v>-0.36800211729512</v>
      </c>
      <c r="AP15" s="3">
        <f ca="1">IFERROR(__xludf.DUMMYFUNCTION("""COMPUTED_VALUE"""),-0.348094096534915)</f>
        <v>-0.34809409653491502</v>
      </c>
      <c r="AQ15" s="3">
        <f ca="1">IFERROR(__xludf.DUMMYFUNCTION("""COMPUTED_VALUE"""),-0.170340964413255)</f>
        <v>-0.170340964413255</v>
      </c>
      <c r="AR15" s="3">
        <f ca="1">IFERROR(__xludf.DUMMYFUNCTION("""COMPUTED_VALUE"""),-0.129571957535358)</f>
        <v>-0.129571957535358</v>
      </c>
      <c r="AS15" s="3">
        <f ca="1">IFERROR(__xludf.DUMMYFUNCTION("""COMPUTED_VALUE"""),-0.408490578069312)</f>
        <v>-0.40849057806931199</v>
      </c>
      <c r="AT15" s="3">
        <f ca="1">IFERROR(__xludf.DUMMYFUNCTION("""COMPUTED_VALUE"""),-0.414675882006099)</f>
        <v>-0.41467588200609901</v>
      </c>
      <c r="AU15" s="3">
        <f ca="1">IFERROR(__xludf.DUMMYFUNCTION("""COMPUTED_VALUE"""),-0.381252468301524)</f>
        <v>-0.38125246830152398</v>
      </c>
      <c r="AV15" s="3">
        <f ca="1">IFERROR(__xludf.DUMMYFUNCTION("""COMPUTED_VALUE"""),-0.348334461232692)</f>
        <v>-0.34833446123269202</v>
      </c>
      <c r="AW15" s="3">
        <f ca="1">IFERROR(__xludf.DUMMYFUNCTION("""COMPUTED_VALUE"""),-0.310074652255495)</f>
        <v>-0.31007465225549502</v>
      </c>
      <c r="AX15" s="3">
        <f ca="1">IFERROR(__xludf.DUMMYFUNCTION("""COMPUTED_VALUE"""),-0.168544427302388)</f>
        <v>-0.168544427302388</v>
      </c>
      <c r="AY15" s="3">
        <f ca="1">IFERROR(__xludf.DUMMYFUNCTION("""COMPUTED_VALUE"""),-0.251268179699808)</f>
        <v>-0.25126817969980803</v>
      </c>
      <c r="AZ15" s="3">
        <f ca="1">IFERROR(__xludf.DUMMYFUNCTION("""COMPUTED_VALUE"""),-0.437602879416475)</f>
        <v>-0.43760287941647502</v>
      </c>
      <c r="BA15" s="3">
        <f ca="1">IFERROR(__xludf.DUMMYFUNCTION("""COMPUTED_VALUE"""),-0.443261849982528)</f>
        <v>-0.44326184998252799</v>
      </c>
      <c r="BB15" s="3">
        <f ca="1">IFERROR(__xludf.DUMMYFUNCTION("""COMPUTED_VALUE"""),-0.428559569146931)</f>
        <v>-0.428559569146931</v>
      </c>
      <c r="BC15" s="3">
        <f ca="1">IFERROR(__xludf.DUMMYFUNCTION("""COMPUTED_VALUE"""),-0.532450070825872)</f>
        <v>-0.53245007082587203</v>
      </c>
      <c r="BD15" s="3">
        <f ca="1">IFERROR(__xludf.DUMMYFUNCTION("""COMPUTED_VALUE"""),-0.487297848528475)</f>
        <v>-0.48729784852847502</v>
      </c>
      <c r="BE15" s="3">
        <f ca="1">IFERROR(__xludf.DUMMYFUNCTION("""COMPUTED_VALUE"""),-0.100012159046144)</f>
        <v>-0.10001215904614399</v>
      </c>
      <c r="BF15" s="3">
        <f ca="1">IFERROR(__xludf.DUMMYFUNCTION("""COMPUTED_VALUE"""),-0.240420576961145)</f>
        <v>-0.24042057696114499</v>
      </c>
      <c r="BG15" s="3">
        <f ca="1">IFERROR(__xludf.DUMMYFUNCTION("""COMPUTED_VALUE"""),-0.43479528109691)</f>
        <v>-0.43479528109691001</v>
      </c>
      <c r="BH15" s="3">
        <f ca="1">IFERROR(__xludf.DUMMYFUNCTION("""COMPUTED_VALUE"""),-0.493091742351951)</f>
        <v>-0.49309174235195102</v>
      </c>
      <c r="BI15" s="3">
        <f ca="1">IFERROR(__xludf.DUMMYFUNCTION("""COMPUTED_VALUE"""),-0.3949992441819)</f>
        <v>-0.39499924418190002</v>
      </c>
      <c r="BJ15" s="3">
        <f ca="1">IFERROR(__xludf.DUMMYFUNCTION("""COMPUTED_VALUE"""),-0.500970059332984)</f>
        <v>-0.500970059332984</v>
      </c>
      <c r="BK15" s="3">
        <f ca="1">IFERROR(__xludf.DUMMYFUNCTION("""COMPUTED_VALUE"""),-0.380680568734742)</f>
        <v>-0.38068056873474199</v>
      </c>
      <c r="BL15" s="3">
        <f ca="1">IFERROR(__xludf.DUMMYFUNCTION("""COMPUTED_VALUE"""),-0.215474523985329)</f>
        <v>-0.21547452398532899</v>
      </c>
      <c r="BM15" s="3">
        <f ca="1">IFERROR(__xludf.DUMMYFUNCTION("""COMPUTED_VALUE"""),-0.228219842114886)</f>
        <v>-0.228219842114886</v>
      </c>
      <c r="BN15" s="3">
        <f ca="1">IFERROR(__xludf.DUMMYFUNCTION("""COMPUTED_VALUE"""),-0.472973401606112)</f>
        <v>-0.47297340160611201</v>
      </c>
      <c r="BO15" s="3">
        <f ca="1">IFERROR(__xludf.DUMMYFUNCTION("""COMPUTED_VALUE"""),-0.476605755585516)</f>
        <v>-0.47660575558551599</v>
      </c>
      <c r="BP15" s="3">
        <f ca="1">IFERROR(__xludf.DUMMYFUNCTION("""COMPUTED_VALUE"""),-0.478425326064919)</f>
        <v>-0.478425326064919</v>
      </c>
      <c r="BQ15" s="3">
        <f ca="1">IFERROR(__xludf.DUMMYFUNCTION("""COMPUTED_VALUE"""),-0.479159648584864)</f>
        <v>-0.47915964858486398</v>
      </c>
      <c r="BR15" s="3">
        <f ca="1">IFERROR(__xludf.DUMMYFUNCTION("""COMPUTED_VALUE"""),-0.452844025801993)</f>
        <v>-0.45284402580199301</v>
      </c>
      <c r="BS15" s="3">
        <f ca="1">IFERROR(__xludf.DUMMYFUNCTION("""COMPUTED_VALUE"""),-0.220642239007321)</f>
        <v>-0.22064223900732099</v>
      </c>
      <c r="BT15" s="3">
        <f ca="1">IFERROR(__xludf.DUMMYFUNCTION("""COMPUTED_VALUE"""),-0.178535937975949)</f>
        <v>-0.17853593797594899</v>
      </c>
      <c r="BU15" s="3">
        <f ca="1">IFERROR(__xludf.DUMMYFUNCTION("""COMPUTED_VALUE"""),-0.483019931334178)</f>
        <v>-0.48301993133417798</v>
      </c>
      <c r="BV15" s="3">
        <f ca="1">IFERROR(__xludf.DUMMYFUNCTION("""COMPUTED_VALUE"""),-0.514978931657181)</f>
        <v>-0.514978931657181</v>
      </c>
      <c r="BW15" s="3">
        <f ca="1">IFERROR(__xludf.DUMMYFUNCTION("""COMPUTED_VALUE"""),-0.479050653628263)</f>
        <v>-0.47905065362826299</v>
      </c>
      <c r="BX15" s="3">
        <f ca="1">IFERROR(__xludf.DUMMYFUNCTION("""COMPUTED_VALUE"""),-0.51485542431339)</f>
        <v>-0.51485542431339004</v>
      </c>
      <c r="BY15" s="3">
        <f ca="1">IFERROR(__xludf.DUMMYFUNCTION("""COMPUTED_VALUE"""),-0.459473360323303)</f>
        <v>-0.45947336032330299</v>
      </c>
      <c r="BZ15" s="3">
        <f ca="1">IFERROR(__xludf.DUMMYFUNCTION("""COMPUTED_VALUE"""),-0.31147707267409)</f>
        <v>-0.31147707267409003</v>
      </c>
      <c r="CA15" s="3">
        <f ca="1">IFERROR(__xludf.DUMMYFUNCTION("""COMPUTED_VALUE"""),-0.303074513110696)</f>
        <v>-0.303074513110696</v>
      </c>
      <c r="CB15" s="3">
        <f ca="1">IFERROR(__xludf.DUMMYFUNCTION("""COMPUTED_VALUE"""),-0.490496928395994)</f>
        <v>-0.49049692839599401</v>
      </c>
      <c r="CC15" s="3">
        <f ca="1">IFERROR(__xludf.DUMMYFUNCTION("""COMPUTED_VALUE"""),-0.523411038519731)</f>
        <v>-0.52341103851973103</v>
      </c>
      <c r="CD15" s="3">
        <f ca="1">IFERROR(__xludf.DUMMYFUNCTION("""COMPUTED_VALUE"""),-0.552214139728263)</f>
        <v>-0.55221413972826305</v>
      </c>
      <c r="CE15" s="3">
        <f ca="1">IFERROR(__xludf.DUMMYFUNCTION("""COMPUTED_VALUE"""),-0.541358919369332)</f>
        <v>-0.541358919369332</v>
      </c>
      <c r="CF15" s="3">
        <f ca="1">IFERROR(__xludf.DUMMYFUNCTION("""COMPUTED_VALUE"""),-0.546329954112086)</f>
        <v>-0.54632995411208596</v>
      </c>
      <c r="CG15" s="3">
        <f ca="1">IFERROR(__xludf.DUMMYFUNCTION("""COMPUTED_VALUE"""),-0.276997049176811)</f>
        <v>-0.27699704917681101</v>
      </c>
      <c r="CH15" s="3">
        <f ca="1">IFERROR(__xludf.DUMMYFUNCTION("""COMPUTED_VALUE"""),-0.291814195841432)</f>
        <v>-0.29181419584143198</v>
      </c>
      <c r="CI15" s="3">
        <f ca="1">IFERROR(__xludf.DUMMYFUNCTION("""COMPUTED_VALUE"""),-0.4995253804294)</f>
        <v>-0.49952538042939998</v>
      </c>
      <c r="CJ15" s="3">
        <f ca="1">IFERROR(__xludf.DUMMYFUNCTION("""COMPUTED_VALUE"""),-0.523532802335937)</f>
        <v>-0.52353280233593702</v>
      </c>
      <c r="CK15" s="3">
        <f ca="1">IFERROR(__xludf.DUMMYFUNCTION("""COMPUTED_VALUE"""),-0.524964692087914)</f>
        <v>-0.52496469208791396</v>
      </c>
      <c r="CL15" s="3">
        <f ca="1">IFERROR(__xludf.DUMMYFUNCTION("""COMPUTED_VALUE"""),-0.544012520615593)</f>
        <v>-0.54401252061559302</v>
      </c>
      <c r="CM15" s="3">
        <f ca="1">IFERROR(__xludf.DUMMYFUNCTION("""COMPUTED_VALUE"""),-0.467827221678846)</f>
        <v>-0.46782722167884599</v>
      </c>
      <c r="CN15" s="3">
        <f ca="1">IFERROR(__xludf.DUMMYFUNCTION("""COMPUTED_VALUE"""),-0.316964446483834)</f>
        <v>-0.31696444648383398</v>
      </c>
      <c r="CO15" s="3">
        <f ca="1">IFERROR(__xludf.DUMMYFUNCTION("""COMPUTED_VALUE"""),-0.290346331486959)</f>
        <v>-0.29034633148695899</v>
      </c>
      <c r="CP15" s="3">
        <f ca="1">IFERROR(__xludf.DUMMYFUNCTION("""COMPUTED_VALUE"""),-0.475365683720212)</f>
        <v>-0.47536568372021198</v>
      </c>
      <c r="CQ15" s="3">
        <f ca="1">IFERROR(__xludf.DUMMYFUNCTION("""COMPUTED_VALUE"""),-0.509275222273112)</f>
        <v>-0.50927522227311195</v>
      </c>
      <c r="CR15" s="3">
        <f ca="1">IFERROR(__xludf.DUMMYFUNCTION("""COMPUTED_VALUE"""),-0.462233810314911)</f>
        <v>-0.46223381031491101</v>
      </c>
      <c r="CS15" s="3">
        <f ca="1">IFERROR(__xludf.DUMMYFUNCTION("""COMPUTED_VALUE"""),-0.502807930564027)</f>
        <v>-0.50280793056402695</v>
      </c>
      <c r="CT15" s="3">
        <f ca="1">IFERROR(__xludf.DUMMYFUNCTION("""COMPUTED_VALUE"""),-0.479536252828564)</f>
        <v>-0.47953625282856399</v>
      </c>
      <c r="CU15" s="3">
        <f ca="1">IFERROR(__xludf.DUMMYFUNCTION("""COMPUTED_VALUE"""),-0.311361795399452)</f>
        <v>-0.31136179539945202</v>
      </c>
      <c r="CV15" s="3">
        <f ca="1">IFERROR(__xludf.DUMMYFUNCTION("""COMPUTED_VALUE"""),-0.321718706959064)</f>
        <v>-0.32171870695906402</v>
      </c>
      <c r="CW15" s="3">
        <f ca="1">IFERROR(__xludf.DUMMYFUNCTION("""COMPUTED_VALUE"""),-0.60045766351614)</f>
        <v>-0.60045766351614005</v>
      </c>
      <c r="CX15" s="3">
        <f ca="1">IFERROR(__xludf.DUMMYFUNCTION("""COMPUTED_VALUE"""),-0.461461500003347)</f>
        <v>-0.46146150000334701</v>
      </c>
      <c r="CY15" s="3">
        <f ca="1">IFERROR(__xludf.DUMMYFUNCTION("""COMPUTED_VALUE"""),-0.274643678084998)</f>
        <v>-0.27464367808499801</v>
      </c>
      <c r="CZ15" s="3">
        <f ca="1">IFERROR(__xludf.DUMMYFUNCTION("""COMPUTED_VALUE"""),-0.414723952998907)</f>
        <v>-0.41472395299890702</v>
      </c>
      <c r="DA15" s="3">
        <f ca="1">IFERROR(__xludf.DUMMYFUNCTION("""COMPUTED_VALUE"""),-0.476635912606861)</f>
        <v>-0.476635912606861</v>
      </c>
      <c r="DB15" s="3">
        <f ca="1">IFERROR(__xludf.DUMMYFUNCTION("""COMPUTED_VALUE"""),-0.298764951321942)</f>
        <v>-0.29876495132194197</v>
      </c>
      <c r="DC15" s="3">
        <f ca="1">IFERROR(__xludf.DUMMYFUNCTION("""COMPUTED_VALUE"""),-0.391620606032306)</f>
        <v>-0.39162060603230597</v>
      </c>
      <c r="DD15" s="3">
        <f ca="1">IFERROR(__xludf.DUMMYFUNCTION("""COMPUTED_VALUE"""),-0.785848747905153)</f>
        <v>-0.78584874790515302</v>
      </c>
      <c r="DE15" s="3">
        <f ca="1">IFERROR(__xludf.DUMMYFUNCTION("""COMPUTED_VALUE"""),-0.52318178608255)</f>
        <v>-0.52318178608254995</v>
      </c>
      <c r="DF15" s="3">
        <f ca="1">IFERROR(__xludf.DUMMYFUNCTION("""COMPUTED_VALUE"""),-0.180871772214675)</f>
        <v>-0.18087177221467499</v>
      </c>
      <c r="DG15" s="3">
        <f ca="1">IFERROR(__xludf.DUMMYFUNCTION("""COMPUTED_VALUE"""),-0.381498262798158)</f>
        <v>-0.38149826279815802</v>
      </c>
      <c r="DH15" s="3">
        <f ca="1">IFERROR(__xludf.DUMMYFUNCTION("""COMPUTED_VALUE"""),-0.389010514505639)</f>
        <v>-0.389010514505639</v>
      </c>
      <c r="DI15" s="3">
        <f ca="1">IFERROR(__xludf.DUMMYFUNCTION("""COMPUTED_VALUE"""),-0.276356208200413)</f>
        <v>-0.27635620820041301</v>
      </c>
      <c r="DJ15" s="3">
        <f ca="1">IFERROR(__xludf.DUMMYFUNCTION("""COMPUTED_VALUE"""),-0.318218854347908)</f>
        <v>-0.31821885434790798</v>
      </c>
      <c r="DK15" s="3">
        <f ca="1">IFERROR(__xludf.DUMMYFUNCTION("""COMPUTED_VALUE"""),-0.46222521950316)</f>
        <v>-0.46222521950315998</v>
      </c>
      <c r="DL15" s="3">
        <f ca="1">IFERROR(__xludf.DUMMYFUNCTION("""COMPUTED_VALUE"""),-0.497276703124081)</f>
        <v>-0.49727670312408101</v>
      </c>
      <c r="DM15" s="3">
        <f ca="1">IFERROR(__xludf.DUMMYFUNCTION("""COMPUTED_VALUE"""),-0.418324920268457)</f>
        <v>-0.41832492026845702</v>
      </c>
      <c r="DN15" s="3">
        <f ca="1">IFERROR(__xludf.DUMMYFUNCTION("""COMPUTED_VALUE"""),-0.494267184534522)</f>
        <v>-0.49426718453452201</v>
      </c>
      <c r="DO15" s="3">
        <f ca="1">IFERROR(__xludf.DUMMYFUNCTION("""COMPUTED_VALUE"""),-0.497992016795456)</f>
        <v>-0.49799201679545602</v>
      </c>
      <c r="DP15" s="3">
        <f ca="1">IFERROR(__xludf.DUMMYFUNCTION("""COMPUTED_VALUE"""),-0.334809714521172)</f>
        <v>-0.33480971452117197</v>
      </c>
      <c r="DQ15" s="3">
        <f ca="1">IFERROR(__xludf.DUMMYFUNCTION("""COMPUTED_VALUE"""),-0.350434316705665)</f>
        <v>-0.35043431670566499</v>
      </c>
      <c r="DR15" s="3">
        <f ca="1">IFERROR(__xludf.DUMMYFUNCTION("""COMPUTED_VALUE"""),-0.525700083552185)</f>
        <v>-0.525700083552185</v>
      </c>
      <c r="DS15" s="3">
        <f ca="1">IFERROR(__xludf.DUMMYFUNCTION("""COMPUTED_VALUE"""),-0.522134561547459)</f>
        <v>-0.52213456154745896</v>
      </c>
      <c r="DT15" s="3">
        <f ca="1">IFERROR(__xludf.DUMMYFUNCTION("""COMPUTED_VALUE"""),-0.54352847913709)</f>
        <v>-0.54352847913709001</v>
      </c>
      <c r="DU15" s="3">
        <f ca="1">IFERROR(__xludf.DUMMYFUNCTION("""COMPUTED_VALUE"""),-0.569529512081856)</f>
        <v>-0.56952951208185598</v>
      </c>
      <c r="DV15" s="3">
        <f ca="1">IFERROR(__xludf.DUMMYFUNCTION("""COMPUTED_VALUE"""),-0.558514939686449)</f>
        <v>-0.55851493968644905</v>
      </c>
      <c r="DW15" s="3">
        <f ca="1">IFERROR(__xludf.DUMMYFUNCTION("""COMPUTED_VALUE"""),-0.373726553251887)</f>
        <v>-0.37372655325188697</v>
      </c>
      <c r="DX15" s="3">
        <f ca="1">IFERROR(__xludf.DUMMYFUNCTION("""COMPUTED_VALUE"""),-0.360754665295485)</f>
        <v>-0.360754665295485</v>
      </c>
      <c r="DY15" s="3">
        <f ca="1">IFERROR(__xludf.DUMMYFUNCTION("""COMPUTED_VALUE"""),-0.46644911753988)</f>
        <v>-0.46644911753988</v>
      </c>
      <c r="DZ15" s="3">
        <f ca="1">IFERROR(__xludf.DUMMYFUNCTION("""COMPUTED_VALUE"""),-0.459129755402283)</f>
        <v>-0.45912975540228301</v>
      </c>
      <c r="EA15" s="3">
        <f ca="1">IFERROR(__xludf.DUMMYFUNCTION("""COMPUTED_VALUE"""),-0.546331407620788)</f>
        <v>-0.54633140762078802</v>
      </c>
      <c r="EB15" s="3">
        <f ca="1">IFERROR(__xludf.DUMMYFUNCTION("""COMPUTED_VALUE"""),-0.567811863381895)</f>
        <v>-0.56781186338189504</v>
      </c>
      <c r="EC15" s="3">
        <f ca="1">IFERROR(__xludf.DUMMYFUNCTION("""COMPUTED_VALUE"""),-0.594318812299143)</f>
        <v>-0.59431881229914296</v>
      </c>
      <c r="ED15" s="3">
        <f ca="1">IFERROR(__xludf.DUMMYFUNCTION("""COMPUTED_VALUE"""),-0.351721193452068)</f>
        <v>-0.35172119345206798</v>
      </c>
      <c r="EE15" s="3">
        <f ca="1">IFERROR(__xludf.DUMMYFUNCTION("""COMPUTED_VALUE"""),-0.367888545887509)</f>
        <v>-0.36788854588750902</v>
      </c>
      <c r="EF15" s="3">
        <f ca="1">IFERROR(__xludf.DUMMYFUNCTION("""COMPUTED_VALUE"""),-0.548719150195867)</f>
        <v>-0.54871915019586703</v>
      </c>
      <c r="EG15" s="3">
        <f ca="1">IFERROR(__xludf.DUMMYFUNCTION("""COMPUTED_VALUE"""),-0.727883998065121)</f>
        <v>-0.72788399806512105</v>
      </c>
      <c r="EH15" s="3">
        <f ca="1">IFERROR(__xludf.DUMMYFUNCTION("""COMPUTED_VALUE"""),-0.552845051898531)</f>
        <v>-0.55284505189853095</v>
      </c>
      <c r="EI15" s="3">
        <f ca="1">IFERROR(__xludf.DUMMYFUNCTION("""COMPUTED_VALUE"""),-0.543669000596653)</f>
        <v>-0.54366900059665302</v>
      </c>
      <c r="EJ15" s="3">
        <f ca="1">IFERROR(__xludf.DUMMYFUNCTION("""COMPUTED_VALUE"""),-0.55338952345853)</f>
        <v>-0.55338952345852999</v>
      </c>
      <c r="EK15" s="3">
        <f ca="1">IFERROR(__xludf.DUMMYFUNCTION("""COMPUTED_VALUE"""),-0.366444300110074)</f>
        <v>-0.36644430011007401</v>
      </c>
      <c r="EL15" s="3">
        <f ca="1">IFERROR(__xludf.DUMMYFUNCTION("""COMPUTED_VALUE"""),-0.331117163870307)</f>
        <v>-0.33111716387030699</v>
      </c>
      <c r="EM15" s="3">
        <f ca="1">IFERROR(__xludf.DUMMYFUNCTION("""COMPUTED_VALUE"""),-0.420951127371839)</f>
        <v>-0.42095112737183898</v>
      </c>
      <c r="EN15" s="3">
        <f ca="1">IFERROR(__xludf.DUMMYFUNCTION("""COMPUTED_VALUE"""),-0.392468644010077)</f>
        <v>-0.39246864401007697</v>
      </c>
      <c r="EO15" s="3">
        <f ca="1">IFERROR(__xludf.DUMMYFUNCTION("""COMPUTED_VALUE"""),-0.476954509111222)</f>
        <v>-0.476954509111222</v>
      </c>
      <c r="EP15" s="3">
        <f ca="1">IFERROR(__xludf.DUMMYFUNCTION("""COMPUTED_VALUE"""),-0.518473242267243)</f>
        <v>-0.51847324226724301</v>
      </c>
      <c r="EQ15" s="3">
        <f ca="1">IFERROR(__xludf.DUMMYFUNCTION("""COMPUTED_VALUE"""),-0.486620640314207)</f>
        <v>-0.48662064031420699</v>
      </c>
      <c r="ER15" s="3">
        <f ca="1">IFERROR(__xludf.DUMMYFUNCTION("""COMPUTED_VALUE"""),-0.366041630627188)</f>
        <v>-0.36604163062718797</v>
      </c>
      <c r="ES15" s="3">
        <f ca="1">IFERROR(__xludf.DUMMYFUNCTION("""COMPUTED_VALUE"""),-0.329393805895394)</f>
        <v>-0.32939380589539402</v>
      </c>
      <c r="ET15" s="3">
        <f ca="1">IFERROR(__xludf.DUMMYFUNCTION("""COMPUTED_VALUE"""),-0.494793983683377)</f>
        <v>-0.49479398368337701</v>
      </c>
      <c r="EU15" s="3">
        <f ca="1">IFERROR(__xludf.DUMMYFUNCTION("""COMPUTED_VALUE"""),-0.509886332403445)</f>
        <v>-0.50988633240344505</v>
      </c>
      <c r="EV15" s="3">
        <f ca="1">IFERROR(__xludf.DUMMYFUNCTION("""COMPUTED_VALUE"""),-0.56237304661686)</f>
        <v>-0.56237304661686005</v>
      </c>
      <c r="EW15" s="3">
        <f ca="1">IFERROR(__xludf.DUMMYFUNCTION("""COMPUTED_VALUE"""),-0.498063360243111)</f>
        <v>-0.49806336024311099</v>
      </c>
      <c r="EX15" s="3">
        <f ca="1">IFERROR(__xludf.DUMMYFUNCTION("""COMPUTED_VALUE"""),-0.486646362712954)</f>
        <v>-0.48664636271295397</v>
      </c>
      <c r="EY15" s="3">
        <f ca="1">IFERROR(__xludf.DUMMYFUNCTION("""COMPUTED_VALUE"""),-0.31000830297931)</f>
        <v>-0.31000830297930998</v>
      </c>
      <c r="EZ15" s="3">
        <f ca="1">IFERROR(__xludf.DUMMYFUNCTION("""COMPUTED_VALUE"""),-0.329438550872276)</f>
        <v>-0.32943855087227603</v>
      </c>
      <c r="FA15" s="3">
        <f ca="1">IFERROR(__xludf.DUMMYFUNCTION("""COMPUTED_VALUE"""),-0.481331473146146)</f>
        <v>-0.48133147314614599</v>
      </c>
      <c r="FB15" s="3">
        <f ca="1">IFERROR(__xludf.DUMMYFUNCTION("""COMPUTED_VALUE"""),-0.513644321763928)</f>
        <v>-0.51364432176392805</v>
      </c>
      <c r="FC15" s="3">
        <f ca="1">IFERROR(__xludf.DUMMYFUNCTION("""COMPUTED_VALUE"""),-0.499227203402573)</f>
        <v>-0.49922720340257298</v>
      </c>
      <c r="FD15" s="3">
        <f ca="1">IFERROR(__xludf.DUMMYFUNCTION("""COMPUTED_VALUE"""),-0.484170854684638)</f>
        <v>-0.484170854684638</v>
      </c>
      <c r="FE15" s="3">
        <f ca="1">IFERROR(__xludf.DUMMYFUNCTION("""COMPUTED_VALUE"""),-0.487857801232377)</f>
        <v>-0.48785780123237699</v>
      </c>
      <c r="FF15" s="3">
        <f ca="1">IFERROR(__xludf.DUMMYFUNCTION("""COMPUTED_VALUE"""),-0.286560808870361)</f>
        <v>-0.28656080887036101</v>
      </c>
      <c r="FG15" s="3">
        <f ca="1">IFERROR(__xludf.DUMMYFUNCTION("""COMPUTED_VALUE"""),-0.294835804950747)</f>
        <v>-0.29483580495074702</v>
      </c>
      <c r="FH15" s="3">
        <f ca="1">IFERROR(__xludf.DUMMYFUNCTION("""COMPUTED_VALUE"""),-0.453481154044638)</f>
        <v>-0.45348115404463801</v>
      </c>
      <c r="FI15" s="3">
        <f ca="1">IFERROR(__xludf.DUMMYFUNCTION("""COMPUTED_VALUE"""),-0.540922867514754)</f>
        <v>-0.54092286751475405</v>
      </c>
      <c r="FJ15" s="3">
        <f ca="1">IFERROR(__xludf.DUMMYFUNCTION("""COMPUTED_VALUE"""),-0.508925613699739)</f>
        <v>-0.50892561369973899</v>
      </c>
      <c r="FK15" s="3">
        <f ca="1">IFERROR(__xludf.DUMMYFUNCTION("""COMPUTED_VALUE"""),-0.458535051674037)</f>
        <v>-0.45853505167403702</v>
      </c>
      <c r="FL15" s="3">
        <f ca="1">IFERROR(__xludf.DUMMYFUNCTION("""COMPUTED_VALUE"""),-0.449237983710472)</f>
        <v>-0.44923798371047202</v>
      </c>
      <c r="FM15" s="3">
        <f ca="1">IFERROR(__xludf.DUMMYFUNCTION("""COMPUTED_VALUE"""),-0.331562409149662)</f>
        <v>-0.33156240914966201</v>
      </c>
      <c r="FN15" s="3">
        <f ca="1">IFERROR(__xludf.DUMMYFUNCTION("""COMPUTED_VALUE"""),-0.298213798915953)</f>
        <v>-0.29821379891595301</v>
      </c>
      <c r="FO15" s="3">
        <f ca="1">IFERROR(__xludf.DUMMYFUNCTION("""COMPUTED_VALUE"""),-0.458510142223008)</f>
        <v>-0.45851014222300801</v>
      </c>
      <c r="FP15" s="3">
        <f ca="1">IFERROR(__xludf.DUMMYFUNCTION("""COMPUTED_VALUE"""),-0.431511978847329)</f>
        <v>-0.431511978847329</v>
      </c>
      <c r="FQ15" s="3">
        <f ca="1">IFERROR(__xludf.DUMMYFUNCTION("""COMPUTED_VALUE"""),-0.47104316912129)</f>
        <v>-0.47104316912129002</v>
      </c>
      <c r="FR15" s="3">
        <f ca="1">IFERROR(__xludf.DUMMYFUNCTION("""COMPUTED_VALUE"""),-0.408960636250286)</f>
        <v>-0.408960636250286</v>
      </c>
      <c r="FS15" s="3">
        <f ca="1">IFERROR(__xludf.DUMMYFUNCTION("""COMPUTED_VALUE"""),-0.451151663314327)</f>
        <v>-0.45115166331432699</v>
      </c>
      <c r="FT15" s="3">
        <f ca="1">IFERROR(__xludf.DUMMYFUNCTION("""COMPUTED_VALUE"""),-0.298297308256637)</f>
        <v>-0.29829730825663697</v>
      </c>
      <c r="FU15" s="3">
        <f ca="1">IFERROR(__xludf.DUMMYFUNCTION("""COMPUTED_VALUE"""),-0.261249804894046)</f>
        <v>-0.26124980489404598</v>
      </c>
      <c r="FV15" s="3">
        <f ca="1">IFERROR(__xludf.DUMMYFUNCTION("""COMPUTED_VALUE"""),-0.429576351581021)</f>
        <v>-0.42957635158102098</v>
      </c>
      <c r="FW15" s="3">
        <f ca="1">IFERROR(__xludf.DUMMYFUNCTION("""COMPUTED_VALUE"""),-0.489671275849655)</f>
        <v>-0.48967127584965497</v>
      </c>
      <c r="FX15" s="3">
        <f ca="1">IFERROR(__xludf.DUMMYFUNCTION("""COMPUTED_VALUE"""),-0.472477565966849)</f>
        <v>-0.47247756596684898</v>
      </c>
      <c r="FY15" s="3">
        <f ca="1">IFERROR(__xludf.DUMMYFUNCTION("""COMPUTED_VALUE"""),-0.438379036645346)</f>
        <v>-0.438379036645346</v>
      </c>
      <c r="FZ15" s="3">
        <f ca="1">IFERROR(__xludf.DUMMYFUNCTION("""COMPUTED_VALUE"""),-0.412914486086598)</f>
        <v>-0.41291448608659798</v>
      </c>
      <c r="GA15" s="3">
        <f ca="1">IFERROR(__xludf.DUMMYFUNCTION("""COMPUTED_VALUE"""),-0.24875736992712)</f>
        <v>-0.24875736992712</v>
      </c>
      <c r="GB15" s="3">
        <f ca="1">IFERROR(__xludf.DUMMYFUNCTION("""COMPUTED_VALUE"""),-0.3262787994841)</f>
        <v>-0.32627879948409999</v>
      </c>
      <c r="GC15" s="3">
        <f ca="1">IFERROR(__xludf.DUMMYFUNCTION("""COMPUTED_VALUE"""),-0.42681594206416)</f>
        <v>-0.42681594206416001</v>
      </c>
      <c r="GD15" s="3">
        <f ca="1">IFERROR(__xludf.DUMMYFUNCTION("""COMPUTED_VALUE"""),-0.444644784568321)</f>
        <v>-0.44464478456832102</v>
      </c>
      <c r="GE15" s="3">
        <f ca="1">IFERROR(__xludf.DUMMYFUNCTION("""COMPUTED_VALUE"""),-0.419412677700336)</f>
        <v>-0.41941267770033602</v>
      </c>
      <c r="GF15" s="3">
        <f ca="1">IFERROR(__xludf.DUMMYFUNCTION("""COMPUTED_VALUE"""),-0.411045675823671)</f>
        <v>-0.41104567582367102</v>
      </c>
      <c r="GG15" s="3">
        <f ca="1">IFERROR(__xludf.DUMMYFUNCTION("""COMPUTED_VALUE"""),-0.406976730815801)</f>
        <v>-0.40697673081580099</v>
      </c>
      <c r="GH15" s="3">
        <f ca="1">IFERROR(__xludf.DUMMYFUNCTION("""COMPUTED_VALUE"""),-0.311266132599842)</f>
        <v>-0.31126613259984198</v>
      </c>
      <c r="GI15" s="3">
        <f ca="1">IFERROR(__xludf.DUMMYFUNCTION("""COMPUTED_VALUE"""),-0.315699898877156)</f>
        <v>-0.31569989887715599</v>
      </c>
      <c r="GJ15" s="3">
        <f ca="1">IFERROR(__xludf.DUMMYFUNCTION("""COMPUTED_VALUE"""),-0.425298926737821)</f>
        <v>-0.42529892673782099</v>
      </c>
      <c r="GK15" s="3">
        <f ca="1">IFERROR(__xludf.DUMMYFUNCTION("""COMPUTED_VALUE"""),-0.448066205311186)</f>
        <v>-0.44806620531118602</v>
      </c>
      <c r="GL15" s="3">
        <f ca="1">IFERROR(__xludf.DUMMYFUNCTION("""COMPUTED_VALUE"""),-0.444111422350962)</f>
        <v>-0.44411142235096202</v>
      </c>
      <c r="GM15" s="3">
        <f ca="1">IFERROR(__xludf.DUMMYFUNCTION("""COMPUTED_VALUE"""),-0.438013135402061)</f>
        <v>-0.43801313540206099</v>
      </c>
      <c r="GN15" s="3">
        <f ca="1">IFERROR(__xludf.DUMMYFUNCTION("""COMPUTED_VALUE"""),-0.464120260657253)</f>
        <v>-0.46412026065725298</v>
      </c>
      <c r="GO15" s="3">
        <f ca="1">IFERROR(__xludf.DUMMYFUNCTION("""COMPUTED_VALUE"""),-0.288631893744037)</f>
        <v>-0.28863189374403703</v>
      </c>
      <c r="GP15" s="3">
        <f ca="1">IFERROR(__xludf.DUMMYFUNCTION("""COMPUTED_VALUE"""),-0.316104218565772)</f>
        <v>-0.31610421856577198</v>
      </c>
      <c r="GQ15" s="3">
        <f ca="1">IFERROR(__xludf.DUMMYFUNCTION("""COMPUTED_VALUE"""),-0.42627090321904)</f>
        <v>-0.42627090321903999</v>
      </c>
      <c r="GR15" s="3">
        <f ca="1">IFERROR(__xludf.DUMMYFUNCTION("""COMPUTED_VALUE"""),-0.442670330571815)</f>
        <v>-0.44267033057181499</v>
      </c>
      <c r="GS15" s="3">
        <f ca="1">IFERROR(__xludf.DUMMYFUNCTION("""COMPUTED_VALUE"""),-0.430361227446646)</f>
        <v>-0.43036122744664601</v>
      </c>
      <c r="GT15" s="3">
        <f ca="1">IFERROR(__xludf.DUMMYFUNCTION("""COMPUTED_VALUE"""),-0.415125578664625)</f>
        <v>-0.41512557866462502</v>
      </c>
      <c r="GU15" s="3">
        <f ca="1">IFERROR(__xludf.DUMMYFUNCTION("""COMPUTED_VALUE"""),-0.412646789794307)</f>
        <v>-0.41264678979430702</v>
      </c>
      <c r="GV15" s="3">
        <f ca="1">IFERROR(__xludf.DUMMYFUNCTION("""COMPUTED_VALUE"""),-0.276131438009369)</f>
        <v>-0.27613143800936901</v>
      </c>
      <c r="GW15" s="3">
        <f ca="1">IFERROR(__xludf.DUMMYFUNCTION("""COMPUTED_VALUE"""),-0.294550520836034)</f>
        <v>-0.294550520836034</v>
      </c>
      <c r="GX15" s="3">
        <f ca="1">IFERROR(__xludf.DUMMYFUNCTION("""COMPUTED_VALUE"""),-0.371856258309112)</f>
        <v>-0.37185625830911201</v>
      </c>
      <c r="GY15" s="3">
        <f ca="1">IFERROR(__xludf.DUMMYFUNCTION("""COMPUTED_VALUE"""),-0.419942720897781)</f>
        <v>-0.41994272089778101</v>
      </c>
      <c r="GZ15" s="3">
        <f ca="1">IFERROR(__xludf.DUMMYFUNCTION("""COMPUTED_VALUE"""),-0.423473578613354)</f>
        <v>-0.423473578613354</v>
      </c>
      <c r="HA15" s="3">
        <f ca="1">IFERROR(__xludf.DUMMYFUNCTION("""COMPUTED_VALUE"""),-0.431526258738922)</f>
        <v>-0.43152625873892198</v>
      </c>
      <c r="HB15" s="3">
        <f ca="1">IFERROR(__xludf.DUMMYFUNCTION("""COMPUTED_VALUE"""),-0.432130088937152)</f>
        <v>-0.43213008893715199</v>
      </c>
      <c r="HC15" s="3">
        <f ca="1">IFERROR(__xludf.DUMMYFUNCTION("""COMPUTED_VALUE"""),-0.299212107533517)</f>
        <v>-0.29921210753351701</v>
      </c>
      <c r="HD15" s="3">
        <f ca="1">IFERROR(__xludf.DUMMYFUNCTION("""COMPUTED_VALUE"""),-0.312694300515069)</f>
        <v>-0.31269430051506902</v>
      </c>
      <c r="HE15" s="3">
        <f ca="1">IFERROR(__xludf.DUMMYFUNCTION("""COMPUTED_VALUE"""),-0.432909361986118)</f>
        <v>-0.43290936198611801</v>
      </c>
      <c r="HF15" s="3">
        <f ca="1">IFERROR(__xludf.DUMMYFUNCTION("""COMPUTED_VALUE"""),-0.430191130564026)</f>
        <v>-0.43019113056402603</v>
      </c>
      <c r="HG15" s="3">
        <f ca="1">IFERROR(__xludf.DUMMYFUNCTION("""COMPUTED_VALUE"""),-0.381448482969957)</f>
        <v>-0.38144848296995698</v>
      </c>
      <c r="HH15" s="3">
        <f ca="1">IFERROR(__xludf.DUMMYFUNCTION("""COMPUTED_VALUE"""),-0.403366714639167)</f>
        <v>-0.40336671463916701</v>
      </c>
      <c r="HI15" s="3">
        <f ca="1">IFERROR(__xludf.DUMMYFUNCTION("""COMPUTED_VALUE"""),-0.451610425252493)</f>
        <v>-0.45161042525249301</v>
      </c>
      <c r="HJ15" s="3">
        <f ca="1">IFERROR(__xludf.DUMMYFUNCTION("""COMPUTED_VALUE"""),-0.203611262478588)</f>
        <v>-0.20361126247858799</v>
      </c>
      <c r="HK15" s="3">
        <f ca="1">IFERROR(__xludf.DUMMYFUNCTION("""COMPUTED_VALUE"""),-0.236931538099013)</f>
        <v>-0.23693153809901299</v>
      </c>
      <c r="HL15" s="3">
        <f ca="1">IFERROR(__xludf.DUMMYFUNCTION("""COMPUTED_VALUE"""),-0.368456496758563)</f>
        <v>-0.36845649675856301</v>
      </c>
      <c r="HM15" s="3">
        <f ca="1">IFERROR(__xludf.DUMMYFUNCTION("""COMPUTED_VALUE"""),-0.429373207719433)</f>
        <v>-0.42937320771943299</v>
      </c>
      <c r="HN15" s="3">
        <f ca="1">IFERROR(__xludf.DUMMYFUNCTION("""COMPUTED_VALUE"""),-0.44089852018132)</f>
        <v>-0.44089852018131998</v>
      </c>
      <c r="HO15" s="3">
        <f ca="1">IFERROR(__xludf.DUMMYFUNCTION("""COMPUTED_VALUE"""),-0.424482099581739)</f>
        <v>-0.42448209958173899</v>
      </c>
      <c r="HP15" s="3">
        <f ca="1">IFERROR(__xludf.DUMMYFUNCTION("""COMPUTED_VALUE"""),-0.354130308599592)</f>
        <v>-0.35413030859959199</v>
      </c>
      <c r="HQ15" s="3">
        <f ca="1">IFERROR(__xludf.DUMMYFUNCTION("""COMPUTED_VALUE"""),-0.325570414282428)</f>
        <v>-0.325570414282428</v>
      </c>
      <c r="HR15" s="3">
        <f ca="1">IFERROR(__xludf.DUMMYFUNCTION("""COMPUTED_VALUE"""),-0.312056532447942)</f>
        <v>-0.31205653244794201</v>
      </c>
      <c r="HS15" s="3">
        <f ca="1">IFERROR(__xludf.DUMMYFUNCTION("""COMPUTED_VALUE"""),-0.431122571525926)</f>
        <v>-0.43112257152592598</v>
      </c>
      <c r="HT15" s="3">
        <f ca="1">IFERROR(__xludf.DUMMYFUNCTION("""COMPUTED_VALUE"""),-0.485824565011291)</f>
        <v>-0.48582456501129101</v>
      </c>
      <c r="HU15" s="3">
        <f ca="1">IFERROR(__xludf.DUMMYFUNCTION("""COMPUTED_VALUE"""),-0.477477741139097)</f>
        <v>-0.47747774113909702</v>
      </c>
      <c r="HV15" s="3">
        <f ca="1">IFERROR(__xludf.DUMMYFUNCTION("""COMPUTED_VALUE"""),-0.486947151088355)</f>
        <v>-0.48694715108835501</v>
      </c>
      <c r="HW15" s="3">
        <f ca="1">IFERROR(__xludf.DUMMYFUNCTION("""COMPUTED_VALUE"""),-0.348209452022873)</f>
        <v>-0.34820945202287301</v>
      </c>
      <c r="HX15" s="3">
        <f ca="1">IFERROR(__xludf.DUMMYFUNCTION("""COMPUTED_VALUE"""),-0.321448054678275)</f>
        <v>-0.32144805467827497</v>
      </c>
      <c r="HY15" s="3">
        <f ca="1">IFERROR(__xludf.DUMMYFUNCTION("""COMPUTED_VALUE"""),-0.315822966642855)</f>
        <v>-0.31582296664285497</v>
      </c>
      <c r="HZ15" s="3">
        <f ca="1">IFERROR(__xludf.DUMMYFUNCTION("""COMPUTED_VALUE"""),-0.388859173181077)</f>
        <v>-0.38885917318107699</v>
      </c>
      <c r="IA15" s="3">
        <f ca="1">IFERROR(__xludf.DUMMYFUNCTION("""COMPUTED_VALUE"""),-0.42996504908271)</f>
        <v>-0.42996504908270999</v>
      </c>
      <c r="IB15" s="3">
        <f ca="1">IFERROR(__xludf.DUMMYFUNCTION("""COMPUTED_VALUE"""),-0.415062140169297)</f>
        <v>-0.41506214016929699</v>
      </c>
      <c r="IC15" s="3">
        <f ca="1">IFERROR(__xludf.DUMMYFUNCTION("""COMPUTED_VALUE"""),-0.46090692536951)</f>
        <v>-0.46090692536951</v>
      </c>
      <c r="ID15" s="3">
        <f ca="1">IFERROR(__xludf.DUMMYFUNCTION("""COMPUTED_VALUE"""),-0.415040733515631)</f>
        <v>-0.41504073351563098</v>
      </c>
      <c r="IE15" s="3">
        <f ca="1">IFERROR(__xludf.DUMMYFUNCTION("""COMPUTED_VALUE"""),-0.34728508556148)</f>
        <v>-0.34728508556148002</v>
      </c>
      <c r="IF15" s="3">
        <f ca="1">IFERROR(__xludf.DUMMYFUNCTION("""COMPUTED_VALUE"""),-0.354798176328945)</f>
        <v>-0.354798176328945</v>
      </c>
      <c r="IG15" s="3">
        <f ca="1">IFERROR(__xludf.DUMMYFUNCTION("""COMPUTED_VALUE"""),-0.401777787351239)</f>
        <v>-0.40177778735123898</v>
      </c>
      <c r="IH15" s="3">
        <f ca="1">IFERROR(__xludf.DUMMYFUNCTION("""COMPUTED_VALUE"""),-0.424694611593695)</f>
        <v>-0.42469461159369498</v>
      </c>
      <c r="II15" s="3">
        <f ca="1">IFERROR(__xludf.DUMMYFUNCTION("""COMPUTED_VALUE"""),-0.416676307015901)</f>
        <v>-0.41667630701590103</v>
      </c>
      <c r="IJ15" s="3">
        <f ca="1">IFERROR(__xludf.DUMMYFUNCTION("""COMPUTED_VALUE"""),-0.413136467859564)</f>
        <v>-0.41313646785956398</v>
      </c>
      <c r="IK15" s="3">
        <f ca="1">IFERROR(__xludf.DUMMYFUNCTION("""COMPUTED_VALUE"""),-0.414316238518828)</f>
        <v>-0.41431623851882798</v>
      </c>
      <c r="IL15" s="3">
        <f ca="1">IFERROR(__xludf.DUMMYFUNCTION("""COMPUTED_VALUE"""),-0.30603355024586)</f>
        <v>-0.30603355024585999</v>
      </c>
      <c r="IM15" s="3">
        <f ca="1">IFERROR(__xludf.DUMMYFUNCTION("""COMPUTED_VALUE"""),-0.355227503802661)</f>
        <v>-0.35522750380266099</v>
      </c>
      <c r="IN15" s="3">
        <f ca="1">IFERROR(__xludf.DUMMYFUNCTION("""COMPUTED_VALUE"""),-0.329517962150613)</f>
        <v>-0.32951796215061302</v>
      </c>
      <c r="IO15" s="3">
        <f ca="1">IFERROR(__xludf.DUMMYFUNCTION("""COMPUTED_VALUE"""),-0.37848710000231)</f>
        <v>-0.37848710000231001</v>
      </c>
      <c r="IP15" s="3">
        <f ca="1">IFERROR(__xludf.DUMMYFUNCTION("""COMPUTED_VALUE"""),-0.342486900225823)</f>
        <v>-0.34248690022582301</v>
      </c>
      <c r="IQ15" s="3">
        <f ca="1">IFERROR(__xludf.DUMMYFUNCTION("""COMPUTED_VALUE"""),-0.33410836806114)</f>
        <v>-0.33410836806114003</v>
      </c>
      <c r="IR15" s="3">
        <f ca="1">IFERROR(__xludf.DUMMYFUNCTION("""COMPUTED_VALUE"""),-0.32107707642926)</f>
        <v>-0.32107707642925998</v>
      </c>
      <c r="IS15" s="3">
        <f ca="1">IFERROR(__xludf.DUMMYFUNCTION("""COMPUTED_VALUE"""),-0.346892041235146)</f>
        <v>-0.346892041235146</v>
      </c>
      <c r="IT15" s="3">
        <f ca="1">IFERROR(__xludf.DUMMYFUNCTION("""COMPUTED_VALUE"""),-0.392556463332433)</f>
        <v>-0.39255646333243299</v>
      </c>
      <c r="IU15" s="3">
        <f ca="1">IFERROR(__xludf.DUMMYFUNCTION("""COMPUTED_VALUE"""),-0.320350541664985)</f>
        <v>-0.320350541664985</v>
      </c>
      <c r="IV15" s="3">
        <f ca="1">IFERROR(__xludf.DUMMYFUNCTION("""COMPUTED_VALUE"""),-0.436278743631327)</f>
        <v>-0.43627874363132702</v>
      </c>
      <c r="IW15" s="3">
        <f ca="1">IFERROR(__xludf.DUMMYFUNCTION("""COMPUTED_VALUE"""),-0.360485719375634)</f>
        <v>-0.36048571937563401</v>
      </c>
      <c r="IX15" s="3">
        <f ca="1">IFERROR(__xludf.DUMMYFUNCTION("""COMPUTED_VALUE"""),-0.312758307712261)</f>
        <v>-0.31275830771226099</v>
      </c>
      <c r="IY15" s="3">
        <f ca="1">IFERROR(__xludf.DUMMYFUNCTION("""COMPUTED_VALUE"""),-0.30040700264002)</f>
        <v>-0.30040700264002002</v>
      </c>
      <c r="IZ15" s="3">
        <f ca="1">IFERROR(__xludf.DUMMYFUNCTION("""COMPUTED_VALUE"""),-0.304693164796752)</f>
        <v>-0.30469316479675201</v>
      </c>
      <c r="JA15" s="3">
        <f ca="1">IFERROR(__xludf.DUMMYFUNCTION("""COMPUTED_VALUE"""),-0.318823496720627)</f>
        <v>-0.31882349672062699</v>
      </c>
      <c r="JB15" s="3">
        <f ca="1">IFERROR(__xludf.DUMMYFUNCTION("""COMPUTED_VALUE"""),-0.328597528888161)</f>
        <v>-0.32859752888816102</v>
      </c>
      <c r="JC15" s="3">
        <f ca="1">IFERROR(__xludf.DUMMYFUNCTION("""COMPUTED_VALUE"""),-0.362461447262655)</f>
        <v>-0.362461447262655</v>
      </c>
      <c r="JD15" s="3">
        <f ca="1">IFERROR(__xludf.DUMMYFUNCTION("""COMPUTED_VALUE"""),-0.418961275178335)</f>
        <v>-0.41896127517833498</v>
      </c>
      <c r="JE15" s="3">
        <f ca="1">IFERROR(__xludf.DUMMYFUNCTION("""COMPUTED_VALUE"""),-0.320511643551795)</f>
        <v>-0.32051164355179501</v>
      </c>
      <c r="JF15" s="3">
        <f ca="1">IFERROR(__xludf.DUMMYFUNCTION("""COMPUTED_VALUE"""),-0.300738556084059)</f>
        <v>-0.30073855608405903</v>
      </c>
      <c r="JG15" s="3">
        <f ca="1">IFERROR(__xludf.DUMMYFUNCTION("""COMPUTED_VALUE"""),-0.371695894771662)</f>
        <v>-0.37169589477166198</v>
      </c>
      <c r="JH15" s="3">
        <f ca="1">IFERROR(__xludf.DUMMYFUNCTION("""COMPUTED_VALUE"""),-0.361646758191429)</f>
        <v>-0.361646758191429</v>
      </c>
      <c r="JI15" s="3">
        <f ca="1">IFERROR(__xludf.DUMMYFUNCTION("""COMPUTED_VALUE"""),-0.325585666328862)</f>
        <v>-0.32558566632886199</v>
      </c>
      <c r="JJ15" s="3">
        <f ca="1">IFERROR(__xludf.DUMMYFUNCTION("""COMPUTED_VALUE"""),-0.337808827278525)</f>
        <v>-0.33780882727852501</v>
      </c>
      <c r="JK15" s="3">
        <f ca="1">IFERROR(__xludf.DUMMYFUNCTION("""COMPUTED_VALUE"""),-0.343868603226622)</f>
        <v>-0.34386860322662199</v>
      </c>
      <c r="JL15" s="3">
        <f ca="1">IFERROR(__xludf.DUMMYFUNCTION("""COMPUTED_VALUE"""),-0.308300614505535)</f>
        <v>-0.30830061450553498</v>
      </c>
      <c r="JM15" s="3">
        <f ca="1">IFERROR(__xludf.DUMMYFUNCTION("""COMPUTED_VALUE"""),-0.273327322736678)</f>
        <v>-0.27332732273667798</v>
      </c>
      <c r="JN15" s="3">
        <f ca="1">IFERROR(__xludf.DUMMYFUNCTION("""COMPUTED_VALUE"""),-0.291616107040608)</f>
        <v>-0.29161610704060797</v>
      </c>
      <c r="JO15" s="3">
        <f ca="1">IFERROR(__xludf.DUMMYFUNCTION("""COMPUTED_VALUE"""),-0.344877328366327)</f>
        <v>-0.34487732836632701</v>
      </c>
      <c r="JP15" s="3">
        <f ca="1">IFERROR(__xludf.DUMMYFUNCTION("""COMPUTED_VALUE"""),-0.330978304453708)</f>
        <v>-0.33097830445370802</v>
      </c>
      <c r="JQ15" s="3">
        <f ca="1">IFERROR(__xludf.DUMMYFUNCTION("""COMPUTED_VALUE"""),-0.321572812691477)</f>
        <v>-0.32157281269147697</v>
      </c>
      <c r="JR15" s="3">
        <f ca="1">IFERROR(__xludf.DUMMYFUNCTION("""COMPUTED_VALUE"""),-0.350006262175983)</f>
        <v>-0.35000626217598302</v>
      </c>
      <c r="JS15" s="3">
        <f ca="1">IFERROR(__xludf.DUMMYFUNCTION("""COMPUTED_VALUE"""),-0.321075691512535)</f>
        <v>-0.32107569151253501</v>
      </c>
      <c r="JT15" s="3">
        <f ca="1">IFERROR(__xludf.DUMMYFUNCTION("""COMPUTED_VALUE"""),-0.352858383183823)</f>
        <v>-0.35285838318382301</v>
      </c>
      <c r="JU15" s="3">
        <f ca="1">IFERROR(__xludf.DUMMYFUNCTION("""COMPUTED_VALUE"""),-0.350312493915215)</f>
        <v>-0.35031249391521502</v>
      </c>
      <c r="JV15" s="3">
        <f ca="1">IFERROR(__xludf.DUMMYFUNCTION("""COMPUTED_VALUE"""),-0.371039146335103)</f>
        <v>-0.37103914633510299</v>
      </c>
      <c r="JW15" s="3">
        <f ca="1">IFERROR(__xludf.DUMMYFUNCTION("""COMPUTED_VALUE"""),-0.264328589979373)</f>
        <v>-0.26432858997937297</v>
      </c>
      <c r="JX15" s="3">
        <f ca="1">IFERROR(__xludf.DUMMYFUNCTION("""COMPUTED_VALUE"""),-0.292247561124959)</f>
        <v>-0.29224756112495898</v>
      </c>
      <c r="JY15" s="3">
        <f ca="1">IFERROR(__xludf.DUMMYFUNCTION("""COMPUTED_VALUE"""),-0.373896436020527)</f>
        <v>-0.37389643602052702</v>
      </c>
      <c r="JZ15" s="3">
        <f ca="1">IFERROR(__xludf.DUMMYFUNCTION("""COMPUTED_VALUE"""),-0.368798054100574)</f>
        <v>-0.36879805410057398</v>
      </c>
      <c r="KA15" s="3">
        <f ca="1">IFERROR(__xludf.DUMMYFUNCTION("""COMPUTED_VALUE"""),-0.289650934002376)</f>
        <v>-0.28965093400237601</v>
      </c>
      <c r="KB15" s="3">
        <f ca="1">IFERROR(__xludf.DUMMYFUNCTION("""COMPUTED_VALUE"""),-0.314913663385963)</f>
        <v>-0.31491366338596299</v>
      </c>
      <c r="KC15" s="3">
        <f ca="1">IFERROR(__xludf.DUMMYFUNCTION("""COMPUTED_VALUE"""),-0.405316741301433)</f>
        <v>-0.40531674130143303</v>
      </c>
      <c r="KD15" s="3">
        <f ca="1">IFERROR(__xludf.DUMMYFUNCTION("""COMPUTED_VALUE"""),-0.399960597734665)</f>
        <v>-0.39996059773466502</v>
      </c>
      <c r="KE15" s="3">
        <f ca="1">IFERROR(__xludf.DUMMYFUNCTION("""COMPUTED_VALUE"""),-0.346511796549803)</f>
        <v>-0.34651179654980302</v>
      </c>
      <c r="KF15" s="3">
        <f ca="1">IFERROR(__xludf.DUMMYFUNCTION("""COMPUTED_VALUE"""),-0.432701901788106)</f>
        <v>-0.43270190178810602</v>
      </c>
      <c r="KG15" s="3">
        <f ca="1">IFERROR(__xludf.DUMMYFUNCTION("""COMPUTED_VALUE"""),-0.412471660132088)</f>
        <v>-0.41247166013208802</v>
      </c>
      <c r="KH15" s="3">
        <f ca="1">IFERROR(__xludf.DUMMYFUNCTION("""COMPUTED_VALUE"""),-0.378048457917789)</f>
        <v>-0.37804845791778902</v>
      </c>
      <c r="KI15" s="3">
        <f ca="1">IFERROR(__xludf.DUMMYFUNCTION("""COMPUTED_VALUE"""),-0.254538999939011)</f>
        <v>-0.25453899993901102</v>
      </c>
      <c r="KJ15" s="3">
        <f ca="1">IFERROR(__xludf.DUMMYFUNCTION("""COMPUTED_VALUE"""),-0.339016358138106)</f>
        <v>-0.33901635813810599</v>
      </c>
      <c r="KK15" s="3">
        <f ca="1">IFERROR(__xludf.DUMMYFUNCTION("""COMPUTED_VALUE"""),-0.393461418048133)</f>
        <v>-0.393461418048133</v>
      </c>
      <c r="KL15" s="3">
        <f ca="1">IFERROR(__xludf.DUMMYFUNCTION("""COMPUTED_VALUE"""),-0.458972466226049)</f>
        <v>-0.45897246622604898</v>
      </c>
      <c r="KM15" s="3">
        <f ca="1">IFERROR(__xludf.DUMMYFUNCTION("""COMPUTED_VALUE"""),-0.447518525394293)</f>
        <v>-0.44751852539429299</v>
      </c>
      <c r="KN15" s="3">
        <f ca="1">IFERROR(__xludf.DUMMYFUNCTION("""COMPUTED_VALUE"""),-0.437659697415628)</f>
        <v>-0.43765969741562799</v>
      </c>
      <c r="KO15" s="3">
        <f ca="1">IFERROR(__xludf.DUMMYFUNCTION("""COMPUTED_VALUE"""),-0.403830506413251)</f>
        <v>-0.40383050641325102</v>
      </c>
      <c r="KP15" s="3">
        <f ca="1">IFERROR(__xludf.DUMMYFUNCTION("""COMPUTED_VALUE"""),-0.338295556844403)</f>
        <v>-0.33829555684440299</v>
      </c>
      <c r="KQ15" s="3">
        <f ca="1">IFERROR(__xludf.DUMMYFUNCTION("""COMPUTED_VALUE"""),-0.389405187070897)</f>
        <v>-0.389405187070897</v>
      </c>
      <c r="KR15" s="3">
        <f ca="1">IFERROR(__xludf.DUMMYFUNCTION("""COMPUTED_VALUE"""),-0.438783741526374)</f>
        <v>-0.438783741526374</v>
      </c>
      <c r="KS15" s="3">
        <f ca="1">IFERROR(__xludf.DUMMYFUNCTION("""COMPUTED_VALUE"""),-0.42874833946326)</f>
        <v>-0.42874833946326002</v>
      </c>
      <c r="KT15" s="3">
        <f ca="1">IFERROR(__xludf.DUMMYFUNCTION("""COMPUTED_VALUE"""),-0.469534386544509)</f>
        <v>-0.46953438654450902</v>
      </c>
      <c r="KU15" s="3">
        <f ca="1">IFERROR(__xludf.DUMMYFUNCTION("""COMPUTED_VALUE"""),-0.495012889723595)</f>
        <v>-0.49501288972359497</v>
      </c>
      <c r="KV15" s="3">
        <f ca="1">IFERROR(__xludf.DUMMYFUNCTION("""COMPUTED_VALUE"""),-0.418797881313988)</f>
        <v>-0.41879788131398799</v>
      </c>
      <c r="KW15" s="3">
        <f ca="1">IFERROR(__xludf.DUMMYFUNCTION("""COMPUTED_VALUE"""),-0.317673342528857)</f>
        <v>-0.31767334252885698</v>
      </c>
      <c r="KX15" s="3">
        <f ca="1">IFERROR(__xludf.DUMMYFUNCTION("""COMPUTED_VALUE"""),-0.41779725880169)</f>
        <v>-0.41779725880169</v>
      </c>
      <c r="KY15" s="3">
        <f ca="1">IFERROR(__xludf.DUMMYFUNCTION("""COMPUTED_VALUE"""),-0.422854270720929)</f>
        <v>-0.42285427072092902</v>
      </c>
      <c r="KZ15" s="3">
        <f ca="1">IFERROR(__xludf.DUMMYFUNCTION("""COMPUTED_VALUE"""),-0.494453424495943)</f>
        <v>-0.49445342449594298</v>
      </c>
      <c r="LA15" s="3">
        <f ca="1">IFERROR(__xludf.DUMMYFUNCTION("""COMPUTED_VALUE"""),-0.425477150606588)</f>
        <v>-0.42547715060658797</v>
      </c>
      <c r="LB15" s="3">
        <f ca="1">IFERROR(__xludf.DUMMYFUNCTION("""COMPUTED_VALUE"""),-0.494716064198398)</f>
        <v>-0.49471606419839798</v>
      </c>
      <c r="LC15" s="3">
        <f ca="1">IFERROR(__xludf.DUMMYFUNCTION("""COMPUTED_VALUE"""),-0.434925966058943)</f>
        <v>-0.43492596605894301</v>
      </c>
      <c r="LD15" s="3">
        <f ca="1">IFERROR(__xludf.DUMMYFUNCTION("""COMPUTED_VALUE"""),-0.427291672399626)</f>
        <v>-0.42729167239962601</v>
      </c>
      <c r="LE15" s="3">
        <f ca="1">IFERROR(__xludf.DUMMYFUNCTION("""COMPUTED_VALUE"""),-0.42330900556933)</f>
        <v>-0.42330900556932999</v>
      </c>
      <c r="LF15" s="3">
        <f ca="1">IFERROR(__xludf.DUMMYFUNCTION("""COMPUTED_VALUE"""),-0.493813986238674)</f>
        <v>-0.49381398623867401</v>
      </c>
      <c r="LG15" s="3">
        <f ca="1">IFERROR(__xludf.DUMMYFUNCTION("""COMPUTED_VALUE"""),-0.523324054070987)</f>
        <v>-0.52332405407098703</v>
      </c>
      <c r="LH15" s="3">
        <f ca="1">IFERROR(__xludf.DUMMYFUNCTION("""COMPUTED_VALUE"""),-0.513057681348265)</f>
        <v>-0.51305768134826502</v>
      </c>
      <c r="LI15" s="3">
        <f ca="1">IFERROR(__xludf.DUMMYFUNCTION("""COMPUTED_VALUE"""),-0.515570656524337)</f>
        <v>-0.51557065652433698</v>
      </c>
      <c r="LJ15" s="3">
        <f ca="1">IFERROR(__xludf.DUMMYFUNCTION("""COMPUTED_VALUE"""),-0.549081895702921)</f>
        <v>-0.54908189570292099</v>
      </c>
      <c r="LK15" s="3">
        <f ca="1">IFERROR(__xludf.DUMMYFUNCTION("""COMPUTED_VALUE"""),-0.388206973791572)</f>
        <v>-0.38820697379157199</v>
      </c>
      <c r="LL15" s="3">
        <f ca="1">IFERROR(__xludf.DUMMYFUNCTION("""COMPUTED_VALUE"""),-0.480788805357666)</f>
        <v>-0.48078880535766599</v>
      </c>
      <c r="LM15" s="3">
        <f ca="1">IFERROR(__xludf.DUMMYFUNCTION("""COMPUTED_VALUE"""),-0.476993893351548)</f>
        <v>-0.47699389335154802</v>
      </c>
      <c r="LN15" s="3">
        <f ca="1">IFERROR(__xludf.DUMMYFUNCTION("""COMPUTED_VALUE"""),-0.555070072079366)</f>
        <v>-0.55507007207936598</v>
      </c>
      <c r="LO15" s="3">
        <f ca="1">IFERROR(__xludf.DUMMYFUNCTION("""COMPUTED_VALUE"""),-0.571846900363924)</f>
        <v>-0.57184690036392405</v>
      </c>
      <c r="LP15" s="3">
        <f ca="1">IFERROR(__xludf.DUMMYFUNCTION("""COMPUTED_VALUE"""),-0.649527457223775)</f>
        <v>-0.64952745722377503</v>
      </c>
      <c r="LQ15" s="3">
        <f ca="1">IFERROR(__xludf.DUMMYFUNCTION("""COMPUTED_VALUE"""),-0.620411184689194)</f>
        <v>-0.62041118468919398</v>
      </c>
      <c r="LR15" s="3">
        <f ca="1">IFERROR(__xludf.DUMMYFUNCTION("""COMPUTED_VALUE"""),-0.387306214514018)</f>
        <v>-0.38730621451401798</v>
      </c>
      <c r="LS15" s="3">
        <f ca="1">IFERROR(__xludf.DUMMYFUNCTION("""COMPUTED_VALUE"""),-0.483228539220123)</f>
        <v>-0.48322853922012299</v>
      </c>
      <c r="LT15" s="3">
        <f ca="1">IFERROR(__xludf.DUMMYFUNCTION("""COMPUTED_VALUE"""),-0.576038462412487)</f>
        <v>-0.57603846241248702</v>
      </c>
      <c r="LU15" s="3">
        <f ca="1">IFERROR(__xludf.DUMMYFUNCTION("""COMPUTED_VALUE"""),-0.579885554627556)</f>
        <v>-0.57988555462755598</v>
      </c>
      <c r="LV15" s="3">
        <f ca="1">IFERROR(__xludf.DUMMYFUNCTION("""COMPUTED_VALUE"""),-0.624495550929681)</f>
        <v>-0.62449555092968101</v>
      </c>
      <c r="LW15" s="3">
        <f ca="1">IFERROR(__xludf.DUMMYFUNCTION("""COMPUTED_VALUE"""),-0.590029731952751)</f>
        <v>-0.59002973195275099</v>
      </c>
      <c r="LX15" s="3">
        <f ca="1">IFERROR(__xludf.DUMMYFUNCTION("""COMPUTED_VALUE"""),-0.64114477906015)</f>
        <v>-0.64114477906014999</v>
      </c>
      <c r="LY15" s="3">
        <f ca="1">IFERROR(__xludf.DUMMYFUNCTION("""COMPUTED_VALUE"""),-0.493664728384664)</f>
        <v>-0.49366472838466402</v>
      </c>
      <c r="LZ15" s="3">
        <f ca="1">IFERROR(__xludf.DUMMYFUNCTION("""COMPUTED_VALUE"""),-0.551922153708117)</f>
        <v>-0.55192215370811704</v>
      </c>
      <c r="MA15" s="3">
        <f ca="1">IFERROR(__xludf.DUMMYFUNCTION("""COMPUTED_VALUE"""),-0.639164013162135)</f>
        <v>-0.639164013162135</v>
      </c>
      <c r="MB15" s="3">
        <f ca="1">IFERROR(__xludf.DUMMYFUNCTION("""COMPUTED_VALUE"""),-0.617745486867772)</f>
        <v>-0.61774548686777198</v>
      </c>
      <c r="MC15" s="3">
        <f ca="1">IFERROR(__xludf.DUMMYFUNCTION("""COMPUTED_VALUE"""),-0.665032401756061)</f>
        <v>-0.66503240175606104</v>
      </c>
      <c r="MD15" s="3">
        <f ca="1">IFERROR(__xludf.DUMMYFUNCTION("""COMPUTED_VALUE"""),-0.675272116756553)</f>
        <v>-0.67527211675655296</v>
      </c>
      <c r="ME15" s="3">
        <f ca="1">IFERROR(__xludf.DUMMYFUNCTION("""COMPUTED_VALUE"""),-0.610669420100147)</f>
        <v>-0.61066942010014702</v>
      </c>
      <c r="MF15" s="3">
        <f ca="1">IFERROR(__xludf.DUMMYFUNCTION("""COMPUTED_VALUE"""),-0.562110799318284)</f>
        <v>-0.562110799318284</v>
      </c>
      <c r="MG15" s="3">
        <f ca="1">IFERROR(__xludf.DUMMYFUNCTION("""COMPUTED_VALUE"""),-0.524501831468925)</f>
        <v>-0.52450183146892504</v>
      </c>
      <c r="MH15" s="3">
        <f ca="1">IFERROR(__xludf.DUMMYFUNCTION("""COMPUTED_VALUE"""),-0.601703065671024)</f>
        <v>-0.60170306567102405</v>
      </c>
      <c r="MI15" s="3">
        <f ca="1">IFERROR(__xludf.DUMMYFUNCTION("""COMPUTED_VALUE"""),-0.67857671255093)</f>
        <v>-0.67857671255092999</v>
      </c>
      <c r="MJ15" s="3">
        <f ca="1">IFERROR(__xludf.DUMMYFUNCTION("""COMPUTED_VALUE"""),-0.697235479179413)</f>
        <v>-0.69723547917941298</v>
      </c>
      <c r="MK15" s="3">
        <f ca="1">IFERROR(__xludf.DUMMYFUNCTION("""COMPUTED_VALUE"""),-0.655511351039569)</f>
        <v>-0.65551135103956903</v>
      </c>
      <c r="ML15" s="3">
        <f ca="1">IFERROR(__xludf.DUMMYFUNCTION("""COMPUTED_VALUE"""),-0.655072656921374)</f>
        <v>-0.65507265692137395</v>
      </c>
      <c r="MM15" s="3">
        <f ca="1">IFERROR(__xludf.DUMMYFUNCTION("""COMPUTED_VALUE"""),-0.546330002890772)</f>
        <v>-0.54633000289077205</v>
      </c>
      <c r="MN15" s="3">
        <f ca="1">IFERROR(__xludf.DUMMYFUNCTION("""COMPUTED_VALUE"""),-0.606593847443396)</f>
        <v>-0.60659384744339595</v>
      </c>
      <c r="MO15" s="3">
        <f ca="1">IFERROR(__xludf.DUMMYFUNCTION("""COMPUTED_VALUE"""),-0.659301864267716)</f>
        <v>-0.65930186426771598</v>
      </c>
      <c r="MP15" s="3">
        <f ca="1">IFERROR(__xludf.DUMMYFUNCTION("""COMPUTED_VALUE"""),-0.72892318183218)</f>
        <v>-0.72892318183217997</v>
      </c>
      <c r="MQ15" s="3">
        <f ca="1">IFERROR(__xludf.DUMMYFUNCTION("""COMPUTED_VALUE"""),-0.674298446012626)</f>
        <v>-0.67429844601262601</v>
      </c>
      <c r="MR15" s="3">
        <f ca="1">IFERROR(__xludf.DUMMYFUNCTION("""COMPUTED_VALUE"""),-0.675706215816835)</f>
        <v>-0.67570621581683499</v>
      </c>
      <c r="MS15" s="3">
        <f ca="1">IFERROR(__xludf.DUMMYFUNCTION("""COMPUTED_VALUE"""),-0.643900311200925)</f>
        <v>-0.64390031120092495</v>
      </c>
      <c r="MT15" s="3">
        <f ca="1">IFERROR(__xludf.DUMMYFUNCTION("""COMPUTED_VALUE"""),-0.495466877896735)</f>
        <v>-0.49546687789673499</v>
      </c>
      <c r="MU15" s="3">
        <f ca="1">IFERROR(__xludf.DUMMYFUNCTION("""COMPUTED_VALUE"""),-0.561642333938109)</f>
        <v>-0.56164233393810903</v>
      </c>
      <c r="MV15" s="3">
        <f ca="1">IFERROR(__xludf.DUMMYFUNCTION("""COMPUTED_VALUE"""),-0.682357399978249)</f>
        <v>-0.68235739997824896</v>
      </c>
      <c r="MW15" s="3">
        <f ca="1">IFERROR(__xludf.DUMMYFUNCTION("""COMPUTED_VALUE"""),-0.701047393925144)</f>
        <v>-0.70104739392514404</v>
      </c>
      <c r="MX15" s="3">
        <f ca="1">IFERROR(__xludf.DUMMYFUNCTION("""COMPUTED_VALUE"""),-0.692188802799629)</f>
        <v>-0.69218880279962902</v>
      </c>
      <c r="MY15" s="3">
        <f ca="1">IFERROR(__xludf.DUMMYFUNCTION("""COMPUTED_VALUE"""),-0.671799335332633)</f>
        <v>-0.67179933533263303</v>
      </c>
      <c r="MZ15" s="3">
        <f ca="1">IFERROR(__xludf.DUMMYFUNCTION("""COMPUTED_VALUE"""),-0.648848829154272)</f>
        <v>-0.648848829154272</v>
      </c>
      <c r="NA15" s="3">
        <f ca="1">IFERROR(__xludf.DUMMYFUNCTION("""COMPUTED_VALUE"""),-0.443868223714344)</f>
        <v>-0.44386822371434398</v>
      </c>
      <c r="NB15" s="3">
        <f ca="1">IFERROR(__xludf.DUMMYFUNCTION("""COMPUTED_VALUE"""),-0.403920467727253)</f>
        <v>-0.40392046772725299</v>
      </c>
      <c r="NC15" s="3">
        <f ca="1">IFERROR(__xludf.DUMMYFUNCTION("""COMPUTED_VALUE"""),-0.516772391178749)</f>
        <v>-0.51677239117874896</v>
      </c>
      <c r="ND15" s="3">
        <f ca="1">IFERROR(__xludf.DUMMYFUNCTION("""COMPUTED_VALUE"""),-0.548428313998261)</f>
        <v>-0.54842831399826097</v>
      </c>
      <c r="NE15" s="3">
        <f ca="1">IFERROR(__xludf.DUMMYFUNCTION("""COMPUTED_VALUE"""),-0.519512893510456)</f>
        <v>-0.51951289351045604</v>
      </c>
      <c r="NF15" s="3">
        <f ca="1">IFERROR(__xludf.DUMMYFUNCTION("""COMPUTED_VALUE"""),-0.53765342056588)</f>
        <v>-0.53765342056587995</v>
      </c>
      <c r="NG15" s="3">
        <f ca="1">IFERROR(__xludf.DUMMYFUNCTION("""COMPUTED_VALUE"""),-0.495797156936028)</f>
        <v>-0.49579715693602799</v>
      </c>
      <c r="NH15" s="3">
        <f ca="1">IFERROR(__xludf.DUMMYFUNCTION("""COMPUTED_VALUE"""),-0.224625519753223)</f>
        <v>-0.22462551975322301</v>
      </c>
      <c r="NI15" s="3">
        <f ca="1">IFERROR(__xludf.DUMMYFUNCTION("""COMPUTED_VALUE"""),-0.378597518328875)</f>
        <v>-0.378597518328875</v>
      </c>
      <c r="NJ15" s="3">
        <f ca="1">IFERROR(__xludf.DUMMYFUNCTION("""COMPUTED_VALUE"""),-0.447983060543495)</f>
        <v>-0.44798306054349502</v>
      </c>
      <c r="NK15" s="3">
        <f ca="1">IFERROR(__xludf.DUMMYFUNCTION("""COMPUTED_VALUE"""),-0.525741263493584)</f>
        <v>-0.52574126349358397</v>
      </c>
      <c r="NL15" s="3">
        <f ca="1">IFERROR(__xludf.DUMMYFUNCTION("""COMPUTED_VALUE"""),-0.466315299968122)</f>
        <v>-0.46631529996812199</v>
      </c>
      <c r="NM15" s="3">
        <f ca="1">IFERROR(__xludf.DUMMYFUNCTION("""COMPUTED_VALUE"""),-0.548910789322556)</f>
        <v>-0.54891078932255599</v>
      </c>
      <c r="NN15" s="3">
        <f ca="1">IFERROR(__xludf.DUMMYFUNCTION("""COMPUTED_VALUE"""),-0.443299622532657)</f>
        <v>-0.44329962253265698</v>
      </c>
      <c r="NO15" s="3">
        <f ca="1">IFERROR(__xludf.DUMMYFUNCTION("""COMPUTED_VALUE"""),-0.333622467145512)</f>
        <v>-0.33362246714551202</v>
      </c>
      <c r="NP15" s="3">
        <f ca="1">IFERROR(__xludf.DUMMYFUNCTION("""COMPUTED_VALUE"""),-0.590407401394899)</f>
        <v>-0.590407401394899</v>
      </c>
      <c r="NQ15" s="3">
        <f ca="1">IFERROR(__xludf.DUMMYFUNCTION("""COMPUTED_VALUE"""),-0.630491356151582)</f>
        <v>-0.63049135615158203</v>
      </c>
      <c r="NR15" s="3">
        <f ca="1">IFERROR(__xludf.DUMMYFUNCTION("""COMPUTED_VALUE"""),-0.676482741255302)</f>
        <v>-0.67648274125530194</v>
      </c>
      <c r="NS15" s="3">
        <f ca="1">IFERROR(__xludf.DUMMYFUNCTION("""COMPUTED_VALUE"""),-0.66174589082025)</f>
        <v>-0.66174589082025004</v>
      </c>
      <c r="NT15" s="3">
        <f ca="1">IFERROR(__xludf.DUMMYFUNCTION("""COMPUTED_VALUE"""),-0.663096836328911)</f>
        <v>-0.66309683632891103</v>
      </c>
      <c r="NU15" s="3">
        <f ca="1">IFERROR(__xludf.DUMMYFUNCTION("""COMPUTED_VALUE"""),-0.59721165518798)</f>
        <v>-0.59721165518798003</v>
      </c>
      <c r="NV15" s="3">
        <f ca="1">IFERROR(__xludf.DUMMYFUNCTION("""COMPUTED_VALUE"""),-0.480096562771151)</f>
        <v>-0.48009656277115098</v>
      </c>
      <c r="NW15" s="3">
        <f ca="1">IFERROR(__xludf.DUMMYFUNCTION("""COMPUTED_VALUE"""),-0.473095641541533)</f>
        <v>-0.473095641541533</v>
      </c>
      <c r="NX15" s="3">
        <f ca="1">IFERROR(__xludf.DUMMYFUNCTION("""COMPUTED_VALUE"""),-0.534984313421139)</f>
        <v>-0.53498431342113895</v>
      </c>
      <c r="NY15" s="3">
        <f ca="1">IFERROR(__xludf.DUMMYFUNCTION("""COMPUTED_VALUE"""),-0.575595509345501)</f>
        <v>-0.57559550934550097</v>
      </c>
      <c r="NZ15" s="3">
        <f ca="1">IFERROR(__xludf.DUMMYFUNCTION("""COMPUTED_VALUE"""),-0.541879192743091)</f>
        <v>-0.54187919274309104</v>
      </c>
      <c r="OA15" s="3">
        <f ca="1">IFERROR(__xludf.DUMMYFUNCTION("""COMPUTED_VALUE"""),-0.503062202825036)</f>
        <v>-0.503062202825036</v>
      </c>
      <c r="OB15" s="3">
        <f ca="1">IFERROR(__xludf.DUMMYFUNCTION("""COMPUTED_VALUE"""),-0.426364643551189)</f>
        <v>-0.42636464355118903</v>
      </c>
      <c r="OC15" s="3">
        <f ca="1">IFERROR(__xludf.DUMMYFUNCTION("""COMPUTED_VALUE"""),-0.231906444219892)</f>
        <v>-0.23190644421989201</v>
      </c>
      <c r="OD15" s="3">
        <f ca="1">IFERROR(__xludf.DUMMYFUNCTION("""COMPUTED_VALUE"""),-0.203456792088153)</f>
        <v>-0.20345679208815301</v>
      </c>
      <c r="OE15" s="3">
        <f ca="1">IFERROR(__xludf.DUMMYFUNCTION("""COMPUTED_VALUE"""),-0.114546721211788)</f>
        <v>-0.11454672121178799</v>
      </c>
      <c r="OF15" s="3">
        <f ca="1">IFERROR(__xludf.DUMMYFUNCTION("""COMPUTED_VALUE"""),-0.052188273748662)</f>
        <v>-5.2188273748662001E-2</v>
      </c>
      <c r="OG15" s="3">
        <f ca="1">IFERROR(__xludf.DUMMYFUNCTION("""COMPUTED_VALUE"""),0.0192006799397643)</f>
        <v>1.9200679939764299E-2</v>
      </c>
      <c r="OH15" s="3">
        <f ca="1">IFERROR(__xludf.DUMMYFUNCTION("""COMPUTED_VALUE"""),0.0343205274087967)</f>
        <v>3.4320527408796701E-2</v>
      </c>
      <c r="OI15" s="3">
        <f ca="1">IFERROR(__xludf.DUMMYFUNCTION("""COMPUTED_VALUE"""),0.0488519189967098)</f>
        <v>4.8851918996709799E-2</v>
      </c>
      <c r="OJ15" s="3">
        <f ca="1">IFERROR(__xludf.DUMMYFUNCTION("""COMPUTED_VALUE"""),0.0210196980623)</f>
        <v>2.1019698062299998E-2</v>
      </c>
      <c r="OK15" s="3">
        <f ca="1">IFERROR(__xludf.DUMMYFUNCTION("""COMPUTED_VALUE"""),0.15541387617214)</f>
        <v>0.15541387617214</v>
      </c>
      <c r="OL15" s="3">
        <f ca="1">IFERROR(__xludf.DUMMYFUNCTION("""COMPUTED_VALUE"""),-0.0715719721637571)</f>
        <v>-7.1571972163757103E-2</v>
      </c>
      <c r="OM15" s="3">
        <f ca="1">IFERROR(__xludf.DUMMYFUNCTION("""COMPUTED_VALUE"""),0.0693144692004952)</f>
        <v>6.9314469200495193E-2</v>
      </c>
      <c r="ON15" s="3">
        <f ca="1">IFERROR(__xludf.DUMMYFUNCTION("""COMPUTED_VALUE"""),0.0762815790599069)</f>
        <v>7.6281579059906901E-2</v>
      </c>
      <c r="OO15" s="3">
        <f ca="1">IFERROR(__xludf.DUMMYFUNCTION("""COMPUTED_VALUE"""),0.129275313473727)</f>
        <v>0.129275313473727</v>
      </c>
      <c r="OP15" s="3">
        <f ca="1">IFERROR(__xludf.DUMMYFUNCTION("""COMPUTED_VALUE"""),0.0274129137714158)</f>
        <v>2.74129137714158E-2</v>
      </c>
      <c r="OQ15" s="3">
        <f ca="1">IFERROR(__xludf.DUMMYFUNCTION("""COMPUTED_VALUE"""),0.0896703611126337)</f>
        <v>8.9670361112633698E-2</v>
      </c>
      <c r="OR15" s="3">
        <f ca="1">IFERROR(__xludf.DUMMYFUNCTION("""COMPUTED_VALUE"""),0.0335525856602128)</f>
        <v>3.3552585660212797E-2</v>
      </c>
      <c r="OS15" s="3">
        <f ca="1">IFERROR(__xludf.DUMMYFUNCTION("""COMPUTED_VALUE"""),-0.0104413058887539)</f>
        <v>-1.04413058887539E-2</v>
      </c>
      <c r="OT15" s="3">
        <f ca="1">IFERROR(__xludf.DUMMYFUNCTION("""COMPUTED_VALUE"""),0.00128729076082034)</f>
        <v>1.2872907608203401E-3</v>
      </c>
      <c r="OU15" s="3">
        <f ca="1">IFERROR(__xludf.DUMMYFUNCTION("""COMPUTED_VALUE"""),0.0237235040966354)</f>
        <v>2.37235040966354E-2</v>
      </c>
      <c r="OV15" s="3">
        <f ca="1">IFERROR(__xludf.DUMMYFUNCTION("""COMPUTED_VALUE"""),0.0912222811059892)</f>
        <v>9.1222281105989206E-2</v>
      </c>
      <c r="OW15" s="3">
        <f ca="1">IFERROR(__xludf.DUMMYFUNCTION("""COMPUTED_VALUE"""),0.205976355242814)</f>
        <v>0.20597635524281399</v>
      </c>
      <c r="OX15" s="3">
        <f ca="1">IFERROR(__xludf.DUMMYFUNCTION("""COMPUTED_VALUE"""),0.00498003970913751)</f>
        <v>4.9800397091375103E-3</v>
      </c>
      <c r="OY15" s="3">
        <f ca="1">IFERROR(__xludf.DUMMYFUNCTION("""COMPUTED_VALUE"""),-0.0662110946588926)</f>
        <v>-6.6211094658892605E-2</v>
      </c>
      <c r="OZ15" s="3">
        <f ca="1">IFERROR(__xludf.DUMMYFUNCTION("""COMPUTED_VALUE"""),-0.0526597922592199)</f>
        <v>-5.2659792259219899E-2</v>
      </c>
      <c r="PA15" s="3">
        <f ca="1">IFERROR(__xludf.DUMMYFUNCTION("""COMPUTED_VALUE"""),-0.040700911076034)</f>
        <v>-4.0700911076033998E-2</v>
      </c>
      <c r="PB15" s="3">
        <f ca="1">IFERROR(__xludf.DUMMYFUNCTION("""COMPUTED_VALUE"""),0.0453443745698656)</f>
        <v>4.5344374569865599E-2</v>
      </c>
      <c r="PC15" s="3">
        <f ca="1">IFERROR(__xludf.DUMMYFUNCTION("""COMPUTED_VALUE"""),0.0351444947260459)</f>
        <v>3.5144494726045902E-2</v>
      </c>
      <c r="PD15" s="3">
        <f ca="1">IFERROR(__xludf.DUMMYFUNCTION("""COMPUTED_VALUE"""),-0.180019311173007)</f>
        <v>-0.18001931117300701</v>
      </c>
      <c r="PE15" s="3">
        <f ca="1">IFERROR(__xludf.DUMMYFUNCTION("""COMPUTED_VALUE"""),0.0860977554079045)</f>
        <v>8.60977554079045E-2</v>
      </c>
      <c r="PF15" s="3">
        <f ca="1">IFERROR(__xludf.DUMMYFUNCTION("""COMPUTED_VALUE"""),-0.0593942102696066)</f>
        <v>-5.9394210269606597E-2</v>
      </c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</row>
    <row r="16" spans="1:594" ht="15.75" customHeight="1">
      <c r="A16" s="1" t="str">
        <f ca="1">IFERROR(__xludf.DUMMYFUNCTION("""COMPUTED_VALUE"""),"Cleveland")</f>
        <v>Cleveland</v>
      </c>
      <c r="B16" s="3">
        <f ca="1">IFERROR(__xludf.DUMMYFUNCTION("""COMPUTED_VALUE"""),-0.421363374702752)</f>
        <v>-0.42136337470275198</v>
      </c>
      <c r="C16" s="3">
        <f ca="1">IFERROR(__xludf.DUMMYFUNCTION("""COMPUTED_VALUE"""),-0.510853019393755)</f>
        <v>-0.51085301939375505</v>
      </c>
      <c r="D16" s="3">
        <f ca="1">IFERROR(__xludf.DUMMYFUNCTION("""COMPUTED_VALUE"""),-0.609106544855209)</f>
        <v>-0.60910654485520899</v>
      </c>
      <c r="E16" s="3">
        <f ca="1">IFERROR(__xludf.DUMMYFUNCTION("""COMPUTED_VALUE"""),-0.64168294728694)</f>
        <v>-0.64168294728693998</v>
      </c>
      <c r="F16" s="3">
        <f ca="1">IFERROR(__xludf.DUMMYFUNCTION("""COMPUTED_VALUE"""),-0.599866174547131)</f>
        <v>-0.59986617454713098</v>
      </c>
      <c r="G16" s="3">
        <f ca="1">IFERROR(__xludf.DUMMYFUNCTION("""COMPUTED_VALUE"""),-0.623981252157284)</f>
        <v>-0.62398125215728395</v>
      </c>
      <c r="H16" s="3">
        <f ca="1">IFERROR(__xludf.DUMMYFUNCTION("""COMPUTED_VALUE"""),-0.452075551674352)</f>
        <v>-0.45207555167435198</v>
      </c>
      <c r="I16" s="3">
        <f ca="1">IFERROR(__xludf.DUMMYFUNCTION("""COMPUTED_VALUE"""),-0.39767083850314)</f>
        <v>-0.39767083850314</v>
      </c>
      <c r="J16" s="3">
        <f ca="1">IFERROR(__xludf.DUMMYFUNCTION("""COMPUTED_VALUE"""),-0.588280585852182)</f>
        <v>-0.58828058585218201</v>
      </c>
      <c r="K16" s="3">
        <f ca="1">IFERROR(__xludf.DUMMYFUNCTION("""COMPUTED_VALUE"""),-0.659801071716528)</f>
        <v>-0.65980107171652802</v>
      </c>
      <c r="L16" s="3">
        <f ca="1">IFERROR(__xludf.DUMMYFUNCTION("""COMPUTED_VALUE"""),-0.660251596540665)</f>
        <v>-0.66025159654066501</v>
      </c>
      <c r="M16" s="3">
        <f ca="1">IFERROR(__xludf.DUMMYFUNCTION("""COMPUTED_VALUE"""),-0.630454623198013)</f>
        <v>-0.63045462319801304</v>
      </c>
      <c r="N16" s="3">
        <f ca="1">IFERROR(__xludf.DUMMYFUNCTION("""COMPUTED_VALUE"""),-0.619104931081082)</f>
        <v>-0.619104931081082</v>
      </c>
      <c r="O16" s="3">
        <f ca="1">IFERROR(__xludf.DUMMYFUNCTION("""COMPUTED_VALUE"""),-0.461005121358292)</f>
        <v>-0.46100512135829202</v>
      </c>
      <c r="P16" s="3">
        <f ca="1">IFERROR(__xludf.DUMMYFUNCTION("""COMPUTED_VALUE"""),-0.424786434329483)</f>
        <v>-0.42478643432948299</v>
      </c>
      <c r="Q16" s="3">
        <f ca="1">IFERROR(__xludf.DUMMYFUNCTION("""COMPUTED_VALUE"""),-0.576286409256953)</f>
        <v>-0.57628640925695296</v>
      </c>
      <c r="R16" s="3">
        <f ca="1">IFERROR(__xludf.DUMMYFUNCTION("""COMPUTED_VALUE"""),-0.592275422494182)</f>
        <v>-0.59227542249418197</v>
      </c>
      <c r="S16" s="3">
        <f ca="1">IFERROR(__xludf.DUMMYFUNCTION("""COMPUTED_VALUE"""),-0.635765323805473)</f>
        <v>-0.63576532380547301</v>
      </c>
      <c r="T16" s="3">
        <f ca="1">IFERROR(__xludf.DUMMYFUNCTION("""COMPUTED_VALUE"""),-0.557157435135842)</f>
        <v>-0.55715743513584204</v>
      </c>
      <c r="U16" s="3">
        <f ca="1">IFERROR(__xludf.DUMMYFUNCTION("""COMPUTED_VALUE"""),-0.568839953941836)</f>
        <v>-0.56883995394183595</v>
      </c>
      <c r="V16" s="3">
        <f ca="1">IFERROR(__xludf.DUMMYFUNCTION("""COMPUTED_VALUE"""),-0.368740890324558)</f>
        <v>-0.36874089032455798</v>
      </c>
      <c r="W16" s="3">
        <f ca="1">IFERROR(__xludf.DUMMYFUNCTION("""COMPUTED_VALUE"""),-0.382876826661875)</f>
        <v>-0.382876826661875</v>
      </c>
      <c r="X16" s="3">
        <f ca="1">IFERROR(__xludf.DUMMYFUNCTION("""COMPUTED_VALUE"""),-0.54282897869019)</f>
        <v>-0.54282897869018998</v>
      </c>
      <c r="Y16" s="3">
        <f ca="1">IFERROR(__xludf.DUMMYFUNCTION("""COMPUTED_VALUE"""),-0.565427769269701)</f>
        <v>-0.56542776926970095</v>
      </c>
      <c r="Z16" s="3">
        <f ca="1">IFERROR(__xludf.DUMMYFUNCTION("""COMPUTED_VALUE"""),-0.581602840497123)</f>
        <v>-0.58160284049712296</v>
      </c>
      <c r="AA16" s="3">
        <f ca="1">IFERROR(__xludf.DUMMYFUNCTION("""COMPUTED_VALUE"""),-0.582794354623295)</f>
        <v>-0.58279435462329499</v>
      </c>
      <c r="AB16" s="3">
        <f ca="1">IFERROR(__xludf.DUMMYFUNCTION("""COMPUTED_VALUE"""),-0.554005490076549)</f>
        <v>-0.55400549007654898</v>
      </c>
      <c r="AC16" s="3">
        <f ca="1">IFERROR(__xludf.DUMMYFUNCTION("""COMPUTED_VALUE"""),-0.405630523673463)</f>
        <v>-0.40563052367346297</v>
      </c>
      <c r="AD16" s="3">
        <f ca="1">IFERROR(__xludf.DUMMYFUNCTION("""COMPUTED_VALUE"""),-0.402799607699816)</f>
        <v>-0.40279960769981599</v>
      </c>
      <c r="AE16" s="3">
        <f ca="1">IFERROR(__xludf.DUMMYFUNCTION("""COMPUTED_VALUE"""),-0.566723978180374)</f>
        <v>-0.56672397818037401</v>
      </c>
      <c r="AF16" s="3">
        <f ca="1">IFERROR(__xludf.DUMMYFUNCTION("""COMPUTED_VALUE"""),-0.593501362117861)</f>
        <v>-0.59350136211786098</v>
      </c>
      <c r="AG16" s="3">
        <f ca="1">IFERROR(__xludf.DUMMYFUNCTION("""COMPUTED_VALUE"""),-0.601888977079064)</f>
        <v>-0.60188897707906397</v>
      </c>
      <c r="AH16" s="3">
        <f ca="1">IFERROR(__xludf.DUMMYFUNCTION("""COMPUTED_VALUE"""),-0.627124563592333)</f>
        <v>-0.62712456359233304</v>
      </c>
      <c r="AI16" s="3">
        <f ca="1">IFERROR(__xludf.DUMMYFUNCTION("""COMPUTED_VALUE"""),-0.62739142120428)</f>
        <v>-0.62739142120428004</v>
      </c>
      <c r="AJ16" s="3">
        <f ca="1">IFERROR(__xludf.DUMMYFUNCTION("""COMPUTED_VALUE"""),-0.453762577484372)</f>
        <v>-0.45376257748437199</v>
      </c>
      <c r="AK16" s="3">
        <f ca="1">IFERROR(__xludf.DUMMYFUNCTION("""COMPUTED_VALUE"""),-0.435575591014312)</f>
        <v>-0.43557559101431198</v>
      </c>
      <c r="AL16" s="3">
        <f ca="1">IFERROR(__xludf.DUMMYFUNCTION("""COMPUTED_VALUE"""),-0.602730107629408)</f>
        <v>-0.60273010762940804</v>
      </c>
      <c r="AM16" s="3">
        <f ca="1">IFERROR(__xludf.DUMMYFUNCTION("""COMPUTED_VALUE"""),-0.621571518318885)</f>
        <v>-0.62157151831888502</v>
      </c>
      <c r="AN16" s="3">
        <f ca="1">IFERROR(__xludf.DUMMYFUNCTION("""COMPUTED_VALUE"""),-0.575810413648855)</f>
        <v>-0.57581041364885499</v>
      </c>
      <c r="AO16" s="3">
        <f ca="1">IFERROR(__xludf.DUMMYFUNCTION("""COMPUTED_VALUE"""),-0.593853544295794)</f>
        <v>-0.59385354429579396</v>
      </c>
      <c r="AP16" s="3">
        <f ca="1">IFERROR(__xludf.DUMMYFUNCTION("""COMPUTED_VALUE"""),-0.581410742130847)</f>
        <v>-0.58141074213084698</v>
      </c>
      <c r="AQ16" s="3">
        <f ca="1">IFERROR(__xludf.DUMMYFUNCTION("""COMPUTED_VALUE"""),-0.38980877817071)</f>
        <v>-0.38980877817071002</v>
      </c>
      <c r="AR16" s="3">
        <f ca="1">IFERROR(__xludf.DUMMYFUNCTION("""COMPUTED_VALUE"""),-0.435775823713011)</f>
        <v>-0.43577582371301099</v>
      </c>
      <c r="AS16" s="3">
        <f ca="1">IFERROR(__xludf.DUMMYFUNCTION("""COMPUTED_VALUE"""),-0.602582691580457)</f>
        <v>-0.60258269158045696</v>
      </c>
      <c r="AT16" s="3">
        <f ca="1">IFERROR(__xludf.DUMMYFUNCTION("""COMPUTED_VALUE"""),-0.620522667285131)</f>
        <v>-0.62052266728513095</v>
      </c>
      <c r="AU16" s="3">
        <f ca="1">IFERROR(__xludf.DUMMYFUNCTION("""COMPUTED_VALUE"""),-0.626941607520428)</f>
        <v>-0.62694160752042805</v>
      </c>
      <c r="AV16" s="3">
        <f ca="1">IFERROR(__xludf.DUMMYFUNCTION("""COMPUTED_VALUE"""),-0.619036921502497)</f>
        <v>-0.61903692150249701</v>
      </c>
      <c r="AW16" s="3">
        <f ca="1">IFERROR(__xludf.DUMMYFUNCTION("""COMPUTED_VALUE"""),-0.603034011761073)</f>
        <v>-0.60303401176107296</v>
      </c>
      <c r="AX16" s="3">
        <f ca="1">IFERROR(__xludf.DUMMYFUNCTION("""COMPUTED_VALUE"""),-0.388113511198929)</f>
        <v>-0.38811351119892901</v>
      </c>
      <c r="AY16" s="3">
        <f ca="1">IFERROR(__xludf.DUMMYFUNCTION("""COMPUTED_VALUE"""),-0.423501133899579)</f>
        <v>-0.423501133899579</v>
      </c>
      <c r="AZ16" s="3">
        <f ca="1">IFERROR(__xludf.DUMMYFUNCTION("""COMPUTED_VALUE"""),-0.600320479531267)</f>
        <v>-0.60032047953126699</v>
      </c>
      <c r="BA16" s="3">
        <f ca="1">IFERROR(__xludf.DUMMYFUNCTION("""COMPUTED_VALUE"""),-0.641528761199225)</f>
        <v>-0.64152876119922497</v>
      </c>
      <c r="BB16" s="3">
        <f ca="1">IFERROR(__xludf.DUMMYFUNCTION("""COMPUTED_VALUE"""),-0.66766064608794)</f>
        <v>-0.66766064608793996</v>
      </c>
      <c r="BC16" s="3">
        <f ca="1">IFERROR(__xludf.DUMMYFUNCTION("""COMPUTED_VALUE"""),-0.671409636794984)</f>
        <v>-0.671409636794984</v>
      </c>
      <c r="BD16" s="3">
        <f ca="1">IFERROR(__xludf.DUMMYFUNCTION("""COMPUTED_VALUE"""),-0.585047253303688)</f>
        <v>-0.58504725330368801</v>
      </c>
      <c r="BE16" s="3">
        <f ca="1">IFERROR(__xludf.DUMMYFUNCTION("""COMPUTED_VALUE"""),-0.41844992431798)</f>
        <v>-0.41844992431798</v>
      </c>
      <c r="BF16" s="3">
        <f ca="1">IFERROR(__xludf.DUMMYFUNCTION("""COMPUTED_VALUE"""),-0.420058430211172)</f>
        <v>-0.42005843021117201</v>
      </c>
      <c r="BG16" s="3">
        <f ca="1">IFERROR(__xludf.DUMMYFUNCTION("""COMPUTED_VALUE"""),-0.62024405499799)</f>
        <v>-0.62024405499798996</v>
      </c>
      <c r="BH16" s="3">
        <f ca="1">IFERROR(__xludf.DUMMYFUNCTION("""COMPUTED_VALUE"""),-0.653426262369073)</f>
        <v>-0.65342626236907297</v>
      </c>
      <c r="BI16" s="3">
        <f ca="1">IFERROR(__xludf.DUMMYFUNCTION("""COMPUTED_VALUE"""),-0.664045246929026)</f>
        <v>-0.664045246929026</v>
      </c>
      <c r="BJ16" s="3">
        <f ca="1">IFERROR(__xludf.DUMMYFUNCTION("""COMPUTED_VALUE"""),-0.673851094824676)</f>
        <v>-0.67385109482467598</v>
      </c>
      <c r="BK16" s="3">
        <f ca="1">IFERROR(__xludf.DUMMYFUNCTION("""COMPUTED_VALUE"""),-0.578208445603142)</f>
        <v>-0.578208445603142</v>
      </c>
      <c r="BL16" s="3">
        <f ca="1">IFERROR(__xludf.DUMMYFUNCTION("""COMPUTED_VALUE"""),-0.403203401767415)</f>
        <v>-0.40320340176741498</v>
      </c>
      <c r="BM16" s="3">
        <f ca="1">IFERROR(__xludf.DUMMYFUNCTION("""COMPUTED_VALUE"""),-0.449602773203643)</f>
        <v>-0.449602773203643</v>
      </c>
      <c r="BN16" s="3">
        <f ca="1">IFERROR(__xludf.DUMMYFUNCTION("""COMPUTED_VALUE"""),-0.630899258691088)</f>
        <v>-0.63089925869108798</v>
      </c>
      <c r="BO16" s="3">
        <f ca="1">IFERROR(__xludf.DUMMYFUNCTION("""COMPUTED_VALUE"""),-0.671100573055557)</f>
        <v>-0.67110057305555704</v>
      </c>
      <c r="BP16" s="3">
        <f ca="1">IFERROR(__xludf.DUMMYFUNCTION("""COMPUTED_VALUE"""),-0.652944656142055)</f>
        <v>-0.65294465614205499</v>
      </c>
      <c r="BQ16" s="3">
        <f ca="1">IFERROR(__xludf.DUMMYFUNCTION("""COMPUTED_VALUE"""),-0.624904175757912)</f>
        <v>-0.62490417575791202</v>
      </c>
      <c r="BR16" s="3">
        <f ca="1">IFERROR(__xludf.DUMMYFUNCTION("""COMPUTED_VALUE"""),-0.593953578477436)</f>
        <v>-0.59395357847743602</v>
      </c>
      <c r="BS16" s="3">
        <f ca="1">IFERROR(__xludf.DUMMYFUNCTION("""COMPUTED_VALUE"""),-0.391742031626698)</f>
        <v>-0.39174203162669802</v>
      </c>
      <c r="BT16" s="3">
        <f ca="1">IFERROR(__xludf.DUMMYFUNCTION("""COMPUTED_VALUE"""),-0.505414322842003)</f>
        <v>-0.50541432284200305</v>
      </c>
      <c r="BU16" s="3">
        <f ca="1">IFERROR(__xludf.DUMMYFUNCTION("""COMPUTED_VALUE"""),-0.679998788659221)</f>
        <v>-0.67999878865922103</v>
      </c>
      <c r="BV16" s="3">
        <f ca="1">IFERROR(__xludf.DUMMYFUNCTION("""COMPUTED_VALUE"""),-0.651538793773915)</f>
        <v>-0.65153879377391499</v>
      </c>
      <c r="BW16" s="3">
        <f ca="1">IFERROR(__xludf.DUMMYFUNCTION("""COMPUTED_VALUE"""),-0.645125256201726)</f>
        <v>-0.64512525620172601</v>
      </c>
      <c r="BX16" s="3">
        <f ca="1">IFERROR(__xludf.DUMMYFUNCTION("""COMPUTED_VALUE"""),-0.667974569681541)</f>
        <v>-0.66797456968154101</v>
      </c>
      <c r="BY16" s="3">
        <f ca="1">IFERROR(__xludf.DUMMYFUNCTION("""COMPUTED_VALUE"""),-0.550148877111919)</f>
        <v>-0.55014887711191895</v>
      </c>
      <c r="BZ16" s="3">
        <f ca="1">IFERROR(__xludf.DUMMYFUNCTION("""COMPUTED_VALUE"""),-0.44075623180159)</f>
        <v>-0.44075623180159001</v>
      </c>
      <c r="CA16" s="3">
        <f ca="1">IFERROR(__xludf.DUMMYFUNCTION("""COMPUTED_VALUE"""),-0.449477082036245)</f>
        <v>-0.44947708203624498</v>
      </c>
      <c r="CB16" s="3">
        <f ca="1">IFERROR(__xludf.DUMMYFUNCTION("""COMPUTED_VALUE"""),-0.667281237549752)</f>
        <v>-0.66728123754975199</v>
      </c>
      <c r="CC16" s="3">
        <f ca="1">IFERROR(__xludf.DUMMYFUNCTION("""COMPUTED_VALUE"""),-0.662571475267039)</f>
        <v>-0.66257147526703897</v>
      </c>
      <c r="CD16" s="3">
        <f ca="1">IFERROR(__xludf.DUMMYFUNCTION("""COMPUTED_VALUE"""),-0.687320211256505)</f>
        <v>-0.687320211256505</v>
      </c>
      <c r="CE16" s="3">
        <f ca="1">IFERROR(__xludf.DUMMYFUNCTION("""COMPUTED_VALUE"""),-0.677742443438317)</f>
        <v>-0.67774244343831702</v>
      </c>
      <c r="CF16" s="3">
        <f ca="1">IFERROR(__xludf.DUMMYFUNCTION("""COMPUTED_VALUE"""),-0.657009158274798)</f>
        <v>-0.657009158274798</v>
      </c>
      <c r="CG16" s="3">
        <f ca="1">IFERROR(__xludf.DUMMYFUNCTION("""COMPUTED_VALUE"""),-0.410869757536113)</f>
        <v>-0.41086975753611299</v>
      </c>
      <c r="CH16" s="3">
        <f ca="1">IFERROR(__xludf.DUMMYFUNCTION("""COMPUTED_VALUE"""),-0.399721561905212)</f>
        <v>-0.39972156190521202</v>
      </c>
      <c r="CI16" s="3">
        <f ca="1">IFERROR(__xludf.DUMMYFUNCTION("""COMPUTED_VALUE"""),-0.609901548645054)</f>
        <v>-0.60990154864505397</v>
      </c>
      <c r="CJ16" s="3">
        <f ca="1">IFERROR(__xludf.DUMMYFUNCTION("""COMPUTED_VALUE"""),-0.625324778929332)</f>
        <v>-0.62532477892933203</v>
      </c>
      <c r="CK16" s="3">
        <f ca="1">IFERROR(__xludf.DUMMYFUNCTION("""COMPUTED_VALUE"""),-0.640530333479535)</f>
        <v>-0.64053033347953503</v>
      </c>
      <c r="CL16" s="3">
        <f ca="1">IFERROR(__xludf.DUMMYFUNCTION("""COMPUTED_VALUE"""),-0.635194584287323)</f>
        <v>-0.63519458428732301</v>
      </c>
      <c r="CM16" s="3">
        <f ca="1">IFERROR(__xludf.DUMMYFUNCTION("""COMPUTED_VALUE"""),-0.557381684976238)</f>
        <v>-0.55738168497623797</v>
      </c>
      <c r="CN16" s="3">
        <f ca="1">IFERROR(__xludf.DUMMYFUNCTION("""COMPUTED_VALUE"""),-0.408966716425888)</f>
        <v>-0.408966716425888</v>
      </c>
      <c r="CO16" s="3">
        <f ca="1">IFERROR(__xludf.DUMMYFUNCTION("""COMPUTED_VALUE"""),-0.37906121548865)</f>
        <v>-0.37906121548865002</v>
      </c>
      <c r="CP16" s="3">
        <f ca="1">IFERROR(__xludf.DUMMYFUNCTION("""COMPUTED_VALUE"""),-0.598293164216476)</f>
        <v>-0.59829316421647605</v>
      </c>
      <c r="CQ16" s="3">
        <f ca="1">IFERROR(__xludf.DUMMYFUNCTION("""COMPUTED_VALUE"""),-0.603709385920449)</f>
        <v>-0.60370938592044898</v>
      </c>
      <c r="CR16" s="3">
        <f ca="1">IFERROR(__xludf.DUMMYFUNCTION("""COMPUTED_VALUE"""),-0.576883760556786)</f>
        <v>-0.57688376055678603</v>
      </c>
      <c r="CS16" s="3">
        <f ca="1">IFERROR(__xludf.DUMMYFUNCTION("""COMPUTED_VALUE"""),-0.576118701485971)</f>
        <v>-0.576118701485971</v>
      </c>
      <c r="CT16" s="3">
        <f ca="1">IFERROR(__xludf.DUMMYFUNCTION("""COMPUTED_VALUE"""),-0.549764688581297)</f>
        <v>-0.54976468858129701</v>
      </c>
      <c r="CU16" s="3">
        <f ca="1">IFERROR(__xludf.DUMMYFUNCTION("""COMPUTED_VALUE"""),-0.383445423759128)</f>
        <v>-0.38344542375912799</v>
      </c>
      <c r="CV16" s="3">
        <f ca="1">IFERROR(__xludf.DUMMYFUNCTION("""COMPUTED_VALUE"""),-0.447969270360825)</f>
        <v>-0.44796927036082501</v>
      </c>
      <c r="CW16" s="3">
        <f ca="1">IFERROR(__xludf.DUMMYFUNCTION("""COMPUTED_VALUE"""),-0.693207820875982)</f>
        <v>-0.69320782087598198</v>
      </c>
      <c r="CX16" s="3">
        <f ca="1">IFERROR(__xludf.DUMMYFUNCTION("""COMPUTED_VALUE"""),-0.515396707441606)</f>
        <v>-0.51539670744160604</v>
      </c>
      <c r="CY16" s="3">
        <f ca="1">IFERROR(__xludf.DUMMYFUNCTION("""COMPUTED_VALUE"""),-0.360222865651885)</f>
        <v>-0.36022286565188499</v>
      </c>
      <c r="CZ16" s="3">
        <f ca="1">IFERROR(__xludf.DUMMYFUNCTION("""COMPUTED_VALUE"""),-0.501037137220182)</f>
        <v>-0.50103713722018195</v>
      </c>
      <c r="DA16" s="3">
        <f ca="1">IFERROR(__xludf.DUMMYFUNCTION("""COMPUTED_VALUE"""),-0.500196255124818)</f>
        <v>-0.50019625512481802</v>
      </c>
      <c r="DB16" s="3">
        <f ca="1">IFERROR(__xludf.DUMMYFUNCTION("""COMPUTED_VALUE"""),-0.42093711250424)</f>
        <v>-0.42093711250423999</v>
      </c>
      <c r="DC16" s="3">
        <f ca="1">IFERROR(__xludf.DUMMYFUNCTION("""COMPUTED_VALUE"""),-0.521506980243572)</f>
        <v>-0.521506980243572</v>
      </c>
      <c r="DD16" s="3">
        <f ca="1">IFERROR(__xludf.DUMMYFUNCTION("""COMPUTED_VALUE"""),-0.794874734745035)</f>
        <v>-0.79487473474503501</v>
      </c>
      <c r="DE16" s="3">
        <f ca="1">IFERROR(__xludf.DUMMYFUNCTION("""COMPUTED_VALUE"""),-0.563900132606811)</f>
        <v>-0.56390013260681104</v>
      </c>
      <c r="DF16" s="3">
        <f ca="1">IFERROR(__xludf.DUMMYFUNCTION("""COMPUTED_VALUE"""),-0.380785996261032)</f>
        <v>-0.38078599626103199</v>
      </c>
      <c r="DG16" s="3">
        <f ca="1">IFERROR(__xludf.DUMMYFUNCTION("""COMPUTED_VALUE"""),-0.497301312371615)</f>
        <v>-0.49730131237161501</v>
      </c>
      <c r="DH16" s="3">
        <f ca="1">IFERROR(__xludf.DUMMYFUNCTION("""COMPUTED_VALUE"""),-0.57867554511557)</f>
        <v>-0.57867554511556996</v>
      </c>
      <c r="DI16" s="3">
        <f ca="1">IFERROR(__xludf.DUMMYFUNCTION("""COMPUTED_VALUE"""),-0.455136263700685)</f>
        <v>-0.455136263700685</v>
      </c>
      <c r="DJ16" s="3">
        <f ca="1">IFERROR(__xludf.DUMMYFUNCTION("""COMPUTED_VALUE"""),-0.462746478400668)</f>
        <v>-0.46274647840066802</v>
      </c>
      <c r="DK16" s="3">
        <f ca="1">IFERROR(__xludf.DUMMYFUNCTION("""COMPUTED_VALUE"""),-0.626388722074245)</f>
        <v>-0.62638872207424501</v>
      </c>
      <c r="DL16" s="3">
        <f ca="1">IFERROR(__xludf.DUMMYFUNCTION("""COMPUTED_VALUE"""),-0.598960938196452)</f>
        <v>-0.59896093819645202</v>
      </c>
      <c r="DM16" s="3">
        <f ca="1">IFERROR(__xludf.DUMMYFUNCTION("""COMPUTED_VALUE"""),-0.556635065719355)</f>
        <v>-0.55663506571935495</v>
      </c>
      <c r="DN16" s="3">
        <f ca="1">IFERROR(__xludf.DUMMYFUNCTION("""COMPUTED_VALUE"""),-0.605757108626902)</f>
        <v>-0.60575710862690202</v>
      </c>
      <c r="DO16" s="3">
        <f ca="1">IFERROR(__xludf.DUMMYFUNCTION("""COMPUTED_VALUE"""),-0.585353447111129)</f>
        <v>-0.58535344711112902</v>
      </c>
      <c r="DP16" s="3">
        <f ca="1">IFERROR(__xludf.DUMMYFUNCTION("""COMPUTED_VALUE"""),-0.418089278536023)</f>
        <v>-0.41808927853602301</v>
      </c>
      <c r="DQ16" s="3">
        <f ca="1">IFERROR(__xludf.DUMMYFUNCTION("""COMPUTED_VALUE"""),-0.51467694686979)</f>
        <v>-0.51467694686979004</v>
      </c>
      <c r="DR16" s="3">
        <f ca="1">IFERROR(__xludf.DUMMYFUNCTION("""COMPUTED_VALUE"""),-0.668158679897284)</f>
        <v>-0.66815867989728395</v>
      </c>
      <c r="DS16" s="3">
        <f ca="1">IFERROR(__xludf.DUMMYFUNCTION("""COMPUTED_VALUE"""),-0.692447592002815)</f>
        <v>-0.69244759200281503</v>
      </c>
      <c r="DT16" s="3">
        <f ca="1">IFERROR(__xludf.DUMMYFUNCTION("""COMPUTED_VALUE"""),-0.690415236492834)</f>
        <v>-0.69041523649283398</v>
      </c>
      <c r="DU16" s="3">
        <f ca="1">IFERROR(__xludf.DUMMYFUNCTION("""COMPUTED_VALUE"""),-0.683167050335794)</f>
        <v>-0.68316705033579395</v>
      </c>
      <c r="DV16" s="3">
        <f ca="1">IFERROR(__xludf.DUMMYFUNCTION("""COMPUTED_VALUE"""),-0.651615755567254)</f>
        <v>-0.65161575556725404</v>
      </c>
      <c r="DW16" s="3">
        <f ca="1">IFERROR(__xludf.DUMMYFUNCTION("""COMPUTED_VALUE"""),-0.481768670771589)</f>
        <v>-0.48176867077158902</v>
      </c>
      <c r="DX16" s="3">
        <f ca="1">IFERROR(__xludf.DUMMYFUNCTION("""COMPUTED_VALUE"""),-0.446082879019539)</f>
        <v>-0.44608287901953902</v>
      </c>
      <c r="DY16" s="3">
        <f ca="1">IFERROR(__xludf.DUMMYFUNCTION("""COMPUTED_VALUE"""),-0.596512936199981)</f>
        <v>-0.59651293619998103</v>
      </c>
      <c r="DZ16" s="3">
        <f ca="1">IFERROR(__xludf.DUMMYFUNCTION("""COMPUTED_VALUE"""),-0.591567206035504)</f>
        <v>-0.59156720603550395</v>
      </c>
      <c r="EA16" s="3">
        <f ca="1">IFERROR(__xludf.DUMMYFUNCTION("""COMPUTED_VALUE"""),-0.644945312867938)</f>
        <v>-0.64494531286793799</v>
      </c>
      <c r="EB16" s="3">
        <f ca="1">IFERROR(__xludf.DUMMYFUNCTION("""COMPUTED_VALUE"""),-0.57441233387553)</f>
        <v>-0.57441233387553003</v>
      </c>
      <c r="EC16" s="3">
        <f ca="1">IFERROR(__xludf.DUMMYFUNCTION("""COMPUTED_VALUE"""),-0.658977091011336)</f>
        <v>-0.65897709101133595</v>
      </c>
      <c r="ED16" s="3">
        <f ca="1">IFERROR(__xludf.DUMMYFUNCTION("""COMPUTED_VALUE"""),-0.42109875540997)</f>
        <v>-0.42109875540996999</v>
      </c>
      <c r="EE16" s="3">
        <f ca="1">IFERROR(__xludf.DUMMYFUNCTION("""COMPUTED_VALUE"""),-0.536635266408408)</f>
        <v>-0.53663526640840797</v>
      </c>
      <c r="EF16" s="3">
        <f ca="1">IFERROR(__xludf.DUMMYFUNCTION("""COMPUTED_VALUE"""),-0.708673692923079)</f>
        <v>-0.70867369292307902</v>
      </c>
      <c r="EG16" s="3">
        <f ca="1">IFERROR(__xludf.DUMMYFUNCTION("""COMPUTED_VALUE"""),-0.748045418692923)</f>
        <v>-0.74804541869292296</v>
      </c>
      <c r="EH16" s="3">
        <f ca="1">IFERROR(__xludf.DUMMYFUNCTION("""COMPUTED_VALUE"""),-0.696599542279826)</f>
        <v>-0.69659954227982601</v>
      </c>
      <c r="EI16" s="3">
        <f ca="1">IFERROR(__xludf.DUMMYFUNCTION("""COMPUTED_VALUE"""),-0.690417173280818)</f>
        <v>-0.69041717328081798</v>
      </c>
      <c r="EJ16" s="3">
        <f ca="1">IFERROR(__xludf.DUMMYFUNCTION("""COMPUTED_VALUE"""),-0.681949729311343)</f>
        <v>-0.68194972931134301</v>
      </c>
      <c r="EK16" s="3">
        <f ca="1">IFERROR(__xludf.DUMMYFUNCTION("""COMPUTED_VALUE"""),-0.521608637529658)</f>
        <v>-0.52160863752965803</v>
      </c>
      <c r="EL16" s="3">
        <f ca="1">IFERROR(__xludf.DUMMYFUNCTION("""COMPUTED_VALUE"""),-0.499619011929641)</f>
        <v>-0.49961901192964098</v>
      </c>
      <c r="EM16" s="3">
        <f ca="1">IFERROR(__xludf.DUMMYFUNCTION("""COMPUTED_VALUE"""),-0.592388679050039)</f>
        <v>-0.592388679050039</v>
      </c>
      <c r="EN16" s="3">
        <f ca="1">IFERROR(__xludf.DUMMYFUNCTION("""COMPUTED_VALUE"""),-0.580790400824875)</f>
        <v>-0.58079040082487499</v>
      </c>
      <c r="EO16" s="3">
        <f ca="1">IFERROR(__xludf.DUMMYFUNCTION("""COMPUTED_VALUE"""),-0.672314480060123)</f>
        <v>-0.67231448006012295</v>
      </c>
      <c r="EP16" s="3">
        <f ca="1">IFERROR(__xludf.DUMMYFUNCTION("""COMPUTED_VALUE"""),-0.701945040802726)</f>
        <v>-0.70194504080272602</v>
      </c>
      <c r="EQ16" s="3">
        <f ca="1">IFERROR(__xludf.DUMMYFUNCTION("""COMPUTED_VALUE"""),-0.605386609637211)</f>
        <v>-0.60538660963721103</v>
      </c>
      <c r="ER16" s="3">
        <f ca="1">IFERROR(__xludf.DUMMYFUNCTION("""COMPUTED_VALUE"""),-0.497676842309394)</f>
        <v>-0.49767684230939402</v>
      </c>
      <c r="ES16" s="3">
        <f ca="1">IFERROR(__xludf.DUMMYFUNCTION("""COMPUTED_VALUE"""),-0.480222961085785)</f>
        <v>-0.48022296108578499</v>
      </c>
      <c r="ET16" s="3">
        <f ca="1">IFERROR(__xludf.DUMMYFUNCTION("""COMPUTED_VALUE"""),-0.63636271226452)</f>
        <v>-0.63636271226452001</v>
      </c>
      <c r="EU16" s="3">
        <f ca="1">IFERROR(__xludf.DUMMYFUNCTION("""COMPUTED_VALUE"""),-0.673120035218809)</f>
        <v>-0.67312003521880903</v>
      </c>
      <c r="EV16" s="3">
        <f ca="1">IFERROR(__xludf.DUMMYFUNCTION("""COMPUTED_VALUE"""),-0.68100508589568)</f>
        <v>-0.68100508589567998</v>
      </c>
      <c r="EW16" s="3">
        <f ca="1">IFERROR(__xludf.DUMMYFUNCTION("""COMPUTED_VALUE"""),-0.657615480779329)</f>
        <v>-0.65761548077932896</v>
      </c>
      <c r="EX16" s="3">
        <f ca="1">IFERROR(__xludf.DUMMYFUNCTION("""COMPUTED_VALUE"""),-0.623986231216125)</f>
        <v>-0.62398623121612495</v>
      </c>
      <c r="EY16" s="3">
        <f ca="1">IFERROR(__xludf.DUMMYFUNCTION("""COMPUTED_VALUE"""),-0.464766363779067)</f>
        <v>-0.46476636377906699</v>
      </c>
      <c r="EZ16" s="3">
        <f ca="1">IFERROR(__xludf.DUMMYFUNCTION("""COMPUTED_VALUE"""),-0.471434762131473)</f>
        <v>-0.47143476213147301</v>
      </c>
      <c r="FA16" s="3">
        <f ca="1">IFERROR(__xludf.DUMMYFUNCTION("""COMPUTED_VALUE"""),-0.67192559420345)</f>
        <v>-0.67192559420344999</v>
      </c>
      <c r="FB16" s="3">
        <f ca="1">IFERROR(__xludf.DUMMYFUNCTION("""COMPUTED_VALUE"""),-0.665787307614521)</f>
        <v>-0.66578730761452098</v>
      </c>
      <c r="FC16" s="3">
        <f ca="1">IFERROR(__xludf.DUMMYFUNCTION("""COMPUTED_VALUE"""),-0.651636462713467)</f>
        <v>-0.65163646271346698</v>
      </c>
      <c r="FD16" s="3">
        <f ca="1">IFERROR(__xludf.DUMMYFUNCTION("""COMPUTED_VALUE"""),-0.551206343674782)</f>
        <v>-0.55120634367478205</v>
      </c>
      <c r="FE16" s="3">
        <f ca="1">IFERROR(__xludf.DUMMYFUNCTION("""COMPUTED_VALUE"""),-0.578839626336747)</f>
        <v>-0.57883962633674702</v>
      </c>
      <c r="FF16" s="3">
        <f ca="1">IFERROR(__xludf.DUMMYFUNCTION("""COMPUTED_VALUE"""),-0.447634303609916)</f>
        <v>-0.44763430360991602</v>
      </c>
      <c r="FG16" s="3">
        <f ca="1">IFERROR(__xludf.DUMMYFUNCTION("""COMPUTED_VALUE"""),-0.413609018220472)</f>
        <v>-0.41360901822047202</v>
      </c>
      <c r="FH16" s="3">
        <f ca="1">IFERROR(__xludf.DUMMYFUNCTION("""COMPUTED_VALUE"""),-0.6281942729372)</f>
        <v>-0.62819427293719998</v>
      </c>
      <c r="FI16" s="3">
        <f ca="1">IFERROR(__xludf.DUMMYFUNCTION("""COMPUTED_VALUE"""),-0.679725000936118)</f>
        <v>-0.67972500093611798</v>
      </c>
      <c r="FJ16" s="3">
        <f ca="1">IFERROR(__xludf.DUMMYFUNCTION("""COMPUTED_VALUE"""),-0.650729677734808)</f>
        <v>-0.65072967773480805</v>
      </c>
      <c r="FK16" s="3">
        <f ca="1">IFERROR(__xludf.DUMMYFUNCTION("""COMPUTED_VALUE"""),-0.63699615148667)</f>
        <v>-0.63699615148666999</v>
      </c>
      <c r="FL16" s="3">
        <f ca="1">IFERROR(__xludf.DUMMYFUNCTION("""COMPUTED_VALUE"""),-0.630600363072989)</f>
        <v>-0.63060036307298895</v>
      </c>
      <c r="FM16" s="3">
        <f ca="1">IFERROR(__xludf.DUMMYFUNCTION("""COMPUTED_VALUE"""),-0.456182531178516)</f>
        <v>-0.45618253117851598</v>
      </c>
      <c r="FN16" s="3">
        <f ca="1">IFERROR(__xludf.DUMMYFUNCTION("""COMPUTED_VALUE"""),-0.493942310862006)</f>
        <v>-0.49394231086200602</v>
      </c>
      <c r="FO16" s="3">
        <f ca="1">IFERROR(__xludf.DUMMYFUNCTION("""COMPUTED_VALUE"""),-0.64292866252506)</f>
        <v>-0.64292866252505998</v>
      </c>
      <c r="FP16" s="3">
        <f ca="1">IFERROR(__xludf.DUMMYFUNCTION("""COMPUTED_VALUE"""),-0.687496471874111)</f>
        <v>-0.687496471874111</v>
      </c>
      <c r="FQ16" s="3">
        <f ca="1">IFERROR(__xludf.DUMMYFUNCTION("""COMPUTED_VALUE"""),-0.690006238021451)</f>
        <v>-0.690006238021451</v>
      </c>
      <c r="FR16" s="3">
        <f ca="1">IFERROR(__xludf.DUMMYFUNCTION("""COMPUTED_VALUE"""),-0.661938272740104)</f>
        <v>-0.66193827274010397</v>
      </c>
      <c r="FS16" s="3">
        <f ca="1">IFERROR(__xludf.DUMMYFUNCTION("""COMPUTED_VALUE"""),-0.636863793031994)</f>
        <v>-0.63686379303199403</v>
      </c>
      <c r="FT16" s="3">
        <f ca="1">IFERROR(__xludf.DUMMYFUNCTION("""COMPUTED_VALUE"""),-0.48852368864083)</f>
        <v>-0.48852368864083001</v>
      </c>
      <c r="FU16" s="3">
        <f ca="1">IFERROR(__xludf.DUMMYFUNCTION("""COMPUTED_VALUE"""),-0.478526856750517)</f>
        <v>-0.47852685675051698</v>
      </c>
      <c r="FV16" s="3">
        <f ca="1">IFERROR(__xludf.DUMMYFUNCTION("""COMPUTED_VALUE"""),-0.620281506556502)</f>
        <v>-0.62028150655650205</v>
      </c>
      <c r="FW16" s="3">
        <f ca="1">IFERROR(__xludf.DUMMYFUNCTION("""COMPUTED_VALUE"""),-0.709922548727041)</f>
        <v>-0.70992254872704097</v>
      </c>
      <c r="FX16" s="3">
        <f ca="1">IFERROR(__xludf.DUMMYFUNCTION("""COMPUTED_VALUE"""),-0.655291774159093)</f>
        <v>-0.65529177415909301</v>
      </c>
      <c r="FY16" s="3">
        <f ca="1">IFERROR(__xludf.DUMMYFUNCTION("""COMPUTED_VALUE"""),-0.671527617321132)</f>
        <v>-0.67152761732113198</v>
      </c>
      <c r="FZ16" s="3">
        <f ca="1">IFERROR(__xludf.DUMMYFUNCTION("""COMPUTED_VALUE"""),-0.593192913471909)</f>
        <v>-0.59319291347190894</v>
      </c>
      <c r="GA16" s="3">
        <f ca="1">IFERROR(__xludf.DUMMYFUNCTION("""COMPUTED_VALUE"""),-0.451720314197548)</f>
        <v>-0.45172031419754799</v>
      </c>
      <c r="GB16" s="3">
        <f ca="1">IFERROR(__xludf.DUMMYFUNCTION("""COMPUTED_VALUE"""),-0.497711502922807)</f>
        <v>-0.49771150292280703</v>
      </c>
      <c r="GC16" s="3">
        <f ca="1">IFERROR(__xludf.DUMMYFUNCTION("""COMPUTED_VALUE"""),-0.66219072497406)</f>
        <v>-0.66219072497405995</v>
      </c>
      <c r="GD16" s="3">
        <f ca="1">IFERROR(__xludf.DUMMYFUNCTION("""COMPUTED_VALUE"""),-0.653053869854144)</f>
        <v>-0.65305386985414404</v>
      </c>
      <c r="GE16" s="3">
        <f ca="1">IFERROR(__xludf.DUMMYFUNCTION("""COMPUTED_VALUE"""),-0.619338804148495)</f>
        <v>-0.61933880414849496</v>
      </c>
      <c r="GF16" s="3">
        <f ca="1">IFERROR(__xludf.DUMMYFUNCTION("""COMPUTED_VALUE"""),-0.648455407351593)</f>
        <v>-0.64845540735159302</v>
      </c>
      <c r="GG16" s="3">
        <f ca="1">IFERROR(__xludf.DUMMYFUNCTION("""COMPUTED_VALUE"""),-0.589941869928093)</f>
        <v>-0.58994186992809305</v>
      </c>
      <c r="GH16" s="3">
        <f ca="1">IFERROR(__xludf.DUMMYFUNCTION("""COMPUTED_VALUE"""),-0.510883158605327)</f>
        <v>-0.51088315860532696</v>
      </c>
      <c r="GI16" s="3">
        <f ca="1">IFERROR(__xludf.DUMMYFUNCTION("""COMPUTED_VALUE"""),-0.509636178520614)</f>
        <v>-0.50963617852061405</v>
      </c>
      <c r="GJ16" s="3">
        <f ca="1">IFERROR(__xludf.DUMMYFUNCTION("""COMPUTED_VALUE"""),-0.587577531027922)</f>
        <v>-0.58757753102792198</v>
      </c>
      <c r="GK16" s="3">
        <f ca="1">IFERROR(__xludf.DUMMYFUNCTION("""COMPUTED_VALUE"""),-0.641243049263279)</f>
        <v>-0.64124304926327902</v>
      </c>
      <c r="GL16" s="3">
        <f ca="1">IFERROR(__xludf.DUMMYFUNCTION("""COMPUTED_VALUE"""),-0.645924244043119)</f>
        <v>-0.64592424404311899</v>
      </c>
      <c r="GM16" s="3">
        <f ca="1">IFERROR(__xludf.DUMMYFUNCTION("""COMPUTED_VALUE"""),-0.685727608086782)</f>
        <v>-0.68572760808678201</v>
      </c>
      <c r="GN16" s="3">
        <f ca="1">IFERROR(__xludf.DUMMYFUNCTION("""COMPUTED_VALUE"""),-0.6343196049046)</f>
        <v>-0.63431960490460004</v>
      </c>
      <c r="GO16" s="3">
        <f ca="1">IFERROR(__xludf.DUMMYFUNCTION("""COMPUTED_VALUE"""),-0.422053781511119)</f>
        <v>-0.422053781511119</v>
      </c>
      <c r="GP16" s="3">
        <f ca="1">IFERROR(__xludf.DUMMYFUNCTION("""COMPUTED_VALUE"""),-0.489018742926868)</f>
        <v>-0.48901874292686798</v>
      </c>
      <c r="GQ16" s="3">
        <f ca="1">IFERROR(__xludf.DUMMYFUNCTION("""COMPUTED_VALUE"""),-0.603523420105109)</f>
        <v>-0.60352342010510895</v>
      </c>
      <c r="GR16" s="3">
        <f ca="1">IFERROR(__xludf.DUMMYFUNCTION("""COMPUTED_VALUE"""),-0.65972939677241)</f>
        <v>-0.65972939677241005</v>
      </c>
      <c r="GS16" s="3">
        <f ca="1">IFERROR(__xludf.DUMMYFUNCTION("""COMPUTED_VALUE"""),-0.631376936317307)</f>
        <v>-0.63137693631730696</v>
      </c>
      <c r="GT16" s="3">
        <f ca="1">IFERROR(__xludf.DUMMYFUNCTION("""COMPUTED_VALUE"""),-0.667461788475649)</f>
        <v>-0.66746178847564896</v>
      </c>
      <c r="GU16" s="3">
        <f ca="1">IFERROR(__xludf.DUMMYFUNCTION("""COMPUTED_VALUE"""),-0.61837246621664)</f>
        <v>-0.61837246621663999</v>
      </c>
      <c r="GV16" s="3">
        <f ca="1">IFERROR(__xludf.DUMMYFUNCTION("""COMPUTED_VALUE"""),-0.382849381398787)</f>
        <v>-0.38284938139878699</v>
      </c>
      <c r="GW16" s="3">
        <f ca="1">IFERROR(__xludf.DUMMYFUNCTION("""COMPUTED_VALUE"""),-0.418530616346627)</f>
        <v>-0.41853061634662703</v>
      </c>
      <c r="GX16" s="3">
        <f ca="1">IFERROR(__xludf.DUMMYFUNCTION("""COMPUTED_VALUE"""),-0.59830154396822)</f>
        <v>-0.59830154396822</v>
      </c>
      <c r="GY16" s="3">
        <f ca="1">IFERROR(__xludf.DUMMYFUNCTION("""COMPUTED_VALUE"""),-0.655304392567671)</f>
        <v>-0.65530439256767103</v>
      </c>
      <c r="GZ16" s="3">
        <f ca="1">IFERROR(__xludf.DUMMYFUNCTION("""COMPUTED_VALUE"""),-0.623381472115869)</f>
        <v>-0.62338147211586903</v>
      </c>
      <c r="HA16" s="3">
        <f ca="1">IFERROR(__xludf.DUMMYFUNCTION("""COMPUTED_VALUE"""),-0.61676476336609)</f>
        <v>-0.61676476336608999</v>
      </c>
      <c r="HB16" s="3">
        <f ca="1">IFERROR(__xludf.DUMMYFUNCTION("""COMPUTED_VALUE"""),-0.619365724372013)</f>
        <v>-0.61936572437201298</v>
      </c>
      <c r="HC16" s="3">
        <f ca="1">IFERROR(__xludf.DUMMYFUNCTION("""COMPUTED_VALUE"""),-0.448066879779845)</f>
        <v>-0.448066879779845</v>
      </c>
      <c r="HD16" s="3">
        <f ca="1">IFERROR(__xludf.DUMMYFUNCTION("""COMPUTED_VALUE"""),-0.423649449227442)</f>
        <v>-0.42364944922744202</v>
      </c>
      <c r="HE16" s="3">
        <f ca="1">IFERROR(__xludf.DUMMYFUNCTION("""COMPUTED_VALUE"""),-0.602190695514364)</f>
        <v>-0.60219069551436399</v>
      </c>
      <c r="HF16" s="3">
        <f ca="1">IFERROR(__xludf.DUMMYFUNCTION("""COMPUTED_VALUE"""),-0.630273107163261)</f>
        <v>-0.63027310716326101</v>
      </c>
      <c r="HG16" s="3">
        <f ca="1">IFERROR(__xludf.DUMMYFUNCTION("""COMPUTED_VALUE"""),-0.579949260743846)</f>
        <v>-0.57994926074384601</v>
      </c>
      <c r="HH16" s="3">
        <f ca="1">IFERROR(__xludf.DUMMYFUNCTION("""COMPUTED_VALUE"""),-0.638363056240986)</f>
        <v>-0.63836305624098599</v>
      </c>
      <c r="HI16" s="3">
        <f ca="1">IFERROR(__xludf.DUMMYFUNCTION("""COMPUTED_VALUE"""),-0.718918238779109)</f>
        <v>-0.71891823877910899</v>
      </c>
      <c r="HJ16" s="3">
        <f ca="1">IFERROR(__xludf.DUMMYFUNCTION("""COMPUTED_VALUE"""),-0.391499186179303)</f>
        <v>-0.39149918617930302</v>
      </c>
      <c r="HK16" s="3">
        <f ca="1">IFERROR(__xludf.DUMMYFUNCTION("""COMPUTED_VALUE"""),-0.356582314531902)</f>
        <v>-0.35658231453190198</v>
      </c>
      <c r="HL16" s="3">
        <f ca="1">IFERROR(__xludf.DUMMYFUNCTION("""COMPUTED_VALUE"""),-0.576918344876975)</f>
        <v>-0.57691834487697502</v>
      </c>
      <c r="HM16" s="3">
        <f ca="1">IFERROR(__xludf.DUMMYFUNCTION("""COMPUTED_VALUE"""),-0.614262410992163)</f>
        <v>-0.61426241099216305</v>
      </c>
      <c r="HN16" s="3">
        <f ca="1">IFERROR(__xludf.DUMMYFUNCTION("""COMPUTED_VALUE"""),-0.640346218649951)</f>
        <v>-0.640346218649951</v>
      </c>
      <c r="HO16" s="3">
        <f ca="1">IFERROR(__xludf.DUMMYFUNCTION("""COMPUTED_VALUE"""),-0.628690735253496)</f>
        <v>-0.62869073525349595</v>
      </c>
      <c r="HP16" s="3">
        <f ca="1">IFERROR(__xludf.DUMMYFUNCTION("""COMPUTED_VALUE"""),-0.523744912058554)</f>
        <v>-0.523744912058554</v>
      </c>
      <c r="HQ16" s="3">
        <f ca="1">IFERROR(__xludf.DUMMYFUNCTION("""COMPUTED_VALUE"""),-0.341696871045792)</f>
        <v>-0.34169687104579199</v>
      </c>
      <c r="HR16" s="3">
        <f ca="1">IFERROR(__xludf.DUMMYFUNCTION("""COMPUTED_VALUE"""),-0.424625766238125)</f>
        <v>-0.42462576623812498</v>
      </c>
      <c r="HS16" s="3">
        <f ca="1">IFERROR(__xludf.DUMMYFUNCTION("""COMPUTED_VALUE"""),-0.630221537740167)</f>
        <v>-0.63022153774016698</v>
      </c>
      <c r="HT16" s="3">
        <f ca="1">IFERROR(__xludf.DUMMYFUNCTION("""COMPUTED_VALUE"""),-0.600940427320059)</f>
        <v>-0.60094042732005903</v>
      </c>
      <c r="HU16" s="3">
        <f ca="1">IFERROR(__xludf.DUMMYFUNCTION("""COMPUTED_VALUE"""),-0.587366872596342)</f>
        <v>-0.58736687259634202</v>
      </c>
      <c r="HV16" s="3">
        <f ca="1">IFERROR(__xludf.DUMMYFUNCTION("""COMPUTED_VALUE"""),-0.597659420088711)</f>
        <v>-0.59765942008871098</v>
      </c>
      <c r="HW16" s="3">
        <f ca="1">IFERROR(__xludf.DUMMYFUNCTION("""COMPUTED_VALUE"""),-0.460766079715436)</f>
        <v>-0.46076607971543598</v>
      </c>
      <c r="HX16" s="3">
        <f ca="1">IFERROR(__xludf.DUMMYFUNCTION("""COMPUTED_VALUE"""),-0.288214010047002)</f>
        <v>-0.28821401004700198</v>
      </c>
      <c r="HY16" s="3">
        <f ca="1">IFERROR(__xludf.DUMMYFUNCTION("""COMPUTED_VALUE"""),-0.361016727469696)</f>
        <v>-0.36101672746969599</v>
      </c>
      <c r="HZ16" s="3">
        <f ca="1">IFERROR(__xludf.DUMMYFUNCTION("""COMPUTED_VALUE"""),-0.609298320163348)</f>
        <v>-0.60929832016334795</v>
      </c>
      <c r="IA16" s="3">
        <f ca="1">IFERROR(__xludf.DUMMYFUNCTION("""COMPUTED_VALUE"""),-0.600893645537404)</f>
        <v>-0.60089364553740399</v>
      </c>
      <c r="IB16" s="3">
        <f ca="1">IFERROR(__xludf.DUMMYFUNCTION("""COMPUTED_VALUE"""),-0.614316302848605)</f>
        <v>-0.61431630284860494</v>
      </c>
      <c r="IC16" s="3">
        <f ca="1">IFERROR(__xludf.DUMMYFUNCTION("""COMPUTED_VALUE"""),-0.588302041543416)</f>
        <v>-0.58830204154341603</v>
      </c>
      <c r="ID16" s="3">
        <f ca="1">IFERROR(__xludf.DUMMYFUNCTION("""COMPUTED_VALUE"""),-0.606457856548379)</f>
        <v>-0.60645785654837903</v>
      </c>
      <c r="IE16" s="3">
        <f ca="1">IFERROR(__xludf.DUMMYFUNCTION("""COMPUTED_VALUE"""),-0.51940513612194)</f>
        <v>-0.51940513612193995</v>
      </c>
      <c r="IF16" s="3">
        <f ca="1">IFERROR(__xludf.DUMMYFUNCTION("""COMPUTED_VALUE"""),-0.399234113752782)</f>
        <v>-0.399234113752782</v>
      </c>
      <c r="IG16" s="3">
        <f ca="1">IFERROR(__xludf.DUMMYFUNCTION("""COMPUTED_VALUE"""),-0.568542812529484)</f>
        <v>-0.56854281252948402</v>
      </c>
      <c r="IH16" s="3">
        <f ca="1">IFERROR(__xludf.DUMMYFUNCTION("""COMPUTED_VALUE"""),-0.601449716319753)</f>
        <v>-0.60144971631975297</v>
      </c>
      <c r="II16" s="3">
        <f ca="1">IFERROR(__xludf.DUMMYFUNCTION("""COMPUTED_VALUE"""),-0.542017606108276)</f>
        <v>-0.54201760610827598</v>
      </c>
      <c r="IJ16" s="3">
        <f ca="1">IFERROR(__xludf.DUMMYFUNCTION("""COMPUTED_VALUE"""),-0.580907562438764)</f>
        <v>-0.58090756243876396</v>
      </c>
      <c r="IK16" s="3">
        <f ca="1">IFERROR(__xludf.DUMMYFUNCTION("""COMPUTED_VALUE"""),-0.549630639051701)</f>
        <v>-0.54963063905170095</v>
      </c>
      <c r="IL16" s="3">
        <f ca="1">IFERROR(__xludf.DUMMYFUNCTION("""COMPUTED_VALUE"""),-0.45340206300356)</f>
        <v>-0.45340206300356001</v>
      </c>
      <c r="IM16" s="3">
        <f ca="1">IFERROR(__xludf.DUMMYFUNCTION("""COMPUTED_VALUE"""),-0.392226720894685)</f>
        <v>-0.39222672089468502</v>
      </c>
      <c r="IN16" s="3">
        <f ca="1">IFERROR(__xludf.DUMMYFUNCTION("""COMPUTED_VALUE"""),-0.505678083284063)</f>
        <v>-0.50567808328406305</v>
      </c>
      <c r="IO16" s="3">
        <f ca="1">IFERROR(__xludf.DUMMYFUNCTION("""COMPUTED_VALUE"""),-0.55135540915653)</f>
        <v>-0.55135540915653003</v>
      </c>
      <c r="IP16" s="3">
        <f ca="1">IFERROR(__xludf.DUMMYFUNCTION("""COMPUTED_VALUE"""),-0.534114970019075)</f>
        <v>-0.53411497001907504</v>
      </c>
      <c r="IQ16" s="3">
        <f ca="1">IFERROR(__xludf.DUMMYFUNCTION("""COMPUTED_VALUE"""),-0.545514271494638)</f>
        <v>-0.54551427149463805</v>
      </c>
      <c r="IR16" s="3">
        <f ca="1">IFERROR(__xludf.DUMMYFUNCTION("""COMPUTED_VALUE"""),-0.568010731804279)</f>
        <v>-0.56801073180427897</v>
      </c>
      <c r="IS16" s="3">
        <f ca="1">IFERROR(__xludf.DUMMYFUNCTION("""COMPUTED_VALUE"""),-0.51974486458316)</f>
        <v>-0.51974486458316005</v>
      </c>
      <c r="IT16" s="3">
        <f ca="1">IFERROR(__xludf.DUMMYFUNCTION("""COMPUTED_VALUE"""),-0.43823432408283)</f>
        <v>-0.43823432408282997</v>
      </c>
      <c r="IU16" s="3">
        <f ca="1">IFERROR(__xludf.DUMMYFUNCTION("""COMPUTED_VALUE"""),-0.460389522583747)</f>
        <v>-0.46038952258374699</v>
      </c>
      <c r="IV16" s="3">
        <f ca="1">IFERROR(__xludf.DUMMYFUNCTION("""COMPUTED_VALUE"""),-0.502883550705533)</f>
        <v>-0.50288355070553303</v>
      </c>
      <c r="IW16" s="3">
        <f ca="1">IFERROR(__xludf.DUMMYFUNCTION("""COMPUTED_VALUE"""),-0.502726814738315)</f>
        <v>-0.50272681473831504</v>
      </c>
      <c r="IX16" s="3">
        <f ca="1">IFERROR(__xludf.DUMMYFUNCTION("""COMPUTED_VALUE"""),-0.480190543726332)</f>
        <v>-0.48019054372633202</v>
      </c>
      <c r="IY16" s="3">
        <f ca="1">IFERROR(__xludf.DUMMYFUNCTION("""COMPUTED_VALUE"""),-0.511261419098425)</f>
        <v>-0.51126141909842504</v>
      </c>
      <c r="IZ16" s="3">
        <f ca="1">IFERROR(__xludf.DUMMYFUNCTION("""COMPUTED_VALUE"""),-0.437204475524147)</f>
        <v>-0.43720447552414698</v>
      </c>
      <c r="JA16" s="3">
        <f ca="1">IFERROR(__xludf.DUMMYFUNCTION("""COMPUTED_VALUE"""),-0.418357535746676)</f>
        <v>-0.418357535746676</v>
      </c>
      <c r="JB16" s="3">
        <f ca="1">IFERROR(__xludf.DUMMYFUNCTION("""COMPUTED_VALUE"""),-0.506904833404456)</f>
        <v>-0.50690483340445602</v>
      </c>
      <c r="JC16" s="3">
        <f ca="1">IFERROR(__xludf.DUMMYFUNCTION("""COMPUTED_VALUE"""),-0.551482632232442)</f>
        <v>-0.55148263223244198</v>
      </c>
      <c r="JD16" s="3">
        <f ca="1">IFERROR(__xludf.DUMMYFUNCTION("""COMPUTED_VALUE"""),-0.512534721889024)</f>
        <v>-0.51253472188902405</v>
      </c>
      <c r="JE16" s="3">
        <f ca="1">IFERROR(__xludf.DUMMYFUNCTION("""COMPUTED_VALUE"""),-0.495867569333732)</f>
        <v>-0.49586756933373199</v>
      </c>
      <c r="JF16" s="3">
        <f ca="1">IFERROR(__xludf.DUMMYFUNCTION("""COMPUTED_VALUE"""),-0.480709581366856)</f>
        <v>-0.48070958136685599</v>
      </c>
      <c r="JG16" s="3">
        <f ca="1">IFERROR(__xludf.DUMMYFUNCTION("""COMPUTED_VALUE"""),-0.43844497947566)</f>
        <v>-0.43844497947566002</v>
      </c>
      <c r="JH16" s="3">
        <f ca="1">IFERROR(__xludf.DUMMYFUNCTION("""COMPUTED_VALUE"""),-0.423079719180743)</f>
        <v>-0.423079719180743</v>
      </c>
      <c r="JI16" s="3">
        <f ca="1">IFERROR(__xludf.DUMMYFUNCTION("""COMPUTED_VALUE"""),-0.468109986212726)</f>
        <v>-0.46810998621272598</v>
      </c>
      <c r="JJ16" s="3">
        <f ca="1">IFERROR(__xludf.DUMMYFUNCTION("""COMPUTED_VALUE"""),-0.487737162194114)</f>
        <v>-0.487737162194114</v>
      </c>
      <c r="JK16" s="3">
        <f ca="1">IFERROR(__xludf.DUMMYFUNCTION("""COMPUTED_VALUE"""),-0.436670490801752)</f>
        <v>-0.43667049080175202</v>
      </c>
      <c r="JL16" s="3">
        <f ca="1">IFERROR(__xludf.DUMMYFUNCTION("""COMPUTED_VALUE"""),-0.467034174728623)</f>
        <v>-0.46703417472862302</v>
      </c>
      <c r="JM16" s="3">
        <f ca="1">IFERROR(__xludf.DUMMYFUNCTION("""COMPUTED_VALUE"""),-0.425431874541881)</f>
        <v>-0.42543187454188103</v>
      </c>
      <c r="JN16" s="3">
        <f ca="1">IFERROR(__xludf.DUMMYFUNCTION("""COMPUTED_VALUE"""),-0.42930526595687)</f>
        <v>-0.42930526595687002</v>
      </c>
      <c r="JO16" s="3">
        <f ca="1">IFERROR(__xludf.DUMMYFUNCTION("""COMPUTED_VALUE"""),-0.406721286068369)</f>
        <v>-0.40672128606836899</v>
      </c>
      <c r="JP16" s="3">
        <f ca="1">IFERROR(__xludf.DUMMYFUNCTION("""COMPUTED_VALUE"""),-0.443338990175556)</f>
        <v>-0.443338990175556</v>
      </c>
      <c r="JQ16" s="3">
        <f ca="1">IFERROR(__xludf.DUMMYFUNCTION("""COMPUTED_VALUE"""),-0.379409556886293)</f>
        <v>-0.37940955688629302</v>
      </c>
      <c r="JR16" s="3">
        <f ca="1">IFERROR(__xludf.DUMMYFUNCTION("""COMPUTED_VALUE"""),-0.498342027699157)</f>
        <v>-0.49834202769915698</v>
      </c>
      <c r="JS16" s="3">
        <f ca="1">IFERROR(__xludf.DUMMYFUNCTION("""COMPUTED_VALUE"""),-0.474830997039268)</f>
        <v>-0.47483099703926801</v>
      </c>
      <c r="JT16" s="3">
        <f ca="1">IFERROR(__xludf.DUMMYFUNCTION("""COMPUTED_VALUE"""),-0.438172272579412)</f>
        <v>-0.43817227257941199</v>
      </c>
      <c r="JU16" s="3">
        <f ca="1">IFERROR(__xludf.DUMMYFUNCTION("""COMPUTED_VALUE"""),-0.416754624984416)</f>
        <v>-0.41675462498441601</v>
      </c>
      <c r="JV16" s="3">
        <f ca="1">IFERROR(__xludf.DUMMYFUNCTION("""COMPUTED_VALUE"""),-0.419908023920965)</f>
        <v>-0.41990802392096499</v>
      </c>
      <c r="JW16" s="3">
        <f ca="1">IFERROR(__xludf.DUMMYFUNCTION("""COMPUTED_VALUE"""),-0.322793316756372)</f>
        <v>-0.32279331675637202</v>
      </c>
      <c r="JX16" s="3">
        <f ca="1">IFERROR(__xludf.DUMMYFUNCTION("""COMPUTED_VALUE"""),-0.321764939592904)</f>
        <v>-0.32176493959290398</v>
      </c>
      <c r="JY16" s="3">
        <f ca="1">IFERROR(__xludf.DUMMYFUNCTION("""COMPUTED_VALUE"""),-0.433868008059101)</f>
        <v>-0.43386800805910097</v>
      </c>
      <c r="JZ16" s="3">
        <f ca="1">IFERROR(__xludf.DUMMYFUNCTION("""COMPUTED_VALUE"""),-0.455560389759554)</f>
        <v>-0.45556038975955399</v>
      </c>
      <c r="KA16" s="3">
        <f ca="1">IFERROR(__xludf.DUMMYFUNCTION("""COMPUTED_VALUE"""),-0.447481708869484)</f>
        <v>-0.44748170886948402</v>
      </c>
      <c r="KB16" s="3">
        <f ca="1">IFERROR(__xludf.DUMMYFUNCTION("""COMPUTED_VALUE"""),-0.330032800196188)</f>
        <v>-0.33003280019618803</v>
      </c>
      <c r="KC16" s="3">
        <f ca="1">IFERROR(__xludf.DUMMYFUNCTION("""COMPUTED_VALUE"""),-0.457943100626078)</f>
        <v>-0.45794310062607801</v>
      </c>
      <c r="KD16" s="3">
        <f ca="1">IFERROR(__xludf.DUMMYFUNCTION("""COMPUTED_VALUE"""),-0.427105210829211)</f>
        <v>-0.42710521082921099</v>
      </c>
      <c r="KE16" s="3">
        <f ca="1">IFERROR(__xludf.DUMMYFUNCTION("""COMPUTED_VALUE"""),-0.369795360144482)</f>
        <v>-0.369795360144482</v>
      </c>
      <c r="KF16" s="3">
        <f ca="1">IFERROR(__xludf.DUMMYFUNCTION("""COMPUTED_VALUE"""),-0.528830695351885)</f>
        <v>-0.52883069535188498</v>
      </c>
      <c r="KG16" s="3">
        <f ca="1">IFERROR(__xludf.DUMMYFUNCTION("""COMPUTED_VALUE"""),-0.476034124892123)</f>
        <v>-0.47603412489212299</v>
      </c>
      <c r="KH16" s="3">
        <f ca="1">IFERROR(__xludf.DUMMYFUNCTION("""COMPUTED_VALUE"""),-0.494869352545582)</f>
        <v>-0.49486935254558201</v>
      </c>
      <c r="KI16" s="3">
        <f ca="1">IFERROR(__xludf.DUMMYFUNCTION("""COMPUTED_VALUE"""),-0.358973039279315)</f>
        <v>-0.35897303927931501</v>
      </c>
      <c r="KJ16" s="3">
        <f ca="1">IFERROR(__xludf.DUMMYFUNCTION("""COMPUTED_VALUE"""),-0.454462280056283)</f>
        <v>-0.45446228005628297</v>
      </c>
      <c r="KK16" s="3">
        <f ca="1">IFERROR(__xludf.DUMMYFUNCTION("""COMPUTED_VALUE"""),-0.477733902484788)</f>
        <v>-0.47773390248478798</v>
      </c>
      <c r="KL16" s="3">
        <f ca="1">IFERROR(__xludf.DUMMYFUNCTION("""COMPUTED_VALUE"""),-0.455319809518887)</f>
        <v>-0.45531980951888701</v>
      </c>
      <c r="KM16" s="3">
        <f ca="1">IFERROR(__xludf.DUMMYFUNCTION("""COMPUTED_VALUE"""),-0.502089335682297)</f>
        <v>-0.50208933568229697</v>
      </c>
      <c r="KN16" s="3">
        <f ca="1">IFERROR(__xludf.DUMMYFUNCTION("""COMPUTED_VALUE"""),-0.477843329493627)</f>
        <v>-0.47784332949362701</v>
      </c>
      <c r="KO16" s="3">
        <f ca="1">IFERROR(__xludf.DUMMYFUNCTION("""COMPUTED_VALUE"""),-0.467445754455352)</f>
        <v>-0.46744575445535202</v>
      </c>
      <c r="KP16" s="3">
        <f ca="1">IFERROR(__xludf.DUMMYFUNCTION("""COMPUTED_VALUE"""),-0.186174461858614)</f>
        <v>-0.186174461858614</v>
      </c>
      <c r="KQ16" s="3">
        <f ca="1">IFERROR(__xludf.DUMMYFUNCTION("""COMPUTED_VALUE"""),-0.353414308995105)</f>
        <v>-0.35341430899510501</v>
      </c>
      <c r="KR16" s="3">
        <f ca="1">IFERROR(__xludf.DUMMYFUNCTION("""COMPUTED_VALUE"""),-0.535411265689511)</f>
        <v>-0.53541126568951103</v>
      </c>
      <c r="KS16" s="3">
        <f ca="1">IFERROR(__xludf.DUMMYFUNCTION("""COMPUTED_VALUE"""),-0.489011146164311)</f>
        <v>-0.48901114616431102</v>
      </c>
      <c r="KT16" s="3">
        <f ca="1">IFERROR(__xludf.DUMMYFUNCTION("""COMPUTED_VALUE"""),-0.534013437279545)</f>
        <v>-0.53401343727954498</v>
      </c>
      <c r="KU16" s="3">
        <f ca="1">IFERROR(__xludf.DUMMYFUNCTION("""COMPUTED_VALUE"""),-0.559396685006271)</f>
        <v>-0.55939668500627104</v>
      </c>
      <c r="KV16" s="3">
        <f ca="1">IFERROR(__xludf.DUMMYFUNCTION("""COMPUTED_VALUE"""),-0.519429899552432)</f>
        <v>-0.51942989955243202</v>
      </c>
      <c r="KW16" s="3">
        <f ca="1">IFERROR(__xludf.DUMMYFUNCTION("""COMPUTED_VALUE"""),-0.402863684467763)</f>
        <v>-0.40286368446776299</v>
      </c>
      <c r="KX16" s="3">
        <f ca="1">IFERROR(__xludf.DUMMYFUNCTION("""COMPUTED_VALUE"""),-0.405176475828881)</f>
        <v>-0.405176475828881</v>
      </c>
      <c r="KY16" s="3">
        <f ca="1">IFERROR(__xludf.DUMMYFUNCTION("""COMPUTED_VALUE"""),-0.570874934187032)</f>
        <v>-0.57087493418703195</v>
      </c>
      <c r="KZ16" s="3">
        <f ca="1">IFERROR(__xludf.DUMMYFUNCTION("""COMPUTED_VALUE"""),-0.557660502241062)</f>
        <v>-0.55766050224106201</v>
      </c>
      <c r="LA16" s="3">
        <f ca="1">IFERROR(__xludf.DUMMYFUNCTION("""COMPUTED_VALUE"""),-0.551582023778023)</f>
        <v>-0.55158202377802301</v>
      </c>
      <c r="LB16" s="3">
        <f ca="1">IFERROR(__xludf.DUMMYFUNCTION("""COMPUTED_VALUE"""),-0.557848697645329)</f>
        <v>-0.55784869764532896</v>
      </c>
      <c r="LC16" s="3">
        <f ca="1">IFERROR(__xludf.DUMMYFUNCTION("""COMPUTED_VALUE"""),-0.477589664199878)</f>
        <v>-0.47758966419987797</v>
      </c>
      <c r="LD16" s="3">
        <f ca="1">IFERROR(__xludf.DUMMYFUNCTION("""COMPUTED_VALUE"""),-0.361570811493054)</f>
        <v>-0.36157081149305398</v>
      </c>
      <c r="LE16" s="3">
        <f ca="1">IFERROR(__xludf.DUMMYFUNCTION("""COMPUTED_VALUE"""),-0.406682845461404)</f>
        <v>-0.40668284546140399</v>
      </c>
      <c r="LF16" s="3">
        <f ca="1">IFERROR(__xludf.DUMMYFUNCTION("""COMPUTED_VALUE"""),-0.595701120000397)</f>
        <v>-0.59570112000039699</v>
      </c>
      <c r="LG16" s="3">
        <f ca="1">IFERROR(__xludf.DUMMYFUNCTION("""COMPUTED_VALUE"""),-0.596342732760603)</f>
        <v>-0.59634273276060301</v>
      </c>
      <c r="LH16" s="3">
        <f ca="1">IFERROR(__xludf.DUMMYFUNCTION("""COMPUTED_VALUE"""),-0.556984647555504)</f>
        <v>-0.55698464755550403</v>
      </c>
      <c r="LI16" s="3">
        <f ca="1">IFERROR(__xludf.DUMMYFUNCTION("""COMPUTED_VALUE"""),-0.588531990272542)</f>
        <v>-0.58853199027254199</v>
      </c>
      <c r="LJ16" s="3">
        <f ca="1">IFERROR(__xludf.DUMMYFUNCTION("""COMPUTED_VALUE"""),-0.649506797419732)</f>
        <v>-0.64950679741973205</v>
      </c>
      <c r="LK16" s="3">
        <f ca="1">IFERROR(__xludf.DUMMYFUNCTION("""COMPUTED_VALUE"""),-0.407754857385555)</f>
        <v>-0.407754857385555</v>
      </c>
      <c r="LL16" s="3">
        <f ca="1">IFERROR(__xludf.DUMMYFUNCTION("""COMPUTED_VALUE"""),-0.489650982948902)</f>
        <v>-0.48965098294890202</v>
      </c>
      <c r="LM16" s="3">
        <f ca="1">IFERROR(__xludf.DUMMYFUNCTION("""COMPUTED_VALUE"""),-0.645164219949375)</f>
        <v>-0.64516421994937501</v>
      </c>
      <c r="LN16" s="3">
        <f ca="1">IFERROR(__xludf.DUMMYFUNCTION("""COMPUTED_VALUE"""),-0.610842782905582)</f>
        <v>-0.61084278290558203</v>
      </c>
      <c r="LO16" s="3">
        <f ca="1">IFERROR(__xludf.DUMMYFUNCTION("""COMPUTED_VALUE"""),-0.639571901970503)</f>
        <v>-0.63957190197050295</v>
      </c>
      <c r="LP16" s="3">
        <f ca="1">IFERROR(__xludf.DUMMYFUNCTION("""COMPUTED_VALUE"""),-0.667637708024454)</f>
        <v>-0.66763770802445399</v>
      </c>
      <c r="LQ16" s="3">
        <f ca="1">IFERROR(__xludf.DUMMYFUNCTION("""COMPUTED_VALUE"""),-0.585634407297642)</f>
        <v>-0.58563440729764205</v>
      </c>
      <c r="LR16" s="3">
        <f ca="1">IFERROR(__xludf.DUMMYFUNCTION("""COMPUTED_VALUE"""),-0.454926453290057)</f>
        <v>-0.45492645329005699</v>
      </c>
      <c r="LS16" s="3">
        <f ca="1">IFERROR(__xludf.DUMMYFUNCTION("""COMPUTED_VALUE"""),-0.495928888246595)</f>
        <v>-0.49592888824659498</v>
      </c>
      <c r="LT16" s="3">
        <f ca="1">IFERROR(__xludf.DUMMYFUNCTION("""COMPUTED_VALUE"""),-0.654233372102303)</f>
        <v>-0.65423337210230303</v>
      </c>
      <c r="LU16" s="3">
        <f ca="1">IFERROR(__xludf.DUMMYFUNCTION("""COMPUTED_VALUE"""),-0.699945480193284)</f>
        <v>-0.69994548019328395</v>
      </c>
      <c r="LV16" s="3">
        <f ca="1">IFERROR(__xludf.DUMMYFUNCTION("""COMPUTED_VALUE"""),-0.695933864085832)</f>
        <v>-0.69593386408583202</v>
      </c>
      <c r="LW16" s="3">
        <f ca="1">IFERROR(__xludf.DUMMYFUNCTION("""COMPUTED_VALUE"""),-0.723841677963918)</f>
        <v>-0.72384167796391796</v>
      </c>
      <c r="LX16" s="3">
        <f ca="1">IFERROR(__xludf.DUMMYFUNCTION("""COMPUTED_VALUE"""),-0.708811493655965)</f>
        <v>-0.70881149365596496</v>
      </c>
      <c r="LY16" s="3">
        <f ca="1">IFERROR(__xludf.DUMMYFUNCTION("""COMPUTED_VALUE"""),-0.576572765154312)</f>
        <v>-0.57657276515431199</v>
      </c>
      <c r="LZ16" s="3">
        <f ca="1">IFERROR(__xludf.DUMMYFUNCTION("""COMPUTED_VALUE"""),-0.598243967643899)</f>
        <v>-0.59824396764389898</v>
      </c>
      <c r="MA16" s="3">
        <f ca="1">IFERROR(__xludf.DUMMYFUNCTION("""COMPUTED_VALUE"""),-0.712215544967209)</f>
        <v>-0.71221554496720896</v>
      </c>
      <c r="MB16" s="3">
        <f ca="1">IFERROR(__xludf.DUMMYFUNCTION("""COMPUTED_VALUE"""),-0.695128816671131)</f>
        <v>-0.69512881667113102</v>
      </c>
      <c r="MC16" s="3">
        <f ca="1">IFERROR(__xludf.DUMMYFUNCTION("""COMPUTED_VALUE"""),-0.655027104890489)</f>
        <v>-0.65502710489048899</v>
      </c>
      <c r="MD16" s="3">
        <f ca="1">IFERROR(__xludf.DUMMYFUNCTION("""COMPUTED_VALUE"""),-0.703801711358914)</f>
        <v>-0.70380171135891401</v>
      </c>
      <c r="ME16" s="3">
        <f ca="1">IFERROR(__xludf.DUMMYFUNCTION("""COMPUTED_VALUE"""),-0.65703653507866)</f>
        <v>-0.65703653507866</v>
      </c>
      <c r="MF16" s="3">
        <f ca="1">IFERROR(__xludf.DUMMYFUNCTION("""COMPUTED_VALUE"""),-0.481631926956158)</f>
        <v>-0.48163192695615797</v>
      </c>
      <c r="MG16" s="3">
        <f ca="1">IFERROR(__xludf.DUMMYFUNCTION("""COMPUTED_VALUE"""),-0.514129674297944)</f>
        <v>-0.51412967429794398</v>
      </c>
      <c r="MH16" s="3">
        <f ca="1">IFERROR(__xludf.DUMMYFUNCTION("""COMPUTED_VALUE"""),-0.701100110087162)</f>
        <v>-0.701100110087162</v>
      </c>
      <c r="MI16" s="3">
        <f ca="1">IFERROR(__xludf.DUMMYFUNCTION("""COMPUTED_VALUE"""),-0.751222883852583)</f>
        <v>-0.75122288385258296</v>
      </c>
      <c r="MJ16" s="3">
        <f ca="1">IFERROR(__xludf.DUMMYFUNCTION("""COMPUTED_VALUE"""),-0.768453088663343)</f>
        <v>-0.76845308866334305</v>
      </c>
      <c r="MK16" s="3">
        <f ca="1">IFERROR(__xludf.DUMMYFUNCTION("""COMPUTED_VALUE"""),-0.733099780641527)</f>
        <v>-0.73309978064152703</v>
      </c>
      <c r="ML16" s="3">
        <f ca="1">IFERROR(__xludf.DUMMYFUNCTION("""COMPUTED_VALUE"""),-0.634610537211777)</f>
        <v>-0.63461053721177696</v>
      </c>
      <c r="MM16" s="3">
        <f ca="1">IFERROR(__xludf.DUMMYFUNCTION("""COMPUTED_VALUE"""),-0.550407855669773)</f>
        <v>-0.55040785566977302</v>
      </c>
      <c r="MN16" s="3">
        <f ca="1">IFERROR(__xludf.DUMMYFUNCTION("""COMPUTED_VALUE"""),-0.601161872353128)</f>
        <v>-0.60116187235312801</v>
      </c>
      <c r="MO16" s="3">
        <f ca="1">IFERROR(__xludf.DUMMYFUNCTION("""COMPUTED_VALUE"""),-0.707732366002751)</f>
        <v>-0.70773236600275102</v>
      </c>
      <c r="MP16" s="3">
        <f ca="1">IFERROR(__xludf.DUMMYFUNCTION("""COMPUTED_VALUE"""),-0.762637781200491)</f>
        <v>-0.76263778120049097</v>
      </c>
      <c r="MQ16" s="3">
        <f ca="1">IFERROR(__xludf.DUMMYFUNCTION("""COMPUTED_VALUE"""),-0.742149424365276)</f>
        <v>-0.74214942436527598</v>
      </c>
      <c r="MR16" s="3">
        <f ca="1">IFERROR(__xludf.DUMMYFUNCTION("""COMPUTED_VALUE"""),-0.734181466712847)</f>
        <v>-0.73418146671284701</v>
      </c>
      <c r="MS16" s="3">
        <f ca="1">IFERROR(__xludf.DUMMYFUNCTION("""COMPUTED_VALUE"""),-0.670467825255805)</f>
        <v>-0.67046782525580495</v>
      </c>
      <c r="MT16" s="3">
        <f ca="1">IFERROR(__xludf.DUMMYFUNCTION("""COMPUTED_VALUE"""),-0.513112296729896)</f>
        <v>-0.513112296729896</v>
      </c>
      <c r="MU16" s="3">
        <f ca="1">IFERROR(__xludf.DUMMYFUNCTION("""COMPUTED_VALUE"""),-0.564481295766086)</f>
        <v>-0.56448129576608597</v>
      </c>
      <c r="MV16" s="3">
        <f ca="1">IFERROR(__xludf.DUMMYFUNCTION("""COMPUTED_VALUE"""),-0.707194325224954)</f>
        <v>-0.70719432522495396</v>
      </c>
      <c r="MW16" s="3">
        <f ca="1">IFERROR(__xludf.DUMMYFUNCTION("""COMPUTED_VALUE"""),-0.712701870368098)</f>
        <v>-0.71270187036809796</v>
      </c>
      <c r="MX16" s="3">
        <f ca="1">IFERROR(__xludf.DUMMYFUNCTION("""COMPUTED_VALUE"""),-0.707958925421081)</f>
        <v>-0.70795892542108096</v>
      </c>
      <c r="MY16" s="3">
        <f ca="1">IFERROR(__xludf.DUMMYFUNCTION("""COMPUTED_VALUE"""),-0.72763835049135)</f>
        <v>-0.72763835049134995</v>
      </c>
      <c r="MZ16" s="3">
        <f ca="1">IFERROR(__xludf.DUMMYFUNCTION("""COMPUTED_VALUE"""),-0.663178098166693)</f>
        <v>-0.66317809816669304</v>
      </c>
      <c r="NA16" s="3">
        <f ca="1">IFERROR(__xludf.DUMMYFUNCTION("""COMPUTED_VALUE"""),-0.5320768004615)</f>
        <v>-0.53207680046149997</v>
      </c>
      <c r="NB16" s="3">
        <f ca="1">IFERROR(__xludf.DUMMYFUNCTION("""COMPUTED_VALUE"""),-0.585538616225647)</f>
        <v>-0.58553861622564696</v>
      </c>
      <c r="NC16" s="3">
        <f ca="1">IFERROR(__xludf.DUMMYFUNCTION("""COMPUTED_VALUE"""),-0.696870240626368)</f>
        <v>-0.69687024062636804</v>
      </c>
      <c r="ND16" s="3">
        <f ca="1">IFERROR(__xludf.DUMMYFUNCTION("""COMPUTED_VALUE"""),-0.786312451307006)</f>
        <v>-0.786312451307006</v>
      </c>
      <c r="NE16" s="3">
        <f ca="1">IFERROR(__xludf.DUMMYFUNCTION("""COMPUTED_VALUE"""),-0.747104760217468)</f>
        <v>-0.74710476021746797</v>
      </c>
      <c r="NF16" s="3">
        <f ca="1">IFERROR(__xludf.DUMMYFUNCTION("""COMPUTED_VALUE"""),-0.72602345935741)</f>
        <v>-0.72602345935740997</v>
      </c>
      <c r="NG16" s="3">
        <f ca="1">IFERROR(__xludf.DUMMYFUNCTION("""COMPUTED_VALUE"""),-0.739125015512994)</f>
        <v>-0.73912501551299403</v>
      </c>
      <c r="NH16" s="3">
        <f ca="1">IFERROR(__xludf.DUMMYFUNCTION("""COMPUTED_VALUE"""),-0.475526863497182)</f>
        <v>-0.47552686349718198</v>
      </c>
      <c r="NI16" s="3">
        <f ca="1">IFERROR(__xludf.DUMMYFUNCTION("""COMPUTED_VALUE"""),-0.578289236927144)</f>
        <v>-0.57828923692714396</v>
      </c>
      <c r="NJ16" s="3">
        <f ca="1">IFERROR(__xludf.DUMMYFUNCTION("""COMPUTED_VALUE"""),-0.621951246706042)</f>
        <v>-0.62195124670604196</v>
      </c>
      <c r="NK16" s="3">
        <f ca="1">IFERROR(__xludf.DUMMYFUNCTION("""COMPUTED_VALUE"""),-0.665265729716291)</f>
        <v>-0.66526572971629105</v>
      </c>
      <c r="NL16" s="3">
        <f ca="1">IFERROR(__xludf.DUMMYFUNCTION("""COMPUTED_VALUE"""),-0.699401288959616)</f>
        <v>-0.69940128895961595</v>
      </c>
      <c r="NM16" s="3">
        <f ca="1">IFERROR(__xludf.DUMMYFUNCTION("""COMPUTED_VALUE"""),-0.676447140476713)</f>
        <v>-0.67644714047671295</v>
      </c>
      <c r="NN16" s="3">
        <f ca="1">IFERROR(__xludf.DUMMYFUNCTION("""COMPUTED_VALUE"""),-0.683222177006084)</f>
        <v>-0.68322217700608401</v>
      </c>
      <c r="NO16" s="3">
        <f ca="1">IFERROR(__xludf.DUMMYFUNCTION("""COMPUTED_VALUE"""),-0.506741333170012)</f>
        <v>-0.50674133317001202</v>
      </c>
      <c r="NP16" s="3">
        <f ca="1">IFERROR(__xludf.DUMMYFUNCTION("""COMPUTED_VALUE"""),-0.59682841132588)</f>
        <v>-0.59682841132588005</v>
      </c>
      <c r="NQ16" s="3">
        <f ca="1">IFERROR(__xludf.DUMMYFUNCTION("""COMPUTED_VALUE"""),-0.652102686533422)</f>
        <v>-0.65210268653342196</v>
      </c>
      <c r="NR16" s="3">
        <f ca="1">IFERROR(__xludf.DUMMYFUNCTION("""COMPUTED_VALUE"""),-0.670226799453916)</f>
        <v>-0.67022679945391594</v>
      </c>
      <c r="NS16" s="3">
        <f ca="1">IFERROR(__xludf.DUMMYFUNCTION("""COMPUTED_VALUE"""),-0.718506188972593)</f>
        <v>-0.718506188972593</v>
      </c>
      <c r="NT16" s="3">
        <f ca="1">IFERROR(__xludf.DUMMYFUNCTION("""COMPUTED_VALUE"""),-0.710226507495817)</f>
        <v>-0.71022650749581695</v>
      </c>
      <c r="NU16" s="3">
        <f ca="1">IFERROR(__xludf.DUMMYFUNCTION("""COMPUTED_VALUE"""),-0.66651244281578)</f>
        <v>-0.66651244281578004</v>
      </c>
      <c r="NV16" s="3">
        <f ca="1">IFERROR(__xludf.DUMMYFUNCTION("""COMPUTED_VALUE"""),-0.455501621038244)</f>
        <v>-0.45550162103824399</v>
      </c>
      <c r="NW16" s="3">
        <f ca="1">IFERROR(__xludf.DUMMYFUNCTION("""COMPUTED_VALUE"""),-0.48666095503081)</f>
        <v>-0.48666095503081003</v>
      </c>
      <c r="NX16" s="3">
        <f ca="1">IFERROR(__xludf.DUMMYFUNCTION("""COMPUTED_VALUE"""),-0.564049936560954)</f>
        <v>-0.56404993656095403</v>
      </c>
      <c r="NY16" s="3">
        <f ca="1">IFERROR(__xludf.DUMMYFUNCTION("""COMPUTED_VALUE"""),-0.595011324882796)</f>
        <v>-0.59501132488279596</v>
      </c>
      <c r="NZ16" s="3">
        <f ca="1">IFERROR(__xludf.DUMMYFUNCTION("""COMPUTED_VALUE"""),-0.585264116734569)</f>
        <v>-0.58526411673456902</v>
      </c>
      <c r="OA16" s="3">
        <f ca="1">IFERROR(__xludf.DUMMYFUNCTION("""COMPUTED_VALUE"""),-0.567439020199473)</f>
        <v>-0.56743902019947301</v>
      </c>
      <c r="OB16" s="3">
        <f ca="1">IFERROR(__xludf.DUMMYFUNCTION("""COMPUTED_VALUE"""),-0.480215311551239)</f>
        <v>-0.48021531155123898</v>
      </c>
      <c r="OC16" s="3">
        <f ca="1">IFERROR(__xludf.DUMMYFUNCTION("""COMPUTED_VALUE"""),-0.193570259732421)</f>
        <v>-0.19357025973242101</v>
      </c>
      <c r="OD16" s="3">
        <f ca="1">IFERROR(__xludf.DUMMYFUNCTION("""COMPUTED_VALUE"""),-0.230148062497434)</f>
        <v>-0.230148062497434</v>
      </c>
      <c r="OE16" s="3">
        <f ca="1">IFERROR(__xludf.DUMMYFUNCTION("""COMPUTED_VALUE"""),-0.17422062421024)</f>
        <v>-0.17422062421024001</v>
      </c>
      <c r="OF16" s="3">
        <f ca="1">IFERROR(__xludf.DUMMYFUNCTION("""COMPUTED_VALUE"""),-0.0748259283459817)</f>
        <v>-7.4825928345981702E-2</v>
      </c>
      <c r="OG16" s="3">
        <f ca="1">IFERROR(__xludf.DUMMYFUNCTION("""COMPUTED_VALUE"""),-0.0697906565374879)</f>
        <v>-6.9790656537487894E-2</v>
      </c>
      <c r="OH16" s="3">
        <f ca="1">IFERROR(__xludf.DUMMYFUNCTION("""COMPUTED_VALUE"""),-0.101421621862)</f>
        <v>-0.101421621862</v>
      </c>
      <c r="OI16" s="3">
        <f ca="1">IFERROR(__xludf.DUMMYFUNCTION("""COMPUTED_VALUE"""),-0.0236590665146629)</f>
        <v>-2.3659066514662899E-2</v>
      </c>
      <c r="OJ16" s="3">
        <f ca="1">IFERROR(__xludf.DUMMYFUNCTION("""COMPUTED_VALUE"""),-0.0425400735861278)</f>
        <v>-4.2540073586127797E-2</v>
      </c>
      <c r="OK16" s="3">
        <f ca="1">IFERROR(__xludf.DUMMYFUNCTION("""COMPUTED_VALUE"""),-0.0098861027219671)</f>
        <v>-9.8861027219670997E-3</v>
      </c>
      <c r="OL16" s="3">
        <f ca="1">IFERROR(__xludf.DUMMYFUNCTION("""COMPUTED_VALUE"""),0.0177734858720268)</f>
        <v>1.77734858720268E-2</v>
      </c>
      <c r="OM16" s="3">
        <f ca="1">IFERROR(__xludf.DUMMYFUNCTION("""COMPUTED_VALUE"""),0.0795165447325458)</f>
        <v>7.9516544732545796E-2</v>
      </c>
      <c r="ON16" s="3">
        <f ca="1">IFERROR(__xludf.DUMMYFUNCTION("""COMPUTED_VALUE"""),0.0614979038743204)</f>
        <v>6.14979038743204E-2</v>
      </c>
      <c r="OO16" s="3">
        <f ca="1">IFERROR(__xludf.DUMMYFUNCTION("""COMPUTED_VALUE"""),0.0154013156381087)</f>
        <v>1.54013156381087E-2</v>
      </c>
      <c r="OP16" s="3">
        <f ca="1">IFERROR(__xludf.DUMMYFUNCTION("""COMPUTED_VALUE"""),0.0473576713831078)</f>
        <v>4.7357671383107799E-2</v>
      </c>
      <c r="OQ16" s="3">
        <f ca="1">IFERROR(__xludf.DUMMYFUNCTION("""COMPUTED_VALUE"""),-0.0347338862547096)</f>
        <v>-3.4733886254709599E-2</v>
      </c>
      <c r="OR16" s="3">
        <f ca="1">IFERROR(__xludf.DUMMYFUNCTION("""COMPUTED_VALUE"""),-0.051090516695483)</f>
        <v>-5.1090516695483E-2</v>
      </c>
      <c r="OS16" s="3">
        <f ca="1">IFERROR(__xludf.DUMMYFUNCTION("""COMPUTED_VALUE"""),-0.0236818735609511)</f>
        <v>-2.3681873560951101E-2</v>
      </c>
      <c r="OT16" s="3">
        <f ca="1">IFERROR(__xludf.DUMMYFUNCTION("""COMPUTED_VALUE"""),-0.0867569922567758)</f>
        <v>-8.67569922567758E-2</v>
      </c>
      <c r="OU16" s="3">
        <f ca="1">IFERROR(__xludf.DUMMYFUNCTION("""COMPUTED_VALUE"""),0.0501739830881422)</f>
        <v>5.01739830881422E-2</v>
      </c>
      <c r="OV16" s="3">
        <f ca="1">IFERROR(__xludf.DUMMYFUNCTION("""COMPUTED_VALUE"""),0.0663124837429036)</f>
        <v>6.6312483742903605E-2</v>
      </c>
      <c r="OW16" s="3">
        <f ca="1">IFERROR(__xludf.DUMMYFUNCTION("""COMPUTED_VALUE"""),0.0934882966191394)</f>
        <v>9.3488296619139405E-2</v>
      </c>
      <c r="OX16" s="3">
        <f ca="1">IFERROR(__xludf.DUMMYFUNCTION("""COMPUTED_VALUE"""),-0.109468556522565)</f>
        <v>-0.109468556522565</v>
      </c>
      <c r="OY16" s="3">
        <f ca="1">IFERROR(__xludf.DUMMYFUNCTION("""COMPUTED_VALUE"""),-0.0477219267756211)</f>
        <v>-4.77219267756211E-2</v>
      </c>
      <c r="OZ16" s="3">
        <f ca="1">IFERROR(__xludf.DUMMYFUNCTION("""COMPUTED_VALUE"""),0.0201190902930885)</f>
        <v>2.0119090293088501E-2</v>
      </c>
      <c r="PA16" s="3">
        <f ca="1">IFERROR(__xludf.DUMMYFUNCTION("""COMPUTED_VALUE"""),0.0859142817930809)</f>
        <v>8.5914281793080902E-2</v>
      </c>
      <c r="PB16" s="3">
        <f ca="1">IFERROR(__xludf.DUMMYFUNCTION("""COMPUTED_VALUE"""),0.12759673478887)</f>
        <v>0.12759673478886999</v>
      </c>
      <c r="PC16" s="3">
        <f ca="1">IFERROR(__xludf.DUMMYFUNCTION("""COMPUTED_VALUE"""),0.173317860261891)</f>
        <v>0.173317860261891</v>
      </c>
      <c r="PD16" s="3">
        <f ca="1">IFERROR(__xludf.DUMMYFUNCTION("""COMPUTED_VALUE"""),-0.158004011129956)</f>
        <v>-0.15800401112995599</v>
      </c>
      <c r="PE16" s="3">
        <f ca="1">IFERROR(__xludf.DUMMYFUNCTION("""COMPUTED_VALUE"""),-0.0449249112049752)</f>
        <v>-4.4924911204975201E-2</v>
      </c>
      <c r="PF16" s="3">
        <f ca="1">IFERROR(__xludf.DUMMYFUNCTION("""COMPUTED_VALUE"""),-0.0846364704352446)</f>
        <v>-8.4636470435244596E-2</v>
      </c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</row>
    <row r="17" spans="1:594" ht="15.75" customHeight="1">
      <c r="A17" s="1" t="str">
        <f ca="1">IFERROR(__xludf.DUMMYFUNCTION("""COMPUTED_VALUE"""),"Columbus")</f>
        <v>Columbus</v>
      </c>
      <c r="B17" s="3">
        <f ca="1">IFERROR(__xludf.DUMMYFUNCTION("""COMPUTED_VALUE"""),-0.572770002059327)</f>
        <v>-0.57277000205932704</v>
      </c>
      <c r="C17" s="3">
        <f ca="1">IFERROR(__xludf.DUMMYFUNCTION("""COMPUTED_VALUE"""),-0.626686535147865)</f>
        <v>-0.62668653514786499</v>
      </c>
      <c r="D17" s="3">
        <f ca="1">IFERROR(__xludf.DUMMYFUNCTION("""COMPUTED_VALUE"""),-0.683523224435117)</f>
        <v>-0.68352322443511704</v>
      </c>
      <c r="E17" s="3">
        <f ca="1">IFERROR(__xludf.DUMMYFUNCTION("""COMPUTED_VALUE"""),-0.619639075023081)</f>
        <v>-0.61963907502308102</v>
      </c>
      <c r="F17" s="3">
        <f ca="1">IFERROR(__xludf.DUMMYFUNCTION("""COMPUTED_VALUE"""),-0.650443906335419)</f>
        <v>-0.65044390633541904</v>
      </c>
      <c r="G17" s="3">
        <f ca="1">IFERROR(__xludf.DUMMYFUNCTION("""COMPUTED_VALUE"""),-0.653458961267485)</f>
        <v>-0.65345896126748504</v>
      </c>
      <c r="H17" s="3">
        <f ca="1">IFERROR(__xludf.DUMMYFUNCTION("""COMPUTED_VALUE"""),-0.552311280023459)</f>
        <v>-0.55231128002345897</v>
      </c>
      <c r="I17" s="3">
        <f ca="1">IFERROR(__xludf.DUMMYFUNCTION("""COMPUTED_VALUE"""),-0.542616354781005)</f>
        <v>-0.54261635478100501</v>
      </c>
      <c r="J17" s="3">
        <f ca="1">IFERROR(__xludf.DUMMYFUNCTION("""COMPUTED_VALUE"""),-0.65833668489919)</f>
        <v>-0.65833668489918995</v>
      </c>
      <c r="K17" s="3">
        <f ca="1">IFERROR(__xludf.DUMMYFUNCTION("""COMPUTED_VALUE"""),-0.66552195339876)</f>
        <v>-0.66552195339875997</v>
      </c>
      <c r="L17" s="3">
        <f ca="1">IFERROR(__xludf.DUMMYFUNCTION("""COMPUTED_VALUE"""),-0.660333800235607)</f>
        <v>-0.66033380023560695</v>
      </c>
      <c r="M17" s="3">
        <f ca="1">IFERROR(__xludf.DUMMYFUNCTION("""COMPUTED_VALUE"""),-0.652909739730321)</f>
        <v>-0.65290973973032096</v>
      </c>
      <c r="N17" s="3">
        <f ca="1">IFERROR(__xludf.DUMMYFUNCTION("""COMPUTED_VALUE"""),-0.650333985987259)</f>
        <v>-0.650333985987259</v>
      </c>
      <c r="O17" s="3">
        <f ca="1">IFERROR(__xludf.DUMMYFUNCTION("""COMPUTED_VALUE"""),-0.546571563078489)</f>
        <v>-0.54657156307848898</v>
      </c>
      <c r="P17" s="3">
        <f ca="1">IFERROR(__xludf.DUMMYFUNCTION("""COMPUTED_VALUE"""),-0.535119652440339)</f>
        <v>-0.53511965244033899</v>
      </c>
      <c r="Q17" s="3">
        <f ca="1">IFERROR(__xludf.DUMMYFUNCTION("""COMPUTED_VALUE"""),-0.658540102184854)</f>
        <v>-0.65854010218485404</v>
      </c>
      <c r="R17" s="3">
        <f ca="1">IFERROR(__xludf.DUMMYFUNCTION("""COMPUTED_VALUE"""),-0.669702613265912)</f>
        <v>-0.66970261326591196</v>
      </c>
      <c r="S17" s="3">
        <f ca="1">IFERROR(__xludf.DUMMYFUNCTION("""COMPUTED_VALUE"""),-0.666925056991249)</f>
        <v>-0.66692505699124904</v>
      </c>
      <c r="T17" s="3">
        <f ca="1">IFERROR(__xludf.DUMMYFUNCTION("""COMPUTED_VALUE"""),-0.643668091501229)</f>
        <v>-0.64366809150122895</v>
      </c>
      <c r="U17" s="3">
        <f ca="1">IFERROR(__xludf.DUMMYFUNCTION("""COMPUTED_VALUE"""),-0.630084970029347)</f>
        <v>-0.63008497002934705</v>
      </c>
      <c r="V17" s="3">
        <f ca="1">IFERROR(__xludf.DUMMYFUNCTION("""COMPUTED_VALUE"""),-0.491622073597511)</f>
        <v>-0.49162207359751098</v>
      </c>
      <c r="W17" s="3">
        <f ca="1">IFERROR(__xludf.DUMMYFUNCTION("""COMPUTED_VALUE"""),-0.524070839666975)</f>
        <v>-0.52407083966697499</v>
      </c>
      <c r="X17" s="3">
        <f ca="1">IFERROR(__xludf.DUMMYFUNCTION("""COMPUTED_VALUE"""),-0.60610894158697)</f>
        <v>-0.60610894158697004</v>
      </c>
      <c r="Y17" s="3">
        <f ca="1">IFERROR(__xludf.DUMMYFUNCTION("""COMPUTED_VALUE"""),-0.674387062754616)</f>
        <v>-0.67438706275461602</v>
      </c>
      <c r="Z17" s="3">
        <f ca="1">IFERROR(__xludf.DUMMYFUNCTION("""COMPUTED_VALUE"""),-0.601202209036158)</f>
        <v>-0.60120220903615795</v>
      </c>
      <c r="AA17" s="3">
        <f ca="1">IFERROR(__xludf.DUMMYFUNCTION("""COMPUTED_VALUE"""),-0.657290229795332)</f>
        <v>-0.65729022979533203</v>
      </c>
      <c r="AB17" s="3">
        <f ca="1">IFERROR(__xludf.DUMMYFUNCTION("""COMPUTED_VALUE"""),-0.637759641518561)</f>
        <v>-0.63775964151856102</v>
      </c>
      <c r="AC17" s="3">
        <f ca="1">IFERROR(__xludf.DUMMYFUNCTION("""COMPUTED_VALUE"""),-0.463331984664198)</f>
        <v>-0.463331984664198</v>
      </c>
      <c r="AD17" s="3">
        <f ca="1">IFERROR(__xludf.DUMMYFUNCTION("""COMPUTED_VALUE"""),-0.453228193036423)</f>
        <v>-0.45322819303642298</v>
      </c>
      <c r="AE17" s="3">
        <f ca="1">IFERROR(__xludf.DUMMYFUNCTION("""COMPUTED_VALUE"""),-0.594377165484734)</f>
        <v>-0.59437716548473396</v>
      </c>
      <c r="AF17" s="3">
        <f ca="1">IFERROR(__xludf.DUMMYFUNCTION("""COMPUTED_VALUE"""),-0.642860719104503)</f>
        <v>-0.64286071910450304</v>
      </c>
      <c r="AG17" s="3">
        <f ca="1">IFERROR(__xludf.DUMMYFUNCTION("""COMPUTED_VALUE"""),-0.61534022516106)</f>
        <v>-0.61534022516106002</v>
      </c>
      <c r="AH17" s="3">
        <f ca="1">IFERROR(__xludf.DUMMYFUNCTION("""COMPUTED_VALUE"""),-0.64750791639051)</f>
        <v>-0.64750791639050997</v>
      </c>
      <c r="AI17" s="3">
        <f ca="1">IFERROR(__xludf.DUMMYFUNCTION("""COMPUTED_VALUE"""),-0.644255891379817)</f>
        <v>-0.64425589137981698</v>
      </c>
      <c r="AJ17" s="3">
        <f ca="1">IFERROR(__xludf.DUMMYFUNCTION("""COMPUTED_VALUE"""),-0.495988788305386)</f>
        <v>-0.49598878830538601</v>
      </c>
      <c r="AK17" s="3">
        <f ca="1">IFERROR(__xludf.DUMMYFUNCTION("""COMPUTED_VALUE"""),-0.529346537465528)</f>
        <v>-0.52934653746552796</v>
      </c>
      <c r="AL17" s="3">
        <f ca="1">IFERROR(__xludf.DUMMYFUNCTION("""COMPUTED_VALUE"""),-0.623781180672143)</f>
        <v>-0.62378118067214305</v>
      </c>
      <c r="AM17" s="3">
        <f ca="1">IFERROR(__xludf.DUMMYFUNCTION("""COMPUTED_VALUE"""),-0.655336259835228)</f>
        <v>-0.65533625983522803</v>
      </c>
      <c r="AN17" s="3">
        <f ca="1">IFERROR(__xludf.DUMMYFUNCTION("""COMPUTED_VALUE"""),-0.592317473433919)</f>
        <v>-0.59231747343391905</v>
      </c>
      <c r="AO17" s="3">
        <f ca="1">IFERROR(__xludf.DUMMYFUNCTION("""COMPUTED_VALUE"""),-0.645230897374031)</f>
        <v>-0.64523089737403105</v>
      </c>
      <c r="AP17" s="3">
        <f ca="1">IFERROR(__xludf.DUMMYFUNCTION("""COMPUTED_VALUE"""),-0.631503576820537)</f>
        <v>-0.63150357682053704</v>
      </c>
      <c r="AQ17" s="3">
        <f ca="1">IFERROR(__xludf.DUMMYFUNCTION("""COMPUTED_VALUE"""),-0.529560262095777)</f>
        <v>-0.529560262095777</v>
      </c>
      <c r="AR17" s="3">
        <f ca="1">IFERROR(__xludf.DUMMYFUNCTION("""COMPUTED_VALUE"""),-0.565971905841246)</f>
        <v>-0.56597190584124601</v>
      </c>
      <c r="AS17" s="3">
        <f ca="1">IFERROR(__xludf.DUMMYFUNCTION("""COMPUTED_VALUE"""),-0.657581932897592)</f>
        <v>-0.65758193289759204</v>
      </c>
      <c r="AT17" s="3">
        <f ca="1">IFERROR(__xludf.DUMMYFUNCTION("""COMPUTED_VALUE"""),-0.678482779811081)</f>
        <v>-0.67848277981108096</v>
      </c>
      <c r="AU17" s="3">
        <f ca="1">IFERROR(__xludf.DUMMYFUNCTION("""COMPUTED_VALUE"""),-0.625813912113786)</f>
        <v>-0.62581391211378601</v>
      </c>
      <c r="AV17" s="3">
        <f ca="1">IFERROR(__xludf.DUMMYFUNCTION("""COMPUTED_VALUE"""),-0.679364100276126)</f>
        <v>-0.67936410027612604</v>
      </c>
      <c r="AW17" s="3">
        <f ca="1">IFERROR(__xludf.DUMMYFUNCTION("""COMPUTED_VALUE"""),-0.651178119283192)</f>
        <v>-0.65117811928319203</v>
      </c>
      <c r="AX17" s="3">
        <f ca="1">IFERROR(__xludf.DUMMYFUNCTION("""COMPUTED_VALUE"""),-0.517550430874589)</f>
        <v>-0.51755043087458896</v>
      </c>
      <c r="AY17" s="3">
        <f ca="1">IFERROR(__xludf.DUMMYFUNCTION("""COMPUTED_VALUE"""),-0.568805018349938)</f>
        <v>-0.56880501834993802</v>
      </c>
      <c r="AZ17" s="3">
        <f ca="1">IFERROR(__xludf.DUMMYFUNCTION("""COMPUTED_VALUE"""),-0.669560891533377)</f>
        <v>-0.66956089153337695</v>
      </c>
      <c r="BA17" s="3">
        <f ca="1">IFERROR(__xludf.DUMMYFUNCTION("""COMPUTED_VALUE"""),-0.677958815015495)</f>
        <v>-0.67795881501549504</v>
      </c>
      <c r="BB17" s="3">
        <f ca="1">IFERROR(__xludf.DUMMYFUNCTION("""COMPUTED_VALUE"""),-0.668588330455442)</f>
        <v>-0.66858833045544197</v>
      </c>
      <c r="BC17" s="3">
        <f ca="1">IFERROR(__xludf.DUMMYFUNCTION("""COMPUTED_VALUE"""),-0.732664117491357)</f>
        <v>-0.73266411749135696</v>
      </c>
      <c r="BD17" s="3">
        <f ca="1">IFERROR(__xludf.DUMMYFUNCTION("""COMPUTED_VALUE"""),-0.695997644919945)</f>
        <v>-0.69599764491994498</v>
      </c>
      <c r="BE17" s="3">
        <f ca="1">IFERROR(__xludf.DUMMYFUNCTION("""COMPUTED_VALUE"""),-0.553174132606595)</f>
        <v>-0.55317413260659498</v>
      </c>
      <c r="BF17" s="3">
        <f ca="1">IFERROR(__xludf.DUMMYFUNCTION("""COMPUTED_VALUE"""),-0.553545269795978)</f>
        <v>-0.55354526979597796</v>
      </c>
      <c r="BG17" s="3">
        <f ca="1">IFERROR(__xludf.DUMMYFUNCTION("""COMPUTED_VALUE"""),-0.690031348569495)</f>
        <v>-0.690031348569495</v>
      </c>
      <c r="BH17" s="3">
        <f ca="1">IFERROR(__xludf.DUMMYFUNCTION("""COMPUTED_VALUE"""),-0.701275163672854)</f>
        <v>-0.70127516367285403</v>
      </c>
      <c r="BI17" s="3">
        <f ca="1">IFERROR(__xludf.DUMMYFUNCTION("""COMPUTED_VALUE"""),-0.686023767810636)</f>
        <v>-0.68602376781063601</v>
      </c>
      <c r="BJ17" s="3">
        <f ca="1">IFERROR(__xludf.DUMMYFUNCTION("""COMPUTED_VALUE"""),-0.697849796100317)</f>
        <v>-0.69784979610031705</v>
      </c>
      <c r="BK17" s="3">
        <f ca="1">IFERROR(__xludf.DUMMYFUNCTION("""COMPUTED_VALUE"""),-0.668622008834115)</f>
        <v>-0.66862200883411504</v>
      </c>
      <c r="BL17" s="3">
        <f ca="1">IFERROR(__xludf.DUMMYFUNCTION("""COMPUTED_VALUE"""),-0.561916121237089)</f>
        <v>-0.56191612123708901</v>
      </c>
      <c r="BM17" s="3">
        <f ca="1">IFERROR(__xludf.DUMMYFUNCTION("""COMPUTED_VALUE"""),-0.600596536773776)</f>
        <v>-0.600596536773776</v>
      </c>
      <c r="BN17" s="3">
        <f ca="1">IFERROR(__xludf.DUMMYFUNCTION("""COMPUTED_VALUE"""),-0.672080484622079)</f>
        <v>-0.67208048462207903</v>
      </c>
      <c r="BO17" s="3">
        <f ca="1">IFERROR(__xludf.DUMMYFUNCTION("""COMPUTED_VALUE"""),-0.702055108985757)</f>
        <v>-0.70205510898575696</v>
      </c>
      <c r="BP17" s="3">
        <f ca="1">IFERROR(__xludf.DUMMYFUNCTION("""COMPUTED_VALUE"""),-0.697036946065888)</f>
        <v>-0.69703694606588795</v>
      </c>
      <c r="BQ17" s="3">
        <f ca="1">IFERROR(__xludf.DUMMYFUNCTION("""COMPUTED_VALUE"""),-0.681829751217534)</f>
        <v>-0.68182975121753397</v>
      </c>
      <c r="BR17" s="3">
        <f ca="1">IFERROR(__xludf.DUMMYFUNCTION("""COMPUTED_VALUE"""),-0.66278962228923)</f>
        <v>-0.66278962228923</v>
      </c>
      <c r="BS17" s="3">
        <f ca="1">IFERROR(__xludf.DUMMYFUNCTION("""COMPUTED_VALUE"""),-0.545997284398504)</f>
        <v>-0.54599728439850403</v>
      </c>
      <c r="BT17" s="3">
        <f ca="1">IFERROR(__xludf.DUMMYFUNCTION("""COMPUTED_VALUE"""),-0.550008076610069)</f>
        <v>-0.55000807661006901</v>
      </c>
      <c r="BU17" s="3">
        <f ca="1">IFERROR(__xludf.DUMMYFUNCTION("""COMPUTED_VALUE"""),-0.657140561612549)</f>
        <v>-0.65714056161254897</v>
      </c>
      <c r="BV17" s="3">
        <f ca="1">IFERROR(__xludf.DUMMYFUNCTION("""COMPUTED_VALUE"""),-0.700265144120007)</f>
        <v>-0.70026514412000695</v>
      </c>
      <c r="BW17" s="3">
        <f ca="1">IFERROR(__xludf.DUMMYFUNCTION("""COMPUTED_VALUE"""),-0.671170630204343)</f>
        <v>-0.67117063020434298</v>
      </c>
      <c r="BX17" s="3">
        <f ca="1">IFERROR(__xludf.DUMMYFUNCTION("""COMPUTED_VALUE"""),-0.665815142978162)</f>
        <v>-0.66581514297816202</v>
      </c>
      <c r="BY17" s="3">
        <f ca="1">IFERROR(__xludf.DUMMYFUNCTION("""COMPUTED_VALUE"""),-0.629976379920827)</f>
        <v>-0.629976379920827</v>
      </c>
      <c r="BZ17" s="3">
        <f ca="1">IFERROR(__xludf.DUMMYFUNCTION("""COMPUTED_VALUE"""),-0.580117601634519)</f>
        <v>-0.58011760163451898</v>
      </c>
      <c r="CA17" s="3">
        <f ca="1">IFERROR(__xludf.DUMMYFUNCTION("""COMPUTED_VALUE"""),-0.545196842327916)</f>
        <v>-0.54519684232791599</v>
      </c>
      <c r="CB17" s="3">
        <f ca="1">IFERROR(__xludf.DUMMYFUNCTION("""COMPUTED_VALUE"""),-0.681052793477159)</f>
        <v>-0.68105279347715897</v>
      </c>
      <c r="CC17" s="3">
        <f ca="1">IFERROR(__xludf.DUMMYFUNCTION("""COMPUTED_VALUE"""),-0.682179639416928)</f>
        <v>-0.68217963941692805</v>
      </c>
      <c r="CD17" s="3">
        <f ca="1">IFERROR(__xludf.DUMMYFUNCTION("""COMPUTED_VALUE"""),-0.717076650541024)</f>
        <v>-0.71707665054102399</v>
      </c>
      <c r="CE17" s="3">
        <f ca="1">IFERROR(__xludf.DUMMYFUNCTION("""COMPUTED_VALUE"""),-0.67411668978752)</f>
        <v>-0.67411668978752004</v>
      </c>
      <c r="CF17" s="3">
        <f ca="1">IFERROR(__xludf.DUMMYFUNCTION("""COMPUTED_VALUE"""),-0.687044273006331)</f>
        <v>-0.68704427300633097</v>
      </c>
      <c r="CG17" s="3">
        <f ca="1">IFERROR(__xludf.DUMMYFUNCTION("""COMPUTED_VALUE"""),-0.55851071279136)</f>
        <v>-0.55851071279136</v>
      </c>
      <c r="CH17" s="3">
        <f ca="1">IFERROR(__xludf.DUMMYFUNCTION("""COMPUTED_VALUE"""),-0.631656254989878)</f>
        <v>-0.63165625498987799</v>
      </c>
      <c r="CI17" s="3">
        <f ca="1">IFERROR(__xludf.DUMMYFUNCTION("""COMPUTED_VALUE"""),-0.697919128387426)</f>
        <v>-0.69791912838742598</v>
      </c>
      <c r="CJ17" s="3">
        <f ca="1">IFERROR(__xludf.DUMMYFUNCTION("""COMPUTED_VALUE"""),-0.703389780543359)</f>
        <v>-0.70338978054335899</v>
      </c>
      <c r="CK17" s="3">
        <f ca="1">IFERROR(__xludf.DUMMYFUNCTION("""COMPUTED_VALUE"""),-0.702369231177782)</f>
        <v>-0.70236923117778205</v>
      </c>
      <c r="CL17" s="3">
        <f ca="1">IFERROR(__xludf.DUMMYFUNCTION("""COMPUTED_VALUE"""),-0.687427881515266)</f>
        <v>-0.68742788151526601</v>
      </c>
      <c r="CM17" s="3">
        <f ca="1">IFERROR(__xludf.DUMMYFUNCTION("""COMPUTED_VALUE"""),-0.637797801850105)</f>
        <v>-0.63779780185010504</v>
      </c>
      <c r="CN17" s="3">
        <f ca="1">IFERROR(__xludf.DUMMYFUNCTION("""COMPUTED_VALUE"""),-0.421665513506594)</f>
        <v>-0.42166551350659398</v>
      </c>
      <c r="CO17" s="3">
        <f ca="1">IFERROR(__xludf.DUMMYFUNCTION("""COMPUTED_VALUE"""),-0.472054232207483)</f>
        <v>-0.47205423220748299</v>
      </c>
      <c r="CP17" s="3">
        <f ca="1">IFERROR(__xludf.DUMMYFUNCTION("""COMPUTED_VALUE"""),-0.598179934132839)</f>
        <v>-0.59817993413283899</v>
      </c>
      <c r="CQ17" s="3">
        <f ca="1">IFERROR(__xludf.DUMMYFUNCTION("""COMPUTED_VALUE"""),-0.591224234521305)</f>
        <v>-0.59122423452130501</v>
      </c>
      <c r="CR17" s="3">
        <f ca="1">IFERROR(__xludf.DUMMYFUNCTION("""COMPUTED_VALUE"""),-0.522314775366155)</f>
        <v>-0.522314775366155</v>
      </c>
      <c r="CS17" s="3">
        <f ca="1">IFERROR(__xludf.DUMMYFUNCTION("""COMPUTED_VALUE"""),-0.583355068033917)</f>
        <v>-0.58335506803391701</v>
      </c>
      <c r="CT17" s="3">
        <f ca="1">IFERROR(__xludf.DUMMYFUNCTION("""COMPUTED_VALUE"""),-0.59767984853956)</f>
        <v>-0.59767984853956002</v>
      </c>
      <c r="CU17" s="3">
        <f ca="1">IFERROR(__xludf.DUMMYFUNCTION("""COMPUTED_VALUE"""),-0.484782795602159)</f>
        <v>-0.48478279560215898</v>
      </c>
      <c r="CV17" s="3">
        <f ca="1">IFERROR(__xludf.DUMMYFUNCTION("""COMPUTED_VALUE"""),-0.461544761605411)</f>
        <v>-0.46154476160541102</v>
      </c>
      <c r="CW17" s="3">
        <f ca="1">IFERROR(__xludf.DUMMYFUNCTION("""COMPUTED_VALUE"""),-0.726656664293711)</f>
        <v>-0.72665666429371101</v>
      </c>
      <c r="CX17" s="3">
        <f ca="1">IFERROR(__xludf.DUMMYFUNCTION("""COMPUTED_VALUE"""),-0.549853813632745)</f>
        <v>-0.54985381363274499</v>
      </c>
      <c r="CY17" s="3">
        <f ca="1">IFERROR(__xludf.DUMMYFUNCTION("""COMPUTED_VALUE"""),-0.319838366834424)</f>
        <v>-0.31983836683442401</v>
      </c>
      <c r="CZ17" s="3">
        <f ca="1">IFERROR(__xludf.DUMMYFUNCTION("""COMPUTED_VALUE"""),-0.490976631418975)</f>
        <v>-0.49097663141897502</v>
      </c>
      <c r="DA17" s="3">
        <f ca="1">IFERROR(__xludf.DUMMYFUNCTION("""COMPUTED_VALUE"""),-0.541527116612103)</f>
        <v>-0.54152711661210295</v>
      </c>
      <c r="DB17" s="3">
        <f ca="1">IFERROR(__xludf.DUMMYFUNCTION("""COMPUTED_VALUE"""),-0.396422407784246)</f>
        <v>-0.39642240778424598</v>
      </c>
      <c r="DC17" s="3">
        <f ca="1">IFERROR(__xludf.DUMMYFUNCTION("""COMPUTED_VALUE"""),-0.479037516099935)</f>
        <v>-0.479037516099935</v>
      </c>
      <c r="DD17" s="3">
        <f ca="1">IFERROR(__xludf.DUMMYFUNCTION("""COMPUTED_VALUE"""),-0.783427768163907)</f>
        <v>-0.78342776816390702</v>
      </c>
      <c r="DE17" s="3">
        <f ca="1">IFERROR(__xludf.DUMMYFUNCTION("""COMPUTED_VALUE"""),-0.535498401699753)</f>
        <v>-0.53549840169975305</v>
      </c>
      <c r="DF17" s="3">
        <f ca="1">IFERROR(__xludf.DUMMYFUNCTION("""COMPUTED_VALUE"""),-0.200793427298927)</f>
        <v>-0.20079342729892699</v>
      </c>
      <c r="DG17" s="3">
        <f ca="1">IFERROR(__xludf.DUMMYFUNCTION("""COMPUTED_VALUE"""),-0.432143370233459)</f>
        <v>-0.432143370233459</v>
      </c>
      <c r="DH17" s="3">
        <f ca="1">IFERROR(__xludf.DUMMYFUNCTION("""COMPUTED_VALUE"""),-0.503268204029323)</f>
        <v>-0.50326820402932304</v>
      </c>
      <c r="DI17" s="3">
        <f ca="1">IFERROR(__xludf.DUMMYFUNCTION("""COMPUTED_VALUE"""),-0.293310920678079)</f>
        <v>-0.29331092067807901</v>
      </c>
      <c r="DJ17" s="3">
        <f ca="1">IFERROR(__xludf.DUMMYFUNCTION("""COMPUTED_VALUE"""),-0.457627162589524)</f>
        <v>-0.45762716258952402</v>
      </c>
      <c r="DK17" s="3">
        <f ca="1">IFERROR(__xludf.DUMMYFUNCTION("""COMPUTED_VALUE"""),-0.514657280824266)</f>
        <v>-0.51465728082426598</v>
      </c>
      <c r="DL17" s="3">
        <f ca="1">IFERROR(__xludf.DUMMYFUNCTION("""COMPUTED_VALUE"""),-0.519739572141449)</f>
        <v>-0.51973957214144895</v>
      </c>
      <c r="DM17" s="3">
        <f ca="1">IFERROR(__xludf.DUMMYFUNCTION("""COMPUTED_VALUE"""),-0.448275350634446)</f>
        <v>-0.44827535063444601</v>
      </c>
      <c r="DN17" s="3">
        <f ca="1">IFERROR(__xludf.DUMMYFUNCTION("""COMPUTED_VALUE"""),-0.486687517496477)</f>
        <v>-0.48668751749647698</v>
      </c>
      <c r="DO17" s="3">
        <f ca="1">IFERROR(__xludf.DUMMYFUNCTION("""COMPUTED_VALUE"""),-0.546614036218044)</f>
        <v>-0.54661403621804405</v>
      </c>
      <c r="DP17" s="3">
        <f ca="1">IFERROR(__xludf.DUMMYFUNCTION("""COMPUTED_VALUE"""),-0.383678583750961)</f>
        <v>-0.38367858375096098</v>
      </c>
      <c r="DQ17" s="3">
        <f ca="1">IFERROR(__xludf.DUMMYFUNCTION("""COMPUTED_VALUE"""),-0.458766847109592)</f>
        <v>-0.45876684710959198</v>
      </c>
      <c r="DR17" s="3">
        <f ca="1">IFERROR(__xludf.DUMMYFUNCTION("""COMPUTED_VALUE"""),-0.530042299540519)</f>
        <v>-0.53004229954051896</v>
      </c>
      <c r="DS17" s="3">
        <f ca="1">IFERROR(__xludf.DUMMYFUNCTION("""COMPUTED_VALUE"""),-0.569731989241133)</f>
        <v>-0.569731989241133</v>
      </c>
      <c r="DT17" s="3">
        <f ca="1">IFERROR(__xludf.DUMMYFUNCTION("""COMPUTED_VALUE"""),-0.573474334885378)</f>
        <v>-0.57347433488537802</v>
      </c>
      <c r="DU17" s="3">
        <f ca="1">IFERROR(__xludf.DUMMYFUNCTION("""COMPUTED_VALUE"""),-0.593775325547714)</f>
        <v>-0.59377532554771395</v>
      </c>
      <c r="DV17" s="3">
        <f ca="1">IFERROR(__xludf.DUMMYFUNCTION("""COMPUTED_VALUE"""),-0.585398456962293)</f>
        <v>-0.58539845696229298</v>
      </c>
      <c r="DW17" s="3">
        <f ca="1">IFERROR(__xludf.DUMMYFUNCTION("""COMPUTED_VALUE"""),-0.46870803521082)</f>
        <v>-0.46870803521082</v>
      </c>
      <c r="DX17" s="3">
        <f ca="1">IFERROR(__xludf.DUMMYFUNCTION("""COMPUTED_VALUE"""),-0.459951239598446)</f>
        <v>-0.45995123959844603</v>
      </c>
      <c r="DY17" s="3">
        <f ca="1">IFERROR(__xludf.DUMMYFUNCTION("""COMPUTED_VALUE"""),-0.523525636335277)</f>
        <v>-0.52352563633527704</v>
      </c>
      <c r="DZ17" s="3">
        <f ca="1">IFERROR(__xludf.DUMMYFUNCTION("""COMPUTED_VALUE"""),-0.492216617195691)</f>
        <v>-0.49221661719569099</v>
      </c>
      <c r="EA17" s="3">
        <f ca="1">IFERROR(__xludf.DUMMYFUNCTION("""COMPUTED_VALUE"""),-0.580512951555567)</f>
        <v>-0.58051295155556704</v>
      </c>
      <c r="EB17" s="3">
        <f ca="1">IFERROR(__xludf.DUMMYFUNCTION("""COMPUTED_VALUE"""),-0.615118942279375)</f>
        <v>-0.61511894227937502</v>
      </c>
      <c r="EC17" s="3">
        <f ca="1">IFERROR(__xludf.DUMMYFUNCTION("""COMPUTED_VALUE"""),-0.638644012132193)</f>
        <v>-0.63864401213219302</v>
      </c>
      <c r="ED17" s="3">
        <f ca="1">IFERROR(__xludf.DUMMYFUNCTION("""COMPUTED_VALUE"""),-0.458565914706683)</f>
        <v>-0.45856591470668301</v>
      </c>
      <c r="EE17" s="3">
        <f ca="1">IFERROR(__xludf.DUMMYFUNCTION("""COMPUTED_VALUE"""),-0.489598753478868)</f>
        <v>-0.489598753478868</v>
      </c>
      <c r="EF17" s="3">
        <f ca="1">IFERROR(__xludf.DUMMYFUNCTION("""COMPUTED_VALUE"""),-0.59822379403269)</f>
        <v>-0.59822379403268999</v>
      </c>
      <c r="EG17" s="3">
        <f ca="1">IFERROR(__xludf.DUMMYFUNCTION("""COMPUTED_VALUE"""),-0.713233902340286)</f>
        <v>-0.71323390234028605</v>
      </c>
      <c r="EH17" s="3">
        <f ca="1">IFERROR(__xludf.DUMMYFUNCTION("""COMPUTED_VALUE"""),-0.631521796608027)</f>
        <v>-0.63152179660802699</v>
      </c>
      <c r="EI17" s="3">
        <f ca="1">IFERROR(__xludf.DUMMYFUNCTION("""COMPUTED_VALUE"""),-0.604118196010947)</f>
        <v>-0.60411819601094696</v>
      </c>
      <c r="EJ17" s="3">
        <f ca="1">IFERROR(__xludf.DUMMYFUNCTION("""COMPUTED_VALUE"""),-0.602473803376959)</f>
        <v>-0.60247380337695899</v>
      </c>
      <c r="EK17" s="3">
        <f ca="1">IFERROR(__xludf.DUMMYFUNCTION("""COMPUTED_VALUE"""),-0.519924574708615)</f>
        <v>-0.51992457470861497</v>
      </c>
      <c r="EL17" s="3">
        <f ca="1">IFERROR(__xludf.DUMMYFUNCTION("""COMPUTED_VALUE"""),-0.474973681874509)</f>
        <v>-0.474973681874509</v>
      </c>
      <c r="EM17" s="3">
        <f ca="1">IFERROR(__xludf.DUMMYFUNCTION("""COMPUTED_VALUE"""),-0.552485840928925)</f>
        <v>-0.55248584092892505</v>
      </c>
      <c r="EN17" s="3">
        <f ca="1">IFERROR(__xludf.DUMMYFUNCTION("""COMPUTED_VALUE"""),-0.483662031714813)</f>
        <v>-0.48366203171481298</v>
      </c>
      <c r="EO17" s="3">
        <f ca="1">IFERROR(__xludf.DUMMYFUNCTION("""COMPUTED_VALUE"""),-0.546595551108668)</f>
        <v>-0.54659555110866798</v>
      </c>
      <c r="EP17" s="3">
        <f ca="1">IFERROR(__xludf.DUMMYFUNCTION("""COMPUTED_VALUE"""),-0.577604066408955)</f>
        <v>-0.57760406640895501</v>
      </c>
      <c r="EQ17" s="3">
        <f ca="1">IFERROR(__xludf.DUMMYFUNCTION("""COMPUTED_VALUE"""),-0.552570761786307)</f>
        <v>-0.55257076178630704</v>
      </c>
      <c r="ER17" s="3">
        <f ca="1">IFERROR(__xludf.DUMMYFUNCTION("""COMPUTED_VALUE"""),-0.489183085176657)</f>
        <v>-0.48918308517665698</v>
      </c>
      <c r="ES17" s="3">
        <f ca="1">IFERROR(__xludf.DUMMYFUNCTION("""COMPUTED_VALUE"""),-0.422252587849437)</f>
        <v>-0.42225258784943698</v>
      </c>
      <c r="ET17" s="3">
        <f ca="1">IFERROR(__xludf.DUMMYFUNCTION("""COMPUTED_VALUE"""),-0.593212061810225)</f>
        <v>-0.59321206181022501</v>
      </c>
      <c r="EU17" s="3">
        <f ca="1">IFERROR(__xludf.DUMMYFUNCTION("""COMPUTED_VALUE"""),-0.601491946747522)</f>
        <v>-0.60149194674752204</v>
      </c>
      <c r="EV17" s="3">
        <f ca="1">IFERROR(__xludf.DUMMYFUNCTION("""COMPUTED_VALUE"""),-0.590669925062585)</f>
        <v>-0.59066992506258498</v>
      </c>
      <c r="EW17" s="3">
        <f ca="1">IFERROR(__xludf.DUMMYFUNCTION("""COMPUTED_VALUE"""),-0.569752159153751)</f>
        <v>-0.56975215915375099</v>
      </c>
      <c r="EX17" s="3">
        <f ca="1">IFERROR(__xludf.DUMMYFUNCTION("""COMPUTED_VALUE"""),-0.554248266787108)</f>
        <v>-0.55424826678710803</v>
      </c>
      <c r="EY17" s="3">
        <f ca="1">IFERROR(__xludf.DUMMYFUNCTION("""COMPUTED_VALUE"""),-0.411180473914258)</f>
        <v>-0.41118047391425799</v>
      </c>
      <c r="EZ17" s="3">
        <f ca="1">IFERROR(__xludf.DUMMYFUNCTION("""COMPUTED_VALUE"""),-0.461733165877755)</f>
        <v>-0.46173316587775498</v>
      </c>
      <c r="FA17" s="3">
        <f ca="1">IFERROR(__xludf.DUMMYFUNCTION("""COMPUTED_VALUE"""),-0.584030139128306)</f>
        <v>-0.58403013912830604</v>
      </c>
      <c r="FB17" s="3">
        <f ca="1">IFERROR(__xludf.DUMMYFUNCTION("""COMPUTED_VALUE"""),-0.603191981615579)</f>
        <v>-0.60319198161557896</v>
      </c>
      <c r="FC17" s="3">
        <f ca="1">IFERROR(__xludf.DUMMYFUNCTION("""COMPUTED_VALUE"""),-0.580919425036844)</f>
        <v>-0.58091942503684402</v>
      </c>
      <c r="FD17" s="3">
        <f ca="1">IFERROR(__xludf.DUMMYFUNCTION("""COMPUTED_VALUE"""),-0.59387168115472)</f>
        <v>-0.59387168115472</v>
      </c>
      <c r="FE17" s="3">
        <f ca="1">IFERROR(__xludf.DUMMYFUNCTION("""COMPUTED_VALUE"""),-0.53941955559858)</f>
        <v>-0.53941955559858001</v>
      </c>
      <c r="FF17" s="3">
        <f ca="1">IFERROR(__xludf.DUMMYFUNCTION("""COMPUTED_VALUE"""),-0.474235466278054)</f>
        <v>-0.47423546627805402</v>
      </c>
      <c r="FG17" s="3">
        <f ca="1">IFERROR(__xludf.DUMMYFUNCTION("""COMPUTED_VALUE"""),-0.434591195755338)</f>
        <v>-0.434591195755338</v>
      </c>
      <c r="FH17" s="3">
        <f ca="1">IFERROR(__xludf.DUMMYFUNCTION("""COMPUTED_VALUE"""),-0.569420631371815)</f>
        <v>-0.56942063137181498</v>
      </c>
      <c r="FI17" s="3">
        <f ca="1">IFERROR(__xludf.DUMMYFUNCTION("""COMPUTED_VALUE"""),-0.622675330618862)</f>
        <v>-0.62267533061886204</v>
      </c>
      <c r="FJ17" s="3">
        <f ca="1">IFERROR(__xludf.DUMMYFUNCTION("""COMPUTED_VALUE"""),-0.573840044629417)</f>
        <v>-0.57384004462941696</v>
      </c>
      <c r="FK17" s="3">
        <f ca="1">IFERROR(__xludf.DUMMYFUNCTION("""COMPUTED_VALUE"""),-0.577047733604866)</f>
        <v>-0.57704773360486605</v>
      </c>
      <c r="FL17" s="3">
        <f ca="1">IFERROR(__xludf.DUMMYFUNCTION("""COMPUTED_VALUE"""),-0.59847384831564)</f>
        <v>-0.59847384831563999</v>
      </c>
      <c r="FM17" s="3">
        <f ca="1">IFERROR(__xludf.DUMMYFUNCTION("""COMPUTED_VALUE"""),-0.45379460404089)</f>
        <v>-0.45379460404089</v>
      </c>
      <c r="FN17" s="3">
        <f ca="1">IFERROR(__xludf.DUMMYFUNCTION("""COMPUTED_VALUE"""),-0.413811154026459)</f>
        <v>-0.41381115402645902</v>
      </c>
      <c r="FO17" s="3">
        <f ca="1">IFERROR(__xludf.DUMMYFUNCTION("""COMPUTED_VALUE"""),-0.562368908810405)</f>
        <v>-0.56236890881040502</v>
      </c>
      <c r="FP17" s="3">
        <f ca="1">IFERROR(__xludf.DUMMYFUNCTION("""COMPUTED_VALUE"""),-0.571587379922468)</f>
        <v>-0.571587379922468</v>
      </c>
      <c r="FQ17" s="3">
        <f ca="1">IFERROR(__xludf.DUMMYFUNCTION("""COMPUTED_VALUE"""),-0.569545416714661)</f>
        <v>-0.56954541671466097</v>
      </c>
      <c r="FR17" s="3">
        <f ca="1">IFERROR(__xludf.DUMMYFUNCTION("""COMPUTED_VALUE"""),-0.576514042407325)</f>
        <v>-0.57651404240732496</v>
      </c>
      <c r="FS17" s="3">
        <f ca="1">IFERROR(__xludf.DUMMYFUNCTION("""COMPUTED_VALUE"""),-0.596580579246059)</f>
        <v>-0.59658057924605901</v>
      </c>
      <c r="FT17" s="3">
        <f ca="1">IFERROR(__xludf.DUMMYFUNCTION("""COMPUTED_VALUE"""),-0.478708324923011)</f>
        <v>-0.47870832492301102</v>
      </c>
      <c r="FU17" s="3">
        <f ca="1">IFERROR(__xludf.DUMMYFUNCTION("""COMPUTED_VALUE"""),-0.391124269653729)</f>
        <v>-0.39112426965372898</v>
      </c>
      <c r="FV17" s="3">
        <f ca="1">IFERROR(__xludf.DUMMYFUNCTION("""COMPUTED_VALUE"""),-0.534735620355038)</f>
        <v>-0.53473562035503797</v>
      </c>
      <c r="FW17" s="3">
        <f ca="1">IFERROR(__xludf.DUMMYFUNCTION("""COMPUTED_VALUE"""),-0.564580069891794)</f>
        <v>-0.56458006989179399</v>
      </c>
      <c r="FX17" s="3">
        <f ca="1">IFERROR(__xludf.DUMMYFUNCTION("""COMPUTED_VALUE"""),-0.570471214340265)</f>
        <v>-0.57047121434026504</v>
      </c>
      <c r="FY17" s="3">
        <f ca="1">IFERROR(__xludf.DUMMYFUNCTION("""COMPUTED_VALUE"""),-0.567597085911683)</f>
        <v>-0.56759708591168301</v>
      </c>
      <c r="FZ17" s="3">
        <f ca="1">IFERROR(__xludf.DUMMYFUNCTION("""COMPUTED_VALUE"""),-0.588795409560914)</f>
        <v>-0.58879540956091403</v>
      </c>
      <c r="GA17" s="3">
        <f ca="1">IFERROR(__xludf.DUMMYFUNCTION("""COMPUTED_VALUE"""),-0.469464033669531)</f>
        <v>-0.46946403366953099</v>
      </c>
      <c r="GB17" s="3">
        <f ca="1">IFERROR(__xludf.DUMMYFUNCTION("""COMPUTED_VALUE"""),-0.454361405054186)</f>
        <v>-0.45436140505418599</v>
      </c>
      <c r="GC17" s="3">
        <f ca="1">IFERROR(__xludf.DUMMYFUNCTION("""COMPUTED_VALUE"""),-0.577644446340519)</f>
        <v>-0.57764444634051904</v>
      </c>
      <c r="GD17" s="3">
        <f ca="1">IFERROR(__xludf.DUMMYFUNCTION("""COMPUTED_VALUE"""),-0.557194750819296)</f>
        <v>-0.55719475081929604</v>
      </c>
      <c r="GE17" s="3">
        <f ca="1">IFERROR(__xludf.DUMMYFUNCTION("""COMPUTED_VALUE"""),-0.569293015388952)</f>
        <v>-0.56929301538895205</v>
      </c>
      <c r="GF17" s="3">
        <f ca="1">IFERROR(__xludf.DUMMYFUNCTION("""COMPUTED_VALUE"""),-0.581911896616488)</f>
        <v>-0.58191189661648801</v>
      </c>
      <c r="GG17" s="3">
        <f ca="1">IFERROR(__xludf.DUMMYFUNCTION("""COMPUTED_VALUE"""),-0.564787692706042)</f>
        <v>-0.56478769270604201</v>
      </c>
      <c r="GH17" s="3">
        <f ca="1">IFERROR(__xludf.DUMMYFUNCTION("""COMPUTED_VALUE"""),-0.470154200084522)</f>
        <v>-0.47015420008452202</v>
      </c>
      <c r="GI17" s="3">
        <f ca="1">IFERROR(__xludf.DUMMYFUNCTION("""COMPUTED_VALUE"""),-0.4679341020474)</f>
        <v>-0.46793410204739999</v>
      </c>
      <c r="GJ17" s="3">
        <f ca="1">IFERROR(__xludf.DUMMYFUNCTION("""COMPUTED_VALUE"""),-0.570077556019964)</f>
        <v>-0.57007755601996402</v>
      </c>
      <c r="GK17" s="3">
        <f ca="1">IFERROR(__xludf.DUMMYFUNCTION("""COMPUTED_VALUE"""),-0.568814504152803)</f>
        <v>-0.56881450415280299</v>
      </c>
      <c r="GL17" s="3">
        <f ca="1">IFERROR(__xludf.DUMMYFUNCTION("""COMPUTED_VALUE"""),-0.605578869358662)</f>
        <v>-0.60557886935866201</v>
      </c>
      <c r="GM17" s="3">
        <f ca="1">IFERROR(__xludf.DUMMYFUNCTION("""COMPUTED_VALUE"""),-0.556340804405505)</f>
        <v>-0.55634080440550504</v>
      </c>
      <c r="GN17" s="3">
        <f ca="1">IFERROR(__xludf.DUMMYFUNCTION("""COMPUTED_VALUE"""),-0.574640006848523)</f>
        <v>-0.57464000684852301</v>
      </c>
      <c r="GO17" s="3">
        <f ca="1">IFERROR(__xludf.DUMMYFUNCTION("""COMPUTED_VALUE"""),-0.377218336617552)</f>
        <v>-0.377218336617552</v>
      </c>
      <c r="GP17" s="3">
        <f ca="1">IFERROR(__xludf.DUMMYFUNCTION("""COMPUTED_VALUE"""),-0.477246998158444)</f>
        <v>-0.47724699815844401</v>
      </c>
      <c r="GQ17" s="3">
        <f ca="1">IFERROR(__xludf.DUMMYFUNCTION("""COMPUTED_VALUE"""),-0.537213223591959)</f>
        <v>-0.537213223591959</v>
      </c>
      <c r="GR17" s="3">
        <f ca="1">IFERROR(__xludf.DUMMYFUNCTION("""COMPUTED_VALUE"""),-0.585033206443692)</f>
        <v>-0.58503320644369206</v>
      </c>
      <c r="GS17" s="3">
        <f ca="1">IFERROR(__xludf.DUMMYFUNCTION("""COMPUTED_VALUE"""),-0.557731047723532)</f>
        <v>-0.55773104772353199</v>
      </c>
      <c r="GT17" s="3">
        <f ca="1">IFERROR(__xludf.DUMMYFUNCTION("""COMPUTED_VALUE"""),-0.529755606018573)</f>
        <v>-0.52975560601857297</v>
      </c>
      <c r="GU17" s="3">
        <f ca="1">IFERROR(__xludf.DUMMYFUNCTION("""COMPUTED_VALUE"""),-0.516310741366224)</f>
        <v>-0.51631074136622401</v>
      </c>
      <c r="GV17" s="3">
        <f ca="1">IFERROR(__xludf.DUMMYFUNCTION("""COMPUTED_VALUE"""),-0.520088111925253)</f>
        <v>-0.52008811192525295</v>
      </c>
      <c r="GW17" s="3">
        <f ca="1">IFERROR(__xludf.DUMMYFUNCTION("""COMPUTED_VALUE"""),-0.526677769296809)</f>
        <v>-0.52667776929680898</v>
      </c>
      <c r="GX17" s="3">
        <f ca="1">IFERROR(__xludf.DUMMYFUNCTION("""COMPUTED_VALUE"""),-0.597894391413963)</f>
        <v>-0.59789439141396294</v>
      </c>
      <c r="GY17" s="3">
        <f ca="1">IFERROR(__xludf.DUMMYFUNCTION("""COMPUTED_VALUE"""),-0.634770239025992)</f>
        <v>-0.63477023902599194</v>
      </c>
      <c r="GZ17" s="3">
        <f ca="1">IFERROR(__xludf.DUMMYFUNCTION("""COMPUTED_VALUE"""),-0.635929204304095)</f>
        <v>-0.63592920430409505</v>
      </c>
      <c r="HA17" s="3">
        <f ca="1">IFERROR(__xludf.DUMMYFUNCTION("""COMPUTED_VALUE"""),-0.608924387880099)</f>
        <v>-0.60892438788009895</v>
      </c>
      <c r="HB17" s="3">
        <f ca="1">IFERROR(__xludf.DUMMYFUNCTION("""COMPUTED_VALUE"""),-0.64139047852838)</f>
        <v>-0.64139047852838005</v>
      </c>
      <c r="HC17" s="3">
        <f ca="1">IFERROR(__xludf.DUMMYFUNCTION("""COMPUTED_VALUE"""),-0.52766030914823)</f>
        <v>-0.52766030914823003</v>
      </c>
      <c r="HD17" s="3">
        <f ca="1">IFERROR(__xludf.DUMMYFUNCTION("""COMPUTED_VALUE"""),-0.474618416215456)</f>
        <v>-0.47461841621545597</v>
      </c>
      <c r="HE17" s="3">
        <f ca="1">IFERROR(__xludf.DUMMYFUNCTION("""COMPUTED_VALUE"""),-0.629518941995863)</f>
        <v>-0.629518941995863</v>
      </c>
      <c r="HF17" s="3">
        <f ca="1">IFERROR(__xludf.DUMMYFUNCTION("""COMPUTED_VALUE"""),-0.631900022489813)</f>
        <v>-0.63190002248981303</v>
      </c>
      <c r="HG17" s="3">
        <f ca="1">IFERROR(__xludf.DUMMYFUNCTION("""COMPUTED_VALUE"""),-0.615004373978922)</f>
        <v>-0.61500437397892205</v>
      </c>
      <c r="HH17" s="3">
        <f ca="1">IFERROR(__xludf.DUMMYFUNCTION("""COMPUTED_VALUE"""),-0.598525464515242)</f>
        <v>-0.59852546451524202</v>
      </c>
      <c r="HI17" s="3">
        <f ca="1">IFERROR(__xludf.DUMMYFUNCTION("""COMPUTED_VALUE"""),-0.680582758429051)</f>
        <v>-0.68058275842905103</v>
      </c>
      <c r="HJ17" s="3">
        <f ca="1">IFERROR(__xludf.DUMMYFUNCTION("""COMPUTED_VALUE"""),-0.508348072708659)</f>
        <v>-0.508348072708659</v>
      </c>
      <c r="HK17" s="3">
        <f ca="1">IFERROR(__xludf.DUMMYFUNCTION("""COMPUTED_VALUE"""),-0.57546764413208)</f>
        <v>-0.57546764413207996</v>
      </c>
      <c r="HL17" s="3">
        <f ca="1">IFERROR(__xludf.DUMMYFUNCTION("""COMPUTED_VALUE"""),-0.598004363534049)</f>
        <v>-0.59800436353404895</v>
      </c>
      <c r="HM17" s="3">
        <f ca="1">IFERROR(__xludf.DUMMYFUNCTION("""COMPUTED_VALUE"""),-0.618423346404497)</f>
        <v>-0.61842334640449703</v>
      </c>
      <c r="HN17" s="3">
        <f ca="1">IFERROR(__xludf.DUMMYFUNCTION("""COMPUTED_VALUE"""),-0.660475652829185)</f>
        <v>-0.66047565282918497</v>
      </c>
      <c r="HO17" s="3">
        <f ca="1">IFERROR(__xludf.DUMMYFUNCTION("""COMPUTED_VALUE"""),-0.631925641557549)</f>
        <v>-0.63192564155754904</v>
      </c>
      <c r="HP17" s="3">
        <f ca="1">IFERROR(__xludf.DUMMYFUNCTION("""COMPUTED_VALUE"""),-0.551891669691956)</f>
        <v>-0.55189166969195602</v>
      </c>
      <c r="HQ17" s="3">
        <f ca="1">IFERROR(__xludf.DUMMYFUNCTION("""COMPUTED_VALUE"""),-0.457074820859385)</f>
        <v>-0.457074820859385</v>
      </c>
      <c r="HR17" s="3">
        <f ca="1">IFERROR(__xludf.DUMMYFUNCTION("""COMPUTED_VALUE"""),-0.585219677685065)</f>
        <v>-0.585219677685065</v>
      </c>
      <c r="HS17" s="3">
        <f ca="1">IFERROR(__xludf.DUMMYFUNCTION("""COMPUTED_VALUE"""),-0.646997710373072)</f>
        <v>-0.64699771037307197</v>
      </c>
      <c r="HT17" s="3">
        <f ca="1">IFERROR(__xludf.DUMMYFUNCTION("""COMPUTED_VALUE"""),-0.628278678015694)</f>
        <v>-0.62827867801569404</v>
      </c>
      <c r="HU17" s="3">
        <f ca="1">IFERROR(__xludf.DUMMYFUNCTION("""COMPUTED_VALUE"""),-0.63753995437502)</f>
        <v>-0.63753995437501998</v>
      </c>
      <c r="HV17" s="3">
        <f ca="1">IFERROR(__xludf.DUMMYFUNCTION("""COMPUTED_VALUE"""),-0.642731397739202)</f>
        <v>-0.64273139773920196</v>
      </c>
      <c r="HW17" s="3">
        <f ca="1">IFERROR(__xludf.DUMMYFUNCTION("""COMPUTED_VALUE"""),-0.56552719120841)</f>
        <v>-0.56552719120841</v>
      </c>
      <c r="HX17" s="3">
        <f ca="1">IFERROR(__xludf.DUMMYFUNCTION("""COMPUTED_VALUE"""),-0.551773472042325)</f>
        <v>-0.55177347204232496</v>
      </c>
      <c r="HY17" s="3">
        <f ca="1">IFERROR(__xludf.DUMMYFUNCTION("""COMPUTED_VALUE"""),-0.531333528917524)</f>
        <v>-0.53133352891752395</v>
      </c>
      <c r="HZ17" s="3">
        <f ca="1">IFERROR(__xludf.DUMMYFUNCTION("""COMPUTED_VALUE"""),-0.619184667826703)</f>
        <v>-0.61918466782670301</v>
      </c>
      <c r="IA17" s="3">
        <f ca="1">IFERROR(__xludf.DUMMYFUNCTION("""COMPUTED_VALUE"""),-0.575652678736186)</f>
        <v>-0.57565267873618597</v>
      </c>
      <c r="IB17" s="3">
        <f ca="1">IFERROR(__xludf.DUMMYFUNCTION("""COMPUTED_VALUE"""),-0.634721702986469)</f>
        <v>-0.63472170298646902</v>
      </c>
      <c r="IC17" s="3">
        <f ca="1">IFERROR(__xludf.DUMMYFUNCTION("""COMPUTED_VALUE"""),-0.630391527802344)</f>
        <v>-0.63039152780234398</v>
      </c>
      <c r="ID17" s="3">
        <f ca="1">IFERROR(__xludf.DUMMYFUNCTION("""COMPUTED_VALUE"""),-0.569741150050923)</f>
        <v>-0.56974115005092296</v>
      </c>
      <c r="IE17" s="3">
        <f ca="1">IFERROR(__xludf.DUMMYFUNCTION("""COMPUTED_VALUE"""),-0.496488028771146)</f>
        <v>-0.49648802877114601</v>
      </c>
      <c r="IF17" s="3">
        <f ca="1">IFERROR(__xludf.DUMMYFUNCTION("""COMPUTED_VALUE"""),-0.540828891309621)</f>
        <v>-0.54082889130962097</v>
      </c>
      <c r="IG17" s="3">
        <f ca="1">IFERROR(__xludf.DUMMYFUNCTION("""COMPUTED_VALUE"""),-0.611458730249177)</f>
        <v>-0.61145873024917696</v>
      </c>
      <c r="IH17" s="3">
        <f ca="1">IFERROR(__xludf.DUMMYFUNCTION("""COMPUTED_VALUE"""),-0.585989883891307)</f>
        <v>-0.58598988389130702</v>
      </c>
      <c r="II17" s="3">
        <f ca="1">IFERROR(__xludf.DUMMYFUNCTION("""COMPUTED_VALUE"""),-0.560227820009385)</f>
        <v>-0.56022782000938498</v>
      </c>
      <c r="IJ17" s="3">
        <f ca="1">IFERROR(__xludf.DUMMYFUNCTION("""COMPUTED_VALUE"""),-0.615330924007925)</f>
        <v>-0.615330924007925</v>
      </c>
      <c r="IK17" s="3">
        <f ca="1">IFERROR(__xludf.DUMMYFUNCTION("""COMPUTED_VALUE"""),-0.555979073181753)</f>
        <v>-0.55597907318175299</v>
      </c>
      <c r="IL17" s="3">
        <f ca="1">IFERROR(__xludf.DUMMYFUNCTION("""COMPUTED_VALUE"""),-0.526592054752443)</f>
        <v>-0.52659205475244297</v>
      </c>
      <c r="IM17" s="3">
        <f ca="1">IFERROR(__xludf.DUMMYFUNCTION("""COMPUTED_VALUE"""),-0.525385880463169)</f>
        <v>-0.52538588046316903</v>
      </c>
      <c r="IN17" s="3">
        <f ca="1">IFERROR(__xludf.DUMMYFUNCTION("""COMPUTED_VALUE"""),-0.582768019286968)</f>
        <v>-0.58276801928696798</v>
      </c>
      <c r="IO17" s="3">
        <f ca="1">IFERROR(__xludf.DUMMYFUNCTION("""COMPUTED_VALUE"""),-0.576306294931981)</f>
        <v>-0.57630629493198104</v>
      </c>
      <c r="IP17" s="3">
        <f ca="1">IFERROR(__xludf.DUMMYFUNCTION("""COMPUTED_VALUE"""),-0.524739669115212)</f>
        <v>-0.52473966911521197</v>
      </c>
      <c r="IQ17" s="3">
        <f ca="1">IFERROR(__xludf.DUMMYFUNCTION("""COMPUTED_VALUE"""),-0.587600932635875)</f>
        <v>-0.58760093263587498</v>
      </c>
      <c r="IR17" s="3">
        <f ca="1">IFERROR(__xludf.DUMMYFUNCTION("""COMPUTED_VALUE"""),-0.560124045307381)</f>
        <v>-0.56012404530738102</v>
      </c>
      <c r="IS17" s="3">
        <f ca="1">IFERROR(__xludf.DUMMYFUNCTION("""COMPUTED_VALUE"""),-0.503552438807275)</f>
        <v>-0.50355243880727496</v>
      </c>
      <c r="IT17" s="3">
        <f ca="1">IFERROR(__xludf.DUMMYFUNCTION("""COMPUTED_VALUE"""),-0.533205543265393)</f>
        <v>-0.53320554326539304</v>
      </c>
      <c r="IU17" s="3">
        <f ca="1">IFERROR(__xludf.DUMMYFUNCTION("""COMPUTED_VALUE"""),-0.545386551890794)</f>
        <v>-0.54538655189079399</v>
      </c>
      <c r="IV17" s="3">
        <f ca="1">IFERROR(__xludf.DUMMYFUNCTION("""COMPUTED_VALUE"""),-0.57961261604904)</f>
        <v>-0.57961261604904002</v>
      </c>
      <c r="IW17" s="3">
        <f ca="1">IFERROR(__xludf.DUMMYFUNCTION("""COMPUTED_VALUE"""),-0.500300482008591)</f>
        <v>-0.50030048200859101</v>
      </c>
      <c r="IX17" s="3">
        <f ca="1">IFERROR(__xludf.DUMMYFUNCTION("""COMPUTED_VALUE"""),-0.552132207915864)</f>
        <v>-0.55213220791586404</v>
      </c>
      <c r="IY17" s="3">
        <f ca="1">IFERROR(__xludf.DUMMYFUNCTION("""COMPUTED_VALUE"""),-0.596862322818078)</f>
        <v>-0.59686232281807805</v>
      </c>
      <c r="IZ17" s="3">
        <f ca="1">IFERROR(__xludf.DUMMYFUNCTION("""COMPUTED_VALUE"""),-0.535637379192951)</f>
        <v>-0.53563737919295096</v>
      </c>
      <c r="JA17" s="3">
        <f ca="1">IFERROR(__xludf.DUMMYFUNCTION("""COMPUTED_VALUE"""),-0.478031175158143)</f>
        <v>-0.47803117515814297</v>
      </c>
      <c r="JB17" s="3">
        <f ca="1">IFERROR(__xludf.DUMMYFUNCTION("""COMPUTED_VALUE"""),-0.573446699924468)</f>
        <v>-0.57344669992446795</v>
      </c>
      <c r="JC17" s="3">
        <f ca="1">IFERROR(__xludf.DUMMYFUNCTION("""COMPUTED_VALUE"""),-0.599833118017513)</f>
        <v>-0.59983311801751305</v>
      </c>
      <c r="JD17" s="3">
        <f ca="1">IFERROR(__xludf.DUMMYFUNCTION("""COMPUTED_VALUE"""),-0.575004156897189)</f>
        <v>-0.57500415689718898</v>
      </c>
      <c r="JE17" s="3">
        <f ca="1">IFERROR(__xludf.DUMMYFUNCTION("""COMPUTED_VALUE"""),-0.55332386652824)</f>
        <v>-0.55332386652823995</v>
      </c>
      <c r="JF17" s="3">
        <f ca="1">IFERROR(__xludf.DUMMYFUNCTION("""COMPUTED_VALUE"""),-0.56674309888715)</f>
        <v>-0.56674309888715002</v>
      </c>
      <c r="JG17" s="3">
        <f ca="1">IFERROR(__xludf.DUMMYFUNCTION("""COMPUTED_VALUE"""),-0.520467545546944)</f>
        <v>-0.52046754554694397</v>
      </c>
      <c r="JH17" s="3">
        <f ca="1">IFERROR(__xludf.DUMMYFUNCTION("""COMPUTED_VALUE"""),-0.450782756827782)</f>
        <v>-0.45078275682778202</v>
      </c>
      <c r="JI17" s="3">
        <f ca="1">IFERROR(__xludf.DUMMYFUNCTION("""COMPUTED_VALUE"""),-0.557225337536417)</f>
        <v>-0.55722533753641701</v>
      </c>
      <c r="JJ17" s="3">
        <f ca="1">IFERROR(__xludf.DUMMYFUNCTION("""COMPUTED_VALUE"""),-0.602505265716579)</f>
        <v>-0.60250526571657903</v>
      </c>
      <c r="JK17" s="3">
        <f ca="1">IFERROR(__xludf.DUMMYFUNCTION("""COMPUTED_VALUE"""),-0.534700539282493)</f>
        <v>-0.53470053928249295</v>
      </c>
      <c r="JL17" s="3">
        <f ca="1">IFERROR(__xludf.DUMMYFUNCTION("""COMPUTED_VALUE"""),-0.570234500186487)</f>
        <v>-0.57023450018648703</v>
      </c>
      <c r="JM17" s="3">
        <f ca="1">IFERROR(__xludf.DUMMYFUNCTION("""COMPUTED_VALUE"""),-0.576957595463235)</f>
        <v>-0.576957595463235</v>
      </c>
      <c r="JN17" s="3">
        <f ca="1">IFERROR(__xludf.DUMMYFUNCTION("""COMPUTED_VALUE"""),-0.520215454354118)</f>
        <v>-0.52021545435411798</v>
      </c>
      <c r="JO17" s="3">
        <f ca="1">IFERROR(__xludf.DUMMYFUNCTION("""COMPUTED_VALUE"""),-0.485489623720622)</f>
        <v>-0.48548962372062199</v>
      </c>
      <c r="JP17" s="3">
        <f ca="1">IFERROR(__xludf.DUMMYFUNCTION("""COMPUTED_VALUE"""),-0.576686970681049)</f>
        <v>-0.57668697068104902</v>
      </c>
      <c r="JQ17" s="3">
        <f ca="1">IFERROR(__xludf.DUMMYFUNCTION("""COMPUTED_VALUE"""),-0.515777777327491)</f>
        <v>-0.51577777732749097</v>
      </c>
      <c r="JR17" s="3">
        <f ca="1">IFERROR(__xludf.DUMMYFUNCTION("""COMPUTED_VALUE"""),-0.552754067618115)</f>
        <v>-0.55275406761811496</v>
      </c>
      <c r="JS17" s="3">
        <f ca="1">IFERROR(__xludf.DUMMYFUNCTION("""COMPUTED_VALUE"""),-0.584506192561962)</f>
        <v>-0.58450619256196201</v>
      </c>
      <c r="JT17" s="3">
        <f ca="1">IFERROR(__xludf.DUMMYFUNCTION("""COMPUTED_VALUE"""),-0.581473770679564)</f>
        <v>-0.58147377067956396</v>
      </c>
      <c r="JU17" s="3">
        <f ca="1">IFERROR(__xludf.DUMMYFUNCTION("""COMPUTED_VALUE"""),-0.467366238616441)</f>
        <v>-0.467366238616441</v>
      </c>
      <c r="JV17" s="3">
        <f ca="1">IFERROR(__xludf.DUMMYFUNCTION("""COMPUTED_VALUE"""),-0.581910795012399)</f>
        <v>-0.58191079501239895</v>
      </c>
      <c r="JW17" s="3">
        <f ca="1">IFERROR(__xludf.DUMMYFUNCTION("""COMPUTED_VALUE"""),-0.594359237049503)</f>
        <v>-0.594359237049503</v>
      </c>
      <c r="JX17" s="3">
        <f ca="1">IFERROR(__xludf.DUMMYFUNCTION("""COMPUTED_VALUE"""),-0.514035048968353)</f>
        <v>-0.51403504896835295</v>
      </c>
      <c r="JY17" s="3">
        <f ca="1">IFERROR(__xludf.DUMMYFUNCTION("""COMPUTED_VALUE"""),-0.578469652211212)</f>
        <v>-0.57846965221121205</v>
      </c>
      <c r="JZ17" s="3">
        <f ca="1">IFERROR(__xludf.DUMMYFUNCTION("""COMPUTED_VALUE"""),-0.599934753135366)</f>
        <v>-0.59993475313536604</v>
      </c>
      <c r="KA17" s="3">
        <f ca="1">IFERROR(__xludf.DUMMYFUNCTION("""COMPUTED_VALUE"""),-0.580107779079288)</f>
        <v>-0.58010777907928801</v>
      </c>
      <c r="KB17" s="3">
        <f ca="1">IFERROR(__xludf.DUMMYFUNCTION("""COMPUTED_VALUE"""),-0.462938172816888)</f>
        <v>-0.46293817281688798</v>
      </c>
      <c r="KC17" s="3">
        <f ca="1">IFERROR(__xludf.DUMMYFUNCTION("""COMPUTED_VALUE"""),-0.573998494739298)</f>
        <v>-0.57399849473929798</v>
      </c>
      <c r="KD17" s="3">
        <f ca="1">IFERROR(__xludf.DUMMYFUNCTION("""COMPUTED_VALUE"""),-0.581680001594675)</f>
        <v>-0.58168000159467503</v>
      </c>
      <c r="KE17" s="3">
        <f ca="1">IFERROR(__xludf.DUMMYFUNCTION("""COMPUTED_VALUE"""),-0.495767204589394)</f>
        <v>-0.49576720458939399</v>
      </c>
      <c r="KF17" s="3">
        <f ca="1">IFERROR(__xludf.DUMMYFUNCTION("""COMPUTED_VALUE"""),-0.604337441942218)</f>
        <v>-0.60433744194221795</v>
      </c>
      <c r="KG17" s="3">
        <f ca="1">IFERROR(__xludf.DUMMYFUNCTION("""COMPUTED_VALUE"""),-0.578867931317544)</f>
        <v>-0.57886793131754399</v>
      </c>
      <c r="KH17" s="3">
        <f ca="1">IFERROR(__xludf.DUMMYFUNCTION("""COMPUTED_VALUE"""),-0.580466681953793)</f>
        <v>-0.58046668195379303</v>
      </c>
      <c r="KI17" s="3">
        <f ca="1">IFERROR(__xludf.DUMMYFUNCTION("""COMPUTED_VALUE"""),-0.460156276087075)</f>
        <v>-0.46015627608707499</v>
      </c>
      <c r="KJ17" s="3">
        <f ca="1">IFERROR(__xludf.DUMMYFUNCTION("""COMPUTED_VALUE"""),-0.530028642842966)</f>
        <v>-0.53002864284296602</v>
      </c>
      <c r="KK17" s="3">
        <f ca="1">IFERROR(__xludf.DUMMYFUNCTION("""COMPUTED_VALUE"""),-0.561271251787413)</f>
        <v>-0.56127125178741299</v>
      </c>
      <c r="KL17" s="3">
        <f ca="1">IFERROR(__xludf.DUMMYFUNCTION("""COMPUTED_VALUE"""),-0.579203913340552)</f>
        <v>-0.57920391334055199</v>
      </c>
      <c r="KM17" s="3">
        <f ca="1">IFERROR(__xludf.DUMMYFUNCTION("""COMPUTED_VALUE"""),-0.559023898980773)</f>
        <v>-0.55902389898077298</v>
      </c>
      <c r="KN17" s="3">
        <f ca="1">IFERROR(__xludf.DUMMYFUNCTION("""COMPUTED_VALUE"""),-0.565235892661454)</f>
        <v>-0.56523589266145402</v>
      </c>
      <c r="KO17" s="3">
        <f ca="1">IFERROR(__xludf.DUMMYFUNCTION("""COMPUTED_VALUE"""),-0.538246543160263)</f>
        <v>-0.53824654316026299</v>
      </c>
      <c r="KP17" s="3">
        <f ca="1">IFERROR(__xludf.DUMMYFUNCTION("""COMPUTED_VALUE"""),-0.44656570275559)</f>
        <v>-0.44656570275558999</v>
      </c>
      <c r="KQ17" s="3">
        <f ca="1">IFERROR(__xludf.DUMMYFUNCTION("""COMPUTED_VALUE"""),-0.538518698633768)</f>
        <v>-0.538518698633768</v>
      </c>
      <c r="KR17" s="3">
        <f ca="1">IFERROR(__xludf.DUMMYFUNCTION("""COMPUTED_VALUE"""),-0.600199822551217)</f>
        <v>-0.60019982255121695</v>
      </c>
      <c r="KS17" s="3">
        <f ca="1">IFERROR(__xludf.DUMMYFUNCTION("""COMPUTED_VALUE"""),-0.578659632063794)</f>
        <v>-0.578659632063794</v>
      </c>
      <c r="KT17" s="3">
        <f ca="1">IFERROR(__xludf.DUMMYFUNCTION("""COMPUTED_VALUE"""),-0.616991112232059)</f>
        <v>-0.61699111223205905</v>
      </c>
      <c r="KU17" s="3">
        <f ca="1">IFERROR(__xludf.DUMMYFUNCTION("""COMPUTED_VALUE"""),-0.565767629788893)</f>
        <v>-0.56576762978889295</v>
      </c>
      <c r="KV17" s="3">
        <f ca="1">IFERROR(__xludf.DUMMYFUNCTION("""COMPUTED_VALUE"""),-0.606070276201146)</f>
        <v>-0.60607027620114595</v>
      </c>
      <c r="KW17" s="3">
        <f ca="1">IFERROR(__xludf.DUMMYFUNCTION("""COMPUTED_VALUE"""),-0.537856936169631)</f>
        <v>-0.53785693616963104</v>
      </c>
      <c r="KX17" s="3">
        <f ca="1">IFERROR(__xludf.DUMMYFUNCTION("""COMPUTED_VALUE"""),-0.58363224422463)</f>
        <v>-0.58363224422463</v>
      </c>
      <c r="KY17" s="3">
        <f ca="1">IFERROR(__xludf.DUMMYFUNCTION("""COMPUTED_VALUE"""),-0.657252031125797)</f>
        <v>-0.657252031125797</v>
      </c>
      <c r="KZ17" s="3">
        <f ca="1">IFERROR(__xludf.DUMMYFUNCTION("""COMPUTED_VALUE"""),-0.679885171537946)</f>
        <v>-0.67988517153794603</v>
      </c>
      <c r="LA17" s="3">
        <f ca="1">IFERROR(__xludf.DUMMYFUNCTION("""COMPUTED_VALUE"""),-0.655454510781982)</f>
        <v>-0.65545451078198202</v>
      </c>
      <c r="LB17" s="3">
        <f ca="1">IFERROR(__xludf.DUMMYFUNCTION("""COMPUTED_VALUE"""),-0.626135806346635)</f>
        <v>-0.62613580634663502</v>
      </c>
      <c r="LC17" s="3">
        <f ca="1">IFERROR(__xludf.DUMMYFUNCTION("""COMPUTED_VALUE"""),-0.491619570283285)</f>
        <v>-0.49161957028328501</v>
      </c>
      <c r="LD17" s="3">
        <f ca="1">IFERROR(__xludf.DUMMYFUNCTION("""COMPUTED_VALUE"""),-0.458208759539756)</f>
        <v>-0.45820875953975598</v>
      </c>
      <c r="LE17" s="3">
        <f ca="1">IFERROR(__xludf.DUMMYFUNCTION("""COMPUTED_VALUE"""),-0.470015914718843)</f>
        <v>-0.47001591471884302</v>
      </c>
      <c r="LF17" s="3">
        <f ca="1">IFERROR(__xludf.DUMMYFUNCTION("""COMPUTED_VALUE"""),-0.624246583619743)</f>
        <v>-0.62424658361974295</v>
      </c>
      <c r="LG17" s="3">
        <f ca="1">IFERROR(__xludf.DUMMYFUNCTION("""COMPUTED_VALUE"""),-0.588088167694371)</f>
        <v>-0.588088167694371</v>
      </c>
      <c r="LH17" s="3">
        <f ca="1">IFERROR(__xludf.DUMMYFUNCTION("""COMPUTED_VALUE"""),-0.591457944381245)</f>
        <v>-0.59145794438124499</v>
      </c>
      <c r="LI17" s="3">
        <f ca="1">IFERROR(__xludf.DUMMYFUNCTION("""COMPUTED_VALUE"""),-0.609182777775338)</f>
        <v>-0.60918277777533802</v>
      </c>
      <c r="LJ17" s="3">
        <f ca="1">IFERROR(__xludf.DUMMYFUNCTION("""COMPUTED_VALUE"""),-0.673282211349928)</f>
        <v>-0.67328221134992805</v>
      </c>
      <c r="LK17" s="3">
        <f ca="1">IFERROR(__xludf.DUMMYFUNCTION("""COMPUTED_VALUE"""),-0.459560223985111)</f>
        <v>-0.45956022398511098</v>
      </c>
      <c r="LL17" s="3">
        <f ca="1">IFERROR(__xludf.DUMMYFUNCTION("""COMPUTED_VALUE"""),-0.487671389815688)</f>
        <v>-0.48767138981568797</v>
      </c>
      <c r="LM17" s="3">
        <f ca="1">IFERROR(__xludf.DUMMYFUNCTION("""COMPUTED_VALUE"""),-0.605030440395741)</f>
        <v>-0.60503044039574105</v>
      </c>
      <c r="LN17" s="3">
        <f ca="1">IFERROR(__xludf.DUMMYFUNCTION("""COMPUTED_VALUE"""),-0.645759571311212)</f>
        <v>-0.64575957131121198</v>
      </c>
      <c r="LO17" s="3">
        <f ca="1">IFERROR(__xludf.DUMMYFUNCTION("""COMPUTED_VALUE"""),-0.661874932912538)</f>
        <v>-0.66187493291253796</v>
      </c>
      <c r="LP17" s="3">
        <f ca="1">IFERROR(__xludf.DUMMYFUNCTION("""COMPUTED_VALUE"""),-0.660227523794712)</f>
        <v>-0.66022752379471195</v>
      </c>
      <c r="LQ17" s="3">
        <f ca="1">IFERROR(__xludf.DUMMYFUNCTION("""COMPUTED_VALUE"""),-0.614457316139918)</f>
        <v>-0.61445731613991805</v>
      </c>
      <c r="LR17" s="3">
        <f ca="1">IFERROR(__xludf.DUMMYFUNCTION("""COMPUTED_VALUE"""),-0.520187407143629)</f>
        <v>-0.52018740714362899</v>
      </c>
      <c r="LS17" s="3">
        <f ca="1">IFERROR(__xludf.DUMMYFUNCTION("""COMPUTED_VALUE"""),-0.559209555556965)</f>
        <v>-0.55920955555696505</v>
      </c>
      <c r="LT17" s="3">
        <f ca="1">IFERROR(__xludf.DUMMYFUNCTION("""COMPUTED_VALUE"""),-0.628457801208504)</f>
        <v>-0.62845780120850403</v>
      </c>
      <c r="LU17" s="3">
        <f ca="1">IFERROR(__xludf.DUMMYFUNCTION("""COMPUTED_VALUE"""),-0.634714536415586)</f>
        <v>-0.63471453641558595</v>
      </c>
      <c r="LV17" s="3">
        <f ca="1">IFERROR(__xludf.DUMMYFUNCTION("""COMPUTED_VALUE"""),-0.655266790299382)</f>
        <v>-0.65526679029938195</v>
      </c>
      <c r="LW17" s="3">
        <f ca="1">IFERROR(__xludf.DUMMYFUNCTION("""COMPUTED_VALUE"""),-0.647372493221258)</f>
        <v>-0.64737249322125801</v>
      </c>
      <c r="LX17" s="3">
        <f ca="1">IFERROR(__xludf.DUMMYFUNCTION("""COMPUTED_VALUE"""),-0.67691373074265)</f>
        <v>-0.67691373074265004</v>
      </c>
      <c r="LY17" s="3">
        <f ca="1">IFERROR(__xludf.DUMMYFUNCTION("""COMPUTED_VALUE"""),-0.536015206206447)</f>
        <v>-0.53601520620644705</v>
      </c>
      <c r="LZ17" s="3">
        <f ca="1">IFERROR(__xludf.DUMMYFUNCTION("""COMPUTED_VALUE"""),-0.549958556956495)</f>
        <v>-0.54995855695649498</v>
      </c>
      <c r="MA17" s="3">
        <f ca="1">IFERROR(__xludf.DUMMYFUNCTION("""COMPUTED_VALUE"""),-0.698585780588528)</f>
        <v>-0.69858578058852805</v>
      </c>
      <c r="MB17" s="3">
        <f ca="1">IFERROR(__xludf.DUMMYFUNCTION("""COMPUTED_VALUE"""),-0.677604140338093)</f>
        <v>-0.67760414033809302</v>
      </c>
      <c r="MC17" s="3">
        <f ca="1">IFERROR(__xludf.DUMMYFUNCTION("""COMPUTED_VALUE"""),-0.675076705757887)</f>
        <v>-0.67507670575788703</v>
      </c>
      <c r="MD17" s="3">
        <f ca="1">IFERROR(__xludf.DUMMYFUNCTION("""COMPUTED_VALUE"""),-0.665427328823454)</f>
        <v>-0.66542732882345401</v>
      </c>
      <c r="ME17" s="3">
        <f ca="1">IFERROR(__xludf.DUMMYFUNCTION("""COMPUTED_VALUE"""),-0.617678289328711)</f>
        <v>-0.61767828932871105</v>
      </c>
      <c r="MF17" s="3">
        <f ca="1">IFERROR(__xludf.DUMMYFUNCTION("""COMPUTED_VALUE"""),-0.44915577480214)</f>
        <v>-0.44915577480213997</v>
      </c>
      <c r="MG17" s="3">
        <f ca="1">IFERROR(__xludf.DUMMYFUNCTION("""COMPUTED_VALUE"""),-0.560120246745453)</f>
        <v>-0.56012024674545302</v>
      </c>
      <c r="MH17" s="3">
        <f ca="1">IFERROR(__xludf.DUMMYFUNCTION("""COMPUTED_VALUE"""),-0.644580463904397)</f>
        <v>-0.64458046390439705</v>
      </c>
      <c r="MI17" s="3">
        <f ca="1">IFERROR(__xludf.DUMMYFUNCTION("""COMPUTED_VALUE"""),-0.676639392560189)</f>
        <v>-0.67663939256018901</v>
      </c>
      <c r="MJ17" s="3">
        <f ca="1">IFERROR(__xludf.DUMMYFUNCTION("""COMPUTED_VALUE"""),-0.653621929736598)</f>
        <v>-0.65362192973659805</v>
      </c>
      <c r="MK17" s="3">
        <f ca="1">IFERROR(__xludf.DUMMYFUNCTION("""COMPUTED_VALUE"""),-0.602810286092174)</f>
        <v>-0.60281028609217402</v>
      </c>
      <c r="ML17" s="3">
        <f ca="1">IFERROR(__xludf.DUMMYFUNCTION("""COMPUTED_VALUE"""),-0.590878333072744)</f>
        <v>-0.59087833307274396</v>
      </c>
      <c r="MM17" s="3">
        <f ca="1">IFERROR(__xludf.DUMMYFUNCTION("""COMPUTED_VALUE"""),-0.455203650221363)</f>
        <v>-0.455203650221363</v>
      </c>
      <c r="MN17" s="3">
        <f ca="1">IFERROR(__xludf.DUMMYFUNCTION("""COMPUTED_VALUE"""),-0.48986897428851)</f>
        <v>-0.48986897428851001</v>
      </c>
      <c r="MO17" s="3">
        <f ca="1">IFERROR(__xludf.DUMMYFUNCTION("""COMPUTED_VALUE"""),-0.624473094792482)</f>
        <v>-0.62447309479248203</v>
      </c>
      <c r="MP17" s="3">
        <f ca="1">IFERROR(__xludf.DUMMYFUNCTION("""COMPUTED_VALUE"""),-0.642946026607862)</f>
        <v>-0.64294602660786204</v>
      </c>
      <c r="MQ17" s="3">
        <f ca="1">IFERROR(__xludf.DUMMYFUNCTION("""COMPUTED_VALUE"""),-0.60201070720712)</f>
        <v>-0.60201070720712002</v>
      </c>
      <c r="MR17" s="3">
        <f ca="1">IFERROR(__xludf.DUMMYFUNCTION("""COMPUTED_VALUE"""),-0.642285334831775)</f>
        <v>-0.64228533483177497</v>
      </c>
      <c r="MS17" s="3">
        <f ca="1">IFERROR(__xludf.DUMMYFUNCTION("""COMPUTED_VALUE"""),-0.616515814882621)</f>
        <v>-0.61651581488262097</v>
      </c>
      <c r="MT17" s="3">
        <f ca="1">IFERROR(__xludf.DUMMYFUNCTION("""COMPUTED_VALUE"""),-0.453700608662887)</f>
        <v>-0.45370060866288697</v>
      </c>
      <c r="MU17" s="3">
        <f ca="1">IFERROR(__xludf.DUMMYFUNCTION("""COMPUTED_VALUE"""),-0.519659811747652)</f>
        <v>-0.51965981174765197</v>
      </c>
      <c r="MV17" s="3">
        <f ca="1">IFERROR(__xludf.DUMMYFUNCTION("""COMPUTED_VALUE"""),-0.632540152956979)</f>
        <v>-0.63254015295697896</v>
      </c>
      <c r="MW17" s="3">
        <f ca="1">IFERROR(__xludf.DUMMYFUNCTION("""COMPUTED_VALUE"""),-0.661552519360804)</f>
        <v>-0.66155251936080395</v>
      </c>
      <c r="MX17" s="3">
        <f ca="1">IFERROR(__xludf.DUMMYFUNCTION("""COMPUTED_VALUE"""),-0.674439246887997)</f>
        <v>-0.67443924688799695</v>
      </c>
      <c r="MY17" s="3">
        <f ca="1">IFERROR(__xludf.DUMMYFUNCTION("""COMPUTED_VALUE"""),-0.624007849566145)</f>
        <v>-0.62400784956614497</v>
      </c>
      <c r="MZ17" s="3">
        <f ca="1">IFERROR(__xludf.DUMMYFUNCTION("""COMPUTED_VALUE"""),-0.628437749945088)</f>
        <v>-0.62843774994508805</v>
      </c>
      <c r="NA17" s="3">
        <f ca="1">IFERROR(__xludf.DUMMYFUNCTION("""COMPUTED_VALUE"""),-0.429287895676783)</f>
        <v>-0.42928789567678299</v>
      </c>
      <c r="NB17" s="3">
        <f ca="1">IFERROR(__xludf.DUMMYFUNCTION("""COMPUTED_VALUE"""),-0.397727067461481)</f>
        <v>-0.39772706746148101</v>
      </c>
      <c r="NC17" s="3">
        <f ca="1">IFERROR(__xludf.DUMMYFUNCTION("""COMPUTED_VALUE"""),-0.60256632769472)</f>
        <v>-0.60256632769471996</v>
      </c>
      <c r="ND17" s="3">
        <f ca="1">IFERROR(__xludf.DUMMYFUNCTION("""COMPUTED_VALUE"""),-0.592088160712708)</f>
        <v>-0.59208816071270798</v>
      </c>
      <c r="NE17" s="3">
        <f ca="1">IFERROR(__xludf.DUMMYFUNCTION("""COMPUTED_VALUE"""),-0.628359228453454)</f>
        <v>-0.62835922845345404</v>
      </c>
      <c r="NF17" s="3">
        <f ca="1">IFERROR(__xludf.DUMMYFUNCTION("""COMPUTED_VALUE"""),-0.626385719383542)</f>
        <v>-0.62638571938354204</v>
      </c>
      <c r="NG17" s="3">
        <f ca="1">IFERROR(__xludf.DUMMYFUNCTION("""COMPUTED_VALUE"""),-0.623168954751736)</f>
        <v>-0.62316895475173595</v>
      </c>
      <c r="NH17" s="3">
        <f ca="1">IFERROR(__xludf.DUMMYFUNCTION("""COMPUTED_VALUE"""),-0.39847016240482)</f>
        <v>-0.39847016240482003</v>
      </c>
      <c r="NI17" s="3">
        <f ca="1">IFERROR(__xludf.DUMMYFUNCTION("""COMPUTED_VALUE"""),-0.4526904863032)</f>
        <v>-0.45269048630320002</v>
      </c>
      <c r="NJ17" s="3">
        <f ca="1">IFERROR(__xludf.DUMMYFUNCTION("""COMPUTED_VALUE"""),-0.563245655295294)</f>
        <v>-0.56324565529529402</v>
      </c>
      <c r="NK17" s="3">
        <f ca="1">IFERROR(__xludf.DUMMYFUNCTION("""COMPUTED_VALUE"""),-0.620343733371102)</f>
        <v>-0.62034373337110205</v>
      </c>
      <c r="NL17" s="3">
        <f ca="1">IFERROR(__xludf.DUMMYFUNCTION("""COMPUTED_VALUE"""),-0.645104093549847)</f>
        <v>-0.64510409354984699</v>
      </c>
      <c r="NM17" s="3">
        <f ca="1">IFERROR(__xludf.DUMMYFUNCTION("""COMPUTED_VALUE"""),-0.637850625409183)</f>
        <v>-0.63785062540918303</v>
      </c>
      <c r="NN17" s="3">
        <f ca="1">IFERROR(__xludf.DUMMYFUNCTION("""COMPUTED_VALUE"""),-0.626374915044176)</f>
        <v>-0.62637491504417597</v>
      </c>
      <c r="NO17" s="3">
        <f ca="1">IFERROR(__xludf.DUMMYFUNCTION("""COMPUTED_VALUE"""),-0.360172471690398)</f>
        <v>-0.36017247169039801</v>
      </c>
      <c r="NP17" s="3">
        <f ca="1">IFERROR(__xludf.DUMMYFUNCTION("""COMPUTED_VALUE"""),-0.527228740366017)</f>
        <v>-0.52722874036601697</v>
      </c>
      <c r="NQ17" s="3">
        <f ca="1">IFERROR(__xludf.DUMMYFUNCTION("""COMPUTED_VALUE"""),-0.609211231284518)</f>
        <v>-0.60921123128451804</v>
      </c>
      <c r="NR17" s="3">
        <f ca="1">IFERROR(__xludf.DUMMYFUNCTION("""COMPUTED_VALUE"""),-0.624915855755271)</f>
        <v>-0.62491585575527098</v>
      </c>
      <c r="NS17" s="3">
        <f ca="1">IFERROR(__xludf.DUMMYFUNCTION("""COMPUTED_VALUE"""),-0.593650178198452)</f>
        <v>-0.59365017819845201</v>
      </c>
      <c r="NT17" s="3">
        <f ca="1">IFERROR(__xludf.DUMMYFUNCTION("""COMPUTED_VALUE"""),-0.667659711187771)</f>
        <v>-0.66765971118777101</v>
      </c>
      <c r="NU17" s="3">
        <f ca="1">IFERROR(__xludf.DUMMYFUNCTION("""COMPUTED_VALUE"""),-0.590876015887992)</f>
        <v>-0.59087601588799199</v>
      </c>
      <c r="NV17" s="3">
        <f ca="1">IFERROR(__xludf.DUMMYFUNCTION("""COMPUTED_VALUE"""),-0.399008738947433)</f>
        <v>-0.39900873894743299</v>
      </c>
      <c r="NW17" s="3">
        <f ca="1">IFERROR(__xludf.DUMMYFUNCTION("""COMPUTED_VALUE"""),-0.365190973413855)</f>
        <v>-0.36519097341385498</v>
      </c>
      <c r="NX17" s="3">
        <f ca="1">IFERROR(__xludf.DUMMYFUNCTION("""COMPUTED_VALUE"""),-0.541342493325885)</f>
        <v>-0.54134249332588502</v>
      </c>
      <c r="NY17" s="3">
        <f ca="1">IFERROR(__xludf.DUMMYFUNCTION("""COMPUTED_VALUE"""),-0.556937361206897)</f>
        <v>-0.55693736120689696</v>
      </c>
      <c r="NZ17" s="3">
        <f ca="1">IFERROR(__xludf.DUMMYFUNCTION("""COMPUTED_VALUE"""),-0.583808890721422)</f>
        <v>-0.58380889072142195</v>
      </c>
      <c r="OA17" s="3">
        <f ca="1">IFERROR(__xludf.DUMMYFUNCTION("""COMPUTED_VALUE"""),-0.529527285831168)</f>
        <v>-0.52952728583116804</v>
      </c>
      <c r="OB17" s="3">
        <f ca="1">IFERROR(__xludf.DUMMYFUNCTION("""COMPUTED_VALUE"""),-0.39944597343254)</f>
        <v>-0.39944597343254001</v>
      </c>
      <c r="OC17" s="3">
        <f ca="1">IFERROR(__xludf.DUMMYFUNCTION("""COMPUTED_VALUE"""),-0.171252347174529)</f>
        <v>-0.171252347174529</v>
      </c>
      <c r="OD17" s="3">
        <f ca="1">IFERROR(__xludf.DUMMYFUNCTION("""COMPUTED_VALUE"""),-0.222468388076338)</f>
        <v>-0.22246838807633801</v>
      </c>
      <c r="OE17" s="3">
        <f ca="1">IFERROR(__xludf.DUMMYFUNCTION("""COMPUTED_VALUE"""),-0.200730727668163)</f>
        <v>-0.20073072766816299</v>
      </c>
      <c r="OF17" s="3">
        <f ca="1">IFERROR(__xludf.DUMMYFUNCTION("""COMPUTED_VALUE"""),-0.187421808894979)</f>
        <v>-0.187421808894979</v>
      </c>
      <c r="OG17" s="3">
        <f ca="1">IFERROR(__xludf.DUMMYFUNCTION("""COMPUTED_VALUE"""),-0.12636056050971)</f>
        <v>-0.12636056050971001</v>
      </c>
      <c r="OH17" s="3">
        <f ca="1">IFERROR(__xludf.DUMMYFUNCTION("""COMPUTED_VALUE"""),-0.102173413838121)</f>
        <v>-0.10217341383812099</v>
      </c>
      <c r="OI17" s="3">
        <f ca="1">IFERROR(__xludf.DUMMYFUNCTION("""COMPUTED_VALUE"""),-0.0866774493812163)</f>
        <v>-8.6677449381216298E-2</v>
      </c>
      <c r="OJ17" s="3">
        <f ca="1">IFERROR(__xludf.DUMMYFUNCTION("""COMPUTED_VALUE"""),0.0940173521984346)</f>
        <v>9.4017352198434601E-2</v>
      </c>
      <c r="OK17" s="3">
        <f ca="1">IFERROR(__xludf.DUMMYFUNCTION("""COMPUTED_VALUE"""),0.00923886553558039)</f>
        <v>9.2388655355803897E-3</v>
      </c>
      <c r="OL17" s="3">
        <f ca="1">IFERROR(__xludf.DUMMYFUNCTION("""COMPUTED_VALUE"""),-0.0316393507579039)</f>
        <v>-3.1639350757903903E-2</v>
      </c>
      <c r="OM17" s="3">
        <f ca="1">IFERROR(__xludf.DUMMYFUNCTION("""COMPUTED_VALUE"""),0.0390567266961776)</f>
        <v>3.9056726696177602E-2</v>
      </c>
      <c r="ON17" s="3">
        <f ca="1">IFERROR(__xludf.DUMMYFUNCTION("""COMPUTED_VALUE"""),0.0664596527406378)</f>
        <v>6.6459652740637795E-2</v>
      </c>
      <c r="OO17" s="3">
        <f ca="1">IFERROR(__xludf.DUMMYFUNCTION("""COMPUTED_VALUE"""),0.0831926728981538)</f>
        <v>8.3192672898153797E-2</v>
      </c>
      <c r="OP17" s="3">
        <f ca="1">IFERROR(__xludf.DUMMYFUNCTION("""COMPUTED_VALUE"""),0.0221299656733842)</f>
        <v>2.2129965673384201E-2</v>
      </c>
      <c r="OQ17" s="3">
        <f ca="1">IFERROR(__xludf.DUMMYFUNCTION("""COMPUTED_VALUE"""),0.097269759548688)</f>
        <v>9.7269759548687995E-2</v>
      </c>
      <c r="OR17" s="3">
        <f ca="1">IFERROR(__xludf.DUMMYFUNCTION("""COMPUTED_VALUE"""),0.0356086888627718)</f>
        <v>3.5608688862771798E-2</v>
      </c>
      <c r="OS17" s="3">
        <f ca="1">IFERROR(__xludf.DUMMYFUNCTION("""COMPUTED_VALUE"""),-0.027428239822511)</f>
        <v>-2.7428239822511E-2</v>
      </c>
      <c r="OT17" s="3">
        <f ca="1">IFERROR(__xludf.DUMMYFUNCTION("""COMPUTED_VALUE"""),-0.0616299009916615)</f>
        <v>-6.1629900991661497E-2</v>
      </c>
      <c r="OU17" s="3">
        <f ca="1">IFERROR(__xludf.DUMMYFUNCTION("""COMPUTED_VALUE"""),0.036265720977425)</f>
        <v>3.6265720977425003E-2</v>
      </c>
      <c r="OV17" s="3">
        <f ca="1">IFERROR(__xludf.DUMMYFUNCTION("""COMPUTED_VALUE"""),0.0596387160254132)</f>
        <v>5.9638716025413201E-2</v>
      </c>
      <c r="OW17" s="3">
        <f ca="1">IFERROR(__xludf.DUMMYFUNCTION("""COMPUTED_VALUE"""),0.00975152135531476)</f>
        <v>9.7515213553147594E-3</v>
      </c>
      <c r="OX17" s="3">
        <f ca="1">IFERROR(__xludf.DUMMYFUNCTION("""COMPUTED_VALUE"""),0.0966625064535802)</f>
        <v>9.6662506453580196E-2</v>
      </c>
      <c r="OY17" s="3">
        <f ca="1">IFERROR(__xludf.DUMMYFUNCTION("""COMPUTED_VALUE"""),0.0142998165284626)</f>
        <v>1.42998165284626E-2</v>
      </c>
      <c r="OZ17" s="3">
        <f ca="1">IFERROR(__xludf.DUMMYFUNCTION("""COMPUTED_VALUE"""),-0.00571113344777995)</f>
        <v>-5.7111334477799496E-3</v>
      </c>
      <c r="PA17" s="3">
        <f ca="1">IFERROR(__xludf.DUMMYFUNCTION("""COMPUTED_VALUE"""),0.0347517122903293)</f>
        <v>3.4751712290329299E-2</v>
      </c>
      <c r="PB17" s="3">
        <f ca="1">IFERROR(__xludf.DUMMYFUNCTION("""COMPUTED_VALUE"""),0.0182388152405408)</f>
        <v>1.8238815240540801E-2</v>
      </c>
      <c r="PC17" s="3">
        <f ca="1">IFERROR(__xludf.DUMMYFUNCTION("""COMPUTED_VALUE"""),-0.0104396330085694)</f>
        <v>-1.0439633008569401E-2</v>
      </c>
      <c r="PD17" s="3">
        <f ca="1">IFERROR(__xludf.DUMMYFUNCTION("""COMPUTED_VALUE"""),-0.0878689870749721)</f>
        <v>-8.7868987074972094E-2</v>
      </c>
      <c r="PE17" s="3">
        <f ca="1">IFERROR(__xludf.DUMMYFUNCTION("""COMPUTED_VALUE"""),-0.0389306248685431)</f>
        <v>-3.8930624868543103E-2</v>
      </c>
      <c r="PF17" s="3">
        <f ca="1">IFERROR(__xludf.DUMMYFUNCTION("""COMPUTED_VALUE"""),0.040687016792591)</f>
        <v>4.0687016792590999E-2</v>
      </c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</row>
    <row r="18" spans="1:594" ht="15.75" customHeight="1">
      <c r="A18" s="1" t="str">
        <f ca="1">IFERROR(__xludf.DUMMYFUNCTION("""COMPUTED_VALUE"""),"Connecticut")</f>
        <v>Connecticut</v>
      </c>
      <c r="B18" s="3">
        <f ca="1">IFERROR(__xludf.DUMMYFUNCTION("""COMPUTED_VALUE"""),-0.286972275851753)</f>
        <v>-0.286972275851753</v>
      </c>
      <c r="C18" s="3">
        <f ca="1">IFERROR(__xludf.DUMMYFUNCTION("""COMPUTED_VALUE"""),-0.348594423383507)</f>
        <v>-0.34859442338350699</v>
      </c>
      <c r="D18" s="3">
        <f ca="1">IFERROR(__xludf.DUMMYFUNCTION("""COMPUTED_VALUE"""),-0.426090525149049)</f>
        <v>-0.42609052514904899</v>
      </c>
      <c r="E18" s="3">
        <f ca="1">IFERROR(__xludf.DUMMYFUNCTION("""COMPUTED_VALUE"""),-0.428154860305062)</f>
        <v>-0.428154860305062</v>
      </c>
      <c r="F18" s="3">
        <f ca="1">IFERROR(__xludf.DUMMYFUNCTION("""COMPUTED_VALUE"""),-0.43426004726238)</f>
        <v>-0.43426004726237999</v>
      </c>
      <c r="G18" s="3">
        <f ca="1">IFERROR(__xludf.DUMMYFUNCTION("""COMPUTED_VALUE"""),-0.403882539829346)</f>
        <v>-0.40388253982934602</v>
      </c>
      <c r="H18" s="3">
        <f ca="1">IFERROR(__xludf.DUMMYFUNCTION("""COMPUTED_VALUE"""),-0.368043859942423)</f>
        <v>-0.368043859942423</v>
      </c>
      <c r="I18" s="3">
        <f ca="1">IFERROR(__xludf.DUMMYFUNCTION("""COMPUTED_VALUE"""),-0.295517349628241)</f>
        <v>-0.295517349628241</v>
      </c>
      <c r="J18" s="3">
        <f ca="1">IFERROR(__xludf.DUMMYFUNCTION("""COMPUTED_VALUE"""),-0.461463644716824)</f>
        <v>-0.461463644716824</v>
      </c>
      <c r="K18" s="3">
        <f ca="1">IFERROR(__xludf.DUMMYFUNCTION("""COMPUTED_VALUE"""),-0.444628146384813)</f>
        <v>-0.44462814638481302</v>
      </c>
      <c r="L18" s="3">
        <f ca="1">IFERROR(__xludf.DUMMYFUNCTION("""COMPUTED_VALUE"""),-0.45933917446024)</f>
        <v>-0.45933917446023997</v>
      </c>
      <c r="M18" s="3">
        <f ca="1">IFERROR(__xludf.DUMMYFUNCTION("""COMPUTED_VALUE"""),-0.429835091336664)</f>
        <v>-0.42983509133666398</v>
      </c>
      <c r="N18" s="3">
        <f ca="1">IFERROR(__xludf.DUMMYFUNCTION("""COMPUTED_VALUE"""),-0.412714602138313)</f>
        <v>-0.41271460213831301</v>
      </c>
      <c r="O18" s="3">
        <f ca="1">IFERROR(__xludf.DUMMYFUNCTION("""COMPUTED_VALUE"""),-0.330789169098037)</f>
        <v>-0.33078916909803702</v>
      </c>
      <c r="P18" s="3">
        <f ca="1">IFERROR(__xludf.DUMMYFUNCTION("""COMPUTED_VALUE"""),-0.300332431718935)</f>
        <v>-0.30033243171893498</v>
      </c>
      <c r="Q18" s="3">
        <f ca="1">IFERROR(__xludf.DUMMYFUNCTION("""COMPUTED_VALUE"""),-0.428937172546919)</f>
        <v>-0.42893717254691899</v>
      </c>
      <c r="R18" s="3">
        <f ca="1">IFERROR(__xludf.DUMMYFUNCTION("""COMPUTED_VALUE"""),-0.457207082686399)</f>
        <v>-0.45720708268639898</v>
      </c>
      <c r="S18" s="3">
        <f ca="1">IFERROR(__xludf.DUMMYFUNCTION("""COMPUTED_VALUE"""),-0.459908817355302)</f>
        <v>-0.45990881735530198</v>
      </c>
      <c r="T18" s="3">
        <f ca="1">IFERROR(__xludf.DUMMYFUNCTION("""COMPUTED_VALUE"""),-0.445987462611631)</f>
        <v>-0.44598746261163102</v>
      </c>
      <c r="U18" s="3">
        <f ca="1">IFERROR(__xludf.DUMMYFUNCTION("""COMPUTED_VALUE"""),-0.43507580419974)</f>
        <v>-0.43507580419974001</v>
      </c>
      <c r="V18" s="3">
        <f ca="1">IFERROR(__xludf.DUMMYFUNCTION("""COMPUTED_VALUE"""),-0.188559314543652)</f>
        <v>-0.18855931454365199</v>
      </c>
      <c r="W18" s="3">
        <f ca="1">IFERROR(__xludf.DUMMYFUNCTION("""COMPUTED_VALUE"""),-0.346527002348926)</f>
        <v>-0.34652700234892603</v>
      </c>
      <c r="X18" s="3">
        <f ca="1">IFERROR(__xludf.DUMMYFUNCTION("""COMPUTED_VALUE"""),-0.430221150337088)</f>
        <v>-0.43022115033708802</v>
      </c>
      <c r="Y18" s="3">
        <f ca="1">IFERROR(__xludf.DUMMYFUNCTION("""COMPUTED_VALUE"""),-0.501534194281468)</f>
        <v>-0.50153419428146795</v>
      </c>
      <c r="Z18" s="3">
        <f ca="1">IFERROR(__xludf.DUMMYFUNCTION("""COMPUTED_VALUE"""),-0.467488344102614)</f>
        <v>-0.46748834410261397</v>
      </c>
      <c r="AA18" s="3">
        <f ca="1">IFERROR(__xludf.DUMMYFUNCTION("""COMPUTED_VALUE"""),-0.493480280433348)</f>
        <v>-0.49348028043334802</v>
      </c>
      <c r="AB18" s="3">
        <f ca="1">IFERROR(__xludf.DUMMYFUNCTION("""COMPUTED_VALUE"""),-0.463023332489701)</f>
        <v>-0.46302333248970101</v>
      </c>
      <c r="AC18" s="3">
        <f ca="1">IFERROR(__xludf.DUMMYFUNCTION("""COMPUTED_VALUE"""),-0.314127217806146)</f>
        <v>-0.314127217806146</v>
      </c>
      <c r="AD18" s="3">
        <f ca="1">IFERROR(__xludf.DUMMYFUNCTION("""COMPUTED_VALUE"""),-0.315844898300795)</f>
        <v>-0.31584489830079499</v>
      </c>
      <c r="AE18" s="3">
        <f ca="1">IFERROR(__xludf.DUMMYFUNCTION("""COMPUTED_VALUE"""),-0.383439952992266)</f>
        <v>-0.38343995299226602</v>
      </c>
      <c r="AF18" s="3">
        <f ca="1">IFERROR(__xludf.DUMMYFUNCTION("""COMPUTED_VALUE"""),-0.429139385815217)</f>
        <v>-0.42913938581521699</v>
      </c>
      <c r="AG18" s="3">
        <f ca="1">IFERROR(__xludf.DUMMYFUNCTION("""COMPUTED_VALUE"""),-0.421143118710589)</f>
        <v>-0.42114311871058902</v>
      </c>
      <c r="AH18" s="3">
        <f ca="1">IFERROR(__xludf.DUMMYFUNCTION("""COMPUTED_VALUE"""),-0.387438397877487)</f>
        <v>-0.38743839787748702</v>
      </c>
      <c r="AI18" s="3">
        <f ca="1">IFERROR(__xludf.DUMMYFUNCTION("""COMPUTED_VALUE"""),-0.26675554925872)</f>
        <v>-0.26675554925872003</v>
      </c>
      <c r="AJ18" s="3">
        <f ca="1">IFERROR(__xludf.DUMMYFUNCTION("""COMPUTED_VALUE"""),-0.339488349985656)</f>
        <v>-0.33948834998565602</v>
      </c>
      <c r="AK18" s="3">
        <f ca="1">IFERROR(__xludf.DUMMYFUNCTION("""COMPUTED_VALUE"""),-0.352067331275329)</f>
        <v>-0.35206733127532902</v>
      </c>
      <c r="AL18" s="3">
        <f ca="1">IFERROR(__xludf.DUMMYFUNCTION("""COMPUTED_VALUE"""),-0.476397480974855)</f>
        <v>-0.47639748097485501</v>
      </c>
      <c r="AM18" s="3">
        <f ca="1">IFERROR(__xludf.DUMMYFUNCTION("""COMPUTED_VALUE"""),-0.469141812728078)</f>
        <v>-0.46914181272807798</v>
      </c>
      <c r="AN18" s="3">
        <f ca="1">IFERROR(__xludf.DUMMYFUNCTION("""COMPUTED_VALUE"""),-0.440894636925467)</f>
        <v>-0.44089463692546699</v>
      </c>
      <c r="AO18" s="3">
        <f ca="1">IFERROR(__xludf.DUMMYFUNCTION("""COMPUTED_VALUE"""),-0.491882032701646)</f>
        <v>-0.49188203270164599</v>
      </c>
      <c r="AP18" s="3">
        <f ca="1">IFERROR(__xludf.DUMMYFUNCTION("""COMPUTED_VALUE"""),-0.373058070873459)</f>
        <v>-0.37305807087345899</v>
      </c>
      <c r="AQ18" s="3">
        <f ca="1">IFERROR(__xludf.DUMMYFUNCTION("""COMPUTED_VALUE"""),-0.293149630516319)</f>
        <v>-0.29314963051631898</v>
      </c>
      <c r="AR18" s="3">
        <f ca="1">IFERROR(__xludf.DUMMYFUNCTION("""COMPUTED_VALUE"""),-0.36221525704012)</f>
        <v>-0.36221525704011998</v>
      </c>
      <c r="AS18" s="3">
        <f ca="1">IFERROR(__xludf.DUMMYFUNCTION("""COMPUTED_VALUE"""),-0.466950832901613)</f>
        <v>-0.46695083290161299</v>
      </c>
      <c r="AT18" s="3">
        <f ca="1">IFERROR(__xludf.DUMMYFUNCTION("""COMPUTED_VALUE"""),-0.480186428336203)</f>
        <v>-0.48018642833620301</v>
      </c>
      <c r="AU18" s="3">
        <f ca="1">IFERROR(__xludf.DUMMYFUNCTION("""COMPUTED_VALUE"""),-0.421937810502011)</f>
        <v>-0.42193781050201101</v>
      </c>
      <c r="AV18" s="3">
        <f ca="1">IFERROR(__xludf.DUMMYFUNCTION("""COMPUTED_VALUE"""),-0.462011426155194)</f>
        <v>-0.46201142615519403</v>
      </c>
      <c r="AW18" s="3">
        <f ca="1">IFERROR(__xludf.DUMMYFUNCTION("""COMPUTED_VALUE"""),-0.412376886911301)</f>
        <v>-0.41237688691130098</v>
      </c>
      <c r="AX18" s="3">
        <f ca="1">IFERROR(__xludf.DUMMYFUNCTION("""COMPUTED_VALUE"""),-0.286537477396423)</f>
        <v>-0.28653747739642299</v>
      </c>
      <c r="AY18" s="3">
        <f ca="1">IFERROR(__xludf.DUMMYFUNCTION("""COMPUTED_VALUE"""),-0.369333055490719)</f>
        <v>-0.36933305549071899</v>
      </c>
      <c r="AZ18" s="3">
        <f ca="1">IFERROR(__xludf.DUMMYFUNCTION("""COMPUTED_VALUE"""),-0.52864605294278)</f>
        <v>-0.52864605294278</v>
      </c>
      <c r="BA18" s="3">
        <f ca="1">IFERROR(__xludf.DUMMYFUNCTION("""COMPUTED_VALUE"""),-0.530442903695658)</f>
        <v>-0.53044290369565805</v>
      </c>
      <c r="BB18" s="3">
        <f ca="1">IFERROR(__xludf.DUMMYFUNCTION("""COMPUTED_VALUE"""),-0.441142544202355)</f>
        <v>-0.44114254420235499</v>
      </c>
      <c r="BC18" s="3">
        <f ca="1">IFERROR(__xludf.DUMMYFUNCTION("""COMPUTED_VALUE"""),-0.46234486043382)</f>
        <v>-0.46234486043382</v>
      </c>
      <c r="BD18" s="3">
        <f ca="1">IFERROR(__xludf.DUMMYFUNCTION("""COMPUTED_VALUE"""),-0.451313337910658)</f>
        <v>-0.45131333791065797</v>
      </c>
      <c r="BE18" s="3">
        <f ca="1">IFERROR(__xludf.DUMMYFUNCTION("""COMPUTED_VALUE"""),-0.317474456886716)</f>
        <v>-0.31747445688671599</v>
      </c>
      <c r="BF18" s="3">
        <f ca="1">IFERROR(__xludf.DUMMYFUNCTION("""COMPUTED_VALUE"""),-0.357063720508667)</f>
        <v>-0.35706372050866703</v>
      </c>
      <c r="BG18" s="3">
        <f ca="1">IFERROR(__xludf.DUMMYFUNCTION("""COMPUTED_VALUE"""),-0.484519341795181)</f>
        <v>-0.48451934179518102</v>
      </c>
      <c r="BH18" s="3">
        <f ca="1">IFERROR(__xludf.DUMMYFUNCTION("""COMPUTED_VALUE"""),-0.505540974798604)</f>
        <v>-0.50554097479860405</v>
      </c>
      <c r="BI18" s="3">
        <f ca="1">IFERROR(__xludf.DUMMYFUNCTION("""COMPUTED_VALUE"""),-0.509254040886936)</f>
        <v>-0.50925404088693604</v>
      </c>
      <c r="BJ18" s="3">
        <f ca="1">IFERROR(__xludf.DUMMYFUNCTION("""COMPUTED_VALUE"""),-0.572588106416373)</f>
        <v>-0.57258810641637303</v>
      </c>
      <c r="BK18" s="3">
        <f ca="1">IFERROR(__xludf.DUMMYFUNCTION("""COMPUTED_VALUE"""),-0.460883671286402)</f>
        <v>-0.46088367128640201</v>
      </c>
      <c r="BL18" s="3">
        <f ca="1">IFERROR(__xludf.DUMMYFUNCTION("""COMPUTED_VALUE"""),-0.421317882007666)</f>
        <v>-0.42131788200766601</v>
      </c>
      <c r="BM18" s="3">
        <f ca="1">IFERROR(__xludf.DUMMYFUNCTION("""COMPUTED_VALUE"""),-0.330229100934498)</f>
        <v>-0.33022910093449798</v>
      </c>
      <c r="BN18" s="3">
        <f ca="1">IFERROR(__xludf.DUMMYFUNCTION("""COMPUTED_VALUE"""),-0.473454675316115)</f>
        <v>-0.47345467531611501</v>
      </c>
      <c r="BO18" s="3">
        <f ca="1">IFERROR(__xludf.DUMMYFUNCTION("""COMPUTED_VALUE"""),-0.500484427442203)</f>
        <v>-0.50048442744220301</v>
      </c>
      <c r="BP18" s="3">
        <f ca="1">IFERROR(__xludf.DUMMYFUNCTION("""COMPUTED_VALUE"""),-0.528025387156172)</f>
        <v>-0.52802538715617198</v>
      </c>
      <c r="BQ18" s="3">
        <f ca="1">IFERROR(__xludf.DUMMYFUNCTION("""COMPUTED_VALUE"""),-0.619398434123114)</f>
        <v>-0.61939843412311402</v>
      </c>
      <c r="BR18" s="3">
        <f ca="1">IFERROR(__xludf.DUMMYFUNCTION("""COMPUTED_VALUE"""),-0.664579854385991)</f>
        <v>-0.66457985438599099</v>
      </c>
      <c r="BS18" s="3">
        <f ca="1">IFERROR(__xludf.DUMMYFUNCTION("""COMPUTED_VALUE"""),-0.419727848956248)</f>
        <v>-0.41972784895624798</v>
      </c>
      <c r="BT18" s="3">
        <f ca="1">IFERROR(__xludf.DUMMYFUNCTION("""COMPUTED_VALUE"""),-0.450454653555459)</f>
        <v>-0.45045465355545899</v>
      </c>
      <c r="BU18" s="3">
        <f ca="1">IFERROR(__xludf.DUMMYFUNCTION("""COMPUTED_VALUE"""),-0.60521955800487)</f>
        <v>-0.60521955800487004</v>
      </c>
      <c r="BV18" s="3">
        <f ca="1">IFERROR(__xludf.DUMMYFUNCTION("""COMPUTED_VALUE"""),-0.552221200933391)</f>
        <v>-0.552221200933391</v>
      </c>
      <c r="BW18" s="3">
        <f ca="1">IFERROR(__xludf.DUMMYFUNCTION("""COMPUTED_VALUE"""),-0.58656180276203)</f>
        <v>-0.58656180276202996</v>
      </c>
      <c r="BX18" s="3">
        <f ca="1">IFERROR(__xludf.DUMMYFUNCTION("""COMPUTED_VALUE"""),-0.56028190669708)</f>
        <v>-0.56028190669708</v>
      </c>
      <c r="BY18" s="3">
        <f ca="1">IFERROR(__xludf.DUMMYFUNCTION("""COMPUTED_VALUE"""),-0.507331462465193)</f>
        <v>-0.50733146246519301</v>
      </c>
      <c r="BZ18" s="3">
        <f ca="1">IFERROR(__xludf.DUMMYFUNCTION("""COMPUTED_VALUE"""),-0.419638297025515)</f>
        <v>-0.41963829702551497</v>
      </c>
      <c r="CA18" s="3">
        <f ca="1">IFERROR(__xludf.DUMMYFUNCTION("""COMPUTED_VALUE"""),-0.384145897618723)</f>
        <v>-0.38414589761872298</v>
      </c>
      <c r="CB18" s="3">
        <f ca="1">IFERROR(__xludf.DUMMYFUNCTION("""COMPUTED_VALUE"""),-0.500886459324567)</f>
        <v>-0.50088645932456699</v>
      </c>
      <c r="CC18" s="3">
        <f ca="1">IFERROR(__xludf.DUMMYFUNCTION("""COMPUTED_VALUE"""),-0.538399197112109)</f>
        <v>-0.53839919711210904</v>
      </c>
      <c r="CD18" s="3">
        <f ca="1">IFERROR(__xludf.DUMMYFUNCTION("""COMPUTED_VALUE"""),-0.5318347065335)</f>
        <v>-0.53183470653349996</v>
      </c>
      <c r="CE18" s="3">
        <f ca="1">IFERROR(__xludf.DUMMYFUNCTION("""COMPUTED_VALUE"""),-0.511181019642057)</f>
        <v>-0.51118101964205698</v>
      </c>
      <c r="CF18" s="3">
        <f ca="1">IFERROR(__xludf.DUMMYFUNCTION("""COMPUTED_VALUE"""),-0.500527245395284)</f>
        <v>-0.50052724539528404</v>
      </c>
      <c r="CG18" s="3">
        <f ca="1">IFERROR(__xludf.DUMMYFUNCTION("""COMPUTED_VALUE"""),-0.365161902341475)</f>
        <v>-0.365161902341475</v>
      </c>
      <c r="CH18" s="3">
        <f ca="1">IFERROR(__xludf.DUMMYFUNCTION("""COMPUTED_VALUE"""),-0.427978226439274)</f>
        <v>-0.42797822643927402</v>
      </c>
      <c r="CI18" s="3">
        <f ca="1">IFERROR(__xludf.DUMMYFUNCTION("""COMPUTED_VALUE"""),-0.491821280086259)</f>
        <v>-0.49182128008625903</v>
      </c>
      <c r="CJ18" s="3">
        <f ca="1">IFERROR(__xludf.DUMMYFUNCTION("""COMPUTED_VALUE"""),-0.515243294980122)</f>
        <v>-0.515243294980122</v>
      </c>
      <c r="CK18" s="3">
        <f ca="1">IFERROR(__xludf.DUMMYFUNCTION("""COMPUTED_VALUE"""),-0.514150685282952)</f>
        <v>-0.51415068528295205</v>
      </c>
      <c r="CL18" s="3">
        <f ca="1">IFERROR(__xludf.DUMMYFUNCTION("""COMPUTED_VALUE"""),-0.512049815612863)</f>
        <v>-0.512049815612863</v>
      </c>
      <c r="CM18" s="3">
        <f ca="1">IFERROR(__xludf.DUMMYFUNCTION("""COMPUTED_VALUE"""),-0.486084919962409)</f>
        <v>-0.48608491996240899</v>
      </c>
      <c r="CN18" s="3">
        <f ca="1">IFERROR(__xludf.DUMMYFUNCTION("""COMPUTED_VALUE"""),-0.401063281692181)</f>
        <v>-0.40106328169218097</v>
      </c>
      <c r="CO18" s="3">
        <f ca="1">IFERROR(__xludf.DUMMYFUNCTION("""COMPUTED_VALUE"""),-0.38372021976276)</f>
        <v>-0.38372021976276</v>
      </c>
      <c r="CP18" s="3">
        <f ca="1">IFERROR(__xludf.DUMMYFUNCTION("""COMPUTED_VALUE"""),-0.480279771915546)</f>
        <v>-0.48027977191554599</v>
      </c>
      <c r="CQ18" s="3">
        <f ca="1">IFERROR(__xludf.DUMMYFUNCTION("""COMPUTED_VALUE"""),-0.504116418174514)</f>
        <v>-0.50411641817451402</v>
      </c>
      <c r="CR18" s="3">
        <f ca="1">IFERROR(__xludf.DUMMYFUNCTION("""COMPUTED_VALUE"""),-0.395522037539238)</f>
        <v>-0.39552203753923798</v>
      </c>
      <c r="CS18" s="3">
        <f ca="1">IFERROR(__xludf.DUMMYFUNCTION("""COMPUTED_VALUE"""),-0.515942377195658)</f>
        <v>-0.51594237719565805</v>
      </c>
      <c r="CT18" s="3">
        <f ca="1">IFERROR(__xludf.DUMMYFUNCTION("""COMPUTED_VALUE"""),-0.463755996479615)</f>
        <v>-0.46375599647961502</v>
      </c>
      <c r="CU18" s="3">
        <f ca="1">IFERROR(__xludf.DUMMYFUNCTION("""COMPUTED_VALUE"""),-0.437121209670863)</f>
        <v>-0.43712120967086299</v>
      </c>
      <c r="CV18" s="3">
        <f ca="1">IFERROR(__xludf.DUMMYFUNCTION("""COMPUTED_VALUE"""),-0.392012932399193)</f>
        <v>-0.39201293239919299</v>
      </c>
      <c r="CW18" s="3">
        <f ca="1">IFERROR(__xludf.DUMMYFUNCTION("""COMPUTED_VALUE"""),-0.594274633644331)</f>
        <v>-0.59427463364433097</v>
      </c>
      <c r="CX18" s="3">
        <f ca="1">IFERROR(__xludf.DUMMYFUNCTION("""COMPUTED_VALUE"""),-0.497417815314554)</f>
        <v>-0.49741781531455398</v>
      </c>
      <c r="CY18" s="3">
        <f ca="1">IFERROR(__xludf.DUMMYFUNCTION("""COMPUTED_VALUE"""),-0.198183169068717)</f>
        <v>-0.198183169068717</v>
      </c>
      <c r="CZ18" s="3">
        <f ca="1">IFERROR(__xludf.DUMMYFUNCTION("""COMPUTED_VALUE"""),-0.456927442021409)</f>
        <v>-0.456927442021409</v>
      </c>
      <c r="DA18" s="3">
        <f ca="1">IFERROR(__xludf.DUMMYFUNCTION("""COMPUTED_VALUE"""),-0.470324143899955)</f>
        <v>-0.47032414389995503</v>
      </c>
      <c r="DB18" s="3">
        <f ca="1">IFERROR(__xludf.DUMMYFUNCTION("""COMPUTED_VALUE"""),-0.401057169863835)</f>
        <v>-0.40105716986383499</v>
      </c>
      <c r="DC18" s="3">
        <f ca="1">IFERROR(__xludf.DUMMYFUNCTION("""COMPUTED_VALUE"""),-0.437349921637396)</f>
        <v>-0.437349921637396</v>
      </c>
      <c r="DD18" s="3">
        <f ca="1">IFERROR(__xludf.DUMMYFUNCTION("""COMPUTED_VALUE"""),-0.814943305905345)</f>
        <v>-0.81494330590534503</v>
      </c>
      <c r="DE18" s="3">
        <f ca="1">IFERROR(__xludf.DUMMYFUNCTION("""COMPUTED_VALUE"""),-0.476406553471987)</f>
        <v>-0.47640655347198702</v>
      </c>
      <c r="DF18" s="3">
        <f ca="1">IFERROR(__xludf.DUMMYFUNCTION("""COMPUTED_VALUE"""),-0.0871917623799161)</f>
        <v>-8.7191762379916105E-2</v>
      </c>
      <c r="DG18" s="3">
        <f ca="1">IFERROR(__xludf.DUMMYFUNCTION("""COMPUTED_VALUE"""),-0.359870059703094)</f>
        <v>-0.35987005970309399</v>
      </c>
      <c r="DH18" s="3">
        <f ca="1">IFERROR(__xludf.DUMMYFUNCTION("""COMPUTED_VALUE"""),-0.450350574404447)</f>
        <v>-0.45035057440444698</v>
      </c>
      <c r="DI18" s="3">
        <f ca="1">IFERROR(__xludf.DUMMYFUNCTION("""COMPUTED_VALUE"""),-0.384546314868261)</f>
        <v>-0.38454631486826102</v>
      </c>
      <c r="DJ18" s="3">
        <f ca="1">IFERROR(__xludf.DUMMYFUNCTION("""COMPUTED_VALUE"""),-0.38972705540072)</f>
        <v>-0.38972705540072</v>
      </c>
      <c r="DK18" s="3">
        <f ca="1">IFERROR(__xludf.DUMMYFUNCTION("""COMPUTED_VALUE"""),-0.497220408734662)</f>
        <v>-0.497220408734662</v>
      </c>
      <c r="DL18" s="3">
        <f ca="1">IFERROR(__xludf.DUMMYFUNCTION("""COMPUTED_VALUE"""),-0.646941992988519)</f>
        <v>-0.64694199298851895</v>
      </c>
      <c r="DM18" s="3">
        <f ca="1">IFERROR(__xludf.DUMMYFUNCTION("""COMPUTED_VALUE"""),-0.356973980274124)</f>
        <v>-0.35697398027412403</v>
      </c>
      <c r="DN18" s="3">
        <f ca="1">IFERROR(__xludf.DUMMYFUNCTION("""COMPUTED_VALUE"""),-0.384995142567735)</f>
        <v>-0.38499514256773498</v>
      </c>
      <c r="DO18" s="3">
        <f ca="1">IFERROR(__xludf.DUMMYFUNCTION("""COMPUTED_VALUE"""),-0.549098206728911)</f>
        <v>-0.54909820672891096</v>
      </c>
      <c r="DP18" s="3">
        <f ca="1">IFERROR(__xludf.DUMMYFUNCTION("""COMPUTED_VALUE"""),-0.348369383742386)</f>
        <v>-0.34836938374238602</v>
      </c>
      <c r="DQ18" s="3">
        <f ca="1">IFERROR(__xludf.DUMMYFUNCTION("""COMPUTED_VALUE"""),-0.419616386950669)</f>
        <v>-0.419616386950669</v>
      </c>
      <c r="DR18" s="3">
        <f ca="1">IFERROR(__xludf.DUMMYFUNCTION("""COMPUTED_VALUE"""),-0.497300471208496)</f>
        <v>-0.49730047120849602</v>
      </c>
      <c r="DS18" s="3">
        <f ca="1">IFERROR(__xludf.DUMMYFUNCTION("""COMPUTED_VALUE"""),-0.522826184667498)</f>
        <v>-0.52282618466749797</v>
      </c>
      <c r="DT18" s="3">
        <f ca="1">IFERROR(__xludf.DUMMYFUNCTION("""COMPUTED_VALUE"""),-0.549619480255897)</f>
        <v>-0.54961948025589702</v>
      </c>
      <c r="DU18" s="3">
        <f ca="1">IFERROR(__xludf.DUMMYFUNCTION("""COMPUTED_VALUE"""),-0.504773004567065)</f>
        <v>-0.50477300456706498</v>
      </c>
      <c r="DV18" s="3">
        <f ca="1">IFERROR(__xludf.DUMMYFUNCTION("""COMPUTED_VALUE"""),-0.490858292086736)</f>
        <v>-0.49085829208673598</v>
      </c>
      <c r="DW18" s="3">
        <f ca="1">IFERROR(__xludf.DUMMYFUNCTION("""COMPUTED_VALUE"""),-0.347909025851774)</f>
        <v>-0.34790902585177402</v>
      </c>
      <c r="DX18" s="3">
        <f ca="1">IFERROR(__xludf.DUMMYFUNCTION("""COMPUTED_VALUE"""),-0.527583085109256)</f>
        <v>-0.527583085109256</v>
      </c>
      <c r="DY18" s="3">
        <f ca="1">IFERROR(__xludf.DUMMYFUNCTION("""COMPUTED_VALUE"""),-0.508930989120638)</f>
        <v>-0.50893098912063806</v>
      </c>
      <c r="DZ18" s="3">
        <f ca="1">IFERROR(__xludf.DUMMYFUNCTION("""COMPUTED_VALUE"""),-0.436915389927485)</f>
        <v>-0.43691538992748502</v>
      </c>
      <c r="EA18" s="3">
        <f ca="1">IFERROR(__xludf.DUMMYFUNCTION("""COMPUTED_VALUE"""),-0.548466167138143)</f>
        <v>-0.548466167138143</v>
      </c>
      <c r="EB18" s="3">
        <f ca="1">IFERROR(__xludf.DUMMYFUNCTION("""COMPUTED_VALUE"""),-0.539836296671899)</f>
        <v>-0.53983629667189903</v>
      </c>
      <c r="EC18" s="3">
        <f ca="1">IFERROR(__xludf.DUMMYFUNCTION("""COMPUTED_VALUE"""),-0.572408105800978)</f>
        <v>-0.57240810580097801</v>
      </c>
      <c r="ED18" s="3">
        <f ca="1">IFERROR(__xludf.DUMMYFUNCTION("""COMPUTED_VALUE"""),-0.371448824214876)</f>
        <v>-0.37144882421487602</v>
      </c>
      <c r="EE18" s="3">
        <f ca="1">IFERROR(__xludf.DUMMYFUNCTION("""COMPUTED_VALUE"""),-0.433440144747092)</f>
        <v>-0.43344014474709203</v>
      </c>
      <c r="EF18" s="3">
        <f ca="1">IFERROR(__xludf.DUMMYFUNCTION("""COMPUTED_VALUE"""),-0.528586439457959)</f>
        <v>-0.52858643945795902</v>
      </c>
      <c r="EG18" s="3">
        <f ca="1">IFERROR(__xludf.DUMMYFUNCTION("""COMPUTED_VALUE"""),-0.71885809248342)</f>
        <v>-0.71885809248342003</v>
      </c>
      <c r="EH18" s="3">
        <f ca="1">IFERROR(__xludf.DUMMYFUNCTION("""COMPUTED_VALUE"""),-0.520822660065276)</f>
        <v>-0.520822660065276</v>
      </c>
      <c r="EI18" s="3">
        <f ca="1">IFERROR(__xludf.DUMMYFUNCTION("""COMPUTED_VALUE"""),-0.502084232047841)</f>
        <v>-0.50208423204784103</v>
      </c>
      <c r="EJ18" s="3">
        <f ca="1">IFERROR(__xludf.DUMMYFUNCTION("""COMPUTED_VALUE"""),-0.518178010844064)</f>
        <v>-0.51817801084406401</v>
      </c>
      <c r="EK18" s="3">
        <f ca="1">IFERROR(__xludf.DUMMYFUNCTION("""COMPUTED_VALUE"""),-0.407454995331945)</f>
        <v>-0.40745499533194501</v>
      </c>
      <c r="EL18" s="3">
        <f ca="1">IFERROR(__xludf.DUMMYFUNCTION("""COMPUTED_VALUE"""),-0.410680200569473)</f>
        <v>-0.41068020056947302</v>
      </c>
      <c r="EM18" s="3">
        <f ca="1">IFERROR(__xludf.DUMMYFUNCTION("""COMPUTED_VALUE"""),-0.458550624980182)</f>
        <v>-0.45855062498018201</v>
      </c>
      <c r="EN18" s="3">
        <f ca="1">IFERROR(__xludf.DUMMYFUNCTION("""COMPUTED_VALUE"""),-0.453045834713905)</f>
        <v>-0.45304583471390503</v>
      </c>
      <c r="EO18" s="3">
        <f ca="1">IFERROR(__xludf.DUMMYFUNCTION("""COMPUTED_VALUE"""),-0.528418150160153)</f>
        <v>-0.52841815016015303</v>
      </c>
      <c r="EP18" s="3">
        <f ca="1">IFERROR(__xludf.DUMMYFUNCTION("""COMPUTED_VALUE"""),-0.530068595620649)</f>
        <v>-0.53006859562064901</v>
      </c>
      <c r="EQ18" s="3">
        <f ca="1">IFERROR(__xludf.DUMMYFUNCTION("""COMPUTED_VALUE"""),-0.484936004899278)</f>
        <v>-0.48493600489927802</v>
      </c>
      <c r="ER18" s="3">
        <f ca="1">IFERROR(__xludf.DUMMYFUNCTION("""COMPUTED_VALUE"""),-0.386803765852613)</f>
        <v>-0.386803765852613</v>
      </c>
      <c r="ES18" s="3">
        <f ca="1">IFERROR(__xludf.DUMMYFUNCTION("""COMPUTED_VALUE"""),-0.403434474319364)</f>
        <v>-0.40343447431936402</v>
      </c>
      <c r="ET18" s="3">
        <f ca="1">IFERROR(__xludf.DUMMYFUNCTION("""COMPUTED_VALUE"""),-0.542372476499681)</f>
        <v>-0.54237247649968101</v>
      </c>
      <c r="EU18" s="3">
        <f ca="1">IFERROR(__xludf.DUMMYFUNCTION("""COMPUTED_VALUE"""),-0.566756569825142)</f>
        <v>-0.566756569825142</v>
      </c>
      <c r="EV18" s="3">
        <f ca="1">IFERROR(__xludf.DUMMYFUNCTION("""COMPUTED_VALUE"""),-0.556630859307432)</f>
        <v>-0.55663085930743195</v>
      </c>
      <c r="EW18" s="3">
        <f ca="1">IFERROR(__xludf.DUMMYFUNCTION("""COMPUTED_VALUE"""),-0.498771622718429)</f>
        <v>-0.49877162271842901</v>
      </c>
      <c r="EX18" s="3">
        <f ca="1">IFERROR(__xludf.DUMMYFUNCTION("""COMPUTED_VALUE"""),-0.504758436477291)</f>
        <v>-0.50475843647729102</v>
      </c>
      <c r="EY18" s="3">
        <f ca="1">IFERROR(__xludf.DUMMYFUNCTION("""COMPUTED_VALUE"""),-0.401430112638358)</f>
        <v>-0.40143011263835798</v>
      </c>
      <c r="EZ18" s="3">
        <f ca="1">IFERROR(__xludf.DUMMYFUNCTION("""COMPUTED_VALUE"""),-0.432659434798863)</f>
        <v>-0.43265943479886299</v>
      </c>
      <c r="FA18" s="3">
        <f ca="1">IFERROR(__xludf.DUMMYFUNCTION("""COMPUTED_VALUE"""),-0.522199564467965)</f>
        <v>-0.52219956446796501</v>
      </c>
      <c r="FB18" s="3">
        <f ca="1">IFERROR(__xludf.DUMMYFUNCTION("""COMPUTED_VALUE"""),-0.534676633106378)</f>
        <v>-0.53467663310637803</v>
      </c>
      <c r="FC18" s="3">
        <f ca="1">IFERROR(__xludf.DUMMYFUNCTION("""COMPUTED_VALUE"""),-0.532014746598789)</f>
        <v>-0.532014746598789</v>
      </c>
      <c r="FD18" s="3">
        <f ca="1">IFERROR(__xludf.DUMMYFUNCTION("""COMPUTED_VALUE"""),-0.465681601431287)</f>
        <v>-0.46568160143128701</v>
      </c>
      <c r="FE18" s="3">
        <f ca="1">IFERROR(__xludf.DUMMYFUNCTION("""COMPUTED_VALUE"""),-0.482477751719969)</f>
        <v>-0.48247775171996898</v>
      </c>
      <c r="FF18" s="3">
        <f ca="1">IFERROR(__xludf.DUMMYFUNCTION("""COMPUTED_VALUE"""),-0.40432696240925)</f>
        <v>-0.40432696240924998</v>
      </c>
      <c r="FG18" s="3">
        <f ca="1">IFERROR(__xludf.DUMMYFUNCTION("""COMPUTED_VALUE"""),-0.428828677179596)</f>
        <v>-0.428828677179596</v>
      </c>
      <c r="FH18" s="3">
        <f ca="1">IFERROR(__xludf.DUMMYFUNCTION("""COMPUTED_VALUE"""),-0.611135272550242)</f>
        <v>-0.61113527255024203</v>
      </c>
      <c r="FI18" s="3">
        <f ca="1">IFERROR(__xludf.DUMMYFUNCTION("""COMPUTED_VALUE"""),-0.575864841814104)</f>
        <v>-0.57586484181410402</v>
      </c>
      <c r="FJ18" s="3">
        <f ca="1">IFERROR(__xludf.DUMMYFUNCTION("""COMPUTED_VALUE"""),-0.557396989026923)</f>
        <v>-0.55739698902692303</v>
      </c>
      <c r="FK18" s="3">
        <f ca="1">IFERROR(__xludf.DUMMYFUNCTION("""COMPUTED_VALUE"""),-0.488105215591181)</f>
        <v>-0.48810521559118097</v>
      </c>
      <c r="FL18" s="3">
        <f ca="1">IFERROR(__xludf.DUMMYFUNCTION("""COMPUTED_VALUE"""),-0.523953578630299)</f>
        <v>-0.52395357863029901</v>
      </c>
      <c r="FM18" s="3">
        <f ca="1">IFERROR(__xludf.DUMMYFUNCTION("""COMPUTED_VALUE"""),-0.373719991100063)</f>
        <v>-0.37371999110006299</v>
      </c>
      <c r="FN18" s="3">
        <f ca="1">IFERROR(__xludf.DUMMYFUNCTION("""COMPUTED_VALUE"""),-0.437518964950757)</f>
        <v>-0.43751896495075698</v>
      </c>
      <c r="FO18" s="3">
        <f ca="1">IFERROR(__xludf.DUMMYFUNCTION("""COMPUTED_VALUE"""),-0.554427045154225)</f>
        <v>-0.55442704515422503</v>
      </c>
      <c r="FP18" s="3">
        <f ca="1">IFERROR(__xludf.DUMMYFUNCTION("""COMPUTED_VALUE"""),-0.510776880890647)</f>
        <v>-0.51077688089064699</v>
      </c>
      <c r="FQ18" s="3">
        <f ca="1">IFERROR(__xludf.DUMMYFUNCTION("""COMPUTED_VALUE"""),-0.494062040042456)</f>
        <v>-0.49406204004245602</v>
      </c>
      <c r="FR18" s="3">
        <f ca="1">IFERROR(__xludf.DUMMYFUNCTION("""COMPUTED_VALUE"""),-0.479112109252628)</f>
        <v>-0.47911210925262798</v>
      </c>
      <c r="FS18" s="3">
        <f ca="1">IFERROR(__xludf.DUMMYFUNCTION("""COMPUTED_VALUE"""),-0.47209296789286)</f>
        <v>-0.47209296789285998</v>
      </c>
      <c r="FT18" s="3">
        <f ca="1">IFERROR(__xludf.DUMMYFUNCTION("""COMPUTED_VALUE"""),-0.315462344098214)</f>
        <v>-0.315462344098214</v>
      </c>
      <c r="FU18" s="3">
        <f ca="1">IFERROR(__xludf.DUMMYFUNCTION("""COMPUTED_VALUE"""),-0.390217789268259)</f>
        <v>-0.39021778926825901</v>
      </c>
      <c r="FV18" s="3">
        <f ca="1">IFERROR(__xludf.DUMMYFUNCTION("""COMPUTED_VALUE"""),-0.567054334167071)</f>
        <v>-0.56705433416707096</v>
      </c>
      <c r="FW18" s="3">
        <f ca="1">IFERROR(__xludf.DUMMYFUNCTION("""COMPUTED_VALUE"""),-0.478492132023109)</f>
        <v>-0.47849213202310897</v>
      </c>
      <c r="FX18" s="3">
        <f ca="1">IFERROR(__xludf.DUMMYFUNCTION("""COMPUTED_VALUE"""),-0.463686513218452)</f>
        <v>-0.463686513218452</v>
      </c>
      <c r="FY18" s="3">
        <f ca="1">IFERROR(__xludf.DUMMYFUNCTION("""COMPUTED_VALUE"""),-0.550224515070614)</f>
        <v>-0.55022451507061398</v>
      </c>
      <c r="FZ18" s="3">
        <f ca="1">IFERROR(__xludf.DUMMYFUNCTION("""COMPUTED_VALUE"""),-0.515275098774293)</f>
        <v>-0.51527509877429301</v>
      </c>
      <c r="GA18" s="3">
        <f ca="1">IFERROR(__xludf.DUMMYFUNCTION("""COMPUTED_VALUE"""),-0.326862791404099)</f>
        <v>-0.32686279140409902</v>
      </c>
      <c r="GB18" s="3">
        <f ca="1">IFERROR(__xludf.DUMMYFUNCTION("""COMPUTED_VALUE"""),-0.381545428547031)</f>
        <v>-0.381545428547031</v>
      </c>
      <c r="GC18" s="3">
        <f ca="1">IFERROR(__xludf.DUMMYFUNCTION("""COMPUTED_VALUE"""),-0.475499375340552)</f>
        <v>-0.47549937534055198</v>
      </c>
      <c r="GD18" s="3">
        <f ca="1">IFERROR(__xludf.DUMMYFUNCTION("""COMPUTED_VALUE"""),-0.491077676622761)</f>
        <v>-0.49107767662276097</v>
      </c>
      <c r="GE18" s="3">
        <f ca="1">IFERROR(__xludf.DUMMYFUNCTION("""COMPUTED_VALUE"""),-0.498499900135794)</f>
        <v>-0.49849990013579398</v>
      </c>
      <c r="GF18" s="3">
        <f ca="1">IFERROR(__xludf.DUMMYFUNCTION("""COMPUTED_VALUE"""),-0.496886816207568)</f>
        <v>-0.49688681620756803</v>
      </c>
      <c r="GG18" s="3">
        <f ca="1">IFERROR(__xludf.DUMMYFUNCTION("""COMPUTED_VALUE"""),-0.403494949650552)</f>
        <v>-0.40349494965055199</v>
      </c>
      <c r="GH18" s="3">
        <f ca="1">IFERROR(__xludf.DUMMYFUNCTION("""COMPUTED_VALUE"""),-0.143932898304828)</f>
        <v>-0.143932898304828</v>
      </c>
      <c r="GI18" s="3">
        <f ca="1">IFERROR(__xludf.DUMMYFUNCTION("""COMPUTED_VALUE"""),-0.246892128502132)</f>
        <v>-0.24689212850213199</v>
      </c>
      <c r="GJ18" s="3">
        <f ca="1">IFERROR(__xludf.DUMMYFUNCTION("""COMPUTED_VALUE"""),-0.387154344764585)</f>
        <v>-0.38715434476458499</v>
      </c>
      <c r="GK18" s="3">
        <f ca="1">IFERROR(__xludf.DUMMYFUNCTION("""COMPUTED_VALUE"""),-0.404906315141474)</f>
        <v>-0.40490631514147402</v>
      </c>
      <c r="GL18" s="3">
        <f ca="1">IFERROR(__xludf.DUMMYFUNCTION("""COMPUTED_VALUE"""),-0.408259459718345)</f>
        <v>-0.40825945971834499</v>
      </c>
      <c r="GM18" s="3">
        <f ca="1">IFERROR(__xludf.DUMMYFUNCTION("""COMPUTED_VALUE"""),-0.419664706420798)</f>
        <v>-0.41966470642079801</v>
      </c>
      <c r="GN18" s="3">
        <f ca="1">IFERROR(__xludf.DUMMYFUNCTION("""COMPUTED_VALUE"""),-0.364704457901911)</f>
        <v>-0.36470445790191097</v>
      </c>
      <c r="GO18" s="3">
        <f ca="1">IFERROR(__xludf.DUMMYFUNCTION("""COMPUTED_VALUE"""),-0.141329357762295)</f>
        <v>-0.14132935776229499</v>
      </c>
      <c r="GP18" s="3">
        <f ca="1">IFERROR(__xludf.DUMMYFUNCTION("""COMPUTED_VALUE"""),-0.260890802258857)</f>
        <v>-0.26089080225885702</v>
      </c>
      <c r="GQ18" s="3">
        <f ca="1">IFERROR(__xludf.DUMMYFUNCTION("""COMPUTED_VALUE"""),-0.339730230387011)</f>
        <v>-0.339730230387011</v>
      </c>
      <c r="GR18" s="3">
        <f ca="1">IFERROR(__xludf.DUMMYFUNCTION("""COMPUTED_VALUE"""),-0.41741143443806)</f>
        <v>-0.41741143443806</v>
      </c>
      <c r="GS18" s="3">
        <f ca="1">IFERROR(__xludf.DUMMYFUNCTION("""COMPUTED_VALUE"""),-0.404539690987338)</f>
        <v>-0.404539690987338</v>
      </c>
      <c r="GT18" s="3">
        <f ca="1">IFERROR(__xludf.DUMMYFUNCTION("""COMPUTED_VALUE"""),-0.434486127777452)</f>
        <v>-0.43448612777745199</v>
      </c>
      <c r="GU18" s="3">
        <f ca="1">IFERROR(__xludf.DUMMYFUNCTION("""COMPUTED_VALUE"""),-0.385983659820289)</f>
        <v>-0.38598365982028898</v>
      </c>
      <c r="GV18" s="3">
        <f ca="1">IFERROR(__xludf.DUMMYFUNCTION("""COMPUTED_VALUE"""),-0.194699206350429)</f>
        <v>-0.194699206350429</v>
      </c>
      <c r="GW18" s="3">
        <f ca="1">IFERROR(__xludf.DUMMYFUNCTION("""COMPUTED_VALUE"""),-0.259697300162196)</f>
        <v>-0.259697300162196</v>
      </c>
      <c r="GX18" s="3">
        <f ca="1">IFERROR(__xludf.DUMMYFUNCTION("""COMPUTED_VALUE"""),-0.378477525713762)</f>
        <v>-0.37847752571376198</v>
      </c>
      <c r="GY18" s="3">
        <f ca="1">IFERROR(__xludf.DUMMYFUNCTION("""COMPUTED_VALUE"""),-0.372397586725304)</f>
        <v>-0.37239758672530399</v>
      </c>
      <c r="GZ18" s="3">
        <f ca="1">IFERROR(__xludf.DUMMYFUNCTION("""COMPUTED_VALUE"""),-0.419108469606193)</f>
        <v>-0.41910846960619302</v>
      </c>
      <c r="HA18" s="3">
        <f ca="1">IFERROR(__xludf.DUMMYFUNCTION("""COMPUTED_VALUE"""),-0.407710490136529)</f>
        <v>-0.40771049013652899</v>
      </c>
      <c r="HB18" s="3">
        <f ca="1">IFERROR(__xludf.DUMMYFUNCTION("""COMPUTED_VALUE"""),-0.381934796568123)</f>
        <v>-0.38193479656812301</v>
      </c>
      <c r="HC18" s="3">
        <f ca="1">IFERROR(__xludf.DUMMYFUNCTION("""COMPUTED_VALUE"""),-0.139757384076912)</f>
        <v>-0.13975738407691199</v>
      </c>
      <c r="HD18" s="3">
        <f ca="1">IFERROR(__xludf.DUMMYFUNCTION("""COMPUTED_VALUE"""),-0.246257175117196)</f>
        <v>-0.246257175117196</v>
      </c>
      <c r="HE18" s="3">
        <f ca="1">IFERROR(__xludf.DUMMYFUNCTION("""COMPUTED_VALUE"""),-0.347379046750667)</f>
        <v>-0.347379046750667</v>
      </c>
      <c r="HF18" s="3">
        <f ca="1">IFERROR(__xludf.DUMMYFUNCTION("""COMPUTED_VALUE"""),-0.431849348683933)</f>
        <v>-0.43184934868393299</v>
      </c>
      <c r="HG18" s="3">
        <f ca="1">IFERROR(__xludf.DUMMYFUNCTION("""COMPUTED_VALUE"""),-0.368919800218018)</f>
        <v>-0.36891980021801801</v>
      </c>
      <c r="HH18" s="3">
        <f ca="1">IFERROR(__xludf.DUMMYFUNCTION("""COMPUTED_VALUE"""),-0.374829954814606)</f>
        <v>-0.37482995481460601</v>
      </c>
      <c r="HI18" s="3">
        <f ca="1">IFERROR(__xludf.DUMMYFUNCTION("""COMPUTED_VALUE"""),-0.35938181967259)</f>
        <v>-0.35938181967258997</v>
      </c>
      <c r="HJ18" s="3">
        <f ca="1">IFERROR(__xludf.DUMMYFUNCTION("""COMPUTED_VALUE"""),-0.0880473982363314)</f>
        <v>-8.8047398236331398E-2</v>
      </c>
      <c r="HK18" s="3">
        <f ca="1">IFERROR(__xludf.DUMMYFUNCTION("""COMPUTED_VALUE"""),-0.229799020989053)</f>
        <v>-0.229799020989053</v>
      </c>
      <c r="HL18" s="3">
        <f ca="1">IFERROR(__xludf.DUMMYFUNCTION("""COMPUTED_VALUE"""),-0.380510164917062)</f>
        <v>-0.38051016491706202</v>
      </c>
      <c r="HM18" s="3">
        <f ca="1">IFERROR(__xludf.DUMMYFUNCTION("""COMPUTED_VALUE"""),-0.327805681363379)</f>
        <v>-0.32780568136337901</v>
      </c>
      <c r="HN18" s="3">
        <f ca="1">IFERROR(__xludf.DUMMYFUNCTION("""COMPUTED_VALUE"""),-0.46043227182186)</f>
        <v>-0.46043227182185997</v>
      </c>
      <c r="HO18" s="3">
        <f ca="1">IFERROR(__xludf.DUMMYFUNCTION("""COMPUTED_VALUE"""),-0.39329799301804)</f>
        <v>-0.39329799301804003</v>
      </c>
      <c r="HP18" s="3">
        <f ca="1">IFERROR(__xludf.DUMMYFUNCTION("""COMPUTED_VALUE"""),-0.274097977116928)</f>
        <v>-0.27409797711692802</v>
      </c>
      <c r="HQ18" s="3">
        <f ca="1">IFERROR(__xludf.DUMMYFUNCTION("""COMPUTED_VALUE"""),-0.158439539340932)</f>
        <v>-0.158439539340932</v>
      </c>
      <c r="HR18" s="3">
        <f ca="1">IFERROR(__xludf.DUMMYFUNCTION("""COMPUTED_VALUE"""),-0.31224491604229)</f>
        <v>-0.31224491604228999</v>
      </c>
      <c r="HS18" s="3">
        <f ca="1">IFERROR(__xludf.DUMMYFUNCTION("""COMPUTED_VALUE"""),-0.33819626683042)</f>
        <v>-0.33819626683041998</v>
      </c>
      <c r="HT18" s="3">
        <f ca="1">IFERROR(__xludf.DUMMYFUNCTION("""COMPUTED_VALUE"""),-0.443100441243464)</f>
        <v>-0.44310044124346398</v>
      </c>
      <c r="HU18" s="3">
        <f ca="1">IFERROR(__xludf.DUMMYFUNCTION("""COMPUTED_VALUE"""),-0.362140794835414)</f>
        <v>-0.362140794835414</v>
      </c>
      <c r="HV18" s="3">
        <f ca="1">IFERROR(__xludf.DUMMYFUNCTION("""COMPUTED_VALUE"""),-0.414872910926312)</f>
        <v>-0.41487291092631201</v>
      </c>
      <c r="HW18" s="3">
        <f ca="1">IFERROR(__xludf.DUMMYFUNCTION("""COMPUTED_VALUE"""),-0.260897640258378)</f>
        <v>-0.26089764025837803</v>
      </c>
      <c r="HX18" s="3">
        <f ca="1">IFERROR(__xludf.DUMMYFUNCTION("""COMPUTED_VALUE"""),-0.211486590451995)</f>
        <v>-0.211486590451995</v>
      </c>
      <c r="HY18" s="3">
        <f ca="1">IFERROR(__xludf.DUMMYFUNCTION("""COMPUTED_VALUE"""),-0.220466725988371)</f>
        <v>-0.220466725988371</v>
      </c>
      <c r="HZ18" s="3">
        <f ca="1">IFERROR(__xludf.DUMMYFUNCTION("""COMPUTED_VALUE"""),-0.32940746258373)</f>
        <v>-0.32940746258372999</v>
      </c>
      <c r="IA18" s="3">
        <f ca="1">IFERROR(__xludf.DUMMYFUNCTION("""COMPUTED_VALUE"""),-0.329148882917104)</f>
        <v>-0.32914888291710398</v>
      </c>
      <c r="IB18" s="3">
        <f ca="1">IFERROR(__xludf.DUMMYFUNCTION("""COMPUTED_VALUE"""),-0.378539758777075)</f>
        <v>-0.37853975877707502</v>
      </c>
      <c r="IC18" s="3">
        <f ca="1">IFERROR(__xludf.DUMMYFUNCTION("""COMPUTED_VALUE"""),-0.331630310952537)</f>
        <v>-0.33163031095253698</v>
      </c>
      <c r="ID18" s="3">
        <f ca="1">IFERROR(__xludf.DUMMYFUNCTION("""COMPUTED_VALUE"""),-0.300959795901587)</f>
        <v>-0.300959795901587</v>
      </c>
      <c r="IE18" s="3">
        <f ca="1">IFERROR(__xludf.DUMMYFUNCTION("""COMPUTED_VALUE"""),-0.294086341849183)</f>
        <v>-0.29408634184918298</v>
      </c>
      <c r="IF18" s="3">
        <f ca="1">IFERROR(__xludf.DUMMYFUNCTION("""COMPUTED_VALUE"""),-0.257676474207406)</f>
        <v>-0.25767647420740603</v>
      </c>
      <c r="IG18" s="3">
        <f ca="1">IFERROR(__xludf.DUMMYFUNCTION("""COMPUTED_VALUE"""),-0.305091759643651)</f>
        <v>-0.30509175964365098</v>
      </c>
      <c r="IH18" s="3">
        <f ca="1">IFERROR(__xludf.DUMMYFUNCTION("""COMPUTED_VALUE"""),-0.340427184580991)</f>
        <v>-0.34042718458099103</v>
      </c>
      <c r="II18" s="3">
        <f ca="1">IFERROR(__xludf.DUMMYFUNCTION("""COMPUTED_VALUE"""),-0.24139672252987)</f>
        <v>-0.24139672252986999</v>
      </c>
      <c r="IJ18" s="3">
        <f ca="1">IFERROR(__xludf.DUMMYFUNCTION("""COMPUTED_VALUE"""),-0.329830918885574)</f>
        <v>-0.32983091888557398</v>
      </c>
      <c r="IK18" s="3">
        <f ca="1">IFERROR(__xludf.DUMMYFUNCTION("""COMPUTED_VALUE"""),-0.290008254738672)</f>
        <v>-0.29000825473867198</v>
      </c>
      <c r="IL18" s="3">
        <f ca="1">IFERROR(__xludf.DUMMYFUNCTION("""COMPUTED_VALUE"""),-0.15266624977769)</f>
        <v>-0.15266624977769</v>
      </c>
      <c r="IM18" s="3">
        <f ca="1">IFERROR(__xludf.DUMMYFUNCTION("""COMPUTED_VALUE"""),-0.22035551336471)</f>
        <v>-0.22035551336470999</v>
      </c>
      <c r="IN18" s="3">
        <f ca="1">IFERROR(__xludf.DUMMYFUNCTION("""COMPUTED_VALUE"""),-0.35394145734511)</f>
        <v>-0.35394145734511001</v>
      </c>
      <c r="IO18" s="3">
        <f ca="1">IFERROR(__xludf.DUMMYFUNCTION("""COMPUTED_VALUE"""),-0.325022297607774)</f>
        <v>-0.32502229760777401</v>
      </c>
      <c r="IP18" s="3">
        <f ca="1">IFERROR(__xludf.DUMMYFUNCTION("""COMPUTED_VALUE"""),-0.245795375197883)</f>
        <v>-0.245795375197883</v>
      </c>
      <c r="IQ18" s="3">
        <f ca="1">IFERROR(__xludf.DUMMYFUNCTION("""COMPUTED_VALUE"""),-0.407471109169763)</f>
        <v>-0.40747110916976298</v>
      </c>
      <c r="IR18" s="3">
        <f ca="1">IFERROR(__xludf.DUMMYFUNCTION("""COMPUTED_VALUE"""),-0.301584532301132)</f>
        <v>-0.30158453230113202</v>
      </c>
      <c r="IS18" s="3">
        <f ca="1">IFERROR(__xludf.DUMMYFUNCTION("""COMPUTED_VALUE"""),-0.242772925246956)</f>
        <v>-0.24277292524695601</v>
      </c>
      <c r="IT18" s="3">
        <f ca="1">IFERROR(__xludf.DUMMYFUNCTION("""COMPUTED_VALUE"""),-0.218582036868442)</f>
        <v>-0.21858203686844199</v>
      </c>
      <c r="IU18" s="3">
        <f ca="1">IFERROR(__xludf.DUMMYFUNCTION("""COMPUTED_VALUE"""),-0.363058498511863)</f>
        <v>-0.363058498511863</v>
      </c>
      <c r="IV18" s="3">
        <f ca="1">IFERROR(__xludf.DUMMYFUNCTION("""COMPUTED_VALUE"""),-0.390653073109251)</f>
        <v>-0.39065307310925101</v>
      </c>
      <c r="IW18" s="3">
        <f ca="1">IFERROR(__xludf.DUMMYFUNCTION("""COMPUTED_VALUE"""),-0.354539595566638)</f>
        <v>-0.354539595566638</v>
      </c>
      <c r="IX18" s="3">
        <f ca="1">IFERROR(__xludf.DUMMYFUNCTION("""COMPUTED_VALUE"""),-0.356472982814411)</f>
        <v>-0.35647298281441098</v>
      </c>
      <c r="IY18" s="3">
        <f ca="1">IFERROR(__xludf.DUMMYFUNCTION("""COMPUTED_VALUE"""),-0.338049311985444)</f>
        <v>-0.33804931198544402</v>
      </c>
      <c r="IZ18" s="3">
        <f ca="1">IFERROR(__xludf.DUMMYFUNCTION("""COMPUTED_VALUE"""),-0.221089025913274)</f>
        <v>-0.22108902591327401</v>
      </c>
      <c r="JA18" s="3">
        <f ca="1">IFERROR(__xludf.DUMMYFUNCTION("""COMPUTED_VALUE"""),-0.262396187338779)</f>
        <v>-0.26239618733877901</v>
      </c>
      <c r="JB18" s="3">
        <f ca="1">IFERROR(__xludf.DUMMYFUNCTION("""COMPUTED_VALUE"""),-0.415946084392874)</f>
        <v>-0.415946084392874</v>
      </c>
      <c r="JC18" s="3">
        <f ca="1">IFERROR(__xludf.DUMMYFUNCTION("""COMPUTED_VALUE"""),-0.40228872279026)</f>
        <v>-0.40228872279026001</v>
      </c>
      <c r="JD18" s="3">
        <f ca="1">IFERROR(__xludf.DUMMYFUNCTION("""COMPUTED_VALUE"""),-0.422915701907111)</f>
        <v>-0.42291570190711097</v>
      </c>
      <c r="JE18" s="3">
        <f ca="1">IFERROR(__xludf.DUMMYFUNCTION("""COMPUTED_VALUE"""),-0.383224525199804)</f>
        <v>-0.38322452519980399</v>
      </c>
      <c r="JF18" s="3">
        <f ca="1">IFERROR(__xludf.DUMMYFUNCTION("""COMPUTED_VALUE"""),-0.353033615083596)</f>
        <v>-0.35303361508359599</v>
      </c>
      <c r="JG18" s="3">
        <f ca="1">IFERROR(__xludf.DUMMYFUNCTION("""COMPUTED_VALUE"""),-0.263418356137494)</f>
        <v>-0.26341835613749398</v>
      </c>
      <c r="JH18" s="3">
        <f ca="1">IFERROR(__xludf.DUMMYFUNCTION("""COMPUTED_VALUE"""),-0.309040190861849)</f>
        <v>-0.30904019086184897</v>
      </c>
      <c r="JI18" s="3">
        <f ca="1">IFERROR(__xludf.DUMMYFUNCTION("""COMPUTED_VALUE"""),-0.463574779207574)</f>
        <v>-0.46357477920757401</v>
      </c>
      <c r="JJ18" s="3">
        <f ca="1">IFERROR(__xludf.DUMMYFUNCTION("""COMPUTED_VALUE"""),-0.406865006085876)</f>
        <v>-0.406865006085876</v>
      </c>
      <c r="JK18" s="3">
        <f ca="1">IFERROR(__xludf.DUMMYFUNCTION("""COMPUTED_VALUE"""),-0.4276932021822)</f>
        <v>-0.42769320218220003</v>
      </c>
      <c r="JL18" s="3">
        <f ca="1">IFERROR(__xludf.DUMMYFUNCTION("""COMPUTED_VALUE"""),-0.413852519934846)</f>
        <v>-0.41385251993484601</v>
      </c>
      <c r="JM18" s="3">
        <f ca="1">IFERROR(__xludf.DUMMYFUNCTION("""COMPUTED_VALUE"""),-0.360995538697447)</f>
        <v>-0.36099553869744699</v>
      </c>
      <c r="JN18" s="3">
        <f ca="1">IFERROR(__xludf.DUMMYFUNCTION("""COMPUTED_VALUE"""),-0.25412576299185)</f>
        <v>-0.25412576299185002</v>
      </c>
      <c r="JO18" s="3">
        <f ca="1">IFERROR(__xludf.DUMMYFUNCTION("""COMPUTED_VALUE"""),-0.309642378186956)</f>
        <v>-0.309642378186956</v>
      </c>
      <c r="JP18" s="3">
        <f ca="1">IFERROR(__xludf.DUMMYFUNCTION("""COMPUTED_VALUE"""),-0.472963462215139)</f>
        <v>-0.47296346221513902</v>
      </c>
      <c r="JQ18" s="3">
        <f ca="1">IFERROR(__xludf.DUMMYFUNCTION("""COMPUTED_VALUE"""),-0.316832812360219)</f>
        <v>-0.31683281236021898</v>
      </c>
      <c r="JR18" s="3">
        <f ca="1">IFERROR(__xludf.DUMMYFUNCTION("""COMPUTED_VALUE"""),-0.516911196749813)</f>
        <v>-0.51691119674981301</v>
      </c>
      <c r="JS18" s="3">
        <f ca="1">IFERROR(__xludf.DUMMYFUNCTION("""COMPUTED_VALUE"""),-0.469753833675919)</f>
        <v>-0.469753833675919</v>
      </c>
      <c r="JT18" s="3">
        <f ca="1">IFERROR(__xludf.DUMMYFUNCTION("""COMPUTED_VALUE"""),-0.396721469816099)</f>
        <v>-0.39672146981609901</v>
      </c>
      <c r="JU18" s="3">
        <f ca="1">IFERROR(__xludf.DUMMYFUNCTION("""COMPUTED_VALUE"""),-0.28326436225999)</f>
        <v>-0.28326436225999002</v>
      </c>
      <c r="JV18" s="3">
        <f ca="1">IFERROR(__xludf.DUMMYFUNCTION("""COMPUTED_VALUE"""),-0.192645828272296)</f>
        <v>-0.19264582827229601</v>
      </c>
      <c r="JW18" s="3">
        <f ca="1">IFERROR(__xludf.DUMMYFUNCTION("""COMPUTED_VALUE"""),-0.4123782045495)</f>
        <v>-0.41237820454950003</v>
      </c>
      <c r="JX18" s="3">
        <f ca="1">IFERROR(__xludf.DUMMYFUNCTION("""COMPUTED_VALUE"""),-0.333417808093323)</f>
        <v>-0.333417808093323</v>
      </c>
      <c r="JY18" s="3">
        <f ca="1">IFERROR(__xludf.DUMMYFUNCTION("""COMPUTED_VALUE"""),-0.508366779424485)</f>
        <v>-0.50836677942448505</v>
      </c>
      <c r="JZ18" s="3">
        <f ca="1">IFERROR(__xludf.DUMMYFUNCTION("""COMPUTED_VALUE"""),-0.481303407442153)</f>
        <v>-0.481303407442153</v>
      </c>
      <c r="KA18" s="3">
        <f ca="1">IFERROR(__xludf.DUMMYFUNCTION("""COMPUTED_VALUE"""),-0.418075834526691)</f>
        <v>-0.418075834526691</v>
      </c>
      <c r="KB18" s="3">
        <f ca="1">IFERROR(__xludf.DUMMYFUNCTION("""COMPUTED_VALUE"""),-0.371563986043776)</f>
        <v>-0.371563986043776</v>
      </c>
      <c r="KC18" s="3">
        <f ca="1">IFERROR(__xludf.DUMMYFUNCTION("""COMPUTED_VALUE"""),-0.429946086734166)</f>
        <v>-0.42994608673416601</v>
      </c>
      <c r="KD18" s="3">
        <f ca="1">IFERROR(__xludf.DUMMYFUNCTION("""COMPUTED_VALUE"""),-0.410514085444114)</f>
        <v>-0.410514085444114</v>
      </c>
      <c r="KE18" s="3">
        <f ca="1">IFERROR(__xludf.DUMMYFUNCTION("""COMPUTED_VALUE"""),-0.379106037204027)</f>
        <v>-0.37910603720402702</v>
      </c>
      <c r="KF18" s="3">
        <f ca="1">IFERROR(__xludf.DUMMYFUNCTION("""COMPUTED_VALUE"""),-0.476536202012377)</f>
        <v>-0.47653620201237701</v>
      </c>
      <c r="KG18" s="3">
        <f ca="1">IFERROR(__xludf.DUMMYFUNCTION("""COMPUTED_VALUE"""),-0.443535316537982)</f>
        <v>-0.44353531653798201</v>
      </c>
      <c r="KH18" s="3">
        <f ca="1">IFERROR(__xludf.DUMMYFUNCTION("""COMPUTED_VALUE"""),-0.434137609843748)</f>
        <v>-0.434137609843748</v>
      </c>
      <c r="KI18" s="3">
        <f ca="1">IFERROR(__xludf.DUMMYFUNCTION("""COMPUTED_VALUE"""),-0.326883729826292)</f>
        <v>-0.32688372982629199</v>
      </c>
      <c r="KJ18" s="3">
        <f ca="1">IFERROR(__xludf.DUMMYFUNCTION("""COMPUTED_VALUE"""),-0.395405724574166)</f>
        <v>-0.39540572457416601</v>
      </c>
      <c r="KK18" s="3">
        <f ca="1">IFERROR(__xludf.DUMMYFUNCTION("""COMPUTED_VALUE"""),-0.425114068368472)</f>
        <v>-0.42511406836847199</v>
      </c>
      <c r="KL18" s="3">
        <f ca="1">IFERROR(__xludf.DUMMYFUNCTION("""COMPUTED_VALUE"""),-0.451029844256038)</f>
        <v>-0.45102984425603798</v>
      </c>
      <c r="KM18" s="3">
        <f ca="1">IFERROR(__xludf.DUMMYFUNCTION("""COMPUTED_VALUE"""),-0.478713123876194)</f>
        <v>-0.47871312387619402</v>
      </c>
      <c r="KN18" s="3">
        <f ca="1">IFERROR(__xludf.DUMMYFUNCTION("""COMPUTED_VALUE"""),-0.454009632283797)</f>
        <v>-0.45400963228379698</v>
      </c>
      <c r="KO18" s="3">
        <f ca="1">IFERROR(__xludf.DUMMYFUNCTION("""COMPUTED_VALUE"""),-0.466119422766575)</f>
        <v>-0.46611942276657498</v>
      </c>
      <c r="KP18" s="3">
        <f ca="1">IFERROR(__xludf.DUMMYFUNCTION("""COMPUTED_VALUE"""),-0.331258753473648)</f>
        <v>-0.33125875347364803</v>
      </c>
      <c r="KQ18" s="3">
        <f ca="1">IFERROR(__xludf.DUMMYFUNCTION("""COMPUTED_VALUE"""),-0.419364712576783)</f>
        <v>-0.41936471257678298</v>
      </c>
      <c r="KR18" s="3">
        <f ca="1">IFERROR(__xludf.DUMMYFUNCTION("""COMPUTED_VALUE"""),-0.457840855997826)</f>
        <v>-0.45784085599782598</v>
      </c>
      <c r="KS18" s="3">
        <f ca="1">IFERROR(__xludf.DUMMYFUNCTION("""COMPUTED_VALUE"""),-0.547284499401025)</f>
        <v>-0.54728449940102497</v>
      </c>
      <c r="KT18" s="3">
        <f ca="1">IFERROR(__xludf.DUMMYFUNCTION("""COMPUTED_VALUE"""),-0.500651883164543)</f>
        <v>-0.50065188316454301</v>
      </c>
      <c r="KU18" s="3">
        <f ca="1">IFERROR(__xludf.DUMMYFUNCTION("""COMPUTED_VALUE"""),-0.507682287200324)</f>
        <v>-0.50768228720032404</v>
      </c>
      <c r="KV18" s="3">
        <f ca="1">IFERROR(__xludf.DUMMYFUNCTION("""COMPUTED_VALUE"""),-0.478679511272999)</f>
        <v>-0.47867951127299901</v>
      </c>
      <c r="KW18" s="3">
        <f ca="1">IFERROR(__xludf.DUMMYFUNCTION("""COMPUTED_VALUE"""),-0.374929262455652)</f>
        <v>-0.374929262455652</v>
      </c>
      <c r="KX18" s="3">
        <f ca="1">IFERROR(__xludf.DUMMYFUNCTION("""COMPUTED_VALUE"""),-0.459494800781553)</f>
        <v>-0.45949480078155303</v>
      </c>
      <c r="KY18" s="3">
        <f ca="1">IFERROR(__xludf.DUMMYFUNCTION("""COMPUTED_VALUE"""),-0.572821415519305)</f>
        <v>-0.57282141551930499</v>
      </c>
      <c r="KZ18" s="3">
        <f ca="1">IFERROR(__xludf.DUMMYFUNCTION("""COMPUTED_VALUE"""),-0.510470723948747)</f>
        <v>-0.51047072394874704</v>
      </c>
      <c r="LA18" s="3">
        <f ca="1">IFERROR(__xludf.DUMMYFUNCTION("""COMPUTED_VALUE"""),-0.550033804523327)</f>
        <v>-0.55003380452332695</v>
      </c>
      <c r="LB18" s="3">
        <f ca="1">IFERROR(__xludf.DUMMYFUNCTION("""COMPUTED_VALUE"""),-0.584863746321836)</f>
        <v>-0.58486374632183602</v>
      </c>
      <c r="LC18" s="3">
        <f ca="1">IFERROR(__xludf.DUMMYFUNCTION("""COMPUTED_VALUE"""),-0.439649090683419)</f>
        <v>-0.43964909068341901</v>
      </c>
      <c r="LD18" s="3">
        <f ca="1">IFERROR(__xludf.DUMMYFUNCTION("""COMPUTED_VALUE"""),-0.477850618322436)</f>
        <v>-0.47785061832243603</v>
      </c>
      <c r="LE18" s="3">
        <f ca="1">IFERROR(__xludf.DUMMYFUNCTION("""COMPUTED_VALUE"""),-0.499827727342187)</f>
        <v>-0.499827727342187</v>
      </c>
      <c r="LF18" s="3">
        <f ca="1">IFERROR(__xludf.DUMMYFUNCTION("""COMPUTED_VALUE"""),-0.598423635212927)</f>
        <v>-0.59842363521292696</v>
      </c>
      <c r="LG18" s="3">
        <f ca="1">IFERROR(__xludf.DUMMYFUNCTION("""COMPUTED_VALUE"""),-0.590993815050479)</f>
        <v>-0.59099381505047899</v>
      </c>
      <c r="LH18" s="3">
        <f ca="1">IFERROR(__xludf.DUMMYFUNCTION("""COMPUTED_VALUE"""),-0.544855303420771)</f>
        <v>-0.54485530342077104</v>
      </c>
      <c r="LI18" s="3">
        <f ca="1">IFERROR(__xludf.DUMMYFUNCTION("""COMPUTED_VALUE"""),-0.535852039867048)</f>
        <v>-0.53585203986704799</v>
      </c>
      <c r="LJ18" s="3">
        <f ca="1">IFERROR(__xludf.DUMMYFUNCTION("""COMPUTED_VALUE"""),-0.56941235320059)</f>
        <v>-0.56941235320059003</v>
      </c>
      <c r="LK18" s="3">
        <f ca="1">IFERROR(__xludf.DUMMYFUNCTION("""COMPUTED_VALUE"""),-0.462391068678369)</f>
        <v>-0.46239106867836899</v>
      </c>
      <c r="LL18" s="3">
        <f ca="1">IFERROR(__xludf.DUMMYFUNCTION("""COMPUTED_VALUE"""),-0.620551581028028)</f>
        <v>-0.62055158102802799</v>
      </c>
      <c r="LM18" s="3">
        <f ca="1">IFERROR(__xludf.DUMMYFUNCTION("""COMPUTED_VALUE"""),-0.611715981592587)</f>
        <v>-0.611715981592587</v>
      </c>
      <c r="LN18" s="3">
        <f ca="1">IFERROR(__xludf.DUMMYFUNCTION("""COMPUTED_VALUE"""),-0.599508028098635)</f>
        <v>-0.59950802809863502</v>
      </c>
      <c r="LO18" s="3">
        <f ca="1">IFERROR(__xludf.DUMMYFUNCTION("""COMPUTED_VALUE"""),-0.613196683449955)</f>
        <v>-0.61319668344995504</v>
      </c>
      <c r="LP18" s="3">
        <f ca="1">IFERROR(__xludf.DUMMYFUNCTION("""COMPUTED_VALUE"""),-0.619535206785198)</f>
        <v>-0.61953520678519802</v>
      </c>
      <c r="LQ18" s="3">
        <f ca="1">IFERROR(__xludf.DUMMYFUNCTION("""COMPUTED_VALUE"""),-0.562578934468612)</f>
        <v>-0.56257893446861196</v>
      </c>
      <c r="LR18" s="3">
        <f ca="1">IFERROR(__xludf.DUMMYFUNCTION("""COMPUTED_VALUE"""),-0.494581594783402)</f>
        <v>-0.49458159478340202</v>
      </c>
      <c r="LS18" s="3">
        <f ca="1">IFERROR(__xludf.DUMMYFUNCTION("""COMPUTED_VALUE"""),-0.582027714390223)</f>
        <v>-0.58202771439022305</v>
      </c>
      <c r="LT18" s="3">
        <f ca="1">IFERROR(__xludf.DUMMYFUNCTION("""COMPUTED_VALUE"""),-0.601068911287525)</f>
        <v>-0.60106891128752504</v>
      </c>
      <c r="LU18" s="3">
        <f ca="1">IFERROR(__xludf.DUMMYFUNCTION("""COMPUTED_VALUE"""),-0.637612392877164)</f>
        <v>-0.63761239287716398</v>
      </c>
      <c r="LV18" s="3">
        <f ca="1">IFERROR(__xludf.DUMMYFUNCTION("""COMPUTED_VALUE"""),-0.656007861776172)</f>
        <v>-0.65600786177617199</v>
      </c>
      <c r="LW18" s="3">
        <f ca="1">IFERROR(__xludf.DUMMYFUNCTION("""COMPUTED_VALUE"""),-0.633125733799059)</f>
        <v>-0.63312573379905901</v>
      </c>
      <c r="LX18" s="3">
        <f ca="1">IFERROR(__xludf.DUMMYFUNCTION("""COMPUTED_VALUE"""),-0.646110812559501)</f>
        <v>-0.64611081255950098</v>
      </c>
      <c r="LY18" s="3">
        <f ca="1">IFERROR(__xludf.DUMMYFUNCTION("""COMPUTED_VALUE"""),-0.436198379364817)</f>
        <v>-0.43619837936481698</v>
      </c>
      <c r="LZ18" s="3">
        <f ca="1">IFERROR(__xludf.DUMMYFUNCTION("""COMPUTED_VALUE"""),-0.61934901350111)</f>
        <v>-0.61934901350111005</v>
      </c>
      <c r="MA18" s="3">
        <f ca="1">IFERROR(__xludf.DUMMYFUNCTION("""COMPUTED_VALUE"""),-0.653907851472308)</f>
        <v>-0.65390785147230801</v>
      </c>
      <c r="MB18" s="3">
        <f ca="1">IFERROR(__xludf.DUMMYFUNCTION("""COMPUTED_VALUE"""),-0.656307781803947)</f>
        <v>-0.656307781803947</v>
      </c>
      <c r="MC18" s="3">
        <f ca="1">IFERROR(__xludf.DUMMYFUNCTION("""COMPUTED_VALUE"""),-0.666395744428987)</f>
        <v>-0.66639574442898697</v>
      </c>
      <c r="MD18" s="3">
        <f ca="1">IFERROR(__xludf.DUMMYFUNCTION("""COMPUTED_VALUE"""),-0.668818526849955)</f>
        <v>-0.66881852684995502</v>
      </c>
      <c r="ME18" s="3">
        <f ca="1">IFERROR(__xludf.DUMMYFUNCTION("""COMPUTED_VALUE"""),-0.643866036869015)</f>
        <v>-0.643866036869015</v>
      </c>
      <c r="MF18" s="3">
        <f ca="1">IFERROR(__xludf.DUMMYFUNCTION("""COMPUTED_VALUE"""),-0.481166225674291)</f>
        <v>-0.48116622567429101</v>
      </c>
      <c r="MG18" s="3">
        <f ca="1">IFERROR(__xludf.DUMMYFUNCTION("""COMPUTED_VALUE"""),-0.569958816574503)</f>
        <v>-0.56995881657450298</v>
      </c>
      <c r="MH18" s="3">
        <f ca="1">IFERROR(__xludf.DUMMYFUNCTION("""COMPUTED_VALUE"""),-0.661572538885076)</f>
        <v>-0.66157253888507594</v>
      </c>
      <c r="MI18" s="3">
        <f ca="1">IFERROR(__xludf.DUMMYFUNCTION("""COMPUTED_VALUE"""),-0.713243415991396)</f>
        <v>-0.71324341599139596</v>
      </c>
      <c r="MJ18" s="3">
        <f ca="1">IFERROR(__xludf.DUMMYFUNCTION("""COMPUTED_VALUE"""),-0.68546524308757)</f>
        <v>-0.68546524308756995</v>
      </c>
      <c r="MK18" s="3">
        <f ca="1">IFERROR(__xludf.DUMMYFUNCTION("""COMPUTED_VALUE"""),-0.693826011760153)</f>
        <v>-0.69382601176015302</v>
      </c>
      <c r="ML18" s="3">
        <f ca="1">IFERROR(__xludf.DUMMYFUNCTION("""COMPUTED_VALUE"""),-0.630301382458741)</f>
        <v>-0.63030138245874101</v>
      </c>
      <c r="MM18" s="3">
        <f ca="1">IFERROR(__xludf.DUMMYFUNCTION("""COMPUTED_VALUE"""),-0.552382302628366)</f>
        <v>-0.55238230262836596</v>
      </c>
      <c r="MN18" s="3">
        <f ca="1">IFERROR(__xludf.DUMMYFUNCTION("""COMPUTED_VALUE"""),-0.600032229835723)</f>
        <v>-0.60003222983572302</v>
      </c>
      <c r="MO18" s="3">
        <f ca="1">IFERROR(__xludf.DUMMYFUNCTION("""COMPUTED_VALUE"""),-0.672477241462129)</f>
        <v>-0.67247724146212895</v>
      </c>
      <c r="MP18" s="3">
        <f ca="1">IFERROR(__xludf.DUMMYFUNCTION("""COMPUTED_VALUE"""),-0.688260620330464)</f>
        <v>-0.68826062033046398</v>
      </c>
      <c r="MQ18" s="3">
        <f ca="1">IFERROR(__xludf.DUMMYFUNCTION("""COMPUTED_VALUE"""),-0.700403473650787)</f>
        <v>-0.70040347365078703</v>
      </c>
      <c r="MR18" s="3">
        <f ca="1">IFERROR(__xludf.DUMMYFUNCTION("""COMPUTED_VALUE"""),-0.719448778606906)</f>
        <v>-0.71944877860690604</v>
      </c>
      <c r="MS18" s="3">
        <f ca="1">IFERROR(__xludf.DUMMYFUNCTION("""COMPUTED_VALUE"""),-0.648802667955765)</f>
        <v>-0.64880266795576502</v>
      </c>
      <c r="MT18" s="3">
        <f ca="1">IFERROR(__xludf.DUMMYFUNCTION("""COMPUTED_VALUE"""),-0.542346255011608)</f>
        <v>-0.54234625501160805</v>
      </c>
      <c r="MU18" s="3">
        <f ca="1">IFERROR(__xludf.DUMMYFUNCTION("""COMPUTED_VALUE"""),-0.65787141763444)</f>
        <v>-0.65787141763444001</v>
      </c>
      <c r="MV18" s="3">
        <f ca="1">IFERROR(__xludf.DUMMYFUNCTION("""COMPUTED_VALUE"""),-0.623614202501372)</f>
        <v>-0.62361420250137201</v>
      </c>
      <c r="MW18" s="3">
        <f ca="1">IFERROR(__xludf.DUMMYFUNCTION("""COMPUTED_VALUE"""),-0.67608779119716)</f>
        <v>-0.67608779119716</v>
      </c>
      <c r="MX18" s="3">
        <f ca="1">IFERROR(__xludf.DUMMYFUNCTION("""COMPUTED_VALUE"""),-0.659651751026507)</f>
        <v>-0.65965175102650697</v>
      </c>
      <c r="MY18" s="3">
        <f ca="1">IFERROR(__xludf.DUMMYFUNCTION("""COMPUTED_VALUE"""),-0.661514300201489)</f>
        <v>-0.66151430020148905</v>
      </c>
      <c r="MZ18" s="3">
        <f ca="1">IFERROR(__xludf.DUMMYFUNCTION("""COMPUTED_VALUE"""),-0.734136096976903)</f>
        <v>-0.73413609697690296</v>
      </c>
      <c r="NA18" s="3">
        <f ca="1">IFERROR(__xludf.DUMMYFUNCTION("""COMPUTED_VALUE"""),-0.561647294873368)</f>
        <v>-0.56164729487336795</v>
      </c>
      <c r="NB18" s="3">
        <f ca="1">IFERROR(__xludf.DUMMYFUNCTION("""COMPUTED_VALUE"""),-0.554777917042701)</f>
        <v>-0.55477791704270096</v>
      </c>
      <c r="NC18" s="3">
        <f ca="1">IFERROR(__xludf.DUMMYFUNCTION("""COMPUTED_VALUE"""),-0.635475642764255)</f>
        <v>-0.63547564276425506</v>
      </c>
      <c r="ND18" s="3">
        <f ca="1">IFERROR(__xludf.DUMMYFUNCTION("""COMPUTED_VALUE"""),-0.707446140203709)</f>
        <v>-0.707446140203709</v>
      </c>
      <c r="NE18" s="3">
        <f ca="1">IFERROR(__xludf.DUMMYFUNCTION("""COMPUTED_VALUE"""),-0.671718743582297)</f>
        <v>-0.671718743582297</v>
      </c>
      <c r="NF18" s="3">
        <f ca="1">IFERROR(__xludf.DUMMYFUNCTION("""COMPUTED_VALUE"""),-0.642117096564498)</f>
        <v>-0.642117096564498</v>
      </c>
      <c r="NG18" s="3">
        <f ca="1">IFERROR(__xludf.DUMMYFUNCTION("""COMPUTED_VALUE"""),-0.615860314503525)</f>
        <v>-0.61586031450352496</v>
      </c>
      <c r="NH18" s="3">
        <f ca="1">IFERROR(__xludf.DUMMYFUNCTION("""COMPUTED_VALUE"""),-0.50529945726878)</f>
        <v>-0.50529945726878001</v>
      </c>
      <c r="NI18" s="3">
        <f ca="1">IFERROR(__xludf.DUMMYFUNCTION("""COMPUTED_VALUE"""),-0.607101547583072)</f>
        <v>-0.607101547583072</v>
      </c>
      <c r="NJ18" s="3">
        <f ca="1">IFERROR(__xludf.DUMMYFUNCTION("""COMPUTED_VALUE"""),-0.640885632848672)</f>
        <v>-0.64088563284867195</v>
      </c>
      <c r="NK18" s="3">
        <f ca="1">IFERROR(__xludf.DUMMYFUNCTION("""COMPUTED_VALUE"""),-0.668010208511927)</f>
        <v>-0.66801020851192705</v>
      </c>
      <c r="NL18" s="3">
        <f ca="1">IFERROR(__xludf.DUMMYFUNCTION("""COMPUTED_VALUE"""),-0.604381457675703)</f>
        <v>-0.60438145767570295</v>
      </c>
      <c r="NM18" s="3">
        <f ca="1">IFERROR(__xludf.DUMMYFUNCTION("""COMPUTED_VALUE"""),-0.659858249863597)</f>
        <v>-0.65985824986359698</v>
      </c>
      <c r="NN18" s="3">
        <f ca="1">IFERROR(__xludf.DUMMYFUNCTION("""COMPUTED_VALUE"""),-0.627027670498732)</f>
        <v>-0.62702767049873198</v>
      </c>
      <c r="NO18" s="3">
        <f ca="1">IFERROR(__xludf.DUMMYFUNCTION("""COMPUTED_VALUE"""),-0.480819479718484)</f>
        <v>-0.48081947971848399</v>
      </c>
      <c r="NP18" s="3">
        <f ca="1">IFERROR(__xludf.DUMMYFUNCTION("""COMPUTED_VALUE"""),-0.592353481931405)</f>
        <v>-0.59235348193140502</v>
      </c>
      <c r="NQ18" s="3">
        <f ca="1">IFERROR(__xludf.DUMMYFUNCTION("""COMPUTED_VALUE"""),-0.609071892743251)</f>
        <v>-0.60907189274325102</v>
      </c>
      <c r="NR18" s="3">
        <f ca="1">IFERROR(__xludf.DUMMYFUNCTION("""COMPUTED_VALUE"""),-0.66832558502395)</f>
        <v>-0.66832558502395001</v>
      </c>
      <c r="NS18" s="3">
        <f ca="1">IFERROR(__xludf.DUMMYFUNCTION("""COMPUTED_VALUE"""),-0.663338951258598)</f>
        <v>-0.66333895125859799</v>
      </c>
      <c r="NT18" s="3">
        <f ca="1">IFERROR(__xludf.DUMMYFUNCTION("""COMPUTED_VALUE"""),-0.628251475008772)</f>
        <v>-0.62825147500877199</v>
      </c>
      <c r="NU18" s="3">
        <f ca="1">IFERROR(__xludf.DUMMYFUNCTION("""COMPUTED_VALUE"""),-0.646333456871404)</f>
        <v>-0.64633345687140398</v>
      </c>
      <c r="NV18" s="3">
        <f ca="1">IFERROR(__xludf.DUMMYFUNCTION("""COMPUTED_VALUE"""),-0.435360102981271)</f>
        <v>-0.43536010298127098</v>
      </c>
      <c r="NW18" s="3">
        <f ca="1">IFERROR(__xludf.DUMMYFUNCTION("""COMPUTED_VALUE"""),-0.493075781141759)</f>
        <v>-0.49307578114175898</v>
      </c>
      <c r="NX18" s="3">
        <f ca="1">IFERROR(__xludf.DUMMYFUNCTION("""COMPUTED_VALUE"""),-0.560080472637861)</f>
        <v>-0.56008047263786098</v>
      </c>
      <c r="NY18" s="3">
        <f ca="1">IFERROR(__xludf.DUMMYFUNCTION("""COMPUTED_VALUE"""),-0.582771851366952)</f>
        <v>-0.58277185136695198</v>
      </c>
      <c r="NZ18" s="3">
        <f ca="1">IFERROR(__xludf.DUMMYFUNCTION("""COMPUTED_VALUE"""),-0.546200345330843)</f>
        <v>-0.54620034533084305</v>
      </c>
      <c r="OA18" s="3">
        <f ca="1">IFERROR(__xludf.DUMMYFUNCTION("""COMPUTED_VALUE"""),-0.505434530719774)</f>
        <v>-0.50543453071977396</v>
      </c>
      <c r="OB18" s="3">
        <f ca="1">IFERROR(__xludf.DUMMYFUNCTION("""COMPUTED_VALUE"""),-0.376835724591804)</f>
        <v>-0.37683572459180398</v>
      </c>
      <c r="OC18" s="3">
        <f ca="1">IFERROR(__xludf.DUMMYFUNCTION("""COMPUTED_VALUE"""),-0.132072921810294)</f>
        <v>-0.13207292181029401</v>
      </c>
      <c r="OD18" s="3">
        <f ca="1">IFERROR(__xludf.DUMMYFUNCTION("""COMPUTED_VALUE"""),-0.204097434718703)</f>
        <v>-0.20409743471870301</v>
      </c>
      <c r="OE18" s="3">
        <f ca="1">IFERROR(__xludf.DUMMYFUNCTION("""COMPUTED_VALUE"""),-0.281849936306395)</f>
        <v>-0.28184993630639499</v>
      </c>
      <c r="OF18" s="3">
        <f ca="1">IFERROR(__xludf.DUMMYFUNCTION("""COMPUTED_VALUE"""),-0.109694192392151)</f>
        <v>-0.109694192392151</v>
      </c>
      <c r="OG18" s="3">
        <f ca="1">IFERROR(__xludf.DUMMYFUNCTION("""COMPUTED_VALUE"""),0.00247697421516512)</f>
        <v>2.4769742151651199E-3</v>
      </c>
      <c r="OH18" s="3">
        <f ca="1">IFERROR(__xludf.DUMMYFUNCTION("""COMPUTED_VALUE"""),0.0147741834928274)</f>
        <v>1.47741834928274E-2</v>
      </c>
      <c r="OI18" s="3">
        <f ca="1">IFERROR(__xludf.DUMMYFUNCTION("""COMPUTED_VALUE"""),0.152671994685737)</f>
        <v>0.152671994685737</v>
      </c>
      <c r="OJ18" s="3">
        <f ca="1">IFERROR(__xludf.DUMMYFUNCTION("""COMPUTED_VALUE"""),-0.00744084365358199)</f>
        <v>-7.4408436535819897E-3</v>
      </c>
      <c r="OK18" s="3">
        <f ca="1">IFERROR(__xludf.DUMMYFUNCTION("""COMPUTED_VALUE"""),0.0126685238924444)</f>
        <v>1.2668523892444401E-2</v>
      </c>
      <c r="OL18" s="3">
        <f ca="1">IFERROR(__xludf.DUMMYFUNCTION("""COMPUTED_VALUE"""),0.00991671799554594)</f>
        <v>9.9167179955459393E-3</v>
      </c>
      <c r="OM18" s="3">
        <f ca="1">IFERROR(__xludf.DUMMYFUNCTION("""COMPUTED_VALUE"""),0.0622017084140857)</f>
        <v>6.2201708414085698E-2</v>
      </c>
      <c r="ON18" s="3">
        <f ca="1">IFERROR(__xludf.DUMMYFUNCTION("""COMPUTED_VALUE"""),0.0540195391353317)</f>
        <v>5.4019539135331703E-2</v>
      </c>
      <c r="OO18" s="3">
        <f ca="1">IFERROR(__xludf.DUMMYFUNCTION("""COMPUTED_VALUE"""),0.101454234998544)</f>
        <v>0.101454234998544</v>
      </c>
      <c r="OP18" s="3">
        <f ca="1">IFERROR(__xludf.DUMMYFUNCTION("""COMPUTED_VALUE"""),0.184328648750951)</f>
        <v>0.18432864875095101</v>
      </c>
      <c r="OQ18" s="3">
        <f ca="1">IFERROR(__xludf.DUMMYFUNCTION("""COMPUTED_VALUE"""),0.111161898929972)</f>
        <v>0.111161898929972</v>
      </c>
      <c r="OR18" s="3">
        <f ca="1">IFERROR(__xludf.DUMMYFUNCTION("""COMPUTED_VALUE"""),0.0328416731659384)</f>
        <v>3.2841673165938397E-2</v>
      </c>
      <c r="OS18" s="3">
        <f ca="1">IFERROR(__xludf.DUMMYFUNCTION("""COMPUTED_VALUE"""),0.0143862373476859)</f>
        <v>1.4386237347685901E-2</v>
      </c>
      <c r="OT18" s="3">
        <f ca="1">IFERROR(__xludf.DUMMYFUNCTION("""COMPUTED_VALUE"""),0.0134032317611705)</f>
        <v>1.34032317611705E-2</v>
      </c>
      <c r="OU18" s="3">
        <f ca="1">IFERROR(__xludf.DUMMYFUNCTION("""COMPUTED_VALUE"""),-0.00883090586130008)</f>
        <v>-8.8309058613000799E-3</v>
      </c>
      <c r="OV18" s="3">
        <f ca="1">IFERROR(__xludf.DUMMYFUNCTION("""COMPUTED_VALUE"""),-0.041226964364564)</f>
        <v>-4.1226964364564002E-2</v>
      </c>
      <c r="OW18" s="3">
        <f ca="1">IFERROR(__xludf.DUMMYFUNCTION("""COMPUTED_VALUE"""),0.218614828098445)</f>
        <v>0.21861482809844501</v>
      </c>
      <c r="OX18" s="3">
        <f ca="1">IFERROR(__xludf.DUMMYFUNCTION("""COMPUTED_VALUE"""),0.0279681158642941)</f>
        <v>2.79681158642941E-2</v>
      </c>
      <c r="OY18" s="3">
        <f ca="1">IFERROR(__xludf.DUMMYFUNCTION("""COMPUTED_VALUE"""),0.000568363268077076)</f>
        <v>5.6836326807707595E-4</v>
      </c>
      <c r="OZ18" s="3">
        <f ca="1">IFERROR(__xludf.DUMMYFUNCTION("""COMPUTED_VALUE"""),-0.0934918928332007)</f>
        <v>-9.3491892833200696E-2</v>
      </c>
      <c r="PA18" s="3">
        <f ca="1">IFERROR(__xludf.DUMMYFUNCTION("""COMPUTED_VALUE"""),-0.00444981458129789)</f>
        <v>-4.4498145812978899E-3</v>
      </c>
      <c r="PB18" s="3">
        <f ca="1">IFERROR(__xludf.DUMMYFUNCTION("""COMPUTED_VALUE"""),0.0781442742932885)</f>
        <v>7.8144274293288504E-2</v>
      </c>
      <c r="PC18" s="3">
        <f ca="1">IFERROR(__xludf.DUMMYFUNCTION("""COMPUTED_VALUE"""),0.0800511038137825)</f>
        <v>8.0051103813782498E-2</v>
      </c>
      <c r="PD18" s="3">
        <f ca="1">IFERROR(__xludf.DUMMYFUNCTION("""COMPUTED_VALUE"""),-0.0855901450215502)</f>
        <v>-8.5590145021550199E-2</v>
      </c>
      <c r="PE18" s="3">
        <f ca="1">IFERROR(__xludf.DUMMYFUNCTION("""COMPUTED_VALUE"""),0.119842957161867)</f>
        <v>0.11984295716186701</v>
      </c>
      <c r="PF18" s="3">
        <f ca="1">IFERROR(__xludf.DUMMYFUNCTION("""COMPUTED_VALUE"""),-0.0830962687631426)</f>
        <v>-8.3096268763142606E-2</v>
      </c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</row>
    <row r="19" spans="1:594" ht="15.75" customHeight="1">
      <c r="A19" s="1" t="str">
        <f ca="1">IFERROR(__xludf.DUMMYFUNCTION("""COMPUTED_VALUE"""),"Cowichan Valley")</f>
        <v>Cowichan Valley</v>
      </c>
      <c r="B19" s="3">
        <f ca="1">IFERROR(__xludf.DUMMYFUNCTION("""COMPUTED_VALUE"""),-0.517081033822927)</f>
        <v>-0.51708103382292703</v>
      </c>
      <c r="C19" s="3">
        <f ca="1">IFERROR(__xludf.DUMMYFUNCTION("""COMPUTED_VALUE"""),-0.485267430098793)</f>
        <v>-0.48526743009879297</v>
      </c>
      <c r="D19" s="3">
        <f ca="1">IFERROR(__xludf.DUMMYFUNCTION("""COMPUTED_VALUE"""),-0.543414495847208)</f>
        <v>-0.54341449584720802</v>
      </c>
      <c r="E19" s="3">
        <f ca="1">IFERROR(__xludf.DUMMYFUNCTION("""COMPUTED_VALUE"""),-0.540814514266693)</f>
        <v>-0.54081451426669302</v>
      </c>
      <c r="F19" s="3">
        <f ca="1">IFERROR(__xludf.DUMMYFUNCTION("""COMPUTED_VALUE"""),-0.699392554464669)</f>
        <v>-0.69939255446466897</v>
      </c>
      <c r="G19" s="3">
        <f ca="1">IFERROR(__xludf.DUMMYFUNCTION("""COMPUTED_VALUE"""),-0.821176036327128)</f>
        <v>-0.82117603632712799</v>
      </c>
      <c r="H19" s="3">
        <f ca="1">IFERROR(__xludf.DUMMYFUNCTION("""COMPUTED_VALUE"""),-0.627541717325357)</f>
        <v>-0.62754171732535702</v>
      </c>
      <c r="I19" s="3">
        <f ca="1">IFERROR(__xludf.DUMMYFUNCTION("""COMPUTED_VALUE"""),-0.708146263423997)</f>
        <v>-0.708146263423997</v>
      </c>
      <c r="J19" s="3">
        <f ca="1">IFERROR(__xludf.DUMMYFUNCTION("""COMPUTED_VALUE"""),-0.687260859229108)</f>
        <v>-0.68726085922910796</v>
      </c>
      <c r="K19" s="3">
        <f ca="1">IFERROR(__xludf.DUMMYFUNCTION("""COMPUTED_VALUE"""),-0.49882385862272)</f>
        <v>-0.49882385862272</v>
      </c>
      <c r="L19" s="3">
        <f ca="1">IFERROR(__xludf.DUMMYFUNCTION("""COMPUTED_VALUE"""),-0.541079120210412)</f>
        <v>-0.54107912021041205</v>
      </c>
      <c r="M19" s="3">
        <f ca="1">IFERROR(__xludf.DUMMYFUNCTION("""COMPUTED_VALUE"""),-0.53962166352051)</f>
        <v>-0.53962166352051</v>
      </c>
      <c r="N19" s="3">
        <f ca="1">IFERROR(__xludf.DUMMYFUNCTION("""COMPUTED_VALUE"""),-0.607888904893053)</f>
        <v>-0.60788890489305303</v>
      </c>
      <c r="O19" s="3">
        <f ca="1">IFERROR(__xludf.DUMMYFUNCTION("""COMPUTED_VALUE"""),-0.594600438981567)</f>
        <v>-0.594600438981567</v>
      </c>
      <c r="P19" s="3">
        <f ca="1">IFERROR(__xludf.DUMMYFUNCTION("""COMPUTED_VALUE"""),-0.510786262704943)</f>
        <v>-0.51078626270494298</v>
      </c>
      <c r="Q19" s="3">
        <f ca="1">IFERROR(__xludf.DUMMYFUNCTION("""COMPUTED_VALUE"""),-0.493395045839454)</f>
        <v>-0.49339504583945398</v>
      </c>
      <c r="R19" s="3">
        <f ca="1">IFERROR(__xludf.DUMMYFUNCTION("""COMPUTED_VALUE"""),-0.475617763239302)</f>
        <v>-0.47561776323930199</v>
      </c>
      <c r="S19" s="3">
        <f ca="1">IFERROR(__xludf.DUMMYFUNCTION("""COMPUTED_VALUE"""),-0.553997773638936)</f>
        <v>-0.55399777363893599</v>
      </c>
      <c r="T19" s="3">
        <f ca="1">IFERROR(__xludf.DUMMYFUNCTION("""COMPUTED_VALUE"""),-0.458528570338618)</f>
        <v>-0.45852857033861799</v>
      </c>
      <c r="U19" s="3">
        <f ca="1">IFERROR(__xludf.DUMMYFUNCTION("""COMPUTED_VALUE"""),-0.464902123739765)</f>
        <v>-0.46490212373976503</v>
      </c>
      <c r="V19" s="3">
        <f ca="1">IFERROR(__xludf.DUMMYFUNCTION("""COMPUTED_VALUE"""),-0.533752149653801)</f>
        <v>-0.53375214965380102</v>
      </c>
      <c r="W19" s="3">
        <f ca="1">IFERROR(__xludf.DUMMYFUNCTION("""COMPUTED_VALUE"""),-0.489815190029529)</f>
        <v>-0.489815190029529</v>
      </c>
      <c r="X19" s="3">
        <f ca="1">IFERROR(__xludf.DUMMYFUNCTION("""COMPUTED_VALUE"""),-0.509410055316328)</f>
        <v>-0.50941005531632799</v>
      </c>
      <c r="Y19" s="3">
        <f ca="1">IFERROR(__xludf.DUMMYFUNCTION("""COMPUTED_VALUE"""),-0.522204462549218)</f>
        <v>-0.52220446254921804</v>
      </c>
      <c r="Z19" s="3">
        <f ca="1">IFERROR(__xludf.DUMMYFUNCTION("""COMPUTED_VALUE"""),-0.494785609172071)</f>
        <v>-0.49478560917207098</v>
      </c>
      <c r="AA19" s="3">
        <f ca="1">IFERROR(__xludf.DUMMYFUNCTION("""COMPUTED_VALUE"""),-0.480816801925806)</f>
        <v>-0.480816801925806</v>
      </c>
      <c r="AB19" s="3">
        <f ca="1">IFERROR(__xludf.DUMMYFUNCTION("""COMPUTED_VALUE"""),-0.481029944660463)</f>
        <v>-0.481029944660463</v>
      </c>
      <c r="AC19" s="3">
        <f ca="1">IFERROR(__xludf.DUMMYFUNCTION("""COMPUTED_VALUE"""),-0.590920213157848)</f>
        <v>-0.59092021315784804</v>
      </c>
      <c r="AD19" s="3">
        <f ca="1">IFERROR(__xludf.DUMMYFUNCTION("""COMPUTED_VALUE"""),-0.461152040944086)</f>
        <v>-0.46115204094408602</v>
      </c>
      <c r="AE19" s="3">
        <f ca="1">IFERROR(__xludf.DUMMYFUNCTION("""COMPUTED_VALUE"""),-0.446127763789396)</f>
        <v>-0.446127763789396</v>
      </c>
      <c r="AF19" s="3">
        <f ca="1">IFERROR(__xludf.DUMMYFUNCTION("""COMPUTED_VALUE"""),-0.471445332270755)</f>
        <v>-0.47144533227075502</v>
      </c>
      <c r="AG19" s="3">
        <f ca="1">IFERROR(__xludf.DUMMYFUNCTION("""COMPUTED_VALUE"""),-0.470914273884455)</f>
        <v>-0.470914273884455</v>
      </c>
      <c r="AH19" s="3">
        <f ca="1">IFERROR(__xludf.DUMMYFUNCTION("""COMPUTED_VALUE"""),-0.517861486096973)</f>
        <v>-0.51786148609697302</v>
      </c>
      <c r="AI19" s="3">
        <f ca="1">IFERROR(__xludf.DUMMYFUNCTION("""COMPUTED_VALUE"""),-0.561704112609083)</f>
        <v>-0.56170411260908304</v>
      </c>
      <c r="AJ19" s="3">
        <f ca="1">IFERROR(__xludf.DUMMYFUNCTION("""COMPUTED_VALUE"""),-0.628286420218722)</f>
        <v>-0.62828642021872205</v>
      </c>
      <c r="AK19" s="3">
        <f ca="1">IFERROR(__xludf.DUMMYFUNCTION("""COMPUTED_VALUE"""),-0.488804238625278)</f>
        <v>-0.488804238625278</v>
      </c>
      <c r="AL19" s="3">
        <f ca="1">IFERROR(__xludf.DUMMYFUNCTION("""COMPUTED_VALUE"""),-0.487588457828526)</f>
        <v>-0.487588457828526</v>
      </c>
      <c r="AM19" s="3">
        <f ca="1">IFERROR(__xludf.DUMMYFUNCTION("""COMPUTED_VALUE"""),-0.493678077238558)</f>
        <v>-0.493678077238558</v>
      </c>
      <c r="AN19" s="3">
        <f ca="1">IFERROR(__xludf.DUMMYFUNCTION("""COMPUTED_VALUE"""),-0.497923767398749)</f>
        <v>-0.497923767398749</v>
      </c>
      <c r="AO19" s="3">
        <f ca="1">IFERROR(__xludf.DUMMYFUNCTION("""COMPUTED_VALUE"""),-0.508651240363083)</f>
        <v>-0.50865124036308296</v>
      </c>
      <c r="AP19" s="3">
        <f ca="1">IFERROR(__xludf.DUMMYFUNCTION("""COMPUTED_VALUE"""),-0.527911441192438)</f>
        <v>-0.52791144119243805</v>
      </c>
      <c r="AQ19" s="3">
        <f ca="1">IFERROR(__xludf.DUMMYFUNCTION("""COMPUTED_VALUE"""),-0.660393473899143)</f>
        <v>-0.66039347389914305</v>
      </c>
      <c r="AR19" s="3">
        <f ca="1">IFERROR(__xludf.DUMMYFUNCTION("""COMPUTED_VALUE"""),-0.520154079047211)</f>
        <v>-0.520154079047211</v>
      </c>
      <c r="AS19" s="3">
        <f ca="1">IFERROR(__xludf.DUMMYFUNCTION("""COMPUTED_VALUE"""),-0.515821919598668)</f>
        <v>-0.51582191959866797</v>
      </c>
      <c r="AT19" s="3">
        <f ca="1">IFERROR(__xludf.DUMMYFUNCTION("""COMPUTED_VALUE"""),-0.578599329245794)</f>
        <v>-0.57859932924579405</v>
      </c>
      <c r="AU19" s="3">
        <f ca="1">IFERROR(__xludf.DUMMYFUNCTION("""COMPUTED_VALUE"""),-0.522188631889274)</f>
        <v>-0.522188631889274</v>
      </c>
      <c r="AV19" s="3">
        <f ca="1">IFERROR(__xludf.DUMMYFUNCTION("""COMPUTED_VALUE"""),-0.470915474852397)</f>
        <v>-0.47091547485239699</v>
      </c>
      <c r="AW19" s="3">
        <f ca="1">IFERROR(__xludf.DUMMYFUNCTION("""COMPUTED_VALUE"""),-0.497389539129888)</f>
        <v>-0.49738953912988798</v>
      </c>
      <c r="AX19" s="3">
        <f ca="1">IFERROR(__xludf.DUMMYFUNCTION("""COMPUTED_VALUE"""),-0.66309023410156)</f>
        <v>-0.66309023410155998</v>
      </c>
      <c r="AY19" s="3">
        <f ca="1">IFERROR(__xludf.DUMMYFUNCTION("""COMPUTED_VALUE"""),-0.564075932691785)</f>
        <v>-0.56407593269178502</v>
      </c>
      <c r="AZ19" s="3">
        <f ca="1">IFERROR(__xludf.DUMMYFUNCTION("""COMPUTED_VALUE"""),-0.540040837817772)</f>
        <v>-0.54004083781777201</v>
      </c>
      <c r="BA19" s="3">
        <f ca="1">IFERROR(__xludf.DUMMYFUNCTION("""COMPUTED_VALUE"""),-0.573125775823312)</f>
        <v>-0.57312577582331203</v>
      </c>
      <c r="BB19" s="3">
        <f ca="1">IFERROR(__xludf.DUMMYFUNCTION("""COMPUTED_VALUE"""),-0.43073412679529)</f>
        <v>-0.43073412679529</v>
      </c>
      <c r="BC19" s="3">
        <f ca="1">IFERROR(__xludf.DUMMYFUNCTION("""COMPUTED_VALUE"""),-0.597546161591165)</f>
        <v>-0.59754616159116503</v>
      </c>
      <c r="BD19" s="3">
        <f ca="1">IFERROR(__xludf.DUMMYFUNCTION("""COMPUTED_VALUE"""),-0.743077021508314)</f>
        <v>-0.74307702150831401</v>
      </c>
      <c r="BE19" s="3">
        <f ca="1">IFERROR(__xludf.DUMMYFUNCTION("""COMPUTED_VALUE"""),-0.581885719096041)</f>
        <v>-0.58188571909604103</v>
      </c>
      <c r="BF19" s="3">
        <f ca="1">IFERROR(__xludf.DUMMYFUNCTION("""COMPUTED_VALUE"""),-0.451539198271401)</f>
        <v>-0.45153919827140099</v>
      </c>
      <c r="BG19" s="3">
        <f ca="1">IFERROR(__xludf.DUMMYFUNCTION("""COMPUTED_VALUE"""),-0.647530650878619)</f>
        <v>-0.64753065087861905</v>
      </c>
      <c r="BH19" s="3">
        <f ca="1">IFERROR(__xludf.DUMMYFUNCTION("""COMPUTED_VALUE"""),-0.600654638127044)</f>
        <v>-0.600654638127044</v>
      </c>
      <c r="BI19" s="3">
        <f ca="1">IFERROR(__xludf.DUMMYFUNCTION("""COMPUTED_VALUE"""),-0.583916975605038)</f>
        <v>-0.58391697560503797</v>
      </c>
      <c r="BJ19" s="3">
        <f ca="1">IFERROR(__xludf.DUMMYFUNCTION("""COMPUTED_VALUE"""),-0.464600487956901)</f>
        <v>-0.46460048795690101</v>
      </c>
      <c r="BK19" s="3">
        <f ca="1">IFERROR(__xludf.DUMMYFUNCTION("""COMPUTED_VALUE"""),-0.461271781167903)</f>
        <v>-0.46127178116790302</v>
      </c>
      <c r="BL19" s="3">
        <f ca="1">IFERROR(__xludf.DUMMYFUNCTION("""COMPUTED_VALUE"""),-0.58274362956283)</f>
        <v>-0.58274362956282999</v>
      </c>
      <c r="BM19" s="3">
        <f ca="1">IFERROR(__xludf.DUMMYFUNCTION("""COMPUTED_VALUE"""),-0.55980116823077)</f>
        <v>-0.55980116823076997</v>
      </c>
      <c r="BN19" s="3">
        <f ca="1">IFERROR(__xludf.DUMMYFUNCTION("""COMPUTED_VALUE"""),-0.537264459110334)</f>
        <v>-0.53726445911033405</v>
      </c>
      <c r="BO19" s="3">
        <f ca="1">IFERROR(__xludf.DUMMYFUNCTION("""COMPUTED_VALUE"""),-0.529822190132838)</f>
        <v>-0.52982219013283804</v>
      </c>
      <c r="BP19" s="3">
        <f ca="1">IFERROR(__xludf.DUMMYFUNCTION("""COMPUTED_VALUE"""),-0.487898373260732)</f>
        <v>-0.48789837326073199</v>
      </c>
      <c r="BQ19" s="3">
        <f ca="1">IFERROR(__xludf.DUMMYFUNCTION("""COMPUTED_VALUE"""),-0.466976026970065)</f>
        <v>-0.46697602697006502</v>
      </c>
      <c r="BR19" s="3">
        <f ca="1">IFERROR(__xludf.DUMMYFUNCTION("""COMPUTED_VALUE"""),-0.535086987436381)</f>
        <v>-0.53508698743638095</v>
      </c>
      <c r="BS19" s="3">
        <f ca="1">IFERROR(__xludf.DUMMYFUNCTION("""COMPUTED_VALUE"""),-0.614405230742721)</f>
        <v>-0.61440523074272102</v>
      </c>
      <c r="BT19" s="3">
        <f ca="1">IFERROR(__xludf.DUMMYFUNCTION("""COMPUTED_VALUE"""),-0.578261554134563)</f>
        <v>-0.57826155413456304</v>
      </c>
      <c r="BU19" s="3">
        <f ca="1">IFERROR(__xludf.DUMMYFUNCTION("""COMPUTED_VALUE"""),-0.59766610659078)</f>
        <v>-0.59766610659078001</v>
      </c>
      <c r="BV19" s="3">
        <f ca="1">IFERROR(__xludf.DUMMYFUNCTION("""COMPUTED_VALUE"""),-0.57904801194752)</f>
        <v>-0.57904801194751998</v>
      </c>
      <c r="BW19" s="3">
        <f ca="1">IFERROR(__xludf.DUMMYFUNCTION("""COMPUTED_VALUE"""),-0.556627906876256)</f>
        <v>-0.55662790687625596</v>
      </c>
      <c r="BX19" s="3">
        <f ca="1">IFERROR(__xludf.DUMMYFUNCTION("""COMPUTED_VALUE"""),-0.55856028415889)</f>
        <v>-0.55856028415889003</v>
      </c>
      <c r="BY19" s="3">
        <f ca="1">IFERROR(__xludf.DUMMYFUNCTION("""COMPUTED_VALUE"""),-0.613802311791792)</f>
        <v>-0.61380231179179201</v>
      </c>
      <c r="BZ19" s="3">
        <f ca="1">IFERROR(__xludf.DUMMYFUNCTION("""COMPUTED_VALUE"""),-0.615637479374922)</f>
        <v>-0.61563747937492197</v>
      </c>
      <c r="CA19" s="3">
        <f ca="1">IFERROR(__xludf.DUMMYFUNCTION("""COMPUTED_VALUE"""),-0.589483177074211)</f>
        <v>-0.58948317707421105</v>
      </c>
      <c r="CB19" s="3">
        <f ca="1">IFERROR(__xludf.DUMMYFUNCTION("""COMPUTED_VALUE"""),-0.576998198446163)</f>
        <v>-0.57699819844616296</v>
      </c>
      <c r="CC19" s="3">
        <f ca="1">IFERROR(__xludf.DUMMYFUNCTION("""COMPUTED_VALUE"""),-0.57840695634138)</f>
        <v>-0.57840695634137995</v>
      </c>
      <c r="CD19" s="3">
        <f ca="1">IFERROR(__xludf.DUMMYFUNCTION("""COMPUTED_VALUE"""),-0.51401518372717)</f>
        <v>-0.51401518372717003</v>
      </c>
      <c r="CE19" s="3">
        <f ca="1">IFERROR(__xludf.DUMMYFUNCTION("""COMPUTED_VALUE"""),-0.568612351064758)</f>
        <v>-0.56861235106475805</v>
      </c>
      <c r="CF19" s="3">
        <f ca="1">IFERROR(__xludf.DUMMYFUNCTION("""COMPUTED_VALUE"""),-0.591654597596744)</f>
        <v>-0.59165459759674399</v>
      </c>
      <c r="CG19" s="3">
        <f ca="1">IFERROR(__xludf.DUMMYFUNCTION("""COMPUTED_VALUE"""),-0.585328780710742)</f>
        <v>-0.58532878071074201</v>
      </c>
      <c r="CH19" s="3">
        <f ca="1">IFERROR(__xludf.DUMMYFUNCTION("""COMPUTED_VALUE"""),-0.604477516511189)</f>
        <v>-0.60447751651118897</v>
      </c>
      <c r="CI19" s="3">
        <f ca="1">IFERROR(__xludf.DUMMYFUNCTION("""COMPUTED_VALUE"""),-0.562398745241212)</f>
        <v>-0.56239874524121203</v>
      </c>
      <c r="CJ19" s="3">
        <f ca="1">IFERROR(__xludf.DUMMYFUNCTION("""COMPUTED_VALUE"""),-0.513923604774613)</f>
        <v>-0.51392360477461296</v>
      </c>
      <c r="CK19" s="3">
        <f ca="1">IFERROR(__xludf.DUMMYFUNCTION("""COMPUTED_VALUE"""),-0.532921900576225)</f>
        <v>-0.53292190057622502</v>
      </c>
      <c r="CL19" s="3">
        <f ca="1">IFERROR(__xludf.DUMMYFUNCTION("""COMPUTED_VALUE"""),-0.560392800485299)</f>
        <v>-0.56039280048529905</v>
      </c>
      <c r="CM19" s="3">
        <f ca="1">IFERROR(__xludf.DUMMYFUNCTION("""COMPUTED_VALUE"""),-0.626145016582192)</f>
        <v>-0.62614501658219202</v>
      </c>
      <c r="CN19" s="3">
        <f ca="1">IFERROR(__xludf.DUMMYFUNCTION("""COMPUTED_VALUE"""),-0.600655417678299)</f>
        <v>-0.600655417678299</v>
      </c>
      <c r="CO19" s="3">
        <f ca="1">IFERROR(__xludf.DUMMYFUNCTION("""COMPUTED_VALUE"""),-0.558995026043097)</f>
        <v>-0.55899502604309703</v>
      </c>
      <c r="CP19" s="3">
        <f ca="1">IFERROR(__xludf.DUMMYFUNCTION("""COMPUTED_VALUE"""),-0.481971666545846)</f>
        <v>-0.481971666545846</v>
      </c>
      <c r="CQ19" s="3">
        <f ca="1">IFERROR(__xludf.DUMMYFUNCTION("""COMPUTED_VALUE"""),-0.47328580998289)</f>
        <v>-0.47328580998288999</v>
      </c>
      <c r="CR19" s="3">
        <f ca="1">IFERROR(__xludf.DUMMYFUNCTION("""COMPUTED_VALUE"""),-0.3203462974978)</f>
        <v>-0.32034629749780003</v>
      </c>
      <c r="CS19" s="3">
        <f ca="1">IFERROR(__xludf.DUMMYFUNCTION("""COMPUTED_VALUE"""),-0.515807222882892)</f>
        <v>-0.51580722288289205</v>
      </c>
      <c r="CT19" s="3">
        <f ca="1">IFERROR(__xludf.DUMMYFUNCTION("""COMPUTED_VALUE"""),-0.569666677198347)</f>
        <v>-0.56966667719834696</v>
      </c>
      <c r="CU19" s="3">
        <f ca="1">IFERROR(__xludf.DUMMYFUNCTION("""COMPUTED_VALUE"""),-0.647318863564311)</f>
        <v>-0.64731886356431101</v>
      </c>
      <c r="CV19" s="3">
        <f ca="1">IFERROR(__xludf.DUMMYFUNCTION("""COMPUTED_VALUE"""),-0.734355852693771)</f>
        <v>-0.73435585269377102</v>
      </c>
      <c r="CW19" s="3">
        <f ca="1">IFERROR(__xludf.DUMMYFUNCTION("""COMPUTED_VALUE"""),-0.712771334848826)</f>
        <v>-0.71277133484882604</v>
      </c>
      <c r="CX19" s="3">
        <f ca="1">IFERROR(__xludf.DUMMYFUNCTION("""COMPUTED_VALUE"""),-0.351436066446127)</f>
        <v>-0.35143606644612702</v>
      </c>
      <c r="CY19" s="3">
        <f ca="1">IFERROR(__xludf.DUMMYFUNCTION("""COMPUTED_VALUE"""),-0.390119893588431)</f>
        <v>-0.39011989358843102</v>
      </c>
      <c r="CZ19" s="3">
        <f ca="1">IFERROR(__xludf.DUMMYFUNCTION("""COMPUTED_VALUE"""),-0.457108677932027)</f>
        <v>-0.45710867793202697</v>
      </c>
      <c r="DA19" s="3">
        <f ca="1">IFERROR(__xludf.DUMMYFUNCTION("""COMPUTED_VALUE"""),-0.458501814866612)</f>
        <v>-0.45850181486661201</v>
      </c>
      <c r="DB19" s="3">
        <f ca="1">IFERROR(__xludf.DUMMYFUNCTION("""COMPUTED_VALUE"""),-0.876121683106143)</f>
        <v>-0.87612168310614302</v>
      </c>
      <c r="DC19" s="3">
        <f ca="1">IFERROR(__xludf.DUMMYFUNCTION("""COMPUTED_VALUE"""),-0.88478698973921)</f>
        <v>-0.88478698973920999</v>
      </c>
      <c r="DD19" s="3">
        <f ca="1">IFERROR(__xludf.DUMMYFUNCTION("""COMPUTED_VALUE"""),-0.83921394299153)</f>
        <v>-0.83921394299152996</v>
      </c>
      <c r="DE19" s="3">
        <f ca="1">IFERROR(__xludf.DUMMYFUNCTION("""COMPUTED_VALUE"""),-0.347933616494724)</f>
        <v>-0.34793361649472399</v>
      </c>
      <c r="DF19" s="3">
        <f ca="1">IFERROR(__xludf.DUMMYFUNCTION("""COMPUTED_VALUE"""),-0.0807412146108873)</f>
        <v>-8.0741214610887305E-2</v>
      </c>
      <c r="DG19" s="3">
        <f ca="1">IFERROR(__xludf.DUMMYFUNCTION("""COMPUTED_VALUE"""),-0.445988626703548)</f>
        <v>-0.445988626703548</v>
      </c>
      <c r="DH19" s="3">
        <f ca="1">IFERROR(__xludf.DUMMYFUNCTION("""COMPUTED_VALUE"""),-0.622036774628567)</f>
        <v>-0.62203677462856699</v>
      </c>
      <c r="DI19" s="3">
        <f ca="1">IFERROR(__xludf.DUMMYFUNCTION("""COMPUTED_VALUE"""),-0.611703296015202)</f>
        <v>-0.61170329601520201</v>
      </c>
      <c r="DJ19" s="3">
        <f ca="1">IFERROR(__xludf.DUMMYFUNCTION("""COMPUTED_VALUE"""),-0.631146436499131)</f>
        <v>-0.63114643649913105</v>
      </c>
      <c r="DK19" s="3">
        <f ca="1">IFERROR(__xludf.DUMMYFUNCTION("""COMPUTED_VALUE"""),-0.538378869050727)</f>
        <v>-0.53837886905072696</v>
      </c>
      <c r="DL19" s="3">
        <f ca="1">IFERROR(__xludf.DUMMYFUNCTION("""COMPUTED_VALUE"""),-0.441857895152743)</f>
        <v>-0.44185789515274299</v>
      </c>
      <c r="DM19" s="3">
        <f ca="1">IFERROR(__xludf.DUMMYFUNCTION("""COMPUTED_VALUE"""),-0.440265947380195)</f>
        <v>-0.44026594738019498</v>
      </c>
      <c r="DN19" s="3">
        <f ca="1">IFERROR(__xludf.DUMMYFUNCTION("""COMPUTED_VALUE"""),-0.522346498408165)</f>
        <v>-0.52234649840816505</v>
      </c>
      <c r="DO19" s="3">
        <f ca="1">IFERROR(__xludf.DUMMYFUNCTION("""COMPUTED_VALUE"""),-0.546365197648372)</f>
        <v>-0.54636519764837199</v>
      </c>
      <c r="DP19" s="3">
        <f ca="1">IFERROR(__xludf.DUMMYFUNCTION("""COMPUTED_VALUE"""),-0.698180533978333)</f>
        <v>-0.69818053397833302</v>
      </c>
      <c r="DQ19" s="3">
        <f ca="1">IFERROR(__xludf.DUMMYFUNCTION("""COMPUTED_VALUE"""),-0.609293035738096)</f>
        <v>-0.60929303573809601</v>
      </c>
      <c r="DR19" s="3">
        <f ca="1">IFERROR(__xludf.DUMMYFUNCTION("""COMPUTED_VALUE"""),-0.548643739602932)</f>
        <v>-0.548643739602932</v>
      </c>
      <c r="DS19" s="3">
        <f ca="1">IFERROR(__xludf.DUMMYFUNCTION("""COMPUTED_VALUE"""),-0.554715800825704)</f>
        <v>-0.55471580082570404</v>
      </c>
      <c r="DT19" s="3">
        <f ca="1">IFERROR(__xludf.DUMMYFUNCTION("""COMPUTED_VALUE"""),-0.608777981928468)</f>
        <v>-0.60877798192846799</v>
      </c>
      <c r="DU19" s="3">
        <f ca="1">IFERROR(__xludf.DUMMYFUNCTION("""COMPUTED_VALUE"""),-0.591980177475631)</f>
        <v>-0.59198017747563103</v>
      </c>
      <c r="DV19" s="3">
        <f ca="1">IFERROR(__xludf.DUMMYFUNCTION("""COMPUTED_VALUE"""),-0.618429868494398)</f>
        <v>-0.61842986849439796</v>
      </c>
      <c r="DW19" s="3">
        <f ca="1">IFERROR(__xludf.DUMMYFUNCTION("""COMPUTED_VALUE"""),-0.629194356543296)</f>
        <v>-0.62919435654329603</v>
      </c>
      <c r="DX19" s="3">
        <f ca="1">IFERROR(__xludf.DUMMYFUNCTION("""COMPUTED_VALUE"""),-0.614018514441675)</f>
        <v>-0.61401851444167499</v>
      </c>
      <c r="DY19" s="3">
        <f ca="1">IFERROR(__xludf.DUMMYFUNCTION("""COMPUTED_VALUE"""),-0.620310899253557)</f>
        <v>-0.62031089925355698</v>
      </c>
      <c r="DZ19" s="3">
        <f ca="1">IFERROR(__xludf.DUMMYFUNCTION("""COMPUTED_VALUE"""),-0.61846538725919)</f>
        <v>-0.61846538725918998</v>
      </c>
      <c r="EA19" s="3">
        <f ca="1">IFERROR(__xludf.DUMMYFUNCTION("""COMPUTED_VALUE"""),-0.609618551615453)</f>
        <v>-0.60961855161545297</v>
      </c>
      <c r="EB19" s="3">
        <f ca="1">IFERROR(__xludf.DUMMYFUNCTION("""COMPUTED_VALUE"""),-0.534961315329605)</f>
        <v>-0.534961315329605</v>
      </c>
      <c r="EC19" s="3">
        <f ca="1">IFERROR(__xludf.DUMMYFUNCTION("""COMPUTED_VALUE"""),-0.542561588299266)</f>
        <v>-0.54256158829926604</v>
      </c>
      <c r="ED19" s="3">
        <f ca="1">IFERROR(__xludf.DUMMYFUNCTION("""COMPUTED_VALUE"""),-0.686457210356904)</f>
        <v>-0.68645721035690399</v>
      </c>
      <c r="EE19" s="3">
        <f ca="1">IFERROR(__xludf.DUMMYFUNCTION("""COMPUTED_VALUE"""),-0.676231292406772)</f>
        <v>-0.67623129240677204</v>
      </c>
      <c r="EF19" s="3">
        <f ca="1">IFERROR(__xludf.DUMMYFUNCTION("""COMPUTED_VALUE"""),-0.612470178711406)</f>
        <v>-0.61247017871140597</v>
      </c>
      <c r="EG19" s="3">
        <f ca="1">IFERROR(__xludf.DUMMYFUNCTION("""COMPUTED_VALUE"""),-0.585592438324345)</f>
        <v>-0.58559243832434504</v>
      </c>
      <c r="EH19" s="3">
        <f ca="1">IFERROR(__xludf.DUMMYFUNCTION("""COMPUTED_VALUE"""),-0.605952991767422)</f>
        <v>-0.60595299176742201</v>
      </c>
      <c r="EI19" s="3">
        <f ca="1">IFERROR(__xludf.DUMMYFUNCTION("""COMPUTED_VALUE"""),-0.589749402913387)</f>
        <v>-0.58974940291338696</v>
      </c>
      <c r="EJ19" s="3">
        <f ca="1">IFERROR(__xludf.DUMMYFUNCTION("""COMPUTED_VALUE"""),-0.619541133044822)</f>
        <v>-0.61954113304482195</v>
      </c>
      <c r="EK19" s="3">
        <f ca="1">IFERROR(__xludf.DUMMYFUNCTION("""COMPUTED_VALUE"""),-0.694334795311328)</f>
        <v>-0.69433479531132802</v>
      </c>
      <c r="EL19" s="3">
        <f ca="1">IFERROR(__xludf.DUMMYFUNCTION("""COMPUTED_VALUE"""),-0.697049770843017)</f>
        <v>-0.697049770843017</v>
      </c>
      <c r="EM19" s="3">
        <f ca="1">IFERROR(__xludf.DUMMYFUNCTION("""COMPUTED_VALUE"""),-0.658260813539805)</f>
        <v>-0.65826081353980503</v>
      </c>
      <c r="EN19" s="3">
        <f ca="1">IFERROR(__xludf.DUMMYFUNCTION("""COMPUTED_VALUE"""),-0.534258365717197)</f>
        <v>-0.53425836571719698</v>
      </c>
      <c r="EO19" s="3">
        <f ca="1">IFERROR(__xludf.DUMMYFUNCTION("""COMPUTED_VALUE"""),-0.529744713242809)</f>
        <v>-0.52974471324280903</v>
      </c>
      <c r="EP19" s="3">
        <f ca="1">IFERROR(__xludf.DUMMYFUNCTION("""COMPUTED_VALUE"""),-0.476973458588235)</f>
        <v>-0.47697345858823498</v>
      </c>
      <c r="EQ19" s="3">
        <f ca="1">IFERROR(__xludf.DUMMYFUNCTION("""COMPUTED_VALUE"""),-0.551681022883737)</f>
        <v>-0.55168102288373699</v>
      </c>
      <c r="ER19" s="3">
        <f ca="1">IFERROR(__xludf.DUMMYFUNCTION("""COMPUTED_VALUE"""),-0.594867163398294)</f>
        <v>-0.59486716339829404</v>
      </c>
      <c r="ES19" s="3">
        <f ca="1">IFERROR(__xludf.DUMMYFUNCTION("""COMPUTED_VALUE"""),-0.602838235806308)</f>
        <v>-0.60283823580630802</v>
      </c>
      <c r="ET19" s="3">
        <f ca="1">IFERROR(__xludf.DUMMYFUNCTION("""COMPUTED_VALUE"""),-0.587601962822646)</f>
        <v>-0.58760196282264598</v>
      </c>
      <c r="EU19" s="3">
        <f ca="1">IFERROR(__xludf.DUMMYFUNCTION("""COMPUTED_VALUE"""),-0.734477202838265)</f>
        <v>-0.73447720283826501</v>
      </c>
      <c r="EV19" s="3">
        <f ca="1">IFERROR(__xludf.DUMMYFUNCTION("""COMPUTED_VALUE"""),-0.697887577820069)</f>
        <v>-0.69788757782006905</v>
      </c>
      <c r="EW19" s="3">
        <f ca="1">IFERROR(__xludf.DUMMYFUNCTION("""COMPUTED_VALUE"""),-0.372668998696233)</f>
        <v>-0.37266899869623299</v>
      </c>
      <c r="EX19" s="3">
        <f ca="1">IFERROR(__xludf.DUMMYFUNCTION("""COMPUTED_VALUE"""),-0.477367252325274)</f>
        <v>-0.47736725232527399</v>
      </c>
      <c r="EY19" s="3">
        <f ca="1">IFERROR(__xludf.DUMMYFUNCTION("""COMPUTED_VALUE"""),-0.547923674118175)</f>
        <v>-0.547923674118175</v>
      </c>
      <c r="EZ19" s="3">
        <f ca="1">IFERROR(__xludf.DUMMYFUNCTION("""COMPUTED_VALUE"""),-0.576734232614761)</f>
        <v>-0.57673423261476098</v>
      </c>
      <c r="FA19" s="3">
        <f ca="1">IFERROR(__xludf.DUMMYFUNCTION("""COMPUTED_VALUE"""),-0.529684229791925)</f>
        <v>-0.52968422979192498</v>
      </c>
      <c r="FB19" s="3">
        <f ca="1">IFERROR(__xludf.DUMMYFUNCTION("""COMPUTED_VALUE"""),-0.524248233975919)</f>
        <v>-0.52424823397591902</v>
      </c>
      <c r="FC19" s="3">
        <f ca="1">IFERROR(__xludf.DUMMYFUNCTION("""COMPUTED_VALUE"""),-0.54605433568066)</f>
        <v>-0.54605433568065997</v>
      </c>
      <c r="FD19" s="3">
        <f ca="1">IFERROR(__xludf.DUMMYFUNCTION("""COMPUTED_VALUE"""),-0.47650370717798)</f>
        <v>-0.47650370717798002</v>
      </c>
      <c r="FE19" s="3">
        <f ca="1">IFERROR(__xludf.DUMMYFUNCTION("""COMPUTED_VALUE"""),-0.457883408445773)</f>
        <v>-0.45788340844577302</v>
      </c>
      <c r="FF19" s="3">
        <f ca="1">IFERROR(__xludf.DUMMYFUNCTION("""COMPUTED_VALUE"""),-0.500006874062652)</f>
        <v>-0.50000687406265198</v>
      </c>
      <c r="FG19" s="3">
        <f ca="1">IFERROR(__xludf.DUMMYFUNCTION("""COMPUTED_VALUE"""),-0.525908616630842)</f>
        <v>-0.52590861663084199</v>
      </c>
      <c r="FH19" s="3">
        <f ca="1">IFERROR(__xludf.DUMMYFUNCTION("""COMPUTED_VALUE"""),-0.603103526229631)</f>
        <v>-0.60310352622963104</v>
      </c>
      <c r="FI19" s="3">
        <f ca="1">IFERROR(__xludf.DUMMYFUNCTION("""COMPUTED_VALUE"""),-0.549603910961556)</f>
        <v>-0.54960391096155603</v>
      </c>
      <c r="FJ19" s="3">
        <f ca="1">IFERROR(__xludf.DUMMYFUNCTION("""COMPUTED_VALUE"""),-0.499059025326826)</f>
        <v>-0.499059025326826</v>
      </c>
      <c r="FK19" s="3">
        <f ca="1">IFERROR(__xludf.DUMMYFUNCTION("""COMPUTED_VALUE"""),-0.524168022051368)</f>
        <v>-0.52416802205136803</v>
      </c>
      <c r="FL19" s="3">
        <f ca="1">IFERROR(__xludf.DUMMYFUNCTION("""COMPUTED_VALUE"""),-0.530197919112941)</f>
        <v>-0.53019791911294101</v>
      </c>
      <c r="FM19" s="3">
        <f ca="1">IFERROR(__xludf.DUMMYFUNCTION("""COMPUTED_VALUE"""),-0.584608449895228)</f>
        <v>-0.58460844989522798</v>
      </c>
      <c r="FN19" s="3">
        <f ca="1">IFERROR(__xludf.DUMMYFUNCTION("""COMPUTED_VALUE"""),-0.55521861768377)</f>
        <v>-0.55521861768377001</v>
      </c>
      <c r="FO19" s="3">
        <f ca="1">IFERROR(__xludf.DUMMYFUNCTION("""COMPUTED_VALUE"""),-0.648464143457616)</f>
        <v>-0.64846414345761605</v>
      </c>
      <c r="FP19" s="3">
        <f ca="1">IFERROR(__xludf.DUMMYFUNCTION("""COMPUTED_VALUE"""),-0.574792521157802)</f>
        <v>-0.57479252115780199</v>
      </c>
      <c r="FQ19" s="3">
        <f ca="1">IFERROR(__xludf.DUMMYFUNCTION("""COMPUTED_VALUE"""),-0.509096278016859)</f>
        <v>-0.50909627801685897</v>
      </c>
      <c r="FR19" s="3">
        <f ca="1">IFERROR(__xludf.DUMMYFUNCTION("""COMPUTED_VALUE"""),-0.441471361331267)</f>
        <v>-0.44147136133126702</v>
      </c>
      <c r="FS19" s="3">
        <f ca="1">IFERROR(__xludf.DUMMYFUNCTION("""COMPUTED_VALUE"""),-0.411112549483753)</f>
        <v>-0.41111254948375298</v>
      </c>
      <c r="FT19" s="3">
        <f ca="1">IFERROR(__xludf.DUMMYFUNCTION("""COMPUTED_VALUE"""),-0.581072779121543)</f>
        <v>-0.58107277912154298</v>
      </c>
      <c r="FU19" s="3">
        <f ca="1">IFERROR(__xludf.DUMMYFUNCTION("""COMPUTED_VALUE"""),-0.581404521144658)</f>
        <v>-0.58140452114465802</v>
      </c>
      <c r="FV19" s="3">
        <f ca="1">IFERROR(__xludf.DUMMYFUNCTION("""COMPUTED_VALUE"""),-0.64593610940058)</f>
        <v>-0.64593610940057999</v>
      </c>
      <c r="FW19" s="3">
        <f ca="1">IFERROR(__xludf.DUMMYFUNCTION("""COMPUTED_VALUE"""),-0.561542750889748)</f>
        <v>-0.56154275088974803</v>
      </c>
      <c r="FX19" s="3">
        <f ca="1">IFERROR(__xludf.DUMMYFUNCTION("""COMPUTED_VALUE"""),-0.556400229966257)</f>
        <v>-0.55640022996625704</v>
      </c>
      <c r="FY19" s="3">
        <f ca="1">IFERROR(__xludf.DUMMYFUNCTION("""COMPUTED_VALUE"""),-0.647345245048164)</f>
        <v>-0.64734524504816404</v>
      </c>
      <c r="FZ19" s="3">
        <f ca="1">IFERROR(__xludf.DUMMYFUNCTION("""COMPUTED_VALUE"""),-0.745618143409539)</f>
        <v>-0.74561814340953902</v>
      </c>
      <c r="GA19" s="3">
        <f ca="1">IFERROR(__xludf.DUMMYFUNCTION("""COMPUTED_VALUE"""),-0.613405208177513)</f>
        <v>-0.61340520817751298</v>
      </c>
      <c r="GB19" s="3">
        <f ca="1">IFERROR(__xludf.DUMMYFUNCTION("""COMPUTED_VALUE"""),-0.517135960951403)</f>
        <v>-0.51713596095140302</v>
      </c>
      <c r="GC19" s="3">
        <f ca="1">IFERROR(__xludf.DUMMYFUNCTION("""COMPUTED_VALUE"""),-0.509452500564261)</f>
        <v>-0.50945250056426095</v>
      </c>
      <c r="GD19" s="3">
        <f ca="1">IFERROR(__xludf.DUMMYFUNCTION("""COMPUTED_VALUE"""),-0.479804378756546)</f>
        <v>-0.47980437875654602</v>
      </c>
      <c r="GE19" s="3">
        <f ca="1">IFERROR(__xludf.DUMMYFUNCTION("""COMPUTED_VALUE"""),-0.456238001228711)</f>
        <v>-0.456238001228711</v>
      </c>
      <c r="GF19" s="3">
        <f ca="1">IFERROR(__xludf.DUMMYFUNCTION("""COMPUTED_VALUE"""),-0.422607601297913)</f>
        <v>-0.42260760129791303</v>
      </c>
      <c r="GG19" s="3">
        <f ca="1">IFERROR(__xludf.DUMMYFUNCTION("""COMPUTED_VALUE"""),-0.420302579461346)</f>
        <v>-0.42030257946134603</v>
      </c>
      <c r="GH19" s="3">
        <f ca="1">IFERROR(__xludf.DUMMYFUNCTION("""COMPUTED_VALUE"""),-0.576583203178916)</f>
        <v>-0.57658320317891598</v>
      </c>
      <c r="GI19" s="3">
        <f ca="1">IFERROR(__xludf.DUMMYFUNCTION("""COMPUTED_VALUE"""),-0.56387162153523)</f>
        <v>-0.56387162153522996</v>
      </c>
      <c r="GJ19" s="3">
        <f ca="1">IFERROR(__xludf.DUMMYFUNCTION("""COMPUTED_VALUE"""),-0.556408609859561)</f>
        <v>-0.55640860985956098</v>
      </c>
      <c r="GK19" s="3">
        <f ca="1">IFERROR(__xludf.DUMMYFUNCTION("""COMPUTED_VALUE"""),-0.483056452119723)</f>
        <v>-0.48305645211972298</v>
      </c>
      <c r="GL19" s="3">
        <f ca="1">IFERROR(__xludf.DUMMYFUNCTION("""COMPUTED_VALUE"""),-0.446373368625502)</f>
        <v>-0.44637336862550198</v>
      </c>
      <c r="GM19" s="3">
        <f ca="1">IFERROR(__xludf.DUMMYFUNCTION("""COMPUTED_VALUE"""),-0.423547636546388)</f>
        <v>-0.423547636546388</v>
      </c>
      <c r="GN19" s="3">
        <f ca="1">IFERROR(__xludf.DUMMYFUNCTION("""COMPUTED_VALUE"""),-0.488115346086367)</f>
        <v>-0.48811534608636697</v>
      </c>
      <c r="GO19" s="3">
        <f ca="1">IFERROR(__xludf.DUMMYFUNCTION("""COMPUTED_VALUE"""),-0.621635001438136)</f>
        <v>-0.62163500143813599</v>
      </c>
      <c r="GP19" s="3">
        <f ca="1">IFERROR(__xludf.DUMMYFUNCTION("""COMPUTED_VALUE"""),-0.62625581066567)</f>
        <v>-0.62625581066567004</v>
      </c>
      <c r="GQ19" s="3">
        <f ca="1">IFERROR(__xludf.DUMMYFUNCTION("""COMPUTED_VALUE"""),-0.577339448729244)</f>
        <v>-0.57733944872924403</v>
      </c>
      <c r="GR19" s="3">
        <f ca="1">IFERROR(__xludf.DUMMYFUNCTION("""COMPUTED_VALUE"""),-0.485609322020257)</f>
        <v>-0.48560932202025697</v>
      </c>
      <c r="GS19" s="3">
        <f ca="1">IFERROR(__xludf.DUMMYFUNCTION("""COMPUTED_VALUE"""),-0.477496739879498)</f>
        <v>-0.47749673987949798</v>
      </c>
      <c r="GT19" s="3">
        <f ca="1">IFERROR(__xludf.DUMMYFUNCTION("""COMPUTED_VALUE"""),-0.427036765793428)</f>
        <v>-0.42703676579342797</v>
      </c>
      <c r="GU19" s="3">
        <f ca="1">IFERROR(__xludf.DUMMYFUNCTION("""COMPUTED_VALUE"""),-0.462648647942122)</f>
        <v>-0.46264864794212202</v>
      </c>
      <c r="GV19" s="3">
        <f ca="1">IFERROR(__xludf.DUMMYFUNCTION("""COMPUTED_VALUE"""),-0.569535875262606)</f>
        <v>-0.56953587526260596</v>
      </c>
      <c r="GW19" s="3">
        <f ca="1">IFERROR(__xludf.DUMMYFUNCTION("""COMPUTED_VALUE"""),-0.600412066303071)</f>
        <v>-0.60041206630307098</v>
      </c>
      <c r="GX19" s="3">
        <f ca="1">IFERROR(__xludf.DUMMYFUNCTION("""COMPUTED_VALUE"""),-0.516539892526228)</f>
        <v>-0.51653989252622801</v>
      </c>
      <c r="GY19" s="3">
        <f ca="1">IFERROR(__xludf.DUMMYFUNCTION("""COMPUTED_VALUE"""),-0.361152954341845)</f>
        <v>-0.36115295434184502</v>
      </c>
      <c r="GZ19" s="3">
        <f ca="1">IFERROR(__xludf.DUMMYFUNCTION("""COMPUTED_VALUE"""),-0.379724889048261)</f>
        <v>-0.37972488904826102</v>
      </c>
      <c r="HA19" s="3">
        <f ca="1">IFERROR(__xludf.DUMMYFUNCTION("""COMPUTED_VALUE"""),-0.373111449293732)</f>
        <v>-0.37311144929373202</v>
      </c>
      <c r="HB19" s="3">
        <f ca="1">IFERROR(__xludf.DUMMYFUNCTION("""COMPUTED_VALUE"""),-0.461175398574375)</f>
        <v>-0.46117539857437501</v>
      </c>
      <c r="HC19" s="3">
        <f ca="1">IFERROR(__xludf.DUMMYFUNCTION("""COMPUTED_VALUE"""),-0.556448955011398)</f>
        <v>-0.55644895501139802</v>
      </c>
      <c r="HD19" s="3">
        <f ca="1">IFERROR(__xludf.DUMMYFUNCTION("""COMPUTED_VALUE"""),-0.577458215322228)</f>
        <v>-0.57745821532222796</v>
      </c>
      <c r="HE19" s="3">
        <f ca="1">IFERROR(__xludf.DUMMYFUNCTION("""COMPUTED_VALUE"""),-0.47111385573773)</f>
        <v>-0.47111385573773001</v>
      </c>
      <c r="HF19" s="3">
        <f ca="1">IFERROR(__xludf.DUMMYFUNCTION("""COMPUTED_VALUE"""),-0.40405000036501)</f>
        <v>-0.40405000036500999</v>
      </c>
      <c r="HG19" s="3">
        <f ca="1">IFERROR(__xludf.DUMMYFUNCTION("""COMPUTED_VALUE"""),-0.492092995256343)</f>
        <v>-0.49209299525634298</v>
      </c>
      <c r="HH19" s="3">
        <f ca="1">IFERROR(__xludf.DUMMYFUNCTION("""COMPUTED_VALUE"""),-0.638482227484669)</f>
        <v>-0.63848222748466898</v>
      </c>
      <c r="HI19" s="3">
        <f ca="1">IFERROR(__xludf.DUMMYFUNCTION("""COMPUTED_VALUE"""),-0.673882986807524)</f>
        <v>-0.67388298680752401</v>
      </c>
      <c r="HJ19" s="3">
        <f ca="1">IFERROR(__xludf.DUMMYFUNCTION("""COMPUTED_VALUE"""),-0.482590620875915)</f>
        <v>-0.48259062087591498</v>
      </c>
      <c r="HK19" s="3">
        <f ca="1">IFERROR(__xludf.DUMMYFUNCTION("""COMPUTED_VALUE"""),-0.53005652667834)</f>
        <v>-0.53005652667834002</v>
      </c>
      <c r="HL19" s="3">
        <f ca="1">IFERROR(__xludf.DUMMYFUNCTION("""COMPUTED_VALUE"""),-0.491696259669284)</f>
        <v>-0.49169625966928399</v>
      </c>
      <c r="HM19" s="3">
        <f ca="1">IFERROR(__xludf.DUMMYFUNCTION("""COMPUTED_VALUE"""),-0.507738072619274)</f>
        <v>-0.50773807261927395</v>
      </c>
      <c r="HN19" s="3">
        <f ca="1">IFERROR(__xludf.DUMMYFUNCTION("""COMPUTED_VALUE"""),-0.516783107150167)</f>
        <v>-0.51678310715016695</v>
      </c>
      <c r="HO19" s="3">
        <f ca="1">IFERROR(__xludf.DUMMYFUNCTION("""COMPUTED_VALUE"""),-0.441060411740075)</f>
        <v>-0.44106041174007499</v>
      </c>
      <c r="HP19" s="3">
        <f ca="1">IFERROR(__xludf.DUMMYFUNCTION("""COMPUTED_VALUE"""),-0.375076139435298)</f>
        <v>-0.37507613943529799</v>
      </c>
      <c r="HQ19" s="3">
        <f ca="1">IFERROR(__xludf.DUMMYFUNCTION("""COMPUTED_VALUE"""),-0.495132963853109)</f>
        <v>-0.49513296385310901</v>
      </c>
      <c r="HR19" s="3">
        <f ca="1">IFERROR(__xludf.DUMMYFUNCTION("""COMPUTED_VALUE"""),-0.48050526400241)</f>
        <v>-0.48050526400241</v>
      </c>
      <c r="HS19" s="3">
        <f ca="1">IFERROR(__xludf.DUMMYFUNCTION("""COMPUTED_VALUE"""),-0.473448700187426)</f>
        <v>-0.47344870018742602</v>
      </c>
      <c r="HT19" s="3">
        <f ca="1">IFERROR(__xludf.DUMMYFUNCTION("""COMPUTED_VALUE"""),-0.501135543344291)</f>
        <v>-0.501135543344291</v>
      </c>
      <c r="HU19" s="3">
        <f ca="1">IFERROR(__xludf.DUMMYFUNCTION("""COMPUTED_VALUE"""),-0.499287002357375)</f>
        <v>-0.499287002357375</v>
      </c>
      <c r="HV19" s="3">
        <f ca="1">IFERROR(__xludf.DUMMYFUNCTION("""COMPUTED_VALUE"""),-0.416124290276811)</f>
        <v>-0.41612429027681103</v>
      </c>
      <c r="HW19" s="3">
        <f ca="1">IFERROR(__xludf.DUMMYFUNCTION("""COMPUTED_VALUE"""),-0.396566610764266)</f>
        <v>-0.39656661076426603</v>
      </c>
      <c r="HX19" s="3">
        <f ca="1">IFERROR(__xludf.DUMMYFUNCTION("""COMPUTED_VALUE"""),-0.431066516982451)</f>
        <v>-0.43106651698245102</v>
      </c>
      <c r="HY19" s="3">
        <f ca="1">IFERROR(__xludf.DUMMYFUNCTION("""COMPUTED_VALUE"""),-0.393423589049488)</f>
        <v>-0.39342358904948799</v>
      </c>
      <c r="HZ19" s="3">
        <f ca="1">IFERROR(__xludf.DUMMYFUNCTION("""COMPUTED_VALUE"""),-0.462792326517231)</f>
        <v>-0.46279232651723101</v>
      </c>
      <c r="IA19" s="3">
        <f ca="1">IFERROR(__xludf.DUMMYFUNCTION("""COMPUTED_VALUE"""),-0.432127220829174)</f>
        <v>-0.43212722082917399</v>
      </c>
      <c r="IB19" s="3">
        <f ca="1">IFERROR(__xludf.DUMMYFUNCTION("""COMPUTED_VALUE"""),-0.405576987207231)</f>
        <v>-0.40557698720723101</v>
      </c>
      <c r="IC19" s="3">
        <f ca="1">IFERROR(__xludf.DUMMYFUNCTION("""COMPUTED_VALUE"""),-0.405131483427274)</f>
        <v>-0.40513148342727401</v>
      </c>
      <c r="ID19" s="3">
        <f ca="1">IFERROR(__xludf.DUMMYFUNCTION("""COMPUTED_VALUE"""),-0.434060115703361)</f>
        <v>-0.434060115703361</v>
      </c>
      <c r="IE19" s="3">
        <f ca="1">IFERROR(__xludf.DUMMYFUNCTION("""COMPUTED_VALUE"""),-0.383488801624765)</f>
        <v>-0.38348880162476501</v>
      </c>
      <c r="IF19" s="3">
        <f ca="1">IFERROR(__xludf.DUMMYFUNCTION("""COMPUTED_VALUE"""),-0.321578743150251)</f>
        <v>-0.32157874315025098</v>
      </c>
      <c r="IG19" s="3">
        <f ca="1">IFERROR(__xludf.DUMMYFUNCTION("""COMPUTED_VALUE"""),-0.405350437948872)</f>
        <v>-0.40535043794887199</v>
      </c>
      <c r="IH19" s="3">
        <f ca="1">IFERROR(__xludf.DUMMYFUNCTION("""COMPUTED_VALUE"""),-0.408892773695793)</f>
        <v>-0.40889277369579302</v>
      </c>
      <c r="II19" s="3">
        <f ca="1">IFERROR(__xludf.DUMMYFUNCTION("""COMPUTED_VALUE"""),-0.486014387838931)</f>
        <v>-0.48601438783893097</v>
      </c>
      <c r="IJ19" s="3">
        <f ca="1">IFERROR(__xludf.DUMMYFUNCTION("""COMPUTED_VALUE"""),-0.393577418671264)</f>
        <v>-0.393577418671264</v>
      </c>
      <c r="IK19" s="3">
        <f ca="1">IFERROR(__xludf.DUMMYFUNCTION("""COMPUTED_VALUE"""),-0.354573126709911)</f>
        <v>-0.35457312670991098</v>
      </c>
      <c r="IL19" s="3">
        <f ca="1">IFERROR(__xludf.DUMMYFUNCTION("""COMPUTED_VALUE"""),-0.460431025120841)</f>
        <v>-0.460431025120841</v>
      </c>
      <c r="IM19" s="3">
        <f ca="1">IFERROR(__xludf.DUMMYFUNCTION("""COMPUTED_VALUE"""),-0.393243226735872)</f>
        <v>-0.39324322673587198</v>
      </c>
      <c r="IN19" s="3">
        <f ca="1">IFERROR(__xludf.DUMMYFUNCTION("""COMPUTED_VALUE"""),-0.458778058849306)</f>
        <v>-0.458778058849306</v>
      </c>
      <c r="IO19" s="3">
        <f ca="1">IFERROR(__xludf.DUMMYFUNCTION("""COMPUTED_VALUE"""),-0.46932612283541)</f>
        <v>-0.46932612283540998</v>
      </c>
      <c r="IP19" s="3">
        <f ca="1">IFERROR(__xludf.DUMMYFUNCTION("""COMPUTED_VALUE"""),-0.452732714807748)</f>
        <v>-0.45273271480774802</v>
      </c>
      <c r="IQ19" s="3">
        <f ca="1">IFERROR(__xludf.DUMMYFUNCTION("""COMPUTED_VALUE"""),-0.577147551341653)</f>
        <v>-0.57714755134165296</v>
      </c>
      <c r="IR19" s="3">
        <f ca="1">IFERROR(__xludf.DUMMYFUNCTION("""COMPUTED_VALUE"""),-0.670375390388726)</f>
        <v>-0.67037539038872596</v>
      </c>
      <c r="IS19" s="3">
        <f ca="1">IFERROR(__xludf.DUMMYFUNCTION("""COMPUTED_VALUE"""),-0.497010207672339)</f>
        <v>-0.497010207672339</v>
      </c>
      <c r="IT19" s="3">
        <f ca="1">IFERROR(__xludf.DUMMYFUNCTION("""COMPUTED_VALUE"""),-0.359473126007882)</f>
        <v>-0.359473126007882</v>
      </c>
      <c r="IU19" s="3">
        <f ca="1">IFERROR(__xludf.DUMMYFUNCTION("""COMPUTED_VALUE"""),-0.45255338779063)</f>
        <v>-0.45255338779062998</v>
      </c>
      <c r="IV19" s="3">
        <f ca="1">IFERROR(__xludf.DUMMYFUNCTION("""COMPUTED_VALUE"""),-0.512676661100414)</f>
        <v>-0.51267666110041399</v>
      </c>
      <c r="IW19" s="3">
        <f ca="1">IFERROR(__xludf.DUMMYFUNCTION("""COMPUTED_VALUE"""),-0.536963695373923)</f>
        <v>-0.53696369537392297</v>
      </c>
      <c r="IX19" s="3">
        <f ca="1">IFERROR(__xludf.DUMMYFUNCTION("""COMPUTED_VALUE"""),-0.435963918932793)</f>
        <v>-0.43596391893279302</v>
      </c>
      <c r="IY19" s="3">
        <f ca="1">IFERROR(__xludf.DUMMYFUNCTION("""COMPUTED_VALUE"""),-0.461261325712906)</f>
        <v>-0.46126132571290601</v>
      </c>
      <c r="IZ19" s="3">
        <f ca="1">IFERROR(__xludf.DUMMYFUNCTION("""COMPUTED_VALUE"""),-0.516856768075042)</f>
        <v>-0.51685676807504199</v>
      </c>
      <c r="JA19" s="3">
        <f ca="1">IFERROR(__xludf.DUMMYFUNCTION("""COMPUTED_VALUE"""),-0.434530776717953)</f>
        <v>-0.43453077671795298</v>
      </c>
      <c r="JB19" s="3">
        <f ca="1">IFERROR(__xludf.DUMMYFUNCTION("""COMPUTED_VALUE"""),-0.508430396634554)</f>
        <v>-0.50843039663455403</v>
      </c>
      <c r="JC19" s="3">
        <f ca="1">IFERROR(__xludf.DUMMYFUNCTION("""COMPUTED_VALUE"""),-0.582227065322315)</f>
        <v>-0.58222706532231505</v>
      </c>
      <c r="JD19" s="3">
        <f ca="1">IFERROR(__xludf.DUMMYFUNCTION("""COMPUTED_VALUE"""),-0.580605518890587)</f>
        <v>-0.58060551889058698</v>
      </c>
      <c r="JE19" s="3">
        <f ca="1">IFERROR(__xludf.DUMMYFUNCTION("""COMPUTED_VALUE"""),-0.570217555339352)</f>
        <v>-0.57021755533935203</v>
      </c>
      <c r="JF19" s="3">
        <f ca="1">IFERROR(__xludf.DUMMYFUNCTION("""COMPUTED_VALUE"""),-0.46140604137458)</f>
        <v>-0.46140604137458002</v>
      </c>
      <c r="JG19" s="3">
        <f ca="1">IFERROR(__xludf.DUMMYFUNCTION("""COMPUTED_VALUE"""),-0.539336455106117)</f>
        <v>-0.53933645510611705</v>
      </c>
      <c r="JH19" s="3">
        <f ca="1">IFERROR(__xludf.DUMMYFUNCTION("""COMPUTED_VALUE"""),-0.461154965718063)</f>
        <v>-0.46115496571806303</v>
      </c>
      <c r="JI19" s="3">
        <f ca="1">IFERROR(__xludf.DUMMYFUNCTION("""COMPUTED_VALUE"""),-0.499903757589129)</f>
        <v>-0.49990375758912903</v>
      </c>
      <c r="JJ19" s="3">
        <f ca="1">IFERROR(__xludf.DUMMYFUNCTION("""COMPUTED_VALUE"""),-0.583276666455784)</f>
        <v>-0.58327666645578402</v>
      </c>
      <c r="JK19" s="3">
        <f ca="1">IFERROR(__xludf.DUMMYFUNCTION("""COMPUTED_VALUE"""),-0.594674990194395)</f>
        <v>-0.59467499019439496</v>
      </c>
      <c r="JL19" s="3">
        <f ca="1">IFERROR(__xludf.DUMMYFUNCTION("""COMPUTED_VALUE"""),-0.550484691817714)</f>
        <v>-0.55048469181771398</v>
      </c>
      <c r="JM19" s="3">
        <f ca="1">IFERROR(__xludf.DUMMYFUNCTION("""COMPUTED_VALUE"""),-0.524991902112744)</f>
        <v>-0.52499190211274405</v>
      </c>
      <c r="JN19" s="3">
        <f ca="1">IFERROR(__xludf.DUMMYFUNCTION("""COMPUTED_VALUE"""),-0.59630260561719)</f>
        <v>-0.59630260561718995</v>
      </c>
      <c r="JO19" s="3">
        <f ca="1">IFERROR(__xludf.DUMMYFUNCTION("""COMPUTED_VALUE"""),-0.522536867100746)</f>
        <v>-0.52253686710074598</v>
      </c>
      <c r="JP19" s="3">
        <f ca="1">IFERROR(__xludf.DUMMYFUNCTION("""COMPUTED_VALUE"""),-0.52557772556895)</f>
        <v>-0.52557772556894999</v>
      </c>
      <c r="JQ19" s="3">
        <f ca="1">IFERROR(__xludf.DUMMYFUNCTION("""COMPUTED_VALUE"""),-0.581239651874394)</f>
        <v>-0.58123965187439397</v>
      </c>
      <c r="JR19" s="3">
        <f ca="1">IFERROR(__xludf.DUMMYFUNCTION("""COMPUTED_VALUE"""),-0.537695895111497)</f>
        <v>-0.53769589511149696</v>
      </c>
      <c r="JS19" s="3">
        <f ca="1">IFERROR(__xludf.DUMMYFUNCTION("""COMPUTED_VALUE"""),-0.556422038485909)</f>
        <v>-0.55642203848590899</v>
      </c>
      <c r="JT19" s="3">
        <f ca="1">IFERROR(__xludf.DUMMYFUNCTION("""COMPUTED_VALUE"""),-0.430526104666974)</f>
        <v>-0.430526104666974</v>
      </c>
      <c r="JU19" s="3">
        <f ca="1">IFERROR(__xludf.DUMMYFUNCTION("""COMPUTED_VALUE"""),-0.548685656567988)</f>
        <v>-0.54868565656798796</v>
      </c>
      <c r="JV19" s="3">
        <f ca="1">IFERROR(__xludf.DUMMYFUNCTION("""COMPUTED_VALUE"""),-0.458289700239879)</f>
        <v>-0.45828970023987903</v>
      </c>
      <c r="JW19" s="3">
        <f ca="1">IFERROR(__xludf.DUMMYFUNCTION("""COMPUTED_VALUE"""),-0.577279854777797)</f>
        <v>-0.57727985477779697</v>
      </c>
      <c r="JX19" s="3">
        <f ca="1">IFERROR(__xludf.DUMMYFUNCTION("""COMPUTED_VALUE"""),-0.741460767764823)</f>
        <v>-0.74146076776482295</v>
      </c>
      <c r="JY19" s="3">
        <f ca="1">IFERROR(__xludf.DUMMYFUNCTION("""COMPUTED_VALUE"""),-0.669638361839303)</f>
        <v>-0.66963836183930303</v>
      </c>
      <c r="JZ19" s="3">
        <f ca="1">IFERROR(__xludf.DUMMYFUNCTION("""COMPUTED_VALUE"""),-0.512043424061174)</f>
        <v>-0.51204342406117398</v>
      </c>
      <c r="KA19" s="3">
        <f ca="1">IFERROR(__xludf.DUMMYFUNCTION("""COMPUTED_VALUE"""),-0.473335883871492)</f>
        <v>-0.473335883871492</v>
      </c>
      <c r="KB19" s="3">
        <f ca="1">IFERROR(__xludf.DUMMYFUNCTION("""COMPUTED_VALUE"""),-0.572167445955646)</f>
        <v>-0.57216744595564595</v>
      </c>
      <c r="KC19" s="3">
        <f ca="1">IFERROR(__xludf.DUMMYFUNCTION("""COMPUTED_VALUE"""),-0.544507260315051)</f>
        <v>-0.54450726031505103</v>
      </c>
      <c r="KD19" s="3">
        <f ca="1">IFERROR(__xludf.DUMMYFUNCTION("""COMPUTED_VALUE"""),-0.561249169987306)</f>
        <v>-0.56124916998730601</v>
      </c>
      <c r="KE19" s="3">
        <f ca="1">IFERROR(__xludf.DUMMYFUNCTION("""COMPUTED_VALUE"""),-0.561322942666285)</f>
        <v>-0.56132294266628502</v>
      </c>
      <c r="KF19" s="3">
        <f ca="1">IFERROR(__xludf.DUMMYFUNCTION("""COMPUTED_VALUE"""),-0.570822231851994)</f>
        <v>-0.57082223185199399</v>
      </c>
      <c r="KG19" s="3">
        <f ca="1">IFERROR(__xludf.DUMMYFUNCTION("""COMPUTED_VALUE"""),-0.518476161355592)</f>
        <v>-0.51847616135559205</v>
      </c>
      <c r="KH19" s="3">
        <f ca="1">IFERROR(__xludf.DUMMYFUNCTION("""COMPUTED_VALUE"""),-0.436097655641166)</f>
        <v>-0.43609765564116598</v>
      </c>
      <c r="KI19" s="3">
        <f ca="1">IFERROR(__xludf.DUMMYFUNCTION("""COMPUTED_VALUE"""),-0.671740588445094)</f>
        <v>-0.67174058844509399</v>
      </c>
      <c r="KJ19" s="3">
        <f ca="1">IFERROR(__xludf.DUMMYFUNCTION("""COMPUTED_VALUE"""),-0.628496629065742)</f>
        <v>-0.628496629065742</v>
      </c>
      <c r="KK19" s="3">
        <f ca="1">IFERROR(__xludf.DUMMYFUNCTION("""COMPUTED_VALUE"""),-0.568096448016305)</f>
        <v>-0.56809644801630499</v>
      </c>
      <c r="KL19" s="3">
        <f ca="1">IFERROR(__xludf.DUMMYFUNCTION("""COMPUTED_VALUE"""),-0.578974791241123)</f>
        <v>-0.57897479124112305</v>
      </c>
      <c r="KM19" s="3">
        <f ca="1">IFERROR(__xludf.DUMMYFUNCTION("""COMPUTED_VALUE"""),-0.623997138508319)</f>
        <v>-0.62399713850831895</v>
      </c>
      <c r="KN19" s="3">
        <f ca="1">IFERROR(__xludf.DUMMYFUNCTION("""COMPUTED_VALUE"""),-0.663615020990141)</f>
        <v>-0.66361502099014102</v>
      </c>
      <c r="KO19" s="3">
        <f ca="1">IFERROR(__xludf.DUMMYFUNCTION("""COMPUTED_VALUE"""),-0.584679055958776)</f>
        <v>-0.58467905595877601</v>
      </c>
      <c r="KP19" s="3">
        <f ca="1">IFERROR(__xludf.DUMMYFUNCTION("""COMPUTED_VALUE"""),-0.643150284673148)</f>
        <v>-0.64315028467314805</v>
      </c>
      <c r="KQ19" s="3">
        <f ca="1">IFERROR(__xludf.DUMMYFUNCTION("""COMPUTED_VALUE"""),-0.665273240510121)</f>
        <v>-0.66527324051012104</v>
      </c>
      <c r="KR19" s="3">
        <f ca="1">IFERROR(__xludf.DUMMYFUNCTION("""COMPUTED_VALUE"""),-0.650259045126884)</f>
        <v>-0.65025904512688404</v>
      </c>
      <c r="KS19" s="3">
        <f ca="1">IFERROR(__xludf.DUMMYFUNCTION("""COMPUTED_VALUE"""),-0.60335977501725)</f>
        <v>-0.60335977501725002</v>
      </c>
      <c r="KT19" s="3">
        <f ca="1">IFERROR(__xludf.DUMMYFUNCTION("""COMPUTED_VALUE"""),-0.588750665367797)</f>
        <v>-0.58875066536779697</v>
      </c>
      <c r="KU19" s="3">
        <f ca="1">IFERROR(__xludf.DUMMYFUNCTION("""COMPUTED_VALUE"""),-0.635236330019675)</f>
        <v>-0.63523633001967506</v>
      </c>
      <c r="KV19" s="3">
        <f ca="1">IFERROR(__xludf.DUMMYFUNCTION("""COMPUTED_VALUE"""),-0.615075540196335)</f>
        <v>-0.61507554019633504</v>
      </c>
      <c r="KW19" s="3">
        <f ca="1">IFERROR(__xludf.DUMMYFUNCTION("""COMPUTED_VALUE"""),-0.746815781420528)</f>
        <v>-0.74681578142052796</v>
      </c>
      <c r="KX19" s="3">
        <f ca="1">IFERROR(__xludf.DUMMYFUNCTION("""COMPUTED_VALUE"""),-0.695276167770675)</f>
        <v>-0.69527616777067502</v>
      </c>
      <c r="KY19" s="3">
        <f ca="1">IFERROR(__xludf.DUMMYFUNCTION("""COMPUTED_VALUE"""),-0.652385181525121)</f>
        <v>-0.65238518152512104</v>
      </c>
      <c r="KZ19" s="3">
        <f ca="1">IFERROR(__xludf.DUMMYFUNCTION("""COMPUTED_VALUE"""),-0.564024583573077)</f>
        <v>-0.56402458357307705</v>
      </c>
      <c r="LA19" s="3">
        <f ca="1">IFERROR(__xludf.DUMMYFUNCTION("""COMPUTED_VALUE"""),-0.636850848596236)</f>
        <v>-0.63685084859623597</v>
      </c>
      <c r="LB19" s="3">
        <f ca="1">IFERROR(__xludf.DUMMYFUNCTION("""COMPUTED_VALUE"""),-0.657083690817213)</f>
        <v>-0.65708369081721296</v>
      </c>
      <c r="LC19" s="3">
        <f ca="1">IFERROR(__xludf.DUMMYFUNCTION("""COMPUTED_VALUE"""),-0.649028417671877)</f>
        <v>-0.64902841767187702</v>
      </c>
      <c r="LD19" s="3">
        <f ca="1">IFERROR(__xludf.DUMMYFUNCTION("""COMPUTED_VALUE"""),-0.677630469248499)</f>
        <v>-0.67763046924849901</v>
      </c>
      <c r="LE19" s="3">
        <f ca="1">IFERROR(__xludf.DUMMYFUNCTION("""COMPUTED_VALUE"""),-0.660697702830336)</f>
        <v>-0.66069770283033602</v>
      </c>
      <c r="LF19" s="3">
        <f ca="1">IFERROR(__xludf.DUMMYFUNCTION("""COMPUTED_VALUE"""),-0.574846946911129)</f>
        <v>-0.57484694691112903</v>
      </c>
      <c r="LG19" s="3">
        <f ca="1">IFERROR(__xludf.DUMMYFUNCTION("""COMPUTED_VALUE"""),-0.616734568067476)</f>
        <v>-0.61673456806747595</v>
      </c>
      <c r="LH19" s="3">
        <f ca="1">IFERROR(__xludf.DUMMYFUNCTION("""COMPUTED_VALUE"""),-0.628439644647042)</f>
        <v>-0.62843964464704205</v>
      </c>
      <c r="LI19" s="3">
        <f ca="1">IFERROR(__xludf.DUMMYFUNCTION("""COMPUTED_VALUE"""),-0.613883594114215)</f>
        <v>-0.613883594114215</v>
      </c>
      <c r="LJ19" s="3">
        <f ca="1">IFERROR(__xludf.DUMMYFUNCTION("""COMPUTED_VALUE"""),-0.685004205655102)</f>
        <v>-0.68500420565510201</v>
      </c>
      <c r="LK19" s="3">
        <f ca="1">IFERROR(__xludf.DUMMYFUNCTION("""COMPUTED_VALUE"""),-0.740547609388655)</f>
        <v>-0.74054760938865505</v>
      </c>
      <c r="LL19" s="3">
        <f ca="1">IFERROR(__xludf.DUMMYFUNCTION("""COMPUTED_VALUE"""),-0.694106783262077)</f>
        <v>-0.69410678326207698</v>
      </c>
      <c r="LM19" s="3">
        <f ca="1">IFERROR(__xludf.DUMMYFUNCTION("""COMPUTED_VALUE"""),-0.746003572879037)</f>
        <v>-0.74600357287903696</v>
      </c>
      <c r="LN19" s="3">
        <f ca="1">IFERROR(__xludf.DUMMYFUNCTION("""COMPUTED_VALUE"""),-0.711457671921609)</f>
        <v>-0.71145767192160903</v>
      </c>
      <c r="LO19" s="3">
        <f ca="1">IFERROR(__xludf.DUMMYFUNCTION("""COMPUTED_VALUE"""),-0.747570187999911)</f>
        <v>-0.74757018799991104</v>
      </c>
      <c r="LP19" s="3">
        <f ca="1">IFERROR(__xludf.DUMMYFUNCTION("""COMPUTED_VALUE"""),-0.825741920962165)</f>
        <v>-0.82574192096216503</v>
      </c>
      <c r="LQ19" s="3">
        <f ca="1">IFERROR(__xludf.DUMMYFUNCTION("""COMPUTED_VALUE"""),-0.839514309689422)</f>
        <v>-0.83951430968942198</v>
      </c>
      <c r="LR19" s="3">
        <f ca="1">IFERROR(__xludf.DUMMYFUNCTION("""COMPUTED_VALUE"""),-0.831373345106863)</f>
        <v>-0.831373345106863</v>
      </c>
      <c r="LS19" s="3">
        <f ca="1">IFERROR(__xludf.DUMMYFUNCTION("""COMPUTED_VALUE"""),-0.812012670481278)</f>
        <v>-0.81201267048127801</v>
      </c>
      <c r="LT19" s="3">
        <f ca="1">IFERROR(__xludf.DUMMYFUNCTION("""COMPUTED_VALUE"""),-0.76666531868684)</f>
        <v>-0.76666531868683996</v>
      </c>
      <c r="LU19" s="3">
        <f ca="1">IFERROR(__xludf.DUMMYFUNCTION("""COMPUTED_VALUE"""),-0.786359471155241)</f>
        <v>-0.78635947115524096</v>
      </c>
      <c r="LV19" s="3">
        <f ca="1">IFERROR(__xludf.DUMMYFUNCTION("""COMPUTED_VALUE"""),-0.755646101834373)</f>
        <v>-0.75564610183437297</v>
      </c>
      <c r="LW19" s="3">
        <f ca="1">IFERROR(__xludf.DUMMYFUNCTION("""COMPUTED_VALUE"""),-0.774751580662404)</f>
        <v>-0.77475158066240402</v>
      </c>
      <c r="LX19" s="3">
        <f ca="1">IFERROR(__xludf.DUMMYFUNCTION("""COMPUTED_VALUE"""),-0.790940461326521)</f>
        <v>-0.79094046132652096</v>
      </c>
      <c r="LY19" s="3">
        <f ca="1">IFERROR(__xludf.DUMMYFUNCTION("""COMPUTED_VALUE"""),-0.852603306955984)</f>
        <v>-0.85260330695598396</v>
      </c>
      <c r="LZ19" s="3">
        <f ca="1">IFERROR(__xludf.DUMMYFUNCTION("""COMPUTED_VALUE"""),-0.830688064491112)</f>
        <v>-0.83068806449111199</v>
      </c>
      <c r="MA19" s="3">
        <f ca="1">IFERROR(__xludf.DUMMYFUNCTION("""COMPUTED_VALUE"""),-0.822061038779592)</f>
        <v>-0.82206103877959202</v>
      </c>
      <c r="MB19" s="3">
        <f ca="1">IFERROR(__xludf.DUMMYFUNCTION("""COMPUTED_VALUE"""),-0.839501416039408)</f>
        <v>-0.83950141603940798</v>
      </c>
      <c r="MC19" s="3">
        <f ca="1">IFERROR(__xludf.DUMMYFUNCTION("""COMPUTED_VALUE"""),-0.814120322304628)</f>
        <v>-0.81412032230462805</v>
      </c>
      <c r="MD19" s="3">
        <f ca="1">IFERROR(__xludf.DUMMYFUNCTION("""COMPUTED_VALUE"""),-0.811317788199798)</f>
        <v>-0.81131778819979805</v>
      </c>
      <c r="ME19" s="3">
        <f ca="1">IFERROR(__xludf.DUMMYFUNCTION("""COMPUTED_VALUE"""),-0.82118983140402)</f>
        <v>-0.82118983140402002</v>
      </c>
      <c r="MF19" s="3">
        <f ca="1">IFERROR(__xludf.DUMMYFUNCTION("""COMPUTED_VALUE"""),-0.854240813413147)</f>
        <v>-0.85424081341314695</v>
      </c>
      <c r="MG19" s="3">
        <f ca="1">IFERROR(__xludf.DUMMYFUNCTION("""COMPUTED_VALUE"""),-0.859018553380485)</f>
        <v>-0.85901855338048505</v>
      </c>
      <c r="MH19" s="3">
        <f ca="1">IFERROR(__xludf.DUMMYFUNCTION("""COMPUTED_VALUE"""),-0.83757414668309)</f>
        <v>-0.83757414668309005</v>
      </c>
      <c r="MI19" s="3">
        <f ca="1">IFERROR(__xludf.DUMMYFUNCTION("""COMPUTED_VALUE"""),-0.841568906960115)</f>
        <v>-0.84156890696011499</v>
      </c>
      <c r="MJ19" s="3">
        <f ca="1">IFERROR(__xludf.DUMMYFUNCTION("""COMPUTED_VALUE"""),-0.848808759270001)</f>
        <v>-0.84880875927000099</v>
      </c>
      <c r="MK19" s="3">
        <f ca="1">IFERROR(__xludf.DUMMYFUNCTION("""COMPUTED_VALUE"""),-0.811085036494941)</f>
        <v>-0.81108503649494101</v>
      </c>
      <c r="ML19" s="3">
        <f ca="1">IFERROR(__xludf.DUMMYFUNCTION("""COMPUTED_VALUE"""),-0.801928674134266)</f>
        <v>-0.80192867413426605</v>
      </c>
      <c r="MM19" s="3">
        <f ca="1">IFERROR(__xludf.DUMMYFUNCTION("""COMPUTED_VALUE"""),-0.874422585061753)</f>
        <v>-0.87442258506175297</v>
      </c>
      <c r="MN19" s="3">
        <f ca="1">IFERROR(__xludf.DUMMYFUNCTION("""COMPUTED_VALUE"""),-0.830321854610061)</f>
        <v>-0.83032185461006103</v>
      </c>
      <c r="MO19" s="3">
        <f ca="1">IFERROR(__xludf.DUMMYFUNCTION("""COMPUTED_VALUE"""),-0.823169419411884)</f>
        <v>-0.82316941941188404</v>
      </c>
      <c r="MP19" s="3">
        <f ca="1">IFERROR(__xludf.DUMMYFUNCTION("""COMPUTED_VALUE"""),-0.854654251178666)</f>
        <v>-0.854654251178666</v>
      </c>
      <c r="MQ19" s="3">
        <f ca="1">IFERROR(__xludf.DUMMYFUNCTION("""COMPUTED_VALUE"""),-0.843067029854183)</f>
        <v>-0.84306702985418303</v>
      </c>
      <c r="MR19" s="3">
        <f ca="1">IFERROR(__xludf.DUMMYFUNCTION("""COMPUTED_VALUE"""),-0.806520976856935)</f>
        <v>-0.80652097685693502</v>
      </c>
      <c r="MS19" s="3">
        <f ca="1">IFERROR(__xludf.DUMMYFUNCTION("""COMPUTED_VALUE"""),-0.808445759066909)</f>
        <v>-0.80844575906690896</v>
      </c>
      <c r="MT19" s="3">
        <f ca="1">IFERROR(__xludf.DUMMYFUNCTION("""COMPUTED_VALUE"""),-0.890242763976678)</f>
        <v>-0.89024276397667801</v>
      </c>
      <c r="MU19" s="3">
        <f ca="1">IFERROR(__xludf.DUMMYFUNCTION("""COMPUTED_VALUE"""),-0.859924027147218)</f>
        <v>-0.85992402714721805</v>
      </c>
      <c r="MV19" s="3">
        <f ca="1">IFERROR(__xludf.DUMMYFUNCTION("""COMPUTED_VALUE"""),-0.826261403985698)</f>
        <v>-0.82626140398569803</v>
      </c>
      <c r="MW19" s="3">
        <f ca="1">IFERROR(__xludf.DUMMYFUNCTION("""COMPUTED_VALUE"""),-0.834834281403616)</f>
        <v>-0.83483428140361604</v>
      </c>
      <c r="MX19" s="3">
        <f ca="1">IFERROR(__xludf.DUMMYFUNCTION("""COMPUTED_VALUE"""),-0.845761582903134)</f>
        <v>-0.84576158290313397</v>
      </c>
      <c r="MY19" s="3">
        <f ca="1">IFERROR(__xludf.DUMMYFUNCTION("""COMPUTED_VALUE"""),-0.872943717865005)</f>
        <v>-0.87294371786500502</v>
      </c>
      <c r="MZ19" s="3">
        <f ca="1">IFERROR(__xludf.DUMMYFUNCTION("""COMPUTED_VALUE"""),-0.88007754115757)</f>
        <v>-0.88007754115756998</v>
      </c>
      <c r="NA19" s="3">
        <f ca="1">IFERROR(__xludf.DUMMYFUNCTION("""COMPUTED_VALUE"""),-0.861644820446027)</f>
        <v>-0.86164482044602697</v>
      </c>
      <c r="NB19" s="3">
        <f ca="1">IFERROR(__xludf.DUMMYFUNCTION("""COMPUTED_VALUE"""),-0.841867674587167)</f>
        <v>-0.84186767458716705</v>
      </c>
      <c r="NC19" s="3">
        <f ca="1">IFERROR(__xludf.DUMMYFUNCTION("""COMPUTED_VALUE"""),-0.870886978831563)</f>
        <v>-0.87088697883156296</v>
      </c>
      <c r="ND19" s="3">
        <f ca="1">IFERROR(__xludf.DUMMYFUNCTION("""COMPUTED_VALUE"""),-0.811685949468589)</f>
        <v>-0.81168594946858896</v>
      </c>
      <c r="NE19" s="3">
        <f ca="1">IFERROR(__xludf.DUMMYFUNCTION("""COMPUTED_VALUE"""),-0.84789700029491)</f>
        <v>-0.84789700029491</v>
      </c>
      <c r="NF19" s="3">
        <f ca="1">IFERROR(__xludf.DUMMYFUNCTION("""COMPUTED_VALUE"""),-0.847394032025828)</f>
        <v>-0.84739403202582797</v>
      </c>
      <c r="NG19" s="3">
        <f ca="1">IFERROR(__xludf.DUMMYFUNCTION("""COMPUTED_VALUE"""),-0.826149508740774)</f>
        <v>-0.82614950874077397</v>
      </c>
      <c r="NH19" s="3">
        <f ca="1">IFERROR(__xludf.DUMMYFUNCTION("""COMPUTED_VALUE"""),-0.851405170145448)</f>
        <v>-0.85140517014544803</v>
      </c>
      <c r="NI19" s="3">
        <f ca="1">IFERROR(__xludf.DUMMYFUNCTION("""COMPUTED_VALUE"""),-0.824876240543089)</f>
        <v>-0.82487624054308895</v>
      </c>
      <c r="NJ19" s="3">
        <f ca="1">IFERROR(__xludf.DUMMYFUNCTION("""COMPUTED_VALUE"""),-0.821817531560786)</f>
        <v>-0.82181753156078596</v>
      </c>
      <c r="NK19" s="3">
        <f ca="1">IFERROR(__xludf.DUMMYFUNCTION("""COMPUTED_VALUE"""),-0.874431648212671)</f>
        <v>-0.87443164821267105</v>
      </c>
      <c r="NL19" s="3">
        <f ca="1">IFERROR(__xludf.DUMMYFUNCTION("""COMPUTED_VALUE"""),-0.859631643905681)</f>
        <v>-0.85963164390568103</v>
      </c>
      <c r="NM19" s="3">
        <f ca="1">IFERROR(__xludf.DUMMYFUNCTION("""COMPUTED_VALUE"""),-0.835462064268903)</f>
        <v>-0.83546206426890302</v>
      </c>
      <c r="NN19" s="3">
        <f ca="1">IFERROR(__xludf.DUMMYFUNCTION("""COMPUTED_VALUE"""),-0.86007464127962)</f>
        <v>-0.86007464127961997</v>
      </c>
      <c r="NO19" s="3">
        <f ca="1">IFERROR(__xludf.DUMMYFUNCTION("""COMPUTED_VALUE"""),-0.881573376117625)</f>
        <v>-0.88157337611762498</v>
      </c>
      <c r="NP19" s="3">
        <f ca="1">IFERROR(__xludf.DUMMYFUNCTION("""COMPUTED_VALUE"""),-0.808249357470785)</f>
        <v>-0.80824935747078497</v>
      </c>
      <c r="NQ19" s="3">
        <f ca="1">IFERROR(__xludf.DUMMYFUNCTION("""COMPUTED_VALUE"""),-0.844901053067114)</f>
        <v>-0.84490105306711405</v>
      </c>
      <c r="NR19" s="3">
        <f ca="1">IFERROR(__xludf.DUMMYFUNCTION("""COMPUTED_VALUE"""),-0.832397504058951)</f>
        <v>-0.83239750405895097</v>
      </c>
      <c r="NS19" s="3">
        <f ca="1">IFERROR(__xludf.DUMMYFUNCTION("""COMPUTED_VALUE"""),-0.83633074049865)</f>
        <v>-0.83633074049864997</v>
      </c>
      <c r="NT19" s="3">
        <f ca="1">IFERROR(__xludf.DUMMYFUNCTION("""COMPUTED_VALUE"""),-0.803038225685531)</f>
        <v>-0.80303822568553096</v>
      </c>
      <c r="NU19" s="3">
        <f ca="1">IFERROR(__xludf.DUMMYFUNCTION("""COMPUTED_VALUE"""),-0.757058300972418)</f>
        <v>-0.757058300972418</v>
      </c>
      <c r="NV19" s="3">
        <f ca="1">IFERROR(__xludf.DUMMYFUNCTION("""COMPUTED_VALUE"""),-0.797052856037074)</f>
        <v>-0.79705285603707399</v>
      </c>
      <c r="NW19" s="3">
        <f ca="1">IFERROR(__xludf.DUMMYFUNCTION("""COMPUTED_VALUE"""),-0.663418513658264)</f>
        <v>-0.66341851365826399</v>
      </c>
      <c r="NX19" s="3">
        <f ca="1">IFERROR(__xludf.DUMMYFUNCTION("""COMPUTED_VALUE"""),-0.654342509562746)</f>
        <v>-0.65434250956274598</v>
      </c>
      <c r="NY19" s="3">
        <f ca="1">IFERROR(__xludf.DUMMYFUNCTION("""COMPUTED_VALUE"""),-0.591009976140352)</f>
        <v>-0.591009976140352</v>
      </c>
      <c r="NZ19" s="3">
        <f ca="1">IFERROR(__xludf.DUMMYFUNCTION("""COMPUTED_VALUE"""),-0.524413459902726)</f>
        <v>-0.52441345990272603</v>
      </c>
      <c r="OA19" s="3">
        <f ca="1">IFERROR(__xludf.DUMMYFUNCTION("""COMPUTED_VALUE"""),-0.406071186774744)</f>
        <v>-0.40607118677474402</v>
      </c>
      <c r="OB19" s="3">
        <f ca="1">IFERROR(__xludf.DUMMYFUNCTION("""COMPUTED_VALUE"""),-0.364495509438093)</f>
        <v>-0.364495509438093</v>
      </c>
      <c r="OC19" s="3">
        <f ca="1">IFERROR(__xludf.DUMMYFUNCTION("""COMPUTED_VALUE"""),-0.278837047085954)</f>
        <v>-0.27883704708595403</v>
      </c>
      <c r="OD19" s="3">
        <f ca="1">IFERROR(__xludf.DUMMYFUNCTION("""COMPUTED_VALUE"""),-0.170828491699074)</f>
        <v>-0.17082849169907399</v>
      </c>
      <c r="OE19" s="3">
        <f ca="1">IFERROR(__xludf.DUMMYFUNCTION("""COMPUTED_VALUE"""),-0.1576376391639)</f>
        <v>-0.1576376391639</v>
      </c>
      <c r="OF19" s="3">
        <f ca="1">IFERROR(__xludf.DUMMYFUNCTION("""COMPUTED_VALUE"""),-0.174937446493137)</f>
        <v>-0.174937446493137</v>
      </c>
      <c r="OG19" s="3">
        <f ca="1">IFERROR(__xludf.DUMMYFUNCTION("""COMPUTED_VALUE"""),-0.126464040943551)</f>
        <v>-0.12646404094355099</v>
      </c>
      <c r="OH19" s="3">
        <f ca="1">IFERROR(__xludf.DUMMYFUNCTION("""COMPUTED_VALUE"""),-0.100711471134295)</f>
        <v>-0.100711471134295</v>
      </c>
      <c r="OI19" s="3">
        <f ca="1">IFERROR(__xludf.DUMMYFUNCTION("""COMPUTED_VALUE"""),-0.157237820026025)</f>
        <v>-0.15723782002602499</v>
      </c>
      <c r="OJ19" s="3">
        <f ca="1">IFERROR(__xludf.DUMMYFUNCTION("""COMPUTED_VALUE"""),-0.0847657262953427)</f>
        <v>-8.4765726295342694E-2</v>
      </c>
      <c r="OK19" s="3">
        <f ca="1">IFERROR(__xludf.DUMMYFUNCTION("""COMPUTED_VALUE"""),0.0113936856521392)</f>
        <v>1.1393685652139199E-2</v>
      </c>
      <c r="OL19" s="3">
        <f ca="1">IFERROR(__xludf.DUMMYFUNCTION("""COMPUTED_VALUE"""),-0.0859831381342328)</f>
        <v>-8.5983138134232806E-2</v>
      </c>
      <c r="OM19" s="3">
        <f ca="1">IFERROR(__xludf.DUMMYFUNCTION("""COMPUTED_VALUE"""),-0.127847604058806)</f>
        <v>-0.12784760405880599</v>
      </c>
      <c r="ON19" s="3">
        <f ca="1">IFERROR(__xludf.DUMMYFUNCTION("""COMPUTED_VALUE"""),0.0388394108065388)</f>
        <v>3.8839410806538799E-2</v>
      </c>
      <c r="OO19" s="3">
        <f ca="1">IFERROR(__xludf.DUMMYFUNCTION("""COMPUTED_VALUE"""),-0.00584820899829763)</f>
        <v>-5.84820899829763E-3</v>
      </c>
      <c r="OP19" s="3">
        <f ca="1">IFERROR(__xludf.DUMMYFUNCTION("""COMPUTED_VALUE"""),-0.09192531666521)</f>
        <v>-9.1925316665210005E-2</v>
      </c>
      <c r="OQ19" s="3">
        <f ca="1">IFERROR(__xludf.DUMMYFUNCTION("""COMPUTED_VALUE"""),-0.0851466073052005)</f>
        <v>-8.5146607305200503E-2</v>
      </c>
      <c r="OR19" s="3">
        <f ca="1">IFERROR(__xludf.DUMMYFUNCTION("""COMPUTED_VALUE"""),0.121167718597855)</f>
        <v>0.121167718597855</v>
      </c>
      <c r="OS19" s="3">
        <f ca="1">IFERROR(__xludf.DUMMYFUNCTION("""COMPUTED_VALUE"""),0.0322375271467594)</f>
        <v>3.2237527146759398E-2</v>
      </c>
      <c r="OT19" s="3">
        <f ca="1">IFERROR(__xludf.DUMMYFUNCTION("""COMPUTED_VALUE"""),-0.00498032112595214)</f>
        <v>-4.9803211259521396E-3</v>
      </c>
      <c r="OU19" s="3">
        <f ca="1">IFERROR(__xludf.DUMMYFUNCTION("""COMPUTED_VALUE"""),-0.0617344623999647)</f>
        <v>-6.1734462399964697E-2</v>
      </c>
      <c r="OV19" s="3">
        <f ca="1">IFERROR(__xludf.DUMMYFUNCTION("""COMPUTED_VALUE"""),0.0373553769993304)</f>
        <v>3.7355376999330399E-2</v>
      </c>
      <c r="OW19" s="3">
        <f ca="1">IFERROR(__xludf.DUMMYFUNCTION("""COMPUTED_VALUE"""),0.00275251755447225)</f>
        <v>2.7525175544722501E-3</v>
      </c>
      <c r="OX19" s="3">
        <f ca="1">IFERROR(__xludf.DUMMYFUNCTION("""COMPUTED_VALUE"""),-0.108207935696917)</f>
        <v>-0.108207935696917</v>
      </c>
      <c r="OY19" s="3">
        <f ca="1">IFERROR(__xludf.DUMMYFUNCTION("""COMPUTED_VALUE"""),0.127250890814353)</f>
        <v>0.12725089081435301</v>
      </c>
      <c r="OZ19" s="3">
        <f ca="1">IFERROR(__xludf.DUMMYFUNCTION("""COMPUTED_VALUE"""),-0.0657991554170795)</f>
        <v>-6.5799155417079494E-2</v>
      </c>
      <c r="PA19" s="3">
        <f ca="1">IFERROR(__xludf.DUMMYFUNCTION("""COMPUTED_VALUE"""),-0.0783627794462482)</f>
        <v>-7.8362779446248199E-2</v>
      </c>
      <c r="PB19" s="3">
        <f ca="1">IFERROR(__xludf.DUMMYFUNCTION("""COMPUTED_VALUE"""),0.0986474082191442)</f>
        <v>9.8647408219144195E-2</v>
      </c>
      <c r="PC19" s="3">
        <f ca="1">IFERROR(__xludf.DUMMYFUNCTION("""COMPUTED_VALUE"""),-0.168120771978428)</f>
        <v>-0.16812077197842801</v>
      </c>
      <c r="PD19" s="3">
        <f ca="1">IFERROR(__xludf.DUMMYFUNCTION("""COMPUTED_VALUE"""),-0.33320043930838)</f>
        <v>-0.33320043930838</v>
      </c>
      <c r="PE19" s="3">
        <f ca="1">IFERROR(__xludf.DUMMYFUNCTION("""COMPUTED_VALUE"""),-0.0142990541221)</f>
        <v>-1.4299054122100001E-2</v>
      </c>
      <c r="PF19" s="3">
        <f ca="1">IFERROR(__xludf.DUMMYFUNCTION("""COMPUTED_VALUE"""),0.192504703642475)</f>
        <v>0.19250470364247499</v>
      </c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</row>
    <row r="20" spans="1:594" ht="15.75" customHeight="1">
      <c r="A20" s="1" t="str">
        <f ca="1">IFERROR(__xludf.DUMMYFUNCTION("""COMPUTED_VALUE"""),"Dallas")</f>
        <v>Dallas</v>
      </c>
      <c r="B20" s="3">
        <f ca="1">IFERROR(__xludf.DUMMYFUNCTION("""COMPUTED_VALUE"""),-0.356883303848353)</f>
        <v>-0.35688330384835298</v>
      </c>
      <c r="C20" s="3">
        <f ca="1">IFERROR(__xludf.DUMMYFUNCTION("""COMPUTED_VALUE"""),-0.380066172888633)</f>
        <v>-0.38006617288863298</v>
      </c>
      <c r="D20" s="3">
        <f ca="1">IFERROR(__xludf.DUMMYFUNCTION("""COMPUTED_VALUE"""),-0.380104540288036)</f>
        <v>-0.38010454028803597</v>
      </c>
      <c r="E20" s="3">
        <f ca="1">IFERROR(__xludf.DUMMYFUNCTION("""COMPUTED_VALUE"""),-0.363820020320488)</f>
        <v>-0.36382002032048799</v>
      </c>
      <c r="F20" s="3">
        <f ca="1">IFERROR(__xludf.DUMMYFUNCTION("""COMPUTED_VALUE"""),-0.479496237733751)</f>
        <v>-0.479496237733751</v>
      </c>
      <c r="G20" s="3">
        <f ca="1">IFERROR(__xludf.DUMMYFUNCTION("""COMPUTED_VALUE"""),-0.433165975121492)</f>
        <v>-0.43316597512149202</v>
      </c>
      <c r="H20" s="3">
        <f ca="1">IFERROR(__xludf.DUMMYFUNCTION("""COMPUTED_VALUE"""),-0.502176201585428)</f>
        <v>-0.50217620158542797</v>
      </c>
      <c r="I20" s="3">
        <f ca="1">IFERROR(__xludf.DUMMYFUNCTION("""COMPUTED_VALUE"""),-0.357468160349662)</f>
        <v>-0.357468160349662</v>
      </c>
      <c r="J20" s="3">
        <f ca="1">IFERROR(__xludf.DUMMYFUNCTION("""COMPUTED_VALUE"""),-0.47318099099486)</f>
        <v>-0.47318099099486</v>
      </c>
      <c r="K20" s="3">
        <f ca="1">IFERROR(__xludf.DUMMYFUNCTION("""COMPUTED_VALUE"""),-0.435030290285961)</f>
        <v>-0.43503029028596102</v>
      </c>
      <c r="L20" s="3">
        <f ca="1">IFERROR(__xludf.DUMMYFUNCTION("""COMPUTED_VALUE"""),-0.41633153912891)</f>
        <v>-0.41633153912891002</v>
      </c>
      <c r="M20" s="3">
        <f ca="1">IFERROR(__xludf.DUMMYFUNCTION("""COMPUTED_VALUE"""),-0.442915984751381)</f>
        <v>-0.442915984751381</v>
      </c>
      <c r="N20" s="3">
        <f ca="1">IFERROR(__xludf.DUMMYFUNCTION("""COMPUTED_VALUE"""),-0.385997988294453)</f>
        <v>-0.38599798829445298</v>
      </c>
      <c r="O20" s="3">
        <f ca="1">IFERROR(__xludf.DUMMYFUNCTION("""COMPUTED_VALUE"""),-0.400666313361652)</f>
        <v>-0.40066631336165198</v>
      </c>
      <c r="P20" s="3">
        <f ca="1">IFERROR(__xludf.DUMMYFUNCTION("""COMPUTED_VALUE"""),-0.322158991000784)</f>
        <v>-0.32215899100078399</v>
      </c>
      <c r="Q20" s="3">
        <f ca="1">IFERROR(__xludf.DUMMYFUNCTION("""COMPUTED_VALUE"""),-0.369924245793034)</f>
        <v>-0.36992424579303401</v>
      </c>
      <c r="R20" s="3">
        <f ca="1">IFERROR(__xludf.DUMMYFUNCTION("""COMPUTED_VALUE"""),-0.43400300023847)</f>
        <v>-0.43400300023846999</v>
      </c>
      <c r="S20" s="3">
        <f ca="1">IFERROR(__xludf.DUMMYFUNCTION("""COMPUTED_VALUE"""),-0.37335648977875)</f>
        <v>-0.37335648977875002</v>
      </c>
      <c r="T20" s="3">
        <f ca="1">IFERROR(__xludf.DUMMYFUNCTION("""COMPUTED_VALUE"""),-0.430947869590768)</f>
        <v>-0.43094786959076797</v>
      </c>
      <c r="U20" s="3">
        <f ca="1">IFERROR(__xludf.DUMMYFUNCTION("""COMPUTED_VALUE"""),-0.479991827218249)</f>
        <v>-0.47999182721824901</v>
      </c>
      <c r="V20" s="3">
        <f ca="1">IFERROR(__xludf.DUMMYFUNCTION("""COMPUTED_VALUE"""),-0.468836275964487)</f>
        <v>-0.46883627596448701</v>
      </c>
      <c r="W20" s="3">
        <f ca="1">IFERROR(__xludf.DUMMYFUNCTION("""COMPUTED_VALUE"""),-0.394067710519344)</f>
        <v>-0.39406771051934403</v>
      </c>
      <c r="X20" s="3">
        <f ca="1">IFERROR(__xludf.DUMMYFUNCTION("""COMPUTED_VALUE"""),-0.418658449723589)</f>
        <v>-0.41865844972358901</v>
      </c>
      <c r="Y20" s="3">
        <f ca="1">IFERROR(__xludf.DUMMYFUNCTION("""COMPUTED_VALUE"""),-0.486385516480767)</f>
        <v>-0.486385516480767</v>
      </c>
      <c r="Z20" s="3">
        <f ca="1">IFERROR(__xludf.DUMMYFUNCTION("""COMPUTED_VALUE"""),-0.35612982913968)</f>
        <v>-0.35612982913968</v>
      </c>
      <c r="AA20" s="3">
        <f ca="1">IFERROR(__xludf.DUMMYFUNCTION("""COMPUTED_VALUE"""),-0.414809419977716)</f>
        <v>-0.41480941997771598</v>
      </c>
      <c r="AB20" s="3">
        <f ca="1">IFERROR(__xludf.DUMMYFUNCTION("""COMPUTED_VALUE"""),-0.348200043408384)</f>
        <v>-0.34820004340838401</v>
      </c>
      <c r="AC20" s="3">
        <f ca="1">IFERROR(__xludf.DUMMYFUNCTION("""COMPUTED_VALUE"""),-0.482950846515591)</f>
        <v>-0.482950846515591</v>
      </c>
      <c r="AD20" s="3">
        <f ca="1">IFERROR(__xludf.DUMMYFUNCTION("""COMPUTED_VALUE"""),-0.424727188174467)</f>
        <v>-0.42472718817446697</v>
      </c>
      <c r="AE20" s="3">
        <f ca="1">IFERROR(__xludf.DUMMYFUNCTION("""COMPUTED_VALUE"""),-0.392478398363449)</f>
        <v>-0.392478398363449</v>
      </c>
      <c r="AF20" s="3">
        <f ca="1">IFERROR(__xludf.DUMMYFUNCTION("""COMPUTED_VALUE"""),-0.510330963510846)</f>
        <v>-0.51033096351084595</v>
      </c>
      <c r="AG20" s="3">
        <f ca="1">IFERROR(__xludf.DUMMYFUNCTION("""COMPUTED_VALUE"""),-0.42842025580598)</f>
        <v>-0.42842025580597998</v>
      </c>
      <c r="AH20" s="3">
        <f ca="1">IFERROR(__xludf.DUMMYFUNCTION("""COMPUTED_VALUE"""),-0.412386125996584)</f>
        <v>-0.41238612599658397</v>
      </c>
      <c r="AI20" s="3">
        <f ca="1">IFERROR(__xludf.DUMMYFUNCTION("""COMPUTED_VALUE"""),-0.429703187301713)</f>
        <v>-0.42970318730171297</v>
      </c>
      <c r="AJ20" s="3">
        <f ca="1">IFERROR(__xludf.DUMMYFUNCTION("""COMPUTED_VALUE"""),-0.476739668788858)</f>
        <v>-0.47673966878885798</v>
      </c>
      <c r="AK20" s="3">
        <f ca="1">IFERROR(__xludf.DUMMYFUNCTION("""COMPUTED_VALUE"""),-0.484843599449443)</f>
        <v>-0.484843599449443</v>
      </c>
      <c r="AL20" s="3">
        <f ca="1">IFERROR(__xludf.DUMMYFUNCTION("""COMPUTED_VALUE"""),-0.425378292971207)</f>
        <v>-0.42537829297120699</v>
      </c>
      <c r="AM20" s="3">
        <f ca="1">IFERROR(__xludf.DUMMYFUNCTION("""COMPUTED_VALUE"""),-0.446638668748973)</f>
        <v>-0.44663866874897301</v>
      </c>
      <c r="AN20" s="3">
        <f ca="1">IFERROR(__xludf.DUMMYFUNCTION("""COMPUTED_VALUE"""),-0.423189782540786)</f>
        <v>-0.42318978254078599</v>
      </c>
      <c r="AO20" s="3">
        <f ca="1">IFERROR(__xludf.DUMMYFUNCTION("""COMPUTED_VALUE"""),-0.36985616026026)</f>
        <v>-0.36985616026026003</v>
      </c>
      <c r="AP20" s="3">
        <f ca="1">IFERROR(__xludf.DUMMYFUNCTION("""COMPUTED_VALUE"""),-0.4603944127301)</f>
        <v>-0.46039441273010001</v>
      </c>
      <c r="AQ20" s="3">
        <f ca="1">IFERROR(__xludf.DUMMYFUNCTION("""COMPUTED_VALUE"""),-0.425280276082218)</f>
        <v>-0.42528027608221802</v>
      </c>
      <c r="AR20" s="3">
        <f ca="1">IFERROR(__xludf.DUMMYFUNCTION("""COMPUTED_VALUE"""),-0.453345399880933)</f>
        <v>-0.45334539988093298</v>
      </c>
      <c r="AS20" s="3">
        <f ca="1">IFERROR(__xludf.DUMMYFUNCTION("""COMPUTED_VALUE"""),-0.425658925443621)</f>
        <v>-0.42565892544362099</v>
      </c>
      <c r="AT20" s="3">
        <f ca="1">IFERROR(__xludf.DUMMYFUNCTION("""COMPUTED_VALUE"""),-0.471129100767687)</f>
        <v>-0.47112910076768699</v>
      </c>
      <c r="AU20" s="3">
        <f ca="1">IFERROR(__xludf.DUMMYFUNCTION("""COMPUTED_VALUE"""),-0.405223749453949)</f>
        <v>-0.40522374945394901</v>
      </c>
      <c r="AV20" s="3">
        <f ca="1">IFERROR(__xludf.DUMMYFUNCTION("""COMPUTED_VALUE"""),-0.324283684053043)</f>
        <v>-0.32428368405304298</v>
      </c>
      <c r="AW20" s="3">
        <f ca="1">IFERROR(__xludf.DUMMYFUNCTION("""COMPUTED_VALUE"""),-0.408359366546347)</f>
        <v>-0.40835936654634702</v>
      </c>
      <c r="AX20" s="3">
        <f ca="1">IFERROR(__xludf.DUMMYFUNCTION("""COMPUTED_VALUE"""),-0.394119617102754)</f>
        <v>-0.39411961710275401</v>
      </c>
      <c r="AY20" s="3">
        <f ca="1">IFERROR(__xludf.DUMMYFUNCTION("""COMPUTED_VALUE"""),-0.520750273331867)</f>
        <v>-0.52075027333186696</v>
      </c>
      <c r="AZ20" s="3">
        <f ca="1">IFERROR(__xludf.DUMMYFUNCTION("""COMPUTED_VALUE"""),-0.642196156182644)</f>
        <v>-0.64219615618264403</v>
      </c>
      <c r="BA20" s="3">
        <f ca="1">IFERROR(__xludf.DUMMYFUNCTION("""COMPUTED_VALUE"""),-0.762610326085494)</f>
        <v>-0.76261032608549395</v>
      </c>
      <c r="BB20" s="3">
        <f ca="1">IFERROR(__xludf.DUMMYFUNCTION("""COMPUTED_VALUE"""),-0.837966559302406)</f>
        <v>-0.83796655930240604</v>
      </c>
      <c r="BC20" s="3">
        <f ca="1">IFERROR(__xludf.DUMMYFUNCTION("""COMPUTED_VALUE"""),-0.788288999747393)</f>
        <v>-0.78828899974739297</v>
      </c>
      <c r="BD20" s="3">
        <f ca="1">IFERROR(__xludf.DUMMYFUNCTION("""COMPUTED_VALUE"""),-0.772403986338909)</f>
        <v>-0.77240398633890905</v>
      </c>
      <c r="BE20" s="3">
        <f ca="1">IFERROR(__xludf.DUMMYFUNCTION("""COMPUTED_VALUE"""),-0.546710014263743)</f>
        <v>-0.54671001426374299</v>
      </c>
      <c r="BF20" s="3">
        <f ca="1">IFERROR(__xludf.DUMMYFUNCTION("""COMPUTED_VALUE"""),-0.447165068269882)</f>
        <v>-0.447165068269882</v>
      </c>
      <c r="BG20" s="3">
        <f ca="1">IFERROR(__xludf.DUMMYFUNCTION("""COMPUTED_VALUE"""),-0.5458382374073)</f>
        <v>-0.54583823740729998</v>
      </c>
      <c r="BH20" s="3">
        <f ca="1">IFERROR(__xludf.DUMMYFUNCTION("""COMPUTED_VALUE"""),-0.545728425823865)</f>
        <v>-0.54572842582386505</v>
      </c>
      <c r="BI20" s="3">
        <f ca="1">IFERROR(__xludf.DUMMYFUNCTION("""COMPUTED_VALUE"""),-0.556717248347642)</f>
        <v>-0.55671724834764202</v>
      </c>
      <c r="BJ20" s="3">
        <f ca="1">IFERROR(__xludf.DUMMYFUNCTION("""COMPUTED_VALUE"""),-0.53456670844079)</f>
        <v>-0.53456670844079002</v>
      </c>
      <c r="BK20" s="3">
        <f ca="1">IFERROR(__xludf.DUMMYFUNCTION("""COMPUTED_VALUE"""),-0.460026506667497)</f>
        <v>-0.460026506667497</v>
      </c>
      <c r="BL20" s="3">
        <f ca="1">IFERROR(__xludf.DUMMYFUNCTION("""COMPUTED_VALUE"""),-0.383911160893628)</f>
        <v>-0.38391116089362798</v>
      </c>
      <c r="BM20" s="3">
        <f ca="1">IFERROR(__xludf.DUMMYFUNCTION("""COMPUTED_VALUE"""),-0.390820408546615)</f>
        <v>-0.39082040854661498</v>
      </c>
      <c r="BN20" s="3">
        <f ca="1">IFERROR(__xludf.DUMMYFUNCTION("""COMPUTED_VALUE"""),-0.505973727155982)</f>
        <v>-0.50597372715598199</v>
      </c>
      <c r="BO20" s="3">
        <f ca="1">IFERROR(__xludf.DUMMYFUNCTION("""COMPUTED_VALUE"""),-0.480222393085444)</f>
        <v>-0.48022239308544401</v>
      </c>
      <c r="BP20" s="3">
        <f ca="1">IFERROR(__xludf.DUMMYFUNCTION("""COMPUTED_VALUE"""),-0.500420708502842)</f>
        <v>-0.50042070850284204</v>
      </c>
      <c r="BQ20" s="3">
        <f ca="1">IFERROR(__xludf.DUMMYFUNCTION("""COMPUTED_VALUE"""),-0.5018825601312)</f>
        <v>-0.50188256013120003</v>
      </c>
      <c r="BR20" s="3">
        <f ca="1">IFERROR(__xludf.DUMMYFUNCTION("""COMPUTED_VALUE"""),-0.518432148455461)</f>
        <v>-0.51843214845546104</v>
      </c>
      <c r="BS20" s="3">
        <f ca="1">IFERROR(__xludf.DUMMYFUNCTION("""COMPUTED_VALUE"""),-0.417240082311094)</f>
        <v>-0.417240082311094</v>
      </c>
      <c r="BT20" s="3">
        <f ca="1">IFERROR(__xludf.DUMMYFUNCTION("""COMPUTED_VALUE"""),-0.496979615834094)</f>
        <v>-0.496979615834094</v>
      </c>
      <c r="BU20" s="3">
        <f ca="1">IFERROR(__xludf.DUMMYFUNCTION("""COMPUTED_VALUE"""),-0.510619783353315)</f>
        <v>-0.51061978335331504</v>
      </c>
      <c r="BV20" s="3">
        <f ca="1">IFERROR(__xludf.DUMMYFUNCTION("""COMPUTED_VALUE"""),-0.532783877708089)</f>
        <v>-0.53278387770808899</v>
      </c>
      <c r="BW20" s="3">
        <f ca="1">IFERROR(__xludf.DUMMYFUNCTION("""COMPUTED_VALUE"""),-0.543959330384169)</f>
        <v>-0.54395933038416899</v>
      </c>
      <c r="BX20" s="3">
        <f ca="1">IFERROR(__xludf.DUMMYFUNCTION("""COMPUTED_VALUE"""),-0.492572949890115)</f>
        <v>-0.49257294989011502</v>
      </c>
      <c r="BY20" s="3">
        <f ca="1">IFERROR(__xludf.DUMMYFUNCTION("""COMPUTED_VALUE"""),-0.507158632608891)</f>
        <v>-0.50715863260889105</v>
      </c>
      <c r="BZ20" s="3">
        <f ca="1">IFERROR(__xludf.DUMMYFUNCTION("""COMPUTED_VALUE"""),-0.554793979295462)</f>
        <v>-0.55479397929546204</v>
      </c>
      <c r="CA20" s="3">
        <f ca="1">IFERROR(__xludf.DUMMYFUNCTION("""COMPUTED_VALUE"""),-0.515498984424341)</f>
        <v>-0.51549898442434094</v>
      </c>
      <c r="CB20" s="3">
        <f ca="1">IFERROR(__xludf.DUMMYFUNCTION("""COMPUTED_VALUE"""),-0.519361408298396)</f>
        <v>-0.51936140829839605</v>
      </c>
      <c r="CC20" s="3">
        <f ca="1">IFERROR(__xludf.DUMMYFUNCTION("""COMPUTED_VALUE"""),-0.498065151543333)</f>
        <v>-0.49806515154333297</v>
      </c>
      <c r="CD20" s="3">
        <f ca="1">IFERROR(__xludf.DUMMYFUNCTION("""COMPUTED_VALUE"""),-0.554766774968497)</f>
        <v>-0.55476677496849702</v>
      </c>
      <c r="CE20" s="3">
        <f ca="1">IFERROR(__xludf.DUMMYFUNCTION("""COMPUTED_VALUE"""),-0.518653365687766)</f>
        <v>-0.51865336568776599</v>
      </c>
      <c r="CF20" s="3">
        <f ca="1">IFERROR(__xludf.DUMMYFUNCTION("""COMPUTED_VALUE"""),-0.608444312229202)</f>
        <v>-0.60844431222920203</v>
      </c>
      <c r="CG20" s="3">
        <f ca="1">IFERROR(__xludf.DUMMYFUNCTION("""COMPUTED_VALUE"""),-0.548411489569925)</f>
        <v>-0.54841148956992503</v>
      </c>
      <c r="CH20" s="3">
        <f ca="1">IFERROR(__xludf.DUMMYFUNCTION("""COMPUTED_VALUE"""),-0.461913412273343)</f>
        <v>-0.46191341227334298</v>
      </c>
      <c r="CI20" s="3">
        <f ca="1">IFERROR(__xludf.DUMMYFUNCTION("""COMPUTED_VALUE"""),-0.418011449153046)</f>
        <v>-0.418011449153046</v>
      </c>
      <c r="CJ20" s="3">
        <f ca="1">IFERROR(__xludf.DUMMYFUNCTION("""COMPUTED_VALUE"""),-0.517622092964958)</f>
        <v>-0.51762209296495798</v>
      </c>
      <c r="CK20" s="3">
        <f ca="1">IFERROR(__xludf.DUMMYFUNCTION("""COMPUTED_VALUE"""),-0.558060690188371)</f>
        <v>-0.55806069018837101</v>
      </c>
      <c r="CL20" s="3">
        <f ca="1">IFERROR(__xludf.DUMMYFUNCTION("""COMPUTED_VALUE"""),-0.456484024631269)</f>
        <v>-0.45648402463126903</v>
      </c>
      <c r="CM20" s="3">
        <f ca="1">IFERROR(__xludf.DUMMYFUNCTION("""COMPUTED_VALUE"""),-0.457923637791932)</f>
        <v>-0.45792363779193201</v>
      </c>
      <c r="CN20" s="3">
        <f ca="1">IFERROR(__xludf.DUMMYFUNCTION("""COMPUTED_VALUE"""),-0.68362727167144)</f>
        <v>-0.68362727167144</v>
      </c>
      <c r="CO20" s="3">
        <f ca="1">IFERROR(__xludf.DUMMYFUNCTION("""COMPUTED_VALUE"""),-0.522189730616126)</f>
        <v>-0.52218973061612595</v>
      </c>
      <c r="CP20" s="3">
        <f ca="1">IFERROR(__xludf.DUMMYFUNCTION("""COMPUTED_VALUE"""),-0.522895674050129)</f>
        <v>-0.52289567405012904</v>
      </c>
      <c r="CQ20" s="3">
        <f ca="1">IFERROR(__xludf.DUMMYFUNCTION("""COMPUTED_VALUE"""),-0.599643894604376)</f>
        <v>-0.59964389460437595</v>
      </c>
      <c r="CR20" s="3">
        <f ca="1">IFERROR(__xludf.DUMMYFUNCTION("""COMPUTED_VALUE"""),-0.60362548676046)</f>
        <v>-0.60362548676046002</v>
      </c>
      <c r="CS20" s="3">
        <f ca="1">IFERROR(__xludf.DUMMYFUNCTION("""COMPUTED_VALUE"""),-0.623445552819573)</f>
        <v>-0.62344555281957303</v>
      </c>
      <c r="CT20" s="3">
        <f ca="1">IFERROR(__xludf.DUMMYFUNCTION("""COMPUTED_VALUE"""),-0.623529816334564)</f>
        <v>-0.62352981633456395</v>
      </c>
      <c r="CU20" s="3">
        <f ca="1">IFERROR(__xludf.DUMMYFUNCTION("""COMPUTED_VALUE"""),-0.569728259782459)</f>
        <v>-0.569728259782459</v>
      </c>
      <c r="CV20" s="3">
        <f ca="1">IFERROR(__xludf.DUMMYFUNCTION("""COMPUTED_VALUE"""),-0.430736746093825)</f>
        <v>-0.43073674609382501</v>
      </c>
      <c r="CW20" s="3">
        <f ca="1">IFERROR(__xludf.DUMMYFUNCTION("""COMPUTED_VALUE"""),-0.742962122374991)</f>
        <v>-0.74296212237499104</v>
      </c>
      <c r="CX20" s="3">
        <f ca="1">IFERROR(__xludf.DUMMYFUNCTION("""COMPUTED_VALUE"""),-0.702493759059144)</f>
        <v>-0.70249375905914402</v>
      </c>
      <c r="CY20" s="3">
        <f ca="1">IFERROR(__xludf.DUMMYFUNCTION("""COMPUTED_VALUE"""),-0.475262049816452)</f>
        <v>-0.47526204981645198</v>
      </c>
      <c r="CZ20" s="3">
        <f ca="1">IFERROR(__xludf.DUMMYFUNCTION("""COMPUTED_VALUE"""),-0.568695817067705)</f>
        <v>-0.568695817067705</v>
      </c>
      <c r="DA20" s="3">
        <f ca="1">IFERROR(__xludf.DUMMYFUNCTION("""COMPUTED_VALUE"""),-0.566500441223919)</f>
        <v>-0.56650044122391896</v>
      </c>
      <c r="DB20" s="3">
        <f ca="1">IFERROR(__xludf.DUMMYFUNCTION("""COMPUTED_VALUE"""),-0.529126959438869)</f>
        <v>-0.529126959438869</v>
      </c>
      <c r="DC20" s="3">
        <f ca="1">IFERROR(__xludf.DUMMYFUNCTION("""COMPUTED_VALUE"""),-0.512533585328075)</f>
        <v>-0.51253358532807503</v>
      </c>
      <c r="DD20" s="3">
        <f ca="1">IFERROR(__xludf.DUMMYFUNCTION("""COMPUTED_VALUE"""),-0.829218541116663)</f>
        <v>-0.82921854111666304</v>
      </c>
      <c r="DE20" s="3">
        <f ca="1">IFERROR(__xludf.DUMMYFUNCTION("""COMPUTED_VALUE"""),-0.592590746209397)</f>
        <v>-0.592590746209397</v>
      </c>
      <c r="DF20" s="3">
        <f ca="1">IFERROR(__xludf.DUMMYFUNCTION("""COMPUTED_VALUE"""),-0.316420136051905)</f>
        <v>-0.316420136051905</v>
      </c>
      <c r="DG20" s="3">
        <f ca="1">IFERROR(__xludf.DUMMYFUNCTION("""COMPUTED_VALUE"""),-0.566160749359848)</f>
        <v>-0.56616074935984795</v>
      </c>
      <c r="DH20" s="3">
        <f ca="1">IFERROR(__xludf.DUMMYFUNCTION("""COMPUTED_VALUE"""),-0.562920271955285)</f>
        <v>-0.56292027195528505</v>
      </c>
      <c r="DI20" s="3">
        <f ca="1">IFERROR(__xludf.DUMMYFUNCTION("""COMPUTED_VALUE"""),-0.492323713155616)</f>
        <v>-0.49232371315561602</v>
      </c>
      <c r="DJ20" s="3">
        <f ca="1">IFERROR(__xludf.DUMMYFUNCTION("""COMPUTED_VALUE"""),-0.381356600123845)</f>
        <v>-0.38135660012384498</v>
      </c>
      <c r="DK20" s="3">
        <f ca="1">IFERROR(__xludf.DUMMYFUNCTION("""COMPUTED_VALUE"""),-0.550799899129949)</f>
        <v>-0.55079989912994898</v>
      </c>
      <c r="DL20" s="3">
        <f ca="1">IFERROR(__xludf.DUMMYFUNCTION("""COMPUTED_VALUE"""),-0.553479006927053)</f>
        <v>-0.55347900692705299</v>
      </c>
      <c r="DM20" s="3">
        <f ca="1">IFERROR(__xludf.DUMMYFUNCTION("""COMPUTED_VALUE"""),-0.478255182270342)</f>
        <v>-0.47825518227034203</v>
      </c>
      <c r="DN20" s="3">
        <f ca="1">IFERROR(__xludf.DUMMYFUNCTION("""COMPUTED_VALUE"""),-0.595591962975756)</f>
        <v>-0.59559196297575601</v>
      </c>
      <c r="DO20" s="3">
        <f ca="1">IFERROR(__xludf.DUMMYFUNCTION("""COMPUTED_VALUE"""),-0.577971979994958)</f>
        <v>-0.57797197999495797</v>
      </c>
      <c r="DP20" s="3">
        <f ca="1">IFERROR(__xludf.DUMMYFUNCTION("""COMPUTED_VALUE"""),-0.574817395004063)</f>
        <v>-0.57481739500406304</v>
      </c>
      <c r="DQ20" s="3">
        <f ca="1">IFERROR(__xludf.DUMMYFUNCTION("""COMPUTED_VALUE"""),-0.486380962647161)</f>
        <v>-0.48638096264716102</v>
      </c>
      <c r="DR20" s="3">
        <f ca="1">IFERROR(__xludf.DUMMYFUNCTION("""COMPUTED_VALUE"""),-0.625509906981601)</f>
        <v>-0.62550990698160103</v>
      </c>
      <c r="DS20" s="3">
        <f ca="1">IFERROR(__xludf.DUMMYFUNCTION("""COMPUTED_VALUE"""),-0.557350506948653)</f>
        <v>-0.55735050694865296</v>
      </c>
      <c r="DT20" s="3">
        <f ca="1">IFERROR(__xludf.DUMMYFUNCTION("""COMPUTED_VALUE"""),-0.576162194527851)</f>
        <v>-0.576162194527851</v>
      </c>
      <c r="DU20" s="3">
        <f ca="1">IFERROR(__xludf.DUMMYFUNCTION("""COMPUTED_VALUE"""),-0.576930044852164)</f>
        <v>-0.57693004485216404</v>
      </c>
      <c r="DV20" s="3">
        <f ca="1">IFERROR(__xludf.DUMMYFUNCTION("""COMPUTED_VALUE"""),-0.662667262374961)</f>
        <v>-0.66266726237496099</v>
      </c>
      <c r="DW20" s="3">
        <f ca="1">IFERROR(__xludf.DUMMYFUNCTION("""COMPUTED_VALUE"""),-0.534798102615049)</f>
        <v>-0.53479810261504901</v>
      </c>
      <c r="DX20" s="3">
        <f ca="1">IFERROR(__xludf.DUMMYFUNCTION("""COMPUTED_VALUE"""),-0.485274308102409)</f>
        <v>-0.48527430810240901</v>
      </c>
      <c r="DY20" s="3">
        <f ca="1">IFERROR(__xludf.DUMMYFUNCTION("""COMPUTED_VALUE"""),-0.559981614349779)</f>
        <v>-0.559981614349779</v>
      </c>
      <c r="DZ20" s="3">
        <f ca="1">IFERROR(__xludf.DUMMYFUNCTION("""COMPUTED_VALUE"""),-0.507657934609561)</f>
        <v>-0.50765793460956099</v>
      </c>
      <c r="EA20" s="3">
        <f ca="1">IFERROR(__xludf.DUMMYFUNCTION("""COMPUTED_VALUE"""),-0.617029944536811)</f>
        <v>-0.61702994453681104</v>
      </c>
      <c r="EB20" s="3">
        <f ca="1">IFERROR(__xludf.DUMMYFUNCTION("""COMPUTED_VALUE"""),-0.555324765402886)</f>
        <v>-0.555324765402886</v>
      </c>
      <c r="EC20" s="3">
        <f ca="1">IFERROR(__xludf.DUMMYFUNCTION("""COMPUTED_VALUE"""),-0.683710414824168)</f>
        <v>-0.68371041482416794</v>
      </c>
      <c r="ED20" s="3">
        <f ca="1">IFERROR(__xludf.DUMMYFUNCTION("""COMPUTED_VALUE"""),-0.538378080033896)</f>
        <v>-0.53837808003389598</v>
      </c>
      <c r="EE20" s="3">
        <f ca="1">IFERROR(__xludf.DUMMYFUNCTION("""COMPUTED_VALUE"""),-0.526963325867305)</f>
        <v>-0.52696332586730499</v>
      </c>
      <c r="EF20" s="3">
        <f ca="1">IFERROR(__xludf.DUMMYFUNCTION("""COMPUTED_VALUE"""),-0.53789305309034)</f>
        <v>-0.53789305309033997</v>
      </c>
      <c r="EG20" s="3">
        <f ca="1">IFERROR(__xludf.DUMMYFUNCTION("""COMPUTED_VALUE"""),-0.712163869760589)</f>
        <v>-0.71216386976058899</v>
      </c>
      <c r="EH20" s="3">
        <f ca="1">IFERROR(__xludf.DUMMYFUNCTION("""COMPUTED_VALUE"""),-0.56722466636598)</f>
        <v>-0.56722466636598001</v>
      </c>
      <c r="EI20" s="3">
        <f ca="1">IFERROR(__xludf.DUMMYFUNCTION("""COMPUTED_VALUE"""),-0.641447436890156)</f>
        <v>-0.64144743689015604</v>
      </c>
      <c r="EJ20" s="3">
        <f ca="1">IFERROR(__xludf.DUMMYFUNCTION("""COMPUTED_VALUE"""),-0.659103466285756)</f>
        <v>-0.659103466285756</v>
      </c>
      <c r="EK20" s="3">
        <f ca="1">IFERROR(__xludf.DUMMYFUNCTION("""COMPUTED_VALUE"""),-0.518407883110811)</f>
        <v>-0.51840788311081099</v>
      </c>
      <c r="EL20" s="3">
        <f ca="1">IFERROR(__xludf.DUMMYFUNCTION("""COMPUTED_VALUE"""),-0.461313785075354)</f>
        <v>-0.46131378507535398</v>
      </c>
      <c r="EM20" s="3">
        <f ca="1">IFERROR(__xludf.DUMMYFUNCTION("""COMPUTED_VALUE"""),-0.47720357907349)</f>
        <v>-0.47720357907348998</v>
      </c>
      <c r="EN20" s="3">
        <f ca="1">IFERROR(__xludf.DUMMYFUNCTION("""COMPUTED_VALUE"""),-0.519384947653532)</f>
        <v>-0.51938494765353205</v>
      </c>
      <c r="EO20" s="3">
        <f ca="1">IFERROR(__xludf.DUMMYFUNCTION("""COMPUTED_VALUE"""),-0.62985979385729)</f>
        <v>-0.62985979385728996</v>
      </c>
      <c r="EP20" s="3">
        <f ca="1">IFERROR(__xludf.DUMMYFUNCTION("""COMPUTED_VALUE"""),-0.605523748560296)</f>
        <v>-0.605523748560296</v>
      </c>
      <c r="EQ20" s="3">
        <f ca="1">IFERROR(__xludf.DUMMYFUNCTION("""COMPUTED_VALUE"""),-0.578286839864617)</f>
        <v>-0.57828683986461704</v>
      </c>
      <c r="ER20" s="3">
        <f ca="1">IFERROR(__xludf.DUMMYFUNCTION("""COMPUTED_VALUE"""),-0.497428805475282)</f>
        <v>-0.49742880547528201</v>
      </c>
      <c r="ES20" s="3">
        <f ca="1">IFERROR(__xludf.DUMMYFUNCTION("""COMPUTED_VALUE"""),-0.564802463295067)</f>
        <v>-0.564802463295067</v>
      </c>
      <c r="ET20" s="3">
        <f ca="1">IFERROR(__xludf.DUMMYFUNCTION("""COMPUTED_VALUE"""),-0.609240705159153)</f>
        <v>-0.60924070515915296</v>
      </c>
      <c r="EU20" s="3">
        <f ca="1">IFERROR(__xludf.DUMMYFUNCTION("""COMPUTED_VALUE"""),-0.62820825887249)</f>
        <v>-0.62820825887248999</v>
      </c>
      <c r="EV20" s="3">
        <f ca="1">IFERROR(__xludf.DUMMYFUNCTION("""COMPUTED_VALUE"""),-0.615579651581127)</f>
        <v>-0.61557965158112704</v>
      </c>
      <c r="EW20" s="3">
        <f ca="1">IFERROR(__xludf.DUMMYFUNCTION("""COMPUTED_VALUE"""),-0.595680984876934)</f>
        <v>-0.59568098487693399</v>
      </c>
      <c r="EX20" s="3">
        <f ca="1">IFERROR(__xludf.DUMMYFUNCTION("""COMPUTED_VALUE"""),-0.560191414749961)</f>
        <v>-0.56019141474996104</v>
      </c>
      <c r="EY20" s="3">
        <f ca="1">IFERROR(__xludf.DUMMYFUNCTION("""COMPUTED_VALUE"""),-0.580130853433994)</f>
        <v>-0.58013085343399395</v>
      </c>
      <c r="EZ20" s="3">
        <f ca="1">IFERROR(__xludf.DUMMYFUNCTION("""COMPUTED_VALUE"""),-0.510286097562135)</f>
        <v>-0.51028609756213505</v>
      </c>
      <c r="FA20" s="3">
        <f ca="1">IFERROR(__xludf.DUMMYFUNCTION("""COMPUTED_VALUE"""),-0.609634101062977)</f>
        <v>-0.609634101062977</v>
      </c>
      <c r="FB20" s="3">
        <f ca="1">IFERROR(__xludf.DUMMYFUNCTION("""COMPUTED_VALUE"""),-0.623806319121785)</f>
        <v>-0.62380631912178497</v>
      </c>
      <c r="FC20" s="3">
        <f ca="1">IFERROR(__xludf.DUMMYFUNCTION("""COMPUTED_VALUE"""),-0.614783496550201)</f>
        <v>-0.61478349655020104</v>
      </c>
      <c r="FD20" s="3">
        <f ca="1">IFERROR(__xludf.DUMMYFUNCTION("""COMPUTED_VALUE"""),-0.560258599563637)</f>
        <v>-0.56025859956363699</v>
      </c>
      <c r="FE20" s="3">
        <f ca="1">IFERROR(__xludf.DUMMYFUNCTION("""COMPUTED_VALUE"""),-0.574479190922764)</f>
        <v>-0.574479190922764</v>
      </c>
      <c r="FF20" s="3">
        <f ca="1">IFERROR(__xludf.DUMMYFUNCTION("""COMPUTED_VALUE"""),-0.563349141518391)</f>
        <v>-0.56334914151839099</v>
      </c>
      <c r="FG20" s="3">
        <f ca="1">IFERROR(__xludf.DUMMYFUNCTION("""COMPUTED_VALUE"""),-0.47522162031691)</f>
        <v>-0.47522162031691001</v>
      </c>
      <c r="FH20" s="3">
        <f ca="1">IFERROR(__xludf.DUMMYFUNCTION("""COMPUTED_VALUE"""),-0.576610382764233)</f>
        <v>-0.57661038276423304</v>
      </c>
      <c r="FI20" s="3">
        <f ca="1">IFERROR(__xludf.DUMMYFUNCTION("""COMPUTED_VALUE"""),-0.604684315909085)</f>
        <v>-0.604684315909085</v>
      </c>
      <c r="FJ20" s="3">
        <f ca="1">IFERROR(__xludf.DUMMYFUNCTION("""COMPUTED_VALUE"""),-0.625787671204245)</f>
        <v>-0.62578767120424506</v>
      </c>
      <c r="FK20" s="3">
        <f ca="1">IFERROR(__xludf.DUMMYFUNCTION("""COMPUTED_VALUE"""),-0.622076990969728)</f>
        <v>-0.62207699096972802</v>
      </c>
      <c r="FL20" s="3">
        <f ca="1">IFERROR(__xludf.DUMMYFUNCTION("""COMPUTED_VALUE"""),-0.58779746393512)</f>
        <v>-0.58779746393512</v>
      </c>
      <c r="FM20" s="3">
        <f ca="1">IFERROR(__xludf.DUMMYFUNCTION("""COMPUTED_VALUE"""),-0.540360131664618)</f>
        <v>-0.54036013166461805</v>
      </c>
      <c r="FN20" s="3">
        <f ca="1">IFERROR(__xludf.DUMMYFUNCTION("""COMPUTED_VALUE"""),-0.513652210807429)</f>
        <v>-0.51365221080742895</v>
      </c>
      <c r="FO20" s="3">
        <f ca="1">IFERROR(__xludf.DUMMYFUNCTION("""COMPUTED_VALUE"""),-0.593666671187519)</f>
        <v>-0.59366667118751903</v>
      </c>
      <c r="FP20" s="3">
        <f ca="1">IFERROR(__xludf.DUMMYFUNCTION("""COMPUTED_VALUE"""),-0.577814323437775)</f>
        <v>-0.57781432343777495</v>
      </c>
      <c r="FQ20" s="3">
        <f ca="1">IFERROR(__xludf.DUMMYFUNCTION("""COMPUTED_VALUE"""),-0.566169687088097)</f>
        <v>-0.56616968708809701</v>
      </c>
      <c r="FR20" s="3">
        <f ca="1">IFERROR(__xludf.DUMMYFUNCTION("""COMPUTED_VALUE"""),-0.600433142335654)</f>
        <v>-0.60043314233565404</v>
      </c>
      <c r="FS20" s="3">
        <f ca="1">IFERROR(__xludf.DUMMYFUNCTION("""COMPUTED_VALUE"""),-0.596190090672799)</f>
        <v>-0.59619009067279904</v>
      </c>
      <c r="FT20" s="3">
        <f ca="1">IFERROR(__xludf.DUMMYFUNCTION("""COMPUTED_VALUE"""),-0.542813420703737)</f>
        <v>-0.54281342070373695</v>
      </c>
      <c r="FU20" s="3">
        <f ca="1">IFERROR(__xludf.DUMMYFUNCTION("""COMPUTED_VALUE"""),-0.559615775519601)</f>
        <v>-0.55961577551960096</v>
      </c>
      <c r="FV20" s="3">
        <f ca="1">IFERROR(__xludf.DUMMYFUNCTION("""COMPUTED_VALUE"""),-0.608004762532658)</f>
        <v>-0.60800476253265801</v>
      </c>
      <c r="FW20" s="3">
        <f ca="1">IFERROR(__xludf.DUMMYFUNCTION("""COMPUTED_VALUE"""),-0.642567643824818)</f>
        <v>-0.64256764382481801</v>
      </c>
      <c r="FX20" s="3">
        <f ca="1">IFERROR(__xludf.DUMMYFUNCTION("""COMPUTED_VALUE"""),-0.605018425968212)</f>
        <v>-0.60501842596821198</v>
      </c>
      <c r="FY20" s="3">
        <f ca="1">IFERROR(__xludf.DUMMYFUNCTION("""COMPUTED_VALUE"""),-0.606338377884178)</f>
        <v>-0.60633837788417799</v>
      </c>
      <c r="FZ20" s="3">
        <f ca="1">IFERROR(__xludf.DUMMYFUNCTION("""COMPUTED_VALUE"""),-0.626978889436214)</f>
        <v>-0.62697888943621405</v>
      </c>
      <c r="GA20" s="3">
        <f ca="1">IFERROR(__xludf.DUMMYFUNCTION("""COMPUTED_VALUE"""),-0.588125540579837)</f>
        <v>-0.58812554057983701</v>
      </c>
      <c r="GB20" s="3">
        <f ca="1">IFERROR(__xludf.DUMMYFUNCTION("""COMPUTED_VALUE"""),-0.630653324512136)</f>
        <v>-0.63065332451213596</v>
      </c>
      <c r="GC20" s="3">
        <f ca="1">IFERROR(__xludf.DUMMYFUNCTION("""COMPUTED_VALUE"""),-0.610306957690008)</f>
        <v>-0.61030695769000798</v>
      </c>
      <c r="GD20" s="3">
        <f ca="1">IFERROR(__xludf.DUMMYFUNCTION("""COMPUTED_VALUE"""),-0.638833206503185)</f>
        <v>-0.63883320650318498</v>
      </c>
      <c r="GE20" s="3">
        <f ca="1">IFERROR(__xludf.DUMMYFUNCTION("""COMPUTED_VALUE"""),-0.648501121425616)</f>
        <v>-0.648501121425616</v>
      </c>
      <c r="GF20" s="3">
        <f ca="1">IFERROR(__xludf.DUMMYFUNCTION("""COMPUTED_VALUE"""),-0.600724423217604)</f>
        <v>-0.600724423217604</v>
      </c>
      <c r="GG20" s="3">
        <f ca="1">IFERROR(__xludf.DUMMYFUNCTION("""COMPUTED_VALUE"""),-0.632051035268605)</f>
        <v>-0.63205103526860495</v>
      </c>
      <c r="GH20" s="3">
        <f ca="1">IFERROR(__xludf.DUMMYFUNCTION("""COMPUTED_VALUE"""),-0.595567041323259)</f>
        <v>-0.59556704132325899</v>
      </c>
      <c r="GI20" s="3">
        <f ca="1">IFERROR(__xludf.DUMMYFUNCTION("""COMPUTED_VALUE"""),-0.659454745308033)</f>
        <v>-0.65945474530803305</v>
      </c>
      <c r="GJ20" s="3">
        <f ca="1">IFERROR(__xludf.DUMMYFUNCTION("""COMPUTED_VALUE"""),-0.591032994917099)</f>
        <v>-0.59103299491709904</v>
      </c>
      <c r="GK20" s="3">
        <f ca="1">IFERROR(__xludf.DUMMYFUNCTION("""COMPUTED_VALUE"""),-0.638510079377058)</f>
        <v>-0.63851007937705795</v>
      </c>
      <c r="GL20" s="3">
        <f ca="1">IFERROR(__xludf.DUMMYFUNCTION("""COMPUTED_VALUE"""),-0.659562467020864)</f>
        <v>-0.65956246702086396</v>
      </c>
      <c r="GM20" s="3">
        <f ca="1">IFERROR(__xludf.DUMMYFUNCTION("""COMPUTED_VALUE"""),-0.672191130948999)</f>
        <v>-0.67219113094899896</v>
      </c>
      <c r="GN20" s="3">
        <f ca="1">IFERROR(__xludf.DUMMYFUNCTION("""COMPUTED_VALUE"""),-0.631690214710845)</f>
        <v>-0.63169021471084497</v>
      </c>
      <c r="GO20" s="3">
        <f ca="1">IFERROR(__xludf.DUMMYFUNCTION("""COMPUTED_VALUE"""),-0.562899021687118)</f>
        <v>-0.56289902168711803</v>
      </c>
      <c r="GP20" s="3">
        <f ca="1">IFERROR(__xludf.DUMMYFUNCTION("""COMPUTED_VALUE"""),-0.605084584236111)</f>
        <v>-0.605084584236111</v>
      </c>
      <c r="GQ20" s="3">
        <f ca="1">IFERROR(__xludf.DUMMYFUNCTION("""COMPUTED_VALUE"""),-0.633130148822888)</f>
        <v>-0.63313014882288798</v>
      </c>
      <c r="GR20" s="3">
        <f ca="1">IFERROR(__xludf.DUMMYFUNCTION("""COMPUTED_VALUE"""),-0.645267391825398)</f>
        <v>-0.64526739182539805</v>
      </c>
      <c r="GS20" s="3">
        <f ca="1">IFERROR(__xludf.DUMMYFUNCTION("""COMPUTED_VALUE"""),-0.62736637919086)</f>
        <v>-0.62736637919086002</v>
      </c>
      <c r="GT20" s="3">
        <f ca="1">IFERROR(__xludf.DUMMYFUNCTION("""COMPUTED_VALUE"""),-0.608456642098639)</f>
        <v>-0.60845664209863903</v>
      </c>
      <c r="GU20" s="3">
        <f ca="1">IFERROR(__xludf.DUMMYFUNCTION("""COMPUTED_VALUE"""),-0.623213863422682)</f>
        <v>-0.62321386342268204</v>
      </c>
      <c r="GV20" s="3">
        <f ca="1">IFERROR(__xludf.DUMMYFUNCTION("""COMPUTED_VALUE"""),-0.480472917140457)</f>
        <v>-0.48047291714045698</v>
      </c>
      <c r="GW20" s="3">
        <f ca="1">IFERROR(__xludf.DUMMYFUNCTION("""COMPUTED_VALUE"""),-0.545083038359699)</f>
        <v>-0.54508303835969896</v>
      </c>
      <c r="GX20" s="3">
        <f ca="1">IFERROR(__xludf.DUMMYFUNCTION("""COMPUTED_VALUE"""),-0.61794542420432)</f>
        <v>-0.61794542420431997</v>
      </c>
      <c r="GY20" s="3">
        <f ca="1">IFERROR(__xludf.DUMMYFUNCTION("""COMPUTED_VALUE"""),-0.60696508571101)</f>
        <v>-0.60696508571101004</v>
      </c>
      <c r="GZ20" s="3">
        <f ca="1">IFERROR(__xludf.DUMMYFUNCTION("""COMPUTED_VALUE"""),-0.661353690943316)</f>
        <v>-0.66135369094331597</v>
      </c>
      <c r="HA20" s="3">
        <f ca="1">IFERROR(__xludf.DUMMYFUNCTION("""COMPUTED_VALUE"""),-0.6348779212338)</f>
        <v>-0.63487792123380005</v>
      </c>
      <c r="HB20" s="3">
        <f ca="1">IFERROR(__xludf.DUMMYFUNCTION("""COMPUTED_VALUE"""),-0.670037433923299)</f>
        <v>-0.67003743392329895</v>
      </c>
      <c r="HC20" s="3">
        <f ca="1">IFERROR(__xludf.DUMMYFUNCTION("""COMPUTED_VALUE"""),-0.555431653405749)</f>
        <v>-0.55543165340574896</v>
      </c>
      <c r="HD20" s="3">
        <f ca="1">IFERROR(__xludf.DUMMYFUNCTION("""COMPUTED_VALUE"""),-0.550623353682715)</f>
        <v>-0.55062335368271498</v>
      </c>
      <c r="HE20" s="3">
        <f ca="1">IFERROR(__xludf.DUMMYFUNCTION("""COMPUTED_VALUE"""),-0.703869137008296)</f>
        <v>-0.70386913700829601</v>
      </c>
      <c r="HF20" s="3">
        <f ca="1">IFERROR(__xludf.DUMMYFUNCTION("""COMPUTED_VALUE"""),-0.609742241325543)</f>
        <v>-0.609742241325543</v>
      </c>
      <c r="HG20" s="3">
        <f ca="1">IFERROR(__xludf.DUMMYFUNCTION("""COMPUTED_VALUE"""),-0.666719595082834)</f>
        <v>-0.66671959508283396</v>
      </c>
      <c r="HH20" s="3">
        <f ca="1">IFERROR(__xludf.DUMMYFUNCTION("""COMPUTED_VALUE"""),-0.607146535390255)</f>
        <v>-0.60714653539025498</v>
      </c>
      <c r="HI20" s="3">
        <f ca="1">IFERROR(__xludf.DUMMYFUNCTION("""COMPUTED_VALUE"""),-0.753371240385412)</f>
        <v>-0.75337124038541203</v>
      </c>
      <c r="HJ20" s="3">
        <f ca="1">IFERROR(__xludf.DUMMYFUNCTION("""COMPUTED_VALUE"""),-0.500244318465151)</f>
        <v>-0.50024431846515105</v>
      </c>
      <c r="HK20" s="3">
        <f ca="1">IFERROR(__xludf.DUMMYFUNCTION("""COMPUTED_VALUE"""),-0.551929726230127)</f>
        <v>-0.55192972623012704</v>
      </c>
      <c r="HL20" s="3">
        <f ca="1">IFERROR(__xludf.DUMMYFUNCTION("""COMPUTED_VALUE"""),-0.617033177673427)</f>
        <v>-0.61703317767342702</v>
      </c>
      <c r="HM20" s="3">
        <f ca="1">IFERROR(__xludf.DUMMYFUNCTION("""COMPUTED_VALUE"""),-0.617174411229941)</f>
        <v>-0.61717441122994099</v>
      </c>
      <c r="HN20" s="3">
        <f ca="1">IFERROR(__xludf.DUMMYFUNCTION("""COMPUTED_VALUE"""),-0.675856484754343)</f>
        <v>-0.67585648475434301</v>
      </c>
      <c r="HO20" s="3">
        <f ca="1">IFERROR(__xludf.DUMMYFUNCTION("""COMPUTED_VALUE"""),-0.625853719190238)</f>
        <v>-0.62585371919023802</v>
      </c>
      <c r="HP20" s="3">
        <f ca="1">IFERROR(__xludf.DUMMYFUNCTION("""COMPUTED_VALUE"""),-0.575335495132286)</f>
        <v>-0.57533549513228599</v>
      </c>
      <c r="HQ20" s="3">
        <f ca="1">IFERROR(__xludf.DUMMYFUNCTION("""COMPUTED_VALUE"""),-0.51016270209408)</f>
        <v>-0.51016270209407999</v>
      </c>
      <c r="HR20" s="3">
        <f ca="1">IFERROR(__xludf.DUMMYFUNCTION("""COMPUTED_VALUE"""),-0.554915768204426)</f>
        <v>-0.55491576820442601</v>
      </c>
      <c r="HS20" s="3">
        <f ca="1">IFERROR(__xludf.DUMMYFUNCTION("""COMPUTED_VALUE"""),-0.601764821519863)</f>
        <v>-0.60176482151986299</v>
      </c>
      <c r="HT20" s="3">
        <f ca="1">IFERROR(__xludf.DUMMYFUNCTION("""COMPUTED_VALUE"""),-0.556841511501377)</f>
        <v>-0.55684151150137695</v>
      </c>
      <c r="HU20" s="3">
        <f ca="1">IFERROR(__xludf.DUMMYFUNCTION("""COMPUTED_VALUE"""),-0.617029412746135)</f>
        <v>-0.61702941274613499</v>
      </c>
      <c r="HV20" s="3">
        <f ca="1">IFERROR(__xludf.DUMMYFUNCTION("""COMPUTED_VALUE"""),-0.542437764874902)</f>
        <v>-0.54243776487490203</v>
      </c>
      <c r="HW20" s="3">
        <f ca="1">IFERROR(__xludf.DUMMYFUNCTION("""COMPUTED_VALUE"""),-0.497613257470739)</f>
        <v>-0.49761325747073898</v>
      </c>
      <c r="HX20" s="3">
        <f ca="1">IFERROR(__xludf.DUMMYFUNCTION("""COMPUTED_VALUE"""),-0.49684581024322)</f>
        <v>-0.49684581024322</v>
      </c>
      <c r="HY20" s="3">
        <f ca="1">IFERROR(__xludf.DUMMYFUNCTION("""COMPUTED_VALUE"""),-0.596142819994338)</f>
        <v>-0.59614281999433805</v>
      </c>
      <c r="HZ20" s="3">
        <f ca="1">IFERROR(__xludf.DUMMYFUNCTION("""COMPUTED_VALUE"""),-0.605645686935319)</f>
        <v>-0.60564568693531895</v>
      </c>
      <c r="IA20" s="3">
        <f ca="1">IFERROR(__xludf.DUMMYFUNCTION("""COMPUTED_VALUE"""),-0.631786203875375)</f>
        <v>-0.63178620387537499</v>
      </c>
      <c r="IB20" s="3">
        <f ca="1">IFERROR(__xludf.DUMMYFUNCTION("""COMPUTED_VALUE"""),-0.648444055679322)</f>
        <v>-0.64844405567932195</v>
      </c>
      <c r="IC20" s="3">
        <f ca="1">IFERROR(__xludf.DUMMYFUNCTION("""COMPUTED_VALUE"""),-0.646054420498794)</f>
        <v>-0.64605442049879402</v>
      </c>
      <c r="ID20" s="3">
        <f ca="1">IFERROR(__xludf.DUMMYFUNCTION("""COMPUTED_VALUE"""),-0.666877319185839)</f>
        <v>-0.66687731918583903</v>
      </c>
      <c r="IE20" s="3">
        <f ca="1">IFERROR(__xludf.DUMMYFUNCTION("""COMPUTED_VALUE"""),-0.527523281421618)</f>
        <v>-0.52752328142161797</v>
      </c>
      <c r="IF20" s="3">
        <f ca="1">IFERROR(__xludf.DUMMYFUNCTION("""COMPUTED_VALUE"""),-0.599600357005385)</f>
        <v>-0.59960035700538505</v>
      </c>
      <c r="IG20" s="3">
        <f ca="1">IFERROR(__xludf.DUMMYFUNCTION("""COMPUTED_VALUE"""),-0.669847780498106)</f>
        <v>-0.669847780498106</v>
      </c>
      <c r="IH20" s="3">
        <f ca="1">IFERROR(__xludf.DUMMYFUNCTION("""COMPUTED_VALUE"""),-0.643971248423232)</f>
        <v>-0.64397124842323195</v>
      </c>
      <c r="II20" s="3">
        <f ca="1">IFERROR(__xludf.DUMMYFUNCTION("""COMPUTED_VALUE"""),-0.61417958472733)</f>
        <v>-0.61417958472733003</v>
      </c>
      <c r="IJ20" s="3">
        <f ca="1">IFERROR(__xludf.DUMMYFUNCTION("""COMPUTED_VALUE"""),-0.653856497466509)</f>
        <v>-0.65385649746650898</v>
      </c>
      <c r="IK20" s="3">
        <f ca="1">IFERROR(__xludf.DUMMYFUNCTION("""COMPUTED_VALUE"""),-0.653701325098356)</f>
        <v>-0.65370132509835599</v>
      </c>
      <c r="IL20" s="3">
        <f ca="1">IFERROR(__xludf.DUMMYFUNCTION("""COMPUTED_VALUE"""),-0.627726505618156)</f>
        <v>-0.62772650561815602</v>
      </c>
      <c r="IM20" s="3">
        <f ca="1">IFERROR(__xludf.DUMMYFUNCTION("""COMPUTED_VALUE"""),-0.670471115045077)</f>
        <v>-0.67047111504507695</v>
      </c>
      <c r="IN20" s="3">
        <f ca="1">IFERROR(__xludf.DUMMYFUNCTION("""COMPUTED_VALUE"""),-0.689130149383412)</f>
        <v>-0.68913014938341199</v>
      </c>
      <c r="IO20" s="3">
        <f ca="1">IFERROR(__xludf.DUMMYFUNCTION("""COMPUTED_VALUE"""),-0.698397945656773)</f>
        <v>-0.69839794565677304</v>
      </c>
      <c r="IP20" s="3">
        <f ca="1">IFERROR(__xludf.DUMMYFUNCTION("""COMPUTED_VALUE"""),-0.682710120922325)</f>
        <v>-0.68271012092232497</v>
      </c>
      <c r="IQ20" s="3">
        <f ca="1">IFERROR(__xludf.DUMMYFUNCTION("""COMPUTED_VALUE"""),-0.647939340832203)</f>
        <v>-0.64793934083220295</v>
      </c>
      <c r="IR20" s="3">
        <f ca="1">IFERROR(__xludf.DUMMYFUNCTION("""COMPUTED_VALUE"""),-0.609124668444227)</f>
        <v>-0.60912466844422697</v>
      </c>
      <c r="IS20" s="3">
        <f ca="1">IFERROR(__xludf.DUMMYFUNCTION("""COMPUTED_VALUE"""),-0.544227594654856)</f>
        <v>-0.54422759465485604</v>
      </c>
      <c r="IT20" s="3">
        <f ca="1">IFERROR(__xludf.DUMMYFUNCTION("""COMPUTED_VALUE"""),-0.567997090697931)</f>
        <v>-0.56799709069793103</v>
      </c>
      <c r="IU20" s="3">
        <f ca="1">IFERROR(__xludf.DUMMYFUNCTION("""COMPUTED_VALUE"""),-0.637064051099923)</f>
        <v>-0.63706405109992303</v>
      </c>
      <c r="IV20" s="3">
        <f ca="1">IFERROR(__xludf.DUMMYFUNCTION("""COMPUTED_VALUE"""),-0.665584561716546)</f>
        <v>-0.66558456171654601</v>
      </c>
      <c r="IW20" s="3">
        <f ca="1">IFERROR(__xludf.DUMMYFUNCTION("""COMPUTED_VALUE"""),-0.648664193436173)</f>
        <v>-0.64866419343617299</v>
      </c>
      <c r="IX20" s="3">
        <f ca="1">IFERROR(__xludf.DUMMYFUNCTION("""COMPUTED_VALUE"""),-0.606374641475509)</f>
        <v>-0.60637464147550901</v>
      </c>
      <c r="IY20" s="3">
        <f ca="1">IFERROR(__xludf.DUMMYFUNCTION("""COMPUTED_VALUE"""),-0.602852255885255)</f>
        <v>-0.60285225588525504</v>
      </c>
      <c r="IZ20" s="3">
        <f ca="1">IFERROR(__xludf.DUMMYFUNCTION("""COMPUTED_VALUE"""),-0.587164662381858)</f>
        <v>-0.58716466238185805</v>
      </c>
      <c r="JA20" s="3">
        <f ca="1">IFERROR(__xludf.DUMMYFUNCTION("""COMPUTED_VALUE"""),-0.537518705254838)</f>
        <v>-0.53751870525483803</v>
      </c>
      <c r="JB20" s="3">
        <f ca="1">IFERROR(__xludf.DUMMYFUNCTION("""COMPUTED_VALUE"""),-0.605906365697256)</f>
        <v>-0.60590636569725598</v>
      </c>
      <c r="JC20" s="3">
        <f ca="1">IFERROR(__xludf.DUMMYFUNCTION("""COMPUTED_VALUE"""),-0.626968658351124)</f>
        <v>-0.62696865835112403</v>
      </c>
      <c r="JD20" s="3">
        <f ca="1">IFERROR(__xludf.DUMMYFUNCTION("""COMPUTED_VALUE"""),-0.685016296615284)</f>
        <v>-0.68501629661528396</v>
      </c>
      <c r="JE20" s="3">
        <f ca="1">IFERROR(__xludf.DUMMYFUNCTION("""COMPUTED_VALUE"""),-0.639746163482125)</f>
        <v>-0.63974616348212499</v>
      </c>
      <c r="JF20" s="3">
        <f ca="1">IFERROR(__xludf.DUMMYFUNCTION("""COMPUTED_VALUE"""),-0.600388826799932)</f>
        <v>-0.600388826799932</v>
      </c>
      <c r="JG20" s="3">
        <f ca="1">IFERROR(__xludf.DUMMYFUNCTION("""COMPUTED_VALUE"""),-0.503145390459539)</f>
        <v>-0.50314539045953899</v>
      </c>
      <c r="JH20" s="3">
        <f ca="1">IFERROR(__xludf.DUMMYFUNCTION("""COMPUTED_VALUE"""),-0.566922534166177)</f>
        <v>-0.56692253416617699</v>
      </c>
      <c r="JI20" s="3">
        <f ca="1">IFERROR(__xludf.DUMMYFUNCTION("""COMPUTED_VALUE"""),-0.620075023057898)</f>
        <v>-0.62007502305789797</v>
      </c>
      <c r="JJ20" s="3">
        <f ca="1">IFERROR(__xludf.DUMMYFUNCTION("""COMPUTED_VALUE"""),-0.621580084125873)</f>
        <v>-0.62158008412587296</v>
      </c>
      <c r="JK20" s="3">
        <f ca="1">IFERROR(__xludf.DUMMYFUNCTION("""COMPUTED_VALUE"""),-0.643851814913737)</f>
        <v>-0.643851814913737</v>
      </c>
      <c r="JL20" s="3">
        <f ca="1">IFERROR(__xludf.DUMMYFUNCTION("""COMPUTED_VALUE"""),-0.658736604367028)</f>
        <v>-0.65873660436702797</v>
      </c>
      <c r="JM20" s="3">
        <f ca="1">IFERROR(__xludf.DUMMYFUNCTION("""COMPUTED_VALUE"""),-0.599512671071536)</f>
        <v>-0.59951267107153605</v>
      </c>
      <c r="JN20" s="3">
        <f ca="1">IFERROR(__xludf.DUMMYFUNCTION("""COMPUTED_VALUE"""),-0.537192912465921)</f>
        <v>-0.53719291246592105</v>
      </c>
      <c r="JO20" s="3">
        <f ca="1">IFERROR(__xludf.DUMMYFUNCTION("""COMPUTED_VALUE"""),-0.576262908637562)</f>
        <v>-0.57626290863756202</v>
      </c>
      <c r="JP20" s="3">
        <f ca="1">IFERROR(__xludf.DUMMYFUNCTION("""COMPUTED_VALUE"""),-0.592424733373001)</f>
        <v>-0.59242473337300094</v>
      </c>
      <c r="JQ20" s="3">
        <f ca="1">IFERROR(__xludf.DUMMYFUNCTION("""COMPUTED_VALUE"""),-0.568980860015226)</f>
        <v>-0.56898086001522596</v>
      </c>
      <c r="JR20" s="3">
        <f ca="1">IFERROR(__xludf.DUMMYFUNCTION("""COMPUTED_VALUE"""),-0.645142425157816)</f>
        <v>-0.64514242515781595</v>
      </c>
      <c r="JS20" s="3">
        <f ca="1">IFERROR(__xludf.DUMMYFUNCTION("""COMPUTED_VALUE"""),-0.622212107900223)</f>
        <v>-0.62221210790022297</v>
      </c>
      <c r="JT20" s="3">
        <f ca="1">IFERROR(__xludf.DUMMYFUNCTION("""COMPUTED_VALUE"""),-0.640356364050876)</f>
        <v>-0.64035636405087604</v>
      </c>
      <c r="JU20" s="3">
        <f ca="1">IFERROR(__xludf.DUMMYFUNCTION("""COMPUTED_VALUE"""),-0.556322546060368)</f>
        <v>-0.55632254606036802</v>
      </c>
      <c r="JV20" s="3">
        <f ca="1">IFERROR(__xludf.DUMMYFUNCTION("""COMPUTED_VALUE"""),-0.658260063868729)</f>
        <v>-0.65826006386872904</v>
      </c>
      <c r="JW20" s="3">
        <f ca="1">IFERROR(__xludf.DUMMYFUNCTION("""COMPUTED_VALUE"""),-0.510569479677645)</f>
        <v>-0.51056947967764499</v>
      </c>
      <c r="JX20" s="3">
        <f ca="1">IFERROR(__xludf.DUMMYFUNCTION("""COMPUTED_VALUE"""),-0.593070332417711)</f>
        <v>-0.59307033241771101</v>
      </c>
      <c r="JY20" s="3">
        <f ca="1">IFERROR(__xludf.DUMMYFUNCTION("""COMPUTED_VALUE"""),-0.610697311236357)</f>
        <v>-0.61069731123635695</v>
      </c>
      <c r="JZ20" s="3">
        <f ca="1">IFERROR(__xludf.DUMMYFUNCTION("""COMPUTED_VALUE"""),-0.629002788492233)</f>
        <v>-0.62900278849223301</v>
      </c>
      <c r="KA20" s="3">
        <f ca="1">IFERROR(__xludf.DUMMYFUNCTION("""COMPUTED_VALUE"""),-0.586022365185978)</f>
        <v>-0.58602236518597794</v>
      </c>
      <c r="KB20" s="3">
        <f ca="1">IFERROR(__xludf.DUMMYFUNCTION("""COMPUTED_VALUE"""),-0.5927940904321)</f>
        <v>-0.59279409043209996</v>
      </c>
      <c r="KC20" s="3">
        <f ca="1">IFERROR(__xludf.DUMMYFUNCTION("""COMPUTED_VALUE"""),-0.620252915491669)</f>
        <v>-0.62025291549166905</v>
      </c>
      <c r="KD20" s="3">
        <f ca="1">IFERROR(__xludf.DUMMYFUNCTION("""COMPUTED_VALUE"""),-0.664057323191428)</f>
        <v>-0.66405732319142796</v>
      </c>
      <c r="KE20" s="3">
        <f ca="1">IFERROR(__xludf.DUMMYFUNCTION("""COMPUTED_VALUE"""),-0.609126323653501)</f>
        <v>-0.60912632365350095</v>
      </c>
      <c r="KF20" s="3">
        <f ca="1">IFERROR(__xludf.DUMMYFUNCTION("""COMPUTED_VALUE"""),-0.740023028397807)</f>
        <v>-0.74002302839780698</v>
      </c>
      <c r="KG20" s="3">
        <f ca="1">IFERROR(__xludf.DUMMYFUNCTION("""COMPUTED_VALUE"""),-0.668263861528745)</f>
        <v>-0.66826386152874495</v>
      </c>
      <c r="KH20" s="3">
        <f ca="1">IFERROR(__xludf.DUMMYFUNCTION("""COMPUTED_VALUE"""),-0.685693887341882)</f>
        <v>-0.68569388734188197</v>
      </c>
      <c r="KI20" s="3">
        <f ca="1">IFERROR(__xludf.DUMMYFUNCTION("""COMPUTED_VALUE"""),-0.654729155746523)</f>
        <v>-0.65472915574652302</v>
      </c>
      <c r="KJ20" s="3">
        <f ca="1">IFERROR(__xludf.DUMMYFUNCTION("""COMPUTED_VALUE"""),-0.643456023501753)</f>
        <v>-0.64345602350175302</v>
      </c>
      <c r="KK20" s="3">
        <f ca="1">IFERROR(__xludf.DUMMYFUNCTION("""COMPUTED_VALUE"""),-0.643902585970159)</f>
        <v>-0.64390258597015904</v>
      </c>
      <c r="KL20" s="3">
        <f ca="1">IFERROR(__xludf.DUMMYFUNCTION("""COMPUTED_VALUE"""),-0.61538270906186)</f>
        <v>-0.61538270906185999</v>
      </c>
      <c r="KM20" s="3">
        <f ca="1">IFERROR(__xludf.DUMMYFUNCTION("""COMPUTED_VALUE"""),-0.615469325528222)</f>
        <v>-0.61546932552822198</v>
      </c>
      <c r="KN20" s="3">
        <f ca="1">IFERROR(__xludf.DUMMYFUNCTION("""COMPUTED_VALUE"""),-0.592281699146045)</f>
        <v>-0.592281699146045</v>
      </c>
      <c r="KO20" s="3">
        <f ca="1">IFERROR(__xludf.DUMMYFUNCTION("""COMPUTED_VALUE"""),-0.610411601885162)</f>
        <v>-0.61041160188516197</v>
      </c>
      <c r="KP20" s="3">
        <f ca="1">IFERROR(__xludf.DUMMYFUNCTION("""COMPUTED_VALUE"""),-0.454859433454561)</f>
        <v>-0.45485943345456098</v>
      </c>
      <c r="KQ20" s="3">
        <f ca="1">IFERROR(__xludf.DUMMYFUNCTION("""COMPUTED_VALUE"""),-0.560953192017843)</f>
        <v>-0.56095319201784299</v>
      </c>
      <c r="KR20" s="3">
        <f ca="1">IFERROR(__xludf.DUMMYFUNCTION("""COMPUTED_VALUE"""),-0.632235503875796)</f>
        <v>-0.63223550387579597</v>
      </c>
      <c r="KS20" s="3">
        <f ca="1">IFERROR(__xludf.DUMMYFUNCTION("""COMPUTED_VALUE"""),-0.713757204068847)</f>
        <v>-0.71375720406884702</v>
      </c>
      <c r="KT20" s="3">
        <f ca="1">IFERROR(__xludf.DUMMYFUNCTION("""COMPUTED_VALUE"""),-0.675257974692459)</f>
        <v>-0.67525797469245896</v>
      </c>
      <c r="KU20" s="3">
        <f ca="1">IFERROR(__xludf.DUMMYFUNCTION("""COMPUTED_VALUE"""),-0.660008218445305)</f>
        <v>-0.66000821844530499</v>
      </c>
      <c r="KV20" s="3">
        <f ca="1">IFERROR(__xludf.DUMMYFUNCTION("""COMPUTED_VALUE"""),-0.679281895834021)</f>
        <v>-0.67928189583402099</v>
      </c>
      <c r="KW20" s="3">
        <f ca="1">IFERROR(__xludf.DUMMYFUNCTION("""COMPUTED_VALUE"""),-0.59666816179937)</f>
        <v>-0.59666816179936999</v>
      </c>
      <c r="KX20" s="3">
        <f ca="1">IFERROR(__xludf.DUMMYFUNCTION("""COMPUTED_VALUE"""),-0.609714038701869)</f>
        <v>-0.60971403870186902</v>
      </c>
      <c r="KY20" s="3">
        <f ca="1">IFERROR(__xludf.DUMMYFUNCTION("""COMPUTED_VALUE"""),-0.618443737171399)</f>
        <v>-0.618443737171399</v>
      </c>
      <c r="KZ20" s="3">
        <f ca="1">IFERROR(__xludf.DUMMYFUNCTION("""COMPUTED_VALUE"""),-0.578300294819734)</f>
        <v>-0.578300294819734</v>
      </c>
      <c r="LA20" s="3">
        <f ca="1">IFERROR(__xludf.DUMMYFUNCTION("""COMPUTED_VALUE"""),-0.588993691267931)</f>
        <v>-0.588993691267931</v>
      </c>
      <c r="LB20" s="3">
        <f ca="1">IFERROR(__xludf.DUMMYFUNCTION("""COMPUTED_VALUE"""),-0.598141626739723)</f>
        <v>-0.59814162673972304</v>
      </c>
      <c r="LC20" s="3">
        <f ca="1">IFERROR(__xludf.DUMMYFUNCTION("""COMPUTED_VALUE"""),-0.561950350467326)</f>
        <v>-0.561950350467326</v>
      </c>
      <c r="LD20" s="3">
        <f ca="1">IFERROR(__xludf.DUMMYFUNCTION("""COMPUTED_VALUE"""),-0.548641336314948)</f>
        <v>-0.54864133631494805</v>
      </c>
      <c r="LE20" s="3">
        <f ca="1">IFERROR(__xludf.DUMMYFUNCTION("""COMPUTED_VALUE"""),-0.492371453312072)</f>
        <v>-0.49237145331207199</v>
      </c>
      <c r="LF20" s="3">
        <f ca="1">IFERROR(__xludf.DUMMYFUNCTION("""COMPUTED_VALUE"""),-0.651785238107485)</f>
        <v>-0.65178523810748501</v>
      </c>
      <c r="LG20" s="3">
        <f ca="1">IFERROR(__xludf.DUMMYFUNCTION("""COMPUTED_VALUE"""),-0.629506559792043)</f>
        <v>-0.62950655979204295</v>
      </c>
      <c r="LH20" s="3">
        <f ca="1">IFERROR(__xludf.DUMMYFUNCTION("""COMPUTED_VALUE"""),-0.596776954749351)</f>
        <v>-0.596776954749351</v>
      </c>
      <c r="LI20" s="3">
        <f ca="1">IFERROR(__xludf.DUMMYFUNCTION("""COMPUTED_VALUE"""),-0.651829172176087)</f>
        <v>-0.65182917217608705</v>
      </c>
      <c r="LJ20" s="3">
        <f ca="1">IFERROR(__xludf.DUMMYFUNCTION("""COMPUTED_VALUE"""),-0.778497829729843)</f>
        <v>-0.77849782972984305</v>
      </c>
      <c r="LK20" s="3">
        <f ca="1">IFERROR(__xludf.DUMMYFUNCTION("""COMPUTED_VALUE"""),-0.672069920719905)</f>
        <v>-0.67206992071990501</v>
      </c>
      <c r="LL20" s="3">
        <f ca="1">IFERROR(__xludf.DUMMYFUNCTION("""COMPUTED_VALUE"""),-0.622928660559566)</f>
        <v>-0.62292866055956597</v>
      </c>
      <c r="LM20" s="3">
        <f ca="1">IFERROR(__xludf.DUMMYFUNCTION("""COMPUTED_VALUE"""),-0.658345485448244)</f>
        <v>-0.65834548544824401</v>
      </c>
      <c r="LN20" s="3">
        <f ca="1">IFERROR(__xludf.DUMMYFUNCTION("""COMPUTED_VALUE"""),-0.68805330828872)</f>
        <v>-0.68805330828872002</v>
      </c>
      <c r="LO20" s="3">
        <f ca="1">IFERROR(__xludf.DUMMYFUNCTION("""COMPUTED_VALUE"""),-0.587021804830022)</f>
        <v>-0.58702180483002198</v>
      </c>
      <c r="LP20" s="3">
        <f ca="1">IFERROR(__xludf.DUMMYFUNCTION("""COMPUTED_VALUE"""),-0.66536293273983)</f>
        <v>-0.66536293273983005</v>
      </c>
      <c r="LQ20" s="3">
        <f ca="1">IFERROR(__xludf.DUMMYFUNCTION("""COMPUTED_VALUE"""),-0.52372430729381)</f>
        <v>-0.52372430729381003</v>
      </c>
      <c r="LR20" s="3">
        <f ca="1">IFERROR(__xludf.DUMMYFUNCTION("""COMPUTED_VALUE"""),-0.671654096475498)</f>
        <v>-0.67165409647549801</v>
      </c>
      <c r="LS20" s="3">
        <f ca="1">IFERROR(__xludf.DUMMYFUNCTION("""COMPUTED_VALUE"""),-0.731764232329618)</f>
        <v>-0.73176423232961796</v>
      </c>
      <c r="LT20" s="3">
        <f ca="1">IFERROR(__xludf.DUMMYFUNCTION("""COMPUTED_VALUE"""),-0.681978408074594)</f>
        <v>-0.68197840807459398</v>
      </c>
      <c r="LU20" s="3">
        <f ca="1">IFERROR(__xludf.DUMMYFUNCTION("""COMPUTED_VALUE"""),-0.716725438267331)</f>
        <v>-0.71672543826733104</v>
      </c>
      <c r="LV20" s="3">
        <f ca="1">IFERROR(__xludf.DUMMYFUNCTION("""COMPUTED_VALUE"""),-0.614357781741777)</f>
        <v>-0.61435778174177702</v>
      </c>
      <c r="LW20" s="3">
        <f ca="1">IFERROR(__xludf.DUMMYFUNCTION("""COMPUTED_VALUE"""),-0.637623453528303)</f>
        <v>-0.63762345352830296</v>
      </c>
      <c r="LX20" s="3">
        <f ca="1">IFERROR(__xludf.DUMMYFUNCTION("""COMPUTED_VALUE"""),-0.669157888685332)</f>
        <v>-0.66915788868533199</v>
      </c>
      <c r="LY20" s="3">
        <f ca="1">IFERROR(__xludf.DUMMYFUNCTION("""COMPUTED_VALUE"""),-0.627785133728015)</f>
        <v>-0.62778513372801503</v>
      </c>
      <c r="LZ20" s="3">
        <f ca="1">IFERROR(__xludf.DUMMYFUNCTION("""COMPUTED_VALUE"""),-0.546855339732105)</f>
        <v>-0.54685533973210498</v>
      </c>
      <c r="MA20" s="3">
        <f ca="1">IFERROR(__xludf.DUMMYFUNCTION("""COMPUTED_VALUE"""),-0.616130976559963)</f>
        <v>-0.61613097655996296</v>
      </c>
      <c r="MB20" s="3">
        <f ca="1">IFERROR(__xludf.DUMMYFUNCTION("""COMPUTED_VALUE"""),-0.67954576608906)</f>
        <v>-0.67954576608906003</v>
      </c>
      <c r="MC20" s="3">
        <f ca="1">IFERROR(__xludf.DUMMYFUNCTION("""COMPUTED_VALUE"""),-0.618876636383529)</f>
        <v>-0.61887663638352897</v>
      </c>
      <c r="MD20" s="3">
        <f ca="1">IFERROR(__xludf.DUMMYFUNCTION("""COMPUTED_VALUE"""),-0.612439848337889)</f>
        <v>-0.612439848337889</v>
      </c>
      <c r="ME20" s="3">
        <f ca="1">IFERROR(__xludf.DUMMYFUNCTION("""COMPUTED_VALUE"""),-0.653696236745735)</f>
        <v>-0.65369623674573496</v>
      </c>
      <c r="MF20" s="3">
        <f ca="1">IFERROR(__xludf.DUMMYFUNCTION("""COMPUTED_VALUE"""),-0.59682404187561)</f>
        <v>-0.59682404187561</v>
      </c>
      <c r="MG20" s="3">
        <f ca="1">IFERROR(__xludf.DUMMYFUNCTION("""COMPUTED_VALUE"""),-0.583519112411852)</f>
        <v>-0.58351911241185195</v>
      </c>
      <c r="MH20" s="3">
        <f ca="1">IFERROR(__xludf.DUMMYFUNCTION("""COMPUTED_VALUE"""),-0.688286584350264)</f>
        <v>-0.68828658435026402</v>
      </c>
      <c r="MI20" s="3">
        <f ca="1">IFERROR(__xludf.DUMMYFUNCTION("""COMPUTED_VALUE"""),-0.724823937776189)</f>
        <v>-0.72482393777618903</v>
      </c>
      <c r="MJ20" s="3">
        <f ca="1">IFERROR(__xludf.DUMMYFUNCTION("""COMPUTED_VALUE"""),-0.707649778750179)</f>
        <v>-0.70764977875017898</v>
      </c>
      <c r="MK20" s="3">
        <f ca="1">IFERROR(__xludf.DUMMYFUNCTION("""COMPUTED_VALUE"""),-0.66331271778708)</f>
        <v>-0.66331271778708001</v>
      </c>
      <c r="ML20" s="3">
        <f ca="1">IFERROR(__xludf.DUMMYFUNCTION("""COMPUTED_VALUE"""),-0.642779838577254)</f>
        <v>-0.64277983857725396</v>
      </c>
      <c r="MM20" s="3">
        <f ca="1">IFERROR(__xludf.DUMMYFUNCTION("""COMPUTED_VALUE"""),-0.673046006884669)</f>
        <v>-0.67304600688466898</v>
      </c>
      <c r="MN20" s="3">
        <f ca="1">IFERROR(__xludf.DUMMYFUNCTION("""COMPUTED_VALUE"""),-0.666592516006996)</f>
        <v>-0.66659251600699598</v>
      </c>
      <c r="MO20" s="3">
        <f ca="1">IFERROR(__xludf.DUMMYFUNCTION("""COMPUTED_VALUE"""),-0.707014435624213)</f>
        <v>-0.70701443562421296</v>
      </c>
      <c r="MP20" s="3">
        <f ca="1">IFERROR(__xludf.DUMMYFUNCTION("""COMPUTED_VALUE"""),-0.700018086497513)</f>
        <v>-0.70001808649751296</v>
      </c>
      <c r="MQ20" s="3">
        <f ca="1">IFERROR(__xludf.DUMMYFUNCTION("""COMPUTED_VALUE"""),-0.698788501470895)</f>
        <v>-0.698788501470895</v>
      </c>
      <c r="MR20" s="3">
        <f ca="1">IFERROR(__xludf.DUMMYFUNCTION("""COMPUTED_VALUE"""),-0.630190114357469)</f>
        <v>-0.63019011435746897</v>
      </c>
      <c r="MS20" s="3">
        <f ca="1">IFERROR(__xludf.DUMMYFUNCTION("""COMPUTED_VALUE"""),-0.618678792915816)</f>
        <v>-0.61867879291581596</v>
      </c>
      <c r="MT20" s="3">
        <f ca="1">IFERROR(__xludf.DUMMYFUNCTION("""COMPUTED_VALUE"""),-0.675129570196949)</f>
        <v>-0.67512957019694897</v>
      </c>
      <c r="MU20" s="3">
        <f ca="1">IFERROR(__xludf.DUMMYFUNCTION("""COMPUTED_VALUE"""),-0.513256409507332)</f>
        <v>-0.51325640950733198</v>
      </c>
      <c r="MV20" s="3">
        <f ca="1">IFERROR(__xludf.DUMMYFUNCTION("""COMPUTED_VALUE"""),-0.719789490637229)</f>
        <v>-0.71978949063722897</v>
      </c>
      <c r="MW20" s="3">
        <f ca="1">IFERROR(__xludf.DUMMYFUNCTION("""COMPUTED_VALUE"""),-0.736638724775775)</f>
        <v>-0.73663872477577497</v>
      </c>
      <c r="MX20" s="3">
        <f ca="1">IFERROR(__xludf.DUMMYFUNCTION("""COMPUTED_VALUE"""),-0.673835066261478)</f>
        <v>-0.67383506626147804</v>
      </c>
      <c r="MY20" s="3">
        <f ca="1">IFERROR(__xludf.DUMMYFUNCTION("""COMPUTED_VALUE"""),-0.66247779669785)</f>
        <v>-0.66247779669785001</v>
      </c>
      <c r="MZ20" s="3">
        <f ca="1">IFERROR(__xludf.DUMMYFUNCTION("""COMPUTED_VALUE"""),-0.641339666732069)</f>
        <v>-0.64133966673206899</v>
      </c>
      <c r="NA20" s="3">
        <f ca="1">IFERROR(__xludf.DUMMYFUNCTION("""COMPUTED_VALUE"""),-0.618165149891996)</f>
        <v>-0.618165149891996</v>
      </c>
      <c r="NB20" s="3">
        <f ca="1">IFERROR(__xludf.DUMMYFUNCTION("""COMPUTED_VALUE"""),-0.703523207244992)</f>
        <v>-0.70352320724499195</v>
      </c>
      <c r="NC20" s="3">
        <f ca="1">IFERROR(__xludf.DUMMYFUNCTION("""COMPUTED_VALUE"""),-0.633910945206526)</f>
        <v>-0.63391094520652602</v>
      </c>
      <c r="ND20" s="3">
        <f ca="1">IFERROR(__xludf.DUMMYFUNCTION("""COMPUTED_VALUE"""),-0.740250712146794)</f>
        <v>-0.74025071214679405</v>
      </c>
      <c r="NE20" s="3">
        <f ca="1">IFERROR(__xludf.DUMMYFUNCTION("""COMPUTED_VALUE"""),-0.649303974755258)</f>
        <v>-0.64930397475525803</v>
      </c>
      <c r="NF20" s="3">
        <f ca="1">IFERROR(__xludf.DUMMYFUNCTION("""COMPUTED_VALUE"""),-0.666391002230202)</f>
        <v>-0.66639100223020198</v>
      </c>
      <c r="NG20" s="3">
        <f ca="1">IFERROR(__xludf.DUMMYFUNCTION("""COMPUTED_VALUE"""),-0.634136151287684)</f>
        <v>-0.63413615128768397</v>
      </c>
      <c r="NH20" s="3">
        <f ca="1">IFERROR(__xludf.DUMMYFUNCTION("""COMPUTED_VALUE"""),-0.643409191016378)</f>
        <v>-0.64340919101637795</v>
      </c>
      <c r="NI20" s="3">
        <f ca="1">IFERROR(__xludf.DUMMYFUNCTION("""COMPUTED_VALUE"""),-0.544574535114793)</f>
        <v>-0.54457453511479303</v>
      </c>
      <c r="NJ20" s="3">
        <f ca="1">IFERROR(__xludf.DUMMYFUNCTION("""COMPUTED_VALUE"""),-0.65813495931132)</f>
        <v>-0.65813495931132004</v>
      </c>
      <c r="NK20" s="3">
        <f ca="1">IFERROR(__xludf.DUMMYFUNCTION("""COMPUTED_VALUE"""),-0.679867267484684)</f>
        <v>-0.67986726748468396</v>
      </c>
      <c r="NL20" s="3">
        <f ca="1">IFERROR(__xludf.DUMMYFUNCTION("""COMPUTED_VALUE"""),-0.615855765868203)</f>
        <v>-0.61585576586820301</v>
      </c>
      <c r="NM20" s="3">
        <f ca="1">IFERROR(__xludf.DUMMYFUNCTION("""COMPUTED_VALUE"""),-0.612506482504162)</f>
        <v>-0.61250648250416195</v>
      </c>
      <c r="NN20" s="3">
        <f ca="1">IFERROR(__xludf.DUMMYFUNCTION("""COMPUTED_VALUE"""),-0.586823394736063)</f>
        <v>-0.58682339473606304</v>
      </c>
      <c r="NO20" s="3">
        <f ca="1">IFERROR(__xludf.DUMMYFUNCTION("""COMPUTED_VALUE"""),-0.51095972790852)</f>
        <v>-0.51095972790851996</v>
      </c>
      <c r="NP20" s="3">
        <f ca="1">IFERROR(__xludf.DUMMYFUNCTION("""COMPUTED_VALUE"""),-0.437282190707331)</f>
        <v>-0.43728219070733099</v>
      </c>
      <c r="NQ20" s="3">
        <f ca="1">IFERROR(__xludf.DUMMYFUNCTION("""COMPUTED_VALUE"""),-0.584731670670595)</f>
        <v>-0.58473167067059495</v>
      </c>
      <c r="NR20" s="3">
        <f ca="1">IFERROR(__xludf.DUMMYFUNCTION("""COMPUTED_VALUE"""),-0.63416516011061)</f>
        <v>-0.63416516011060997</v>
      </c>
      <c r="NS20" s="3">
        <f ca="1">IFERROR(__xludf.DUMMYFUNCTION("""COMPUTED_VALUE"""),-0.557068243933911)</f>
        <v>-0.55706824393391097</v>
      </c>
      <c r="NT20" s="3">
        <f ca="1">IFERROR(__xludf.DUMMYFUNCTION("""COMPUTED_VALUE"""),-0.456025051132034)</f>
        <v>-0.45602505113203401</v>
      </c>
      <c r="NU20" s="3">
        <f ca="1">IFERROR(__xludf.DUMMYFUNCTION("""COMPUTED_VALUE"""),-0.568953786312901)</f>
        <v>-0.56895378631290106</v>
      </c>
      <c r="NV20" s="3">
        <f ca="1">IFERROR(__xludf.DUMMYFUNCTION("""COMPUTED_VALUE"""),-0.579800309309938)</f>
        <v>-0.57980030930993798</v>
      </c>
      <c r="NW20" s="3">
        <f ca="1">IFERROR(__xludf.DUMMYFUNCTION("""COMPUTED_VALUE"""),-0.430903758172198)</f>
        <v>-0.430903758172198</v>
      </c>
      <c r="NX20" s="3">
        <f ca="1">IFERROR(__xludf.DUMMYFUNCTION("""COMPUTED_VALUE"""),-0.482125000038789)</f>
        <v>-0.482125000038789</v>
      </c>
      <c r="NY20" s="3">
        <f ca="1">IFERROR(__xludf.DUMMYFUNCTION("""COMPUTED_VALUE"""),-0.523013545627345)</f>
        <v>-0.52301354562734503</v>
      </c>
      <c r="NZ20" s="3">
        <f ca="1">IFERROR(__xludf.DUMMYFUNCTION("""COMPUTED_VALUE"""),-0.46162439303887)</f>
        <v>-0.46162439303886998</v>
      </c>
      <c r="OA20" s="3">
        <f ca="1">IFERROR(__xludf.DUMMYFUNCTION("""COMPUTED_VALUE"""),-0.430342859414033)</f>
        <v>-0.430342859414033</v>
      </c>
      <c r="OB20" s="3">
        <f ca="1">IFERROR(__xludf.DUMMYFUNCTION("""COMPUTED_VALUE"""),-0.251890042229395)</f>
        <v>-0.25189004222939498</v>
      </c>
      <c r="OC20" s="3">
        <f ca="1">IFERROR(__xludf.DUMMYFUNCTION("""COMPUTED_VALUE"""),-0.37957593977369)</f>
        <v>-0.37957593977368997</v>
      </c>
      <c r="OD20" s="3">
        <f ca="1">IFERROR(__xludf.DUMMYFUNCTION("""COMPUTED_VALUE"""),-0.300985450775648)</f>
        <v>-0.30098545077564798</v>
      </c>
      <c r="OE20" s="3">
        <f ca="1">IFERROR(__xludf.DUMMYFUNCTION("""COMPUTED_VALUE"""),-0.297583946795438)</f>
        <v>-0.29758394679543798</v>
      </c>
      <c r="OF20" s="3">
        <f ca="1">IFERROR(__xludf.DUMMYFUNCTION("""COMPUTED_VALUE"""),-0.220971253916591)</f>
        <v>-0.220971253916591</v>
      </c>
      <c r="OG20" s="3">
        <f ca="1">IFERROR(__xludf.DUMMYFUNCTION("""COMPUTED_VALUE"""),-0.19508794921501)</f>
        <v>-0.19508794921500999</v>
      </c>
      <c r="OH20" s="3">
        <f ca="1">IFERROR(__xludf.DUMMYFUNCTION("""COMPUTED_VALUE"""),-0.285433674414452)</f>
        <v>-0.285433674414452</v>
      </c>
      <c r="OI20" s="3">
        <f ca="1">IFERROR(__xludf.DUMMYFUNCTION("""COMPUTED_VALUE"""),-0.13283011202438)</f>
        <v>-0.13283011202438</v>
      </c>
      <c r="OJ20" s="3">
        <f ca="1">IFERROR(__xludf.DUMMYFUNCTION("""COMPUTED_VALUE"""),-0.276931737973972)</f>
        <v>-0.27693173797397203</v>
      </c>
      <c r="OK20" s="3">
        <f ca="1">IFERROR(__xludf.DUMMYFUNCTION("""COMPUTED_VALUE"""),-0.0592377507702919)</f>
        <v>-5.9237750770291898E-2</v>
      </c>
      <c r="OL20" s="3">
        <f ca="1">IFERROR(__xludf.DUMMYFUNCTION("""COMPUTED_VALUE"""),-0.025022339641808)</f>
        <v>-2.5022339641808E-2</v>
      </c>
      <c r="OM20" s="3">
        <f ca="1">IFERROR(__xludf.DUMMYFUNCTION("""COMPUTED_VALUE"""),0.054966201016297)</f>
        <v>5.4966201016296998E-2</v>
      </c>
      <c r="ON20" s="3">
        <f ca="1">IFERROR(__xludf.DUMMYFUNCTION("""COMPUTED_VALUE"""),-0.0913353008990655)</f>
        <v>-9.1335300899065497E-2</v>
      </c>
      <c r="OO20" s="3">
        <f ca="1">IFERROR(__xludf.DUMMYFUNCTION("""COMPUTED_VALUE"""),0.203677568816157)</f>
        <v>0.20367756881615701</v>
      </c>
      <c r="OP20" s="3">
        <f ca="1">IFERROR(__xludf.DUMMYFUNCTION("""COMPUTED_VALUE"""),0.0680639293183191)</f>
        <v>6.8063929318319102E-2</v>
      </c>
      <c r="OQ20" s="3">
        <f ca="1">IFERROR(__xludf.DUMMYFUNCTION("""COMPUTED_VALUE"""),0.0553832974813253)</f>
        <v>5.5383297481325297E-2</v>
      </c>
      <c r="OR20" s="3">
        <f ca="1">IFERROR(__xludf.DUMMYFUNCTION("""COMPUTED_VALUE"""),0.195088371967186)</f>
        <v>0.19508837196718601</v>
      </c>
      <c r="OS20" s="3">
        <f ca="1">IFERROR(__xludf.DUMMYFUNCTION("""COMPUTED_VALUE"""),0.0232206345103846)</f>
        <v>2.32206345103846E-2</v>
      </c>
      <c r="OT20" s="3">
        <f ca="1">IFERROR(__xludf.DUMMYFUNCTION("""COMPUTED_VALUE"""),-0.00166197395543277)</f>
        <v>-1.66197395543277E-3</v>
      </c>
      <c r="OU20" s="3">
        <f ca="1">IFERROR(__xludf.DUMMYFUNCTION("""COMPUTED_VALUE"""),0.014256324936051)</f>
        <v>1.4256324936051E-2</v>
      </c>
      <c r="OV20" s="3">
        <f ca="1">IFERROR(__xludf.DUMMYFUNCTION("""COMPUTED_VALUE"""),-0.0126437427649559)</f>
        <v>-1.26437427649559E-2</v>
      </c>
      <c r="OW20" s="3">
        <f ca="1">IFERROR(__xludf.DUMMYFUNCTION("""COMPUTED_VALUE"""),-0.109495438158724)</f>
        <v>-0.10949543815872401</v>
      </c>
      <c r="OX20" s="3">
        <f ca="1">IFERROR(__xludf.DUMMYFUNCTION("""COMPUTED_VALUE"""),0.0373330523841277)</f>
        <v>3.73330523841277E-2</v>
      </c>
      <c r="OY20" s="3">
        <f ca="1">IFERROR(__xludf.DUMMYFUNCTION("""COMPUTED_VALUE"""),0.00232013843752998)</f>
        <v>2.3201384375299799E-3</v>
      </c>
      <c r="OZ20" s="3">
        <f ca="1">IFERROR(__xludf.DUMMYFUNCTION("""COMPUTED_VALUE"""),0.0194617923863611)</f>
        <v>1.9461792386361101E-2</v>
      </c>
      <c r="PA20" s="3">
        <f ca="1">IFERROR(__xludf.DUMMYFUNCTION("""COMPUTED_VALUE"""),-0.00770883610883998)</f>
        <v>-7.7088361088399797E-3</v>
      </c>
      <c r="PB20" s="3">
        <f ca="1">IFERROR(__xludf.DUMMYFUNCTION("""COMPUTED_VALUE"""),0.0238464265919045)</f>
        <v>2.3846426591904502E-2</v>
      </c>
      <c r="PC20" s="3">
        <f ca="1">IFERROR(__xludf.DUMMYFUNCTION("""COMPUTED_VALUE"""),0.0393517943209507)</f>
        <v>3.9351794320950699E-2</v>
      </c>
      <c r="PD20" s="3">
        <f ca="1">IFERROR(__xludf.DUMMYFUNCTION("""COMPUTED_VALUE"""),-0.0830664197826571)</f>
        <v>-8.3066419782657094E-2</v>
      </c>
      <c r="PE20" s="3">
        <f ca="1">IFERROR(__xludf.DUMMYFUNCTION("""COMPUTED_VALUE"""),-0.0835142159021314)</f>
        <v>-8.35142159021314E-2</v>
      </c>
      <c r="PF20" s="3">
        <f ca="1">IFERROR(__xludf.DUMMYFUNCTION("""COMPUTED_VALUE"""),-0.00130410412712855)</f>
        <v>-1.30410412712855E-3</v>
      </c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</row>
    <row r="21" spans="1:594" ht="15.75" customHeight="1">
      <c r="A21" s="1" t="str">
        <f ca="1">IFERROR(__xludf.DUMMYFUNCTION("""COMPUTED_VALUE"""),"Delaware")</f>
        <v>Delaware</v>
      </c>
      <c r="B21" s="3">
        <f ca="1">IFERROR(__xludf.DUMMYFUNCTION("""COMPUTED_VALUE"""),-0.435020113494825)</f>
        <v>-0.435020113494825</v>
      </c>
      <c r="C21" s="3">
        <f ca="1">IFERROR(__xludf.DUMMYFUNCTION("""COMPUTED_VALUE"""),-0.498080983663527)</f>
        <v>-0.49808098366352699</v>
      </c>
      <c r="D21" s="3">
        <f ca="1">IFERROR(__xludf.DUMMYFUNCTION("""COMPUTED_VALUE"""),-0.504868113026007)</f>
        <v>-0.50486811302600698</v>
      </c>
      <c r="E21" s="3">
        <f ca="1">IFERROR(__xludf.DUMMYFUNCTION("""COMPUTED_VALUE"""),-0.579614939804447)</f>
        <v>-0.579614939804447</v>
      </c>
      <c r="F21" s="3">
        <f ca="1">IFERROR(__xludf.DUMMYFUNCTION("""COMPUTED_VALUE"""),-0.510540292720881)</f>
        <v>-0.51054029272088097</v>
      </c>
      <c r="G21" s="3">
        <f ca="1">IFERROR(__xludf.DUMMYFUNCTION("""COMPUTED_VALUE"""),-0.505091506340922)</f>
        <v>-0.50509150634092204</v>
      </c>
      <c r="H21" s="3">
        <f ca="1">IFERROR(__xludf.DUMMYFUNCTION("""COMPUTED_VALUE"""),-0.530563599158321)</f>
        <v>-0.53056359915832096</v>
      </c>
      <c r="I21" s="3">
        <f ca="1">IFERROR(__xludf.DUMMYFUNCTION("""COMPUTED_VALUE"""),-0.490199636780835)</f>
        <v>-0.490199636780835</v>
      </c>
      <c r="J21" s="3">
        <f ca="1">IFERROR(__xludf.DUMMYFUNCTION("""COMPUTED_VALUE"""),-0.487319764514636)</f>
        <v>-0.48731976451463599</v>
      </c>
      <c r="K21" s="3">
        <f ca="1">IFERROR(__xludf.DUMMYFUNCTION("""COMPUTED_VALUE"""),-0.511373078905866)</f>
        <v>-0.51137307890586603</v>
      </c>
      <c r="L21" s="3">
        <f ca="1">IFERROR(__xludf.DUMMYFUNCTION("""COMPUTED_VALUE"""),-0.58013721588772)</f>
        <v>-0.58013721588772005</v>
      </c>
      <c r="M21" s="3">
        <f ca="1">IFERROR(__xludf.DUMMYFUNCTION("""COMPUTED_VALUE"""),-0.458527624404265)</f>
        <v>-0.45852762440426498</v>
      </c>
      <c r="N21" s="3">
        <f ca="1">IFERROR(__xludf.DUMMYFUNCTION("""COMPUTED_VALUE"""),-0.564836910679037)</f>
        <v>-0.56483691067903696</v>
      </c>
      <c r="O21" s="3">
        <f ca="1">IFERROR(__xludf.DUMMYFUNCTION("""COMPUTED_VALUE"""),-0.511987651083794)</f>
        <v>-0.51198765108379396</v>
      </c>
      <c r="P21" s="3">
        <f ca="1">IFERROR(__xludf.DUMMYFUNCTION("""COMPUTED_VALUE"""),-0.391816669661507)</f>
        <v>-0.39181666966150702</v>
      </c>
      <c r="Q21" s="3">
        <f ca="1">IFERROR(__xludf.DUMMYFUNCTION("""COMPUTED_VALUE"""),-0.430469102066435)</f>
        <v>-0.43046910206643502</v>
      </c>
      <c r="R21" s="3">
        <f ca="1">IFERROR(__xludf.DUMMYFUNCTION("""COMPUTED_VALUE"""),-0.463536686815386)</f>
        <v>-0.46353668681538601</v>
      </c>
      <c r="S21" s="3">
        <f ca="1">IFERROR(__xludf.DUMMYFUNCTION("""COMPUTED_VALUE"""),-0.633802656347297)</f>
        <v>-0.63380265634729704</v>
      </c>
      <c r="T21" s="3">
        <f ca="1">IFERROR(__xludf.DUMMYFUNCTION("""COMPUTED_VALUE"""),-0.473724498131139)</f>
        <v>-0.47372449813113898</v>
      </c>
      <c r="U21" s="3">
        <f ca="1">IFERROR(__xludf.DUMMYFUNCTION("""COMPUTED_VALUE"""),-0.52362289341952)</f>
        <v>-0.52362289341951995</v>
      </c>
      <c r="V21" s="3">
        <f ca="1">IFERROR(__xludf.DUMMYFUNCTION("""COMPUTED_VALUE"""),-0.443198910743171)</f>
        <v>-0.44319891074317103</v>
      </c>
      <c r="W21" s="3">
        <f ca="1">IFERROR(__xludf.DUMMYFUNCTION("""COMPUTED_VALUE"""),-0.397080638697158)</f>
        <v>-0.39708063869715798</v>
      </c>
      <c r="X21" s="3">
        <f ca="1">IFERROR(__xludf.DUMMYFUNCTION("""COMPUTED_VALUE"""),-0.415424403628227)</f>
        <v>-0.41542440362822702</v>
      </c>
      <c r="Y21" s="3">
        <f ca="1">IFERROR(__xludf.DUMMYFUNCTION("""COMPUTED_VALUE"""),-0.532974941934439)</f>
        <v>-0.53297494193443895</v>
      </c>
      <c r="Z21" s="3">
        <f ca="1">IFERROR(__xludf.DUMMYFUNCTION("""COMPUTED_VALUE"""),-0.5351003969132)</f>
        <v>-0.53510039691319999</v>
      </c>
      <c r="AA21" s="3">
        <f ca="1">IFERROR(__xludf.DUMMYFUNCTION("""COMPUTED_VALUE"""),-0.561236693155529)</f>
        <v>-0.56123669315552904</v>
      </c>
      <c r="AB21" s="3">
        <f ca="1">IFERROR(__xludf.DUMMYFUNCTION("""COMPUTED_VALUE"""),-0.483329965406304)</f>
        <v>-0.48332996540630402</v>
      </c>
      <c r="AC21" s="3">
        <f ca="1">IFERROR(__xludf.DUMMYFUNCTION("""COMPUTED_VALUE"""),-0.512710258166339)</f>
        <v>-0.51271025816633897</v>
      </c>
      <c r="AD21" s="3">
        <f ca="1">IFERROR(__xludf.DUMMYFUNCTION("""COMPUTED_VALUE"""),-0.38512149014806)</f>
        <v>-0.38512149014806002</v>
      </c>
      <c r="AE21" s="3">
        <f ca="1">IFERROR(__xludf.DUMMYFUNCTION("""COMPUTED_VALUE"""),-0.410674823719887)</f>
        <v>-0.41067482371988701</v>
      </c>
      <c r="AF21" s="3">
        <f ca="1">IFERROR(__xludf.DUMMYFUNCTION("""COMPUTED_VALUE"""),-0.413181223617274)</f>
        <v>-0.413181223617274</v>
      </c>
      <c r="AG21" s="3">
        <f ca="1">IFERROR(__xludf.DUMMYFUNCTION("""COMPUTED_VALUE"""),-0.460484622265966)</f>
        <v>-0.46048462226596598</v>
      </c>
      <c r="AH21" s="3">
        <f ca="1">IFERROR(__xludf.DUMMYFUNCTION("""COMPUTED_VALUE"""),-0.398232699769105)</f>
        <v>-0.39823269976910503</v>
      </c>
      <c r="AI21" s="3">
        <f ca="1">IFERROR(__xludf.DUMMYFUNCTION("""COMPUTED_VALUE"""),-0.446569123120666)</f>
        <v>-0.44656912312066599</v>
      </c>
      <c r="AJ21" s="3">
        <f ca="1">IFERROR(__xludf.DUMMYFUNCTION("""COMPUTED_VALUE"""),-0.491286334392387)</f>
        <v>-0.491286334392387</v>
      </c>
      <c r="AK21" s="3">
        <f ca="1">IFERROR(__xludf.DUMMYFUNCTION("""COMPUTED_VALUE"""),-0.452721548672761)</f>
        <v>-0.45272154867276099</v>
      </c>
      <c r="AL21" s="3">
        <f ca="1">IFERROR(__xludf.DUMMYFUNCTION("""COMPUTED_VALUE"""),-0.393919982144355)</f>
        <v>-0.39391998214435497</v>
      </c>
      <c r="AM21" s="3">
        <f ca="1">IFERROR(__xludf.DUMMYFUNCTION("""COMPUTED_VALUE"""),-0.526897546219309)</f>
        <v>-0.52689754621930895</v>
      </c>
      <c r="AN21" s="3">
        <f ca="1">IFERROR(__xludf.DUMMYFUNCTION("""COMPUTED_VALUE"""),-0.488486079521972)</f>
        <v>-0.48848607952197198</v>
      </c>
      <c r="AO21" s="3">
        <f ca="1">IFERROR(__xludf.DUMMYFUNCTION("""COMPUTED_VALUE"""),-0.433196597130803)</f>
        <v>-0.433196597130803</v>
      </c>
      <c r="AP21" s="3">
        <f ca="1">IFERROR(__xludf.DUMMYFUNCTION("""COMPUTED_VALUE"""),-0.45926743366414)</f>
        <v>-0.45926743366414002</v>
      </c>
      <c r="AQ21" s="3">
        <f ca="1">IFERROR(__xludf.DUMMYFUNCTION("""COMPUTED_VALUE"""),-0.504616950344034)</f>
        <v>-0.50461695034403398</v>
      </c>
      <c r="AR21" s="3">
        <f ca="1">IFERROR(__xludf.DUMMYFUNCTION("""COMPUTED_VALUE"""),-0.411860812839013)</f>
        <v>-0.41186081283901299</v>
      </c>
      <c r="AS21" s="3">
        <f ca="1">IFERROR(__xludf.DUMMYFUNCTION("""COMPUTED_VALUE"""),-0.488810431149267)</f>
        <v>-0.48881043114926698</v>
      </c>
      <c r="AT21" s="3">
        <f ca="1">IFERROR(__xludf.DUMMYFUNCTION("""COMPUTED_VALUE"""),-0.51368717934017)</f>
        <v>-0.51368717934017005</v>
      </c>
      <c r="AU21" s="3">
        <f ca="1">IFERROR(__xludf.DUMMYFUNCTION("""COMPUTED_VALUE"""),-0.395347759020704)</f>
        <v>-0.39534775902070401</v>
      </c>
      <c r="AV21" s="3">
        <f ca="1">IFERROR(__xludf.DUMMYFUNCTION("""COMPUTED_VALUE"""),-0.489263146669319)</f>
        <v>-0.48926314666931903</v>
      </c>
      <c r="AW21" s="3">
        <f ca="1">IFERROR(__xludf.DUMMYFUNCTION("""COMPUTED_VALUE"""),-0.545045143057671)</f>
        <v>-0.54504514305767104</v>
      </c>
      <c r="AX21" s="3">
        <f ca="1">IFERROR(__xludf.DUMMYFUNCTION("""COMPUTED_VALUE"""),-0.343874944341167)</f>
        <v>-0.343874944341167</v>
      </c>
      <c r="AY21" s="3">
        <f ca="1">IFERROR(__xludf.DUMMYFUNCTION("""COMPUTED_VALUE"""),-0.457759051959964)</f>
        <v>-0.45775905195996403</v>
      </c>
      <c r="AZ21" s="3">
        <f ca="1">IFERROR(__xludf.DUMMYFUNCTION("""COMPUTED_VALUE"""),-0.503848463171359)</f>
        <v>-0.50384846317135901</v>
      </c>
      <c r="BA21" s="3">
        <f ca="1">IFERROR(__xludf.DUMMYFUNCTION("""COMPUTED_VALUE"""),-0.642566298052889)</f>
        <v>-0.64256629805288901</v>
      </c>
      <c r="BB21" s="3">
        <f ca="1">IFERROR(__xludf.DUMMYFUNCTION("""COMPUTED_VALUE"""),-0.494020306366054)</f>
        <v>-0.49402030636605399</v>
      </c>
      <c r="BC21" s="3">
        <f ca="1">IFERROR(__xludf.DUMMYFUNCTION("""COMPUTED_VALUE"""),-0.478578245836963)</f>
        <v>-0.47857824583696301</v>
      </c>
      <c r="BD21" s="3">
        <f ca="1">IFERROR(__xludf.DUMMYFUNCTION("""COMPUTED_VALUE"""),-0.511376567886193)</f>
        <v>-0.51137656788619301</v>
      </c>
      <c r="BE21" s="3">
        <f ca="1">IFERROR(__xludf.DUMMYFUNCTION("""COMPUTED_VALUE"""),-0.407319598416151)</f>
        <v>-0.40731959841615101</v>
      </c>
      <c r="BF21" s="3">
        <f ca="1">IFERROR(__xludf.DUMMYFUNCTION("""COMPUTED_VALUE"""),-0.476372186653278)</f>
        <v>-0.47637218665327802</v>
      </c>
      <c r="BG21" s="3">
        <f ca="1">IFERROR(__xludf.DUMMYFUNCTION("""COMPUTED_VALUE"""),-0.488537086348268)</f>
        <v>-0.48853708634826798</v>
      </c>
      <c r="BH21" s="3">
        <f ca="1">IFERROR(__xludf.DUMMYFUNCTION("""COMPUTED_VALUE"""),-0.531162483133129)</f>
        <v>-0.53116248313312897</v>
      </c>
      <c r="BI21" s="3">
        <f ca="1">IFERROR(__xludf.DUMMYFUNCTION("""COMPUTED_VALUE"""),-0.545159188981277)</f>
        <v>-0.54515918898127702</v>
      </c>
      <c r="BJ21" s="3">
        <f ca="1">IFERROR(__xludf.DUMMYFUNCTION("""COMPUTED_VALUE"""),-0.558277205372264)</f>
        <v>-0.558277205372264</v>
      </c>
      <c r="BK21" s="3">
        <f ca="1">IFERROR(__xludf.DUMMYFUNCTION("""COMPUTED_VALUE"""),-0.528033130138988)</f>
        <v>-0.528033130138988</v>
      </c>
      <c r="BL21" s="3">
        <f ca="1">IFERROR(__xludf.DUMMYFUNCTION("""COMPUTED_VALUE"""),-0.504150474585592)</f>
        <v>-0.50415047458559203</v>
      </c>
      <c r="BM21" s="3">
        <f ca="1">IFERROR(__xludf.DUMMYFUNCTION("""COMPUTED_VALUE"""),-0.413915069958578)</f>
        <v>-0.41391506995857802</v>
      </c>
      <c r="BN21" s="3">
        <f ca="1">IFERROR(__xludf.DUMMYFUNCTION("""COMPUTED_VALUE"""),-0.535493700146184)</f>
        <v>-0.53549370014618403</v>
      </c>
      <c r="BO21" s="3">
        <f ca="1">IFERROR(__xludf.DUMMYFUNCTION("""COMPUTED_VALUE"""),-0.55573401082717)</f>
        <v>-0.55573401082717</v>
      </c>
      <c r="BP21" s="3">
        <f ca="1">IFERROR(__xludf.DUMMYFUNCTION("""COMPUTED_VALUE"""),-0.521280612275818)</f>
        <v>-0.52128061227581801</v>
      </c>
      <c r="BQ21" s="3">
        <f ca="1">IFERROR(__xludf.DUMMYFUNCTION("""COMPUTED_VALUE"""),-0.588765775002293)</f>
        <v>-0.58876577500229299</v>
      </c>
      <c r="BR21" s="3">
        <f ca="1">IFERROR(__xludf.DUMMYFUNCTION("""COMPUTED_VALUE"""),-0.697038666252113)</f>
        <v>-0.69703866625211297</v>
      </c>
      <c r="BS21" s="3">
        <f ca="1">IFERROR(__xludf.DUMMYFUNCTION("""COMPUTED_VALUE"""),-0.46261291346072)</f>
        <v>-0.46261291346071998</v>
      </c>
      <c r="BT21" s="3">
        <f ca="1">IFERROR(__xludf.DUMMYFUNCTION("""COMPUTED_VALUE"""),-0.469780686030453)</f>
        <v>-0.46978068603045298</v>
      </c>
      <c r="BU21" s="3">
        <f ca="1">IFERROR(__xludf.DUMMYFUNCTION("""COMPUTED_VALUE"""),-0.60389829915827)</f>
        <v>-0.60389829915826998</v>
      </c>
      <c r="BV21" s="3">
        <f ca="1">IFERROR(__xludf.DUMMYFUNCTION("""COMPUTED_VALUE"""),-0.550158332196378)</f>
        <v>-0.550158332196378</v>
      </c>
      <c r="BW21" s="3">
        <f ca="1">IFERROR(__xludf.DUMMYFUNCTION("""COMPUTED_VALUE"""),-0.522398227644223)</f>
        <v>-0.52239822764422295</v>
      </c>
      <c r="BX21" s="3">
        <f ca="1">IFERROR(__xludf.DUMMYFUNCTION("""COMPUTED_VALUE"""),-0.611846295554919)</f>
        <v>-0.61184629555491898</v>
      </c>
      <c r="BY21" s="3">
        <f ca="1">IFERROR(__xludf.DUMMYFUNCTION("""COMPUTED_VALUE"""),-0.587632580236935)</f>
        <v>-0.58763258023693499</v>
      </c>
      <c r="BZ21" s="3">
        <f ca="1">IFERROR(__xludf.DUMMYFUNCTION("""COMPUTED_VALUE"""),-0.534279058494189)</f>
        <v>-0.534279058494189</v>
      </c>
      <c r="CA21" s="3">
        <f ca="1">IFERROR(__xludf.DUMMYFUNCTION("""COMPUTED_VALUE"""),-0.453366077106651)</f>
        <v>-0.453366077106651</v>
      </c>
      <c r="CB21" s="3">
        <f ca="1">IFERROR(__xludf.DUMMYFUNCTION("""COMPUTED_VALUE"""),-0.580388988915817)</f>
        <v>-0.58038898891581703</v>
      </c>
      <c r="CC21" s="3">
        <f ca="1">IFERROR(__xludf.DUMMYFUNCTION("""COMPUTED_VALUE"""),-0.601314305888718)</f>
        <v>-0.60131430588871804</v>
      </c>
      <c r="CD21" s="3">
        <f ca="1">IFERROR(__xludf.DUMMYFUNCTION("""COMPUTED_VALUE"""),-0.582210086340086)</f>
        <v>-0.58221008634008597</v>
      </c>
      <c r="CE21" s="3">
        <f ca="1">IFERROR(__xludf.DUMMYFUNCTION("""COMPUTED_VALUE"""),-0.596373319299483)</f>
        <v>-0.59637331929948301</v>
      </c>
      <c r="CF21" s="3">
        <f ca="1">IFERROR(__xludf.DUMMYFUNCTION("""COMPUTED_VALUE"""),-0.574809857920829)</f>
        <v>-0.57480985792082895</v>
      </c>
      <c r="CG21" s="3">
        <f ca="1">IFERROR(__xludf.DUMMYFUNCTION("""COMPUTED_VALUE"""),-0.515822167565967)</f>
        <v>-0.51582216756596699</v>
      </c>
      <c r="CH21" s="3">
        <f ca="1">IFERROR(__xludf.DUMMYFUNCTION("""COMPUTED_VALUE"""),-0.326591265572313)</f>
        <v>-0.32659126557231299</v>
      </c>
      <c r="CI21" s="3">
        <f ca="1">IFERROR(__xludf.DUMMYFUNCTION("""COMPUTED_VALUE"""),-0.584105490239009)</f>
        <v>-0.58410549023900904</v>
      </c>
      <c r="CJ21" s="3">
        <f ca="1">IFERROR(__xludf.DUMMYFUNCTION("""COMPUTED_VALUE"""),-0.528937260715676)</f>
        <v>-0.52893726071567604</v>
      </c>
      <c r="CK21" s="3">
        <f ca="1">IFERROR(__xludf.DUMMYFUNCTION("""COMPUTED_VALUE"""),-0.547130759772962)</f>
        <v>-0.54713075977296199</v>
      </c>
      <c r="CL21" s="3">
        <f ca="1">IFERROR(__xludf.DUMMYFUNCTION("""COMPUTED_VALUE"""),-0.541121766996166)</f>
        <v>-0.54112176699616599</v>
      </c>
      <c r="CM21" s="3">
        <f ca="1">IFERROR(__xludf.DUMMYFUNCTION("""COMPUTED_VALUE"""),-0.574409596771203)</f>
        <v>-0.57440959677120296</v>
      </c>
      <c r="CN21" s="3">
        <f ca="1">IFERROR(__xludf.DUMMYFUNCTION("""COMPUTED_VALUE"""),-0.545992721754291)</f>
        <v>-0.54599272175429103</v>
      </c>
      <c r="CO21" s="3">
        <f ca="1">IFERROR(__xludf.DUMMYFUNCTION("""COMPUTED_VALUE"""),-0.469838450543024)</f>
        <v>-0.46983845054302398</v>
      </c>
      <c r="CP21" s="3">
        <f ca="1">IFERROR(__xludf.DUMMYFUNCTION("""COMPUTED_VALUE"""),-0.537559274405551)</f>
        <v>-0.53755927440555096</v>
      </c>
      <c r="CQ21" s="3">
        <f ca="1">IFERROR(__xludf.DUMMYFUNCTION("""COMPUTED_VALUE"""),-0.581405495295417)</f>
        <v>-0.58140549529541696</v>
      </c>
      <c r="CR21" s="3">
        <f ca="1">IFERROR(__xludf.DUMMYFUNCTION("""COMPUTED_VALUE"""),-0.3984060327148)</f>
        <v>-0.39840603271480002</v>
      </c>
      <c r="CS21" s="3">
        <f ca="1">IFERROR(__xludf.DUMMYFUNCTION("""COMPUTED_VALUE"""),-0.622747025320172)</f>
        <v>-0.62274702532017201</v>
      </c>
      <c r="CT21" s="3">
        <f ca="1">IFERROR(__xludf.DUMMYFUNCTION("""COMPUTED_VALUE"""),-0.563242386014195)</f>
        <v>-0.56324238601419496</v>
      </c>
      <c r="CU21" s="3">
        <f ca="1">IFERROR(__xludf.DUMMYFUNCTION("""COMPUTED_VALUE"""),-0.533039589991925)</f>
        <v>-0.53303958999192502</v>
      </c>
      <c r="CV21" s="3">
        <f ca="1">IFERROR(__xludf.DUMMYFUNCTION("""COMPUTED_VALUE"""),-0.534263690229126)</f>
        <v>-0.53426369022912601</v>
      </c>
      <c r="CW21" s="3">
        <f ca="1">IFERROR(__xludf.DUMMYFUNCTION("""COMPUTED_VALUE"""),-0.905502914734364)</f>
        <v>-0.90550291473436395</v>
      </c>
      <c r="CX21" s="3">
        <f ca="1">IFERROR(__xludf.DUMMYFUNCTION("""COMPUTED_VALUE"""),-0.540817510968325)</f>
        <v>-0.54081751096832498</v>
      </c>
      <c r="CY21" s="3">
        <f ca="1">IFERROR(__xludf.DUMMYFUNCTION("""COMPUTED_VALUE"""),0.0384842256387372)</f>
        <v>3.8484225638737199E-2</v>
      </c>
      <c r="CZ21" s="3">
        <f ca="1">IFERROR(__xludf.DUMMYFUNCTION("""COMPUTED_VALUE"""),-0.558212759361745)</f>
        <v>-0.55821275936174497</v>
      </c>
      <c r="DA21" s="3">
        <f ca="1">IFERROR(__xludf.DUMMYFUNCTION("""COMPUTED_VALUE"""),-0.549392329752175)</f>
        <v>-0.549392329752175</v>
      </c>
      <c r="DB21" s="3">
        <f ca="1">IFERROR(__xludf.DUMMYFUNCTION("""COMPUTED_VALUE"""),-0.570537599724735)</f>
        <v>-0.57053759972473495</v>
      </c>
      <c r="DC21" s="3">
        <f ca="1">IFERROR(__xludf.DUMMYFUNCTION("""COMPUTED_VALUE"""),-0.525416465603083)</f>
        <v>-0.52541646560308297</v>
      </c>
      <c r="DD21" s="3">
        <f ca="1">IFERROR(__xludf.DUMMYFUNCTION("""COMPUTED_VALUE"""),-0.933465608336995)</f>
        <v>-0.93346560833699499</v>
      </c>
      <c r="DE21" s="3">
        <f ca="1">IFERROR(__xludf.DUMMYFUNCTION("""COMPUTED_VALUE"""),-0.578980663001847)</f>
        <v>-0.57898066300184703</v>
      </c>
      <c r="DF21" s="3">
        <f ca="1">IFERROR(__xludf.DUMMYFUNCTION("""COMPUTED_VALUE"""),-0.0370572053907685)</f>
        <v>-3.7057205390768497E-2</v>
      </c>
      <c r="DG21" s="3">
        <f ca="1">IFERROR(__xludf.DUMMYFUNCTION("""COMPUTED_VALUE"""),-0.502456672170023)</f>
        <v>-0.50245667217002299</v>
      </c>
      <c r="DH21" s="3">
        <f ca="1">IFERROR(__xludf.DUMMYFUNCTION("""COMPUTED_VALUE"""),-0.546594447566453)</f>
        <v>-0.54659444756645303</v>
      </c>
      <c r="DI21" s="3">
        <f ca="1">IFERROR(__xludf.DUMMYFUNCTION("""COMPUTED_VALUE"""),-0.531630859474534)</f>
        <v>-0.53163085947453403</v>
      </c>
      <c r="DJ21" s="3">
        <f ca="1">IFERROR(__xludf.DUMMYFUNCTION("""COMPUTED_VALUE"""),-0.52031462419956)</f>
        <v>-0.52031462419955998</v>
      </c>
      <c r="DK21" s="3">
        <f ca="1">IFERROR(__xludf.DUMMYFUNCTION("""COMPUTED_VALUE"""),-0.579642965562215)</f>
        <v>-0.57964296556221495</v>
      </c>
      <c r="DL21" s="3">
        <f ca="1">IFERROR(__xludf.DUMMYFUNCTION("""COMPUTED_VALUE"""),-0.559876488381435)</f>
        <v>-0.559876488381435</v>
      </c>
      <c r="DM21" s="3">
        <f ca="1">IFERROR(__xludf.DUMMYFUNCTION("""COMPUTED_VALUE"""),-0.447063035572137)</f>
        <v>-0.447063035572137</v>
      </c>
      <c r="DN21" s="3">
        <f ca="1">IFERROR(__xludf.DUMMYFUNCTION("""COMPUTED_VALUE"""),-0.563457225931187)</f>
        <v>-0.56345722593118697</v>
      </c>
      <c r="DO21" s="3">
        <f ca="1">IFERROR(__xludf.DUMMYFUNCTION("""COMPUTED_VALUE"""),-0.563674442100885)</f>
        <v>-0.56367444210088502</v>
      </c>
      <c r="DP21" s="3">
        <f ca="1">IFERROR(__xludf.DUMMYFUNCTION("""COMPUTED_VALUE"""),-0.442950943328049)</f>
        <v>-0.44295094332804902</v>
      </c>
      <c r="DQ21" s="3">
        <f ca="1">IFERROR(__xludf.DUMMYFUNCTION("""COMPUTED_VALUE"""),-0.504818094209373)</f>
        <v>-0.50481809420937296</v>
      </c>
      <c r="DR21" s="3">
        <f ca="1">IFERROR(__xludf.DUMMYFUNCTION("""COMPUTED_VALUE"""),-0.581329114828472)</f>
        <v>-0.58132911482847205</v>
      </c>
      <c r="DS21" s="3">
        <f ca="1">IFERROR(__xludf.DUMMYFUNCTION("""COMPUTED_VALUE"""),-0.545037800660233)</f>
        <v>-0.545037800660233</v>
      </c>
      <c r="DT21" s="3">
        <f ca="1">IFERROR(__xludf.DUMMYFUNCTION("""COMPUTED_VALUE"""),-0.58381008237291)</f>
        <v>-0.58381008237290999</v>
      </c>
      <c r="DU21" s="3">
        <f ca="1">IFERROR(__xludf.DUMMYFUNCTION("""COMPUTED_VALUE"""),-0.567942868694933)</f>
        <v>-0.56794286869493305</v>
      </c>
      <c r="DV21" s="3">
        <f ca="1">IFERROR(__xludf.DUMMYFUNCTION("""COMPUTED_VALUE"""),-0.591502442155422)</f>
        <v>-0.59150244215542203</v>
      </c>
      <c r="DW21" s="3">
        <f ca="1">IFERROR(__xludf.DUMMYFUNCTION("""COMPUTED_VALUE"""),-0.517185014211923)</f>
        <v>-0.51718501421192298</v>
      </c>
      <c r="DX21" s="3">
        <f ca="1">IFERROR(__xludf.DUMMYFUNCTION("""COMPUTED_VALUE"""),-0.550430307366831)</f>
        <v>-0.55043030736683096</v>
      </c>
      <c r="DY21" s="3">
        <f ca="1">IFERROR(__xludf.DUMMYFUNCTION("""COMPUTED_VALUE"""),-0.577535817468038)</f>
        <v>-0.57753581746803795</v>
      </c>
      <c r="DZ21" s="3">
        <f ca="1">IFERROR(__xludf.DUMMYFUNCTION("""COMPUTED_VALUE"""),-0.505962799726917)</f>
        <v>-0.50596279972691705</v>
      </c>
      <c r="EA21" s="3">
        <f ca="1">IFERROR(__xludf.DUMMYFUNCTION("""COMPUTED_VALUE"""),-0.610706127710017)</f>
        <v>-0.61070612771001698</v>
      </c>
      <c r="EB21" s="3">
        <f ca="1">IFERROR(__xludf.DUMMYFUNCTION("""COMPUTED_VALUE"""),-0.550656482195646)</f>
        <v>-0.550656482195646</v>
      </c>
      <c r="EC21" s="3">
        <f ca="1">IFERROR(__xludf.DUMMYFUNCTION("""COMPUTED_VALUE"""),-0.676303591355204)</f>
        <v>-0.67630359135520401</v>
      </c>
      <c r="ED21" s="3">
        <f ca="1">IFERROR(__xludf.DUMMYFUNCTION("""COMPUTED_VALUE"""),-0.475278994520569)</f>
        <v>-0.47527899452056899</v>
      </c>
      <c r="EE21" s="3">
        <f ca="1">IFERROR(__xludf.DUMMYFUNCTION("""COMPUTED_VALUE"""),-0.498021962518059)</f>
        <v>-0.49802196251805902</v>
      </c>
      <c r="EF21" s="3">
        <f ca="1">IFERROR(__xludf.DUMMYFUNCTION("""COMPUTED_VALUE"""),-0.59215163308137)</f>
        <v>-0.59215163308136998</v>
      </c>
      <c r="EG21" s="3">
        <f ca="1">IFERROR(__xludf.DUMMYFUNCTION("""COMPUTED_VALUE"""),-0.881871984166357)</f>
        <v>-0.88187198416635704</v>
      </c>
      <c r="EH21" s="3">
        <f ca="1">IFERROR(__xludf.DUMMYFUNCTION("""COMPUTED_VALUE"""),-0.54957726378875)</f>
        <v>-0.54957726378875005</v>
      </c>
      <c r="EI21" s="3">
        <f ca="1">IFERROR(__xludf.DUMMYFUNCTION("""COMPUTED_VALUE"""),-0.55265622760743)</f>
        <v>-0.55265622760743005</v>
      </c>
      <c r="EJ21" s="3">
        <f ca="1">IFERROR(__xludf.DUMMYFUNCTION("""COMPUTED_VALUE"""),-0.633058296336451)</f>
        <v>-0.63305829633645105</v>
      </c>
      <c r="EK21" s="3">
        <f ca="1">IFERROR(__xludf.DUMMYFUNCTION("""COMPUTED_VALUE"""),-0.44321326299197)</f>
        <v>-0.44321326299197</v>
      </c>
      <c r="EL21" s="3">
        <f ca="1">IFERROR(__xludf.DUMMYFUNCTION("""COMPUTED_VALUE"""),-0.454875660348755)</f>
        <v>-0.45487566034875498</v>
      </c>
      <c r="EM21" s="3">
        <f ca="1">IFERROR(__xludf.DUMMYFUNCTION("""COMPUTED_VALUE"""),-0.577304415023192)</f>
        <v>-0.57730441502319196</v>
      </c>
      <c r="EN21" s="3">
        <f ca="1">IFERROR(__xludf.DUMMYFUNCTION("""COMPUTED_VALUE"""),-0.45678588225159)</f>
        <v>-0.45678588225159</v>
      </c>
      <c r="EO21" s="3">
        <f ca="1">IFERROR(__xludf.DUMMYFUNCTION("""COMPUTED_VALUE"""),-0.571946862742813)</f>
        <v>-0.57194686274281303</v>
      </c>
      <c r="EP21" s="3">
        <f ca="1">IFERROR(__xludf.DUMMYFUNCTION("""COMPUTED_VALUE"""),-0.573086779449808)</f>
        <v>-0.57308677944980801</v>
      </c>
      <c r="EQ21" s="3">
        <f ca="1">IFERROR(__xludf.DUMMYFUNCTION("""COMPUTED_VALUE"""),-0.628365326437768)</f>
        <v>-0.62836532643776799</v>
      </c>
      <c r="ER21" s="3">
        <f ca="1">IFERROR(__xludf.DUMMYFUNCTION("""COMPUTED_VALUE"""),-0.457636264676009)</f>
        <v>-0.45763626467600899</v>
      </c>
      <c r="ES21" s="3">
        <f ca="1">IFERROR(__xludf.DUMMYFUNCTION("""COMPUTED_VALUE"""),-0.503983695788544)</f>
        <v>-0.50398369578854396</v>
      </c>
      <c r="ET21" s="3">
        <f ca="1">IFERROR(__xludf.DUMMYFUNCTION("""COMPUTED_VALUE"""),-0.613785093060778)</f>
        <v>-0.613785093060778</v>
      </c>
      <c r="EU21" s="3">
        <f ca="1">IFERROR(__xludf.DUMMYFUNCTION("""COMPUTED_VALUE"""),-0.612239838658528)</f>
        <v>-0.61223983865852805</v>
      </c>
      <c r="EV21" s="3">
        <f ca="1">IFERROR(__xludf.DUMMYFUNCTION("""COMPUTED_VALUE"""),-0.668590842075704)</f>
        <v>-0.66859084207570396</v>
      </c>
      <c r="EW21" s="3">
        <f ca="1">IFERROR(__xludf.DUMMYFUNCTION("""COMPUTED_VALUE"""),-0.546539727761109)</f>
        <v>-0.54653972776110904</v>
      </c>
      <c r="EX21" s="3">
        <f ca="1">IFERROR(__xludf.DUMMYFUNCTION("""COMPUTED_VALUE"""),-0.568190665185229)</f>
        <v>-0.56819066518522898</v>
      </c>
      <c r="EY21" s="3">
        <f ca="1">IFERROR(__xludf.DUMMYFUNCTION("""COMPUTED_VALUE"""),-0.405712400710715)</f>
        <v>-0.40571240071071502</v>
      </c>
      <c r="EZ21" s="3">
        <f ca="1">IFERROR(__xludf.DUMMYFUNCTION("""COMPUTED_VALUE"""),-0.418197433373298)</f>
        <v>-0.41819743337329801</v>
      </c>
      <c r="FA21" s="3">
        <f ca="1">IFERROR(__xludf.DUMMYFUNCTION("""COMPUTED_VALUE"""),-0.592238408249183)</f>
        <v>-0.59223840824918295</v>
      </c>
      <c r="FB21" s="3">
        <f ca="1">IFERROR(__xludf.DUMMYFUNCTION("""COMPUTED_VALUE"""),-0.602150101132502)</f>
        <v>-0.602150101132502</v>
      </c>
      <c r="FC21" s="3">
        <f ca="1">IFERROR(__xludf.DUMMYFUNCTION("""COMPUTED_VALUE"""),-0.557683824611256)</f>
        <v>-0.55768382461125598</v>
      </c>
      <c r="FD21" s="3">
        <f ca="1">IFERROR(__xludf.DUMMYFUNCTION("""COMPUTED_VALUE"""),-0.528403078820397)</f>
        <v>-0.52840307882039705</v>
      </c>
      <c r="FE21" s="3">
        <f ca="1">IFERROR(__xludf.DUMMYFUNCTION("""COMPUTED_VALUE"""),-0.558429886225118)</f>
        <v>-0.55842988622511802</v>
      </c>
      <c r="FF21" s="3">
        <f ca="1">IFERROR(__xludf.DUMMYFUNCTION("""COMPUTED_VALUE"""),-0.4203660097341)</f>
        <v>-0.42036600973409999</v>
      </c>
      <c r="FG21" s="3">
        <f ca="1">IFERROR(__xludf.DUMMYFUNCTION("""COMPUTED_VALUE"""),-0.502492509389266)</f>
        <v>-0.50249250938926604</v>
      </c>
      <c r="FH21" s="3">
        <f ca="1">IFERROR(__xludf.DUMMYFUNCTION("""COMPUTED_VALUE"""),-0.572823566543778)</f>
        <v>-0.57282356654377797</v>
      </c>
      <c r="FI21" s="3">
        <f ca="1">IFERROR(__xludf.DUMMYFUNCTION("""COMPUTED_VALUE"""),-0.653779816803841)</f>
        <v>-0.65377981680384101</v>
      </c>
      <c r="FJ21" s="3">
        <f ca="1">IFERROR(__xludf.DUMMYFUNCTION("""COMPUTED_VALUE"""),-0.56940048290416)</f>
        <v>-0.56940048290416001</v>
      </c>
      <c r="FK21" s="3">
        <f ca="1">IFERROR(__xludf.DUMMYFUNCTION("""COMPUTED_VALUE"""),-0.595530547094994)</f>
        <v>-0.59553054709499398</v>
      </c>
      <c r="FL21" s="3">
        <f ca="1">IFERROR(__xludf.DUMMYFUNCTION("""COMPUTED_VALUE"""),-0.599114096453717)</f>
        <v>-0.59911409645371705</v>
      </c>
      <c r="FM21" s="3">
        <f ca="1">IFERROR(__xludf.DUMMYFUNCTION("""COMPUTED_VALUE"""),-0.515495224900415)</f>
        <v>-0.51549522490041499</v>
      </c>
      <c r="FN21" s="3">
        <f ca="1">IFERROR(__xludf.DUMMYFUNCTION("""COMPUTED_VALUE"""),-0.49209478515664)</f>
        <v>-0.49209478515664001</v>
      </c>
      <c r="FO21" s="3">
        <f ca="1">IFERROR(__xludf.DUMMYFUNCTION("""COMPUTED_VALUE"""),-0.593615385024562)</f>
        <v>-0.59361538502456201</v>
      </c>
      <c r="FP21" s="3">
        <f ca="1">IFERROR(__xludf.DUMMYFUNCTION("""COMPUTED_VALUE"""),-0.55666176559013)</f>
        <v>-0.55666176559013003</v>
      </c>
      <c r="FQ21" s="3">
        <f ca="1">IFERROR(__xludf.DUMMYFUNCTION("""COMPUTED_VALUE"""),-0.564974516760691)</f>
        <v>-0.56497451676069099</v>
      </c>
      <c r="FR21" s="3">
        <f ca="1">IFERROR(__xludf.DUMMYFUNCTION("""COMPUTED_VALUE"""),-0.565753655147138)</f>
        <v>-0.56575365514713805</v>
      </c>
      <c r="FS21" s="3">
        <f ca="1">IFERROR(__xludf.DUMMYFUNCTION("""COMPUTED_VALUE"""),-0.582771112495703)</f>
        <v>-0.58277111249570301</v>
      </c>
      <c r="FT21" s="3">
        <f ca="1">IFERROR(__xludf.DUMMYFUNCTION("""COMPUTED_VALUE"""),-0.475200897133406)</f>
        <v>-0.47520089713340602</v>
      </c>
      <c r="FU21" s="3">
        <f ca="1">IFERROR(__xludf.DUMMYFUNCTION("""COMPUTED_VALUE"""),-0.481655286859453)</f>
        <v>-0.48165528685945302</v>
      </c>
      <c r="FV21" s="3">
        <f ca="1">IFERROR(__xludf.DUMMYFUNCTION("""COMPUTED_VALUE"""),-0.659764453991184)</f>
        <v>-0.659764453991184</v>
      </c>
      <c r="FW21" s="3">
        <f ca="1">IFERROR(__xludf.DUMMYFUNCTION("""COMPUTED_VALUE"""),-0.627810101139286)</f>
        <v>-0.62781010113928604</v>
      </c>
      <c r="FX21" s="3">
        <f ca="1">IFERROR(__xludf.DUMMYFUNCTION("""COMPUTED_VALUE"""),-0.524085832939098)</f>
        <v>-0.52408583293909805</v>
      </c>
      <c r="FY21" s="3">
        <f ca="1">IFERROR(__xludf.DUMMYFUNCTION("""COMPUTED_VALUE"""),-0.565556264765223)</f>
        <v>-0.56555626476522303</v>
      </c>
      <c r="FZ21" s="3">
        <f ca="1">IFERROR(__xludf.DUMMYFUNCTION("""COMPUTED_VALUE"""),-0.606714039660492)</f>
        <v>-0.60671403966049198</v>
      </c>
      <c r="GA21" s="3">
        <f ca="1">IFERROR(__xludf.DUMMYFUNCTION("""COMPUTED_VALUE"""),-0.478382115588766)</f>
        <v>-0.47838211558876598</v>
      </c>
      <c r="GB21" s="3">
        <f ca="1">IFERROR(__xludf.DUMMYFUNCTION("""COMPUTED_VALUE"""),-0.5191358823017)</f>
        <v>-0.51913588230170005</v>
      </c>
      <c r="GC21" s="3">
        <f ca="1">IFERROR(__xludf.DUMMYFUNCTION("""COMPUTED_VALUE"""),-0.599333056465072)</f>
        <v>-0.59933305646507196</v>
      </c>
      <c r="GD21" s="3">
        <f ca="1">IFERROR(__xludf.DUMMYFUNCTION("""COMPUTED_VALUE"""),-0.587282386290314)</f>
        <v>-0.58728238629031404</v>
      </c>
      <c r="GE21" s="3">
        <f ca="1">IFERROR(__xludf.DUMMYFUNCTION("""COMPUTED_VALUE"""),-0.59468759999814)</f>
        <v>-0.59468759999814003</v>
      </c>
      <c r="GF21" s="3">
        <f ca="1">IFERROR(__xludf.DUMMYFUNCTION("""COMPUTED_VALUE"""),-0.527385753120379)</f>
        <v>-0.52738575312037905</v>
      </c>
      <c r="GG21" s="3">
        <f ca="1">IFERROR(__xludf.DUMMYFUNCTION("""COMPUTED_VALUE"""),-0.558464074208251)</f>
        <v>-0.55846407420825095</v>
      </c>
      <c r="GH21" s="3">
        <f ca="1">IFERROR(__xludf.DUMMYFUNCTION("""COMPUTED_VALUE"""),-0.442551244665607)</f>
        <v>-0.44255124466560702</v>
      </c>
      <c r="GI21" s="3">
        <f ca="1">IFERROR(__xludf.DUMMYFUNCTION("""COMPUTED_VALUE"""),-0.503234219822082)</f>
        <v>-0.50323421982208205</v>
      </c>
      <c r="GJ21" s="3">
        <f ca="1">IFERROR(__xludf.DUMMYFUNCTION("""COMPUTED_VALUE"""),-0.565064648838386)</f>
        <v>-0.56506464883838603</v>
      </c>
      <c r="GK21" s="3">
        <f ca="1">IFERROR(__xludf.DUMMYFUNCTION("""COMPUTED_VALUE"""),-0.597967671678744)</f>
        <v>-0.59796767167874398</v>
      </c>
      <c r="GL21" s="3">
        <f ca="1">IFERROR(__xludf.DUMMYFUNCTION("""COMPUTED_VALUE"""),-0.591677979951476)</f>
        <v>-0.59167797995147597</v>
      </c>
      <c r="GM21" s="3">
        <f ca="1">IFERROR(__xludf.DUMMYFUNCTION("""COMPUTED_VALUE"""),-0.641654340236478)</f>
        <v>-0.64165434023647805</v>
      </c>
      <c r="GN21" s="3">
        <f ca="1">IFERROR(__xludf.DUMMYFUNCTION("""COMPUTED_VALUE"""),-0.604354891876434)</f>
        <v>-0.60435489187643399</v>
      </c>
      <c r="GO21" s="3">
        <f ca="1">IFERROR(__xludf.DUMMYFUNCTION("""COMPUTED_VALUE"""),-0.546848500419625)</f>
        <v>-0.54684850041962496</v>
      </c>
      <c r="GP21" s="3">
        <f ca="1">IFERROR(__xludf.DUMMYFUNCTION("""COMPUTED_VALUE"""),-0.555230472126845)</f>
        <v>-0.55523047212684495</v>
      </c>
      <c r="GQ21" s="3">
        <f ca="1">IFERROR(__xludf.DUMMYFUNCTION("""COMPUTED_VALUE"""),-0.616064981138477)</f>
        <v>-0.61606498113847696</v>
      </c>
      <c r="GR21" s="3">
        <f ca="1">IFERROR(__xludf.DUMMYFUNCTION("""COMPUTED_VALUE"""),-0.628565532660835)</f>
        <v>-0.62856553266083504</v>
      </c>
      <c r="GS21" s="3">
        <f ca="1">IFERROR(__xludf.DUMMYFUNCTION("""COMPUTED_VALUE"""),-0.598964783054799)</f>
        <v>-0.59896478305479905</v>
      </c>
      <c r="GT21" s="3">
        <f ca="1">IFERROR(__xludf.DUMMYFUNCTION("""COMPUTED_VALUE"""),-0.626157703117615)</f>
        <v>-0.62615770311761498</v>
      </c>
      <c r="GU21" s="3">
        <f ca="1">IFERROR(__xludf.DUMMYFUNCTION("""COMPUTED_VALUE"""),-0.601087923254665)</f>
        <v>-0.60108792325466498</v>
      </c>
      <c r="GV21" s="3">
        <f ca="1">IFERROR(__xludf.DUMMYFUNCTION("""COMPUTED_VALUE"""),-0.455908071635901)</f>
        <v>-0.45590807163590102</v>
      </c>
      <c r="GW21" s="3">
        <f ca="1">IFERROR(__xludf.DUMMYFUNCTION("""COMPUTED_VALUE"""),-0.578079737394401)</f>
        <v>-0.57807973739440099</v>
      </c>
      <c r="GX21" s="3">
        <f ca="1">IFERROR(__xludf.DUMMYFUNCTION("""COMPUTED_VALUE"""),-0.57349975549828)</f>
        <v>-0.57349975549828003</v>
      </c>
      <c r="GY21" s="3">
        <f ca="1">IFERROR(__xludf.DUMMYFUNCTION("""COMPUTED_VALUE"""),-0.58794208644356)</f>
        <v>-0.58794208644356005</v>
      </c>
      <c r="GZ21" s="3">
        <f ca="1">IFERROR(__xludf.DUMMYFUNCTION("""COMPUTED_VALUE"""),-0.577184429310894)</f>
        <v>-0.57718442931089398</v>
      </c>
      <c r="HA21" s="3">
        <f ca="1">IFERROR(__xludf.DUMMYFUNCTION("""COMPUTED_VALUE"""),-0.651344011708596)</f>
        <v>-0.65134401170859602</v>
      </c>
      <c r="HB21" s="3">
        <f ca="1">IFERROR(__xludf.DUMMYFUNCTION("""COMPUTED_VALUE"""),-0.626485872467482)</f>
        <v>-0.626485872467482</v>
      </c>
      <c r="HC21" s="3">
        <f ca="1">IFERROR(__xludf.DUMMYFUNCTION("""COMPUTED_VALUE"""),-0.539634630595826)</f>
        <v>-0.53963463059582595</v>
      </c>
      <c r="HD21" s="3">
        <f ca="1">IFERROR(__xludf.DUMMYFUNCTION("""COMPUTED_VALUE"""),-0.529546249800381)</f>
        <v>-0.52954624980038101</v>
      </c>
      <c r="HE21" s="3">
        <f ca="1">IFERROR(__xludf.DUMMYFUNCTION("""COMPUTED_VALUE"""),-0.587942694004353)</f>
        <v>-0.58794269400435295</v>
      </c>
      <c r="HF21" s="3">
        <f ca="1">IFERROR(__xludf.DUMMYFUNCTION("""COMPUTED_VALUE"""),-0.687300051551037)</f>
        <v>-0.68730005155103702</v>
      </c>
      <c r="HG21" s="3">
        <f ca="1">IFERROR(__xludf.DUMMYFUNCTION("""COMPUTED_VALUE"""),-0.616071967805543)</f>
        <v>-0.61607196780554296</v>
      </c>
      <c r="HH21" s="3">
        <f ca="1">IFERROR(__xludf.DUMMYFUNCTION("""COMPUTED_VALUE"""),-0.645700387639654)</f>
        <v>-0.64570038763965398</v>
      </c>
      <c r="HI21" s="3">
        <f ca="1">IFERROR(__xludf.DUMMYFUNCTION("""COMPUTED_VALUE"""),-0.619024457466285)</f>
        <v>-0.61902445746628498</v>
      </c>
      <c r="HJ21" s="3">
        <f ca="1">IFERROR(__xludf.DUMMYFUNCTION("""COMPUTED_VALUE"""),-0.462908899735596)</f>
        <v>-0.46290889973559601</v>
      </c>
      <c r="HK21" s="3">
        <f ca="1">IFERROR(__xludf.DUMMYFUNCTION("""COMPUTED_VALUE"""),-0.478588625966289)</f>
        <v>-0.47858862596628898</v>
      </c>
      <c r="HL21" s="3">
        <f ca="1">IFERROR(__xludf.DUMMYFUNCTION("""COMPUTED_VALUE"""),-0.597991614316956)</f>
        <v>-0.59799161431695602</v>
      </c>
      <c r="HM21" s="3">
        <f ca="1">IFERROR(__xludf.DUMMYFUNCTION("""COMPUTED_VALUE"""),-0.620116669220649)</f>
        <v>-0.62011666922064901</v>
      </c>
      <c r="HN21" s="3">
        <f ca="1">IFERROR(__xludf.DUMMYFUNCTION("""COMPUTED_VALUE"""),-0.606507564418561)</f>
        <v>-0.60650756441856102</v>
      </c>
      <c r="HO21" s="3">
        <f ca="1">IFERROR(__xludf.DUMMYFUNCTION("""COMPUTED_VALUE"""),-0.660253159342912)</f>
        <v>-0.66025315934291195</v>
      </c>
      <c r="HP21" s="3">
        <f ca="1">IFERROR(__xludf.DUMMYFUNCTION("""COMPUTED_VALUE"""),-0.417121768124472)</f>
        <v>-0.41712176812447199</v>
      </c>
      <c r="HQ21" s="3">
        <f ca="1">IFERROR(__xludf.DUMMYFUNCTION("""COMPUTED_VALUE"""),-0.525807195399486)</f>
        <v>-0.52580719539948595</v>
      </c>
      <c r="HR21" s="3">
        <f ca="1">IFERROR(__xludf.DUMMYFUNCTION("""COMPUTED_VALUE"""),-0.603291482432168)</f>
        <v>-0.60329148243216801</v>
      </c>
      <c r="HS21" s="3">
        <f ca="1">IFERROR(__xludf.DUMMYFUNCTION("""COMPUTED_VALUE"""),-0.607303980378198)</f>
        <v>-0.60730398037819799</v>
      </c>
      <c r="HT21" s="3">
        <f ca="1">IFERROR(__xludf.DUMMYFUNCTION("""COMPUTED_VALUE"""),-0.588683468503959)</f>
        <v>-0.58868346850395903</v>
      </c>
      <c r="HU21" s="3">
        <f ca="1">IFERROR(__xludf.DUMMYFUNCTION("""COMPUTED_VALUE"""),-0.598663166939914)</f>
        <v>-0.59866316693991395</v>
      </c>
      <c r="HV21" s="3">
        <f ca="1">IFERROR(__xludf.DUMMYFUNCTION("""COMPUTED_VALUE"""),-0.637368432253926)</f>
        <v>-0.63736843225392603</v>
      </c>
      <c r="HW21" s="3">
        <f ca="1">IFERROR(__xludf.DUMMYFUNCTION("""COMPUTED_VALUE"""),-0.416766010415127)</f>
        <v>-0.41676601041512701</v>
      </c>
      <c r="HX21" s="3">
        <f ca="1">IFERROR(__xludf.DUMMYFUNCTION("""COMPUTED_VALUE"""),-0.582240253742895)</f>
        <v>-0.58224025374289501</v>
      </c>
      <c r="HY21" s="3">
        <f ca="1">IFERROR(__xludf.DUMMYFUNCTION("""COMPUTED_VALUE"""),-0.54152847967199)</f>
        <v>-0.54152847967199003</v>
      </c>
      <c r="HZ21" s="3">
        <f ca="1">IFERROR(__xludf.DUMMYFUNCTION("""COMPUTED_VALUE"""),-0.562739599348102)</f>
        <v>-0.56273959934810203</v>
      </c>
      <c r="IA21" s="3">
        <f ca="1">IFERROR(__xludf.DUMMYFUNCTION("""COMPUTED_VALUE"""),-0.548005911644404)</f>
        <v>-0.54800591164440404</v>
      </c>
      <c r="IB21" s="3">
        <f ca="1">IFERROR(__xludf.DUMMYFUNCTION("""COMPUTED_VALUE"""),-0.613886675564193)</f>
        <v>-0.61388667556419296</v>
      </c>
      <c r="IC21" s="3">
        <f ca="1">IFERROR(__xludf.DUMMYFUNCTION("""COMPUTED_VALUE"""),-0.578667557761418)</f>
        <v>-0.57866755776141798</v>
      </c>
      <c r="ID21" s="3">
        <f ca="1">IFERROR(__xludf.DUMMYFUNCTION("""COMPUTED_VALUE"""),-0.6024900450965)</f>
        <v>-0.60249004509649995</v>
      </c>
      <c r="IE21" s="3">
        <f ca="1">IFERROR(__xludf.DUMMYFUNCTION("""COMPUTED_VALUE"""),-0.52500677757855)</f>
        <v>-0.52500677757854997</v>
      </c>
      <c r="IF21" s="3">
        <f ca="1">IFERROR(__xludf.DUMMYFUNCTION("""COMPUTED_VALUE"""),-0.4971497478926)</f>
        <v>-0.49714974789260002</v>
      </c>
      <c r="IG21" s="3">
        <f ca="1">IFERROR(__xludf.DUMMYFUNCTION("""COMPUTED_VALUE"""),-0.570889745274443)</f>
        <v>-0.57088974527444303</v>
      </c>
      <c r="IH21" s="3">
        <f ca="1">IFERROR(__xludf.DUMMYFUNCTION("""COMPUTED_VALUE"""),-0.614248041937069)</f>
        <v>-0.61424804193706894</v>
      </c>
      <c r="II21" s="3">
        <f ca="1">IFERROR(__xludf.DUMMYFUNCTION("""COMPUTED_VALUE"""),-0.555377790697531)</f>
        <v>-0.55537779069753102</v>
      </c>
      <c r="IJ21" s="3">
        <f ca="1">IFERROR(__xludf.DUMMYFUNCTION("""COMPUTED_VALUE"""),-0.608973019504487)</f>
        <v>-0.60897301950448701</v>
      </c>
      <c r="IK21" s="3">
        <f ca="1">IFERROR(__xludf.DUMMYFUNCTION("""COMPUTED_VALUE"""),-0.603473642293086)</f>
        <v>-0.60347364229308598</v>
      </c>
      <c r="IL21" s="3">
        <f ca="1">IFERROR(__xludf.DUMMYFUNCTION("""COMPUTED_VALUE"""),-0.543636126907251)</f>
        <v>-0.54363612690725105</v>
      </c>
      <c r="IM21" s="3">
        <f ca="1">IFERROR(__xludf.DUMMYFUNCTION("""COMPUTED_VALUE"""),-0.473314297466259)</f>
        <v>-0.47331429746625903</v>
      </c>
      <c r="IN21" s="3">
        <f ca="1">IFERROR(__xludf.DUMMYFUNCTION("""COMPUTED_VALUE"""),-0.551919064137621)</f>
        <v>-0.55191906413762104</v>
      </c>
      <c r="IO21" s="3">
        <f ca="1">IFERROR(__xludf.DUMMYFUNCTION("""COMPUTED_VALUE"""),-0.618676301339645)</f>
        <v>-0.61867630133964502</v>
      </c>
      <c r="IP21" s="3">
        <f ca="1">IFERROR(__xludf.DUMMYFUNCTION("""COMPUTED_VALUE"""),-0.505233252104863)</f>
        <v>-0.50523325210486303</v>
      </c>
      <c r="IQ21" s="3">
        <f ca="1">IFERROR(__xludf.DUMMYFUNCTION("""COMPUTED_VALUE"""),-0.642478984321135)</f>
        <v>-0.64247898432113504</v>
      </c>
      <c r="IR21" s="3">
        <f ca="1">IFERROR(__xludf.DUMMYFUNCTION("""COMPUTED_VALUE"""),-0.591783372095896)</f>
        <v>-0.59178337209589604</v>
      </c>
      <c r="IS21" s="3">
        <f ca="1">IFERROR(__xludf.DUMMYFUNCTION("""COMPUTED_VALUE"""),-0.460940365287921)</f>
        <v>-0.46094036528792098</v>
      </c>
      <c r="IT21" s="3">
        <f ca="1">IFERROR(__xludf.DUMMYFUNCTION("""COMPUTED_VALUE"""),-0.495094033828494)</f>
        <v>-0.49509403382849398</v>
      </c>
      <c r="IU21" s="3">
        <f ca="1">IFERROR(__xludf.DUMMYFUNCTION("""COMPUTED_VALUE"""),-0.63583443015524)</f>
        <v>-0.63583443015523999</v>
      </c>
      <c r="IV21" s="3">
        <f ca="1">IFERROR(__xludf.DUMMYFUNCTION("""COMPUTED_VALUE"""),-0.623432397171797)</f>
        <v>-0.62343239717179699</v>
      </c>
      <c r="IW21" s="3">
        <f ca="1">IFERROR(__xludf.DUMMYFUNCTION("""COMPUTED_VALUE"""),-0.605015332894572)</f>
        <v>-0.60501533289457199</v>
      </c>
      <c r="IX21" s="3">
        <f ca="1">IFERROR(__xludf.DUMMYFUNCTION("""COMPUTED_VALUE"""),-0.588053181467149)</f>
        <v>-0.58805318146714902</v>
      </c>
      <c r="IY21" s="3">
        <f ca="1">IFERROR(__xludf.DUMMYFUNCTION("""COMPUTED_VALUE"""),-0.559763286614224)</f>
        <v>-0.55976328661422403</v>
      </c>
      <c r="IZ21" s="3">
        <f ca="1">IFERROR(__xludf.DUMMYFUNCTION("""COMPUTED_VALUE"""),-0.521027657284076)</f>
        <v>-0.52102765728407596</v>
      </c>
      <c r="JA21" s="3">
        <f ca="1">IFERROR(__xludf.DUMMYFUNCTION("""COMPUTED_VALUE"""),-0.545304923890315)</f>
        <v>-0.54530492389031504</v>
      </c>
      <c r="JB21" s="3">
        <f ca="1">IFERROR(__xludf.DUMMYFUNCTION("""COMPUTED_VALUE"""),-0.617433845856454)</f>
        <v>-0.617433845856454</v>
      </c>
      <c r="JC21" s="3">
        <f ca="1">IFERROR(__xludf.DUMMYFUNCTION("""COMPUTED_VALUE"""),-0.596575284307725)</f>
        <v>-0.596575284307725</v>
      </c>
      <c r="JD21" s="3">
        <f ca="1">IFERROR(__xludf.DUMMYFUNCTION("""COMPUTED_VALUE"""),-0.582748449478143)</f>
        <v>-0.58274844947814297</v>
      </c>
      <c r="JE21" s="3">
        <f ca="1">IFERROR(__xludf.DUMMYFUNCTION("""COMPUTED_VALUE"""),-0.573306271394662)</f>
        <v>-0.57330627139466195</v>
      </c>
      <c r="JF21" s="3">
        <f ca="1">IFERROR(__xludf.DUMMYFUNCTION("""COMPUTED_VALUE"""),-0.554150547064654)</f>
        <v>-0.55415054706465405</v>
      </c>
      <c r="JG21" s="3">
        <f ca="1">IFERROR(__xludf.DUMMYFUNCTION("""COMPUTED_VALUE"""),-0.470398691310829)</f>
        <v>-0.47039869131082901</v>
      </c>
      <c r="JH21" s="3">
        <f ca="1">IFERROR(__xludf.DUMMYFUNCTION("""COMPUTED_VALUE"""),-0.563191901848375)</f>
        <v>-0.56319190184837498</v>
      </c>
      <c r="JI21" s="3">
        <f ca="1">IFERROR(__xludf.DUMMYFUNCTION("""COMPUTED_VALUE"""),-0.598228473823746)</f>
        <v>-0.598228473823746</v>
      </c>
      <c r="JJ21" s="3">
        <f ca="1">IFERROR(__xludf.DUMMYFUNCTION("""COMPUTED_VALUE"""),-0.584744248913294)</f>
        <v>-0.58474424891329402</v>
      </c>
      <c r="JK21" s="3">
        <f ca="1">IFERROR(__xludf.DUMMYFUNCTION("""COMPUTED_VALUE"""),-0.591487611058343)</f>
        <v>-0.59148761105834302</v>
      </c>
      <c r="JL21" s="3">
        <f ca="1">IFERROR(__xludf.DUMMYFUNCTION("""COMPUTED_VALUE"""),-0.576158784237355)</f>
        <v>-0.576158784237355</v>
      </c>
      <c r="JM21" s="3">
        <f ca="1">IFERROR(__xludf.DUMMYFUNCTION("""COMPUTED_VALUE"""),-0.578882497189546)</f>
        <v>-0.57888249718954599</v>
      </c>
      <c r="JN21" s="3">
        <f ca="1">IFERROR(__xludf.DUMMYFUNCTION("""COMPUTED_VALUE"""),-0.527371768471106)</f>
        <v>-0.52737176847110601</v>
      </c>
      <c r="JO21" s="3">
        <f ca="1">IFERROR(__xludf.DUMMYFUNCTION("""COMPUTED_VALUE"""),-0.544959621593584)</f>
        <v>-0.54495962159358402</v>
      </c>
      <c r="JP21" s="3">
        <f ca="1">IFERROR(__xludf.DUMMYFUNCTION("""COMPUTED_VALUE"""),-0.642942052774162)</f>
        <v>-0.64294205277416205</v>
      </c>
      <c r="JQ21" s="3">
        <f ca="1">IFERROR(__xludf.DUMMYFUNCTION("""COMPUTED_VALUE"""),-0.470691131940046)</f>
        <v>-0.47069113194004603</v>
      </c>
      <c r="JR21" s="3">
        <f ca="1">IFERROR(__xludf.DUMMYFUNCTION("""COMPUTED_VALUE"""),-0.591859029567739)</f>
        <v>-0.59185902956773895</v>
      </c>
      <c r="JS21" s="3">
        <f ca="1">IFERROR(__xludf.DUMMYFUNCTION("""COMPUTED_VALUE"""),-0.612122287572701)</f>
        <v>-0.61212228757270104</v>
      </c>
      <c r="JT21" s="3">
        <f ca="1">IFERROR(__xludf.DUMMYFUNCTION("""COMPUTED_VALUE"""),-0.549549822982084)</f>
        <v>-0.54954982298208399</v>
      </c>
      <c r="JU21" s="3">
        <f ca="1">IFERROR(__xludf.DUMMYFUNCTION("""COMPUTED_VALUE"""),-0.449361582437078)</f>
        <v>-0.44936158243707802</v>
      </c>
      <c r="JV21" s="3">
        <f ca="1">IFERROR(__xludf.DUMMYFUNCTION("""COMPUTED_VALUE"""),-0.6099127270322)</f>
        <v>-0.60991272703220001</v>
      </c>
      <c r="JW21" s="3">
        <f ca="1">IFERROR(__xludf.DUMMYFUNCTION("""COMPUTED_VALUE"""),-0.537933800411745)</f>
        <v>-0.53793380041174499</v>
      </c>
      <c r="JX21" s="3">
        <f ca="1">IFERROR(__xludf.DUMMYFUNCTION("""COMPUTED_VALUE"""),-0.400501364976001)</f>
        <v>-0.40050136497600097</v>
      </c>
      <c r="JY21" s="3">
        <f ca="1">IFERROR(__xludf.DUMMYFUNCTION("""COMPUTED_VALUE"""),-0.635548321591094)</f>
        <v>-0.63554832159109398</v>
      </c>
      <c r="JZ21" s="3">
        <f ca="1">IFERROR(__xludf.DUMMYFUNCTION("""COMPUTED_VALUE"""),-0.625523827094688)</f>
        <v>-0.62552382709468801</v>
      </c>
      <c r="KA21" s="3">
        <f ca="1">IFERROR(__xludf.DUMMYFUNCTION("""COMPUTED_VALUE"""),-0.578335972339678)</f>
        <v>-0.57833597233967804</v>
      </c>
      <c r="KB21" s="3">
        <f ca="1">IFERROR(__xludf.DUMMYFUNCTION("""COMPUTED_VALUE"""),-0.460945040632479)</f>
        <v>-0.46094504063247899</v>
      </c>
      <c r="KC21" s="3">
        <f ca="1">IFERROR(__xludf.DUMMYFUNCTION("""COMPUTED_VALUE"""),-0.507350757006331)</f>
        <v>-0.50735075700633103</v>
      </c>
      <c r="KD21" s="3">
        <f ca="1">IFERROR(__xludf.DUMMYFUNCTION("""COMPUTED_VALUE"""),-0.508380447510009)</f>
        <v>-0.50838044751000899</v>
      </c>
      <c r="KE21" s="3">
        <f ca="1">IFERROR(__xludf.DUMMYFUNCTION("""COMPUTED_VALUE"""),-0.431206455462142)</f>
        <v>-0.43120645546214198</v>
      </c>
      <c r="KF21" s="3">
        <f ca="1">IFERROR(__xludf.DUMMYFUNCTION("""COMPUTED_VALUE"""),-0.553278122519355)</f>
        <v>-0.55327812251935504</v>
      </c>
      <c r="KG21" s="3">
        <f ca="1">IFERROR(__xludf.DUMMYFUNCTION("""COMPUTED_VALUE"""),-0.656970580773896)</f>
        <v>-0.65697058077389603</v>
      </c>
      <c r="KH21" s="3">
        <f ca="1">IFERROR(__xludf.DUMMYFUNCTION("""COMPUTED_VALUE"""),-0.595972153591839)</f>
        <v>-0.59597215359183897</v>
      </c>
      <c r="KI21" s="3">
        <f ca="1">IFERROR(__xludf.DUMMYFUNCTION("""COMPUTED_VALUE"""),-0.476339541097828)</f>
        <v>-0.476339541097828</v>
      </c>
      <c r="KJ21" s="3">
        <f ca="1">IFERROR(__xludf.DUMMYFUNCTION("""COMPUTED_VALUE"""),-0.577934624866533)</f>
        <v>-0.57793462486653302</v>
      </c>
      <c r="KK21" s="3">
        <f ca="1">IFERROR(__xludf.DUMMYFUNCTION("""COMPUTED_VALUE"""),-0.602945730603844)</f>
        <v>-0.60294573060384404</v>
      </c>
      <c r="KL21" s="3">
        <f ca="1">IFERROR(__xludf.DUMMYFUNCTION("""COMPUTED_VALUE"""),-0.602962622984502)</f>
        <v>-0.60296262298450198</v>
      </c>
      <c r="KM21" s="3">
        <f ca="1">IFERROR(__xludf.DUMMYFUNCTION("""COMPUTED_VALUE"""),-0.601288587338857)</f>
        <v>-0.60128858733885704</v>
      </c>
      <c r="KN21" s="3">
        <f ca="1">IFERROR(__xludf.DUMMYFUNCTION("""COMPUTED_VALUE"""),-0.648132384553684)</f>
        <v>-0.64813238455368405</v>
      </c>
      <c r="KO21" s="3">
        <f ca="1">IFERROR(__xludf.DUMMYFUNCTION("""COMPUTED_VALUE"""),-0.605099895921895)</f>
        <v>-0.60509989592189495</v>
      </c>
      <c r="KP21" s="3">
        <f ca="1">IFERROR(__xludf.DUMMYFUNCTION("""COMPUTED_VALUE"""),-0.442436206087057)</f>
        <v>-0.44243620608705703</v>
      </c>
      <c r="KQ21" s="3">
        <f ca="1">IFERROR(__xludf.DUMMYFUNCTION("""COMPUTED_VALUE"""),-0.600893021692307)</f>
        <v>-0.60089302169230696</v>
      </c>
      <c r="KR21" s="3">
        <f ca="1">IFERROR(__xludf.DUMMYFUNCTION("""COMPUTED_VALUE"""),-0.617581523752655)</f>
        <v>-0.61758152375265496</v>
      </c>
      <c r="KS21" s="3">
        <f ca="1">IFERROR(__xludf.DUMMYFUNCTION("""COMPUTED_VALUE"""),-0.611477912713832)</f>
        <v>-0.61147791271383201</v>
      </c>
      <c r="KT21" s="3">
        <f ca="1">IFERROR(__xludf.DUMMYFUNCTION("""COMPUTED_VALUE"""),-0.664500053012846)</f>
        <v>-0.66450005301284598</v>
      </c>
      <c r="KU21" s="3">
        <f ca="1">IFERROR(__xludf.DUMMYFUNCTION("""COMPUTED_VALUE"""),-0.65929838726437)</f>
        <v>-0.65929838726436996</v>
      </c>
      <c r="KV21" s="3">
        <f ca="1">IFERROR(__xludf.DUMMYFUNCTION("""COMPUTED_VALUE"""),-0.680713150329011)</f>
        <v>-0.68071315032901103</v>
      </c>
      <c r="KW21" s="3">
        <f ca="1">IFERROR(__xludf.DUMMYFUNCTION("""COMPUTED_VALUE"""),-0.580106719591567)</f>
        <v>-0.58010671959156701</v>
      </c>
      <c r="KX21" s="3">
        <f ca="1">IFERROR(__xludf.DUMMYFUNCTION("""COMPUTED_VALUE"""),-0.670257007191176)</f>
        <v>-0.67025700719117598</v>
      </c>
      <c r="KY21" s="3">
        <f ca="1">IFERROR(__xludf.DUMMYFUNCTION("""COMPUTED_VALUE"""),-0.706621820938059)</f>
        <v>-0.70662182093805903</v>
      </c>
      <c r="KZ21" s="3">
        <f ca="1">IFERROR(__xludf.DUMMYFUNCTION("""COMPUTED_VALUE"""),-0.612439296300104)</f>
        <v>-0.61243929630010396</v>
      </c>
      <c r="LA21" s="3">
        <f ca="1">IFERROR(__xludf.DUMMYFUNCTION("""COMPUTED_VALUE"""),-0.618328014763953)</f>
        <v>-0.61832801476395305</v>
      </c>
      <c r="LB21" s="3">
        <f ca="1">IFERROR(__xludf.DUMMYFUNCTION("""COMPUTED_VALUE"""),-0.681466827563153)</f>
        <v>-0.68146682756315302</v>
      </c>
      <c r="LC21" s="3">
        <f ca="1">IFERROR(__xludf.DUMMYFUNCTION("""COMPUTED_VALUE"""),-0.613547055857558)</f>
        <v>-0.61354705585755798</v>
      </c>
      <c r="LD21" s="3">
        <f ca="1">IFERROR(__xludf.DUMMYFUNCTION("""COMPUTED_VALUE"""),-0.639215353031761)</f>
        <v>-0.63921535303176102</v>
      </c>
      <c r="LE21" s="3">
        <f ca="1">IFERROR(__xludf.DUMMYFUNCTION("""COMPUTED_VALUE"""),-0.661172880693639)</f>
        <v>-0.661172880693639</v>
      </c>
      <c r="LF21" s="3">
        <f ca="1">IFERROR(__xludf.DUMMYFUNCTION("""COMPUTED_VALUE"""),-0.777345224236454)</f>
        <v>-0.77734522423645402</v>
      </c>
      <c r="LG21" s="3">
        <f ca="1">IFERROR(__xludf.DUMMYFUNCTION("""COMPUTED_VALUE"""),-0.780807838773466)</f>
        <v>-0.78080783877346605</v>
      </c>
      <c r="LH21" s="3">
        <f ca="1">IFERROR(__xludf.DUMMYFUNCTION("""COMPUTED_VALUE"""),-0.764772369646499)</f>
        <v>-0.76477236964649897</v>
      </c>
      <c r="LI21" s="3">
        <f ca="1">IFERROR(__xludf.DUMMYFUNCTION("""COMPUTED_VALUE"""),-0.716660437656528)</f>
        <v>-0.71666043765652798</v>
      </c>
      <c r="LJ21" s="3">
        <f ca="1">IFERROR(__xludf.DUMMYFUNCTION("""COMPUTED_VALUE"""),-0.758891933781669)</f>
        <v>-0.75889193378166897</v>
      </c>
      <c r="LK21" s="3">
        <f ca="1">IFERROR(__xludf.DUMMYFUNCTION("""COMPUTED_VALUE"""),-0.654866441139627)</f>
        <v>-0.654866441139627</v>
      </c>
      <c r="LL21" s="3">
        <f ca="1">IFERROR(__xludf.DUMMYFUNCTION("""COMPUTED_VALUE"""),-0.764971744442292)</f>
        <v>-0.76497174444229199</v>
      </c>
      <c r="LM21" s="3">
        <f ca="1">IFERROR(__xludf.DUMMYFUNCTION("""COMPUTED_VALUE"""),-0.871584115403847)</f>
        <v>-0.87158411540384695</v>
      </c>
      <c r="LN21" s="3">
        <f ca="1">IFERROR(__xludf.DUMMYFUNCTION("""COMPUTED_VALUE"""),-0.765185523367172)</f>
        <v>-0.76518552336717205</v>
      </c>
      <c r="LO21" s="3">
        <f ca="1">IFERROR(__xludf.DUMMYFUNCTION("""COMPUTED_VALUE"""),-0.720608239357538)</f>
        <v>-0.72060823935753804</v>
      </c>
      <c r="LP21" s="3">
        <f ca="1">IFERROR(__xludf.DUMMYFUNCTION("""COMPUTED_VALUE"""),-0.654203380085798)</f>
        <v>-0.65420338008579804</v>
      </c>
      <c r="LQ21" s="3">
        <f ca="1">IFERROR(__xludf.DUMMYFUNCTION("""COMPUTED_VALUE"""),-0.498893935260869)</f>
        <v>-0.498893935260869</v>
      </c>
      <c r="LR21" s="3">
        <f ca="1">IFERROR(__xludf.DUMMYFUNCTION("""COMPUTED_VALUE"""),-0.526250457971639)</f>
        <v>-0.52625045797163905</v>
      </c>
      <c r="LS21" s="3">
        <f ca="1">IFERROR(__xludf.DUMMYFUNCTION("""COMPUTED_VALUE"""),-0.699728235016579)</f>
        <v>-0.69972823501657899</v>
      </c>
      <c r="LT21" s="3">
        <f ca="1">IFERROR(__xludf.DUMMYFUNCTION("""COMPUTED_VALUE"""),-0.770190311225064)</f>
        <v>-0.77019031122506398</v>
      </c>
      <c r="LU21" s="3">
        <f ca="1">IFERROR(__xludf.DUMMYFUNCTION("""COMPUTED_VALUE"""),-0.760025818208911)</f>
        <v>-0.76002581820891102</v>
      </c>
      <c r="LV21" s="3">
        <f ca="1">IFERROR(__xludf.DUMMYFUNCTION("""COMPUTED_VALUE"""),-0.759923384065073)</f>
        <v>-0.75992338406507298</v>
      </c>
      <c r="LW21" s="3">
        <f ca="1">IFERROR(__xludf.DUMMYFUNCTION("""COMPUTED_VALUE"""),-0.745387360946677)</f>
        <v>-0.74538736094667701</v>
      </c>
      <c r="LX21" s="3">
        <f ca="1">IFERROR(__xludf.DUMMYFUNCTION("""COMPUTED_VALUE"""),-0.725031595807623)</f>
        <v>-0.725031595807623</v>
      </c>
      <c r="LY21" s="3">
        <f ca="1">IFERROR(__xludf.DUMMYFUNCTION("""COMPUTED_VALUE"""),-0.55882747703039)</f>
        <v>-0.55882747703039004</v>
      </c>
      <c r="LZ21" s="3">
        <f ca="1">IFERROR(__xludf.DUMMYFUNCTION("""COMPUTED_VALUE"""),-0.721037619940667)</f>
        <v>-0.72103761994066695</v>
      </c>
      <c r="MA21" s="3">
        <f ca="1">IFERROR(__xludf.DUMMYFUNCTION("""COMPUTED_VALUE"""),-0.788002591579646)</f>
        <v>-0.78800259157964603</v>
      </c>
      <c r="MB21" s="3">
        <f ca="1">IFERROR(__xludf.DUMMYFUNCTION("""COMPUTED_VALUE"""),-0.727414081530123)</f>
        <v>-0.72741408153012299</v>
      </c>
      <c r="MC21" s="3">
        <f ca="1">IFERROR(__xludf.DUMMYFUNCTION("""COMPUTED_VALUE"""),-0.718580116055737)</f>
        <v>-0.71858011605573702</v>
      </c>
      <c r="MD21" s="3">
        <f ca="1">IFERROR(__xludf.DUMMYFUNCTION("""COMPUTED_VALUE"""),-0.711927283218027)</f>
        <v>-0.71192728321802701</v>
      </c>
      <c r="ME21" s="3">
        <f ca="1">IFERROR(__xludf.DUMMYFUNCTION("""COMPUTED_VALUE"""),-0.654780292092289)</f>
        <v>-0.65478029209228905</v>
      </c>
      <c r="MF21" s="3">
        <f ca="1">IFERROR(__xludf.DUMMYFUNCTION("""COMPUTED_VALUE"""),-0.561440655681042)</f>
        <v>-0.56144065568104196</v>
      </c>
      <c r="MG21" s="3">
        <f ca="1">IFERROR(__xludf.DUMMYFUNCTION("""COMPUTED_VALUE"""),-0.622162711435104)</f>
        <v>-0.62216271143510404</v>
      </c>
      <c r="MH21" s="3">
        <f ca="1">IFERROR(__xludf.DUMMYFUNCTION("""COMPUTED_VALUE"""),-0.67643718129287)</f>
        <v>-0.67643718129287</v>
      </c>
      <c r="MI21" s="3">
        <f ca="1">IFERROR(__xludf.DUMMYFUNCTION("""COMPUTED_VALUE"""),-0.705307937133386)</f>
        <v>-0.70530793713338602</v>
      </c>
      <c r="MJ21" s="3">
        <f ca="1">IFERROR(__xludf.DUMMYFUNCTION("""COMPUTED_VALUE"""),-0.69686037548406)</f>
        <v>-0.69686037548405999</v>
      </c>
      <c r="MK21" s="3">
        <f ca="1">IFERROR(__xludf.DUMMYFUNCTION("""COMPUTED_VALUE"""),-0.714687927585443)</f>
        <v>-0.71468792758544297</v>
      </c>
      <c r="ML21" s="3">
        <f ca="1">IFERROR(__xludf.DUMMYFUNCTION("""COMPUTED_VALUE"""),-0.736207486733158)</f>
        <v>-0.73620748673315795</v>
      </c>
      <c r="MM21" s="3">
        <f ca="1">IFERROR(__xludf.DUMMYFUNCTION("""COMPUTED_VALUE"""),-0.674908759658015)</f>
        <v>-0.674908759658015</v>
      </c>
      <c r="MN21" s="3">
        <f ca="1">IFERROR(__xludf.DUMMYFUNCTION("""COMPUTED_VALUE"""),-0.698006464885857)</f>
        <v>-0.69800646488585705</v>
      </c>
      <c r="MO21" s="3">
        <f ca="1">IFERROR(__xludf.DUMMYFUNCTION("""COMPUTED_VALUE"""),-0.751108454906538)</f>
        <v>-0.75110845490653799</v>
      </c>
      <c r="MP21" s="3">
        <f ca="1">IFERROR(__xludf.DUMMYFUNCTION("""COMPUTED_VALUE"""),-0.694283981619139)</f>
        <v>-0.69428398161913896</v>
      </c>
      <c r="MQ21" s="3">
        <f ca="1">IFERROR(__xludf.DUMMYFUNCTION("""COMPUTED_VALUE"""),-0.700053853682016)</f>
        <v>-0.700053853682016</v>
      </c>
      <c r="MR21" s="3">
        <f ca="1">IFERROR(__xludf.DUMMYFUNCTION("""COMPUTED_VALUE"""),-0.789346505913721)</f>
        <v>-0.78934650591372102</v>
      </c>
      <c r="MS21" s="3">
        <f ca="1">IFERROR(__xludf.DUMMYFUNCTION("""COMPUTED_VALUE"""),-0.683443184320229)</f>
        <v>-0.68344318432022899</v>
      </c>
      <c r="MT21" s="3">
        <f ca="1">IFERROR(__xludf.DUMMYFUNCTION("""COMPUTED_VALUE"""),-0.58286098305373)</f>
        <v>-0.58286098305373002</v>
      </c>
      <c r="MU21" s="3">
        <f ca="1">IFERROR(__xludf.DUMMYFUNCTION("""COMPUTED_VALUE"""),-0.719538150022123)</f>
        <v>-0.71953815002212296</v>
      </c>
      <c r="MV21" s="3">
        <f ca="1">IFERROR(__xludf.DUMMYFUNCTION("""COMPUTED_VALUE"""),-0.721125937587481)</f>
        <v>-0.721125937587481</v>
      </c>
      <c r="MW21" s="3">
        <f ca="1">IFERROR(__xludf.DUMMYFUNCTION("""COMPUTED_VALUE"""),-0.771154606098904)</f>
        <v>-0.77115460609890396</v>
      </c>
      <c r="MX21" s="3">
        <f ca="1">IFERROR(__xludf.DUMMYFUNCTION("""COMPUTED_VALUE"""),-0.699361009477973)</f>
        <v>-0.69936100947797297</v>
      </c>
      <c r="MY21" s="3">
        <f ca="1">IFERROR(__xludf.DUMMYFUNCTION("""COMPUTED_VALUE"""),-0.697994641695632)</f>
        <v>-0.69799464169563197</v>
      </c>
      <c r="MZ21" s="3">
        <f ca="1">IFERROR(__xludf.DUMMYFUNCTION("""COMPUTED_VALUE"""),-0.812737503776324)</f>
        <v>-0.81273750377632403</v>
      </c>
      <c r="NA21" s="3">
        <f ca="1">IFERROR(__xludf.DUMMYFUNCTION("""COMPUTED_VALUE"""),-0.711883943546037)</f>
        <v>-0.71188394354603701</v>
      </c>
      <c r="NB21" s="3">
        <f ca="1">IFERROR(__xludf.DUMMYFUNCTION("""COMPUTED_VALUE"""),-0.658799974861702)</f>
        <v>-0.65879997486170205</v>
      </c>
      <c r="NC21" s="3">
        <f ca="1">IFERROR(__xludf.DUMMYFUNCTION("""COMPUTED_VALUE"""),-0.713076822866748)</f>
        <v>-0.71307682286674801</v>
      </c>
      <c r="ND21" s="3">
        <f ca="1">IFERROR(__xludf.DUMMYFUNCTION("""COMPUTED_VALUE"""),-0.666877343234365)</f>
        <v>-0.66687734323436498</v>
      </c>
      <c r="NE21" s="3">
        <f ca="1">IFERROR(__xludf.DUMMYFUNCTION("""COMPUTED_VALUE"""),-0.74876464317699)</f>
        <v>-0.74876464317698999</v>
      </c>
      <c r="NF21" s="3">
        <f ca="1">IFERROR(__xludf.DUMMYFUNCTION("""COMPUTED_VALUE"""),-0.742822274726183)</f>
        <v>-0.74282227472618301</v>
      </c>
      <c r="NG21" s="3">
        <f ca="1">IFERROR(__xludf.DUMMYFUNCTION("""COMPUTED_VALUE"""),-0.713826027493008)</f>
        <v>-0.71382602749300805</v>
      </c>
      <c r="NH21" s="3">
        <f ca="1">IFERROR(__xludf.DUMMYFUNCTION("""COMPUTED_VALUE"""),-0.657347230072044)</f>
        <v>-0.65734723007204399</v>
      </c>
      <c r="NI21" s="3">
        <f ca="1">IFERROR(__xludf.DUMMYFUNCTION("""COMPUTED_VALUE"""),-0.645830560787827)</f>
        <v>-0.64583056078782697</v>
      </c>
      <c r="NJ21" s="3">
        <f ca="1">IFERROR(__xludf.DUMMYFUNCTION("""COMPUTED_VALUE"""),-0.676783437050722)</f>
        <v>-0.67678343705072197</v>
      </c>
      <c r="NK21" s="3">
        <f ca="1">IFERROR(__xludf.DUMMYFUNCTION("""COMPUTED_VALUE"""),-0.689696479863352)</f>
        <v>-0.68969647986335203</v>
      </c>
      <c r="NL21" s="3">
        <f ca="1">IFERROR(__xludf.DUMMYFUNCTION("""COMPUTED_VALUE"""),-0.70711184817974)</f>
        <v>-0.70711184817974004</v>
      </c>
      <c r="NM21" s="3">
        <f ca="1">IFERROR(__xludf.DUMMYFUNCTION("""COMPUTED_VALUE"""),-0.69107108855679)</f>
        <v>-0.69107108855679</v>
      </c>
      <c r="NN21" s="3">
        <f ca="1">IFERROR(__xludf.DUMMYFUNCTION("""COMPUTED_VALUE"""),-0.710600008459186)</f>
        <v>-0.71060000845918603</v>
      </c>
      <c r="NO21" s="3">
        <f ca="1">IFERROR(__xludf.DUMMYFUNCTION("""COMPUTED_VALUE"""),-0.663033481916864)</f>
        <v>-0.66303348191686395</v>
      </c>
      <c r="NP21" s="3">
        <f ca="1">IFERROR(__xludf.DUMMYFUNCTION("""COMPUTED_VALUE"""),-0.766921989196827)</f>
        <v>-0.76692198919682697</v>
      </c>
      <c r="NQ21" s="3">
        <f ca="1">IFERROR(__xludf.DUMMYFUNCTION("""COMPUTED_VALUE"""),-0.699400715119752)</f>
        <v>-0.69940071511975199</v>
      </c>
      <c r="NR21" s="3">
        <f ca="1">IFERROR(__xludf.DUMMYFUNCTION("""COMPUTED_VALUE"""),-0.643292113200507)</f>
        <v>-0.64329211320050705</v>
      </c>
      <c r="NS21" s="3">
        <f ca="1">IFERROR(__xludf.DUMMYFUNCTION("""COMPUTED_VALUE"""),-0.692394231331729)</f>
        <v>-0.69239423133172895</v>
      </c>
      <c r="NT21" s="3">
        <f ca="1">IFERROR(__xludf.DUMMYFUNCTION("""COMPUTED_VALUE"""),-0.659729631164169)</f>
        <v>-0.65972963116416905</v>
      </c>
      <c r="NU21" s="3">
        <f ca="1">IFERROR(__xludf.DUMMYFUNCTION("""COMPUTED_VALUE"""),-0.713459058723509)</f>
        <v>-0.71345905872350901</v>
      </c>
      <c r="NV21" s="3">
        <f ca="1">IFERROR(__xludf.DUMMYFUNCTION("""COMPUTED_VALUE"""),-0.607258317269021)</f>
        <v>-0.60725831726902102</v>
      </c>
      <c r="NW21" s="3">
        <f ca="1">IFERROR(__xludf.DUMMYFUNCTION("""COMPUTED_VALUE"""),-0.520752485374135)</f>
        <v>-0.52075248537413499</v>
      </c>
      <c r="NX21" s="3">
        <f ca="1">IFERROR(__xludf.DUMMYFUNCTION("""COMPUTED_VALUE"""),-0.471305698661424)</f>
        <v>-0.47130569866142402</v>
      </c>
      <c r="NY21" s="3">
        <f ca="1">IFERROR(__xludf.DUMMYFUNCTION("""COMPUTED_VALUE"""),-0.401065136335872)</f>
        <v>-0.40106513633587199</v>
      </c>
      <c r="NZ21" s="3">
        <f ca="1">IFERROR(__xludf.DUMMYFUNCTION("""COMPUTED_VALUE"""),-0.364211602154222)</f>
        <v>-0.36421160215422199</v>
      </c>
      <c r="OA21" s="3">
        <f ca="1">IFERROR(__xludf.DUMMYFUNCTION("""COMPUTED_VALUE"""),-0.364107644049552)</f>
        <v>-0.36410764404955198</v>
      </c>
      <c r="OB21" s="3">
        <f ca="1">IFERROR(__xludf.DUMMYFUNCTION("""COMPUTED_VALUE"""),-0.323538878982069)</f>
        <v>-0.32353887898206901</v>
      </c>
      <c r="OC21" s="3">
        <f ca="1">IFERROR(__xludf.DUMMYFUNCTION("""COMPUTED_VALUE"""),-0.422529288995107)</f>
        <v>-0.422529288995107</v>
      </c>
      <c r="OD21" s="3">
        <f ca="1">IFERROR(__xludf.DUMMYFUNCTION("""COMPUTED_VALUE"""),-0.237206432721307)</f>
        <v>-0.23720643272130701</v>
      </c>
      <c r="OE21" s="3">
        <f ca="1">IFERROR(__xludf.DUMMYFUNCTION("""COMPUTED_VALUE"""),-0.139594246654723)</f>
        <v>-0.139594246654723</v>
      </c>
      <c r="OF21" s="3">
        <f ca="1">IFERROR(__xludf.DUMMYFUNCTION("""COMPUTED_VALUE"""),-0.0517725506177391)</f>
        <v>-5.1772550617739103E-2</v>
      </c>
      <c r="OG21" s="3">
        <f ca="1">IFERROR(__xludf.DUMMYFUNCTION("""COMPUTED_VALUE"""),-0.0845941857472979)</f>
        <v>-8.4594185747297906E-2</v>
      </c>
      <c r="OH21" s="3">
        <f ca="1">IFERROR(__xludf.DUMMYFUNCTION("""COMPUTED_VALUE"""),-0.107717084841289)</f>
        <v>-0.107717084841289</v>
      </c>
      <c r="OI21" s="3">
        <f ca="1">IFERROR(__xludf.DUMMYFUNCTION("""COMPUTED_VALUE"""),-0.124904119437832)</f>
        <v>-0.124904119437832</v>
      </c>
      <c r="OJ21" s="3">
        <f ca="1">IFERROR(__xludf.DUMMYFUNCTION("""COMPUTED_VALUE"""),-0.363770747293534)</f>
        <v>-0.36377074729353398</v>
      </c>
      <c r="OK21" s="3">
        <f ca="1">IFERROR(__xludf.DUMMYFUNCTION("""COMPUTED_VALUE"""),-0.176982376177013)</f>
        <v>-0.17698237617701301</v>
      </c>
      <c r="OL21" s="3">
        <f ca="1">IFERROR(__xludf.DUMMYFUNCTION("""COMPUTED_VALUE"""),0.0149760159556822)</f>
        <v>1.4976015955682201E-2</v>
      </c>
      <c r="OM21" s="3">
        <f ca="1">IFERROR(__xludf.DUMMYFUNCTION("""COMPUTED_VALUE"""),-0.00155669650033452)</f>
        <v>-1.5566965003345199E-3</v>
      </c>
      <c r="ON21" s="3">
        <f ca="1">IFERROR(__xludf.DUMMYFUNCTION("""COMPUTED_VALUE"""),-0.0200090529408044)</f>
        <v>-2.0009052940804399E-2</v>
      </c>
      <c r="OO21" s="3">
        <f ca="1">IFERROR(__xludf.DUMMYFUNCTION("""COMPUTED_VALUE"""),0.0335750636338529)</f>
        <v>3.3575063633852903E-2</v>
      </c>
      <c r="OP21" s="3">
        <f ca="1">IFERROR(__xludf.DUMMYFUNCTION("""COMPUTED_VALUE"""),0.0544033305855429)</f>
        <v>5.4403330585542899E-2</v>
      </c>
      <c r="OQ21" s="3">
        <f ca="1">IFERROR(__xludf.DUMMYFUNCTION("""COMPUTED_VALUE"""),-0.161144503233297)</f>
        <v>-0.16114450323329699</v>
      </c>
      <c r="OR21" s="3">
        <f ca="1">IFERROR(__xludf.DUMMYFUNCTION("""COMPUTED_VALUE"""),-0.037302881587323)</f>
        <v>-3.7302881587322999E-2</v>
      </c>
      <c r="OS21" s="3">
        <f ca="1">IFERROR(__xludf.DUMMYFUNCTION("""COMPUTED_VALUE"""),0.150955782305687)</f>
        <v>0.15095578230568699</v>
      </c>
      <c r="OT21" s="3">
        <f ca="1">IFERROR(__xludf.DUMMYFUNCTION("""COMPUTED_VALUE"""),-0.0112930513111897)</f>
        <v>-1.1293051311189699E-2</v>
      </c>
      <c r="OU21" s="3">
        <f ca="1">IFERROR(__xludf.DUMMYFUNCTION("""COMPUTED_VALUE"""),0.133809212427508)</f>
        <v>0.13380921242750801</v>
      </c>
      <c r="OV21" s="3">
        <f ca="1">IFERROR(__xludf.DUMMYFUNCTION("""COMPUTED_VALUE"""),0.015399143581696)</f>
        <v>1.5399143581695999E-2</v>
      </c>
      <c r="OW21" s="3">
        <f ca="1">IFERROR(__xludf.DUMMYFUNCTION("""COMPUTED_VALUE"""),-0.0724867653519335)</f>
        <v>-7.2486765351933505E-2</v>
      </c>
      <c r="OX21" s="3">
        <f ca="1">IFERROR(__xludf.DUMMYFUNCTION("""COMPUTED_VALUE"""),0.0757705445647305)</f>
        <v>7.5770544564730494E-2</v>
      </c>
      <c r="OY21" s="3">
        <f ca="1">IFERROR(__xludf.DUMMYFUNCTION("""COMPUTED_VALUE"""),-0.0120950761813607)</f>
        <v>-1.2095076181360701E-2</v>
      </c>
      <c r="OZ21" s="3">
        <f ca="1">IFERROR(__xludf.DUMMYFUNCTION("""COMPUTED_VALUE"""),-0.094286017579882)</f>
        <v>-9.4286017579882003E-2</v>
      </c>
      <c r="PA21" s="3">
        <f ca="1">IFERROR(__xludf.DUMMYFUNCTION("""COMPUTED_VALUE"""),-0.134984574746023)</f>
        <v>-0.13498457474602299</v>
      </c>
      <c r="PB21" s="3">
        <f ca="1">IFERROR(__xludf.DUMMYFUNCTION("""COMPUTED_VALUE"""),0.0943706687700705)</f>
        <v>9.4370668770070498E-2</v>
      </c>
      <c r="PC21" s="3">
        <f ca="1">IFERROR(__xludf.DUMMYFUNCTION("""COMPUTED_VALUE"""),0.0930711102893693)</f>
        <v>9.3071110289369305E-2</v>
      </c>
      <c r="PD21" s="3">
        <f ca="1">IFERROR(__xludf.DUMMYFUNCTION("""COMPUTED_VALUE"""),-0.180264977211829)</f>
        <v>-0.18026497721182899</v>
      </c>
      <c r="PE21" s="3">
        <f ca="1">IFERROR(__xludf.DUMMYFUNCTION("""COMPUTED_VALUE"""),0.101791274743833)</f>
        <v>0.101791274743833</v>
      </c>
      <c r="PF21" s="3">
        <f ca="1">IFERROR(__xludf.DUMMYFUNCTION("""COMPUTED_VALUE"""),-0.0958162626926419)</f>
        <v>-9.5816262692641901E-2</v>
      </c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</row>
    <row r="22" spans="1:594" ht="15.75" customHeight="1">
      <c r="A22" s="1" t="str">
        <f ca="1">IFERROR(__xludf.DUMMYFUNCTION("""COMPUTED_VALUE"""),"Denver")</f>
        <v>Denver</v>
      </c>
      <c r="B22" s="3">
        <f ca="1">IFERROR(__xludf.DUMMYFUNCTION("""COMPUTED_VALUE"""),-0.654234589940954)</f>
        <v>-0.65423458994095396</v>
      </c>
      <c r="C22" s="3">
        <f ca="1">IFERROR(__xludf.DUMMYFUNCTION("""COMPUTED_VALUE"""),-0.742130357094541)</f>
        <v>-0.742130357094541</v>
      </c>
      <c r="D22" s="3">
        <f ca="1">IFERROR(__xludf.DUMMYFUNCTION("""COMPUTED_VALUE"""),-0.74865104409712)</f>
        <v>-0.74865104409712002</v>
      </c>
      <c r="E22" s="3">
        <f ca="1">IFERROR(__xludf.DUMMYFUNCTION("""COMPUTED_VALUE"""),-0.732764104682661)</f>
        <v>-0.73276410468266095</v>
      </c>
      <c r="F22" s="3">
        <f ca="1">IFERROR(__xludf.DUMMYFUNCTION("""COMPUTED_VALUE"""),-0.74557524192547)</f>
        <v>-0.74557524192546998</v>
      </c>
      <c r="G22" s="3">
        <f ca="1">IFERROR(__xludf.DUMMYFUNCTION("""COMPUTED_VALUE"""),-0.733537749977133)</f>
        <v>-0.73353774997713295</v>
      </c>
      <c r="H22" s="3">
        <f ca="1">IFERROR(__xludf.DUMMYFUNCTION("""COMPUTED_VALUE"""),-0.631294041104739)</f>
        <v>-0.63129404110473897</v>
      </c>
      <c r="I22" s="3">
        <f ca="1">IFERROR(__xludf.DUMMYFUNCTION("""COMPUTED_VALUE"""),-0.594920477623597)</f>
        <v>-0.59492047762359701</v>
      </c>
      <c r="J22" s="3">
        <f ca="1">IFERROR(__xludf.DUMMYFUNCTION("""COMPUTED_VALUE"""),-0.689548974891641)</f>
        <v>-0.68954897489164102</v>
      </c>
      <c r="K22" s="3">
        <f ca="1">IFERROR(__xludf.DUMMYFUNCTION("""COMPUTED_VALUE"""),-0.723153732832157)</f>
        <v>-0.723153732832157</v>
      </c>
      <c r="L22" s="3">
        <f ca="1">IFERROR(__xludf.DUMMYFUNCTION("""COMPUTED_VALUE"""),-0.722438214994697)</f>
        <v>-0.72243821499469696</v>
      </c>
      <c r="M22" s="3">
        <f ca="1">IFERROR(__xludf.DUMMYFUNCTION("""COMPUTED_VALUE"""),-0.734378812606868)</f>
        <v>-0.73437881260686799</v>
      </c>
      <c r="N22" s="3">
        <f ca="1">IFERROR(__xludf.DUMMYFUNCTION("""COMPUTED_VALUE"""),-0.704215903946748)</f>
        <v>-0.70421590394674805</v>
      </c>
      <c r="O22" s="3">
        <f ca="1">IFERROR(__xludf.DUMMYFUNCTION("""COMPUTED_VALUE"""),-0.596147145234431)</f>
        <v>-0.59614714523443102</v>
      </c>
      <c r="P22" s="3">
        <f ca="1">IFERROR(__xludf.DUMMYFUNCTION("""COMPUTED_VALUE"""),-0.62768544701266)</f>
        <v>-0.62768544701266005</v>
      </c>
      <c r="Q22" s="3">
        <f ca="1">IFERROR(__xludf.DUMMYFUNCTION("""COMPUTED_VALUE"""),-0.719831402198216)</f>
        <v>-0.71983140219821595</v>
      </c>
      <c r="R22" s="3">
        <f ca="1">IFERROR(__xludf.DUMMYFUNCTION("""COMPUTED_VALUE"""),-0.730954499119336)</f>
        <v>-0.73095449911933597</v>
      </c>
      <c r="S22" s="3">
        <f ca="1">IFERROR(__xludf.DUMMYFUNCTION("""COMPUTED_VALUE"""),-0.741857331755038)</f>
        <v>-0.74185733175503799</v>
      </c>
      <c r="T22" s="3">
        <f ca="1">IFERROR(__xludf.DUMMYFUNCTION("""COMPUTED_VALUE"""),-0.712693307907809)</f>
        <v>-0.71269330790780905</v>
      </c>
      <c r="U22" s="3">
        <f ca="1">IFERROR(__xludf.DUMMYFUNCTION("""COMPUTED_VALUE"""),-0.747749465672963)</f>
        <v>-0.74774946567296297</v>
      </c>
      <c r="V22" s="3">
        <f ca="1">IFERROR(__xludf.DUMMYFUNCTION("""COMPUTED_VALUE"""),-0.5975490055483)</f>
        <v>-0.59754900554830004</v>
      </c>
      <c r="W22" s="3">
        <f ca="1">IFERROR(__xludf.DUMMYFUNCTION("""COMPUTED_VALUE"""),-0.578054869591686)</f>
        <v>-0.57805486959168595</v>
      </c>
      <c r="X22" s="3">
        <f ca="1">IFERROR(__xludf.DUMMYFUNCTION("""COMPUTED_VALUE"""),-0.687491891216904)</f>
        <v>-0.68749189121690402</v>
      </c>
      <c r="Y22" s="3">
        <f ca="1">IFERROR(__xludf.DUMMYFUNCTION("""COMPUTED_VALUE"""),-0.708326217298035)</f>
        <v>-0.70832621729803502</v>
      </c>
      <c r="Z22" s="3">
        <f ca="1">IFERROR(__xludf.DUMMYFUNCTION("""COMPUTED_VALUE"""),-0.620471527173082)</f>
        <v>-0.62047152717308196</v>
      </c>
      <c r="AA22" s="3">
        <f ca="1">IFERROR(__xludf.DUMMYFUNCTION("""COMPUTED_VALUE"""),-0.688178093965811)</f>
        <v>-0.68817809396581098</v>
      </c>
      <c r="AB22" s="3">
        <f ca="1">IFERROR(__xludf.DUMMYFUNCTION("""COMPUTED_VALUE"""),-0.828235570191188)</f>
        <v>-0.82823557019118799</v>
      </c>
      <c r="AC22" s="3">
        <f ca="1">IFERROR(__xludf.DUMMYFUNCTION("""COMPUTED_VALUE"""),-0.745488012362223)</f>
        <v>-0.74548801236222295</v>
      </c>
      <c r="AD22" s="3">
        <f ca="1">IFERROR(__xludf.DUMMYFUNCTION("""COMPUTED_VALUE"""),-0.770127514047915)</f>
        <v>-0.77012751404791502</v>
      </c>
      <c r="AE22" s="3">
        <f ca="1">IFERROR(__xludf.DUMMYFUNCTION("""COMPUTED_VALUE"""),-0.749182956041298)</f>
        <v>-0.74918295604129803</v>
      </c>
      <c r="AF22" s="3">
        <f ca="1">IFERROR(__xludf.DUMMYFUNCTION("""COMPUTED_VALUE"""),-0.749261439624051)</f>
        <v>-0.74926143962405101</v>
      </c>
      <c r="AG22" s="3">
        <f ca="1">IFERROR(__xludf.DUMMYFUNCTION("""COMPUTED_VALUE"""),-0.703376288565177)</f>
        <v>-0.70337628856517698</v>
      </c>
      <c r="AH22" s="3">
        <f ca="1">IFERROR(__xludf.DUMMYFUNCTION("""COMPUTED_VALUE"""),-0.757839311441141)</f>
        <v>-0.75783931144114103</v>
      </c>
      <c r="AI22" s="3">
        <f ca="1">IFERROR(__xludf.DUMMYFUNCTION("""COMPUTED_VALUE"""),-0.770881758088179)</f>
        <v>-0.77088175808817905</v>
      </c>
      <c r="AJ22" s="3">
        <f ca="1">IFERROR(__xludf.DUMMYFUNCTION("""COMPUTED_VALUE"""),-0.614472575914505)</f>
        <v>-0.61447257591450499</v>
      </c>
      <c r="AK22" s="3">
        <f ca="1">IFERROR(__xludf.DUMMYFUNCTION("""COMPUTED_VALUE"""),-0.63760810828928)</f>
        <v>-0.63760810828928005</v>
      </c>
      <c r="AL22" s="3">
        <f ca="1">IFERROR(__xludf.DUMMYFUNCTION("""COMPUTED_VALUE"""),-0.716488162228711)</f>
        <v>-0.71648816222871103</v>
      </c>
      <c r="AM22" s="3">
        <f ca="1">IFERROR(__xludf.DUMMYFUNCTION("""COMPUTED_VALUE"""),-0.755030190300625)</f>
        <v>-0.75503019030062501</v>
      </c>
      <c r="AN22" s="3">
        <f ca="1">IFERROR(__xludf.DUMMYFUNCTION("""COMPUTED_VALUE"""),-0.691844254768792)</f>
        <v>-0.69184425476879197</v>
      </c>
      <c r="AO22" s="3">
        <f ca="1">IFERROR(__xludf.DUMMYFUNCTION("""COMPUTED_VALUE"""),-0.753578414484255)</f>
        <v>-0.753578414484255</v>
      </c>
      <c r="AP22" s="3">
        <f ca="1">IFERROR(__xludf.DUMMYFUNCTION("""COMPUTED_VALUE"""),-0.757192734238068)</f>
        <v>-0.75719273423806799</v>
      </c>
      <c r="AQ22" s="3">
        <f ca="1">IFERROR(__xludf.DUMMYFUNCTION("""COMPUTED_VALUE"""),-0.633071853149833)</f>
        <v>-0.63307185314983305</v>
      </c>
      <c r="AR22" s="3">
        <f ca="1">IFERROR(__xludf.DUMMYFUNCTION("""COMPUTED_VALUE"""),-0.631322670882521)</f>
        <v>-0.63132267088252103</v>
      </c>
      <c r="AS22" s="3">
        <f ca="1">IFERROR(__xludf.DUMMYFUNCTION("""COMPUTED_VALUE"""),-0.743316375896389)</f>
        <v>-0.74331637589638899</v>
      </c>
      <c r="AT22" s="3">
        <f ca="1">IFERROR(__xludf.DUMMYFUNCTION("""COMPUTED_VALUE"""),-0.783322300483664)</f>
        <v>-0.78332230048366402</v>
      </c>
      <c r="AU22" s="3">
        <f ca="1">IFERROR(__xludf.DUMMYFUNCTION("""COMPUTED_VALUE"""),-0.756778788749304)</f>
        <v>-0.75677878874930404</v>
      </c>
      <c r="AV22" s="3">
        <f ca="1">IFERROR(__xludf.DUMMYFUNCTION("""COMPUTED_VALUE"""),-0.75774506342883)</f>
        <v>-0.75774506342882997</v>
      </c>
      <c r="AW22" s="3">
        <f ca="1">IFERROR(__xludf.DUMMYFUNCTION("""COMPUTED_VALUE"""),-0.725984436955647)</f>
        <v>-0.72598443695564696</v>
      </c>
      <c r="AX22" s="3">
        <f ca="1">IFERROR(__xludf.DUMMYFUNCTION("""COMPUTED_VALUE"""),-0.611245361693718)</f>
        <v>-0.61124536169371801</v>
      </c>
      <c r="AY22" s="3">
        <f ca="1">IFERROR(__xludf.DUMMYFUNCTION("""COMPUTED_VALUE"""),-0.620089636381745)</f>
        <v>-0.62008963638174497</v>
      </c>
      <c r="AZ22" s="3">
        <f ca="1">IFERROR(__xludf.DUMMYFUNCTION("""COMPUTED_VALUE"""),-0.743076006842358)</f>
        <v>-0.74307600684235797</v>
      </c>
      <c r="BA22" s="3">
        <f ca="1">IFERROR(__xludf.DUMMYFUNCTION("""COMPUTED_VALUE"""),-0.760210771740597)</f>
        <v>-0.76021077174059704</v>
      </c>
      <c r="BB22" s="3">
        <f ca="1">IFERROR(__xludf.DUMMYFUNCTION("""COMPUTED_VALUE"""),-0.778813232583807)</f>
        <v>-0.77881323258380697</v>
      </c>
      <c r="BC22" s="3">
        <f ca="1">IFERROR(__xludf.DUMMYFUNCTION("""COMPUTED_VALUE"""),-0.750862301688776)</f>
        <v>-0.75086230168877599</v>
      </c>
      <c r="BD22" s="3">
        <f ca="1">IFERROR(__xludf.DUMMYFUNCTION("""COMPUTED_VALUE"""),-0.776894111125372)</f>
        <v>-0.77689411112537199</v>
      </c>
      <c r="BE22" s="3">
        <f ca="1">IFERROR(__xludf.DUMMYFUNCTION("""COMPUTED_VALUE"""),-0.683243184823434)</f>
        <v>-0.68324318482343405</v>
      </c>
      <c r="BF22" s="3">
        <f ca="1">IFERROR(__xludf.DUMMYFUNCTION("""COMPUTED_VALUE"""),-0.706121960600854)</f>
        <v>-0.70612196060085397</v>
      </c>
      <c r="BG22" s="3">
        <f ca="1">IFERROR(__xludf.DUMMYFUNCTION("""COMPUTED_VALUE"""),-0.790976984602795)</f>
        <v>-0.79097698460279497</v>
      </c>
      <c r="BH22" s="3">
        <f ca="1">IFERROR(__xludf.DUMMYFUNCTION("""COMPUTED_VALUE"""),-0.817267496013647)</f>
        <v>-0.81726749601364701</v>
      </c>
      <c r="BI22" s="3">
        <f ca="1">IFERROR(__xludf.DUMMYFUNCTION("""COMPUTED_VALUE"""),-0.813634801054362)</f>
        <v>-0.81363480105436203</v>
      </c>
      <c r="BJ22" s="3">
        <f ca="1">IFERROR(__xludf.DUMMYFUNCTION("""COMPUTED_VALUE"""),-0.80442430658019)</f>
        <v>-0.80442430658019004</v>
      </c>
      <c r="BK22" s="3">
        <f ca="1">IFERROR(__xludf.DUMMYFUNCTION("""COMPUTED_VALUE"""),-0.78257198054802)</f>
        <v>-0.78257198054802002</v>
      </c>
      <c r="BL22" s="3">
        <f ca="1">IFERROR(__xludf.DUMMYFUNCTION("""COMPUTED_VALUE"""),-0.684100153031092)</f>
        <v>-0.68410015303109195</v>
      </c>
      <c r="BM22" s="3">
        <f ca="1">IFERROR(__xludf.DUMMYFUNCTION("""COMPUTED_VALUE"""),-0.710273187419407)</f>
        <v>-0.71027318741940704</v>
      </c>
      <c r="BN22" s="3">
        <f ca="1">IFERROR(__xludf.DUMMYFUNCTION("""COMPUTED_VALUE"""),-0.788406002116483)</f>
        <v>-0.78840600211648304</v>
      </c>
      <c r="BO22" s="3">
        <f ca="1">IFERROR(__xludf.DUMMYFUNCTION("""COMPUTED_VALUE"""),-0.819451879956465)</f>
        <v>-0.81945187995646496</v>
      </c>
      <c r="BP22" s="3">
        <f ca="1">IFERROR(__xludf.DUMMYFUNCTION("""COMPUTED_VALUE"""),-0.804343787341564)</f>
        <v>-0.80434378734156398</v>
      </c>
      <c r="BQ22" s="3">
        <f ca="1">IFERROR(__xludf.DUMMYFUNCTION("""COMPUTED_VALUE"""),-0.812060617649524)</f>
        <v>-0.81206061764952397</v>
      </c>
      <c r="BR22" s="3">
        <f ca="1">IFERROR(__xludf.DUMMYFUNCTION("""COMPUTED_VALUE"""),-0.800562464997825)</f>
        <v>-0.80056246499782502</v>
      </c>
      <c r="BS22" s="3">
        <f ca="1">IFERROR(__xludf.DUMMYFUNCTION("""COMPUTED_VALUE"""),-0.672351045215611)</f>
        <v>-0.67235104521561095</v>
      </c>
      <c r="BT22" s="3">
        <f ca="1">IFERROR(__xludf.DUMMYFUNCTION("""COMPUTED_VALUE"""),-0.692642646284235)</f>
        <v>-0.692642646284235</v>
      </c>
      <c r="BU22" s="3">
        <f ca="1">IFERROR(__xludf.DUMMYFUNCTION("""COMPUTED_VALUE"""),-0.779843645741821)</f>
        <v>-0.77984364574182097</v>
      </c>
      <c r="BV22" s="3">
        <f ca="1">IFERROR(__xludf.DUMMYFUNCTION("""COMPUTED_VALUE"""),-0.820042686459876)</f>
        <v>-0.82004268645987599</v>
      </c>
      <c r="BW22" s="3">
        <f ca="1">IFERROR(__xludf.DUMMYFUNCTION("""COMPUTED_VALUE"""),-0.808668037002598)</f>
        <v>-0.80866803700259804</v>
      </c>
      <c r="BX22" s="3">
        <f ca="1">IFERROR(__xludf.DUMMYFUNCTION("""COMPUTED_VALUE"""),-0.82375029958542)</f>
        <v>-0.82375029958542001</v>
      </c>
      <c r="BY22" s="3">
        <f ca="1">IFERROR(__xludf.DUMMYFUNCTION("""COMPUTED_VALUE"""),-0.774500820647791)</f>
        <v>-0.77450082064779102</v>
      </c>
      <c r="BZ22" s="3">
        <f ca="1">IFERROR(__xludf.DUMMYFUNCTION("""COMPUTED_VALUE"""),-0.686588618701093)</f>
        <v>-0.686588618701093</v>
      </c>
      <c r="CA22" s="3">
        <f ca="1">IFERROR(__xludf.DUMMYFUNCTION("""COMPUTED_VALUE"""),-0.695670728517275)</f>
        <v>-0.69567072851727496</v>
      </c>
      <c r="CB22" s="3">
        <f ca="1">IFERROR(__xludf.DUMMYFUNCTION("""COMPUTED_VALUE"""),-0.780992330977927)</f>
        <v>-0.78099233097792697</v>
      </c>
      <c r="CC22" s="3">
        <f ca="1">IFERROR(__xludf.DUMMYFUNCTION("""COMPUTED_VALUE"""),-0.809878781828645)</f>
        <v>-0.80987878182864503</v>
      </c>
      <c r="CD22" s="3">
        <f ca="1">IFERROR(__xludf.DUMMYFUNCTION("""COMPUTED_VALUE"""),-0.810533926387925)</f>
        <v>-0.81053392638792499</v>
      </c>
      <c r="CE22" s="3">
        <f ca="1">IFERROR(__xludf.DUMMYFUNCTION("""COMPUTED_VALUE"""),-0.803009811421846)</f>
        <v>-0.80300981142184602</v>
      </c>
      <c r="CF22" s="3">
        <f ca="1">IFERROR(__xludf.DUMMYFUNCTION("""COMPUTED_VALUE"""),-0.809389357175488)</f>
        <v>-0.80938935717548799</v>
      </c>
      <c r="CG22" s="3">
        <f ca="1">IFERROR(__xludf.DUMMYFUNCTION("""COMPUTED_VALUE"""),-0.696689017960407)</f>
        <v>-0.69668901796040705</v>
      </c>
      <c r="CH22" s="3">
        <f ca="1">IFERROR(__xludf.DUMMYFUNCTION("""COMPUTED_VALUE"""),-0.694438264741905)</f>
        <v>-0.69443826474190495</v>
      </c>
      <c r="CI22" s="3">
        <f ca="1">IFERROR(__xludf.DUMMYFUNCTION("""COMPUTED_VALUE"""),-0.770512725313802)</f>
        <v>-0.77051272531380199</v>
      </c>
      <c r="CJ22" s="3">
        <f ca="1">IFERROR(__xludf.DUMMYFUNCTION("""COMPUTED_VALUE"""),-0.804862431680446)</f>
        <v>-0.80486243168044602</v>
      </c>
      <c r="CK22" s="3">
        <f ca="1">IFERROR(__xludf.DUMMYFUNCTION("""COMPUTED_VALUE"""),-0.793575170191001)</f>
        <v>-0.79357517019100099</v>
      </c>
      <c r="CL22" s="3">
        <f ca="1">IFERROR(__xludf.DUMMYFUNCTION("""COMPUTED_VALUE"""),-0.793598387543243)</f>
        <v>-0.79359838754324297</v>
      </c>
      <c r="CM22" s="3">
        <f ca="1">IFERROR(__xludf.DUMMYFUNCTION("""COMPUTED_VALUE"""),-0.749381774394177)</f>
        <v>-0.74938177439417697</v>
      </c>
      <c r="CN22" s="3">
        <f ca="1">IFERROR(__xludf.DUMMYFUNCTION("""COMPUTED_VALUE"""),-0.694071161346189)</f>
        <v>-0.69407116134618896</v>
      </c>
      <c r="CO22" s="3">
        <f ca="1">IFERROR(__xludf.DUMMYFUNCTION("""COMPUTED_VALUE"""),-0.711999631225743)</f>
        <v>-0.71199963122574295</v>
      </c>
      <c r="CP22" s="3">
        <f ca="1">IFERROR(__xludf.DUMMYFUNCTION("""COMPUTED_VALUE"""),-0.757836024535207)</f>
        <v>-0.75783602453520704</v>
      </c>
      <c r="CQ22" s="3">
        <f ca="1">IFERROR(__xludf.DUMMYFUNCTION("""COMPUTED_VALUE"""),-0.778461215953355)</f>
        <v>-0.77846121595335505</v>
      </c>
      <c r="CR22" s="3">
        <f ca="1">IFERROR(__xludf.DUMMYFUNCTION("""COMPUTED_VALUE"""),-0.757617855421393)</f>
        <v>-0.75761785542139304</v>
      </c>
      <c r="CS22" s="3">
        <f ca="1">IFERROR(__xludf.DUMMYFUNCTION("""COMPUTED_VALUE"""),-0.775576025622218)</f>
        <v>-0.77557602562221795</v>
      </c>
      <c r="CT22" s="3">
        <f ca="1">IFERROR(__xludf.DUMMYFUNCTION("""COMPUTED_VALUE"""),-0.769494842699854)</f>
        <v>-0.76949484269985402</v>
      </c>
      <c r="CU22" s="3">
        <f ca="1">IFERROR(__xludf.DUMMYFUNCTION("""COMPUTED_VALUE"""),-0.672181548060833)</f>
        <v>-0.67218154806083297</v>
      </c>
      <c r="CV22" s="3">
        <f ca="1">IFERROR(__xludf.DUMMYFUNCTION("""COMPUTED_VALUE"""),-0.636561309379288)</f>
        <v>-0.63656130937928801</v>
      </c>
      <c r="CW22" s="3">
        <f ca="1">IFERROR(__xludf.DUMMYFUNCTION("""COMPUTED_VALUE"""),-0.785968758924294)</f>
        <v>-0.78596875892429396</v>
      </c>
      <c r="CX22" s="3">
        <f ca="1">IFERROR(__xludf.DUMMYFUNCTION("""COMPUTED_VALUE"""),-0.692898260506984)</f>
        <v>-0.692898260506984</v>
      </c>
      <c r="CY22" s="3">
        <f ca="1">IFERROR(__xludf.DUMMYFUNCTION("""COMPUTED_VALUE"""),-0.610109369523732)</f>
        <v>-0.61010936952373196</v>
      </c>
      <c r="CZ22" s="3">
        <f ca="1">IFERROR(__xludf.DUMMYFUNCTION("""COMPUTED_VALUE"""),-0.702744014592518)</f>
        <v>-0.70274401459251801</v>
      </c>
      <c r="DA22" s="3">
        <f ca="1">IFERROR(__xludf.DUMMYFUNCTION("""COMPUTED_VALUE"""),-0.732503149857439)</f>
        <v>-0.73250314985743903</v>
      </c>
      <c r="DB22" s="3">
        <f ca="1">IFERROR(__xludf.DUMMYFUNCTION("""COMPUTED_VALUE"""),-0.625022508074744)</f>
        <v>-0.62502250807474402</v>
      </c>
      <c r="DC22" s="3">
        <f ca="1">IFERROR(__xludf.DUMMYFUNCTION("""COMPUTED_VALUE"""),-0.639422940926513)</f>
        <v>-0.63942294092651297</v>
      </c>
      <c r="DD22" s="3">
        <f ca="1">IFERROR(__xludf.DUMMYFUNCTION("""COMPUTED_VALUE"""),-0.866795160485341)</f>
        <v>-0.866795160485341</v>
      </c>
      <c r="DE22" s="3">
        <f ca="1">IFERROR(__xludf.DUMMYFUNCTION("""COMPUTED_VALUE"""),-0.781847913432004)</f>
        <v>-0.78184791343200399</v>
      </c>
      <c r="DF22" s="3">
        <f ca="1">IFERROR(__xludf.DUMMYFUNCTION("""COMPUTED_VALUE"""),-0.662379120468534)</f>
        <v>-0.66237912046853398</v>
      </c>
      <c r="DG22" s="3">
        <f ca="1">IFERROR(__xludf.DUMMYFUNCTION("""COMPUTED_VALUE"""),-0.714148852408403)</f>
        <v>-0.71414885240840298</v>
      </c>
      <c r="DH22" s="3">
        <f ca="1">IFERROR(__xludf.DUMMYFUNCTION("""COMPUTED_VALUE"""),-0.738833094538835)</f>
        <v>-0.73883309453883494</v>
      </c>
      <c r="DI22" s="3">
        <f ca="1">IFERROR(__xludf.DUMMYFUNCTION("""COMPUTED_VALUE"""),-0.660619547164665)</f>
        <v>-0.66061954716466498</v>
      </c>
      <c r="DJ22" s="3">
        <f ca="1">IFERROR(__xludf.DUMMYFUNCTION("""COMPUTED_VALUE"""),-0.664434730998743)</f>
        <v>-0.66443473099874295</v>
      </c>
      <c r="DK22" s="3">
        <f ca="1">IFERROR(__xludf.DUMMYFUNCTION("""COMPUTED_VALUE"""),-0.765240644080087)</f>
        <v>-0.76524064408008696</v>
      </c>
      <c r="DL22" s="3">
        <f ca="1">IFERROR(__xludf.DUMMYFUNCTION("""COMPUTED_VALUE"""),-0.785409212121869)</f>
        <v>-0.78540921212186898</v>
      </c>
      <c r="DM22" s="3">
        <f ca="1">IFERROR(__xludf.DUMMYFUNCTION("""COMPUTED_VALUE"""),-0.75766735627871)</f>
        <v>-0.75766735627870996</v>
      </c>
      <c r="DN22" s="3">
        <f ca="1">IFERROR(__xludf.DUMMYFUNCTION("""COMPUTED_VALUE"""),-0.781093227648063)</f>
        <v>-0.78109322764806299</v>
      </c>
      <c r="DO22" s="3">
        <f ca="1">IFERROR(__xludf.DUMMYFUNCTION("""COMPUTED_VALUE"""),-0.794749069632783)</f>
        <v>-0.79474906963278302</v>
      </c>
      <c r="DP22" s="3">
        <f ca="1">IFERROR(__xludf.DUMMYFUNCTION("""COMPUTED_VALUE"""),-0.719674971285571)</f>
        <v>-0.71967497128557101</v>
      </c>
      <c r="DQ22" s="3">
        <f ca="1">IFERROR(__xludf.DUMMYFUNCTION("""COMPUTED_VALUE"""),-0.773262268339926)</f>
        <v>-0.77326226833992595</v>
      </c>
      <c r="DR22" s="3">
        <f ca="1">IFERROR(__xludf.DUMMYFUNCTION("""COMPUTED_VALUE"""),-0.826002834755376)</f>
        <v>-0.82600283475537595</v>
      </c>
      <c r="DS22" s="3">
        <f ca="1">IFERROR(__xludf.DUMMYFUNCTION("""COMPUTED_VALUE"""),-0.839274580303494)</f>
        <v>-0.839274580303494</v>
      </c>
      <c r="DT22" s="3">
        <f ca="1">IFERROR(__xludf.DUMMYFUNCTION("""COMPUTED_VALUE"""),-0.843973936223102)</f>
        <v>-0.84397393622310202</v>
      </c>
      <c r="DU22" s="3">
        <f ca="1">IFERROR(__xludf.DUMMYFUNCTION("""COMPUTED_VALUE"""),-0.84813062726174)</f>
        <v>-0.84813062726174004</v>
      </c>
      <c r="DV22" s="3">
        <f ca="1">IFERROR(__xludf.DUMMYFUNCTION("""COMPUTED_VALUE"""),-0.841932739005697)</f>
        <v>-0.84193273900569698</v>
      </c>
      <c r="DW22" s="3">
        <f ca="1">IFERROR(__xludf.DUMMYFUNCTION("""COMPUTED_VALUE"""),-0.752062080366808)</f>
        <v>-0.75206208036680799</v>
      </c>
      <c r="DX22" s="3">
        <f ca="1">IFERROR(__xludf.DUMMYFUNCTION("""COMPUTED_VALUE"""),-0.772484792815604)</f>
        <v>-0.772484792815604</v>
      </c>
      <c r="DY22" s="3">
        <f ca="1">IFERROR(__xludf.DUMMYFUNCTION("""COMPUTED_VALUE"""),-0.799258709444798)</f>
        <v>-0.79925870944479804</v>
      </c>
      <c r="DZ22" s="3">
        <f ca="1">IFERROR(__xludf.DUMMYFUNCTION("""COMPUTED_VALUE"""),-0.805005430492398)</f>
        <v>-0.80500543049239803</v>
      </c>
      <c r="EA22" s="3">
        <f ca="1">IFERROR(__xludf.DUMMYFUNCTION("""COMPUTED_VALUE"""),-0.84298645206572)</f>
        <v>-0.84298645206571998</v>
      </c>
      <c r="EB22" s="3">
        <f ca="1">IFERROR(__xludf.DUMMYFUNCTION("""COMPUTED_VALUE"""),-0.831501757591576)</f>
        <v>-0.83150175759157596</v>
      </c>
      <c r="EC22" s="3">
        <f ca="1">IFERROR(__xludf.DUMMYFUNCTION("""COMPUTED_VALUE"""),-0.831471409327746)</f>
        <v>-0.83147140932774599</v>
      </c>
      <c r="ED22" s="3">
        <f ca="1">IFERROR(__xludf.DUMMYFUNCTION("""COMPUTED_VALUE"""),-0.750569331498388)</f>
        <v>-0.750569331498388</v>
      </c>
      <c r="EE22" s="3">
        <f ca="1">IFERROR(__xludf.DUMMYFUNCTION("""COMPUTED_VALUE"""),-0.773790053833461)</f>
        <v>-0.773790053833461</v>
      </c>
      <c r="EF22" s="3">
        <f ca="1">IFERROR(__xludf.DUMMYFUNCTION("""COMPUTED_VALUE"""),-0.843632360746772)</f>
        <v>-0.84363236074677195</v>
      </c>
      <c r="EG22" s="3">
        <f ca="1">IFERROR(__xludf.DUMMYFUNCTION("""COMPUTED_VALUE"""),-0.891349379335204)</f>
        <v>-0.89134937933520397</v>
      </c>
      <c r="EH22" s="3">
        <f ca="1">IFERROR(__xludf.DUMMYFUNCTION("""COMPUTED_VALUE"""),-0.810757819867139)</f>
        <v>-0.81075781986713902</v>
      </c>
      <c r="EI22" s="3">
        <f ca="1">IFERROR(__xludf.DUMMYFUNCTION("""COMPUTED_VALUE"""),-0.811163107826898)</f>
        <v>-0.81116310782689804</v>
      </c>
      <c r="EJ22" s="3">
        <f ca="1">IFERROR(__xludf.DUMMYFUNCTION("""COMPUTED_VALUE"""),-0.816300315528083)</f>
        <v>-0.81630031552808302</v>
      </c>
      <c r="EK22" s="3">
        <f ca="1">IFERROR(__xludf.DUMMYFUNCTION("""COMPUTED_VALUE"""),-0.716523971321607)</f>
        <v>-0.71652397132160695</v>
      </c>
      <c r="EL22" s="3">
        <f ca="1">IFERROR(__xludf.DUMMYFUNCTION("""COMPUTED_VALUE"""),-0.688125421391055)</f>
        <v>-0.68812542139105504</v>
      </c>
      <c r="EM22" s="3">
        <f ca="1">IFERROR(__xludf.DUMMYFUNCTION("""COMPUTED_VALUE"""),-0.754776762073078)</f>
        <v>-0.75477676207307798</v>
      </c>
      <c r="EN22" s="3">
        <f ca="1">IFERROR(__xludf.DUMMYFUNCTION("""COMPUTED_VALUE"""),-0.765251900979992)</f>
        <v>-0.76525190097999196</v>
      </c>
      <c r="EO22" s="3">
        <f ca="1">IFERROR(__xludf.DUMMYFUNCTION("""COMPUTED_VALUE"""),-0.793060818519272)</f>
        <v>-0.79306081851927201</v>
      </c>
      <c r="EP22" s="3">
        <f ca="1">IFERROR(__xludf.DUMMYFUNCTION("""COMPUTED_VALUE"""),-0.770209218470551)</f>
        <v>-0.77020921847055102</v>
      </c>
      <c r="EQ22" s="3">
        <f ca="1">IFERROR(__xludf.DUMMYFUNCTION("""COMPUTED_VALUE"""),-0.780747751442194)</f>
        <v>-0.78074775144219399</v>
      </c>
      <c r="ER22" s="3">
        <f ca="1">IFERROR(__xludf.DUMMYFUNCTION("""COMPUTED_VALUE"""),-0.660361178866847)</f>
        <v>-0.66036117886684698</v>
      </c>
      <c r="ES22" s="3">
        <f ca="1">IFERROR(__xludf.DUMMYFUNCTION("""COMPUTED_VALUE"""),-0.689987041995241)</f>
        <v>-0.68998704199524097</v>
      </c>
      <c r="ET22" s="3">
        <f ca="1">IFERROR(__xludf.DUMMYFUNCTION("""COMPUTED_VALUE"""),-0.790848647269189)</f>
        <v>-0.79084864726918902</v>
      </c>
      <c r="EU22" s="3">
        <f ca="1">IFERROR(__xludf.DUMMYFUNCTION("""COMPUTED_VALUE"""),-0.809080644943556)</f>
        <v>-0.80908064494355603</v>
      </c>
      <c r="EV22" s="3">
        <f ca="1">IFERROR(__xludf.DUMMYFUNCTION("""COMPUTED_VALUE"""),-0.816476443176456)</f>
        <v>-0.81647644317645596</v>
      </c>
      <c r="EW22" s="3">
        <f ca="1">IFERROR(__xludf.DUMMYFUNCTION("""COMPUTED_VALUE"""),-0.810028633549035)</f>
        <v>-0.81002863354903498</v>
      </c>
      <c r="EX22" s="3">
        <f ca="1">IFERROR(__xludf.DUMMYFUNCTION("""COMPUTED_VALUE"""),-0.803209735875699)</f>
        <v>-0.80320973587569899</v>
      </c>
      <c r="EY22" s="3">
        <f ca="1">IFERROR(__xludf.DUMMYFUNCTION("""COMPUTED_VALUE"""),-0.6986993026612)</f>
        <v>-0.69869930266119995</v>
      </c>
      <c r="EZ22" s="3">
        <f ca="1">IFERROR(__xludf.DUMMYFUNCTION("""COMPUTED_VALUE"""),-0.679550779027734)</f>
        <v>-0.67955077902773398</v>
      </c>
      <c r="FA22" s="3">
        <f ca="1">IFERROR(__xludf.DUMMYFUNCTION("""COMPUTED_VALUE"""),-0.787566381247623)</f>
        <v>-0.78756638124762302</v>
      </c>
      <c r="FB22" s="3">
        <f ca="1">IFERROR(__xludf.DUMMYFUNCTION("""COMPUTED_VALUE"""),-0.810597231050891)</f>
        <v>-0.81059723105089099</v>
      </c>
      <c r="FC22" s="3">
        <f ca="1">IFERROR(__xludf.DUMMYFUNCTION("""COMPUTED_VALUE"""),-0.782292877839515)</f>
        <v>-0.78229287783951496</v>
      </c>
      <c r="FD22" s="3">
        <f ca="1">IFERROR(__xludf.DUMMYFUNCTION("""COMPUTED_VALUE"""),-0.79282977087187)</f>
        <v>-0.79282977087187001</v>
      </c>
      <c r="FE22" s="3">
        <f ca="1">IFERROR(__xludf.DUMMYFUNCTION("""COMPUTED_VALUE"""),-0.775745363361732)</f>
        <v>-0.77574536336173205</v>
      </c>
      <c r="FF22" s="3">
        <f ca="1">IFERROR(__xludf.DUMMYFUNCTION("""COMPUTED_VALUE"""),-0.673039365880999)</f>
        <v>-0.673039365880999</v>
      </c>
      <c r="FG22" s="3">
        <f ca="1">IFERROR(__xludf.DUMMYFUNCTION("""COMPUTED_VALUE"""),-0.687210303049766)</f>
        <v>-0.68721030304976605</v>
      </c>
      <c r="FH22" s="3">
        <f ca="1">IFERROR(__xludf.DUMMYFUNCTION("""COMPUTED_VALUE"""),-0.770179107561757)</f>
        <v>-0.770179107561757</v>
      </c>
      <c r="FI22" s="3">
        <f ca="1">IFERROR(__xludf.DUMMYFUNCTION("""COMPUTED_VALUE"""),-0.789637775981651)</f>
        <v>-0.78963777598165097</v>
      </c>
      <c r="FJ22" s="3">
        <f ca="1">IFERROR(__xludf.DUMMYFUNCTION("""COMPUTED_VALUE"""),-0.773254876516714)</f>
        <v>-0.77325487651671398</v>
      </c>
      <c r="FK22" s="3">
        <f ca="1">IFERROR(__xludf.DUMMYFUNCTION("""COMPUTED_VALUE"""),-0.784297002294812)</f>
        <v>-0.78429700229481203</v>
      </c>
      <c r="FL22" s="3">
        <f ca="1">IFERROR(__xludf.DUMMYFUNCTION("""COMPUTED_VALUE"""),-0.798906359927224)</f>
        <v>-0.79890635992722403</v>
      </c>
      <c r="FM22" s="3">
        <f ca="1">IFERROR(__xludf.DUMMYFUNCTION("""COMPUTED_VALUE"""),-0.703798649499486)</f>
        <v>-0.70379864949948601</v>
      </c>
      <c r="FN22" s="3">
        <f ca="1">IFERROR(__xludf.DUMMYFUNCTION("""COMPUTED_VALUE"""),-0.668142359722445)</f>
        <v>-0.66814235972244496</v>
      </c>
      <c r="FO22" s="3">
        <f ca="1">IFERROR(__xludf.DUMMYFUNCTION("""COMPUTED_VALUE"""),-0.78338329176222)</f>
        <v>-0.78338329176221999</v>
      </c>
      <c r="FP22" s="3">
        <f ca="1">IFERROR(__xludf.DUMMYFUNCTION("""COMPUTED_VALUE"""),-0.788955795419595)</f>
        <v>-0.78895579541959504</v>
      </c>
      <c r="FQ22" s="3">
        <f ca="1">IFERROR(__xludf.DUMMYFUNCTION("""COMPUTED_VALUE"""),-0.771377336199869)</f>
        <v>-0.77137733619986903</v>
      </c>
      <c r="FR22" s="3">
        <f ca="1">IFERROR(__xludf.DUMMYFUNCTION("""COMPUTED_VALUE"""),-0.780482718894666)</f>
        <v>-0.78048271889466603</v>
      </c>
      <c r="FS22" s="3">
        <f ca="1">IFERROR(__xludf.DUMMYFUNCTION("""COMPUTED_VALUE"""),-0.774889430086285)</f>
        <v>-0.77488943008628497</v>
      </c>
      <c r="FT22" s="3">
        <f ca="1">IFERROR(__xludf.DUMMYFUNCTION("""COMPUTED_VALUE"""),-0.695383912260684)</f>
        <v>-0.69538391226068397</v>
      </c>
      <c r="FU22" s="3">
        <f ca="1">IFERROR(__xludf.DUMMYFUNCTION("""COMPUTED_VALUE"""),-0.664038588391659)</f>
        <v>-0.66403858839165897</v>
      </c>
      <c r="FV22" s="3">
        <f ca="1">IFERROR(__xludf.DUMMYFUNCTION("""COMPUTED_VALUE"""),-0.767765946369676)</f>
        <v>-0.76776594636967599</v>
      </c>
      <c r="FW22" s="3">
        <f ca="1">IFERROR(__xludf.DUMMYFUNCTION("""COMPUTED_VALUE"""),-0.795028375234794)</f>
        <v>-0.79502837523479397</v>
      </c>
      <c r="FX22" s="3">
        <f ca="1">IFERROR(__xludf.DUMMYFUNCTION("""COMPUTED_VALUE"""),-0.784324204461522)</f>
        <v>-0.78432420446152196</v>
      </c>
      <c r="FY22" s="3">
        <f ca="1">IFERROR(__xludf.DUMMYFUNCTION("""COMPUTED_VALUE"""),-0.785370039550724)</f>
        <v>-0.78537003955072404</v>
      </c>
      <c r="FZ22" s="3">
        <f ca="1">IFERROR(__xludf.DUMMYFUNCTION("""COMPUTED_VALUE"""),-0.782422363277373)</f>
        <v>-0.78242236327737302</v>
      </c>
      <c r="GA22" s="3">
        <f ca="1">IFERROR(__xludf.DUMMYFUNCTION("""COMPUTED_VALUE"""),-0.685166238948898)</f>
        <v>-0.68516623894889805</v>
      </c>
      <c r="GB22" s="3">
        <f ca="1">IFERROR(__xludf.DUMMYFUNCTION("""COMPUTED_VALUE"""),-0.666943787939134)</f>
        <v>-0.666943787939134</v>
      </c>
      <c r="GC22" s="3">
        <f ca="1">IFERROR(__xludf.DUMMYFUNCTION("""COMPUTED_VALUE"""),-0.77632270011963)</f>
        <v>-0.77632270011963</v>
      </c>
      <c r="GD22" s="3">
        <f ca="1">IFERROR(__xludf.DUMMYFUNCTION("""COMPUTED_VALUE"""),-0.811858862576264)</f>
        <v>-0.81185886257626405</v>
      </c>
      <c r="GE22" s="3">
        <f ca="1">IFERROR(__xludf.DUMMYFUNCTION("""COMPUTED_VALUE"""),-0.801513501709805)</f>
        <v>-0.80151350170980495</v>
      </c>
      <c r="GF22" s="3">
        <f ca="1">IFERROR(__xludf.DUMMYFUNCTION("""COMPUTED_VALUE"""),-0.801774884212213)</f>
        <v>-0.80177488421221299</v>
      </c>
      <c r="GG22" s="3">
        <f ca="1">IFERROR(__xludf.DUMMYFUNCTION("""COMPUTED_VALUE"""),-0.785686741337054)</f>
        <v>-0.78568674133705396</v>
      </c>
      <c r="GH22" s="3">
        <f ca="1">IFERROR(__xludf.DUMMYFUNCTION("""COMPUTED_VALUE"""),-0.68185410762048)</f>
        <v>-0.68185410762048004</v>
      </c>
      <c r="GI22" s="3">
        <f ca="1">IFERROR(__xludf.DUMMYFUNCTION("""COMPUTED_VALUE"""),-0.689506677135274)</f>
        <v>-0.68950667713527403</v>
      </c>
      <c r="GJ22" s="3">
        <f ca="1">IFERROR(__xludf.DUMMYFUNCTION("""COMPUTED_VALUE"""),-0.78194803117365)</f>
        <v>-0.78194803117364997</v>
      </c>
      <c r="GK22" s="3">
        <f ca="1">IFERROR(__xludf.DUMMYFUNCTION("""COMPUTED_VALUE"""),-0.805255331776471)</f>
        <v>-0.80525533177647102</v>
      </c>
      <c r="GL22" s="3">
        <f ca="1">IFERROR(__xludf.DUMMYFUNCTION("""COMPUTED_VALUE"""),-0.807763966521275)</f>
        <v>-0.80776396652127502</v>
      </c>
      <c r="GM22" s="3">
        <f ca="1">IFERROR(__xludf.DUMMYFUNCTION("""COMPUTED_VALUE"""),-0.800313155792646)</f>
        <v>-0.80031315579264595</v>
      </c>
      <c r="GN22" s="3">
        <f ca="1">IFERROR(__xludf.DUMMYFUNCTION("""COMPUTED_VALUE"""),-0.778087861781972)</f>
        <v>-0.77808786178197198</v>
      </c>
      <c r="GO22" s="3">
        <f ca="1">IFERROR(__xludf.DUMMYFUNCTION("""COMPUTED_VALUE"""),-0.712269182709495)</f>
        <v>-0.71226918270949502</v>
      </c>
      <c r="GP22" s="3">
        <f ca="1">IFERROR(__xludf.DUMMYFUNCTION("""COMPUTED_VALUE"""),-0.707268901928416)</f>
        <v>-0.70726890192841596</v>
      </c>
      <c r="GQ22" s="3">
        <f ca="1">IFERROR(__xludf.DUMMYFUNCTION("""COMPUTED_VALUE"""),-0.786108340843923)</f>
        <v>-0.786108340843923</v>
      </c>
      <c r="GR22" s="3">
        <f ca="1">IFERROR(__xludf.DUMMYFUNCTION("""COMPUTED_VALUE"""),-0.793514084422546)</f>
        <v>-0.79351408442254601</v>
      </c>
      <c r="GS22" s="3">
        <f ca="1">IFERROR(__xludf.DUMMYFUNCTION("""COMPUTED_VALUE"""),-0.788703858029956)</f>
        <v>-0.78870385802995602</v>
      </c>
      <c r="GT22" s="3">
        <f ca="1">IFERROR(__xludf.DUMMYFUNCTION("""COMPUTED_VALUE"""),-0.775894826564211)</f>
        <v>-0.77589482656421105</v>
      </c>
      <c r="GU22" s="3">
        <f ca="1">IFERROR(__xludf.DUMMYFUNCTION("""COMPUTED_VALUE"""),-0.742410526310537)</f>
        <v>-0.74241052631053694</v>
      </c>
      <c r="GV22" s="3">
        <f ca="1">IFERROR(__xludf.DUMMYFUNCTION("""COMPUTED_VALUE"""),-0.675471484533899)</f>
        <v>-0.67547148453389905</v>
      </c>
      <c r="GW22" s="3">
        <f ca="1">IFERROR(__xludf.DUMMYFUNCTION("""COMPUTED_VALUE"""),-0.677155153670153)</f>
        <v>-0.677155153670153</v>
      </c>
      <c r="GX22" s="3">
        <f ca="1">IFERROR(__xludf.DUMMYFUNCTION("""COMPUTED_VALUE"""),-0.765813073817966)</f>
        <v>-0.76581307381796604</v>
      </c>
      <c r="GY22" s="3">
        <f ca="1">IFERROR(__xludf.DUMMYFUNCTION("""COMPUTED_VALUE"""),-0.779941898108179)</f>
        <v>-0.77994189810817904</v>
      </c>
      <c r="GZ22" s="3">
        <f ca="1">IFERROR(__xludf.DUMMYFUNCTION("""COMPUTED_VALUE"""),-0.779147852450259)</f>
        <v>-0.77914785245025897</v>
      </c>
      <c r="HA22" s="3">
        <f ca="1">IFERROR(__xludf.DUMMYFUNCTION("""COMPUTED_VALUE"""),-0.766445256923892)</f>
        <v>-0.76644525692389198</v>
      </c>
      <c r="HB22" s="3">
        <f ca="1">IFERROR(__xludf.DUMMYFUNCTION("""COMPUTED_VALUE"""),-0.736947503564947)</f>
        <v>-0.73694750356494698</v>
      </c>
      <c r="HC22" s="3">
        <f ca="1">IFERROR(__xludf.DUMMYFUNCTION("""COMPUTED_VALUE"""),-0.640481521399625)</f>
        <v>-0.640481521399625</v>
      </c>
      <c r="HD22" s="3">
        <f ca="1">IFERROR(__xludf.DUMMYFUNCTION("""COMPUTED_VALUE"""),-0.64794605754622)</f>
        <v>-0.64794605754622003</v>
      </c>
      <c r="HE22" s="3">
        <f ca="1">IFERROR(__xludf.DUMMYFUNCTION("""COMPUTED_VALUE"""),-0.735833809941664)</f>
        <v>-0.73583380994166403</v>
      </c>
      <c r="HF22" s="3">
        <f ca="1">IFERROR(__xludf.DUMMYFUNCTION("""COMPUTED_VALUE"""),-0.768687137218189)</f>
        <v>-0.76868713721818904</v>
      </c>
      <c r="HG22" s="3">
        <f ca="1">IFERROR(__xludf.DUMMYFUNCTION("""COMPUTED_VALUE"""),-0.76070145616804)</f>
        <v>-0.76070145616803997</v>
      </c>
      <c r="HH22" s="3">
        <f ca="1">IFERROR(__xludf.DUMMYFUNCTION("""COMPUTED_VALUE"""),-0.778144638562802)</f>
        <v>-0.77814463856280203</v>
      </c>
      <c r="HI22" s="3">
        <f ca="1">IFERROR(__xludf.DUMMYFUNCTION("""COMPUTED_VALUE"""),-0.770761897447072)</f>
        <v>-0.77076189744707202</v>
      </c>
      <c r="HJ22" s="3">
        <f ca="1">IFERROR(__xludf.DUMMYFUNCTION("""COMPUTED_VALUE"""),-0.697275994090651)</f>
        <v>-0.697275994090651</v>
      </c>
      <c r="HK22" s="3">
        <f ca="1">IFERROR(__xludf.DUMMYFUNCTION("""COMPUTED_VALUE"""),-0.644858889600694)</f>
        <v>-0.64485888960069404</v>
      </c>
      <c r="HL22" s="3">
        <f ca="1">IFERROR(__xludf.DUMMYFUNCTION("""COMPUTED_VALUE"""),-0.738376956277025)</f>
        <v>-0.73837695627702504</v>
      </c>
      <c r="HM22" s="3">
        <f ca="1">IFERROR(__xludf.DUMMYFUNCTION("""COMPUTED_VALUE"""),-0.751946150435084)</f>
        <v>-0.75194615043508395</v>
      </c>
      <c r="HN22" s="3">
        <f ca="1">IFERROR(__xludf.DUMMYFUNCTION("""COMPUTED_VALUE"""),-0.76117614980554)</f>
        <v>-0.76117614980554005</v>
      </c>
      <c r="HO22" s="3">
        <f ca="1">IFERROR(__xludf.DUMMYFUNCTION("""COMPUTED_VALUE"""),-0.763889818640256)</f>
        <v>-0.76388981864025596</v>
      </c>
      <c r="HP22" s="3">
        <f ca="1">IFERROR(__xludf.DUMMYFUNCTION("""COMPUTED_VALUE"""),-0.732290213342179)</f>
        <v>-0.73229021334217903</v>
      </c>
      <c r="HQ22" s="3">
        <f ca="1">IFERROR(__xludf.DUMMYFUNCTION("""COMPUTED_VALUE"""),-0.672538855894751)</f>
        <v>-0.67253885589475104</v>
      </c>
      <c r="HR22" s="3">
        <f ca="1">IFERROR(__xludf.DUMMYFUNCTION("""COMPUTED_VALUE"""),-0.680549060041936)</f>
        <v>-0.68054906004193605</v>
      </c>
      <c r="HS22" s="3">
        <f ca="1">IFERROR(__xludf.DUMMYFUNCTION("""COMPUTED_VALUE"""),-0.759198492415856)</f>
        <v>-0.75919849241585602</v>
      </c>
      <c r="HT22" s="3">
        <f ca="1">IFERROR(__xludf.DUMMYFUNCTION("""COMPUTED_VALUE"""),-0.774619628088943)</f>
        <v>-0.77461962808894302</v>
      </c>
      <c r="HU22" s="3">
        <f ca="1">IFERROR(__xludf.DUMMYFUNCTION("""COMPUTED_VALUE"""),-0.752189587663842)</f>
        <v>-0.75218958766384203</v>
      </c>
      <c r="HV22" s="3">
        <f ca="1">IFERROR(__xludf.DUMMYFUNCTION("""COMPUTED_VALUE"""),-0.734904383531985)</f>
        <v>-0.73490438353198495</v>
      </c>
      <c r="HW22" s="3">
        <f ca="1">IFERROR(__xludf.DUMMYFUNCTION("""COMPUTED_VALUE"""),-0.678996257106855)</f>
        <v>-0.67899625710685496</v>
      </c>
      <c r="HX22" s="3">
        <f ca="1">IFERROR(__xludf.DUMMYFUNCTION("""COMPUTED_VALUE"""),-0.623160395831337)</f>
        <v>-0.62316039583133698</v>
      </c>
      <c r="HY22" s="3">
        <f ca="1">IFERROR(__xludf.DUMMYFUNCTION("""COMPUTED_VALUE"""),-0.65125352786393)</f>
        <v>-0.65125352786392998</v>
      </c>
      <c r="HZ22" s="3">
        <f ca="1">IFERROR(__xludf.DUMMYFUNCTION("""COMPUTED_VALUE"""),-0.747091606545848)</f>
        <v>-0.74709160654584805</v>
      </c>
      <c r="IA22" s="3">
        <f ca="1">IFERROR(__xludf.DUMMYFUNCTION("""COMPUTED_VALUE"""),-0.748896519530131)</f>
        <v>-0.74889651953013103</v>
      </c>
      <c r="IB22" s="3">
        <f ca="1">IFERROR(__xludf.DUMMYFUNCTION("""COMPUTED_VALUE"""),-0.766575084227308)</f>
        <v>-0.76657508422730802</v>
      </c>
      <c r="IC22" s="3">
        <f ca="1">IFERROR(__xludf.DUMMYFUNCTION("""COMPUTED_VALUE"""),-0.768645489425381)</f>
        <v>-0.76864548942538102</v>
      </c>
      <c r="ID22" s="3">
        <f ca="1">IFERROR(__xludf.DUMMYFUNCTION("""COMPUTED_VALUE"""),-0.788331239536586)</f>
        <v>-0.78833123953658601</v>
      </c>
      <c r="IE22" s="3">
        <f ca="1">IFERROR(__xludf.DUMMYFUNCTION("""COMPUTED_VALUE"""),-0.654541232243945)</f>
        <v>-0.654541232243945</v>
      </c>
      <c r="IF22" s="3">
        <f ca="1">IFERROR(__xludf.DUMMYFUNCTION("""COMPUTED_VALUE"""),-0.702252336554839)</f>
        <v>-0.70225233655483899</v>
      </c>
      <c r="IG22" s="3">
        <f ca="1">IFERROR(__xludf.DUMMYFUNCTION("""COMPUTED_VALUE"""),-0.781767236006219)</f>
        <v>-0.781767236006219</v>
      </c>
      <c r="IH22" s="3">
        <f ca="1">IFERROR(__xludf.DUMMYFUNCTION("""COMPUTED_VALUE"""),-0.761697405911768)</f>
        <v>-0.76169740591176804</v>
      </c>
      <c r="II22" s="3">
        <f ca="1">IFERROR(__xludf.DUMMYFUNCTION("""COMPUTED_VALUE"""),-0.755231980116081)</f>
        <v>-0.75523198011608095</v>
      </c>
      <c r="IJ22" s="3">
        <f ca="1">IFERROR(__xludf.DUMMYFUNCTION("""COMPUTED_VALUE"""),-0.74970693394526)</f>
        <v>-0.74970693394526</v>
      </c>
      <c r="IK22" s="3">
        <f ca="1">IFERROR(__xludf.DUMMYFUNCTION("""COMPUTED_VALUE"""),-0.722567250010567)</f>
        <v>-0.72256725001056699</v>
      </c>
      <c r="IL22" s="3">
        <f ca="1">IFERROR(__xludf.DUMMYFUNCTION("""COMPUTED_VALUE"""),-0.58770871876946)</f>
        <v>-0.58770871876945996</v>
      </c>
      <c r="IM22" s="3">
        <f ca="1">IFERROR(__xludf.DUMMYFUNCTION("""COMPUTED_VALUE"""),-0.639753052782942)</f>
        <v>-0.63975305278294203</v>
      </c>
      <c r="IN22" s="3">
        <f ca="1">IFERROR(__xludf.DUMMYFUNCTION("""COMPUTED_VALUE"""),-0.690924756007159)</f>
        <v>-0.69092475600715897</v>
      </c>
      <c r="IO22" s="3">
        <f ca="1">IFERROR(__xludf.DUMMYFUNCTION("""COMPUTED_VALUE"""),-0.728175244621999)</f>
        <v>-0.72817524462199901</v>
      </c>
      <c r="IP22" s="3">
        <f ca="1">IFERROR(__xludf.DUMMYFUNCTION("""COMPUTED_VALUE"""),-0.707759391486458)</f>
        <v>-0.70775939148645794</v>
      </c>
      <c r="IQ22" s="3">
        <f ca="1">IFERROR(__xludf.DUMMYFUNCTION("""COMPUTED_VALUE"""),-0.708163209223347)</f>
        <v>-0.70816320922334697</v>
      </c>
      <c r="IR22" s="3">
        <f ca="1">IFERROR(__xludf.DUMMYFUNCTION("""COMPUTED_VALUE"""),-0.694712761991367)</f>
        <v>-0.694712761991367</v>
      </c>
      <c r="IS22" s="3">
        <f ca="1">IFERROR(__xludf.DUMMYFUNCTION("""COMPUTED_VALUE"""),-0.600681140882557)</f>
        <v>-0.60068114088255697</v>
      </c>
      <c r="IT22" s="3">
        <f ca="1">IFERROR(__xludf.DUMMYFUNCTION("""COMPUTED_VALUE"""),-0.638094157215829)</f>
        <v>-0.63809415721582896</v>
      </c>
      <c r="IU22" s="3">
        <f ca="1">IFERROR(__xludf.DUMMYFUNCTION("""COMPUTED_VALUE"""),-0.697237564256331)</f>
        <v>-0.69723756425633099</v>
      </c>
      <c r="IV22" s="3">
        <f ca="1">IFERROR(__xludf.DUMMYFUNCTION("""COMPUTED_VALUE"""),-0.71192039045306)</f>
        <v>-0.71192039045305999</v>
      </c>
      <c r="IW22" s="3">
        <f ca="1">IFERROR(__xludf.DUMMYFUNCTION("""COMPUTED_VALUE"""),-0.709786577850418)</f>
        <v>-0.70978657785041799</v>
      </c>
      <c r="IX22" s="3">
        <f ca="1">IFERROR(__xludf.DUMMYFUNCTION("""COMPUTED_VALUE"""),-0.723748310183877)</f>
        <v>-0.72374831018387698</v>
      </c>
      <c r="IY22" s="3">
        <f ca="1">IFERROR(__xludf.DUMMYFUNCTION("""COMPUTED_VALUE"""),-0.708304430935863)</f>
        <v>-0.70830443093586304</v>
      </c>
      <c r="IZ22" s="3">
        <f ca="1">IFERROR(__xludf.DUMMYFUNCTION("""COMPUTED_VALUE"""),-0.638002040620159)</f>
        <v>-0.63800204062015897</v>
      </c>
      <c r="JA22" s="3">
        <f ca="1">IFERROR(__xludf.DUMMYFUNCTION("""COMPUTED_VALUE"""),-0.654813062267047)</f>
        <v>-0.65481306226704705</v>
      </c>
      <c r="JB22" s="3">
        <f ca="1">IFERROR(__xludf.DUMMYFUNCTION("""COMPUTED_VALUE"""),-0.695736995752645)</f>
        <v>-0.69573699575264503</v>
      </c>
      <c r="JC22" s="3">
        <f ca="1">IFERROR(__xludf.DUMMYFUNCTION("""COMPUTED_VALUE"""),-0.696560537925566)</f>
        <v>-0.69656053792556605</v>
      </c>
      <c r="JD22" s="3">
        <f ca="1">IFERROR(__xludf.DUMMYFUNCTION("""COMPUTED_VALUE"""),-0.709562153962752)</f>
        <v>-0.70956215396275202</v>
      </c>
      <c r="JE22" s="3">
        <f ca="1">IFERROR(__xludf.DUMMYFUNCTION("""COMPUTED_VALUE"""),-0.721383838353578)</f>
        <v>-0.721383838353578</v>
      </c>
      <c r="JF22" s="3">
        <f ca="1">IFERROR(__xludf.DUMMYFUNCTION("""COMPUTED_VALUE"""),-0.719657119863548)</f>
        <v>-0.71965711986354797</v>
      </c>
      <c r="JG22" s="3">
        <f ca="1">IFERROR(__xludf.DUMMYFUNCTION("""COMPUTED_VALUE"""),-0.614915374492782)</f>
        <v>-0.614915374492782</v>
      </c>
      <c r="JH22" s="3">
        <f ca="1">IFERROR(__xludf.DUMMYFUNCTION("""COMPUTED_VALUE"""),-0.644742017759113)</f>
        <v>-0.644742017759113</v>
      </c>
      <c r="JI22" s="3">
        <f ca="1">IFERROR(__xludf.DUMMYFUNCTION("""COMPUTED_VALUE"""),-0.701821677942357)</f>
        <v>-0.70182167794235695</v>
      </c>
      <c r="JJ22" s="3">
        <f ca="1">IFERROR(__xludf.DUMMYFUNCTION("""COMPUTED_VALUE"""),-0.704107297994582)</f>
        <v>-0.70410729799458205</v>
      </c>
      <c r="JK22" s="3">
        <f ca="1">IFERROR(__xludf.DUMMYFUNCTION("""COMPUTED_VALUE"""),-0.705959352495524)</f>
        <v>-0.705959352495524</v>
      </c>
      <c r="JL22" s="3">
        <f ca="1">IFERROR(__xludf.DUMMYFUNCTION("""COMPUTED_VALUE"""),-0.723865368523365)</f>
        <v>-0.72386536852336503</v>
      </c>
      <c r="JM22" s="3">
        <f ca="1">IFERROR(__xludf.DUMMYFUNCTION("""COMPUTED_VALUE"""),-0.695778918475148)</f>
        <v>-0.69577891847514794</v>
      </c>
      <c r="JN22" s="3">
        <f ca="1">IFERROR(__xludf.DUMMYFUNCTION("""COMPUTED_VALUE"""),-0.618549344075607)</f>
        <v>-0.61854934407560702</v>
      </c>
      <c r="JO22" s="3">
        <f ca="1">IFERROR(__xludf.DUMMYFUNCTION("""COMPUTED_VALUE"""),-0.618603847009165)</f>
        <v>-0.61860384700916504</v>
      </c>
      <c r="JP22" s="3">
        <f ca="1">IFERROR(__xludf.DUMMYFUNCTION("""COMPUTED_VALUE"""),-0.685275517338796)</f>
        <v>-0.68527551733879599</v>
      </c>
      <c r="JQ22" s="3">
        <f ca="1">IFERROR(__xludf.DUMMYFUNCTION("""COMPUTED_VALUE"""),-0.67136128508227)</f>
        <v>-0.67136128508227</v>
      </c>
      <c r="JR22" s="3">
        <f ca="1">IFERROR(__xludf.DUMMYFUNCTION("""COMPUTED_VALUE"""),-0.709518888625403)</f>
        <v>-0.70951888862540302</v>
      </c>
      <c r="JS22" s="3">
        <f ca="1">IFERROR(__xludf.DUMMYFUNCTION("""COMPUTED_VALUE"""),-0.72072026930867)</f>
        <v>-0.72072026930866995</v>
      </c>
      <c r="JT22" s="3">
        <f ca="1">IFERROR(__xludf.DUMMYFUNCTION("""COMPUTED_VALUE"""),-0.704840985892554)</f>
        <v>-0.70484098589255395</v>
      </c>
      <c r="JU22" s="3">
        <f ca="1">IFERROR(__xludf.DUMMYFUNCTION("""COMPUTED_VALUE"""),-0.594521841122696)</f>
        <v>-0.59452184112269602</v>
      </c>
      <c r="JV22" s="3">
        <f ca="1">IFERROR(__xludf.DUMMYFUNCTION("""COMPUTED_VALUE"""),-0.684598068340885)</f>
        <v>-0.68459806834088499</v>
      </c>
      <c r="JW22" s="3">
        <f ca="1">IFERROR(__xludf.DUMMYFUNCTION("""COMPUTED_VALUE"""),-0.712264625386272)</f>
        <v>-0.712264625386272</v>
      </c>
      <c r="JX22" s="3">
        <f ca="1">IFERROR(__xludf.DUMMYFUNCTION("""COMPUTED_VALUE"""),-0.658120608636322)</f>
        <v>-0.65812060863632205</v>
      </c>
      <c r="JY22" s="3">
        <f ca="1">IFERROR(__xludf.DUMMYFUNCTION("""COMPUTED_VALUE"""),-0.694381985083466)</f>
        <v>-0.69438198508346605</v>
      </c>
      <c r="JZ22" s="3">
        <f ca="1">IFERROR(__xludf.DUMMYFUNCTION("""COMPUTED_VALUE"""),-0.689581275847105)</f>
        <v>-0.68958127584710505</v>
      </c>
      <c r="KA22" s="3">
        <f ca="1">IFERROR(__xludf.DUMMYFUNCTION("""COMPUTED_VALUE"""),-0.687760899591644)</f>
        <v>-0.68776089959164399</v>
      </c>
      <c r="KB22" s="3">
        <f ca="1">IFERROR(__xludf.DUMMYFUNCTION("""COMPUTED_VALUE"""),-0.546268692524427)</f>
        <v>-0.546268692524427</v>
      </c>
      <c r="KC22" s="3">
        <f ca="1">IFERROR(__xludf.DUMMYFUNCTION("""COMPUTED_VALUE"""),-0.537226381158209)</f>
        <v>-0.53722638115820898</v>
      </c>
      <c r="KD22" s="3">
        <f ca="1">IFERROR(__xludf.DUMMYFUNCTION("""COMPUTED_VALUE"""),-0.665917824253542)</f>
        <v>-0.66591782425354196</v>
      </c>
      <c r="KE22" s="3">
        <f ca="1">IFERROR(__xludf.DUMMYFUNCTION("""COMPUTED_VALUE"""),-0.636525306665295)</f>
        <v>-0.63652530666529505</v>
      </c>
      <c r="KF22" s="3">
        <f ca="1">IFERROR(__xludf.DUMMYFUNCTION("""COMPUTED_VALUE"""),-0.673024724186869)</f>
        <v>-0.67302472418686898</v>
      </c>
      <c r="KG22" s="3">
        <f ca="1">IFERROR(__xludf.DUMMYFUNCTION("""COMPUTED_VALUE"""),-0.674997205371281)</f>
        <v>-0.67499720537128105</v>
      </c>
      <c r="KH22" s="3">
        <f ca="1">IFERROR(__xludf.DUMMYFUNCTION("""COMPUTED_VALUE"""),-0.679889103046814)</f>
        <v>-0.67988910304681405</v>
      </c>
      <c r="KI22" s="3">
        <f ca="1">IFERROR(__xludf.DUMMYFUNCTION("""COMPUTED_VALUE"""),-0.599712057384327)</f>
        <v>-0.59971205738432698</v>
      </c>
      <c r="KJ22" s="3">
        <f ca="1">IFERROR(__xludf.DUMMYFUNCTION("""COMPUTED_VALUE"""),-0.596990177614177)</f>
        <v>-0.59699017761417705</v>
      </c>
      <c r="KK22" s="3">
        <f ca="1">IFERROR(__xludf.DUMMYFUNCTION("""COMPUTED_VALUE"""),-0.717254558267558)</f>
        <v>-0.71725455826755802</v>
      </c>
      <c r="KL22" s="3">
        <f ca="1">IFERROR(__xludf.DUMMYFUNCTION("""COMPUTED_VALUE"""),-0.714116157385409)</f>
        <v>-0.71411615738540901</v>
      </c>
      <c r="KM22" s="3">
        <f ca="1">IFERROR(__xludf.DUMMYFUNCTION("""COMPUTED_VALUE"""),-0.706282878120024)</f>
        <v>-0.70628287812002399</v>
      </c>
      <c r="KN22" s="3">
        <f ca="1">IFERROR(__xludf.DUMMYFUNCTION("""COMPUTED_VALUE"""),-0.700647113916958)</f>
        <v>-0.700647113916958</v>
      </c>
      <c r="KO22" s="3">
        <f ca="1">IFERROR(__xludf.DUMMYFUNCTION("""COMPUTED_VALUE"""),-0.677248567180464)</f>
        <v>-0.677248567180464</v>
      </c>
      <c r="KP22" s="3">
        <f ca="1">IFERROR(__xludf.DUMMYFUNCTION("""COMPUTED_VALUE"""),-0.619243798585447)</f>
        <v>-0.61924379858544698</v>
      </c>
      <c r="KQ22" s="3">
        <f ca="1">IFERROR(__xludf.DUMMYFUNCTION("""COMPUTED_VALUE"""),-0.616616754761251)</f>
        <v>-0.616616754761251</v>
      </c>
      <c r="KR22" s="3">
        <f ca="1">IFERROR(__xludf.DUMMYFUNCTION("""COMPUTED_VALUE"""),-0.696332806249356)</f>
        <v>-0.69633280624935601</v>
      </c>
      <c r="KS22" s="3">
        <f ca="1">IFERROR(__xludf.DUMMYFUNCTION("""COMPUTED_VALUE"""),-0.743647601394349)</f>
        <v>-0.74364760139434904</v>
      </c>
      <c r="KT22" s="3">
        <f ca="1">IFERROR(__xludf.DUMMYFUNCTION("""COMPUTED_VALUE"""),-0.742589460906213)</f>
        <v>-0.74258946090621303</v>
      </c>
      <c r="KU22" s="3">
        <f ca="1">IFERROR(__xludf.DUMMYFUNCTION("""COMPUTED_VALUE"""),-0.748488122815528)</f>
        <v>-0.74848812281552801</v>
      </c>
      <c r="KV22" s="3">
        <f ca="1">IFERROR(__xludf.DUMMYFUNCTION("""COMPUTED_VALUE"""),-0.723529379104894)</f>
        <v>-0.72352937910489401</v>
      </c>
      <c r="KW22" s="3">
        <f ca="1">IFERROR(__xludf.DUMMYFUNCTION("""COMPUTED_VALUE"""),-0.623640058177072)</f>
        <v>-0.62364005817707202</v>
      </c>
      <c r="KX22" s="3">
        <f ca="1">IFERROR(__xludf.DUMMYFUNCTION("""COMPUTED_VALUE"""),-0.659787506546816)</f>
        <v>-0.65978750654681595</v>
      </c>
      <c r="KY22" s="3">
        <f ca="1">IFERROR(__xludf.DUMMYFUNCTION("""COMPUTED_VALUE"""),-0.722611785915857)</f>
        <v>-0.72261178591585695</v>
      </c>
      <c r="KZ22" s="3">
        <f ca="1">IFERROR(__xludf.DUMMYFUNCTION("""COMPUTED_VALUE"""),-0.743691937499124)</f>
        <v>-0.74369193749912399</v>
      </c>
      <c r="LA22" s="3">
        <f ca="1">IFERROR(__xludf.DUMMYFUNCTION("""COMPUTED_VALUE"""),-0.73145312047109)</f>
        <v>-0.73145312047109001</v>
      </c>
      <c r="LB22" s="3">
        <f ca="1">IFERROR(__xludf.DUMMYFUNCTION("""COMPUTED_VALUE"""),-0.752881342521899)</f>
        <v>-0.75288134252189898</v>
      </c>
      <c r="LC22" s="3">
        <f ca="1">IFERROR(__xludf.DUMMYFUNCTION("""COMPUTED_VALUE"""),-0.689129232482735)</f>
        <v>-0.68912923248273505</v>
      </c>
      <c r="LD22" s="3">
        <f ca="1">IFERROR(__xludf.DUMMYFUNCTION("""COMPUTED_VALUE"""),-0.695679675480095)</f>
        <v>-0.69567967548009502</v>
      </c>
      <c r="LE22" s="3">
        <f ca="1">IFERROR(__xludf.DUMMYFUNCTION("""COMPUTED_VALUE"""),-0.686988026378732)</f>
        <v>-0.68698802637873202</v>
      </c>
      <c r="LF22" s="3">
        <f ca="1">IFERROR(__xludf.DUMMYFUNCTION("""COMPUTED_VALUE"""),-0.724902500182985)</f>
        <v>-0.72490250018298497</v>
      </c>
      <c r="LG22" s="3">
        <f ca="1">IFERROR(__xludf.DUMMYFUNCTION("""COMPUTED_VALUE"""),-0.774335230815426)</f>
        <v>-0.77433523081542599</v>
      </c>
      <c r="LH22" s="3">
        <f ca="1">IFERROR(__xludf.DUMMYFUNCTION("""COMPUTED_VALUE"""),-0.748409552748616)</f>
        <v>-0.74840955274861598</v>
      </c>
      <c r="LI22" s="3">
        <f ca="1">IFERROR(__xludf.DUMMYFUNCTION("""COMPUTED_VALUE"""),-0.762058908830363)</f>
        <v>-0.76205890883036298</v>
      </c>
      <c r="LJ22" s="3">
        <f ca="1">IFERROR(__xludf.DUMMYFUNCTION("""COMPUTED_VALUE"""),-0.784909318075779)</f>
        <v>-0.78490931807577902</v>
      </c>
      <c r="LK22" s="3">
        <f ca="1">IFERROR(__xludf.DUMMYFUNCTION("""COMPUTED_VALUE"""),-0.756195813790006)</f>
        <v>-0.756195813790006</v>
      </c>
      <c r="LL22" s="3">
        <f ca="1">IFERROR(__xludf.DUMMYFUNCTION("""COMPUTED_VALUE"""),-0.690232299458085)</f>
        <v>-0.69023229945808495</v>
      </c>
      <c r="LM22" s="3">
        <f ca="1">IFERROR(__xludf.DUMMYFUNCTION("""COMPUTED_VALUE"""),-0.75314667739505)</f>
        <v>-0.75314667739505003</v>
      </c>
      <c r="LN22" s="3">
        <f ca="1">IFERROR(__xludf.DUMMYFUNCTION("""COMPUTED_VALUE"""),-0.796813494877586)</f>
        <v>-0.79681349487758601</v>
      </c>
      <c r="LO22" s="3">
        <f ca="1">IFERROR(__xludf.DUMMYFUNCTION("""COMPUTED_VALUE"""),-0.78303693083101)</f>
        <v>-0.78303693083101</v>
      </c>
      <c r="LP22" s="3">
        <f ca="1">IFERROR(__xludf.DUMMYFUNCTION("""COMPUTED_VALUE"""),-0.784879963184531)</f>
        <v>-0.78487996318453102</v>
      </c>
      <c r="LQ22" s="3">
        <f ca="1">IFERROR(__xludf.DUMMYFUNCTION("""COMPUTED_VALUE"""),-0.745171169113803)</f>
        <v>-0.74517116911380299</v>
      </c>
      <c r="LR22" s="3">
        <f ca="1">IFERROR(__xludf.DUMMYFUNCTION("""COMPUTED_VALUE"""),-0.72336498067732)</f>
        <v>-0.72336498067732002</v>
      </c>
      <c r="LS22" s="3">
        <f ca="1">IFERROR(__xludf.DUMMYFUNCTION("""COMPUTED_VALUE"""),-0.728175551685552)</f>
        <v>-0.72817555168555204</v>
      </c>
      <c r="LT22" s="3">
        <f ca="1">IFERROR(__xludf.DUMMYFUNCTION("""COMPUTED_VALUE"""),-0.806619125368395)</f>
        <v>-0.80661912536839497</v>
      </c>
      <c r="LU22" s="3">
        <f ca="1">IFERROR(__xludf.DUMMYFUNCTION("""COMPUTED_VALUE"""),-0.812449160174769)</f>
        <v>-0.81244916017476898</v>
      </c>
      <c r="LV22" s="3">
        <f ca="1">IFERROR(__xludf.DUMMYFUNCTION("""COMPUTED_VALUE"""),-0.829483335744202)</f>
        <v>-0.82948333574420197</v>
      </c>
      <c r="LW22" s="3">
        <f ca="1">IFERROR(__xludf.DUMMYFUNCTION("""COMPUTED_VALUE"""),-0.815536624074389)</f>
        <v>-0.81553662407438898</v>
      </c>
      <c r="LX22" s="3">
        <f ca="1">IFERROR(__xludf.DUMMYFUNCTION("""COMPUTED_VALUE"""),-0.842935528956805)</f>
        <v>-0.84293552895680501</v>
      </c>
      <c r="LY22" s="3">
        <f ca="1">IFERROR(__xludf.DUMMYFUNCTION("""COMPUTED_VALUE"""),-0.747912722340001)</f>
        <v>-0.74791272234000095</v>
      </c>
      <c r="LZ22" s="3">
        <f ca="1">IFERROR(__xludf.DUMMYFUNCTION("""COMPUTED_VALUE"""),-0.781136367318445)</f>
        <v>-0.78113636731844505</v>
      </c>
      <c r="MA22" s="3">
        <f ca="1">IFERROR(__xludf.DUMMYFUNCTION("""COMPUTED_VALUE"""),-0.806190294960775)</f>
        <v>-0.80619029496077499</v>
      </c>
      <c r="MB22" s="3">
        <f ca="1">IFERROR(__xludf.DUMMYFUNCTION("""COMPUTED_VALUE"""),-0.839626665178227)</f>
        <v>-0.83962666517822704</v>
      </c>
      <c r="MC22" s="3">
        <f ca="1">IFERROR(__xludf.DUMMYFUNCTION("""COMPUTED_VALUE"""),-0.857009517732958)</f>
        <v>-0.85700951773295797</v>
      </c>
      <c r="MD22" s="3">
        <f ca="1">IFERROR(__xludf.DUMMYFUNCTION("""COMPUTED_VALUE"""),-0.851474046880953)</f>
        <v>-0.85147404688095296</v>
      </c>
      <c r="ME22" s="3">
        <f ca="1">IFERROR(__xludf.DUMMYFUNCTION("""COMPUTED_VALUE"""),-0.842818883206115)</f>
        <v>-0.84281888320611498</v>
      </c>
      <c r="MF22" s="3">
        <f ca="1">IFERROR(__xludf.DUMMYFUNCTION("""COMPUTED_VALUE"""),-0.786464790716061)</f>
        <v>-0.78646479071606101</v>
      </c>
      <c r="MG22" s="3">
        <f ca="1">IFERROR(__xludf.DUMMYFUNCTION("""COMPUTED_VALUE"""),-0.82676988353774)</f>
        <v>-0.82676988353773995</v>
      </c>
      <c r="MH22" s="3">
        <f ca="1">IFERROR(__xludf.DUMMYFUNCTION("""COMPUTED_VALUE"""),-0.837500611788565)</f>
        <v>-0.83750061178856505</v>
      </c>
      <c r="MI22" s="3">
        <f ca="1">IFERROR(__xludf.DUMMYFUNCTION("""COMPUTED_VALUE"""),-0.862171505732717)</f>
        <v>-0.86217150573271695</v>
      </c>
      <c r="MJ22" s="3">
        <f ca="1">IFERROR(__xludf.DUMMYFUNCTION("""COMPUTED_VALUE"""),-0.867289288377208)</f>
        <v>-0.86728928837720798</v>
      </c>
      <c r="MK22" s="3">
        <f ca="1">IFERROR(__xludf.DUMMYFUNCTION("""COMPUTED_VALUE"""),-0.872528898995864)</f>
        <v>-0.87252889899586406</v>
      </c>
      <c r="ML22" s="3">
        <f ca="1">IFERROR(__xludf.DUMMYFUNCTION("""COMPUTED_VALUE"""),-0.83798253047726)</f>
        <v>-0.83798253047726001</v>
      </c>
      <c r="MM22" s="3">
        <f ca="1">IFERROR(__xludf.DUMMYFUNCTION("""COMPUTED_VALUE"""),-0.794639337893205)</f>
        <v>-0.79463933789320496</v>
      </c>
      <c r="MN22" s="3">
        <f ca="1">IFERROR(__xludf.DUMMYFUNCTION("""COMPUTED_VALUE"""),-0.829673756494679)</f>
        <v>-0.829673756494679</v>
      </c>
      <c r="MO22" s="3">
        <f ca="1">IFERROR(__xludf.DUMMYFUNCTION("""COMPUTED_VALUE"""),-0.869541536151122)</f>
        <v>-0.86954153615112195</v>
      </c>
      <c r="MP22" s="3">
        <f ca="1">IFERROR(__xludf.DUMMYFUNCTION("""COMPUTED_VALUE"""),-0.859749306715931)</f>
        <v>-0.85974930671593097</v>
      </c>
      <c r="MQ22" s="3">
        <f ca="1">IFERROR(__xludf.DUMMYFUNCTION("""COMPUTED_VALUE"""),-0.857067434368711)</f>
        <v>-0.85706743436871102</v>
      </c>
      <c r="MR22" s="3">
        <f ca="1">IFERROR(__xludf.DUMMYFUNCTION("""COMPUTED_VALUE"""),-0.873427476339439)</f>
        <v>-0.87342747633943896</v>
      </c>
      <c r="MS22" s="3">
        <f ca="1">IFERROR(__xludf.DUMMYFUNCTION("""COMPUTED_VALUE"""),-0.838561039022981)</f>
        <v>-0.83856103902298096</v>
      </c>
      <c r="MT22" s="3">
        <f ca="1">IFERROR(__xludf.DUMMYFUNCTION("""COMPUTED_VALUE"""),-0.780620411459709)</f>
        <v>-0.78062041145970895</v>
      </c>
      <c r="MU22" s="3">
        <f ca="1">IFERROR(__xludf.DUMMYFUNCTION("""COMPUTED_VALUE"""),-0.808454900132977)</f>
        <v>-0.80845490013297705</v>
      </c>
      <c r="MV22" s="3">
        <f ca="1">IFERROR(__xludf.DUMMYFUNCTION("""COMPUTED_VALUE"""),-0.864383927094885)</f>
        <v>-0.86438392709488499</v>
      </c>
      <c r="MW22" s="3">
        <f ca="1">IFERROR(__xludf.DUMMYFUNCTION("""COMPUTED_VALUE"""),-0.904768907265498)</f>
        <v>-0.90476890726549797</v>
      </c>
      <c r="MX22" s="3">
        <f ca="1">IFERROR(__xludf.DUMMYFUNCTION("""COMPUTED_VALUE"""),-0.851911789463439)</f>
        <v>-0.85191178946343904</v>
      </c>
      <c r="MY22" s="3">
        <f ca="1">IFERROR(__xludf.DUMMYFUNCTION("""COMPUTED_VALUE"""),-0.870513818420328)</f>
        <v>-0.87051381842032804</v>
      </c>
      <c r="MZ22" s="3">
        <f ca="1">IFERROR(__xludf.DUMMYFUNCTION("""COMPUTED_VALUE"""),-0.87261358202783)</f>
        <v>-0.87261358202783001</v>
      </c>
      <c r="NA22" s="3">
        <f ca="1">IFERROR(__xludf.DUMMYFUNCTION("""COMPUTED_VALUE"""),-0.824655802878214)</f>
        <v>-0.82465580287821405</v>
      </c>
      <c r="NB22" s="3">
        <f ca="1">IFERROR(__xludf.DUMMYFUNCTION("""COMPUTED_VALUE"""),-0.788868102492936)</f>
        <v>-0.78886810249293604</v>
      </c>
      <c r="NC22" s="3">
        <f ca="1">IFERROR(__xludf.DUMMYFUNCTION("""COMPUTED_VALUE"""),-0.862089547463424)</f>
        <v>-0.86208954746342403</v>
      </c>
      <c r="ND22" s="3">
        <f ca="1">IFERROR(__xludf.DUMMYFUNCTION("""COMPUTED_VALUE"""),-0.868989223558409)</f>
        <v>-0.86898922355840902</v>
      </c>
      <c r="NE22" s="3">
        <f ca="1">IFERROR(__xludf.DUMMYFUNCTION("""COMPUTED_VALUE"""),-0.856144637757198)</f>
        <v>-0.85614463775719796</v>
      </c>
      <c r="NF22" s="3">
        <f ca="1">IFERROR(__xludf.DUMMYFUNCTION("""COMPUTED_VALUE"""),-0.854357558982071)</f>
        <v>-0.854357558982071</v>
      </c>
      <c r="NG22" s="3">
        <f ca="1">IFERROR(__xludf.DUMMYFUNCTION("""COMPUTED_VALUE"""),-0.818315029821571)</f>
        <v>-0.81831502982157101</v>
      </c>
      <c r="NH22" s="3">
        <f ca="1">IFERROR(__xludf.DUMMYFUNCTION("""COMPUTED_VALUE"""),-0.729289674518474)</f>
        <v>-0.72928967451847404</v>
      </c>
      <c r="NI22" s="3">
        <f ca="1">IFERROR(__xludf.DUMMYFUNCTION("""COMPUTED_VALUE"""),-0.762567653132465)</f>
        <v>-0.762567653132465</v>
      </c>
      <c r="NJ22" s="3">
        <f ca="1">IFERROR(__xludf.DUMMYFUNCTION("""COMPUTED_VALUE"""),-0.834115272090055)</f>
        <v>-0.83411527209005498</v>
      </c>
      <c r="NK22" s="3">
        <f ca="1">IFERROR(__xludf.DUMMYFUNCTION("""COMPUTED_VALUE"""),-0.866441307775224)</f>
        <v>-0.86644130777522399</v>
      </c>
      <c r="NL22" s="3">
        <f ca="1">IFERROR(__xludf.DUMMYFUNCTION("""COMPUTED_VALUE"""),-0.839484359910912)</f>
        <v>-0.83948435991091197</v>
      </c>
      <c r="NM22" s="3">
        <f ca="1">IFERROR(__xludf.DUMMYFUNCTION("""COMPUTED_VALUE"""),-0.839754801482593)</f>
        <v>-0.83975480148259296</v>
      </c>
      <c r="NN22" s="3">
        <f ca="1">IFERROR(__xludf.DUMMYFUNCTION("""COMPUTED_VALUE"""),-0.833258796491287)</f>
        <v>-0.83325879649128698</v>
      </c>
      <c r="NO22" s="3">
        <f ca="1">IFERROR(__xludf.DUMMYFUNCTION("""COMPUTED_VALUE"""),-0.761198890373293)</f>
        <v>-0.76119889037329302</v>
      </c>
      <c r="NP22" s="3">
        <f ca="1">IFERROR(__xludf.DUMMYFUNCTION("""COMPUTED_VALUE"""),-0.795531456654078)</f>
        <v>-0.79553145665407798</v>
      </c>
      <c r="NQ22" s="3">
        <f ca="1">IFERROR(__xludf.DUMMYFUNCTION("""COMPUTED_VALUE"""),-0.843495112486434)</f>
        <v>-0.84349511248643405</v>
      </c>
      <c r="NR22" s="3">
        <f ca="1">IFERROR(__xludf.DUMMYFUNCTION("""COMPUTED_VALUE"""),-0.831947939557802)</f>
        <v>-0.831947939557802</v>
      </c>
      <c r="NS22" s="3">
        <f ca="1">IFERROR(__xludf.DUMMYFUNCTION("""COMPUTED_VALUE"""),-0.817805507085419)</f>
        <v>-0.81780550708541899</v>
      </c>
      <c r="NT22" s="3">
        <f ca="1">IFERROR(__xludf.DUMMYFUNCTION("""COMPUTED_VALUE"""),-0.779475689308059)</f>
        <v>-0.77947568930805899</v>
      </c>
      <c r="NU22" s="3">
        <f ca="1">IFERROR(__xludf.DUMMYFUNCTION("""COMPUTED_VALUE"""),-0.788651030199358)</f>
        <v>-0.78865103019935801</v>
      </c>
      <c r="NV22" s="3">
        <f ca="1">IFERROR(__xludf.DUMMYFUNCTION("""COMPUTED_VALUE"""),-0.680962117309356)</f>
        <v>-0.68096211730935596</v>
      </c>
      <c r="NW22" s="3">
        <f ca="1">IFERROR(__xludf.DUMMYFUNCTION("""COMPUTED_VALUE"""),-0.69234132976614)</f>
        <v>-0.69234132976614005</v>
      </c>
      <c r="NX22" s="3">
        <f ca="1">IFERROR(__xludf.DUMMYFUNCTION("""COMPUTED_VALUE"""),-0.777473798339046)</f>
        <v>-0.77747379833904595</v>
      </c>
      <c r="NY22" s="3">
        <f ca="1">IFERROR(__xludf.DUMMYFUNCTION("""COMPUTED_VALUE"""),-0.795014823019972)</f>
        <v>-0.79501482301997195</v>
      </c>
      <c r="NZ22" s="3">
        <f ca="1">IFERROR(__xludf.DUMMYFUNCTION("""COMPUTED_VALUE"""),-0.638851596769363)</f>
        <v>-0.63885159676936298</v>
      </c>
      <c r="OA22" s="3">
        <f ca="1">IFERROR(__xludf.DUMMYFUNCTION("""COMPUTED_VALUE"""),-0.680882514144484)</f>
        <v>-0.68088251414448397</v>
      </c>
      <c r="OB22" s="3">
        <f ca="1">IFERROR(__xludf.DUMMYFUNCTION("""COMPUTED_VALUE"""),-0.602331247835319)</f>
        <v>-0.60233124783531899</v>
      </c>
      <c r="OC22" s="3">
        <f ca="1">IFERROR(__xludf.DUMMYFUNCTION("""COMPUTED_VALUE"""),-0.358528411498235)</f>
        <v>-0.358528411498235</v>
      </c>
      <c r="OD22" s="3">
        <f ca="1">IFERROR(__xludf.DUMMYFUNCTION("""COMPUTED_VALUE"""),-0.37021984032452)</f>
        <v>-0.37021984032451999</v>
      </c>
      <c r="OE22" s="3">
        <f ca="1">IFERROR(__xludf.DUMMYFUNCTION("""COMPUTED_VALUE"""),-0.4629910248453)</f>
        <v>-0.46299102484530003</v>
      </c>
      <c r="OF22" s="3">
        <f ca="1">IFERROR(__xludf.DUMMYFUNCTION("""COMPUTED_VALUE"""),-0.255544960792982)</f>
        <v>-0.255544960792982</v>
      </c>
      <c r="OG22" s="3">
        <f ca="1">IFERROR(__xludf.DUMMYFUNCTION("""COMPUTED_VALUE"""),-0.0444347064616811)</f>
        <v>-4.44347064616811E-2</v>
      </c>
      <c r="OH22" s="3">
        <f ca="1">IFERROR(__xludf.DUMMYFUNCTION("""COMPUTED_VALUE"""),-0.170861890131756)</f>
        <v>-0.17086189013175601</v>
      </c>
      <c r="OI22" s="3">
        <f ca="1">IFERROR(__xludf.DUMMYFUNCTION("""COMPUTED_VALUE"""),-0.184499365058901)</f>
        <v>-0.18449936505890099</v>
      </c>
      <c r="OJ22" s="3">
        <f ca="1">IFERROR(__xludf.DUMMYFUNCTION("""COMPUTED_VALUE"""),-0.0955489384835673)</f>
        <v>-9.5548938483567297E-2</v>
      </c>
      <c r="OK22" s="3">
        <f ca="1">IFERROR(__xludf.DUMMYFUNCTION("""COMPUTED_VALUE"""),-0.0719299648268421)</f>
        <v>-7.1929964826842094E-2</v>
      </c>
      <c r="OL22" s="3">
        <f ca="1">IFERROR(__xludf.DUMMYFUNCTION("""COMPUTED_VALUE"""),-0.106654199182671)</f>
        <v>-0.10665419918267099</v>
      </c>
      <c r="OM22" s="3">
        <f ca="1">IFERROR(__xludf.DUMMYFUNCTION("""COMPUTED_VALUE"""),-0.0554922219792667)</f>
        <v>-5.5492221979266697E-2</v>
      </c>
      <c r="ON22" s="3">
        <f ca="1">IFERROR(__xludf.DUMMYFUNCTION("""COMPUTED_VALUE"""),0.152931800645716)</f>
        <v>0.15293180064571599</v>
      </c>
      <c r="OO22" s="3">
        <f ca="1">IFERROR(__xludf.DUMMYFUNCTION("""COMPUTED_VALUE"""),-0.0712095867789522)</f>
        <v>-7.12095867789522E-2</v>
      </c>
      <c r="OP22" s="3">
        <f ca="1">IFERROR(__xludf.DUMMYFUNCTION("""COMPUTED_VALUE"""),-0.0695675443691662)</f>
        <v>-6.9567544369166207E-2</v>
      </c>
      <c r="OQ22" s="3">
        <f ca="1">IFERROR(__xludf.DUMMYFUNCTION("""COMPUTED_VALUE"""),0.0274839970859859)</f>
        <v>2.7483997085985899E-2</v>
      </c>
      <c r="OR22" s="3">
        <f ca="1">IFERROR(__xludf.DUMMYFUNCTION("""COMPUTED_VALUE"""),0.0120830120064123)</f>
        <v>1.20830120064123E-2</v>
      </c>
      <c r="OS22" s="3">
        <f ca="1">IFERROR(__xludf.DUMMYFUNCTION("""COMPUTED_VALUE"""),-0.0849007320739987)</f>
        <v>-8.4900732073998703E-2</v>
      </c>
      <c r="OT22" s="3">
        <f ca="1">IFERROR(__xludf.DUMMYFUNCTION("""COMPUTED_VALUE"""),-0.0780807708004946)</f>
        <v>-7.8080770800494595E-2</v>
      </c>
      <c r="OU22" s="3">
        <f ca="1">IFERROR(__xludf.DUMMYFUNCTION("""COMPUTED_VALUE"""),-0.0449720556949843)</f>
        <v>-4.4972055694984303E-2</v>
      </c>
      <c r="OV22" s="3">
        <f ca="1">IFERROR(__xludf.DUMMYFUNCTION("""COMPUTED_VALUE"""),-0.0294458826635964)</f>
        <v>-2.94458826635964E-2</v>
      </c>
      <c r="OW22" s="3">
        <f ca="1">IFERROR(__xludf.DUMMYFUNCTION("""COMPUTED_VALUE"""),0.00555118526567022)</f>
        <v>5.5511852656702203E-3</v>
      </c>
      <c r="OX22" s="3">
        <f ca="1">IFERROR(__xludf.DUMMYFUNCTION("""COMPUTED_VALUE"""),-0.0101213012520285)</f>
        <v>-1.01213012520285E-2</v>
      </c>
      <c r="OY22" s="3">
        <f ca="1">IFERROR(__xludf.DUMMYFUNCTION("""COMPUTED_VALUE"""),0.067421351280152)</f>
        <v>6.7421351280152003E-2</v>
      </c>
      <c r="OZ22" s="3">
        <f ca="1">IFERROR(__xludf.DUMMYFUNCTION("""COMPUTED_VALUE"""),-0.0213449378688823)</f>
        <v>-2.1344937868882301E-2</v>
      </c>
      <c r="PA22" s="3">
        <f ca="1">IFERROR(__xludf.DUMMYFUNCTION("""COMPUTED_VALUE"""),0.123996878973225)</f>
        <v>0.12399687897322501</v>
      </c>
      <c r="PB22" s="3">
        <f ca="1">IFERROR(__xludf.DUMMYFUNCTION("""COMPUTED_VALUE"""),0.127170914915089)</f>
        <v>0.127170914915089</v>
      </c>
      <c r="PC22" s="3">
        <f ca="1">IFERROR(__xludf.DUMMYFUNCTION("""COMPUTED_VALUE"""),-0.0179641872646264)</f>
        <v>-1.79641872646264E-2</v>
      </c>
      <c r="PD22" s="3">
        <f ca="1">IFERROR(__xludf.DUMMYFUNCTION("""COMPUTED_VALUE"""),-0.147376643889058)</f>
        <v>-0.147376643889058</v>
      </c>
      <c r="PE22" s="3">
        <f ca="1">IFERROR(__xludf.DUMMYFUNCTION("""COMPUTED_VALUE"""),0.0461289767225061)</f>
        <v>4.6128976722506099E-2</v>
      </c>
      <c r="PF22" s="3">
        <f ca="1">IFERROR(__xludf.DUMMYFUNCTION("""COMPUTED_VALUE"""),0.0488154480758384)</f>
        <v>4.8815448075838402E-2</v>
      </c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</row>
    <row r="23" spans="1:594" ht="15.75" customHeight="1">
      <c r="A23" s="1" t="str">
        <f ca="1">IFERROR(__xludf.DUMMYFUNCTION("""COMPUTED_VALUE"""),"Detroit")</f>
        <v>Detroit</v>
      </c>
      <c r="B23" s="3">
        <f ca="1">IFERROR(__xludf.DUMMYFUNCTION("""COMPUTED_VALUE"""),-0.52038585227078)</f>
        <v>-0.52038585227078005</v>
      </c>
      <c r="C23" s="3">
        <f ca="1">IFERROR(__xludf.DUMMYFUNCTION("""COMPUTED_VALUE"""),-0.549699791492734)</f>
        <v>-0.54969979149273396</v>
      </c>
      <c r="D23" s="3">
        <f ca="1">IFERROR(__xludf.DUMMYFUNCTION("""COMPUTED_VALUE"""),-0.583583634950566)</f>
        <v>-0.58358363495056598</v>
      </c>
      <c r="E23" s="3">
        <f ca="1">IFERROR(__xludf.DUMMYFUNCTION("""COMPUTED_VALUE"""),-0.553685206316405)</f>
        <v>-0.55368520631640505</v>
      </c>
      <c r="F23" s="3">
        <f ca="1">IFERROR(__xludf.DUMMYFUNCTION("""COMPUTED_VALUE"""),-0.573422369880596)</f>
        <v>-0.57342236988059603</v>
      </c>
      <c r="G23" s="3">
        <f ca="1">IFERROR(__xludf.DUMMYFUNCTION("""COMPUTED_VALUE"""),-0.595061429930098)</f>
        <v>-0.59506142993009803</v>
      </c>
      <c r="H23" s="3">
        <f ca="1">IFERROR(__xludf.DUMMYFUNCTION("""COMPUTED_VALUE"""),-0.526671895149232)</f>
        <v>-0.52667189514923196</v>
      </c>
      <c r="I23" s="3">
        <f ca="1">IFERROR(__xludf.DUMMYFUNCTION("""COMPUTED_VALUE"""),-0.53741818246909)</f>
        <v>-0.53741818246909001</v>
      </c>
      <c r="J23" s="3">
        <f ca="1">IFERROR(__xludf.DUMMYFUNCTION("""COMPUTED_VALUE"""),-0.608116971792887)</f>
        <v>-0.60811697179288704</v>
      </c>
      <c r="K23" s="3">
        <f ca="1">IFERROR(__xludf.DUMMYFUNCTION("""COMPUTED_VALUE"""),-0.589668454417865)</f>
        <v>-0.58966845441786497</v>
      </c>
      <c r="L23" s="3">
        <f ca="1">IFERROR(__xludf.DUMMYFUNCTION("""COMPUTED_VALUE"""),-0.556843846220502)</f>
        <v>-0.55684384622050198</v>
      </c>
      <c r="M23" s="3">
        <f ca="1">IFERROR(__xludf.DUMMYFUNCTION("""COMPUTED_VALUE"""),-0.547907504300708)</f>
        <v>-0.547907504300708</v>
      </c>
      <c r="N23" s="3">
        <f ca="1">IFERROR(__xludf.DUMMYFUNCTION("""COMPUTED_VALUE"""),-0.560839982162364)</f>
        <v>-0.56083998216236397</v>
      </c>
      <c r="O23" s="3">
        <f ca="1">IFERROR(__xludf.DUMMYFUNCTION("""COMPUTED_VALUE"""),-0.55960797748751)</f>
        <v>-0.55960797748751001</v>
      </c>
      <c r="P23" s="3">
        <f ca="1">IFERROR(__xludf.DUMMYFUNCTION("""COMPUTED_VALUE"""),-0.527625873398327)</f>
        <v>-0.52762587339832701</v>
      </c>
      <c r="Q23" s="3">
        <f ca="1">IFERROR(__xludf.DUMMYFUNCTION("""COMPUTED_VALUE"""),-0.607842557041906)</f>
        <v>-0.60784255704190604</v>
      </c>
      <c r="R23" s="3">
        <f ca="1">IFERROR(__xludf.DUMMYFUNCTION("""COMPUTED_VALUE"""),-0.609719451304055)</f>
        <v>-0.60971945130405503</v>
      </c>
      <c r="S23" s="3">
        <f ca="1">IFERROR(__xludf.DUMMYFUNCTION("""COMPUTED_VALUE"""),-0.57009014029871)</f>
        <v>-0.57009014029870997</v>
      </c>
      <c r="T23" s="3">
        <f ca="1">IFERROR(__xludf.DUMMYFUNCTION("""COMPUTED_VALUE"""),-0.590273619486685)</f>
        <v>-0.590273619486685</v>
      </c>
      <c r="U23" s="3">
        <f ca="1">IFERROR(__xludf.DUMMYFUNCTION("""COMPUTED_VALUE"""),-0.540350869317171)</f>
        <v>-0.54035086931717102</v>
      </c>
      <c r="V23" s="3">
        <f ca="1">IFERROR(__xludf.DUMMYFUNCTION("""COMPUTED_VALUE"""),-0.514361608201064)</f>
        <v>-0.51436160820106402</v>
      </c>
      <c r="W23" s="3">
        <f ca="1">IFERROR(__xludf.DUMMYFUNCTION("""COMPUTED_VALUE"""),-0.527373660427674)</f>
        <v>-0.52737366042767397</v>
      </c>
      <c r="X23" s="3">
        <f ca="1">IFERROR(__xludf.DUMMYFUNCTION("""COMPUTED_VALUE"""),-0.619660437370675)</f>
        <v>-0.619660437370675</v>
      </c>
      <c r="Y23" s="3">
        <f ca="1">IFERROR(__xludf.DUMMYFUNCTION("""COMPUTED_VALUE"""),-0.605734792138719)</f>
        <v>-0.60573479213871895</v>
      </c>
      <c r="Z23" s="3">
        <f ca="1">IFERROR(__xludf.DUMMYFUNCTION("""COMPUTED_VALUE"""),-0.589857640370774)</f>
        <v>-0.58985764037077404</v>
      </c>
      <c r="AA23" s="3">
        <f ca="1">IFERROR(__xludf.DUMMYFUNCTION("""COMPUTED_VALUE"""),-0.635582237589925)</f>
        <v>-0.63558223758992505</v>
      </c>
      <c r="AB23" s="3">
        <f ca="1">IFERROR(__xludf.DUMMYFUNCTION("""COMPUTED_VALUE"""),-0.607890653772638)</f>
        <v>-0.60789065377263796</v>
      </c>
      <c r="AC23" s="3">
        <f ca="1">IFERROR(__xludf.DUMMYFUNCTION("""COMPUTED_VALUE"""),-0.470957723694778)</f>
        <v>-0.47095772369477801</v>
      </c>
      <c r="AD23" s="3">
        <f ca="1">IFERROR(__xludf.DUMMYFUNCTION("""COMPUTED_VALUE"""),-0.481927991647114)</f>
        <v>-0.48192799164711397</v>
      </c>
      <c r="AE23" s="3">
        <f ca="1">IFERROR(__xludf.DUMMYFUNCTION("""COMPUTED_VALUE"""),-0.511553572116826)</f>
        <v>-0.51155357211682595</v>
      </c>
      <c r="AF23" s="3">
        <f ca="1">IFERROR(__xludf.DUMMYFUNCTION("""COMPUTED_VALUE"""),-0.535389458943162)</f>
        <v>-0.53538945894316203</v>
      </c>
      <c r="AG23" s="3">
        <f ca="1">IFERROR(__xludf.DUMMYFUNCTION("""COMPUTED_VALUE"""),-0.551281630210262)</f>
        <v>-0.551281630210262</v>
      </c>
      <c r="AH23" s="3">
        <f ca="1">IFERROR(__xludf.DUMMYFUNCTION("""COMPUTED_VALUE"""),-0.548020507252063)</f>
        <v>-0.54802050725206297</v>
      </c>
      <c r="AI23" s="3">
        <f ca="1">IFERROR(__xludf.DUMMYFUNCTION("""COMPUTED_VALUE"""),-0.51969098535317)</f>
        <v>-0.51969098535317004</v>
      </c>
      <c r="AJ23" s="3">
        <f ca="1">IFERROR(__xludf.DUMMYFUNCTION("""COMPUTED_VALUE"""),-0.491344332717313)</f>
        <v>-0.49134433271731298</v>
      </c>
      <c r="AK23" s="3">
        <f ca="1">IFERROR(__xludf.DUMMYFUNCTION("""COMPUTED_VALUE"""),-0.524059165007058)</f>
        <v>-0.52405916500705796</v>
      </c>
      <c r="AL23" s="3">
        <f ca="1">IFERROR(__xludf.DUMMYFUNCTION("""COMPUTED_VALUE"""),-0.565176876587503)</f>
        <v>-0.56517687658750304</v>
      </c>
      <c r="AM23" s="3">
        <f ca="1">IFERROR(__xludf.DUMMYFUNCTION("""COMPUTED_VALUE"""),-0.578975825052997)</f>
        <v>-0.57897582505299705</v>
      </c>
      <c r="AN23" s="3">
        <f ca="1">IFERROR(__xludf.DUMMYFUNCTION("""COMPUTED_VALUE"""),-0.552028162379256)</f>
        <v>-0.552028162379256</v>
      </c>
      <c r="AO23" s="3">
        <f ca="1">IFERROR(__xludf.DUMMYFUNCTION("""COMPUTED_VALUE"""),-0.547917797177738)</f>
        <v>-0.54791779717773803</v>
      </c>
      <c r="AP23" s="3">
        <f ca="1">IFERROR(__xludf.DUMMYFUNCTION("""COMPUTED_VALUE"""),-0.518824287666933)</f>
        <v>-0.518824287666933</v>
      </c>
      <c r="AQ23" s="3">
        <f ca="1">IFERROR(__xludf.DUMMYFUNCTION("""COMPUTED_VALUE"""),-0.449120805641673)</f>
        <v>-0.449120805641673</v>
      </c>
      <c r="AR23" s="3">
        <f ca="1">IFERROR(__xludf.DUMMYFUNCTION("""COMPUTED_VALUE"""),-0.504114241583666)</f>
        <v>-0.50411424158366602</v>
      </c>
      <c r="AS23" s="3">
        <f ca="1">IFERROR(__xludf.DUMMYFUNCTION("""COMPUTED_VALUE"""),-0.567827352731292)</f>
        <v>-0.56782735273129203</v>
      </c>
      <c r="AT23" s="3">
        <f ca="1">IFERROR(__xludf.DUMMYFUNCTION("""COMPUTED_VALUE"""),-0.550946820535363)</f>
        <v>-0.55094682053536304</v>
      </c>
      <c r="AU23" s="3">
        <f ca="1">IFERROR(__xludf.DUMMYFUNCTION("""COMPUTED_VALUE"""),-0.535672556830721)</f>
        <v>-0.53567255683072101</v>
      </c>
      <c r="AV23" s="3">
        <f ca="1">IFERROR(__xludf.DUMMYFUNCTION("""COMPUTED_VALUE"""),-0.547862354283807)</f>
        <v>-0.54786235428380703</v>
      </c>
      <c r="AW23" s="3">
        <f ca="1">IFERROR(__xludf.DUMMYFUNCTION("""COMPUTED_VALUE"""),-0.535419096686038)</f>
        <v>-0.53541909668603804</v>
      </c>
      <c r="AX23" s="3">
        <f ca="1">IFERROR(__xludf.DUMMYFUNCTION("""COMPUTED_VALUE"""),-0.556997855032843)</f>
        <v>-0.55699785503284305</v>
      </c>
      <c r="AY23" s="3">
        <f ca="1">IFERROR(__xludf.DUMMYFUNCTION("""COMPUTED_VALUE"""),-0.548952285529225)</f>
        <v>-0.54895228552922504</v>
      </c>
      <c r="AZ23" s="3">
        <f ca="1">IFERROR(__xludf.DUMMYFUNCTION("""COMPUTED_VALUE"""),-0.608946382801241)</f>
        <v>-0.60894638280124103</v>
      </c>
      <c r="BA23" s="3">
        <f ca="1">IFERROR(__xludf.DUMMYFUNCTION("""COMPUTED_VALUE"""),-0.63112904262329)</f>
        <v>-0.63112904262328995</v>
      </c>
      <c r="BB23" s="3">
        <f ca="1">IFERROR(__xludf.DUMMYFUNCTION("""COMPUTED_VALUE"""),-0.594573009009329)</f>
        <v>-0.59457300900932897</v>
      </c>
      <c r="BC23" s="3">
        <f ca="1">IFERROR(__xludf.DUMMYFUNCTION("""COMPUTED_VALUE"""),-0.621682859516335)</f>
        <v>-0.62168285951633495</v>
      </c>
      <c r="BD23" s="3">
        <f ca="1">IFERROR(__xludf.DUMMYFUNCTION("""COMPUTED_VALUE"""),-0.604122133708243)</f>
        <v>-0.60412213370824297</v>
      </c>
      <c r="BE23" s="3">
        <f ca="1">IFERROR(__xludf.DUMMYFUNCTION("""COMPUTED_VALUE"""),-0.522465349594982)</f>
        <v>-0.52246534959498203</v>
      </c>
      <c r="BF23" s="3">
        <f ca="1">IFERROR(__xludf.DUMMYFUNCTION("""COMPUTED_VALUE"""),-0.592346281335411)</f>
        <v>-0.59234628133541101</v>
      </c>
      <c r="BG23" s="3">
        <f ca="1">IFERROR(__xludf.DUMMYFUNCTION("""COMPUTED_VALUE"""),-0.65425219168429)</f>
        <v>-0.65425219168429005</v>
      </c>
      <c r="BH23" s="3">
        <f ca="1">IFERROR(__xludf.DUMMYFUNCTION("""COMPUTED_VALUE"""),-0.644730351135229)</f>
        <v>-0.64473035113522903</v>
      </c>
      <c r="BI23" s="3">
        <f ca="1">IFERROR(__xludf.DUMMYFUNCTION("""COMPUTED_VALUE"""),-0.655905787532254)</f>
        <v>-0.65590578753225404</v>
      </c>
      <c r="BJ23" s="3">
        <f ca="1">IFERROR(__xludf.DUMMYFUNCTION("""COMPUTED_VALUE"""),-0.659591788200923)</f>
        <v>-0.65959178820092301</v>
      </c>
      <c r="BK23" s="3">
        <f ca="1">IFERROR(__xludf.DUMMYFUNCTION("""COMPUTED_VALUE"""),-0.653878608101634)</f>
        <v>-0.65387860810163401</v>
      </c>
      <c r="BL23" s="3">
        <f ca="1">IFERROR(__xludf.DUMMYFUNCTION("""COMPUTED_VALUE"""),-0.622183034603358)</f>
        <v>-0.622183034603358</v>
      </c>
      <c r="BM23" s="3">
        <f ca="1">IFERROR(__xludf.DUMMYFUNCTION("""COMPUTED_VALUE"""),-0.643665013234428)</f>
        <v>-0.64366501323442804</v>
      </c>
      <c r="BN23" s="3">
        <f ca="1">IFERROR(__xludf.DUMMYFUNCTION("""COMPUTED_VALUE"""),-0.701468956400583)</f>
        <v>-0.70146895640058304</v>
      </c>
      <c r="BO23" s="3">
        <f ca="1">IFERROR(__xludf.DUMMYFUNCTION("""COMPUTED_VALUE"""),-0.634918903859339)</f>
        <v>-0.63491890385933902</v>
      </c>
      <c r="BP23" s="3">
        <f ca="1">IFERROR(__xludf.DUMMYFUNCTION("""COMPUTED_VALUE"""),-0.634387972375423)</f>
        <v>-0.63438797237542299</v>
      </c>
      <c r="BQ23" s="3">
        <f ca="1">IFERROR(__xludf.DUMMYFUNCTION("""COMPUTED_VALUE"""),-0.668251245138969)</f>
        <v>-0.66825124513896905</v>
      </c>
      <c r="BR23" s="3">
        <f ca="1">IFERROR(__xludf.DUMMYFUNCTION("""COMPUTED_VALUE"""),-0.656979215332084)</f>
        <v>-0.65697921533208403</v>
      </c>
      <c r="BS23" s="3">
        <f ca="1">IFERROR(__xludf.DUMMYFUNCTION("""COMPUTED_VALUE"""),-0.613949510679234)</f>
        <v>-0.61394951067923398</v>
      </c>
      <c r="BT23" s="3">
        <f ca="1">IFERROR(__xludf.DUMMYFUNCTION("""COMPUTED_VALUE"""),-0.632327841227173)</f>
        <v>-0.632327841227173</v>
      </c>
      <c r="BU23" s="3">
        <f ca="1">IFERROR(__xludf.DUMMYFUNCTION("""COMPUTED_VALUE"""),-0.67942815649066)</f>
        <v>-0.67942815649066002</v>
      </c>
      <c r="BV23" s="3">
        <f ca="1">IFERROR(__xludf.DUMMYFUNCTION("""COMPUTED_VALUE"""),-0.688853777205049)</f>
        <v>-0.68885377720504903</v>
      </c>
      <c r="BW23" s="3">
        <f ca="1">IFERROR(__xludf.DUMMYFUNCTION("""COMPUTED_VALUE"""),-0.656411586413916)</f>
        <v>-0.65641158641391595</v>
      </c>
      <c r="BX23" s="3">
        <f ca="1">IFERROR(__xludf.DUMMYFUNCTION("""COMPUTED_VALUE"""),-0.681557372308464)</f>
        <v>-0.68155737230846403</v>
      </c>
      <c r="BY23" s="3">
        <f ca="1">IFERROR(__xludf.DUMMYFUNCTION("""COMPUTED_VALUE"""),-0.673447385214746)</f>
        <v>-0.67344738521474601</v>
      </c>
      <c r="BZ23" s="3">
        <f ca="1">IFERROR(__xludf.DUMMYFUNCTION("""COMPUTED_VALUE"""),-0.615563241960566)</f>
        <v>-0.615563241960566</v>
      </c>
      <c r="CA23" s="3">
        <f ca="1">IFERROR(__xludf.DUMMYFUNCTION("""COMPUTED_VALUE"""),-0.643419691638963)</f>
        <v>-0.64341969163896295</v>
      </c>
      <c r="CB23" s="3">
        <f ca="1">IFERROR(__xludf.DUMMYFUNCTION("""COMPUTED_VALUE"""),-0.690405402872848)</f>
        <v>-0.69040540287284802</v>
      </c>
      <c r="CC23" s="3">
        <f ca="1">IFERROR(__xludf.DUMMYFUNCTION("""COMPUTED_VALUE"""),-0.673038660088061)</f>
        <v>-0.67303866008806101</v>
      </c>
      <c r="CD23" s="3">
        <f ca="1">IFERROR(__xludf.DUMMYFUNCTION("""COMPUTED_VALUE"""),-0.711546705167018)</f>
        <v>-0.71154670516701801</v>
      </c>
      <c r="CE23" s="3">
        <f ca="1">IFERROR(__xludf.DUMMYFUNCTION("""COMPUTED_VALUE"""),-0.692299236487944)</f>
        <v>-0.692299236487944</v>
      </c>
      <c r="CF23" s="3">
        <f ca="1">IFERROR(__xludf.DUMMYFUNCTION("""COMPUTED_VALUE"""),-0.680352300888643)</f>
        <v>-0.68035230088864296</v>
      </c>
      <c r="CG23" s="3">
        <f ca="1">IFERROR(__xludf.DUMMYFUNCTION("""COMPUTED_VALUE"""),-0.585675196249826)</f>
        <v>-0.585675196249826</v>
      </c>
      <c r="CH23" s="3">
        <f ca="1">IFERROR(__xludf.DUMMYFUNCTION("""COMPUTED_VALUE"""),-0.602161794430317)</f>
        <v>-0.60216179443031703</v>
      </c>
      <c r="CI23" s="3">
        <f ca="1">IFERROR(__xludf.DUMMYFUNCTION("""COMPUTED_VALUE"""),-0.690344353624798)</f>
        <v>-0.69034435362479796</v>
      </c>
      <c r="CJ23" s="3">
        <f ca="1">IFERROR(__xludf.DUMMYFUNCTION("""COMPUTED_VALUE"""),-0.656089463353077)</f>
        <v>-0.65608946335307705</v>
      </c>
      <c r="CK23" s="3">
        <f ca="1">IFERROR(__xludf.DUMMYFUNCTION("""COMPUTED_VALUE"""),-0.663884940117089)</f>
        <v>-0.66388494011708898</v>
      </c>
      <c r="CL23" s="3">
        <f ca="1">IFERROR(__xludf.DUMMYFUNCTION("""COMPUTED_VALUE"""),-0.69245617549835)</f>
        <v>-0.69245617549835004</v>
      </c>
      <c r="CM23" s="3">
        <f ca="1">IFERROR(__xludf.DUMMYFUNCTION("""COMPUTED_VALUE"""),-0.64624172382267)</f>
        <v>-0.64624172382266998</v>
      </c>
      <c r="CN23" s="3">
        <f ca="1">IFERROR(__xludf.DUMMYFUNCTION("""COMPUTED_VALUE"""),-0.583679840699399)</f>
        <v>-0.58367984069939904</v>
      </c>
      <c r="CO23" s="3">
        <f ca="1">IFERROR(__xludf.DUMMYFUNCTION("""COMPUTED_VALUE"""),-0.548910939770113)</f>
        <v>-0.54891093977011296</v>
      </c>
      <c r="CP23" s="3">
        <f ca="1">IFERROR(__xludf.DUMMYFUNCTION("""COMPUTED_VALUE"""),-0.681659885321922)</f>
        <v>-0.68165988532192201</v>
      </c>
      <c r="CQ23" s="3">
        <f ca="1">IFERROR(__xludf.DUMMYFUNCTION("""COMPUTED_VALUE"""),-0.662124936200896)</f>
        <v>-0.66212493620089596</v>
      </c>
      <c r="CR23" s="3">
        <f ca="1">IFERROR(__xludf.DUMMYFUNCTION("""COMPUTED_VALUE"""),-0.632897241985199)</f>
        <v>-0.63289724198519903</v>
      </c>
      <c r="CS23" s="3">
        <f ca="1">IFERROR(__xludf.DUMMYFUNCTION("""COMPUTED_VALUE"""),-0.638859634715526)</f>
        <v>-0.63885963471552598</v>
      </c>
      <c r="CT23" s="3">
        <f ca="1">IFERROR(__xludf.DUMMYFUNCTION("""COMPUTED_VALUE"""),-0.634052291333757)</f>
        <v>-0.63405229133375696</v>
      </c>
      <c r="CU23" s="3">
        <f ca="1">IFERROR(__xludf.DUMMYFUNCTION("""COMPUTED_VALUE"""),-0.614074531325275)</f>
        <v>-0.61407453132527501</v>
      </c>
      <c r="CV23" s="3">
        <f ca="1">IFERROR(__xludf.DUMMYFUNCTION("""COMPUTED_VALUE"""),-0.612460732887124)</f>
        <v>-0.61246073288712399</v>
      </c>
      <c r="CW23" s="3">
        <f ca="1">IFERROR(__xludf.DUMMYFUNCTION("""COMPUTED_VALUE"""),-0.769065945738814)</f>
        <v>-0.76906594573881404</v>
      </c>
      <c r="CX23" s="3">
        <f ca="1">IFERROR(__xludf.DUMMYFUNCTION("""COMPUTED_VALUE"""),-0.649925033970291)</f>
        <v>-0.649925033970291</v>
      </c>
      <c r="CY23" s="3">
        <f ca="1">IFERROR(__xludf.DUMMYFUNCTION("""COMPUTED_VALUE"""),-0.574936098338014)</f>
        <v>-0.57493609833801396</v>
      </c>
      <c r="CZ23" s="3">
        <f ca="1">IFERROR(__xludf.DUMMYFUNCTION("""COMPUTED_VALUE"""),-0.604471272542707)</f>
        <v>-0.60447127254270705</v>
      </c>
      <c r="DA23" s="3">
        <f ca="1">IFERROR(__xludf.DUMMYFUNCTION("""COMPUTED_VALUE"""),-0.638427489774415)</f>
        <v>-0.63842748977441499</v>
      </c>
      <c r="DB23" s="3">
        <f ca="1">IFERROR(__xludf.DUMMYFUNCTION("""COMPUTED_VALUE"""),-0.626779392215796)</f>
        <v>-0.62677939221579604</v>
      </c>
      <c r="DC23" s="3">
        <f ca="1">IFERROR(__xludf.DUMMYFUNCTION("""COMPUTED_VALUE"""),-0.658823832834588)</f>
        <v>-0.65882383283458801</v>
      </c>
      <c r="DD23" s="3">
        <f ca="1">IFERROR(__xludf.DUMMYFUNCTION("""COMPUTED_VALUE"""),-0.831931488968461)</f>
        <v>-0.83193148896846103</v>
      </c>
      <c r="DE23" s="3">
        <f ca="1">IFERROR(__xludf.DUMMYFUNCTION("""COMPUTED_VALUE"""),-0.697788405148655)</f>
        <v>-0.69778840514865503</v>
      </c>
      <c r="DF23" s="3">
        <f ca="1">IFERROR(__xludf.DUMMYFUNCTION("""COMPUTED_VALUE"""),-0.469891976223495)</f>
        <v>-0.46989197622349499</v>
      </c>
      <c r="DG23" s="3">
        <f ca="1">IFERROR(__xludf.DUMMYFUNCTION("""COMPUTED_VALUE"""),-0.584569354727187)</f>
        <v>-0.58456935472718696</v>
      </c>
      <c r="DH23" s="3">
        <f ca="1">IFERROR(__xludf.DUMMYFUNCTION("""COMPUTED_VALUE"""),-0.636238008434275)</f>
        <v>-0.63623800843427503</v>
      </c>
      <c r="DI23" s="3">
        <f ca="1">IFERROR(__xludf.DUMMYFUNCTION("""COMPUTED_VALUE"""),-0.606471197351979)</f>
        <v>-0.60647119735197896</v>
      </c>
      <c r="DJ23" s="3">
        <f ca="1">IFERROR(__xludf.DUMMYFUNCTION("""COMPUTED_VALUE"""),-0.650987707422225)</f>
        <v>-0.650987707422225</v>
      </c>
      <c r="DK23" s="3">
        <f ca="1">IFERROR(__xludf.DUMMYFUNCTION("""COMPUTED_VALUE"""),-0.661688461410132)</f>
        <v>-0.66168846141013204</v>
      </c>
      <c r="DL23" s="3">
        <f ca="1">IFERROR(__xludf.DUMMYFUNCTION("""COMPUTED_VALUE"""),-0.651795980721312)</f>
        <v>-0.65179598072131195</v>
      </c>
      <c r="DM23" s="3">
        <f ca="1">IFERROR(__xludf.DUMMYFUNCTION("""COMPUTED_VALUE"""),-0.609287845663839)</f>
        <v>-0.60928784566383898</v>
      </c>
      <c r="DN23" s="3">
        <f ca="1">IFERROR(__xludf.DUMMYFUNCTION("""COMPUTED_VALUE"""),-0.65143874254221)</f>
        <v>-0.65143874254221001</v>
      </c>
      <c r="DO23" s="3">
        <f ca="1">IFERROR(__xludf.DUMMYFUNCTION("""COMPUTED_VALUE"""),-0.6434201368003)</f>
        <v>-0.64342013680029997</v>
      </c>
      <c r="DP23" s="3">
        <f ca="1">IFERROR(__xludf.DUMMYFUNCTION("""COMPUTED_VALUE"""),-0.590721579683839)</f>
        <v>-0.59072157968383898</v>
      </c>
      <c r="DQ23" s="3">
        <f ca="1">IFERROR(__xludf.DUMMYFUNCTION("""COMPUTED_VALUE"""),-0.659433169262912)</f>
        <v>-0.65943316926291196</v>
      </c>
      <c r="DR23" s="3">
        <f ca="1">IFERROR(__xludf.DUMMYFUNCTION("""COMPUTED_VALUE"""),-0.661745034467536)</f>
        <v>-0.66174503446753596</v>
      </c>
      <c r="DS23" s="3">
        <f ca="1">IFERROR(__xludf.DUMMYFUNCTION("""COMPUTED_VALUE"""),-0.667238292758416)</f>
        <v>-0.66723829275841595</v>
      </c>
      <c r="DT23" s="3">
        <f ca="1">IFERROR(__xludf.DUMMYFUNCTION("""COMPUTED_VALUE"""),-0.675630668082827)</f>
        <v>-0.67563066808282701</v>
      </c>
      <c r="DU23" s="3">
        <f ca="1">IFERROR(__xludf.DUMMYFUNCTION("""COMPUTED_VALUE"""),-0.671629862601357)</f>
        <v>-0.67162986260135704</v>
      </c>
      <c r="DV23" s="3">
        <f ca="1">IFERROR(__xludf.DUMMYFUNCTION("""COMPUTED_VALUE"""),-0.689196451343845)</f>
        <v>-0.689196451343845</v>
      </c>
      <c r="DW23" s="3">
        <f ca="1">IFERROR(__xludf.DUMMYFUNCTION("""COMPUTED_VALUE"""),-0.620753354406327)</f>
        <v>-0.62075335440632695</v>
      </c>
      <c r="DX23" s="3">
        <f ca="1">IFERROR(__xludf.DUMMYFUNCTION("""COMPUTED_VALUE"""),-0.624713730093261)</f>
        <v>-0.62471373009326103</v>
      </c>
      <c r="DY23" s="3">
        <f ca="1">IFERROR(__xludf.DUMMYFUNCTION("""COMPUTED_VALUE"""),-0.661585863309627)</f>
        <v>-0.66158586330962699</v>
      </c>
      <c r="DZ23" s="3">
        <f ca="1">IFERROR(__xludf.DUMMYFUNCTION("""COMPUTED_VALUE"""),-0.605811034945285)</f>
        <v>-0.60581103494528499</v>
      </c>
      <c r="EA23" s="3">
        <f ca="1">IFERROR(__xludf.DUMMYFUNCTION("""COMPUTED_VALUE"""),-0.683360826781681)</f>
        <v>-0.68336082678168097</v>
      </c>
      <c r="EB23" s="3">
        <f ca="1">IFERROR(__xludf.DUMMYFUNCTION("""COMPUTED_VALUE"""),-0.692699065768452)</f>
        <v>-0.69269906576845197</v>
      </c>
      <c r="EC23" s="3">
        <f ca="1">IFERROR(__xludf.DUMMYFUNCTION("""COMPUTED_VALUE"""),-0.684199159069496)</f>
        <v>-0.68419915906949602</v>
      </c>
      <c r="ED23" s="3">
        <f ca="1">IFERROR(__xludf.DUMMYFUNCTION("""COMPUTED_VALUE"""),-0.598931585820913)</f>
        <v>-0.59893158582091299</v>
      </c>
      <c r="EE23" s="3">
        <f ca="1">IFERROR(__xludf.DUMMYFUNCTION("""COMPUTED_VALUE"""),-0.652669498103156)</f>
        <v>-0.652669498103156</v>
      </c>
      <c r="EF23" s="3">
        <f ca="1">IFERROR(__xludf.DUMMYFUNCTION("""COMPUTED_VALUE"""),-0.705618464888206)</f>
        <v>-0.70561846488820601</v>
      </c>
      <c r="EG23" s="3">
        <f ca="1">IFERROR(__xludf.DUMMYFUNCTION("""COMPUTED_VALUE"""),-0.752765140168877)</f>
        <v>-0.75276514016887697</v>
      </c>
      <c r="EH23" s="3">
        <f ca="1">IFERROR(__xludf.DUMMYFUNCTION("""COMPUTED_VALUE"""),-0.687814660407163)</f>
        <v>-0.68781466040716299</v>
      </c>
      <c r="EI23" s="3">
        <f ca="1">IFERROR(__xludf.DUMMYFUNCTION("""COMPUTED_VALUE"""),-0.700383401681221)</f>
        <v>-0.70038340168122104</v>
      </c>
      <c r="EJ23" s="3">
        <f ca="1">IFERROR(__xludf.DUMMYFUNCTION("""COMPUTED_VALUE"""),-0.696500726384565)</f>
        <v>-0.69650072638456495</v>
      </c>
      <c r="EK23" s="3">
        <f ca="1">IFERROR(__xludf.DUMMYFUNCTION("""COMPUTED_VALUE"""),-0.677423401760259)</f>
        <v>-0.67742340176025895</v>
      </c>
      <c r="EL23" s="3">
        <f ca="1">IFERROR(__xludf.DUMMYFUNCTION("""COMPUTED_VALUE"""),-0.591044891898638)</f>
        <v>-0.59104489189863796</v>
      </c>
      <c r="EM23" s="3">
        <f ca="1">IFERROR(__xludf.DUMMYFUNCTION("""COMPUTED_VALUE"""),-0.63102573123738)</f>
        <v>-0.63102573123738004</v>
      </c>
      <c r="EN23" s="3">
        <f ca="1">IFERROR(__xludf.DUMMYFUNCTION("""COMPUTED_VALUE"""),-0.631249058057946)</f>
        <v>-0.63124905805794596</v>
      </c>
      <c r="EO23" s="3">
        <f ca="1">IFERROR(__xludf.DUMMYFUNCTION("""COMPUTED_VALUE"""),-0.666224950206163)</f>
        <v>-0.66622495020616301</v>
      </c>
      <c r="EP23" s="3">
        <f ca="1">IFERROR(__xludf.DUMMYFUNCTION("""COMPUTED_VALUE"""),-0.678587746894579)</f>
        <v>-0.67858774689457901</v>
      </c>
      <c r="EQ23" s="3">
        <f ca="1">IFERROR(__xludf.DUMMYFUNCTION("""COMPUTED_VALUE"""),-0.666796680706963)</f>
        <v>-0.66679668070696296</v>
      </c>
      <c r="ER23" s="3">
        <f ca="1">IFERROR(__xludf.DUMMYFUNCTION("""COMPUTED_VALUE"""),-0.620299239263745)</f>
        <v>-0.62029923926374497</v>
      </c>
      <c r="ES23" s="3">
        <f ca="1">IFERROR(__xludf.DUMMYFUNCTION("""COMPUTED_VALUE"""),-0.597493430145545)</f>
        <v>-0.59749343014554501</v>
      </c>
      <c r="ET23" s="3">
        <f ca="1">IFERROR(__xludf.DUMMYFUNCTION("""COMPUTED_VALUE"""),-0.715348164575067)</f>
        <v>-0.715348164575067</v>
      </c>
      <c r="EU23" s="3">
        <f ca="1">IFERROR(__xludf.DUMMYFUNCTION("""COMPUTED_VALUE"""),-0.691832841857265)</f>
        <v>-0.69183284185726501</v>
      </c>
      <c r="EV23" s="3">
        <f ca="1">IFERROR(__xludf.DUMMYFUNCTION("""COMPUTED_VALUE"""),-0.653994261793331)</f>
        <v>-0.65399426179333098</v>
      </c>
      <c r="EW23" s="3">
        <f ca="1">IFERROR(__xludf.DUMMYFUNCTION("""COMPUTED_VALUE"""),-0.625132715354465)</f>
        <v>-0.62513271535446502</v>
      </c>
      <c r="EX23" s="3">
        <f ca="1">IFERROR(__xludf.DUMMYFUNCTION("""COMPUTED_VALUE"""),-0.636052134717242)</f>
        <v>-0.63605213471724198</v>
      </c>
      <c r="EY23" s="3">
        <f ca="1">IFERROR(__xludf.DUMMYFUNCTION("""COMPUTED_VALUE"""),-0.570958980637071)</f>
        <v>-0.57095898063707096</v>
      </c>
      <c r="EZ23" s="3">
        <f ca="1">IFERROR(__xludf.DUMMYFUNCTION("""COMPUTED_VALUE"""),-0.579528310402881)</f>
        <v>-0.579528310402881</v>
      </c>
      <c r="FA23" s="3">
        <f ca="1">IFERROR(__xludf.DUMMYFUNCTION("""COMPUTED_VALUE"""),-0.665604310979791)</f>
        <v>-0.665604310979791</v>
      </c>
      <c r="FB23" s="3">
        <f ca="1">IFERROR(__xludf.DUMMYFUNCTION("""COMPUTED_VALUE"""),-0.690234302413611)</f>
        <v>-0.69023430241361095</v>
      </c>
      <c r="FC23" s="3">
        <f ca="1">IFERROR(__xludf.DUMMYFUNCTION("""COMPUTED_VALUE"""),-0.659509318346727)</f>
        <v>-0.65950931834672699</v>
      </c>
      <c r="FD23" s="3">
        <f ca="1">IFERROR(__xludf.DUMMYFUNCTION("""COMPUTED_VALUE"""),-0.661018204038077)</f>
        <v>-0.66101820403807698</v>
      </c>
      <c r="FE23" s="3">
        <f ca="1">IFERROR(__xludf.DUMMYFUNCTION("""COMPUTED_VALUE"""),-0.678222285484986)</f>
        <v>-0.67822228548498598</v>
      </c>
      <c r="FF23" s="3">
        <f ca="1">IFERROR(__xludf.DUMMYFUNCTION("""COMPUTED_VALUE"""),-0.640838939944703)</f>
        <v>-0.64083893994470298</v>
      </c>
      <c r="FG23" s="3">
        <f ca="1">IFERROR(__xludf.DUMMYFUNCTION("""COMPUTED_VALUE"""),-0.589844912926789)</f>
        <v>-0.58984491292678898</v>
      </c>
      <c r="FH23" s="3">
        <f ca="1">IFERROR(__xludf.DUMMYFUNCTION("""COMPUTED_VALUE"""),-0.682475345724806)</f>
        <v>-0.68247534572480595</v>
      </c>
      <c r="FI23" s="3">
        <f ca="1">IFERROR(__xludf.DUMMYFUNCTION("""COMPUTED_VALUE"""),-0.688869163734304)</f>
        <v>-0.68886916373430396</v>
      </c>
      <c r="FJ23" s="3">
        <f ca="1">IFERROR(__xludf.DUMMYFUNCTION("""COMPUTED_VALUE"""),-0.667590784160273)</f>
        <v>-0.66759078416027295</v>
      </c>
      <c r="FK23" s="3">
        <f ca="1">IFERROR(__xludf.DUMMYFUNCTION("""COMPUTED_VALUE"""),-0.689025816167099)</f>
        <v>-0.68902581616709901</v>
      </c>
      <c r="FL23" s="3">
        <f ca="1">IFERROR(__xludf.DUMMYFUNCTION("""COMPUTED_VALUE"""),-0.667256889845784)</f>
        <v>-0.66725688984578402</v>
      </c>
      <c r="FM23" s="3">
        <f ca="1">IFERROR(__xludf.DUMMYFUNCTION("""COMPUTED_VALUE"""),-0.580898824044334)</f>
        <v>-0.58089882404433402</v>
      </c>
      <c r="FN23" s="3">
        <f ca="1">IFERROR(__xludf.DUMMYFUNCTION("""COMPUTED_VALUE"""),-0.564848489517168)</f>
        <v>-0.56484848951716804</v>
      </c>
      <c r="FO23" s="3">
        <f ca="1">IFERROR(__xludf.DUMMYFUNCTION("""COMPUTED_VALUE"""),-0.633772645994613)</f>
        <v>-0.63377264599461303</v>
      </c>
      <c r="FP23" s="3">
        <f ca="1">IFERROR(__xludf.DUMMYFUNCTION("""COMPUTED_VALUE"""),-0.651053883936828)</f>
        <v>-0.65105388393682795</v>
      </c>
      <c r="FQ23" s="3">
        <f ca="1">IFERROR(__xludf.DUMMYFUNCTION("""COMPUTED_VALUE"""),-0.640721256714563)</f>
        <v>-0.64072125671456304</v>
      </c>
      <c r="FR23" s="3">
        <f ca="1">IFERROR(__xludf.DUMMYFUNCTION("""COMPUTED_VALUE"""),-0.624737124316191)</f>
        <v>-0.62473712431619099</v>
      </c>
      <c r="FS23" s="3">
        <f ca="1">IFERROR(__xludf.DUMMYFUNCTION("""COMPUTED_VALUE"""),-0.628306222072113)</f>
        <v>-0.62830622207211295</v>
      </c>
      <c r="FT23" s="3">
        <f ca="1">IFERROR(__xludf.DUMMYFUNCTION("""COMPUTED_VALUE"""),-0.548673950081495)</f>
        <v>-0.548673950081495</v>
      </c>
      <c r="FU23" s="3">
        <f ca="1">IFERROR(__xludf.DUMMYFUNCTION("""COMPUTED_VALUE"""),-0.55438126164088)</f>
        <v>-0.55438126164087997</v>
      </c>
      <c r="FV23" s="3">
        <f ca="1">IFERROR(__xludf.DUMMYFUNCTION("""COMPUTED_VALUE"""),-0.618837801527356)</f>
        <v>-0.61883780152735601</v>
      </c>
      <c r="FW23" s="3">
        <f ca="1">IFERROR(__xludf.DUMMYFUNCTION("""COMPUTED_VALUE"""),-0.646265460493372)</f>
        <v>-0.64626546049337197</v>
      </c>
      <c r="FX23" s="3">
        <f ca="1">IFERROR(__xludf.DUMMYFUNCTION("""COMPUTED_VALUE"""),-0.635350310528005)</f>
        <v>-0.63535031052800495</v>
      </c>
      <c r="FY23" s="3">
        <f ca="1">IFERROR(__xludf.DUMMYFUNCTION("""COMPUTED_VALUE"""),-0.606135981614074)</f>
        <v>-0.606135981614074</v>
      </c>
      <c r="FZ23" s="3">
        <f ca="1">IFERROR(__xludf.DUMMYFUNCTION("""COMPUTED_VALUE"""),-0.617145093270436)</f>
        <v>-0.61714509327043598</v>
      </c>
      <c r="GA23" s="3">
        <f ca="1">IFERROR(__xludf.DUMMYFUNCTION("""COMPUTED_VALUE"""),-0.511106534566314)</f>
        <v>-0.51110653456631405</v>
      </c>
      <c r="GB23" s="3">
        <f ca="1">IFERROR(__xludf.DUMMYFUNCTION("""COMPUTED_VALUE"""),-0.512838088674251)</f>
        <v>-0.51283808867425096</v>
      </c>
      <c r="GC23" s="3">
        <f ca="1">IFERROR(__xludf.DUMMYFUNCTION("""COMPUTED_VALUE"""),-0.5910823572351)</f>
        <v>-0.59108235723510005</v>
      </c>
      <c r="GD23" s="3">
        <f ca="1">IFERROR(__xludf.DUMMYFUNCTION("""COMPUTED_VALUE"""),-0.62161222854202)</f>
        <v>-0.62161222854202003</v>
      </c>
      <c r="GE23" s="3">
        <f ca="1">IFERROR(__xludf.DUMMYFUNCTION("""COMPUTED_VALUE"""),-0.629143408208555)</f>
        <v>-0.62914340820855497</v>
      </c>
      <c r="GF23" s="3">
        <f ca="1">IFERROR(__xludf.DUMMYFUNCTION("""COMPUTED_VALUE"""),-0.638593508229287)</f>
        <v>-0.63859350822928695</v>
      </c>
      <c r="GG23" s="3">
        <f ca="1">IFERROR(__xludf.DUMMYFUNCTION("""COMPUTED_VALUE"""),-0.635795785777897)</f>
        <v>-0.63579578577789697</v>
      </c>
      <c r="GH23" s="3">
        <f ca="1">IFERROR(__xludf.DUMMYFUNCTION("""COMPUTED_VALUE"""),-0.801766293615479)</f>
        <v>-0.80176629361547902</v>
      </c>
      <c r="GI23" s="3">
        <f ca="1">IFERROR(__xludf.DUMMYFUNCTION("""COMPUTED_VALUE"""),-0.748529696895994)</f>
        <v>-0.74852969689599402</v>
      </c>
      <c r="GJ23" s="3">
        <f ca="1">IFERROR(__xludf.DUMMYFUNCTION("""COMPUTED_VALUE"""),-0.688110649692541)</f>
        <v>-0.68811064969254099</v>
      </c>
      <c r="GK23" s="3">
        <f ca="1">IFERROR(__xludf.DUMMYFUNCTION("""COMPUTED_VALUE"""),-0.61869950704799)</f>
        <v>-0.61869950704799004</v>
      </c>
      <c r="GL23" s="3">
        <f ca="1">IFERROR(__xludf.DUMMYFUNCTION("""COMPUTED_VALUE"""),-0.659921635639881)</f>
        <v>-0.65992163563988104</v>
      </c>
      <c r="GM23" s="3">
        <f ca="1">IFERROR(__xludf.DUMMYFUNCTION("""COMPUTED_VALUE"""),-0.636398703808522)</f>
        <v>-0.63639870380852204</v>
      </c>
      <c r="GN23" s="3">
        <f ca="1">IFERROR(__xludf.DUMMYFUNCTION("""COMPUTED_VALUE"""),-0.631204889603898)</f>
        <v>-0.63120488960389798</v>
      </c>
      <c r="GO23" s="3">
        <f ca="1">IFERROR(__xludf.DUMMYFUNCTION("""COMPUTED_VALUE"""),-0.435886216413302)</f>
        <v>-0.435886216413302</v>
      </c>
      <c r="GP23" s="3">
        <f ca="1">IFERROR(__xludf.DUMMYFUNCTION("""COMPUTED_VALUE"""),-0.475676202753974)</f>
        <v>-0.47567620275397399</v>
      </c>
      <c r="GQ23" s="3">
        <f ca="1">IFERROR(__xludf.DUMMYFUNCTION("""COMPUTED_VALUE"""),-0.589316729200678)</f>
        <v>-0.58931672920067801</v>
      </c>
      <c r="GR23" s="3">
        <f ca="1">IFERROR(__xludf.DUMMYFUNCTION("""COMPUTED_VALUE"""),-0.614452685665841)</f>
        <v>-0.61445268566584099</v>
      </c>
      <c r="GS23" s="3">
        <f ca="1">IFERROR(__xludf.DUMMYFUNCTION("""COMPUTED_VALUE"""),-0.631316792948958)</f>
        <v>-0.63131679294895804</v>
      </c>
      <c r="GT23" s="3">
        <f ca="1">IFERROR(__xludf.DUMMYFUNCTION("""COMPUTED_VALUE"""),-0.628248390151599)</f>
        <v>-0.62824839015159895</v>
      </c>
      <c r="GU23" s="3">
        <f ca="1">IFERROR(__xludf.DUMMYFUNCTION("""COMPUTED_VALUE"""),-0.600503466104662)</f>
        <v>-0.60050346610466199</v>
      </c>
      <c r="GV23" s="3">
        <f ca="1">IFERROR(__xludf.DUMMYFUNCTION("""COMPUTED_VALUE"""),-0.470795312084275)</f>
        <v>-0.470795312084275</v>
      </c>
      <c r="GW23" s="3">
        <f ca="1">IFERROR(__xludf.DUMMYFUNCTION("""COMPUTED_VALUE"""),-0.51477143996542)</f>
        <v>-0.51477143996541996</v>
      </c>
      <c r="GX23" s="3">
        <f ca="1">IFERROR(__xludf.DUMMYFUNCTION("""COMPUTED_VALUE"""),-0.624981588986116)</f>
        <v>-0.624981588986116</v>
      </c>
      <c r="GY23" s="3">
        <f ca="1">IFERROR(__xludf.DUMMYFUNCTION("""COMPUTED_VALUE"""),-0.623309314504322)</f>
        <v>-0.62330931450432203</v>
      </c>
      <c r="GZ23" s="3">
        <f ca="1">IFERROR(__xludf.DUMMYFUNCTION("""COMPUTED_VALUE"""),-0.639300010910735)</f>
        <v>-0.63930001091073496</v>
      </c>
      <c r="HA23" s="3">
        <f ca="1">IFERROR(__xludf.DUMMYFUNCTION("""COMPUTED_VALUE"""),-0.625951818112865)</f>
        <v>-0.62595181811286504</v>
      </c>
      <c r="HB23" s="3">
        <f ca="1">IFERROR(__xludf.DUMMYFUNCTION("""COMPUTED_VALUE"""),-0.593329212695322)</f>
        <v>-0.59332921269532202</v>
      </c>
      <c r="HC23" s="3">
        <f ca="1">IFERROR(__xludf.DUMMYFUNCTION("""COMPUTED_VALUE"""),-0.483265217497819)</f>
        <v>-0.48326521749781898</v>
      </c>
      <c r="HD23" s="3">
        <f ca="1">IFERROR(__xludf.DUMMYFUNCTION("""COMPUTED_VALUE"""),-0.546724954911787)</f>
        <v>-0.54672495491178696</v>
      </c>
      <c r="HE23" s="3">
        <f ca="1">IFERROR(__xludf.DUMMYFUNCTION("""COMPUTED_VALUE"""),-0.610629315196029)</f>
        <v>-0.61062931519602903</v>
      </c>
      <c r="HF23" s="3">
        <f ca="1">IFERROR(__xludf.DUMMYFUNCTION("""COMPUTED_VALUE"""),-0.647506064464719)</f>
        <v>-0.64750606446471903</v>
      </c>
      <c r="HG23" s="3">
        <f ca="1">IFERROR(__xludf.DUMMYFUNCTION("""COMPUTED_VALUE"""),-0.633355162688933)</f>
        <v>-0.63335516268893299</v>
      </c>
      <c r="HH23" s="3">
        <f ca="1">IFERROR(__xludf.DUMMYFUNCTION("""COMPUTED_VALUE"""),-0.685195893382067)</f>
        <v>-0.68519589338206699</v>
      </c>
      <c r="HI23" s="3">
        <f ca="1">IFERROR(__xludf.DUMMYFUNCTION("""COMPUTED_VALUE"""),-0.638410257692253)</f>
        <v>-0.63841025769225301</v>
      </c>
      <c r="HJ23" s="3">
        <f ca="1">IFERROR(__xludf.DUMMYFUNCTION("""COMPUTED_VALUE"""),-0.497137756670008)</f>
        <v>-0.49713775667000798</v>
      </c>
      <c r="HK23" s="3">
        <f ca="1">IFERROR(__xludf.DUMMYFUNCTION("""COMPUTED_VALUE"""),-0.540875001149531)</f>
        <v>-0.54087500114953102</v>
      </c>
      <c r="HL23" s="3">
        <f ca="1">IFERROR(__xludf.DUMMYFUNCTION("""COMPUTED_VALUE"""),-0.589671140606202)</f>
        <v>-0.58967114060620196</v>
      </c>
      <c r="HM23" s="3">
        <f ca="1">IFERROR(__xludf.DUMMYFUNCTION("""COMPUTED_VALUE"""),-0.592022682851234)</f>
        <v>-0.59202268285123405</v>
      </c>
      <c r="HN23" s="3">
        <f ca="1">IFERROR(__xludf.DUMMYFUNCTION("""COMPUTED_VALUE"""),-0.623897060474905)</f>
        <v>-0.62389706047490501</v>
      </c>
      <c r="HO23" s="3">
        <f ca="1">IFERROR(__xludf.DUMMYFUNCTION("""COMPUTED_VALUE"""),-0.623974037479067)</f>
        <v>-0.62397403747906699</v>
      </c>
      <c r="HP23" s="3">
        <f ca="1">IFERROR(__xludf.DUMMYFUNCTION("""COMPUTED_VALUE"""),-0.52590515632649)</f>
        <v>-0.52590515632649004</v>
      </c>
      <c r="HQ23" s="3">
        <f ca="1">IFERROR(__xludf.DUMMYFUNCTION("""COMPUTED_VALUE"""),-0.498290462844833)</f>
        <v>-0.49829046284483303</v>
      </c>
      <c r="HR23" s="3">
        <f ca="1">IFERROR(__xludf.DUMMYFUNCTION("""COMPUTED_VALUE"""),-0.516986730884847)</f>
        <v>-0.51698673088484703</v>
      </c>
      <c r="HS23" s="3">
        <f ca="1">IFERROR(__xludf.DUMMYFUNCTION("""COMPUTED_VALUE"""),-0.649534441548064)</f>
        <v>-0.64953444154806395</v>
      </c>
      <c r="HT23" s="3">
        <f ca="1">IFERROR(__xludf.DUMMYFUNCTION("""COMPUTED_VALUE"""),-0.602315269410503)</f>
        <v>-0.60231526941050295</v>
      </c>
      <c r="HU23" s="3">
        <f ca="1">IFERROR(__xludf.DUMMYFUNCTION("""COMPUTED_VALUE"""),-0.644226162084431)</f>
        <v>-0.64422616208443095</v>
      </c>
      <c r="HV23" s="3">
        <f ca="1">IFERROR(__xludf.DUMMYFUNCTION("""COMPUTED_VALUE"""),-0.590256358047754)</f>
        <v>-0.590256358047754</v>
      </c>
      <c r="HW23" s="3">
        <f ca="1">IFERROR(__xludf.DUMMYFUNCTION("""COMPUTED_VALUE"""),-0.498920520958875)</f>
        <v>-0.49892052095887501</v>
      </c>
      <c r="HX23" s="3">
        <f ca="1">IFERROR(__xludf.DUMMYFUNCTION("""COMPUTED_VALUE"""),-0.419088501418008)</f>
        <v>-0.41908850141800802</v>
      </c>
      <c r="HY23" s="3">
        <f ca="1">IFERROR(__xludf.DUMMYFUNCTION("""COMPUTED_VALUE"""),-0.501582312299573)</f>
        <v>-0.50158231229957295</v>
      </c>
      <c r="HZ23" s="3">
        <f ca="1">IFERROR(__xludf.DUMMYFUNCTION("""COMPUTED_VALUE"""),-0.585938595655547)</f>
        <v>-0.58593859565554696</v>
      </c>
      <c r="IA23" s="3">
        <f ca="1">IFERROR(__xludf.DUMMYFUNCTION("""COMPUTED_VALUE"""),-0.58315633815439)</f>
        <v>-0.58315633815439005</v>
      </c>
      <c r="IB23" s="3">
        <f ca="1">IFERROR(__xludf.DUMMYFUNCTION("""COMPUTED_VALUE"""),-0.59742946239914)</f>
        <v>-0.59742946239913997</v>
      </c>
      <c r="IC23" s="3">
        <f ca="1">IFERROR(__xludf.DUMMYFUNCTION("""COMPUTED_VALUE"""),-0.583467816482644)</f>
        <v>-0.58346781648264401</v>
      </c>
      <c r="ID23" s="3">
        <f ca="1">IFERROR(__xludf.DUMMYFUNCTION("""COMPUTED_VALUE"""),-0.585290596609183)</f>
        <v>-0.58529059660918303</v>
      </c>
      <c r="IE23" s="3">
        <f ca="1">IFERROR(__xludf.DUMMYFUNCTION("""COMPUTED_VALUE"""),-0.50164676051866)</f>
        <v>-0.50164676051865997</v>
      </c>
      <c r="IF23" s="3">
        <f ca="1">IFERROR(__xludf.DUMMYFUNCTION("""COMPUTED_VALUE"""),-0.532801412802429)</f>
        <v>-0.53280141280242899</v>
      </c>
      <c r="IG23" s="3">
        <f ca="1">IFERROR(__xludf.DUMMYFUNCTION("""COMPUTED_VALUE"""),-0.56781612072016)</f>
        <v>-0.56781612072015997</v>
      </c>
      <c r="IH23" s="3">
        <f ca="1">IFERROR(__xludf.DUMMYFUNCTION("""COMPUTED_VALUE"""),-0.559530461396223)</f>
        <v>-0.55953046139622298</v>
      </c>
      <c r="II23" s="3">
        <f ca="1">IFERROR(__xludf.DUMMYFUNCTION("""COMPUTED_VALUE"""),-0.597349101370353)</f>
        <v>-0.59734910137035302</v>
      </c>
      <c r="IJ23" s="3">
        <f ca="1">IFERROR(__xludf.DUMMYFUNCTION("""COMPUTED_VALUE"""),-0.578957986262349)</f>
        <v>-0.57895798626234896</v>
      </c>
      <c r="IK23" s="3">
        <f ca="1">IFERROR(__xludf.DUMMYFUNCTION("""COMPUTED_VALUE"""),-0.576506080227211)</f>
        <v>-0.57650608022721095</v>
      </c>
      <c r="IL23" s="3">
        <f ca="1">IFERROR(__xludf.DUMMYFUNCTION("""COMPUTED_VALUE"""),-0.538622610691226)</f>
        <v>-0.53862261069122597</v>
      </c>
      <c r="IM23" s="3">
        <f ca="1">IFERROR(__xludf.DUMMYFUNCTION("""COMPUTED_VALUE"""),-0.549806148710152)</f>
        <v>-0.54980614871015199</v>
      </c>
      <c r="IN23" s="3">
        <f ca="1">IFERROR(__xludf.DUMMYFUNCTION("""COMPUTED_VALUE"""),-0.604542765686947)</f>
        <v>-0.60454276568694698</v>
      </c>
      <c r="IO23" s="3">
        <f ca="1">IFERROR(__xludf.DUMMYFUNCTION("""COMPUTED_VALUE"""),-0.626247152642849)</f>
        <v>-0.62624715264284903</v>
      </c>
      <c r="IP23" s="3">
        <f ca="1">IFERROR(__xludf.DUMMYFUNCTION("""COMPUTED_VALUE"""),-0.586007039038682)</f>
        <v>-0.58600703903868201</v>
      </c>
      <c r="IQ23" s="3">
        <f ca="1">IFERROR(__xludf.DUMMYFUNCTION("""COMPUTED_VALUE"""),-0.623736664817635)</f>
        <v>-0.62373666481763501</v>
      </c>
      <c r="IR23" s="3">
        <f ca="1">IFERROR(__xludf.DUMMYFUNCTION("""COMPUTED_VALUE"""),-0.608935692847824)</f>
        <v>-0.60893569284782401</v>
      </c>
      <c r="IS23" s="3">
        <f ca="1">IFERROR(__xludf.DUMMYFUNCTION("""COMPUTED_VALUE"""),-0.649203426111111)</f>
        <v>-0.64920342611111104</v>
      </c>
      <c r="IT23" s="3">
        <f ca="1">IFERROR(__xludf.DUMMYFUNCTION("""COMPUTED_VALUE"""),-0.60780875928862)</f>
        <v>-0.60780875928861999</v>
      </c>
      <c r="IU23" s="3">
        <f ca="1">IFERROR(__xludf.DUMMYFUNCTION("""COMPUTED_VALUE"""),-0.59114207945937)</f>
        <v>-0.59114207945937003</v>
      </c>
      <c r="IV23" s="3">
        <f ca="1">IFERROR(__xludf.DUMMYFUNCTION("""COMPUTED_VALUE"""),-0.596663252139836)</f>
        <v>-0.59666325213983595</v>
      </c>
      <c r="IW23" s="3">
        <f ca="1">IFERROR(__xludf.DUMMYFUNCTION("""COMPUTED_VALUE"""),-0.617085756459818)</f>
        <v>-0.617085756459818</v>
      </c>
      <c r="IX23" s="3">
        <f ca="1">IFERROR(__xludf.DUMMYFUNCTION("""COMPUTED_VALUE"""),-0.602813975917048)</f>
        <v>-0.60281397591704799</v>
      </c>
      <c r="IY23" s="3">
        <f ca="1">IFERROR(__xludf.DUMMYFUNCTION("""COMPUTED_VALUE"""),-0.610366512893419)</f>
        <v>-0.61036651289341903</v>
      </c>
      <c r="IZ23" s="3">
        <f ca="1">IFERROR(__xludf.DUMMYFUNCTION("""COMPUTED_VALUE"""),-0.53207125452099)</f>
        <v>-0.53207125452099002</v>
      </c>
      <c r="JA23" s="3">
        <f ca="1">IFERROR(__xludf.DUMMYFUNCTION("""COMPUTED_VALUE"""),-0.555009571986396)</f>
        <v>-0.555009571986396</v>
      </c>
      <c r="JB23" s="3">
        <f ca="1">IFERROR(__xludf.DUMMYFUNCTION("""COMPUTED_VALUE"""),-0.566196201857459)</f>
        <v>-0.566196201857459</v>
      </c>
      <c r="JC23" s="3">
        <f ca="1">IFERROR(__xludf.DUMMYFUNCTION("""COMPUTED_VALUE"""),-0.611537551845528)</f>
        <v>-0.61153755184552805</v>
      </c>
      <c r="JD23" s="3">
        <f ca="1">IFERROR(__xludf.DUMMYFUNCTION("""COMPUTED_VALUE"""),-0.621013663785716)</f>
        <v>-0.62101366378571599</v>
      </c>
      <c r="JE23" s="3">
        <f ca="1">IFERROR(__xludf.DUMMYFUNCTION("""COMPUTED_VALUE"""),-0.610105908591047)</f>
        <v>-0.61010590859104696</v>
      </c>
      <c r="JF23" s="3">
        <f ca="1">IFERROR(__xludf.DUMMYFUNCTION("""COMPUTED_VALUE"""),-0.59144533256774)</f>
        <v>-0.59144533256774001</v>
      </c>
      <c r="JG23" s="3">
        <f ca="1">IFERROR(__xludf.DUMMYFUNCTION("""COMPUTED_VALUE"""),-0.618313483105415)</f>
        <v>-0.61831348310541501</v>
      </c>
      <c r="JH23" s="3">
        <f ca="1">IFERROR(__xludf.DUMMYFUNCTION("""COMPUTED_VALUE"""),-0.537634737668207)</f>
        <v>-0.53763473766820702</v>
      </c>
      <c r="JI23" s="3">
        <f ca="1">IFERROR(__xludf.DUMMYFUNCTION("""COMPUTED_VALUE"""),-0.562469217607329)</f>
        <v>-0.56246921760732904</v>
      </c>
      <c r="JJ23" s="3">
        <f ca="1">IFERROR(__xludf.DUMMYFUNCTION("""COMPUTED_VALUE"""),-0.658154930240695)</f>
        <v>-0.65815493024069505</v>
      </c>
      <c r="JK23" s="3">
        <f ca="1">IFERROR(__xludf.DUMMYFUNCTION("""COMPUTED_VALUE"""),-0.605771413690607)</f>
        <v>-0.60577141369060705</v>
      </c>
      <c r="JL23" s="3">
        <f ca="1">IFERROR(__xludf.DUMMYFUNCTION("""COMPUTED_VALUE"""),-0.548345732719723)</f>
        <v>-0.54834573271972298</v>
      </c>
      <c r="JM23" s="3">
        <f ca="1">IFERROR(__xludf.DUMMYFUNCTION("""COMPUTED_VALUE"""),-0.585781274623136)</f>
        <v>-0.58578127462313601</v>
      </c>
      <c r="JN23" s="3">
        <f ca="1">IFERROR(__xludf.DUMMYFUNCTION("""COMPUTED_VALUE"""),-0.500606296552927)</f>
        <v>-0.50060629655292699</v>
      </c>
      <c r="JO23" s="3">
        <f ca="1">IFERROR(__xludf.DUMMYFUNCTION("""COMPUTED_VALUE"""),-0.463134234837117)</f>
        <v>-0.46313423483711702</v>
      </c>
      <c r="JP23" s="3">
        <f ca="1">IFERROR(__xludf.DUMMYFUNCTION("""COMPUTED_VALUE"""),-0.56276441208689)</f>
        <v>-0.56276441208688999</v>
      </c>
      <c r="JQ23" s="3">
        <f ca="1">IFERROR(__xludf.DUMMYFUNCTION("""COMPUTED_VALUE"""),-0.563995536424628)</f>
        <v>-0.56399553642462796</v>
      </c>
      <c r="JR23" s="3">
        <f ca="1">IFERROR(__xludf.DUMMYFUNCTION("""COMPUTED_VALUE"""),-0.624716693722553)</f>
        <v>-0.62471669372255301</v>
      </c>
      <c r="JS23" s="3">
        <f ca="1">IFERROR(__xludf.DUMMYFUNCTION("""COMPUTED_VALUE"""),-0.6023045639611)</f>
        <v>-0.60230456396109999</v>
      </c>
      <c r="JT23" s="3">
        <f ca="1">IFERROR(__xludf.DUMMYFUNCTION("""COMPUTED_VALUE"""),-0.6056789866273)</f>
        <v>-0.60567898662730002</v>
      </c>
      <c r="JU23" s="3">
        <f ca="1">IFERROR(__xludf.DUMMYFUNCTION("""COMPUTED_VALUE"""),-0.571478857571657)</f>
        <v>-0.57147885757165695</v>
      </c>
      <c r="JV23" s="3">
        <f ca="1">IFERROR(__xludf.DUMMYFUNCTION("""COMPUTED_VALUE"""),-0.595040627622144)</f>
        <v>-0.59504062762214405</v>
      </c>
      <c r="JW23" s="3">
        <f ca="1">IFERROR(__xludf.DUMMYFUNCTION("""COMPUTED_VALUE"""),-0.569956147771443)</f>
        <v>-0.56995614777144299</v>
      </c>
      <c r="JX23" s="3">
        <f ca="1">IFERROR(__xludf.DUMMYFUNCTION("""COMPUTED_VALUE"""),-0.492374381380598)</f>
        <v>-0.49237438138059803</v>
      </c>
      <c r="JY23" s="3">
        <f ca="1">IFERROR(__xludf.DUMMYFUNCTION("""COMPUTED_VALUE"""),-0.536981387469527)</f>
        <v>-0.53698138746952695</v>
      </c>
      <c r="JZ23" s="3">
        <f ca="1">IFERROR(__xludf.DUMMYFUNCTION("""COMPUTED_VALUE"""),-0.538546275139355)</f>
        <v>-0.53854627513935505</v>
      </c>
      <c r="KA23" s="3">
        <f ca="1">IFERROR(__xludf.DUMMYFUNCTION("""COMPUTED_VALUE"""),-0.536775992070993)</f>
        <v>-0.53677599207099302</v>
      </c>
      <c r="KB23" s="3">
        <f ca="1">IFERROR(__xludf.DUMMYFUNCTION("""COMPUTED_VALUE"""),-0.427084351141486)</f>
        <v>-0.42708435114148602</v>
      </c>
      <c r="KC23" s="3">
        <f ca="1">IFERROR(__xludf.DUMMYFUNCTION("""COMPUTED_VALUE"""),-0.513214133074041)</f>
        <v>-0.51321413307404096</v>
      </c>
      <c r="KD23" s="3">
        <f ca="1">IFERROR(__xludf.DUMMYFUNCTION("""COMPUTED_VALUE"""),-0.472585760502138)</f>
        <v>-0.47258576050213802</v>
      </c>
      <c r="KE23" s="3">
        <f ca="1">IFERROR(__xludf.DUMMYFUNCTION("""COMPUTED_VALUE"""),-0.396075534799398)</f>
        <v>-0.396075534799398</v>
      </c>
      <c r="KF23" s="3">
        <f ca="1">IFERROR(__xludf.DUMMYFUNCTION("""COMPUTED_VALUE"""),-0.504222921770128)</f>
        <v>-0.50422292177012795</v>
      </c>
      <c r="KG23" s="3">
        <f ca="1">IFERROR(__xludf.DUMMYFUNCTION("""COMPUTED_VALUE"""),-0.568781109033475)</f>
        <v>-0.56878110903347501</v>
      </c>
      <c r="KH23" s="3">
        <f ca="1">IFERROR(__xludf.DUMMYFUNCTION("""COMPUTED_VALUE"""),-0.568824564772249)</f>
        <v>-0.56882456477224896</v>
      </c>
      <c r="KI23" s="3">
        <f ca="1">IFERROR(__xludf.DUMMYFUNCTION("""COMPUTED_VALUE"""),-0.470842119760498)</f>
        <v>-0.470842119760498</v>
      </c>
      <c r="KJ23" s="3">
        <f ca="1">IFERROR(__xludf.DUMMYFUNCTION("""COMPUTED_VALUE"""),-0.479341046024246)</f>
        <v>-0.47934104602424599</v>
      </c>
      <c r="KK23" s="3">
        <f ca="1">IFERROR(__xludf.DUMMYFUNCTION("""COMPUTED_VALUE"""),-0.506486330322406)</f>
        <v>-0.50648633032240598</v>
      </c>
      <c r="KL23" s="3">
        <f ca="1">IFERROR(__xludf.DUMMYFUNCTION("""COMPUTED_VALUE"""),-0.490680522304371)</f>
        <v>-0.49068052230437098</v>
      </c>
      <c r="KM23" s="3">
        <f ca="1">IFERROR(__xludf.DUMMYFUNCTION("""COMPUTED_VALUE"""),-0.564475064641148)</f>
        <v>-0.56447506464114805</v>
      </c>
      <c r="KN23" s="3">
        <f ca="1">IFERROR(__xludf.DUMMYFUNCTION("""COMPUTED_VALUE"""),-0.534501219526448)</f>
        <v>-0.53450121952644802</v>
      </c>
      <c r="KO23" s="3">
        <f ca="1">IFERROR(__xludf.DUMMYFUNCTION("""COMPUTED_VALUE"""),-0.491058031963078)</f>
        <v>-0.49105803196307801</v>
      </c>
      <c r="KP23" s="3">
        <f ca="1">IFERROR(__xludf.DUMMYFUNCTION("""COMPUTED_VALUE"""),-0.462685461980498)</f>
        <v>-0.46268546198049798</v>
      </c>
      <c r="KQ23" s="3">
        <f ca="1">IFERROR(__xludf.DUMMYFUNCTION("""COMPUTED_VALUE"""),-0.47429486340251)</f>
        <v>-0.47429486340250998</v>
      </c>
      <c r="KR23" s="3">
        <f ca="1">IFERROR(__xludf.DUMMYFUNCTION("""COMPUTED_VALUE"""),-0.524110724837527)</f>
        <v>-0.52411072483752696</v>
      </c>
      <c r="KS23" s="3">
        <f ca="1">IFERROR(__xludf.DUMMYFUNCTION("""COMPUTED_VALUE"""),-0.530247050340972)</f>
        <v>-0.53024705034097197</v>
      </c>
      <c r="KT23" s="3">
        <f ca="1">IFERROR(__xludf.DUMMYFUNCTION("""COMPUTED_VALUE"""),-0.629663925144041)</f>
        <v>-0.62966392514404101</v>
      </c>
      <c r="KU23" s="3">
        <f ca="1">IFERROR(__xludf.DUMMYFUNCTION("""COMPUTED_VALUE"""),-0.550160619286095)</f>
        <v>-0.55016061928609505</v>
      </c>
      <c r="KV23" s="3">
        <f ca="1">IFERROR(__xludf.DUMMYFUNCTION("""COMPUTED_VALUE"""),-0.493208560148138)</f>
        <v>-0.49320856014813802</v>
      </c>
      <c r="KW23" s="3">
        <f ca="1">IFERROR(__xludf.DUMMYFUNCTION("""COMPUTED_VALUE"""),-0.441915205637686)</f>
        <v>-0.44191520563768599</v>
      </c>
      <c r="KX23" s="3">
        <f ca="1">IFERROR(__xludf.DUMMYFUNCTION("""COMPUTED_VALUE"""),-0.486663127869791)</f>
        <v>-0.48666312786979099</v>
      </c>
      <c r="KY23" s="3">
        <f ca="1">IFERROR(__xludf.DUMMYFUNCTION("""COMPUTED_VALUE"""),-0.592959340166285)</f>
        <v>-0.59295934016628504</v>
      </c>
      <c r="KZ23" s="3">
        <f ca="1">IFERROR(__xludf.DUMMYFUNCTION("""COMPUTED_VALUE"""),-0.603598215707635)</f>
        <v>-0.60359821570763506</v>
      </c>
      <c r="LA23" s="3">
        <f ca="1">IFERROR(__xludf.DUMMYFUNCTION("""COMPUTED_VALUE"""),-0.608062074426685)</f>
        <v>-0.60806207442668503</v>
      </c>
      <c r="LB23" s="3">
        <f ca="1">IFERROR(__xludf.DUMMYFUNCTION("""COMPUTED_VALUE"""),-0.663930389125438)</f>
        <v>-0.663930389125438</v>
      </c>
      <c r="LC23" s="3">
        <f ca="1">IFERROR(__xludf.DUMMYFUNCTION("""COMPUTED_VALUE"""),-0.580908723294598)</f>
        <v>-0.58090872329459797</v>
      </c>
      <c r="LD23" s="3">
        <f ca="1">IFERROR(__xludf.DUMMYFUNCTION("""COMPUTED_VALUE"""),-0.579694194572794)</f>
        <v>-0.57969419457279403</v>
      </c>
      <c r="LE23" s="3">
        <f ca="1">IFERROR(__xludf.DUMMYFUNCTION("""COMPUTED_VALUE"""),-0.524632191682942)</f>
        <v>-0.52463219168294195</v>
      </c>
      <c r="LF23" s="3">
        <f ca="1">IFERROR(__xludf.DUMMYFUNCTION("""COMPUTED_VALUE"""),-0.688098612412947)</f>
        <v>-0.68809861241294701</v>
      </c>
      <c r="LG23" s="3">
        <f ca="1">IFERROR(__xludf.DUMMYFUNCTION("""COMPUTED_VALUE"""),-0.652206711395851)</f>
        <v>-0.65220671139585096</v>
      </c>
      <c r="LH23" s="3">
        <f ca="1">IFERROR(__xludf.DUMMYFUNCTION("""COMPUTED_VALUE"""),-0.607167782734313)</f>
        <v>-0.60716778273431304</v>
      </c>
      <c r="LI23" s="3">
        <f ca="1">IFERROR(__xludf.DUMMYFUNCTION("""COMPUTED_VALUE"""),-0.66340873614299)</f>
        <v>-0.66340873614299001</v>
      </c>
      <c r="LJ23" s="3">
        <f ca="1">IFERROR(__xludf.DUMMYFUNCTION("""COMPUTED_VALUE"""),-0.631636385482065)</f>
        <v>-0.63163638548206502</v>
      </c>
      <c r="LK23" s="3">
        <f ca="1">IFERROR(__xludf.DUMMYFUNCTION("""COMPUTED_VALUE"""),-0.515391966976552)</f>
        <v>-0.51539196697655199</v>
      </c>
      <c r="LL23" s="3">
        <f ca="1">IFERROR(__xludf.DUMMYFUNCTION("""COMPUTED_VALUE"""),-0.552675243680334)</f>
        <v>-0.55267524368033405</v>
      </c>
      <c r="LM23" s="3">
        <f ca="1">IFERROR(__xludf.DUMMYFUNCTION("""COMPUTED_VALUE"""),-0.686502221539296)</f>
        <v>-0.68650222153929596</v>
      </c>
      <c r="LN23" s="3">
        <f ca="1">IFERROR(__xludf.DUMMYFUNCTION("""COMPUTED_VALUE"""),-0.666926198270213)</f>
        <v>-0.66692619827021304</v>
      </c>
      <c r="LO23" s="3">
        <f ca="1">IFERROR(__xludf.DUMMYFUNCTION("""COMPUTED_VALUE"""),-0.658916973902219)</f>
        <v>-0.65891697390221904</v>
      </c>
      <c r="LP23" s="3">
        <f ca="1">IFERROR(__xludf.DUMMYFUNCTION("""COMPUTED_VALUE"""),-0.714111050146551)</f>
        <v>-0.71411105014655096</v>
      </c>
      <c r="LQ23" s="3">
        <f ca="1">IFERROR(__xludf.DUMMYFUNCTION("""COMPUTED_VALUE"""),-0.728067132804301)</f>
        <v>-0.72806713280430102</v>
      </c>
      <c r="LR23" s="3">
        <f ca="1">IFERROR(__xludf.DUMMYFUNCTION("""COMPUTED_VALUE"""),-0.658689924341823)</f>
        <v>-0.65868992434182305</v>
      </c>
      <c r="LS23" s="3">
        <f ca="1">IFERROR(__xludf.DUMMYFUNCTION("""COMPUTED_VALUE"""),-0.549113174717549)</f>
        <v>-0.54911317471754895</v>
      </c>
      <c r="LT23" s="3">
        <f ca="1">IFERROR(__xludf.DUMMYFUNCTION("""COMPUTED_VALUE"""),-0.719255788625104)</f>
        <v>-0.71925578862510398</v>
      </c>
      <c r="LU23" s="3">
        <f ca="1">IFERROR(__xludf.DUMMYFUNCTION("""COMPUTED_VALUE"""),-0.729322000798649)</f>
        <v>-0.72932200079864895</v>
      </c>
      <c r="LV23" s="3">
        <f ca="1">IFERROR(__xludf.DUMMYFUNCTION("""COMPUTED_VALUE"""),-0.719520721605793)</f>
        <v>-0.71952072160579295</v>
      </c>
      <c r="LW23" s="3">
        <f ca="1">IFERROR(__xludf.DUMMYFUNCTION("""COMPUTED_VALUE"""),-0.716524812173933)</f>
        <v>-0.71652481217393305</v>
      </c>
      <c r="LX23" s="3">
        <f ca="1">IFERROR(__xludf.DUMMYFUNCTION("""COMPUTED_VALUE"""),-0.725208395670033)</f>
        <v>-0.72520839567003303</v>
      </c>
      <c r="LY23" s="3">
        <f ca="1">IFERROR(__xludf.DUMMYFUNCTION("""COMPUTED_VALUE"""),-0.650570018378547)</f>
        <v>-0.650570018378547</v>
      </c>
      <c r="LZ23" s="3">
        <f ca="1">IFERROR(__xludf.DUMMYFUNCTION("""COMPUTED_VALUE"""),-0.699150830479843)</f>
        <v>-0.69915083047984306</v>
      </c>
      <c r="MA23" s="3">
        <f ca="1">IFERROR(__xludf.DUMMYFUNCTION("""COMPUTED_VALUE"""),-0.706001054233436)</f>
        <v>-0.70600105423343595</v>
      </c>
      <c r="MB23" s="3">
        <f ca="1">IFERROR(__xludf.DUMMYFUNCTION("""COMPUTED_VALUE"""),-0.665092968507019)</f>
        <v>-0.66509296850701904</v>
      </c>
      <c r="MC23" s="3">
        <f ca="1">IFERROR(__xludf.DUMMYFUNCTION("""COMPUTED_VALUE"""),-0.712178324790837)</f>
        <v>-0.71217832479083698</v>
      </c>
      <c r="MD23" s="3">
        <f ca="1">IFERROR(__xludf.DUMMYFUNCTION("""COMPUTED_VALUE"""),-0.680238704998497)</f>
        <v>-0.68023870499849703</v>
      </c>
      <c r="ME23" s="3">
        <f ca="1">IFERROR(__xludf.DUMMYFUNCTION("""COMPUTED_VALUE"""),-0.683978487198401)</f>
        <v>-0.68397848719840104</v>
      </c>
      <c r="MF23" s="3">
        <f ca="1">IFERROR(__xludf.DUMMYFUNCTION("""COMPUTED_VALUE"""),-0.43025537664373)</f>
        <v>-0.43025537664372998</v>
      </c>
      <c r="MG23" s="3">
        <f ca="1">IFERROR(__xludf.DUMMYFUNCTION("""COMPUTED_VALUE"""),-0.571101016093909)</f>
        <v>-0.57110101609390895</v>
      </c>
      <c r="MH23" s="3">
        <f ca="1">IFERROR(__xludf.DUMMYFUNCTION("""COMPUTED_VALUE"""),-0.687673131898485)</f>
        <v>-0.687673131898485</v>
      </c>
      <c r="MI23" s="3">
        <f ca="1">IFERROR(__xludf.DUMMYFUNCTION("""COMPUTED_VALUE"""),-0.731937391304672)</f>
        <v>-0.73193739130467195</v>
      </c>
      <c r="MJ23" s="3">
        <f ca="1">IFERROR(__xludf.DUMMYFUNCTION("""COMPUTED_VALUE"""),-0.755469256457163)</f>
        <v>-0.75546925645716301</v>
      </c>
      <c r="MK23" s="3">
        <f ca="1">IFERROR(__xludf.DUMMYFUNCTION("""COMPUTED_VALUE"""),-0.691506670845734)</f>
        <v>-0.69150667084573403</v>
      </c>
      <c r="ML23" s="3">
        <f ca="1">IFERROR(__xludf.DUMMYFUNCTION("""COMPUTED_VALUE"""),-0.709786516744055)</f>
        <v>-0.70978651674405502</v>
      </c>
      <c r="MM23" s="3">
        <f ca="1">IFERROR(__xludf.DUMMYFUNCTION("""COMPUTED_VALUE"""),-0.666296915540567)</f>
        <v>-0.66629691554056703</v>
      </c>
      <c r="MN23" s="3">
        <f ca="1">IFERROR(__xludf.DUMMYFUNCTION("""COMPUTED_VALUE"""),-0.643566123073455)</f>
        <v>-0.64356612307345495</v>
      </c>
      <c r="MO23" s="3">
        <f ca="1">IFERROR(__xludf.DUMMYFUNCTION("""COMPUTED_VALUE"""),-0.733344393839044)</f>
        <v>-0.73334439383904404</v>
      </c>
      <c r="MP23" s="3">
        <f ca="1">IFERROR(__xludf.DUMMYFUNCTION("""COMPUTED_VALUE"""),-0.773431235814267)</f>
        <v>-0.77343123581426698</v>
      </c>
      <c r="MQ23" s="3">
        <f ca="1">IFERROR(__xludf.DUMMYFUNCTION("""COMPUTED_VALUE"""),-0.750896220787118)</f>
        <v>-0.75089622078711804</v>
      </c>
      <c r="MR23" s="3">
        <f ca="1">IFERROR(__xludf.DUMMYFUNCTION("""COMPUTED_VALUE"""),-0.739298289776424)</f>
        <v>-0.73929828977642398</v>
      </c>
      <c r="MS23" s="3">
        <f ca="1">IFERROR(__xludf.DUMMYFUNCTION("""COMPUTED_VALUE"""),-0.643314286743619)</f>
        <v>-0.64331428674361901</v>
      </c>
      <c r="MT23" s="3">
        <f ca="1">IFERROR(__xludf.DUMMYFUNCTION("""COMPUTED_VALUE"""),-0.643834311229085)</f>
        <v>-0.64383431122908497</v>
      </c>
      <c r="MU23" s="3">
        <f ca="1">IFERROR(__xludf.DUMMYFUNCTION("""COMPUTED_VALUE"""),-0.685428394215511)</f>
        <v>-0.68542839421551105</v>
      </c>
      <c r="MV23" s="3">
        <f ca="1">IFERROR(__xludf.DUMMYFUNCTION("""COMPUTED_VALUE"""),-0.745997067087578)</f>
        <v>-0.74599706708757796</v>
      </c>
      <c r="MW23" s="3">
        <f ca="1">IFERROR(__xludf.DUMMYFUNCTION("""COMPUTED_VALUE"""),-0.747510639790962)</f>
        <v>-0.74751063979096199</v>
      </c>
      <c r="MX23" s="3">
        <f ca="1">IFERROR(__xludf.DUMMYFUNCTION("""COMPUTED_VALUE"""),-0.74555250935793)</f>
        <v>-0.74555250935793005</v>
      </c>
      <c r="MY23" s="3">
        <f ca="1">IFERROR(__xludf.DUMMYFUNCTION("""COMPUTED_VALUE"""),-0.710608534933455)</f>
        <v>-0.71060853493345499</v>
      </c>
      <c r="MZ23" s="3">
        <f ca="1">IFERROR(__xludf.DUMMYFUNCTION("""COMPUTED_VALUE"""),-0.701600542543422)</f>
        <v>-0.70160054254342197</v>
      </c>
      <c r="NA23" s="3">
        <f ca="1">IFERROR(__xludf.DUMMYFUNCTION("""COMPUTED_VALUE"""),-0.652657978670791)</f>
        <v>-0.65265797867079101</v>
      </c>
      <c r="NB23" s="3">
        <f ca="1">IFERROR(__xludf.DUMMYFUNCTION("""COMPUTED_VALUE"""),-0.612154674828117)</f>
        <v>-0.61215467482811703</v>
      </c>
      <c r="NC23" s="3">
        <f ca="1">IFERROR(__xludf.DUMMYFUNCTION("""COMPUTED_VALUE"""),-0.697332371136951)</f>
        <v>-0.69733237113695101</v>
      </c>
      <c r="ND23" s="3">
        <f ca="1">IFERROR(__xludf.DUMMYFUNCTION("""COMPUTED_VALUE"""),-0.686792264715202)</f>
        <v>-0.68679226471520205</v>
      </c>
      <c r="NE23" s="3">
        <f ca="1">IFERROR(__xludf.DUMMYFUNCTION("""COMPUTED_VALUE"""),-0.611289631030865)</f>
        <v>-0.61128963103086498</v>
      </c>
      <c r="NF23" s="3">
        <f ca="1">IFERROR(__xludf.DUMMYFUNCTION("""COMPUTED_VALUE"""),-0.600352472978441)</f>
        <v>-0.60035247297844097</v>
      </c>
      <c r="NG23" s="3">
        <f ca="1">IFERROR(__xludf.DUMMYFUNCTION("""COMPUTED_VALUE"""),-0.580811185189567)</f>
        <v>-0.58081118518956698</v>
      </c>
      <c r="NH23" s="3">
        <f ca="1">IFERROR(__xludf.DUMMYFUNCTION("""COMPUTED_VALUE"""),-0.446120388986423)</f>
        <v>-0.44612038898642298</v>
      </c>
      <c r="NI23" s="3">
        <f ca="1">IFERROR(__xludf.DUMMYFUNCTION("""COMPUTED_VALUE"""),-0.585688803820134)</f>
        <v>-0.585688803820134</v>
      </c>
      <c r="NJ23" s="3">
        <f ca="1">IFERROR(__xludf.DUMMYFUNCTION("""COMPUTED_VALUE"""),-0.56516742969504)</f>
        <v>-0.56516742969503997</v>
      </c>
      <c r="NK23" s="3">
        <f ca="1">IFERROR(__xludf.DUMMYFUNCTION("""COMPUTED_VALUE"""),-0.583030870915186)</f>
        <v>-0.58303087091518602</v>
      </c>
      <c r="NL23" s="3">
        <f ca="1">IFERROR(__xludf.DUMMYFUNCTION("""COMPUTED_VALUE"""),-0.618403569046436)</f>
        <v>-0.61840356904643601</v>
      </c>
      <c r="NM23" s="3">
        <f ca="1">IFERROR(__xludf.DUMMYFUNCTION("""COMPUTED_VALUE"""),-0.605439875886552)</f>
        <v>-0.60543987588655201</v>
      </c>
      <c r="NN23" s="3">
        <f ca="1">IFERROR(__xludf.DUMMYFUNCTION("""COMPUTED_VALUE"""),-0.554852081434497)</f>
        <v>-0.55485208143449705</v>
      </c>
      <c r="NO23" s="3">
        <f ca="1">IFERROR(__xludf.DUMMYFUNCTION("""COMPUTED_VALUE"""),-0.543303765407988)</f>
        <v>-0.54330376540798797</v>
      </c>
      <c r="NP23" s="3">
        <f ca="1">IFERROR(__xludf.DUMMYFUNCTION("""COMPUTED_VALUE"""),-0.585477770255878)</f>
        <v>-0.58547777025587799</v>
      </c>
      <c r="NQ23" s="3">
        <f ca="1">IFERROR(__xludf.DUMMYFUNCTION("""COMPUTED_VALUE"""),-0.595533119806108)</f>
        <v>-0.59553311980610801</v>
      </c>
      <c r="NR23" s="3">
        <f ca="1">IFERROR(__xludf.DUMMYFUNCTION("""COMPUTED_VALUE"""),-0.613788605877344)</f>
        <v>-0.61378860587734396</v>
      </c>
      <c r="NS23" s="3">
        <f ca="1">IFERROR(__xludf.DUMMYFUNCTION("""COMPUTED_VALUE"""),-0.55338090607288)</f>
        <v>-0.55338090607288004</v>
      </c>
      <c r="NT23" s="3">
        <f ca="1">IFERROR(__xludf.DUMMYFUNCTION("""COMPUTED_VALUE"""),-0.616288611947644)</f>
        <v>-0.61628861194764395</v>
      </c>
      <c r="NU23" s="3">
        <f ca="1">IFERROR(__xludf.DUMMYFUNCTION("""COMPUTED_VALUE"""),-0.503945785787209)</f>
        <v>-0.50394578578720906</v>
      </c>
      <c r="NV23" s="3">
        <f ca="1">IFERROR(__xludf.DUMMYFUNCTION("""COMPUTED_VALUE"""),-0.432537171086448)</f>
        <v>-0.43253717108644801</v>
      </c>
      <c r="NW23" s="3">
        <f ca="1">IFERROR(__xludf.DUMMYFUNCTION("""COMPUTED_VALUE"""),-0.416071985434365)</f>
        <v>-0.41607198543436502</v>
      </c>
      <c r="NX23" s="3">
        <f ca="1">IFERROR(__xludf.DUMMYFUNCTION("""COMPUTED_VALUE"""),-0.509955216288331)</f>
        <v>-0.50995521628833096</v>
      </c>
      <c r="NY23" s="3">
        <f ca="1">IFERROR(__xludf.DUMMYFUNCTION("""COMPUTED_VALUE"""),-0.489475160400181)</f>
        <v>-0.48947516040018102</v>
      </c>
      <c r="NZ23" s="3">
        <f ca="1">IFERROR(__xludf.DUMMYFUNCTION("""COMPUTED_VALUE"""),-0.553169810902513)</f>
        <v>-0.55316981090251305</v>
      </c>
      <c r="OA23" s="3">
        <f ca="1">IFERROR(__xludf.DUMMYFUNCTION("""COMPUTED_VALUE"""),-0.606554672089882)</f>
        <v>-0.60655467208988201</v>
      </c>
      <c r="OB23" s="3">
        <f ca="1">IFERROR(__xludf.DUMMYFUNCTION("""COMPUTED_VALUE"""),-0.327273830413002)</f>
        <v>-0.32727383041300201</v>
      </c>
      <c r="OC23" s="3">
        <f ca="1">IFERROR(__xludf.DUMMYFUNCTION("""COMPUTED_VALUE"""),-0.136743589222911)</f>
        <v>-0.13674358922291099</v>
      </c>
      <c r="OD23" s="3">
        <f ca="1">IFERROR(__xludf.DUMMYFUNCTION("""COMPUTED_VALUE"""),-0.123277580873744)</f>
        <v>-0.12327758087374401</v>
      </c>
      <c r="OE23" s="3">
        <f ca="1">IFERROR(__xludf.DUMMYFUNCTION("""COMPUTED_VALUE"""),-0.137108065669221)</f>
        <v>-0.13710806566922101</v>
      </c>
      <c r="OF23" s="3">
        <f ca="1">IFERROR(__xludf.DUMMYFUNCTION("""COMPUTED_VALUE"""),-0.0744393277015441)</f>
        <v>-7.44393277015441E-2</v>
      </c>
      <c r="OG23" s="3">
        <f ca="1">IFERROR(__xludf.DUMMYFUNCTION("""COMPUTED_VALUE"""),-0.0524942124021686)</f>
        <v>-5.2494212402168602E-2</v>
      </c>
      <c r="OH23" s="3">
        <f ca="1">IFERROR(__xludf.DUMMYFUNCTION("""COMPUTED_VALUE"""),-0.104140505632521)</f>
        <v>-0.104140505632521</v>
      </c>
      <c r="OI23" s="3">
        <f ca="1">IFERROR(__xludf.DUMMYFUNCTION("""COMPUTED_VALUE"""),-0.00674052668327929)</f>
        <v>-6.7405266832792901E-3</v>
      </c>
      <c r="OJ23" s="3">
        <f ca="1">IFERROR(__xludf.DUMMYFUNCTION("""COMPUTED_VALUE"""),-0.00139191169690922)</f>
        <v>-1.39191169690922E-3</v>
      </c>
      <c r="OK23" s="3">
        <f ca="1">IFERROR(__xludf.DUMMYFUNCTION("""COMPUTED_VALUE"""),0.090554809311987)</f>
        <v>9.0554809311987006E-2</v>
      </c>
      <c r="OL23" s="3">
        <f ca="1">IFERROR(__xludf.DUMMYFUNCTION("""COMPUTED_VALUE"""),-0.0335220477101831)</f>
        <v>-3.3522047710183099E-2</v>
      </c>
      <c r="OM23" s="3">
        <f ca="1">IFERROR(__xludf.DUMMYFUNCTION("""COMPUTED_VALUE"""),0.0620886627529881)</f>
        <v>6.2088662752988098E-2</v>
      </c>
      <c r="ON23" s="3">
        <f ca="1">IFERROR(__xludf.DUMMYFUNCTION("""COMPUTED_VALUE"""),0.0874522092031986)</f>
        <v>8.74522092031986E-2</v>
      </c>
      <c r="OO23" s="3">
        <f ca="1">IFERROR(__xludf.DUMMYFUNCTION("""COMPUTED_VALUE"""),0.0874241477331418)</f>
        <v>8.7424147733141805E-2</v>
      </c>
      <c r="OP23" s="3">
        <f ca="1">IFERROR(__xludf.DUMMYFUNCTION("""COMPUTED_VALUE"""),0.0522839609790359)</f>
        <v>5.2283960979035898E-2</v>
      </c>
      <c r="OQ23" s="3">
        <f ca="1">IFERROR(__xludf.DUMMYFUNCTION("""COMPUTED_VALUE"""),0.10961070422315)</f>
        <v>0.10961070422315</v>
      </c>
      <c r="OR23" s="3">
        <f ca="1">IFERROR(__xludf.DUMMYFUNCTION("""COMPUTED_VALUE"""),-0.0084492365840495)</f>
        <v>-8.4492365840495003E-3</v>
      </c>
      <c r="OS23" s="3">
        <f ca="1">IFERROR(__xludf.DUMMYFUNCTION("""COMPUTED_VALUE"""),-0.00642433981713697)</f>
        <v>-6.4243398171369703E-3</v>
      </c>
      <c r="OT23" s="3">
        <f ca="1">IFERROR(__xludf.DUMMYFUNCTION("""COMPUTED_VALUE"""),-0.142704327873065)</f>
        <v>-0.142704327873065</v>
      </c>
      <c r="OU23" s="3">
        <f ca="1">IFERROR(__xludf.DUMMYFUNCTION("""COMPUTED_VALUE"""),-0.113034304142548)</f>
        <v>-0.113034304142548</v>
      </c>
      <c r="OV23" s="3">
        <f ca="1">IFERROR(__xludf.DUMMYFUNCTION("""COMPUTED_VALUE"""),-0.00858896581261359)</f>
        <v>-8.5889658126135898E-3</v>
      </c>
      <c r="OW23" s="3">
        <f ca="1">IFERROR(__xludf.DUMMYFUNCTION("""COMPUTED_VALUE"""),0.0806070568817785)</f>
        <v>8.0607056881778494E-2</v>
      </c>
      <c r="OX23" s="3">
        <f ca="1">IFERROR(__xludf.DUMMYFUNCTION("""COMPUTED_VALUE"""),0.200973793958143)</f>
        <v>0.20097379395814299</v>
      </c>
      <c r="OY23" s="3">
        <f ca="1">IFERROR(__xludf.DUMMYFUNCTION("""COMPUTED_VALUE"""),0.0680778621828817)</f>
        <v>6.8077862182881699E-2</v>
      </c>
      <c r="OZ23" s="3">
        <f ca="1">IFERROR(__xludf.DUMMYFUNCTION("""COMPUTED_VALUE"""),-0.0586995751666242)</f>
        <v>-5.8699575166624197E-2</v>
      </c>
      <c r="PA23" s="3">
        <f ca="1">IFERROR(__xludf.DUMMYFUNCTION("""COMPUTED_VALUE"""),-0.0507363758705267)</f>
        <v>-5.07363758705267E-2</v>
      </c>
      <c r="PB23" s="3">
        <f ca="1">IFERROR(__xludf.DUMMYFUNCTION("""COMPUTED_VALUE"""),-0.0167754160495359)</f>
        <v>-1.6775416049535901E-2</v>
      </c>
      <c r="PC23" s="3">
        <f ca="1">IFERROR(__xludf.DUMMYFUNCTION("""COMPUTED_VALUE"""),0.100569094042594)</f>
        <v>0.100569094042594</v>
      </c>
      <c r="PD23" s="3">
        <f ca="1">IFERROR(__xludf.DUMMYFUNCTION("""COMPUTED_VALUE"""),0.00966154273326624)</f>
        <v>9.6615427332662398E-3</v>
      </c>
      <c r="PE23" s="3">
        <f ca="1">IFERROR(__xludf.DUMMYFUNCTION("""COMPUTED_VALUE"""),0.0618121148144328)</f>
        <v>6.18121148144328E-2</v>
      </c>
      <c r="PF23" s="3">
        <f ca="1">IFERROR(__xludf.DUMMYFUNCTION("""COMPUTED_VALUE"""),0.00111758941263206)</f>
        <v>1.11758941263206E-3</v>
      </c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</row>
    <row r="24" spans="1:594" ht="15.75" customHeight="1">
      <c r="A24" s="1" t="str">
        <f ca="1">IFERROR(__xludf.DUMMYFUNCTION("""COMPUTED_VALUE"""),"Edmonton")</f>
        <v>Edmonton</v>
      </c>
      <c r="B24" s="3">
        <f ca="1">IFERROR(__xludf.DUMMYFUNCTION("""COMPUTED_VALUE"""),-0.604910313629974)</f>
        <v>-0.60491031362997405</v>
      </c>
      <c r="C24" s="3">
        <f ca="1">IFERROR(__xludf.DUMMYFUNCTION("""COMPUTED_VALUE"""),-0.57881415649935)</f>
        <v>-0.57881415649934997</v>
      </c>
      <c r="D24" s="3">
        <f ca="1">IFERROR(__xludf.DUMMYFUNCTION("""COMPUTED_VALUE"""),-0.640683601147493)</f>
        <v>-0.64068360114749301</v>
      </c>
      <c r="E24" s="3">
        <f ca="1">IFERROR(__xludf.DUMMYFUNCTION("""COMPUTED_VALUE"""),-0.646785816285884)</f>
        <v>-0.64678581628588405</v>
      </c>
      <c r="F24" s="3">
        <f ca="1">IFERROR(__xludf.DUMMYFUNCTION("""COMPUTED_VALUE"""),-0.684644412327386)</f>
        <v>-0.68464441232738604</v>
      </c>
      <c r="G24" s="3">
        <f ca="1">IFERROR(__xludf.DUMMYFUNCTION("""COMPUTED_VALUE"""),-0.710137048703208)</f>
        <v>-0.71013704870320804</v>
      </c>
      <c r="H24" s="3">
        <f ca="1">IFERROR(__xludf.DUMMYFUNCTION("""COMPUTED_VALUE"""),-0.600697328204604)</f>
        <v>-0.60069732820460398</v>
      </c>
      <c r="I24" s="3">
        <f ca="1">IFERROR(__xludf.DUMMYFUNCTION("""COMPUTED_VALUE"""),-0.635398743866251)</f>
        <v>-0.63539874386625095</v>
      </c>
      <c r="J24" s="3">
        <f ca="1">IFERROR(__xludf.DUMMYFUNCTION("""COMPUTED_VALUE"""),-0.743892331305042)</f>
        <v>-0.74389233130504195</v>
      </c>
      <c r="K24" s="3">
        <f ca="1">IFERROR(__xludf.DUMMYFUNCTION("""COMPUTED_VALUE"""),-0.686255386864806)</f>
        <v>-0.68625538686480603</v>
      </c>
      <c r="L24" s="3">
        <f ca="1">IFERROR(__xludf.DUMMYFUNCTION("""COMPUTED_VALUE"""),-0.68887879659774)</f>
        <v>-0.68887879659773998</v>
      </c>
      <c r="M24" s="3">
        <f ca="1">IFERROR(__xludf.DUMMYFUNCTION("""COMPUTED_VALUE"""),-0.698105744752141)</f>
        <v>-0.69810574475214104</v>
      </c>
      <c r="N24" s="3">
        <f ca="1">IFERROR(__xludf.DUMMYFUNCTION("""COMPUTED_VALUE"""),-0.725602483860137)</f>
        <v>-0.72560248386013704</v>
      </c>
      <c r="O24" s="3">
        <f ca="1">IFERROR(__xludf.DUMMYFUNCTION("""COMPUTED_VALUE"""),-0.570475622112321)</f>
        <v>-0.57047562211232095</v>
      </c>
      <c r="P24" s="3">
        <f ca="1">IFERROR(__xludf.DUMMYFUNCTION("""COMPUTED_VALUE"""),-0.603126962493012)</f>
        <v>-0.60312696249301201</v>
      </c>
      <c r="Q24" s="3">
        <f ca="1">IFERROR(__xludf.DUMMYFUNCTION("""COMPUTED_VALUE"""),-0.629237668617756)</f>
        <v>-0.62923766861775599</v>
      </c>
      <c r="R24" s="3">
        <f ca="1">IFERROR(__xludf.DUMMYFUNCTION("""COMPUTED_VALUE"""),-0.624702811281176)</f>
        <v>-0.624702811281176</v>
      </c>
      <c r="S24" s="3">
        <f ca="1">IFERROR(__xludf.DUMMYFUNCTION("""COMPUTED_VALUE"""),-0.624355297811718)</f>
        <v>-0.62435529781171795</v>
      </c>
      <c r="T24" s="3">
        <f ca="1">IFERROR(__xludf.DUMMYFUNCTION("""COMPUTED_VALUE"""),-0.63414294044671)</f>
        <v>-0.63414294044671005</v>
      </c>
      <c r="U24" s="3">
        <f ca="1">IFERROR(__xludf.DUMMYFUNCTION("""COMPUTED_VALUE"""),-0.625699967655278)</f>
        <v>-0.62569996765527802</v>
      </c>
      <c r="V24" s="3">
        <f ca="1">IFERROR(__xludf.DUMMYFUNCTION("""COMPUTED_VALUE"""),-0.568320219206141)</f>
        <v>-0.56832021920614095</v>
      </c>
      <c r="W24" s="3">
        <f ca="1">IFERROR(__xludf.DUMMYFUNCTION("""COMPUTED_VALUE"""),-0.580829822753045)</f>
        <v>-0.58082982275304496</v>
      </c>
      <c r="X24" s="3">
        <f ca="1">IFERROR(__xludf.DUMMYFUNCTION("""COMPUTED_VALUE"""),-0.603063350748253)</f>
        <v>-0.60306335074825301</v>
      </c>
      <c r="Y24" s="3">
        <f ca="1">IFERROR(__xludf.DUMMYFUNCTION("""COMPUTED_VALUE"""),-0.656990770088382)</f>
        <v>-0.65699077008838203</v>
      </c>
      <c r="Z24" s="3">
        <f ca="1">IFERROR(__xludf.DUMMYFUNCTION("""COMPUTED_VALUE"""),-0.654378907651929)</f>
        <v>-0.65437890765192896</v>
      </c>
      <c r="AA24" s="3">
        <f ca="1">IFERROR(__xludf.DUMMYFUNCTION("""COMPUTED_VALUE"""),-0.651674049617585)</f>
        <v>-0.65167404961758502</v>
      </c>
      <c r="AB24" s="3">
        <f ca="1">IFERROR(__xludf.DUMMYFUNCTION("""COMPUTED_VALUE"""),-0.636795756412236)</f>
        <v>-0.63679575641223596</v>
      </c>
      <c r="AC24" s="3">
        <f ca="1">IFERROR(__xludf.DUMMYFUNCTION("""COMPUTED_VALUE"""),-0.596559641779446)</f>
        <v>-0.59655964177944598</v>
      </c>
      <c r="AD24" s="3">
        <f ca="1">IFERROR(__xludf.DUMMYFUNCTION("""COMPUTED_VALUE"""),-0.605073670941105)</f>
        <v>-0.60507367094110498</v>
      </c>
      <c r="AE24" s="3">
        <f ca="1">IFERROR(__xludf.DUMMYFUNCTION("""COMPUTED_VALUE"""),-0.698714531217521)</f>
        <v>-0.69871453121752103</v>
      </c>
      <c r="AF24" s="3">
        <f ca="1">IFERROR(__xludf.DUMMYFUNCTION("""COMPUTED_VALUE"""),-0.672538914418641)</f>
        <v>-0.672538914418641</v>
      </c>
      <c r="AG24" s="3">
        <f ca="1">IFERROR(__xludf.DUMMYFUNCTION("""COMPUTED_VALUE"""),-0.67531474320941)</f>
        <v>-0.67531474320940998</v>
      </c>
      <c r="AH24" s="3">
        <f ca="1">IFERROR(__xludf.DUMMYFUNCTION("""COMPUTED_VALUE"""),-0.69396121446086)</f>
        <v>-0.69396121446086001</v>
      </c>
      <c r="AI24" s="3">
        <f ca="1">IFERROR(__xludf.DUMMYFUNCTION("""COMPUTED_VALUE"""),-0.661193026148253)</f>
        <v>-0.66119302614825304</v>
      </c>
      <c r="AJ24" s="3">
        <f ca="1">IFERROR(__xludf.DUMMYFUNCTION("""COMPUTED_VALUE"""),-0.582244943103035)</f>
        <v>-0.58224494310303498</v>
      </c>
      <c r="AK24" s="3">
        <f ca="1">IFERROR(__xludf.DUMMYFUNCTION("""COMPUTED_VALUE"""),-0.605095902837727)</f>
        <v>-0.60509590283772696</v>
      </c>
      <c r="AL24" s="3">
        <f ca="1">IFERROR(__xludf.DUMMYFUNCTION("""COMPUTED_VALUE"""),-0.655579598815958)</f>
        <v>-0.65557959881595795</v>
      </c>
      <c r="AM24" s="3">
        <f ca="1">IFERROR(__xludf.DUMMYFUNCTION("""COMPUTED_VALUE"""),-0.664111786915929)</f>
        <v>-0.66411178691592898</v>
      </c>
      <c r="AN24" s="3">
        <f ca="1">IFERROR(__xludf.DUMMYFUNCTION("""COMPUTED_VALUE"""),-0.682636491387644)</f>
        <v>-0.68263649138764404</v>
      </c>
      <c r="AO24" s="3">
        <f ca="1">IFERROR(__xludf.DUMMYFUNCTION("""COMPUTED_VALUE"""),-0.672501921809078)</f>
        <v>-0.67250192180907797</v>
      </c>
      <c r="AP24" s="3">
        <f ca="1">IFERROR(__xludf.DUMMYFUNCTION("""COMPUTED_VALUE"""),-0.644016795741934)</f>
        <v>-0.64401679574193404</v>
      </c>
      <c r="AQ24" s="3">
        <f ca="1">IFERROR(__xludf.DUMMYFUNCTION("""COMPUTED_VALUE"""),-0.573753500634635)</f>
        <v>-0.57375350063463504</v>
      </c>
      <c r="AR24" s="3">
        <f ca="1">IFERROR(__xludf.DUMMYFUNCTION("""COMPUTED_VALUE"""),-0.601536107580137)</f>
        <v>-0.60153610758013698</v>
      </c>
      <c r="AS24" s="3">
        <f ca="1">IFERROR(__xludf.DUMMYFUNCTION("""COMPUTED_VALUE"""),-0.727478738390442)</f>
        <v>-0.72747873839044197</v>
      </c>
      <c r="AT24" s="3">
        <f ca="1">IFERROR(__xludf.DUMMYFUNCTION("""COMPUTED_VALUE"""),-0.712122715752483)</f>
        <v>-0.71212271575248298</v>
      </c>
      <c r="AU24" s="3">
        <f ca="1">IFERROR(__xludf.DUMMYFUNCTION("""COMPUTED_VALUE"""),-0.675676190671513)</f>
        <v>-0.67567619067151297</v>
      </c>
      <c r="AV24" s="3">
        <f ca="1">IFERROR(__xludf.DUMMYFUNCTION("""COMPUTED_VALUE"""),-0.688289840546593)</f>
        <v>-0.68828984054659303</v>
      </c>
      <c r="AW24" s="3">
        <f ca="1">IFERROR(__xludf.DUMMYFUNCTION("""COMPUTED_VALUE"""),-0.615127715344989)</f>
        <v>-0.615127715344989</v>
      </c>
      <c r="AX24" s="3">
        <f ca="1">IFERROR(__xludf.DUMMYFUNCTION("""COMPUTED_VALUE"""),-0.61097616883718)</f>
        <v>-0.61097616883717998</v>
      </c>
      <c r="AY24" s="3">
        <f ca="1">IFERROR(__xludf.DUMMYFUNCTION("""COMPUTED_VALUE"""),-0.608519638743911)</f>
        <v>-0.60851963874391102</v>
      </c>
      <c r="AZ24" s="3">
        <f ca="1">IFERROR(__xludf.DUMMYFUNCTION("""COMPUTED_VALUE"""),-0.664424695727189)</f>
        <v>-0.66442469572718899</v>
      </c>
      <c r="BA24" s="3">
        <f ca="1">IFERROR(__xludf.DUMMYFUNCTION("""COMPUTED_VALUE"""),-0.703086296969958)</f>
        <v>-0.70308629696995795</v>
      </c>
      <c r="BB24" s="3">
        <f ca="1">IFERROR(__xludf.DUMMYFUNCTION("""COMPUTED_VALUE"""),-0.706607512921199)</f>
        <v>-0.70660751292119905</v>
      </c>
      <c r="BC24" s="3">
        <f ca="1">IFERROR(__xludf.DUMMYFUNCTION("""COMPUTED_VALUE"""),-0.704148342859869)</f>
        <v>-0.70414834285986905</v>
      </c>
      <c r="BD24" s="3">
        <f ca="1">IFERROR(__xludf.DUMMYFUNCTION("""COMPUTED_VALUE"""),-0.783056736450831)</f>
        <v>-0.78305673645083096</v>
      </c>
      <c r="BE24" s="3">
        <f ca="1">IFERROR(__xludf.DUMMYFUNCTION("""COMPUTED_VALUE"""),-0.602781330425352)</f>
        <v>-0.60278133042535198</v>
      </c>
      <c r="BF24" s="3">
        <f ca="1">IFERROR(__xludf.DUMMYFUNCTION("""COMPUTED_VALUE"""),-0.647463231985334)</f>
        <v>-0.64746323198533395</v>
      </c>
      <c r="BG24" s="3">
        <f ca="1">IFERROR(__xludf.DUMMYFUNCTION("""COMPUTED_VALUE"""),-0.756550274585711)</f>
        <v>-0.756550274585711</v>
      </c>
      <c r="BH24" s="3">
        <f ca="1">IFERROR(__xludf.DUMMYFUNCTION("""COMPUTED_VALUE"""),-0.775944638467155)</f>
        <v>-0.775944638467155</v>
      </c>
      <c r="BI24" s="3">
        <f ca="1">IFERROR(__xludf.DUMMYFUNCTION("""COMPUTED_VALUE"""),-0.795648373188005)</f>
        <v>-0.79564837318800496</v>
      </c>
      <c r="BJ24" s="3">
        <f ca="1">IFERROR(__xludf.DUMMYFUNCTION("""COMPUTED_VALUE"""),-0.760424896240245)</f>
        <v>-0.76042489624024501</v>
      </c>
      <c r="BK24" s="3">
        <f ca="1">IFERROR(__xludf.DUMMYFUNCTION("""COMPUTED_VALUE"""),-0.706702629203454)</f>
        <v>-0.70670262920345395</v>
      </c>
      <c r="BL24" s="3">
        <f ca="1">IFERROR(__xludf.DUMMYFUNCTION("""COMPUTED_VALUE"""),-0.677647363955815)</f>
        <v>-0.67764736395581504</v>
      </c>
      <c r="BM24" s="3">
        <f ca="1">IFERROR(__xludf.DUMMYFUNCTION("""COMPUTED_VALUE"""),-0.713191407886532)</f>
        <v>-0.71319140788653201</v>
      </c>
      <c r="BN24" s="3">
        <f ca="1">IFERROR(__xludf.DUMMYFUNCTION("""COMPUTED_VALUE"""),-0.75018413140125)</f>
        <v>-0.75018413140124995</v>
      </c>
      <c r="BO24" s="3">
        <f ca="1">IFERROR(__xludf.DUMMYFUNCTION("""COMPUTED_VALUE"""),-0.746270665903116)</f>
        <v>-0.74627066590311597</v>
      </c>
      <c r="BP24" s="3">
        <f ca="1">IFERROR(__xludf.DUMMYFUNCTION("""COMPUTED_VALUE"""),-0.755927608304697)</f>
        <v>-0.75592760830469696</v>
      </c>
      <c r="BQ24" s="3">
        <f ca="1">IFERROR(__xludf.DUMMYFUNCTION("""COMPUTED_VALUE"""),-0.752440281215926)</f>
        <v>-0.75244028121592599</v>
      </c>
      <c r="BR24" s="3">
        <f ca="1">IFERROR(__xludf.DUMMYFUNCTION("""COMPUTED_VALUE"""),-0.745332670761538)</f>
        <v>-0.74533267076153797</v>
      </c>
      <c r="BS24" s="3">
        <f ca="1">IFERROR(__xludf.DUMMYFUNCTION("""COMPUTED_VALUE"""),-0.622437821063662)</f>
        <v>-0.62243782106366197</v>
      </c>
      <c r="BT24" s="3">
        <f ca="1">IFERROR(__xludf.DUMMYFUNCTION("""COMPUTED_VALUE"""),-0.693443724197991)</f>
        <v>-0.69344372419799105</v>
      </c>
      <c r="BU24" s="3">
        <f ca="1">IFERROR(__xludf.DUMMYFUNCTION("""COMPUTED_VALUE"""),-0.792639555566318)</f>
        <v>-0.79263955556631804</v>
      </c>
      <c r="BV24" s="3">
        <f ca="1">IFERROR(__xludf.DUMMYFUNCTION("""COMPUTED_VALUE"""),-0.78876748856906)</f>
        <v>-0.78876748856905998</v>
      </c>
      <c r="BW24" s="3">
        <f ca="1">IFERROR(__xludf.DUMMYFUNCTION("""COMPUTED_VALUE"""),-0.793320605395485)</f>
        <v>-0.79332060539548499</v>
      </c>
      <c r="BX24" s="3">
        <f ca="1">IFERROR(__xludf.DUMMYFUNCTION("""COMPUTED_VALUE"""),-0.782798484024738)</f>
        <v>-0.78279848402473795</v>
      </c>
      <c r="BY24" s="3">
        <f ca="1">IFERROR(__xludf.DUMMYFUNCTION("""COMPUTED_VALUE"""),-0.77007345601105)</f>
        <v>-0.77007345601105004</v>
      </c>
      <c r="BZ24" s="3">
        <f ca="1">IFERROR(__xludf.DUMMYFUNCTION("""COMPUTED_VALUE"""),-0.644076728309947)</f>
        <v>-0.644076728309947</v>
      </c>
      <c r="CA24" s="3">
        <f ca="1">IFERROR(__xludf.DUMMYFUNCTION("""COMPUTED_VALUE"""),-0.688851315456528)</f>
        <v>-0.688851315456528</v>
      </c>
      <c r="CB24" s="3">
        <f ca="1">IFERROR(__xludf.DUMMYFUNCTION("""COMPUTED_VALUE"""),-0.74921573219398)</f>
        <v>-0.74921573219397997</v>
      </c>
      <c r="CC24" s="3">
        <f ca="1">IFERROR(__xludf.DUMMYFUNCTION("""COMPUTED_VALUE"""),-0.755477749512031)</f>
        <v>-0.75547774951203095</v>
      </c>
      <c r="CD24" s="3">
        <f ca="1">IFERROR(__xludf.DUMMYFUNCTION("""COMPUTED_VALUE"""),-0.768984821719188)</f>
        <v>-0.76898482171918803</v>
      </c>
      <c r="CE24" s="3">
        <f ca="1">IFERROR(__xludf.DUMMYFUNCTION("""COMPUTED_VALUE"""),-0.750328125446633)</f>
        <v>-0.75032812544663297</v>
      </c>
      <c r="CF24" s="3">
        <f ca="1">IFERROR(__xludf.DUMMYFUNCTION("""COMPUTED_VALUE"""),-0.725530602174549)</f>
        <v>-0.72553060217454901</v>
      </c>
      <c r="CG24" s="3">
        <f ca="1">IFERROR(__xludf.DUMMYFUNCTION("""COMPUTED_VALUE"""),-0.604999771748139)</f>
        <v>-0.60499977174813901</v>
      </c>
      <c r="CH24" s="3">
        <f ca="1">IFERROR(__xludf.DUMMYFUNCTION("""COMPUTED_VALUE"""),-0.666776865954103)</f>
        <v>-0.66677686595410302</v>
      </c>
      <c r="CI24" s="3">
        <f ca="1">IFERROR(__xludf.DUMMYFUNCTION("""COMPUTED_VALUE"""),-0.768338171481265)</f>
        <v>-0.76833817148126504</v>
      </c>
      <c r="CJ24" s="3">
        <f ca="1">IFERROR(__xludf.DUMMYFUNCTION("""COMPUTED_VALUE"""),-0.770698649634698)</f>
        <v>-0.77069864963469803</v>
      </c>
      <c r="CK24" s="3">
        <f ca="1">IFERROR(__xludf.DUMMYFUNCTION("""COMPUTED_VALUE"""),-0.773601276980297)</f>
        <v>-0.77360127698029701</v>
      </c>
      <c r="CL24" s="3">
        <f ca="1">IFERROR(__xludf.DUMMYFUNCTION("""COMPUTED_VALUE"""),-0.725530889227637)</f>
        <v>-0.72553088922763698</v>
      </c>
      <c r="CM24" s="3">
        <f ca="1">IFERROR(__xludf.DUMMYFUNCTION("""COMPUTED_VALUE"""),-0.707110293682942)</f>
        <v>-0.70711029368294198</v>
      </c>
      <c r="CN24" s="3">
        <f ca="1">IFERROR(__xludf.DUMMYFUNCTION("""COMPUTED_VALUE"""),-0.574188589649569)</f>
        <v>-0.57418858964956898</v>
      </c>
      <c r="CO24" s="3">
        <f ca="1">IFERROR(__xludf.DUMMYFUNCTION("""COMPUTED_VALUE"""),-0.675217859827167)</f>
        <v>-0.67521785982716698</v>
      </c>
      <c r="CP24" s="3">
        <f ca="1">IFERROR(__xludf.DUMMYFUNCTION("""COMPUTED_VALUE"""),-0.808573407886407)</f>
        <v>-0.80857340788640697</v>
      </c>
      <c r="CQ24" s="3">
        <f ca="1">IFERROR(__xludf.DUMMYFUNCTION("""COMPUTED_VALUE"""),-0.818970557078521)</f>
        <v>-0.81897055707852096</v>
      </c>
      <c r="CR24" s="3">
        <f ca="1">IFERROR(__xludf.DUMMYFUNCTION("""COMPUTED_VALUE"""),-0.788798304009089)</f>
        <v>-0.78879830400908901</v>
      </c>
      <c r="CS24" s="3">
        <f ca="1">IFERROR(__xludf.DUMMYFUNCTION("""COMPUTED_VALUE"""),-0.774888394306372)</f>
        <v>-0.77488839430637202</v>
      </c>
      <c r="CT24" s="3">
        <f ca="1">IFERROR(__xludf.DUMMYFUNCTION("""COMPUTED_VALUE"""),-0.767869186305335)</f>
        <v>-0.76786918630533496</v>
      </c>
      <c r="CU24" s="3">
        <f ca="1">IFERROR(__xludf.DUMMYFUNCTION("""COMPUTED_VALUE"""),-0.623071896253293)</f>
        <v>-0.62307189625329296</v>
      </c>
      <c r="CV24" s="3">
        <f ca="1">IFERROR(__xludf.DUMMYFUNCTION("""COMPUTED_VALUE"""),-0.696599857179587)</f>
        <v>-0.69659985717958695</v>
      </c>
      <c r="CW24" s="3">
        <f ca="1">IFERROR(__xludf.DUMMYFUNCTION("""COMPUTED_VALUE"""),-0.852801341092223)</f>
        <v>-0.85280134109222305</v>
      </c>
      <c r="CX24" s="3">
        <f ca="1">IFERROR(__xludf.DUMMYFUNCTION("""COMPUTED_VALUE"""),-0.770044991505704)</f>
        <v>-0.77004499150570405</v>
      </c>
      <c r="CY24" s="3">
        <f ca="1">IFERROR(__xludf.DUMMYFUNCTION("""COMPUTED_VALUE"""),-0.700803774940671)</f>
        <v>-0.70080377494067103</v>
      </c>
      <c r="CZ24" s="3">
        <f ca="1">IFERROR(__xludf.DUMMYFUNCTION("""COMPUTED_VALUE"""),-0.722602988388054)</f>
        <v>-0.72260298838805403</v>
      </c>
      <c r="DA24" s="3">
        <f ca="1">IFERROR(__xludf.DUMMYFUNCTION("""COMPUTED_VALUE"""),-0.744277843236271)</f>
        <v>-0.744277843236271</v>
      </c>
      <c r="DB24" s="3">
        <f ca="1">IFERROR(__xludf.DUMMYFUNCTION("""COMPUTED_VALUE"""),-0.651083185682777)</f>
        <v>-0.65108318568277701</v>
      </c>
      <c r="DC24" s="3">
        <f ca="1">IFERROR(__xludf.DUMMYFUNCTION("""COMPUTED_VALUE"""),-0.692425217021214)</f>
        <v>-0.69242521702121396</v>
      </c>
      <c r="DD24" s="3">
        <f ca="1">IFERROR(__xludf.DUMMYFUNCTION("""COMPUTED_VALUE"""),-0.886724873304412)</f>
        <v>-0.88672487330441196</v>
      </c>
      <c r="DE24" s="3">
        <f ca="1">IFERROR(__xludf.DUMMYFUNCTION("""COMPUTED_VALUE"""),-0.742178673444494)</f>
        <v>-0.74217867344449395</v>
      </c>
      <c r="DF24" s="3">
        <f ca="1">IFERROR(__xludf.DUMMYFUNCTION("""COMPUTED_VALUE"""),-0.603099450063246)</f>
        <v>-0.60309945006324595</v>
      </c>
      <c r="DG24" s="3">
        <f ca="1">IFERROR(__xludf.DUMMYFUNCTION("""COMPUTED_VALUE"""),-0.685962667604351)</f>
        <v>-0.68596266760435098</v>
      </c>
      <c r="DH24" s="3">
        <f ca="1">IFERROR(__xludf.DUMMYFUNCTION("""COMPUTED_VALUE"""),-0.686234839914702)</f>
        <v>-0.68623483991470202</v>
      </c>
      <c r="DI24" s="3">
        <f ca="1">IFERROR(__xludf.DUMMYFUNCTION("""COMPUTED_VALUE"""),-0.66376962823123)</f>
        <v>-0.66376962823122998</v>
      </c>
      <c r="DJ24" s="3">
        <f ca="1">IFERROR(__xludf.DUMMYFUNCTION("""COMPUTED_VALUE"""),-0.676148295050974)</f>
        <v>-0.67614829505097396</v>
      </c>
      <c r="DK24" s="3">
        <f ca="1">IFERROR(__xludf.DUMMYFUNCTION("""COMPUTED_VALUE"""),-0.762266826291479)</f>
        <v>-0.76226682629147902</v>
      </c>
      <c r="DL24" s="3">
        <f ca="1">IFERROR(__xludf.DUMMYFUNCTION("""COMPUTED_VALUE"""),-0.757948870065564)</f>
        <v>-0.757948870065564</v>
      </c>
      <c r="DM24" s="3">
        <f ca="1">IFERROR(__xludf.DUMMYFUNCTION("""COMPUTED_VALUE"""),-0.719026875634501)</f>
        <v>-0.71902687563450096</v>
      </c>
      <c r="DN24" s="3">
        <f ca="1">IFERROR(__xludf.DUMMYFUNCTION("""COMPUTED_VALUE"""),-0.755840145545437)</f>
        <v>-0.75584014554543699</v>
      </c>
      <c r="DO24" s="3">
        <f ca="1">IFERROR(__xludf.DUMMYFUNCTION("""COMPUTED_VALUE"""),-0.767066408316132)</f>
        <v>-0.76706640831613204</v>
      </c>
      <c r="DP24" s="3">
        <f ca="1">IFERROR(__xludf.DUMMYFUNCTION("""COMPUTED_VALUE"""),-0.690279019886286)</f>
        <v>-0.69027901988628604</v>
      </c>
      <c r="DQ24" s="3">
        <f ca="1">IFERROR(__xludf.DUMMYFUNCTION("""COMPUTED_VALUE"""),-0.65143047760242)</f>
        <v>-0.65143047760242001</v>
      </c>
      <c r="DR24" s="3">
        <f ca="1">IFERROR(__xludf.DUMMYFUNCTION("""COMPUTED_VALUE"""),-0.762802146501996)</f>
        <v>-0.76280214650199596</v>
      </c>
      <c r="DS24" s="3">
        <f ca="1">IFERROR(__xludf.DUMMYFUNCTION("""COMPUTED_VALUE"""),-0.769238493551425)</f>
        <v>-0.76923849355142504</v>
      </c>
      <c r="DT24" s="3">
        <f ca="1">IFERROR(__xludf.DUMMYFUNCTION("""COMPUTED_VALUE"""),-0.767524277675019)</f>
        <v>-0.76752427767501896</v>
      </c>
      <c r="DU24" s="3">
        <f ca="1">IFERROR(__xludf.DUMMYFUNCTION("""COMPUTED_VALUE"""),-0.74518004401497)</f>
        <v>-0.74518004401496996</v>
      </c>
      <c r="DV24" s="3">
        <f ca="1">IFERROR(__xludf.DUMMYFUNCTION("""COMPUTED_VALUE"""),-0.75133653022041)</f>
        <v>-0.75133653022041003</v>
      </c>
      <c r="DW24" s="3">
        <f ca="1">IFERROR(__xludf.DUMMYFUNCTION("""COMPUTED_VALUE"""),-0.618689067875727)</f>
        <v>-0.61868906787572697</v>
      </c>
      <c r="DX24" s="3">
        <f ca="1">IFERROR(__xludf.DUMMYFUNCTION("""COMPUTED_VALUE"""),-0.639647434024022)</f>
        <v>-0.63964743402402202</v>
      </c>
      <c r="DY24" s="3">
        <f ca="1">IFERROR(__xludf.DUMMYFUNCTION("""COMPUTED_VALUE"""),-0.76385269932542)</f>
        <v>-0.76385269932541999</v>
      </c>
      <c r="DZ24" s="3">
        <f ca="1">IFERROR(__xludf.DUMMYFUNCTION("""COMPUTED_VALUE"""),-0.775523571245893)</f>
        <v>-0.775523571245893</v>
      </c>
      <c r="EA24" s="3">
        <f ca="1">IFERROR(__xludf.DUMMYFUNCTION("""COMPUTED_VALUE"""),-0.76371124737849)</f>
        <v>-0.76371124737849005</v>
      </c>
      <c r="EB24" s="3">
        <f ca="1">IFERROR(__xludf.DUMMYFUNCTION("""COMPUTED_VALUE"""),-0.737363006376238)</f>
        <v>-0.73736300637623797</v>
      </c>
      <c r="EC24" s="3">
        <f ca="1">IFERROR(__xludf.DUMMYFUNCTION("""COMPUTED_VALUE"""),-0.712176548668283)</f>
        <v>-0.71217654866828295</v>
      </c>
      <c r="ED24" s="3">
        <f ca="1">IFERROR(__xludf.DUMMYFUNCTION("""COMPUTED_VALUE"""),-0.575356987783596)</f>
        <v>-0.57535698778359601</v>
      </c>
      <c r="EE24" s="3">
        <f ca="1">IFERROR(__xludf.DUMMYFUNCTION("""COMPUTED_VALUE"""),-0.645387628784646)</f>
        <v>-0.64538762878464595</v>
      </c>
      <c r="EF24" s="3">
        <f ca="1">IFERROR(__xludf.DUMMYFUNCTION("""COMPUTED_VALUE"""),-0.652927152629381)</f>
        <v>-0.65292715262938095</v>
      </c>
      <c r="EG24" s="3">
        <f ca="1">IFERROR(__xludf.DUMMYFUNCTION("""COMPUTED_VALUE"""),-0.674419447363095)</f>
        <v>-0.674419447363095</v>
      </c>
      <c r="EH24" s="3">
        <f ca="1">IFERROR(__xludf.DUMMYFUNCTION("""COMPUTED_VALUE"""),-0.669639322043715)</f>
        <v>-0.66963932204371501</v>
      </c>
      <c r="EI24" s="3">
        <f ca="1">IFERROR(__xludf.DUMMYFUNCTION("""COMPUTED_VALUE"""),-0.671926288522909)</f>
        <v>-0.67192628852290903</v>
      </c>
      <c r="EJ24" s="3">
        <f ca="1">IFERROR(__xludf.DUMMYFUNCTION("""COMPUTED_VALUE"""),-0.645096250428863)</f>
        <v>-0.64509625042886298</v>
      </c>
      <c r="EK24" s="3">
        <f ca="1">IFERROR(__xludf.DUMMYFUNCTION("""COMPUTED_VALUE"""),-0.555367404035955)</f>
        <v>-0.55536740403595497</v>
      </c>
      <c r="EL24" s="3">
        <f ca="1">IFERROR(__xludf.DUMMYFUNCTION("""COMPUTED_VALUE"""),-0.593696151999726)</f>
        <v>-0.59369615199972603</v>
      </c>
      <c r="EM24" s="3">
        <f ca="1">IFERROR(__xludf.DUMMYFUNCTION("""COMPUTED_VALUE"""),-0.63291733994981)</f>
        <v>-0.63291733994981003</v>
      </c>
      <c r="EN24" s="3">
        <f ca="1">IFERROR(__xludf.DUMMYFUNCTION("""COMPUTED_VALUE"""),-0.653461715406654)</f>
        <v>-0.65346171540665399</v>
      </c>
      <c r="EO24" s="3">
        <f ca="1">IFERROR(__xludf.DUMMYFUNCTION("""COMPUTED_VALUE"""),-0.617460389824946)</f>
        <v>-0.617460389824946</v>
      </c>
      <c r="EP24" s="3">
        <f ca="1">IFERROR(__xludf.DUMMYFUNCTION("""COMPUTED_VALUE"""),-0.611608468825355)</f>
        <v>-0.61160846882535502</v>
      </c>
      <c r="EQ24" s="3">
        <f ca="1">IFERROR(__xludf.DUMMYFUNCTION("""COMPUTED_VALUE"""),-0.523657721921944)</f>
        <v>-0.52365772192194404</v>
      </c>
      <c r="ER24" s="3">
        <f ca="1">IFERROR(__xludf.DUMMYFUNCTION("""COMPUTED_VALUE"""),-0.551917802256685)</f>
        <v>-0.55191780225668496</v>
      </c>
      <c r="ES24" s="3">
        <f ca="1">IFERROR(__xludf.DUMMYFUNCTION("""COMPUTED_VALUE"""),-0.603775786350223)</f>
        <v>-0.603775786350223</v>
      </c>
      <c r="ET24" s="3">
        <f ca="1">IFERROR(__xludf.DUMMYFUNCTION("""COMPUTED_VALUE"""),-0.664066761501005)</f>
        <v>-0.66406676150100497</v>
      </c>
      <c r="EU24" s="3">
        <f ca="1">IFERROR(__xludf.DUMMYFUNCTION("""COMPUTED_VALUE"""),-0.672721714504807)</f>
        <v>-0.672721714504807</v>
      </c>
      <c r="EV24" s="3">
        <f ca="1">IFERROR(__xludf.DUMMYFUNCTION("""COMPUTED_VALUE"""),-0.747277763780934)</f>
        <v>-0.74727776378093402</v>
      </c>
      <c r="EW24" s="3">
        <f ca="1">IFERROR(__xludf.DUMMYFUNCTION("""COMPUTED_VALUE"""),-0.572972102553537)</f>
        <v>-0.57297210255353703</v>
      </c>
      <c r="EX24" s="3">
        <f ca="1">IFERROR(__xludf.DUMMYFUNCTION("""COMPUTED_VALUE"""),-0.482492054593135)</f>
        <v>-0.48249205459313499</v>
      </c>
      <c r="EY24" s="3">
        <f ca="1">IFERROR(__xludf.DUMMYFUNCTION("""COMPUTED_VALUE"""),-0.513163575410903)</f>
        <v>-0.51316357541090296</v>
      </c>
      <c r="EZ24" s="3">
        <f ca="1">IFERROR(__xludf.DUMMYFUNCTION("""COMPUTED_VALUE"""),-0.54414349430457)</f>
        <v>-0.54414349430456999</v>
      </c>
      <c r="FA24" s="3">
        <f ca="1">IFERROR(__xludf.DUMMYFUNCTION("""COMPUTED_VALUE"""),-0.635644898560479)</f>
        <v>-0.63564489856047901</v>
      </c>
      <c r="FB24" s="3">
        <f ca="1">IFERROR(__xludf.DUMMYFUNCTION("""COMPUTED_VALUE"""),-0.642707701889579)</f>
        <v>-0.64270770188957904</v>
      </c>
      <c r="FC24" s="3">
        <f ca="1">IFERROR(__xludf.DUMMYFUNCTION("""COMPUTED_VALUE"""),-0.623061353701459)</f>
        <v>-0.62306135370145899</v>
      </c>
      <c r="FD24" s="3">
        <f ca="1">IFERROR(__xludf.DUMMYFUNCTION("""COMPUTED_VALUE"""),-0.62566761824228)</f>
        <v>-0.62566761824228001</v>
      </c>
      <c r="FE24" s="3">
        <f ca="1">IFERROR(__xludf.DUMMYFUNCTION("""COMPUTED_VALUE"""),-0.529428261069522)</f>
        <v>-0.52942826106952201</v>
      </c>
      <c r="FF24" s="3">
        <f ca="1">IFERROR(__xludf.DUMMYFUNCTION("""COMPUTED_VALUE"""),-0.49612045851957)</f>
        <v>-0.49612045851956998</v>
      </c>
      <c r="FG24" s="3">
        <f ca="1">IFERROR(__xludf.DUMMYFUNCTION("""COMPUTED_VALUE"""),-0.537534554997353)</f>
        <v>-0.53753455499735303</v>
      </c>
      <c r="FH24" s="3">
        <f ca="1">IFERROR(__xludf.DUMMYFUNCTION("""COMPUTED_VALUE"""),-0.602943732463326)</f>
        <v>-0.602943732463326</v>
      </c>
      <c r="FI24" s="3">
        <f ca="1">IFERROR(__xludf.DUMMYFUNCTION("""COMPUTED_VALUE"""),-0.645416277666174)</f>
        <v>-0.64541627766617404</v>
      </c>
      <c r="FJ24" s="3">
        <f ca="1">IFERROR(__xludf.DUMMYFUNCTION("""COMPUTED_VALUE"""),-0.621672362797626)</f>
        <v>-0.62167236279762605</v>
      </c>
      <c r="FK24" s="3">
        <f ca="1">IFERROR(__xludf.DUMMYFUNCTION("""COMPUTED_VALUE"""),-0.631509926652014)</f>
        <v>-0.631509926652014</v>
      </c>
      <c r="FL24" s="3">
        <f ca="1">IFERROR(__xludf.DUMMYFUNCTION("""COMPUTED_VALUE"""),-0.601844179546855)</f>
        <v>-0.60184417954685498</v>
      </c>
      <c r="FM24" s="3">
        <f ca="1">IFERROR(__xludf.DUMMYFUNCTION("""COMPUTED_VALUE"""),-0.524949724605632)</f>
        <v>-0.52494972460563205</v>
      </c>
      <c r="FN24" s="3">
        <f ca="1">IFERROR(__xludf.DUMMYFUNCTION("""COMPUTED_VALUE"""),-0.580596736599958)</f>
        <v>-0.58059673659995803</v>
      </c>
      <c r="FO24" s="3">
        <f ca="1">IFERROR(__xludf.DUMMYFUNCTION("""COMPUTED_VALUE"""),-0.65604047126612)</f>
        <v>-0.65604047126611997</v>
      </c>
      <c r="FP24" s="3">
        <f ca="1">IFERROR(__xludf.DUMMYFUNCTION("""COMPUTED_VALUE"""),-0.663201530002087)</f>
        <v>-0.66320153000208704</v>
      </c>
      <c r="FQ24" s="3">
        <f ca="1">IFERROR(__xludf.DUMMYFUNCTION("""COMPUTED_VALUE"""),-0.592884485103291)</f>
        <v>-0.59288448510329095</v>
      </c>
      <c r="FR24" s="3">
        <f ca="1">IFERROR(__xludf.DUMMYFUNCTION("""COMPUTED_VALUE"""),-0.572877072016959)</f>
        <v>-0.57287707201695903</v>
      </c>
      <c r="FS24" s="3">
        <f ca="1">IFERROR(__xludf.DUMMYFUNCTION("""COMPUTED_VALUE"""),-0.478533723378666)</f>
        <v>-0.47853372337866601</v>
      </c>
      <c r="FT24" s="3">
        <f ca="1">IFERROR(__xludf.DUMMYFUNCTION("""COMPUTED_VALUE"""),-0.521642312280887)</f>
        <v>-0.52164231228088698</v>
      </c>
      <c r="FU24" s="3">
        <f ca="1">IFERROR(__xludf.DUMMYFUNCTION("""COMPUTED_VALUE"""),-0.582221295352829)</f>
        <v>-0.58222129535282896</v>
      </c>
      <c r="FV24" s="3">
        <f ca="1">IFERROR(__xludf.DUMMYFUNCTION("""COMPUTED_VALUE"""),-0.625755601798503)</f>
        <v>-0.62575560179850298</v>
      </c>
      <c r="FW24" s="3">
        <f ca="1">IFERROR(__xludf.DUMMYFUNCTION("""COMPUTED_VALUE"""),-0.611265295535384)</f>
        <v>-0.611265295535384</v>
      </c>
      <c r="FX24" s="3">
        <f ca="1">IFERROR(__xludf.DUMMYFUNCTION("""COMPUTED_VALUE"""),-0.640646025438996)</f>
        <v>-0.64064602543899596</v>
      </c>
      <c r="FY24" s="3">
        <f ca="1">IFERROR(__xludf.DUMMYFUNCTION("""COMPUTED_VALUE"""),-0.620007487627123)</f>
        <v>-0.62000748762712299</v>
      </c>
      <c r="FZ24" s="3">
        <f ca="1">IFERROR(__xludf.DUMMYFUNCTION("""COMPUTED_VALUE"""),-0.727829657183313)</f>
        <v>-0.72782965718331305</v>
      </c>
      <c r="GA24" s="3">
        <f ca="1">IFERROR(__xludf.DUMMYFUNCTION("""COMPUTED_VALUE"""),-0.531175535872614)</f>
        <v>-0.53117553587261401</v>
      </c>
      <c r="GB24" s="3">
        <f ca="1">IFERROR(__xludf.DUMMYFUNCTION("""COMPUTED_VALUE"""),-0.581166627194011)</f>
        <v>-0.58116662719401102</v>
      </c>
      <c r="GC24" s="3">
        <f ca="1">IFERROR(__xludf.DUMMYFUNCTION("""COMPUTED_VALUE"""),-0.63466305632727)</f>
        <v>-0.63466305632727005</v>
      </c>
      <c r="GD24" s="3">
        <f ca="1">IFERROR(__xludf.DUMMYFUNCTION("""COMPUTED_VALUE"""),-0.623377738012186)</f>
        <v>-0.62337773801218599</v>
      </c>
      <c r="GE24" s="3">
        <f ca="1">IFERROR(__xludf.DUMMYFUNCTION("""COMPUTED_VALUE"""),-0.611108178746874)</f>
        <v>-0.61110817874687395</v>
      </c>
      <c r="GF24" s="3">
        <f ca="1">IFERROR(__xludf.DUMMYFUNCTION("""COMPUTED_VALUE"""),-0.597961759829778)</f>
        <v>-0.59796175982977795</v>
      </c>
      <c r="GG24" s="3">
        <f ca="1">IFERROR(__xludf.DUMMYFUNCTION("""COMPUTED_VALUE"""),-0.514785933458957)</f>
        <v>-0.51478593345895696</v>
      </c>
      <c r="GH24" s="3">
        <f ca="1">IFERROR(__xludf.DUMMYFUNCTION("""COMPUTED_VALUE"""),-0.529332531879386)</f>
        <v>-0.529332531879386</v>
      </c>
      <c r="GI24" s="3">
        <f ca="1">IFERROR(__xludf.DUMMYFUNCTION("""COMPUTED_VALUE"""),-0.541563994473425)</f>
        <v>-0.54156399447342496</v>
      </c>
      <c r="GJ24" s="3">
        <f ca="1">IFERROR(__xludf.DUMMYFUNCTION("""COMPUTED_VALUE"""),-0.620751466264347)</f>
        <v>-0.62075146626434696</v>
      </c>
      <c r="GK24" s="3">
        <f ca="1">IFERROR(__xludf.DUMMYFUNCTION("""COMPUTED_VALUE"""),-0.60012533103631)</f>
        <v>-0.60012533103631005</v>
      </c>
      <c r="GL24" s="3">
        <f ca="1">IFERROR(__xludf.DUMMYFUNCTION("""COMPUTED_VALUE"""),-0.598383018107921)</f>
        <v>-0.59838301810792105</v>
      </c>
      <c r="GM24" s="3">
        <f ca="1">IFERROR(__xludf.DUMMYFUNCTION("""COMPUTED_VALUE"""),-0.593188800804899)</f>
        <v>-0.593188800804899</v>
      </c>
      <c r="GN24" s="3">
        <f ca="1">IFERROR(__xludf.DUMMYFUNCTION("""COMPUTED_VALUE"""),-0.571002399763156)</f>
        <v>-0.57100239976315603</v>
      </c>
      <c r="GO24" s="3">
        <f ca="1">IFERROR(__xludf.DUMMYFUNCTION("""COMPUTED_VALUE"""),-0.519373439314844)</f>
        <v>-0.51937343931484403</v>
      </c>
      <c r="GP24" s="3">
        <f ca="1">IFERROR(__xludf.DUMMYFUNCTION("""COMPUTED_VALUE"""),-0.547355026946867)</f>
        <v>-0.547355026946867</v>
      </c>
      <c r="GQ24" s="3">
        <f ca="1">IFERROR(__xludf.DUMMYFUNCTION("""COMPUTED_VALUE"""),-0.618384743470517)</f>
        <v>-0.61838474347051697</v>
      </c>
      <c r="GR24" s="3">
        <f ca="1">IFERROR(__xludf.DUMMYFUNCTION("""COMPUTED_VALUE"""),-0.610098084903484)</f>
        <v>-0.61009808490348405</v>
      </c>
      <c r="GS24" s="3">
        <f ca="1">IFERROR(__xludf.DUMMYFUNCTION("""COMPUTED_VALUE"""),-0.61198997453619)</f>
        <v>-0.61198997453618997</v>
      </c>
      <c r="GT24" s="3">
        <f ca="1">IFERROR(__xludf.DUMMYFUNCTION("""COMPUTED_VALUE"""),-0.605608395478295)</f>
        <v>-0.60560839547829504</v>
      </c>
      <c r="GU24" s="3">
        <f ca="1">IFERROR(__xludf.DUMMYFUNCTION("""COMPUTED_VALUE"""),-0.566994088868746)</f>
        <v>-0.56699408886874603</v>
      </c>
      <c r="GV24" s="3">
        <f ca="1">IFERROR(__xludf.DUMMYFUNCTION("""COMPUTED_VALUE"""),-0.50574733987679)</f>
        <v>-0.50574733987678999</v>
      </c>
      <c r="GW24" s="3">
        <f ca="1">IFERROR(__xludf.DUMMYFUNCTION("""COMPUTED_VALUE"""),-0.56150986589495)</f>
        <v>-0.56150986589495</v>
      </c>
      <c r="GX24" s="3">
        <f ca="1">IFERROR(__xludf.DUMMYFUNCTION("""COMPUTED_VALUE"""),-0.60783593828401)</f>
        <v>-0.60783593828400995</v>
      </c>
      <c r="GY24" s="3">
        <f ca="1">IFERROR(__xludf.DUMMYFUNCTION("""COMPUTED_VALUE"""),-0.590704745067788)</f>
        <v>-0.59070474506778803</v>
      </c>
      <c r="GZ24" s="3">
        <f ca="1">IFERROR(__xludf.DUMMYFUNCTION("""COMPUTED_VALUE"""),-0.59521241748743)</f>
        <v>-0.59521241748743003</v>
      </c>
      <c r="HA24" s="3">
        <f ca="1">IFERROR(__xludf.DUMMYFUNCTION("""COMPUTED_VALUE"""),-0.594044765350118)</f>
        <v>-0.59404476535011796</v>
      </c>
      <c r="HB24" s="3">
        <f ca="1">IFERROR(__xludf.DUMMYFUNCTION("""COMPUTED_VALUE"""),-0.553152718499786)</f>
        <v>-0.55315271849978598</v>
      </c>
      <c r="HC24" s="3">
        <f ca="1">IFERROR(__xludf.DUMMYFUNCTION("""COMPUTED_VALUE"""),-0.544775703382341)</f>
        <v>-0.54477570338234105</v>
      </c>
      <c r="HD24" s="3">
        <f ca="1">IFERROR(__xludf.DUMMYFUNCTION("""COMPUTED_VALUE"""),-0.568870580350305)</f>
        <v>-0.56887058035030502</v>
      </c>
      <c r="HE24" s="3">
        <f ca="1">IFERROR(__xludf.DUMMYFUNCTION("""COMPUTED_VALUE"""),-0.575792844054998)</f>
        <v>-0.57579284405499798</v>
      </c>
      <c r="HF24" s="3">
        <f ca="1">IFERROR(__xludf.DUMMYFUNCTION("""COMPUTED_VALUE"""),-0.588873112781696)</f>
        <v>-0.58887311278169596</v>
      </c>
      <c r="HG24" s="3">
        <f ca="1">IFERROR(__xludf.DUMMYFUNCTION("""COMPUTED_VALUE"""),-0.578108198720585)</f>
        <v>-0.57810819872058505</v>
      </c>
      <c r="HH24" s="3">
        <f ca="1">IFERROR(__xludf.DUMMYFUNCTION("""COMPUTED_VALUE"""),-0.574867041842253)</f>
        <v>-0.57486704184225301</v>
      </c>
      <c r="HI24" s="3">
        <f ca="1">IFERROR(__xludf.DUMMYFUNCTION("""COMPUTED_VALUE"""),-0.73820732989834)</f>
        <v>-0.73820732989834004</v>
      </c>
      <c r="HJ24" s="3">
        <f ca="1">IFERROR(__xludf.DUMMYFUNCTION("""COMPUTED_VALUE"""),-0.521623963589533)</f>
        <v>-0.521623963589533</v>
      </c>
      <c r="HK24" s="3">
        <f ca="1">IFERROR(__xludf.DUMMYFUNCTION("""COMPUTED_VALUE"""),-0.523737131483362)</f>
        <v>-0.52373713148336198</v>
      </c>
      <c r="HL24" s="3">
        <f ca="1">IFERROR(__xludf.DUMMYFUNCTION("""COMPUTED_VALUE"""),-0.56624065664044)</f>
        <v>-0.56624065664043999</v>
      </c>
      <c r="HM24" s="3">
        <f ca="1">IFERROR(__xludf.DUMMYFUNCTION("""COMPUTED_VALUE"""),-0.587720239517281)</f>
        <v>-0.58772023951728103</v>
      </c>
      <c r="HN24" s="3">
        <f ca="1">IFERROR(__xludf.DUMMYFUNCTION("""COMPUTED_VALUE"""),-0.620839435947196)</f>
        <v>-0.62083943594719604</v>
      </c>
      <c r="HO24" s="3">
        <f ca="1">IFERROR(__xludf.DUMMYFUNCTION("""COMPUTED_VALUE"""),-0.630131985563605)</f>
        <v>-0.63013198556360495</v>
      </c>
      <c r="HP24" s="3">
        <f ca="1">IFERROR(__xludf.DUMMYFUNCTION("""COMPUTED_VALUE"""),-0.531086322399563)</f>
        <v>-0.53108632239956299</v>
      </c>
      <c r="HQ24" s="3">
        <f ca="1">IFERROR(__xludf.DUMMYFUNCTION("""COMPUTED_VALUE"""),-0.484153046908286)</f>
        <v>-0.48415304690828598</v>
      </c>
      <c r="HR24" s="3">
        <f ca="1">IFERROR(__xludf.DUMMYFUNCTION("""COMPUTED_VALUE"""),-0.577501742467249)</f>
        <v>-0.57750174246724895</v>
      </c>
      <c r="HS24" s="3">
        <f ca="1">IFERROR(__xludf.DUMMYFUNCTION("""COMPUTED_VALUE"""),-0.647086414674522)</f>
        <v>-0.64708641467452199</v>
      </c>
      <c r="HT24" s="3">
        <f ca="1">IFERROR(__xludf.DUMMYFUNCTION("""COMPUTED_VALUE"""),-0.661214025382687)</f>
        <v>-0.66121402538268703</v>
      </c>
      <c r="HU24" s="3">
        <f ca="1">IFERROR(__xludf.DUMMYFUNCTION("""COMPUTED_VALUE"""),-0.685919435752991)</f>
        <v>-0.68591943575299097</v>
      </c>
      <c r="HV24" s="3">
        <f ca="1">IFERROR(__xludf.DUMMYFUNCTION("""COMPUTED_VALUE"""),-0.673304831724606)</f>
        <v>-0.67330483172460598</v>
      </c>
      <c r="HW24" s="3">
        <f ca="1">IFERROR(__xludf.DUMMYFUNCTION("""COMPUTED_VALUE"""),-0.568256900146058)</f>
        <v>-0.56825690014605801</v>
      </c>
      <c r="HX24" s="3">
        <f ca="1">IFERROR(__xludf.DUMMYFUNCTION("""COMPUTED_VALUE"""),-0.554930293507984)</f>
        <v>-0.55493029350798395</v>
      </c>
      <c r="HY24" s="3">
        <f ca="1">IFERROR(__xludf.DUMMYFUNCTION("""COMPUTED_VALUE"""),-0.570057113826298)</f>
        <v>-0.57005711382629798</v>
      </c>
      <c r="HZ24" s="3">
        <f ca="1">IFERROR(__xludf.DUMMYFUNCTION("""COMPUTED_VALUE"""),-0.579481568925641)</f>
        <v>-0.57948156892564096</v>
      </c>
      <c r="IA24" s="3">
        <f ca="1">IFERROR(__xludf.DUMMYFUNCTION("""COMPUTED_VALUE"""),-0.5941459769007)</f>
        <v>-0.59414597690070003</v>
      </c>
      <c r="IB24" s="3">
        <f ca="1">IFERROR(__xludf.DUMMYFUNCTION("""COMPUTED_VALUE"""),-0.589867072890067)</f>
        <v>-0.58986707289006701</v>
      </c>
      <c r="IC24" s="3">
        <f ca="1">IFERROR(__xludf.DUMMYFUNCTION("""COMPUTED_VALUE"""),-0.596478700141572)</f>
        <v>-0.596478700141572</v>
      </c>
      <c r="ID24" s="3">
        <f ca="1">IFERROR(__xludf.DUMMYFUNCTION("""COMPUTED_VALUE"""),-0.575621779720984)</f>
        <v>-0.57562177972098405</v>
      </c>
      <c r="IE24" s="3">
        <f ca="1">IFERROR(__xludf.DUMMYFUNCTION("""COMPUTED_VALUE"""),-0.567050895275844)</f>
        <v>-0.56705089527584396</v>
      </c>
      <c r="IF24" s="3">
        <f ca="1">IFERROR(__xludf.DUMMYFUNCTION("""COMPUTED_VALUE"""),-0.56520873525827)</f>
        <v>-0.56520873525826998</v>
      </c>
      <c r="IG24" s="3">
        <f ca="1">IFERROR(__xludf.DUMMYFUNCTION("""COMPUTED_VALUE"""),-0.55162622496962)</f>
        <v>-0.55162622496961999</v>
      </c>
      <c r="IH24" s="3">
        <f ca="1">IFERROR(__xludf.DUMMYFUNCTION("""COMPUTED_VALUE"""),-0.571243928867135)</f>
        <v>-0.57124392886713504</v>
      </c>
      <c r="II24" s="3">
        <f ca="1">IFERROR(__xludf.DUMMYFUNCTION("""COMPUTED_VALUE"""),-0.569611375729913)</f>
        <v>-0.56961137572991305</v>
      </c>
      <c r="IJ24" s="3">
        <f ca="1">IFERROR(__xludf.DUMMYFUNCTION("""COMPUTED_VALUE"""),-0.567156063520069)</f>
        <v>-0.56715606352006898</v>
      </c>
      <c r="IK24" s="3">
        <f ca="1">IFERROR(__xludf.DUMMYFUNCTION("""COMPUTED_VALUE"""),-0.505441144823437)</f>
        <v>-0.50544114482343705</v>
      </c>
      <c r="IL24" s="3">
        <f ca="1">IFERROR(__xludf.DUMMYFUNCTION("""COMPUTED_VALUE"""),-0.571050399227981)</f>
        <v>-0.57105039922798095</v>
      </c>
      <c r="IM24" s="3">
        <f ca="1">IFERROR(__xludf.DUMMYFUNCTION("""COMPUTED_VALUE"""),-0.568261271378744)</f>
        <v>-0.56826127137874405</v>
      </c>
      <c r="IN24" s="3">
        <f ca="1">IFERROR(__xludf.DUMMYFUNCTION("""COMPUTED_VALUE"""),-0.603329952131607)</f>
        <v>-0.60332995213160701</v>
      </c>
      <c r="IO24" s="3">
        <f ca="1">IFERROR(__xludf.DUMMYFUNCTION("""COMPUTED_VALUE"""),-0.567613994063032)</f>
        <v>-0.56761399406303203</v>
      </c>
      <c r="IP24" s="3">
        <f ca="1">IFERROR(__xludf.DUMMYFUNCTION("""COMPUTED_VALUE"""),-0.546710371213945)</f>
        <v>-0.54671037121394495</v>
      </c>
      <c r="IQ24" s="3">
        <f ca="1">IFERROR(__xludf.DUMMYFUNCTION("""COMPUTED_VALUE"""),-0.572992730830759)</f>
        <v>-0.57299273083075897</v>
      </c>
      <c r="IR24" s="3">
        <f ca="1">IFERROR(__xludf.DUMMYFUNCTION("""COMPUTED_VALUE"""),-0.67539325509138)</f>
        <v>-0.67539325509138004</v>
      </c>
      <c r="IS24" s="3">
        <f ca="1">IFERROR(__xludf.DUMMYFUNCTION("""COMPUTED_VALUE"""),-0.561411968220208)</f>
        <v>-0.561411968220208</v>
      </c>
      <c r="IT24" s="3">
        <f ca="1">IFERROR(__xludf.DUMMYFUNCTION("""COMPUTED_VALUE"""),-0.538213735769087)</f>
        <v>-0.53821373576908704</v>
      </c>
      <c r="IU24" s="3">
        <f ca="1">IFERROR(__xludf.DUMMYFUNCTION("""COMPUTED_VALUE"""),-0.579445071774461)</f>
        <v>-0.57944507177446103</v>
      </c>
      <c r="IV24" s="3">
        <f ca="1">IFERROR(__xludf.DUMMYFUNCTION("""COMPUTED_VALUE"""),-0.578076989650851)</f>
        <v>-0.57807698965085097</v>
      </c>
      <c r="IW24" s="3">
        <f ca="1">IFERROR(__xludf.DUMMYFUNCTION("""COMPUTED_VALUE"""),-0.570861392289776)</f>
        <v>-0.57086139228977595</v>
      </c>
      <c r="IX24" s="3">
        <f ca="1">IFERROR(__xludf.DUMMYFUNCTION("""COMPUTED_VALUE"""),-0.574485279078282)</f>
        <v>-0.57448527907828195</v>
      </c>
      <c r="IY24" s="3">
        <f ca="1">IFERROR(__xludf.DUMMYFUNCTION("""COMPUTED_VALUE"""),-0.549964427221528)</f>
        <v>-0.54996442722152805</v>
      </c>
      <c r="IZ24" s="3">
        <f ca="1">IFERROR(__xludf.DUMMYFUNCTION("""COMPUTED_VALUE"""),-0.571682326008617)</f>
        <v>-0.57168232600861701</v>
      </c>
      <c r="JA24" s="3">
        <f ca="1">IFERROR(__xludf.DUMMYFUNCTION("""COMPUTED_VALUE"""),-0.554468690149577)</f>
        <v>-0.554468690149577</v>
      </c>
      <c r="JB24" s="3">
        <f ca="1">IFERROR(__xludf.DUMMYFUNCTION("""COMPUTED_VALUE"""),-0.593836477977406)</f>
        <v>-0.59383647797740602</v>
      </c>
      <c r="JC24" s="3">
        <f ca="1">IFERROR(__xludf.DUMMYFUNCTION("""COMPUTED_VALUE"""),-0.603337358642737)</f>
        <v>-0.60333735864273697</v>
      </c>
      <c r="JD24" s="3">
        <f ca="1">IFERROR(__xludf.DUMMYFUNCTION("""COMPUTED_VALUE"""),-0.608495541834983)</f>
        <v>-0.608495541834983</v>
      </c>
      <c r="JE24" s="3">
        <f ca="1">IFERROR(__xludf.DUMMYFUNCTION("""COMPUTED_VALUE"""),-0.610373500778909)</f>
        <v>-0.61037350077890895</v>
      </c>
      <c r="JF24" s="3">
        <f ca="1">IFERROR(__xludf.DUMMYFUNCTION("""COMPUTED_VALUE"""),-0.588797205736149)</f>
        <v>-0.58879720573614902</v>
      </c>
      <c r="JG24" s="3">
        <f ca="1">IFERROR(__xludf.DUMMYFUNCTION("""COMPUTED_VALUE"""),-0.57530786546203)</f>
        <v>-0.57530786546203005</v>
      </c>
      <c r="JH24" s="3">
        <f ca="1">IFERROR(__xludf.DUMMYFUNCTION("""COMPUTED_VALUE"""),-0.560368065815862)</f>
        <v>-0.56036806581586196</v>
      </c>
      <c r="JI24" s="3">
        <f ca="1">IFERROR(__xludf.DUMMYFUNCTION("""COMPUTED_VALUE"""),-0.612782273131151)</f>
        <v>-0.61278227313115097</v>
      </c>
      <c r="JJ24" s="3">
        <f ca="1">IFERROR(__xludf.DUMMYFUNCTION("""COMPUTED_VALUE"""),-0.636470584506482)</f>
        <v>-0.63647058450648197</v>
      </c>
      <c r="JK24" s="3">
        <f ca="1">IFERROR(__xludf.DUMMYFUNCTION("""COMPUTED_VALUE"""),-0.617582577193163)</f>
        <v>-0.61758257719316301</v>
      </c>
      <c r="JL24" s="3">
        <f ca="1">IFERROR(__xludf.DUMMYFUNCTION("""COMPUTED_VALUE"""),-0.643422174978632)</f>
        <v>-0.64342217497863197</v>
      </c>
      <c r="JM24" s="3">
        <f ca="1">IFERROR(__xludf.DUMMYFUNCTION("""COMPUTED_VALUE"""),-0.638296713676623)</f>
        <v>-0.638296713676623</v>
      </c>
      <c r="JN24" s="3">
        <f ca="1">IFERROR(__xludf.DUMMYFUNCTION("""COMPUTED_VALUE"""),-0.624644572477541)</f>
        <v>-0.62464457247754102</v>
      </c>
      <c r="JO24" s="3">
        <f ca="1">IFERROR(__xludf.DUMMYFUNCTION("""COMPUTED_VALUE"""),-0.594896162840263)</f>
        <v>-0.59489616284026303</v>
      </c>
      <c r="JP24" s="3">
        <f ca="1">IFERROR(__xludf.DUMMYFUNCTION("""COMPUTED_VALUE"""),-0.652227296437485)</f>
        <v>-0.652227296437485</v>
      </c>
      <c r="JQ24" s="3">
        <f ca="1">IFERROR(__xludf.DUMMYFUNCTION("""COMPUTED_VALUE"""),-0.644802762685978)</f>
        <v>-0.64480276268597803</v>
      </c>
      <c r="JR24" s="3">
        <f ca="1">IFERROR(__xludf.DUMMYFUNCTION("""COMPUTED_VALUE"""),-0.669139217233834)</f>
        <v>-0.66913921723383396</v>
      </c>
      <c r="JS24" s="3">
        <f ca="1">IFERROR(__xludf.DUMMYFUNCTION("""COMPUTED_VALUE"""),-0.661680096665859)</f>
        <v>-0.66168009666585903</v>
      </c>
      <c r="JT24" s="3">
        <f ca="1">IFERROR(__xludf.DUMMYFUNCTION("""COMPUTED_VALUE"""),-0.584854530146063)</f>
        <v>-0.58485453014606303</v>
      </c>
      <c r="JU24" s="3">
        <f ca="1">IFERROR(__xludf.DUMMYFUNCTION("""COMPUTED_VALUE"""),-0.60169006763487)</f>
        <v>-0.60169006763486999</v>
      </c>
      <c r="JV24" s="3">
        <f ca="1">IFERROR(__xludf.DUMMYFUNCTION("""COMPUTED_VALUE"""),-0.597823656577247)</f>
        <v>-0.59782365657724701</v>
      </c>
      <c r="JW24" s="3">
        <f ca="1">IFERROR(__xludf.DUMMYFUNCTION("""COMPUTED_VALUE"""),-0.646843003581172)</f>
        <v>-0.64684300358117197</v>
      </c>
      <c r="JX24" s="3">
        <f ca="1">IFERROR(__xludf.DUMMYFUNCTION("""COMPUTED_VALUE"""),-0.69139158096804)</f>
        <v>-0.69139158096803999</v>
      </c>
      <c r="JY24" s="3">
        <f ca="1">IFERROR(__xludf.DUMMYFUNCTION("""COMPUTED_VALUE"""),-0.777357487454251)</f>
        <v>-0.77735748745425104</v>
      </c>
      <c r="JZ24" s="3">
        <f ca="1">IFERROR(__xludf.DUMMYFUNCTION("""COMPUTED_VALUE"""),-0.704470361675692)</f>
        <v>-0.70447036167569199</v>
      </c>
      <c r="KA24" s="3">
        <f ca="1">IFERROR(__xludf.DUMMYFUNCTION("""COMPUTED_VALUE"""),-0.617481067075339)</f>
        <v>-0.61748106707533901</v>
      </c>
      <c r="KB24" s="3">
        <f ca="1">IFERROR(__xludf.DUMMYFUNCTION("""COMPUTED_VALUE"""),-0.593095777819034)</f>
        <v>-0.593095777819034</v>
      </c>
      <c r="KC24" s="3">
        <f ca="1">IFERROR(__xludf.DUMMYFUNCTION("""COMPUTED_VALUE"""),-0.616086518757273)</f>
        <v>-0.61608651875727305</v>
      </c>
      <c r="KD24" s="3">
        <f ca="1">IFERROR(__xludf.DUMMYFUNCTION("""COMPUTED_VALUE"""),-0.679092022899777)</f>
        <v>-0.67909202289977699</v>
      </c>
      <c r="KE24" s="3">
        <f ca="1">IFERROR(__xludf.DUMMYFUNCTION("""COMPUTED_VALUE"""),-0.69874796546557)</f>
        <v>-0.69874796546557005</v>
      </c>
      <c r="KF24" s="3">
        <f ca="1">IFERROR(__xludf.DUMMYFUNCTION("""COMPUTED_VALUE"""),-0.702587835996039)</f>
        <v>-0.70258783599603902</v>
      </c>
      <c r="KG24" s="3">
        <f ca="1">IFERROR(__xludf.DUMMYFUNCTION("""COMPUTED_VALUE"""),-0.69858780204004)</f>
        <v>-0.69858780204004001</v>
      </c>
      <c r="KH24" s="3">
        <f ca="1">IFERROR(__xludf.DUMMYFUNCTION("""COMPUTED_VALUE"""),-0.649322559652548)</f>
        <v>-0.64932255965254804</v>
      </c>
      <c r="KI24" s="3">
        <f ca="1">IFERROR(__xludf.DUMMYFUNCTION("""COMPUTED_VALUE"""),-0.646986761513752)</f>
        <v>-0.64698676151375201</v>
      </c>
      <c r="KJ24" s="3">
        <f ca="1">IFERROR(__xludf.DUMMYFUNCTION("""COMPUTED_VALUE"""),-0.595973438565939)</f>
        <v>-0.59597343856593898</v>
      </c>
      <c r="KK24" s="3">
        <f ca="1">IFERROR(__xludf.DUMMYFUNCTION("""COMPUTED_VALUE"""),-0.683534388005211)</f>
        <v>-0.68353438800521105</v>
      </c>
      <c r="KL24" s="3">
        <f ca="1">IFERROR(__xludf.DUMMYFUNCTION("""COMPUTED_VALUE"""),-0.724794954978582)</f>
        <v>-0.72479495497858204</v>
      </c>
      <c r="KM24" s="3">
        <f ca="1">IFERROR(__xludf.DUMMYFUNCTION("""COMPUTED_VALUE"""),-0.736604195122194)</f>
        <v>-0.73660419512219399</v>
      </c>
      <c r="KN24" s="3">
        <f ca="1">IFERROR(__xludf.DUMMYFUNCTION("""COMPUTED_VALUE"""),-0.718395418651917)</f>
        <v>-0.71839541865191703</v>
      </c>
      <c r="KO24" s="3">
        <f ca="1">IFERROR(__xludf.DUMMYFUNCTION("""COMPUTED_VALUE"""),-0.730358719807483)</f>
        <v>-0.73035871980748301</v>
      </c>
      <c r="KP24" s="3">
        <f ca="1">IFERROR(__xludf.DUMMYFUNCTION("""COMPUTED_VALUE"""),-0.568309916154216)</f>
        <v>-0.568309916154216</v>
      </c>
      <c r="KQ24" s="3">
        <f ca="1">IFERROR(__xludf.DUMMYFUNCTION("""COMPUTED_VALUE"""),-0.598075752872321)</f>
        <v>-0.59807575287232095</v>
      </c>
      <c r="KR24" s="3">
        <f ca="1">IFERROR(__xludf.DUMMYFUNCTION("""COMPUTED_VALUE"""),-0.68750828773778)</f>
        <v>-0.68750828773778005</v>
      </c>
      <c r="KS24" s="3">
        <f ca="1">IFERROR(__xludf.DUMMYFUNCTION("""COMPUTED_VALUE"""),-0.715683986536349)</f>
        <v>-0.71568398653634901</v>
      </c>
      <c r="KT24" s="3">
        <f ca="1">IFERROR(__xludf.DUMMYFUNCTION("""COMPUTED_VALUE"""),-0.693945657259737)</f>
        <v>-0.693945657259737</v>
      </c>
      <c r="KU24" s="3">
        <f ca="1">IFERROR(__xludf.DUMMYFUNCTION("""COMPUTED_VALUE"""),-0.731019023716261)</f>
        <v>-0.73101902371626104</v>
      </c>
      <c r="KV24" s="3">
        <f ca="1">IFERROR(__xludf.DUMMYFUNCTION("""COMPUTED_VALUE"""),-0.722851392962758)</f>
        <v>-0.72285139296275802</v>
      </c>
      <c r="KW24" s="3">
        <f ca="1">IFERROR(__xludf.DUMMYFUNCTION("""COMPUTED_VALUE"""),-0.675982686113386)</f>
        <v>-0.67598268611338597</v>
      </c>
      <c r="KX24" s="3">
        <f ca="1">IFERROR(__xludf.DUMMYFUNCTION("""COMPUTED_VALUE"""),-0.691569098101661)</f>
        <v>-0.69156909810166101</v>
      </c>
      <c r="KY24" s="3">
        <f ca="1">IFERROR(__xludf.DUMMYFUNCTION("""COMPUTED_VALUE"""),-0.700193479915204)</f>
        <v>-0.70019347991520398</v>
      </c>
      <c r="KZ24" s="3">
        <f ca="1">IFERROR(__xludf.DUMMYFUNCTION("""COMPUTED_VALUE"""),-0.738658836298434)</f>
        <v>-0.73865883629843399</v>
      </c>
      <c r="LA24" s="3">
        <f ca="1">IFERROR(__xludf.DUMMYFUNCTION("""COMPUTED_VALUE"""),-0.738620057473692)</f>
        <v>-0.73862005747369197</v>
      </c>
      <c r="LB24" s="3">
        <f ca="1">IFERROR(__xludf.DUMMYFUNCTION("""COMPUTED_VALUE"""),-0.713585683126633)</f>
        <v>-0.71358568312663295</v>
      </c>
      <c r="LC24" s="3">
        <f ca="1">IFERROR(__xludf.DUMMYFUNCTION("""COMPUTED_VALUE"""),-0.71753492010157)</f>
        <v>-0.71753492010157005</v>
      </c>
      <c r="LD24" s="3">
        <f ca="1">IFERROR(__xludf.DUMMYFUNCTION("""COMPUTED_VALUE"""),-0.659018067769673)</f>
        <v>-0.65901806776967298</v>
      </c>
      <c r="LE24" s="3">
        <f ca="1">IFERROR(__xludf.DUMMYFUNCTION("""COMPUTED_VALUE"""),-0.645123572429001)</f>
        <v>-0.64512357242900098</v>
      </c>
      <c r="LF24" s="3">
        <f ca="1">IFERROR(__xludf.DUMMYFUNCTION("""COMPUTED_VALUE"""),-0.740132338063269)</f>
        <v>-0.74013233806326895</v>
      </c>
      <c r="LG24" s="3">
        <f ca="1">IFERROR(__xludf.DUMMYFUNCTION("""COMPUTED_VALUE"""),-0.755169762636869)</f>
        <v>-0.75516976263686897</v>
      </c>
      <c r="LH24" s="3">
        <f ca="1">IFERROR(__xludf.DUMMYFUNCTION("""COMPUTED_VALUE"""),-0.760090057498171)</f>
        <v>-0.76009005749817105</v>
      </c>
      <c r="LI24" s="3">
        <f ca="1">IFERROR(__xludf.DUMMYFUNCTION("""COMPUTED_VALUE"""),-0.750400219314684)</f>
        <v>-0.75040021931468404</v>
      </c>
      <c r="LJ24" s="3">
        <f ca="1">IFERROR(__xludf.DUMMYFUNCTION("""COMPUTED_VALUE"""),-0.710546350556428)</f>
        <v>-0.71054635055642801</v>
      </c>
      <c r="LK24" s="3">
        <f ca="1">IFERROR(__xludf.DUMMYFUNCTION("""COMPUTED_VALUE"""),-0.652559750711289)</f>
        <v>-0.65255975071128902</v>
      </c>
      <c r="LL24" s="3">
        <f ca="1">IFERROR(__xludf.DUMMYFUNCTION("""COMPUTED_VALUE"""),-0.690393149357622)</f>
        <v>-0.69039314935762197</v>
      </c>
      <c r="LM24" s="3">
        <f ca="1">IFERROR(__xludf.DUMMYFUNCTION("""COMPUTED_VALUE"""),-0.795203425214403)</f>
        <v>-0.79520342521440301</v>
      </c>
      <c r="LN24" s="3">
        <f ca="1">IFERROR(__xludf.DUMMYFUNCTION("""COMPUTED_VALUE"""),-0.821675992174955)</f>
        <v>-0.82167599217495502</v>
      </c>
      <c r="LO24" s="3">
        <f ca="1">IFERROR(__xludf.DUMMYFUNCTION("""COMPUTED_VALUE"""),-0.781662430744855)</f>
        <v>-0.78166243074485497</v>
      </c>
      <c r="LP24" s="3">
        <f ca="1">IFERROR(__xludf.DUMMYFUNCTION("""COMPUTED_VALUE"""),-0.776353999687922)</f>
        <v>-0.77635399968792196</v>
      </c>
      <c r="LQ24" s="3">
        <f ca="1">IFERROR(__xludf.DUMMYFUNCTION("""COMPUTED_VALUE"""),-0.788012429593716)</f>
        <v>-0.78801242959371598</v>
      </c>
      <c r="LR24" s="3">
        <f ca="1">IFERROR(__xludf.DUMMYFUNCTION("""COMPUTED_VALUE"""),-0.684402532627146)</f>
        <v>-0.68440253262714601</v>
      </c>
      <c r="LS24" s="3">
        <f ca="1">IFERROR(__xludf.DUMMYFUNCTION("""COMPUTED_VALUE"""),-0.703194560705363)</f>
        <v>-0.70319456070536301</v>
      </c>
      <c r="LT24" s="3">
        <f ca="1">IFERROR(__xludf.DUMMYFUNCTION("""COMPUTED_VALUE"""),-0.799333789160301)</f>
        <v>-0.79933378916030096</v>
      </c>
      <c r="LU24" s="3">
        <f ca="1">IFERROR(__xludf.DUMMYFUNCTION("""COMPUTED_VALUE"""),-0.80540212884075)</f>
        <v>-0.80540212884075002</v>
      </c>
      <c r="LV24" s="3">
        <f ca="1">IFERROR(__xludf.DUMMYFUNCTION("""COMPUTED_VALUE"""),-0.805922454471301)</f>
        <v>-0.80592245447130095</v>
      </c>
      <c r="LW24" s="3">
        <f ca="1">IFERROR(__xludf.DUMMYFUNCTION("""COMPUTED_VALUE"""),-0.803271368361927)</f>
        <v>-0.80327136836192703</v>
      </c>
      <c r="LX24" s="3">
        <f ca="1">IFERROR(__xludf.DUMMYFUNCTION("""COMPUTED_VALUE"""),-0.769250299709904)</f>
        <v>-0.769250299709904</v>
      </c>
      <c r="LY24" s="3">
        <f ca="1">IFERROR(__xludf.DUMMYFUNCTION("""COMPUTED_VALUE"""),-0.738806748621287)</f>
        <v>-0.73880674862128703</v>
      </c>
      <c r="LZ24" s="3">
        <f ca="1">IFERROR(__xludf.DUMMYFUNCTION("""COMPUTED_VALUE"""),-0.763235388935187)</f>
        <v>-0.76323538893518705</v>
      </c>
      <c r="MA24" s="3">
        <f ca="1">IFERROR(__xludf.DUMMYFUNCTION("""COMPUTED_VALUE"""),-0.817770272422138)</f>
        <v>-0.81777027242213796</v>
      </c>
      <c r="MB24" s="3">
        <f ca="1">IFERROR(__xludf.DUMMYFUNCTION("""COMPUTED_VALUE"""),-0.827464665867191)</f>
        <v>-0.82746466586719103</v>
      </c>
      <c r="MC24" s="3">
        <f ca="1">IFERROR(__xludf.DUMMYFUNCTION("""COMPUTED_VALUE"""),-0.816804579694637)</f>
        <v>-0.81680457969463705</v>
      </c>
      <c r="MD24" s="3">
        <f ca="1">IFERROR(__xludf.DUMMYFUNCTION("""COMPUTED_VALUE"""),-0.81233118660642)</f>
        <v>-0.81233118660642001</v>
      </c>
      <c r="ME24" s="3">
        <f ca="1">IFERROR(__xludf.DUMMYFUNCTION("""COMPUTED_VALUE"""),-0.834865615474708)</f>
        <v>-0.83486561547470794</v>
      </c>
      <c r="MF24" s="3">
        <f ca="1">IFERROR(__xludf.DUMMYFUNCTION("""COMPUTED_VALUE"""),-0.762589733213875)</f>
        <v>-0.76258973321387502</v>
      </c>
      <c r="MG24" s="3">
        <f ca="1">IFERROR(__xludf.DUMMYFUNCTION("""COMPUTED_VALUE"""),-0.752059160348617)</f>
        <v>-0.75205916034861697</v>
      </c>
      <c r="MH24" s="3">
        <f ca="1">IFERROR(__xludf.DUMMYFUNCTION("""COMPUTED_VALUE"""),-0.824399676067031)</f>
        <v>-0.82439967606703102</v>
      </c>
      <c r="MI24" s="3">
        <f ca="1">IFERROR(__xludf.DUMMYFUNCTION("""COMPUTED_VALUE"""),-0.844653788290665)</f>
        <v>-0.84465378829066495</v>
      </c>
      <c r="MJ24" s="3">
        <f ca="1">IFERROR(__xludf.DUMMYFUNCTION("""COMPUTED_VALUE"""),-0.833102907710648)</f>
        <v>-0.83310290771064799</v>
      </c>
      <c r="MK24" s="3">
        <f ca="1">IFERROR(__xludf.DUMMYFUNCTION("""COMPUTED_VALUE"""),-0.832807218586795)</f>
        <v>-0.83280721858679496</v>
      </c>
      <c r="ML24" s="3">
        <f ca="1">IFERROR(__xludf.DUMMYFUNCTION("""COMPUTED_VALUE"""),-0.811493483584572)</f>
        <v>-0.81149348358457196</v>
      </c>
      <c r="MM24" s="3">
        <f ca="1">IFERROR(__xludf.DUMMYFUNCTION("""COMPUTED_VALUE"""),-0.757082990953082)</f>
        <v>-0.75708299095308196</v>
      </c>
      <c r="MN24" s="3">
        <f ca="1">IFERROR(__xludf.DUMMYFUNCTION("""COMPUTED_VALUE"""),-0.77750827361574)</f>
        <v>-0.77750827361574004</v>
      </c>
      <c r="MO24" s="3">
        <f ca="1">IFERROR(__xludf.DUMMYFUNCTION("""COMPUTED_VALUE"""),-0.816270742554163)</f>
        <v>-0.81627074255416299</v>
      </c>
      <c r="MP24" s="3">
        <f ca="1">IFERROR(__xludf.DUMMYFUNCTION("""COMPUTED_VALUE"""),-0.845995540532629)</f>
        <v>-0.84599554053262904</v>
      </c>
      <c r="MQ24" s="3">
        <f ca="1">IFERROR(__xludf.DUMMYFUNCTION("""COMPUTED_VALUE"""),-0.844455413713312)</f>
        <v>-0.84445541371331201</v>
      </c>
      <c r="MR24" s="3">
        <f ca="1">IFERROR(__xludf.DUMMYFUNCTION("""COMPUTED_VALUE"""),-0.829385185046314)</f>
        <v>-0.82938518504631398</v>
      </c>
      <c r="MS24" s="3">
        <f ca="1">IFERROR(__xludf.DUMMYFUNCTION("""COMPUTED_VALUE"""),-0.792190535113705)</f>
        <v>-0.79219053511370496</v>
      </c>
      <c r="MT24" s="3">
        <f ca="1">IFERROR(__xludf.DUMMYFUNCTION("""COMPUTED_VALUE"""),-0.748218535063137)</f>
        <v>-0.74821853506313696</v>
      </c>
      <c r="MU24" s="3">
        <f ca="1">IFERROR(__xludf.DUMMYFUNCTION("""COMPUTED_VALUE"""),-0.780667498905787)</f>
        <v>-0.78066749890578702</v>
      </c>
      <c r="MV24" s="3">
        <f ca="1">IFERROR(__xludf.DUMMYFUNCTION("""COMPUTED_VALUE"""),-0.822383671003699)</f>
        <v>-0.82238367100369902</v>
      </c>
      <c r="MW24" s="3">
        <f ca="1">IFERROR(__xludf.DUMMYFUNCTION("""COMPUTED_VALUE"""),-0.858128325005363)</f>
        <v>-0.85812832500536296</v>
      </c>
      <c r="MX24" s="3">
        <f ca="1">IFERROR(__xludf.DUMMYFUNCTION("""COMPUTED_VALUE"""),-0.849503669326312)</f>
        <v>-0.84950366932631205</v>
      </c>
      <c r="MY24" s="3">
        <f ca="1">IFERROR(__xludf.DUMMYFUNCTION("""COMPUTED_VALUE"""),-0.846900042574119)</f>
        <v>-0.84690004257411899</v>
      </c>
      <c r="MZ24" s="3">
        <f ca="1">IFERROR(__xludf.DUMMYFUNCTION("""COMPUTED_VALUE"""),-0.825849692869481)</f>
        <v>-0.82584969286948096</v>
      </c>
      <c r="NA24" s="3">
        <f ca="1">IFERROR(__xludf.DUMMYFUNCTION("""COMPUTED_VALUE"""),-0.805467132004773)</f>
        <v>-0.80546713200477305</v>
      </c>
      <c r="NB24" s="3">
        <f ca="1">IFERROR(__xludf.DUMMYFUNCTION("""COMPUTED_VALUE"""),-0.821917284487255)</f>
        <v>-0.82191728448725498</v>
      </c>
      <c r="NC24" s="3">
        <f ca="1">IFERROR(__xludf.DUMMYFUNCTION("""COMPUTED_VALUE"""),-0.868242979585158)</f>
        <v>-0.86824297958515795</v>
      </c>
      <c r="ND24" s="3">
        <f ca="1">IFERROR(__xludf.DUMMYFUNCTION("""COMPUTED_VALUE"""),-0.851460258433417)</f>
        <v>-0.85146025843341699</v>
      </c>
      <c r="NE24" s="3">
        <f ca="1">IFERROR(__xludf.DUMMYFUNCTION("""COMPUTED_VALUE"""),-0.838901892854349)</f>
        <v>-0.83890189285434902</v>
      </c>
      <c r="NF24" s="3">
        <f ca="1">IFERROR(__xludf.DUMMYFUNCTION("""COMPUTED_VALUE"""),-0.847858520874842)</f>
        <v>-0.84785852087484204</v>
      </c>
      <c r="NG24" s="3">
        <f ca="1">IFERROR(__xludf.DUMMYFUNCTION("""COMPUTED_VALUE"""),-0.828771574718435)</f>
        <v>-0.82877157471843499</v>
      </c>
      <c r="NH24" s="3">
        <f ca="1">IFERROR(__xludf.DUMMYFUNCTION("""COMPUTED_VALUE"""),-0.775122725087069)</f>
        <v>-0.77512272508706903</v>
      </c>
      <c r="NI24" s="3">
        <f ca="1">IFERROR(__xludf.DUMMYFUNCTION("""COMPUTED_VALUE"""),-0.784073169444349)</f>
        <v>-0.78407316944434902</v>
      </c>
      <c r="NJ24" s="3">
        <f ca="1">IFERROR(__xludf.DUMMYFUNCTION("""COMPUTED_VALUE"""),-0.805539631010477)</f>
        <v>-0.80553963101047699</v>
      </c>
      <c r="NK24" s="3">
        <f ca="1">IFERROR(__xludf.DUMMYFUNCTION("""COMPUTED_VALUE"""),-0.829755013775905)</f>
        <v>-0.82975501377590499</v>
      </c>
      <c r="NL24" s="3">
        <f ca="1">IFERROR(__xludf.DUMMYFUNCTION("""COMPUTED_VALUE"""),-0.815289183037872)</f>
        <v>-0.81528918303787201</v>
      </c>
      <c r="NM24" s="3">
        <f ca="1">IFERROR(__xludf.DUMMYFUNCTION("""COMPUTED_VALUE"""),-0.814920637208809)</f>
        <v>-0.81492063720880903</v>
      </c>
      <c r="NN24" s="3">
        <f ca="1">IFERROR(__xludf.DUMMYFUNCTION("""COMPUTED_VALUE"""),-0.820696162783305)</f>
        <v>-0.82069616278330504</v>
      </c>
      <c r="NO24" s="3">
        <f ca="1">IFERROR(__xludf.DUMMYFUNCTION("""COMPUTED_VALUE"""),-0.774169000120252)</f>
        <v>-0.77416900012025203</v>
      </c>
      <c r="NP24" s="3">
        <f ca="1">IFERROR(__xludf.DUMMYFUNCTION("""COMPUTED_VALUE"""),-0.80882732623699)</f>
        <v>-0.80882732623699005</v>
      </c>
      <c r="NQ24" s="3">
        <f ca="1">IFERROR(__xludf.DUMMYFUNCTION("""COMPUTED_VALUE"""),-0.82759775014942)</f>
        <v>-0.82759775014942005</v>
      </c>
      <c r="NR24" s="3">
        <f ca="1">IFERROR(__xludf.DUMMYFUNCTION("""COMPUTED_VALUE"""),-0.828223690674395)</f>
        <v>-0.82822369067439505</v>
      </c>
      <c r="NS24" s="3">
        <f ca="1">IFERROR(__xludf.DUMMYFUNCTION("""COMPUTED_VALUE"""),-0.819112268982201)</f>
        <v>-0.81911226898220102</v>
      </c>
      <c r="NT24" s="3">
        <f ca="1">IFERROR(__xludf.DUMMYFUNCTION("""COMPUTED_VALUE"""),-0.805843093675861)</f>
        <v>-0.80584309367586104</v>
      </c>
      <c r="NU24" s="3">
        <f ca="1">IFERROR(__xludf.DUMMYFUNCTION("""COMPUTED_VALUE"""),-0.794297022921064)</f>
        <v>-0.79429702292106397</v>
      </c>
      <c r="NV24" s="3">
        <f ca="1">IFERROR(__xludf.DUMMYFUNCTION("""COMPUTED_VALUE"""),-0.70999564602509)</f>
        <v>-0.70999564602509002</v>
      </c>
      <c r="NW24" s="3">
        <f ca="1">IFERROR(__xludf.DUMMYFUNCTION("""COMPUTED_VALUE"""),-0.704822326846918)</f>
        <v>-0.70482232684691803</v>
      </c>
      <c r="NX24" s="3">
        <f ca="1">IFERROR(__xludf.DUMMYFUNCTION("""COMPUTED_VALUE"""),-0.711126984820797)</f>
        <v>-0.71112698482079695</v>
      </c>
      <c r="NY24" s="3">
        <f ca="1">IFERROR(__xludf.DUMMYFUNCTION("""COMPUTED_VALUE"""),-0.688141539169754)</f>
        <v>-0.68814153916975396</v>
      </c>
      <c r="NZ24" s="3">
        <f ca="1">IFERROR(__xludf.DUMMYFUNCTION("""COMPUTED_VALUE"""),-0.600572470342746)</f>
        <v>-0.60057247034274597</v>
      </c>
      <c r="OA24" s="3">
        <f ca="1">IFERROR(__xludf.DUMMYFUNCTION("""COMPUTED_VALUE"""),-0.502659452005557)</f>
        <v>-0.50265945200555695</v>
      </c>
      <c r="OB24" s="3">
        <f ca="1">IFERROR(__xludf.DUMMYFUNCTION("""COMPUTED_VALUE"""),-0.597466678804139)</f>
        <v>-0.59746667880413895</v>
      </c>
      <c r="OC24" s="3">
        <f ca="1">IFERROR(__xludf.DUMMYFUNCTION("""COMPUTED_VALUE"""),-0.390107567658736)</f>
        <v>-0.390107567658736</v>
      </c>
      <c r="OD24" s="3">
        <f ca="1">IFERROR(__xludf.DUMMYFUNCTION("""COMPUTED_VALUE"""),-0.363645311600666)</f>
        <v>-0.36364531160066599</v>
      </c>
      <c r="OE24" s="3">
        <f ca="1">IFERROR(__xludf.DUMMYFUNCTION("""COMPUTED_VALUE"""),-0.237882792966407)</f>
        <v>-0.23788279296640699</v>
      </c>
      <c r="OF24" s="3">
        <f ca="1">IFERROR(__xludf.DUMMYFUNCTION("""COMPUTED_VALUE"""),-0.0358606667976596)</f>
        <v>-3.5860666797659597E-2</v>
      </c>
      <c r="OG24" s="3">
        <f ca="1">IFERROR(__xludf.DUMMYFUNCTION("""COMPUTED_VALUE"""),-0.0238789655182292)</f>
        <v>-2.3878965518229201E-2</v>
      </c>
      <c r="OH24" s="3">
        <f ca="1">IFERROR(__xludf.DUMMYFUNCTION("""COMPUTED_VALUE"""),0.0169323610638292)</f>
        <v>1.6932361063829199E-2</v>
      </c>
      <c r="OI24" s="3">
        <f ca="1">IFERROR(__xludf.DUMMYFUNCTION("""COMPUTED_VALUE"""),0.000629165263710485)</f>
        <v>6.2916526371048498E-4</v>
      </c>
      <c r="OJ24" s="3">
        <f ca="1">IFERROR(__xludf.DUMMYFUNCTION("""COMPUTED_VALUE"""),-0.105748114164285)</f>
        <v>-0.10574811416428501</v>
      </c>
      <c r="OK24" s="3">
        <f ca="1">IFERROR(__xludf.DUMMYFUNCTION("""COMPUTED_VALUE"""),-0.109838791259467)</f>
        <v>-0.10983879125946699</v>
      </c>
      <c r="OL24" s="3">
        <f ca="1">IFERROR(__xludf.DUMMYFUNCTION("""COMPUTED_VALUE"""),0.0322789062441966)</f>
        <v>3.2278906244196597E-2</v>
      </c>
      <c r="OM24" s="3">
        <f ca="1">IFERROR(__xludf.DUMMYFUNCTION("""COMPUTED_VALUE"""),0.0395440144791194)</f>
        <v>3.9544014479119399E-2</v>
      </c>
      <c r="ON24" s="3">
        <f ca="1">IFERROR(__xludf.DUMMYFUNCTION("""COMPUTED_VALUE"""),0.0425082907720657)</f>
        <v>4.25082907720657E-2</v>
      </c>
      <c r="OO24" s="3">
        <f ca="1">IFERROR(__xludf.DUMMYFUNCTION("""COMPUTED_VALUE"""),0.0467766321574409)</f>
        <v>4.6776632157440899E-2</v>
      </c>
      <c r="OP24" s="3">
        <f ca="1">IFERROR(__xludf.DUMMYFUNCTION("""COMPUTED_VALUE"""),0.0617548423237321)</f>
        <v>6.1754842323732101E-2</v>
      </c>
      <c r="OQ24" s="3">
        <f ca="1">IFERROR(__xludf.DUMMYFUNCTION("""COMPUTED_VALUE"""),0.0003607485536814)</f>
        <v>3.6074855368139997E-4</v>
      </c>
      <c r="OR24" s="3">
        <f ca="1">IFERROR(__xludf.DUMMYFUNCTION("""COMPUTED_VALUE"""),-0.0607270380662656)</f>
        <v>-6.0727038066265601E-2</v>
      </c>
      <c r="OS24" s="3">
        <f ca="1">IFERROR(__xludf.DUMMYFUNCTION("""COMPUTED_VALUE"""),-0.0211240739614981)</f>
        <v>-2.11240739614981E-2</v>
      </c>
      <c r="OT24" s="3">
        <f ca="1">IFERROR(__xludf.DUMMYFUNCTION("""COMPUTED_VALUE"""),-0.00258446104252207)</f>
        <v>-2.5844610425220702E-3</v>
      </c>
      <c r="OU24" s="3">
        <f ca="1">IFERROR(__xludf.DUMMYFUNCTION("""COMPUTED_VALUE"""),0.0673765712089859)</f>
        <v>6.7376571208985894E-2</v>
      </c>
      <c r="OV24" s="3">
        <f ca="1">IFERROR(__xludf.DUMMYFUNCTION("""COMPUTED_VALUE"""),0.0979870339190767)</f>
        <v>9.7987033919076705E-2</v>
      </c>
      <c r="OW24" s="3">
        <f ca="1">IFERROR(__xludf.DUMMYFUNCTION("""COMPUTED_VALUE"""),0.229225253221502)</f>
        <v>0.229225253221502</v>
      </c>
      <c r="OX24" s="3">
        <f ca="1">IFERROR(__xludf.DUMMYFUNCTION("""COMPUTED_VALUE"""),-0.0605637302108327)</f>
        <v>-6.0563730210832702E-2</v>
      </c>
      <c r="OY24" s="3">
        <f ca="1">IFERROR(__xludf.DUMMYFUNCTION("""COMPUTED_VALUE"""),0.0376753539723364)</f>
        <v>3.7675353972336401E-2</v>
      </c>
      <c r="OZ24" s="3">
        <f ca="1">IFERROR(__xludf.DUMMYFUNCTION("""COMPUTED_VALUE"""),-0.00456190449679494)</f>
        <v>-4.5619044967949397E-3</v>
      </c>
      <c r="PA24" s="3">
        <f ca="1">IFERROR(__xludf.DUMMYFUNCTION("""COMPUTED_VALUE"""),-0.0313852198212494)</f>
        <v>-3.1385219821249401E-2</v>
      </c>
      <c r="PB24" s="3">
        <f ca="1">IFERROR(__xludf.DUMMYFUNCTION("""COMPUTED_VALUE"""),-0.0732703397328569)</f>
        <v>-7.3270339732856904E-2</v>
      </c>
      <c r="PC24" s="3">
        <f ca="1">IFERROR(__xludf.DUMMYFUNCTION("""COMPUTED_VALUE"""),-0.237456707475403)</f>
        <v>-0.23745670747540301</v>
      </c>
      <c r="PD24" s="3">
        <f ca="1">IFERROR(__xludf.DUMMYFUNCTION("""COMPUTED_VALUE"""),-0.475753256958769)</f>
        <v>-0.47575325695876902</v>
      </c>
      <c r="PE24" s="3">
        <f ca="1">IFERROR(__xludf.DUMMYFUNCTION("""COMPUTED_VALUE"""),0.00239293898280013)</f>
        <v>2.3929389828001302E-3</v>
      </c>
      <c r="PF24" s="3">
        <f ca="1">IFERROR(__xludf.DUMMYFUNCTION("""COMPUTED_VALUE"""),-0.0296087280199863)</f>
        <v>-2.9608728019986302E-2</v>
      </c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</row>
    <row r="25" spans="1:594" ht="15.75" customHeight="1">
      <c r="A25" s="1" t="str">
        <f ca="1">IFERROR(__xludf.DUMMYFUNCTION("""COMPUTED_VALUE"""),"Fort Myers")</f>
        <v>Fort Myers</v>
      </c>
      <c r="B25" s="3">
        <f ca="1">IFERROR(__xludf.DUMMYFUNCTION("""COMPUTED_VALUE"""),0.0426632964459563)</f>
        <v>4.2663296445956303E-2</v>
      </c>
      <c r="C25" s="3">
        <f ca="1">IFERROR(__xludf.DUMMYFUNCTION("""COMPUTED_VALUE"""),-0.147229282990776)</f>
        <v>-0.14722928299077601</v>
      </c>
      <c r="D25" s="3">
        <f ca="1">IFERROR(__xludf.DUMMYFUNCTION("""COMPUTED_VALUE"""),0.0213236176952942)</f>
        <v>2.13236176952942E-2</v>
      </c>
      <c r="E25" s="3">
        <f ca="1">IFERROR(__xludf.DUMMYFUNCTION("""COMPUTED_VALUE"""),0.00743820210914747)</f>
        <v>7.4382021091474702E-3</v>
      </c>
      <c r="F25" s="3">
        <f ca="1">IFERROR(__xludf.DUMMYFUNCTION("""COMPUTED_VALUE"""),-0.0225561183658529)</f>
        <v>-2.25561183658529E-2</v>
      </c>
      <c r="G25" s="3">
        <f ca="1">IFERROR(__xludf.DUMMYFUNCTION("""COMPUTED_VALUE"""),0.0044153094269399)</f>
        <v>4.4153094269399002E-3</v>
      </c>
      <c r="H25" s="3">
        <f ca="1">IFERROR(__xludf.DUMMYFUNCTION("""COMPUTED_VALUE"""),0.146809749640845)</f>
        <v>0.14680974964084501</v>
      </c>
      <c r="I25" s="3">
        <f ca="1">IFERROR(__xludf.DUMMYFUNCTION("""COMPUTED_VALUE"""),0.14835894986948)</f>
        <v>0.14835894986948001</v>
      </c>
      <c r="J25" s="3">
        <f ca="1">IFERROR(__xludf.DUMMYFUNCTION("""COMPUTED_VALUE"""),0.0292692023066043)</f>
        <v>2.9269202306604299E-2</v>
      </c>
      <c r="K25" s="3">
        <f ca="1">IFERROR(__xludf.DUMMYFUNCTION("""COMPUTED_VALUE"""),0.0166164597795317)</f>
        <v>1.66164597795317E-2</v>
      </c>
      <c r="L25" s="3">
        <f ca="1">IFERROR(__xludf.DUMMYFUNCTION("""COMPUTED_VALUE"""),-0.0970230651976893)</f>
        <v>-9.7023065197689301E-2</v>
      </c>
      <c r="M25" s="3">
        <f ca="1">IFERROR(__xludf.DUMMYFUNCTION("""COMPUTED_VALUE"""),0.0382799934513859)</f>
        <v>3.8279993451385899E-2</v>
      </c>
      <c r="N25" s="3">
        <f ca="1">IFERROR(__xludf.DUMMYFUNCTION("""COMPUTED_VALUE"""),-0.0466370732612376)</f>
        <v>-4.6637073261237602E-2</v>
      </c>
      <c r="O25" s="3">
        <f ca="1">IFERROR(__xludf.DUMMYFUNCTION("""COMPUTED_VALUE"""),0.405732133492511)</f>
        <v>0.40573213349251103</v>
      </c>
      <c r="P25" s="3">
        <f ca="1">IFERROR(__xludf.DUMMYFUNCTION("""COMPUTED_VALUE"""),0.176690267850375)</f>
        <v>0.176690267850375</v>
      </c>
      <c r="Q25" s="3">
        <f ca="1">IFERROR(__xludf.DUMMYFUNCTION("""COMPUTED_VALUE"""),-0.08149046892423)</f>
        <v>-8.1490468924229995E-2</v>
      </c>
      <c r="R25" s="3">
        <f ca="1">IFERROR(__xludf.DUMMYFUNCTION("""COMPUTED_VALUE"""),-0.0885797386648639)</f>
        <v>-8.8579738664863905E-2</v>
      </c>
      <c r="S25" s="3">
        <f ca="1">IFERROR(__xludf.DUMMYFUNCTION("""COMPUTED_VALUE"""),-0.248832702374511)</f>
        <v>-0.24883270237451099</v>
      </c>
      <c r="T25" s="3">
        <f ca="1">IFERROR(__xludf.DUMMYFUNCTION("""COMPUTED_VALUE"""),-0.121044330028202)</f>
        <v>-0.121044330028202</v>
      </c>
      <c r="U25" s="3">
        <f ca="1">IFERROR(__xludf.DUMMYFUNCTION("""COMPUTED_VALUE"""),-0.118034737752901)</f>
        <v>-0.11803473775290101</v>
      </c>
      <c r="V25" s="3">
        <f ca="1">IFERROR(__xludf.DUMMYFUNCTION("""COMPUTED_VALUE"""),-0.119472448732159)</f>
        <v>-0.119472448732159</v>
      </c>
      <c r="W25" s="3">
        <f ca="1">IFERROR(__xludf.DUMMYFUNCTION("""COMPUTED_VALUE"""),0.121122007206526)</f>
        <v>0.12112200720652599</v>
      </c>
      <c r="X25" s="3">
        <f ca="1">IFERROR(__xludf.DUMMYFUNCTION("""COMPUTED_VALUE"""),-0.082488853144383)</f>
        <v>-8.2488853144383006E-2</v>
      </c>
      <c r="Y25" s="3">
        <f ca="1">IFERROR(__xludf.DUMMYFUNCTION("""COMPUTED_VALUE"""),-0.17372338734083)</f>
        <v>-0.17372338734083001</v>
      </c>
      <c r="Z25" s="3">
        <f ca="1">IFERROR(__xludf.DUMMYFUNCTION("""COMPUTED_VALUE"""),-0.135165850163802)</f>
        <v>-0.135165850163802</v>
      </c>
      <c r="AA25" s="3">
        <f ca="1">IFERROR(__xludf.DUMMYFUNCTION("""COMPUTED_VALUE"""),-0.260237901224856)</f>
        <v>-0.26023790122485602</v>
      </c>
      <c r="AB25" s="3">
        <f ca="1">IFERROR(__xludf.DUMMYFUNCTION("""COMPUTED_VALUE"""),-0.257535589053414)</f>
        <v>-0.257535589053414</v>
      </c>
      <c r="AC25" s="3">
        <f ca="1">IFERROR(__xludf.DUMMYFUNCTION("""COMPUTED_VALUE"""),-0.309592845308147)</f>
        <v>-0.30959284530814701</v>
      </c>
      <c r="AD25" s="3">
        <f ca="1">IFERROR(__xludf.DUMMYFUNCTION("""COMPUTED_VALUE"""),-0.0514314267821158)</f>
        <v>-5.1431426782115798E-2</v>
      </c>
      <c r="AE25" s="3">
        <f ca="1">IFERROR(__xludf.DUMMYFUNCTION("""COMPUTED_VALUE"""),-0.188316600544956)</f>
        <v>-0.188316600544956</v>
      </c>
      <c r="AF25" s="3">
        <f ca="1">IFERROR(__xludf.DUMMYFUNCTION("""COMPUTED_VALUE"""),-0.302798176933853)</f>
        <v>-0.30279817693385302</v>
      </c>
      <c r="AG25" s="3">
        <f ca="1">IFERROR(__xludf.DUMMYFUNCTION("""COMPUTED_VALUE"""),-0.324732496780974)</f>
        <v>-0.32473249678097399</v>
      </c>
      <c r="AH25" s="3">
        <f ca="1">IFERROR(__xludf.DUMMYFUNCTION("""COMPUTED_VALUE"""),-0.359959086175117)</f>
        <v>-0.35995908617511702</v>
      </c>
      <c r="AI25" s="3">
        <f ca="1">IFERROR(__xludf.DUMMYFUNCTION("""COMPUTED_VALUE"""),-0.418043334387939)</f>
        <v>-0.418043334387939</v>
      </c>
      <c r="AJ25" s="3">
        <f ca="1">IFERROR(__xludf.DUMMYFUNCTION("""COMPUTED_VALUE"""),-0.366184320912146)</f>
        <v>-0.36618432091214598</v>
      </c>
      <c r="AK25" s="3">
        <f ca="1">IFERROR(__xludf.DUMMYFUNCTION("""COMPUTED_VALUE"""),-0.438600062412111)</f>
        <v>-0.43860006241211102</v>
      </c>
      <c r="AL25" s="3">
        <f ca="1">IFERROR(__xludf.DUMMYFUNCTION("""COMPUTED_VALUE"""),-0.305230201223373)</f>
        <v>-0.30523020122337302</v>
      </c>
      <c r="AM25" s="3">
        <f ca="1">IFERROR(__xludf.DUMMYFUNCTION("""COMPUTED_VALUE"""),-0.374100515635327)</f>
        <v>-0.37410051563532698</v>
      </c>
      <c r="AN25" s="3">
        <f ca="1">IFERROR(__xludf.DUMMYFUNCTION("""COMPUTED_VALUE"""),-0.357557833486813)</f>
        <v>-0.35755783348681303</v>
      </c>
      <c r="AO25" s="3">
        <f ca="1">IFERROR(__xludf.DUMMYFUNCTION("""COMPUTED_VALUE"""),-0.405608980732277)</f>
        <v>-0.40560898073227702</v>
      </c>
      <c r="AP25" s="3">
        <f ca="1">IFERROR(__xludf.DUMMYFUNCTION("""COMPUTED_VALUE"""),-0.454939362703658)</f>
        <v>-0.45493936270365798</v>
      </c>
      <c r="AQ25" s="3">
        <f ca="1">IFERROR(__xludf.DUMMYFUNCTION("""COMPUTED_VALUE"""),-0.335443582784554)</f>
        <v>-0.335443582784554</v>
      </c>
      <c r="AR25" s="3">
        <f ca="1">IFERROR(__xludf.DUMMYFUNCTION("""COMPUTED_VALUE"""),-0.233000065761143)</f>
        <v>-0.23300006576114299</v>
      </c>
      <c r="AS25" s="3">
        <f ca="1">IFERROR(__xludf.DUMMYFUNCTION("""COMPUTED_VALUE"""),-0.303684518854578)</f>
        <v>-0.30368451885457798</v>
      </c>
      <c r="AT25" s="3">
        <f ca="1">IFERROR(__xludf.DUMMYFUNCTION("""COMPUTED_VALUE"""),-0.435625081803184)</f>
        <v>-0.43562508180318399</v>
      </c>
      <c r="AU25" s="3">
        <f ca="1">IFERROR(__xludf.DUMMYFUNCTION("""COMPUTED_VALUE"""),-0.271440147792875)</f>
        <v>-0.27144014779287501</v>
      </c>
      <c r="AV25" s="3">
        <f ca="1">IFERROR(__xludf.DUMMYFUNCTION("""COMPUTED_VALUE"""),-0.369247206667371)</f>
        <v>-0.36924720666737099</v>
      </c>
      <c r="AW25" s="3">
        <f ca="1">IFERROR(__xludf.DUMMYFUNCTION("""COMPUTED_VALUE"""),-0.477843978996755)</f>
        <v>-0.47784397899675501</v>
      </c>
      <c r="AX25" s="3">
        <f ca="1">IFERROR(__xludf.DUMMYFUNCTION("""COMPUTED_VALUE"""),-0.278306352096081)</f>
        <v>-0.27830635209608101</v>
      </c>
      <c r="AY25" s="3">
        <f ca="1">IFERROR(__xludf.DUMMYFUNCTION("""COMPUTED_VALUE"""),-0.337364783865927)</f>
        <v>-0.337364783865927</v>
      </c>
      <c r="AZ25" s="3">
        <f ca="1">IFERROR(__xludf.DUMMYFUNCTION("""COMPUTED_VALUE"""),-0.431508709319273)</f>
        <v>-0.43150870931927299</v>
      </c>
      <c r="BA25" s="3">
        <f ca="1">IFERROR(__xludf.DUMMYFUNCTION("""COMPUTED_VALUE"""),-0.43172948719886)</f>
        <v>-0.43172948719886001</v>
      </c>
      <c r="BB25" s="3">
        <f ca="1">IFERROR(__xludf.DUMMYFUNCTION("""COMPUTED_VALUE"""),-0.278272832508513)</f>
        <v>-0.27827283250851298</v>
      </c>
      <c r="BC25" s="3">
        <f ca="1">IFERROR(__xludf.DUMMYFUNCTION("""COMPUTED_VALUE"""),-0.346940379002234)</f>
        <v>-0.34694037900223401</v>
      </c>
      <c r="BD25" s="3">
        <f ca="1">IFERROR(__xludf.DUMMYFUNCTION("""COMPUTED_VALUE"""),-0.487250783977468)</f>
        <v>-0.48725078397746802</v>
      </c>
      <c r="BE25" s="3">
        <f ca="1">IFERROR(__xludf.DUMMYFUNCTION("""COMPUTED_VALUE"""),-0.326534276925637)</f>
        <v>-0.32653427692563702</v>
      </c>
      <c r="BF25" s="3">
        <f ca="1">IFERROR(__xludf.DUMMYFUNCTION("""COMPUTED_VALUE"""),-0.302123521011551)</f>
        <v>-0.30212352101155099</v>
      </c>
      <c r="BG25" s="3">
        <f ca="1">IFERROR(__xludf.DUMMYFUNCTION("""COMPUTED_VALUE"""),-0.420207996545777)</f>
        <v>-0.42020799654577701</v>
      </c>
      <c r="BH25" s="3">
        <f ca="1">IFERROR(__xludf.DUMMYFUNCTION("""COMPUTED_VALUE"""),-0.516623426303774)</f>
        <v>-0.516623426303774</v>
      </c>
      <c r="BI25" s="3">
        <f ca="1">IFERROR(__xludf.DUMMYFUNCTION("""COMPUTED_VALUE"""),-0.504044780043115)</f>
        <v>-0.50404478004311504</v>
      </c>
      <c r="BJ25" s="3">
        <f ca="1">IFERROR(__xludf.DUMMYFUNCTION("""COMPUTED_VALUE"""),-0.51850869888416)</f>
        <v>-0.51850869888415996</v>
      </c>
      <c r="BK25" s="3">
        <f ca="1">IFERROR(__xludf.DUMMYFUNCTION("""COMPUTED_VALUE"""),-0.339347384760361)</f>
        <v>-0.33934738476036103</v>
      </c>
      <c r="BL25" s="3">
        <f ca="1">IFERROR(__xludf.DUMMYFUNCTION("""COMPUTED_VALUE"""),-0.401849782774958)</f>
        <v>-0.40184978277495798</v>
      </c>
      <c r="BM25" s="3">
        <f ca="1">IFERROR(__xludf.DUMMYFUNCTION("""COMPUTED_VALUE"""),-0.389376859210551)</f>
        <v>-0.38937685921055099</v>
      </c>
      <c r="BN25" s="3">
        <f ca="1">IFERROR(__xludf.DUMMYFUNCTION("""COMPUTED_VALUE"""),-0.304214424255366)</f>
        <v>-0.30421442425536599</v>
      </c>
      <c r="BO25" s="3">
        <f ca="1">IFERROR(__xludf.DUMMYFUNCTION("""COMPUTED_VALUE"""),-0.488267237427124)</f>
        <v>-0.48826723742712402</v>
      </c>
      <c r="BP25" s="3">
        <f ca="1">IFERROR(__xludf.DUMMYFUNCTION("""COMPUTED_VALUE"""),-0.287160440749381)</f>
        <v>-0.28716044074938102</v>
      </c>
      <c r="BQ25" s="3">
        <f ca="1">IFERROR(__xludf.DUMMYFUNCTION("""COMPUTED_VALUE"""),-0.488496111867009)</f>
        <v>-0.48849611186700898</v>
      </c>
      <c r="BR25" s="3">
        <f ca="1">IFERROR(__xludf.DUMMYFUNCTION("""COMPUTED_VALUE"""),-0.431933236954834)</f>
        <v>-0.43193323695483399</v>
      </c>
      <c r="BS25" s="3">
        <f ca="1">IFERROR(__xludf.DUMMYFUNCTION("""COMPUTED_VALUE"""),-0.460863333286489)</f>
        <v>-0.46086333328648899</v>
      </c>
      <c r="BT25" s="3">
        <f ca="1">IFERROR(__xludf.DUMMYFUNCTION("""COMPUTED_VALUE"""),-0.285622067312609)</f>
        <v>-0.28562206731260897</v>
      </c>
      <c r="BU25" s="3">
        <f ca="1">IFERROR(__xludf.DUMMYFUNCTION("""COMPUTED_VALUE"""),-0.396741526542539)</f>
        <v>-0.39674152654253902</v>
      </c>
      <c r="BV25" s="3">
        <f ca="1">IFERROR(__xludf.DUMMYFUNCTION("""COMPUTED_VALUE"""),-0.457330483570991)</f>
        <v>-0.45733048357099099</v>
      </c>
      <c r="BW25" s="3">
        <f ca="1">IFERROR(__xludf.DUMMYFUNCTION("""COMPUTED_VALUE"""),-0.286155981035983)</f>
        <v>-0.286155981035983</v>
      </c>
      <c r="BX25" s="3">
        <f ca="1">IFERROR(__xludf.DUMMYFUNCTION("""COMPUTED_VALUE"""),-0.418744829302328)</f>
        <v>-0.41874482930232798</v>
      </c>
      <c r="BY25" s="3">
        <f ca="1">IFERROR(__xludf.DUMMYFUNCTION("""COMPUTED_VALUE"""),-0.389665462414944)</f>
        <v>-0.38966546241494399</v>
      </c>
      <c r="BZ25" s="3">
        <f ca="1">IFERROR(__xludf.DUMMYFUNCTION("""COMPUTED_VALUE"""),-0.509867651364387)</f>
        <v>-0.50986765136438705</v>
      </c>
      <c r="CA25" s="3">
        <f ca="1">IFERROR(__xludf.DUMMYFUNCTION("""COMPUTED_VALUE"""),-0.348022840832697)</f>
        <v>-0.34802284083269702</v>
      </c>
      <c r="CB25" s="3">
        <f ca="1">IFERROR(__xludf.DUMMYFUNCTION("""COMPUTED_VALUE"""),-0.517710262957794)</f>
        <v>-0.51771026295779399</v>
      </c>
      <c r="CC25" s="3">
        <f ca="1">IFERROR(__xludf.DUMMYFUNCTION("""COMPUTED_VALUE"""),-0.49442527051133)</f>
        <v>-0.49442527051133001</v>
      </c>
      <c r="CD25" s="3">
        <f ca="1">IFERROR(__xludf.DUMMYFUNCTION("""COMPUTED_VALUE"""),-0.463204118321225)</f>
        <v>-0.46320411832122499</v>
      </c>
      <c r="CE25" s="3">
        <f ca="1">IFERROR(__xludf.DUMMYFUNCTION("""COMPUTED_VALUE"""),-0.529128100272323)</f>
        <v>-0.52912810027232304</v>
      </c>
      <c r="CF25" s="3">
        <f ca="1">IFERROR(__xludf.DUMMYFUNCTION("""COMPUTED_VALUE"""),-0.501005729047725)</f>
        <v>-0.501005729047725</v>
      </c>
      <c r="CG25" s="3">
        <f ca="1">IFERROR(__xludf.DUMMYFUNCTION("""COMPUTED_VALUE"""),-0.534168564919794)</f>
        <v>-0.53416856491979403</v>
      </c>
      <c r="CH25" s="3">
        <f ca="1">IFERROR(__xludf.DUMMYFUNCTION("""COMPUTED_VALUE"""),-0.410236873551231)</f>
        <v>-0.41023687355123101</v>
      </c>
      <c r="CI25" s="3">
        <f ca="1">IFERROR(__xludf.DUMMYFUNCTION("""COMPUTED_VALUE"""),-0.565345275000439)</f>
        <v>-0.56534527500043896</v>
      </c>
      <c r="CJ25" s="3">
        <f ca="1">IFERROR(__xludf.DUMMYFUNCTION("""COMPUTED_VALUE"""),-0.438796379221178)</f>
        <v>-0.43879637922117798</v>
      </c>
      <c r="CK25" s="3">
        <f ca="1">IFERROR(__xludf.DUMMYFUNCTION("""COMPUTED_VALUE"""),-0.467781299913358)</f>
        <v>-0.46778129991335798</v>
      </c>
      <c r="CL25" s="3">
        <f ca="1">IFERROR(__xludf.DUMMYFUNCTION("""COMPUTED_VALUE"""),-0.480478992416281)</f>
        <v>-0.480478992416281</v>
      </c>
      <c r="CM25" s="3">
        <f ca="1">IFERROR(__xludf.DUMMYFUNCTION("""COMPUTED_VALUE"""),-0.481720017208613)</f>
        <v>-0.48172001720861302</v>
      </c>
      <c r="CN25" s="3">
        <f ca="1">IFERROR(__xludf.DUMMYFUNCTION("""COMPUTED_VALUE"""),-0.430994303140846)</f>
        <v>-0.43099430314084602</v>
      </c>
      <c r="CO25" s="3">
        <f ca="1">IFERROR(__xludf.DUMMYFUNCTION("""COMPUTED_VALUE"""),-0.424694409777738)</f>
        <v>-0.42469440977773798</v>
      </c>
      <c r="CP25" s="3">
        <f ca="1">IFERROR(__xludf.DUMMYFUNCTION("""COMPUTED_VALUE"""),-0.415225460546998)</f>
        <v>-0.41522546054699799</v>
      </c>
      <c r="CQ25" s="3">
        <f ca="1">IFERROR(__xludf.DUMMYFUNCTION("""COMPUTED_VALUE"""),-0.360628005038551)</f>
        <v>-0.36062800503855102</v>
      </c>
      <c r="CR25" s="3">
        <f ca="1">IFERROR(__xludf.DUMMYFUNCTION("""COMPUTED_VALUE"""),-0.19581418237173)</f>
        <v>-0.19581418237173001</v>
      </c>
      <c r="CS25" s="3">
        <f ca="1">IFERROR(__xludf.DUMMYFUNCTION("""COMPUTED_VALUE"""),-0.412266147550219)</f>
        <v>-0.41226614755021901</v>
      </c>
      <c r="CT25" s="3">
        <f ca="1">IFERROR(__xludf.DUMMYFUNCTION("""COMPUTED_VALUE"""),-0.32795401403693)</f>
        <v>-0.32795401403692997</v>
      </c>
      <c r="CU25" s="3">
        <f ca="1">IFERROR(__xludf.DUMMYFUNCTION("""COMPUTED_VALUE"""),-0.318187741942939)</f>
        <v>-0.31818774194293897</v>
      </c>
      <c r="CV25" s="3">
        <f ca="1">IFERROR(__xludf.DUMMYFUNCTION("""COMPUTED_VALUE"""),-0.399896497338931)</f>
        <v>-0.39989649733893101</v>
      </c>
      <c r="CW25" s="3">
        <f ca="1">IFERROR(__xludf.DUMMYFUNCTION("""COMPUTED_VALUE"""),-0.921628419237329)</f>
        <v>-0.92162841923732897</v>
      </c>
      <c r="CX25" s="3">
        <f ca="1">IFERROR(__xludf.DUMMYFUNCTION("""COMPUTED_VALUE"""),-0.359710209850679)</f>
        <v>-0.35971020985067897</v>
      </c>
      <c r="CY25" s="3">
        <f ca="1">IFERROR(__xludf.DUMMYFUNCTION("""COMPUTED_VALUE"""),0.378904759447104)</f>
        <v>0.378904759447104</v>
      </c>
      <c r="CZ25" s="3">
        <f ca="1">IFERROR(__xludf.DUMMYFUNCTION("""COMPUTED_VALUE"""),-0.348399531523997)</f>
        <v>-0.348399531523997</v>
      </c>
      <c r="DA25" s="3">
        <f ca="1">IFERROR(__xludf.DUMMYFUNCTION("""COMPUTED_VALUE"""),-0.405505853651997)</f>
        <v>-0.40550585365199698</v>
      </c>
      <c r="DB25" s="3">
        <f ca="1">IFERROR(__xludf.DUMMYFUNCTION("""COMPUTED_VALUE"""),-0.308265906120758)</f>
        <v>-0.30826590612075799</v>
      </c>
      <c r="DC25" s="3">
        <f ca="1">IFERROR(__xludf.DUMMYFUNCTION("""COMPUTED_VALUE"""),-0.354719122542495)</f>
        <v>-0.35471912254249499</v>
      </c>
      <c r="DD25" s="3">
        <f ca="1">IFERROR(__xludf.DUMMYFUNCTION("""COMPUTED_VALUE"""),-0.964629217434075)</f>
        <v>-0.96462921743407504</v>
      </c>
      <c r="DE25" s="3">
        <f ca="1">IFERROR(__xludf.DUMMYFUNCTION("""COMPUTED_VALUE"""),-0.478750572537923)</f>
        <v>-0.47875057253792302</v>
      </c>
      <c r="DF25" s="3">
        <f ca="1">IFERROR(__xludf.DUMMYFUNCTION("""COMPUTED_VALUE"""),0.804294623758714)</f>
        <v>0.80429462375871397</v>
      </c>
      <c r="DG25" s="3">
        <f ca="1">IFERROR(__xludf.DUMMYFUNCTION("""COMPUTED_VALUE"""),-0.442826426388059)</f>
        <v>-0.44282642638805902</v>
      </c>
      <c r="DH25" s="3">
        <f ca="1">IFERROR(__xludf.DUMMYFUNCTION("""COMPUTED_VALUE"""),-0.449049956140896)</f>
        <v>-0.44904995614089599</v>
      </c>
      <c r="DI25" s="3">
        <f ca="1">IFERROR(__xludf.DUMMYFUNCTION("""COMPUTED_VALUE"""),-0.367085849212828)</f>
        <v>-0.367085849212828</v>
      </c>
      <c r="DJ25" s="3">
        <f ca="1">IFERROR(__xludf.DUMMYFUNCTION("""COMPUTED_VALUE"""),-0.304865889375989)</f>
        <v>-0.30486588937598902</v>
      </c>
      <c r="DK25" s="3">
        <f ca="1">IFERROR(__xludf.DUMMYFUNCTION("""COMPUTED_VALUE"""),-0.389732451727129)</f>
        <v>-0.389732451727129</v>
      </c>
      <c r="DL25" s="3">
        <f ca="1">IFERROR(__xludf.DUMMYFUNCTION("""COMPUTED_VALUE"""),-0.410847771484339)</f>
        <v>-0.41084777148433899</v>
      </c>
      <c r="DM25" s="3">
        <f ca="1">IFERROR(__xludf.DUMMYFUNCTION("""COMPUTED_VALUE"""),0.0710919332236597)</f>
        <v>7.1091933223659698E-2</v>
      </c>
      <c r="DN25" s="3">
        <f ca="1">IFERROR(__xludf.DUMMYFUNCTION("""COMPUTED_VALUE"""),-0.334995931272812)</f>
        <v>-0.33499593127281202</v>
      </c>
      <c r="DO25" s="3">
        <f ca="1">IFERROR(__xludf.DUMMYFUNCTION("""COMPUTED_VALUE"""),-0.357851648600903)</f>
        <v>-0.35785164860090302</v>
      </c>
      <c r="DP25" s="3">
        <f ca="1">IFERROR(__xludf.DUMMYFUNCTION("""COMPUTED_VALUE"""),-0.222568881585112)</f>
        <v>-0.22256888158511201</v>
      </c>
      <c r="DQ25" s="3">
        <f ca="1">IFERROR(__xludf.DUMMYFUNCTION("""COMPUTED_VALUE"""),-0.363147552051574)</f>
        <v>-0.36314755205157401</v>
      </c>
      <c r="DR25" s="3">
        <f ca="1">IFERROR(__xludf.DUMMYFUNCTION("""COMPUTED_VALUE"""),-0.383073615197967)</f>
        <v>-0.38307361519796701</v>
      </c>
      <c r="DS25" s="3">
        <f ca="1">IFERROR(__xludf.DUMMYFUNCTION("""COMPUTED_VALUE"""),-0.321644314399394)</f>
        <v>-0.321644314399394</v>
      </c>
      <c r="DT25" s="3">
        <f ca="1">IFERROR(__xludf.DUMMYFUNCTION("""COMPUTED_VALUE"""),-0.357295504456879)</f>
        <v>-0.35729550445687902</v>
      </c>
      <c r="DU25" s="3">
        <f ca="1">IFERROR(__xludf.DUMMYFUNCTION("""COMPUTED_VALUE"""),-0.317682835538259)</f>
        <v>-0.31768283553825899</v>
      </c>
      <c r="DV25" s="3">
        <f ca="1">IFERROR(__xludf.DUMMYFUNCTION("""COMPUTED_VALUE"""),-0.419350199010799)</f>
        <v>-0.41935019901079901</v>
      </c>
      <c r="DW25" s="3">
        <f ca="1">IFERROR(__xludf.DUMMYFUNCTION("""COMPUTED_VALUE"""),-0.245621414992819)</f>
        <v>-0.245621414992819</v>
      </c>
      <c r="DX25" s="3">
        <f ca="1">IFERROR(__xludf.DUMMYFUNCTION("""COMPUTED_VALUE"""),-0.194929020663619)</f>
        <v>-0.194929020663619</v>
      </c>
      <c r="DY25" s="3">
        <f ca="1">IFERROR(__xludf.DUMMYFUNCTION("""COMPUTED_VALUE"""),-0.321408947409573)</f>
        <v>-0.32140894740957299</v>
      </c>
      <c r="DZ25" s="3">
        <f ca="1">IFERROR(__xludf.DUMMYFUNCTION("""COMPUTED_VALUE"""),0.0199230782242223)</f>
        <v>1.9923078224222301E-2</v>
      </c>
      <c r="EA25" s="3">
        <f ca="1">IFERROR(__xludf.DUMMYFUNCTION("""COMPUTED_VALUE"""),-0.358704373034976)</f>
        <v>-0.35870437303497599</v>
      </c>
      <c r="EB25" s="3">
        <f ca="1">IFERROR(__xludf.DUMMYFUNCTION("""COMPUTED_VALUE"""),-0.228102914567207)</f>
        <v>-0.22810291456720699</v>
      </c>
      <c r="EC25" s="3">
        <f ca="1">IFERROR(__xludf.DUMMYFUNCTION("""COMPUTED_VALUE"""),-0.379875410652664)</f>
        <v>-0.379875410652664</v>
      </c>
      <c r="ED25" s="3">
        <f ca="1">IFERROR(__xludf.DUMMYFUNCTION("""COMPUTED_VALUE"""),-0.21094381790839)</f>
        <v>-0.21094381790839001</v>
      </c>
      <c r="EE25" s="3">
        <f ca="1">IFERROR(__xludf.DUMMYFUNCTION("""COMPUTED_VALUE"""),-0.279008410912649)</f>
        <v>-0.279008410912649</v>
      </c>
      <c r="EF25" s="3">
        <f ca="1">IFERROR(__xludf.DUMMYFUNCTION("""COMPUTED_VALUE"""),-0.355805068569538)</f>
        <v>-0.35580506856953797</v>
      </c>
      <c r="EG25" s="3">
        <f ca="1">IFERROR(__xludf.DUMMYFUNCTION("""COMPUTED_VALUE"""),-0.922205142918608)</f>
        <v>-0.922205142918608</v>
      </c>
      <c r="EH25" s="3">
        <f ca="1">IFERROR(__xludf.DUMMYFUNCTION("""COMPUTED_VALUE"""),-0.277254287632678)</f>
        <v>-0.27725428763267801</v>
      </c>
      <c r="EI25" s="3">
        <f ca="1">IFERROR(__xludf.DUMMYFUNCTION("""COMPUTED_VALUE"""),-0.120450146751168)</f>
        <v>-0.120450146751168</v>
      </c>
      <c r="EJ25" s="3">
        <f ca="1">IFERROR(__xludf.DUMMYFUNCTION("""COMPUTED_VALUE"""),-0.2642443330477)</f>
        <v>-0.26424433304770001</v>
      </c>
      <c r="EK25" s="3">
        <f ca="1">IFERROR(__xludf.DUMMYFUNCTION("""COMPUTED_VALUE"""),-0.261474400535482)</f>
        <v>-0.26147440053548199</v>
      </c>
      <c r="EL25" s="3">
        <f ca="1">IFERROR(__xludf.DUMMYFUNCTION("""COMPUTED_VALUE"""),-0.170422858406394)</f>
        <v>-0.17042285840639401</v>
      </c>
      <c r="EM25" s="3">
        <f ca="1">IFERROR(__xludf.DUMMYFUNCTION("""COMPUTED_VALUE"""),-0.270685983835484)</f>
        <v>-0.27068598383548398</v>
      </c>
      <c r="EN25" s="3">
        <f ca="1">IFERROR(__xludf.DUMMYFUNCTION("""COMPUTED_VALUE"""),0.156213954392125)</f>
        <v>0.15621395439212499</v>
      </c>
      <c r="EO25" s="3">
        <f ca="1">IFERROR(__xludf.DUMMYFUNCTION("""COMPUTED_VALUE"""),-0.347531419708797)</f>
        <v>-0.34753141970879697</v>
      </c>
      <c r="EP25" s="3">
        <f ca="1">IFERROR(__xludf.DUMMYFUNCTION("""COMPUTED_VALUE"""),-0.277300267094221)</f>
        <v>-0.27730026709422101</v>
      </c>
      <c r="EQ25" s="3">
        <f ca="1">IFERROR(__xludf.DUMMYFUNCTION("""COMPUTED_VALUE"""),-0.220473290756351)</f>
        <v>-0.220473290756351</v>
      </c>
      <c r="ER25" s="3">
        <f ca="1">IFERROR(__xludf.DUMMYFUNCTION("""COMPUTED_VALUE"""),-0.171716434470839)</f>
        <v>-0.17171643447083901</v>
      </c>
      <c r="ES25" s="3">
        <f ca="1">IFERROR(__xludf.DUMMYFUNCTION("""COMPUTED_VALUE"""),-0.0920324917653634)</f>
        <v>-9.2032491765363406E-2</v>
      </c>
      <c r="ET25" s="3">
        <f ca="1">IFERROR(__xludf.DUMMYFUNCTION("""COMPUTED_VALUE"""),-0.240212262632641)</f>
        <v>-0.240212262632641</v>
      </c>
      <c r="EU25" s="3">
        <f ca="1">IFERROR(__xludf.DUMMYFUNCTION("""COMPUTED_VALUE"""),-0.27873309240298)</f>
        <v>-0.27873309240298</v>
      </c>
      <c r="EV25" s="3">
        <f ca="1">IFERROR(__xludf.DUMMYFUNCTION("""COMPUTED_VALUE"""),-0.505650302451651)</f>
        <v>-0.50565030245165099</v>
      </c>
      <c r="EW25" s="3">
        <f ca="1">IFERROR(__xludf.DUMMYFUNCTION("""COMPUTED_VALUE"""),-0.249866447437841)</f>
        <v>-0.249866447437841</v>
      </c>
      <c r="EX25" s="3">
        <f ca="1">IFERROR(__xludf.DUMMYFUNCTION("""COMPUTED_VALUE"""),-0.399443198075857)</f>
        <v>-0.39944319807585699</v>
      </c>
      <c r="EY25" s="3">
        <f ca="1">IFERROR(__xludf.DUMMYFUNCTION("""COMPUTED_VALUE"""),-0.344162559463117)</f>
        <v>-0.34416255946311702</v>
      </c>
      <c r="EZ25" s="3">
        <f ca="1">IFERROR(__xludf.DUMMYFUNCTION("""COMPUTED_VALUE"""),-0.191359600335478)</f>
        <v>-0.191359600335478</v>
      </c>
      <c r="FA25" s="3">
        <f ca="1">IFERROR(__xludf.DUMMYFUNCTION("""COMPUTED_VALUE"""),-0.279190879091129)</f>
        <v>-0.279190879091129</v>
      </c>
      <c r="FB25" s="3">
        <f ca="1">IFERROR(__xludf.DUMMYFUNCTION("""COMPUTED_VALUE"""),-0.341345091593494)</f>
        <v>-0.34134509159349402</v>
      </c>
      <c r="FC25" s="3">
        <f ca="1">IFERROR(__xludf.DUMMYFUNCTION("""COMPUTED_VALUE"""),-0.209927026593586)</f>
        <v>-0.209927026593586</v>
      </c>
      <c r="FD25" s="3">
        <f ca="1">IFERROR(__xludf.DUMMYFUNCTION("""COMPUTED_VALUE"""),-0.152358365309182)</f>
        <v>-0.15235836530918201</v>
      </c>
      <c r="FE25" s="3">
        <f ca="1">IFERROR(__xludf.DUMMYFUNCTION("""COMPUTED_VALUE"""),-0.156501039044678)</f>
        <v>-0.15650103904467799</v>
      </c>
      <c r="FF25" s="3">
        <f ca="1">IFERROR(__xludf.DUMMYFUNCTION("""COMPUTED_VALUE"""),-0.198038550302352)</f>
        <v>-0.19803855030235201</v>
      </c>
      <c r="FG25" s="3">
        <f ca="1">IFERROR(__xludf.DUMMYFUNCTION("""COMPUTED_VALUE"""),-0.280027848913822)</f>
        <v>-0.28002784891382199</v>
      </c>
      <c r="FH25" s="3">
        <f ca="1">IFERROR(__xludf.DUMMYFUNCTION("""COMPUTED_VALUE"""),-0.309996074863999)</f>
        <v>-0.30999607486399899</v>
      </c>
      <c r="FI25" s="3">
        <f ca="1">IFERROR(__xludf.DUMMYFUNCTION("""COMPUTED_VALUE"""),-0.377245048714391)</f>
        <v>-0.37724504871439102</v>
      </c>
      <c r="FJ25" s="3">
        <f ca="1">IFERROR(__xludf.DUMMYFUNCTION("""COMPUTED_VALUE"""),-0.308094988652432)</f>
        <v>-0.30809498865243201</v>
      </c>
      <c r="FK25" s="3">
        <f ca="1">IFERROR(__xludf.DUMMYFUNCTION("""COMPUTED_VALUE"""),-0.353040831750862)</f>
        <v>-0.35304083175086198</v>
      </c>
      <c r="FL25" s="3">
        <f ca="1">IFERROR(__xludf.DUMMYFUNCTION("""COMPUTED_VALUE"""),-0.338037798486574)</f>
        <v>-0.338037798486574</v>
      </c>
      <c r="FM25" s="3">
        <f ca="1">IFERROR(__xludf.DUMMYFUNCTION("""COMPUTED_VALUE"""),-0.205868179619723)</f>
        <v>-0.20586817961972301</v>
      </c>
      <c r="FN25" s="3">
        <f ca="1">IFERROR(__xludf.DUMMYFUNCTION("""COMPUTED_VALUE"""),-0.286502389334106)</f>
        <v>-0.28650238933410599</v>
      </c>
      <c r="FO25" s="3">
        <f ca="1">IFERROR(__xludf.DUMMYFUNCTION("""COMPUTED_VALUE"""),-0.393988442691023)</f>
        <v>-0.39398844269102301</v>
      </c>
      <c r="FP25" s="3">
        <f ca="1">IFERROR(__xludf.DUMMYFUNCTION("""COMPUTED_VALUE"""),-0.404682794064154)</f>
        <v>-0.40468279406415397</v>
      </c>
      <c r="FQ25" s="3">
        <f ca="1">IFERROR(__xludf.DUMMYFUNCTION("""COMPUTED_VALUE"""),-0.484871654937423)</f>
        <v>-0.48487165493742301</v>
      </c>
      <c r="FR25" s="3">
        <f ca="1">IFERROR(__xludf.DUMMYFUNCTION("""COMPUTED_VALUE"""),-0.328540777910873)</f>
        <v>-0.32854077791087299</v>
      </c>
      <c r="FS25" s="3">
        <f ca="1">IFERROR(__xludf.DUMMYFUNCTION("""COMPUTED_VALUE"""),-0.267235827367812)</f>
        <v>-0.26723582736781198</v>
      </c>
      <c r="FT25" s="3">
        <f ca="1">IFERROR(__xludf.DUMMYFUNCTION("""COMPUTED_VALUE"""),-0.177350113466985)</f>
        <v>-0.17735011346698501</v>
      </c>
      <c r="FU25" s="3">
        <f ca="1">IFERROR(__xludf.DUMMYFUNCTION("""COMPUTED_VALUE"""),-0.223301909331244)</f>
        <v>-0.223301909331244</v>
      </c>
      <c r="FV25" s="3">
        <f ca="1">IFERROR(__xludf.DUMMYFUNCTION("""COMPUTED_VALUE"""),-0.41712204244665)</f>
        <v>-0.41712204244665002</v>
      </c>
      <c r="FW25" s="3">
        <f ca="1">IFERROR(__xludf.DUMMYFUNCTION("""COMPUTED_VALUE"""),-0.384066543655164)</f>
        <v>-0.38406654365516402</v>
      </c>
      <c r="FX25" s="3">
        <f ca="1">IFERROR(__xludf.DUMMYFUNCTION("""COMPUTED_VALUE"""),-0.382553371122835)</f>
        <v>-0.382553371122835</v>
      </c>
      <c r="FY25" s="3">
        <f ca="1">IFERROR(__xludf.DUMMYFUNCTION("""COMPUTED_VALUE"""),-0.398844523567914)</f>
        <v>-0.398844523567914</v>
      </c>
      <c r="FZ25" s="3">
        <f ca="1">IFERROR(__xludf.DUMMYFUNCTION("""COMPUTED_VALUE"""),-0.204980361494115)</f>
        <v>-0.204980361494115</v>
      </c>
      <c r="GA25" s="3">
        <f ca="1">IFERROR(__xludf.DUMMYFUNCTION("""COMPUTED_VALUE"""),-0.18970588171856)</f>
        <v>-0.18970588171856001</v>
      </c>
      <c r="GB25" s="3">
        <f ca="1">IFERROR(__xludf.DUMMYFUNCTION("""COMPUTED_VALUE"""),-0.375766699786487)</f>
        <v>-0.37576669978648702</v>
      </c>
      <c r="GC25" s="3">
        <f ca="1">IFERROR(__xludf.DUMMYFUNCTION("""COMPUTED_VALUE"""),-0.355405565584813)</f>
        <v>-0.35540556558481301</v>
      </c>
      <c r="GD25" s="3">
        <f ca="1">IFERROR(__xludf.DUMMYFUNCTION("""COMPUTED_VALUE"""),-0.356676324040196)</f>
        <v>-0.356676324040196</v>
      </c>
      <c r="GE25" s="3">
        <f ca="1">IFERROR(__xludf.DUMMYFUNCTION("""COMPUTED_VALUE"""),-0.317443431704109)</f>
        <v>-0.31744343170410899</v>
      </c>
      <c r="GF25" s="3">
        <f ca="1">IFERROR(__xludf.DUMMYFUNCTION("""COMPUTED_VALUE"""),-0.46622409972115)</f>
        <v>-0.46622409972114998</v>
      </c>
      <c r="GG25" s="3">
        <f ca="1">IFERROR(__xludf.DUMMYFUNCTION("""COMPUTED_VALUE"""),-0.33457636020452)</f>
        <v>-0.33457636020451997</v>
      </c>
      <c r="GH25" s="3">
        <f ca="1">IFERROR(__xludf.DUMMYFUNCTION("""COMPUTED_VALUE"""),-0.28257539959151)</f>
        <v>-0.28257539959151001</v>
      </c>
      <c r="GI25" s="3">
        <f ca="1">IFERROR(__xludf.DUMMYFUNCTION("""COMPUTED_VALUE"""),-0.502221469584419)</f>
        <v>-0.50222146958441904</v>
      </c>
      <c r="GJ25" s="3">
        <f ca="1">IFERROR(__xludf.DUMMYFUNCTION("""COMPUTED_VALUE"""),-0.483114020459296)</f>
        <v>-0.48311402045929602</v>
      </c>
      <c r="GK25" s="3">
        <f ca="1">IFERROR(__xludf.DUMMYFUNCTION("""COMPUTED_VALUE"""),-0.47649558336496)</f>
        <v>-0.47649558336496001</v>
      </c>
      <c r="GL25" s="3">
        <f ca="1">IFERROR(__xludf.DUMMYFUNCTION("""COMPUTED_VALUE"""),-0.479571417759692)</f>
        <v>-0.47957141775969198</v>
      </c>
      <c r="GM25" s="3">
        <f ca="1">IFERROR(__xludf.DUMMYFUNCTION("""COMPUTED_VALUE"""),-0.482642272371465)</f>
        <v>-0.48264227237146501</v>
      </c>
      <c r="GN25" s="3">
        <f ca="1">IFERROR(__xludf.DUMMYFUNCTION("""COMPUTED_VALUE"""),-0.366717224464487)</f>
        <v>-0.36671722446448701</v>
      </c>
      <c r="GO25" s="3">
        <f ca="1">IFERROR(__xludf.DUMMYFUNCTION("""COMPUTED_VALUE"""),-0.253308471452006)</f>
        <v>-0.25330847145200602</v>
      </c>
      <c r="GP25" s="3">
        <f ca="1">IFERROR(__xludf.DUMMYFUNCTION("""COMPUTED_VALUE"""),-0.36344378944565)</f>
        <v>-0.36344378944564998</v>
      </c>
      <c r="GQ25" s="3">
        <f ca="1">IFERROR(__xludf.DUMMYFUNCTION("""COMPUTED_VALUE"""),-0.489059402453091)</f>
        <v>-0.48905940245309099</v>
      </c>
      <c r="GR25" s="3">
        <f ca="1">IFERROR(__xludf.DUMMYFUNCTION("""COMPUTED_VALUE"""),-0.505958701721484)</f>
        <v>-0.50595870172148405</v>
      </c>
      <c r="GS25" s="3">
        <f ca="1">IFERROR(__xludf.DUMMYFUNCTION("""COMPUTED_VALUE"""),-0.502300956598288)</f>
        <v>-0.502300956598288</v>
      </c>
      <c r="GT25" s="3">
        <f ca="1">IFERROR(__xludf.DUMMYFUNCTION("""COMPUTED_VALUE"""),-0.498505366932609)</f>
        <v>-0.498505366932609</v>
      </c>
      <c r="GU25" s="3">
        <f ca="1">IFERROR(__xludf.DUMMYFUNCTION("""COMPUTED_VALUE"""),-0.473778766075485)</f>
        <v>-0.47377876607548502</v>
      </c>
      <c r="GV25" s="3">
        <f ca="1">IFERROR(__xludf.DUMMYFUNCTION("""COMPUTED_VALUE"""),-0.430719480314852)</f>
        <v>-0.43071948031485202</v>
      </c>
      <c r="GW25" s="3">
        <f ca="1">IFERROR(__xludf.DUMMYFUNCTION("""COMPUTED_VALUE"""),-0.470855297838462)</f>
        <v>-0.47085529783846197</v>
      </c>
      <c r="GX25" s="3">
        <f ca="1">IFERROR(__xludf.DUMMYFUNCTION("""COMPUTED_VALUE"""),-0.50230209494036)</f>
        <v>-0.50230209494036004</v>
      </c>
      <c r="GY25" s="3">
        <f ca="1">IFERROR(__xludf.DUMMYFUNCTION("""COMPUTED_VALUE"""),-0.450504761757144)</f>
        <v>-0.45050476175714399</v>
      </c>
      <c r="GZ25" s="3">
        <f ca="1">IFERROR(__xludf.DUMMYFUNCTION("""COMPUTED_VALUE"""),-0.513520119130948)</f>
        <v>-0.51352011913094797</v>
      </c>
      <c r="HA25" s="3">
        <f ca="1">IFERROR(__xludf.DUMMYFUNCTION("""COMPUTED_VALUE"""),-0.550570124920569)</f>
        <v>-0.550570124920569</v>
      </c>
      <c r="HB25" s="3">
        <f ca="1">IFERROR(__xludf.DUMMYFUNCTION("""COMPUTED_VALUE"""),-0.614821734487738)</f>
        <v>-0.61482173448773803</v>
      </c>
      <c r="HC25" s="3">
        <f ca="1">IFERROR(__xludf.DUMMYFUNCTION("""COMPUTED_VALUE"""),-0.353497879906437)</f>
        <v>-0.353497879906437</v>
      </c>
      <c r="HD25" s="3">
        <f ca="1">IFERROR(__xludf.DUMMYFUNCTION("""COMPUTED_VALUE"""),-0.492409930743704)</f>
        <v>-0.49240993074370398</v>
      </c>
      <c r="HE25" s="3">
        <f ca="1">IFERROR(__xludf.DUMMYFUNCTION("""COMPUTED_VALUE"""),-0.493909486269139)</f>
        <v>-0.493909486269139</v>
      </c>
      <c r="HF25" s="3">
        <f ca="1">IFERROR(__xludf.DUMMYFUNCTION("""COMPUTED_VALUE"""),-0.581037446126505)</f>
        <v>-0.58103744612650499</v>
      </c>
      <c r="HG25" s="3">
        <f ca="1">IFERROR(__xludf.DUMMYFUNCTION("""COMPUTED_VALUE"""),-0.591699586704704)</f>
        <v>-0.59169958670470402</v>
      </c>
      <c r="HH25" s="3">
        <f ca="1">IFERROR(__xludf.DUMMYFUNCTION("""COMPUTED_VALUE"""),-0.496714863207679)</f>
        <v>-0.49671486320767899</v>
      </c>
      <c r="HI25" s="3">
        <f ca="1">IFERROR(__xludf.DUMMYFUNCTION("""COMPUTED_VALUE"""),-0.853126845049099)</f>
        <v>-0.85312684504909897</v>
      </c>
      <c r="HJ25" s="3">
        <f ca="1">IFERROR(__xludf.DUMMYFUNCTION("""COMPUTED_VALUE"""),-0.306758208589816)</f>
        <v>-0.30675820858981601</v>
      </c>
      <c r="HK25" s="3">
        <f ca="1">IFERROR(__xludf.DUMMYFUNCTION("""COMPUTED_VALUE"""),-0.343348663694797)</f>
        <v>-0.343348663694797</v>
      </c>
      <c r="HL25" s="3">
        <f ca="1">IFERROR(__xludf.DUMMYFUNCTION("""COMPUTED_VALUE"""),-0.354896040302284)</f>
        <v>-0.354896040302284</v>
      </c>
      <c r="HM25" s="3">
        <f ca="1">IFERROR(__xludf.DUMMYFUNCTION("""COMPUTED_VALUE"""),-0.46264917023301)</f>
        <v>-0.46264917023301</v>
      </c>
      <c r="HN25" s="3">
        <f ca="1">IFERROR(__xludf.DUMMYFUNCTION("""COMPUTED_VALUE"""),-0.475010053786684)</f>
        <v>-0.47501005378668398</v>
      </c>
      <c r="HO25" s="3">
        <f ca="1">IFERROR(__xludf.DUMMYFUNCTION("""COMPUTED_VALUE"""),-0.463731430449889)</f>
        <v>-0.46373143044988901</v>
      </c>
      <c r="HP25" s="3">
        <f ca="1">IFERROR(__xludf.DUMMYFUNCTION("""COMPUTED_VALUE"""),-0.29538321176752)</f>
        <v>-0.29538321176752003</v>
      </c>
      <c r="HQ25" s="3">
        <f ca="1">IFERROR(__xludf.DUMMYFUNCTION("""COMPUTED_VALUE"""),-0.232148519717945)</f>
        <v>-0.23214851971794501</v>
      </c>
      <c r="HR25" s="3">
        <f ca="1">IFERROR(__xludf.DUMMYFUNCTION("""COMPUTED_VALUE"""),-0.361252138070375)</f>
        <v>-0.36125213807037498</v>
      </c>
      <c r="HS25" s="3">
        <f ca="1">IFERROR(__xludf.DUMMYFUNCTION("""COMPUTED_VALUE"""),-0.420184029820004)</f>
        <v>-0.42018402982000402</v>
      </c>
      <c r="HT25" s="3">
        <f ca="1">IFERROR(__xludf.DUMMYFUNCTION("""COMPUTED_VALUE"""),-0.567628089901393)</f>
        <v>-0.56762808990139302</v>
      </c>
      <c r="HU25" s="3">
        <f ca="1">IFERROR(__xludf.DUMMYFUNCTION("""COMPUTED_VALUE"""),-0.484630190540319)</f>
        <v>-0.48463019054031897</v>
      </c>
      <c r="HV25" s="3">
        <f ca="1">IFERROR(__xludf.DUMMYFUNCTION("""COMPUTED_VALUE"""),-0.436829703252465)</f>
        <v>-0.43682970325246501</v>
      </c>
      <c r="HW25" s="3">
        <f ca="1">IFERROR(__xludf.DUMMYFUNCTION("""COMPUTED_VALUE"""),-0.242583791551237)</f>
        <v>-0.24258379155123699</v>
      </c>
      <c r="HX25" s="3">
        <f ca="1">IFERROR(__xludf.DUMMYFUNCTION("""COMPUTED_VALUE"""),-0.194271357364197)</f>
        <v>-0.19427135736419701</v>
      </c>
      <c r="HY25" s="3">
        <f ca="1">IFERROR(__xludf.DUMMYFUNCTION("""COMPUTED_VALUE"""),-0.427440191900637)</f>
        <v>-0.42744019190063698</v>
      </c>
      <c r="HZ25" s="3">
        <f ca="1">IFERROR(__xludf.DUMMYFUNCTION("""COMPUTED_VALUE"""),-0.413016362274511)</f>
        <v>-0.413016362274511</v>
      </c>
      <c r="IA25" s="3">
        <f ca="1">IFERROR(__xludf.DUMMYFUNCTION("""COMPUTED_VALUE"""),-0.540456474513389)</f>
        <v>-0.54045647451338896</v>
      </c>
      <c r="IB25" s="3">
        <f ca="1">IFERROR(__xludf.DUMMYFUNCTION("""COMPUTED_VALUE"""),-0.605587166246384)</f>
        <v>-0.60558716624638398</v>
      </c>
      <c r="IC25" s="3">
        <f ca="1">IFERROR(__xludf.DUMMYFUNCTION("""COMPUTED_VALUE"""),-0.551503615812545)</f>
        <v>-0.55150361581254503</v>
      </c>
      <c r="ID25" s="3">
        <f ca="1">IFERROR(__xludf.DUMMYFUNCTION("""COMPUTED_VALUE"""),-0.52191416947281)</f>
        <v>-0.52191416947281</v>
      </c>
      <c r="IE25" s="3">
        <f ca="1">IFERROR(__xludf.DUMMYFUNCTION("""COMPUTED_VALUE"""),-0.323822491056889)</f>
        <v>-0.32382249105688898</v>
      </c>
      <c r="IF25" s="3">
        <f ca="1">IFERROR(__xludf.DUMMYFUNCTION("""COMPUTED_VALUE"""),-0.385600265915805)</f>
        <v>-0.38560026591580499</v>
      </c>
      <c r="IG25" s="3">
        <f ca="1">IFERROR(__xludf.DUMMYFUNCTION("""COMPUTED_VALUE"""),-0.424596388288808)</f>
        <v>-0.42459638828880802</v>
      </c>
      <c r="IH25" s="3">
        <f ca="1">IFERROR(__xludf.DUMMYFUNCTION("""COMPUTED_VALUE"""),-0.524587612245544)</f>
        <v>-0.52458761224554395</v>
      </c>
      <c r="II25" s="3">
        <f ca="1">IFERROR(__xludf.DUMMYFUNCTION("""COMPUTED_VALUE"""),-0.512264150696778)</f>
        <v>-0.512264150696778</v>
      </c>
      <c r="IJ25" s="3">
        <f ca="1">IFERROR(__xludf.DUMMYFUNCTION("""COMPUTED_VALUE"""),-0.4842717914276)</f>
        <v>-0.48427179142760002</v>
      </c>
      <c r="IK25" s="3">
        <f ca="1">IFERROR(__xludf.DUMMYFUNCTION("""COMPUTED_VALUE"""),-0.534255122603172)</f>
        <v>-0.53425512260317198</v>
      </c>
      <c r="IL25" s="3">
        <f ca="1">IFERROR(__xludf.DUMMYFUNCTION("""COMPUTED_VALUE"""),-0.188332087085542)</f>
        <v>-0.188332087085542</v>
      </c>
      <c r="IM25" s="3">
        <f ca="1">IFERROR(__xludf.DUMMYFUNCTION("""COMPUTED_VALUE"""),-0.368520246977692)</f>
        <v>-0.36852024697769198</v>
      </c>
      <c r="IN25" s="3">
        <f ca="1">IFERROR(__xludf.DUMMYFUNCTION("""COMPUTED_VALUE"""),-0.491500923810891)</f>
        <v>-0.491500923810891</v>
      </c>
      <c r="IO25" s="3">
        <f ca="1">IFERROR(__xludf.DUMMYFUNCTION("""COMPUTED_VALUE"""),-0.500987488628507)</f>
        <v>-0.50098748862850695</v>
      </c>
      <c r="IP25" s="3">
        <f ca="1">IFERROR(__xludf.DUMMYFUNCTION("""COMPUTED_VALUE"""),-0.388823982998804)</f>
        <v>-0.388823982998804</v>
      </c>
      <c r="IQ25" s="3">
        <f ca="1">IFERROR(__xludf.DUMMYFUNCTION("""COMPUTED_VALUE"""),-0.367908055363321)</f>
        <v>-0.367908055363321</v>
      </c>
      <c r="IR25" s="3">
        <f ca="1">IFERROR(__xludf.DUMMYFUNCTION("""COMPUTED_VALUE"""),-0.269475439560803)</f>
        <v>-0.269475439560803</v>
      </c>
      <c r="IS25" s="3">
        <f ca="1">IFERROR(__xludf.DUMMYFUNCTION("""COMPUTED_VALUE"""),-0.257197046510802)</f>
        <v>-0.257197046510802</v>
      </c>
      <c r="IT25" s="3">
        <f ca="1">IFERROR(__xludf.DUMMYFUNCTION("""COMPUTED_VALUE"""),-0.405793204035699)</f>
        <v>-0.40579320403569902</v>
      </c>
      <c r="IU25" s="3">
        <f ca="1">IFERROR(__xludf.DUMMYFUNCTION("""COMPUTED_VALUE"""),-0.646714399846105)</f>
        <v>-0.64671439984610501</v>
      </c>
      <c r="IV25" s="3">
        <f ca="1">IFERROR(__xludf.DUMMYFUNCTION("""COMPUTED_VALUE"""),-0.429847501037283)</f>
        <v>-0.42984750103728298</v>
      </c>
      <c r="IW25" s="3">
        <f ca="1">IFERROR(__xludf.DUMMYFUNCTION("""COMPUTED_VALUE"""),-0.466767208820552)</f>
        <v>-0.466767208820552</v>
      </c>
      <c r="IX25" s="3">
        <f ca="1">IFERROR(__xludf.DUMMYFUNCTION("""COMPUTED_VALUE"""),-0.389465454511415)</f>
        <v>-0.38946545451141501</v>
      </c>
      <c r="IY25" s="3">
        <f ca="1">IFERROR(__xludf.DUMMYFUNCTION("""COMPUTED_VALUE"""),-0.429697664924897)</f>
        <v>-0.42969766492489703</v>
      </c>
      <c r="IZ25" s="3">
        <f ca="1">IFERROR(__xludf.DUMMYFUNCTION("""COMPUTED_VALUE"""),-0.383786345788051)</f>
        <v>-0.38378634578805099</v>
      </c>
      <c r="JA25" s="3">
        <f ca="1">IFERROR(__xludf.DUMMYFUNCTION("""COMPUTED_VALUE"""),-0.407745299181091)</f>
        <v>-0.40774529918109098</v>
      </c>
      <c r="JB25" s="3">
        <f ca="1">IFERROR(__xludf.DUMMYFUNCTION("""COMPUTED_VALUE"""),-0.588263626777583)</f>
        <v>-0.58826362677758304</v>
      </c>
      <c r="JC25" s="3">
        <f ca="1">IFERROR(__xludf.DUMMYFUNCTION("""COMPUTED_VALUE"""),-0.501251701694616)</f>
        <v>-0.50125170169461597</v>
      </c>
      <c r="JD25" s="3">
        <f ca="1">IFERROR(__xludf.DUMMYFUNCTION("""COMPUTED_VALUE"""),-0.511291005364459)</f>
        <v>-0.51129100536445904</v>
      </c>
      <c r="JE25" s="3">
        <f ca="1">IFERROR(__xludf.DUMMYFUNCTION("""COMPUTED_VALUE"""),-0.482380659375695)</f>
        <v>-0.48238065937569502</v>
      </c>
      <c r="JF25" s="3">
        <f ca="1">IFERROR(__xludf.DUMMYFUNCTION("""COMPUTED_VALUE"""),-0.439307077804396)</f>
        <v>-0.43930707780439598</v>
      </c>
      <c r="JG25" s="3">
        <f ca="1">IFERROR(__xludf.DUMMYFUNCTION("""COMPUTED_VALUE"""),-0.450496173653144)</f>
        <v>-0.45049617365314398</v>
      </c>
      <c r="JH25" s="3">
        <f ca="1">IFERROR(__xludf.DUMMYFUNCTION("""COMPUTED_VALUE"""),-0.466429462805557)</f>
        <v>-0.46642946280555703</v>
      </c>
      <c r="JI25" s="3">
        <f ca="1">IFERROR(__xludf.DUMMYFUNCTION("""COMPUTED_VALUE"""),-0.601188424805416)</f>
        <v>-0.60118842480541601</v>
      </c>
      <c r="JJ25" s="3">
        <f ca="1">IFERROR(__xludf.DUMMYFUNCTION("""COMPUTED_VALUE"""),-0.511968202233169)</f>
        <v>-0.51196820223316897</v>
      </c>
      <c r="JK25" s="3">
        <f ca="1">IFERROR(__xludf.DUMMYFUNCTION("""COMPUTED_VALUE"""),-0.586525002663968)</f>
        <v>-0.58652500266396801</v>
      </c>
      <c r="JL25" s="3">
        <f ca="1">IFERROR(__xludf.DUMMYFUNCTION("""COMPUTED_VALUE"""),-0.53383706137082)</f>
        <v>-0.53383706137081999</v>
      </c>
      <c r="JM25" s="3">
        <f ca="1">IFERROR(__xludf.DUMMYFUNCTION("""COMPUTED_VALUE"""),-0.494317831613301)</f>
        <v>-0.49431783161330101</v>
      </c>
      <c r="JN25" s="3">
        <f ca="1">IFERROR(__xludf.DUMMYFUNCTION("""COMPUTED_VALUE"""),-0.499338806367934)</f>
        <v>-0.49933880636793398</v>
      </c>
      <c r="JO25" s="3">
        <f ca="1">IFERROR(__xludf.DUMMYFUNCTION("""COMPUTED_VALUE"""),-0.41444515782042)</f>
        <v>-0.41444515782042002</v>
      </c>
      <c r="JP25" s="3">
        <f ca="1">IFERROR(__xludf.DUMMYFUNCTION("""COMPUTED_VALUE"""),-0.524503345954842)</f>
        <v>-0.52450334595484205</v>
      </c>
      <c r="JQ25" s="3">
        <f ca="1">IFERROR(__xludf.DUMMYFUNCTION("""COMPUTED_VALUE"""),-0.272609209471469)</f>
        <v>-0.27260920947146899</v>
      </c>
      <c r="JR25" s="3">
        <f ca="1">IFERROR(__xludf.DUMMYFUNCTION("""COMPUTED_VALUE"""),-0.545762657908748)</f>
        <v>-0.54576265790874801</v>
      </c>
      <c r="JS25" s="3">
        <f ca="1">IFERROR(__xludf.DUMMYFUNCTION("""COMPUTED_VALUE"""),-0.472908745687144)</f>
        <v>-0.47290874568714403</v>
      </c>
      <c r="JT25" s="3">
        <f ca="1">IFERROR(__xludf.DUMMYFUNCTION("""COMPUTED_VALUE"""),-0.473892444565763)</f>
        <v>-0.47389244456576302</v>
      </c>
      <c r="JU25" s="3">
        <f ca="1">IFERROR(__xludf.DUMMYFUNCTION("""COMPUTED_VALUE"""),-0.413663127454792)</f>
        <v>-0.413663127454792</v>
      </c>
      <c r="JV25" s="3">
        <f ca="1">IFERROR(__xludf.DUMMYFUNCTION("""COMPUTED_VALUE"""),-0.897594461628284)</f>
        <v>-0.89759446162828405</v>
      </c>
      <c r="JW25" s="3">
        <f ca="1">IFERROR(__xludf.DUMMYFUNCTION("""COMPUTED_VALUE"""),-0.509800270659458)</f>
        <v>-0.50980027065945799</v>
      </c>
      <c r="JX25" s="3">
        <f ca="1">IFERROR(__xludf.DUMMYFUNCTION("""COMPUTED_VALUE"""),-0.311965143225059)</f>
        <v>-0.31196514322505903</v>
      </c>
      <c r="JY25" s="3">
        <f ca="1">IFERROR(__xludf.DUMMYFUNCTION("""COMPUTED_VALUE"""),-0.47730332912907)</f>
        <v>-0.47730332912906998</v>
      </c>
      <c r="JZ25" s="3">
        <f ca="1">IFERROR(__xludf.DUMMYFUNCTION("""COMPUTED_VALUE"""),-0.54979308010468)</f>
        <v>-0.54979308010467998</v>
      </c>
      <c r="KA25" s="3">
        <f ca="1">IFERROR(__xludf.DUMMYFUNCTION("""COMPUTED_VALUE"""),-0.458081681235888)</f>
        <v>-0.45808168123588799</v>
      </c>
      <c r="KB25" s="3">
        <f ca="1">IFERROR(__xludf.DUMMYFUNCTION("""COMPUTED_VALUE"""),-0.327139803410318)</f>
        <v>-0.32713980341031801</v>
      </c>
      <c r="KC25" s="3">
        <f ca="1">IFERROR(__xludf.DUMMYFUNCTION("""COMPUTED_VALUE"""),-0.349882370375817)</f>
        <v>-0.34988237037581699</v>
      </c>
      <c r="KD25" s="3">
        <f ca="1">IFERROR(__xludf.DUMMYFUNCTION("""COMPUTED_VALUE"""),-0.416885275598032)</f>
        <v>-0.41688527559803201</v>
      </c>
      <c r="KE25" s="3">
        <f ca="1">IFERROR(__xludf.DUMMYFUNCTION("""COMPUTED_VALUE"""),-0.33118502463638)</f>
        <v>-0.33118502463638</v>
      </c>
      <c r="KF25" s="3">
        <f ca="1">IFERROR(__xludf.DUMMYFUNCTION("""COMPUTED_VALUE"""),-0.329614508863991)</f>
        <v>-0.32961450886399102</v>
      </c>
      <c r="KG25" s="3">
        <f ca="1">IFERROR(__xludf.DUMMYFUNCTION("""COMPUTED_VALUE"""),-0.524038665866997)</f>
        <v>-0.52403866586699699</v>
      </c>
      <c r="KH25" s="3">
        <f ca="1">IFERROR(__xludf.DUMMYFUNCTION("""COMPUTED_VALUE"""),-0.440283369477553)</f>
        <v>-0.44028336947755298</v>
      </c>
      <c r="KI25" s="3">
        <f ca="1">IFERROR(__xludf.DUMMYFUNCTION("""COMPUTED_VALUE"""),-0.43631394385821)</f>
        <v>-0.43631394385820998</v>
      </c>
      <c r="KJ25" s="3">
        <f ca="1">IFERROR(__xludf.DUMMYFUNCTION("""COMPUTED_VALUE"""),-0.406688874008429)</f>
        <v>-0.40668887400842901</v>
      </c>
      <c r="KK25" s="3">
        <f ca="1">IFERROR(__xludf.DUMMYFUNCTION("""COMPUTED_VALUE"""),-0.415046683173369)</f>
        <v>-0.41504668317336901</v>
      </c>
      <c r="KL25" s="3">
        <f ca="1">IFERROR(__xludf.DUMMYFUNCTION("""COMPUTED_VALUE"""),-0.537973957052134)</f>
        <v>-0.53797395705213402</v>
      </c>
      <c r="KM25" s="3">
        <f ca="1">IFERROR(__xludf.DUMMYFUNCTION("""COMPUTED_VALUE"""),-0.45692974646688)</f>
        <v>-0.45692974646688</v>
      </c>
      <c r="KN25" s="3">
        <f ca="1">IFERROR(__xludf.DUMMYFUNCTION("""COMPUTED_VALUE"""),-0.560949864521537)</f>
        <v>-0.56094986452153695</v>
      </c>
      <c r="KO25" s="3">
        <f ca="1">IFERROR(__xludf.DUMMYFUNCTION("""COMPUTED_VALUE"""),-0.316367013893656)</f>
        <v>-0.31636701389365601</v>
      </c>
      <c r="KP25" s="3">
        <f ca="1">IFERROR(__xludf.DUMMYFUNCTION("""COMPUTED_VALUE"""),-0.476871176765505)</f>
        <v>-0.476871176765505</v>
      </c>
      <c r="KQ25" s="3">
        <f ca="1">IFERROR(__xludf.DUMMYFUNCTION("""COMPUTED_VALUE"""),-0.468578512058631)</f>
        <v>-0.46857851205863099</v>
      </c>
      <c r="KR25" s="3">
        <f ca="1">IFERROR(__xludf.DUMMYFUNCTION("""COMPUTED_VALUE"""),-0.448014643523822)</f>
        <v>-0.44801464352382198</v>
      </c>
      <c r="KS25" s="3">
        <f ca="1">IFERROR(__xludf.DUMMYFUNCTION("""COMPUTED_VALUE"""),-0.552390952249112)</f>
        <v>-0.55239095224911205</v>
      </c>
      <c r="KT25" s="3">
        <f ca="1">IFERROR(__xludf.DUMMYFUNCTION("""COMPUTED_VALUE"""),-0.553817795946488)</f>
        <v>-0.55381779594648795</v>
      </c>
      <c r="KU25" s="3">
        <f ca="1">IFERROR(__xludf.DUMMYFUNCTION("""COMPUTED_VALUE"""),-0.546595869957213)</f>
        <v>-0.54659586995721299</v>
      </c>
      <c r="KV25" s="3">
        <f ca="1">IFERROR(__xludf.DUMMYFUNCTION("""COMPUTED_VALUE"""),-0.568236026084267)</f>
        <v>-0.56823602608426704</v>
      </c>
      <c r="KW25" s="3">
        <f ca="1">IFERROR(__xludf.DUMMYFUNCTION("""COMPUTED_VALUE"""),-0.617445108270261)</f>
        <v>-0.617445108270261</v>
      </c>
      <c r="KX25" s="3">
        <f ca="1">IFERROR(__xludf.DUMMYFUNCTION("""COMPUTED_VALUE"""),-0.484654980269918)</f>
        <v>-0.48465498026991799</v>
      </c>
      <c r="KY25" s="3">
        <f ca="1">IFERROR(__xludf.DUMMYFUNCTION("""COMPUTED_VALUE"""),-0.597327421782828)</f>
        <v>-0.59732742178282805</v>
      </c>
      <c r="KZ25" s="3">
        <f ca="1">IFERROR(__xludf.DUMMYFUNCTION("""COMPUTED_VALUE"""),-0.691010575010738)</f>
        <v>-0.69101057501073804</v>
      </c>
      <c r="LA25" s="3">
        <f ca="1">IFERROR(__xludf.DUMMYFUNCTION("""COMPUTED_VALUE"""),-0.567155769775574)</f>
        <v>-0.56715576977557403</v>
      </c>
      <c r="LB25" s="3">
        <f ca="1">IFERROR(__xludf.DUMMYFUNCTION("""COMPUTED_VALUE"""),-0.627578855168864)</f>
        <v>-0.62757885516886402</v>
      </c>
      <c r="LC25" s="3">
        <f ca="1">IFERROR(__xludf.DUMMYFUNCTION("""COMPUTED_VALUE"""),-0.433979489068737)</f>
        <v>-0.43397948906873701</v>
      </c>
      <c r="LD25" s="3">
        <f ca="1">IFERROR(__xludf.DUMMYFUNCTION("""COMPUTED_VALUE"""),-0.653088781148772)</f>
        <v>-0.653088781148772</v>
      </c>
      <c r="LE25" s="3">
        <f ca="1">IFERROR(__xludf.DUMMYFUNCTION("""COMPUTED_VALUE"""),-0.497215455752589)</f>
        <v>-0.49721545575258902</v>
      </c>
      <c r="LF25" s="3">
        <f ca="1">IFERROR(__xludf.DUMMYFUNCTION("""COMPUTED_VALUE"""),-0.663190097538189)</f>
        <v>-0.66319009753818903</v>
      </c>
      <c r="LG25" s="3">
        <f ca="1">IFERROR(__xludf.DUMMYFUNCTION("""COMPUTED_VALUE"""),-0.594334854238223)</f>
        <v>-0.59433485423822296</v>
      </c>
      <c r="LH25" s="3">
        <f ca="1">IFERROR(__xludf.DUMMYFUNCTION("""COMPUTED_VALUE"""),-0.626566656334903)</f>
        <v>-0.62656665633490305</v>
      </c>
      <c r="LI25" s="3">
        <f ca="1">IFERROR(__xludf.DUMMYFUNCTION("""COMPUTED_VALUE"""),-0.678912298737717)</f>
        <v>-0.67891229873771697</v>
      </c>
      <c r="LJ25" s="3">
        <f ca="1">IFERROR(__xludf.DUMMYFUNCTION("""COMPUTED_VALUE"""),-0.899042305299453)</f>
        <v>-0.89904230529945295</v>
      </c>
      <c r="LK25" s="3">
        <f ca="1">IFERROR(__xludf.DUMMYFUNCTION("""COMPUTED_VALUE"""),-0.606979457300752)</f>
        <v>-0.60697945730075198</v>
      </c>
      <c r="LL25" s="3">
        <f ca="1">IFERROR(__xludf.DUMMYFUNCTION("""COMPUTED_VALUE"""),-0.698107993071226)</f>
        <v>-0.69810799307122595</v>
      </c>
      <c r="LM25" s="3">
        <f ca="1">IFERROR(__xludf.DUMMYFUNCTION("""COMPUTED_VALUE"""),-0.644629339040163)</f>
        <v>-0.64462933904016295</v>
      </c>
      <c r="LN25" s="3">
        <f ca="1">IFERROR(__xludf.DUMMYFUNCTION("""COMPUTED_VALUE"""),-0.747250102850458)</f>
        <v>-0.74725010285045801</v>
      </c>
      <c r="LO25" s="3">
        <f ca="1">IFERROR(__xludf.DUMMYFUNCTION("""COMPUTED_VALUE"""),-0.729313142090002)</f>
        <v>-0.72931314209000198</v>
      </c>
      <c r="LP25" s="3">
        <f ca="1">IFERROR(__xludf.DUMMYFUNCTION("""COMPUTED_VALUE"""),-0.611314322086835)</f>
        <v>-0.611314322086835</v>
      </c>
      <c r="LQ25" s="3">
        <f ca="1">IFERROR(__xludf.DUMMYFUNCTION("""COMPUTED_VALUE"""),-0.390954920237481)</f>
        <v>-0.39095492023748102</v>
      </c>
      <c r="LR25" s="3">
        <f ca="1">IFERROR(__xludf.DUMMYFUNCTION("""COMPUTED_VALUE"""),-0.57064133618928)</f>
        <v>-0.57064133618928004</v>
      </c>
      <c r="LS25" s="3">
        <f ca="1">IFERROR(__xludf.DUMMYFUNCTION("""COMPUTED_VALUE"""),-0.707476517752685)</f>
        <v>-0.70747651775268505</v>
      </c>
      <c r="LT25" s="3">
        <f ca="1">IFERROR(__xludf.DUMMYFUNCTION("""COMPUTED_VALUE"""),-0.733246317212486)</f>
        <v>-0.73324631721248601</v>
      </c>
      <c r="LU25" s="3">
        <f ca="1">IFERROR(__xludf.DUMMYFUNCTION("""COMPUTED_VALUE"""),-0.577247236968415)</f>
        <v>-0.57724723696841496</v>
      </c>
      <c r="LV25" s="3">
        <f ca="1">IFERROR(__xludf.DUMMYFUNCTION("""COMPUTED_VALUE"""),-0.661115680134563)</f>
        <v>-0.66111568013456301</v>
      </c>
      <c r="LW25" s="3">
        <f ca="1">IFERROR(__xludf.DUMMYFUNCTION("""COMPUTED_VALUE"""),-0.65247991182408)</f>
        <v>-0.65247991182408005</v>
      </c>
      <c r="LX25" s="3">
        <f ca="1">IFERROR(__xludf.DUMMYFUNCTION("""COMPUTED_VALUE"""),-0.578590498796499)</f>
        <v>-0.57859049879649904</v>
      </c>
      <c r="LY25" s="3">
        <f ca="1">IFERROR(__xludf.DUMMYFUNCTION("""COMPUTED_VALUE"""),-0.569089427540911)</f>
        <v>-0.56908942754091096</v>
      </c>
      <c r="LZ25" s="3">
        <f ca="1">IFERROR(__xludf.DUMMYFUNCTION("""COMPUTED_VALUE"""),-0.715358550554879)</f>
        <v>-0.71535855055487896</v>
      </c>
      <c r="MA25" s="3">
        <f ca="1">IFERROR(__xludf.DUMMYFUNCTION("""COMPUTED_VALUE"""),-0.613418720321441)</f>
        <v>-0.61341872032144096</v>
      </c>
      <c r="MB25" s="3">
        <f ca="1">IFERROR(__xludf.DUMMYFUNCTION("""COMPUTED_VALUE"""),-0.710957488160766)</f>
        <v>-0.71095748816076598</v>
      </c>
      <c r="MC25" s="3">
        <f ca="1">IFERROR(__xludf.DUMMYFUNCTION("""COMPUTED_VALUE"""),-0.672793678260686)</f>
        <v>-0.67279367826068603</v>
      </c>
      <c r="MD25" s="3">
        <f ca="1">IFERROR(__xludf.DUMMYFUNCTION("""COMPUTED_VALUE"""),-0.679052052729572)</f>
        <v>-0.67905205272957203</v>
      </c>
      <c r="ME25" s="3">
        <f ca="1">IFERROR(__xludf.DUMMYFUNCTION("""COMPUTED_VALUE"""),-0.626510985423545)</f>
        <v>-0.626510985423545</v>
      </c>
      <c r="MF25" s="3">
        <f ca="1">IFERROR(__xludf.DUMMYFUNCTION("""COMPUTED_VALUE"""),-0.565474182485901)</f>
        <v>-0.56547418248590098</v>
      </c>
      <c r="MG25" s="3">
        <f ca="1">IFERROR(__xludf.DUMMYFUNCTION("""COMPUTED_VALUE"""),-0.747799501808803)</f>
        <v>-0.74779950180880295</v>
      </c>
      <c r="MH25" s="3">
        <f ca="1">IFERROR(__xludf.DUMMYFUNCTION("""COMPUTED_VALUE"""),-0.701169766331545)</f>
        <v>-0.70116976633154504</v>
      </c>
      <c r="MI25" s="3">
        <f ca="1">IFERROR(__xludf.DUMMYFUNCTION("""COMPUTED_VALUE"""),-0.750649390427691)</f>
        <v>-0.75064939042769097</v>
      </c>
      <c r="MJ25" s="3">
        <f ca="1">IFERROR(__xludf.DUMMYFUNCTION("""COMPUTED_VALUE"""),-0.714536395886162)</f>
        <v>-0.71453639588616202</v>
      </c>
      <c r="MK25" s="3">
        <f ca="1">IFERROR(__xludf.DUMMYFUNCTION("""COMPUTED_VALUE"""),-0.742696542139972)</f>
        <v>-0.74269654213997205</v>
      </c>
      <c r="ML25" s="3">
        <f ca="1">IFERROR(__xludf.DUMMYFUNCTION("""COMPUTED_VALUE"""),-0.783542918027564)</f>
        <v>-0.78354291802756404</v>
      </c>
      <c r="MM25" s="3">
        <f ca="1">IFERROR(__xludf.DUMMYFUNCTION("""COMPUTED_VALUE"""),-0.791248333942717)</f>
        <v>-0.79124833394271699</v>
      </c>
      <c r="MN25" s="3">
        <f ca="1">IFERROR(__xludf.DUMMYFUNCTION("""COMPUTED_VALUE"""),-0.801241127541704)</f>
        <v>-0.80124112754170396</v>
      </c>
      <c r="MO25" s="3">
        <f ca="1">IFERROR(__xludf.DUMMYFUNCTION("""COMPUTED_VALUE"""),-0.822701744270348)</f>
        <v>-0.82270174427034803</v>
      </c>
      <c r="MP25" s="3">
        <f ca="1">IFERROR(__xludf.DUMMYFUNCTION("""COMPUTED_VALUE"""),-0.774726198345063)</f>
        <v>-0.77472619834506296</v>
      </c>
      <c r="MQ25" s="3">
        <f ca="1">IFERROR(__xludf.DUMMYFUNCTION("""COMPUTED_VALUE"""),-0.80069411639556)</f>
        <v>-0.80069411639555998</v>
      </c>
      <c r="MR25" s="3">
        <f ca="1">IFERROR(__xludf.DUMMYFUNCTION("""COMPUTED_VALUE"""),-0.817129355651314)</f>
        <v>-0.81712935565131395</v>
      </c>
      <c r="MS25" s="3">
        <f ca="1">IFERROR(__xludf.DUMMYFUNCTION("""COMPUTED_VALUE"""),-0.784910461948988)</f>
        <v>-0.78491046194898795</v>
      </c>
      <c r="MT25" s="3">
        <f ca="1">IFERROR(__xludf.DUMMYFUNCTION("""COMPUTED_VALUE"""),-0.810791581432201)</f>
        <v>-0.81079158143220098</v>
      </c>
      <c r="MU25" s="3">
        <f ca="1">IFERROR(__xludf.DUMMYFUNCTION("""COMPUTED_VALUE"""),-0.830929113382406)</f>
        <v>-0.83092911338240605</v>
      </c>
      <c r="MV25" s="3">
        <f ca="1">IFERROR(__xludf.DUMMYFUNCTION("""COMPUTED_VALUE"""),-0.808262291192007)</f>
        <v>-0.80826229119200699</v>
      </c>
      <c r="MW25" s="3">
        <f ca="1">IFERROR(__xludf.DUMMYFUNCTION("""COMPUTED_VALUE"""),-0.862125304648152)</f>
        <v>-0.86212530464815196</v>
      </c>
      <c r="MX25" s="3">
        <f ca="1">IFERROR(__xludf.DUMMYFUNCTION("""COMPUTED_VALUE"""),-0.83760594386177)</f>
        <v>-0.83760594386177001</v>
      </c>
      <c r="MY25" s="3">
        <f ca="1">IFERROR(__xludf.DUMMYFUNCTION("""COMPUTED_VALUE"""),-0.839345302233625)</f>
        <v>-0.83934530223362502</v>
      </c>
      <c r="MZ25" s="3">
        <f ca="1">IFERROR(__xludf.DUMMYFUNCTION("""COMPUTED_VALUE"""),-0.774237048040747)</f>
        <v>-0.774237048040747</v>
      </c>
      <c r="NA25" s="3">
        <f ca="1">IFERROR(__xludf.DUMMYFUNCTION("""COMPUTED_VALUE"""),-0.834464368587937)</f>
        <v>-0.83446436858793704</v>
      </c>
      <c r="NB25" s="3">
        <f ca="1">IFERROR(__xludf.DUMMYFUNCTION("""COMPUTED_VALUE"""),-0.810417905535196)</f>
        <v>-0.81041790553519599</v>
      </c>
      <c r="NC25" s="3">
        <f ca="1">IFERROR(__xludf.DUMMYFUNCTION("""COMPUTED_VALUE"""),-0.829205270678197)</f>
        <v>-0.82920527067819705</v>
      </c>
      <c r="ND25" s="3">
        <f ca="1">IFERROR(__xludf.DUMMYFUNCTION("""COMPUTED_VALUE"""),-0.755440155832932)</f>
        <v>-0.755440155832932</v>
      </c>
      <c r="NE25" s="3">
        <f ca="1">IFERROR(__xludf.DUMMYFUNCTION("""COMPUTED_VALUE"""),-0.686688920392858)</f>
        <v>-0.686688920392858</v>
      </c>
      <c r="NF25" s="3">
        <f ca="1">IFERROR(__xludf.DUMMYFUNCTION("""COMPUTED_VALUE"""),-0.734276983137838)</f>
        <v>-0.73427698313783796</v>
      </c>
      <c r="NG25" s="3">
        <f ca="1">IFERROR(__xludf.DUMMYFUNCTION("""COMPUTED_VALUE"""),-0.659774323470105)</f>
        <v>-0.65977432347010501</v>
      </c>
      <c r="NH25" s="3">
        <f ca="1">IFERROR(__xludf.DUMMYFUNCTION("""COMPUTED_VALUE"""),-0.751364637764298)</f>
        <v>-0.75136463776429796</v>
      </c>
      <c r="NI25" s="3">
        <f ca="1">IFERROR(__xludf.DUMMYFUNCTION("""COMPUTED_VALUE"""),-0.567456656060016)</f>
        <v>-0.56745665606001605</v>
      </c>
      <c r="NJ25" s="3">
        <f ca="1">IFERROR(__xludf.DUMMYFUNCTION("""COMPUTED_VALUE"""),-0.525591037324302)</f>
        <v>-0.52559103732430201</v>
      </c>
      <c r="NK25" s="3">
        <f ca="1">IFERROR(__xludf.DUMMYFUNCTION("""COMPUTED_VALUE"""),-0.690009890457379)</f>
        <v>-0.69000989045737904</v>
      </c>
      <c r="NL25" s="3">
        <f ca="1">IFERROR(__xludf.DUMMYFUNCTION("""COMPUTED_VALUE"""),-0.714479961187133)</f>
        <v>-0.71447996118713297</v>
      </c>
      <c r="NM25" s="3">
        <f ca="1">IFERROR(__xludf.DUMMYFUNCTION("""COMPUTED_VALUE"""),-0.753081905887439)</f>
        <v>-0.75308190588743895</v>
      </c>
      <c r="NN25" s="3">
        <f ca="1">IFERROR(__xludf.DUMMYFUNCTION("""COMPUTED_VALUE"""),-0.730509786550577)</f>
        <v>-0.73050978655057697</v>
      </c>
      <c r="NO25" s="3">
        <f ca="1">IFERROR(__xludf.DUMMYFUNCTION("""COMPUTED_VALUE"""),-0.770917726393813)</f>
        <v>-0.77091772639381295</v>
      </c>
      <c r="NP25" s="3">
        <f ca="1">IFERROR(__xludf.DUMMYFUNCTION("""COMPUTED_VALUE"""),-0.617236445453873)</f>
        <v>-0.61723644545387302</v>
      </c>
      <c r="NQ25" s="3">
        <f ca="1">IFERROR(__xludf.DUMMYFUNCTION("""COMPUTED_VALUE"""),-0.718090354554477)</f>
        <v>-0.71809035455447701</v>
      </c>
      <c r="NR25" s="3">
        <f ca="1">IFERROR(__xludf.DUMMYFUNCTION("""COMPUTED_VALUE"""),-0.763545609864869)</f>
        <v>-0.76354560986486897</v>
      </c>
      <c r="NS25" s="3">
        <f ca="1">IFERROR(__xludf.DUMMYFUNCTION("""COMPUTED_VALUE"""),-0.748365183880018)</f>
        <v>-0.74836518388001805</v>
      </c>
      <c r="NT25" s="3">
        <f ca="1">IFERROR(__xludf.DUMMYFUNCTION("""COMPUTED_VALUE"""),-0.668751781092718)</f>
        <v>-0.66875178109271805</v>
      </c>
      <c r="NU25" s="3">
        <f ca="1">IFERROR(__xludf.DUMMYFUNCTION("""COMPUTED_VALUE"""),-0.591815873279934)</f>
        <v>-0.59181587327993401</v>
      </c>
      <c r="NV25" s="3">
        <f ca="1">IFERROR(__xludf.DUMMYFUNCTION("""COMPUTED_VALUE"""),-0.813827852452322)</f>
        <v>-0.81382785245232203</v>
      </c>
      <c r="NW25" s="3">
        <f ca="1">IFERROR(__xludf.DUMMYFUNCTION("""COMPUTED_VALUE"""),-0.567987498078717)</f>
        <v>-0.56798749807871696</v>
      </c>
      <c r="NX25" s="3">
        <f ca="1">IFERROR(__xludf.DUMMYFUNCTION("""COMPUTED_VALUE"""),-0.55793892151747)</f>
        <v>-0.55793892151747004</v>
      </c>
      <c r="NY25" s="3">
        <f ca="1">IFERROR(__xludf.DUMMYFUNCTION("""COMPUTED_VALUE"""),-0.463978423256649)</f>
        <v>-0.46397842325664901</v>
      </c>
      <c r="NZ25" s="3">
        <f ca="1">IFERROR(__xludf.DUMMYFUNCTION("""COMPUTED_VALUE"""),-0.375962809529959)</f>
        <v>-0.37596280952995897</v>
      </c>
      <c r="OA25" s="3">
        <f ca="1">IFERROR(__xludf.DUMMYFUNCTION("""COMPUTED_VALUE"""),-0.240295392886707)</f>
        <v>-0.24029539288670701</v>
      </c>
      <c r="OB25" s="3">
        <f ca="1">IFERROR(__xludf.DUMMYFUNCTION("""COMPUTED_VALUE"""),-0.221844294687243)</f>
        <v>-0.22184429468724301</v>
      </c>
      <c r="OC25" s="3">
        <f ca="1">IFERROR(__xludf.DUMMYFUNCTION("""COMPUTED_VALUE"""),-0.344113203042739)</f>
        <v>-0.34411320304273901</v>
      </c>
      <c r="OD25" s="3">
        <f ca="1">IFERROR(__xludf.DUMMYFUNCTION("""COMPUTED_VALUE"""),-0.110820067887931)</f>
        <v>-0.110820067887931</v>
      </c>
      <c r="OE25" s="3">
        <f ca="1">IFERROR(__xludf.DUMMYFUNCTION("""COMPUTED_VALUE"""),-0.118655072426445)</f>
        <v>-0.118655072426445</v>
      </c>
      <c r="OF25" s="3">
        <f ca="1">IFERROR(__xludf.DUMMYFUNCTION("""COMPUTED_VALUE"""),-0.124991994217)</f>
        <v>-0.124991994217</v>
      </c>
      <c r="OG25" s="3">
        <f ca="1">IFERROR(__xludf.DUMMYFUNCTION("""COMPUTED_VALUE"""),-0.124904046608104)</f>
        <v>-0.124904046608104</v>
      </c>
      <c r="OH25" s="3">
        <f ca="1">IFERROR(__xludf.DUMMYFUNCTION("""COMPUTED_VALUE"""),-0.00876885567931218)</f>
        <v>-8.7688556793121802E-3</v>
      </c>
      <c r="OI25" s="3">
        <f ca="1">IFERROR(__xludf.DUMMYFUNCTION("""COMPUTED_VALUE"""),-0.0576152136052847)</f>
        <v>-5.7615213605284703E-2</v>
      </c>
      <c r="OJ25" s="3">
        <f ca="1">IFERROR(__xludf.DUMMYFUNCTION("""COMPUTED_VALUE"""),-0.319013697323337)</f>
        <v>-0.31901369732333701</v>
      </c>
      <c r="OK25" s="3">
        <f ca="1">IFERROR(__xludf.DUMMYFUNCTION("""COMPUTED_VALUE"""),-0.0843019310685349)</f>
        <v>-8.4301931068534897E-2</v>
      </c>
      <c r="OL25" s="3">
        <f ca="1">IFERROR(__xludf.DUMMYFUNCTION("""COMPUTED_VALUE"""),-0.210508347102686)</f>
        <v>-0.21050834710268601</v>
      </c>
      <c r="OM25" s="3">
        <f ca="1">IFERROR(__xludf.DUMMYFUNCTION("""COMPUTED_VALUE"""),0.0208367164555787)</f>
        <v>2.0836716455578701E-2</v>
      </c>
      <c r="ON25" s="3">
        <f ca="1">IFERROR(__xludf.DUMMYFUNCTION("""COMPUTED_VALUE"""),0.0763802179582926)</f>
        <v>7.6380217958292598E-2</v>
      </c>
      <c r="OO25" s="3">
        <f ca="1">IFERROR(__xludf.DUMMYFUNCTION("""COMPUTED_VALUE"""),0.0132515905781465)</f>
        <v>1.32515905781465E-2</v>
      </c>
      <c r="OP25" s="3">
        <f ca="1">IFERROR(__xludf.DUMMYFUNCTION("""COMPUTED_VALUE"""),-0.110280418665466)</f>
        <v>-0.11028041866546601</v>
      </c>
      <c r="OQ25" s="3">
        <f ca="1">IFERROR(__xludf.DUMMYFUNCTION("""COMPUTED_VALUE"""),-0.13235864099328)</f>
        <v>-0.13235864099328001</v>
      </c>
      <c r="OR25" s="3">
        <f ca="1">IFERROR(__xludf.DUMMYFUNCTION("""COMPUTED_VALUE"""),-0.276103038979304)</f>
        <v>-0.27610303897930399</v>
      </c>
      <c r="OS25" s="3">
        <f ca="1">IFERROR(__xludf.DUMMYFUNCTION("""COMPUTED_VALUE"""),-0.170721937119478)</f>
        <v>-0.170721937119478</v>
      </c>
      <c r="OT25" s="3">
        <f ca="1">IFERROR(__xludf.DUMMYFUNCTION("""COMPUTED_VALUE"""),-0.114868211842297)</f>
        <v>-0.11486821184229699</v>
      </c>
      <c r="OU25" s="3">
        <f ca="1">IFERROR(__xludf.DUMMYFUNCTION("""COMPUTED_VALUE"""),-0.0773421360265683)</f>
        <v>-7.7342136026568295E-2</v>
      </c>
      <c r="OV25" s="3">
        <f ca="1">IFERROR(__xludf.DUMMYFUNCTION("""COMPUTED_VALUE"""),0.196255147258297)</f>
        <v>0.19625514725829701</v>
      </c>
      <c r="OW25" s="3">
        <f ca="1">IFERROR(__xludf.DUMMYFUNCTION("""COMPUTED_VALUE"""),-0.0948435833254658)</f>
        <v>-9.4843583325465802E-2</v>
      </c>
      <c r="OX25" s="3">
        <f ca="1">IFERROR(__xludf.DUMMYFUNCTION("""COMPUTED_VALUE"""),-0.00793879533761732)</f>
        <v>-7.9387953376173197E-3</v>
      </c>
      <c r="OY25" s="3">
        <f ca="1">IFERROR(__xludf.DUMMYFUNCTION("""COMPUTED_VALUE"""),-0.204275334608877)</f>
        <v>-0.20427533460887701</v>
      </c>
      <c r="OZ25" s="3">
        <f ca="1">IFERROR(__xludf.DUMMYFUNCTION("""COMPUTED_VALUE"""),-0.0303869736269986)</f>
        <v>-3.03869736269986E-2</v>
      </c>
      <c r="PA25" s="3">
        <f ca="1">IFERROR(__xludf.DUMMYFUNCTION("""COMPUTED_VALUE"""),0.240980556387567)</f>
        <v>0.24098055638756699</v>
      </c>
      <c r="PB25" s="3">
        <f ca="1">IFERROR(__xludf.DUMMYFUNCTION("""COMPUTED_VALUE"""),0.440999626918512)</f>
        <v>0.44099962691851202</v>
      </c>
      <c r="PC25" s="3">
        <f ca="1">IFERROR(__xludf.DUMMYFUNCTION("""COMPUTED_VALUE"""),0.251420442974467)</f>
        <v>0.25142044297446697</v>
      </c>
      <c r="PD25" s="3">
        <f ca="1">IFERROR(__xludf.DUMMYFUNCTION("""COMPUTED_VALUE"""),0.0254984320450635)</f>
        <v>2.54984320450635E-2</v>
      </c>
      <c r="PE25" s="3">
        <f ca="1">IFERROR(__xludf.DUMMYFUNCTION("""COMPUTED_VALUE"""),0.16944904288548)</f>
        <v>0.16944904288547999</v>
      </c>
      <c r="PF25" s="3">
        <f ca="1">IFERROR(__xludf.DUMMYFUNCTION("""COMPUTED_VALUE"""),0.0709108641737639)</f>
        <v>7.0910864173763896E-2</v>
      </c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</row>
    <row r="26" spans="1:594" ht="15.75" customHeight="1">
      <c r="A26" s="1" t="str">
        <f ca="1">IFERROR(__xludf.DUMMYFUNCTION("""COMPUTED_VALUE"""),"Gatineau")</f>
        <v>Gatineau</v>
      </c>
      <c r="B26" s="3">
        <f ca="1">IFERROR(__xludf.DUMMYFUNCTION("""COMPUTED_VALUE"""),-0.634545424003295)</f>
        <v>-0.63454542400329506</v>
      </c>
      <c r="C26" s="3">
        <f ca="1">IFERROR(__xludf.DUMMYFUNCTION("""COMPUTED_VALUE"""),-0.691959390846328)</f>
        <v>-0.69195939084632796</v>
      </c>
      <c r="D26" s="3">
        <f ca="1">IFERROR(__xludf.DUMMYFUNCTION("""COMPUTED_VALUE"""),-0.746242305029297)</f>
        <v>-0.746242305029297</v>
      </c>
      <c r="E26" s="3">
        <f ca="1">IFERROR(__xludf.DUMMYFUNCTION("""COMPUTED_VALUE"""),-0.726036236210414)</f>
        <v>-0.72603623621041402</v>
      </c>
      <c r="F26" s="3">
        <f ca="1">IFERROR(__xludf.DUMMYFUNCTION("""COMPUTED_VALUE"""),-0.713746332679983)</f>
        <v>-0.713746332679983</v>
      </c>
      <c r="G26" s="3">
        <f ca="1">IFERROR(__xludf.DUMMYFUNCTION("""COMPUTED_VALUE"""),-0.733921695665336)</f>
        <v>-0.73392169566533605</v>
      </c>
      <c r="H26" s="3">
        <f ca="1">IFERROR(__xludf.DUMMYFUNCTION("""COMPUTED_VALUE"""),-0.674391415320509)</f>
        <v>-0.67439141532050895</v>
      </c>
      <c r="I26" s="3">
        <f ca="1">IFERROR(__xludf.DUMMYFUNCTION("""COMPUTED_VALUE"""),-0.635810624332511)</f>
        <v>-0.63581062433251101</v>
      </c>
      <c r="J26" s="3">
        <f ca="1">IFERROR(__xludf.DUMMYFUNCTION("""COMPUTED_VALUE"""),-0.746842501781269)</f>
        <v>-0.74684250178126899</v>
      </c>
      <c r="K26" s="3">
        <f ca="1">IFERROR(__xludf.DUMMYFUNCTION("""COMPUTED_VALUE"""),-0.650541498890338)</f>
        <v>-0.65054149889033797</v>
      </c>
      <c r="L26" s="3">
        <f ca="1">IFERROR(__xludf.DUMMYFUNCTION("""COMPUTED_VALUE"""),-0.651497939769172)</f>
        <v>-0.65149793976917203</v>
      </c>
      <c r="M26" s="3">
        <f ca="1">IFERROR(__xludf.DUMMYFUNCTION("""COMPUTED_VALUE"""),-0.632032950030022)</f>
        <v>-0.63203295003002202</v>
      </c>
      <c r="N26" s="3">
        <f ca="1">IFERROR(__xludf.DUMMYFUNCTION("""COMPUTED_VALUE"""),-0.635726553396169)</f>
        <v>-0.63572655339616901</v>
      </c>
      <c r="O26" s="3">
        <f ca="1">IFERROR(__xludf.DUMMYFUNCTION("""COMPUTED_VALUE"""),-0.571369956447666)</f>
        <v>-0.57136995644766597</v>
      </c>
      <c r="P26" s="3">
        <f ca="1">IFERROR(__xludf.DUMMYFUNCTION("""COMPUTED_VALUE"""),-0.539836676342019)</f>
        <v>-0.53983667634201904</v>
      </c>
      <c r="Q26" s="3">
        <f ca="1">IFERROR(__xludf.DUMMYFUNCTION("""COMPUTED_VALUE"""),-0.693337398757646)</f>
        <v>-0.693337398757646</v>
      </c>
      <c r="R26" s="3">
        <f ca="1">IFERROR(__xludf.DUMMYFUNCTION("""COMPUTED_VALUE"""),-0.651863463184744)</f>
        <v>-0.65186346318474397</v>
      </c>
      <c r="S26" s="3">
        <f ca="1">IFERROR(__xludf.DUMMYFUNCTION("""COMPUTED_VALUE"""),-0.672347229537238)</f>
        <v>-0.67234722953723802</v>
      </c>
      <c r="T26" s="3">
        <f ca="1">IFERROR(__xludf.DUMMYFUNCTION("""COMPUTED_VALUE"""),-0.647000315181519)</f>
        <v>-0.64700031518151901</v>
      </c>
      <c r="U26" s="3">
        <f ca="1">IFERROR(__xludf.DUMMYFUNCTION("""COMPUTED_VALUE"""),-0.651853297294536)</f>
        <v>-0.651853297294536</v>
      </c>
      <c r="V26" s="3">
        <f ca="1">IFERROR(__xludf.DUMMYFUNCTION("""COMPUTED_VALUE"""),-0.507914989614337)</f>
        <v>-0.50791498961433701</v>
      </c>
      <c r="W26" s="3">
        <f ca="1">IFERROR(__xludf.DUMMYFUNCTION("""COMPUTED_VALUE"""),-0.541840748363239)</f>
        <v>-0.54184074836323903</v>
      </c>
      <c r="X26" s="3">
        <f ca="1">IFERROR(__xludf.DUMMYFUNCTION("""COMPUTED_VALUE"""),-0.659143151236495)</f>
        <v>-0.65914315123649503</v>
      </c>
      <c r="Y26" s="3">
        <f ca="1">IFERROR(__xludf.DUMMYFUNCTION("""COMPUTED_VALUE"""),-0.652328399875012)</f>
        <v>-0.65232839987501201</v>
      </c>
      <c r="Z26" s="3">
        <f ca="1">IFERROR(__xludf.DUMMYFUNCTION("""COMPUTED_VALUE"""),-0.668492145071764)</f>
        <v>-0.66849214507176402</v>
      </c>
      <c r="AA26" s="3">
        <f ca="1">IFERROR(__xludf.DUMMYFUNCTION("""COMPUTED_VALUE"""),-0.676314561153324)</f>
        <v>-0.676314561153324</v>
      </c>
      <c r="AB26" s="3">
        <f ca="1">IFERROR(__xludf.DUMMYFUNCTION("""COMPUTED_VALUE"""),-0.661259417034334)</f>
        <v>-0.661259417034334</v>
      </c>
      <c r="AC26" s="3">
        <f ca="1">IFERROR(__xludf.DUMMYFUNCTION("""COMPUTED_VALUE"""),-0.516534534462239)</f>
        <v>-0.51653453446223896</v>
      </c>
      <c r="AD26" s="3">
        <f ca="1">IFERROR(__xludf.DUMMYFUNCTION("""COMPUTED_VALUE"""),-0.532746953694929)</f>
        <v>-0.53274695369492897</v>
      </c>
      <c r="AE26" s="3">
        <f ca="1">IFERROR(__xludf.DUMMYFUNCTION("""COMPUTED_VALUE"""),-0.636195771225601)</f>
        <v>-0.636195771225601</v>
      </c>
      <c r="AF26" s="3">
        <f ca="1">IFERROR(__xludf.DUMMYFUNCTION("""COMPUTED_VALUE"""),-0.650089955820251)</f>
        <v>-0.65008995582025098</v>
      </c>
      <c r="AG26" s="3">
        <f ca="1">IFERROR(__xludf.DUMMYFUNCTION("""COMPUTED_VALUE"""),-0.669150395016785)</f>
        <v>-0.66915039501678497</v>
      </c>
      <c r="AH26" s="3">
        <f ca="1">IFERROR(__xludf.DUMMYFUNCTION("""COMPUTED_VALUE"""),-0.671806967460729)</f>
        <v>-0.67180696746072899</v>
      </c>
      <c r="AI26" s="3">
        <f ca="1">IFERROR(__xludf.DUMMYFUNCTION("""COMPUTED_VALUE"""),-0.664329421396307)</f>
        <v>-0.66432942139630702</v>
      </c>
      <c r="AJ26" s="3">
        <f ca="1">IFERROR(__xludf.DUMMYFUNCTION("""COMPUTED_VALUE"""),-0.505279950707204)</f>
        <v>-0.505279950707204</v>
      </c>
      <c r="AK26" s="3">
        <f ca="1">IFERROR(__xludf.DUMMYFUNCTION("""COMPUTED_VALUE"""),-0.532324796028045)</f>
        <v>-0.53232479602804506</v>
      </c>
      <c r="AL26" s="3">
        <f ca="1">IFERROR(__xludf.DUMMYFUNCTION("""COMPUTED_VALUE"""),-0.654682249485678)</f>
        <v>-0.65468224948567799</v>
      </c>
      <c r="AM26" s="3">
        <f ca="1">IFERROR(__xludf.DUMMYFUNCTION("""COMPUTED_VALUE"""),-0.663847967454551)</f>
        <v>-0.66384796745455099</v>
      </c>
      <c r="AN26" s="3">
        <f ca="1">IFERROR(__xludf.DUMMYFUNCTION("""COMPUTED_VALUE"""),-0.658259353555165)</f>
        <v>-0.65825935355516496</v>
      </c>
      <c r="AO26" s="3">
        <f ca="1">IFERROR(__xludf.DUMMYFUNCTION("""COMPUTED_VALUE"""),-0.67347717021091)</f>
        <v>-0.67347717021091003</v>
      </c>
      <c r="AP26" s="3">
        <f ca="1">IFERROR(__xludf.DUMMYFUNCTION("""COMPUTED_VALUE"""),-0.64106958430639)</f>
        <v>-0.64106958430639005</v>
      </c>
      <c r="AQ26" s="3">
        <f ca="1">IFERROR(__xludf.DUMMYFUNCTION("""COMPUTED_VALUE"""),-0.432289288656391)</f>
        <v>-0.43228928865639099</v>
      </c>
      <c r="AR26" s="3">
        <f ca="1">IFERROR(__xludf.DUMMYFUNCTION("""COMPUTED_VALUE"""),-0.520612192079825)</f>
        <v>-0.52061219207982501</v>
      </c>
      <c r="AS26" s="3">
        <f ca="1">IFERROR(__xludf.DUMMYFUNCTION("""COMPUTED_VALUE"""),-0.621191374187724)</f>
        <v>-0.62119137418772397</v>
      </c>
      <c r="AT26" s="3">
        <f ca="1">IFERROR(__xludf.DUMMYFUNCTION("""COMPUTED_VALUE"""),-0.644903902110331)</f>
        <v>-0.644903902110331</v>
      </c>
      <c r="AU26" s="3">
        <f ca="1">IFERROR(__xludf.DUMMYFUNCTION("""COMPUTED_VALUE"""),-0.651347111593307)</f>
        <v>-0.65134711159330705</v>
      </c>
      <c r="AV26" s="3">
        <f ca="1">IFERROR(__xludf.DUMMYFUNCTION("""COMPUTED_VALUE"""),-0.665717742099776)</f>
        <v>-0.66571774209977597</v>
      </c>
      <c r="AW26" s="3">
        <f ca="1">IFERROR(__xludf.DUMMYFUNCTION("""COMPUTED_VALUE"""),-0.635344940667052)</f>
        <v>-0.63534494066705205</v>
      </c>
      <c r="AX26" s="3">
        <f ca="1">IFERROR(__xludf.DUMMYFUNCTION("""COMPUTED_VALUE"""),-0.517536007809981)</f>
        <v>-0.51753600780998099</v>
      </c>
      <c r="AY26" s="3">
        <f ca="1">IFERROR(__xludf.DUMMYFUNCTION("""COMPUTED_VALUE"""),-0.555938009762414)</f>
        <v>-0.55593800976241403</v>
      </c>
      <c r="AZ26" s="3">
        <f ca="1">IFERROR(__xludf.DUMMYFUNCTION("""COMPUTED_VALUE"""),-0.667940318534602)</f>
        <v>-0.66794031853460201</v>
      </c>
      <c r="BA26" s="3">
        <f ca="1">IFERROR(__xludf.DUMMYFUNCTION("""COMPUTED_VALUE"""),-0.691647377840175)</f>
        <v>-0.69164737784017505</v>
      </c>
      <c r="BB26" s="3">
        <f ca="1">IFERROR(__xludf.DUMMYFUNCTION("""COMPUTED_VALUE"""),-0.613284782303657)</f>
        <v>-0.61328478230365702</v>
      </c>
      <c r="BC26" s="3">
        <f ca="1">IFERROR(__xludf.DUMMYFUNCTION("""COMPUTED_VALUE"""),-0.655404299643358)</f>
        <v>-0.655404299643358</v>
      </c>
      <c r="BD26" s="3">
        <f ca="1">IFERROR(__xludf.DUMMYFUNCTION("""COMPUTED_VALUE"""),-0.697235536900241)</f>
        <v>-0.69723553690024098</v>
      </c>
      <c r="BE26" s="3">
        <f ca="1">IFERROR(__xludf.DUMMYFUNCTION("""COMPUTED_VALUE"""),-0.560618098864956)</f>
        <v>-0.56061809886495595</v>
      </c>
      <c r="BF26" s="3">
        <f ca="1">IFERROR(__xludf.DUMMYFUNCTION("""COMPUTED_VALUE"""),-0.626422524159472)</f>
        <v>-0.62642252415947197</v>
      </c>
      <c r="BG26" s="3">
        <f ca="1">IFERROR(__xludf.DUMMYFUNCTION("""COMPUTED_VALUE"""),-0.72397800610268)</f>
        <v>-0.72397800610268004</v>
      </c>
      <c r="BH26" s="3">
        <f ca="1">IFERROR(__xludf.DUMMYFUNCTION("""COMPUTED_VALUE"""),-0.723979280436486)</f>
        <v>-0.72397928043648596</v>
      </c>
      <c r="BI26" s="3">
        <f ca="1">IFERROR(__xludf.DUMMYFUNCTION("""COMPUTED_VALUE"""),-0.738944473081815)</f>
        <v>-0.73894447308181499</v>
      </c>
      <c r="BJ26" s="3">
        <f ca="1">IFERROR(__xludf.DUMMYFUNCTION("""COMPUTED_VALUE"""),-0.728348284638115)</f>
        <v>-0.72834828463811496</v>
      </c>
      <c r="BK26" s="3">
        <f ca="1">IFERROR(__xludf.DUMMYFUNCTION("""COMPUTED_VALUE"""),-0.71503929338694)</f>
        <v>-0.71503929338693994</v>
      </c>
      <c r="BL26" s="3">
        <f ca="1">IFERROR(__xludf.DUMMYFUNCTION("""COMPUTED_VALUE"""),-0.642718866090061)</f>
        <v>-0.64271886609006101</v>
      </c>
      <c r="BM26" s="3">
        <f ca="1">IFERROR(__xludf.DUMMYFUNCTION("""COMPUTED_VALUE"""),-0.649365616024842)</f>
        <v>-0.649365616024842</v>
      </c>
      <c r="BN26" s="3">
        <f ca="1">IFERROR(__xludf.DUMMYFUNCTION("""COMPUTED_VALUE"""),-0.761480071398115)</f>
        <v>-0.76148007139811502</v>
      </c>
      <c r="BO26" s="3">
        <f ca="1">IFERROR(__xludf.DUMMYFUNCTION("""COMPUTED_VALUE"""),-0.755709224158994)</f>
        <v>-0.755709224158994</v>
      </c>
      <c r="BP26" s="3">
        <f ca="1">IFERROR(__xludf.DUMMYFUNCTION("""COMPUTED_VALUE"""),-0.767049113329703)</f>
        <v>-0.76704911332970305</v>
      </c>
      <c r="BQ26" s="3">
        <f ca="1">IFERROR(__xludf.DUMMYFUNCTION("""COMPUTED_VALUE"""),-0.768057992625689)</f>
        <v>-0.76805799262568897</v>
      </c>
      <c r="BR26" s="3">
        <f ca="1">IFERROR(__xludf.DUMMYFUNCTION("""COMPUTED_VALUE"""),-0.775459431706417)</f>
        <v>-0.77545943170641696</v>
      </c>
      <c r="BS26" s="3">
        <f ca="1">IFERROR(__xludf.DUMMYFUNCTION("""COMPUTED_VALUE"""),-0.650389196021903)</f>
        <v>-0.65038919602190304</v>
      </c>
      <c r="BT26" s="3">
        <f ca="1">IFERROR(__xludf.DUMMYFUNCTION("""COMPUTED_VALUE"""),-0.699372809272513)</f>
        <v>-0.699372809272513</v>
      </c>
      <c r="BU26" s="3">
        <f ca="1">IFERROR(__xludf.DUMMYFUNCTION("""COMPUTED_VALUE"""),-0.798308041271647)</f>
        <v>-0.79830804127164701</v>
      </c>
      <c r="BV26" s="3">
        <f ca="1">IFERROR(__xludf.DUMMYFUNCTION("""COMPUTED_VALUE"""),-0.786670751201499)</f>
        <v>-0.78667075120149899</v>
      </c>
      <c r="BW26" s="3">
        <f ca="1">IFERROR(__xludf.DUMMYFUNCTION("""COMPUTED_VALUE"""),-0.786428091668099)</f>
        <v>-0.78642809166809902</v>
      </c>
      <c r="BX26" s="3">
        <f ca="1">IFERROR(__xludf.DUMMYFUNCTION("""COMPUTED_VALUE"""),-0.786006711162787)</f>
        <v>-0.78600671116278698</v>
      </c>
      <c r="BY26" s="3">
        <f ca="1">IFERROR(__xludf.DUMMYFUNCTION("""COMPUTED_VALUE"""),-0.782320258739302)</f>
        <v>-0.782320258739302</v>
      </c>
      <c r="BZ26" s="3">
        <f ca="1">IFERROR(__xludf.DUMMYFUNCTION("""COMPUTED_VALUE"""),-0.668263306743373)</f>
        <v>-0.66826330674337298</v>
      </c>
      <c r="CA26" s="3">
        <f ca="1">IFERROR(__xludf.DUMMYFUNCTION("""COMPUTED_VALUE"""),-0.690545225459489)</f>
        <v>-0.69054522545948904</v>
      </c>
      <c r="CB26" s="3">
        <f ca="1">IFERROR(__xludf.DUMMYFUNCTION("""COMPUTED_VALUE"""),-0.769475549357064)</f>
        <v>-0.76947554935706397</v>
      </c>
      <c r="CC26" s="3">
        <f ca="1">IFERROR(__xludf.DUMMYFUNCTION("""COMPUTED_VALUE"""),-0.777702580897924)</f>
        <v>-0.77770258089792399</v>
      </c>
      <c r="CD26" s="3">
        <f ca="1">IFERROR(__xludf.DUMMYFUNCTION("""COMPUTED_VALUE"""),-0.783225661135213)</f>
        <v>-0.78322566113521297</v>
      </c>
      <c r="CE26" s="3">
        <f ca="1">IFERROR(__xludf.DUMMYFUNCTION("""COMPUTED_VALUE"""),-0.779968916114461)</f>
        <v>-0.77996891611446095</v>
      </c>
      <c r="CF26" s="3">
        <f ca="1">IFERROR(__xludf.DUMMYFUNCTION("""COMPUTED_VALUE"""),-0.762238505414986)</f>
        <v>-0.76223850541498595</v>
      </c>
      <c r="CG26" s="3">
        <f ca="1">IFERROR(__xludf.DUMMYFUNCTION("""COMPUTED_VALUE"""),-0.638782387644415)</f>
        <v>-0.63878238764441497</v>
      </c>
      <c r="CH26" s="3">
        <f ca="1">IFERROR(__xludf.DUMMYFUNCTION("""COMPUTED_VALUE"""),-0.699887099000127)</f>
        <v>-0.69988709900012702</v>
      </c>
      <c r="CI26" s="3">
        <f ca="1">IFERROR(__xludf.DUMMYFUNCTION("""COMPUTED_VALUE"""),-0.782632131750879)</f>
        <v>-0.78263213175087898</v>
      </c>
      <c r="CJ26" s="3">
        <f ca="1">IFERROR(__xludf.DUMMYFUNCTION("""COMPUTED_VALUE"""),-0.793426280440777)</f>
        <v>-0.79342628044077701</v>
      </c>
      <c r="CK26" s="3">
        <f ca="1">IFERROR(__xludf.DUMMYFUNCTION("""COMPUTED_VALUE"""),-0.787667481581253)</f>
        <v>-0.78766748158125299</v>
      </c>
      <c r="CL26" s="3">
        <f ca="1">IFERROR(__xludf.DUMMYFUNCTION("""COMPUTED_VALUE"""),-0.791587311448856)</f>
        <v>-0.79158731144885597</v>
      </c>
      <c r="CM26" s="3">
        <f ca="1">IFERROR(__xludf.DUMMYFUNCTION("""COMPUTED_VALUE"""),-0.771812020705663)</f>
        <v>-0.77181202070566302</v>
      </c>
      <c r="CN26" s="3">
        <f ca="1">IFERROR(__xludf.DUMMYFUNCTION("""COMPUTED_VALUE"""),-0.646593195183125)</f>
        <v>-0.64659319518312497</v>
      </c>
      <c r="CO26" s="3">
        <f ca="1">IFERROR(__xludf.DUMMYFUNCTION("""COMPUTED_VALUE"""),-0.65102157889789)</f>
        <v>-0.65102157889789003</v>
      </c>
      <c r="CP26" s="3">
        <f ca="1">IFERROR(__xludf.DUMMYFUNCTION("""COMPUTED_VALUE"""),-0.728925993534727)</f>
        <v>-0.72892599353472698</v>
      </c>
      <c r="CQ26" s="3">
        <f ca="1">IFERROR(__xludf.DUMMYFUNCTION("""COMPUTED_VALUE"""),-0.734966315910504)</f>
        <v>-0.73496631591050399</v>
      </c>
      <c r="CR26" s="3">
        <f ca="1">IFERROR(__xludf.DUMMYFUNCTION("""COMPUTED_VALUE"""),-0.702357232568389)</f>
        <v>-0.702357232568389</v>
      </c>
      <c r="CS26" s="3">
        <f ca="1">IFERROR(__xludf.DUMMYFUNCTION("""COMPUTED_VALUE"""),-0.741539636348237)</f>
        <v>-0.74153963634823705</v>
      </c>
      <c r="CT26" s="3">
        <f ca="1">IFERROR(__xludf.DUMMYFUNCTION("""COMPUTED_VALUE"""),-0.731933819036822)</f>
        <v>-0.73193381903682198</v>
      </c>
      <c r="CU26" s="3">
        <f ca="1">IFERROR(__xludf.DUMMYFUNCTION("""COMPUTED_VALUE"""),-0.637408274190815)</f>
        <v>-0.63740827419081503</v>
      </c>
      <c r="CV26" s="3">
        <f ca="1">IFERROR(__xludf.DUMMYFUNCTION("""COMPUTED_VALUE"""),-0.650707876915244)</f>
        <v>-0.65070787691524401</v>
      </c>
      <c r="CW26" s="3">
        <f ca="1">IFERROR(__xludf.DUMMYFUNCTION("""COMPUTED_VALUE"""),-0.821680016649609)</f>
        <v>-0.82168001664960899</v>
      </c>
      <c r="CX26" s="3">
        <f ca="1">IFERROR(__xludf.DUMMYFUNCTION("""COMPUTED_VALUE"""),-0.701745830939504)</f>
        <v>-0.70174583093950404</v>
      </c>
      <c r="CY26" s="3">
        <f ca="1">IFERROR(__xludf.DUMMYFUNCTION("""COMPUTED_VALUE"""),-0.562396490980767)</f>
        <v>-0.56239649098076705</v>
      </c>
      <c r="CZ26" s="3">
        <f ca="1">IFERROR(__xludf.DUMMYFUNCTION("""COMPUTED_VALUE"""),-0.696849229796126)</f>
        <v>-0.69684922979612596</v>
      </c>
      <c r="DA26" s="3">
        <f ca="1">IFERROR(__xludf.DUMMYFUNCTION("""COMPUTED_VALUE"""),-0.719739936776462)</f>
        <v>-0.71973993677646197</v>
      </c>
      <c r="DB26" s="3">
        <f ca="1">IFERROR(__xludf.DUMMYFUNCTION("""COMPUTED_VALUE"""),-0.603009088093475)</f>
        <v>-0.60300908809347498</v>
      </c>
      <c r="DC26" s="3">
        <f ca="1">IFERROR(__xludf.DUMMYFUNCTION("""COMPUTED_VALUE"""),-0.659084297019088)</f>
        <v>-0.65908429701908799</v>
      </c>
      <c r="DD26" s="3">
        <f ca="1">IFERROR(__xludf.DUMMYFUNCTION("""COMPUTED_VALUE"""),-0.832220234200866)</f>
        <v>-0.83222023420086599</v>
      </c>
      <c r="DE26" s="3">
        <f ca="1">IFERROR(__xludf.DUMMYFUNCTION("""COMPUTED_VALUE"""),-0.613469639857887)</f>
        <v>-0.61346963985788705</v>
      </c>
      <c r="DF26" s="3">
        <f ca="1">IFERROR(__xludf.DUMMYFUNCTION("""COMPUTED_VALUE"""),-0.328331800815992)</f>
        <v>-0.328331800815992</v>
      </c>
      <c r="DG26" s="3">
        <f ca="1">IFERROR(__xludf.DUMMYFUNCTION("""COMPUTED_VALUE"""),-0.546797727750854)</f>
        <v>-0.546797727750854</v>
      </c>
      <c r="DH26" s="3">
        <f ca="1">IFERROR(__xludf.DUMMYFUNCTION("""COMPUTED_VALUE"""),-0.57746666268365)</f>
        <v>-0.57746666268364999</v>
      </c>
      <c r="DI26" s="3">
        <f ca="1">IFERROR(__xludf.DUMMYFUNCTION("""COMPUTED_VALUE"""),-0.488815039291224)</f>
        <v>-0.488815039291224</v>
      </c>
      <c r="DJ26" s="3">
        <f ca="1">IFERROR(__xludf.DUMMYFUNCTION("""COMPUTED_VALUE"""),-0.506876402470234)</f>
        <v>-0.50687640247023402</v>
      </c>
      <c r="DK26" s="3">
        <f ca="1">IFERROR(__xludf.DUMMYFUNCTION("""COMPUTED_VALUE"""),-0.610828096185702)</f>
        <v>-0.610828096185702</v>
      </c>
      <c r="DL26" s="3">
        <f ca="1">IFERROR(__xludf.DUMMYFUNCTION("""COMPUTED_VALUE"""),-0.612018397558595)</f>
        <v>-0.612018397558595</v>
      </c>
      <c r="DM26" s="3">
        <f ca="1">IFERROR(__xludf.DUMMYFUNCTION("""COMPUTED_VALUE"""),-0.577430591794513)</f>
        <v>-0.57743059179451295</v>
      </c>
      <c r="DN26" s="3">
        <f ca="1">IFERROR(__xludf.DUMMYFUNCTION("""COMPUTED_VALUE"""),-0.644428850976474)</f>
        <v>-0.64442885097647395</v>
      </c>
      <c r="DO26" s="3">
        <f ca="1">IFERROR(__xludf.DUMMYFUNCTION("""COMPUTED_VALUE"""),-0.641046807881108)</f>
        <v>-0.64104680788110802</v>
      </c>
      <c r="DP26" s="3">
        <f ca="1">IFERROR(__xludf.DUMMYFUNCTION("""COMPUTED_VALUE"""),-0.555960269558869)</f>
        <v>-0.55596026955886901</v>
      </c>
      <c r="DQ26" s="3">
        <f ca="1">IFERROR(__xludf.DUMMYFUNCTION("""COMPUTED_VALUE"""),-0.568751121707427)</f>
        <v>-0.56875112170742703</v>
      </c>
      <c r="DR26" s="3">
        <f ca="1">IFERROR(__xludf.DUMMYFUNCTION("""COMPUTED_VALUE"""),-0.637700722256145)</f>
        <v>-0.63770072225614505</v>
      </c>
      <c r="DS26" s="3">
        <f ca="1">IFERROR(__xludf.DUMMYFUNCTION("""COMPUTED_VALUE"""),-0.664896362437887)</f>
        <v>-0.66489636243788697</v>
      </c>
      <c r="DT26" s="3">
        <f ca="1">IFERROR(__xludf.DUMMYFUNCTION("""COMPUTED_VALUE"""),-0.668144371382377)</f>
        <v>-0.66814437138237703</v>
      </c>
      <c r="DU26" s="3">
        <f ca="1">IFERROR(__xludf.DUMMYFUNCTION("""COMPUTED_VALUE"""),-0.679264237785798)</f>
        <v>-0.67926423778579803</v>
      </c>
      <c r="DV26" s="3">
        <f ca="1">IFERROR(__xludf.DUMMYFUNCTION("""COMPUTED_VALUE"""),-0.668697459748132)</f>
        <v>-0.66869745974813199</v>
      </c>
      <c r="DW26" s="3">
        <f ca="1">IFERROR(__xludf.DUMMYFUNCTION("""COMPUTED_VALUE"""),-0.544827767176975)</f>
        <v>-0.54482776717697501</v>
      </c>
      <c r="DX26" s="3">
        <f ca="1">IFERROR(__xludf.DUMMYFUNCTION("""COMPUTED_VALUE"""),-0.559053597784548)</f>
        <v>-0.559053597784548</v>
      </c>
      <c r="DY26" s="3">
        <f ca="1">IFERROR(__xludf.DUMMYFUNCTION("""COMPUTED_VALUE"""),-0.644575862051411)</f>
        <v>-0.64457586205141104</v>
      </c>
      <c r="DZ26" s="3">
        <f ca="1">IFERROR(__xludf.DUMMYFUNCTION("""COMPUTED_VALUE"""),-0.671715046283448)</f>
        <v>-0.67171504628344803</v>
      </c>
      <c r="EA26" s="3">
        <f ca="1">IFERROR(__xludf.DUMMYFUNCTION("""COMPUTED_VALUE"""),-0.693424193011131)</f>
        <v>-0.69342419301113101</v>
      </c>
      <c r="EB26" s="3">
        <f ca="1">IFERROR(__xludf.DUMMYFUNCTION("""COMPUTED_VALUE"""),-0.680150655945883)</f>
        <v>-0.68015065594588298</v>
      </c>
      <c r="EC26" s="3">
        <f ca="1">IFERROR(__xludf.DUMMYFUNCTION("""COMPUTED_VALUE"""),-0.65200017048071)</f>
        <v>-0.65200017048071002</v>
      </c>
      <c r="ED26" s="3">
        <f ca="1">IFERROR(__xludf.DUMMYFUNCTION("""COMPUTED_VALUE"""),-0.477707908539597)</f>
        <v>-0.47770790853959699</v>
      </c>
      <c r="EE26" s="3">
        <f ca="1">IFERROR(__xludf.DUMMYFUNCTION("""COMPUTED_VALUE"""),-0.536107479361145)</f>
        <v>-0.536107479361145</v>
      </c>
      <c r="EF26" s="3">
        <f ca="1">IFERROR(__xludf.DUMMYFUNCTION("""COMPUTED_VALUE"""),-0.619336787640627)</f>
        <v>-0.61933678764062705</v>
      </c>
      <c r="EG26" s="3">
        <f ca="1">IFERROR(__xludf.DUMMYFUNCTION("""COMPUTED_VALUE"""),-0.681977671274487)</f>
        <v>-0.68197767127448705</v>
      </c>
      <c r="EH26" s="3">
        <f ca="1">IFERROR(__xludf.DUMMYFUNCTION("""COMPUTED_VALUE"""),-0.686076721541876)</f>
        <v>-0.68607672154187604</v>
      </c>
      <c r="EI26" s="3">
        <f ca="1">IFERROR(__xludf.DUMMYFUNCTION("""COMPUTED_VALUE"""),-0.685143815687553)</f>
        <v>-0.685143815687553</v>
      </c>
      <c r="EJ26" s="3">
        <f ca="1">IFERROR(__xludf.DUMMYFUNCTION("""COMPUTED_VALUE"""),-0.682320766766349)</f>
        <v>-0.68232076676634901</v>
      </c>
      <c r="EK26" s="3">
        <f ca="1">IFERROR(__xludf.DUMMYFUNCTION("""COMPUTED_VALUE"""),-0.528674756207441)</f>
        <v>-0.52867475620744098</v>
      </c>
      <c r="EL26" s="3">
        <f ca="1">IFERROR(__xludf.DUMMYFUNCTION("""COMPUTED_VALUE"""),-0.557440480516728)</f>
        <v>-0.55744048051672801</v>
      </c>
      <c r="EM26" s="3">
        <f ca="1">IFERROR(__xludf.DUMMYFUNCTION("""COMPUTED_VALUE"""),-0.66738263168001)</f>
        <v>-0.66738263168001</v>
      </c>
      <c r="EN26" s="3">
        <f ca="1">IFERROR(__xludf.DUMMYFUNCTION("""COMPUTED_VALUE"""),-0.698065051118312)</f>
        <v>-0.69806505111831196</v>
      </c>
      <c r="EO26" s="3">
        <f ca="1">IFERROR(__xludf.DUMMYFUNCTION("""COMPUTED_VALUE"""),-0.707787768017119)</f>
        <v>-0.70778776801711896</v>
      </c>
      <c r="EP26" s="3">
        <f ca="1">IFERROR(__xludf.DUMMYFUNCTION("""COMPUTED_VALUE"""),-0.70481345446908)</f>
        <v>-0.70481345446907995</v>
      </c>
      <c r="EQ26" s="3">
        <f ca="1">IFERROR(__xludf.DUMMYFUNCTION("""COMPUTED_VALUE"""),-0.683095220762923)</f>
        <v>-0.68309522076292295</v>
      </c>
      <c r="ER26" s="3">
        <f ca="1">IFERROR(__xludf.DUMMYFUNCTION("""COMPUTED_VALUE"""),-0.577250546931175)</f>
        <v>-0.57725054693117495</v>
      </c>
      <c r="ES26" s="3">
        <f ca="1">IFERROR(__xludf.DUMMYFUNCTION("""COMPUTED_VALUE"""),-0.557146237145066)</f>
        <v>-0.55714623714506595</v>
      </c>
      <c r="ET26" s="3">
        <f ca="1">IFERROR(__xludf.DUMMYFUNCTION("""COMPUTED_VALUE"""),-0.680632736235431)</f>
        <v>-0.68063273623543097</v>
      </c>
      <c r="EU26" s="3">
        <f ca="1">IFERROR(__xludf.DUMMYFUNCTION("""COMPUTED_VALUE"""),-0.694691315078298)</f>
        <v>-0.69469131507829796</v>
      </c>
      <c r="EV26" s="3">
        <f ca="1">IFERROR(__xludf.DUMMYFUNCTION("""COMPUTED_VALUE"""),-0.694476783025843)</f>
        <v>-0.69447678302584304</v>
      </c>
      <c r="EW26" s="3">
        <f ca="1">IFERROR(__xludf.DUMMYFUNCTION("""COMPUTED_VALUE"""),-0.684388097395676)</f>
        <v>-0.68438809739567597</v>
      </c>
      <c r="EX26" s="3">
        <f ca="1">IFERROR(__xludf.DUMMYFUNCTION("""COMPUTED_VALUE"""),-0.649916805240294)</f>
        <v>-0.64991680524029405</v>
      </c>
      <c r="EY26" s="3">
        <f ca="1">IFERROR(__xludf.DUMMYFUNCTION("""COMPUTED_VALUE"""),-0.494014956810531)</f>
        <v>-0.49401495681053098</v>
      </c>
      <c r="EZ26" s="3">
        <f ca="1">IFERROR(__xludf.DUMMYFUNCTION("""COMPUTED_VALUE"""),-0.508831497352525)</f>
        <v>-0.50883149735252498</v>
      </c>
      <c r="FA26" s="3">
        <f ca="1">IFERROR(__xludf.DUMMYFUNCTION("""COMPUTED_VALUE"""),-0.652995476676471)</f>
        <v>-0.65299547667647095</v>
      </c>
      <c r="FB26" s="3">
        <f ca="1">IFERROR(__xludf.DUMMYFUNCTION("""COMPUTED_VALUE"""),-0.682803083411205)</f>
        <v>-0.68280308341120499</v>
      </c>
      <c r="FC26" s="3">
        <f ca="1">IFERROR(__xludf.DUMMYFUNCTION("""COMPUTED_VALUE"""),-0.699022327475174)</f>
        <v>-0.69902232747517401</v>
      </c>
      <c r="FD26" s="3">
        <f ca="1">IFERROR(__xludf.DUMMYFUNCTION("""COMPUTED_VALUE"""),-0.701616360430469)</f>
        <v>-0.70161636043046904</v>
      </c>
      <c r="FE26" s="3">
        <f ca="1">IFERROR(__xludf.DUMMYFUNCTION("""COMPUTED_VALUE"""),-0.676960190971001)</f>
        <v>-0.67696019097100102</v>
      </c>
      <c r="FF26" s="3">
        <f ca="1">IFERROR(__xludf.DUMMYFUNCTION("""COMPUTED_VALUE"""),-0.543750222220609)</f>
        <v>-0.54375022222060898</v>
      </c>
      <c r="FG26" s="3">
        <f ca="1">IFERROR(__xludf.DUMMYFUNCTION("""COMPUTED_VALUE"""),-0.51549622881006)</f>
        <v>-0.51549622881005996</v>
      </c>
      <c r="FH26" s="3">
        <f ca="1">IFERROR(__xludf.DUMMYFUNCTION("""COMPUTED_VALUE"""),-0.659636131834753)</f>
        <v>-0.659636131834753</v>
      </c>
      <c r="FI26" s="3">
        <f ca="1">IFERROR(__xludf.DUMMYFUNCTION("""COMPUTED_VALUE"""),-0.692913858517719)</f>
        <v>-0.69291385851771903</v>
      </c>
      <c r="FJ26" s="3">
        <f ca="1">IFERROR(__xludf.DUMMYFUNCTION("""COMPUTED_VALUE"""),-0.68893186054396)</f>
        <v>-0.68893186054396005</v>
      </c>
      <c r="FK26" s="3">
        <f ca="1">IFERROR(__xludf.DUMMYFUNCTION("""COMPUTED_VALUE"""),-0.679943096525258)</f>
        <v>-0.67994309652525797</v>
      </c>
      <c r="FL26" s="3">
        <f ca="1">IFERROR(__xludf.DUMMYFUNCTION("""COMPUTED_VALUE"""),-0.685171987055825)</f>
        <v>-0.68517198705582505</v>
      </c>
      <c r="FM26" s="3">
        <f ca="1">IFERROR(__xludf.DUMMYFUNCTION("""COMPUTED_VALUE"""),-0.535117436186212)</f>
        <v>-0.53511743618621199</v>
      </c>
      <c r="FN26" s="3">
        <f ca="1">IFERROR(__xludf.DUMMYFUNCTION("""COMPUTED_VALUE"""),-0.561402276178367)</f>
        <v>-0.56140227617836702</v>
      </c>
      <c r="FO26" s="3">
        <f ca="1">IFERROR(__xludf.DUMMYFUNCTION("""COMPUTED_VALUE"""),-0.6391734435765)</f>
        <v>-0.63917344357649997</v>
      </c>
      <c r="FP26" s="3">
        <f ca="1">IFERROR(__xludf.DUMMYFUNCTION("""COMPUTED_VALUE"""),-0.696439904564566)</f>
        <v>-0.69643990456456595</v>
      </c>
      <c r="FQ26" s="3">
        <f ca="1">IFERROR(__xludf.DUMMYFUNCTION("""COMPUTED_VALUE"""),-0.701643147987946)</f>
        <v>-0.70164314798794603</v>
      </c>
      <c r="FR26" s="3">
        <f ca="1">IFERROR(__xludf.DUMMYFUNCTION("""COMPUTED_VALUE"""),-0.679634520828548)</f>
        <v>-0.67963452082854803</v>
      </c>
      <c r="FS26" s="3">
        <f ca="1">IFERROR(__xludf.DUMMYFUNCTION("""COMPUTED_VALUE"""),-0.629426683972215)</f>
        <v>-0.62942668397221502</v>
      </c>
      <c r="FT26" s="3">
        <f ca="1">IFERROR(__xludf.DUMMYFUNCTION("""COMPUTED_VALUE"""),-0.557751069962489)</f>
        <v>-0.55775106996248902</v>
      </c>
      <c r="FU26" s="3">
        <f ca="1">IFERROR(__xludf.DUMMYFUNCTION("""COMPUTED_VALUE"""),-0.542306384444729)</f>
        <v>-0.54230638444472901</v>
      </c>
      <c r="FV26" s="3">
        <f ca="1">IFERROR(__xludf.DUMMYFUNCTION("""COMPUTED_VALUE"""),-0.671016213924464)</f>
        <v>-0.67101621392446398</v>
      </c>
      <c r="FW26" s="3">
        <f ca="1">IFERROR(__xludf.DUMMYFUNCTION("""COMPUTED_VALUE"""),-0.698706765975624)</f>
        <v>-0.69870676597562398</v>
      </c>
      <c r="FX26" s="3">
        <f ca="1">IFERROR(__xludf.DUMMYFUNCTION("""COMPUTED_VALUE"""),-0.696387457874983)</f>
        <v>-0.69638745787498302</v>
      </c>
      <c r="FY26" s="3">
        <f ca="1">IFERROR(__xludf.DUMMYFUNCTION("""COMPUTED_VALUE"""),-0.706999999642186)</f>
        <v>-0.70699999964218596</v>
      </c>
      <c r="FZ26" s="3">
        <f ca="1">IFERROR(__xludf.DUMMYFUNCTION("""COMPUTED_VALUE"""),-0.750001304765101)</f>
        <v>-0.75000130476510096</v>
      </c>
      <c r="GA26" s="3">
        <f ca="1">IFERROR(__xludf.DUMMYFUNCTION("""COMPUTED_VALUE"""),-0.560202994739432)</f>
        <v>-0.56020299473943203</v>
      </c>
      <c r="GB26" s="3">
        <f ca="1">IFERROR(__xludf.DUMMYFUNCTION("""COMPUTED_VALUE"""),-0.53651522313699)</f>
        <v>-0.53651522313698996</v>
      </c>
      <c r="GC26" s="3">
        <f ca="1">IFERROR(__xludf.DUMMYFUNCTION("""COMPUTED_VALUE"""),-0.644632449912335)</f>
        <v>-0.64463244991233504</v>
      </c>
      <c r="GD26" s="3">
        <f ca="1">IFERROR(__xludf.DUMMYFUNCTION("""COMPUTED_VALUE"""),-0.666302607976232)</f>
        <v>-0.66630260797623198</v>
      </c>
      <c r="GE26" s="3">
        <f ca="1">IFERROR(__xludf.DUMMYFUNCTION("""COMPUTED_VALUE"""),-0.677340239533771)</f>
        <v>-0.67734023953377098</v>
      </c>
      <c r="GF26" s="3">
        <f ca="1">IFERROR(__xludf.DUMMYFUNCTION("""COMPUTED_VALUE"""),-0.660380618228835)</f>
        <v>-0.66038061822883498</v>
      </c>
      <c r="GG26" s="3">
        <f ca="1">IFERROR(__xludf.DUMMYFUNCTION("""COMPUTED_VALUE"""),-0.600136659093272)</f>
        <v>-0.60013665909327196</v>
      </c>
      <c r="GH26" s="3">
        <f ca="1">IFERROR(__xludf.DUMMYFUNCTION("""COMPUTED_VALUE"""),-0.536105864445704)</f>
        <v>-0.53610586444570396</v>
      </c>
      <c r="GI26" s="3">
        <f ca="1">IFERROR(__xludf.DUMMYFUNCTION("""COMPUTED_VALUE"""),-0.50680697140514)</f>
        <v>-0.50680697140513997</v>
      </c>
      <c r="GJ26" s="3">
        <f ca="1">IFERROR(__xludf.DUMMYFUNCTION("""COMPUTED_VALUE"""),-0.683588435743934)</f>
        <v>-0.68358843574393402</v>
      </c>
      <c r="GK26" s="3">
        <f ca="1">IFERROR(__xludf.DUMMYFUNCTION("""COMPUTED_VALUE"""),-0.667719396385579)</f>
        <v>-0.66771939638557898</v>
      </c>
      <c r="GL26" s="3">
        <f ca="1">IFERROR(__xludf.DUMMYFUNCTION("""COMPUTED_VALUE"""),-0.670017738477438)</f>
        <v>-0.67001773847743795</v>
      </c>
      <c r="GM26" s="3">
        <f ca="1">IFERROR(__xludf.DUMMYFUNCTION("""COMPUTED_VALUE"""),-0.673634149215284)</f>
        <v>-0.67363414921528397</v>
      </c>
      <c r="GN26" s="3">
        <f ca="1">IFERROR(__xludf.DUMMYFUNCTION("""COMPUTED_VALUE"""),-0.65876768551108)</f>
        <v>-0.65876768551108</v>
      </c>
      <c r="GO26" s="3">
        <f ca="1">IFERROR(__xludf.DUMMYFUNCTION("""COMPUTED_VALUE"""),-0.466644322430011)</f>
        <v>-0.46664432243001103</v>
      </c>
      <c r="GP26" s="3">
        <f ca="1">IFERROR(__xludf.DUMMYFUNCTION("""COMPUTED_VALUE"""),-0.494317076828224)</f>
        <v>-0.49431707682822401</v>
      </c>
      <c r="GQ26" s="3">
        <f ca="1">IFERROR(__xludf.DUMMYFUNCTION("""COMPUTED_VALUE"""),-0.652784196365569)</f>
        <v>-0.65278419636556895</v>
      </c>
      <c r="GR26" s="3">
        <f ca="1">IFERROR(__xludf.DUMMYFUNCTION("""COMPUTED_VALUE"""),-0.663521260920135)</f>
        <v>-0.66352126092013497</v>
      </c>
      <c r="GS26" s="3">
        <f ca="1">IFERROR(__xludf.DUMMYFUNCTION("""COMPUTED_VALUE"""),-0.657156796304349)</f>
        <v>-0.65715679630434898</v>
      </c>
      <c r="GT26" s="3">
        <f ca="1">IFERROR(__xludf.DUMMYFUNCTION("""COMPUTED_VALUE"""),-0.648821648201768)</f>
        <v>-0.64882164820176802</v>
      </c>
      <c r="GU26" s="3">
        <f ca="1">IFERROR(__xludf.DUMMYFUNCTION("""COMPUTED_VALUE"""),-0.636259586850795)</f>
        <v>-0.63625958685079498</v>
      </c>
      <c r="GV26" s="3">
        <f ca="1">IFERROR(__xludf.DUMMYFUNCTION("""COMPUTED_VALUE"""),-0.464629710806357)</f>
        <v>-0.46462971080635701</v>
      </c>
      <c r="GW26" s="3">
        <f ca="1">IFERROR(__xludf.DUMMYFUNCTION("""COMPUTED_VALUE"""),-0.491996298732259)</f>
        <v>-0.49199629873225897</v>
      </c>
      <c r="GX26" s="3">
        <f ca="1">IFERROR(__xludf.DUMMYFUNCTION("""COMPUTED_VALUE"""),-0.643272501575509)</f>
        <v>-0.64327250157550897</v>
      </c>
      <c r="GY26" s="3">
        <f ca="1">IFERROR(__xludf.DUMMYFUNCTION("""COMPUTED_VALUE"""),-0.628499152446097)</f>
        <v>-0.628499152446097</v>
      </c>
      <c r="GZ26" s="3">
        <f ca="1">IFERROR(__xludf.DUMMYFUNCTION("""COMPUTED_VALUE"""),-0.650149196510812)</f>
        <v>-0.65014919651081204</v>
      </c>
      <c r="HA26" s="3">
        <f ca="1">IFERROR(__xludf.DUMMYFUNCTION("""COMPUTED_VALUE"""),-0.65035373088944)</f>
        <v>-0.65035373088944004</v>
      </c>
      <c r="HB26" s="3">
        <f ca="1">IFERROR(__xludf.DUMMYFUNCTION("""COMPUTED_VALUE"""),-0.630637377703542)</f>
        <v>-0.630637377703542</v>
      </c>
      <c r="HC26" s="3">
        <f ca="1">IFERROR(__xludf.DUMMYFUNCTION("""COMPUTED_VALUE"""),-0.512151568217365)</f>
        <v>-0.51215156821736496</v>
      </c>
      <c r="HD26" s="3">
        <f ca="1">IFERROR(__xludf.DUMMYFUNCTION("""COMPUTED_VALUE"""),-0.453063870400722)</f>
        <v>-0.45306387040072199</v>
      </c>
      <c r="HE26" s="3">
        <f ca="1">IFERROR(__xludf.DUMMYFUNCTION("""COMPUTED_VALUE"""),-0.614870492406597)</f>
        <v>-0.61487049240659697</v>
      </c>
      <c r="HF26" s="3">
        <f ca="1">IFERROR(__xludf.DUMMYFUNCTION("""COMPUTED_VALUE"""),-0.658398755072237)</f>
        <v>-0.658398755072237</v>
      </c>
      <c r="HG26" s="3">
        <f ca="1">IFERROR(__xludf.DUMMYFUNCTION("""COMPUTED_VALUE"""),-0.654488802346154)</f>
        <v>-0.65448880234615403</v>
      </c>
      <c r="HH26" s="3">
        <f ca="1">IFERROR(__xludf.DUMMYFUNCTION("""COMPUTED_VALUE"""),-0.630806386333709)</f>
        <v>-0.630806386333709</v>
      </c>
      <c r="HI26" s="3">
        <f ca="1">IFERROR(__xludf.DUMMYFUNCTION("""COMPUTED_VALUE"""),-0.724866490028868)</f>
        <v>-0.72486649002886805</v>
      </c>
      <c r="HJ26" s="3">
        <f ca="1">IFERROR(__xludf.DUMMYFUNCTION("""COMPUTED_VALUE"""),-0.414553424737691)</f>
        <v>-0.41455342473769102</v>
      </c>
      <c r="HK26" s="3">
        <f ca="1">IFERROR(__xludf.DUMMYFUNCTION("""COMPUTED_VALUE"""),-0.469044565098592)</f>
        <v>-0.46904456509859199</v>
      </c>
      <c r="HL26" s="3">
        <f ca="1">IFERROR(__xludf.DUMMYFUNCTION("""COMPUTED_VALUE"""),-0.58966636772321)</f>
        <v>-0.58966636772321002</v>
      </c>
      <c r="HM26" s="3">
        <f ca="1">IFERROR(__xludf.DUMMYFUNCTION("""COMPUTED_VALUE"""),-0.613703762237199)</f>
        <v>-0.61370376223719902</v>
      </c>
      <c r="HN26" s="3">
        <f ca="1">IFERROR(__xludf.DUMMYFUNCTION("""COMPUTED_VALUE"""),-0.638686522965207)</f>
        <v>-0.638686522965207</v>
      </c>
      <c r="HO26" s="3">
        <f ca="1">IFERROR(__xludf.DUMMYFUNCTION("""COMPUTED_VALUE"""),-0.621398601080724)</f>
        <v>-0.62139860108072398</v>
      </c>
      <c r="HP26" s="3">
        <f ca="1">IFERROR(__xludf.DUMMYFUNCTION("""COMPUTED_VALUE"""),-0.48549565520104)</f>
        <v>-0.48549565520103999</v>
      </c>
      <c r="HQ26" s="3">
        <f ca="1">IFERROR(__xludf.DUMMYFUNCTION("""COMPUTED_VALUE"""),-0.452107678423078)</f>
        <v>-0.45210767842307797</v>
      </c>
      <c r="HR26" s="3">
        <f ca="1">IFERROR(__xludf.DUMMYFUNCTION("""COMPUTED_VALUE"""),-0.525101391962088)</f>
        <v>-0.52510139196208805</v>
      </c>
      <c r="HS26" s="3">
        <f ca="1">IFERROR(__xludf.DUMMYFUNCTION("""COMPUTED_VALUE"""),-0.592938556235022)</f>
        <v>-0.59293855623502201</v>
      </c>
      <c r="HT26" s="3">
        <f ca="1">IFERROR(__xludf.DUMMYFUNCTION("""COMPUTED_VALUE"""),-0.632297043175853)</f>
        <v>-0.632297043175853</v>
      </c>
      <c r="HU26" s="3">
        <f ca="1">IFERROR(__xludf.DUMMYFUNCTION("""COMPUTED_VALUE"""),-0.615610834820079)</f>
        <v>-0.61561083482007894</v>
      </c>
      <c r="HV26" s="3">
        <f ca="1">IFERROR(__xludf.DUMMYFUNCTION("""COMPUTED_VALUE"""),-0.5813656204605)</f>
        <v>-0.5813656204605</v>
      </c>
      <c r="HW26" s="3">
        <f ca="1">IFERROR(__xludf.DUMMYFUNCTION("""COMPUTED_VALUE"""),-0.452671771400212)</f>
        <v>-0.45267177140021198</v>
      </c>
      <c r="HX26" s="3">
        <f ca="1">IFERROR(__xludf.DUMMYFUNCTION("""COMPUTED_VALUE"""),-0.469126804073276)</f>
        <v>-0.469126804073276</v>
      </c>
      <c r="HY26" s="3">
        <f ca="1">IFERROR(__xludf.DUMMYFUNCTION("""COMPUTED_VALUE"""),-0.381996210260429)</f>
        <v>-0.38199621026042901</v>
      </c>
      <c r="HZ26" s="3">
        <f ca="1">IFERROR(__xludf.DUMMYFUNCTION("""COMPUTED_VALUE"""),-0.568186235385483)</f>
        <v>-0.56818623538548296</v>
      </c>
      <c r="IA26" s="3">
        <f ca="1">IFERROR(__xludf.DUMMYFUNCTION("""COMPUTED_VALUE"""),-0.589559049360164)</f>
        <v>-0.58955904936016401</v>
      </c>
      <c r="IB26" s="3">
        <f ca="1">IFERROR(__xludf.DUMMYFUNCTION("""COMPUTED_VALUE"""),-0.570296086830048)</f>
        <v>-0.57029608683004795</v>
      </c>
      <c r="IC26" s="3">
        <f ca="1">IFERROR(__xludf.DUMMYFUNCTION("""COMPUTED_VALUE"""),-0.573894506460605)</f>
        <v>-0.57389450646060503</v>
      </c>
      <c r="ID26" s="3">
        <f ca="1">IFERROR(__xludf.DUMMYFUNCTION("""COMPUTED_VALUE"""),-0.519017980645044)</f>
        <v>-0.51901798064504401</v>
      </c>
      <c r="IE26" s="3">
        <f ca="1">IFERROR(__xludf.DUMMYFUNCTION("""COMPUTED_VALUE"""),-0.487714057816609)</f>
        <v>-0.48771405781660898</v>
      </c>
      <c r="IF26" s="3">
        <f ca="1">IFERROR(__xludf.DUMMYFUNCTION("""COMPUTED_VALUE"""),-0.370234522382623)</f>
        <v>-0.370234522382623</v>
      </c>
      <c r="IG26" s="3">
        <f ca="1">IFERROR(__xludf.DUMMYFUNCTION("""COMPUTED_VALUE"""),-0.535330044072628)</f>
        <v>-0.53533004407262796</v>
      </c>
      <c r="IH26" s="3">
        <f ca="1">IFERROR(__xludf.DUMMYFUNCTION("""COMPUTED_VALUE"""),-0.550245783004255)</f>
        <v>-0.55024578300425497</v>
      </c>
      <c r="II26" s="3">
        <f ca="1">IFERROR(__xludf.DUMMYFUNCTION("""COMPUTED_VALUE"""),-0.567711442520214)</f>
        <v>-0.56771144252021399</v>
      </c>
      <c r="IJ26" s="3">
        <f ca="1">IFERROR(__xludf.DUMMYFUNCTION("""COMPUTED_VALUE"""),-0.571413779254681)</f>
        <v>-0.57141377925468095</v>
      </c>
      <c r="IK26" s="3">
        <f ca="1">IFERROR(__xludf.DUMMYFUNCTION("""COMPUTED_VALUE"""),-0.50441232288575)</f>
        <v>-0.50441232288575</v>
      </c>
      <c r="IL26" s="3">
        <f ca="1">IFERROR(__xludf.DUMMYFUNCTION("""COMPUTED_VALUE"""),-0.456831428739359)</f>
        <v>-0.456831428739359</v>
      </c>
      <c r="IM26" s="3">
        <f ca="1">IFERROR(__xludf.DUMMYFUNCTION("""COMPUTED_VALUE"""),-0.388463270262359)</f>
        <v>-0.388463270262359</v>
      </c>
      <c r="IN26" s="3">
        <f ca="1">IFERROR(__xludf.DUMMYFUNCTION("""COMPUTED_VALUE"""),-0.516186338090276)</f>
        <v>-0.51618633809027603</v>
      </c>
      <c r="IO26" s="3">
        <f ca="1">IFERROR(__xludf.DUMMYFUNCTION("""COMPUTED_VALUE"""),-0.525742361868543)</f>
        <v>-0.52574236186854295</v>
      </c>
      <c r="IP26" s="3">
        <f ca="1">IFERROR(__xludf.DUMMYFUNCTION("""COMPUTED_VALUE"""),-0.565386864956825)</f>
        <v>-0.565386864956825</v>
      </c>
      <c r="IQ26" s="3">
        <f ca="1">IFERROR(__xludf.DUMMYFUNCTION("""COMPUTED_VALUE"""),-0.602440390420975)</f>
        <v>-0.60244039042097497</v>
      </c>
      <c r="IR26" s="3">
        <f ca="1">IFERROR(__xludf.DUMMYFUNCTION("""COMPUTED_VALUE"""),-0.523008799910064)</f>
        <v>-0.52300879991006399</v>
      </c>
      <c r="IS26" s="3">
        <f ca="1">IFERROR(__xludf.DUMMYFUNCTION("""COMPUTED_VALUE"""),-0.507558069840684)</f>
        <v>-0.50755806984068397</v>
      </c>
      <c r="IT26" s="3">
        <f ca="1">IFERROR(__xludf.DUMMYFUNCTION("""COMPUTED_VALUE"""),-0.41479954289491)</f>
        <v>-0.41479954289491</v>
      </c>
      <c r="IU26" s="3">
        <f ca="1">IFERROR(__xludf.DUMMYFUNCTION("""COMPUTED_VALUE"""),-0.522583739457952)</f>
        <v>-0.522583739457952</v>
      </c>
      <c r="IV26" s="3">
        <f ca="1">IFERROR(__xludf.DUMMYFUNCTION("""COMPUTED_VALUE"""),-0.570040700582159)</f>
        <v>-0.57004070058215905</v>
      </c>
      <c r="IW26" s="3">
        <f ca="1">IFERROR(__xludf.DUMMYFUNCTION("""COMPUTED_VALUE"""),-0.574122089856986)</f>
        <v>-0.57412208985698598</v>
      </c>
      <c r="IX26" s="3">
        <f ca="1">IFERROR(__xludf.DUMMYFUNCTION("""COMPUTED_VALUE"""),-0.568027179659431)</f>
        <v>-0.56802717965943095</v>
      </c>
      <c r="IY26" s="3">
        <f ca="1">IFERROR(__xludf.DUMMYFUNCTION("""COMPUTED_VALUE"""),-0.54632350854863)</f>
        <v>-0.54632350854862999</v>
      </c>
      <c r="IZ26" s="3">
        <f ca="1">IFERROR(__xludf.DUMMYFUNCTION("""COMPUTED_VALUE"""),-0.44763233272137)</f>
        <v>-0.44763233272136999</v>
      </c>
      <c r="JA26" s="3">
        <f ca="1">IFERROR(__xludf.DUMMYFUNCTION("""COMPUTED_VALUE"""),-0.428223965531948)</f>
        <v>-0.42822396553194803</v>
      </c>
      <c r="JB26" s="3">
        <f ca="1">IFERROR(__xludf.DUMMYFUNCTION("""COMPUTED_VALUE"""),-0.545476939136565)</f>
        <v>-0.54547693913656503</v>
      </c>
      <c r="JC26" s="3">
        <f ca="1">IFERROR(__xludf.DUMMYFUNCTION("""COMPUTED_VALUE"""),-0.599595008310429)</f>
        <v>-0.599595008310429</v>
      </c>
      <c r="JD26" s="3">
        <f ca="1">IFERROR(__xludf.DUMMYFUNCTION("""COMPUTED_VALUE"""),-0.622644508496121)</f>
        <v>-0.62264450849612096</v>
      </c>
      <c r="JE26" s="3">
        <f ca="1">IFERROR(__xludf.DUMMYFUNCTION("""COMPUTED_VALUE"""),-0.597142986591407)</f>
        <v>-0.59714298659140697</v>
      </c>
      <c r="JF26" s="3">
        <f ca="1">IFERROR(__xludf.DUMMYFUNCTION("""COMPUTED_VALUE"""),-0.56164294551441)</f>
        <v>-0.56164294551440996</v>
      </c>
      <c r="JG26" s="3">
        <f ca="1">IFERROR(__xludf.DUMMYFUNCTION("""COMPUTED_VALUE"""),-0.465554898312831)</f>
        <v>-0.46555489831283098</v>
      </c>
      <c r="JH26" s="3">
        <f ca="1">IFERROR(__xludf.DUMMYFUNCTION("""COMPUTED_VALUE"""),-0.436843228099874)</f>
        <v>-0.43684322809987403</v>
      </c>
      <c r="JI26" s="3">
        <f ca="1">IFERROR(__xludf.DUMMYFUNCTION("""COMPUTED_VALUE"""),-0.550286876748943)</f>
        <v>-0.55028687674894305</v>
      </c>
      <c r="JJ26" s="3">
        <f ca="1">IFERROR(__xludf.DUMMYFUNCTION("""COMPUTED_VALUE"""),-0.607979402696721)</f>
        <v>-0.60797940269672102</v>
      </c>
      <c r="JK26" s="3">
        <f ca="1">IFERROR(__xludf.DUMMYFUNCTION("""COMPUTED_VALUE"""),-0.596584309341191)</f>
        <v>-0.596584309341191</v>
      </c>
      <c r="JL26" s="3">
        <f ca="1">IFERROR(__xludf.DUMMYFUNCTION("""COMPUTED_VALUE"""),-0.591103015454216)</f>
        <v>-0.59110301545421595</v>
      </c>
      <c r="JM26" s="3">
        <f ca="1">IFERROR(__xludf.DUMMYFUNCTION("""COMPUTED_VALUE"""),-0.584872796434212)</f>
        <v>-0.58487279643421197</v>
      </c>
      <c r="JN26" s="3">
        <f ca="1">IFERROR(__xludf.DUMMYFUNCTION("""COMPUTED_VALUE"""),-0.477839995315466)</f>
        <v>-0.477839995315466</v>
      </c>
      <c r="JO26" s="3">
        <f ca="1">IFERROR(__xludf.DUMMYFUNCTION("""COMPUTED_VALUE"""),-0.511865746466381)</f>
        <v>-0.51186574646638106</v>
      </c>
      <c r="JP26" s="3">
        <f ca="1">IFERROR(__xludf.DUMMYFUNCTION("""COMPUTED_VALUE"""),-0.57876872309659)</f>
        <v>-0.57876872309659</v>
      </c>
      <c r="JQ26" s="3">
        <f ca="1">IFERROR(__xludf.DUMMYFUNCTION("""COMPUTED_VALUE"""),-0.612733508147833)</f>
        <v>-0.61273350814783301</v>
      </c>
      <c r="JR26" s="3">
        <f ca="1">IFERROR(__xludf.DUMMYFUNCTION("""COMPUTED_VALUE"""),-0.609379860512489)</f>
        <v>-0.60937986051248905</v>
      </c>
      <c r="JS26" s="3">
        <f ca="1">IFERROR(__xludf.DUMMYFUNCTION("""COMPUTED_VALUE"""),-0.607772877910365)</f>
        <v>-0.60777287791036505</v>
      </c>
      <c r="JT26" s="3">
        <f ca="1">IFERROR(__xludf.DUMMYFUNCTION("""COMPUTED_VALUE"""),-0.558881872797893)</f>
        <v>-0.55888187279789303</v>
      </c>
      <c r="JU26" s="3">
        <f ca="1">IFERROR(__xludf.DUMMYFUNCTION("""COMPUTED_VALUE"""),-0.489366056589685)</f>
        <v>-0.48936605658968502</v>
      </c>
      <c r="JV26" s="3">
        <f ca="1">IFERROR(__xludf.DUMMYFUNCTION("""COMPUTED_VALUE"""),-0.468242988580537)</f>
        <v>-0.46824298858053698</v>
      </c>
      <c r="JW26" s="3">
        <f ca="1">IFERROR(__xludf.DUMMYFUNCTION("""COMPUTED_VALUE"""),-0.583771269124198)</f>
        <v>-0.58377126912419797</v>
      </c>
      <c r="JX26" s="3">
        <f ca="1">IFERROR(__xludf.DUMMYFUNCTION("""COMPUTED_VALUE"""),-0.632664987049146)</f>
        <v>-0.63266498704914598</v>
      </c>
      <c r="JY26" s="3">
        <f ca="1">IFERROR(__xludf.DUMMYFUNCTION("""COMPUTED_VALUE"""),-0.650694893702962)</f>
        <v>-0.65069489370296196</v>
      </c>
      <c r="JZ26" s="3">
        <f ca="1">IFERROR(__xludf.DUMMYFUNCTION("""COMPUTED_VALUE"""),-0.606212770559556)</f>
        <v>-0.60621277055955602</v>
      </c>
      <c r="KA26" s="3">
        <f ca="1">IFERROR(__xludf.DUMMYFUNCTION("""COMPUTED_VALUE"""),-0.580508225973075)</f>
        <v>-0.58050822597307505</v>
      </c>
      <c r="KB26" s="3">
        <f ca="1">IFERROR(__xludf.DUMMYFUNCTION("""COMPUTED_VALUE"""),-0.55132652016639)</f>
        <v>-0.55132652016639005</v>
      </c>
      <c r="KC26" s="3">
        <f ca="1">IFERROR(__xludf.DUMMYFUNCTION("""COMPUTED_VALUE"""),-0.566975592962765)</f>
        <v>-0.56697559296276501</v>
      </c>
      <c r="KD26" s="3">
        <f ca="1">IFERROR(__xludf.DUMMYFUNCTION("""COMPUTED_VALUE"""),-0.624757153673355)</f>
        <v>-0.62475715367335505</v>
      </c>
      <c r="KE26" s="3">
        <f ca="1">IFERROR(__xludf.DUMMYFUNCTION("""COMPUTED_VALUE"""),-0.63227534515105)</f>
        <v>-0.63227534515104999</v>
      </c>
      <c r="KF26" s="3">
        <f ca="1">IFERROR(__xludf.DUMMYFUNCTION("""COMPUTED_VALUE"""),-0.693448975062793)</f>
        <v>-0.69344897506279302</v>
      </c>
      <c r="KG26" s="3">
        <f ca="1">IFERROR(__xludf.DUMMYFUNCTION("""COMPUTED_VALUE"""),-0.6626479543348)</f>
        <v>-0.66264795433479995</v>
      </c>
      <c r="KH26" s="3">
        <f ca="1">IFERROR(__xludf.DUMMYFUNCTION("""COMPUTED_VALUE"""),-0.62705390017198)</f>
        <v>-0.62705390017198004</v>
      </c>
      <c r="KI26" s="3">
        <f ca="1">IFERROR(__xludf.DUMMYFUNCTION("""COMPUTED_VALUE"""),-0.549204357956057)</f>
        <v>-0.54920435795605704</v>
      </c>
      <c r="KJ26" s="3">
        <f ca="1">IFERROR(__xludf.DUMMYFUNCTION("""COMPUTED_VALUE"""),-0.535871411985879)</f>
        <v>-0.53587141198587895</v>
      </c>
      <c r="KK26" s="3">
        <f ca="1">IFERROR(__xludf.DUMMYFUNCTION("""COMPUTED_VALUE"""),-0.635135729542615)</f>
        <v>-0.63513572954261499</v>
      </c>
      <c r="KL26" s="3">
        <f ca="1">IFERROR(__xludf.DUMMYFUNCTION("""COMPUTED_VALUE"""),-0.672071394747495)</f>
        <v>-0.672071394747495</v>
      </c>
      <c r="KM26" s="3">
        <f ca="1">IFERROR(__xludf.DUMMYFUNCTION("""COMPUTED_VALUE"""),-0.682401227358682)</f>
        <v>-0.68240122735868203</v>
      </c>
      <c r="KN26" s="3">
        <f ca="1">IFERROR(__xludf.DUMMYFUNCTION("""COMPUTED_VALUE"""),-0.685475963345814)</f>
        <v>-0.68547596334581395</v>
      </c>
      <c r="KO26" s="3">
        <f ca="1">IFERROR(__xludf.DUMMYFUNCTION("""COMPUTED_VALUE"""),-0.661553825799116)</f>
        <v>-0.66155382579911604</v>
      </c>
      <c r="KP26" s="3">
        <f ca="1">IFERROR(__xludf.DUMMYFUNCTION("""COMPUTED_VALUE"""),-0.591329909532104)</f>
        <v>-0.59132990953210396</v>
      </c>
      <c r="KQ26" s="3">
        <f ca="1">IFERROR(__xludf.DUMMYFUNCTION("""COMPUTED_VALUE"""),-0.613021029953573)</f>
        <v>-0.61302102995357299</v>
      </c>
      <c r="KR26" s="3">
        <f ca="1">IFERROR(__xludf.DUMMYFUNCTION("""COMPUTED_VALUE"""),-0.714194391716905)</f>
        <v>-0.71419439171690502</v>
      </c>
      <c r="KS26" s="3">
        <f ca="1">IFERROR(__xludf.DUMMYFUNCTION("""COMPUTED_VALUE"""),-0.721250093133336)</f>
        <v>-0.72125009313333599</v>
      </c>
      <c r="KT26" s="3">
        <f ca="1">IFERROR(__xludf.DUMMYFUNCTION("""COMPUTED_VALUE"""),-0.747221307848435)</f>
        <v>-0.74722130784843499</v>
      </c>
      <c r="KU26" s="3">
        <f ca="1">IFERROR(__xludf.DUMMYFUNCTION("""COMPUTED_VALUE"""),-0.729264418843242)</f>
        <v>-0.729264418843242</v>
      </c>
      <c r="KV26" s="3">
        <f ca="1">IFERROR(__xludf.DUMMYFUNCTION("""COMPUTED_VALUE"""),-0.709845977178257)</f>
        <v>-0.70984597717825704</v>
      </c>
      <c r="KW26" s="3">
        <f ca="1">IFERROR(__xludf.DUMMYFUNCTION("""COMPUTED_VALUE"""),-0.595821043487318)</f>
        <v>-0.59582104348731801</v>
      </c>
      <c r="KX26" s="3">
        <f ca="1">IFERROR(__xludf.DUMMYFUNCTION("""COMPUTED_VALUE"""),-0.659070729844736)</f>
        <v>-0.65907072984473603</v>
      </c>
      <c r="KY26" s="3">
        <f ca="1">IFERROR(__xludf.DUMMYFUNCTION("""COMPUTED_VALUE"""),-0.691093177294882)</f>
        <v>-0.69109317729488196</v>
      </c>
      <c r="KZ26" s="3">
        <f ca="1">IFERROR(__xludf.DUMMYFUNCTION("""COMPUTED_VALUE"""),-0.7149304299448)</f>
        <v>-0.71493042994480005</v>
      </c>
      <c r="LA26" s="3">
        <f ca="1">IFERROR(__xludf.DUMMYFUNCTION("""COMPUTED_VALUE"""),-0.745405825193164)</f>
        <v>-0.74540582519316401</v>
      </c>
      <c r="LB26" s="3">
        <f ca="1">IFERROR(__xludf.DUMMYFUNCTION("""COMPUTED_VALUE"""),-0.744904757097653)</f>
        <v>-0.74490475709765303</v>
      </c>
      <c r="LC26" s="3">
        <f ca="1">IFERROR(__xludf.DUMMYFUNCTION("""COMPUTED_VALUE"""),-0.707106943853483)</f>
        <v>-0.70710694385348305</v>
      </c>
      <c r="LD26" s="3">
        <f ca="1">IFERROR(__xludf.DUMMYFUNCTION("""COMPUTED_VALUE"""),-0.584596649977942)</f>
        <v>-0.58459664997794203</v>
      </c>
      <c r="LE26" s="3">
        <f ca="1">IFERROR(__xludf.DUMMYFUNCTION("""COMPUTED_VALUE"""),-0.654775032000462)</f>
        <v>-0.65477503200046205</v>
      </c>
      <c r="LF26" s="3">
        <f ca="1">IFERROR(__xludf.DUMMYFUNCTION("""COMPUTED_VALUE"""),-0.729302749029988)</f>
        <v>-0.72930274902998804</v>
      </c>
      <c r="LG26" s="3">
        <f ca="1">IFERROR(__xludf.DUMMYFUNCTION("""COMPUTED_VALUE"""),-0.748461771406556)</f>
        <v>-0.74846177140655601</v>
      </c>
      <c r="LH26" s="3">
        <f ca="1">IFERROR(__xludf.DUMMYFUNCTION("""COMPUTED_VALUE"""),-0.70741889104335)</f>
        <v>-0.70741889104334998</v>
      </c>
      <c r="LI26" s="3">
        <f ca="1">IFERROR(__xludf.DUMMYFUNCTION("""COMPUTED_VALUE"""),-0.722980543987495)</f>
        <v>-0.72298054398749501</v>
      </c>
      <c r="LJ26" s="3">
        <f ca="1">IFERROR(__xludf.DUMMYFUNCTION("""COMPUTED_VALUE"""),-0.685012035382632)</f>
        <v>-0.685012035382632</v>
      </c>
      <c r="LK26" s="3">
        <f ca="1">IFERROR(__xludf.DUMMYFUNCTION("""COMPUTED_VALUE"""),-0.614553077151835)</f>
        <v>-0.61455307715183505</v>
      </c>
      <c r="LL26" s="3">
        <f ca="1">IFERROR(__xludf.DUMMYFUNCTION("""COMPUTED_VALUE"""),-0.631754499639563)</f>
        <v>-0.63175449963956298</v>
      </c>
      <c r="LM26" s="3">
        <f ca="1">IFERROR(__xludf.DUMMYFUNCTION("""COMPUTED_VALUE"""),-0.748743350178182)</f>
        <v>-0.74874335017818205</v>
      </c>
      <c r="LN26" s="3">
        <f ca="1">IFERROR(__xludf.DUMMYFUNCTION("""COMPUTED_VALUE"""),-0.767900179397025)</f>
        <v>-0.76790017939702504</v>
      </c>
      <c r="LO26" s="3">
        <f ca="1">IFERROR(__xludf.DUMMYFUNCTION("""COMPUTED_VALUE"""),-0.761922159812174)</f>
        <v>-0.76192215981217404</v>
      </c>
      <c r="LP26" s="3">
        <f ca="1">IFERROR(__xludf.DUMMYFUNCTION("""COMPUTED_VALUE"""),-0.760460482680373)</f>
        <v>-0.76046048268037303</v>
      </c>
      <c r="LQ26" s="3">
        <f ca="1">IFERROR(__xludf.DUMMYFUNCTION("""COMPUTED_VALUE"""),-0.748351033899072)</f>
        <v>-0.74835103389907198</v>
      </c>
      <c r="LR26" s="3">
        <f ca="1">IFERROR(__xludf.DUMMYFUNCTION("""COMPUTED_VALUE"""),-0.714230821979603)</f>
        <v>-0.71423082197960297</v>
      </c>
      <c r="LS26" s="3">
        <f ca="1">IFERROR(__xludf.DUMMYFUNCTION("""COMPUTED_VALUE"""),-0.685353393737782)</f>
        <v>-0.68535339373778204</v>
      </c>
      <c r="LT26" s="3">
        <f ca="1">IFERROR(__xludf.DUMMYFUNCTION("""COMPUTED_VALUE"""),-0.806678842144832)</f>
        <v>-0.80667884214483199</v>
      </c>
      <c r="LU26" s="3">
        <f ca="1">IFERROR(__xludf.DUMMYFUNCTION("""COMPUTED_VALUE"""),-0.810431379874542)</f>
        <v>-0.81043137987454195</v>
      </c>
      <c r="LV26" s="3">
        <f ca="1">IFERROR(__xludf.DUMMYFUNCTION("""COMPUTED_VALUE"""),-0.79604492540044)</f>
        <v>-0.79604492540044003</v>
      </c>
      <c r="LW26" s="3">
        <f ca="1">IFERROR(__xludf.DUMMYFUNCTION("""COMPUTED_VALUE"""),-0.809091129150528)</f>
        <v>-0.80909112915052805</v>
      </c>
      <c r="LX26" s="3">
        <f ca="1">IFERROR(__xludf.DUMMYFUNCTION("""COMPUTED_VALUE"""),-0.740768847091816)</f>
        <v>-0.74076884709181601</v>
      </c>
      <c r="LY26" s="3">
        <f ca="1">IFERROR(__xludf.DUMMYFUNCTION("""COMPUTED_VALUE"""),-0.738071032762695)</f>
        <v>-0.73807103276269503</v>
      </c>
      <c r="LZ26" s="3">
        <f ca="1">IFERROR(__xludf.DUMMYFUNCTION("""COMPUTED_VALUE"""),-0.746080492767882)</f>
        <v>-0.74608049276788202</v>
      </c>
      <c r="MA26" s="3">
        <f ca="1">IFERROR(__xludf.DUMMYFUNCTION("""COMPUTED_VALUE"""),-0.812013093402151)</f>
        <v>-0.812013093402151</v>
      </c>
      <c r="MB26" s="3">
        <f ca="1">IFERROR(__xludf.DUMMYFUNCTION("""COMPUTED_VALUE"""),-0.815706739375725)</f>
        <v>-0.81570673937572502</v>
      </c>
      <c r="MC26" s="3">
        <f ca="1">IFERROR(__xludf.DUMMYFUNCTION("""COMPUTED_VALUE"""),-0.809291994575691)</f>
        <v>-0.80929199457569101</v>
      </c>
      <c r="MD26" s="3">
        <f ca="1">IFERROR(__xludf.DUMMYFUNCTION("""COMPUTED_VALUE"""),-0.822525402480419)</f>
        <v>-0.82252540248041905</v>
      </c>
      <c r="ME26" s="3">
        <f ca="1">IFERROR(__xludf.DUMMYFUNCTION("""COMPUTED_VALUE"""),-0.797655502184022)</f>
        <v>-0.79765550218402204</v>
      </c>
      <c r="MF26" s="3">
        <f ca="1">IFERROR(__xludf.DUMMYFUNCTION("""COMPUTED_VALUE"""),-0.736828324564395)</f>
        <v>-0.73682832456439495</v>
      </c>
      <c r="MG26" s="3">
        <f ca="1">IFERROR(__xludf.DUMMYFUNCTION("""COMPUTED_VALUE"""),-0.756031702101811)</f>
        <v>-0.75603170210181103</v>
      </c>
      <c r="MH26" s="3">
        <f ca="1">IFERROR(__xludf.DUMMYFUNCTION("""COMPUTED_VALUE"""),-0.824053492914841)</f>
        <v>-0.82405349291484098</v>
      </c>
      <c r="MI26" s="3">
        <f ca="1">IFERROR(__xludf.DUMMYFUNCTION("""COMPUTED_VALUE"""),-0.850855473096651)</f>
        <v>-0.85085547309665099</v>
      </c>
      <c r="MJ26" s="3">
        <f ca="1">IFERROR(__xludf.DUMMYFUNCTION("""COMPUTED_VALUE"""),-0.840865483598077)</f>
        <v>-0.840865483598077</v>
      </c>
      <c r="MK26" s="3">
        <f ca="1">IFERROR(__xludf.DUMMYFUNCTION("""COMPUTED_VALUE"""),-0.833231126644647)</f>
        <v>-0.83323112664464705</v>
      </c>
      <c r="ML26" s="3">
        <f ca="1">IFERROR(__xludf.DUMMYFUNCTION("""COMPUTED_VALUE"""),-0.796735015344655)</f>
        <v>-0.79673501534465496</v>
      </c>
      <c r="MM26" s="3">
        <f ca="1">IFERROR(__xludf.DUMMYFUNCTION("""COMPUTED_VALUE"""),-0.771925783925044)</f>
        <v>-0.77192578392504396</v>
      </c>
      <c r="MN26" s="3">
        <f ca="1">IFERROR(__xludf.DUMMYFUNCTION("""COMPUTED_VALUE"""),-0.772931147187443)</f>
        <v>-0.77293114718744305</v>
      </c>
      <c r="MO26" s="3">
        <f ca="1">IFERROR(__xludf.DUMMYFUNCTION("""COMPUTED_VALUE"""),-0.819480290877143)</f>
        <v>-0.81948029087714302</v>
      </c>
      <c r="MP26" s="3">
        <f ca="1">IFERROR(__xludf.DUMMYFUNCTION("""COMPUTED_VALUE"""),-0.847005878351814)</f>
        <v>-0.84700587835181396</v>
      </c>
      <c r="MQ26" s="3">
        <f ca="1">IFERROR(__xludf.DUMMYFUNCTION("""COMPUTED_VALUE"""),-0.842814685757248)</f>
        <v>-0.84281468575724805</v>
      </c>
      <c r="MR26" s="3">
        <f ca="1">IFERROR(__xludf.DUMMYFUNCTION("""COMPUTED_VALUE"""),-0.847232495764738)</f>
        <v>-0.84723249576473803</v>
      </c>
      <c r="MS26" s="3">
        <f ca="1">IFERROR(__xludf.DUMMYFUNCTION("""COMPUTED_VALUE"""),-0.787742965959594)</f>
        <v>-0.78774296595959403</v>
      </c>
      <c r="MT26" s="3">
        <f ca="1">IFERROR(__xludf.DUMMYFUNCTION("""COMPUTED_VALUE"""),-0.784754039487745)</f>
        <v>-0.78475403948774503</v>
      </c>
      <c r="MU26" s="3">
        <f ca="1">IFERROR(__xludf.DUMMYFUNCTION("""COMPUTED_VALUE"""),-0.787446496596168)</f>
        <v>-0.78744649659616806</v>
      </c>
      <c r="MV26" s="3">
        <f ca="1">IFERROR(__xludf.DUMMYFUNCTION("""COMPUTED_VALUE"""),-0.822110844365203)</f>
        <v>-0.82211084436520299</v>
      </c>
      <c r="MW26" s="3">
        <f ca="1">IFERROR(__xludf.DUMMYFUNCTION("""COMPUTED_VALUE"""),-0.853971119035072)</f>
        <v>-0.85397111903507195</v>
      </c>
      <c r="MX26" s="3">
        <f ca="1">IFERROR(__xludf.DUMMYFUNCTION("""COMPUTED_VALUE"""),-0.848673697754819)</f>
        <v>-0.84867369775481905</v>
      </c>
      <c r="MY26" s="3">
        <f ca="1">IFERROR(__xludf.DUMMYFUNCTION("""COMPUTED_VALUE"""),-0.839400943432561)</f>
        <v>-0.839400943432561</v>
      </c>
      <c r="MZ26" s="3">
        <f ca="1">IFERROR(__xludf.DUMMYFUNCTION("""COMPUTED_VALUE"""),-0.836443080641095)</f>
        <v>-0.83644308064109496</v>
      </c>
      <c r="NA26" s="3">
        <f ca="1">IFERROR(__xludf.DUMMYFUNCTION("""COMPUTED_VALUE"""),-0.807083262086859)</f>
        <v>-0.80708326208685899</v>
      </c>
      <c r="NB26" s="3">
        <f ca="1">IFERROR(__xludf.DUMMYFUNCTION("""COMPUTED_VALUE"""),-0.797912677493338)</f>
        <v>-0.79791267749333805</v>
      </c>
      <c r="NC26" s="3">
        <f ca="1">IFERROR(__xludf.DUMMYFUNCTION("""COMPUTED_VALUE"""),-0.850075185920054)</f>
        <v>-0.85007518592005404</v>
      </c>
      <c r="ND26" s="3">
        <f ca="1">IFERROR(__xludf.DUMMYFUNCTION("""COMPUTED_VALUE"""),-0.856211633001014)</f>
        <v>-0.85621163300101399</v>
      </c>
      <c r="NE26" s="3">
        <f ca="1">IFERROR(__xludf.DUMMYFUNCTION("""COMPUTED_VALUE"""),-0.842861667420863)</f>
        <v>-0.84286166742086299</v>
      </c>
      <c r="NF26" s="3">
        <f ca="1">IFERROR(__xludf.DUMMYFUNCTION("""COMPUTED_VALUE"""),-0.83716258526273)</f>
        <v>-0.83716258526273002</v>
      </c>
      <c r="NG26" s="3">
        <f ca="1">IFERROR(__xludf.DUMMYFUNCTION("""COMPUTED_VALUE"""),-0.816254169270438)</f>
        <v>-0.81625416927043803</v>
      </c>
      <c r="NH26" s="3">
        <f ca="1">IFERROR(__xludf.DUMMYFUNCTION("""COMPUTED_VALUE"""),-0.796468923221506)</f>
        <v>-0.79646892322150598</v>
      </c>
      <c r="NI26" s="3">
        <f ca="1">IFERROR(__xludf.DUMMYFUNCTION("""COMPUTED_VALUE"""),-0.785233943940738)</f>
        <v>-0.78523394394073798</v>
      </c>
      <c r="NJ26" s="3">
        <f ca="1">IFERROR(__xludf.DUMMYFUNCTION("""COMPUTED_VALUE"""),-0.85025934072717)</f>
        <v>-0.85025934072717002</v>
      </c>
      <c r="NK26" s="3">
        <f ca="1">IFERROR(__xludf.DUMMYFUNCTION("""COMPUTED_VALUE"""),-0.837954164177364)</f>
        <v>-0.83795416417736401</v>
      </c>
      <c r="NL26" s="3">
        <f ca="1">IFERROR(__xludf.DUMMYFUNCTION("""COMPUTED_VALUE"""),-0.828011155448885)</f>
        <v>-0.82801115544888504</v>
      </c>
      <c r="NM26" s="3">
        <f ca="1">IFERROR(__xludf.DUMMYFUNCTION("""COMPUTED_VALUE"""),-0.834941050107799)</f>
        <v>-0.83494105010779895</v>
      </c>
      <c r="NN26" s="3">
        <f ca="1">IFERROR(__xludf.DUMMYFUNCTION("""COMPUTED_VALUE"""),-0.833569982395381)</f>
        <v>-0.83356998239538105</v>
      </c>
      <c r="NO26" s="3">
        <f ca="1">IFERROR(__xludf.DUMMYFUNCTION("""COMPUTED_VALUE"""),-0.794199747752625)</f>
        <v>-0.79419974775262503</v>
      </c>
      <c r="NP26" s="3">
        <f ca="1">IFERROR(__xludf.DUMMYFUNCTION("""COMPUTED_VALUE"""),-0.802714574791221)</f>
        <v>-0.80271457479122099</v>
      </c>
      <c r="NQ26" s="3">
        <f ca="1">IFERROR(__xludf.DUMMYFUNCTION("""COMPUTED_VALUE"""),-0.849646747548258)</f>
        <v>-0.84964674754825797</v>
      </c>
      <c r="NR26" s="3">
        <f ca="1">IFERROR(__xludf.DUMMYFUNCTION("""COMPUTED_VALUE"""),-0.854522166856074)</f>
        <v>-0.85452216685607396</v>
      </c>
      <c r="NS26" s="3">
        <f ca="1">IFERROR(__xludf.DUMMYFUNCTION("""COMPUTED_VALUE"""),-0.856081422075193)</f>
        <v>-0.856081422075193</v>
      </c>
      <c r="NT26" s="3">
        <f ca="1">IFERROR(__xludf.DUMMYFUNCTION("""COMPUTED_VALUE"""),-0.842500984548347)</f>
        <v>-0.84250098454834699</v>
      </c>
      <c r="NU26" s="3">
        <f ca="1">IFERROR(__xludf.DUMMYFUNCTION("""COMPUTED_VALUE"""),-0.817793552996485)</f>
        <v>-0.81779355299648504</v>
      </c>
      <c r="NV26" s="3">
        <f ca="1">IFERROR(__xludf.DUMMYFUNCTION("""COMPUTED_VALUE"""),-0.68732699222857)</f>
        <v>-0.68732699222856997</v>
      </c>
      <c r="NW26" s="3">
        <f ca="1">IFERROR(__xludf.DUMMYFUNCTION("""COMPUTED_VALUE"""),-0.725695583329844)</f>
        <v>-0.72569558332984396</v>
      </c>
      <c r="NX26" s="3">
        <f ca="1">IFERROR(__xludf.DUMMYFUNCTION("""COMPUTED_VALUE"""),-0.785213492559983)</f>
        <v>-0.78521349255998296</v>
      </c>
      <c r="NY26" s="3">
        <f ca="1">IFERROR(__xludf.DUMMYFUNCTION("""COMPUTED_VALUE"""),-0.767893429572732)</f>
        <v>-0.76789342957273199</v>
      </c>
      <c r="NZ26" s="3">
        <f ca="1">IFERROR(__xludf.DUMMYFUNCTION("""COMPUTED_VALUE"""),-0.739278794691582)</f>
        <v>-0.73927879469158198</v>
      </c>
      <c r="OA26" s="3">
        <f ca="1">IFERROR(__xludf.DUMMYFUNCTION("""COMPUTED_VALUE"""),-0.695245166302166)</f>
        <v>-0.69524516630216604</v>
      </c>
      <c r="OB26" s="3">
        <f ca="1">IFERROR(__xludf.DUMMYFUNCTION("""COMPUTED_VALUE"""),-0.579083072479987)</f>
        <v>-0.57908307247998703</v>
      </c>
      <c r="OC26" s="3">
        <f ca="1">IFERROR(__xludf.DUMMYFUNCTION("""COMPUTED_VALUE"""),-0.340079229503183)</f>
        <v>-0.34007922950318298</v>
      </c>
      <c r="OD26" s="3">
        <f ca="1">IFERROR(__xludf.DUMMYFUNCTION("""COMPUTED_VALUE"""),-0.302212145115964)</f>
        <v>-0.302212145115964</v>
      </c>
      <c r="OE26" s="3">
        <f ca="1">IFERROR(__xludf.DUMMYFUNCTION("""COMPUTED_VALUE"""),-0.21479356462402)</f>
        <v>-0.21479356462401999</v>
      </c>
      <c r="OF26" s="3">
        <f ca="1">IFERROR(__xludf.DUMMYFUNCTION("""COMPUTED_VALUE"""),-0.0621226426110964)</f>
        <v>-6.2122642611096401E-2</v>
      </c>
      <c r="OG26" s="3">
        <f ca="1">IFERROR(__xludf.DUMMYFUNCTION("""COMPUTED_VALUE"""),-0.0240143951315686)</f>
        <v>-2.4014395131568601E-2</v>
      </c>
      <c r="OH26" s="3">
        <f ca="1">IFERROR(__xludf.DUMMYFUNCTION("""COMPUTED_VALUE"""),-0.0328695998027251)</f>
        <v>-3.2869599802725101E-2</v>
      </c>
      <c r="OI26" s="3">
        <f ca="1">IFERROR(__xludf.DUMMYFUNCTION("""COMPUTED_VALUE"""),-0.0141544211109003)</f>
        <v>-1.41544211109003E-2</v>
      </c>
      <c r="OJ26" s="3">
        <f ca="1">IFERROR(__xludf.DUMMYFUNCTION("""COMPUTED_VALUE"""),-0.0962896488917146)</f>
        <v>-9.6289648891714597E-2</v>
      </c>
      <c r="OK26" s="3">
        <f ca="1">IFERROR(__xludf.DUMMYFUNCTION("""COMPUTED_VALUE"""),-0.0274312094892325)</f>
        <v>-2.74312094892325E-2</v>
      </c>
      <c r="OL26" s="3">
        <f ca="1">IFERROR(__xludf.DUMMYFUNCTION("""COMPUTED_VALUE"""),-0.0875732507426743)</f>
        <v>-8.7573250742674302E-2</v>
      </c>
      <c r="OM26" s="3">
        <f ca="1">IFERROR(__xludf.DUMMYFUNCTION("""COMPUTED_VALUE"""),-0.048746301992953)</f>
        <v>-4.8746301992953003E-2</v>
      </c>
      <c r="ON26" s="3">
        <f ca="1">IFERROR(__xludf.DUMMYFUNCTION("""COMPUTED_VALUE"""),-0.0446573146494239)</f>
        <v>-4.46573146494239E-2</v>
      </c>
      <c r="OO26" s="3">
        <f ca="1">IFERROR(__xludf.DUMMYFUNCTION("""COMPUTED_VALUE"""),-0.0349709272154341)</f>
        <v>-3.49709272154341E-2</v>
      </c>
      <c r="OP26" s="3">
        <f ca="1">IFERROR(__xludf.DUMMYFUNCTION("""COMPUTED_VALUE"""),-0.0647057128011389)</f>
        <v>-6.4705712801138904E-2</v>
      </c>
      <c r="OQ26" s="3">
        <f ca="1">IFERROR(__xludf.DUMMYFUNCTION("""COMPUTED_VALUE"""),0.0308298882848543)</f>
        <v>3.08298882848543E-2</v>
      </c>
      <c r="OR26" s="3">
        <f ca="1">IFERROR(__xludf.DUMMYFUNCTION("""COMPUTED_VALUE"""),-0.0102923181273393)</f>
        <v>-1.0292318127339301E-2</v>
      </c>
      <c r="OS26" s="3">
        <f ca="1">IFERROR(__xludf.DUMMYFUNCTION("""COMPUTED_VALUE"""),0.067442401806929)</f>
        <v>6.7442401806928995E-2</v>
      </c>
      <c r="OT26" s="3">
        <f ca="1">IFERROR(__xludf.DUMMYFUNCTION("""COMPUTED_VALUE"""),-0.161968085143945)</f>
        <v>-0.16196808514394501</v>
      </c>
      <c r="OU26" s="3">
        <f ca="1">IFERROR(__xludf.DUMMYFUNCTION("""COMPUTED_VALUE"""),0.0926287954966824)</f>
        <v>9.2628795496682403E-2</v>
      </c>
      <c r="OV26" s="3">
        <f ca="1">IFERROR(__xludf.DUMMYFUNCTION("""COMPUTED_VALUE"""),0.0456422825270608)</f>
        <v>4.5642282527060797E-2</v>
      </c>
      <c r="OW26" s="3">
        <f ca="1">IFERROR(__xludf.DUMMYFUNCTION("""COMPUTED_VALUE"""),0.11992441007932)</f>
        <v>0.11992441007932</v>
      </c>
      <c r="OX26" s="3">
        <f ca="1">IFERROR(__xludf.DUMMYFUNCTION("""COMPUTED_VALUE"""),-0.0168509216026139)</f>
        <v>-1.6850921602613901E-2</v>
      </c>
      <c r="OY26" s="3">
        <f ca="1">IFERROR(__xludf.DUMMYFUNCTION("""COMPUTED_VALUE"""),-0.0444384296309681)</f>
        <v>-4.4438429630968099E-2</v>
      </c>
      <c r="OZ26" s="3">
        <f ca="1">IFERROR(__xludf.DUMMYFUNCTION("""COMPUTED_VALUE"""),-0.0538920227721634)</f>
        <v>-5.38920227721634E-2</v>
      </c>
      <c r="PA26" s="3">
        <f ca="1">IFERROR(__xludf.DUMMYFUNCTION("""COMPUTED_VALUE"""),-0.0467813594507967)</f>
        <v>-4.67813594507967E-2</v>
      </c>
      <c r="PB26" s="3">
        <f ca="1">IFERROR(__xludf.DUMMYFUNCTION("""COMPUTED_VALUE"""),0.157102259267397)</f>
        <v>0.15710225926739699</v>
      </c>
      <c r="PC26" s="3">
        <f ca="1">IFERROR(__xludf.DUMMYFUNCTION("""COMPUTED_VALUE"""),0.0132498409433563)</f>
        <v>1.32498409433563E-2</v>
      </c>
      <c r="PD26" s="3">
        <f ca="1">IFERROR(__xludf.DUMMYFUNCTION("""COMPUTED_VALUE"""),-0.039072397214081)</f>
        <v>-3.9072397214080998E-2</v>
      </c>
      <c r="PE26" s="3">
        <f ca="1">IFERROR(__xludf.DUMMYFUNCTION("""COMPUTED_VALUE"""),0.040483694583701)</f>
        <v>4.0483694583700998E-2</v>
      </c>
      <c r="PF26" s="3">
        <f ca="1">IFERROR(__xludf.DUMMYFUNCTION("""COMPUTED_VALUE"""),-0.0276968654267056)</f>
        <v>-2.7696865426705599E-2</v>
      </c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</row>
    <row r="27" spans="1:594" ht="15.75" customHeight="1">
      <c r="A27" s="1" t="str">
        <f ca="1">IFERROR(__xludf.DUMMYFUNCTION("""COMPUTED_VALUE"""),"Grand Rapids")</f>
        <v>Grand Rapids</v>
      </c>
      <c r="B27" s="3">
        <f ca="1">IFERROR(__xludf.DUMMYFUNCTION("""COMPUTED_VALUE"""),-0.749648418364687)</f>
        <v>-0.74964841836468699</v>
      </c>
      <c r="C27" s="3">
        <f ca="1">IFERROR(__xludf.DUMMYFUNCTION("""COMPUTED_VALUE"""),-0.754102089955302)</f>
        <v>-0.75410208995530204</v>
      </c>
      <c r="D27" s="3">
        <f ca="1">IFERROR(__xludf.DUMMYFUNCTION("""COMPUTED_VALUE"""),-0.784387178887238)</f>
        <v>-0.78438717888723797</v>
      </c>
      <c r="E27" s="3">
        <f ca="1">IFERROR(__xludf.DUMMYFUNCTION("""COMPUTED_VALUE"""),-0.798032775447073)</f>
        <v>-0.79803277544707296</v>
      </c>
      <c r="F27" s="3">
        <f ca="1">IFERROR(__xludf.DUMMYFUNCTION("""COMPUTED_VALUE"""),-0.778832171815275)</f>
        <v>-0.77883217181527498</v>
      </c>
      <c r="G27" s="3">
        <f ca="1">IFERROR(__xludf.DUMMYFUNCTION("""COMPUTED_VALUE"""),-0.78520433794543)</f>
        <v>-0.78520433794542999</v>
      </c>
      <c r="H27" s="3">
        <f ca="1">IFERROR(__xludf.DUMMYFUNCTION("""COMPUTED_VALUE"""),-0.824611829850794)</f>
        <v>-0.82461182985079395</v>
      </c>
      <c r="I27" s="3">
        <f ca="1">IFERROR(__xludf.DUMMYFUNCTION("""COMPUTED_VALUE"""),-0.8054129607397)</f>
        <v>-0.80541296073970003</v>
      </c>
      <c r="J27" s="3">
        <f ca="1">IFERROR(__xludf.DUMMYFUNCTION("""COMPUTED_VALUE"""),-0.814747981842336)</f>
        <v>-0.81474798184233599</v>
      </c>
      <c r="K27" s="3">
        <f ca="1">IFERROR(__xludf.DUMMYFUNCTION("""COMPUTED_VALUE"""),-0.742550587317267)</f>
        <v>-0.74255058731726697</v>
      </c>
      <c r="L27" s="3">
        <f ca="1">IFERROR(__xludf.DUMMYFUNCTION("""COMPUTED_VALUE"""),-0.767926752555047)</f>
        <v>-0.76792675255504705</v>
      </c>
      <c r="M27" s="3">
        <f ca="1">IFERROR(__xludf.DUMMYFUNCTION("""COMPUTED_VALUE"""),-0.775869933895916)</f>
        <v>-0.77586993389591596</v>
      </c>
      <c r="N27" s="3">
        <f ca="1">IFERROR(__xludf.DUMMYFUNCTION("""COMPUTED_VALUE"""),-0.732893484786359)</f>
        <v>-0.73289348478635896</v>
      </c>
      <c r="O27" s="3">
        <f ca="1">IFERROR(__xludf.DUMMYFUNCTION("""COMPUTED_VALUE"""),-0.767925858821544)</f>
        <v>-0.76792585882154396</v>
      </c>
      <c r="P27" s="3">
        <f ca="1">IFERROR(__xludf.DUMMYFUNCTION("""COMPUTED_VALUE"""),-0.784834662395965)</f>
        <v>-0.784834662395965</v>
      </c>
      <c r="Q27" s="3">
        <f ca="1">IFERROR(__xludf.DUMMYFUNCTION("""COMPUTED_VALUE"""),-0.718327777941238)</f>
        <v>-0.71832777794123803</v>
      </c>
      <c r="R27" s="3">
        <f ca="1">IFERROR(__xludf.DUMMYFUNCTION("""COMPUTED_VALUE"""),-0.749345277514433)</f>
        <v>-0.74934527751443303</v>
      </c>
      <c r="S27" s="3">
        <f ca="1">IFERROR(__xludf.DUMMYFUNCTION("""COMPUTED_VALUE"""),-0.724250345864252)</f>
        <v>-0.72425034586425197</v>
      </c>
      <c r="T27" s="3">
        <f ca="1">IFERROR(__xludf.DUMMYFUNCTION("""COMPUTED_VALUE"""),-0.738527066088499)</f>
        <v>-0.73852706608849905</v>
      </c>
      <c r="U27" s="3">
        <f ca="1">IFERROR(__xludf.DUMMYFUNCTION("""COMPUTED_VALUE"""),-0.695465927028197)</f>
        <v>-0.69546592702819698</v>
      </c>
      <c r="V27" s="3">
        <f ca="1">IFERROR(__xludf.DUMMYFUNCTION("""COMPUTED_VALUE"""),-0.744338023072569)</f>
        <v>-0.74433802307256902</v>
      </c>
      <c r="W27" s="3">
        <f ca="1">IFERROR(__xludf.DUMMYFUNCTION("""COMPUTED_VALUE"""),-0.718727049546594)</f>
        <v>-0.71872704954659405</v>
      </c>
      <c r="X27" s="3">
        <f ca="1">IFERROR(__xludf.DUMMYFUNCTION("""COMPUTED_VALUE"""),-0.7296639544591)</f>
        <v>-0.72966395445910004</v>
      </c>
      <c r="Y27" s="3">
        <f ca="1">IFERROR(__xludf.DUMMYFUNCTION("""COMPUTED_VALUE"""),-0.76863195916401)</f>
        <v>-0.76863195916400995</v>
      </c>
      <c r="Z27" s="3">
        <f ca="1">IFERROR(__xludf.DUMMYFUNCTION("""COMPUTED_VALUE"""),-0.737962384664633)</f>
        <v>-0.73796238466463304</v>
      </c>
      <c r="AA27" s="3">
        <f ca="1">IFERROR(__xludf.DUMMYFUNCTION("""COMPUTED_VALUE"""),-0.72503578807123)</f>
        <v>-0.72503578807123004</v>
      </c>
      <c r="AB27" s="3">
        <f ca="1">IFERROR(__xludf.DUMMYFUNCTION("""COMPUTED_VALUE"""),-0.742264297082441)</f>
        <v>-0.74226429708244102</v>
      </c>
      <c r="AC27" s="3">
        <f ca="1">IFERROR(__xludf.DUMMYFUNCTION("""COMPUTED_VALUE"""),-0.741127774428672)</f>
        <v>-0.74112777442867195</v>
      </c>
      <c r="AD27" s="3">
        <f ca="1">IFERROR(__xludf.DUMMYFUNCTION("""COMPUTED_VALUE"""),-0.712760833917753)</f>
        <v>-0.71276083391775302</v>
      </c>
      <c r="AE27" s="3">
        <f ca="1">IFERROR(__xludf.DUMMYFUNCTION("""COMPUTED_VALUE"""),-0.690716397568142)</f>
        <v>-0.69071639756814196</v>
      </c>
      <c r="AF27" s="3">
        <f ca="1">IFERROR(__xludf.DUMMYFUNCTION("""COMPUTED_VALUE"""),-0.730797704261947)</f>
        <v>-0.73079770426194701</v>
      </c>
      <c r="AG27" s="3">
        <f ca="1">IFERROR(__xludf.DUMMYFUNCTION("""COMPUTED_VALUE"""),-0.722327709499061)</f>
        <v>-0.722327709499061</v>
      </c>
      <c r="AH27" s="3">
        <f ca="1">IFERROR(__xludf.DUMMYFUNCTION("""COMPUTED_VALUE"""),-0.72281010533969)</f>
        <v>-0.72281010533969003</v>
      </c>
      <c r="AI27" s="3">
        <f ca="1">IFERROR(__xludf.DUMMYFUNCTION("""COMPUTED_VALUE"""),-0.704503404076381)</f>
        <v>-0.70450340407638101</v>
      </c>
      <c r="AJ27" s="3">
        <f ca="1">IFERROR(__xludf.DUMMYFUNCTION("""COMPUTED_VALUE"""),-0.727081860990318)</f>
        <v>-0.72708186099031802</v>
      </c>
      <c r="AK27" s="3">
        <f ca="1">IFERROR(__xludf.DUMMYFUNCTION("""COMPUTED_VALUE"""),-0.665548582645644)</f>
        <v>-0.66554858264564398</v>
      </c>
      <c r="AL27" s="3">
        <f ca="1">IFERROR(__xludf.DUMMYFUNCTION("""COMPUTED_VALUE"""),-0.735997567028146)</f>
        <v>-0.735997567028146</v>
      </c>
      <c r="AM27" s="3">
        <f ca="1">IFERROR(__xludf.DUMMYFUNCTION("""COMPUTED_VALUE"""),-0.69798785259081)</f>
        <v>-0.69798785259080998</v>
      </c>
      <c r="AN27" s="3">
        <f ca="1">IFERROR(__xludf.DUMMYFUNCTION("""COMPUTED_VALUE"""),-0.675537041555498)</f>
        <v>-0.67553704155549799</v>
      </c>
      <c r="AO27" s="3">
        <f ca="1">IFERROR(__xludf.DUMMYFUNCTION("""COMPUTED_VALUE"""),-0.687104299680151)</f>
        <v>-0.68710429968015097</v>
      </c>
      <c r="AP27" s="3">
        <f ca="1">IFERROR(__xludf.DUMMYFUNCTION("""COMPUTED_VALUE"""),-0.666810908463182)</f>
        <v>-0.66681090846318203</v>
      </c>
      <c r="AQ27" s="3">
        <f ca="1">IFERROR(__xludf.DUMMYFUNCTION("""COMPUTED_VALUE"""),-0.617024229747367)</f>
        <v>-0.61702422974736704</v>
      </c>
      <c r="AR27" s="3">
        <f ca="1">IFERROR(__xludf.DUMMYFUNCTION("""COMPUTED_VALUE"""),-0.576466784143611)</f>
        <v>-0.57646678414361097</v>
      </c>
      <c r="AS27" s="3">
        <f ca="1">IFERROR(__xludf.DUMMYFUNCTION("""COMPUTED_VALUE"""),-0.720279366431893)</f>
        <v>-0.72027936643189305</v>
      </c>
      <c r="AT27" s="3">
        <f ca="1">IFERROR(__xludf.DUMMYFUNCTION("""COMPUTED_VALUE"""),-0.700219482475814)</f>
        <v>-0.700219482475814</v>
      </c>
      <c r="AU27" s="3">
        <f ca="1">IFERROR(__xludf.DUMMYFUNCTION("""COMPUTED_VALUE"""),-0.702774660607463)</f>
        <v>-0.70277466060746296</v>
      </c>
      <c r="AV27" s="3">
        <f ca="1">IFERROR(__xludf.DUMMYFUNCTION("""COMPUTED_VALUE"""),-0.683965207908394)</f>
        <v>-0.68396520790839399</v>
      </c>
      <c r="AW27" s="3">
        <f ca="1">IFERROR(__xludf.DUMMYFUNCTION("""COMPUTED_VALUE"""),-0.616202775530494)</f>
        <v>-0.61620277553049396</v>
      </c>
      <c r="AX27" s="3">
        <f ca="1">IFERROR(__xludf.DUMMYFUNCTION("""COMPUTED_VALUE"""),-0.648522081463935)</f>
        <v>-0.64852208146393497</v>
      </c>
      <c r="AY27" s="3">
        <f ca="1">IFERROR(__xludf.DUMMYFUNCTION("""COMPUTED_VALUE"""),-0.671332016344176)</f>
        <v>-0.67133201634417605</v>
      </c>
      <c r="AZ27" s="3">
        <f ca="1">IFERROR(__xludf.DUMMYFUNCTION("""COMPUTED_VALUE"""),-0.736753044344207)</f>
        <v>-0.73675304434420696</v>
      </c>
      <c r="BA27" s="3">
        <f ca="1">IFERROR(__xludf.DUMMYFUNCTION("""COMPUTED_VALUE"""),-0.733390701831925)</f>
        <v>-0.73339070183192501</v>
      </c>
      <c r="BB27" s="3">
        <f ca="1">IFERROR(__xludf.DUMMYFUNCTION("""COMPUTED_VALUE"""),-0.755344869693529)</f>
        <v>-0.75534486969352899</v>
      </c>
      <c r="BC27" s="3">
        <f ca="1">IFERROR(__xludf.DUMMYFUNCTION("""COMPUTED_VALUE"""),-0.750826833920048)</f>
        <v>-0.75082683392004801</v>
      </c>
      <c r="BD27" s="3">
        <f ca="1">IFERROR(__xludf.DUMMYFUNCTION("""COMPUTED_VALUE"""),-0.727234586127776)</f>
        <v>-0.72723458612777603</v>
      </c>
      <c r="BE27" s="3">
        <f ca="1">IFERROR(__xludf.DUMMYFUNCTION("""COMPUTED_VALUE"""),-0.717154012381512)</f>
        <v>-0.717154012381512</v>
      </c>
      <c r="BF27" s="3">
        <f ca="1">IFERROR(__xludf.DUMMYFUNCTION("""COMPUTED_VALUE"""),-0.716834826849935)</f>
        <v>-0.71683482684993505</v>
      </c>
      <c r="BG27" s="3">
        <f ca="1">IFERROR(__xludf.DUMMYFUNCTION("""COMPUTED_VALUE"""),-0.757148088320963)</f>
        <v>-0.75714808832096303</v>
      </c>
      <c r="BH27" s="3">
        <f ca="1">IFERROR(__xludf.DUMMYFUNCTION("""COMPUTED_VALUE"""),-0.749108382608451)</f>
        <v>-0.74910838260845103</v>
      </c>
      <c r="BI27" s="3">
        <f ca="1">IFERROR(__xludf.DUMMYFUNCTION("""COMPUTED_VALUE"""),-0.717668700440218)</f>
        <v>-0.71766870044021802</v>
      </c>
      <c r="BJ27" s="3">
        <f ca="1">IFERROR(__xludf.DUMMYFUNCTION("""COMPUTED_VALUE"""),-0.689523468234103)</f>
        <v>-0.68952346823410304</v>
      </c>
      <c r="BK27" s="3">
        <f ca="1">IFERROR(__xludf.DUMMYFUNCTION("""COMPUTED_VALUE"""),-0.688197882844164)</f>
        <v>-0.68819788284416405</v>
      </c>
      <c r="BL27" s="3">
        <f ca="1">IFERROR(__xludf.DUMMYFUNCTION("""COMPUTED_VALUE"""),-0.694248335904591)</f>
        <v>-0.69424833590459101</v>
      </c>
      <c r="BM27" s="3">
        <f ca="1">IFERROR(__xludf.DUMMYFUNCTION("""COMPUTED_VALUE"""),-0.696901517621074)</f>
        <v>-0.696901517621074</v>
      </c>
      <c r="BN27" s="3">
        <f ca="1">IFERROR(__xludf.DUMMYFUNCTION("""COMPUTED_VALUE"""),-0.740689735047763)</f>
        <v>-0.74068973504776303</v>
      </c>
      <c r="BO27" s="3">
        <f ca="1">IFERROR(__xludf.DUMMYFUNCTION("""COMPUTED_VALUE"""),-0.686363221248938)</f>
        <v>-0.686363221248938</v>
      </c>
      <c r="BP27" s="3">
        <f ca="1">IFERROR(__xludf.DUMMYFUNCTION("""COMPUTED_VALUE"""),-0.705626812140047)</f>
        <v>-0.70562681214004697</v>
      </c>
      <c r="BQ27" s="3">
        <f ca="1">IFERROR(__xludf.DUMMYFUNCTION("""COMPUTED_VALUE"""),-0.698846875843557)</f>
        <v>-0.69884687584355698</v>
      </c>
      <c r="BR27" s="3">
        <f ca="1">IFERROR(__xludf.DUMMYFUNCTION("""COMPUTED_VALUE"""),-0.700951148697551)</f>
        <v>-0.70095114869755104</v>
      </c>
      <c r="BS27" s="3">
        <f ca="1">IFERROR(__xludf.DUMMYFUNCTION("""COMPUTED_VALUE"""),-0.796957286338145)</f>
        <v>-0.796957286338145</v>
      </c>
      <c r="BT27" s="3">
        <f ca="1">IFERROR(__xludf.DUMMYFUNCTION("""COMPUTED_VALUE"""),-0.760464803784465)</f>
        <v>-0.76046480378446502</v>
      </c>
      <c r="BU27" s="3">
        <f ca="1">IFERROR(__xludf.DUMMYFUNCTION("""COMPUTED_VALUE"""),-0.749238096787758)</f>
        <v>-0.74923809678775799</v>
      </c>
      <c r="BV27" s="3">
        <f ca="1">IFERROR(__xludf.DUMMYFUNCTION("""COMPUTED_VALUE"""),-0.715374714122209)</f>
        <v>-0.71537471412220899</v>
      </c>
      <c r="BW27" s="3">
        <f ca="1">IFERROR(__xludf.DUMMYFUNCTION("""COMPUTED_VALUE"""),-0.725880538540811)</f>
        <v>-0.72588053854081103</v>
      </c>
      <c r="BX27" s="3">
        <f ca="1">IFERROR(__xludf.DUMMYFUNCTION("""COMPUTED_VALUE"""),-0.682013385656299)</f>
        <v>-0.68201338565629899</v>
      </c>
      <c r="BY27" s="3">
        <f ca="1">IFERROR(__xludf.DUMMYFUNCTION("""COMPUTED_VALUE"""),-0.623881744560497)</f>
        <v>-0.62388174456049705</v>
      </c>
      <c r="BZ27" s="3">
        <f ca="1">IFERROR(__xludf.DUMMYFUNCTION("""COMPUTED_VALUE"""),-0.699638418523348)</f>
        <v>-0.69963841852334796</v>
      </c>
      <c r="CA27" s="3">
        <f ca="1">IFERROR(__xludf.DUMMYFUNCTION("""COMPUTED_VALUE"""),-0.748303111024713)</f>
        <v>-0.74830311102471303</v>
      </c>
      <c r="CB27" s="3">
        <f ca="1">IFERROR(__xludf.DUMMYFUNCTION("""COMPUTED_VALUE"""),-0.747913285692995)</f>
        <v>-0.74791328569299498</v>
      </c>
      <c r="CC27" s="3">
        <f ca="1">IFERROR(__xludf.DUMMYFUNCTION("""COMPUTED_VALUE"""),-0.649282480350862)</f>
        <v>-0.649282480350862</v>
      </c>
      <c r="CD27" s="3">
        <f ca="1">IFERROR(__xludf.DUMMYFUNCTION("""COMPUTED_VALUE"""),-0.690029850750416)</f>
        <v>-0.69002985075041601</v>
      </c>
      <c r="CE27" s="3">
        <f ca="1">IFERROR(__xludf.DUMMYFUNCTION("""COMPUTED_VALUE"""),-0.610389644586225)</f>
        <v>-0.61038964458622502</v>
      </c>
      <c r="CF27" s="3">
        <f ca="1">IFERROR(__xludf.DUMMYFUNCTION("""COMPUTED_VALUE"""),-0.783070385905875)</f>
        <v>-0.78307038590587497</v>
      </c>
      <c r="CG27" s="3">
        <f ca="1">IFERROR(__xludf.DUMMYFUNCTION("""COMPUTED_VALUE"""),-0.812864512253042)</f>
        <v>-0.81286451225304202</v>
      </c>
      <c r="CH27" s="3">
        <f ca="1">IFERROR(__xludf.DUMMYFUNCTION("""COMPUTED_VALUE"""),-0.866213311581987)</f>
        <v>-0.866213311581987</v>
      </c>
      <c r="CI27" s="3">
        <f ca="1">IFERROR(__xludf.DUMMYFUNCTION("""COMPUTED_VALUE"""),-0.882767847990292)</f>
        <v>-0.88276784799029195</v>
      </c>
      <c r="CJ27" s="3">
        <f ca="1">IFERROR(__xludf.DUMMYFUNCTION("""COMPUTED_VALUE"""),-0.891200386494459)</f>
        <v>-0.89120038649445898</v>
      </c>
      <c r="CK27" s="3">
        <f ca="1">IFERROR(__xludf.DUMMYFUNCTION("""COMPUTED_VALUE"""),-0.879397973542619)</f>
        <v>-0.87939797354261895</v>
      </c>
      <c r="CL27" s="3">
        <f ca="1">IFERROR(__xludf.DUMMYFUNCTION("""COMPUTED_VALUE"""),-0.907450514922162)</f>
        <v>-0.907450514922162</v>
      </c>
      <c r="CM27" s="3">
        <f ca="1">IFERROR(__xludf.DUMMYFUNCTION("""COMPUTED_VALUE"""),-0.829369587567631)</f>
        <v>-0.82936958756763102</v>
      </c>
      <c r="CN27" s="3">
        <f ca="1">IFERROR(__xludf.DUMMYFUNCTION("""COMPUTED_VALUE"""),-0.84192745490938)</f>
        <v>-0.84192745490938004</v>
      </c>
      <c r="CO27" s="3">
        <f ca="1">IFERROR(__xludf.DUMMYFUNCTION("""COMPUTED_VALUE"""),-0.8607839069464)</f>
        <v>-0.86078390694639995</v>
      </c>
      <c r="CP27" s="3">
        <f ca="1">IFERROR(__xludf.DUMMYFUNCTION("""COMPUTED_VALUE"""),-0.857965080283739)</f>
        <v>-0.85796508028373897</v>
      </c>
      <c r="CQ27" s="3">
        <f ca="1">IFERROR(__xludf.DUMMYFUNCTION("""COMPUTED_VALUE"""),-0.867040010399517)</f>
        <v>-0.86704001039951695</v>
      </c>
      <c r="CR27" s="3">
        <f ca="1">IFERROR(__xludf.DUMMYFUNCTION("""COMPUTED_VALUE"""),-0.825244678826793)</f>
        <v>-0.82524467882679298</v>
      </c>
      <c r="CS27" s="3">
        <f ca="1">IFERROR(__xludf.DUMMYFUNCTION("""COMPUTED_VALUE"""),-0.840614208126237)</f>
        <v>-0.84061420812623699</v>
      </c>
      <c r="CT27" s="3">
        <f ca="1">IFERROR(__xludf.DUMMYFUNCTION("""COMPUTED_VALUE"""),-0.867119699363676)</f>
        <v>-0.86711969936367606</v>
      </c>
      <c r="CU27" s="3">
        <f ca="1">IFERROR(__xludf.DUMMYFUNCTION("""COMPUTED_VALUE"""),-0.829198079331242)</f>
        <v>-0.82919807933124201</v>
      </c>
      <c r="CV27" s="3">
        <f ca="1">IFERROR(__xludf.DUMMYFUNCTION("""COMPUTED_VALUE"""),-0.791485771879707)</f>
        <v>-0.79148577187970703</v>
      </c>
      <c r="CW27" s="3">
        <f ca="1">IFERROR(__xludf.DUMMYFUNCTION("""COMPUTED_VALUE"""),-0.966124998035972)</f>
        <v>-0.96612499803597196</v>
      </c>
      <c r="CX27" s="3">
        <f ca="1">IFERROR(__xludf.DUMMYFUNCTION("""COMPUTED_VALUE"""),-0.82719747137401)</f>
        <v>-0.82719747137401001</v>
      </c>
      <c r="CY27" s="3">
        <f ca="1">IFERROR(__xludf.DUMMYFUNCTION("""COMPUTED_VALUE"""),-0.683153239847682)</f>
        <v>-0.68315323984768195</v>
      </c>
      <c r="CZ27" s="3">
        <f ca="1">IFERROR(__xludf.DUMMYFUNCTION("""COMPUTED_VALUE"""),-0.835196466322177)</f>
        <v>-0.83519646632217703</v>
      </c>
      <c r="DA27" s="3">
        <f ca="1">IFERROR(__xludf.DUMMYFUNCTION("""COMPUTED_VALUE"""),-0.867444740709191)</f>
        <v>-0.86744474070919098</v>
      </c>
      <c r="DB27" s="3">
        <f ca="1">IFERROR(__xludf.DUMMYFUNCTION("""COMPUTED_VALUE"""),-0.780349338390491)</f>
        <v>-0.78034933839049103</v>
      </c>
      <c r="DC27" s="3">
        <f ca="1">IFERROR(__xludf.DUMMYFUNCTION("""COMPUTED_VALUE"""),-0.746841058706827)</f>
        <v>-0.74684105870682704</v>
      </c>
      <c r="DD27" s="3">
        <f ca="1">IFERROR(__xludf.DUMMYFUNCTION("""COMPUTED_VALUE"""),-0.984989364616967)</f>
        <v>-0.98498936461696696</v>
      </c>
      <c r="DE27" s="3">
        <f ca="1">IFERROR(__xludf.DUMMYFUNCTION("""COMPUTED_VALUE"""),-0.777307875912966)</f>
        <v>-0.77730787591296602</v>
      </c>
      <c r="DF27" s="3">
        <f ca="1">IFERROR(__xludf.DUMMYFUNCTION("""COMPUTED_VALUE"""),-0.467206305689953)</f>
        <v>-0.46720630568995303</v>
      </c>
      <c r="DG27" s="3">
        <f ca="1">IFERROR(__xludf.DUMMYFUNCTION("""COMPUTED_VALUE"""),-0.731016830072096)</f>
        <v>-0.73101683007209595</v>
      </c>
      <c r="DH27" s="3">
        <f ca="1">IFERROR(__xludf.DUMMYFUNCTION("""COMPUTED_VALUE"""),-0.75020020776912)</f>
        <v>-0.75020020776912</v>
      </c>
      <c r="DI27" s="3">
        <f ca="1">IFERROR(__xludf.DUMMYFUNCTION("""COMPUTED_VALUE"""),-0.75841027210804)</f>
        <v>-0.75841027210804002</v>
      </c>
      <c r="DJ27" s="3">
        <f ca="1">IFERROR(__xludf.DUMMYFUNCTION("""COMPUTED_VALUE"""),-0.773362404893016)</f>
        <v>-0.773362404893016</v>
      </c>
      <c r="DK27" s="3">
        <f ca="1">IFERROR(__xludf.DUMMYFUNCTION("""COMPUTED_VALUE"""),-0.746684630092671)</f>
        <v>-0.74668463009267105</v>
      </c>
      <c r="DL27" s="3">
        <f ca="1">IFERROR(__xludf.DUMMYFUNCTION("""COMPUTED_VALUE"""),-0.769186662165824)</f>
        <v>-0.76918666216582399</v>
      </c>
      <c r="DM27" s="3">
        <f ca="1">IFERROR(__xludf.DUMMYFUNCTION("""COMPUTED_VALUE"""),-0.769937846608026)</f>
        <v>-0.769937846608026</v>
      </c>
      <c r="DN27" s="3">
        <f ca="1">IFERROR(__xludf.DUMMYFUNCTION("""COMPUTED_VALUE"""),-0.795118363570622)</f>
        <v>-0.79511836357062204</v>
      </c>
      <c r="DO27" s="3">
        <f ca="1">IFERROR(__xludf.DUMMYFUNCTION("""COMPUTED_VALUE"""),-0.772831345562839)</f>
        <v>-0.77283134556283895</v>
      </c>
      <c r="DP27" s="3">
        <f ca="1">IFERROR(__xludf.DUMMYFUNCTION("""COMPUTED_VALUE"""),-0.770592041100443)</f>
        <v>-0.77059204110044299</v>
      </c>
      <c r="DQ27" s="3">
        <f ca="1">IFERROR(__xludf.DUMMYFUNCTION("""COMPUTED_VALUE"""),-0.771300696554259)</f>
        <v>-0.77130069655425904</v>
      </c>
      <c r="DR27" s="3">
        <f ca="1">IFERROR(__xludf.DUMMYFUNCTION("""COMPUTED_VALUE"""),-0.816009363619568)</f>
        <v>-0.816009363619568</v>
      </c>
      <c r="DS27" s="3">
        <f ca="1">IFERROR(__xludf.DUMMYFUNCTION("""COMPUTED_VALUE"""),-0.822134197455147)</f>
        <v>-0.82213419745514704</v>
      </c>
      <c r="DT27" s="3">
        <f ca="1">IFERROR(__xludf.DUMMYFUNCTION("""COMPUTED_VALUE"""),-0.846602039320001)</f>
        <v>-0.846602039320001</v>
      </c>
      <c r="DU27" s="3">
        <f ca="1">IFERROR(__xludf.DUMMYFUNCTION("""COMPUTED_VALUE"""),-0.839945500116025)</f>
        <v>-0.83994550011602498</v>
      </c>
      <c r="DV27" s="3">
        <f ca="1">IFERROR(__xludf.DUMMYFUNCTION("""COMPUTED_VALUE"""),-0.820045983515105)</f>
        <v>-0.82004598351510505</v>
      </c>
      <c r="DW27" s="3">
        <f ca="1">IFERROR(__xludf.DUMMYFUNCTION("""COMPUTED_VALUE"""),-0.763470988747431)</f>
        <v>-0.76347098874743102</v>
      </c>
      <c r="DX27" s="3">
        <f ca="1">IFERROR(__xludf.DUMMYFUNCTION("""COMPUTED_VALUE"""),-0.755456776865341)</f>
        <v>-0.75545677686534096</v>
      </c>
      <c r="DY27" s="3">
        <f ca="1">IFERROR(__xludf.DUMMYFUNCTION("""COMPUTED_VALUE"""),-0.787916547234155)</f>
        <v>-0.78791654723415505</v>
      </c>
      <c r="DZ27" s="3">
        <f ca="1">IFERROR(__xludf.DUMMYFUNCTION("""COMPUTED_VALUE"""),-0.785594319530101)</f>
        <v>-0.78559431953010095</v>
      </c>
      <c r="EA27" s="3">
        <f ca="1">IFERROR(__xludf.DUMMYFUNCTION("""COMPUTED_VALUE"""),-0.832304246743161)</f>
        <v>-0.83230424674316095</v>
      </c>
      <c r="EB27" s="3">
        <f ca="1">IFERROR(__xludf.DUMMYFUNCTION("""COMPUTED_VALUE"""),-0.845736880930156)</f>
        <v>-0.84573688093015598</v>
      </c>
      <c r="EC27" s="3">
        <f ca="1">IFERROR(__xludf.DUMMYFUNCTION("""COMPUTED_VALUE"""),-0.85657479852088)</f>
        <v>-0.85657479852088003</v>
      </c>
      <c r="ED27" s="3">
        <f ca="1">IFERROR(__xludf.DUMMYFUNCTION("""COMPUTED_VALUE"""),-0.848798434425685)</f>
        <v>-0.84879843442568503</v>
      </c>
      <c r="EE27" s="3">
        <f ca="1">IFERROR(__xludf.DUMMYFUNCTION("""COMPUTED_VALUE"""),-0.857462426609966)</f>
        <v>-0.85746242660996597</v>
      </c>
      <c r="EF27" s="3">
        <f ca="1">IFERROR(__xludf.DUMMYFUNCTION("""COMPUTED_VALUE"""),-0.899370353906481)</f>
        <v>-0.89937035390648101</v>
      </c>
      <c r="EG27" s="3">
        <f ca="1">IFERROR(__xludf.DUMMYFUNCTION("""COMPUTED_VALUE"""),-0.977115470038135)</f>
        <v>-0.97711547003813504</v>
      </c>
      <c r="EH27" s="3">
        <f ca="1">IFERROR(__xludf.DUMMYFUNCTION("""COMPUTED_VALUE"""),-0.845257885624643)</f>
        <v>-0.84525788562464299</v>
      </c>
      <c r="EI27" s="3">
        <f ca="1">IFERROR(__xludf.DUMMYFUNCTION("""COMPUTED_VALUE"""),-0.846901065687782)</f>
        <v>-0.84690106568778201</v>
      </c>
      <c r="EJ27" s="3">
        <f ca="1">IFERROR(__xludf.DUMMYFUNCTION("""COMPUTED_VALUE"""),-0.86248054717703)</f>
        <v>-0.86248054717703004</v>
      </c>
      <c r="EK27" s="3">
        <f ca="1">IFERROR(__xludf.DUMMYFUNCTION("""COMPUTED_VALUE"""),-0.805109709695113)</f>
        <v>-0.80510970969511297</v>
      </c>
      <c r="EL27" s="3">
        <f ca="1">IFERROR(__xludf.DUMMYFUNCTION("""COMPUTED_VALUE"""),-0.773988114510492)</f>
        <v>-0.77398811451049199</v>
      </c>
      <c r="EM27" s="3">
        <f ca="1">IFERROR(__xludf.DUMMYFUNCTION("""COMPUTED_VALUE"""),-0.814361085890386)</f>
        <v>-0.81436108589038603</v>
      </c>
      <c r="EN27" s="3">
        <f ca="1">IFERROR(__xludf.DUMMYFUNCTION("""COMPUTED_VALUE"""),-0.807062488952691)</f>
        <v>-0.80706248895269095</v>
      </c>
      <c r="EO27" s="3">
        <f ca="1">IFERROR(__xludf.DUMMYFUNCTION("""COMPUTED_VALUE"""),-0.810096940178236)</f>
        <v>-0.81009694017823597</v>
      </c>
      <c r="EP27" s="3">
        <f ca="1">IFERROR(__xludf.DUMMYFUNCTION("""COMPUTED_VALUE"""),-0.788494775580591)</f>
        <v>-0.788494775580591</v>
      </c>
      <c r="EQ27" s="3">
        <f ca="1">IFERROR(__xludf.DUMMYFUNCTION("""COMPUTED_VALUE"""),-0.812490518315778)</f>
        <v>-0.81249051831577801</v>
      </c>
      <c r="ER27" s="3">
        <f ca="1">IFERROR(__xludf.DUMMYFUNCTION("""COMPUTED_VALUE"""),-0.760594525917701)</f>
        <v>-0.76059452591770105</v>
      </c>
      <c r="ES27" s="3">
        <f ca="1">IFERROR(__xludf.DUMMYFUNCTION("""COMPUTED_VALUE"""),-0.745584261026234)</f>
        <v>-0.74558426102623399</v>
      </c>
      <c r="ET27" s="3">
        <f ca="1">IFERROR(__xludf.DUMMYFUNCTION("""COMPUTED_VALUE"""),-0.76975543426428)</f>
        <v>-0.76975543426427995</v>
      </c>
      <c r="EU27" s="3">
        <f ca="1">IFERROR(__xludf.DUMMYFUNCTION("""COMPUTED_VALUE"""),-0.765492038458065)</f>
        <v>-0.76549203845806502</v>
      </c>
      <c r="EV27" s="3">
        <f ca="1">IFERROR(__xludf.DUMMYFUNCTION("""COMPUTED_VALUE"""),-0.780828644185759)</f>
        <v>-0.78082864418575904</v>
      </c>
      <c r="EW27" s="3">
        <f ca="1">IFERROR(__xludf.DUMMYFUNCTION("""COMPUTED_VALUE"""),-0.748860048147932)</f>
        <v>-0.74886004814793194</v>
      </c>
      <c r="EX27" s="3">
        <f ca="1">IFERROR(__xludf.DUMMYFUNCTION("""COMPUTED_VALUE"""),-0.769338968759348)</f>
        <v>-0.76933896875934804</v>
      </c>
      <c r="EY27" s="3">
        <f ca="1">IFERROR(__xludf.DUMMYFUNCTION("""COMPUTED_VALUE"""),-0.723943423886339)</f>
        <v>-0.72394342388633903</v>
      </c>
      <c r="EZ27" s="3">
        <f ca="1">IFERROR(__xludf.DUMMYFUNCTION("""COMPUTED_VALUE"""),-0.718621835740402)</f>
        <v>-0.71862183574040195</v>
      </c>
      <c r="FA27" s="3">
        <f ca="1">IFERROR(__xludf.DUMMYFUNCTION("""COMPUTED_VALUE"""),-0.76418359907531)</f>
        <v>-0.76418359907530997</v>
      </c>
      <c r="FB27" s="3">
        <f ca="1">IFERROR(__xludf.DUMMYFUNCTION("""COMPUTED_VALUE"""),-0.750222617327172)</f>
        <v>-0.75022261732717199</v>
      </c>
      <c r="FC27" s="3">
        <f ca="1">IFERROR(__xludf.DUMMYFUNCTION("""COMPUTED_VALUE"""),-0.74537200268175)</f>
        <v>-0.74537200268174997</v>
      </c>
      <c r="FD27" s="3">
        <f ca="1">IFERROR(__xludf.DUMMYFUNCTION("""COMPUTED_VALUE"""),-0.755209697843002)</f>
        <v>-0.75520969784300196</v>
      </c>
      <c r="FE27" s="3">
        <f ca="1">IFERROR(__xludf.DUMMYFUNCTION("""COMPUTED_VALUE"""),-0.757701853233035)</f>
        <v>-0.75770185323303496</v>
      </c>
      <c r="FF27" s="3">
        <f ca="1">IFERROR(__xludf.DUMMYFUNCTION("""COMPUTED_VALUE"""),-0.659137080691796)</f>
        <v>-0.659137080691796</v>
      </c>
      <c r="FG27" s="3">
        <f ca="1">IFERROR(__xludf.DUMMYFUNCTION("""COMPUTED_VALUE"""),-0.661136089206347)</f>
        <v>-0.66113608920634703</v>
      </c>
      <c r="FH27" s="3">
        <f ca="1">IFERROR(__xludf.DUMMYFUNCTION("""COMPUTED_VALUE"""),-0.736682951900016)</f>
        <v>-0.73668295190001598</v>
      </c>
      <c r="FI27" s="3">
        <f ca="1">IFERROR(__xludf.DUMMYFUNCTION("""COMPUTED_VALUE"""),-0.722591429731426)</f>
        <v>-0.72259142973142598</v>
      </c>
      <c r="FJ27" s="3">
        <f ca="1">IFERROR(__xludf.DUMMYFUNCTION("""COMPUTED_VALUE"""),-0.705650965871804)</f>
        <v>-0.70565096587180398</v>
      </c>
      <c r="FK27" s="3">
        <f ca="1">IFERROR(__xludf.DUMMYFUNCTION("""COMPUTED_VALUE"""),-0.712399106088058)</f>
        <v>-0.71239910608805801</v>
      </c>
      <c r="FL27" s="3">
        <f ca="1">IFERROR(__xludf.DUMMYFUNCTION("""COMPUTED_VALUE"""),-0.697839599648978)</f>
        <v>-0.69783959964897802</v>
      </c>
      <c r="FM27" s="3">
        <f ca="1">IFERROR(__xludf.DUMMYFUNCTION("""COMPUTED_VALUE"""),-0.736356992263803)</f>
        <v>-0.73635699226380302</v>
      </c>
      <c r="FN27" s="3">
        <f ca="1">IFERROR(__xludf.DUMMYFUNCTION("""COMPUTED_VALUE"""),-0.663324778624678)</f>
        <v>-0.66332477862467798</v>
      </c>
      <c r="FO27" s="3">
        <f ca="1">IFERROR(__xludf.DUMMYFUNCTION("""COMPUTED_VALUE"""),-0.744142911406447)</f>
        <v>-0.74414291140644695</v>
      </c>
      <c r="FP27" s="3">
        <f ca="1">IFERROR(__xludf.DUMMYFUNCTION("""COMPUTED_VALUE"""),-0.746765315281247)</f>
        <v>-0.74676531528124701</v>
      </c>
      <c r="FQ27" s="3">
        <f ca="1">IFERROR(__xludf.DUMMYFUNCTION("""COMPUTED_VALUE"""),-0.711784022668034)</f>
        <v>-0.71178402266803398</v>
      </c>
      <c r="FR27" s="3">
        <f ca="1">IFERROR(__xludf.DUMMYFUNCTION("""COMPUTED_VALUE"""),-0.6874682858135)</f>
        <v>-0.68746828581349995</v>
      </c>
      <c r="FS27" s="3">
        <f ca="1">IFERROR(__xludf.DUMMYFUNCTION("""COMPUTED_VALUE"""),-0.704149826666313)</f>
        <v>-0.70414982666631298</v>
      </c>
      <c r="FT27" s="3">
        <f ca="1">IFERROR(__xludf.DUMMYFUNCTION("""COMPUTED_VALUE"""),-0.599990209167714)</f>
        <v>-0.59999020916771395</v>
      </c>
      <c r="FU27" s="3">
        <f ca="1">IFERROR(__xludf.DUMMYFUNCTION("""COMPUTED_VALUE"""),-0.723879766047752)</f>
        <v>-0.72387976604775195</v>
      </c>
      <c r="FV27" s="3">
        <f ca="1">IFERROR(__xludf.DUMMYFUNCTION("""COMPUTED_VALUE"""),-0.762600414677488)</f>
        <v>-0.76260041467748796</v>
      </c>
      <c r="FW27" s="3">
        <f ca="1">IFERROR(__xludf.DUMMYFUNCTION("""COMPUTED_VALUE"""),-0.68974365965946)</f>
        <v>-0.68974365965946005</v>
      </c>
      <c r="FX27" s="3">
        <f ca="1">IFERROR(__xludf.DUMMYFUNCTION("""COMPUTED_VALUE"""),-0.739541450088937)</f>
        <v>-0.73954145008893701</v>
      </c>
      <c r="FY27" s="3">
        <f ca="1">IFERROR(__xludf.DUMMYFUNCTION("""COMPUTED_VALUE"""),-0.696281301875006)</f>
        <v>-0.69628130187500603</v>
      </c>
      <c r="FZ27" s="3">
        <f ca="1">IFERROR(__xludf.DUMMYFUNCTION("""COMPUTED_VALUE"""),-0.716802632711598)</f>
        <v>-0.71680263271159805</v>
      </c>
      <c r="GA27" s="3">
        <f ca="1">IFERROR(__xludf.DUMMYFUNCTION("""COMPUTED_VALUE"""),-0.646597975933649)</f>
        <v>-0.64659797593364898</v>
      </c>
      <c r="GB27" s="3">
        <f ca="1">IFERROR(__xludf.DUMMYFUNCTION("""COMPUTED_VALUE"""),-0.72383302907256)</f>
        <v>-0.72383302907255997</v>
      </c>
      <c r="GC27" s="3">
        <f ca="1">IFERROR(__xludf.DUMMYFUNCTION("""COMPUTED_VALUE"""),-0.746589854322882)</f>
        <v>-0.74658985432288205</v>
      </c>
      <c r="GD27" s="3">
        <f ca="1">IFERROR(__xludf.DUMMYFUNCTION("""COMPUTED_VALUE"""),-0.696742711923112)</f>
        <v>-0.69674271192311199</v>
      </c>
      <c r="GE27" s="3">
        <f ca="1">IFERROR(__xludf.DUMMYFUNCTION("""COMPUTED_VALUE"""),-0.683868797627468)</f>
        <v>-0.68386879762746799</v>
      </c>
      <c r="GF27" s="3">
        <f ca="1">IFERROR(__xludf.DUMMYFUNCTION("""COMPUTED_VALUE"""),-0.731155724640864)</f>
        <v>-0.73115572464086398</v>
      </c>
      <c r="GG27" s="3">
        <f ca="1">IFERROR(__xludf.DUMMYFUNCTION("""COMPUTED_VALUE"""),-0.714041334559231)</f>
        <v>-0.71404133455923102</v>
      </c>
      <c r="GH27" s="3">
        <f ca="1">IFERROR(__xludf.DUMMYFUNCTION("""COMPUTED_VALUE"""),-0.7375228973765)</f>
        <v>-0.73752289737650001</v>
      </c>
      <c r="GI27" s="3">
        <f ca="1">IFERROR(__xludf.DUMMYFUNCTION("""COMPUTED_VALUE"""),-0.74684427496819)</f>
        <v>-0.74684427496818995</v>
      </c>
      <c r="GJ27" s="3">
        <f ca="1">IFERROR(__xludf.DUMMYFUNCTION("""COMPUTED_VALUE"""),-0.731558582178137)</f>
        <v>-0.73155858217813696</v>
      </c>
      <c r="GK27" s="3">
        <f ca="1">IFERROR(__xludf.DUMMYFUNCTION("""COMPUTED_VALUE"""),-0.676986492526675)</f>
        <v>-0.67698649252667498</v>
      </c>
      <c r="GL27" s="3">
        <f ca="1">IFERROR(__xludf.DUMMYFUNCTION("""COMPUTED_VALUE"""),-0.681309721453879)</f>
        <v>-0.68130972145387902</v>
      </c>
      <c r="GM27" s="3">
        <f ca="1">IFERROR(__xludf.DUMMYFUNCTION("""COMPUTED_VALUE"""),-0.672691096366212)</f>
        <v>-0.67269109636621205</v>
      </c>
      <c r="GN27" s="3">
        <f ca="1">IFERROR(__xludf.DUMMYFUNCTION("""COMPUTED_VALUE"""),-0.696850217533437)</f>
        <v>-0.69685021753343701</v>
      </c>
      <c r="GO27" s="3">
        <f ca="1">IFERROR(__xludf.DUMMYFUNCTION("""COMPUTED_VALUE"""),-0.721153487365519)</f>
        <v>-0.72115348736551899</v>
      </c>
      <c r="GP27" s="3">
        <f ca="1">IFERROR(__xludf.DUMMYFUNCTION("""COMPUTED_VALUE"""),-0.670553412537215)</f>
        <v>-0.67055341253721501</v>
      </c>
      <c r="GQ27" s="3">
        <f ca="1">IFERROR(__xludf.DUMMYFUNCTION("""COMPUTED_VALUE"""),-0.71706872407965)</f>
        <v>-0.71706872407965006</v>
      </c>
      <c r="GR27" s="3">
        <f ca="1">IFERROR(__xludf.DUMMYFUNCTION("""COMPUTED_VALUE"""),-0.689314329175551)</f>
        <v>-0.68931432917555102</v>
      </c>
      <c r="GS27" s="3">
        <f ca="1">IFERROR(__xludf.DUMMYFUNCTION("""COMPUTED_VALUE"""),-0.64745917072432)</f>
        <v>-0.64745917072432002</v>
      </c>
      <c r="GT27" s="3">
        <f ca="1">IFERROR(__xludf.DUMMYFUNCTION("""COMPUTED_VALUE"""),-0.675932130769441)</f>
        <v>-0.67593213076944103</v>
      </c>
      <c r="GU27" s="3">
        <f ca="1">IFERROR(__xludf.DUMMYFUNCTION("""COMPUTED_VALUE"""),-0.694316374299491)</f>
        <v>-0.694316374299491</v>
      </c>
      <c r="GV27" s="3">
        <f ca="1">IFERROR(__xludf.DUMMYFUNCTION("""COMPUTED_VALUE"""),-0.674869176270889)</f>
        <v>-0.67486917627088905</v>
      </c>
      <c r="GW27" s="3">
        <f ca="1">IFERROR(__xludf.DUMMYFUNCTION("""COMPUTED_VALUE"""),-0.676968718030495)</f>
        <v>-0.67696871803049496</v>
      </c>
      <c r="GX27" s="3">
        <f ca="1">IFERROR(__xludf.DUMMYFUNCTION("""COMPUTED_VALUE"""),-0.752336740026827)</f>
        <v>-0.75233674002682704</v>
      </c>
      <c r="GY27" s="3">
        <f ca="1">IFERROR(__xludf.DUMMYFUNCTION("""COMPUTED_VALUE"""),-0.687538657158026)</f>
        <v>-0.68753865715802598</v>
      </c>
      <c r="GZ27" s="3">
        <f ca="1">IFERROR(__xludf.DUMMYFUNCTION("""COMPUTED_VALUE"""),-0.650280544537631)</f>
        <v>-0.65028054453763096</v>
      </c>
      <c r="HA27" s="3">
        <f ca="1">IFERROR(__xludf.DUMMYFUNCTION("""COMPUTED_VALUE"""),-0.646975098911752)</f>
        <v>-0.64697509891175198</v>
      </c>
      <c r="HB27" s="3">
        <f ca="1">IFERROR(__xludf.DUMMYFUNCTION("""COMPUTED_VALUE"""),-0.652886590845038)</f>
        <v>-0.65288659084503797</v>
      </c>
      <c r="HC27" s="3">
        <f ca="1">IFERROR(__xludf.DUMMYFUNCTION("""COMPUTED_VALUE"""),-0.65119764159799)</f>
        <v>-0.65119764159798998</v>
      </c>
      <c r="HD27" s="3">
        <f ca="1">IFERROR(__xludf.DUMMYFUNCTION("""COMPUTED_VALUE"""),-0.730411783285074)</f>
        <v>-0.73041178328507395</v>
      </c>
      <c r="HE27" s="3">
        <f ca="1">IFERROR(__xludf.DUMMYFUNCTION("""COMPUTED_VALUE"""),-0.730525519438914)</f>
        <v>-0.73052551943891397</v>
      </c>
      <c r="HF27" s="3">
        <f ca="1">IFERROR(__xludf.DUMMYFUNCTION("""COMPUTED_VALUE"""),-0.675904887667158)</f>
        <v>-0.67590488766715795</v>
      </c>
      <c r="HG27" s="3">
        <f ca="1">IFERROR(__xludf.DUMMYFUNCTION("""COMPUTED_VALUE"""),-0.635742597491019)</f>
        <v>-0.63574259749101902</v>
      </c>
      <c r="HH27" s="3">
        <f ca="1">IFERROR(__xludf.DUMMYFUNCTION("""COMPUTED_VALUE"""),-0.638694911574024)</f>
        <v>-0.63869491157402403</v>
      </c>
      <c r="HI27" s="3">
        <f ca="1">IFERROR(__xludf.DUMMYFUNCTION("""COMPUTED_VALUE"""),-0.937384404378254)</f>
        <v>-0.93738440437825399</v>
      </c>
      <c r="HJ27" s="3">
        <f ca="1">IFERROR(__xludf.DUMMYFUNCTION("""COMPUTED_VALUE"""),-0.734896498770688)</f>
        <v>-0.73489649877068797</v>
      </c>
      <c r="HK27" s="3">
        <f ca="1">IFERROR(__xludf.DUMMYFUNCTION("""COMPUTED_VALUE"""),-0.765073354246877)</f>
        <v>-0.76507335424687695</v>
      </c>
      <c r="HL27" s="3">
        <f ca="1">IFERROR(__xludf.DUMMYFUNCTION("""COMPUTED_VALUE"""),-0.722204084601063)</f>
        <v>-0.722204084601063</v>
      </c>
      <c r="HM27" s="3">
        <f ca="1">IFERROR(__xludf.DUMMYFUNCTION("""COMPUTED_VALUE"""),-0.586677185405345)</f>
        <v>-0.58667718540534497</v>
      </c>
      <c r="HN27" s="3">
        <f ca="1">IFERROR(__xludf.DUMMYFUNCTION("""COMPUTED_VALUE"""),-0.588417460327186)</f>
        <v>-0.588417460327186</v>
      </c>
      <c r="HO27" s="3">
        <f ca="1">IFERROR(__xludf.DUMMYFUNCTION("""COMPUTED_VALUE"""),-0.527681142982005)</f>
        <v>-0.52768114298200497</v>
      </c>
      <c r="HP27" s="3">
        <f ca="1">IFERROR(__xludf.DUMMYFUNCTION("""COMPUTED_VALUE"""),-0.278127502256362)</f>
        <v>-0.27812750225636201</v>
      </c>
      <c r="HQ27" s="3">
        <f ca="1">IFERROR(__xludf.DUMMYFUNCTION("""COMPUTED_VALUE"""),-0.591302585287048)</f>
        <v>-0.59130258528704804</v>
      </c>
      <c r="HR27" s="3">
        <f ca="1">IFERROR(__xludf.DUMMYFUNCTION("""COMPUTED_VALUE"""),-0.669444269715534)</f>
        <v>-0.66944426971553395</v>
      </c>
      <c r="HS27" s="3">
        <f ca="1">IFERROR(__xludf.DUMMYFUNCTION("""COMPUTED_VALUE"""),-0.77190277590454)</f>
        <v>-0.77190277590454004</v>
      </c>
      <c r="HT27" s="3">
        <f ca="1">IFERROR(__xludf.DUMMYFUNCTION("""COMPUTED_VALUE"""),-0.760945591326644)</f>
        <v>-0.76094559132664397</v>
      </c>
      <c r="HU27" s="3">
        <f ca="1">IFERROR(__xludf.DUMMYFUNCTION("""COMPUTED_VALUE"""),-0.714476640845617)</f>
        <v>-0.71447664084561702</v>
      </c>
      <c r="HV27" s="3">
        <f ca="1">IFERROR(__xludf.DUMMYFUNCTION("""COMPUTED_VALUE"""),-0.820583355320811)</f>
        <v>-0.82058335532081095</v>
      </c>
      <c r="HW27" s="3">
        <f ca="1">IFERROR(__xludf.DUMMYFUNCTION("""COMPUTED_VALUE"""),-0.773294360252236)</f>
        <v>-0.77329436025223597</v>
      </c>
      <c r="HX27" s="3">
        <f ca="1">IFERROR(__xludf.DUMMYFUNCTION("""COMPUTED_VALUE"""),-0.80901415753183)</f>
        <v>-0.80901415753183004</v>
      </c>
      <c r="HY27" s="3">
        <f ca="1">IFERROR(__xludf.DUMMYFUNCTION("""COMPUTED_VALUE"""),-0.821043102641785)</f>
        <v>-0.82104310264178504</v>
      </c>
      <c r="HZ27" s="3">
        <f ca="1">IFERROR(__xludf.DUMMYFUNCTION("""COMPUTED_VALUE"""),-0.815137247214188)</f>
        <v>-0.81513724721418801</v>
      </c>
      <c r="IA27" s="3">
        <f ca="1">IFERROR(__xludf.DUMMYFUNCTION("""COMPUTED_VALUE"""),-0.834161549644212)</f>
        <v>-0.83416154964421196</v>
      </c>
      <c r="IB27" s="3">
        <f ca="1">IFERROR(__xludf.DUMMYFUNCTION("""COMPUTED_VALUE"""),-0.828493043248795)</f>
        <v>-0.82849304324879502</v>
      </c>
      <c r="IC27" s="3">
        <f ca="1">IFERROR(__xludf.DUMMYFUNCTION("""COMPUTED_VALUE"""),-0.857955391586877)</f>
        <v>-0.85795539158687695</v>
      </c>
      <c r="ID27" s="3">
        <f ca="1">IFERROR(__xludf.DUMMYFUNCTION("""COMPUTED_VALUE"""),-0.868441744656805)</f>
        <v>-0.86844174465680501</v>
      </c>
      <c r="IE27" s="3">
        <f ca="1">IFERROR(__xludf.DUMMYFUNCTION("""COMPUTED_VALUE"""),-0.794964672280337)</f>
        <v>-0.79496467228033696</v>
      </c>
      <c r="IF27" s="3">
        <f ca="1">IFERROR(__xludf.DUMMYFUNCTION("""COMPUTED_VALUE"""),-0.778674368137419)</f>
        <v>-0.77867436813741897</v>
      </c>
      <c r="IG27" s="3">
        <f ca="1">IFERROR(__xludf.DUMMYFUNCTION("""COMPUTED_VALUE"""),-0.783312792745992)</f>
        <v>-0.78331279274599197</v>
      </c>
      <c r="IH27" s="3">
        <f ca="1">IFERROR(__xludf.DUMMYFUNCTION("""COMPUTED_VALUE"""),-0.714136936713018)</f>
        <v>-0.71413693671301803</v>
      </c>
      <c r="II27" s="3">
        <f ca="1">IFERROR(__xludf.DUMMYFUNCTION("""COMPUTED_VALUE"""),-0.763158313448213)</f>
        <v>-0.76315831344821305</v>
      </c>
      <c r="IJ27" s="3">
        <f ca="1">IFERROR(__xludf.DUMMYFUNCTION("""COMPUTED_VALUE"""),-0.748108527768364)</f>
        <v>-0.74810852776836401</v>
      </c>
      <c r="IK27" s="3">
        <f ca="1">IFERROR(__xludf.DUMMYFUNCTION("""COMPUTED_VALUE"""),-0.669939143108696)</f>
        <v>-0.66993914310869596</v>
      </c>
      <c r="IL27" s="3">
        <f ca="1">IFERROR(__xludf.DUMMYFUNCTION("""COMPUTED_VALUE"""),-0.534819029332992)</f>
        <v>-0.53481902933299197</v>
      </c>
      <c r="IM27" s="3">
        <f ca="1">IFERROR(__xludf.DUMMYFUNCTION("""COMPUTED_VALUE"""),-0.553133322174001)</f>
        <v>-0.55313332217400102</v>
      </c>
      <c r="IN27" s="3">
        <f ca="1">IFERROR(__xludf.DUMMYFUNCTION("""COMPUTED_VALUE"""),-0.607996171581063)</f>
        <v>-0.60799617158106301</v>
      </c>
      <c r="IO27" s="3">
        <f ca="1">IFERROR(__xludf.DUMMYFUNCTION("""COMPUTED_VALUE"""),-0.623815704998973)</f>
        <v>-0.62381570499897299</v>
      </c>
      <c r="IP27" s="3">
        <f ca="1">IFERROR(__xludf.DUMMYFUNCTION("""COMPUTED_VALUE"""),-0.653995087742559)</f>
        <v>-0.65399508774255899</v>
      </c>
      <c r="IQ27" s="3">
        <f ca="1">IFERROR(__xludf.DUMMYFUNCTION("""COMPUTED_VALUE"""),-0.638512617725607)</f>
        <v>-0.63851261772560697</v>
      </c>
      <c r="IR27" s="3">
        <f ca="1">IFERROR(__xludf.DUMMYFUNCTION("""COMPUTED_VALUE"""),-0.560562329125817)</f>
        <v>-0.56056232912581705</v>
      </c>
      <c r="IS27" s="3">
        <f ca="1">IFERROR(__xludf.DUMMYFUNCTION("""COMPUTED_VALUE"""),-0.48325409571988)</f>
        <v>-0.48325409571987998</v>
      </c>
      <c r="IT27" s="3">
        <f ca="1">IFERROR(__xludf.DUMMYFUNCTION("""COMPUTED_VALUE"""),-0.5955938940856)</f>
        <v>-0.59559389408560004</v>
      </c>
      <c r="IU27" s="3">
        <f ca="1">IFERROR(__xludf.DUMMYFUNCTION("""COMPUTED_VALUE"""),-0.587020766476206)</f>
        <v>-0.58702076647620605</v>
      </c>
      <c r="IV27" s="3">
        <f ca="1">IFERROR(__xludf.DUMMYFUNCTION("""COMPUTED_VALUE"""),-0.620336447989251)</f>
        <v>-0.62033644798925103</v>
      </c>
      <c r="IW27" s="3">
        <f ca="1">IFERROR(__xludf.DUMMYFUNCTION("""COMPUTED_VALUE"""),-0.648421258657716)</f>
        <v>-0.64842125865771605</v>
      </c>
      <c r="IX27" s="3">
        <f ca="1">IFERROR(__xludf.DUMMYFUNCTION("""COMPUTED_VALUE"""),-0.603947780995113)</f>
        <v>-0.60394778099511304</v>
      </c>
      <c r="IY27" s="3">
        <f ca="1">IFERROR(__xludf.DUMMYFUNCTION("""COMPUTED_VALUE"""),-0.65154900810984)</f>
        <v>-0.65154900810983996</v>
      </c>
      <c r="IZ27" s="3">
        <f ca="1">IFERROR(__xludf.DUMMYFUNCTION("""COMPUTED_VALUE"""),-0.505490626197831)</f>
        <v>-0.50549062619783103</v>
      </c>
      <c r="JA27" s="3">
        <f ca="1">IFERROR(__xludf.DUMMYFUNCTION("""COMPUTED_VALUE"""),-0.575212283098096)</f>
        <v>-0.57521228309809602</v>
      </c>
      <c r="JB27" s="3">
        <f ca="1">IFERROR(__xludf.DUMMYFUNCTION("""COMPUTED_VALUE"""),-0.566014407562364)</f>
        <v>-0.56601440756236399</v>
      </c>
      <c r="JC27" s="3">
        <f ca="1">IFERROR(__xludf.DUMMYFUNCTION("""COMPUTED_VALUE"""),-0.630053633763826)</f>
        <v>-0.63005363376382595</v>
      </c>
      <c r="JD27" s="3">
        <f ca="1">IFERROR(__xludf.DUMMYFUNCTION("""COMPUTED_VALUE"""),-0.699832014888214)</f>
        <v>-0.699832014888214</v>
      </c>
      <c r="JE27" s="3">
        <f ca="1">IFERROR(__xludf.DUMMYFUNCTION("""COMPUTED_VALUE"""),-0.722517470508286)</f>
        <v>-0.72251747050828596</v>
      </c>
      <c r="JF27" s="3">
        <f ca="1">IFERROR(__xludf.DUMMYFUNCTION("""COMPUTED_VALUE"""),-0.656287793516095)</f>
        <v>-0.65628779351609501</v>
      </c>
      <c r="JG27" s="3">
        <f ca="1">IFERROR(__xludf.DUMMYFUNCTION("""COMPUTED_VALUE"""),-0.453607474510804)</f>
        <v>-0.45360747451080402</v>
      </c>
      <c r="JH27" s="3">
        <f ca="1">IFERROR(__xludf.DUMMYFUNCTION("""COMPUTED_VALUE"""),-0.573270412390224)</f>
        <v>-0.57327041239022403</v>
      </c>
      <c r="JI27" s="3">
        <f ca="1">IFERROR(__xludf.DUMMYFUNCTION("""COMPUTED_VALUE"""),-0.679727733957162)</f>
        <v>-0.67972773395716202</v>
      </c>
      <c r="JJ27" s="3">
        <f ca="1">IFERROR(__xludf.DUMMYFUNCTION("""COMPUTED_VALUE"""),-0.679244623175777)</f>
        <v>-0.67924462317577705</v>
      </c>
      <c r="JK27" s="3">
        <f ca="1">IFERROR(__xludf.DUMMYFUNCTION("""COMPUTED_VALUE"""),-0.703198509289094)</f>
        <v>-0.703198509289094</v>
      </c>
      <c r="JL27" s="3">
        <f ca="1">IFERROR(__xludf.DUMMYFUNCTION("""COMPUTED_VALUE"""),-0.705880915410364)</f>
        <v>-0.70588091541036402</v>
      </c>
      <c r="JM27" s="3">
        <f ca="1">IFERROR(__xludf.DUMMYFUNCTION("""COMPUTED_VALUE"""),-0.671717402697437)</f>
        <v>-0.67171740269743696</v>
      </c>
      <c r="JN27" s="3">
        <f ca="1">IFERROR(__xludf.DUMMYFUNCTION("""COMPUTED_VALUE"""),-0.621728435385709)</f>
        <v>-0.62172843538570899</v>
      </c>
      <c r="JO27" s="3">
        <f ca="1">IFERROR(__xludf.DUMMYFUNCTION("""COMPUTED_VALUE"""),-0.634781949232359)</f>
        <v>-0.63478194923235898</v>
      </c>
      <c r="JP27" s="3">
        <f ca="1">IFERROR(__xludf.DUMMYFUNCTION("""COMPUTED_VALUE"""),-0.666501246698377)</f>
        <v>-0.66650124669837696</v>
      </c>
      <c r="JQ27" s="3">
        <f ca="1">IFERROR(__xludf.DUMMYFUNCTION("""COMPUTED_VALUE"""),-0.560699165578533)</f>
        <v>-0.56069916557853305</v>
      </c>
      <c r="JR27" s="3">
        <f ca="1">IFERROR(__xludf.DUMMYFUNCTION("""COMPUTED_VALUE"""),-0.641628869163443)</f>
        <v>-0.64162886916344297</v>
      </c>
      <c r="JS27" s="3">
        <f ca="1">IFERROR(__xludf.DUMMYFUNCTION("""COMPUTED_VALUE"""),-0.633081067704129)</f>
        <v>-0.63308106770412897</v>
      </c>
      <c r="JT27" s="3">
        <f ca="1">IFERROR(__xludf.DUMMYFUNCTION("""COMPUTED_VALUE"""),-0.620083343096982)</f>
        <v>-0.62008334309698199</v>
      </c>
      <c r="JU27" s="3">
        <f ca="1">IFERROR(__xludf.DUMMYFUNCTION("""COMPUTED_VALUE"""),-0.485112860606313)</f>
        <v>-0.48511286060631298</v>
      </c>
      <c r="JV27" s="3">
        <f ca="1">IFERROR(__xludf.DUMMYFUNCTION("""COMPUTED_VALUE"""),-0.922452231840041)</f>
        <v>-0.92245223184004099</v>
      </c>
      <c r="JW27" s="3">
        <f ca="1">IFERROR(__xludf.DUMMYFUNCTION("""COMPUTED_VALUE"""),-0.676532853037416)</f>
        <v>-0.67653285303741595</v>
      </c>
      <c r="JX27" s="3">
        <f ca="1">IFERROR(__xludf.DUMMYFUNCTION("""COMPUTED_VALUE"""),-0.487715721956976)</f>
        <v>-0.48771572195697599</v>
      </c>
      <c r="JY27" s="3">
        <f ca="1">IFERROR(__xludf.DUMMYFUNCTION("""COMPUTED_VALUE"""),-0.691522519532899)</f>
        <v>-0.691522519532899</v>
      </c>
      <c r="JZ27" s="3">
        <f ca="1">IFERROR(__xludf.DUMMYFUNCTION("""COMPUTED_VALUE"""),-0.681837564970001)</f>
        <v>-0.68183756497000103</v>
      </c>
      <c r="KA27" s="3">
        <f ca="1">IFERROR(__xludf.DUMMYFUNCTION("""COMPUTED_VALUE"""),-0.682797226892348)</f>
        <v>-0.68279722689234801</v>
      </c>
      <c r="KB27" s="3">
        <f ca="1">IFERROR(__xludf.DUMMYFUNCTION("""COMPUTED_VALUE"""),-0.533229613937678)</f>
        <v>-0.53322961393767798</v>
      </c>
      <c r="KC27" s="3">
        <f ca="1">IFERROR(__xludf.DUMMYFUNCTION("""COMPUTED_VALUE"""),-0.556881385107555)</f>
        <v>-0.55688138510755503</v>
      </c>
      <c r="KD27" s="3">
        <f ca="1">IFERROR(__xludf.DUMMYFUNCTION("""COMPUTED_VALUE"""),-0.593036304694446)</f>
        <v>-0.59303630469444601</v>
      </c>
      <c r="KE27" s="3">
        <f ca="1">IFERROR(__xludf.DUMMYFUNCTION("""COMPUTED_VALUE"""),-0.551395860926187)</f>
        <v>-0.55139586092618698</v>
      </c>
      <c r="KF27" s="3">
        <f ca="1">IFERROR(__xludf.DUMMYFUNCTION("""COMPUTED_VALUE"""),-0.7417837068617)</f>
        <v>-0.74178370686170003</v>
      </c>
      <c r="KG27" s="3">
        <f ca="1">IFERROR(__xludf.DUMMYFUNCTION("""COMPUTED_VALUE"""),-0.75957801886301)</f>
        <v>-0.75957801886301002</v>
      </c>
      <c r="KH27" s="3">
        <f ca="1">IFERROR(__xludf.DUMMYFUNCTION("""COMPUTED_VALUE"""),-0.706781399310305)</f>
        <v>-0.70678139931030504</v>
      </c>
      <c r="KI27" s="3">
        <f ca="1">IFERROR(__xludf.DUMMYFUNCTION("""COMPUTED_VALUE"""),-0.43520255770243)</f>
        <v>-0.43520255770242999</v>
      </c>
      <c r="KJ27" s="3">
        <f ca="1">IFERROR(__xludf.DUMMYFUNCTION("""COMPUTED_VALUE"""),-0.673042741032233)</f>
        <v>-0.67304274103223305</v>
      </c>
      <c r="KK27" s="3">
        <f ca="1">IFERROR(__xludf.DUMMYFUNCTION("""COMPUTED_VALUE"""),-0.681280887694462)</f>
        <v>-0.68128088769446205</v>
      </c>
      <c r="KL27" s="3">
        <f ca="1">IFERROR(__xludf.DUMMYFUNCTION("""COMPUTED_VALUE"""),-0.727887603127645)</f>
        <v>-0.727887603127645</v>
      </c>
      <c r="KM27" s="3">
        <f ca="1">IFERROR(__xludf.DUMMYFUNCTION("""COMPUTED_VALUE"""),-0.746079097273911)</f>
        <v>-0.74607909727391097</v>
      </c>
      <c r="KN27" s="3">
        <f ca="1">IFERROR(__xludf.DUMMYFUNCTION("""COMPUTED_VALUE"""),-0.689991911438381)</f>
        <v>-0.68999191143838101</v>
      </c>
      <c r="KO27" s="3">
        <f ca="1">IFERROR(__xludf.DUMMYFUNCTION("""COMPUTED_VALUE"""),-0.751664687041803)</f>
        <v>-0.751664687041803</v>
      </c>
      <c r="KP27" s="3">
        <f ca="1">IFERROR(__xludf.DUMMYFUNCTION("""COMPUTED_VALUE"""),-0.500129387517132)</f>
        <v>-0.50012938751713198</v>
      </c>
      <c r="KQ27" s="3">
        <f ca="1">IFERROR(__xludf.DUMMYFUNCTION("""COMPUTED_VALUE"""),-0.693158501564047)</f>
        <v>-0.69315850156404701</v>
      </c>
      <c r="KR27" s="3">
        <f ca="1">IFERROR(__xludf.DUMMYFUNCTION("""COMPUTED_VALUE"""),-0.771217181588751)</f>
        <v>-0.77121718158875097</v>
      </c>
      <c r="KS27" s="3">
        <f ca="1">IFERROR(__xludf.DUMMYFUNCTION("""COMPUTED_VALUE"""),-0.73885997272931)</f>
        <v>-0.73885997272931003</v>
      </c>
      <c r="KT27" s="3">
        <f ca="1">IFERROR(__xludf.DUMMYFUNCTION("""COMPUTED_VALUE"""),-0.812676053058481)</f>
        <v>-0.81267605305848101</v>
      </c>
      <c r="KU27" s="3">
        <f ca="1">IFERROR(__xludf.DUMMYFUNCTION("""COMPUTED_VALUE"""),-0.780556927889339)</f>
        <v>-0.78055692788933895</v>
      </c>
      <c r="KV27" s="3">
        <f ca="1">IFERROR(__xludf.DUMMYFUNCTION("""COMPUTED_VALUE"""),-0.775209700575894)</f>
        <v>-0.775209700575894</v>
      </c>
      <c r="KW27" s="3">
        <f ca="1">IFERROR(__xludf.DUMMYFUNCTION("""COMPUTED_VALUE"""),-0.672667951395388)</f>
        <v>-0.67266795139538804</v>
      </c>
      <c r="KX27" s="3">
        <f ca="1">IFERROR(__xludf.DUMMYFUNCTION("""COMPUTED_VALUE"""),-0.735471667201769)</f>
        <v>-0.73547166720176904</v>
      </c>
      <c r="KY27" s="3">
        <f ca="1">IFERROR(__xludf.DUMMYFUNCTION("""COMPUTED_VALUE"""),-0.762135668030208)</f>
        <v>-0.76213566803020805</v>
      </c>
      <c r="KZ27" s="3">
        <f ca="1">IFERROR(__xludf.DUMMYFUNCTION("""COMPUTED_VALUE"""),-0.841742146196116)</f>
        <v>-0.84174214619611598</v>
      </c>
      <c r="LA27" s="3">
        <f ca="1">IFERROR(__xludf.DUMMYFUNCTION("""COMPUTED_VALUE"""),-0.828067237125049)</f>
        <v>-0.82806723712504904</v>
      </c>
      <c r="LB27" s="3">
        <f ca="1">IFERROR(__xludf.DUMMYFUNCTION("""COMPUTED_VALUE"""),-0.833296986274061)</f>
        <v>-0.83329698627406101</v>
      </c>
      <c r="LC27" s="3">
        <f ca="1">IFERROR(__xludf.DUMMYFUNCTION("""COMPUTED_VALUE"""),-0.784972081146666)</f>
        <v>-0.78497208114666595</v>
      </c>
      <c r="LD27" s="3">
        <f ca="1">IFERROR(__xludf.DUMMYFUNCTION("""COMPUTED_VALUE"""),-0.582890775268486)</f>
        <v>-0.58289077526848598</v>
      </c>
      <c r="LE27" s="3">
        <f ca="1">IFERROR(__xludf.DUMMYFUNCTION("""COMPUTED_VALUE"""),-0.721358923377309)</f>
        <v>-0.721358923377309</v>
      </c>
      <c r="LF27" s="3">
        <f ca="1">IFERROR(__xludf.DUMMYFUNCTION("""COMPUTED_VALUE"""),-0.780721743973154)</f>
        <v>-0.78072174397315397</v>
      </c>
      <c r="LG27" s="3">
        <f ca="1">IFERROR(__xludf.DUMMYFUNCTION("""COMPUTED_VALUE"""),-0.871960571682775)</f>
        <v>-0.87196057168277497</v>
      </c>
      <c r="LH27" s="3">
        <f ca="1">IFERROR(__xludf.DUMMYFUNCTION("""COMPUTED_VALUE"""),-0.836397568105269)</f>
        <v>-0.836397568105269</v>
      </c>
      <c r="LI27" s="3">
        <f ca="1">IFERROR(__xludf.DUMMYFUNCTION("""COMPUTED_VALUE"""),-0.852497228849864)</f>
        <v>-0.85249722884986401</v>
      </c>
      <c r="LJ27" s="3">
        <f ca="1">IFERROR(__xludf.DUMMYFUNCTION("""COMPUTED_VALUE"""),-0.944619362834542)</f>
        <v>-0.94461936283454195</v>
      </c>
      <c r="LK27" s="3">
        <f ca="1">IFERROR(__xludf.DUMMYFUNCTION("""COMPUTED_VALUE"""),-0.648727183200677)</f>
        <v>-0.64872718320067702</v>
      </c>
      <c r="LL27" s="3">
        <f ca="1">IFERROR(__xludf.DUMMYFUNCTION("""COMPUTED_VALUE"""),-0.881565214225114)</f>
        <v>-0.88156521422511402</v>
      </c>
      <c r="LM27" s="3">
        <f ca="1">IFERROR(__xludf.DUMMYFUNCTION("""COMPUTED_VALUE"""),-0.915617274860831)</f>
        <v>-0.915617274860831</v>
      </c>
      <c r="LN27" s="3">
        <f ca="1">IFERROR(__xludf.DUMMYFUNCTION("""COMPUTED_VALUE"""),-0.927062372874213)</f>
        <v>-0.927062372874213</v>
      </c>
      <c r="LO27" s="3">
        <f ca="1">IFERROR(__xludf.DUMMYFUNCTION("""COMPUTED_VALUE"""),-0.883545773990103)</f>
        <v>-0.88354577399010303</v>
      </c>
      <c r="LP27" s="3">
        <f ca="1">IFERROR(__xludf.DUMMYFUNCTION("""COMPUTED_VALUE"""),-0.922225981577867)</f>
        <v>-0.92222598157786695</v>
      </c>
      <c r="LQ27" s="3">
        <f ca="1">IFERROR(__xludf.DUMMYFUNCTION("""COMPUTED_VALUE"""),-0.868634486772476)</f>
        <v>-0.86863448677247601</v>
      </c>
      <c r="LR27" s="3">
        <f ca="1">IFERROR(__xludf.DUMMYFUNCTION("""COMPUTED_VALUE"""),-0.760069925680578)</f>
        <v>-0.76006992568057796</v>
      </c>
      <c r="LS27" s="3">
        <f ca="1">IFERROR(__xludf.DUMMYFUNCTION("""COMPUTED_VALUE"""),-0.881935702135282)</f>
        <v>-0.88193570213528205</v>
      </c>
      <c r="LT27" s="3">
        <f ca="1">IFERROR(__xludf.DUMMYFUNCTION("""COMPUTED_VALUE"""),-0.904437813131977)</f>
        <v>-0.90443781313197702</v>
      </c>
      <c r="LU27" s="3">
        <f ca="1">IFERROR(__xludf.DUMMYFUNCTION("""COMPUTED_VALUE"""),-0.943330811078507)</f>
        <v>-0.94333081107850703</v>
      </c>
      <c r="LV27" s="3">
        <f ca="1">IFERROR(__xludf.DUMMYFUNCTION("""COMPUTED_VALUE"""),-0.900491847561744)</f>
        <v>-0.90049184756174405</v>
      </c>
      <c r="LW27" s="3">
        <f ca="1">IFERROR(__xludf.DUMMYFUNCTION("""COMPUTED_VALUE"""),-0.908461979128567)</f>
        <v>-0.90846197912856697</v>
      </c>
      <c r="LX27" s="3">
        <f ca="1">IFERROR(__xludf.DUMMYFUNCTION("""COMPUTED_VALUE"""),-0.9181409771976)</f>
        <v>-0.91814097719760002</v>
      </c>
      <c r="LY27" s="3">
        <f ca="1">IFERROR(__xludf.DUMMYFUNCTION("""COMPUTED_VALUE"""),-0.875387670281011)</f>
        <v>-0.87538767028101105</v>
      </c>
      <c r="LZ27" s="3">
        <f ca="1">IFERROR(__xludf.DUMMYFUNCTION("""COMPUTED_VALUE"""),-0.884074035040532)</f>
        <v>-0.88407403504053195</v>
      </c>
      <c r="MA27" s="3">
        <f ca="1">IFERROR(__xludf.DUMMYFUNCTION("""COMPUTED_VALUE"""),-0.883961399915723)</f>
        <v>-0.88396139991572298</v>
      </c>
      <c r="MB27" s="3">
        <f ca="1">IFERROR(__xludf.DUMMYFUNCTION("""COMPUTED_VALUE"""),-0.928970165821391)</f>
        <v>-0.92897016582139103</v>
      </c>
      <c r="MC27" s="3">
        <f ca="1">IFERROR(__xludf.DUMMYFUNCTION("""COMPUTED_VALUE"""),-0.920018274945523)</f>
        <v>-0.92001827494552302</v>
      </c>
      <c r="MD27" s="3">
        <f ca="1">IFERROR(__xludf.DUMMYFUNCTION("""COMPUTED_VALUE"""),-0.929935234071874)</f>
        <v>-0.92993523407187395</v>
      </c>
      <c r="ME27" s="3">
        <f ca="1">IFERROR(__xludf.DUMMYFUNCTION("""COMPUTED_VALUE"""),-0.920673694772738)</f>
        <v>-0.92067369477273797</v>
      </c>
      <c r="MF27" s="3">
        <f ca="1">IFERROR(__xludf.DUMMYFUNCTION("""COMPUTED_VALUE"""),-0.813350027991172)</f>
        <v>-0.81335002799117195</v>
      </c>
      <c r="MG27" s="3">
        <f ca="1">IFERROR(__xludf.DUMMYFUNCTION("""COMPUTED_VALUE"""),-0.905099232460042)</f>
        <v>-0.90509923246004198</v>
      </c>
      <c r="MH27" s="3">
        <f ca="1">IFERROR(__xludf.DUMMYFUNCTION("""COMPUTED_VALUE"""),-0.924851521006498)</f>
        <v>-0.92485152100649803</v>
      </c>
      <c r="MI27" s="3">
        <f ca="1">IFERROR(__xludf.DUMMYFUNCTION("""COMPUTED_VALUE"""),-0.948344561632754)</f>
        <v>-0.94834456163275405</v>
      </c>
      <c r="MJ27" s="3">
        <f ca="1">IFERROR(__xludf.DUMMYFUNCTION("""COMPUTED_VALUE"""),-0.940822689022368)</f>
        <v>-0.94082268902236799</v>
      </c>
      <c r="MK27" s="3">
        <f ca="1">IFERROR(__xludf.DUMMYFUNCTION("""COMPUTED_VALUE"""),-0.934397229281002)</f>
        <v>-0.934397229281002</v>
      </c>
      <c r="ML27" s="3">
        <f ca="1">IFERROR(__xludf.DUMMYFUNCTION("""COMPUTED_VALUE"""),-0.940325379783209)</f>
        <v>-0.94032537978320896</v>
      </c>
      <c r="MM27" s="3">
        <f ca="1">IFERROR(__xludf.DUMMYFUNCTION("""COMPUTED_VALUE"""),-0.894245670635117)</f>
        <v>-0.89424567063511695</v>
      </c>
      <c r="MN27" s="3">
        <f ca="1">IFERROR(__xludf.DUMMYFUNCTION("""COMPUTED_VALUE"""),-0.946909318857364)</f>
        <v>-0.94690931885736396</v>
      </c>
      <c r="MO27" s="3">
        <f ca="1">IFERROR(__xludf.DUMMYFUNCTION("""COMPUTED_VALUE"""),-0.955390168590195)</f>
        <v>-0.95539016859019499</v>
      </c>
      <c r="MP27" s="3">
        <f ca="1">IFERROR(__xludf.DUMMYFUNCTION("""COMPUTED_VALUE"""),-0.964666815303168)</f>
        <v>-0.964666815303168</v>
      </c>
      <c r="MQ27" s="3">
        <f ca="1">IFERROR(__xludf.DUMMYFUNCTION("""COMPUTED_VALUE"""),-0.963456796914745)</f>
        <v>-0.96345679691474495</v>
      </c>
      <c r="MR27" s="3">
        <f ca="1">IFERROR(__xludf.DUMMYFUNCTION("""COMPUTED_VALUE"""),-0.963130005388811)</f>
        <v>-0.96313000538881099</v>
      </c>
      <c r="MS27" s="3">
        <f ca="1">IFERROR(__xludf.DUMMYFUNCTION("""COMPUTED_VALUE"""),-0.960004444042418)</f>
        <v>-0.96000444404241803</v>
      </c>
      <c r="MT27" s="3">
        <f ca="1">IFERROR(__xludf.DUMMYFUNCTION("""COMPUTED_VALUE"""),-0.921957888436905)</f>
        <v>-0.92195788843690496</v>
      </c>
      <c r="MU27" s="3">
        <f ca="1">IFERROR(__xludf.DUMMYFUNCTION("""COMPUTED_VALUE"""),-0.944938861967328)</f>
        <v>-0.94493886196732801</v>
      </c>
      <c r="MV27" s="3">
        <f ca="1">IFERROR(__xludf.DUMMYFUNCTION("""COMPUTED_VALUE"""),-0.963752193191895)</f>
        <v>-0.96375219319189498</v>
      </c>
      <c r="MW27" s="3">
        <f ca="1">IFERROR(__xludf.DUMMYFUNCTION("""COMPUTED_VALUE"""),-0.95293549234925)</f>
        <v>-0.95293549234925001</v>
      </c>
      <c r="MX27" s="3">
        <f ca="1">IFERROR(__xludf.DUMMYFUNCTION("""COMPUTED_VALUE"""),-0.953360899650926)</f>
        <v>-0.95336089965092596</v>
      </c>
      <c r="MY27" s="3">
        <f ca="1">IFERROR(__xludf.DUMMYFUNCTION("""COMPUTED_VALUE"""),-0.941469872725177)</f>
        <v>-0.94146987272517701</v>
      </c>
      <c r="MZ27" s="3">
        <f ca="1">IFERROR(__xludf.DUMMYFUNCTION("""COMPUTED_VALUE"""),-0.965511806986432)</f>
        <v>-0.96551180698643202</v>
      </c>
      <c r="NA27" s="3">
        <f ca="1">IFERROR(__xludf.DUMMYFUNCTION("""COMPUTED_VALUE"""),-0.92805463909753)</f>
        <v>-0.92805463909753005</v>
      </c>
      <c r="NB27" s="3">
        <f ca="1">IFERROR(__xludf.DUMMYFUNCTION("""COMPUTED_VALUE"""),-0.949121019657013)</f>
        <v>-0.94912101965701301</v>
      </c>
      <c r="NC27" s="3">
        <f ca="1">IFERROR(__xludf.DUMMYFUNCTION("""COMPUTED_VALUE"""),-0.936398046859128)</f>
        <v>-0.93639804685912797</v>
      </c>
      <c r="ND27" s="3">
        <f ca="1">IFERROR(__xludf.DUMMYFUNCTION("""COMPUTED_VALUE"""),-0.949968480991062)</f>
        <v>-0.94996848099106201</v>
      </c>
      <c r="NE27" s="3">
        <f ca="1">IFERROR(__xludf.DUMMYFUNCTION("""COMPUTED_VALUE"""),-0.950408761153175)</f>
        <v>-0.95040876115317496</v>
      </c>
      <c r="NF27" s="3">
        <f ca="1">IFERROR(__xludf.DUMMYFUNCTION("""COMPUTED_VALUE"""),-0.950440653885028)</f>
        <v>-0.95044065388502796</v>
      </c>
      <c r="NG27" s="3">
        <f ca="1">IFERROR(__xludf.DUMMYFUNCTION("""COMPUTED_VALUE"""),-0.941319341043714)</f>
        <v>-0.94131934104371395</v>
      </c>
      <c r="NH27" s="3">
        <f ca="1">IFERROR(__xludf.DUMMYFUNCTION("""COMPUTED_VALUE"""),-0.911573095272963)</f>
        <v>-0.91157309527296304</v>
      </c>
      <c r="NI27" s="3">
        <f ca="1">IFERROR(__xludf.DUMMYFUNCTION("""COMPUTED_VALUE"""),-0.94227887965841)</f>
        <v>-0.94227887965840995</v>
      </c>
      <c r="NJ27" s="3">
        <f ca="1">IFERROR(__xludf.DUMMYFUNCTION("""COMPUTED_VALUE"""),-0.885998758056822)</f>
        <v>-0.88599875805682204</v>
      </c>
      <c r="NK27" s="3">
        <f ca="1">IFERROR(__xludf.DUMMYFUNCTION("""COMPUTED_VALUE"""),-0.9272199188416)</f>
        <v>-0.92721991884160004</v>
      </c>
      <c r="NL27" s="3">
        <f ca="1">IFERROR(__xludf.DUMMYFUNCTION("""COMPUTED_VALUE"""),-0.932895977088338)</f>
        <v>-0.93289597708833805</v>
      </c>
      <c r="NM27" s="3">
        <f ca="1">IFERROR(__xludf.DUMMYFUNCTION("""COMPUTED_VALUE"""),-0.929990552848334)</f>
        <v>-0.92999055284833398</v>
      </c>
      <c r="NN27" s="3">
        <f ca="1">IFERROR(__xludf.DUMMYFUNCTION("""COMPUTED_VALUE"""),-0.912676716180156)</f>
        <v>-0.912676716180156</v>
      </c>
      <c r="NO27" s="3">
        <f ca="1">IFERROR(__xludf.DUMMYFUNCTION("""COMPUTED_VALUE"""),-0.866023734544727)</f>
        <v>-0.86602373454472703</v>
      </c>
      <c r="NP27" s="3">
        <f ca="1">IFERROR(__xludf.DUMMYFUNCTION("""COMPUTED_VALUE"""),-0.902184797535984)</f>
        <v>-0.90218479753598402</v>
      </c>
      <c r="NQ27" s="3">
        <f ca="1">IFERROR(__xludf.DUMMYFUNCTION("""COMPUTED_VALUE"""),-0.870490824256896)</f>
        <v>-0.87049082425689595</v>
      </c>
      <c r="NR27" s="3">
        <f ca="1">IFERROR(__xludf.DUMMYFUNCTION("""COMPUTED_VALUE"""),-0.866675503922442)</f>
        <v>-0.86667550392244197</v>
      </c>
      <c r="NS27" s="3">
        <f ca="1">IFERROR(__xludf.DUMMYFUNCTION("""COMPUTED_VALUE"""),-0.879847645256755)</f>
        <v>-0.87984764525675496</v>
      </c>
      <c r="NT27" s="3">
        <f ca="1">IFERROR(__xludf.DUMMYFUNCTION("""COMPUTED_VALUE"""),-0.801330612894037)</f>
        <v>-0.80133061289403695</v>
      </c>
      <c r="NU27" s="3">
        <f ca="1">IFERROR(__xludf.DUMMYFUNCTION("""COMPUTED_VALUE"""),-0.732824167790389)</f>
        <v>-0.73282416779038895</v>
      </c>
      <c r="NV27" s="3">
        <f ca="1">IFERROR(__xludf.DUMMYFUNCTION("""COMPUTED_VALUE"""),-0.783741123459234)</f>
        <v>-0.78374112345923397</v>
      </c>
      <c r="NW27" s="3">
        <f ca="1">IFERROR(__xludf.DUMMYFUNCTION("""COMPUTED_VALUE"""),-0.758748971849914)</f>
        <v>-0.75874897184991397</v>
      </c>
      <c r="NX27" s="3">
        <f ca="1">IFERROR(__xludf.DUMMYFUNCTION("""COMPUTED_VALUE"""),-0.726618257686444)</f>
        <v>-0.72661825768644395</v>
      </c>
      <c r="NY27" s="3">
        <f ca="1">IFERROR(__xludf.DUMMYFUNCTION("""COMPUTED_VALUE"""),-0.725134767486844)</f>
        <v>-0.72513476748684402</v>
      </c>
      <c r="NZ27" s="3">
        <f ca="1">IFERROR(__xludf.DUMMYFUNCTION("""COMPUTED_VALUE"""),-0.739691625416957)</f>
        <v>-0.73969162541695699</v>
      </c>
      <c r="OA27" s="3">
        <f ca="1">IFERROR(__xludf.DUMMYFUNCTION("""COMPUTED_VALUE"""),-0.656586257790403)</f>
        <v>-0.65658625779040303</v>
      </c>
      <c r="OB27" s="3">
        <f ca="1">IFERROR(__xludf.DUMMYFUNCTION("""COMPUTED_VALUE"""),-0.62380500285687)</f>
        <v>-0.62380500285687002</v>
      </c>
      <c r="OC27" s="3">
        <f ca="1">IFERROR(__xludf.DUMMYFUNCTION("""COMPUTED_VALUE"""),-0.538566123603978)</f>
        <v>-0.53856612360397804</v>
      </c>
      <c r="OD27" s="3">
        <f ca="1">IFERROR(__xludf.DUMMYFUNCTION("""COMPUTED_VALUE"""),-0.434063473940577)</f>
        <v>-0.43406347394057698</v>
      </c>
      <c r="OE27" s="3">
        <f ca="1">IFERROR(__xludf.DUMMYFUNCTION("""COMPUTED_VALUE"""),-0.471586882515252)</f>
        <v>-0.47158688251525199</v>
      </c>
      <c r="OF27" s="3">
        <f ca="1">IFERROR(__xludf.DUMMYFUNCTION("""COMPUTED_VALUE"""),-0.215200975904493)</f>
        <v>-0.215200975904493</v>
      </c>
      <c r="OG27" s="3">
        <f ca="1">IFERROR(__xludf.DUMMYFUNCTION("""COMPUTED_VALUE"""),-0.101110264649548)</f>
        <v>-0.101110264649548</v>
      </c>
      <c r="OH27" s="3">
        <f ca="1">IFERROR(__xludf.DUMMYFUNCTION("""COMPUTED_VALUE"""),-0.0287262243038829)</f>
        <v>-2.87262243038829E-2</v>
      </c>
      <c r="OI27" s="3">
        <f ca="1">IFERROR(__xludf.DUMMYFUNCTION("""COMPUTED_VALUE"""),0.0434384376519463)</f>
        <v>4.3438437651946299E-2</v>
      </c>
      <c r="OJ27" s="3">
        <f ca="1">IFERROR(__xludf.DUMMYFUNCTION("""COMPUTED_VALUE"""),-0.22099545674221)</f>
        <v>-0.22099545674220999</v>
      </c>
      <c r="OK27" s="3">
        <f ca="1">IFERROR(__xludf.DUMMYFUNCTION("""COMPUTED_VALUE"""),-0.126216706969712)</f>
        <v>-0.12621670696971199</v>
      </c>
      <c r="OL27" s="3">
        <f ca="1">IFERROR(__xludf.DUMMYFUNCTION("""COMPUTED_VALUE"""),-0.39680538397198)</f>
        <v>-0.39680538397198001</v>
      </c>
      <c r="OM27" s="3">
        <f ca="1">IFERROR(__xludf.DUMMYFUNCTION("""COMPUTED_VALUE"""),-0.193903529694771)</f>
        <v>-0.19390352969477101</v>
      </c>
      <c r="ON27" s="3">
        <f ca="1">IFERROR(__xludf.DUMMYFUNCTION("""COMPUTED_VALUE"""),-0.231114186502993)</f>
        <v>-0.23111418650299301</v>
      </c>
      <c r="OO27" s="3">
        <f ca="1">IFERROR(__xludf.DUMMYFUNCTION("""COMPUTED_VALUE"""),-0.334173963573676)</f>
        <v>-0.33417396357367601</v>
      </c>
      <c r="OP27" s="3">
        <f ca="1">IFERROR(__xludf.DUMMYFUNCTION("""COMPUTED_VALUE"""),-0.213357477891219)</f>
        <v>-0.21335747789121901</v>
      </c>
      <c r="OQ27" s="3">
        <f ca="1">IFERROR(__xludf.DUMMYFUNCTION("""COMPUTED_VALUE"""),-0.274179615185164)</f>
        <v>-0.27417961518516398</v>
      </c>
      <c r="OR27" s="3">
        <f ca="1">IFERROR(__xludf.DUMMYFUNCTION("""COMPUTED_VALUE"""),-0.0818171289530909)</f>
        <v>-8.1817128953090901E-2</v>
      </c>
      <c r="OS27" s="3">
        <f ca="1">IFERROR(__xludf.DUMMYFUNCTION("""COMPUTED_VALUE"""),-0.111520611737203)</f>
        <v>-0.111520611737203</v>
      </c>
      <c r="OT27" s="3">
        <f ca="1">IFERROR(__xludf.DUMMYFUNCTION("""COMPUTED_VALUE"""),0.0827912009321767)</f>
        <v>8.2791200932176706E-2</v>
      </c>
      <c r="OU27" s="3">
        <f ca="1">IFERROR(__xludf.DUMMYFUNCTION("""COMPUTED_VALUE"""),0.0823416968404282)</f>
        <v>8.2341696840428205E-2</v>
      </c>
      <c r="OV27" s="3">
        <f ca="1">IFERROR(__xludf.DUMMYFUNCTION("""COMPUTED_VALUE"""),0.0946618662483258)</f>
        <v>9.4661866248325802E-2</v>
      </c>
      <c r="OW27" s="3">
        <f ca="1">IFERROR(__xludf.DUMMYFUNCTION("""COMPUTED_VALUE"""),0.187926798429732)</f>
        <v>0.18792679842973201</v>
      </c>
      <c r="OX27" s="3">
        <f ca="1">IFERROR(__xludf.DUMMYFUNCTION("""COMPUTED_VALUE"""),0.316450927497288)</f>
        <v>0.31645092749728798</v>
      </c>
      <c r="OY27" s="3">
        <f ca="1">IFERROR(__xludf.DUMMYFUNCTION("""COMPUTED_VALUE"""),0.314763078903072)</f>
        <v>0.31476307890307198</v>
      </c>
      <c r="OZ27" s="3">
        <f ca="1">IFERROR(__xludf.DUMMYFUNCTION("""COMPUTED_VALUE"""),0.0585805019103786)</f>
        <v>5.8580501910378599E-2</v>
      </c>
      <c r="PA27" s="3">
        <f ca="1">IFERROR(__xludf.DUMMYFUNCTION("""COMPUTED_VALUE"""),0.0480873171695623)</f>
        <v>4.8087317169562299E-2</v>
      </c>
      <c r="PB27" s="3">
        <f ca="1">IFERROR(__xludf.DUMMYFUNCTION("""COMPUTED_VALUE"""),-0.00266191774749302)</f>
        <v>-2.6619177474930199E-3</v>
      </c>
      <c r="PC27" s="3">
        <f ca="1">IFERROR(__xludf.DUMMYFUNCTION("""COMPUTED_VALUE"""),-0.0486921807272203)</f>
        <v>-4.8692180727220299E-2</v>
      </c>
      <c r="PD27" s="3">
        <f ca="1">IFERROR(__xludf.DUMMYFUNCTION("""COMPUTED_VALUE"""),0.034631634656528)</f>
        <v>3.4631634656528E-2</v>
      </c>
      <c r="PE27" s="3">
        <f ca="1">IFERROR(__xludf.DUMMYFUNCTION("""COMPUTED_VALUE"""),-0.0398830591391438)</f>
        <v>-3.9883059139143799E-2</v>
      </c>
      <c r="PF27" s="3">
        <f ca="1">IFERROR(__xludf.DUMMYFUNCTION("""COMPUTED_VALUE"""),-0.0369929810205295)</f>
        <v>-3.6992981020529503E-2</v>
      </c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</row>
    <row r="28" spans="1:594" ht="15.75" customHeight="1">
      <c r="A28" s="1" t="str">
        <f ca="1">IFERROR(__xludf.DUMMYFUNCTION("""COMPUTED_VALUE"""),"Halifax")</f>
        <v>Halifax</v>
      </c>
      <c r="B28" s="3">
        <f ca="1">IFERROR(__xludf.DUMMYFUNCTION("""COMPUTED_VALUE"""),-0.441923174439625)</f>
        <v>-0.44192317443962498</v>
      </c>
      <c r="C28" s="3">
        <f ca="1">IFERROR(__xludf.DUMMYFUNCTION("""COMPUTED_VALUE"""),-0.448207799870215)</f>
        <v>-0.44820779987021497</v>
      </c>
      <c r="D28" s="3">
        <f ca="1">IFERROR(__xludf.DUMMYFUNCTION("""COMPUTED_VALUE"""),-0.524778078437155)</f>
        <v>-0.52477807843715496</v>
      </c>
      <c r="E28" s="3">
        <f ca="1">IFERROR(__xludf.DUMMYFUNCTION("""COMPUTED_VALUE"""),-0.51243454632785)</f>
        <v>-0.51243454632785002</v>
      </c>
      <c r="F28" s="3">
        <f ca="1">IFERROR(__xludf.DUMMYFUNCTION("""COMPUTED_VALUE"""),-0.53751132002557)</f>
        <v>-0.53751132002557001</v>
      </c>
      <c r="G28" s="3">
        <f ca="1">IFERROR(__xludf.DUMMYFUNCTION("""COMPUTED_VALUE"""),-0.615962284167283)</f>
        <v>-0.61596228416728305</v>
      </c>
      <c r="H28" s="3">
        <f ca="1">IFERROR(__xludf.DUMMYFUNCTION("""COMPUTED_VALUE"""),-0.680934397166931)</f>
        <v>-0.68093439716693105</v>
      </c>
      <c r="I28" s="3">
        <f ca="1">IFERROR(__xludf.DUMMYFUNCTION("""COMPUTED_VALUE"""),-0.488531613360205)</f>
        <v>-0.48853161336020501</v>
      </c>
      <c r="J28" s="3">
        <f ca="1">IFERROR(__xludf.DUMMYFUNCTION("""COMPUTED_VALUE"""),-0.743079852686301)</f>
        <v>-0.74307985268630095</v>
      </c>
      <c r="K28" s="3">
        <f ca="1">IFERROR(__xludf.DUMMYFUNCTION("""COMPUTED_VALUE"""),-0.561384374966985)</f>
        <v>-0.56138437496698501</v>
      </c>
      <c r="L28" s="3">
        <f ca="1">IFERROR(__xludf.DUMMYFUNCTION("""COMPUTED_VALUE"""),-0.509652391550918)</f>
        <v>-0.50965239155091802</v>
      </c>
      <c r="M28" s="3">
        <f ca="1">IFERROR(__xludf.DUMMYFUNCTION("""COMPUTED_VALUE"""),-0.51000683143719)</f>
        <v>-0.51000683143718994</v>
      </c>
      <c r="N28" s="3">
        <f ca="1">IFERROR(__xludf.DUMMYFUNCTION("""COMPUTED_VALUE"""),-0.565915401792598)</f>
        <v>-0.56591540179259803</v>
      </c>
      <c r="O28" s="3">
        <f ca="1">IFERROR(__xludf.DUMMYFUNCTION("""COMPUTED_VALUE"""),-0.509472385024438)</f>
        <v>-0.50947238502443803</v>
      </c>
      <c r="P28" s="3">
        <f ca="1">IFERROR(__xludf.DUMMYFUNCTION("""COMPUTED_VALUE"""),-0.49581571711836)</f>
        <v>-0.49581571711835998</v>
      </c>
      <c r="Q28" s="3">
        <f ca="1">IFERROR(__xludf.DUMMYFUNCTION("""COMPUTED_VALUE"""),-0.544654162417714)</f>
        <v>-0.54465416241771403</v>
      </c>
      <c r="R28" s="3">
        <f ca="1">IFERROR(__xludf.DUMMYFUNCTION("""COMPUTED_VALUE"""),-0.554275991084119)</f>
        <v>-0.55427599108411896</v>
      </c>
      <c r="S28" s="3">
        <f ca="1">IFERROR(__xludf.DUMMYFUNCTION("""COMPUTED_VALUE"""),-0.534036634322699)</f>
        <v>-0.53403663432269899</v>
      </c>
      <c r="T28" s="3">
        <f ca="1">IFERROR(__xludf.DUMMYFUNCTION("""COMPUTED_VALUE"""),-0.556745026637204)</f>
        <v>-0.55674502663720404</v>
      </c>
      <c r="U28" s="3">
        <f ca="1">IFERROR(__xludf.DUMMYFUNCTION("""COMPUTED_VALUE"""),-0.54902176030659)</f>
        <v>-0.54902176030659</v>
      </c>
      <c r="V28" s="3">
        <f ca="1">IFERROR(__xludf.DUMMYFUNCTION("""COMPUTED_VALUE"""),-0.496899634100347)</f>
        <v>-0.49689963410034699</v>
      </c>
      <c r="W28" s="3">
        <f ca="1">IFERROR(__xludf.DUMMYFUNCTION("""COMPUTED_VALUE"""),-0.476122050962803)</f>
        <v>-0.47612205096280302</v>
      </c>
      <c r="X28" s="3">
        <f ca="1">IFERROR(__xludf.DUMMYFUNCTION("""COMPUTED_VALUE"""),-0.594325457623359)</f>
        <v>-0.59432545762335898</v>
      </c>
      <c r="Y28" s="3">
        <f ca="1">IFERROR(__xludf.DUMMYFUNCTION("""COMPUTED_VALUE"""),-0.604917890002702)</f>
        <v>-0.60491789000270202</v>
      </c>
      <c r="Z28" s="3">
        <f ca="1">IFERROR(__xludf.DUMMYFUNCTION("""COMPUTED_VALUE"""),-0.559693072445358)</f>
        <v>-0.55969307244535804</v>
      </c>
      <c r="AA28" s="3">
        <f ca="1">IFERROR(__xludf.DUMMYFUNCTION("""COMPUTED_VALUE"""),-0.583984291819831)</f>
        <v>-0.58398429181983103</v>
      </c>
      <c r="AB28" s="3">
        <f ca="1">IFERROR(__xludf.DUMMYFUNCTION("""COMPUTED_VALUE"""),-0.590531993377633)</f>
        <v>-0.59053199337763296</v>
      </c>
      <c r="AC28" s="3">
        <f ca="1">IFERROR(__xludf.DUMMYFUNCTION("""COMPUTED_VALUE"""),-0.509009642785889)</f>
        <v>-0.509009642785889</v>
      </c>
      <c r="AD28" s="3">
        <f ca="1">IFERROR(__xludf.DUMMYFUNCTION("""COMPUTED_VALUE"""),-0.526729135151615)</f>
        <v>-0.52672913515161501</v>
      </c>
      <c r="AE28" s="3">
        <f ca="1">IFERROR(__xludf.DUMMYFUNCTION("""COMPUTED_VALUE"""),-0.535453602832259)</f>
        <v>-0.53545360283225896</v>
      </c>
      <c r="AF28" s="3">
        <f ca="1">IFERROR(__xludf.DUMMYFUNCTION("""COMPUTED_VALUE"""),-0.593311020049675)</f>
        <v>-0.59331102004967495</v>
      </c>
      <c r="AG28" s="3">
        <f ca="1">IFERROR(__xludf.DUMMYFUNCTION("""COMPUTED_VALUE"""),-0.577826326076456)</f>
        <v>-0.57782632607645601</v>
      </c>
      <c r="AH28" s="3">
        <f ca="1">IFERROR(__xludf.DUMMYFUNCTION("""COMPUTED_VALUE"""),-0.61137635478439)</f>
        <v>-0.61137635478439001</v>
      </c>
      <c r="AI28" s="3">
        <f ca="1">IFERROR(__xludf.DUMMYFUNCTION("""COMPUTED_VALUE"""),-0.535056141541292)</f>
        <v>-0.535056141541292</v>
      </c>
      <c r="AJ28" s="3">
        <f ca="1">IFERROR(__xludf.DUMMYFUNCTION("""COMPUTED_VALUE"""),-0.499037908229159)</f>
        <v>-0.499037908229159</v>
      </c>
      <c r="AK28" s="3">
        <f ca="1">IFERROR(__xludf.DUMMYFUNCTION("""COMPUTED_VALUE"""),-0.55051670620957)</f>
        <v>-0.55051670620957005</v>
      </c>
      <c r="AL28" s="3">
        <f ca="1">IFERROR(__xludf.DUMMYFUNCTION("""COMPUTED_VALUE"""),-0.58362290019665)</f>
        <v>-0.58362290019664997</v>
      </c>
      <c r="AM28" s="3">
        <f ca="1">IFERROR(__xludf.DUMMYFUNCTION("""COMPUTED_VALUE"""),-0.598103257421352)</f>
        <v>-0.59810325742135195</v>
      </c>
      <c r="AN28" s="3">
        <f ca="1">IFERROR(__xludf.DUMMYFUNCTION("""COMPUTED_VALUE"""),-0.59633577656206)</f>
        <v>-0.59633577656206005</v>
      </c>
      <c r="AO28" s="3">
        <f ca="1">IFERROR(__xludf.DUMMYFUNCTION("""COMPUTED_VALUE"""),-0.628602270858714)</f>
        <v>-0.62860227085871401</v>
      </c>
      <c r="AP28" s="3">
        <f ca="1">IFERROR(__xludf.DUMMYFUNCTION("""COMPUTED_VALUE"""),-0.581902662937453)</f>
        <v>-0.58190266293745296</v>
      </c>
      <c r="AQ28" s="3">
        <f ca="1">IFERROR(__xludf.DUMMYFUNCTION("""COMPUTED_VALUE"""),-0.46875486129911)</f>
        <v>-0.46875486129910998</v>
      </c>
      <c r="AR28" s="3">
        <f ca="1">IFERROR(__xludf.DUMMYFUNCTION("""COMPUTED_VALUE"""),-0.517620412071779)</f>
        <v>-0.517620412071779</v>
      </c>
      <c r="AS28" s="3">
        <f ca="1">IFERROR(__xludf.DUMMYFUNCTION("""COMPUTED_VALUE"""),-0.572534340420514)</f>
        <v>-0.57253434042051399</v>
      </c>
      <c r="AT28" s="3">
        <f ca="1">IFERROR(__xludf.DUMMYFUNCTION("""COMPUTED_VALUE"""),-0.574814319050854)</f>
        <v>-0.57481431905085401</v>
      </c>
      <c r="AU28" s="3">
        <f ca="1">IFERROR(__xludf.DUMMYFUNCTION("""COMPUTED_VALUE"""),-0.551023678710803)</f>
        <v>-0.55102367871080304</v>
      </c>
      <c r="AV28" s="3">
        <f ca="1">IFERROR(__xludf.DUMMYFUNCTION("""COMPUTED_VALUE"""),-0.604511118537086)</f>
        <v>-0.60451111853708595</v>
      </c>
      <c r="AW28" s="3">
        <f ca="1">IFERROR(__xludf.DUMMYFUNCTION("""COMPUTED_VALUE"""),-0.466756431071499)</f>
        <v>-0.466756431071499</v>
      </c>
      <c r="AX28" s="3">
        <f ca="1">IFERROR(__xludf.DUMMYFUNCTION("""COMPUTED_VALUE"""),-0.48685257505407)</f>
        <v>-0.48685257505406998</v>
      </c>
      <c r="AY28" s="3">
        <f ca="1">IFERROR(__xludf.DUMMYFUNCTION("""COMPUTED_VALUE"""),-0.539857223495256)</f>
        <v>-0.539857223495256</v>
      </c>
      <c r="AZ28" s="3">
        <f ca="1">IFERROR(__xludf.DUMMYFUNCTION("""COMPUTED_VALUE"""),-0.514770142987657)</f>
        <v>-0.514770142987657</v>
      </c>
      <c r="BA28" s="3">
        <f ca="1">IFERROR(__xludf.DUMMYFUNCTION("""COMPUTED_VALUE"""),-0.549590552964093)</f>
        <v>-0.54959055296409298</v>
      </c>
      <c r="BB28" s="3">
        <f ca="1">IFERROR(__xludf.DUMMYFUNCTION("""COMPUTED_VALUE"""),-0.399792897632803)</f>
        <v>-0.39979289763280301</v>
      </c>
      <c r="BC28" s="3">
        <f ca="1">IFERROR(__xludf.DUMMYFUNCTION("""COMPUTED_VALUE"""),-0.6332571165374)</f>
        <v>-0.63325711653740002</v>
      </c>
      <c r="BD28" s="3">
        <f ca="1">IFERROR(__xludf.DUMMYFUNCTION("""COMPUTED_VALUE"""),-0.6845137538505)</f>
        <v>-0.68451375385049995</v>
      </c>
      <c r="BE28" s="3">
        <f ca="1">IFERROR(__xludf.DUMMYFUNCTION("""COMPUTED_VALUE"""),-0.434053061040465)</f>
        <v>-0.43405306104046498</v>
      </c>
      <c r="BF28" s="3">
        <f ca="1">IFERROR(__xludf.DUMMYFUNCTION("""COMPUTED_VALUE"""),-0.454007449986592)</f>
        <v>-0.45400744998659198</v>
      </c>
      <c r="BG28" s="3">
        <f ca="1">IFERROR(__xludf.DUMMYFUNCTION("""COMPUTED_VALUE"""),-0.518566888497494)</f>
        <v>-0.51856688849749399</v>
      </c>
      <c r="BH28" s="3">
        <f ca="1">IFERROR(__xludf.DUMMYFUNCTION("""COMPUTED_VALUE"""),-0.567114965556999)</f>
        <v>-0.56711496555699903</v>
      </c>
      <c r="BI28" s="3">
        <f ca="1">IFERROR(__xludf.DUMMYFUNCTION("""COMPUTED_VALUE"""),-0.565316725240747)</f>
        <v>-0.56531672524074705</v>
      </c>
      <c r="BJ28" s="3">
        <f ca="1">IFERROR(__xludf.DUMMYFUNCTION("""COMPUTED_VALUE"""),-0.562538019468231)</f>
        <v>-0.56253801946823101</v>
      </c>
      <c r="BK28" s="3">
        <f ca="1">IFERROR(__xludf.DUMMYFUNCTION("""COMPUTED_VALUE"""),-0.696689781271431)</f>
        <v>-0.696689781271431</v>
      </c>
      <c r="BL28" s="3">
        <f ca="1">IFERROR(__xludf.DUMMYFUNCTION("""COMPUTED_VALUE"""),-0.576734069331197)</f>
        <v>-0.57673406933119697</v>
      </c>
      <c r="BM28" s="3">
        <f ca="1">IFERROR(__xludf.DUMMYFUNCTION("""COMPUTED_VALUE"""),-0.488450505830659)</f>
        <v>-0.48845050583065902</v>
      </c>
      <c r="BN28" s="3">
        <f ca="1">IFERROR(__xludf.DUMMYFUNCTION("""COMPUTED_VALUE"""),-0.539766200935039)</f>
        <v>-0.53976620093503902</v>
      </c>
      <c r="BO28" s="3">
        <f ca="1">IFERROR(__xludf.DUMMYFUNCTION("""COMPUTED_VALUE"""),-0.598084322079588)</f>
        <v>-0.59808432207958795</v>
      </c>
      <c r="BP28" s="3">
        <f ca="1">IFERROR(__xludf.DUMMYFUNCTION("""COMPUTED_VALUE"""),-0.586779041716686)</f>
        <v>-0.58677904171668605</v>
      </c>
      <c r="BQ28" s="3">
        <f ca="1">IFERROR(__xludf.DUMMYFUNCTION("""COMPUTED_VALUE"""),-0.761324610162916)</f>
        <v>-0.76132461016291597</v>
      </c>
      <c r="BR28" s="3">
        <f ca="1">IFERROR(__xludf.DUMMYFUNCTION("""COMPUTED_VALUE"""),-0.627465652286943)</f>
        <v>-0.62746565228694295</v>
      </c>
      <c r="BS28" s="3">
        <f ca="1">IFERROR(__xludf.DUMMYFUNCTION("""COMPUTED_VALUE"""),-0.497689127020432)</f>
        <v>-0.497689127020432</v>
      </c>
      <c r="BT28" s="3">
        <f ca="1">IFERROR(__xludf.DUMMYFUNCTION("""COMPUTED_VALUE"""),-0.550687997973918)</f>
        <v>-0.55068799797391799</v>
      </c>
      <c r="BU28" s="3">
        <f ca="1">IFERROR(__xludf.DUMMYFUNCTION("""COMPUTED_VALUE"""),-0.58532345524011)</f>
        <v>-0.58532345524010998</v>
      </c>
      <c r="BV28" s="3">
        <f ca="1">IFERROR(__xludf.DUMMYFUNCTION("""COMPUTED_VALUE"""),-0.639798112550552)</f>
        <v>-0.63979811255055197</v>
      </c>
      <c r="BW28" s="3">
        <f ca="1">IFERROR(__xludf.DUMMYFUNCTION("""COMPUTED_VALUE"""),-0.62535552596441)</f>
        <v>-0.62535552596441002</v>
      </c>
      <c r="BX28" s="3">
        <f ca="1">IFERROR(__xludf.DUMMYFUNCTION("""COMPUTED_VALUE"""),-0.627698502370241)</f>
        <v>-0.62769850237024105</v>
      </c>
      <c r="BY28" s="3">
        <f ca="1">IFERROR(__xludf.DUMMYFUNCTION("""COMPUTED_VALUE"""),-0.630617502936038)</f>
        <v>-0.63061750293603802</v>
      </c>
      <c r="BZ28" s="3">
        <f ca="1">IFERROR(__xludf.DUMMYFUNCTION("""COMPUTED_VALUE"""),-0.513504214744535)</f>
        <v>-0.513504214744535</v>
      </c>
      <c r="CA28" s="3">
        <f ca="1">IFERROR(__xludf.DUMMYFUNCTION("""COMPUTED_VALUE"""),-0.541258583551274)</f>
        <v>-0.54125858355127399</v>
      </c>
      <c r="CB28" s="3">
        <f ca="1">IFERROR(__xludf.DUMMYFUNCTION("""COMPUTED_VALUE"""),-0.540583164780655)</f>
        <v>-0.54058316478065505</v>
      </c>
      <c r="CC28" s="3">
        <f ca="1">IFERROR(__xludf.DUMMYFUNCTION("""COMPUTED_VALUE"""),-0.668240911796626)</f>
        <v>-0.66824091179662604</v>
      </c>
      <c r="CD28" s="3">
        <f ca="1">IFERROR(__xludf.DUMMYFUNCTION("""COMPUTED_VALUE"""),-0.657766189213364)</f>
        <v>-0.65776618921336405</v>
      </c>
      <c r="CE28" s="3">
        <f ca="1">IFERROR(__xludf.DUMMYFUNCTION("""COMPUTED_VALUE"""),-0.655177593851942)</f>
        <v>-0.65517759385194196</v>
      </c>
      <c r="CF28" s="3">
        <f ca="1">IFERROR(__xludf.DUMMYFUNCTION("""COMPUTED_VALUE"""),-0.666850216226145)</f>
        <v>-0.66685021622614504</v>
      </c>
      <c r="CG28" s="3">
        <f ca="1">IFERROR(__xludf.DUMMYFUNCTION("""COMPUTED_VALUE"""),-0.500546466793916)</f>
        <v>-0.50054646679391601</v>
      </c>
      <c r="CH28" s="3">
        <f ca="1">IFERROR(__xludf.DUMMYFUNCTION("""COMPUTED_VALUE"""),-0.58877037885547)</f>
        <v>-0.58877037885547001</v>
      </c>
      <c r="CI28" s="3">
        <f ca="1">IFERROR(__xludf.DUMMYFUNCTION("""COMPUTED_VALUE"""),-0.646988022395336)</f>
        <v>-0.64698802239533604</v>
      </c>
      <c r="CJ28" s="3">
        <f ca="1">IFERROR(__xludf.DUMMYFUNCTION("""COMPUTED_VALUE"""),-0.672712532455522)</f>
        <v>-0.67271253245552198</v>
      </c>
      <c r="CK28" s="3">
        <f ca="1">IFERROR(__xludf.DUMMYFUNCTION("""COMPUTED_VALUE"""),-0.590171282536476)</f>
        <v>-0.59017128253647599</v>
      </c>
      <c r="CL28" s="3">
        <f ca="1">IFERROR(__xludf.DUMMYFUNCTION("""COMPUTED_VALUE"""),-0.66017780679192)</f>
        <v>-0.66017780679191995</v>
      </c>
      <c r="CM28" s="3">
        <f ca="1">IFERROR(__xludf.DUMMYFUNCTION("""COMPUTED_VALUE"""),-0.651264451169078)</f>
        <v>-0.65126445116907805</v>
      </c>
      <c r="CN28" s="3">
        <f ca="1">IFERROR(__xludf.DUMMYFUNCTION("""COMPUTED_VALUE"""),-0.507719422689127)</f>
        <v>-0.50771942268912695</v>
      </c>
      <c r="CO28" s="3">
        <f ca="1">IFERROR(__xludf.DUMMYFUNCTION("""COMPUTED_VALUE"""),-0.572362178747514)</f>
        <v>-0.57236217874751405</v>
      </c>
      <c r="CP28" s="3">
        <f ca="1">IFERROR(__xludf.DUMMYFUNCTION("""COMPUTED_VALUE"""),-0.646893871542493)</f>
        <v>-0.646893871542493</v>
      </c>
      <c r="CQ28" s="3">
        <f ca="1">IFERROR(__xludf.DUMMYFUNCTION("""COMPUTED_VALUE"""),-0.669470520232659)</f>
        <v>-0.66947052023265896</v>
      </c>
      <c r="CR28" s="3">
        <f ca="1">IFERROR(__xludf.DUMMYFUNCTION("""COMPUTED_VALUE"""),-0.475698334711362)</f>
        <v>-0.47569833471136203</v>
      </c>
      <c r="CS28" s="3">
        <f ca="1">IFERROR(__xludf.DUMMYFUNCTION("""COMPUTED_VALUE"""),-0.632197146791543)</f>
        <v>-0.63219714679154304</v>
      </c>
      <c r="CT28" s="3">
        <f ca="1">IFERROR(__xludf.DUMMYFUNCTION("""COMPUTED_VALUE"""),-0.629676968674994)</f>
        <v>-0.62967696867499401</v>
      </c>
      <c r="CU28" s="3">
        <f ca="1">IFERROR(__xludf.DUMMYFUNCTION("""COMPUTED_VALUE"""),-0.521380954812575)</f>
        <v>-0.52138095481257496</v>
      </c>
      <c r="CV28" s="3">
        <f ca="1">IFERROR(__xludf.DUMMYFUNCTION("""COMPUTED_VALUE"""),-0.628099222888468)</f>
        <v>-0.62809922288846798</v>
      </c>
      <c r="CW28" s="3">
        <f ca="1">IFERROR(__xludf.DUMMYFUNCTION("""COMPUTED_VALUE"""),-0.811231933242218)</f>
        <v>-0.81123193324221798</v>
      </c>
      <c r="CX28" s="3">
        <f ca="1">IFERROR(__xludf.DUMMYFUNCTION("""COMPUTED_VALUE"""),-0.585585326978147)</f>
        <v>-0.58558532697814702</v>
      </c>
      <c r="CY28" s="3">
        <f ca="1">IFERROR(__xludf.DUMMYFUNCTION("""COMPUTED_VALUE"""),-0.108185590757438)</f>
        <v>-0.108185590757438</v>
      </c>
      <c r="CZ28" s="3">
        <f ca="1">IFERROR(__xludf.DUMMYFUNCTION("""COMPUTED_VALUE"""),-0.553030567098261)</f>
        <v>-0.55303056709826104</v>
      </c>
      <c r="DA28" s="3">
        <f ca="1">IFERROR(__xludf.DUMMYFUNCTION("""COMPUTED_VALUE"""),-0.638020876672797)</f>
        <v>-0.63802087667279705</v>
      </c>
      <c r="DB28" s="3">
        <f ca="1">IFERROR(__xludf.DUMMYFUNCTION("""COMPUTED_VALUE"""),-0.409850285095582)</f>
        <v>-0.40985028509558202</v>
      </c>
      <c r="DC28" s="3">
        <f ca="1">IFERROR(__xludf.DUMMYFUNCTION("""COMPUTED_VALUE"""),-0.752240565266851)</f>
        <v>-0.75224056526685101</v>
      </c>
      <c r="DD28" s="3">
        <f ca="1">IFERROR(__xludf.DUMMYFUNCTION("""COMPUTED_VALUE"""),-0.844373537461879)</f>
        <v>-0.84437353746187904</v>
      </c>
      <c r="DE28" s="3">
        <f ca="1">IFERROR(__xludf.DUMMYFUNCTION("""COMPUTED_VALUE"""),-0.573695179513126)</f>
        <v>-0.57369517951312599</v>
      </c>
      <c r="DF28" s="3">
        <f ca="1">IFERROR(__xludf.DUMMYFUNCTION("""COMPUTED_VALUE"""),-0.252844305645222)</f>
        <v>-0.25284430564522198</v>
      </c>
      <c r="DG28" s="3">
        <f ca="1">IFERROR(__xludf.DUMMYFUNCTION("""COMPUTED_VALUE"""),-0.47072420360182)</f>
        <v>-0.47072420360181999</v>
      </c>
      <c r="DH28" s="3">
        <f ca="1">IFERROR(__xludf.DUMMYFUNCTION("""COMPUTED_VALUE"""),-0.545345778296517)</f>
        <v>-0.54534577829651698</v>
      </c>
      <c r="DI28" s="3">
        <f ca="1">IFERROR(__xludf.DUMMYFUNCTION("""COMPUTED_VALUE"""),-0.537128544872671)</f>
        <v>-0.53712854487267103</v>
      </c>
      <c r="DJ28" s="3">
        <f ca="1">IFERROR(__xludf.DUMMYFUNCTION("""COMPUTED_VALUE"""),-0.528672811893058)</f>
        <v>-0.52867281189305804</v>
      </c>
      <c r="DK28" s="3">
        <f ca="1">IFERROR(__xludf.DUMMYFUNCTION("""COMPUTED_VALUE"""),-0.578945722369313)</f>
        <v>-0.57894572236931297</v>
      </c>
      <c r="DL28" s="3">
        <f ca="1">IFERROR(__xludf.DUMMYFUNCTION("""COMPUTED_VALUE"""),-0.553470634495375)</f>
        <v>-0.55347063449537504</v>
      </c>
      <c r="DM28" s="3">
        <f ca="1">IFERROR(__xludf.DUMMYFUNCTION("""COMPUTED_VALUE"""),-0.525339617445837)</f>
        <v>-0.52533961744583701</v>
      </c>
      <c r="DN28" s="3">
        <f ca="1">IFERROR(__xludf.DUMMYFUNCTION("""COMPUTED_VALUE"""),-0.56914722944045)</f>
        <v>-0.56914722944045004</v>
      </c>
      <c r="DO28" s="3">
        <f ca="1">IFERROR(__xludf.DUMMYFUNCTION("""COMPUTED_VALUE"""),-0.615670132122144)</f>
        <v>-0.61567013212214405</v>
      </c>
      <c r="DP28" s="3">
        <f ca="1">IFERROR(__xludf.DUMMYFUNCTION("""COMPUTED_VALUE"""),-0.636436622742501)</f>
        <v>-0.63643662274250101</v>
      </c>
      <c r="DQ28" s="3">
        <f ca="1">IFERROR(__xludf.DUMMYFUNCTION("""COMPUTED_VALUE"""),-0.608325982687097)</f>
        <v>-0.60832598268709703</v>
      </c>
      <c r="DR28" s="3">
        <f ca="1">IFERROR(__xludf.DUMMYFUNCTION("""COMPUTED_VALUE"""),-0.65468223412627)</f>
        <v>-0.65468223412627002</v>
      </c>
      <c r="DS28" s="3">
        <f ca="1">IFERROR(__xludf.DUMMYFUNCTION("""COMPUTED_VALUE"""),-0.64482593815994)</f>
        <v>-0.64482593815994005</v>
      </c>
      <c r="DT28" s="3">
        <f ca="1">IFERROR(__xludf.DUMMYFUNCTION("""COMPUTED_VALUE"""),-0.67483051113438)</f>
        <v>-0.67483051113437997</v>
      </c>
      <c r="DU28" s="3">
        <f ca="1">IFERROR(__xludf.DUMMYFUNCTION("""COMPUTED_VALUE"""),-0.66520898136348)</f>
        <v>-0.66520898136347995</v>
      </c>
      <c r="DV28" s="3">
        <f ca="1">IFERROR(__xludf.DUMMYFUNCTION("""COMPUTED_VALUE"""),-0.668004862303138)</f>
        <v>-0.66800486230313805</v>
      </c>
      <c r="DW28" s="3">
        <f ca="1">IFERROR(__xludf.DUMMYFUNCTION("""COMPUTED_VALUE"""),-0.653430611295787)</f>
        <v>-0.65343061129578695</v>
      </c>
      <c r="DX28" s="3">
        <f ca="1">IFERROR(__xludf.DUMMYFUNCTION("""COMPUTED_VALUE"""),-0.694018940762853)</f>
        <v>-0.69401894076285298</v>
      </c>
      <c r="DY28" s="3">
        <f ca="1">IFERROR(__xludf.DUMMYFUNCTION("""COMPUTED_VALUE"""),-0.699074829009965)</f>
        <v>-0.69907482900996498</v>
      </c>
      <c r="DZ28" s="3">
        <f ca="1">IFERROR(__xludf.DUMMYFUNCTION("""COMPUTED_VALUE"""),-0.741612749002044)</f>
        <v>-0.74161274900204399</v>
      </c>
      <c r="EA28" s="3">
        <f ca="1">IFERROR(__xludf.DUMMYFUNCTION("""COMPUTED_VALUE"""),-0.70610331943304)</f>
        <v>-0.70610331943304006</v>
      </c>
      <c r="EB28" s="3">
        <f ca="1">IFERROR(__xludf.DUMMYFUNCTION("""COMPUTED_VALUE"""),-0.695992831781392)</f>
        <v>-0.69599283178139204</v>
      </c>
      <c r="EC28" s="3">
        <f ca="1">IFERROR(__xludf.DUMMYFUNCTION("""COMPUTED_VALUE"""),-0.678620226244711)</f>
        <v>-0.67862022624471097</v>
      </c>
      <c r="ED28" s="3">
        <f ca="1">IFERROR(__xludf.DUMMYFUNCTION("""COMPUTED_VALUE"""),-0.648735954109462)</f>
        <v>-0.64873595410946205</v>
      </c>
      <c r="EE28" s="3">
        <f ca="1">IFERROR(__xludf.DUMMYFUNCTION("""COMPUTED_VALUE"""),-0.677263420679558)</f>
        <v>-0.67726342067955803</v>
      </c>
      <c r="EF28" s="3">
        <f ca="1">IFERROR(__xludf.DUMMYFUNCTION("""COMPUTED_VALUE"""),-0.687122555927243)</f>
        <v>-0.68712255592724303</v>
      </c>
      <c r="EG28" s="3">
        <f ca="1">IFERROR(__xludf.DUMMYFUNCTION("""COMPUTED_VALUE"""),-0.713317143973835)</f>
        <v>-0.71331714397383505</v>
      </c>
      <c r="EH28" s="3">
        <f ca="1">IFERROR(__xludf.DUMMYFUNCTION("""COMPUTED_VALUE"""),-0.68864172974091)</f>
        <v>-0.68864172974090998</v>
      </c>
      <c r="EI28" s="3">
        <f ca="1">IFERROR(__xludf.DUMMYFUNCTION("""COMPUTED_VALUE"""),-0.674119663877428)</f>
        <v>-0.67411966387742805</v>
      </c>
      <c r="EJ28" s="3">
        <f ca="1">IFERROR(__xludf.DUMMYFUNCTION("""COMPUTED_VALUE"""),-0.670620461086033)</f>
        <v>-0.67062046108603302</v>
      </c>
      <c r="EK28" s="3">
        <f ca="1">IFERROR(__xludf.DUMMYFUNCTION("""COMPUTED_VALUE"""),-0.553904844327856)</f>
        <v>-0.55390484432785603</v>
      </c>
      <c r="EL28" s="3">
        <f ca="1">IFERROR(__xludf.DUMMYFUNCTION("""COMPUTED_VALUE"""),-0.544245614315036)</f>
        <v>-0.54424561431503604</v>
      </c>
      <c r="EM28" s="3">
        <f ca="1">IFERROR(__xludf.DUMMYFUNCTION("""COMPUTED_VALUE"""),-0.592994750287747)</f>
        <v>-0.59299475028774695</v>
      </c>
      <c r="EN28" s="3">
        <f ca="1">IFERROR(__xludf.DUMMYFUNCTION("""COMPUTED_VALUE"""),-0.633980039638783)</f>
        <v>-0.63398003963878302</v>
      </c>
      <c r="EO28" s="3">
        <f ca="1">IFERROR(__xludf.DUMMYFUNCTION("""COMPUTED_VALUE"""),-0.588058936421247)</f>
        <v>-0.58805893642124696</v>
      </c>
      <c r="EP28" s="3">
        <f ca="1">IFERROR(__xludf.DUMMYFUNCTION("""COMPUTED_VALUE"""),-0.554835079157079)</f>
        <v>-0.55483507915707897</v>
      </c>
      <c r="EQ28" s="3">
        <f ca="1">IFERROR(__xludf.DUMMYFUNCTION("""COMPUTED_VALUE"""),-0.555190015965442)</f>
        <v>-0.55519001596544204</v>
      </c>
      <c r="ER28" s="3">
        <f ca="1">IFERROR(__xludf.DUMMYFUNCTION("""COMPUTED_VALUE"""),-0.482386406062924)</f>
        <v>-0.48238640606292399</v>
      </c>
      <c r="ES28" s="3">
        <f ca="1">IFERROR(__xludf.DUMMYFUNCTION("""COMPUTED_VALUE"""),-0.494825636689494)</f>
        <v>-0.49482563668949398</v>
      </c>
      <c r="ET28" s="3">
        <f ca="1">IFERROR(__xludf.DUMMYFUNCTION("""COMPUTED_VALUE"""),-0.519292766941119)</f>
        <v>-0.51929276694111903</v>
      </c>
      <c r="EU28" s="3">
        <f ca="1">IFERROR(__xludf.DUMMYFUNCTION("""COMPUTED_VALUE"""),-0.505666117624449)</f>
        <v>-0.50566611762444902</v>
      </c>
      <c r="EV28" s="3">
        <f ca="1">IFERROR(__xludf.DUMMYFUNCTION("""COMPUTED_VALUE"""),-0.726932510908338)</f>
        <v>-0.72693251090833799</v>
      </c>
      <c r="EW28" s="3">
        <f ca="1">IFERROR(__xludf.DUMMYFUNCTION("""COMPUTED_VALUE"""),-0.483803060580069)</f>
        <v>-0.483803060580069</v>
      </c>
      <c r="EX28" s="3">
        <f ca="1">IFERROR(__xludf.DUMMYFUNCTION("""COMPUTED_VALUE"""),-0.461036292171714)</f>
        <v>-0.46103629217171399</v>
      </c>
      <c r="EY28" s="3">
        <f ca="1">IFERROR(__xludf.DUMMYFUNCTION("""COMPUTED_VALUE"""),-0.469580696897525)</f>
        <v>-0.46958069689752502</v>
      </c>
      <c r="EZ28" s="3">
        <f ca="1">IFERROR(__xludf.DUMMYFUNCTION("""COMPUTED_VALUE"""),-0.430890646135789)</f>
        <v>-0.43089064613578898</v>
      </c>
      <c r="FA28" s="3">
        <f ca="1">IFERROR(__xludf.DUMMYFUNCTION("""COMPUTED_VALUE"""),-0.505634791110982)</f>
        <v>-0.50563479111098197</v>
      </c>
      <c r="FB28" s="3">
        <f ca="1">IFERROR(__xludf.DUMMYFUNCTION("""COMPUTED_VALUE"""),-0.554735056829948)</f>
        <v>-0.55473505682994795</v>
      </c>
      <c r="FC28" s="3">
        <f ca="1">IFERROR(__xludf.DUMMYFUNCTION("""COMPUTED_VALUE"""),-0.546404466952351)</f>
        <v>-0.54640446695235101</v>
      </c>
      <c r="FD28" s="3">
        <f ca="1">IFERROR(__xludf.DUMMYFUNCTION("""COMPUTED_VALUE"""),-0.37996277501215)</f>
        <v>-0.37996277501214998</v>
      </c>
      <c r="FE28" s="3">
        <f ca="1">IFERROR(__xludf.DUMMYFUNCTION("""COMPUTED_VALUE"""),-0.491020049349293)</f>
        <v>-0.491020049349293</v>
      </c>
      <c r="FF28" s="3">
        <f ca="1">IFERROR(__xludf.DUMMYFUNCTION("""COMPUTED_VALUE"""),-0.493004106931189)</f>
        <v>-0.49300410693118901</v>
      </c>
      <c r="FG28" s="3">
        <f ca="1">IFERROR(__xludf.DUMMYFUNCTION("""COMPUTED_VALUE"""),-0.44841414302561)</f>
        <v>-0.44841414302561</v>
      </c>
      <c r="FH28" s="3">
        <f ca="1">IFERROR(__xludf.DUMMYFUNCTION("""COMPUTED_VALUE"""),-0.52210352906616)</f>
        <v>-0.52210352906615998</v>
      </c>
      <c r="FI28" s="3">
        <f ca="1">IFERROR(__xludf.DUMMYFUNCTION("""COMPUTED_VALUE"""),-0.570267190877628)</f>
        <v>-0.57026719087762801</v>
      </c>
      <c r="FJ28" s="3">
        <f ca="1">IFERROR(__xludf.DUMMYFUNCTION("""COMPUTED_VALUE"""),-0.556319183774412)</f>
        <v>-0.55631918377441203</v>
      </c>
      <c r="FK28" s="3">
        <f ca="1">IFERROR(__xludf.DUMMYFUNCTION("""COMPUTED_VALUE"""),-0.552607702802856)</f>
        <v>-0.55260770280285598</v>
      </c>
      <c r="FL28" s="3">
        <f ca="1">IFERROR(__xludf.DUMMYFUNCTION("""COMPUTED_VALUE"""),-0.556439146201651)</f>
        <v>-0.55643914620165102</v>
      </c>
      <c r="FM28" s="3">
        <f ca="1">IFERROR(__xludf.DUMMYFUNCTION("""COMPUTED_VALUE"""),-0.453361848827798)</f>
        <v>-0.45336184882779801</v>
      </c>
      <c r="FN28" s="3">
        <f ca="1">IFERROR(__xludf.DUMMYFUNCTION("""COMPUTED_VALUE"""),-0.503967518741083)</f>
        <v>-0.50396751874108303</v>
      </c>
      <c r="FO28" s="3">
        <f ca="1">IFERROR(__xludf.DUMMYFUNCTION("""COMPUTED_VALUE"""),-0.517835383313135)</f>
        <v>-0.51783538331313494</v>
      </c>
      <c r="FP28" s="3">
        <f ca="1">IFERROR(__xludf.DUMMYFUNCTION("""COMPUTED_VALUE"""),-0.534989138329723)</f>
        <v>-0.53498913832972295</v>
      </c>
      <c r="FQ28" s="3">
        <f ca="1">IFERROR(__xludf.DUMMYFUNCTION("""COMPUTED_VALUE"""),-0.565819806865584)</f>
        <v>-0.56581980686558397</v>
      </c>
      <c r="FR28" s="3">
        <f ca="1">IFERROR(__xludf.DUMMYFUNCTION("""COMPUTED_VALUE"""),-0.555950794585631)</f>
        <v>-0.55595079458563101</v>
      </c>
      <c r="FS28" s="3">
        <f ca="1">IFERROR(__xludf.DUMMYFUNCTION("""COMPUTED_VALUE"""),-0.463488088000796)</f>
        <v>-0.46348808800079599</v>
      </c>
      <c r="FT28" s="3">
        <f ca="1">IFERROR(__xludf.DUMMYFUNCTION("""COMPUTED_VALUE"""),-0.42553461380012)</f>
        <v>-0.42553461380011998</v>
      </c>
      <c r="FU28" s="3">
        <f ca="1">IFERROR(__xludf.DUMMYFUNCTION("""COMPUTED_VALUE"""),-0.521124464431049)</f>
        <v>-0.52112446443104898</v>
      </c>
      <c r="FV28" s="3">
        <f ca="1">IFERROR(__xludf.DUMMYFUNCTION("""COMPUTED_VALUE"""),-0.516195237803666)</f>
        <v>-0.51619523780366605</v>
      </c>
      <c r="FW28" s="3">
        <f ca="1">IFERROR(__xludf.DUMMYFUNCTION("""COMPUTED_VALUE"""),-0.538636861165179)</f>
        <v>-0.53863686116517895</v>
      </c>
      <c r="FX28" s="3">
        <f ca="1">IFERROR(__xludf.DUMMYFUNCTION("""COMPUTED_VALUE"""),-0.647710224644583)</f>
        <v>-0.64771022464458305</v>
      </c>
      <c r="FY28" s="3">
        <f ca="1">IFERROR(__xludf.DUMMYFUNCTION("""COMPUTED_VALUE"""),-0.575354820507273)</f>
        <v>-0.57535482050727305</v>
      </c>
      <c r="FZ28" s="3">
        <f ca="1">IFERROR(__xludf.DUMMYFUNCTION("""COMPUTED_VALUE"""),-0.71803187179513)</f>
        <v>-0.71803187179512995</v>
      </c>
      <c r="GA28" s="3">
        <f ca="1">IFERROR(__xludf.DUMMYFUNCTION("""COMPUTED_VALUE"""),-0.496873722982507)</f>
        <v>-0.49687372298250698</v>
      </c>
      <c r="GB28" s="3">
        <f ca="1">IFERROR(__xludf.DUMMYFUNCTION("""COMPUTED_VALUE"""),-0.501134733053596)</f>
        <v>-0.50113473305359602</v>
      </c>
      <c r="GC28" s="3">
        <f ca="1">IFERROR(__xludf.DUMMYFUNCTION("""COMPUTED_VALUE"""),-0.543890137666919)</f>
        <v>-0.54389013766691896</v>
      </c>
      <c r="GD28" s="3">
        <f ca="1">IFERROR(__xludf.DUMMYFUNCTION("""COMPUTED_VALUE"""),-0.558005456620428)</f>
        <v>-0.558005456620428</v>
      </c>
      <c r="GE28" s="3">
        <f ca="1">IFERROR(__xludf.DUMMYFUNCTION("""COMPUTED_VALUE"""),-0.565672948080098)</f>
        <v>-0.56567294808009805</v>
      </c>
      <c r="GF28" s="3">
        <f ca="1">IFERROR(__xludf.DUMMYFUNCTION("""COMPUTED_VALUE"""),-0.559077435347794)</f>
        <v>-0.55907743534779397</v>
      </c>
      <c r="GG28" s="3">
        <f ca="1">IFERROR(__xludf.DUMMYFUNCTION("""COMPUTED_VALUE"""),-0.483900496461747)</f>
        <v>-0.48390049646174699</v>
      </c>
      <c r="GH28" s="3">
        <f ca="1">IFERROR(__xludf.DUMMYFUNCTION("""COMPUTED_VALUE"""),-0.416080781127063)</f>
        <v>-0.41608078112706298</v>
      </c>
      <c r="GI28" s="3">
        <f ca="1">IFERROR(__xludf.DUMMYFUNCTION("""COMPUTED_VALUE"""),-0.421445592316118)</f>
        <v>-0.421445592316118</v>
      </c>
      <c r="GJ28" s="3">
        <f ca="1">IFERROR(__xludf.DUMMYFUNCTION("""COMPUTED_VALUE"""),-0.524998694378406)</f>
        <v>-0.52499869437840596</v>
      </c>
      <c r="GK28" s="3">
        <f ca="1">IFERROR(__xludf.DUMMYFUNCTION("""COMPUTED_VALUE"""),-0.563648695512214)</f>
        <v>-0.56364869551221397</v>
      </c>
      <c r="GL28" s="3">
        <f ca="1">IFERROR(__xludf.DUMMYFUNCTION("""COMPUTED_VALUE"""),-0.593194674656898)</f>
        <v>-0.59319467465689801</v>
      </c>
      <c r="GM28" s="3">
        <f ca="1">IFERROR(__xludf.DUMMYFUNCTION("""COMPUTED_VALUE"""),-0.561626670360156)</f>
        <v>-0.56162667036015601</v>
      </c>
      <c r="GN28" s="3">
        <f ca="1">IFERROR(__xludf.DUMMYFUNCTION("""COMPUTED_VALUE"""),-0.573404080950546)</f>
        <v>-0.57340408095054596</v>
      </c>
      <c r="GO28" s="3">
        <f ca="1">IFERROR(__xludf.DUMMYFUNCTION("""COMPUTED_VALUE"""),-0.467145136218503)</f>
        <v>-0.46714513621850301</v>
      </c>
      <c r="GP28" s="3">
        <f ca="1">IFERROR(__xludf.DUMMYFUNCTION("""COMPUTED_VALUE"""),-0.438272191372834)</f>
        <v>-0.43827219137283402</v>
      </c>
      <c r="GQ28" s="3">
        <f ca="1">IFERROR(__xludf.DUMMYFUNCTION("""COMPUTED_VALUE"""),-0.552443666966327)</f>
        <v>-0.55244366696632696</v>
      </c>
      <c r="GR28" s="3">
        <f ca="1">IFERROR(__xludf.DUMMYFUNCTION("""COMPUTED_VALUE"""),-0.551938402620242)</f>
        <v>-0.55193840262024196</v>
      </c>
      <c r="GS28" s="3">
        <f ca="1">IFERROR(__xludf.DUMMYFUNCTION("""COMPUTED_VALUE"""),-0.733695614228636)</f>
        <v>-0.73369561422863605</v>
      </c>
      <c r="GT28" s="3">
        <f ca="1">IFERROR(__xludf.DUMMYFUNCTION("""COMPUTED_VALUE"""),-0.73670844451542)</f>
        <v>-0.73670844451541995</v>
      </c>
      <c r="GU28" s="3">
        <f ca="1">IFERROR(__xludf.DUMMYFUNCTION("""COMPUTED_VALUE"""),-0.566274572013794)</f>
        <v>-0.56627457201379405</v>
      </c>
      <c r="GV28" s="3">
        <f ca="1">IFERROR(__xludf.DUMMYFUNCTION("""COMPUTED_VALUE"""),-0.47335988081087)</f>
        <v>-0.47335988081086999</v>
      </c>
      <c r="GW28" s="3">
        <f ca="1">IFERROR(__xludf.DUMMYFUNCTION("""COMPUTED_VALUE"""),-0.48116934379149)</f>
        <v>-0.48116934379149001</v>
      </c>
      <c r="GX28" s="3">
        <f ca="1">IFERROR(__xludf.DUMMYFUNCTION("""COMPUTED_VALUE"""),-0.562323404525972)</f>
        <v>-0.56232340452597196</v>
      </c>
      <c r="GY28" s="3">
        <f ca="1">IFERROR(__xludf.DUMMYFUNCTION("""COMPUTED_VALUE"""),-0.580469040452706)</f>
        <v>-0.58046904045270598</v>
      </c>
      <c r="GZ28" s="3">
        <f ca="1">IFERROR(__xludf.DUMMYFUNCTION("""COMPUTED_VALUE"""),-0.573911252995352)</f>
        <v>-0.57391125299535195</v>
      </c>
      <c r="HA28" s="3">
        <f ca="1">IFERROR(__xludf.DUMMYFUNCTION("""COMPUTED_VALUE"""),-0.574759675653211)</f>
        <v>-0.57475967565321096</v>
      </c>
      <c r="HB28" s="3">
        <f ca="1">IFERROR(__xludf.DUMMYFUNCTION("""COMPUTED_VALUE"""),-0.536754797250526)</f>
        <v>-0.53675479725052599</v>
      </c>
      <c r="HC28" s="3">
        <f ca="1">IFERROR(__xludf.DUMMYFUNCTION("""COMPUTED_VALUE"""),-0.284785699278578)</f>
        <v>-0.284785699278578</v>
      </c>
      <c r="HD28" s="3">
        <f ca="1">IFERROR(__xludf.DUMMYFUNCTION("""COMPUTED_VALUE"""),-0.290414306654739)</f>
        <v>-0.290414306654739</v>
      </c>
      <c r="HE28" s="3">
        <f ca="1">IFERROR(__xludf.DUMMYFUNCTION("""COMPUTED_VALUE"""),-0.564614617150154)</f>
        <v>-0.56461461715015404</v>
      </c>
      <c r="HF28" s="3">
        <f ca="1">IFERROR(__xludf.DUMMYFUNCTION("""COMPUTED_VALUE"""),-0.588295429896601)</f>
        <v>-0.588295429896601</v>
      </c>
      <c r="HG28" s="3">
        <f ca="1">IFERROR(__xludf.DUMMYFUNCTION("""COMPUTED_VALUE"""),-0.577850805478071)</f>
        <v>-0.57785080547807099</v>
      </c>
      <c r="HH28" s="3">
        <f ca="1">IFERROR(__xludf.DUMMYFUNCTION("""COMPUTED_VALUE"""),-0.549484784036878)</f>
        <v>-0.54948478403687795</v>
      </c>
      <c r="HI28" s="3">
        <f ca="1">IFERROR(__xludf.DUMMYFUNCTION("""COMPUTED_VALUE"""),-0.654293376024321)</f>
        <v>-0.65429337602432103</v>
      </c>
      <c r="HJ28" s="3">
        <f ca="1">IFERROR(__xludf.DUMMYFUNCTION("""COMPUTED_VALUE"""),-0.249851241412789)</f>
        <v>-0.249851241412789</v>
      </c>
      <c r="HK28" s="3">
        <f ca="1">IFERROR(__xludf.DUMMYFUNCTION("""COMPUTED_VALUE"""),-0.213199006114978)</f>
        <v>-0.213199006114978</v>
      </c>
      <c r="HL28" s="3">
        <f ca="1">IFERROR(__xludf.DUMMYFUNCTION("""COMPUTED_VALUE"""),-0.564661683609334)</f>
        <v>-0.564661683609334</v>
      </c>
      <c r="HM28" s="3">
        <f ca="1">IFERROR(__xludf.DUMMYFUNCTION("""COMPUTED_VALUE"""),-0.593082134119963)</f>
        <v>-0.59308213411996302</v>
      </c>
      <c r="HN28" s="3">
        <f ca="1">IFERROR(__xludf.DUMMYFUNCTION("""COMPUTED_VALUE"""),-0.584178517177715)</f>
        <v>-0.58417851717771496</v>
      </c>
      <c r="HO28" s="3">
        <f ca="1">IFERROR(__xludf.DUMMYFUNCTION("""COMPUTED_VALUE"""),-0.575787534556451)</f>
        <v>-0.57578753455645104</v>
      </c>
      <c r="HP28" s="3">
        <f ca="1">IFERROR(__xludf.DUMMYFUNCTION("""COMPUTED_VALUE"""),-0.354688373498748)</f>
        <v>-0.35468837349874799</v>
      </c>
      <c r="HQ28" s="3">
        <f ca="1">IFERROR(__xludf.DUMMYFUNCTION("""COMPUTED_VALUE"""),-0.258684757460852)</f>
        <v>-0.25868475746085201</v>
      </c>
      <c r="HR28" s="3">
        <f ca="1">IFERROR(__xludf.DUMMYFUNCTION("""COMPUTED_VALUE"""),-0.178365562291938)</f>
        <v>-0.17836556229193801</v>
      </c>
      <c r="HS28" s="3">
        <f ca="1">IFERROR(__xludf.DUMMYFUNCTION("""COMPUTED_VALUE"""),-0.523799507573911)</f>
        <v>-0.52379950757391103</v>
      </c>
      <c r="HT28" s="3">
        <f ca="1">IFERROR(__xludf.DUMMYFUNCTION("""COMPUTED_VALUE"""),-0.513031304427299)</f>
        <v>-0.51303130442729905</v>
      </c>
      <c r="HU28" s="3">
        <f ca="1">IFERROR(__xludf.DUMMYFUNCTION("""COMPUTED_VALUE"""),-0.551472789677948)</f>
        <v>-0.55147278967794799</v>
      </c>
      <c r="HV28" s="3">
        <f ca="1">IFERROR(__xludf.DUMMYFUNCTION("""COMPUTED_VALUE"""),-0.568747394197202)</f>
        <v>-0.56874739419720199</v>
      </c>
      <c r="HW28" s="3">
        <f ca="1">IFERROR(__xludf.DUMMYFUNCTION("""COMPUTED_VALUE"""),-0.363813632361308)</f>
        <v>-0.36381363236130798</v>
      </c>
      <c r="HX28" s="3">
        <f ca="1">IFERROR(__xludf.DUMMYFUNCTION("""COMPUTED_VALUE"""),-0.377618118843382)</f>
        <v>-0.37761811884338198</v>
      </c>
      <c r="HY28" s="3">
        <f ca="1">IFERROR(__xludf.DUMMYFUNCTION("""COMPUTED_VALUE"""),-0.350055663918479)</f>
        <v>-0.35005566391847898</v>
      </c>
      <c r="HZ28" s="3">
        <f ca="1">IFERROR(__xludf.DUMMYFUNCTION("""COMPUTED_VALUE"""),-0.445386100951177)</f>
        <v>-0.44538610095117698</v>
      </c>
      <c r="IA28" s="3">
        <f ca="1">IFERROR(__xludf.DUMMYFUNCTION("""COMPUTED_VALUE"""),-0.437519870957906)</f>
        <v>-0.43751987095790601</v>
      </c>
      <c r="IB28" s="3">
        <f ca="1">IFERROR(__xludf.DUMMYFUNCTION("""COMPUTED_VALUE"""),-0.441645639669512)</f>
        <v>-0.44164563966951198</v>
      </c>
      <c r="IC28" s="3">
        <f ca="1">IFERROR(__xludf.DUMMYFUNCTION("""COMPUTED_VALUE"""),-0.433847887162574)</f>
        <v>-0.433847887162574</v>
      </c>
      <c r="ID28" s="3">
        <f ca="1">IFERROR(__xludf.DUMMYFUNCTION("""COMPUTED_VALUE"""),-0.494124461580322)</f>
        <v>-0.49412446158032203</v>
      </c>
      <c r="IE28" s="3">
        <f ca="1">IFERROR(__xludf.DUMMYFUNCTION("""COMPUTED_VALUE"""),-0.375316981353607)</f>
        <v>-0.37531698135360703</v>
      </c>
      <c r="IF28" s="3">
        <f ca="1">IFERROR(__xludf.DUMMYFUNCTION("""COMPUTED_VALUE"""),-0.405483016234696)</f>
        <v>-0.40548301623469601</v>
      </c>
      <c r="IG28" s="3">
        <f ca="1">IFERROR(__xludf.DUMMYFUNCTION("""COMPUTED_VALUE"""),-0.43018662407349)</f>
        <v>-0.43018662407349001</v>
      </c>
      <c r="IH28" s="3">
        <f ca="1">IFERROR(__xludf.DUMMYFUNCTION("""COMPUTED_VALUE"""),-0.434441099326625)</f>
        <v>-0.434441099326625</v>
      </c>
      <c r="II28" s="3">
        <f ca="1">IFERROR(__xludf.DUMMYFUNCTION("""COMPUTED_VALUE"""),-0.454646663487371)</f>
        <v>-0.45464666348737098</v>
      </c>
      <c r="IJ28" s="3">
        <f ca="1">IFERROR(__xludf.DUMMYFUNCTION("""COMPUTED_VALUE"""),-0.477438423886602)</f>
        <v>-0.47743842388660201</v>
      </c>
      <c r="IK28" s="3">
        <f ca="1">IFERROR(__xludf.DUMMYFUNCTION("""COMPUTED_VALUE"""),-0.396840271116774)</f>
        <v>-0.396840271116774</v>
      </c>
      <c r="IL28" s="3">
        <f ca="1">IFERROR(__xludf.DUMMYFUNCTION("""COMPUTED_VALUE"""),-0.372891538982984)</f>
        <v>-0.37289153898298399</v>
      </c>
      <c r="IM28" s="3">
        <f ca="1">IFERROR(__xludf.DUMMYFUNCTION("""COMPUTED_VALUE"""),-0.408884361629823)</f>
        <v>-0.408884361629823</v>
      </c>
      <c r="IN28" s="3">
        <f ca="1">IFERROR(__xludf.DUMMYFUNCTION("""COMPUTED_VALUE"""),-0.447591200515004)</f>
        <v>-0.44759120051500401</v>
      </c>
      <c r="IO28" s="3">
        <f ca="1">IFERROR(__xludf.DUMMYFUNCTION("""COMPUTED_VALUE"""),-0.448829556876052)</f>
        <v>-0.44882955687605203</v>
      </c>
      <c r="IP28" s="3">
        <f ca="1">IFERROR(__xludf.DUMMYFUNCTION("""COMPUTED_VALUE"""),-0.462144460003626)</f>
        <v>-0.46214446000362602</v>
      </c>
      <c r="IQ28" s="3">
        <f ca="1">IFERROR(__xludf.DUMMYFUNCTION("""COMPUTED_VALUE"""),-0.42570956832965)</f>
        <v>-0.42570956832965001</v>
      </c>
      <c r="IR28" s="3">
        <f ca="1">IFERROR(__xludf.DUMMYFUNCTION("""COMPUTED_VALUE"""),-0.555675895809462)</f>
        <v>-0.55567589580946197</v>
      </c>
      <c r="IS28" s="3">
        <f ca="1">IFERROR(__xludf.DUMMYFUNCTION("""COMPUTED_VALUE"""),-0.378895074265705)</f>
        <v>-0.37889507426570501</v>
      </c>
      <c r="IT28" s="3">
        <f ca="1">IFERROR(__xludf.DUMMYFUNCTION("""COMPUTED_VALUE"""),-0.428895460714821)</f>
        <v>-0.42889546071482099</v>
      </c>
      <c r="IU28" s="3">
        <f ca="1">IFERROR(__xludf.DUMMYFUNCTION("""COMPUTED_VALUE"""),-0.42281673415903)</f>
        <v>-0.42281673415902998</v>
      </c>
      <c r="IV28" s="3">
        <f ca="1">IFERROR(__xludf.DUMMYFUNCTION("""COMPUTED_VALUE"""),-0.403758261619812)</f>
        <v>-0.40375826161981199</v>
      </c>
      <c r="IW28" s="3">
        <f ca="1">IFERROR(__xludf.DUMMYFUNCTION("""COMPUTED_VALUE"""),-0.425851792540746)</f>
        <v>-0.42585179254074601</v>
      </c>
      <c r="IX28" s="3">
        <f ca="1">IFERROR(__xludf.DUMMYFUNCTION("""COMPUTED_VALUE"""),-0.405990101105338)</f>
        <v>-0.40599010110533801</v>
      </c>
      <c r="IY28" s="3">
        <f ca="1">IFERROR(__xludf.DUMMYFUNCTION("""COMPUTED_VALUE"""),-0.407453699912251)</f>
        <v>-0.407453699912251</v>
      </c>
      <c r="IZ28" s="3">
        <f ca="1">IFERROR(__xludf.DUMMYFUNCTION("""COMPUTED_VALUE"""),-0.413974623332583)</f>
        <v>-0.413974623332583</v>
      </c>
      <c r="JA28" s="3">
        <f ca="1">IFERROR(__xludf.DUMMYFUNCTION("""COMPUTED_VALUE"""),-0.374651778785239)</f>
        <v>-0.37465177878523898</v>
      </c>
      <c r="JB28" s="3">
        <f ca="1">IFERROR(__xludf.DUMMYFUNCTION("""COMPUTED_VALUE"""),-0.450347566272305)</f>
        <v>-0.45034756627230499</v>
      </c>
      <c r="JC28" s="3">
        <f ca="1">IFERROR(__xludf.DUMMYFUNCTION("""COMPUTED_VALUE"""),-0.511632837845055)</f>
        <v>-0.51163283784505498</v>
      </c>
      <c r="JD28" s="3">
        <f ca="1">IFERROR(__xludf.DUMMYFUNCTION("""COMPUTED_VALUE"""),-0.43435376161564)</f>
        <v>-0.43435376161563999</v>
      </c>
      <c r="JE28" s="3">
        <f ca="1">IFERROR(__xludf.DUMMYFUNCTION("""COMPUTED_VALUE"""),-0.431888311426313)</f>
        <v>-0.43188831142631301</v>
      </c>
      <c r="JF28" s="3">
        <f ca="1">IFERROR(__xludf.DUMMYFUNCTION("""COMPUTED_VALUE"""),-0.437152803945972)</f>
        <v>-0.437152803945972</v>
      </c>
      <c r="JG28" s="3">
        <f ca="1">IFERROR(__xludf.DUMMYFUNCTION("""COMPUTED_VALUE"""),-0.343931096078306)</f>
        <v>-0.34393109607830602</v>
      </c>
      <c r="JH28" s="3">
        <f ca="1">IFERROR(__xludf.DUMMYFUNCTION("""COMPUTED_VALUE"""),-0.390664958709891)</f>
        <v>-0.39066495870989099</v>
      </c>
      <c r="JI28" s="3">
        <f ca="1">IFERROR(__xludf.DUMMYFUNCTION("""COMPUTED_VALUE"""),-0.442479207089205)</f>
        <v>-0.44247920708920502</v>
      </c>
      <c r="JJ28" s="3">
        <f ca="1">IFERROR(__xludf.DUMMYFUNCTION("""COMPUTED_VALUE"""),-0.480053431114207)</f>
        <v>-0.48005343111420701</v>
      </c>
      <c r="JK28" s="3">
        <f ca="1">IFERROR(__xludf.DUMMYFUNCTION("""COMPUTED_VALUE"""),-0.509795945883876)</f>
        <v>-0.509795945883876</v>
      </c>
      <c r="JL28" s="3">
        <f ca="1">IFERROR(__xludf.DUMMYFUNCTION("""COMPUTED_VALUE"""),-0.537656104150432)</f>
        <v>-0.53765610415043197</v>
      </c>
      <c r="JM28" s="3">
        <f ca="1">IFERROR(__xludf.DUMMYFUNCTION("""COMPUTED_VALUE"""),-0.476599544646568)</f>
        <v>-0.47659954464656801</v>
      </c>
      <c r="JN28" s="3">
        <f ca="1">IFERROR(__xludf.DUMMYFUNCTION("""COMPUTED_VALUE"""),-0.499478184397058)</f>
        <v>-0.49947818439705799</v>
      </c>
      <c r="JO28" s="3">
        <f ca="1">IFERROR(__xludf.DUMMYFUNCTION("""COMPUTED_VALUE"""),-0.518968099529619)</f>
        <v>-0.51896809952961898</v>
      </c>
      <c r="JP28" s="3">
        <f ca="1">IFERROR(__xludf.DUMMYFUNCTION("""COMPUTED_VALUE"""),-0.486850395189689)</f>
        <v>-0.48685039518968898</v>
      </c>
      <c r="JQ28" s="3">
        <f ca="1">IFERROR(__xludf.DUMMYFUNCTION("""COMPUTED_VALUE"""),-0.545429120357106)</f>
        <v>-0.545429120357106</v>
      </c>
      <c r="JR28" s="3">
        <f ca="1">IFERROR(__xludf.DUMMYFUNCTION("""COMPUTED_VALUE"""),-0.526476660398852)</f>
        <v>-0.52647666039885199</v>
      </c>
      <c r="JS28" s="3">
        <f ca="1">IFERROR(__xludf.DUMMYFUNCTION("""COMPUTED_VALUE"""),-0.49748981056209)</f>
        <v>-0.49748981056209002</v>
      </c>
      <c r="JT28" s="3">
        <f ca="1">IFERROR(__xludf.DUMMYFUNCTION("""COMPUTED_VALUE"""),-0.526252104257486)</f>
        <v>-0.52625210425748603</v>
      </c>
      <c r="JU28" s="3">
        <f ca="1">IFERROR(__xludf.DUMMYFUNCTION("""COMPUTED_VALUE"""),-0.463796222093471)</f>
        <v>-0.46379622209347099</v>
      </c>
      <c r="JV28" s="3">
        <f ca="1">IFERROR(__xludf.DUMMYFUNCTION("""COMPUTED_VALUE"""),-0.474356000219752)</f>
        <v>-0.47435600021975199</v>
      </c>
      <c r="JW28" s="3">
        <f ca="1">IFERROR(__xludf.DUMMYFUNCTION("""COMPUTED_VALUE"""),-0.522333522285176)</f>
        <v>-0.52233352228517604</v>
      </c>
      <c r="JX28" s="3">
        <f ca="1">IFERROR(__xludf.DUMMYFUNCTION("""COMPUTED_VALUE"""),-0.516294582606013)</f>
        <v>-0.51629458260601302</v>
      </c>
      <c r="JY28" s="3">
        <f ca="1">IFERROR(__xludf.DUMMYFUNCTION("""COMPUTED_VALUE"""),-0.617304037021431)</f>
        <v>-0.617304037021431</v>
      </c>
      <c r="JZ28" s="3">
        <f ca="1">IFERROR(__xludf.DUMMYFUNCTION("""COMPUTED_VALUE"""),-0.545297401379245)</f>
        <v>-0.54529740137924498</v>
      </c>
      <c r="KA28" s="3">
        <f ca="1">IFERROR(__xludf.DUMMYFUNCTION("""COMPUTED_VALUE"""),-0.513500980700895)</f>
        <v>-0.513500980700895</v>
      </c>
      <c r="KB28" s="3">
        <f ca="1">IFERROR(__xludf.DUMMYFUNCTION("""COMPUTED_VALUE"""),-0.587807189562806)</f>
        <v>-0.58780718956280598</v>
      </c>
      <c r="KC28" s="3">
        <f ca="1">IFERROR(__xludf.DUMMYFUNCTION("""COMPUTED_VALUE"""),-0.472555896441927)</f>
        <v>-0.47255589644192703</v>
      </c>
      <c r="KD28" s="3">
        <f ca="1">IFERROR(__xludf.DUMMYFUNCTION("""COMPUTED_VALUE"""),-0.546057428701748)</f>
        <v>-0.546057428701748</v>
      </c>
      <c r="KE28" s="3">
        <f ca="1">IFERROR(__xludf.DUMMYFUNCTION("""COMPUTED_VALUE"""),-0.587831091423058)</f>
        <v>-0.58783109142305801</v>
      </c>
      <c r="KF28" s="3">
        <f ca="1">IFERROR(__xludf.DUMMYFUNCTION("""COMPUTED_VALUE"""),-0.581376266455818)</f>
        <v>-0.58137626645581797</v>
      </c>
      <c r="KG28" s="3">
        <f ca="1">IFERROR(__xludf.DUMMYFUNCTION("""COMPUTED_VALUE"""),-0.575690409170552)</f>
        <v>-0.57569040917055203</v>
      </c>
      <c r="KH28" s="3">
        <f ca="1">IFERROR(__xludf.DUMMYFUNCTION("""COMPUTED_VALUE"""),-0.563227806273857)</f>
        <v>-0.56322780627385705</v>
      </c>
      <c r="KI28" s="3">
        <f ca="1">IFERROR(__xludf.DUMMYFUNCTION("""COMPUTED_VALUE"""),-0.576620262450139)</f>
        <v>-0.57662026245013898</v>
      </c>
      <c r="KJ28" s="3">
        <f ca="1">IFERROR(__xludf.DUMMYFUNCTION("""COMPUTED_VALUE"""),-0.517104843213544)</f>
        <v>-0.517104843213544</v>
      </c>
      <c r="KK28" s="3">
        <f ca="1">IFERROR(__xludf.DUMMYFUNCTION("""COMPUTED_VALUE"""),-0.605703197592469)</f>
        <v>-0.60570319759246904</v>
      </c>
      <c r="KL28" s="3">
        <f ca="1">IFERROR(__xludf.DUMMYFUNCTION("""COMPUTED_VALUE"""),-0.623622177341377)</f>
        <v>-0.62362217734137704</v>
      </c>
      <c r="KM28" s="3">
        <f ca="1">IFERROR(__xludf.DUMMYFUNCTION("""COMPUTED_VALUE"""),-0.64162765023269)</f>
        <v>-0.64162765023268997</v>
      </c>
      <c r="KN28" s="3">
        <f ca="1">IFERROR(__xludf.DUMMYFUNCTION("""COMPUTED_VALUE"""),-0.616906957270647)</f>
        <v>-0.61690695727064704</v>
      </c>
      <c r="KO28" s="3">
        <f ca="1">IFERROR(__xludf.DUMMYFUNCTION("""COMPUTED_VALUE"""),-0.634733626039768)</f>
        <v>-0.63473362603976802</v>
      </c>
      <c r="KP28" s="3">
        <f ca="1">IFERROR(__xludf.DUMMYFUNCTION("""COMPUTED_VALUE"""),-0.619348644706394)</f>
        <v>-0.61934864470639395</v>
      </c>
      <c r="KQ28" s="3">
        <f ca="1">IFERROR(__xludf.DUMMYFUNCTION("""COMPUTED_VALUE"""),-0.645436572336153)</f>
        <v>-0.64543657233615304</v>
      </c>
      <c r="KR28" s="3">
        <f ca="1">IFERROR(__xludf.DUMMYFUNCTION("""COMPUTED_VALUE"""),-0.690779573108753)</f>
        <v>-0.69077957310875304</v>
      </c>
      <c r="KS28" s="3">
        <f ca="1">IFERROR(__xludf.DUMMYFUNCTION("""COMPUTED_VALUE"""),-0.688738206451505)</f>
        <v>-0.68873820645150496</v>
      </c>
      <c r="KT28" s="3">
        <f ca="1">IFERROR(__xludf.DUMMYFUNCTION("""COMPUTED_VALUE"""),-0.679305548295517)</f>
        <v>-0.67930554829551704</v>
      </c>
      <c r="KU28" s="3">
        <f ca="1">IFERROR(__xludf.DUMMYFUNCTION("""COMPUTED_VALUE"""),-0.694789925965963)</f>
        <v>-0.69478992596596301</v>
      </c>
      <c r="KV28" s="3">
        <f ca="1">IFERROR(__xludf.DUMMYFUNCTION("""COMPUTED_VALUE"""),-0.680151292577098)</f>
        <v>-0.68015129257709805</v>
      </c>
      <c r="KW28" s="3">
        <f ca="1">IFERROR(__xludf.DUMMYFUNCTION("""COMPUTED_VALUE"""),-0.660303740032229)</f>
        <v>-0.66030374003222903</v>
      </c>
      <c r="KX28" s="3">
        <f ca="1">IFERROR(__xludf.DUMMYFUNCTION("""COMPUTED_VALUE"""),-0.753249156452743)</f>
        <v>-0.75324915645274304</v>
      </c>
      <c r="KY28" s="3">
        <f ca="1">IFERROR(__xludf.DUMMYFUNCTION("""COMPUTED_VALUE"""),-0.729160062139455)</f>
        <v>-0.72916006213945495</v>
      </c>
      <c r="KZ28" s="3">
        <f ca="1">IFERROR(__xludf.DUMMYFUNCTION("""COMPUTED_VALUE"""),-0.743190892103925)</f>
        <v>-0.74319089210392497</v>
      </c>
      <c r="LA28" s="3">
        <f ca="1">IFERROR(__xludf.DUMMYFUNCTION("""COMPUTED_VALUE"""),-0.808621354227401)</f>
        <v>-0.808621354227401</v>
      </c>
      <c r="LB28" s="3">
        <f ca="1">IFERROR(__xludf.DUMMYFUNCTION("""COMPUTED_VALUE"""),-0.786172574749752)</f>
        <v>-0.786172574749752</v>
      </c>
      <c r="LC28" s="3">
        <f ca="1">IFERROR(__xludf.DUMMYFUNCTION("""COMPUTED_VALUE"""),-0.751834179142411)</f>
        <v>-0.75183417914241102</v>
      </c>
      <c r="LD28" s="3">
        <f ca="1">IFERROR(__xludf.DUMMYFUNCTION("""COMPUTED_VALUE"""),-0.735920270596568)</f>
        <v>-0.73592027059656795</v>
      </c>
      <c r="LE28" s="3">
        <f ca="1">IFERROR(__xludf.DUMMYFUNCTION("""COMPUTED_VALUE"""),-0.821042899017274)</f>
        <v>-0.82104289901727401</v>
      </c>
      <c r="LF28" s="3">
        <f ca="1">IFERROR(__xludf.DUMMYFUNCTION("""COMPUTED_VALUE"""),-0.804687823449451)</f>
        <v>-0.804687823449451</v>
      </c>
      <c r="LG28" s="3">
        <f ca="1">IFERROR(__xludf.DUMMYFUNCTION("""COMPUTED_VALUE"""),-0.785214095829041)</f>
        <v>-0.785214095829041</v>
      </c>
      <c r="LH28" s="3">
        <f ca="1">IFERROR(__xludf.DUMMYFUNCTION("""COMPUTED_VALUE"""),-0.799797122018207)</f>
        <v>-0.79979712201820696</v>
      </c>
      <c r="LI28" s="3">
        <f ca="1">IFERROR(__xludf.DUMMYFUNCTION("""COMPUTED_VALUE"""),-0.830014853815074)</f>
        <v>-0.83001485381507401</v>
      </c>
      <c r="LJ28" s="3">
        <f ca="1">IFERROR(__xludf.DUMMYFUNCTION("""COMPUTED_VALUE"""),-0.778905152964019)</f>
        <v>-0.77890515296401897</v>
      </c>
      <c r="LK28" s="3">
        <f ca="1">IFERROR(__xludf.DUMMYFUNCTION("""COMPUTED_VALUE"""),-0.777890586870268)</f>
        <v>-0.77789058687026802</v>
      </c>
      <c r="LL28" s="3">
        <f ca="1">IFERROR(__xludf.DUMMYFUNCTION("""COMPUTED_VALUE"""),-0.816738417218724)</f>
        <v>-0.81673841721872398</v>
      </c>
      <c r="LM28" s="3">
        <f ca="1">IFERROR(__xludf.DUMMYFUNCTION("""COMPUTED_VALUE"""),-0.813052356007181)</f>
        <v>-0.81305235600718095</v>
      </c>
      <c r="LN28" s="3">
        <f ca="1">IFERROR(__xludf.DUMMYFUNCTION("""COMPUTED_VALUE"""),-0.839453451782027)</f>
        <v>-0.83945345178202702</v>
      </c>
      <c r="LO28" s="3">
        <f ca="1">IFERROR(__xludf.DUMMYFUNCTION("""COMPUTED_VALUE"""),-0.855422233587723)</f>
        <v>-0.85542223358772296</v>
      </c>
      <c r="LP28" s="3">
        <f ca="1">IFERROR(__xludf.DUMMYFUNCTION("""COMPUTED_VALUE"""),-0.845295842261217)</f>
        <v>-0.84529584226121701</v>
      </c>
      <c r="LQ28" s="3">
        <f ca="1">IFERROR(__xludf.DUMMYFUNCTION("""COMPUTED_VALUE"""),-0.852581458877616)</f>
        <v>-0.85258145887761605</v>
      </c>
      <c r="LR28" s="3">
        <f ca="1">IFERROR(__xludf.DUMMYFUNCTION("""COMPUTED_VALUE"""),-0.803742532726943)</f>
        <v>-0.80374253272694296</v>
      </c>
      <c r="LS28" s="3">
        <f ca="1">IFERROR(__xludf.DUMMYFUNCTION("""COMPUTED_VALUE"""),-0.869463076519629)</f>
        <v>-0.86946307651962895</v>
      </c>
      <c r="LT28" s="3">
        <f ca="1">IFERROR(__xludf.DUMMYFUNCTION("""COMPUTED_VALUE"""),-0.867241583891879)</f>
        <v>-0.867241583891879</v>
      </c>
      <c r="LU28" s="3">
        <f ca="1">IFERROR(__xludf.DUMMYFUNCTION("""COMPUTED_VALUE"""),-0.874928690143387)</f>
        <v>-0.87492869014338703</v>
      </c>
      <c r="LV28" s="3">
        <f ca="1">IFERROR(__xludf.DUMMYFUNCTION("""COMPUTED_VALUE"""),-0.876697337386823)</f>
        <v>-0.87669733738682298</v>
      </c>
      <c r="LW28" s="3">
        <f ca="1">IFERROR(__xludf.DUMMYFUNCTION("""COMPUTED_VALUE"""),-0.880635268544009)</f>
        <v>-0.88063526854400898</v>
      </c>
      <c r="LX28" s="3">
        <f ca="1">IFERROR(__xludf.DUMMYFUNCTION("""COMPUTED_VALUE"""),-0.834790646848092)</f>
        <v>-0.83479064684809201</v>
      </c>
      <c r="LY28" s="3">
        <f ca="1">IFERROR(__xludf.DUMMYFUNCTION("""COMPUTED_VALUE"""),-0.843878232446221)</f>
        <v>-0.84387823244622095</v>
      </c>
      <c r="LZ28" s="3">
        <f ca="1">IFERROR(__xludf.DUMMYFUNCTION("""COMPUTED_VALUE"""),-0.871246155564913)</f>
        <v>-0.87124615556491303</v>
      </c>
      <c r="MA28" s="3">
        <f ca="1">IFERROR(__xludf.DUMMYFUNCTION("""COMPUTED_VALUE"""),-0.878453598450955)</f>
        <v>-0.87845359845095505</v>
      </c>
      <c r="MB28" s="3">
        <f ca="1">IFERROR(__xludf.DUMMYFUNCTION("""COMPUTED_VALUE"""),-0.891956942080877)</f>
        <v>-0.89195694208087695</v>
      </c>
      <c r="MC28" s="3">
        <f ca="1">IFERROR(__xludf.DUMMYFUNCTION("""COMPUTED_VALUE"""),-0.872893718546178)</f>
        <v>-0.87289371854617803</v>
      </c>
      <c r="MD28" s="3">
        <f ca="1">IFERROR(__xludf.DUMMYFUNCTION("""COMPUTED_VALUE"""),-0.885787073105172)</f>
        <v>-0.88578707310517202</v>
      </c>
      <c r="ME28" s="3">
        <f ca="1">IFERROR(__xludf.DUMMYFUNCTION("""COMPUTED_VALUE"""),-0.892686939036969)</f>
        <v>-0.89268693903696905</v>
      </c>
      <c r="MF28" s="3">
        <f ca="1">IFERROR(__xludf.DUMMYFUNCTION("""COMPUTED_VALUE"""),-0.862039539228109)</f>
        <v>-0.86203953922810905</v>
      </c>
      <c r="MG28" s="3">
        <f ca="1">IFERROR(__xludf.DUMMYFUNCTION("""COMPUTED_VALUE"""),-0.883189630743855)</f>
        <v>-0.88318963074385504</v>
      </c>
      <c r="MH28" s="3">
        <f ca="1">IFERROR(__xludf.DUMMYFUNCTION("""COMPUTED_VALUE"""),-0.909752517871612)</f>
        <v>-0.90975251787161204</v>
      </c>
      <c r="MI28" s="3">
        <f ca="1">IFERROR(__xludf.DUMMYFUNCTION("""COMPUTED_VALUE"""),-0.900933210601485)</f>
        <v>-0.90093321060148501</v>
      </c>
      <c r="MJ28" s="3">
        <f ca="1">IFERROR(__xludf.DUMMYFUNCTION("""COMPUTED_VALUE"""),-0.903228773039736)</f>
        <v>-0.90322877303973603</v>
      </c>
      <c r="MK28" s="3">
        <f ca="1">IFERROR(__xludf.DUMMYFUNCTION("""COMPUTED_VALUE"""),-0.925503994671386)</f>
        <v>-0.925503994671386</v>
      </c>
      <c r="ML28" s="3">
        <f ca="1">IFERROR(__xludf.DUMMYFUNCTION("""COMPUTED_VALUE"""),-0.900631378289659)</f>
        <v>-0.900631378289659</v>
      </c>
      <c r="MM28" s="3">
        <f ca="1">IFERROR(__xludf.DUMMYFUNCTION("""COMPUTED_VALUE"""),-0.858914205392516)</f>
        <v>-0.85891420539251595</v>
      </c>
      <c r="MN28" s="3">
        <f ca="1">IFERROR(__xludf.DUMMYFUNCTION("""COMPUTED_VALUE"""),-0.871431355670242)</f>
        <v>-0.87143135567024199</v>
      </c>
      <c r="MO28" s="3">
        <f ca="1">IFERROR(__xludf.DUMMYFUNCTION("""COMPUTED_VALUE"""),-0.905957823875195)</f>
        <v>-0.90595782387519497</v>
      </c>
      <c r="MP28" s="3">
        <f ca="1">IFERROR(__xludf.DUMMYFUNCTION("""COMPUTED_VALUE"""),-0.91362738237713)</f>
        <v>-0.91362738237713004</v>
      </c>
      <c r="MQ28" s="3">
        <f ca="1">IFERROR(__xludf.DUMMYFUNCTION("""COMPUTED_VALUE"""),-0.923586998221555)</f>
        <v>-0.92358699822155499</v>
      </c>
      <c r="MR28" s="3">
        <f ca="1">IFERROR(__xludf.DUMMYFUNCTION("""COMPUTED_VALUE"""),-0.912813885400648)</f>
        <v>-0.91281388540064801</v>
      </c>
      <c r="MS28" s="3">
        <f ca="1">IFERROR(__xludf.DUMMYFUNCTION("""COMPUTED_VALUE"""),-0.895690554706413)</f>
        <v>-0.89569055470641301</v>
      </c>
      <c r="MT28" s="3">
        <f ca="1">IFERROR(__xludf.DUMMYFUNCTION("""COMPUTED_VALUE"""),-0.892411911753532)</f>
        <v>-0.89241191175353196</v>
      </c>
      <c r="MU28" s="3">
        <f ca="1">IFERROR(__xludf.DUMMYFUNCTION("""COMPUTED_VALUE"""),-0.89165052158278)</f>
        <v>-0.89165052158278002</v>
      </c>
      <c r="MV28" s="3">
        <f ca="1">IFERROR(__xludf.DUMMYFUNCTION("""COMPUTED_VALUE"""),-0.905206141105131)</f>
        <v>-0.90520614110513098</v>
      </c>
      <c r="MW28" s="3">
        <f ca="1">IFERROR(__xludf.DUMMYFUNCTION("""COMPUTED_VALUE"""),-0.921231198100456)</f>
        <v>-0.92123119810045595</v>
      </c>
      <c r="MX28" s="3">
        <f ca="1">IFERROR(__xludf.DUMMYFUNCTION("""COMPUTED_VALUE"""),-0.925098943977128)</f>
        <v>-0.925098943977128</v>
      </c>
      <c r="MY28" s="3">
        <f ca="1">IFERROR(__xludf.DUMMYFUNCTION("""COMPUTED_VALUE"""),-0.904078622582433)</f>
        <v>-0.90407862258243299</v>
      </c>
      <c r="MZ28" s="3">
        <f ca="1">IFERROR(__xludf.DUMMYFUNCTION("""COMPUTED_VALUE"""),-0.898626045494663)</f>
        <v>-0.89862604549466296</v>
      </c>
      <c r="NA28" s="3">
        <f ca="1">IFERROR(__xludf.DUMMYFUNCTION("""COMPUTED_VALUE"""),-0.902493882675487)</f>
        <v>-0.90249388267548702</v>
      </c>
      <c r="NB28" s="3">
        <f ca="1">IFERROR(__xludf.DUMMYFUNCTION("""COMPUTED_VALUE"""),-0.881619738437626)</f>
        <v>-0.88161973843762598</v>
      </c>
      <c r="NC28" s="3">
        <f ca="1">IFERROR(__xludf.DUMMYFUNCTION("""COMPUTED_VALUE"""),-0.932259113750778)</f>
        <v>-0.93225911375077797</v>
      </c>
      <c r="ND28" s="3">
        <f ca="1">IFERROR(__xludf.DUMMYFUNCTION("""COMPUTED_VALUE"""),-0.914479635672477)</f>
        <v>-0.91447963567247703</v>
      </c>
      <c r="NE28" s="3">
        <f ca="1">IFERROR(__xludf.DUMMYFUNCTION("""COMPUTED_VALUE"""),-0.908988610157413)</f>
        <v>-0.90898861015741295</v>
      </c>
      <c r="NF28" s="3">
        <f ca="1">IFERROR(__xludf.DUMMYFUNCTION("""COMPUTED_VALUE"""),-0.904172428792358)</f>
        <v>-0.90417242879235804</v>
      </c>
      <c r="NG28" s="3">
        <f ca="1">IFERROR(__xludf.DUMMYFUNCTION("""COMPUTED_VALUE"""),-0.874572981547161)</f>
        <v>-0.87457298154716101</v>
      </c>
      <c r="NH28" s="3">
        <f ca="1">IFERROR(__xludf.DUMMYFUNCTION("""COMPUTED_VALUE"""),-0.865918000809379)</f>
        <v>-0.86591800080937897</v>
      </c>
      <c r="NI28" s="3">
        <f ca="1">IFERROR(__xludf.DUMMYFUNCTION("""COMPUTED_VALUE"""),-0.874631047115755)</f>
        <v>-0.87463104711575501</v>
      </c>
      <c r="NJ28" s="3">
        <f ca="1">IFERROR(__xludf.DUMMYFUNCTION("""COMPUTED_VALUE"""),-0.893525766527263)</f>
        <v>-0.89352576652726301</v>
      </c>
      <c r="NK28" s="3">
        <f ca="1">IFERROR(__xludf.DUMMYFUNCTION("""COMPUTED_VALUE"""),-0.914433643878079)</f>
        <v>-0.91443364387807902</v>
      </c>
      <c r="NL28" s="3">
        <f ca="1">IFERROR(__xludf.DUMMYFUNCTION("""COMPUTED_VALUE"""),-0.88919135662647)</f>
        <v>-0.88919135662646998</v>
      </c>
      <c r="NM28" s="3">
        <f ca="1">IFERROR(__xludf.DUMMYFUNCTION("""COMPUTED_VALUE"""),-0.889751719555294)</f>
        <v>-0.88975171955529397</v>
      </c>
      <c r="NN28" s="3">
        <f ca="1">IFERROR(__xludf.DUMMYFUNCTION("""COMPUTED_VALUE"""),-0.864129142026742)</f>
        <v>-0.86412914202674196</v>
      </c>
      <c r="NO28" s="3">
        <f ca="1">IFERROR(__xludf.DUMMYFUNCTION("""COMPUTED_VALUE"""),-0.843775241679646)</f>
        <v>-0.84377524167964602</v>
      </c>
      <c r="NP28" s="3">
        <f ca="1">IFERROR(__xludf.DUMMYFUNCTION("""COMPUTED_VALUE"""),-0.853684145102856)</f>
        <v>-0.85368414510285595</v>
      </c>
      <c r="NQ28" s="3">
        <f ca="1">IFERROR(__xludf.DUMMYFUNCTION("""COMPUTED_VALUE"""),-0.866857900989715)</f>
        <v>-0.86685790098971505</v>
      </c>
      <c r="NR28" s="3">
        <f ca="1">IFERROR(__xludf.DUMMYFUNCTION("""COMPUTED_VALUE"""),-0.881657186995774)</f>
        <v>-0.881657186995774</v>
      </c>
      <c r="NS28" s="3">
        <f ca="1">IFERROR(__xludf.DUMMYFUNCTION("""COMPUTED_VALUE"""),-0.845798067629777)</f>
        <v>-0.84579806762977705</v>
      </c>
      <c r="NT28" s="3">
        <f ca="1">IFERROR(__xludf.DUMMYFUNCTION("""COMPUTED_VALUE"""),-0.855824402777254)</f>
        <v>-0.85582440277725402</v>
      </c>
      <c r="NU28" s="3">
        <f ca="1">IFERROR(__xludf.DUMMYFUNCTION("""COMPUTED_VALUE"""),-0.766393241633647)</f>
        <v>-0.76639324163364697</v>
      </c>
      <c r="NV28" s="3">
        <f ca="1">IFERROR(__xludf.DUMMYFUNCTION("""COMPUTED_VALUE"""),-0.764273871838278)</f>
        <v>-0.764273871838278</v>
      </c>
      <c r="NW28" s="3">
        <f ca="1">IFERROR(__xludf.DUMMYFUNCTION("""COMPUTED_VALUE"""),-0.738625328881918)</f>
        <v>-0.73862532888191801</v>
      </c>
      <c r="NX28" s="3">
        <f ca="1">IFERROR(__xludf.DUMMYFUNCTION("""COMPUTED_VALUE"""),-0.745820851300649)</f>
        <v>-0.74582085130064901</v>
      </c>
      <c r="NY28" s="3">
        <f ca="1">IFERROR(__xludf.DUMMYFUNCTION("""COMPUTED_VALUE"""),-0.722555830176597)</f>
        <v>-0.72255583017659697</v>
      </c>
      <c r="NZ28" s="3">
        <f ca="1">IFERROR(__xludf.DUMMYFUNCTION("""COMPUTED_VALUE"""),-0.682947637224737)</f>
        <v>-0.68294763722473695</v>
      </c>
      <c r="OA28" s="3">
        <f ca="1">IFERROR(__xludf.DUMMYFUNCTION("""COMPUTED_VALUE"""),-0.600713661685678)</f>
        <v>-0.60071366168567797</v>
      </c>
      <c r="OB28" s="3">
        <f ca="1">IFERROR(__xludf.DUMMYFUNCTION("""COMPUTED_VALUE"""),-0.504642879012091)</f>
        <v>-0.50464287901209104</v>
      </c>
      <c r="OC28" s="3">
        <f ca="1">IFERROR(__xludf.DUMMYFUNCTION("""COMPUTED_VALUE"""),-0.269219183904646)</f>
        <v>-0.269219183904646</v>
      </c>
      <c r="OD28" s="3">
        <f ca="1">IFERROR(__xludf.DUMMYFUNCTION("""COMPUTED_VALUE"""),-0.201667123969707)</f>
        <v>-0.20166712396970701</v>
      </c>
      <c r="OE28" s="3">
        <f ca="1">IFERROR(__xludf.DUMMYFUNCTION("""COMPUTED_VALUE"""),-0.138345789186125)</f>
        <v>-0.138345789186125</v>
      </c>
      <c r="OF28" s="3">
        <f ca="1">IFERROR(__xludf.DUMMYFUNCTION("""COMPUTED_VALUE"""),-0.0888231001293058)</f>
        <v>-8.8823100129305804E-2</v>
      </c>
      <c r="OG28" s="3">
        <f ca="1">IFERROR(__xludf.DUMMYFUNCTION("""COMPUTED_VALUE"""),-0.0466615581313972)</f>
        <v>-4.6661558131397197E-2</v>
      </c>
      <c r="OH28" s="3">
        <f ca="1">IFERROR(__xludf.DUMMYFUNCTION("""COMPUTED_VALUE"""),-0.0759920158107817)</f>
        <v>-7.5992015810781702E-2</v>
      </c>
      <c r="OI28" s="3">
        <f ca="1">IFERROR(__xludf.DUMMYFUNCTION("""COMPUTED_VALUE"""),0.0414759424908985)</f>
        <v>4.1475942490898497E-2</v>
      </c>
      <c r="OJ28" s="3">
        <f ca="1">IFERROR(__xludf.DUMMYFUNCTION("""COMPUTED_VALUE"""),-0.0448637641509915)</f>
        <v>-4.4863764150991498E-2</v>
      </c>
      <c r="OK28" s="3">
        <f ca="1">IFERROR(__xludf.DUMMYFUNCTION("""COMPUTED_VALUE"""),-0.181681829896965)</f>
        <v>-0.18168182989696499</v>
      </c>
      <c r="OL28" s="3">
        <f ca="1">IFERROR(__xludf.DUMMYFUNCTION("""COMPUTED_VALUE"""),-0.0229698386490503)</f>
        <v>-2.2969838649050299E-2</v>
      </c>
      <c r="OM28" s="3">
        <f ca="1">IFERROR(__xludf.DUMMYFUNCTION("""COMPUTED_VALUE"""),-0.0452007084497705)</f>
        <v>-4.5200708449770498E-2</v>
      </c>
      <c r="ON28" s="3">
        <f ca="1">IFERROR(__xludf.DUMMYFUNCTION("""COMPUTED_VALUE"""),-0.0269004321037192)</f>
        <v>-2.6900432103719198E-2</v>
      </c>
      <c r="OO28" s="3">
        <f ca="1">IFERROR(__xludf.DUMMYFUNCTION("""COMPUTED_VALUE"""),-0.0608651295010914)</f>
        <v>-6.0865129501091401E-2</v>
      </c>
      <c r="OP28" s="3">
        <f ca="1">IFERROR(__xludf.DUMMYFUNCTION("""COMPUTED_VALUE"""),0.0670194098818384)</f>
        <v>6.7019409881838396E-2</v>
      </c>
      <c r="OQ28" s="3">
        <f ca="1">IFERROR(__xludf.DUMMYFUNCTION("""COMPUTED_VALUE"""),0.0540265072156898)</f>
        <v>5.4026507215689801E-2</v>
      </c>
      <c r="OR28" s="3">
        <f ca="1">IFERROR(__xludf.DUMMYFUNCTION("""COMPUTED_VALUE"""),-0.00395641776372734)</f>
        <v>-3.9564177637273403E-3</v>
      </c>
      <c r="OS28" s="3">
        <f ca="1">IFERROR(__xludf.DUMMYFUNCTION("""COMPUTED_VALUE"""),0.00880259985687881)</f>
        <v>8.8025998568788105E-3</v>
      </c>
      <c r="OT28" s="3">
        <f ca="1">IFERROR(__xludf.DUMMYFUNCTION("""COMPUTED_VALUE"""),-0.0371068645128928)</f>
        <v>-3.7106864512892801E-2</v>
      </c>
      <c r="OU28" s="3">
        <f ca="1">IFERROR(__xludf.DUMMYFUNCTION("""COMPUTED_VALUE"""),0.0218598991767029)</f>
        <v>2.1859899176702901E-2</v>
      </c>
      <c r="OV28" s="3">
        <f ca="1">IFERROR(__xludf.DUMMYFUNCTION("""COMPUTED_VALUE"""),-0.0237416709469122)</f>
        <v>-2.3741670946912201E-2</v>
      </c>
      <c r="OW28" s="3">
        <f ca="1">IFERROR(__xludf.DUMMYFUNCTION("""COMPUTED_VALUE"""),0.285442547450107)</f>
        <v>0.285442547450107</v>
      </c>
      <c r="OX28" s="3">
        <f ca="1">IFERROR(__xludf.DUMMYFUNCTION("""COMPUTED_VALUE"""),-0.00648023720817703)</f>
        <v>-6.4802372081770301E-3</v>
      </c>
      <c r="OY28" s="3">
        <f ca="1">IFERROR(__xludf.DUMMYFUNCTION("""COMPUTED_VALUE"""),-0.0234425885160735)</f>
        <v>-2.34425885160735E-2</v>
      </c>
      <c r="OZ28" s="3">
        <f ca="1">IFERROR(__xludf.DUMMYFUNCTION("""COMPUTED_VALUE"""),-0.0976207902409066)</f>
        <v>-9.7620790240906599E-2</v>
      </c>
      <c r="PA28" s="3">
        <f ca="1">IFERROR(__xludf.DUMMYFUNCTION("""COMPUTED_VALUE"""),-0.119756952616977)</f>
        <v>-0.119756952616977</v>
      </c>
      <c r="PB28" s="3">
        <f ca="1">IFERROR(__xludf.DUMMYFUNCTION("""COMPUTED_VALUE"""),0.140592210907903)</f>
        <v>0.140592210907903</v>
      </c>
      <c r="PC28" s="3">
        <f ca="1">IFERROR(__xludf.DUMMYFUNCTION("""COMPUTED_VALUE"""),-0.0473177086266974)</f>
        <v>-4.7317708626697402E-2</v>
      </c>
      <c r="PD28" s="3">
        <f ca="1">IFERROR(__xludf.DUMMYFUNCTION("""COMPUTED_VALUE"""),-0.407724824431543)</f>
        <v>-0.40772482443154301</v>
      </c>
      <c r="PE28" s="3">
        <f ca="1">IFERROR(__xludf.DUMMYFUNCTION("""COMPUTED_VALUE"""),0.0142326697579697)</f>
        <v>1.4232669757969701E-2</v>
      </c>
      <c r="PF28" s="3">
        <f ca="1">IFERROR(__xludf.DUMMYFUNCTION("""COMPUTED_VALUE"""),-0.00206198935235824)</f>
        <v>-2.06198935235824E-3</v>
      </c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</row>
    <row r="29" spans="1:594" ht="15.75" customHeight="1">
      <c r="A29" s="1" t="str">
        <f ca="1">IFERROR(__xludf.DUMMYFUNCTION("""COMPUTED_VALUE"""),"Hamilton, NZ")</f>
        <v>Hamilton, NZ</v>
      </c>
      <c r="B29" s="3">
        <f ca="1">IFERROR(__xludf.DUMMYFUNCTION("""COMPUTED_VALUE"""),-0.150595827701927)</f>
        <v>-0.150595827701927</v>
      </c>
      <c r="C29" s="3">
        <f ca="1">IFERROR(__xludf.DUMMYFUNCTION("""COMPUTED_VALUE"""),-0.0694065281238213)</f>
        <v>-6.9406528123821296E-2</v>
      </c>
      <c r="D29" s="3">
        <f ca="1">IFERROR(__xludf.DUMMYFUNCTION("""COMPUTED_VALUE"""),0.119200077494138)</f>
        <v>0.119200077494138</v>
      </c>
      <c r="E29" s="3">
        <f ca="1">IFERROR(__xludf.DUMMYFUNCTION("""COMPUTED_VALUE"""),0.111118381997468)</f>
        <v>0.111118381997468</v>
      </c>
      <c r="F29" s="3">
        <f ca="1">IFERROR(__xludf.DUMMYFUNCTION("""COMPUTED_VALUE"""),-0.00147889190223715)</f>
        <v>-1.47889190223715E-3</v>
      </c>
      <c r="G29" s="3">
        <f ca="1">IFERROR(__xludf.DUMMYFUNCTION("""COMPUTED_VALUE"""),-0.315402551035554)</f>
        <v>-0.31540255103555398</v>
      </c>
      <c r="H29" s="3">
        <f ca="1">IFERROR(__xludf.DUMMYFUNCTION("""COMPUTED_VALUE"""),-0.656849096890569)</f>
        <v>-0.65684909689056903</v>
      </c>
      <c r="I29" s="3">
        <f ca="1">IFERROR(__xludf.DUMMYFUNCTION("""COMPUTED_VALUE"""),-0.426344580752746)</f>
        <v>-0.42634458075274601</v>
      </c>
      <c r="J29" s="3">
        <f ca="1">IFERROR(__xludf.DUMMYFUNCTION("""COMPUTED_VALUE"""),-0.430171931022328)</f>
        <v>-0.43017193102232798</v>
      </c>
      <c r="K29" s="3">
        <f ca="1">IFERROR(__xludf.DUMMYFUNCTION("""COMPUTED_VALUE"""),-0.668053436276187)</f>
        <v>-0.66805343627618696</v>
      </c>
      <c r="L29" s="3">
        <f ca="1">IFERROR(__xludf.DUMMYFUNCTION("""COMPUTED_VALUE"""),-0.000775913133525651)</f>
        <v>-7.7591313352565097E-4</v>
      </c>
      <c r="M29" s="3">
        <f ca="1">IFERROR(__xludf.DUMMYFUNCTION("""COMPUTED_VALUE"""),-0.0707762877722489)</f>
        <v>-7.0776287772248897E-2</v>
      </c>
      <c r="N29" s="3">
        <f ca="1">IFERROR(__xludf.DUMMYFUNCTION("""COMPUTED_VALUE"""),-0.0995224338486014)</f>
        <v>-9.9522433848601405E-2</v>
      </c>
      <c r="O29" s="3">
        <f ca="1">IFERROR(__xludf.DUMMYFUNCTION("""COMPUTED_VALUE"""),-0.053908060972969)</f>
        <v>-5.3908060972968998E-2</v>
      </c>
      <c r="P29" s="3">
        <f ca="1">IFERROR(__xludf.DUMMYFUNCTION("""COMPUTED_VALUE"""),-0.235696648918825)</f>
        <v>-0.235696648918825</v>
      </c>
      <c r="Q29" s="3">
        <f ca="1">IFERROR(__xludf.DUMMYFUNCTION("""COMPUTED_VALUE"""),-0.298228250543635)</f>
        <v>-0.298228250543635</v>
      </c>
      <c r="R29" s="3">
        <f ca="1">IFERROR(__xludf.DUMMYFUNCTION("""COMPUTED_VALUE"""),-0.0994092732379461)</f>
        <v>-9.94092732379461E-2</v>
      </c>
      <c r="S29" s="3">
        <f ca="1">IFERROR(__xludf.DUMMYFUNCTION("""COMPUTED_VALUE"""),-0.00769320524558281)</f>
        <v>-7.69320524558281E-3</v>
      </c>
      <c r="T29" s="3">
        <f ca="1">IFERROR(__xludf.DUMMYFUNCTION("""COMPUTED_VALUE"""),-0.0170188441428883)</f>
        <v>-1.70188441428883E-2</v>
      </c>
      <c r="U29" s="3">
        <f ca="1">IFERROR(__xludf.DUMMYFUNCTION("""COMPUTED_VALUE"""),0.0265258869842452)</f>
        <v>2.6525886984245201E-2</v>
      </c>
      <c r="V29" s="3">
        <f ca="1">IFERROR(__xludf.DUMMYFUNCTION("""COMPUTED_VALUE"""),-0.0391253424430071)</f>
        <v>-3.9125342443007097E-2</v>
      </c>
      <c r="W29" s="3">
        <f ca="1">IFERROR(__xludf.DUMMYFUNCTION("""COMPUTED_VALUE"""),-0.103379202167637)</f>
        <v>-0.103379202167637</v>
      </c>
      <c r="X29" s="3">
        <f ca="1">IFERROR(__xludf.DUMMYFUNCTION("""COMPUTED_VALUE"""),-0.123692681009174)</f>
        <v>-0.12369268100917399</v>
      </c>
      <c r="Y29" s="3">
        <f ca="1">IFERROR(__xludf.DUMMYFUNCTION("""COMPUTED_VALUE"""),-0.0816304528235205)</f>
        <v>-8.1630452823520494E-2</v>
      </c>
      <c r="Z29" s="3">
        <f ca="1">IFERROR(__xludf.DUMMYFUNCTION("""COMPUTED_VALUE"""),-0.0402334028747071)</f>
        <v>-4.02334028747071E-2</v>
      </c>
      <c r="AA29" s="3">
        <f ca="1">IFERROR(__xludf.DUMMYFUNCTION("""COMPUTED_VALUE"""),0.0239988670994288)</f>
        <v>2.3998867099428799E-2</v>
      </c>
      <c r="AB29" s="3">
        <f ca="1">IFERROR(__xludf.DUMMYFUNCTION("""COMPUTED_VALUE"""),0.0316837019845659)</f>
        <v>3.1683701984565903E-2</v>
      </c>
      <c r="AC29" s="3">
        <f ca="1">IFERROR(__xludf.DUMMYFUNCTION("""COMPUTED_VALUE"""),-0.0745664331590008)</f>
        <v>-7.45664331590008E-2</v>
      </c>
      <c r="AD29" s="3">
        <f ca="1">IFERROR(__xludf.DUMMYFUNCTION("""COMPUTED_VALUE"""),-0.179885755712872)</f>
        <v>-0.17988575571287199</v>
      </c>
      <c r="AE29" s="3">
        <f ca="1">IFERROR(__xludf.DUMMYFUNCTION("""COMPUTED_VALUE"""),-0.234590587223515)</f>
        <v>-0.234590587223515</v>
      </c>
      <c r="AF29" s="3">
        <f ca="1">IFERROR(__xludf.DUMMYFUNCTION("""COMPUTED_VALUE"""),-0.135461465973038)</f>
        <v>-0.13546146597303799</v>
      </c>
      <c r="AG29" s="3">
        <f ca="1">IFERROR(__xludf.DUMMYFUNCTION("""COMPUTED_VALUE"""),-0.0647792741062226)</f>
        <v>-6.4779274106222598E-2</v>
      </c>
      <c r="AH29" s="3">
        <f ca="1">IFERROR(__xludf.DUMMYFUNCTION("""COMPUTED_VALUE"""),-0.100927011709567)</f>
        <v>-0.100927011709567</v>
      </c>
      <c r="AI29" s="3">
        <f ca="1">IFERROR(__xludf.DUMMYFUNCTION("""COMPUTED_VALUE"""),-0.0634624650919014)</f>
        <v>-6.3462465091901399E-2</v>
      </c>
      <c r="AJ29" s="3">
        <f ca="1">IFERROR(__xludf.DUMMYFUNCTION("""COMPUTED_VALUE"""),0.00853454457894642)</f>
        <v>8.5345445789464201E-3</v>
      </c>
      <c r="AK29" s="3">
        <f ca="1">IFERROR(__xludf.DUMMYFUNCTION("""COMPUTED_VALUE"""),-0.237240721951925)</f>
        <v>-0.237240721951925</v>
      </c>
      <c r="AL29" s="3">
        <f ca="1">IFERROR(__xludf.DUMMYFUNCTION("""COMPUTED_VALUE"""),-0.277988844815564)</f>
        <v>-0.27798884481556402</v>
      </c>
      <c r="AM29" s="3">
        <f ca="1">IFERROR(__xludf.DUMMYFUNCTION("""COMPUTED_VALUE"""),-0.139085248437559)</f>
        <v>-0.13908524843755901</v>
      </c>
      <c r="AN29" s="3">
        <f ca="1">IFERROR(__xludf.DUMMYFUNCTION("""COMPUTED_VALUE"""),-0.189446597588392)</f>
        <v>-0.189446597588392</v>
      </c>
      <c r="AO29" s="3">
        <f ca="1">IFERROR(__xludf.DUMMYFUNCTION("""COMPUTED_VALUE"""),-0.116824591040144)</f>
        <v>-0.116824591040144</v>
      </c>
      <c r="AP29" s="3">
        <f ca="1">IFERROR(__xludf.DUMMYFUNCTION("""COMPUTED_VALUE"""),-0.116419766662285)</f>
        <v>-0.116419766662285</v>
      </c>
      <c r="AQ29" s="3">
        <f ca="1">IFERROR(__xludf.DUMMYFUNCTION("""COMPUTED_VALUE"""),-0.146997294708746)</f>
        <v>-0.14699729470874601</v>
      </c>
      <c r="AR29" s="3">
        <f ca="1">IFERROR(__xludf.DUMMYFUNCTION("""COMPUTED_VALUE"""),-0.261952726790017)</f>
        <v>-0.26195272679001702</v>
      </c>
      <c r="AS29" s="3">
        <f ca="1">IFERROR(__xludf.DUMMYFUNCTION("""COMPUTED_VALUE"""),-0.210548980878782)</f>
        <v>-0.21054898087878199</v>
      </c>
      <c r="AT29" s="3">
        <f ca="1">IFERROR(__xludf.DUMMYFUNCTION("""COMPUTED_VALUE"""),-0.106567976168797)</f>
        <v>-0.106567976168797</v>
      </c>
      <c r="AU29" s="3">
        <f ca="1">IFERROR(__xludf.DUMMYFUNCTION("""COMPUTED_VALUE"""),-0.133829226183733)</f>
        <v>-0.133829226183733</v>
      </c>
      <c r="AV29" s="3">
        <f ca="1">IFERROR(__xludf.DUMMYFUNCTION("""COMPUTED_VALUE"""),-0.156149953019415)</f>
        <v>-0.15614995301941501</v>
      </c>
      <c r="AW29" s="3">
        <f ca="1">IFERROR(__xludf.DUMMYFUNCTION("""COMPUTED_VALUE"""),-0.088408151364435)</f>
        <v>-8.8408151364435E-2</v>
      </c>
      <c r="AX29" s="3">
        <f ca="1">IFERROR(__xludf.DUMMYFUNCTION("""COMPUTED_VALUE"""),-0.131117564722612)</f>
        <v>-0.13111756472261199</v>
      </c>
      <c r="AY29" s="3">
        <f ca="1">IFERROR(__xludf.DUMMYFUNCTION("""COMPUTED_VALUE"""),-0.183564150994612)</f>
        <v>-0.18356415099461201</v>
      </c>
      <c r="AZ29" s="3">
        <f ca="1">IFERROR(__xludf.DUMMYFUNCTION("""COMPUTED_VALUE"""),-0.178588616104308)</f>
        <v>-0.17858861610430801</v>
      </c>
      <c r="BA29" s="3">
        <f ca="1">IFERROR(__xludf.DUMMYFUNCTION("""COMPUTED_VALUE"""),-0.160638855654457)</f>
        <v>-0.16063885565445701</v>
      </c>
      <c r="BB29" s="3">
        <f ca="1">IFERROR(__xludf.DUMMYFUNCTION("""COMPUTED_VALUE"""),-0.14158234574154)</f>
        <v>-0.14158234574153999</v>
      </c>
      <c r="BC29" s="3">
        <f ca="1">IFERROR(__xludf.DUMMYFUNCTION("""COMPUTED_VALUE"""),-0.235354493897777)</f>
        <v>-0.23535449389777699</v>
      </c>
      <c r="BD29" s="3">
        <f ca="1">IFERROR(__xludf.DUMMYFUNCTION("""COMPUTED_VALUE"""),-0.183552674280219)</f>
        <v>-0.18355267428021901</v>
      </c>
      <c r="BE29" s="3">
        <f ca="1">IFERROR(__xludf.DUMMYFUNCTION("""COMPUTED_VALUE"""),-0.28426609769403)</f>
        <v>-0.28426609769403</v>
      </c>
      <c r="BF29" s="3">
        <f ca="1">IFERROR(__xludf.DUMMYFUNCTION("""COMPUTED_VALUE"""),-0.103215128099851)</f>
        <v>-0.10321512809985101</v>
      </c>
      <c r="BG29" s="3">
        <f ca="1">IFERROR(__xludf.DUMMYFUNCTION("""COMPUTED_VALUE"""),-0.22836316031432)</f>
        <v>-0.22836316031432</v>
      </c>
      <c r="BH29" s="3">
        <f ca="1">IFERROR(__xludf.DUMMYFUNCTION("""COMPUTED_VALUE"""),-0.0212972589824439)</f>
        <v>-2.12972589824439E-2</v>
      </c>
      <c r="BI29" s="3">
        <f ca="1">IFERROR(__xludf.DUMMYFUNCTION("""COMPUTED_VALUE"""),0.133981302886284)</f>
        <v>0.13398130288628399</v>
      </c>
      <c r="BJ29" s="3">
        <f ca="1">IFERROR(__xludf.DUMMYFUNCTION("""COMPUTED_VALUE"""),-0.0525964115133763)</f>
        <v>-5.2596411513376302E-2</v>
      </c>
      <c r="BK29" s="3">
        <f ca="1">IFERROR(__xludf.DUMMYFUNCTION("""COMPUTED_VALUE"""),-0.107900376706222)</f>
        <v>-0.107900376706222</v>
      </c>
      <c r="BL29" s="3">
        <f ca="1">IFERROR(__xludf.DUMMYFUNCTION("""COMPUTED_VALUE"""),-0.678914779568092)</f>
        <v>-0.67891477956809199</v>
      </c>
      <c r="BM29" s="3">
        <f ca="1">IFERROR(__xludf.DUMMYFUNCTION("""COMPUTED_VALUE"""),-0.220610751646258)</f>
        <v>-0.22061075164625801</v>
      </c>
      <c r="BN29" s="3">
        <f ca="1">IFERROR(__xludf.DUMMYFUNCTION("""COMPUTED_VALUE"""),-0.279177100022364)</f>
        <v>-0.27917710002236401</v>
      </c>
      <c r="BO29" s="3">
        <f ca="1">IFERROR(__xludf.DUMMYFUNCTION("""COMPUTED_VALUE"""),0.0267139956613002)</f>
        <v>2.6713995661300199E-2</v>
      </c>
      <c r="BP29" s="3">
        <f ca="1">IFERROR(__xludf.DUMMYFUNCTION("""COMPUTED_VALUE"""),0.128421318562968)</f>
        <v>0.12842131856296801</v>
      </c>
      <c r="BQ29" s="3">
        <f ca="1">IFERROR(__xludf.DUMMYFUNCTION("""COMPUTED_VALUE"""),-0.217648433653296)</f>
        <v>-0.217648433653296</v>
      </c>
      <c r="BR29" s="3">
        <f ca="1">IFERROR(__xludf.DUMMYFUNCTION("""COMPUTED_VALUE"""),-0.214611263963225)</f>
        <v>-0.214611263963225</v>
      </c>
      <c r="BS29" s="3">
        <f ca="1">IFERROR(__xludf.DUMMYFUNCTION("""COMPUTED_VALUE"""),-0.582587077208471)</f>
        <v>-0.58258707720847103</v>
      </c>
      <c r="BT29" s="3">
        <f ca="1">IFERROR(__xludf.DUMMYFUNCTION("""COMPUTED_VALUE"""),-0.353064344152703)</f>
        <v>-0.35306434415270299</v>
      </c>
      <c r="BU29" s="3">
        <f ca="1">IFERROR(__xludf.DUMMYFUNCTION("""COMPUTED_VALUE"""),-0.281409241452166)</f>
        <v>-0.281409241452166</v>
      </c>
      <c r="BV29" s="3">
        <f ca="1">IFERROR(__xludf.DUMMYFUNCTION("""COMPUTED_VALUE"""),-0.254807047125283)</f>
        <v>-0.25480704712528301</v>
      </c>
      <c r="BW29" s="3">
        <f ca="1">IFERROR(__xludf.DUMMYFUNCTION("""COMPUTED_VALUE"""),-0.00787989715287262)</f>
        <v>-7.8798971528726194E-3</v>
      </c>
      <c r="BX29" s="3">
        <f ca="1">IFERROR(__xludf.DUMMYFUNCTION("""COMPUTED_VALUE"""),-0.245757689446927)</f>
        <v>-0.245757689446927</v>
      </c>
      <c r="BY29" s="3">
        <f ca="1">IFERROR(__xludf.DUMMYFUNCTION("""COMPUTED_VALUE"""),-0.305245464632343)</f>
        <v>-0.30524546463234298</v>
      </c>
      <c r="BZ29" s="3">
        <f ca="1">IFERROR(__xludf.DUMMYFUNCTION("""COMPUTED_VALUE"""),-0.144685361853842)</f>
        <v>-0.14468536185384201</v>
      </c>
      <c r="CA29" s="3">
        <f ca="1">IFERROR(__xludf.DUMMYFUNCTION("""COMPUTED_VALUE"""),-0.328309223687789)</f>
        <v>-0.32830922368778898</v>
      </c>
      <c r="CB29" s="3">
        <f ca="1">IFERROR(__xludf.DUMMYFUNCTION("""COMPUTED_VALUE"""),-0.141560717672242)</f>
        <v>-0.14156071767224199</v>
      </c>
      <c r="CC29" s="3">
        <f ca="1">IFERROR(__xludf.DUMMYFUNCTION("""COMPUTED_VALUE"""),-0.215560219358629)</f>
        <v>-0.21556021935862901</v>
      </c>
      <c r="CD29" s="3">
        <f ca="1">IFERROR(__xludf.DUMMYFUNCTION("""COMPUTED_VALUE"""),-0.257241302210753)</f>
        <v>-0.25724130221075298</v>
      </c>
      <c r="CE29" s="3">
        <f ca="1">IFERROR(__xludf.DUMMYFUNCTION("""COMPUTED_VALUE"""),-0.236478263161386)</f>
        <v>-0.23647826316138601</v>
      </c>
      <c r="CF29" s="3">
        <f ca="1">IFERROR(__xludf.DUMMYFUNCTION("""COMPUTED_VALUE"""),-0.259441766598717)</f>
        <v>-0.25944176659871698</v>
      </c>
      <c r="CG29" s="3">
        <f ca="1">IFERROR(__xludf.DUMMYFUNCTION("""COMPUTED_VALUE"""),-0.172744393645369)</f>
        <v>-0.172744393645369</v>
      </c>
      <c r="CH29" s="3">
        <f ca="1">IFERROR(__xludf.DUMMYFUNCTION("""COMPUTED_VALUE"""),-0.287699759109563)</f>
        <v>-0.28769975910956302</v>
      </c>
      <c r="CI29" s="3">
        <f ca="1">IFERROR(__xludf.DUMMYFUNCTION("""COMPUTED_VALUE"""),-0.204750010111196)</f>
        <v>-0.20475001011119601</v>
      </c>
      <c r="CJ29" s="3">
        <f ca="1">IFERROR(__xludf.DUMMYFUNCTION("""COMPUTED_VALUE"""),-0.202392128256356)</f>
        <v>-0.202392128256356</v>
      </c>
      <c r="CK29" s="3">
        <f ca="1">IFERROR(__xludf.DUMMYFUNCTION("""COMPUTED_VALUE"""),-0.127518654834089)</f>
        <v>-0.127518654834089</v>
      </c>
      <c r="CL29" s="3">
        <f ca="1">IFERROR(__xludf.DUMMYFUNCTION("""COMPUTED_VALUE"""),-0.14110848625884)</f>
        <v>-0.14110848625884001</v>
      </c>
      <c r="CM29" s="3">
        <f ca="1">IFERROR(__xludf.DUMMYFUNCTION("""COMPUTED_VALUE"""),-0.167988334768971)</f>
        <v>-0.16798833476897099</v>
      </c>
      <c r="CN29" s="3">
        <f ca="1">IFERROR(__xludf.DUMMYFUNCTION("""COMPUTED_VALUE"""),-0.330807128300819)</f>
        <v>-0.33080712830081899</v>
      </c>
      <c r="CO29" s="3">
        <f ca="1">IFERROR(__xludf.DUMMYFUNCTION("""COMPUTED_VALUE"""),-0.311331515599425)</f>
        <v>-0.31133151559942501</v>
      </c>
      <c r="CP29" s="3">
        <f ca="1">IFERROR(__xludf.DUMMYFUNCTION("""COMPUTED_VALUE"""),-0.208491995315669)</f>
        <v>-0.208491995315669</v>
      </c>
      <c r="CQ29" s="3">
        <f ca="1">IFERROR(__xludf.DUMMYFUNCTION("""COMPUTED_VALUE"""),-0.270031294266064)</f>
        <v>-0.27003129426606398</v>
      </c>
      <c r="CR29" s="3">
        <f ca="1">IFERROR(__xludf.DUMMYFUNCTION("""COMPUTED_VALUE"""),-0.147271700211968)</f>
        <v>-0.147271700211968</v>
      </c>
      <c r="CS29" s="3">
        <f ca="1">IFERROR(__xludf.DUMMYFUNCTION("""COMPUTED_VALUE"""),-0.182054653185534)</f>
        <v>-0.18205465318553399</v>
      </c>
      <c r="CT29" s="3">
        <f ca="1">IFERROR(__xludf.DUMMYFUNCTION("""COMPUTED_VALUE"""),-0.345722431823185)</f>
        <v>-0.34572243182318502</v>
      </c>
      <c r="CU29" s="3">
        <f ca="1">IFERROR(__xludf.DUMMYFUNCTION("""COMPUTED_VALUE"""),-0.531136211949925)</f>
        <v>-0.531136211949925</v>
      </c>
      <c r="CV29" s="3">
        <f ca="1">IFERROR(__xludf.DUMMYFUNCTION("""COMPUTED_VALUE"""),-0.327099513216924)</f>
        <v>-0.32709951321692399</v>
      </c>
      <c r="CW29" s="3">
        <f ca="1">IFERROR(__xludf.DUMMYFUNCTION("""COMPUTED_VALUE"""),-0.494837545863136)</f>
        <v>-0.494837545863136</v>
      </c>
      <c r="CX29" s="3">
        <f ca="1">IFERROR(__xludf.DUMMYFUNCTION("""COMPUTED_VALUE"""),-0.599786683751626)</f>
        <v>-0.59978668375162603</v>
      </c>
      <c r="CY29" s="3">
        <f ca="1">IFERROR(__xludf.DUMMYFUNCTION("""COMPUTED_VALUE"""),-0.203136524762927)</f>
        <v>-0.20313652476292701</v>
      </c>
      <c r="CZ29" s="3">
        <f ca="1">IFERROR(__xludf.DUMMYFUNCTION("""COMPUTED_VALUE"""),0.238424967074463)</f>
        <v>0.23842496707446301</v>
      </c>
      <c r="DA29" s="3">
        <f ca="1">IFERROR(__xludf.DUMMYFUNCTION("""COMPUTED_VALUE"""),-0.210185475162182)</f>
        <v>-0.210185475162182</v>
      </c>
      <c r="DB29" s="3">
        <f ca="1">IFERROR(__xludf.DUMMYFUNCTION("""COMPUTED_VALUE"""),-0.48484043021589)</f>
        <v>-0.48484043021589002</v>
      </c>
      <c r="DC29" s="3">
        <f ca="1">IFERROR(__xludf.DUMMYFUNCTION("""COMPUTED_VALUE"""),-0.329069598987911)</f>
        <v>-0.32906959898791099</v>
      </c>
      <c r="DD29" s="3">
        <f ca="1">IFERROR(__xludf.DUMMYFUNCTION("""COMPUTED_VALUE"""),-0.257993131147714)</f>
        <v>-0.25799313114771399</v>
      </c>
      <c r="DE29" s="3">
        <f ca="1">IFERROR(__xludf.DUMMYFUNCTION("""COMPUTED_VALUE"""),-0.791214716769152)</f>
        <v>-0.791214716769152</v>
      </c>
      <c r="DF29" s="3">
        <f ca="1">IFERROR(__xludf.DUMMYFUNCTION("""COMPUTED_VALUE"""),-0.271600268419166)</f>
        <v>-0.27160026841916601</v>
      </c>
      <c r="DG29" s="3">
        <f ca="1">IFERROR(__xludf.DUMMYFUNCTION("""COMPUTED_VALUE"""),0.510169972243812)</f>
        <v>0.510169972243812</v>
      </c>
      <c r="DH29" s="3">
        <f ca="1">IFERROR(__xludf.DUMMYFUNCTION("""COMPUTED_VALUE"""),0.0269471174590001)</f>
        <v>2.6947117459000101E-2</v>
      </c>
      <c r="DI29" s="3">
        <f ca="1">IFERROR(__xludf.DUMMYFUNCTION("""COMPUTED_VALUE"""),-0.0735843740346596)</f>
        <v>-7.3584374034659603E-2</v>
      </c>
      <c r="DJ29" s="3">
        <f ca="1">IFERROR(__xludf.DUMMYFUNCTION("""COMPUTED_VALUE"""),-0.221602660369152)</f>
        <v>-0.22160266036915199</v>
      </c>
      <c r="DK29" s="3">
        <f ca="1">IFERROR(__xludf.DUMMYFUNCTION("""COMPUTED_VALUE"""),-0.198240546040253)</f>
        <v>-0.19824054604025301</v>
      </c>
      <c r="DL29" s="3">
        <f ca="1">IFERROR(__xludf.DUMMYFUNCTION("""COMPUTED_VALUE"""),-0.0595256248870599)</f>
        <v>-5.9525624887059897E-2</v>
      </c>
      <c r="DM29" s="3">
        <f ca="1">IFERROR(__xludf.DUMMYFUNCTION("""COMPUTED_VALUE"""),0.00572411994381338)</f>
        <v>5.7241199438133796E-3</v>
      </c>
      <c r="DN29" s="3">
        <f ca="1">IFERROR(__xludf.DUMMYFUNCTION("""COMPUTED_VALUE"""),0.260592855236218)</f>
        <v>0.260592855236218</v>
      </c>
      <c r="DO29" s="3">
        <f ca="1">IFERROR(__xludf.DUMMYFUNCTION("""COMPUTED_VALUE"""),-0.0605338396061038)</f>
        <v>-6.0533839606103798E-2</v>
      </c>
      <c r="DP29" s="3">
        <f ca="1">IFERROR(__xludf.DUMMYFUNCTION("""COMPUTED_VALUE"""),-0.0836549223650925)</f>
        <v>-8.3654922365092504E-2</v>
      </c>
      <c r="DQ29" s="3">
        <f ca="1">IFERROR(__xludf.DUMMYFUNCTION("""COMPUTED_VALUE"""),-0.267912906006897)</f>
        <v>-0.26791290600689699</v>
      </c>
      <c r="DR29" s="3">
        <f ca="1">IFERROR(__xludf.DUMMYFUNCTION("""COMPUTED_VALUE"""),-0.222945556866834)</f>
        <v>-0.22294555686683401</v>
      </c>
      <c r="DS29" s="3">
        <f ca="1">IFERROR(__xludf.DUMMYFUNCTION("""COMPUTED_VALUE"""),-0.171827068646278)</f>
        <v>-0.171827068646278</v>
      </c>
      <c r="DT29" s="3">
        <f ca="1">IFERROR(__xludf.DUMMYFUNCTION("""COMPUTED_VALUE"""),-0.122412132449178)</f>
        <v>-0.12241213244917799</v>
      </c>
      <c r="DU29" s="3">
        <f ca="1">IFERROR(__xludf.DUMMYFUNCTION("""COMPUTED_VALUE"""),-0.105496447359511)</f>
        <v>-0.105496447359511</v>
      </c>
      <c r="DV29" s="3">
        <f ca="1">IFERROR(__xludf.DUMMYFUNCTION("""COMPUTED_VALUE"""),-0.153955834698581)</f>
        <v>-0.15395583469858101</v>
      </c>
      <c r="DW29" s="3">
        <f ca="1">IFERROR(__xludf.DUMMYFUNCTION("""COMPUTED_VALUE"""),-0.205507903144648)</f>
        <v>-0.20550790314464801</v>
      </c>
      <c r="DX29" s="3">
        <f ca="1">IFERROR(__xludf.DUMMYFUNCTION("""COMPUTED_VALUE"""),-0.268120384055815)</f>
        <v>-0.26812038405581501</v>
      </c>
      <c r="DY29" s="3">
        <f ca="1">IFERROR(__xludf.DUMMYFUNCTION("""COMPUTED_VALUE"""),-0.251840371809582)</f>
        <v>-0.25184037180958202</v>
      </c>
      <c r="DZ29" s="3">
        <f ca="1">IFERROR(__xludf.DUMMYFUNCTION("""COMPUTED_VALUE"""),-0.206461741755716)</f>
        <v>-0.20646174175571599</v>
      </c>
      <c r="EA29" s="3">
        <f ca="1">IFERROR(__xludf.DUMMYFUNCTION("""COMPUTED_VALUE"""),-0.131887359058866)</f>
        <v>-0.131887359058866</v>
      </c>
      <c r="EB29" s="3">
        <f ca="1">IFERROR(__xludf.DUMMYFUNCTION("""COMPUTED_VALUE"""),-0.0966686755651805)</f>
        <v>-9.6668675565180495E-2</v>
      </c>
      <c r="EC29" s="3">
        <f ca="1">IFERROR(__xludf.DUMMYFUNCTION("""COMPUTED_VALUE"""),-0.108132531280053)</f>
        <v>-0.108132531280053</v>
      </c>
      <c r="ED29" s="3">
        <f ca="1">IFERROR(__xludf.DUMMYFUNCTION("""COMPUTED_VALUE"""),-0.144638736147737)</f>
        <v>-0.14463873614773701</v>
      </c>
      <c r="EE29" s="3">
        <f ca="1">IFERROR(__xludf.DUMMYFUNCTION("""COMPUTED_VALUE"""),-0.466942464762355)</f>
        <v>-0.46694246476235501</v>
      </c>
      <c r="EF29" s="3">
        <f ca="1">IFERROR(__xludf.DUMMYFUNCTION("""COMPUTED_VALUE"""),-0.243273569455338)</f>
        <v>-0.24327356945533801</v>
      </c>
      <c r="EG29" s="3">
        <f ca="1">IFERROR(__xludf.DUMMYFUNCTION("""COMPUTED_VALUE"""),-0.071546405829789)</f>
        <v>-7.1546405829788995E-2</v>
      </c>
      <c r="EH29" s="3">
        <f ca="1">IFERROR(__xludf.DUMMYFUNCTION("""COMPUTED_VALUE"""),-0.137822811392274)</f>
        <v>-0.13782281139227401</v>
      </c>
      <c r="EI29" s="3">
        <f ca="1">IFERROR(__xludf.DUMMYFUNCTION("""COMPUTED_VALUE"""),-0.178612152380193)</f>
        <v>-0.17861215238019301</v>
      </c>
      <c r="EJ29" s="3">
        <f ca="1">IFERROR(__xludf.DUMMYFUNCTION("""COMPUTED_VALUE"""),-0.112773507816423)</f>
        <v>-0.11277350781642299</v>
      </c>
      <c r="EK29" s="3">
        <f ca="1">IFERROR(__xludf.DUMMYFUNCTION("""COMPUTED_VALUE"""),-0.23187908993015)</f>
        <v>-0.23187908993015</v>
      </c>
      <c r="EL29" s="3">
        <f ca="1">IFERROR(__xludf.DUMMYFUNCTION("""COMPUTED_VALUE"""),-0.440500335587291)</f>
        <v>-0.44050033558729101</v>
      </c>
      <c r="EM29" s="3">
        <f ca="1">IFERROR(__xludf.DUMMYFUNCTION("""COMPUTED_VALUE"""),-0.368968750836653)</f>
        <v>-0.36896875083665298</v>
      </c>
      <c r="EN29" s="3">
        <f ca="1">IFERROR(__xludf.DUMMYFUNCTION("""COMPUTED_VALUE"""),-0.265564609567874)</f>
        <v>-0.26556460956787398</v>
      </c>
      <c r="EO29" s="3">
        <f ca="1">IFERROR(__xludf.DUMMYFUNCTION("""COMPUTED_VALUE"""),-0.21256531951053)</f>
        <v>-0.21256531951053001</v>
      </c>
      <c r="EP29" s="3">
        <f ca="1">IFERROR(__xludf.DUMMYFUNCTION("""COMPUTED_VALUE"""),-0.24164516088081)</f>
        <v>-0.24164516088081001</v>
      </c>
      <c r="EQ29" s="3">
        <f ca="1">IFERROR(__xludf.DUMMYFUNCTION("""COMPUTED_VALUE"""),-0.254647326797467)</f>
        <v>-0.25464732679746699</v>
      </c>
      <c r="ER29" s="3">
        <f ca="1">IFERROR(__xludf.DUMMYFUNCTION("""COMPUTED_VALUE"""),-0.176466469230692)</f>
        <v>-0.17646646923069201</v>
      </c>
      <c r="ES29" s="3">
        <f ca="1">IFERROR(__xludf.DUMMYFUNCTION("""COMPUTED_VALUE"""),-0.441393350991781)</f>
        <v>-0.44139335099178101</v>
      </c>
      <c r="ET29" s="3">
        <f ca="1">IFERROR(__xludf.DUMMYFUNCTION("""COMPUTED_VALUE"""),-0.359132995426398)</f>
        <v>-0.35913299542639798</v>
      </c>
      <c r="EU29" s="3">
        <f ca="1">IFERROR(__xludf.DUMMYFUNCTION("""COMPUTED_VALUE"""),-0.196391346862099)</f>
        <v>-0.196391346862099</v>
      </c>
      <c r="EV29" s="3">
        <f ca="1">IFERROR(__xludf.DUMMYFUNCTION("""COMPUTED_VALUE"""),-0.197197406724192)</f>
        <v>-0.197197406724192</v>
      </c>
      <c r="EW29" s="3">
        <f ca="1">IFERROR(__xludf.DUMMYFUNCTION("""COMPUTED_VALUE"""),-0.205829054163339)</f>
        <v>-0.20582905416333899</v>
      </c>
      <c r="EX29" s="3">
        <f ca="1">IFERROR(__xludf.DUMMYFUNCTION("""COMPUTED_VALUE"""),-0.258977071319048)</f>
        <v>-0.25897707131904801</v>
      </c>
      <c r="EY29" s="3">
        <f ca="1">IFERROR(__xludf.DUMMYFUNCTION("""COMPUTED_VALUE"""),-0.162392934412334)</f>
        <v>-0.16239293441233399</v>
      </c>
      <c r="EZ29" s="3">
        <f ca="1">IFERROR(__xludf.DUMMYFUNCTION("""COMPUTED_VALUE"""),-0.469448763400219)</f>
        <v>-0.46944876340021902</v>
      </c>
      <c r="FA29" s="3">
        <f ca="1">IFERROR(__xludf.DUMMYFUNCTION("""COMPUTED_VALUE"""),-0.388599238291926)</f>
        <v>-0.388599238291926</v>
      </c>
      <c r="FB29" s="3">
        <f ca="1">IFERROR(__xludf.DUMMYFUNCTION("""COMPUTED_VALUE"""),-0.144181995020564)</f>
        <v>-0.144181995020564</v>
      </c>
      <c r="FC29" s="3">
        <f ca="1">IFERROR(__xludf.DUMMYFUNCTION("""COMPUTED_VALUE"""),-0.253648647856777)</f>
        <v>-0.25364864785677699</v>
      </c>
      <c r="FD29" s="3">
        <f ca="1">IFERROR(__xludf.DUMMYFUNCTION("""COMPUTED_VALUE"""),-0.228611155458468)</f>
        <v>-0.228611155458468</v>
      </c>
      <c r="FE29" s="3">
        <f ca="1">IFERROR(__xludf.DUMMYFUNCTION("""COMPUTED_VALUE"""),-0.182104485958561)</f>
        <v>-0.18210448595856099</v>
      </c>
      <c r="FF29" s="3">
        <f ca="1">IFERROR(__xludf.DUMMYFUNCTION("""COMPUTED_VALUE"""),-0.0848842961121951)</f>
        <v>-8.4884296112195098E-2</v>
      </c>
      <c r="FG29" s="3">
        <f ca="1">IFERROR(__xludf.DUMMYFUNCTION("""COMPUTED_VALUE"""),-0.420620275503689)</f>
        <v>-0.42062027550368902</v>
      </c>
      <c r="FH29" s="3">
        <f ca="1">IFERROR(__xludf.DUMMYFUNCTION("""COMPUTED_VALUE"""),-0.371391605294983)</f>
        <v>-0.371391605294983</v>
      </c>
      <c r="FI29" s="3">
        <f ca="1">IFERROR(__xludf.DUMMYFUNCTION("""COMPUTED_VALUE"""),-0.176190682847009)</f>
        <v>-0.17619068284700901</v>
      </c>
      <c r="FJ29" s="3">
        <f ca="1">IFERROR(__xludf.DUMMYFUNCTION("""COMPUTED_VALUE"""),-0.1320982956797)</f>
        <v>-0.1320982956797</v>
      </c>
      <c r="FK29" s="3">
        <f ca="1">IFERROR(__xludf.DUMMYFUNCTION("""COMPUTED_VALUE"""),-0.182208783812168)</f>
        <v>-0.18220878381216801</v>
      </c>
      <c r="FL29" s="3">
        <f ca="1">IFERROR(__xludf.DUMMYFUNCTION("""COMPUTED_VALUE"""),-0.199812764974114)</f>
        <v>-0.19981276497411399</v>
      </c>
      <c r="FM29" s="3">
        <f ca="1">IFERROR(__xludf.DUMMYFUNCTION("""COMPUTED_VALUE"""),-0.530976876150249)</f>
        <v>-0.53097687615024902</v>
      </c>
      <c r="FN29" s="3">
        <f ca="1">IFERROR(__xludf.DUMMYFUNCTION("""COMPUTED_VALUE"""),-0.429976996600404)</f>
        <v>-0.429976996600404</v>
      </c>
      <c r="FO29" s="3">
        <f ca="1">IFERROR(__xludf.DUMMYFUNCTION("""COMPUTED_VALUE"""),-0.412763103565206)</f>
        <v>-0.41276310356520601</v>
      </c>
      <c r="FP29" s="3">
        <f ca="1">IFERROR(__xludf.DUMMYFUNCTION("""COMPUTED_VALUE"""),-0.218554467652642)</f>
        <v>-0.218554467652642</v>
      </c>
      <c r="FQ29" s="3">
        <f ca="1">IFERROR(__xludf.DUMMYFUNCTION("""COMPUTED_VALUE"""),-0.246334257850418)</f>
        <v>-0.24633425785041799</v>
      </c>
      <c r="FR29" s="3">
        <f ca="1">IFERROR(__xludf.DUMMYFUNCTION("""COMPUTED_VALUE"""),-0.23442642275188)</f>
        <v>-0.23442642275188</v>
      </c>
      <c r="FS29" s="3">
        <f ca="1">IFERROR(__xludf.DUMMYFUNCTION("""COMPUTED_VALUE"""),-0.206269098139213)</f>
        <v>-0.20626909813921299</v>
      </c>
      <c r="FT29" s="3">
        <f ca="1">IFERROR(__xludf.DUMMYFUNCTION("""COMPUTED_VALUE"""),-0.0453374263282487)</f>
        <v>-4.5337426328248699E-2</v>
      </c>
      <c r="FU29" s="3">
        <f ca="1">IFERROR(__xludf.DUMMYFUNCTION("""COMPUTED_VALUE"""),-0.366922450804945)</f>
        <v>-0.36692245080494501</v>
      </c>
      <c r="FV29" s="3">
        <f ca="1">IFERROR(__xludf.DUMMYFUNCTION("""COMPUTED_VALUE"""),-0.315040934811194)</f>
        <v>-0.315040934811194</v>
      </c>
      <c r="FW29" s="3">
        <f ca="1">IFERROR(__xludf.DUMMYFUNCTION("""COMPUTED_VALUE"""),-0.162284474483247)</f>
        <v>-0.16228447448324701</v>
      </c>
      <c r="FX29" s="3">
        <f ca="1">IFERROR(__xludf.DUMMYFUNCTION("""COMPUTED_VALUE"""),-0.246967102456522)</f>
        <v>-0.24696710245652201</v>
      </c>
      <c r="FY29" s="3">
        <f ca="1">IFERROR(__xludf.DUMMYFUNCTION("""COMPUTED_VALUE"""),-0.192297541352915)</f>
        <v>-0.19229754135291499</v>
      </c>
      <c r="FZ29" s="3">
        <f ca="1">IFERROR(__xludf.DUMMYFUNCTION("""COMPUTED_VALUE"""),-0.192239391162686)</f>
        <v>-0.19223939116268601</v>
      </c>
      <c r="GA29" s="3">
        <f ca="1">IFERROR(__xludf.DUMMYFUNCTION("""COMPUTED_VALUE"""),-0.186827345976279)</f>
        <v>-0.18682734597627901</v>
      </c>
      <c r="GB29" s="3">
        <f ca="1">IFERROR(__xludf.DUMMYFUNCTION("""COMPUTED_VALUE"""),-0.411565294214773)</f>
        <v>-0.411565294214773</v>
      </c>
      <c r="GC29" s="3">
        <f ca="1">IFERROR(__xludf.DUMMYFUNCTION("""COMPUTED_VALUE"""),-0.443306838197928)</f>
        <v>-0.44330683819792799</v>
      </c>
      <c r="GD29" s="3">
        <f ca="1">IFERROR(__xludf.DUMMYFUNCTION("""COMPUTED_VALUE"""),-0.352013978655681)</f>
        <v>-0.35201397865568101</v>
      </c>
      <c r="GE29" s="3">
        <f ca="1">IFERROR(__xludf.DUMMYFUNCTION("""COMPUTED_VALUE"""),-0.344981126934229)</f>
        <v>-0.344981126934229</v>
      </c>
      <c r="GF29" s="3">
        <f ca="1">IFERROR(__xludf.DUMMYFUNCTION("""COMPUTED_VALUE"""),-0.356970303346128)</f>
        <v>-0.356970303346128</v>
      </c>
      <c r="GG29" s="3">
        <f ca="1">IFERROR(__xludf.DUMMYFUNCTION("""COMPUTED_VALUE"""),-0.344353285848055)</f>
        <v>-0.34435328584805502</v>
      </c>
      <c r="GH29" s="3">
        <f ca="1">IFERROR(__xludf.DUMMYFUNCTION("""COMPUTED_VALUE"""),-0.386847516100417)</f>
        <v>-0.38684751610041701</v>
      </c>
      <c r="GI29" s="3">
        <f ca="1">IFERROR(__xludf.DUMMYFUNCTION("""COMPUTED_VALUE"""),-0.344858114841555)</f>
        <v>-0.34485811484155499</v>
      </c>
      <c r="GJ29" s="3">
        <f ca="1">IFERROR(__xludf.DUMMYFUNCTION("""COMPUTED_VALUE"""),-0.373357642689558)</f>
        <v>-0.37335764268955801</v>
      </c>
      <c r="GK29" s="3">
        <f ca="1">IFERROR(__xludf.DUMMYFUNCTION("""COMPUTED_VALUE"""),-0.364759873604333)</f>
        <v>-0.36475987360433298</v>
      </c>
      <c r="GL29" s="3">
        <f ca="1">IFERROR(__xludf.DUMMYFUNCTION("""COMPUTED_VALUE"""),-0.400226070359227)</f>
        <v>-0.40022607035922703</v>
      </c>
      <c r="GM29" s="3">
        <f ca="1">IFERROR(__xludf.DUMMYFUNCTION("""COMPUTED_VALUE"""),-0.395128962570212)</f>
        <v>-0.39512896257021202</v>
      </c>
      <c r="GN29" s="3">
        <f ca="1">IFERROR(__xludf.DUMMYFUNCTION("""COMPUTED_VALUE"""),-0.339823167967132)</f>
        <v>-0.33982316796713202</v>
      </c>
      <c r="GO29" s="3">
        <f ca="1">IFERROR(__xludf.DUMMYFUNCTION("""COMPUTED_VALUE"""),-0.329748082340099)</f>
        <v>-0.329748082340099</v>
      </c>
      <c r="GP29" s="3">
        <f ca="1">IFERROR(__xludf.DUMMYFUNCTION("""COMPUTED_VALUE"""),-0.440036591160123)</f>
        <v>-0.440036591160123</v>
      </c>
      <c r="GQ29" s="3">
        <f ca="1">IFERROR(__xludf.DUMMYFUNCTION("""COMPUTED_VALUE"""),-0.366156724932146)</f>
        <v>-0.36615672493214602</v>
      </c>
      <c r="GR29" s="3">
        <f ca="1">IFERROR(__xludf.DUMMYFUNCTION("""COMPUTED_VALUE"""),-0.197228111158499)</f>
        <v>-0.197228111158499</v>
      </c>
      <c r="GS29" s="3">
        <f ca="1">IFERROR(__xludf.DUMMYFUNCTION("""COMPUTED_VALUE"""),-0.319037668543013)</f>
        <v>-0.31903766854301302</v>
      </c>
      <c r="GT29" s="3">
        <f ca="1">IFERROR(__xludf.DUMMYFUNCTION("""COMPUTED_VALUE"""),-0.190945863093574)</f>
        <v>-0.190945863093574</v>
      </c>
      <c r="GU29" s="3">
        <f ca="1">IFERROR(__xludf.DUMMYFUNCTION("""COMPUTED_VALUE"""),-0.191385843179405)</f>
        <v>-0.19138584317940499</v>
      </c>
      <c r="GV29" s="3">
        <f ca="1">IFERROR(__xludf.DUMMYFUNCTION("""COMPUTED_VALUE"""),-0.228618592115104)</f>
        <v>-0.22861859211510399</v>
      </c>
      <c r="GW29" s="3">
        <f ca="1">IFERROR(__xludf.DUMMYFUNCTION("""COMPUTED_VALUE"""),-0.357297553850533)</f>
        <v>-0.35729755385053302</v>
      </c>
      <c r="GX29" s="3">
        <f ca="1">IFERROR(__xludf.DUMMYFUNCTION("""COMPUTED_VALUE"""),-0.371427542127252)</f>
        <v>-0.37142754212725199</v>
      </c>
      <c r="GY29" s="3">
        <f ca="1">IFERROR(__xludf.DUMMYFUNCTION("""COMPUTED_VALUE"""),-0.256671665607255)</f>
        <v>-0.25667166560725502</v>
      </c>
      <c r="GZ29" s="3">
        <f ca="1">IFERROR(__xludf.DUMMYFUNCTION("""COMPUTED_VALUE"""),-0.282579304155341)</f>
        <v>-0.28257930415534099</v>
      </c>
      <c r="HA29" s="3">
        <f ca="1">IFERROR(__xludf.DUMMYFUNCTION("""COMPUTED_VALUE"""),-0.258727891102871)</f>
        <v>-0.25872789110287098</v>
      </c>
      <c r="HB29" s="3">
        <f ca="1">IFERROR(__xludf.DUMMYFUNCTION("""COMPUTED_VALUE"""),-0.272319594968384)</f>
        <v>-0.27231959496838398</v>
      </c>
      <c r="HC29" s="3">
        <f ca="1">IFERROR(__xludf.DUMMYFUNCTION("""COMPUTED_VALUE"""),-0.288986317262658)</f>
        <v>-0.288986317262658</v>
      </c>
      <c r="HD29" s="3">
        <f ca="1">IFERROR(__xludf.DUMMYFUNCTION("""COMPUTED_VALUE"""),-0.442032930904838)</f>
        <v>-0.44203293090483797</v>
      </c>
      <c r="HE29" s="3">
        <f ca="1">IFERROR(__xludf.DUMMYFUNCTION("""COMPUTED_VALUE"""),-0.391097529251326)</f>
        <v>-0.39109752925132601</v>
      </c>
      <c r="HF29" s="3">
        <f ca="1">IFERROR(__xludf.DUMMYFUNCTION("""COMPUTED_VALUE"""),-0.28451134060128)</f>
        <v>-0.28451134060128003</v>
      </c>
      <c r="HG29" s="3">
        <f ca="1">IFERROR(__xludf.DUMMYFUNCTION("""COMPUTED_VALUE"""),-0.339202321181044)</f>
        <v>-0.33920232118104399</v>
      </c>
      <c r="HH29" s="3">
        <f ca="1">IFERROR(__xludf.DUMMYFUNCTION("""COMPUTED_VALUE"""),-0.329886277782078)</f>
        <v>-0.32988627778207802</v>
      </c>
      <c r="HI29" s="3">
        <f ca="1">IFERROR(__xludf.DUMMYFUNCTION("""COMPUTED_VALUE"""),-0.295480237455256)</f>
        <v>-0.29548023745525598</v>
      </c>
      <c r="HJ29" s="3">
        <f ca="1">IFERROR(__xludf.DUMMYFUNCTION("""COMPUTED_VALUE"""),-0.279263125036899)</f>
        <v>-0.27926312503689898</v>
      </c>
      <c r="HK29" s="3">
        <f ca="1">IFERROR(__xludf.DUMMYFUNCTION("""COMPUTED_VALUE"""),-0.420936737857164)</f>
        <v>-0.42093673785716401</v>
      </c>
      <c r="HL29" s="3">
        <f ca="1">IFERROR(__xludf.DUMMYFUNCTION("""COMPUTED_VALUE"""),-0.399944017945966)</f>
        <v>-0.39994401794596601</v>
      </c>
      <c r="HM29" s="3">
        <f ca="1">IFERROR(__xludf.DUMMYFUNCTION("""COMPUTED_VALUE"""),-0.345108894331868)</f>
        <v>-0.34510889433186798</v>
      </c>
      <c r="HN29" s="3">
        <f ca="1">IFERROR(__xludf.DUMMYFUNCTION("""COMPUTED_VALUE"""),-0.340026469402069)</f>
        <v>-0.34002646940206899</v>
      </c>
      <c r="HO29" s="3">
        <f ca="1">IFERROR(__xludf.DUMMYFUNCTION("""COMPUTED_VALUE"""),-0.316996093225587)</f>
        <v>-0.31699609322558697</v>
      </c>
      <c r="HP29" s="3">
        <f ca="1">IFERROR(__xludf.DUMMYFUNCTION("""COMPUTED_VALUE"""),-0.283588832488918)</f>
        <v>-0.28358883248891797</v>
      </c>
      <c r="HQ29" s="3">
        <f ca="1">IFERROR(__xludf.DUMMYFUNCTION("""COMPUTED_VALUE"""),-0.261624034492837)</f>
        <v>-0.261624034492837</v>
      </c>
      <c r="HR29" s="3">
        <f ca="1">IFERROR(__xludf.DUMMYFUNCTION("""COMPUTED_VALUE"""),-0.437438556867185)</f>
        <v>-0.43743855686718502</v>
      </c>
      <c r="HS29" s="3">
        <f ca="1">IFERROR(__xludf.DUMMYFUNCTION("""COMPUTED_VALUE"""),-0.384421668500102)</f>
        <v>-0.38442166850010201</v>
      </c>
      <c r="HT29" s="3">
        <f ca="1">IFERROR(__xludf.DUMMYFUNCTION("""COMPUTED_VALUE"""),-0.364486793478023)</f>
        <v>-0.36448679347802299</v>
      </c>
      <c r="HU29" s="3">
        <f ca="1">IFERROR(__xludf.DUMMYFUNCTION("""COMPUTED_VALUE"""),-0.265764586360452)</f>
        <v>-0.26576458636045203</v>
      </c>
      <c r="HV29" s="3">
        <f ca="1">IFERROR(__xludf.DUMMYFUNCTION("""COMPUTED_VALUE"""),-0.314091940818328)</f>
        <v>-0.31409194081832797</v>
      </c>
      <c r="HW29" s="3">
        <f ca="1">IFERROR(__xludf.DUMMYFUNCTION("""COMPUTED_VALUE"""),-0.291734540247218)</f>
        <v>-0.29173454024721801</v>
      </c>
      <c r="HX29" s="3">
        <f ca="1">IFERROR(__xludf.DUMMYFUNCTION("""COMPUTED_VALUE"""),-0.264386582944548)</f>
        <v>-0.26438658294454798</v>
      </c>
      <c r="HY29" s="3">
        <f ca="1">IFERROR(__xludf.DUMMYFUNCTION("""COMPUTED_VALUE"""),-0.393687935430406)</f>
        <v>-0.39368793543040598</v>
      </c>
      <c r="HZ29" s="3">
        <f ca="1">IFERROR(__xludf.DUMMYFUNCTION("""COMPUTED_VALUE"""),-0.394858528921433)</f>
        <v>-0.39485852892143303</v>
      </c>
      <c r="IA29" s="3">
        <f ca="1">IFERROR(__xludf.DUMMYFUNCTION("""COMPUTED_VALUE"""),-0.300825068852029)</f>
        <v>-0.30082506885202898</v>
      </c>
      <c r="IB29" s="3">
        <f ca="1">IFERROR(__xludf.DUMMYFUNCTION("""COMPUTED_VALUE"""),-0.317773224979008)</f>
        <v>-0.31777322497900801</v>
      </c>
      <c r="IC29" s="3">
        <f ca="1">IFERROR(__xludf.DUMMYFUNCTION("""COMPUTED_VALUE"""),-0.303135297531903)</f>
        <v>-0.30313529753190299</v>
      </c>
      <c r="ID29" s="3">
        <f ca="1">IFERROR(__xludf.DUMMYFUNCTION("""COMPUTED_VALUE"""),-0.249997118389778)</f>
        <v>-0.24999711838977801</v>
      </c>
      <c r="IE29" s="3">
        <f ca="1">IFERROR(__xludf.DUMMYFUNCTION("""COMPUTED_VALUE"""),-0.303353950084868)</f>
        <v>-0.30335395008486798</v>
      </c>
      <c r="IF29" s="3">
        <f ca="1">IFERROR(__xludf.DUMMYFUNCTION("""COMPUTED_VALUE"""),-0.464800184001785)</f>
        <v>-0.46480018400178502</v>
      </c>
      <c r="IG29" s="3">
        <f ca="1">IFERROR(__xludf.DUMMYFUNCTION("""COMPUTED_VALUE"""),-0.416098057284865)</f>
        <v>-0.41609805728486499</v>
      </c>
      <c r="IH29" s="3">
        <f ca="1">IFERROR(__xludf.DUMMYFUNCTION("""COMPUTED_VALUE"""),-0.309451691341732)</f>
        <v>-0.309451691341732</v>
      </c>
      <c r="II29" s="3">
        <f ca="1">IFERROR(__xludf.DUMMYFUNCTION("""COMPUTED_VALUE"""),-0.22536403624764)</f>
        <v>-0.22536403624764001</v>
      </c>
      <c r="IJ29" s="3">
        <f ca="1">IFERROR(__xludf.DUMMYFUNCTION("""COMPUTED_VALUE"""),-0.243467258614496)</f>
        <v>-0.243467258614496</v>
      </c>
      <c r="IK29" s="3">
        <f ca="1">IFERROR(__xludf.DUMMYFUNCTION("""COMPUTED_VALUE"""),-0.171908190970812)</f>
        <v>-0.171908190970812</v>
      </c>
      <c r="IL29" s="3">
        <f ca="1">IFERROR(__xludf.DUMMYFUNCTION("""COMPUTED_VALUE"""),-0.152582855847731)</f>
        <v>-0.15258285584773101</v>
      </c>
      <c r="IM29" s="3">
        <f ca="1">IFERROR(__xludf.DUMMYFUNCTION("""COMPUTED_VALUE"""),-0.315318996211487)</f>
        <v>-0.31531899621148701</v>
      </c>
      <c r="IN29" s="3">
        <f ca="1">IFERROR(__xludf.DUMMYFUNCTION("""COMPUTED_VALUE"""),-0.315400111827046)</f>
        <v>-0.31540011182704603</v>
      </c>
      <c r="IO29" s="3">
        <f ca="1">IFERROR(__xludf.DUMMYFUNCTION("""COMPUTED_VALUE"""),-0.216888687000245)</f>
        <v>-0.216888687000245</v>
      </c>
      <c r="IP29" s="3">
        <f ca="1">IFERROR(__xludf.DUMMYFUNCTION("""COMPUTED_VALUE"""),-0.142162315118317)</f>
        <v>-0.14216231511831701</v>
      </c>
      <c r="IQ29" s="3">
        <f ca="1">IFERROR(__xludf.DUMMYFUNCTION("""COMPUTED_VALUE"""),-0.187408585998689)</f>
        <v>-0.18740858599868901</v>
      </c>
      <c r="IR29" s="3">
        <f ca="1">IFERROR(__xludf.DUMMYFUNCTION("""COMPUTED_VALUE"""),-0.091608450399132)</f>
        <v>-9.1608450399131999E-2</v>
      </c>
      <c r="IS29" s="3">
        <f ca="1">IFERROR(__xludf.DUMMYFUNCTION("""COMPUTED_VALUE"""),-0.172336118058479)</f>
        <v>-0.17233611805847901</v>
      </c>
      <c r="IT29" s="3">
        <f ca="1">IFERROR(__xludf.DUMMYFUNCTION("""COMPUTED_VALUE"""),-0.256091373104736)</f>
        <v>-0.25609137310473601</v>
      </c>
      <c r="IU29" s="3">
        <f ca="1">IFERROR(__xludf.DUMMYFUNCTION("""COMPUTED_VALUE"""),-0.236256957797058)</f>
        <v>-0.23625695779705799</v>
      </c>
      <c r="IV29" s="3">
        <f ca="1">IFERROR(__xludf.DUMMYFUNCTION("""COMPUTED_VALUE"""),-0.205217581433492)</f>
        <v>-0.205217581433492</v>
      </c>
      <c r="IW29" s="3">
        <f ca="1">IFERROR(__xludf.DUMMYFUNCTION("""COMPUTED_VALUE"""),-0.193265016143214)</f>
        <v>-0.19326501614321401</v>
      </c>
      <c r="IX29" s="3">
        <f ca="1">IFERROR(__xludf.DUMMYFUNCTION("""COMPUTED_VALUE"""),-0.222308019435165)</f>
        <v>-0.22230801943516501</v>
      </c>
      <c r="IY29" s="3">
        <f ca="1">IFERROR(__xludf.DUMMYFUNCTION("""COMPUTED_VALUE"""),-0.160428936945129)</f>
        <v>-0.160428936945129</v>
      </c>
      <c r="IZ29" s="3">
        <f ca="1">IFERROR(__xludf.DUMMYFUNCTION("""COMPUTED_VALUE"""),-0.165672427570837)</f>
        <v>-0.165672427570837</v>
      </c>
      <c r="JA29" s="3">
        <f ca="1">IFERROR(__xludf.DUMMYFUNCTION("""COMPUTED_VALUE"""),-0.321618470786035)</f>
        <v>-0.321618470786035</v>
      </c>
      <c r="JB29" s="3">
        <f ca="1">IFERROR(__xludf.DUMMYFUNCTION("""COMPUTED_VALUE"""),-0.316889412376629)</f>
        <v>-0.31688941237662899</v>
      </c>
      <c r="JC29" s="3">
        <f ca="1">IFERROR(__xludf.DUMMYFUNCTION("""COMPUTED_VALUE"""),-0.156577356121533)</f>
        <v>-0.15657735612153301</v>
      </c>
      <c r="JD29" s="3">
        <f ca="1">IFERROR(__xludf.DUMMYFUNCTION("""COMPUTED_VALUE"""),-0.0845683182369938)</f>
        <v>-8.4568318236993803E-2</v>
      </c>
      <c r="JE29" s="3">
        <f ca="1">IFERROR(__xludf.DUMMYFUNCTION("""COMPUTED_VALUE"""),-0.14527966820006)</f>
        <v>-0.14527966820006</v>
      </c>
      <c r="JF29" s="3">
        <f ca="1">IFERROR(__xludf.DUMMYFUNCTION("""COMPUTED_VALUE"""),0.0081361354600864)</f>
        <v>8.1361354600864005E-3</v>
      </c>
      <c r="JG29" s="3">
        <f ca="1">IFERROR(__xludf.DUMMYFUNCTION("""COMPUTED_VALUE"""),-0.122011115817254)</f>
        <v>-0.122011115817254</v>
      </c>
      <c r="JH29" s="3">
        <f ca="1">IFERROR(__xludf.DUMMYFUNCTION("""COMPUTED_VALUE"""),-0.295123370364423)</f>
        <v>-0.29512337036442299</v>
      </c>
      <c r="JI29" s="3">
        <f ca="1">IFERROR(__xludf.DUMMYFUNCTION("""COMPUTED_VALUE"""),-0.340444217692786)</f>
        <v>-0.34044421769278599</v>
      </c>
      <c r="JJ29" s="3">
        <f ca="1">IFERROR(__xludf.DUMMYFUNCTION("""COMPUTED_VALUE"""),-0.264631923945039)</f>
        <v>-0.26463192394503898</v>
      </c>
      <c r="JK29" s="3">
        <f ca="1">IFERROR(__xludf.DUMMYFUNCTION("""COMPUTED_VALUE"""),-0.311750213586291)</f>
        <v>-0.31175021358629101</v>
      </c>
      <c r="JL29" s="3">
        <f ca="1">IFERROR(__xludf.DUMMYFUNCTION("""COMPUTED_VALUE"""),-0.324882785446006)</f>
        <v>-0.32488278544600602</v>
      </c>
      <c r="JM29" s="3">
        <f ca="1">IFERROR(__xludf.DUMMYFUNCTION("""COMPUTED_VALUE"""),-0.276359251452132)</f>
        <v>-0.27635925145213203</v>
      </c>
      <c r="JN29" s="3">
        <f ca="1">IFERROR(__xludf.DUMMYFUNCTION("""COMPUTED_VALUE"""),-0.36876587612699)</f>
        <v>-0.36876587612699002</v>
      </c>
      <c r="JO29" s="3">
        <f ca="1">IFERROR(__xludf.DUMMYFUNCTION("""COMPUTED_VALUE"""),-0.271920364843796)</f>
        <v>-0.271920364843796</v>
      </c>
      <c r="JP29" s="3">
        <f ca="1">IFERROR(__xludf.DUMMYFUNCTION("""COMPUTED_VALUE"""),-0.314864242346362)</f>
        <v>-0.31486424234636201</v>
      </c>
      <c r="JQ29" s="3">
        <f ca="1">IFERROR(__xludf.DUMMYFUNCTION("""COMPUTED_VALUE"""),-0.322949058986502)</f>
        <v>-0.322949058986502</v>
      </c>
      <c r="JR29" s="3">
        <f ca="1">IFERROR(__xludf.DUMMYFUNCTION("""COMPUTED_VALUE"""),-0.311252900809633)</f>
        <v>-0.31125290080963303</v>
      </c>
      <c r="JS29" s="3">
        <f ca="1">IFERROR(__xludf.DUMMYFUNCTION("""COMPUTED_VALUE"""),-0.398687449233604)</f>
        <v>-0.398687449233604</v>
      </c>
      <c r="JT29" s="3">
        <f ca="1">IFERROR(__xludf.DUMMYFUNCTION("""COMPUTED_VALUE"""),-0.392581715723156)</f>
        <v>-0.39258171572315598</v>
      </c>
      <c r="JU29" s="3">
        <f ca="1">IFERROR(__xludf.DUMMYFUNCTION("""COMPUTED_VALUE"""),-0.302427340790551)</f>
        <v>-0.302427340790551</v>
      </c>
      <c r="JV29" s="3">
        <f ca="1">IFERROR(__xludf.DUMMYFUNCTION("""COMPUTED_VALUE"""),0.0380488992313665)</f>
        <v>3.8048899231366499E-2</v>
      </c>
      <c r="JW29" s="3">
        <f ca="1">IFERROR(__xludf.DUMMYFUNCTION("""COMPUTED_VALUE"""),-0.00121253188953041)</f>
        <v>-1.21253188953041E-3</v>
      </c>
      <c r="JX29" s="3">
        <f ca="1">IFERROR(__xludf.DUMMYFUNCTION("""COMPUTED_VALUE"""),0.163915411146547)</f>
        <v>0.16391541114654701</v>
      </c>
      <c r="JY29" s="3">
        <f ca="1">IFERROR(__xludf.DUMMYFUNCTION("""COMPUTED_VALUE"""),0.040372914891225)</f>
        <v>4.0372914891224999E-2</v>
      </c>
      <c r="JZ29" s="3">
        <f ca="1">IFERROR(__xludf.DUMMYFUNCTION("""COMPUTED_VALUE"""),0.0364125602049252)</f>
        <v>3.6412560204925198E-2</v>
      </c>
      <c r="KA29" s="3">
        <f ca="1">IFERROR(__xludf.DUMMYFUNCTION("""COMPUTED_VALUE"""),0.011726442177574)</f>
        <v>1.1726442177574001E-2</v>
      </c>
      <c r="KB29" s="3">
        <f ca="1">IFERROR(__xludf.DUMMYFUNCTION("""COMPUTED_VALUE"""),0.0267496292071234)</f>
        <v>2.6749629207123399E-2</v>
      </c>
      <c r="KC29" s="3">
        <f ca="1">IFERROR(__xludf.DUMMYFUNCTION("""COMPUTED_VALUE"""),0.0567487749825028)</f>
        <v>5.6748774982502803E-2</v>
      </c>
      <c r="KD29" s="3">
        <f ca="1">IFERROR(__xludf.DUMMYFUNCTION("""COMPUTED_VALUE"""),-0.0721890695361875)</f>
        <v>-7.2189069536187506E-2</v>
      </c>
      <c r="KE29" s="3">
        <f ca="1">IFERROR(__xludf.DUMMYFUNCTION("""COMPUTED_VALUE"""),0.0366843539559027)</f>
        <v>3.66843539559027E-2</v>
      </c>
      <c r="KF29" s="3">
        <f ca="1">IFERROR(__xludf.DUMMYFUNCTION("""COMPUTED_VALUE"""),0.0060051349988095)</f>
        <v>6.0051349988095E-3</v>
      </c>
      <c r="KG29" s="3">
        <f ca="1">IFERROR(__xludf.DUMMYFUNCTION("""COMPUTED_VALUE"""),-0.0235800353042242)</f>
        <v>-2.3580035304224201E-2</v>
      </c>
      <c r="KH29" s="3">
        <f ca="1">IFERROR(__xludf.DUMMYFUNCTION("""COMPUTED_VALUE"""),0.041814135499256)</f>
        <v>4.1814135499256E-2</v>
      </c>
      <c r="KI29" s="3">
        <f ca="1">IFERROR(__xludf.DUMMYFUNCTION("""COMPUTED_VALUE"""),0.107798984064196)</f>
        <v>0.107798984064196</v>
      </c>
      <c r="KJ29" s="3">
        <f ca="1">IFERROR(__xludf.DUMMYFUNCTION("""COMPUTED_VALUE"""),-0.00583611979321874)</f>
        <v>-5.8361197932187397E-3</v>
      </c>
      <c r="KK29" s="3">
        <f ca="1">IFERROR(__xludf.DUMMYFUNCTION("""COMPUTED_VALUE"""),-0.00968826644080789)</f>
        <v>-9.6882664408078894E-3</v>
      </c>
      <c r="KL29" s="3">
        <f ca="1">IFERROR(__xludf.DUMMYFUNCTION("""COMPUTED_VALUE"""),-0.134800989632148)</f>
        <v>-0.13480098963214801</v>
      </c>
      <c r="KM29" s="3">
        <f ca="1">IFERROR(__xludf.DUMMYFUNCTION("""COMPUTED_VALUE"""),-0.0887539536192502)</f>
        <v>-8.8753953619250203E-2</v>
      </c>
      <c r="KN29" s="3">
        <f ca="1">IFERROR(__xludf.DUMMYFUNCTION("""COMPUTED_VALUE"""),-0.0842875090587877)</f>
        <v>-8.4287509058787694E-2</v>
      </c>
      <c r="KO29" s="3">
        <f ca="1">IFERROR(__xludf.DUMMYFUNCTION("""COMPUTED_VALUE"""),-0.0530676700312293)</f>
        <v>-5.3067670031229301E-2</v>
      </c>
      <c r="KP29" s="3">
        <f ca="1">IFERROR(__xludf.DUMMYFUNCTION("""COMPUTED_VALUE"""),0.020969280357449)</f>
        <v>2.0969280357449001E-2</v>
      </c>
      <c r="KQ29" s="3">
        <f ca="1">IFERROR(__xludf.DUMMYFUNCTION("""COMPUTED_VALUE"""),0.185484439928724)</f>
        <v>0.18548443992872399</v>
      </c>
      <c r="KR29" s="3">
        <f ca="1">IFERROR(__xludf.DUMMYFUNCTION("""COMPUTED_VALUE"""),-0.0109122428311386)</f>
        <v>-1.09122428311386E-2</v>
      </c>
      <c r="KS29" s="3">
        <f ca="1">IFERROR(__xludf.DUMMYFUNCTION("""COMPUTED_VALUE"""),-0.112974282528686)</f>
        <v>-0.11297428252868599</v>
      </c>
      <c r="KT29" s="3">
        <f ca="1">IFERROR(__xludf.DUMMYFUNCTION("""COMPUTED_VALUE"""),-0.0833650177838756)</f>
        <v>-8.3365017783875603E-2</v>
      </c>
      <c r="KU29" s="3">
        <f ca="1">IFERROR(__xludf.DUMMYFUNCTION("""COMPUTED_VALUE"""),-0.121302157777322)</f>
        <v>-0.12130215777732201</v>
      </c>
      <c r="KV29" s="3">
        <f ca="1">IFERROR(__xludf.DUMMYFUNCTION("""COMPUTED_VALUE"""),-0.0711176698553286)</f>
        <v>-7.1117669855328594E-2</v>
      </c>
      <c r="KW29" s="3">
        <f ca="1">IFERROR(__xludf.DUMMYFUNCTION("""COMPUTED_VALUE"""),0.0605560992003699)</f>
        <v>6.0556099200369903E-2</v>
      </c>
      <c r="KX29" s="3">
        <f ca="1">IFERROR(__xludf.DUMMYFUNCTION("""COMPUTED_VALUE"""),-0.216808739245887)</f>
        <v>-0.21680873924588701</v>
      </c>
      <c r="KY29" s="3">
        <f ca="1">IFERROR(__xludf.DUMMYFUNCTION("""COMPUTED_VALUE"""),-0.141973151745701)</f>
        <v>-0.14197315174570099</v>
      </c>
      <c r="KZ29" s="3">
        <f ca="1">IFERROR(__xludf.DUMMYFUNCTION("""COMPUTED_VALUE"""),-0.179801761550368)</f>
        <v>-0.17980176155036801</v>
      </c>
      <c r="LA29" s="3">
        <f ca="1">IFERROR(__xludf.DUMMYFUNCTION("""COMPUTED_VALUE"""),-0.188878405022251)</f>
        <v>-0.18887840502225101</v>
      </c>
      <c r="LB29" s="3">
        <f ca="1">IFERROR(__xludf.DUMMYFUNCTION("""COMPUTED_VALUE"""),-0.215250918597376)</f>
        <v>-0.215250918597376</v>
      </c>
      <c r="LC29" s="3">
        <f ca="1">IFERROR(__xludf.DUMMYFUNCTION("""COMPUTED_VALUE"""),-0.309044130925348)</f>
        <v>-0.30904413092534799</v>
      </c>
      <c r="LD29" s="3">
        <f ca="1">IFERROR(__xludf.DUMMYFUNCTION("""COMPUTED_VALUE"""),-0.602389163503111)</f>
        <v>-0.602389163503111</v>
      </c>
      <c r="LE29" s="3">
        <f ca="1">IFERROR(__xludf.DUMMYFUNCTION("""COMPUTED_VALUE"""),-0.214231830633038)</f>
        <v>-0.214231830633038</v>
      </c>
      <c r="LF29" s="3">
        <f ca="1">IFERROR(__xludf.DUMMYFUNCTION("""COMPUTED_VALUE"""),-0.338558607269423)</f>
        <v>-0.338558607269423</v>
      </c>
      <c r="LG29" s="3">
        <f ca="1">IFERROR(__xludf.DUMMYFUNCTION("""COMPUTED_VALUE"""),-0.300360081855909)</f>
        <v>-0.30036008185590901</v>
      </c>
      <c r="LH29" s="3">
        <f ca="1">IFERROR(__xludf.DUMMYFUNCTION("""COMPUTED_VALUE"""),-0.40432924103077)</f>
        <v>-0.40432924103077</v>
      </c>
      <c r="LI29" s="3">
        <f ca="1">IFERROR(__xludf.DUMMYFUNCTION("""COMPUTED_VALUE"""),-0.388431662575743)</f>
        <v>-0.38843166257574302</v>
      </c>
      <c r="LJ29" s="3">
        <f ca="1">IFERROR(__xludf.DUMMYFUNCTION("""COMPUTED_VALUE"""),-0.284402035796048)</f>
        <v>-0.284402035796048</v>
      </c>
      <c r="LK29" s="3">
        <f ca="1">IFERROR(__xludf.DUMMYFUNCTION("""COMPUTED_VALUE"""),-0.263934318462858)</f>
        <v>-0.26393431846285798</v>
      </c>
      <c r="LL29" s="3">
        <f ca="1">IFERROR(__xludf.DUMMYFUNCTION("""COMPUTED_VALUE"""),-0.367606521169819)</f>
        <v>-0.36760652116981901</v>
      </c>
      <c r="LM29" s="3">
        <f ca="1">IFERROR(__xludf.DUMMYFUNCTION("""COMPUTED_VALUE"""),-0.396426254178052)</f>
        <v>-0.396426254178052</v>
      </c>
      <c r="LN29" s="3">
        <f ca="1">IFERROR(__xludf.DUMMYFUNCTION("""COMPUTED_VALUE"""),-0.435733785151323)</f>
        <v>-0.43573378515132299</v>
      </c>
      <c r="LO29" s="3">
        <f ca="1">IFERROR(__xludf.DUMMYFUNCTION("""COMPUTED_VALUE"""),-0.455671646387679)</f>
        <v>-0.45567164638767899</v>
      </c>
      <c r="LP29" s="3">
        <f ca="1">IFERROR(__xludf.DUMMYFUNCTION("""COMPUTED_VALUE"""),-0.42633934375744)</f>
        <v>-0.42633934375743998</v>
      </c>
      <c r="LQ29" s="3">
        <f ca="1">IFERROR(__xludf.DUMMYFUNCTION("""COMPUTED_VALUE"""),-0.356224965273436)</f>
        <v>-0.356224965273436</v>
      </c>
      <c r="LR29" s="3">
        <f ca="1">IFERROR(__xludf.DUMMYFUNCTION("""COMPUTED_VALUE"""),-0.367837321735938)</f>
        <v>-0.36783732173593803</v>
      </c>
      <c r="LS29" s="3">
        <f ca="1">IFERROR(__xludf.DUMMYFUNCTION("""COMPUTED_VALUE"""),-0.532517167501922)</f>
        <v>-0.53251716750192202</v>
      </c>
      <c r="LT29" s="3">
        <f ca="1">IFERROR(__xludf.DUMMYFUNCTION("""COMPUTED_VALUE"""),-0.608727972824205)</f>
        <v>-0.60872797282420499</v>
      </c>
      <c r="LU29" s="3">
        <f ca="1">IFERROR(__xludf.DUMMYFUNCTION("""COMPUTED_VALUE"""),-0.706806400814746)</f>
        <v>-0.70680640081474599</v>
      </c>
      <c r="LV29" s="3">
        <f ca="1">IFERROR(__xludf.DUMMYFUNCTION("""COMPUTED_VALUE"""),-0.776629772918055)</f>
        <v>-0.77662977291805502</v>
      </c>
      <c r="LW29" s="3">
        <f ca="1">IFERROR(__xludf.DUMMYFUNCTION("""COMPUTED_VALUE"""),-0.847282917191677)</f>
        <v>-0.84728291719167703</v>
      </c>
      <c r="LX29" s="3">
        <f ca="1">IFERROR(__xludf.DUMMYFUNCTION("""COMPUTED_VALUE"""),-0.88377946412648)</f>
        <v>-0.88377946412648001</v>
      </c>
      <c r="LY29" s="3">
        <f ca="1">IFERROR(__xludf.DUMMYFUNCTION("""COMPUTED_VALUE"""),-0.883452205930978)</f>
        <v>-0.88345220593097795</v>
      </c>
      <c r="LZ29" s="3">
        <f ca="1">IFERROR(__xludf.DUMMYFUNCTION("""COMPUTED_VALUE"""),-0.820700740123808)</f>
        <v>-0.820700740123808</v>
      </c>
      <c r="MA29" s="3">
        <f ca="1">IFERROR(__xludf.DUMMYFUNCTION("""COMPUTED_VALUE"""),-0.888398222145574)</f>
        <v>-0.88839822214557396</v>
      </c>
      <c r="MB29" s="3">
        <f ca="1">IFERROR(__xludf.DUMMYFUNCTION("""COMPUTED_VALUE"""),-0.884387198048994)</f>
        <v>-0.88438719804899402</v>
      </c>
      <c r="MC29" s="3">
        <f ca="1">IFERROR(__xludf.DUMMYFUNCTION("""COMPUTED_VALUE"""),-0.892047555682956)</f>
        <v>-0.89204755568295602</v>
      </c>
      <c r="MD29" s="3">
        <f ca="1">IFERROR(__xludf.DUMMYFUNCTION("""COMPUTED_VALUE"""),-0.901110780781846)</f>
        <v>-0.90111078078184603</v>
      </c>
      <c r="ME29" s="3">
        <f ca="1">IFERROR(__xludf.DUMMYFUNCTION("""COMPUTED_VALUE"""),-0.913994173629195)</f>
        <v>-0.91399417362919499</v>
      </c>
      <c r="MF29" s="3">
        <f ca="1">IFERROR(__xludf.DUMMYFUNCTION("""COMPUTED_VALUE"""),-0.89885873372574)</f>
        <v>-0.89885873372573999</v>
      </c>
      <c r="MG29" s="3">
        <f ca="1">IFERROR(__xludf.DUMMYFUNCTION("""COMPUTED_VALUE"""),-0.817994563531679)</f>
        <v>-0.81799456353167899</v>
      </c>
      <c r="MH29" s="3">
        <f ca="1">IFERROR(__xludf.DUMMYFUNCTION("""COMPUTED_VALUE"""),-0.874258253591853)</f>
        <v>-0.87425825359185305</v>
      </c>
      <c r="MI29" s="3">
        <f ca="1">IFERROR(__xludf.DUMMYFUNCTION("""COMPUTED_VALUE"""),-0.848201007027551)</f>
        <v>-0.84820100702755097</v>
      </c>
      <c r="MJ29" s="3">
        <f ca="1">IFERROR(__xludf.DUMMYFUNCTION("""COMPUTED_VALUE"""),-0.898143794838683)</f>
        <v>-0.89814379483868301</v>
      </c>
      <c r="MK29" s="3">
        <f ca="1">IFERROR(__xludf.DUMMYFUNCTION("""COMPUTED_VALUE"""),-0.904894594043182)</f>
        <v>-0.90489459404318195</v>
      </c>
      <c r="ML29" s="3">
        <f ca="1">IFERROR(__xludf.DUMMYFUNCTION("""COMPUTED_VALUE"""),-0.908034303363622)</f>
        <v>-0.90803430336362201</v>
      </c>
      <c r="MM29" s="3">
        <f ca="1">IFERROR(__xludf.DUMMYFUNCTION("""COMPUTED_VALUE"""),-0.929655553843415)</f>
        <v>-0.92965555384341503</v>
      </c>
      <c r="MN29" s="3">
        <f ca="1">IFERROR(__xludf.DUMMYFUNCTION("""COMPUTED_VALUE"""),-0.866497972663065)</f>
        <v>-0.86649797266306505</v>
      </c>
      <c r="MO29" s="3">
        <f ca="1">IFERROR(__xludf.DUMMYFUNCTION("""COMPUTED_VALUE"""),-0.932529840296232)</f>
        <v>-0.93252984029623198</v>
      </c>
      <c r="MP29" s="3">
        <f ca="1">IFERROR(__xludf.DUMMYFUNCTION("""COMPUTED_VALUE"""),-0.894307098723317)</f>
        <v>-0.89430709872331704</v>
      </c>
      <c r="MQ29" s="3">
        <f ca="1">IFERROR(__xludf.DUMMYFUNCTION("""COMPUTED_VALUE"""),-0.919536272199276)</f>
        <v>-0.91953627219927603</v>
      </c>
      <c r="MR29" s="3">
        <f ca="1">IFERROR(__xludf.DUMMYFUNCTION("""COMPUTED_VALUE"""),-0.937783794648305)</f>
        <v>-0.93778379464830497</v>
      </c>
      <c r="MS29" s="3">
        <f ca="1">IFERROR(__xludf.DUMMYFUNCTION("""COMPUTED_VALUE"""),-0.887916031992473)</f>
        <v>-0.88791603199247304</v>
      </c>
      <c r="MT29" s="3">
        <f ca="1">IFERROR(__xludf.DUMMYFUNCTION("""COMPUTED_VALUE"""),-0.934760326195338)</f>
        <v>-0.934760326195338</v>
      </c>
      <c r="MU29" s="3">
        <f ca="1">IFERROR(__xludf.DUMMYFUNCTION("""COMPUTED_VALUE"""),-0.890269232213508)</f>
        <v>-0.89026923221350796</v>
      </c>
      <c r="MV29" s="3">
        <f ca="1">IFERROR(__xludf.DUMMYFUNCTION("""COMPUTED_VALUE"""),-0.931812527090488)</f>
        <v>-0.93181252709048801</v>
      </c>
      <c r="MW29" s="3">
        <f ca="1">IFERROR(__xludf.DUMMYFUNCTION("""COMPUTED_VALUE"""),-0.919694377711073)</f>
        <v>-0.91969437771107299</v>
      </c>
      <c r="MX29" s="3">
        <f ca="1">IFERROR(__xludf.DUMMYFUNCTION("""COMPUTED_VALUE"""),-0.93900015901077)</f>
        <v>-0.93900015901077005</v>
      </c>
      <c r="MY29" s="3">
        <f ca="1">IFERROR(__xludf.DUMMYFUNCTION("""COMPUTED_VALUE"""),-0.937157016485438)</f>
        <v>-0.93715701648543803</v>
      </c>
      <c r="MZ29" s="3">
        <f ca="1">IFERROR(__xludf.DUMMYFUNCTION("""COMPUTED_VALUE"""),-0.937132376686428)</f>
        <v>-0.93713237668642801</v>
      </c>
      <c r="NA29" s="3">
        <f ca="1">IFERROR(__xludf.DUMMYFUNCTION("""COMPUTED_VALUE"""),-0.949912225645691)</f>
        <v>-0.949912225645691</v>
      </c>
      <c r="NB29" s="3">
        <f ca="1">IFERROR(__xludf.DUMMYFUNCTION("""COMPUTED_VALUE"""),-0.876647303804537)</f>
        <v>-0.87664730380453704</v>
      </c>
      <c r="NC29" s="3">
        <f ca="1">IFERROR(__xludf.DUMMYFUNCTION("""COMPUTED_VALUE"""),-0.936169885214782)</f>
        <v>-0.93616988521478195</v>
      </c>
      <c r="ND29" s="3">
        <f ca="1">IFERROR(__xludf.DUMMYFUNCTION("""COMPUTED_VALUE"""),-0.95726136155257)</f>
        <v>-0.95726136155257002</v>
      </c>
      <c r="NE29" s="3">
        <f ca="1">IFERROR(__xludf.DUMMYFUNCTION("""COMPUTED_VALUE"""),-0.952173175086825)</f>
        <v>-0.95217317508682497</v>
      </c>
      <c r="NF29" s="3">
        <f ca="1">IFERROR(__xludf.DUMMYFUNCTION("""COMPUTED_VALUE"""),-0.947912883373368)</f>
        <v>-0.94791288337336799</v>
      </c>
      <c r="NG29" s="3">
        <f ca="1">IFERROR(__xludf.DUMMYFUNCTION("""COMPUTED_VALUE"""),-0.943747482915814)</f>
        <v>-0.94374748291581401</v>
      </c>
      <c r="NH29" s="3">
        <f ca="1">IFERROR(__xludf.DUMMYFUNCTION("""COMPUTED_VALUE"""),-0.961554010855439)</f>
        <v>-0.96155401085543901</v>
      </c>
      <c r="NI29" s="3">
        <f ca="1">IFERROR(__xludf.DUMMYFUNCTION("""COMPUTED_VALUE"""),-0.887243000124628)</f>
        <v>-0.88724300012462798</v>
      </c>
      <c r="NJ29" s="3">
        <f ca="1">IFERROR(__xludf.DUMMYFUNCTION("""COMPUTED_VALUE"""),-0.923883516657661)</f>
        <v>-0.923883516657661</v>
      </c>
      <c r="NK29" s="3">
        <f ca="1">IFERROR(__xludf.DUMMYFUNCTION("""COMPUTED_VALUE"""),-0.955987100505489)</f>
        <v>-0.95598710050548896</v>
      </c>
      <c r="NL29" s="3">
        <f ca="1">IFERROR(__xludf.DUMMYFUNCTION("""COMPUTED_VALUE"""),-0.951101664183241)</f>
        <v>-0.95110166418324105</v>
      </c>
      <c r="NM29" s="3">
        <f ca="1">IFERROR(__xludf.DUMMYFUNCTION("""COMPUTED_VALUE"""),-0.950075373207688)</f>
        <v>-0.95007537320768798</v>
      </c>
      <c r="NN29" s="3">
        <f ca="1">IFERROR(__xludf.DUMMYFUNCTION("""COMPUTED_VALUE"""),-0.954795439815372)</f>
        <v>-0.95479543981537196</v>
      </c>
      <c r="NO29" s="3">
        <f ca="1">IFERROR(__xludf.DUMMYFUNCTION("""COMPUTED_VALUE"""),-0.943078699045238)</f>
        <v>-0.943078699045238</v>
      </c>
      <c r="NP29" s="3">
        <f ca="1">IFERROR(__xludf.DUMMYFUNCTION("""COMPUTED_VALUE"""),-0.912796502057562)</f>
        <v>-0.91279650205756202</v>
      </c>
      <c r="NQ29" s="3">
        <f ca="1">IFERROR(__xludf.DUMMYFUNCTION("""COMPUTED_VALUE"""),-0.914394994146938)</f>
        <v>-0.91439499414693803</v>
      </c>
      <c r="NR29" s="3">
        <f ca="1">IFERROR(__xludf.DUMMYFUNCTION("""COMPUTED_VALUE"""),-0.934101572093679)</f>
        <v>-0.93410157209367894</v>
      </c>
      <c r="NS29" s="3">
        <f ca="1">IFERROR(__xludf.DUMMYFUNCTION("""COMPUTED_VALUE"""),-0.9223630536647)</f>
        <v>-0.92236305366469995</v>
      </c>
      <c r="NT29" s="3">
        <f ca="1">IFERROR(__xludf.DUMMYFUNCTION("""COMPUTED_VALUE"""),-0.845144085742833)</f>
        <v>-0.84514408574283295</v>
      </c>
      <c r="NU29" s="3">
        <f ca="1">IFERROR(__xludf.DUMMYFUNCTION("""COMPUTED_VALUE"""),-0.709691178064018)</f>
        <v>-0.70969117806401805</v>
      </c>
      <c r="NV29" s="3">
        <f ca="1">IFERROR(__xludf.DUMMYFUNCTION("""COMPUTED_VALUE"""),-0.383785284369569)</f>
        <v>-0.38378528436956899</v>
      </c>
      <c r="NW29" s="3">
        <f ca="1">IFERROR(__xludf.DUMMYFUNCTION("""COMPUTED_VALUE"""),-0.357488325829481)</f>
        <v>-0.35748832582948098</v>
      </c>
      <c r="NX29" s="3">
        <f ca="1">IFERROR(__xludf.DUMMYFUNCTION("""COMPUTED_VALUE"""),-0.258979596930749)</f>
        <v>-0.25897959693074901</v>
      </c>
      <c r="NY29" s="3">
        <f ca="1">IFERROR(__xludf.DUMMYFUNCTION("""COMPUTED_VALUE"""),-0.258719093608897)</f>
        <v>-0.258719093608897</v>
      </c>
      <c r="NZ29" s="3">
        <f ca="1">IFERROR(__xludf.DUMMYFUNCTION("""COMPUTED_VALUE"""),-0.129827196570987)</f>
        <v>-0.12982719657098701</v>
      </c>
      <c r="OA29" s="3">
        <f ca="1">IFERROR(__xludf.DUMMYFUNCTION("""COMPUTED_VALUE"""),-0.031277546880816)</f>
        <v>-3.1277546880816E-2</v>
      </c>
      <c r="OB29" s="3">
        <f ca="1">IFERROR(__xludf.DUMMYFUNCTION("""COMPUTED_VALUE"""),-0.00784546462241231)</f>
        <v>-7.8454646224123108E-3</v>
      </c>
      <c r="OC29" s="3">
        <f ca="1">IFERROR(__xludf.DUMMYFUNCTION("""COMPUTED_VALUE"""),-0.0600877789436705)</f>
        <v>-6.0087778943670497E-2</v>
      </c>
      <c r="OD29" s="3">
        <f ca="1">IFERROR(__xludf.DUMMYFUNCTION("""COMPUTED_VALUE"""),0.071096070545193)</f>
        <v>7.1096070545192999E-2</v>
      </c>
      <c r="OE29" s="3">
        <f ca="1">IFERROR(__xludf.DUMMYFUNCTION("""COMPUTED_VALUE"""),-0.0225231364136639)</f>
        <v>-2.2523136413663901E-2</v>
      </c>
      <c r="OF29" s="3">
        <f ca="1">IFERROR(__xludf.DUMMYFUNCTION("""COMPUTED_VALUE"""),0.0434442437231674)</f>
        <v>4.3444243723167401E-2</v>
      </c>
      <c r="OG29" s="3">
        <f ca="1">IFERROR(__xludf.DUMMYFUNCTION("""COMPUTED_VALUE"""),0.0348530383030729)</f>
        <v>3.4853038303072903E-2</v>
      </c>
      <c r="OH29" s="3">
        <f ca="1">IFERROR(__xludf.DUMMYFUNCTION("""COMPUTED_VALUE"""),0.0524110821183376)</f>
        <v>5.2411082118337601E-2</v>
      </c>
      <c r="OI29" s="3">
        <f ca="1">IFERROR(__xludf.DUMMYFUNCTION("""COMPUTED_VALUE"""),0.0692216342651697)</f>
        <v>6.9221634265169696E-2</v>
      </c>
      <c r="OJ29" s="3">
        <f ca="1">IFERROR(__xludf.DUMMYFUNCTION("""COMPUTED_VALUE"""),-0.0180180698832369)</f>
        <v>-1.8018069883236901E-2</v>
      </c>
      <c r="OK29" s="3">
        <f ca="1">IFERROR(__xludf.DUMMYFUNCTION("""COMPUTED_VALUE"""),0.122740836332739)</f>
        <v>0.122740836332739</v>
      </c>
      <c r="OL29" s="3">
        <f ca="1">IFERROR(__xludf.DUMMYFUNCTION("""COMPUTED_VALUE"""),0.0899800712232787)</f>
        <v>8.9980071223278696E-2</v>
      </c>
      <c r="OM29" s="3">
        <f ca="1">IFERROR(__xludf.DUMMYFUNCTION("""COMPUTED_VALUE"""),0.0288635940110708)</f>
        <v>2.88635940110708E-2</v>
      </c>
      <c r="ON29" s="3">
        <f ca="1">IFERROR(__xludf.DUMMYFUNCTION("""COMPUTED_VALUE"""),0.0248578634078124)</f>
        <v>2.4857863407812399E-2</v>
      </c>
      <c r="OO29" s="3">
        <f ca="1">IFERROR(__xludf.DUMMYFUNCTION("""COMPUTED_VALUE"""),0.0655600851964961)</f>
        <v>6.5560085196496101E-2</v>
      </c>
      <c r="OP29" s="3">
        <f ca="1">IFERROR(__xludf.DUMMYFUNCTION("""COMPUTED_VALUE"""),0.12535868149094)</f>
        <v>0.12535868149094001</v>
      </c>
      <c r="OQ29" s="3">
        <f ca="1">IFERROR(__xludf.DUMMYFUNCTION("""COMPUTED_VALUE"""),0.0051204881271607)</f>
        <v>5.1204881271606998E-3</v>
      </c>
      <c r="OR29" s="3">
        <f ca="1">IFERROR(__xludf.DUMMYFUNCTION("""COMPUTED_VALUE"""),0.19807163652879)</f>
        <v>0.19807163652879001</v>
      </c>
      <c r="OS29" s="3">
        <f ca="1">IFERROR(__xludf.DUMMYFUNCTION("""COMPUTED_VALUE"""),0.0388340393781623)</f>
        <v>3.8834039378162301E-2</v>
      </c>
      <c r="OT29" s="3">
        <f ca="1">IFERROR(__xludf.DUMMYFUNCTION("""COMPUTED_VALUE"""),-0.0180755431417967)</f>
        <v>-1.8075543141796699E-2</v>
      </c>
      <c r="OU29" s="3">
        <f ca="1">IFERROR(__xludf.DUMMYFUNCTION("""COMPUTED_VALUE"""),0.0111037520515093)</f>
        <v>1.11037520515093E-2</v>
      </c>
      <c r="OV29" s="3">
        <f ca="1">IFERROR(__xludf.DUMMYFUNCTION("""COMPUTED_VALUE"""),0.0418790983206891)</f>
        <v>4.1879098320689097E-2</v>
      </c>
      <c r="OW29" s="3">
        <f ca="1">IFERROR(__xludf.DUMMYFUNCTION("""COMPUTED_VALUE"""),0.0520404612494302)</f>
        <v>5.2040461249430202E-2</v>
      </c>
      <c r="OX29" s="3">
        <f ca="1">IFERROR(__xludf.DUMMYFUNCTION("""COMPUTED_VALUE"""),-0.00387281268148587)</f>
        <v>-3.8728126814858701E-3</v>
      </c>
      <c r="OY29" s="3">
        <f ca="1">IFERROR(__xludf.DUMMYFUNCTION("""COMPUTED_VALUE"""),0.187236236178733)</f>
        <v>0.187236236178733</v>
      </c>
      <c r="OZ29" s="3">
        <f ca="1">IFERROR(__xludf.DUMMYFUNCTION("""COMPUTED_VALUE"""),-0.0616548130953559)</f>
        <v>-6.16548130953559E-2</v>
      </c>
      <c r="PA29" s="3">
        <f ca="1">IFERROR(__xludf.DUMMYFUNCTION("""COMPUTED_VALUE"""),0.0375169692003189)</f>
        <v>3.7516969200318898E-2</v>
      </c>
      <c r="PB29" s="3">
        <f ca="1">IFERROR(__xludf.DUMMYFUNCTION("""COMPUTED_VALUE"""),-0.0116896282664086)</f>
        <v>-1.1689628266408601E-2</v>
      </c>
      <c r="PC29" s="3">
        <f ca="1">IFERROR(__xludf.DUMMYFUNCTION("""COMPUTED_VALUE"""),0.0342942097885032)</f>
        <v>3.4294209788503199E-2</v>
      </c>
      <c r="PD29" s="3">
        <f ca="1">IFERROR(__xludf.DUMMYFUNCTION("""COMPUTED_VALUE"""),0.06100786333241)</f>
        <v>6.1007863332409998E-2</v>
      </c>
      <c r="PE29" s="3">
        <f ca="1">IFERROR(__xludf.DUMMYFUNCTION("""COMPUTED_VALUE"""),-0.0193464354473971)</f>
        <v>-1.9346435447397101E-2</v>
      </c>
      <c r="PF29" s="3">
        <f ca="1">IFERROR(__xludf.DUMMYFUNCTION("""COMPUTED_VALUE"""),0.0146259183425376)</f>
        <v>1.4625918342537601E-2</v>
      </c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</row>
    <row r="30" spans="1:594" ht="15.75" customHeight="1">
      <c r="A30" s="1" t="str">
        <f ca="1">IFERROR(__xludf.DUMMYFUNCTION("""COMPUTED_VALUE"""),"Hampton")</f>
        <v>Hampton</v>
      </c>
      <c r="B30" s="3">
        <f ca="1">IFERROR(__xludf.DUMMYFUNCTION("""COMPUTED_VALUE"""),-0.356692948883111)</f>
        <v>-0.35669294888311098</v>
      </c>
      <c r="C30" s="3">
        <f ca="1">IFERROR(__xludf.DUMMYFUNCTION("""COMPUTED_VALUE"""),-0.39064132682855)</f>
        <v>-0.39064132682855002</v>
      </c>
      <c r="D30" s="3">
        <f ca="1">IFERROR(__xludf.DUMMYFUNCTION("""COMPUTED_VALUE"""),-0.412024886570445)</f>
        <v>-0.412024886570445</v>
      </c>
      <c r="E30" s="3">
        <f ca="1">IFERROR(__xludf.DUMMYFUNCTION("""COMPUTED_VALUE"""),-0.50683141215656)</f>
        <v>-0.50683141215656002</v>
      </c>
      <c r="F30" s="3">
        <f ca="1">IFERROR(__xludf.DUMMYFUNCTION("""COMPUTED_VALUE"""),-0.443795176309231)</f>
        <v>-0.44379517630923099</v>
      </c>
      <c r="G30" s="3">
        <f ca="1">IFERROR(__xludf.DUMMYFUNCTION("""COMPUTED_VALUE"""),-0.461528429759366)</f>
        <v>-0.46152842975936598</v>
      </c>
      <c r="H30" s="3">
        <f ca="1">IFERROR(__xludf.DUMMYFUNCTION("""COMPUTED_VALUE"""),-0.4558414541076)</f>
        <v>-0.45584145410760002</v>
      </c>
      <c r="I30" s="3">
        <f ca="1">IFERROR(__xludf.DUMMYFUNCTION("""COMPUTED_VALUE"""),-0.316374584205591)</f>
        <v>-0.316374584205591</v>
      </c>
      <c r="J30" s="3">
        <f ca="1">IFERROR(__xludf.DUMMYFUNCTION("""COMPUTED_VALUE"""),-0.423619270292683)</f>
        <v>-0.42361927029268298</v>
      </c>
      <c r="K30" s="3">
        <f ca="1">IFERROR(__xludf.DUMMYFUNCTION("""COMPUTED_VALUE"""),-0.518423226352951)</f>
        <v>-0.51842322635295102</v>
      </c>
      <c r="L30" s="3">
        <f ca="1">IFERROR(__xludf.DUMMYFUNCTION("""COMPUTED_VALUE"""),-0.4737526608203)</f>
        <v>-0.47375266082029999</v>
      </c>
      <c r="M30" s="3">
        <f ca="1">IFERROR(__xludf.DUMMYFUNCTION("""COMPUTED_VALUE"""),-0.403586407417591)</f>
        <v>-0.403586407417591</v>
      </c>
      <c r="N30" s="3">
        <f ca="1">IFERROR(__xludf.DUMMYFUNCTION("""COMPUTED_VALUE"""),-0.421442479331483)</f>
        <v>-0.42144247933148299</v>
      </c>
      <c r="O30" s="3">
        <f ca="1">IFERROR(__xludf.DUMMYFUNCTION("""COMPUTED_VALUE"""),-0.509735870063153)</f>
        <v>-0.50973587006315302</v>
      </c>
      <c r="P30" s="3">
        <f ca="1">IFERROR(__xludf.DUMMYFUNCTION("""COMPUTED_VALUE"""),-0.368082664570698)</f>
        <v>-0.36808266457069799</v>
      </c>
      <c r="Q30" s="3">
        <f ca="1">IFERROR(__xludf.DUMMYFUNCTION("""COMPUTED_VALUE"""),-0.392511672069917)</f>
        <v>-0.39251167206991699</v>
      </c>
      <c r="R30" s="3">
        <f ca="1">IFERROR(__xludf.DUMMYFUNCTION("""COMPUTED_VALUE"""),-0.398745570488195)</f>
        <v>-0.39874557048819498</v>
      </c>
      <c r="S30" s="3">
        <f ca="1">IFERROR(__xludf.DUMMYFUNCTION("""COMPUTED_VALUE"""),-0.428643257774715)</f>
        <v>-0.42864325777471501</v>
      </c>
      <c r="T30" s="3">
        <f ca="1">IFERROR(__xludf.DUMMYFUNCTION("""COMPUTED_VALUE"""),-0.446714780300648)</f>
        <v>-0.44671478030064798</v>
      </c>
      <c r="U30" s="3">
        <f ca="1">IFERROR(__xludf.DUMMYFUNCTION("""COMPUTED_VALUE"""),-0.449074809358338)</f>
        <v>-0.44907480935833799</v>
      </c>
      <c r="V30" s="3">
        <f ca="1">IFERROR(__xludf.DUMMYFUNCTION("""COMPUTED_VALUE"""),-0.464029597893099)</f>
        <v>-0.464029597893099</v>
      </c>
      <c r="W30" s="3">
        <f ca="1">IFERROR(__xludf.DUMMYFUNCTION("""COMPUTED_VALUE"""),-0.47693380628385)</f>
        <v>-0.47693380628385001</v>
      </c>
      <c r="X30" s="3">
        <f ca="1">IFERROR(__xludf.DUMMYFUNCTION("""COMPUTED_VALUE"""),-0.510378339020858)</f>
        <v>-0.51037833902085805</v>
      </c>
      <c r="Y30" s="3">
        <f ca="1">IFERROR(__xludf.DUMMYFUNCTION("""COMPUTED_VALUE"""),-0.46380436444554)</f>
        <v>-0.46380436444554002</v>
      </c>
      <c r="Z30" s="3">
        <f ca="1">IFERROR(__xludf.DUMMYFUNCTION("""COMPUTED_VALUE"""),-0.399206036406628)</f>
        <v>-0.399206036406628</v>
      </c>
      <c r="AA30" s="3">
        <f ca="1">IFERROR(__xludf.DUMMYFUNCTION("""COMPUTED_VALUE"""),-0.44400508542515)</f>
        <v>-0.44400508542514999</v>
      </c>
      <c r="AB30" s="3">
        <f ca="1">IFERROR(__xludf.DUMMYFUNCTION("""COMPUTED_VALUE"""),-0.426668209675865)</f>
        <v>-0.426668209675865</v>
      </c>
      <c r="AC30" s="3">
        <f ca="1">IFERROR(__xludf.DUMMYFUNCTION("""COMPUTED_VALUE"""),-0.481091533329176)</f>
        <v>-0.48109153332917598</v>
      </c>
      <c r="AD30" s="3">
        <f ca="1">IFERROR(__xludf.DUMMYFUNCTION("""COMPUTED_VALUE"""),-0.419039568834761)</f>
        <v>-0.41903956883476101</v>
      </c>
      <c r="AE30" s="3">
        <f ca="1">IFERROR(__xludf.DUMMYFUNCTION("""COMPUTED_VALUE"""),-0.498549892775691)</f>
        <v>-0.49854989277569101</v>
      </c>
      <c r="AF30" s="3">
        <f ca="1">IFERROR(__xludf.DUMMYFUNCTION("""COMPUTED_VALUE"""),-0.482220700059251)</f>
        <v>-0.482220700059251</v>
      </c>
      <c r="AG30" s="3">
        <f ca="1">IFERROR(__xludf.DUMMYFUNCTION("""COMPUTED_VALUE"""),-0.435067900655422)</f>
        <v>-0.435067900655422</v>
      </c>
      <c r="AH30" s="3">
        <f ca="1">IFERROR(__xludf.DUMMYFUNCTION("""COMPUTED_VALUE"""),-0.53970539124844)</f>
        <v>-0.53970539124843997</v>
      </c>
      <c r="AI30" s="3">
        <f ca="1">IFERROR(__xludf.DUMMYFUNCTION("""COMPUTED_VALUE"""),-0.503123804586774)</f>
        <v>-0.50312380458677397</v>
      </c>
      <c r="AJ30" s="3">
        <f ca="1">IFERROR(__xludf.DUMMYFUNCTION("""COMPUTED_VALUE"""),-0.571757679813585)</f>
        <v>-0.57175767981358505</v>
      </c>
      <c r="AK30" s="3">
        <f ca="1">IFERROR(__xludf.DUMMYFUNCTION("""COMPUTED_VALUE"""),-0.442418089298203)</f>
        <v>-0.44241808929820298</v>
      </c>
      <c r="AL30" s="3">
        <f ca="1">IFERROR(__xludf.DUMMYFUNCTION("""COMPUTED_VALUE"""),-0.519424145037035)</f>
        <v>-0.51942414503703505</v>
      </c>
      <c r="AM30" s="3">
        <f ca="1">IFERROR(__xludf.DUMMYFUNCTION("""COMPUTED_VALUE"""),-0.498484375596973)</f>
        <v>-0.49848437559697301</v>
      </c>
      <c r="AN30" s="3">
        <f ca="1">IFERROR(__xludf.DUMMYFUNCTION("""COMPUTED_VALUE"""),-0.5042764096271)</f>
        <v>-0.50427640962709996</v>
      </c>
      <c r="AO30" s="3">
        <f ca="1">IFERROR(__xludf.DUMMYFUNCTION("""COMPUTED_VALUE"""),-0.557940292364466)</f>
        <v>-0.55794029236446596</v>
      </c>
      <c r="AP30" s="3">
        <f ca="1">IFERROR(__xludf.DUMMYFUNCTION("""COMPUTED_VALUE"""),-0.524196485865232)</f>
        <v>-0.52419648586523204</v>
      </c>
      <c r="AQ30" s="3">
        <f ca="1">IFERROR(__xludf.DUMMYFUNCTION("""COMPUTED_VALUE"""),-0.442341182660801)</f>
        <v>-0.44234118266080102</v>
      </c>
      <c r="AR30" s="3">
        <f ca="1">IFERROR(__xludf.DUMMYFUNCTION("""COMPUTED_VALUE"""),-0.45521221646201)</f>
        <v>-0.45521221646200999</v>
      </c>
      <c r="AS30" s="3">
        <f ca="1">IFERROR(__xludf.DUMMYFUNCTION("""COMPUTED_VALUE"""),-0.487780634518169)</f>
        <v>-0.487780634518169</v>
      </c>
      <c r="AT30" s="3">
        <f ca="1">IFERROR(__xludf.DUMMYFUNCTION("""COMPUTED_VALUE"""),-0.540063374617342)</f>
        <v>-0.540063374617342</v>
      </c>
      <c r="AU30" s="3">
        <f ca="1">IFERROR(__xludf.DUMMYFUNCTION("""COMPUTED_VALUE"""),-0.43438292474061)</f>
        <v>-0.43438292474061002</v>
      </c>
      <c r="AV30" s="3">
        <f ca="1">IFERROR(__xludf.DUMMYFUNCTION("""COMPUTED_VALUE"""),-0.485253397149614)</f>
        <v>-0.48525339714961402</v>
      </c>
      <c r="AW30" s="3">
        <f ca="1">IFERROR(__xludf.DUMMYFUNCTION("""COMPUTED_VALUE"""),-0.54319523307988)</f>
        <v>-0.54319523307988005</v>
      </c>
      <c r="AX30" s="3">
        <f ca="1">IFERROR(__xludf.DUMMYFUNCTION("""COMPUTED_VALUE"""),-0.559538618675164)</f>
        <v>-0.55953861867516397</v>
      </c>
      <c r="AY30" s="3">
        <f ca="1">IFERROR(__xludf.DUMMYFUNCTION("""COMPUTED_VALUE"""),-0.479930798218372)</f>
        <v>-0.47993079821837198</v>
      </c>
      <c r="AZ30" s="3">
        <f ca="1">IFERROR(__xludf.DUMMYFUNCTION("""COMPUTED_VALUE"""),-0.558272013346731)</f>
        <v>-0.55827201334673104</v>
      </c>
      <c r="BA30" s="3">
        <f ca="1">IFERROR(__xludf.DUMMYFUNCTION("""COMPUTED_VALUE"""),-0.670071039608373)</f>
        <v>-0.670071039608373</v>
      </c>
      <c r="BB30" s="3">
        <f ca="1">IFERROR(__xludf.DUMMYFUNCTION("""COMPUTED_VALUE"""),-0.547378619317867)</f>
        <v>-0.54737861931786702</v>
      </c>
      <c r="BC30" s="3">
        <f ca="1">IFERROR(__xludf.DUMMYFUNCTION("""COMPUTED_VALUE"""),-0.589371500653695)</f>
        <v>-0.58937150065369504</v>
      </c>
      <c r="BD30" s="3">
        <f ca="1">IFERROR(__xludf.DUMMYFUNCTION("""COMPUTED_VALUE"""),-0.564443791794236)</f>
        <v>-0.56444379179423598</v>
      </c>
      <c r="BE30" s="3">
        <f ca="1">IFERROR(__xludf.DUMMYFUNCTION("""COMPUTED_VALUE"""),-0.40546221356147)</f>
        <v>-0.40546221356147</v>
      </c>
      <c r="BF30" s="3">
        <f ca="1">IFERROR(__xludf.DUMMYFUNCTION("""COMPUTED_VALUE"""),-0.557996099182751)</f>
        <v>-0.55799609918275095</v>
      </c>
      <c r="BG30" s="3">
        <f ca="1">IFERROR(__xludf.DUMMYFUNCTION("""COMPUTED_VALUE"""),-0.489526285209783)</f>
        <v>-0.48952628520978297</v>
      </c>
      <c r="BH30" s="3">
        <f ca="1">IFERROR(__xludf.DUMMYFUNCTION("""COMPUTED_VALUE"""),-0.513621549512444)</f>
        <v>-0.51362154951244399</v>
      </c>
      <c r="BI30" s="3">
        <f ca="1">IFERROR(__xludf.DUMMYFUNCTION("""COMPUTED_VALUE"""),-0.474196819633748)</f>
        <v>-0.47419681963374799</v>
      </c>
      <c r="BJ30" s="3">
        <f ca="1">IFERROR(__xludf.DUMMYFUNCTION("""COMPUTED_VALUE"""),-0.471730551160307)</f>
        <v>-0.47173055116030699</v>
      </c>
      <c r="BK30" s="3">
        <f ca="1">IFERROR(__xludf.DUMMYFUNCTION("""COMPUTED_VALUE"""),-0.481062198277379)</f>
        <v>-0.48106219827737901</v>
      </c>
      <c r="BL30" s="3">
        <f ca="1">IFERROR(__xludf.DUMMYFUNCTION("""COMPUTED_VALUE"""),-0.37051867535301)</f>
        <v>-0.37051867535300997</v>
      </c>
      <c r="BM30" s="3">
        <f ca="1">IFERROR(__xludf.DUMMYFUNCTION("""COMPUTED_VALUE"""),-0.449849601319231)</f>
        <v>-0.44984960131923102</v>
      </c>
      <c r="BN30" s="3">
        <f ca="1">IFERROR(__xludf.DUMMYFUNCTION("""COMPUTED_VALUE"""),-0.52415824002017)</f>
        <v>-0.52415824002016997</v>
      </c>
      <c r="BO30" s="3">
        <f ca="1">IFERROR(__xludf.DUMMYFUNCTION("""COMPUTED_VALUE"""),-0.485430451127772)</f>
        <v>-0.485430451127772</v>
      </c>
      <c r="BP30" s="3">
        <f ca="1">IFERROR(__xludf.DUMMYFUNCTION("""COMPUTED_VALUE"""),-0.454096708555133)</f>
        <v>-0.45409670855513301</v>
      </c>
      <c r="BQ30" s="3">
        <f ca="1">IFERROR(__xludf.DUMMYFUNCTION("""COMPUTED_VALUE"""),-0.546908357872845)</f>
        <v>-0.54690835787284497</v>
      </c>
      <c r="BR30" s="3">
        <f ca="1">IFERROR(__xludf.DUMMYFUNCTION("""COMPUTED_VALUE"""),-0.497416396497763)</f>
        <v>-0.49741639649776298</v>
      </c>
      <c r="BS30" s="3">
        <f ca="1">IFERROR(__xludf.DUMMYFUNCTION("""COMPUTED_VALUE"""),-0.50144831939171)</f>
        <v>-0.50144831939170997</v>
      </c>
      <c r="BT30" s="3">
        <f ca="1">IFERROR(__xludf.DUMMYFUNCTION("""COMPUTED_VALUE"""),-0.476954419813245)</f>
        <v>-0.47695441981324499</v>
      </c>
      <c r="BU30" s="3">
        <f ca="1">IFERROR(__xludf.DUMMYFUNCTION("""COMPUTED_VALUE"""),-0.531178532086869)</f>
        <v>-0.53117853208686905</v>
      </c>
      <c r="BV30" s="3">
        <f ca="1">IFERROR(__xludf.DUMMYFUNCTION("""COMPUTED_VALUE"""),-0.563046432355704)</f>
        <v>-0.56304643235570395</v>
      </c>
      <c r="BW30" s="3">
        <f ca="1">IFERROR(__xludf.DUMMYFUNCTION("""COMPUTED_VALUE"""),-0.464372723552161)</f>
        <v>-0.46437272355216103</v>
      </c>
      <c r="BX30" s="3">
        <f ca="1">IFERROR(__xludf.DUMMYFUNCTION("""COMPUTED_VALUE"""),-0.486599650417926)</f>
        <v>-0.48659965041792602</v>
      </c>
      <c r="BY30" s="3">
        <f ca="1">IFERROR(__xludf.DUMMYFUNCTION("""COMPUTED_VALUE"""),-0.497984816315098)</f>
        <v>-0.497984816315098</v>
      </c>
      <c r="BZ30" s="3">
        <f ca="1">IFERROR(__xludf.DUMMYFUNCTION("""COMPUTED_VALUE"""),-0.470651657507794)</f>
        <v>-0.47065165750779397</v>
      </c>
      <c r="CA30" s="3">
        <f ca="1">IFERROR(__xludf.DUMMYFUNCTION("""COMPUTED_VALUE"""),-0.458294492409118)</f>
        <v>-0.45829449240911801</v>
      </c>
      <c r="CB30" s="3">
        <f ca="1">IFERROR(__xludf.DUMMYFUNCTION("""COMPUTED_VALUE"""),-0.487296972949192)</f>
        <v>-0.487296972949192</v>
      </c>
      <c r="CC30" s="3">
        <f ca="1">IFERROR(__xludf.DUMMYFUNCTION("""COMPUTED_VALUE"""),-0.461048758902727)</f>
        <v>-0.46104875890272701</v>
      </c>
      <c r="CD30" s="3">
        <f ca="1">IFERROR(__xludf.DUMMYFUNCTION("""COMPUTED_VALUE"""),-0.468018789669442)</f>
        <v>-0.46801878966944199</v>
      </c>
      <c r="CE30" s="3">
        <f ca="1">IFERROR(__xludf.DUMMYFUNCTION("""COMPUTED_VALUE"""),-0.486774263870401)</f>
        <v>-0.48677426387040101</v>
      </c>
      <c r="CF30" s="3">
        <f ca="1">IFERROR(__xludf.DUMMYFUNCTION("""COMPUTED_VALUE"""),-0.446276226724562)</f>
        <v>-0.44627622672456202</v>
      </c>
      <c r="CG30" s="3">
        <f ca="1">IFERROR(__xludf.DUMMYFUNCTION("""COMPUTED_VALUE"""),-0.386032255134309)</f>
        <v>-0.386032255134309</v>
      </c>
      <c r="CH30" s="3">
        <f ca="1">IFERROR(__xludf.DUMMYFUNCTION("""COMPUTED_VALUE"""),-0.455396291186082)</f>
        <v>-0.45539629118608199</v>
      </c>
      <c r="CI30" s="3">
        <f ca="1">IFERROR(__xludf.DUMMYFUNCTION("""COMPUTED_VALUE"""),-0.529991673771286)</f>
        <v>-0.52999167377128598</v>
      </c>
      <c r="CJ30" s="3">
        <f ca="1">IFERROR(__xludf.DUMMYFUNCTION("""COMPUTED_VALUE"""),-0.534857357842279)</f>
        <v>-0.53485735784227895</v>
      </c>
      <c r="CK30" s="3">
        <f ca="1">IFERROR(__xludf.DUMMYFUNCTION("""COMPUTED_VALUE"""),-0.490533334607244)</f>
        <v>-0.49053333460724402</v>
      </c>
      <c r="CL30" s="3">
        <f ca="1">IFERROR(__xludf.DUMMYFUNCTION("""COMPUTED_VALUE"""),-0.441020824920359)</f>
        <v>-0.44102082492035899</v>
      </c>
      <c r="CM30" s="3">
        <f ca="1">IFERROR(__xludf.DUMMYFUNCTION("""COMPUTED_VALUE"""),-0.460811077391523)</f>
        <v>-0.46081107739152299</v>
      </c>
      <c r="CN30" s="3">
        <f ca="1">IFERROR(__xludf.DUMMYFUNCTION("""COMPUTED_VALUE"""),-0.48303933808588)</f>
        <v>-0.48303933808588001</v>
      </c>
      <c r="CO30" s="3">
        <f ca="1">IFERROR(__xludf.DUMMYFUNCTION("""COMPUTED_VALUE"""),-0.343941131727098)</f>
        <v>-0.343941131727098</v>
      </c>
      <c r="CP30" s="3">
        <f ca="1">IFERROR(__xludf.DUMMYFUNCTION("""COMPUTED_VALUE"""),-0.569756613996124)</f>
        <v>-0.56975661399612398</v>
      </c>
      <c r="CQ30" s="3">
        <f ca="1">IFERROR(__xludf.DUMMYFUNCTION("""COMPUTED_VALUE"""),-0.45290317549213)</f>
        <v>-0.45290317549212999</v>
      </c>
      <c r="CR30" s="3">
        <f ca="1">IFERROR(__xludf.DUMMYFUNCTION("""COMPUTED_VALUE"""),-0.386215221941311)</f>
        <v>-0.38621522194131103</v>
      </c>
      <c r="CS30" s="3">
        <f ca="1">IFERROR(__xludf.DUMMYFUNCTION("""COMPUTED_VALUE"""),-0.466775049889504)</f>
        <v>-0.46677504988950402</v>
      </c>
      <c r="CT30" s="3">
        <f ca="1">IFERROR(__xludf.DUMMYFUNCTION("""COMPUTED_VALUE"""),-0.440411134043865)</f>
        <v>-0.440411134043865</v>
      </c>
      <c r="CU30" s="3">
        <f ca="1">IFERROR(__xludf.DUMMYFUNCTION("""COMPUTED_VALUE"""),-0.418712934309436)</f>
        <v>-0.41871293430943601</v>
      </c>
      <c r="CV30" s="3">
        <f ca="1">IFERROR(__xludf.DUMMYFUNCTION("""COMPUTED_VALUE"""),-0.427307963093365)</f>
        <v>-0.427307963093365</v>
      </c>
      <c r="CW30" s="3">
        <f ca="1">IFERROR(__xludf.DUMMYFUNCTION("""COMPUTED_VALUE"""),-0.607933472443292)</f>
        <v>-0.60793347244329199</v>
      </c>
      <c r="CX30" s="3">
        <f ca="1">IFERROR(__xludf.DUMMYFUNCTION("""COMPUTED_VALUE"""),-0.516351684509999)</f>
        <v>-0.51635168450999902</v>
      </c>
      <c r="CY30" s="3">
        <f ca="1">IFERROR(__xludf.DUMMYFUNCTION("""COMPUTED_VALUE"""),-0.208824510943355)</f>
        <v>-0.208824510943355</v>
      </c>
      <c r="CZ30" s="3">
        <f ca="1">IFERROR(__xludf.DUMMYFUNCTION("""COMPUTED_VALUE"""),-0.473068825968955)</f>
        <v>-0.473068825968955</v>
      </c>
      <c r="DA30" s="3">
        <f ca="1">IFERROR(__xludf.DUMMYFUNCTION("""COMPUTED_VALUE"""),-0.490699252970801)</f>
        <v>-0.49069925297080103</v>
      </c>
      <c r="DB30" s="3">
        <f ca="1">IFERROR(__xludf.DUMMYFUNCTION("""COMPUTED_VALUE"""),-0.501825093059142)</f>
        <v>-0.50182509305914202</v>
      </c>
      <c r="DC30" s="3">
        <f ca="1">IFERROR(__xludf.DUMMYFUNCTION("""COMPUTED_VALUE"""),-0.459415665547668)</f>
        <v>-0.459415665547668</v>
      </c>
      <c r="DD30" s="3">
        <f ca="1">IFERROR(__xludf.DUMMYFUNCTION("""COMPUTED_VALUE"""),-0.794229892615181)</f>
        <v>-0.79422989261518095</v>
      </c>
      <c r="DE30" s="3">
        <f ca="1">IFERROR(__xludf.DUMMYFUNCTION("""COMPUTED_VALUE"""),-0.588064437121162)</f>
        <v>-0.58806443712116196</v>
      </c>
      <c r="DF30" s="3">
        <f ca="1">IFERROR(__xludf.DUMMYFUNCTION("""COMPUTED_VALUE"""),-0.124590638945319)</f>
        <v>-0.12459063894531899</v>
      </c>
      <c r="DG30" s="3">
        <f ca="1">IFERROR(__xludf.DUMMYFUNCTION("""COMPUTED_VALUE"""),-0.492839884015559)</f>
        <v>-0.492839884015559</v>
      </c>
      <c r="DH30" s="3">
        <f ca="1">IFERROR(__xludf.DUMMYFUNCTION("""COMPUTED_VALUE"""),-0.41603702779625)</f>
        <v>-0.41603702779625001</v>
      </c>
      <c r="DI30" s="3">
        <f ca="1">IFERROR(__xludf.DUMMYFUNCTION("""COMPUTED_VALUE"""),-0.452394400192695)</f>
        <v>-0.452394400192695</v>
      </c>
      <c r="DJ30" s="3">
        <f ca="1">IFERROR(__xludf.DUMMYFUNCTION("""COMPUTED_VALUE"""),-0.421820146623317)</f>
        <v>-0.42182014662331702</v>
      </c>
      <c r="DK30" s="3">
        <f ca="1">IFERROR(__xludf.DUMMYFUNCTION("""COMPUTED_VALUE"""),-0.494643873202828)</f>
        <v>-0.49464387320282799</v>
      </c>
      <c r="DL30" s="3">
        <f ca="1">IFERROR(__xludf.DUMMYFUNCTION("""COMPUTED_VALUE"""),-0.421065268275583)</f>
        <v>-0.42106526827558299</v>
      </c>
      <c r="DM30" s="3">
        <f ca="1">IFERROR(__xludf.DUMMYFUNCTION("""COMPUTED_VALUE"""),-0.43413528918971)</f>
        <v>-0.43413528918971001</v>
      </c>
      <c r="DN30" s="3">
        <f ca="1">IFERROR(__xludf.DUMMYFUNCTION("""COMPUTED_VALUE"""),-0.442992471267168)</f>
        <v>-0.44299247126716801</v>
      </c>
      <c r="DO30" s="3">
        <f ca="1">IFERROR(__xludf.DUMMYFUNCTION("""COMPUTED_VALUE"""),-0.626760534129174)</f>
        <v>-0.62676053412917399</v>
      </c>
      <c r="DP30" s="3">
        <f ca="1">IFERROR(__xludf.DUMMYFUNCTION("""COMPUTED_VALUE"""),-0.428535530927517)</f>
        <v>-0.42853553092751701</v>
      </c>
      <c r="DQ30" s="3">
        <f ca="1">IFERROR(__xludf.DUMMYFUNCTION("""COMPUTED_VALUE"""),-0.454083623712028)</f>
        <v>-0.45408362371202798</v>
      </c>
      <c r="DR30" s="3">
        <f ca="1">IFERROR(__xludf.DUMMYFUNCTION("""COMPUTED_VALUE"""),-0.444869091957989)</f>
        <v>-0.44486909195798902</v>
      </c>
      <c r="DS30" s="3">
        <f ca="1">IFERROR(__xludf.DUMMYFUNCTION("""COMPUTED_VALUE"""),-0.546572552873062)</f>
        <v>-0.54657255287306195</v>
      </c>
      <c r="DT30" s="3">
        <f ca="1">IFERROR(__xludf.DUMMYFUNCTION("""COMPUTED_VALUE"""),-0.510012765236963)</f>
        <v>-0.51001276523696304</v>
      </c>
      <c r="DU30" s="3">
        <f ca="1">IFERROR(__xludf.DUMMYFUNCTION("""COMPUTED_VALUE"""),-0.485162392136665)</f>
        <v>-0.48516239213666501</v>
      </c>
      <c r="DV30" s="3">
        <f ca="1">IFERROR(__xludf.DUMMYFUNCTION("""COMPUTED_VALUE"""),-0.492772400172887)</f>
        <v>-0.49277240017288698</v>
      </c>
      <c r="DW30" s="3">
        <f ca="1">IFERROR(__xludf.DUMMYFUNCTION("""COMPUTED_VALUE"""),-0.431945368180598)</f>
        <v>-0.43194536818059798</v>
      </c>
      <c r="DX30" s="3">
        <f ca="1">IFERROR(__xludf.DUMMYFUNCTION("""COMPUTED_VALUE"""),-0.485696806185914)</f>
        <v>-0.48569680618591399</v>
      </c>
      <c r="DY30" s="3">
        <f ca="1">IFERROR(__xludf.DUMMYFUNCTION("""COMPUTED_VALUE"""),-0.404846713979004)</f>
        <v>-0.40484671397900401</v>
      </c>
      <c r="DZ30" s="3">
        <f ca="1">IFERROR(__xludf.DUMMYFUNCTION("""COMPUTED_VALUE"""),-0.317209282356695)</f>
        <v>-0.31720928235669499</v>
      </c>
      <c r="EA30" s="3">
        <f ca="1">IFERROR(__xludf.DUMMYFUNCTION("""COMPUTED_VALUE"""),-0.41385526147044)</f>
        <v>-0.41385526147043999</v>
      </c>
      <c r="EB30" s="3">
        <f ca="1">IFERROR(__xludf.DUMMYFUNCTION("""COMPUTED_VALUE"""),-0.434264122978416)</f>
        <v>-0.43426412297841599</v>
      </c>
      <c r="EC30" s="3">
        <f ca="1">IFERROR(__xludf.DUMMYFUNCTION("""COMPUTED_VALUE"""),-0.483924091756195)</f>
        <v>-0.483924091756195</v>
      </c>
      <c r="ED30" s="3">
        <f ca="1">IFERROR(__xludf.DUMMYFUNCTION("""COMPUTED_VALUE"""),-0.469572785087017)</f>
        <v>-0.469572785087017</v>
      </c>
      <c r="EE30" s="3">
        <f ca="1">IFERROR(__xludf.DUMMYFUNCTION("""COMPUTED_VALUE"""),-0.43864353761474)</f>
        <v>-0.43864353761474001</v>
      </c>
      <c r="EF30" s="3">
        <f ca="1">IFERROR(__xludf.DUMMYFUNCTION("""COMPUTED_VALUE"""),-0.431328520690679)</f>
        <v>-0.43132852069067901</v>
      </c>
      <c r="EG30" s="3">
        <f ca="1">IFERROR(__xludf.DUMMYFUNCTION("""COMPUTED_VALUE"""),-0.64693404931784)</f>
        <v>-0.64693404931784004</v>
      </c>
      <c r="EH30" s="3">
        <f ca="1">IFERROR(__xludf.DUMMYFUNCTION("""COMPUTED_VALUE"""),-0.451684785839064)</f>
        <v>-0.45168478583906402</v>
      </c>
      <c r="EI30" s="3">
        <f ca="1">IFERROR(__xludf.DUMMYFUNCTION("""COMPUTED_VALUE"""),-0.519510186389804)</f>
        <v>-0.51951018638980395</v>
      </c>
      <c r="EJ30" s="3">
        <f ca="1">IFERROR(__xludf.DUMMYFUNCTION("""COMPUTED_VALUE"""),-0.513591775337725)</f>
        <v>-0.51359177533772504</v>
      </c>
      <c r="EK30" s="3">
        <f ca="1">IFERROR(__xludf.DUMMYFUNCTION("""COMPUTED_VALUE"""),-0.337710266005998)</f>
        <v>-0.33771026600599802</v>
      </c>
      <c r="EL30" s="3">
        <f ca="1">IFERROR(__xludf.DUMMYFUNCTION("""COMPUTED_VALUE"""),-0.359048986084408)</f>
        <v>-0.359048986084408</v>
      </c>
      <c r="EM30" s="3">
        <f ca="1">IFERROR(__xludf.DUMMYFUNCTION("""COMPUTED_VALUE"""),-0.450949692074808)</f>
        <v>-0.45094969207480801</v>
      </c>
      <c r="EN30" s="3">
        <f ca="1">IFERROR(__xludf.DUMMYFUNCTION("""COMPUTED_VALUE"""),-0.336156731812863)</f>
        <v>-0.33615673181286299</v>
      </c>
      <c r="EO30" s="3">
        <f ca="1">IFERROR(__xludf.DUMMYFUNCTION("""COMPUTED_VALUE"""),-0.43892935977299)</f>
        <v>-0.43892935977299002</v>
      </c>
      <c r="EP30" s="3">
        <f ca="1">IFERROR(__xludf.DUMMYFUNCTION("""COMPUTED_VALUE"""),-0.451696154541851)</f>
        <v>-0.45169615454185102</v>
      </c>
      <c r="EQ30" s="3">
        <f ca="1">IFERROR(__xludf.DUMMYFUNCTION("""COMPUTED_VALUE"""),-0.447976729138129)</f>
        <v>-0.44797672913812903</v>
      </c>
      <c r="ER30" s="3">
        <f ca="1">IFERROR(__xludf.DUMMYFUNCTION("""COMPUTED_VALUE"""),-0.292631347372972)</f>
        <v>-0.29263134737297197</v>
      </c>
      <c r="ES30" s="3">
        <f ca="1">IFERROR(__xludf.DUMMYFUNCTION("""COMPUTED_VALUE"""),-0.383449732229916)</f>
        <v>-0.38344973222991602</v>
      </c>
      <c r="ET30" s="3">
        <f ca="1">IFERROR(__xludf.DUMMYFUNCTION("""COMPUTED_VALUE"""),-0.401404754853376)</f>
        <v>-0.40140475485337601</v>
      </c>
      <c r="EU30" s="3">
        <f ca="1">IFERROR(__xludf.DUMMYFUNCTION("""COMPUTED_VALUE"""),-0.590028380100286)</f>
        <v>-0.59002838010028602</v>
      </c>
      <c r="EV30" s="3">
        <f ca="1">IFERROR(__xludf.DUMMYFUNCTION("""COMPUTED_VALUE"""),-0.555828364033987)</f>
        <v>-0.55582836403398705</v>
      </c>
      <c r="EW30" s="3">
        <f ca="1">IFERROR(__xludf.DUMMYFUNCTION("""COMPUTED_VALUE"""),-0.437245867342944)</f>
        <v>-0.43724586734294402</v>
      </c>
      <c r="EX30" s="3">
        <f ca="1">IFERROR(__xludf.DUMMYFUNCTION("""COMPUTED_VALUE"""),-0.515008796202159)</f>
        <v>-0.515008796202159</v>
      </c>
      <c r="EY30" s="3">
        <f ca="1">IFERROR(__xludf.DUMMYFUNCTION("""COMPUTED_VALUE"""),-0.419269269460818)</f>
        <v>-0.41926926946081799</v>
      </c>
      <c r="EZ30" s="3">
        <f ca="1">IFERROR(__xludf.DUMMYFUNCTION("""COMPUTED_VALUE"""),-0.438221075667022)</f>
        <v>-0.43822107566702201</v>
      </c>
      <c r="FA30" s="3">
        <f ca="1">IFERROR(__xludf.DUMMYFUNCTION("""COMPUTED_VALUE"""),-0.447151897436178)</f>
        <v>-0.447151897436178</v>
      </c>
      <c r="FB30" s="3">
        <f ca="1">IFERROR(__xludf.DUMMYFUNCTION("""COMPUTED_VALUE"""),-0.433344947426783)</f>
        <v>-0.43334494742678298</v>
      </c>
      <c r="FC30" s="3">
        <f ca="1">IFERROR(__xludf.DUMMYFUNCTION("""COMPUTED_VALUE"""),-0.476484523757014)</f>
        <v>-0.476484523757014</v>
      </c>
      <c r="FD30" s="3">
        <f ca="1">IFERROR(__xludf.DUMMYFUNCTION("""COMPUTED_VALUE"""),-0.334218299486523)</f>
        <v>-0.33421829948652299</v>
      </c>
      <c r="FE30" s="3">
        <f ca="1">IFERROR(__xludf.DUMMYFUNCTION("""COMPUTED_VALUE"""),-0.411735671372487)</f>
        <v>-0.41173567137248701</v>
      </c>
      <c r="FF30" s="3">
        <f ca="1">IFERROR(__xludf.DUMMYFUNCTION("""COMPUTED_VALUE"""),-0.439227076374142)</f>
        <v>-0.43922707637414199</v>
      </c>
      <c r="FG30" s="3">
        <f ca="1">IFERROR(__xludf.DUMMYFUNCTION("""COMPUTED_VALUE"""),-0.427687056881208)</f>
        <v>-0.42768705688120801</v>
      </c>
      <c r="FH30" s="3">
        <f ca="1">IFERROR(__xludf.DUMMYFUNCTION("""COMPUTED_VALUE"""),-0.483491662406148)</f>
        <v>-0.48349166240614799</v>
      </c>
      <c r="FI30" s="3">
        <f ca="1">IFERROR(__xludf.DUMMYFUNCTION("""COMPUTED_VALUE"""),-0.527373972995073)</f>
        <v>-0.52737397299507305</v>
      </c>
      <c r="FJ30" s="3">
        <f ca="1">IFERROR(__xludf.DUMMYFUNCTION("""COMPUTED_VALUE"""),-0.52392695618513)</f>
        <v>-0.52392695618512997</v>
      </c>
      <c r="FK30" s="3">
        <f ca="1">IFERROR(__xludf.DUMMYFUNCTION("""COMPUTED_VALUE"""),-0.520820662195321)</f>
        <v>-0.52082066219532097</v>
      </c>
      <c r="FL30" s="3">
        <f ca="1">IFERROR(__xludf.DUMMYFUNCTION("""COMPUTED_VALUE"""),-0.458024683147903)</f>
        <v>-0.45802468314790301</v>
      </c>
      <c r="FM30" s="3">
        <f ca="1">IFERROR(__xludf.DUMMYFUNCTION("""COMPUTED_VALUE"""),-0.432826097776679)</f>
        <v>-0.43282609777667902</v>
      </c>
      <c r="FN30" s="3">
        <f ca="1">IFERROR(__xludf.DUMMYFUNCTION("""COMPUTED_VALUE"""),-0.359271300007995)</f>
        <v>-0.35927130000799501</v>
      </c>
      <c r="FO30" s="3">
        <f ca="1">IFERROR(__xludf.DUMMYFUNCTION("""COMPUTED_VALUE"""),-0.468136661761003)</f>
        <v>-0.46813666176100299</v>
      </c>
      <c r="FP30" s="3">
        <f ca="1">IFERROR(__xludf.DUMMYFUNCTION("""COMPUTED_VALUE"""),-0.524923046664246)</f>
        <v>-0.52492304666424605</v>
      </c>
      <c r="FQ30" s="3">
        <f ca="1">IFERROR(__xludf.DUMMYFUNCTION("""COMPUTED_VALUE"""),-0.412266921633381)</f>
        <v>-0.41226692163338102</v>
      </c>
      <c r="FR30" s="3">
        <f ca="1">IFERROR(__xludf.DUMMYFUNCTION("""COMPUTED_VALUE"""),-0.489524743008831)</f>
        <v>-0.48952474300883098</v>
      </c>
      <c r="FS30" s="3">
        <f ca="1">IFERROR(__xludf.DUMMYFUNCTION("""COMPUTED_VALUE"""),-0.496429634500934)</f>
        <v>-0.49642963450093402</v>
      </c>
      <c r="FT30" s="3">
        <f ca="1">IFERROR(__xludf.DUMMYFUNCTION("""COMPUTED_VALUE"""),-0.358221102376079)</f>
        <v>-0.35822110237607901</v>
      </c>
      <c r="FU30" s="3">
        <f ca="1">IFERROR(__xludf.DUMMYFUNCTION("""COMPUTED_VALUE"""),-0.36417241443588)</f>
        <v>-0.36417241443588</v>
      </c>
      <c r="FV30" s="3">
        <f ca="1">IFERROR(__xludf.DUMMYFUNCTION("""COMPUTED_VALUE"""),-0.470751431653294)</f>
        <v>-0.47075143165329397</v>
      </c>
      <c r="FW30" s="3">
        <f ca="1">IFERROR(__xludf.DUMMYFUNCTION("""COMPUTED_VALUE"""),-0.505350422057764)</f>
        <v>-0.50535042205776404</v>
      </c>
      <c r="FX30" s="3">
        <f ca="1">IFERROR(__xludf.DUMMYFUNCTION("""COMPUTED_VALUE"""),-0.48659005131936)</f>
        <v>-0.48659005131936001</v>
      </c>
      <c r="FY30" s="3">
        <f ca="1">IFERROR(__xludf.DUMMYFUNCTION("""COMPUTED_VALUE"""),-0.5182842531708)</f>
        <v>-0.51828425317079996</v>
      </c>
      <c r="FZ30" s="3">
        <f ca="1">IFERROR(__xludf.DUMMYFUNCTION("""COMPUTED_VALUE"""),-0.53086179883831)</f>
        <v>-0.53086179883830997</v>
      </c>
      <c r="GA30" s="3">
        <f ca="1">IFERROR(__xludf.DUMMYFUNCTION("""COMPUTED_VALUE"""),-0.425715679342931)</f>
        <v>-0.42571567934293097</v>
      </c>
      <c r="GB30" s="3">
        <f ca="1">IFERROR(__xludf.DUMMYFUNCTION("""COMPUTED_VALUE"""),-0.514054400871885)</f>
        <v>-0.51405440087188503</v>
      </c>
      <c r="GC30" s="3">
        <f ca="1">IFERROR(__xludf.DUMMYFUNCTION("""COMPUTED_VALUE"""),-0.495447949117756)</f>
        <v>-0.49544794911775603</v>
      </c>
      <c r="GD30" s="3">
        <f ca="1">IFERROR(__xludf.DUMMYFUNCTION("""COMPUTED_VALUE"""),-0.50890522118826)</f>
        <v>-0.50890522118825998</v>
      </c>
      <c r="GE30" s="3">
        <f ca="1">IFERROR(__xludf.DUMMYFUNCTION("""COMPUTED_VALUE"""),-0.461276225889028)</f>
        <v>-0.461276225889028</v>
      </c>
      <c r="GF30" s="3">
        <f ca="1">IFERROR(__xludf.DUMMYFUNCTION("""COMPUTED_VALUE"""),-0.519129078611423)</f>
        <v>-0.51912907861142299</v>
      </c>
      <c r="GG30" s="3">
        <f ca="1">IFERROR(__xludf.DUMMYFUNCTION("""COMPUTED_VALUE"""),-0.499486182017081)</f>
        <v>-0.499486182017081</v>
      </c>
      <c r="GH30" s="3">
        <f ca="1">IFERROR(__xludf.DUMMYFUNCTION("""COMPUTED_VALUE"""),-0.337135228584423)</f>
        <v>-0.33713522858442302</v>
      </c>
      <c r="GI30" s="3">
        <f ca="1">IFERROR(__xludf.DUMMYFUNCTION("""COMPUTED_VALUE"""),-0.464424606797212)</f>
        <v>-0.46442460679721198</v>
      </c>
      <c r="GJ30" s="3">
        <f ca="1">IFERROR(__xludf.DUMMYFUNCTION("""COMPUTED_VALUE"""),-0.457965819200495)</f>
        <v>-0.45796581920049501</v>
      </c>
      <c r="GK30" s="3">
        <f ca="1">IFERROR(__xludf.DUMMYFUNCTION("""COMPUTED_VALUE"""),-0.509852749367612)</f>
        <v>-0.50985274936761205</v>
      </c>
      <c r="GL30" s="3">
        <f ca="1">IFERROR(__xludf.DUMMYFUNCTION("""COMPUTED_VALUE"""),-0.440541321237422)</f>
        <v>-0.44054132123742201</v>
      </c>
      <c r="GM30" s="3">
        <f ca="1">IFERROR(__xludf.DUMMYFUNCTION("""COMPUTED_VALUE"""),-0.567922439822625)</f>
        <v>-0.56792243982262502</v>
      </c>
      <c r="GN30" s="3">
        <f ca="1">IFERROR(__xludf.DUMMYFUNCTION("""COMPUTED_VALUE"""),-0.490208996028591)</f>
        <v>-0.49020899602859103</v>
      </c>
      <c r="GO30" s="3">
        <f ca="1">IFERROR(__xludf.DUMMYFUNCTION("""COMPUTED_VALUE"""),-0.479381246500534)</f>
        <v>-0.47938124650053399</v>
      </c>
      <c r="GP30" s="3">
        <f ca="1">IFERROR(__xludf.DUMMYFUNCTION("""COMPUTED_VALUE"""),-0.491511210498988)</f>
        <v>-0.49151121049898799</v>
      </c>
      <c r="GQ30" s="3">
        <f ca="1">IFERROR(__xludf.DUMMYFUNCTION("""COMPUTED_VALUE"""),-0.469364585157138)</f>
        <v>-0.46936458515713803</v>
      </c>
      <c r="GR30" s="3">
        <f ca="1">IFERROR(__xludf.DUMMYFUNCTION("""COMPUTED_VALUE"""),-0.487574148119321)</f>
        <v>-0.48757414811932098</v>
      </c>
      <c r="GS30" s="3">
        <f ca="1">IFERROR(__xludf.DUMMYFUNCTION("""COMPUTED_VALUE"""),-0.471337449316837)</f>
        <v>-0.47133744931683702</v>
      </c>
      <c r="GT30" s="3">
        <f ca="1">IFERROR(__xludf.DUMMYFUNCTION("""COMPUTED_VALUE"""),-0.483237836966521)</f>
        <v>-0.48323783696652101</v>
      </c>
      <c r="GU30" s="3">
        <f ca="1">IFERROR(__xludf.DUMMYFUNCTION("""COMPUTED_VALUE"""),-0.481808486655139)</f>
        <v>-0.48180848665513898</v>
      </c>
      <c r="GV30" s="3">
        <f ca="1">IFERROR(__xludf.DUMMYFUNCTION("""COMPUTED_VALUE"""),-0.454271268626439)</f>
        <v>-0.45427126862643902</v>
      </c>
      <c r="GW30" s="3">
        <f ca="1">IFERROR(__xludf.DUMMYFUNCTION("""COMPUTED_VALUE"""),-0.436450448416642)</f>
        <v>-0.43645044841664199</v>
      </c>
      <c r="GX30" s="3">
        <f ca="1">IFERROR(__xludf.DUMMYFUNCTION("""COMPUTED_VALUE"""),-0.490527674185565)</f>
        <v>-0.49052767418556498</v>
      </c>
      <c r="GY30" s="3">
        <f ca="1">IFERROR(__xludf.DUMMYFUNCTION("""COMPUTED_VALUE"""),-0.553536514291263)</f>
        <v>-0.55353651429126305</v>
      </c>
      <c r="GZ30" s="3">
        <f ca="1">IFERROR(__xludf.DUMMYFUNCTION("""COMPUTED_VALUE"""),-0.43291590435318)</f>
        <v>-0.43291590435318</v>
      </c>
      <c r="HA30" s="3">
        <f ca="1">IFERROR(__xludf.DUMMYFUNCTION("""COMPUTED_VALUE"""),-0.52535302714984)</f>
        <v>-0.52535302714984</v>
      </c>
      <c r="HB30" s="3">
        <f ca="1">IFERROR(__xludf.DUMMYFUNCTION("""COMPUTED_VALUE"""),-0.522253366758747)</f>
        <v>-0.52225336675874701</v>
      </c>
      <c r="HC30" s="3">
        <f ca="1">IFERROR(__xludf.DUMMYFUNCTION("""COMPUTED_VALUE"""),-0.409135633310557)</f>
        <v>-0.40913563331055702</v>
      </c>
      <c r="HD30" s="3">
        <f ca="1">IFERROR(__xludf.DUMMYFUNCTION("""COMPUTED_VALUE"""),-0.511326792370049)</f>
        <v>-0.51132679237004897</v>
      </c>
      <c r="HE30" s="3">
        <f ca="1">IFERROR(__xludf.DUMMYFUNCTION("""COMPUTED_VALUE"""),-0.26783286061494)</f>
        <v>-0.26783286061493999</v>
      </c>
      <c r="HF30" s="3">
        <f ca="1">IFERROR(__xludf.DUMMYFUNCTION("""COMPUTED_VALUE"""),-0.45421707584446)</f>
        <v>-0.45421707584446003</v>
      </c>
      <c r="HG30" s="3">
        <f ca="1">IFERROR(__xludf.DUMMYFUNCTION("""COMPUTED_VALUE"""),-0.577721702301837)</f>
        <v>-0.57772170230183695</v>
      </c>
      <c r="HH30" s="3">
        <f ca="1">IFERROR(__xludf.DUMMYFUNCTION("""COMPUTED_VALUE"""),-0.502989416485793)</f>
        <v>-0.50298941648579298</v>
      </c>
      <c r="HI30" s="3">
        <f ca="1">IFERROR(__xludf.DUMMYFUNCTION("""COMPUTED_VALUE"""),-0.492972412487138)</f>
        <v>-0.49297241248713802</v>
      </c>
      <c r="HJ30" s="3">
        <f ca="1">IFERROR(__xludf.DUMMYFUNCTION("""COMPUTED_VALUE"""),-0.380383661033262)</f>
        <v>-0.38038366103326199</v>
      </c>
      <c r="HK30" s="3">
        <f ca="1">IFERROR(__xludf.DUMMYFUNCTION("""COMPUTED_VALUE"""),-0.489889896365938)</f>
        <v>-0.48988989636593799</v>
      </c>
      <c r="HL30" s="3">
        <f ca="1">IFERROR(__xludf.DUMMYFUNCTION("""COMPUTED_VALUE"""),-0.280918621324927)</f>
        <v>-0.28091862132492701</v>
      </c>
      <c r="HM30" s="3">
        <f ca="1">IFERROR(__xludf.DUMMYFUNCTION("""COMPUTED_VALUE"""),-0.450136335242321)</f>
        <v>-0.450136335242321</v>
      </c>
      <c r="HN30" s="3">
        <f ca="1">IFERROR(__xludf.DUMMYFUNCTION("""COMPUTED_VALUE"""),-0.505146580087744)</f>
        <v>-0.50514658008774405</v>
      </c>
      <c r="HO30" s="3">
        <f ca="1">IFERROR(__xludf.DUMMYFUNCTION("""COMPUTED_VALUE"""),-0.533905002942539)</f>
        <v>-0.53390500294253895</v>
      </c>
      <c r="HP30" s="3">
        <f ca="1">IFERROR(__xludf.DUMMYFUNCTION("""COMPUTED_VALUE"""),-0.496314951749719)</f>
        <v>-0.49631495174971901</v>
      </c>
      <c r="HQ30" s="3">
        <f ca="1">IFERROR(__xludf.DUMMYFUNCTION("""COMPUTED_VALUE"""),-0.467616151080894)</f>
        <v>-0.46761615108089399</v>
      </c>
      <c r="HR30" s="3">
        <f ca="1">IFERROR(__xludf.DUMMYFUNCTION("""COMPUTED_VALUE"""),-0.538392006184395)</f>
        <v>-0.53839200618439498</v>
      </c>
      <c r="HS30" s="3">
        <f ca="1">IFERROR(__xludf.DUMMYFUNCTION("""COMPUTED_VALUE"""),-0.4196444152952)</f>
        <v>-0.41964441529520002</v>
      </c>
      <c r="HT30" s="3">
        <f ca="1">IFERROR(__xludf.DUMMYFUNCTION("""COMPUTED_VALUE"""),-0.545927683879099)</f>
        <v>-0.54592768387909896</v>
      </c>
      <c r="HU30" s="3">
        <f ca="1">IFERROR(__xludf.DUMMYFUNCTION("""COMPUTED_VALUE"""),-0.55629571219513)</f>
        <v>-0.55629571219512997</v>
      </c>
      <c r="HV30" s="3">
        <f ca="1">IFERROR(__xludf.DUMMYFUNCTION("""COMPUTED_VALUE"""),-0.466197101619041)</f>
        <v>-0.46619710161904099</v>
      </c>
      <c r="HW30" s="3">
        <f ca="1">IFERROR(__xludf.DUMMYFUNCTION("""COMPUTED_VALUE"""),-0.498678600000276)</f>
        <v>-0.49867860000027597</v>
      </c>
      <c r="HX30" s="3">
        <f ca="1">IFERROR(__xludf.DUMMYFUNCTION("""COMPUTED_VALUE"""),-0.432634488853039)</f>
        <v>-0.43263448885303901</v>
      </c>
      <c r="HY30" s="3">
        <f ca="1">IFERROR(__xludf.DUMMYFUNCTION("""COMPUTED_VALUE"""),-0.533570192575975)</f>
        <v>-0.53357019257597504</v>
      </c>
      <c r="HZ30" s="3">
        <f ca="1">IFERROR(__xludf.DUMMYFUNCTION("""COMPUTED_VALUE"""),-0.521766441242861)</f>
        <v>-0.52176644124286098</v>
      </c>
      <c r="IA30" s="3">
        <f ca="1">IFERROR(__xludf.DUMMYFUNCTION("""COMPUTED_VALUE"""),-0.548162191379097)</f>
        <v>-0.54816219137909705</v>
      </c>
      <c r="IB30" s="3">
        <f ca="1">IFERROR(__xludf.DUMMYFUNCTION("""COMPUTED_VALUE"""),-0.56527644581532)</f>
        <v>-0.56527644581531999</v>
      </c>
      <c r="IC30" s="3">
        <f ca="1">IFERROR(__xludf.DUMMYFUNCTION("""COMPUTED_VALUE"""),-0.492302868499317)</f>
        <v>-0.49230286849931698</v>
      </c>
      <c r="ID30" s="3">
        <f ca="1">IFERROR(__xludf.DUMMYFUNCTION("""COMPUTED_VALUE"""),-0.454721583645664)</f>
        <v>-0.45472158364566401</v>
      </c>
      <c r="IE30" s="3">
        <f ca="1">IFERROR(__xludf.DUMMYFUNCTION("""COMPUTED_VALUE"""),-0.401579624123671)</f>
        <v>-0.40157962412367099</v>
      </c>
      <c r="IF30" s="3">
        <f ca="1">IFERROR(__xludf.DUMMYFUNCTION("""COMPUTED_VALUE"""),-0.585184910989346)</f>
        <v>-0.585184910989346</v>
      </c>
      <c r="IG30" s="3">
        <f ca="1">IFERROR(__xludf.DUMMYFUNCTION("""COMPUTED_VALUE"""),-0.57913656702509)</f>
        <v>-0.57913656702508998</v>
      </c>
      <c r="IH30" s="3">
        <f ca="1">IFERROR(__xludf.DUMMYFUNCTION("""COMPUTED_VALUE"""),-0.501087942322059)</f>
        <v>-0.501087942322059</v>
      </c>
      <c r="II30" s="3">
        <f ca="1">IFERROR(__xludf.DUMMYFUNCTION("""COMPUTED_VALUE"""),-0.532541373310306)</f>
        <v>-0.53254137331030604</v>
      </c>
      <c r="IJ30" s="3">
        <f ca="1">IFERROR(__xludf.DUMMYFUNCTION("""COMPUTED_VALUE"""),-0.48222796398147)</f>
        <v>-0.48222796398147</v>
      </c>
      <c r="IK30" s="3">
        <f ca="1">IFERROR(__xludf.DUMMYFUNCTION("""COMPUTED_VALUE"""),-0.442582190914768)</f>
        <v>-0.44258219091476803</v>
      </c>
      <c r="IL30" s="3">
        <f ca="1">IFERROR(__xludf.DUMMYFUNCTION("""COMPUTED_VALUE"""),-0.416218888717414)</f>
        <v>-0.41621888871741403</v>
      </c>
      <c r="IM30" s="3">
        <f ca="1">IFERROR(__xludf.DUMMYFUNCTION("""COMPUTED_VALUE"""),-0.497823785482437)</f>
        <v>-0.497823785482437</v>
      </c>
      <c r="IN30" s="3">
        <f ca="1">IFERROR(__xludf.DUMMYFUNCTION("""COMPUTED_VALUE"""),-0.4370972541121)</f>
        <v>-0.43709725411209999</v>
      </c>
      <c r="IO30" s="3">
        <f ca="1">IFERROR(__xludf.DUMMYFUNCTION("""COMPUTED_VALUE"""),-0.580981677953652)</f>
        <v>-0.58098167795365196</v>
      </c>
      <c r="IP30" s="3">
        <f ca="1">IFERROR(__xludf.DUMMYFUNCTION("""COMPUTED_VALUE"""),-0.500311342407209)</f>
        <v>-0.50031134240720898</v>
      </c>
      <c r="IQ30" s="3">
        <f ca="1">IFERROR(__xludf.DUMMYFUNCTION("""COMPUTED_VALUE"""),-0.611307041908541)</f>
        <v>-0.61130704190854102</v>
      </c>
      <c r="IR30" s="3">
        <f ca="1">IFERROR(__xludf.DUMMYFUNCTION("""COMPUTED_VALUE"""),-0.480298935459777)</f>
        <v>-0.48029893545977698</v>
      </c>
      <c r="IS30" s="3">
        <f ca="1">IFERROR(__xludf.DUMMYFUNCTION("""COMPUTED_VALUE"""),-0.434355107883947)</f>
        <v>-0.43435510788394699</v>
      </c>
      <c r="IT30" s="3">
        <f ca="1">IFERROR(__xludf.DUMMYFUNCTION("""COMPUTED_VALUE"""),-0.464920709882287)</f>
        <v>-0.46492070988228701</v>
      </c>
      <c r="IU30" s="3">
        <f ca="1">IFERROR(__xludf.DUMMYFUNCTION("""COMPUTED_VALUE"""),-0.460603960365407)</f>
        <v>-0.46060396036540702</v>
      </c>
      <c r="IV30" s="3">
        <f ca="1">IFERROR(__xludf.DUMMYFUNCTION("""COMPUTED_VALUE"""),-0.502080479583612)</f>
        <v>-0.50208047958361202</v>
      </c>
      <c r="IW30" s="3">
        <f ca="1">IFERROR(__xludf.DUMMYFUNCTION("""COMPUTED_VALUE"""),-0.557979827123779)</f>
        <v>-0.55797982712377903</v>
      </c>
      <c r="IX30" s="3">
        <f ca="1">IFERROR(__xludf.DUMMYFUNCTION("""COMPUTED_VALUE"""),-0.498342250903297)</f>
        <v>-0.49834225090329698</v>
      </c>
      <c r="IY30" s="3">
        <f ca="1">IFERROR(__xludf.DUMMYFUNCTION("""COMPUTED_VALUE"""),-0.571470551238002)</f>
        <v>-0.57147055123800194</v>
      </c>
      <c r="IZ30" s="3">
        <f ca="1">IFERROR(__xludf.DUMMYFUNCTION("""COMPUTED_VALUE"""),-0.413228079113468)</f>
        <v>-0.41322807911346798</v>
      </c>
      <c r="JA30" s="3">
        <f ca="1">IFERROR(__xludf.DUMMYFUNCTION("""COMPUTED_VALUE"""),-0.449098323778717)</f>
        <v>-0.449098323778717</v>
      </c>
      <c r="JB30" s="3">
        <f ca="1">IFERROR(__xludf.DUMMYFUNCTION("""COMPUTED_VALUE"""),-0.456916797800589)</f>
        <v>-0.45691679780058903</v>
      </c>
      <c r="JC30" s="3">
        <f ca="1">IFERROR(__xludf.DUMMYFUNCTION("""COMPUTED_VALUE"""),-0.615189419645979)</f>
        <v>-0.61518941964597895</v>
      </c>
      <c r="JD30" s="3">
        <f ca="1">IFERROR(__xludf.DUMMYFUNCTION("""COMPUTED_VALUE"""),-0.545633101380989)</f>
        <v>-0.54563310138098897</v>
      </c>
      <c r="JE30" s="3">
        <f ca="1">IFERROR(__xludf.DUMMYFUNCTION("""COMPUTED_VALUE"""),-0.572142323994482)</f>
        <v>-0.57214232399448195</v>
      </c>
      <c r="JF30" s="3">
        <f ca="1">IFERROR(__xludf.DUMMYFUNCTION("""COMPUTED_VALUE"""),-0.542288598286107)</f>
        <v>-0.54228859828610698</v>
      </c>
      <c r="JG30" s="3">
        <f ca="1">IFERROR(__xludf.DUMMYFUNCTION("""COMPUTED_VALUE"""),-0.477517241731651)</f>
        <v>-0.477517241731651</v>
      </c>
      <c r="JH30" s="3">
        <f ca="1">IFERROR(__xludf.DUMMYFUNCTION("""COMPUTED_VALUE"""),-0.441079050350247)</f>
        <v>-0.44107905035024703</v>
      </c>
      <c r="JI30" s="3">
        <f ca="1">IFERROR(__xludf.DUMMYFUNCTION("""COMPUTED_VALUE"""),-0.537786653238324)</f>
        <v>-0.53778665323832398</v>
      </c>
      <c r="JJ30" s="3">
        <f ca="1">IFERROR(__xludf.DUMMYFUNCTION("""COMPUTED_VALUE"""),-0.445312616151608)</f>
        <v>-0.445312616151608</v>
      </c>
      <c r="JK30" s="3">
        <f ca="1">IFERROR(__xludf.DUMMYFUNCTION("""COMPUTED_VALUE"""),-0.547706510064797)</f>
        <v>-0.54770651006479698</v>
      </c>
      <c r="JL30" s="3">
        <f ca="1">IFERROR(__xludf.DUMMYFUNCTION("""COMPUTED_VALUE"""),-0.53428574501752)</f>
        <v>-0.53428574501752002</v>
      </c>
      <c r="JM30" s="3">
        <f ca="1">IFERROR(__xludf.DUMMYFUNCTION("""COMPUTED_VALUE"""),-0.60264958347758)</f>
        <v>-0.60264958347758002</v>
      </c>
      <c r="JN30" s="3">
        <f ca="1">IFERROR(__xludf.DUMMYFUNCTION("""COMPUTED_VALUE"""),-0.422494798215947)</f>
        <v>-0.42249479821594699</v>
      </c>
      <c r="JO30" s="3">
        <f ca="1">IFERROR(__xludf.DUMMYFUNCTION("""COMPUTED_VALUE"""),-0.52052243385028)</f>
        <v>-0.52052243385027996</v>
      </c>
      <c r="JP30" s="3">
        <f ca="1">IFERROR(__xludf.DUMMYFUNCTION("""COMPUTED_VALUE"""),-0.433760672180944)</f>
        <v>-0.433760672180944</v>
      </c>
      <c r="JQ30" s="3">
        <f ca="1">IFERROR(__xludf.DUMMYFUNCTION("""COMPUTED_VALUE"""),-0.475949006484781)</f>
        <v>-0.475949006484781</v>
      </c>
      <c r="JR30" s="3">
        <f ca="1">IFERROR(__xludf.DUMMYFUNCTION("""COMPUTED_VALUE"""),-0.517764864929429)</f>
        <v>-0.51776486492942897</v>
      </c>
      <c r="JS30" s="3">
        <f ca="1">IFERROR(__xludf.DUMMYFUNCTION("""COMPUTED_VALUE"""),-0.514324021220825)</f>
        <v>-0.51432402122082499</v>
      </c>
      <c r="JT30" s="3">
        <f ca="1">IFERROR(__xludf.DUMMYFUNCTION("""COMPUTED_VALUE"""),-0.543318140711498)</f>
        <v>-0.54331814071149798</v>
      </c>
      <c r="JU30" s="3">
        <f ca="1">IFERROR(__xludf.DUMMYFUNCTION("""COMPUTED_VALUE"""),-0.340171054633003)</f>
        <v>-0.34017105463300301</v>
      </c>
      <c r="JV30" s="3">
        <f ca="1">IFERROR(__xludf.DUMMYFUNCTION("""COMPUTED_VALUE"""),-0.421582466906397)</f>
        <v>-0.421582466906397</v>
      </c>
      <c r="JW30" s="3">
        <f ca="1">IFERROR(__xludf.DUMMYFUNCTION("""COMPUTED_VALUE"""),-0.395502469085956)</f>
        <v>-0.39550246908595599</v>
      </c>
      <c r="JX30" s="3">
        <f ca="1">IFERROR(__xludf.DUMMYFUNCTION("""COMPUTED_VALUE"""),-0.30355349532073)</f>
        <v>-0.30355349532073</v>
      </c>
      <c r="JY30" s="3">
        <f ca="1">IFERROR(__xludf.DUMMYFUNCTION("""COMPUTED_VALUE"""),-0.466283842836745)</f>
        <v>-0.46628384283674501</v>
      </c>
      <c r="JZ30" s="3">
        <f ca="1">IFERROR(__xludf.DUMMYFUNCTION("""COMPUTED_VALUE"""),-0.416899353913819)</f>
        <v>-0.41689935391381899</v>
      </c>
      <c r="KA30" s="3">
        <f ca="1">IFERROR(__xludf.DUMMYFUNCTION("""COMPUTED_VALUE"""),-0.389980179222243)</f>
        <v>-0.38998017922224298</v>
      </c>
      <c r="KB30" s="3">
        <f ca="1">IFERROR(__xludf.DUMMYFUNCTION("""COMPUTED_VALUE"""),-0.179309743752654)</f>
        <v>-0.17930974375265399</v>
      </c>
      <c r="KC30" s="3">
        <f ca="1">IFERROR(__xludf.DUMMYFUNCTION("""COMPUTED_VALUE"""),-0.299468243288649)</f>
        <v>-0.29946824328864902</v>
      </c>
      <c r="KD30" s="3">
        <f ca="1">IFERROR(__xludf.DUMMYFUNCTION("""COMPUTED_VALUE"""),-0.317108295614927)</f>
        <v>-0.31710829561492698</v>
      </c>
      <c r="KE30" s="3">
        <f ca="1">IFERROR(__xludf.DUMMYFUNCTION("""COMPUTED_VALUE"""),-0.28757405383844)</f>
        <v>-0.28757405383843998</v>
      </c>
      <c r="KF30" s="3">
        <f ca="1">IFERROR(__xludf.DUMMYFUNCTION("""COMPUTED_VALUE"""),-0.324909443839341)</f>
        <v>-0.32490944383934101</v>
      </c>
      <c r="KG30" s="3">
        <f ca="1">IFERROR(__xludf.DUMMYFUNCTION("""COMPUTED_VALUE"""),-0.383611713653223)</f>
        <v>-0.383611713653223</v>
      </c>
      <c r="KH30" s="3">
        <f ca="1">IFERROR(__xludf.DUMMYFUNCTION("""COMPUTED_VALUE"""),-0.454858020332986)</f>
        <v>-0.454858020332986</v>
      </c>
      <c r="KI30" s="3">
        <f ca="1">IFERROR(__xludf.DUMMYFUNCTION("""COMPUTED_VALUE"""),-0.400367805184341)</f>
        <v>-0.40036780518434101</v>
      </c>
      <c r="KJ30" s="3">
        <f ca="1">IFERROR(__xludf.DUMMYFUNCTION("""COMPUTED_VALUE"""),-0.417982202618006)</f>
        <v>-0.417982202618006</v>
      </c>
      <c r="KK30" s="3">
        <f ca="1">IFERROR(__xludf.DUMMYFUNCTION("""COMPUTED_VALUE"""),-0.406039819545138)</f>
        <v>-0.40603981954513801</v>
      </c>
      <c r="KL30" s="3">
        <f ca="1">IFERROR(__xludf.DUMMYFUNCTION("""COMPUTED_VALUE"""),-0.277025039741278)</f>
        <v>-0.27702503974127801</v>
      </c>
      <c r="KM30" s="3">
        <f ca="1">IFERROR(__xludf.DUMMYFUNCTION("""COMPUTED_VALUE"""),-0.437734572181806)</f>
        <v>-0.437734572181806</v>
      </c>
      <c r="KN30" s="3">
        <f ca="1">IFERROR(__xludf.DUMMYFUNCTION("""COMPUTED_VALUE"""),-0.53746179468303)</f>
        <v>-0.53746179468303001</v>
      </c>
      <c r="KO30" s="3">
        <f ca="1">IFERROR(__xludf.DUMMYFUNCTION("""COMPUTED_VALUE"""),-0.579489498014743)</f>
        <v>-0.57948949801474303</v>
      </c>
      <c r="KP30" s="3">
        <f ca="1">IFERROR(__xludf.DUMMYFUNCTION("""COMPUTED_VALUE"""),-0.59483361040347)</f>
        <v>-0.59483361040347005</v>
      </c>
      <c r="KQ30" s="3">
        <f ca="1">IFERROR(__xludf.DUMMYFUNCTION("""COMPUTED_VALUE"""),-0.670418070716273)</f>
        <v>-0.67041807071627302</v>
      </c>
      <c r="KR30" s="3">
        <f ca="1">IFERROR(__xludf.DUMMYFUNCTION("""COMPUTED_VALUE"""),-0.614007916511893)</f>
        <v>-0.61400791651189301</v>
      </c>
      <c r="KS30" s="3">
        <f ca="1">IFERROR(__xludf.DUMMYFUNCTION("""COMPUTED_VALUE"""),-0.600975895433271)</f>
        <v>-0.60097589543327101</v>
      </c>
      <c r="KT30" s="3">
        <f ca="1">IFERROR(__xludf.DUMMYFUNCTION("""COMPUTED_VALUE"""),-0.611947632025304)</f>
        <v>-0.611947632025304</v>
      </c>
      <c r="KU30" s="3">
        <f ca="1">IFERROR(__xludf.DUMMYFUNCTION("""COMPUTED_VALUE"""),-0.619716943994841)</f>
        <v>-0.61971694399484101</v>
      </c>
      <c r="KV30" s="3">
        <f ca="1">IFERROR(__xludf.DUMMYFUNCTION("""COMPUTED_VALUE"""),-0.601714596510997)</f>
        <v>-0.60171459651099701</v>
      </c>
      <c r="KW30" s="3">
        <f ca="1">IFERROR(__xludf.DUMMYFUNCTION("""COMPUTED_VALUE"""),-0.596065613890139)</f>
        <v>-0.59606561389013901</v>
      </c>
      <c r="KX30" s="3">
        <f ca="1">IFERROR(__xludf.DUMMYFUNCTION("""COMPUTED_VALUE"""),-0.583118408294228)</f>
        <v>-0.58311840829422801</v>
      </c>
      <c r="KY30" s="3">
        <f ca="1">IFERROR(__xludf.DUMMYFUNCTION("""COMPUTED_VALUE"""),-0.649014126581881)</f>
        <v>-0.64901412658188096</v>
      </c>
      <c r="KZ30" s="3">
        <f ca="1">IFERROR(__xludf.DUMMYFUNCTION("""COMPUTED_VALUE"""),-0.607715314161551)</f>
        <v>-0.607715314161551</v>
      </c>
      <c r="LA30" s="3">
        <f ca="1">IFERROR(__xludf.DUMMYFUNCTION("""COMPUTED_VALUE"""),-0.700525700511689)</f>
        <v>-0.70052570051168905</v>
      </c>
      <c r="LB30" s="3">
        <f ca="1">IFERROR(__xludf.DUMMYFUNCTION("""COMPUTED_VALUE"""),-0.696056210131222)</f>
        <v>-0.69605621013122199</v>
      </c>
      <c r="LC30" s="3">
        <f ca="1">IFERROR(__xludf.DUMMYFUNCTION("""COMPUTED_VALUE"""),-0.620386376884652)</f>
        <v>-0.62038637688465204</v>
      </c>
      <c r="LD30" s="3">
        <f ca="1">IFERROR(__xludf.DUMMYFUNCTION("""COMPUTED_VALUE"""),-0.689369404030878)</f>
        <v>-0.68936940403087799</v>
      </c>
      <c r="LE30" s="3">
        <f ca="1">IFERROR(__xludf.DUMMYFUNCTION("""COMPUTED_VALUE"""),-0.644658184097588)</f>
        <v>-0.64465818409758802</v>
      </c>
      <c r="LF30" s="3">
        <f ca="1">IFERROR(__xludf.DUMMYFUNCTION("""COMPUTED_VALUE"""),-0.591216329921949)</f>
        <v>-0.59121632992194895</v>
      </c>
      <c r="LG30" s="3">
        <f ca="1">IFERROR(__xludf.DUMMYFUNCTION("""COMPUTED_VALUE"""),-0.664339448109216)</f>
        <v>-0.66433944810921597</v>
      </c>
      <c r="LH30" s="3">
        <f ca="1">IFERROR(__xludf.DUMMYFUNCTION("""COMPUTED_VALUE"""),-0.593137639387802)</f>
        <v>-0.59313763938780195</v>
      </c>
      <c r="LI30" s="3">
        <f ca="1">IFERROR(__xludf.DUMMYFUNCTION("""COMPUTED_VALUE"""),-0.642460150660697)</f>
        <v>-0.64246015066069695</v>
      </c>
      <c r="LJ30" s="3">
        <f ca="1">IFERROR(__xludf.DUMMYFUNCTION("""COMPUTED_VALUE"""),-0.770423296149573)</f>
        <v>-0.77042329614957294</v>
      </c>
      <c r="LK30" s="3">
        <f ca="1">IFERROR(__xludf.DUMMYFUNCTION("""COMPUTED_VALUE"""),-0.672329924447479)</f>
        <v>-0.67232992444747897</v>
      </c>
      <c r="LL30" s="3">
        <f ca="1">IFERROR(__xludf.DUMMYFUNCTION("""COMPUTED_VALUE"""),-0.591958585032031)</f>
        <v>-0.59195858503203103</v>
      </c>
      <c r="LM30" s="3">
        <f ca="1">IFERROR(__xludf.DUMMYFUNCTION("""COMPUTED_VALUE"""),-0.723325759714412)</f>
        <v>-0.72332575971441204</v>
      </c>
      <c r="LN30" s="3">
        <f ca="1">IFERROR(__xludf.DUMMYFUNCTION("""COMPUTED_VALUE"""),-0.683848951994221)</f>
        <v>-0.68384895199422102</v>
      </c>
      <c r="LO30" s="3">
        <f ca="1">IFERROR(__xludf.DUMMYFUNCTION("""COMPUTED_VALUE"""),-0.668538637646718)</f>
        <v>-0.66853863764671795</v>
      </c>
      <c r="LP30" s="3">
        <f ca="1">IFERROR(__xludf.DUMMYFUNCTION("""COMPUTED_VALUE"""),-0.715993353297116)</f>
        <v>-0.715993353297116</v>
      </c>
      <c r="LQ30" s="3">
        <f ca="1">IFERROR(__xludf.DUMMYFUNCTION("""COMPUTED_VALUE"""),-0.732653904943437)</f>
        <v>-0.73265390494343696</v>
      </c>
      <c r="LR30" s="3">
        <f ca="1">IFERROR(__xludf.DUMMYFUNCTION("""COMPUTED_VALUE"""),-0.570018854904455)</f>
        <v>-0.57001885490445503</v>
      </c>
      <c r="LS30" s="3">
        <f ca="1">IFERROR(__xludf.DUMMYFUNCTION("""COMPUTED_VALUE"""),-0.616595005868291)</f>
        <v>-0.61659500586829097</v>
      </c>
      <c r="LT30" s="3">
        <f ca="1">IFERROR(__xludf.DUMMYFUNCTION("""COMPUTED_VALUE"""),-0.593702526772541)</f>
        <v>-0.59370252677254098</v>
      </c>
      <c r="LU30" s="3">
        <f ca="1">IFERROR(__xludf.DUMMYFUNCTION("""COMPUTED_VALUE"""),-0.681867213571784)</f>
        <v>-0.68186721357178404</v>
      </c>
      <c r="LV30" s="3">
        <f ca="1">IFERROR(__xludf.DUMMYFUNCTION("""COMPUTED_VALUE"""),-0.659924902096862)</f>
        <v>-0.65992490209686205</v>
      </c>
      <c r="LW30" s="3">
        <f ca="1">IFERROR(__xludf.DUMMYFUNCTION("""COMPUTED_VALUE"""),-0.692438692847686)</f>
        <v>-0.692438692847686</v>
      </c>
      <c r="LX30" s="3">
        <f ca="1">IFERROR(__xludf.DUMMYFUNCTION("""COMPUTED_VALUE"""),-0.744168357821842)</f>
        <v>-0.74416835782184199</v>
      </c>
      <c r="LY30" s="3">
        <f ca="1">IFERROR(__xludf.DUMMYFUNCTION("""COMPUTED_VALUE"""),-0.668546007775366)</f>
        <v>-0.66854600777536599</v>
      </c>
      <c r="LZ30" s="3">
        <f ca="1">IFERROR(__xludf.DUMMYFUNCTION("""COMPUTED_VALUE"""),-0.694670612879059)</f>
        <v>-0.69467061287905896</v>
      </c>
      <c r="MA30" s="3">
        <f ca="1">IFERROR(__xludf.DUMMYFUNCTION("""COMPUTED_VALUE"""),-0.717416580633346)</f>
        <v>-0.71741658063334601</v>
      </c>
      <c r="MB30" s="3">
        <f ca="1">IFERROR(__xludf.DUMMYFUNCTION("""COMPUTED_VALUE"""),-0.67666027309615)</f>
        <v>-0.67666027309614996</v>
      </c>
      <c r="MC30" s="3">
        <f ca="1">IFERROR(__xludf.DUMMYFUNCTION("""COMPUTED_VALUE"""),-0.65993502335122)</f>
        <v>-0.65993502335122001</v>
      </c>
      <c r="MD30" s="3">
        <f ca="1">IFERROR(__xludf.DUMMYFUNCTION("""COMPUTED_VALUE"""),-0.686379198180187)</f>
        <v>-0.686379198180187</v>
      </c>
      <c r="ME30" s="3">
        <f ca="1">IFERROR(__xludf.DUMMYFUNCTION("""COMPUTED_VALUE"""),-0.674328738707273)</f>
        <v>-0.67432873870727295</v>
      </c>
      <c r="MF30" s="3">
        <f ca="1">IFERROR(__xludf.DUMMYFUNCTION("""COMPUTED_VALUE"""),-0.615153565717502)</f>
        <v>-0.61515356571750202</v>
      </c>
      <c r="MG30" s="3">
        <f ca="1">IFERROR(__xludf.DUMMYFUNCTION("""COMPUTED_VALUE"""),-0.642284647588539)</f>
        <v>-0.64228464758853898</v>
      </c>
      <c r="MH30" s="3">
        <f ca="1">IFERROR(__xludf.DUMMYFUNCTION("""COMPUTED_VALUE"""),-0.643743881613299)</f>
        <v>-0.64374388161329898</v>
      </c>
      <c r="MI30" s="3">
        <f ca="1">IFERROR(__xludf.DUMMYFUNCTION("""COMPUTED_VALUE"""),-0.694366964969347)</f>
        <v>-0.69436696496934702</v>
      </c>
      <c r="MJ30" s="3">
        <f ca="1">IFERROR(__xludf.DUMMYFUNCTION("""COMPUTED_VALUE"""),-0.677605067700246)</f>
        <v>-0.67760506770024598</v>
      </c>
      <c r="MK30" s="3">
        <f ca="1">IFERROR(__xludf.DUMMYFUNCTION("""COMPUTED_VALUE"""),-0.692691379626506)</f>
        <v>-0.69269137962650595</v>
      </c>
      <c r="ML30" s="3">
        <f ca="1">IFERROR(__xludf.DUMMYFUNCTION("""COMPUTED_VALUE"""),-0.62658029300107)</f>
        <v>-0.62658029300106999</v>
      </c>
      <c r="MM30" s="3">
        <f ca="1">IFERROR(__xludf.DUMMYFUNCTION("""COMPUTED_VALUE"""),-0.550766974572931)</f>
        <v>-0.550766974572931</v>
      </c>
      <c r="MN30" s="3">
        <f ca="1">IFERROR(__xludf.DUMMYFUNCTION("""COMPUTED_VALUE"""),-0.605252313982141)</f>
        <v>-0.60525231398214097</v>
      </c>
      <c r="MO30" s="3">
        <f ca="1">IFERROR(__xludf.DUMMYFUNCTION("""COMPUTED_VALUE"""),-0.607801032693257)</f>
        <v>-0.60780103269325703</v>
      </c>
      <c r="MP30" s="3">
        <f ca="1">IFERROR(__xludf.DUMMYFUNCTION("""COMPUTED_VALUE"""),-0.574796400841185)</f>
        <v>-0.574796400841185</v>
      </c>
      <c r="MQ30" s="3">
        <f ca="1">IFERROR(__xludf.DUMMYFUNCTION("""COMPUTED_VALUE"""),-0.609276115577988)</f>
        <v>-0.609276115577988</v>
      </c>
      <c r="MR30" s="3">
        <f ca="1">IFERROR(__xludf.DUMMYFUNCTION("""COMPUTED_VALUE"""),-0.685355754756122)</f>
        <v>-0.68535575475612198</v>
      </c>
      <c r="MS30" s="3">
        <f ca="1">IFERROR(__xludf.DUMMYFUNCTION("""COMPUTED_VALUE"""),-0.681489142967955)</f>
        <v>-0.68148914296795504</v>
      </c>
      <c r="MT30" s="3">
        <f ca="1">IFERROR(__xludf.DUMMYFUNCTION("""COMPUTED_VALUE"""),-0.554737654122338)</f>
        <v>-0.554737654122338</v>
      </c>
      <c r="MU30" s="3">
        <f ca="1">IFERROR(__xludf.DUMMYFUNCTION("""COMPUTED_VALUE"""),-0.68125009670328)</f>
        <v>-0.68125009670327996</v>
      </c>
      <c r="MV30" s="3">
        <f ca="1">IFERROR(__xludf.DUMMYFUNCTION("""COMPUTED_VALUE"""),-0.677630201135574)</f>
        <v>-0.67763020113557404</v>
      </c>
      <c r="MW30" s="3">
        <f ca="1">IFERROR(__xludf.DUMMYFUNCTION("""COMPUTED_VALUE"""),-0.732360445118603)</f>
        <v>-0.73236044511860299</v>
      </c>
      <c r="MX30" s="3">
        <f ca="1">IFERROR(__xludf.DUMMYFUNCTION("""COMPUTED_VALUE"""),-0.721494738899751)</f>
        <v>-0.72149473889975102</v>
      </c>
      <c r="MY30" s="3">
        <f ca="1">IFERROR(__xludf.DUMMYFUNCTION("""COMPUTED_VALUE"""),-0.685286553653614)</f>
        <v>-0.68528655365361402</v>
      </c>
      <c r="MZ30" s="3">
        <f ca="1">IFERROR(__xludf.DUMMYFUNCTION("""COMPUTED_VALUE"""),-0.715365380620411)</f>
        <v>-0.715365380620411</v>
      </c>
      <c r="NA30" s="3">
        <f ca="1">IFERROR(__xludf.DUMMYFUNCTION("""COMPUTED_VALUE"""),-0.532238093250866)</f>
        <v>-0.53223809325086602</v>
      </c>
      <c r="NB30" s="3">
        <f ca="1">IFERROR(__xludf.DUMMYFUNCTION("""COMPUTED_VALUE"""),-0.610717724583335)</f>
        <v>-0.61071772458333495</v>
      </c>
      <c r="NC30" s="3">
        <f ca="1">IFERROR(__xludf.DUMMYFUNCTION("""COMPUTED_VALUE"""),-0.645262295875064)</f>
        <v>-0.64526229587506401</v>
      </c>
      <c r="ND30" s="3">
        <f ca="1">IFERROR(__xludf.DUMMYFUNCTION("""COMPUTED_VALUE"""),-0.713306008324869)</f>
        <v>-0.71330600832486901</v>
      </c>
      <c r="NE30" s="3">
        <f ca="1">IFERROR(__xludf.DUMMYFUNCTION("""COMPUTED_VALUE"""),-0.68739843984609)</f>
        <v>-0.68739843984608995</v>
      </c>
      <c r="NF30" s="3">
        <f ca="1">IFERROR(__xludf.DUMMYFUNCTION("""COMPUTED_VALUE"""),-0.580549131988302)</f>
        <v>-0.58054913198830205</v>
      </c>
      <c r="NG30" s="3">
        <f ca="1">IFERROR(__xludf.DUMMYFUNCTION("""COMPUTED_VALUE"""),-0.579729506153651)</f>
        <v>-0.57972950615365104</v>
      </c>
      <c r="NH30" s="3">
        <f ca="1">IFERROR(__xludf.DUMMYFUNCTION("""COMPUTED_VALUE"""),-0.582898018969956)</f>
        <v>-0.58289801896995597</v>
      </c>
      <c r="NI30" s="3">
        <f ca="1">IFERROR(__xludf.DUMMYFUNCTION("""COMPUTED_VALUE"""),-0.55827280825592)</f>
        <v>-0.55827280825591996</v>
      </c>
      <c r="NJ30" s="3">
        <f ca="1">IFERROR(__xludf.DUMMYFUNCTION("""COMPUTED_VALUE"""),-0.527646210086464)</f>
        <v>-0.52764621008646395</v>
      </c>
      <c r="NK30" s="3">
        <f ca="1">IFERROR(__xludf.DUMMYFUNCTION("""COMPUTED_VALUE"""),-0.645351762294688)</f>
        <v>-0.64535176229468805</v>
      </c>
      <c r="NL30" s="3">
        <f ca="1">IFERROR(__xludf.DUMMYFUNCTION("""COMPUTED_VALUE"""),-0.592644292528115)</f>
        <v>-0.59264429252811501</v>
      </c>
      <c r="NM30" s="3">
        <f ca="1">IFERROR(__xludf.DUMMYFUNCTION("""COMPUTED_VALUE"""),-0.274717067254857)</f>
        <v>-0.27471706725485701</v>
      </c>
      <c r="NN30" s="3">
        <f ca="1">IFERROR(__xludf.DUMMYFUNCTION("""COMPUTED_VALUE"""),-0.369393546933519)</f>
        <v>-0.369393546933519</v>
      </c>
      <c r="NO30" s="3">
        <f ca="1">IFERROR(__xludf.DUMMYFUNCTION("""COMPUTED_VALUE"""),-0.531891491230635)</f>
        <v>-0.53189149123063495</v>
      </c>
      <c r="NP30" s="3">
        <f ca="1">IFERROR(__xludf.DUMMYFUNCTION("""COMPUTED_VALUE"""),-0.410210486932651)</f>
        <v>-0.410210486932651</v>
      </c>
      <c r="NQ30" s="3">
        <f ca="1">IFERROR(__xludf.DUMMYFUNCTION("""COMPUTED_VALUE"""),-0.455642070803161)</f>
        <v>-0.45564207080316099</v>
      </c>
      <c r="NR30" s="3">
        <f ca="1">IFERROR(__xludf.DUMMYFUNCTION("""COMPUTED_VALUE"""),-0.34521696297053)</f>
        <v>-0.34521696297053001</v>
      </c>
      <c r="NS30" s="3">
        <f ca="1">IFERROR(__xludf.DUMMYFUNCTION("""COMPUTED_VALUE"""),-0.504069890411716)</f>
        <v>-0.50406989041171602</v>
      </c>
      <c r="NT30" s="3">
        <f ca="1">IFERROR(__xludf.DUMMYFUNCTION("""COMPUTED_VALUE"""),-0.348661757637268)</f>
        <v>-0.34866175763726798</v>
      </c>
      <c r="NU30" s="3">
        <f ca="1">IFERROR(__xludf.DUMMYFUNCTION("""COMPUTED_VALUE"""),-0.500628617546847)</f>
        <v>-0.50062861754684695</v>
      </c>
      <c r="NV30" s="3">
        <f ca="1">IFERROR(__xludf.DUMMYFUNCTION("""COMPUTED_VALUE"""),-0.249641437050338)</f>
        <v>-0.24964143705033801</v>
      </c>
      <c r="NW30" s="3">
        <f ca="1">IFERROR(__xludf.DUMMYFUNCTION("""COMPUTED_VALUE"""),-0.418498019837611)</f>
        <v>-0.41849801983761098</v>
      </c>
      <c r="NX30" s="3">
        <f ca="1">IFERROR(__xludf.DUMMYFUNCTION("""COMPUTED_VALUE"""),-0.408510745125868)</f>
        <v>-0.40851074512586799</v>
      </c>
      <c r="NY30" s="3">
        <f ca="1">IFERROR(__xludf.DUMMYFUNCTION("""COMPUTED_VALUE"""),-0.388944719935932)</f>
        <v>-0.38894471993593199</v>
      </c>
      <c r="NZ30" s="3">
        <f ca="1">IFERROR(__xludf.DUMMYFUNCTION("""COMPUTED_VALUE"""),-0.160290303550997)</f>
        <v>-0.16029030355099699</v>
      </c>
      <c r="OA30" s="3">
        <f ca="1">IFERROR(__xludf.DUMMYFUNCTION("""COMPUTED_VALUE"""),-0.180760077628513)</f>
        <v>-0.18076007762851301</v>
      </c>
      <c r="OB30" s="3">
        <f ca="1">IFERROR(__xludf.DUMMYFUNCTION("""COMPUTED_VALUE"""),-0.254319192180287)</f>
        <v>-0.25431919218028698</v>
      </c>
      <c r="OC30" s="3">
        <f ca="1">IFERROR(__xludf.DUMMYFUNCTION("""COMPUTED_VALUE"""),-0.296515253858703)</f>
        <v>-0.29651525385870298</v>
      </c>
      <c r="OD30" s="3">
        <f ca="1">IFERROR(__xludf.DUMMYFUNCTION("""COMPUTED_VALUE"""),-0.11944014280889)</f>
        <v>-0.11944014280889</v>
      </c>
      <c r="OE30" s="3">
        <f ca="1">IFERROR(__xludf.DUMMYFUNCTION("""COMPUTED_VALUE"""),-0.126121489541674)</f>
        <v>-0.12612148954167399</v>
      </c>
      <c r="OF30" s="3">
        <f ca="1">IFERROR(__xludf.DUMMYFUNCTION("""COMPUTED_VALUE"""),-0.112121047410128)</f>
        <v>-0.112121047410128</v>
      </c>
      <c r="OG30" s="3">
        <f ca="1">IFERROR(__xludf.DUMMYFUNCTION("""COMPUTED_VALUE"""),0.0118105379420792)</f>
        <v>1.1810537942079201E-2</v>
      </c>
      <c r="OH30" s="3">
        <f ca="1">IFERROR(__xludf.DUMMYFUNCTION("""COMPUTED_VALUE"""),-0.149239062912012)</f>
        <v>-0.149239062912012</v>
      </c>
      <c r="OI30" s="3">
        <f ca="1">IFERROR(__xludf.DUMMYFUNCTION("""COMPUTED_VALUE"""),-0.0305943739585982)</f>
        <v>-3.0594373958598198E-2</v>
      </c>
      <c r="OJ30" s="3">
        <f ca="1">IFERROR(__xludf.DUMMYFUNCTION("""COMPUTED_VALUE"""),-0.147956478801329)</f>
        <v>-0.14795647880132901</v>
      </c>
      <c r="OK30" s="3">
        <f ca="1">IFERROR(__xludf.DUMMYFUNCTION("""COMPUTED_VALUE"""),0.0186197574548168)</f>
        <v>1.8619757454816799E-2</v>
      </c>
      <c r="OL30" s="3">
        <f ca="1">IFERROR(__xludf.DUMMYFUNCTION("""COMPUTED_VALUE"""),-0.148306595786827)</f>
        <v>-0.14830659578682701</v>
      </c>
      <c r="OM30" s="3">
        <f ca="1">IFERROR(__xludf.DUMMYFUNCTION("""COMPUTED_VALUE"""),0.0225294263529372)</f>
        <v>2.2529426352937199E-2</v>
      </c>
      <c r="ON30" s="3">
        <f ca="1">IFERROR(__xludf.DUMMYFUNCTION("""COMPUTED_VALUE"""),0.0370287852020625)</f>
        <v>3.70287852020625E-2</v>
      </c>
      <c r="OO30" s="3">
        <f ca="1">IFERROR(__xludf.DUMMYFUNCTION("""COMPUTED_VALUE"""),-0.14688641327925)</f>
        <v>-0.14688641327925001</v>
      </c>
      <c r="OP30" s="3">
        <f ca="1">IFERROR(__xludf.DUMMYFUNCTION("""COMPUTED_VALUE"""),-0.0457118850617871)</f>
        <v>-4.5711885061787097E-2</v>
      </c>
      <c r="OQ30" s="3">
        <f ca="1">IFERROR(__xludf.DUMMYFUNCTION("""COMPUTED_VALUE"""),-0.0664401253316574)</f>
        <v>-6.6440125331657399E-2</v>
      </c>
      <c r="OR30" s="3">
        <f ca="1">IFERROR(__xludf.DUMMYFUNCTION("""COMPUTED_VALUE"""),0.074737951546121)</f>
        <v>7.4737951546121006E-2</v>
      </c>
      <c r="OS30" s="3">
        <f ca="1">IFERROR(__xludf.DUMMYFUNCTION("""COMPUTED_VALUE"""),0.12827775408274)</f>
        <v>0.12827775408274</v>
      </c>
      <c r="OT30" s="3">
        <f ca="1">IFERROR(__xludf.DUMMYFUNCTION("""COMPUTED_VALUE"""),-0.00278398609012453)</f>
        <v>-2.7839860901245298E-3</v>
      </c>
      <c r="OU30" s="3">
        <f ca="1">IFERROR(__xludf.DUMMYFUNCTION("""COMPUTED_VALUE"""),0.145786248595866)</f>
        <v>0.145786248595866</v>
      </c>
      <c r="OV30" s="3">
        <f ca="1">IFERROR(__xludf.DUMMYFUNCTION("""COMPUTED_VALUE"""),-0.160861527105385)</f>
        <v>-0.16086152710538501</v>
      </c>
      <c r="OW30" s="3">
        <f ca="1">IFERROR(__xludf.DUMMYFUNCTION("""COMPUTED_VALUE"""),-0.0722059407066633)</f>
        <v>-7.2205940706663294E-2</v>
      </c>
      <c r="OX30" s="3">
        <f ca="1">IFERROR(__xludf.DUMMYFUNCTION("""COMPUTED_VALUE"""),0.0462571039018615)</f>
        <v>4.6257103901861503E-2</v>
      </c>
      <c r="OY30" s="3">
        <f ca="1">IFERROR(__xludf.DUMMYFUNCTION("""COMPUTED_VALUE"""),0.0646153479876563)</f>
        <v>6.4615347987656294E-2</v>
      </c>
      <c r="OZ30" s="3">
        <f ca="1">IFERROR(__xludf.DUMMYFUNCTION("""COMPUTED_VALUE"""),-0.183682830345562)</f>
        <v>-0.18368283034556199</v>
      </c>
      <c r="PA30" s="3">
        <f ca="1">IFERROR(__xludf.DUMMYFUNCTION("""COMPUTED_VALUE"""),-0.125941046825669)</f>
        <v>-0.12594104682566901</v>
      </c>
      <c r="PB30" s="3">
        <f ca="1">IFERROR(__xludf.DUMMYFUNCTION("""COMPUTED_VALUE"""),0.0561252950102253)</f>
        <v>5.6125295010225298E-2</v>
      </c>
      <c r="PC30" s="3">
        <f ca="1">IFERROR(__xludf.DUMMYFUNCTION("""COMPUTED_VALUE"""),0.007493089670908)</f>
        <v>7.4930896709079998E-3</v>
      </c>
      <c r="PD30" s="3">
        <f ca="1">IFERROR(__xludf.DUMMYFUNCTION("""COMPUTED_VALUE"""),-0.0578690358785261)</f>
        <v>-5.7869035878526098E-2</v>
      </c>
      <c r="PE30" s="3">
        <f ca="1">IFERROR(__xludf.DUMMYFUNCTION("""COMPUTED_VALUE"""),-0.00633891161640798)</f>
        <v>-6.3389116164079802E-3</v>
      </c>
      <c r="PF30" s="3">
        <f ca="1">IFERROR(__xludf.DUMMYFUNCTION("""COMPUTED_VALUE"""),0.105009752043122)</f>
        <v>0.105009752043122</v>
      </c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</row>
    <row r="31" spans="1:594" ht="15.75" customHeight="1">
      <c r="A31" s="1" t="str">
        <f ca="1">IFERROR(__xludf.DUMMYFUNCTION("""COMPUTED_VALUE"""),"Houston")</f>
        <v>Houston</v>
      </c>
      <c r="B31" s="3">
        <f ca="1">IFERROR(__xludf.DUMMYFUNCTION("""COMPUTED_VALUE"""),-0.409196953651206)</f>
        <v>-0.40919695365120601</v>
      </c>
      <c r="C31" s="3">
        <f ca="1">IFERROR(__xludf.DUMMYFUNCTION("""COMPUTED_VALUE"""),-0.507421154507636)</f>
        <v>-0.50742115450763603</v>
      </c>
      <c r="D31" s="3">
        <f ca="1">IFERROR(__xludf.DUMMYFUNCTION("""COMPUTED_VALUE"""),-0.511156456300842)</f>
        <v>-0.51115645630084205</v>
      </c>
      <c r="E31" s="3">
        <f ca="1">IFERROR(__xludf.DUMMYFUNCTION("""COMPUTED_VALUE"""),-0.576850772742938)</f>
        <v>-0.57685077274293795</v>
      </c>
      <c r="F31" s="3">
        <f ca="1">IFERROR(__xludf.DUMMYFUNCTION("""COMPUTED_VALUE"""),-0.557477678924715)</f>
        <v>-0.557477678924715</v>
      </c>
      <c r="G31" s="3">
        <f ca="1">IFERROR(__xludf.DUMMYFUNCTION("""COMPUTED_VALUE"""),-0.542633654748944)</f>
        <v>-0.54263365474894398</v>
      </c>
      <c r="H31" s="3">
        <f ca="1">IFERROR(__xludf.DUMMYFUNCTION("""COMPUTED_VALUE"""),-0.460117057460557)</f>
        <v>-0.46011705746055698</v>
      </c>
      <c r="I31" s="3">
        <f ca="1">IFERROR(__xludf.DUMMYFUNCTION("""COMPUTED_VALUE"""),-0.467656744026414)</f>
        <v>-0.467656744026414</v>
      </c>
      <c r="J31" s="3">
        <f ca="1">IFERROR(__xludf.DUMMYFUNCTION("""COMPUTED_VALUE"""),-0.587393471490173)</f>
        <v>-0.58739347149017296</v>
      </c>
      <c r="K31" s="3">
        <f ca="1">IFERROR(__xludf.DUMMYFUNCTION("""COMPUTED_VALUE"""),-0.533238250115939)</f>
        <v>-0.53323825011593895</v>
      </c>
      <c r="L31" s="3">
        <f ca="1">IFERROR(__xludf.DUMMYFUNCTION("""COMPUTED_VALUE"""),-0.574117210928569)</f>
        <v>-0.57411721092856904</v>
      </c>
      <c r="M31" s="3">
        <f ca="1">IFERROR(__xludf.DUMMYFUNCTION("""COMPUTED_VALUE"""),-0.584598336601813)</f>
        <v>-0.58459833660181304</v>
      </c>
      <c r="N31" s="3">
        <f ca="1">IFERROR(__xludf.DUMMYFUNCTION("""COMPUTED_VALUE"""),-0.574826167372396)</f>
        <v>-0.574826167372396</v>
      </c>
      <c r="O31" s="3">
        <f ca="1">IFERROR(__xludf.DUMMYFUNCTION("""COMPUTED_VALUE"""),-0.447580907539879)</f>
        <v>-0.447580907539879</v>
      </c>
      <c r="P31" s="3">
        <f ca="1">IFERROR(__xludf.DUMMYFUNCTION("""COMPUTED_VALUE"""),-0.486323952016327)</f>
        <v>-0.486323952016327</v>
      </c>
      <c r="Q31" s="3">
        <f ca="1">IFERROR(__xludf.DUMMYFUNCTION("""COMPUTED_VALUE"""),-0.541208854020437)</f>
        <v>-0.54120885402043695</v>
      </c>
      <c r="R31" s="3">
        <f ca="1">IFERROR(__xludf.DUMMYFUNCTION("""COMPUTED_VALUE"""),-0.549735962250635)</f>
        <v>-0.54973596225063504</v>
      </c>
      <c r="S31" s="3">
        <f ca="1">IFERROR(__xludf.DUMMYFUNCTION("""COMPUTED_VALUE"""),-0.5793185646081)</f>
        <v>-0.57931856460810005</v>
      </c>
      <c r="T31" s="3">
        <f ca="1">IFERROR(__xludf.DUMMYFUNCTION("""COMPUTED_VALUE"""),-0.565806425875463)</f>
        <v>-0.56580642587546304</v>
      </c>
      <c r="U31" s="3">
        <f ca="1">IFERROR(__xludf.DUMMYFUNCTION("""COMPUTED_VALUE"""),-0.553644127410316)</f>
        <v>-0.55364412741031599</v>
      </c>
      <c r="V31" s="3">
        <f ca="1">IFERROR(__xludf.DUMMYFUNCTION("""COMPUTED_VALUE"""),-0.449076565865341)</f>
        <v>-0.449076565865341</v>
      </c>
      <c r="W31" s="3">
        <f ca="1">IFERROR(__xludf.DUMMYFUNCTION("""COMPUTED_VALUE"""),-0.454197139516157)</f>
        <v>-0.45419713951615698</v>
      </c>
      <c r="X31" s="3">
        <f ca="1">IFERROR(__xludf.DUMMYFUNCTION("""COMPUTED_VALUE"""),-0.563921871646357)</f>
        <v>-0.56392187164635699</v>
      </c>
      <c r="Y31" s="3">
        <f ca="1">IFERROR(__xludf.DUMMYFUNCTION("""COMPUTED_VALUE"""),-0.564987550614989)</f>
        <v>-0.56498755061498895</v>
      </c>
      <c r="Z31" s="3">
        <f ca="1">IFERROR(__xludf.DUMMYFUNCTION("""COMPUTED_VALUE"""),-0.591295706290611)</f>
        <v>-0.59129570629061101</v>
      </c>
      <c r="AA31" s="3">
        <f ca="1">IFERROR(__xludf.DUMMYFUNCTION("""COMPUTED_VALUE"""),-0.576731994876854)</f>
        <v>-0.576731994876854</v>
      </c>
      <c r="AB31" s="3">
        <f ca="1">IFERROR(__xludf.DUMMYFUNCTION("""COMPUTED_VALUE"""),-0.564637154001668)</f>
        <v>-0.56463715400166803</v>
      </c>
      <c r="AC31" s="3">
        <f ca="1">IFERROR(__xludf.DUMMYFUNCTION("""COMPUTED_VALUE"""),-0.515635011825964)</f>
        <v>-0.51563501182596405</v>
      </c>
      <c r="AD31" s="3">
        <f ca="1">IFERROR(__xludf.DUMMYFUNCTION("""COMPUTED_VALUE"""),-0.479172547423206)</f>
        <v>-0.47917254742320597</v>
      </c>
      <c r="AE31" s="3">
        <f ca="1">IFERROR(__xludf.DUMMYFUNCTION("""COMPUTED_VALUE"""),-0.543300899631063)</f>
        <v>-0.54330089963106298</v>
      </c>
      <c r="AF31" s="3">
        <f ca="1">IFERROR(__xludf.DUMMYFUNCTION("""COMPUTED_VALUE"""),-0.55063094232324)</f>
        <v>-0.55063094232323995</v>
      </c>
      <c r="AG31" s="3">
        <f ca="1">IFERROR(__xludf.DUMMYFUNCTION("""COMPUTED_VALUE"""),-0.543642365705646)</f>
        <v>-0.54364236570564595</v>
      </c>
      <c r="AH31" s="3">
        <f ca="1">IFERROR(__xludf.DUMMYFUNCTION("""COMPUTED_VALUE"""),-0.540245555573914)</f>
        <v>-0.54024555557391396</v>
      </c>
      <c r="AI31" s="3">
        <f ca="1">IFERROR(__xludf.DUMMYFUNCTION("""COMPUTED_VALUE"""),-0.536484403285143)</f>
        <v>-0.53648440328514302</v>
      </c>
      <c r="AJ31" s="3">
        <f ca="1">IFERROR(__xludf.DUMMYFUNCTION("""COMPUTED_VALUE"""),-0.450126483624852)</f>
        <v>-0.45012648362485203</v>
      </c>
      <c r="AK31" s="3">
        <f ca="1">IFERROR(__xludf.DUMMYFUNCTION("""COMPUTED_VALUE"""),-0.453226487925332)</f>
        <v>-0.45322648792533199</v>
      </c>
      <c r="AL31" s="3">
        <f ca="1">IFERROR(__xludf.DUMMYFUNCTION("""COMPUTED_VALUE"""),-0.541773974412322)</f>
        <v>-0.541773974412322</v>
      </c>
      <c r="AM31" s="3">
        <f ca="1">IFERROR(__xludf.DUMMYFUNCTION("""COMPUTED_VALUE"""),-0.548497721347993)</f>
        <v>-0.54849772134799302</v>
      </c>
      <c r="AN31" s="3">
        <f ca="1">IFERROR(__xludf.DUMMYFUNCTION("""COMPUTED_VALUE"""),-0.535036951990507)</f>
        <v>-0.53503695199050705</v>
      </c>
      <c r="AO31" s="3">
        <f ca="1">IFERROR(__xludf.DUMMYFUNCTION("""COMPUTED_VALUE"""),-0.534734128022381)</f>
        <v>-0.53473412802238096</v>
      </c>
      <c r="AP31" s="3">
        <f ca="1">IFERROR(__xludf.DUMMYFUNCTION("""COMPUTED_VALUE"""),-0.560405461633008)</f>
        <v>-0.56040546163300797</v>
      </c>
      <c r="AQ31" s="3">
        <f ca="1">IFERROR(__xludf.DUMMYFUNCTION("""COMPUTED_VALUE"""),-0.461736047026748)</f>
        <v>-0.46173604702674798</v>
      </c>
      <c r="AR31" s="3">
        <f ca="1">IFERROR(__xludf.DUMMYFUNCTION("""COMPUTED_VALUE"""),-0.491925108631377)</f>
        <v>-0.49192510863137701</v>
      </c>
      <c r="AS31" s="3">
        <f ca="1">IFERROR(__xludf.DUMMYFUNCTION("""COMPUTED_VALUE"""),-0.558412110385712)</f>
        <v>-0.55841211038571203</v>
      </c>
      <c r="AT31" s="3">
        <f ca="1">IFERROR(__xludf.DUMMYFUNCTION("""COMPUTED_VALUE"""),-0.612080696981408)</f>
        <v>-0.61208069698140799</v>
      </c>
      <c r="AU31" s="3">
        <f ca="1">IFERROR(__xludf.DUMMYFUNCTION("""COMPUTED_VALUE"""),-0.584740259645548)</f>
        <v>-0.58474025964554799</v>
      </c>
      <c r="AV31" s="3">
        <f ca="1">IFERROR(__xludf.DUMMYFUNCTION("""COMPUTED_VALUE"""),-0.57147759288371)</f>
        <v>-0.57147759288371003</v>
      </c>
      <c r="AW31" s="3">
        <f ca="1">IFERROR(__xludf.DUMMYFUNCTION("""COMPUTED_VALUE"""),-0.578871072224253)</f>
        <v>-0.57887107222425305</v>
      </c>
      <c r="AX31" s="3">
        <f ca="1">IFERROR(__xludf.DUMMYFUNCTION("""COMPUTED_VALUE"""),-0.54068396167427)</f>
        <v>-0.54068396167427002</v>
      </c>
      <c r="AY31" s="3">
        <f ca="1">IFERROR(__xludf.DUMMYFUNCTION("""COMPUTED_VALUE"""),-0.575767823958455)</f>
        <v>-0.57576782395845505</v>
      </c>
      <c r="AZ31" s="3">
        <f ca="1">IFERROR(__xludf.DUMMYFUNCTION("""COMPUTED_VALUE"""),-0.71050632769832)</f>
        <v>-0.71050632769832001</v>
      </c>
      <c r="BA31" s="3">
        <f ca="1">IFERROR(__xludf.DUMMYFUNCTION("""COMPUTED_VALUE"""),-0.825969497782439)</f>
        <v>-0.825969497782439</v>
      </c>
      <c r="BB31" s="3">
        <f ca="1">IFERROR(__xludf.DUMMYFUNCTION("""COMPUTED_VALUE"""),-0.898215778411262)</f>
        <v>-0.89821577841126199</v>
      </c>
      <c r="BC31" s="3">
        <f ca="1">IFERROR(__xludf.DUMMYFUNCTION("""COMPUTED_VALUE"""),-0.922713731977397)</f>
        <v>-0.92271373197739703</v>
      </c>
      <c r="BD31" s="3">
        <f ca="1">IFERROR(__xludf.DUMMYFUNCTION("""COMPUTED_VALUE"""),-0.929699941670582)</f>
        <v>-0.92969994167058201</v>
      </c>
      <c r="BE31" s="3">
        <f ca="1">IFERROR(__xludf.DUMMYFUNCTION("""COMPUTED_VALUE"""),-0.583558978159719)</f>
        <v>-0.58355897815971902</v>
      </c>
      <c r="BF31" s="3">
        <f ca="1">IFERROR(__xludf.DUMMYFUNCTION("""COMPUTED_VALUE"""),-0.568472371871412)</f>
        <v>-0.56847237187141197</v>
      </c>
      <c r="BG31" s="3">
        <f ca="1">IFERROR(__xludf.DUMMYFUNCTION("""COMPUTED_VALUE"""),-0.658982885394402)</f>
        <v>-0.65898288539440197</v>
      </c>
      <c r="BH31" s="3">
        <f ca="1">IFERROR(__xludf.DUMMYFUNCTION("""COMPUTED_VALUE"""),-0.666761729145202)</f>
        <v>-0.66676172914520204</v>
      </c>
      <c r="BI31" s="3">
        <f ca="1">IFERROR(__xludf.DUMMYFUNCTION("""COMPUTED_VALUE"""),-0.597051924749158)</f>
        <v>-0.59705192474915803</v>
      </c>
      <c r="BJ31" s="3">
        <f ca="1">IFERROR(__xludf.DUMMYFUNCTION("""COMPUTED_VALUE"""),-0.5859628970728)</f>
        <v>-0.58596289707280003</v>
      </c>
      <c r="BK31" s="3">
        <f ca="1">IFERROR(__xludf.DUMMYFUNCTION("""COMPUTED_VALUE"""),-0.580795701539065)</f>
        <v>-0.58079570153906501</v>
      </c>
      <c r="BL31" s="3">
        <f ca="1">IFERROR(__xludf.DUMMYFUNCTION("""COMPUTED_VALUE"""),-0.53204611683083)</f>
        <v>-0.53204611683083003</v>
      </c>
      <c r="BM31" s="3">
        <f ca="1">IFERROR(__xludf.DUMMYFUNCTION("""COMPUTED_VALUE"""),-0.533913405167388)</f>
        <v>-0.53391340516738806</v>
      </c>
      <c r="BN31" s="3">
        <f ca="1">IFERROR(__xludf.DUMMYFUNCTION("""COMPUTED_VALUE"""),-0.640537894782876)</f>
        <v>-0.64053789478287604</v>
      </c>
      <c r="BO31" s="3">
        <f ca="1">IFERROR(__xludf.DUMMYFUNCTION("""COMPUTED_VALUE"""),-0.610724754391857)</f>
        <v>-0.61072475439185703</v>
      </c>
      <c r="BP31" s="3">
        <f ca="1">IFERROR(__xludf.DUMMYFUNCTION("""COMPUTED_VALUE"""),-0.58974010388571)</f>
        <v>-0.58974010388570997</v>
      </c>
      <c r="BQ31" s="3">
        <f ca="1">IFERROR(__xludf.DUMMYFUNCTION("""COMPUTED_VALUE"""),-0.598386852895085)</f>
        <v>-0.59838685289508498</v>
      </c>
      <c r="BR31" s="3">
        <f ca="1">IFERROR(__xludf.DUMMYFUNCTION("""COMPUTED_VALUE"""),-0.608046004261994)</f>
        <v>-0.60804600426199396</v>
      </c>
      <c r="BS31" s="3">
        <f ca="1">IFERROR(__xludf.DUMMYFUNCTION("""COMPUTED_VALUE"""),-0.552606337530019)</f>
        <v>-0.55260633753001898</v>
      </c>
      <c r="BT31" s="3">
        <f ca="1">IFERROR(__xludf.DUMMYFUNCTION("""COMPUTED_VALUE"""),-0.56121444909932)</f>
        <v>-0.56121444909931995</v>
      </c>
      <c r="BU31" s="3">
        <f ca="1">IFERROR(__xludf.DUMMYFUNCTION("""COMPUTED_VALUE"""),-0.601643929144089)</f>
        <v>-0.60164392914408904</v>
      </c>
      <c r="BV31" s="3">
        <f ca="1">IFERROR(__xludf.DUMMYFUNCTION("""COMPUTED_VALUE"""),-0.633556581998473)</f>
        <v>-0.63355658199847298</v>
      </c>
      <c r="BW31" s="3">
        <f ca="1">IFERROR(__xludf.DUMMYFUNCTION("""COMPUTED_VALUE"""),-0.584550636938961)</f>
        <v>-0.58455063693896103</v>
      </c>
      <c r="BX31" s="3">
        <f ca="1">IFERROR(__xludf.DUMMYFUNCTION("""COMPUTED_VALUE"""),-0.580920930920948)</f>
        <v>-0.58092093092094799</v>
      </c>
      <c r="BY31" s="3">
        <f ca="1">IFERROR(__xludf.DUMMYFUNCTION("""COMPUTED_VALUE"""),-0.569298818935827)</f>
        <v>-0.56929881893582701</v>
      </c>
      <c r="BZ31" s="3">
        <f ca="1">IFERROR(__xludf.DUMMYFUNCTION("""COMPUTED_VALUE"""),-0.547575611486671)</f>
        <v>-0.547575611486671</v>
      </c>
      <c r="CA31" s="3">
        <f ca="1">IFERROR(__xludf.DUMMYFUNCTION("""COMPUTED_VALUE"""),-0.527326162073496)</f>
        <v>-0.52732616207349603</v>
      </c>
      <c r="CB31" s="3">
        <f ca="1">IFERROR(__xludf.DUMMYFUNCTION("""COMPUTED_VALUE"""),-0.609264377591015)</f>
        <v>-0.60926437759101504</v>
      </c>
      <c r="CC31" s="3">
        <f ca="1">IFERROR(__xludf.DUMMYFUNCTION("""COMPUTED_VALUE"""),-0.637874230416705)</f>
        <v>-0.63787423041670499</v>
      </c>
      <c r="CD31" s="3">
        <f ca="1">IFERROR(__xludf.DUMMYFUNCTION("""COMPUTED_VALUE"""),-0.589926232330614)</f>
        <v>-0.58992623233061403</v>
      </c>
      <c r="CE31" s="3">
        <f ca="1">IFERROR(__xludf.DUMMYFUNCTION("""COMPUTED_VALUE"""),-0.596229473496859)</f>
        <v>-0.59622947349685895</v>
      </c>
      <c r="CF31" s="3">
        <f ca="1">IFERROR(__xludf.DUMMYFUNCTION("""COMPUTED_VALUE"""),-0.628195714479594)</f>
        <v>-0.62819571447959399</v>
      </c>
      <c r="CG31" s="3">
        <f ca="1">IFERROR(__xludf.DUMMYFUNCTION("""COMPUTED_VALUE"""),-0.57808248602921)</f>
        <v>-0.57808248602920997</v>
      </c>
      <c r="CH31" s="3">
        <f ca="1">IFERROR(__xludf.DUMMYFUNCTION("""COMPUTED_VALUE"""),-0.526214916082824)</f>
        <v>-0.526214916082824</v>
      </c>
      <c r="CI31" s="3">
        <f ca="1">IFERROR(__xludf.DUMMYFUNCTION("""COMPUTED_VALUE"""),-0.602922605599539)</f>
        <v>-0.60292260559953903</v>
      </c>
      <c r="CJ31" s="3">
        <f ca="1">IFERROR(__xludf.DUMMYFUNCTION("""COMPUTED_VALUE"""),-0.615507002432215)</f>
        <v>-0.61550700243221501</v>
      </c>
      <c r="CK31" s="3">
        <f ca="1">IFERROR(__xludf.DUMMYFUNCTION("""COMPUTED_VALUE"""),-0.591112270042498)</f>
        <v>-0.591112270042498</v>
      </c>
      <c r="CL31" s="3">
        <f ca="1">IFERROR(__xludf.DUMMYFUNCTION("""COMPUTED_VALUE"""),-0.622180917290852)</f>
        <v>-0.62218091729085201</v>
      </c>
      <c r="CM31" s="3">
        <f ca="1">IFERROR(__xludf.DUMMYFUNCTION("""COMPUTED_VALUE"""),-0.628639587335213)</f>
        <v>-0.62863958733521297</v>
      </c>
      <c r="CN31" s="3">
        <f ca="1">IFERROR(__xludf.DUMMYFUNCTION("""COMPUTED_VALUE"""),-0.703991656518112)</f>
        <v>-0.70399165651811202</v>
      </c>
      <c r="CO31" s="3">
        <f ca="1">IFERROR(__xludf.DUMMYFUNCTION("""COMPUTED_VALUE"""),-0.530679987807906)</f>
        <v>-0.53067998780790604</v>
      </c>
      <c r="CP31" s="3">
        <f ca="1">IFERROR(__xludf.DUMMYFUNCTION("""COMPUTED_VALUE"""),-0.594703541248319)</f>
        <v>-0.59470354124831903</v>
      </c>
      <c r="CQ31" s="3">
        <f ca="1">IFERROR(__xludf.DUMMYFUNCTION("""COMPUTED_VALUE"""),-0.605278119001894)</f>
        <v>-0.60527811900189399</v>
      </c>
      <c r="CR31" s="3">
        <f ca="1">IFERROR(__xludf.DUMMYFUNCTION("""COMPUTED_VALUE"""),-0.55872492344571)</f>
        <v>-0.55872492344571001</v>
      </c>
      <c r="CS31" s="3">
        <f ca="1">IFERROR(__xludf.DUMMYFUNCTION("""COMPUTED_VALUE"""),-0.586358541079849)</f>
        <v>-0.58635854107984897</v>
      </c>
      <c r="CT31" s="3">
        <f ca="1">IFERROR(__xludf.DUMMYFUNCTION("""COMPUTED_VALUE"""),-0.579408548387544)</f>
        <v>-0.57940854838754396</v>
      </c>
      <c r="CU31" s="3">
        <f ca="1">IFERROR(__xludf.DUMMYFUNCTION("""COMPUTED_VALUE"""),-0.553137232923253)</f>
        <v>-0.55313723292325301</v>
      </c>
      <c r="CV31" s="3">
        <f ca="1">IFERROR(__xludf.DUMMYFUNCTION("""COMPUTED_VALUE"""),-0.58050400900273)</f>
        <v>-0.58050400900273003</v>
      </c>
      <c r="CW31" s="3">
        <f ca="1">IFERROR(__xludf.DUMMYFUNCTION("""COMPUTED_VALUE"""),-0.7178542622239)</f>
        <v>-0.71785426222390003</v>
      </c>
      <c r="CX31" s="3">
        <f ca="1">IFERROR(__xludf.DUMMYFUNCTION("""COMPUTED_VALUE"""),-0.67461584561162)</f>
        <v>-0.67461584561162002</v>
      </c>
      <c r="CY31" s="3">
        <f ca="1">IFERROR(__xludf.DUMMYFUNCTION("""COMPUTED_VALUE"""),-0.445459531215487)</f>
        <v>-0.44545953121548698</v>
      </c>
      <c r="CZ31" s="3">
        <f ca="1">IFERROR(__xludf.DUMMYFUNCTION("""COMPUTED_VALUE"""),-0.56155552160594)</f>
        <v>-0.56155552160594002</v>
      </c>
      <c r="DA31" s="3">
        <f ca="1">IFERROR(__xludf.DUMMYFUNCTION("""COMPUTED_VALUE"""),-0.607128930374926)</f>
        <v>-0.60712893037492599</v>
      </c>
      <c r="DB31" s="3">
        <f ca="1">IFERROR(__xludf.DUMMYFUNCTION("""COMPUTED_VALUE"""),-0.559305956466272)</f>
        <v>-0.55930595646627201</v>
      </c>
      <c r="DC31" s="3">
        <f ca="1">IFERROR(__xludf.DUMMYFUNCTION("""COMPUTED_VALUE"""),-0.575741509246829)</f>
        <v>-0.57574150924682899</v>
      </c>
      <c r="DD31" s="3">
        <f ca="1">IFERROR(__xludf.DUMMYFUNCTION("""COMPUTED_VALUE"""),-0.821088237913875)</f>
        <v>-0.82108823791387497</v>
      </c>
      <c r="DE31" s="3">
        <f ca="1">IFERROR(__xludf.DUMMYFUNCTION("""COMPUTED_VALUE"""),-0.645502503493583)</f>
        <v>-0.64550250349358296</v>
      </c>
      <c r="DF31" s="3">
        <f ca="1">IFERROR(__xludf.DUMMYFUNCTION("""COMPUTED_VALUE"""),-0.37342775317269)</f>
        <v>-0.37342775317269</v>
      </c>
      <c r="DG31" s="3">
        <f ca="1">IFERROR(__xludf.DUMMYFUNCTION("""COMPUTED_VALUE"""),-0.5361708464225)</f>
        <v>-0.53617084642250001</v>
      </c>
      <c r="DH31" s="3">
        <f ca="1">IFERROR(__xludf.DUMMYFUNCTION("""COMPUTED_VALUE"""),-0.563803199819785)</f>
        <v>-0.56380319981978499</v>
      </c>
      <c r="DI31" s="3">
        <f ca="1">IFERROR(__xludf.DUMMYFUNCTION("""COMPUTED_VALUE"""),-0.531937223548353)</f>
        <v>-0.53193722354835304</v>
      </c>
      <c r="DJ31" s="3">
        <f ca="1">IFERROR(__xludf.DUMMYFUNCTION("""COMPUTED_VALUE"""),-0.607772134629549)</f>
        <v>-0.60777213462954904</v>
      </c>
      <c r="DK31" s="3">
        <f ca="1">IFERROR(__xludf.DUMMYFUNCTION("""COMPUTED_VALUE"""),-0.585706749433134)</f>
        <v>-0.58570674943313406</v>
      </c>
      <c r="DL31" s="3">
        <f ca="1">IFERROR(__xludf.DUMMYFUNCTION("""COMPUTED_VALUE"""),-0.601364502069409)</f>
        <v>-0.60136450206940895</v>
      </c>
      <c r="DM31" s="3">
        <f ca="1">IFERROR(__xludf.DUMMYFUNCTION("""COMPUTED_VALUE"""),-0.52579108787172)</f>
        <v>-0.52579108787172002</v>
      </c>
      <c r="DN31" s="3">
        <f ca="1">IFERROR(__xludf.DUMMYFUNCTION("""COMPUTED_VALUE"""),-0.582560846226394)</f>
        <v>-0.58256084622639404</v>
      </c>
      <c r="DO31" s="3">
        <f ca="1">IFERROR(__xludf.DUMMYFUNCTION("""COMPUTED_VALUE"""),-0.613345764952668)</f>
        <v>-0.61334576495266802</v>
      </c>
      <c r="DP31" s="3">
        <f ca="1">IFERROR(__xludf.DUMMYFUNCTION("""COMPUTED_VALUE"""),-0.661522944715813)</f>
        <v>-0.66152294471581297</v>
      </c>
      <c r="DQ31" s="3">
        <f ca="1">IFERROR(__xludf.DUMMYFUNCTION("""COMPUTED_VALUE"""),-0.552408457223934)</f>
        <v>-0.55240845722393395</v>
      </c>
      <c r="DR31" s="3">
        <f ca="1">IFERROR(__xludf.DUMMYFUNCTION("""COMPUTED_VALUE"""),-0.626662986099963)</f>
        <v>-0.62666298609996296</v>
      </c>
      <c r="DS31" s="3">
        <f ca="1">IFERROR(__xludf.DUMMYFUNCTION("""COMPUTED_VALUE"""),-0.60965452084234)</f>
        <v>-0.60965452084233995</v>
      </c>
      <c r="DT31" s="3">
        <f ca="1">IFERROR(__xludf.DUMMYFUNCTION("""COMPUTED_VALUE"""),-0.618230254619369)</f>
        <v>-0.61823025461936898</v>
      </c>
      <c r="DU31" s="3">
        <f ca="1">IFERROR(__xludf.DUMMYFUNCTION("""COMPUTED_VALUE"""),-0.61408737841432)</f>
        <v>-0.61408737841432004</v>
      </c>
      <c r="DV31" s="3">
        <f ca="1">IFERROR(__xludf.DUMMYFUNCTION("""COMPUTED_VALUE"""),-0.60982493744057)</f>
        <v>-0.60982493744056998</v>
      </c>
      <c r="DW31" s="3">
        <f ca="1">IFERROR(__xludf.DUMMYFUNCTION("""COMPUTED_VALUE"""),-0.570154863651505)</f>
        <v>-0.57015486365150503</v>
      </c>
      <c r="DX31" s="3">
        <f ca="1">IFERROR(__xludf.DUMMYFUNCTION("""COMPUTED_VALUE"""),-0.586828473808809)</f>
        <v>-0.58682847380880898</v>
      </c>
      <c r="DY31" s="3">
        <f ca="1">IFERROR(__xludf.DUMMYFUNCTION("""COMPUTED_VALUE"""),-0.581890642465621)</f>
        <v>-0.58189064246562106</v>
      </c>
      <c r="DZ31" s="3">
        <f ca="1">IFERROR(__xludf.DUMMYFUNCTION("""COMPUTED_VALUE"""),-0.537281390247599)</f>
        <v>-0.53728139024759902</v>
      </c>
      <c r="EA31" s="3">
        <f ca="1">IFERROR(__xludf.DUMMYFUNCTION("""COMPUTED_VALUE"""),-0.682342969840843)</f>
        <v>-0.68234296984084297</v>
      </c>
      <c r="EB31" s="3">
        <f ca="1">IFERROR(__xludf.DUMMYFUNCTION("""COMPUTED_VALUE"""),-0.631378346330558)</f>
        <v>-0.631378346330558</v>
      </c>
      <c r="EC31" s="3">
        <f ca="1">IFERROR(__xludf.DUMMYFUNCTION("""COMPUTED_VALUE"""),-0.629670134668115)</f>
        <v>-0.62967013466811494</v>
      </c>
      <c r="ED31" s="3">
        <f ca="1">IFERROR(__xludf.DUMMYFUNCTION("""COMPUTED_VALUE"""),-0.621897237429003)</f>
        <v>-0.62189723742900305</v>
      </c>
      <c r="EE31" s="3">
        <f ca="1">IFERROR(__xludf.DUMMYFUNCTION("""COMPUTED_VALUE"""),-0.664990326288317)</f>
        <v>-0.664990326288317</v>
      </c>
      <c r="EF31" s="3">
        <f ca="1">IFERROR(__xludf.DUMMYFUNCTION("""COMPUTED_VALUE"""),-0.685098725760688)</f>
        <v>-0.68509872576068798</v>
      </c>
      <c r="EG31" s="3">
        <f ca="1">IFERROR(__xludf.DUMMYFUNCTION("""COMPUTED_VALUE"""),-0.761791167588595)</f>
        <v>-0.761791167588595</v>
      </c>
      <c r="EH31" s="3">
        <f ca="1">IFERROR(__xludf.DUMMYFUNCTION("""COMPUTED_VALUE"""),-0.625849967492015)</f>
        <v>-0.62584996749201505</v>
      </c>
      <c r="EI31" s="3">
        <f ca="1">IFERROR(__xludf.DUMMYFUNCTION("""COMPUTED_VALUE"""),-0.636211493953167)</f>
        <v>-0.63621149395316701</v>
      </c>
      <c r="EJ31" s="3">
        <f ca="1">IFERROR(__xludf.DUMMYFUNCTION("""COMPUTED_VALUE"""),-0.649710952551169)</f>
        <v>-0.64971095255116895</v>
      </c>
      <c r="EK31" s="3">
        <f ca="1">IFERROR(__xludf.DUMMYFUNCTION("""COMPUTED_VALUE"""),-0.557797213109202)</f>
        <v>-0.55779721310920205</v>
      </c>
      <c r="EL31" s="3">
        <f ca="1">IFERROR(__xludf.DUMMYFUNCTION("""COMPUTED_VALUE"""),-0.55874796240698)</f>
        <v>-0.55874796240697999</v>
      </c>
      <c r="EM31" s="3">
        <f ca="1">IFERROR(__xludf.DUMMYFUNCTION("""COMPUTED_VALUE"""),-0.563762883592747)</f>
        <v>-0.56376288359274696</v>
      </c>
      <c r="EN31" s="3">
        <f ca="1">IFERROR(__xludf.DUMMYFUNCTION("""COMPUTED_VALUE"""),-0.547740556551287)</f>
        <v>-0.54774055655128695</v>
      </c>
      <c r="EO31" s="3">
        <f ca="1">IFERROR(__xludf.DUMMYFUNCTION("""COMPUTED_VALUE"""),-0.591190477197783)</f>
        <v>-0.59119047719778295</v>
      </c>
      <c r="EP31" s="3">
        <f ca="1">IFERROR(__xludf.DUMMYFUNCTION("""COMPUTED_VALUE"""),-0.590697441960256)</f>
        <v>-0.59069744196025598</v>
      </c>
      <c r="EQ31" s="3">
        <f ca="1">IFERROR(__xludf.DUMMYFUNCTION("""COMPUTED_VALUE"""),-0.610747634547558)</f>
        <v>-0.61074763454755798</v>
      </c>
      <c r="ER31" s="3">
        <f ca="1">IFERROR(__xludf.DUMMYFUNCTION("""COMPUTED_VALUE"""),-0.572464685768495)</f>
        <v>-0.57246468576849496</v>
      </c>
      <c r="ES31" s="3">
        <f ca="1">IFERROR(__xludf.DUMMYFUNCTION("""COMPUTED_VALUE"""),-0.547517380523632)</f>
        <v>-0.54751738052363197</v>
      </c>
      <c r="ET31" s="3">
        <f ca="1">IFERROR(__xludf.DUMMYFUNCTION("""COMPUTED_VALUE"""),-0.594703988647459)</f>
        <v>-0.59470398864745899</v>
      </c>
      <c r="EU31" s="3">
        <f ca="1">IFERROR(__xludf.DUMMYFUNCTION("""COMPUTED_VALUE"""),-0.598796011457288)</f>
        <v>-0.598796011457288</v>
      </c>
      <c r="EV31" s="3">
        <f ca="1">IFERROR(__xludf.DUMMYFUNCTION("""COMPUTED_VALUE"""),-0.565536966441136)</f>
        <v>-0.56553696644113605</v>
      </c>
      <c r="EW31" s="3">
        <f ca="1">IFERROR(__xludf.DUMMYFUNCTION("""COMPUTED_VALUE"""),-0.600570002004777)</f>
        <v>-0.60057000200477695</v>
      </c>
      <c r="EX31" s="3">
        <f ca="1">IFERROR(__xludf.DUMMYFUNCTION("""COMPUTED_VALUE"""),-0.595121666160036)</f>
        <v>-0.59512166616003603</v>
      </c>
      <c r="EY31" s="3">
        <f ca="1">IFERROR(__xludf.DUMMYFUNCTION("""COMPUTED_VALUE"""),-0.567260658715333)</f>
        <v>-0.56726065871533304</v>
      </c>
      <c r="EZ31" s="3">
        <f ca="1">IFERROR(__xludf.DUMMYFUNCTION("""COMPUTED_VALUE"""),-0.551545950810289)</f>
        <v>-0.55154595081028901</v>
      </c>
      <c r="FA31" s="3">
        <f ca="1">IFERROR(__xludf.DUMMYFUNCTION("""COMPUTED_VALUE"""),-0.5780830951951)</f>
        <v>-0.57808309519510004</v>
      </c>
      <c r="FB31" s="3">
        <f ca="1">IFERROR(__xludf.DUMMYFUNCTION("""COMPUTED_VALUE"""),-0.600089217728116)</f>
        <v>-0.60008921772811596</v>
      </c>
      <c r="FC31" s="3">
        <f ca="1">IFERROR(__xludf.DUMMYFUNCTION("""COMPUTED_VALUE"""),-0.578411654239594)</f>
        <v>-0.57841165423959395</v>
      </c>
      <c r="FD31" s="3">
        <f ca="1">IFERROR(__xludf.DUMMYFUNCTION("""COMPUTED_VALUE"""),-0.618640573447547)</f>
        <v>-0.61864057344754697</v>
      </c>
      <c r="FE31" s="3">
        <f ca="1">IFERROR(__xludf.DUMMYFUNCTION("""COMPUTED_VALUE"""),-0.61216480665812)</f>
        <v>-0.61216480665812001</v>
      </c>
      <c r="FF31" s="3">
        <f ca="1">IFERROR(__xludf.DUMMYFUNCTION("""COMPUTED_VALUE"""),-0.571507124489953)</f>
        <v>-0.571507124489953</v>
      </c>
      <c r="FG31" s="3">
        <f ca="1">IFERROR(__xludf.DUMMYFUNCTION("""COMPUTED_VALUE"""),-0.558274066087995)</f>
        <v>-0.55827406608799501</v>
      </c>
      <c r="FH31" s="3">
        <f ca="1">IFERROR(__xludf.DUMMYFUNCTION("""COMPUTED_VALUE"""),-0.563844876704835)</f>
        <v>-0.56384487670483496</v>
      </c>
      <c r="FI31" s="3">
        <f ca="1">IFERROR(__xludf.DUMMYFUNCTION("""COMPUTED_VALUE"""),-0.609856634612962)</f>
        <v>-0.60985663461296202</v>
      </c>
      <c r="FJ31" s="3">
        <f ca="1">IFERROR(__xludf.DUMMYFUNCTION("""COMPUTED_VALUE"""),-0.662418356077729)</f>
        <v>-0.66241835607772903</v>
      </c>
      <c r="FK31" s="3">
        <f ca="1">IFERROR(__xludf.DUMMYFUNCTION("""COMPUTED_VALUE"""),-0.640310922236575)</f>
        <v>-0.64031092223657504</v>
      </c>
      <c r="FL31" s="3">
        <f ca="1">IFERROR(__xludf.DUMMYFUNCTION("""COMPUTED_VALUE"""),-0.623278254587953)</f>
        <v>-0.62327825458795305</v>
      </c>
      <c r="FM31" s="3">
        <f ca="1">IFERROR(__xludf.DUMMYFUNCTION("""COMPUTED_VALUE"""),-0.575959389786545)</f>
        <v>-0.57595938978654504</v>
      </c>
      <c r="FN31" s="3">
        <f ca="1">IFERROR(__xludf.DUMMYFUNCTION("""COMPUTED_VALUE"""),-0.585495044006736)</f>
        <v>-0.58549504400673602</v>
      </c>
      <c r="FO31" s="3">
        <f ca="1">IFERROR(__xludf.DUMMYFUNCTION("""COMPUTED_VALUE"""),-0.611422239089117)</f>
        <v>-0.61142223908911697</v>
      </c>
      <c r="FP31" s="3">
        <f ca="1">IFERROR(__xludf.DUMMYFUNCTION("""COMPUTED_VALUE"""),-0.623344444847277)</f>
        <v>-0.62334444484727702</v>
      </c>
      <c r="FQ31" s="3">
        <f ca="1">IFERROR(__xludf.DUMMYFUNCTION("""COMPUTED_VALUE"""),-0.635497914874296)</f>
        <v>-0.63549791487429597</v>
      </c>
      <c r="FR31" s="3">
        <f ca="1">IFERROR(__xludf.DUMMYFUNCTION("""COMPUTED_VALUE"""),-0.616372046723365)</f>
        <v>-0.61637204672336499</v>
      </c>
      <c r="FS31" s="3">
        <f ca="1">IFERROR(__xludf.DUMMYFUNCTION("""COMPUTED_VALUE"""),-0.623772813477387)</f>
        <v>-0.623772813477387</v>
      </c>
      <c r="FT31" s="3">
        <f ca="1">IFERROR(__xludf.DUMMYFUNCTION("""COMPUTED_VALUE"""),-0.568626642222642)</f>
        <v>-0.56862664222264203</v>
      </c>
      <c r="FU31" s="3">
        <f ca="1">IFERROR(__xludf.DUMMYFUNCTION("""COMPUTED_VALUE"""),-0.57316282482563)</f>
        <v>-0.57316282482562997</v>
      </c>
      <c r="FV31" s="3">
        <f ca="1">IFERROR(__xludf.DUMMYFUNCTION("""COMPUTED_VALUE"""),-0.656661662907889)</f>
        <v>-0.65666166290788897</v>
      </c>
      <c r="FW31" s="3">
        <f ca="1">IFERROR(__xludf.DUMMYFUNCTION("""COMPUTED_VALUE"""),-0.634963557883578)</f>
        <v>-0.63496355788357794</v>
      </c>
      <c r="FX31" s="3">
        <f ca="1">IFERROR(__xludf.DUMMYFUNCTION("""COMPUTED_VALUE"""),-0.653212886734084)</f>
        <v>-0.65321288673408395</v>
      </c>
      <c r="FY31" s="3">
        <f ca="1">IFERROR(__xludf.DUMMYFUNCTION("""COMPUTED_VALUE"""),-0.649077715879851)</f>
        <v>-0.64907771587985097</v>
      </c>
      <c r="FZ31" s="3">
        <f ca="1">IFERROR(__xludf.DUMMYFUNCTION("""COMPUTED_VALUE"""),-0.651274668809411)</f>
        <v>-0.65127466880941098</v>
      </c>
      <c r="GA31" s="3">
        <f ca="1">IFERROR(__xludf.DUMMYFUNCTION("""COMPUTED_VALUE"""),-0.565926452225725)</f>
        <v>-0.56592645222572502</v>
      </c>
      <c r="GB31" s="3">
        <f ca="1">IFERROR(__xludf.DUMMYFUNCTION("""COMPUTED_VALUE"""),-0.564396369021403)</f>
        <v>-0.564396369021403</v>
      </c>
      <c r="GC31" s="3">
        <f ca="1">IFERROR(__xludf.DUMMYFUNCTION("""COMPUTED_VALUE"""),-0.69133933410538)</f>
        <v>-0.69133933410537995</v>
      </c>
      <c r="GD31" s="3">
        <f ca="1">IFERROR(__xludf.DUMMYFUNCTION("""COMPUTED_VALUE"""),-0.671782999098162)</f>
        <v>-0.67178299909816197</v>
      </c>
      <c r="GE31" s="3">
        <f ca="1">IFERROR(__xludf.DUMMYFUNCTION("""COMPUTED_VALUE"""),-0.6470198795565)</f>
        <v>-0.64701987955649998</v>
      </c>
      <c r="GF31" s="3">
        <f ca="1">IFERROR(__xludf.DUMMYFUNCTION("""COMPUTED_VALUE"""),-0.679802362083714)</f>
        <v>-0.67980236208371403</v>
      </c>
      <c r="GG31" s="3">
        <f ca="1">IFERROR(__xludf.DUMMYFUNCTION("""COMPUTED_VALUE"""),-0.654845712391149)</f>
        <v>-0.65484571239114897</v>
      </c>
      <c r="GH31" s="3">
        <f ca="1">IFERROR(__xludf.DUMMYFUNCTION("""COMPUTED_VALUE"""),-0.599004543305051)</f>
        <v>-0.59900454330505104</v>
      </c>
      <c r="GI31" s="3">
        <f ca="1">IFERROR(__xludf.DUMMYFUNCTION("""COMPUTED_VALUE"""),-0.592118954368911)</f>
        <v>-0.59211895436891104</v>
      </c>
      <c r="GJ31" s="3">
        <f ca="1">IFERROR(__xludf.DUMMYFUNCTION("""COMPUTED_VALUE"""),-0.65411982889981)</f>
        <v>-0.65411982889981002</v>
      </c>
      <c r="GK31" s="3">
        <f ca="1">IFERROR(__xludf.DUMMYFUNCTION("""COMPUTED_VALUE"""),-0.663402037734371)</f>
        <v>-0.66340203773437101</v>
      </c>
      <c r="GL31" s="3">
        <f ca="1">IFERROR(__xludf.DUMMYFUNCTION("""COMPUTED_VALUE"""),-0.678845207264412)</f>
        <v>-0.678845207264412</v>
      </c>
      <c r="GM31" s="3">
        <f ca="1">IFERROR(__xludf.DUMMYFUNCTION("""COMPUTED_VALUE"""),-0.685218579261577)</f>
        <v>-0.68521857926157703</v>
      </c>
      <c r="GN31" s="3">
        <f ca="1">IFERROR(__xludf.DUMMYFUNCTION("""COMPUTED_VALUE"""),-0.688618349335913)</f>
        <v>-0.68861834933591304</v>
      </c>
      <c r="GO31" s="3">
        <f ca="1">IFERROR(__xludf.DUMMYFUNCTION("""COMPUTED_VALUE"""),-0.637977347131551)</f>
        <v>-0.63797734713155096</v>
      </c>
      <c r="GP31" s="3">
        <f ca="1">IFERROR(__xludf.DUMMYFUNCTION("""COMPUTED_VALUE"""),-0.599882575521776)</f>
        <v>-0.59988257552177604</v>
      </c>
      <c r="GQ31" s="3">
        <f ca="1">IFERROR(__xludf.DUMMYFUNCTION("""COMPUTED_VALUE"""),-0.642402932428688)</f>
        <v>-0.64240293242868796</v>
      </c>
      <c r="GR31" s="3">
        <f ca="1">IFERROR(__xludf.DUMMYFUNCTION("""COMPUTED_VALUE"""),-0.675420991868825)</f>
        <v>-0.67542099186882498</v>
      </c>
      <c r="GS31" s="3">
        <f ca="1">IFERROR(__xludf.DUMMYFUNCTION("""COMPUTED_VALUE"""),-0.676403164232983)</f>
        <v>-0.67640316423298297</v>
      </c>
      <c r="GT31" s="3">
        <f ca="1">IFERROR(__xludf.DUMMYFUNCTION("""COMPUTED_VALUE"""),-0.748033723485776)</f>
        <v>-0.74803372348577601</v>
      </c>
      <c r="GU31" s="3">
        <f ca="1">IFERROR(__xludf.DUMMYFUNCTION("""COMPUTED_VALUE"""),-0.729538939290085)</f>
        <v>-0.72953893929008495</v>
      </c>
      <c r="GV31" s="3">
        <f ca="1">IFERROR(__xludf.DUMMYFUNCTION("""COMPUTED_VALUE"""),-0.652004187713333)</f>
        <v>-0.65200418771333302</v>
      </c>
      <c r="GW31" s="3">
        <f ca="1">IFERROR(__xludf.DUMMYFUNCTION("""COMPUTED_VALUE"""),-0.630618653397462)</f>
        <v>-0.63061865339746204</v>
      </c>
      <c r="GX31" s="3">
        <f ca="1">IFERROR(__xludf.DUMMYFUNCTION("""COMPUTED_VALUE"""),-0.661278449526257)</f>
        <v>-0.66127844952625703</v>
      </c>
      <c r="GY31" s="3">
        <f ca="1">IFERROR(__xludf.DUMMYFUNCTION("""COMPUTED_VALUE"""),-0.640611909252911)</f>
        <v>-0.640611909252911</v>
      </c>
      <c r="GZ31" s="3">
        <f ca="1">IFERROR(__xludf.DUMMYFUNCTION("""COMPUTED_VALUE"""),-0.64970544542399)</f>
        <v>-0.64970544542399</v>
      </c>
      <c r="HA31" s="3">
        <f ca="1">IFERROR(__xludf.DUMMYFUNCTION("""COMPUTED_VALUE"""),-0.665930855721242)</f>
        <v>-0.665930855721242</v>
      </c>
      <c r="HB31" s="3">
        <f ca="1">IFERROR(__xludf.DUMMYFUNCTION("""COMPUTED_VALUE"""),-0.670866665699706)</f>
        <v>-0.67086666569970599</v>
      </c>
      <c r="HC31" s="3">
        <f ca="1">IFERROR(__xludf.DUMMYFUNCTION("""COMPUTED_VALUE"""),-0.573831250819152)</f>
        <v>-0.57383125081915198</v>
      </c>
      <c r="HD31" s="3">
        <f ca="1">IFERROR(__xludf.DUMMYFUNCTION("""COMPUTED_VALUE"""),-0.582920381001722)</f>
        <v>-0.58292038100172205</v>
      </c>
      <c r="HE31" s="3">
        <f ca="1">IFERROR(__xludf.DUMMYFUNCTION("""COMPUTED_VALUE"""),-0.659022133217641)</f>
        <v>-0.65902213321764103</v>
      </c>
      <c r="HF31" s="3">
        <f ca="1">IFERROR(__xludf.DUMMYFUNCTION("""COMPUTED_VALUE"""),-0.635047572692673)</f>
        <v>-0.63504757269267298</v>
      </c>
      <c r="HG31" s="3">
        <f ca="1">IFERROR(__xludf.DUMMYFUNCTION("""COMPUTED_VALUE"""),-0.655593882280247)</f>
        <v>-0.65559388228024695</v>
      </c>
      <c r="HH31" s="3">
        <f ca="1">IFERROR(__xludf.DUMMYFUNCTION("""COMPUTED_VALUE"""),-0.666965707021212)</f>
        <v>-0.66696570702121205</v>
      </c>
      <c r="HI31" s="3">
        <f ca="1">IFERROR(__xludf.DUMMYFUNCTION("""COMPUTED_VALUE"""),-0.704193787204466)</f>
        <v>-0.70419378720446602</v>
      </c>
      <c r="HJ31" s="3">
        <f ca="1">IFERROR(__xludf.DUMMYFUNCTION("""COMPUTED_VALUE"""),-0.603040741727427)</f>
        <v>-0.60304074172742705</v>
      </c>
      <c r="HK31" s="3">
        <f ca="1">IFERROR(__xludf.DUMMYFUNCTION("""COMPUTED_VALUE"""),-0.616600938857689)</f>
        <v>-0.61660093885768896</v>
      </c>
      <c r="HL31" s="3">
        <f ca="1">IFERROR(__xludf.DUMMYFUNCTION("""COMPUTED_VALUE"""),-0.67839163123421)</f>
        <v>-0.67839163123420998</v>
      </c>
      <c r="HM31" s="3">
        <f ca="1">IFERROR(__xludf.DUMMYFUNCTION("""COMPUTED_VALUE"""),-0.666117040303737)</f>
        <v>-0.66611704030373697</v>
      </c>
      <c r="HN31" s="3">
        <f ca="1">IFERROR(__xludf.DUMMYFUNCTION("""COMPUTED_VALUE"""),-0.68830259012507)</f>
        <v>-0.68830259012507</v>
      </c>
      <c r="HO31" s="3">
        <f ca="1">IFERROR(__xludf.DUMMYFUNCTION("""COMPUTED_VALUE"""),-0.666405005579427)</f>
        <v>-0.66640500557942695</v>
      </c>
      <c r="HP31" s="3">
        <f ca="1">IFERROR(__xludf.DUMMYFUNCTION("""COMPUTED_VALUE"""),-0.63973954386052)</f>
        <v>-0.63973954386052001</v>
      </c>
      <c r="HQ31" s="3">
        <f ca="1">IFERROR(__xludf.DUMMYFUNCTION("""COMPUTED_VALUE"""),-0.585003626673688)</f>
        <v>-0.58500362667368799</v>
      </c>
      <c r="HR31" s="3">
        <f ca="1">IFERROR(__xludf.DUMMYFUNCTION("""COMPUTED_VALUE"""),-0.619598400167839)</f>
        <v>-0.61959840016783896</v>
      </c>
      <c r="HS31" s="3">
        <f ca="1">IFERROR(__xludf.DUMMYFUNCTION("""COMPUTED_VALUE"""),-0.673986678955941)</f>
        <v>-0.673986678955941</v>
      </c>
      <c r="HT31" s="3">
        <f ca="1">IFERROR(__xludf.DUMMYFUNCTION("""COMPUTED_VALUE"""),-0.734911138332439)</f>
        <v>-0.73491113833243904</v>
      </c>
      <c r="HU31" s="3">
        <f ca="1">IFERROR(__xludf.DUMMYFUNCTION("""COMPUTED_VALUE"""),-0.740652526807387)</f>
        <v>-0.74065252680738702</v>
      </c>
      <c r="HV31" s="3">
        <f ca="1">IFERROR(__xludf.DUMMYFUNCTION("""COMPUTED_VALUE"""),-0.678063069914568)</f>
        <v>-0.678063069914568</v>
      </c>
      <c r="HW31" s="3">
        <f ca="1">IFERROR(__xludf.DUMMYFUNCTION("""COMPUTED_VALUE"""),-0.601559929369857)</f>
        <v>-0.60155992936985703</v>
      </c>
      <c r="HX31" s="3">
        <f ca="1">IFERROR(__xludf.DUMMYFUNCTION("""COMPUTED_VALUE"""),-0.537548690552055)</f>
        <v>-0.53754869055205501</v>
      </c>
      <c r="HY31" s="3">
        <f ca="1">IFERROR(__xludf.DUMMYFUNCTION("""COMPUTED_VALUE"""),-0.620610177962455)</f>
        <v>-0.62061017796245499</v>
      </c>
      <c r="HZ31" s="3">
        <f ca="1">IFERROR(__xludf.DUMMYFUNCTION("""COMPUTED_VALUE"""),-0.6703700503163)</f>
        <v>-0.67037005031630004</v>
      </c>
      <c r="IA31" s="3">
        <f ca="1">IFERROR(__xludf.DUMMYFUNCTION("""COMPUTED_VALUE"""),-0.699636520571628)</f>
        <v>-0.69963652057162795</v>
      </c>
      <c r="IB31" s="3">
        <f ca="1">IFERROR(__xludf.DUMMYFUNCTION("""COMPUTED_VALUE"""),-0.675110647096593)</f>
        <v>-0.67511064709659296</v>
      </c>
      <c r="IC31" s="3">
        <f ca="1">IFERROR(__xludf.DUMMYFUNCTION("""COMPUTED_VALUE"""),-0.666119190192176)</f>
        <v>-0.66611919019217603</v>
      </c>
      <c r="ID31" s="3">
        <f ca="1">IFERROR(__xludf.DUMMYFUNCTION("""COMPUTED_VALUE"""),-0.683778926169516)</f>
        <v>-0.68377892616951597</v>
      </c>
      <c r="IE31" s="3">
        <f ca="1">IFERROR(__xludf.DUMMYFUNCTION("""COMPUTED_VALUE"""),-0.595535681898789)</f>
        <v>-0.59553568189878903</v>
      </c>
      <c r="IF31" s="3">
        <f ca="1">IFERROR(__xludf.DUMMYFUNCTION("""COMPUTED_VALUE"""),-0.577799164884984)</f>
        <v>-0.57779916488498395</v>
      </c>
      <c r="IG31" s="3">
        <f ca="1">IFERROR(__xludf.DUMMYFUNCTION("""COMPUTED_VALUE"""),-0.645092845200866)</f>
        <v>-0.64509284520086596</v>
      </c>
      <c r="IH31" s="3">
        <f ca="1">IFERROR(__xludf.DUMMYFUNCTION("""COMPUTED_VALUE"""),-0.6493660899362)</f>
        <v>-0.64936608993620004</v>
      </c>
      <c r="II31" s="3">
        <f ca="1">IFERROR(__xludf.DUMMYFUNCTION("""COMPUTED_VALUE"""),-0.656418712793235)</f>
        <v>-0.65641871279323505</v>
      </c>
      <c r="IJ31" s="3">
        <f ca="1">IFERROR(__xludf.DUMMYFUNCTION("""COMPUTED_VALUE"""),-0.654701659976407)</f>
        <v>-0.65470165997640695</v>
      </c>
      <c r="IK31" s="3">
        <f ca="1">IFERROR(__xludf.DUMMYFUNCTION("""COMPUTED_VALUE"""),-0.649661510521306)</f>
        <v>-0.64966151052130605</v>
      </c>
      <c r="IL31" s="3">
        <f ca="1">IFERROR(__xludf.DUMMYFUNCTION("""COMPUTED_VALUE"""),-0.57091227951275)</f>
        <v>-0.57091227951275003</v>
      </c>
      <c r="IM31" s="3">
        <f ca="1">IFERROR(__xludf.DUMMYFUNCTION("""COMPUTED_VALUE"""),-0.583982941341473)</f>
        <v>-0.58398294134147299</v>
      </c>
      <c r="IN31" s="3">
        <f ca="1">IFERROR(__xludf.DUMMYFUNCTION("""COMPUTED_VALUE"""),-0.627481967444206)</f>
        <v>-0.62748196744420603</v>
      </c>
      <c r="IO31" s="3">
        <f ca="1">IFERROR(__xludf.DUMMYFUNCTION("""COMPUTED_VALUE"""),-0.639257789504704)</f>
        <v>-0.63925778950470402</v>
      </c>
      <c r="IP31" s="3">
        <f ca="1">IFERROR(__xludf.DUMMYFUNCTION("""COMPUTED_VALUE"""),-0.650536495591548)</f>
        <v>-0.65053649559154803</v>
      </c>
      <c r="IQ31" s="3">
        <f ca="1">IFERROR(__xludf.DUMMYFUNCTION("""COMPUTED_VALUE"""),-0.636083066659971)</f>
        <v>-0.63608306665997105</v>
      </c>
      <c r="IR31" s="3">
        <f ca="1">IFERROR(__xludf.DUMMYFUNCTION("""COMPUTED_VALUE"""),-0.609743075871524)</f>
        <v>-0.60974307587152399</v>
      </c>
      <c r="IS31" s="3">
        <f ca="1">IFERROR(__xludf.DUMMYFUNCTION("""COMPUTED_VALUE"""),-0.587729475233964)</f>
        <v>-0.58772947523396402</v>
      </c>
      <c r="IT31" s="3">
        <f ca="1">IFERROR(__xludf.DUMMYFUNCTION("""COMPUTED_VALUE"""),-0.630026068063957)</f>
        <v>-0.630026068063957</v>
      </c>
      <c r="IU31" s="3">
        <f ca="1">IFERROR(__xludf.DUMMYFUNCTION("""COMPUTED_VALUE"""),-0.626864324859059)</f>
        <v>-0.62686432485905896</v>
      </c>
      <c r="IV31" s="3">
        <f ca="1">IFERROR(__xludf.DUMMYFUNCTION("""COMPUTED_VALUE"""),-0.652825975496713)</f>
        <v>-0.65282597549671295</v>
      </c>
      <c r="IW31" s="3">
        <f ca="1">IFERROR(__xludf.DUMMYFUNCTION("""COMPUTED_VALUE"""),-0.680486189493864)</f>
        <v>-0.68048618949386397</v>
      </c>
      <c r="IX31" s="3">
        <f ca="1">IFERROR(__xludf.DUMMYFUNCTION("""COMPUTED_VALUE"""),-0.679711604702882)</f>
        <v>-0.67971160470288206</v>
      </c>
      <c r="IY31" s="3">
        <f ca="1">IFERROR(__xludf.DUMMYFUNCTION("""COMPUTED_VALUE"""),-0.637996692928507)</f>
        <v>-0.63799669292850703</v>
      </c>
      <c r="IZ31" s="3">
        <f ca="1">IFERROR(__xludf.DUMMYFUNCTION("""COMPUTED_VALUE"""),-0.632420027933595)</f>
        <v>-0.63242002793359497</v>
      </c>
      <c r="JA31" s="3">
        <f ca="1">IFERROR(__xludf.DUMMYFUNCTION("""COMPUTED_VALUE"""),-0.688396144234631)</f>
        <v>-0.68839614423463102</v>
      </c>
      <c r="JB31" s="3">
        <f ca="1">IFERROR(__xludf.DUMMYFUNCTION("""COMPUTED_VALUE"""),-0.662021822923002)</f>
        <v>-0.66202182292300205</v>
      </c>
      <c r="JC31" s="3">
        <f ca="1">IFERROR(__xludf.DUMMYFUNCTION("""COMPUTED_VALUE"""),-0.633867614465683)</f>
        <v>-0.63386761446568296</v>
      </c>
      <c r="JD31" s="3">
        <f ca="1">IFERROR(__xludf.DUMMYFUNCTION("""COMPUTED_VALUE"""),-0.683995749405393)</f>
        <v>-0.68399574940539298</v>
      </c>
      <c r="JE31" s="3">
        <f ca="1">IFERROR(__xludf.DUMMYFUNCTION("""COMPUTED_VALUE"""),-0.66569858678717)</f>
        <v>-0.66569858678716998</v>
      </c>
      <c r="JF31" s="3">
        <f ca="1">IFERROR(__xludf.DUMMYFUNCTION("""COMPUTED_VALUE"""),-0.644107879109028)</f>
        <v>-0.644107879109028</v>
      </c>
      <c r="JG31" s="3">
        <f ca="1">IFERROR(__xludf.DUMMYFUNCTION("""COMPUTED_VALUE"""),-0.560230738957461)</f>
        <v>-0.56023073895746101</v>
      </c>
      <c r="JH31" s="3">
        <f ca="1">IFERROR(__xludf.DUMMYFUNCTION("""COMPUTED_VALUE"""),-0.55419413184503)</f>
        <v>-0.55419413184502997</v>
      </c>
      <c r="JI31" s="3">
        <f ca="1">IFERROR(__xludf.DUMMYFUNCTION("""COMPUTED_VALUE"""),-0.618530572460567)</f>
        <v>-0.61853057246056697</v>
      </c>
      <c r="JJ31" s="3">
        <f ca="1">IFERROR(__xludf.DUMMYFUNCTION("""COMPUTED_VALUE"""),-0.621564905078234)</f>
        <v>-0.62156490507823403</v>
      </c>
      <c r="JK31" s="3">
        <f ca="1">IFERROR(__xludf.DUMMYFUNCTION("""COMPUTED_VALUE"""),-0.649685512534057)</f>
        <v>-0.64968551253405704</v>
      </c>
      <c r="JL31" s="3">
        <f ca="1">IFERROR(__xludf.DUMMYFUNCTION("""COMPUTED_VALUE"""),-0.639465355993509)</f>
        <v>-0.63946535599350895</v>
      </c>
      <c r="JM31" s="3">
        <f ca="1">IFERROR(__xludf.DUMMYFUNCTION("""COMPUTED_VALUE"""),-0.585877451639268)</f>
        <v>-0.58587745163926797</v>
      </c>
      <c r="JN31" s="3">
        <f ca="1">IFERROR(__xludf.DUMMYFUNCTION("""COMPUTED_VALUE"""),-0.533567236136345)</f>
        <v>-0.53356723613634505</v>
      </c>
      <c r="JO31" s="3">
        <f ca="1">IFERROR(__xludf.DUMMYFUNCTION("""COMPUTED_VALUE"""),-0.50443968836046)</f>
        <v>-0.50443968836046005</v>
      </c>
      <c r="JP31" s="3">
        <f ca="1">IFERROR(__xludf.DUMMYFUNCTION("""COMPUTED_VALUE"""),-0.559671980554046)</f>
        <v>-0.55967198055404599</v>
      </c>
      <c r="JQ31" s="3">
        <f ca="1">IFERROR(__xludf.DUMMYFUNCTION("""COMPUTED_VALUE"""),-0.540169908510237)</f>
        <v>-0.54016990851023705</v>
      </c>
      <c r="JR31" s="3">
        <f ca="1">IFERROR(__xludf.DUMMYFUNCTION("""COMPUTED_VALUE"""),-0.591850421288623)</f>
        <v>-0.59185042128862297</v>
      </c>
      <c r="JS31" s="3">
        <f ca="1">IFERROR(__xludf.DUMMYFUNCTION("""COMPUTED_VALUE"""),-0.608687032095145)</f>
        <v>-0.60868703209514496</v>
      </c>
      <c r="JT31" s="3">
        <f ca="1">IFERROR(__xludf.DUMMYFUNCTION("""COMPUTED_VALUE"""),-0.578820936245429)</f>
        <v>-0.57882093624542896</v>
      </c>
      <c r="JU31" s="3">
        <f ca="1">IFERROR(__xludf.DUMMYFUNCTION("""COMPUTED_VALUE"""),-0.525113980382518)</f>
        <v>-0.525113980382518</v>
      </c>
      <c r="JV31" s="3">
        <f ca="1">IFERROR(__xludf.DUMMYFUNCTION("""COMPUTED_VALUE"""),-0.546283496749609)</f>
        <v>-0.54628349674960897</v>
      </c>
      <c r="JW31" s="3">
        <f ca="1">IFERROR(__xludf.DUMMYFUNCTION("""COMPUTED_VALUE"""),-0.571674392936278)</f>
        <v>-0.57167439293627798</v>
      </c>
      <c r="JX31" s="3">
        <f ca="1">IFERROR(__xludf.DUMMYFUNCTION("""COMPUTED_VALUE"""),-0.49950057783148)</f>
        <v>-0.49950057783148</v>
      </c>
      <c r="JY31" s="3">
        <f ca="1">IFERROR(__xludf.DUMMYFUNCTION("""COMPUTED_VALUE"""),-0.551968691361535)</f>
        <v>-0.55196869136153504</v>
      </c>
      <c r="JZ31" s="3">
        <f ca="1">IFERROR(__xludf.DUMMYFUNCTION("""COMPUTED_VALUE"""),-0.562381748874647)</f>
        <v>-0.56238174887464698</v>
      </c>
      <c r="KA31" s="3">
        <f ca="1">IFERROR(__xludf.DUMMYFUNCTION("""COMPUTED_VALUE"""),-0.571722069418948)</f>
        <v>-0.57172206941894799</v>
      </c>
      <c r="KB31" s="3">
        <f ca="1">IFERROR(__xludf.DUMMYFUNCTION("""COMPUTED_VALUE"""),-0.48700045435621)</f>
        <v>-0.48700045435620998</v>
      </c>
      <c r="KC31" s="3">
        <f ca="1">IFERROR(__xludf.DUMMYFUNCTION("""COMPUTED_VALUE"""),-0.514619154753042)</f>
        <v>-0.51461915475304199</v>
      </c>
      <c r="KD31" s="3">
        <f ca="1">IFERROR(__xludf.DUMMYFUNCTION("""COMPUTED_VALUE"""),-0.560095955008584)</f>
        <v>-0.560095955008584</v>
      </c>
      <c r="KE31" s="3">
        <f ca="1">IFERROR(__xludf.DUMMYFUNCTION("""COMPUTED_VALUE"""),-0.548855496598691)</f>
        <v>-0.54885549659869104</v>
      </c>
      <c r="KF31" s="3">
        <f ca="1">IFERROR(__xludf.DUMMYFUNCTION("""COMPUTED_VALUE"""),-0.580941858035139)</f>
        <v>-0.58094185803513898</v>
      </c>
      <c r="KG31" s="3">
        <f ca="1">IFERROR(__xludf.DUMMYFUNCTION("""COMPUTED_VALUE"""),-0.559092974998525)</f>
        <v>-0.55909297499852495</v>
      </c>
      <c r="KH31" s="3">
        <f ca="1">IFERROR(__xludf.DUMMYFUNCTION("""COMPUTED_VALUE"""),-0.617522805955464)</f>
        <v>-0.61752280595546405</v>
      </c>
      <c r="KI31" s="3">
        <f ca="1">IFERROR(__xludf.DUMMYFUNCTION("""COMPUTED_VALUE"""),-0.457033209167878)</f>
        <v>-0.45703320916787799</v>
      </c>
      <c r="KJ31" s="3">
        <f ca="1">IFERROR(__xludf.DUMMYFUNCTION("""COMPUTED_VALUE"""),-0.475076012969022)</f>
        <v>-0.47507601296902202</v>
      </c>
      <c r="KK31" s="3">
        <f ca="1">IFERROR(__xludf.DUMMYFUNCTION("""COMPUTED_VALUE"""),-0.526977499237025)</f>
        <v>-0.52697749923702497</v>
      </c>
      <c r="KL31" s="3">
        <f ca="1">IFERROR(__xludf.DUMMYFUNCTION("""COMPUTED_VALUE"""),-0.560763688410725)</f>
        <v>-0.56076368841072499</v>
      </c>
      <c r="KM31" s="3">
        <f ca="1">IFERROR(__xludf.DUMMYFUNCTION("""COMPUTED_VALUE"""),-0.566585958867114)</f>
        <v>-0.56658595886711405</v>
      </c>
      <c r="KN31" s="3">
        <f ca="1">IFERROR(__xludf.DUMMYFUNCTION("""COMPUTED_VALUE"""),-0.545551977301608)</f>
        <v>-0.54555197730160798</v>
      </c>
      <c r="KO31" s="3">
        <f ca="1">IFERROR(__xludf.DUMMYFUNCTION("""COMPUTED_VALUE"""),-0.475585050051178)</f>
        <v>-0.47558505005117802</v>
      </c>
      <c r="KP31" s="3">
        <f ca="1">IFERROR(__xludf.DUMMYFUNCTION("""COMPUTED_VALUE"""),-0.352994907378736)</f>
        <v>-0.35299490737873601</v>
      </c>
      <c r="KQ31" s="3">
        <f ca="1">IFERROR(__xludf.DUMMYFUNCTION("""COMPUTED_VALUE"""),-0.447593238743613)</f>
        <v>-0.44759323874361301</v>
      </c>
      <c r="KR31" s="3">
        <f ca="1">IFERROR(__xludf.DUMMYFUNCTION("""COMPUTED_VALUE"""),-0.538435997348568)</f>
        <v>-0.53843599734856795</v>
      </c>
      <c r="KS31" s="3">
        <f ca="1">IFERROR(__xludf.DUMMYFUNCTION("""COMPUTED_VALUE"""),-0.544529120950966)</f>
        <v>-0.54452912095096595</v>
      </c>
      <c r="KT31" s="3">
        <f ca="1">IFERROR(__xludf.DUMMYFUNCTION("""COMPUTED_VALUE"""),-0.527371987699811)</f>
        <v>-0.52737198769981097</v>
      </c>
      <c r="KU31" s="3">
        <f ca="1">IFERROR(__xludf.DUMMYFUNCTION("""COMPUTED_VALUE"""),-0.550708567418812)</f>
        <v>-0.55070856741881202</v>
      </c>
      <c r="KV31" s="3">
        <f ca="1">IFERROR(__xludf.DUMMYFUNCTION("""COMPUTED_VALUE"""),-0.550683012686142)</f>
        <v>-0.55068301268614195</v>
      </c>
      <c r="KW31" s="3">
        <f ca="1">IFERROR(__xludf.DUMMYFUNCTION("""COMPUTED_VALUE"""),-0.439951919464268)</f>
        <v>-0.43995191946426798</v>
      </c>
      <c r="KX31" s="3">
        <f ca="1">IFERROR(__xludf.DUMMYFUNCTION("""COMPUTED_VALUE"""),-0.478484560391794)</f>
        <v>-0.47848456039179399</v>
      </c>
      <c r="KY31" s="3">
        <f ca="1">IFERROR(__xludf.DUMMYFUNCTION("""COMPUTED_VALUE"""),-0.525914143147945)</f>
        <v>-0.52591414314794505</v>
      </c>
      <c r="KZ31" s="3">
        <f ca="1">IFERROR(__xludf.DUMMYFUNCTION("""COMPUTED_VALUE"""),-0.542561592536827)</f>
        <v>-0.54256159253682701</v>
      </c>
      <c r="LA31" s="3">
        <f ca="1">IFERROR(__xludf.DUMMYFUNCTION("""COMPUTED_VALUE"""),-0.536646800544193)</f>
        <v>-0.536646800544193</v>
      </c>
      <c r="LB31" s="3">
        <f ca="1">IFERROR(__xludf.DUMMYFUNCTION("""COMPUTED_VALUE"""),-0.516065982003493)</f>
        <v>-0.51606598200349296</v>
      </c>
      <c r="LC31" s="3">
        <f ca="1">IFERROR(__xludf.DUMMYFUNCTION("""COMPUTED_VALUE"""),-0.514384011209411)</f>
        <v>-0.51438401120941102</v>
      </c>
      <c r="LD31" s="3">
        <f ca="1">IFERROR(__xludf.DUMMYFUNCTION("""COMPUTED_VALUE"""),-0.504540108860369)</f>
        <v>-0.50454010886036904</v>
      </c>
      <c r="LE31" s="3">
        <f ca="1">IFERROR(__xludf.DUMMYFUNCTION("""COMPUTED_VALUE"""),-0.435907774802501)</f>
        <v>-0.43590777480250098</v>
      </c>
      <c r="LF31" s="3">
        <f ca="1">IFERROR(__xludf.DUMMYFUNCTION("""COMPUTED_VALUE"""),-0.516151287364017)</f>
        <v>-0.51615128736401705</v>
      </c>
      <c r="LG31" s="3">
        <f ca="1">IFERROR(__xludf.DUMMYFUNCTION("""COMPUTED_VALUE"""),-0.578483983981546)</f>
        <v>-0.57848398398154599</v>
      </c>
      <c r="LH31" s="3">
        <f ca="1">IFERROR(__xludf.DUMMYFUNCTION("""COMPUTED_VALUE"""),-0.55261131625811)</f>
        <v>-0.55261131625811</v>
      </c>
      <c r="LI31" s="3">
        <f ca="1">IFERROR(__xludf.DUMMYFUNCTION("""COMPUTED_VALUE"""),-0.582643580844099)</f>
        <v>-0.58264358084409895</v>
      </c>
      <c r="LJ31" s="3">
        <f ca="1">IFERROR(__xludf.DUMMYFUNCTION("""COMPUTED_VALUE"""),-0.6073877042245)</f>
        <v>-0.60738770422449995</v>
      </c>
      <c r="LK31" s="3">
        <f ca="1">IFERROR(__xludf.DUMMYFUNCTION("""COMPUTED_VALUE"""),-0.505736193500209)</f>
        <v>-0.50573619350020904</v>
      </c>
      <c r="LL31" s="3">
        <f ca="1">IFERROR(__xludf.DUMMYFUNCTION("""COMPUTED_VALUE"""),-0.473275426686524)</f>
        <v>-0.473275426686524</v>
      </c>
      <c r="LM31" s="3">
        <f ca="1">IFERROR(__xludf.DUMMYFUNCTION("""COMPUTED_VALUE"""),-0.575637381512052)</f>
        <v>-0.57563738151205202</v>
      </c>
      <c r="LN31" s="3">
        <f ca="1">IFERROR(__xludf.DUMMYFUNCTION("""COMPUTED_VALUE"""),-0.540436625331448)</f>
        <v>-0.54043662533144798</v>
      </c>
      <c r="LO31" s="3">
        <f ca="1">IFERROR(__xludf.DUMMYFUNCTION("""COMPUTED_VALUE"""),-0.587936216415285)</f>
        <v>-0.58793621641528504</v>
      </c>
      <c r="LP31" s="3">
        <f ca="1">IFERROR(__xludf.DUMMYFUNCTION("""COMPUTED_VALUE"""),-0.570832174676343)</f>
        <v>-0.57083217467634295</v>
      </c>
      <c r="LQ31" s="3">
        <f ca="1">IFERROR(__xludf.DUMMYFUNCTION("""COMPUTED_VALUE"""),-0.542735986324929)</f>
        <v>-0.54273598632492903</v>
      </c>
      <c r="LR31" s="3">
        <f ca="1">IFERROR(__xludf.DUMMYFUNCTION("""COMPUTED_VALUE"""),-0.495268175052573)</f>
        <v>-0.49526817505257298</v>
      </c>
      <c r="LS31" s="3">
        <f ca="1">IFERROR(__xludf.DUMMYFUNCTION("""COMPUTED_VALUE"""),-0.534476283836421)</f>
        <v>-0.53447628383642098</v>
      </c>
      <c r="LT31" s="3">
        <f ca="1">IFERROR(__xludf.DUMMYFUNCTION("""COMPUTED_VALUE"""),-0.637833795749767)</f>
        <v>-0.63783379574976695</v>
      </c>
      <c r="LU31" s="3">
        <f ca="1">IFERROR(__xludf.DUMMYFUNCTION("""COMPUTED_VALUE"""),-0.566883854513128)</f>
        <v>-0.56688385451312795</v>
      </c>
      <c r="LV31" s="3">
        <f ca="1">IFERROR(__xludf.DUMMYFUNCTION("""COMPUTED_VALUE"""),-0.610799463911092)</f>
        <v>-0.61079946391109197</v>
      </c>
      <c r="LW31" s="3">
        <f ca="1">IFERROR(__xludf.DUMMYFUNCTION("""COMPUTED_VALUE"""),-0.610668694007847)</f>
        <v>-0.61066869400784696</v>
      </c>
      <c r="LX31" s="3">
        <f ca="1">IFERROR(__xludf.DUMMYFUNCTION("""COMPUTED_VALUE"""),-0.623085234270937)</f>
        <v>-0.62308523427093698</v>
      </c>
      <c r="LY31" s="3">
        <f ca="1">IFERROR(__xludf.DUMMYFUNCTION("""COMPUTED_VALUE"""),-0.513490759189308)</f>
        <v>-0.51349075918930798</v>
      </c>
      <c r="LZ31" s="3">
        <f ca="1">IFERROR(__xludf.DUMMYFUNCTION("""COMPUTED_VALUE"""),-0.507343954968984)</f>
        <v>-0.50734395496898399</v>
      </c>
      <c r="MA31" s="3">
        <f ca="1">IFERROR(__xludf.DUMMYFUNCTION("""COMPUTED_VALUE"""),-0.597534776483453)</f>
        <v>-0.59753477648345299</v>
      </c>
      <c r="MB31" s="3">
        <f ca="1">IFERROR(__xludf.DUMMYFUNCTION("""COMPUTED_VALUE"""),-0.630764606991034)</f>
        <v>-0.63076460699103398</v>
      </c>
      <c r="MC31" s="3">
        <f ca="1">IFERROR(__xludf.DUMMYFUNCTION("""COMPUTED_VALUE"""),-0.605642621090623)</f>
        <v>-0.60564262109062295</v>
      </c>
      <c r="MD31" s="3">
        <f ca="1">IFERROR(__xludf.DUMMYFUNCTION("""COMPUTED_VALUE"""),-0.631772678897079)</f>
        <v>-0.631772678897079</v>
      </c>
      <c r="ME31" s="3">
        <f ca="1">IFERROR(__xludf.DUMMYFUNCTION("""COMPUTED_VALUE"""),-0.643239628202139)</f>
        <v>-0.64323962820213898</v>
      </c>
      <c r="MF31" s="3">
        <f ca="1">IFERROR(__xludf.DUMMYFUNCTION("""COMPUTED_VALUE"""),-0.539411633270736)</f>
        <v>-0.53941163327073605</v>
      </c>
      <c r="MG31" s="3">
        <f ca="1">IFERROR(__xludf.DUMMYFUNCTION("""COMPUTED_VALUE"""),-0.520585517897241)</f>
        <v>-0.52058551789724095</v>
      </c>
      <c r="MH31" s="3">
        <f ca="1">IFERROR(__xludf.DUMMYFUNCTION("""COMPUTED_VALUE"""),-0.624326442124848)</f>
        <v>-0.624326442124848</v>
      </c>
      <c r="MI31" s="3">
        <f ca="1">IFERROR(__xludf.DUMMYFUNCTION("""COMPUTED_VALUE"""),-0.647912041197676)</f>
        <v>-0.64791204119767598</v>
      </c>
      <c r="MJ31" s="3">
        <f ca="1">IFERROR(__xludf.DUMMYFUNCTION("""COMPUTED_VALUE"""),-0.666584910611217)</f>
        <v>-0.66658491061121705</v>
      </c>
      <c r="MK31" s="3">
        <f ca="1">IFERROR(__xludf.DUMMYFUNCTION("""COMPUTED_VALUE"""),-0.707677208269358)</f>
        <v>-0.70767720826935798</v>
      </c>
      <c r="ML31" s="3">
        <f ca="1">IFERROR(__xludf.DUMMYFUNCTION("""COMPUTED_VALUE"""),-0.657001738903776)</f>
        <v>-0.657001738903776</v>
      </c>
      <c r="MM31" s="3">
        <f ca="1">IFERROR(__xludf.DUMMYFUNCTION("""COMPUTED_VALUE"""),-0.516928147097065)</f>
        <v>-0.51692814709706503</v>
      </c>
      <c r="MN31" s="3">
        <f ca="1">IFERROR(__xludf.DUMMYFUNCTION("""COMPUTED_VALUE"""),-0.648161652284022)</f>
        <v>-0.64816165228402201</v>
      </c>
      <c r="MO31" s="3">
        <f ca="1">IFERROR(__xludf.DUMMYFUNCTION("""COMPUTED_VALUE"""),-0.65198886720132)</f>
        <v>-0.65198886720131999</v>
      </c>
      <c r="MP31" s="3">
        <f ca="1">IFERROR(__xludf.DUMMYFUNCTION("""COMPUTED_VALUE"""),-0.669778619140744)</f>
        <v>-0.66977861914074399</v>
      </c>
      <c r="MQ31" s="3">
        <f ca="1">IFERROR(__xludf.DUMMYFUNCTION("""COMPUTED_VALUE"""),-0.682491193196592)</f>
        <v>-0.68249119319659202</v>
      </c>
      <c r="MR31" s="3">
        <f ca="1">IFERROR(__xludf.DUMMYFUNCTION("""COMPUTED_VALUE"""),-0.64742129204326)</f>
        <v>-0.64742129204326004</v>
      </c>
      <c r="MS31" s="3">
        <f ca="1">IFERROR(__xludf.DUMMYFUNCTION("""COMPUTED_VALUE"""),-0.647111229313296)</f>
        <v>-0.64711122931329601</v>
      </c>
      <c r="MT31" s="3">
        <f ca="1">IFERROR(__xludf.DUMMYFUNCTION("""COMPUTED_VALUE"""),-0.596349609479068)</f>
        <v>-0.59634960947906801</v>
      </c>
      <c r="MU31" s="3">
        <f ca="1">IFERROR(__xludf.DUMMYFUNCTION("""COMPUTED_VALUE"""),-0.68682639864452)</f>
        <v>-0.68682639864452</v>
      </c>
      <c r="MV31" s="3">
        <f ca="1">IFERROR(__xludf.DUMMYFUNCTION("""COMPUTED_VALUE"""),-0.686223658659075)</f>
        <v>-0.68622365865907498</v>
      </c>
      <c r="MW31" s="3">
        <f ca="1">IFERROR(__xludf.DUMMYFUNCTION("""COMPUTED_VALUE"""),-0.724641478208261)</f>
        <v>-0.72464147820826097</v>
      </c>
      <c r="MX31" s="3">
        <f ca="1">IFERROR(__xludf.DUMMYFUNCTION("""COMPUTED_VALUE"""),-0.72927234030782)</f>
        <v>-0.72927234030781996</v>
      </c>
      <c r="MY31" s="3">
        <f ca="1">IFERROR(__xludf.DUMMYFUNCTION("""COMPUTED_VALUE"""),-0.718439926687126)</f>
        <v>-0.71843992668712597</v>
      </c>
      <c r="MZ31" s="3">
        <f ca="1">IFERROR(__xludf.DUMMYFUNCTION("""COMPUTED_VALUE"""),-0.693753655024252)</f>
        <v>-0.69375365502425201</v>
      </c>
      <c r="NA31" s="3">
        <f ca="1">IFERROR(__xludf.DUMMYFUNCTION("""COMPUTED_VALUE"""),-0.568543776735528)</f>
        <v>-0.56854377673552803</v>
      </c>
      <c r="NB31" s="3">
        <f ca="1">IFERROR(__xludf.DUMMYFUNCTION("""COMPUTED_VALUE"""),-0.63875740801275)</f>
        <v>-0.63875740801275005</v>
      </c>
      <c r="NC31" s="3">
        <f ca="1">IFERROR(__xludf.DUMMYFUNCTION("""COMPUTED_VALUE"""),-0.64958499622672)</f>
        <v>-0.64958499622671995</v>
      </c>
      <c r="ND31" s="3">
        <f ca="1">IFERROR(__xludf.DUMMYFUNCTION("""COMPUTED_VALUE"""),-0.649263074329277)</f>
        <v>-0.64926307432927699</v>
      </c>
      <c r="NE31" s="3">
        <f ca="1">IFERROR(__xludf.DUMMYFUNCTION("""COMPUTED_VALUE"""),-0.666444600545577)</f>
        <v>-0.66644460054557697</v>
      </c>
      <c r="NF31" s="3">
        <f ca="1">IFERROR(__xludf.DUMMYFUNCTION("""COMPUTED_VALUE"""),-0.705518943670136)</f>
        <v>-0.70551894367013601</v>
      </c>
      <c r="NG31" s="3">
        <f ca="1">IFERROR(__xludf.DUMMYFUNCTION("""COMPUTED_VALUE"""),-0.646810897296259)</f>
        <v>-0.64681089729625896</v>
      </c>
      <c r="NH31" s="3">
        <f ca="1">IFERROR(__xludf.DUMMYFUNCTION("""COMPUTED_VALUE"""),-0.523113719620406)</f>
        <v>-0.52311371962040598</v>
      </c>
      <c r="NI31" s="3">
        <f ca="1">IFERROR(__xludf.DUMMYFUNCTION("""COMPUTED_VALUE"""),-0.714917927897044)</f>
        <v>-0.714917927897044</v>
      </c>
      <c r="NJ31" s="3">
        <f ca="1">IFERROR(__xludf.DUMMYFUNCTION("""COMPUTED_VALUE"""),-0.647293364923473)</f>
        <v>-0.647293364923473</v>
      </c>
      <c r="NK31" s="3">
        <f ca="1">IFERROR(__xludf.DUMMYFUNCTION("""COMPUTED_VALUE"""),-0.637218164887376)</f>
        <v>-0.63721816488737604</v>
      </c>
      <c r="NL31" s="3">
        <f ca="1">IFERROR(__xludf.DUMMYFUNCTION("""COMPUTED_VALUE"""),-0.628761332147213)</f>
        <v>-0.62876133214721297</v>
      </c>
      <c r="NM31" s="3">
        <f ca="1">IFERROR(__xludf.DUMMYFUNCTION("""COMPUTED_VALUE"""),-0.62627207260832)</f>
        <v>-0.62627207260831996</v>
      </c>
      <c r="NN31" s="3">
        <f ca="1">IFERROR(__xludf.DUMMYFUNCTION("""COMPUTED_VALUE"""),-0.580331974517936)</f>
        <v>-0.58033197451793594</v>
      </c>
      <c r="NO31" s="3">
        <f ca="1">IFERROR(__xludf.DUMMYFUNCTION("""COMPUTED_VALUE"""),-0.407507463170323)</f>
        <v>-0.40750746317032299</v>
      </c>
      <c r="NP31" s="3">
        <f ca="1">IFERROR(__xludf.DUMMYFUNCTION("""COMPUTED_VALUE"""),-0.592253154153291)</f>
        <v>-0.59225315415329105</v>
      </c>
      <c r="NQ31" s="3">
        <f ca="1">IFERROR(__xludf.DUMMYFUNCTION("""COMPUTED_VALUE"""),-0.596604604706827)</f>
        <v>-0.59660460470682697</v>
      </c>
      <c r="NR31" s="3">
        <f ca="1">IFERROR(__xludf.DUMMYFUNCTION("""COMPUTED_VALUE"""),-0.602926342124899)</f>
        <v>-0.60292634212489904</v>
      </c>
      <c r="NS31" s="3">
        <f ca="1">IFERROR(__xludf.DUMMYFUNCTION("""COMPUTED_VALUE"""),-0.573556549857933)</f>
        <v>-0.57355654985793303</v>
      </c>
      <c r="NT31" s="3">
        <f ca="1">IFERROR(__xludf.DUMMYFUNCTION("""COMPUTED_VALUE"""),-0.518975816974604)</f>
        <v>-0.51897581697460404</v>
      </c>
      <c r="NU31" s="3">
        <f ca="1">IFERROR(__xludf.DUMMYFUNCTION("""COMPUTED_VALUE"""),-0.436370779144288)</f>
        <v>-0.43637077914428801</v>
      </c>
      <c r="NV31" s="3">
        <f ca="1">IFERROR(__xludf.DUMMYFUNCTION("""COMPUTED_VALUE"""),-0.426257252025444)</f>
        <v>-0.42625725202544401</v>
      </c>
      <c r="NW31" s="3">
        <f ca="1">IFERROR(__xludf.DUMMYFUNCTION("""COMPUTED_VALUE"""),-0.529328645736189)</f>
        <v>-0.52932864573618899</v>
      </c>
      <c r="NX31" s="3">
        <f ca="1">IFERROR(__xludf.DUMMYFUNCTION("""COMPUTED_VALUE"""),-0.539636924095887)</f>
        <v>-0.53963692409588704</v>
      </c>
      <c r="NY31" s="3">
        <f ca="1">IFERROR(__xludf.DUMMYFUNCTION("""COMPUTED_VALUE"""),-0.447658344058285)</f>
        <v>-0.44765834405828497</v>
      </c>
      <c r="NZ31" s="3">
        <f ca="1">IFERROR(__xludf.DUMMYFUNCTION("""COMPUTED_VALUE"""),-0.40402598599362)</f>
        <v>-0.40402598599362</v>
      </c>
      <c r="OA31" s="3">
        <f ca="1">IFERROR(__xludf.DUMMYFUNCTION("""COMPUTED_VALUE"""),-0.431058903587307)</f>
        <v>-0.43105890358730697</v>
      </c>
      <c r="OB31" s="3">
        <f ca="1">IFERROR(__xludf.DUMMYFUNCTION("""COMPUTED_VALUE"""),-0.277177373091287)</f>
        <v>-0.27717737309128698</v>
      </c>
      <c r="OC31" s="3">
        <f ca="1">IFERROR(__xludf.DUMMYFUNCTION("""COMPUTED_VALUE"""),-0.10921222733776)</f>
        <v>-0.10921222733776</v>
      </c>
      <c r="OD31" s="3">
        <f ca="1">IFERROR(__xludf.DUMMYFUNCTION("""COMPUTED_VALUE"""),-0.230993994819195)</f>
        <v>-0.230993994819195</v>
      </c>
      <c r="OE31" s="3">
        <f ca="1">IFERROR(__xludf.DUMMYFUNCTION("""COMPUTED_VALUE"""),-0.249563284174772)</f>
        <v>-0.249563284174772</v>
      </c>
      <c r="OF31" s="3">
        <f ca="1">IFERROR(__xludf.DUMMYFUNCTION("""COMPUTED_VALUE"""),-0.0851896930990805)</f>
        <v>-8.5189693099080505E-2</v>
      </c>
      <c r="OG31" s="3">
        <f ca="1">IFERROR(__xludf.DUMMYFUNCTION("""COMPUTED_VALUE"""),-0.0710487573692165)</f>
        <v>-7.1048757369216495E-2</v>
      </c>
      <c r="OH31" s="3">
        <f ca="1">IFERROR(__xludf.DUMMYFUNCTION("""COMPUTED_VALUE"""),0.0733942147950432)</f>
        <v>7.3394214795043197E-2</v>
      </c>
      <c r="OI31" s="3">
        <f ca="1">IFERROR(__xludf.DUMMYFUNCTION("""COMPUTED_VALUE"""),-0.00651623928288402)</f>
        <v>-6.5162392828840201E-3</v>
      </c>
      <c r="OJ31" s="3">
        <f ca="1">IFERROR(__xludf.DUMMYFUNCTION("""COMPUTED_VALUE"""),-0.0479041422963218)</f>
        <v>-4.7904142296321797E-2</v>
      </c>
      <c r="OK31" s="3">
        <f ca="1">IFERROR(__xludf.DUMMYFUNCTION("""COMPUTED_VALUE"""),0.00469361949193669)</f>
        <v>4.6936194919366897E-3</v>
      </c>
      <c r="OL31" s="3">
        <f ca="1">IFERROR(__xludf.DUMMYFUNCTION("""COMPUTED_VALUE"""),0.0359185299371564)</f>
        <v>3.5918529937156399E-2</v>
      </c>
      <c r="OM31" s="3">
        <f ca="1">IFERROR(__xludf.DUMMYFUNCTION("""COMPUTED_VALUE"""),0.0414947791999471)</f>
        <v>4.1494779199947103E-2</v>
      </c>
      <c r="ON31" s="3">
        <f ca="1">IFERROR(__xludf.DUMMYFUNCTION("""COMPUTED_VALUE"""),0.0142771650973547)</f>
        <v>1.42771650973547E-2</v>
      </c>
      <c r="OO31" s="3">
        <f ca="1">IFERROR(__xludf.DUMMYFUNCTION("""COMPUTED_VALUE"""),0.10764004037132)</f>
        <v>0.10764004037131999</v>
      </c>
      <c r="OP31" s="3">
        <f ca="1">IFERROR(__xludf.DUMMYFUNCTION("""COMPUTED_VALUE"""),0.0751644504858617)</f>
        <v>7.5164450485861706E-2</v>
      </c>
      <c r="OQ31" s="3">
        <f ca="1">IFERROR(__xludf.DUMMYFUNCTION("""COMPUTED_VALUE"""),0.0423900160996359)</f>
        <v>4.2390016099635899E-2</v>
      </c>
      <c r="OR31" s="3">
        <f ca="1">IFERROR(__xludf.DUMMYFUNCTION("""COMPUTED_VALUE"""),-0.0625187494960108)</f>
        <v>-6.25187494960108E-2</v>
      </c>
      <c r="OS31" s="3">
        <f ca="1">IFERROR(__xludf.DUMMYFUNCTION("""COMPUTED_VALUE"""),-0.0726084667281007)</f>
        <v>-7.2608466728100701E-2</v>
      </c>
      <c r="OT31" s="3">
        <f ca="1">IFERROR(__xludf.DUMMYFUNCTION("""COMPUTED_VALUE"""),0.0736638620663447)</f>
        <v>7.3663862066344704E-2</v>
      </c>
      <c r="OU31" s="3">
        <f ca="1">IFERROR(__xludf.DUMMYFUNCTION("""COMPUTED_VALUE"""),0.0129661528337097)</f>
        <v>1.29661528337097E-2</v>
      </c>
      <c r="OV31" s="3">
        <f ca="1">IFERROR(__xludf.DUMMYFUNCTION("""COMPUTED_VALUE"""),0.0979514930191434)</f>
        <v>9.7951493019143396E-2</v>
      </c>
      <c r="OW31" s="3">
        <f ca="1">IFERROR(__xludf.DUMMYFUNCTION("""COMPUTED_VALUE"""),-0.0361769167468588)</f>
        <v>-3.61769167468588E-2</v>
      </c>
      <c r="OX31" s="3">
        <f ca="1">IFERROR(__xludf.DUMMYFUNCTION("""COMPUTED_VALUE"""),0.0645716685162842)</f>
        <v>6.4571668516284195E-2</v>
      </c>
      <c r="OY31" s="3">
        <f ca="1">IFERROR(__xludf.DUMMYFUNCTION("""COMPUTED_VALUE"""),0.0101199763263837)</f>
        <v>1.0119976326383701E-2</v>
      </c>
      <c r="OZ31" s="3">
        <f ca="1">IFERROR(__xludf.DUMMYFUNCTION("""COMPUTED_VALUE"""),0.0139214841448211)</f>
        <v>1.3921484144821099E-2</v>
      </c>
      <c r="PA31" s="3">
        <f ca="1">IFERROR(__xludf.DUMMYFUNCTION("""COMPUTED_VALUE"""),-0.0345976557137136)</f>
        <v>-3.45976557137136E-2</v>
      </c>
      <c r="PB31" s="3">
        <f ca="1">IFERROR(__xludf.DUMMYFUNCTION("""COMPUTED_VALUE"""),-0.0358040518986972)</f>
        <v>-3.5804051898697203E-2</v>
      </c>
      <c r="PC31" s="3">
        <f ca="1">IFERROR(__xludf.DUMMYFUNCTION("""COMPUTED_VALUE"""),0.0615179378887718)</f>
        <v>6.1517937888771801E-2</v>
      </c>
      <c r="PD31" s="3">
        <f ca="1">IFERROR(__xludf.DUMMYFUNCTION("""COMPUTED_VALUE"""),-0.0830018355283925)</f>
        <v>-8.3001835528392506E-2</v>
      </c>
      <c r="PE31" s="3">
        <f ca="1">IFERROR(__xludf.DUMMYFUNCTION("""COMPUTED_VALUE"""),0.0392060322601863)</f>
        <v>3.9206032260186298E-2</v>
      </c>
      <c r="PF31" s="3">
        <f ca="1">IFERROR(__xludf.DUMMYFUNCTION("""COMPUTED_VALUE"""),0.0789496666637477)</f>
        <v>7.8949666663747697E-2</v>
      </c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</row>
    <row r="32" spans="1:594" ht="15.75" customHeight="1">
      <c r="A32" s="1" t="str">
        <f ca="1">IFERROR(__xludf.DUMMYFUNCTION("""COMPUTED_VALUE"""),"Ithaca, NY")</f>
        <v>Ithaca, NY</v>
      </c>
      <c r="B32" s="3">
        <f ca="1">IFERROR(__xludf.DUMMYFUNCTION("""COMPUTED_VALUE"""),-0.339591794800689)</f>
        <v>-0.33959179480068902</v>
      </c>
      <c r="C32" s="3">
        <f ca="1">IFERROR(__xludf.DUMMYFUNCTION("""COMPUTED_VALUE"""),-0.502195024573269)</f>
        <v>-0.50219502457326903</v>
      </c>
      <c r="D32" s="3">
        <f ca="1">IFERROR(__xludf.DUMMYFUNCTION("""COMPUTED_VALUE"""),-0.494003257513451)</f>
        <v>-0.49400325751345098</v>
      </c>
      <c r="E32" s="3">
        <f ca="1">IFERROR(__xludf.DUMMYFUNCTION("""COMPUTED_VALUE"""),-0.580360407841255)</f>
        <v>-0.58036040784125498</v>
      </c>
      <c r="F32" s="3">
        <f ca="1">IFERROR(__xludf.DUMMYFUNCTION("""COMPUTED_VALUE"""),-0.634691159678895)</f>
        <v>-0.634691159678895</v>
      </c>
      <c r="G32" s="3">
        <f ca="1">IFERROR(__xludf.DUMMYFUNCTION("""COMPUTED_VALUE"""),-0.556391150694597)</f>
        <v>-0.55639115069459699</v>
      </c>
      <c r="H32" s="3">
        <f ca="1">IFERROR(__xludf.DUMMYFUNCTION("""COMPUTED_VALUE"""),-0.42141314527235)</f>
        <v>-0.42141314527235002</v>
      </c>
      <c r="I32" s="3">
        <f ca="1">IFERROR(__xludf.DUMMYFUNCTION("""COMPUTED_VALUE"""),-0.382355856328078)</f>
        <v>-0.382355856328078</v>
      </c>
      <c r="J32" s="3">
        <f ca="1">IFERROR(__xludf.DUMMYFUNCTION("""COMPUTED_VALUE"""),-0.53410242712241)</f>
        <v>-0.53410242712240996</v>
      </c>
      <c r="K32" s="3">
        <f ca="1">IFERROR(__xludf.DUMMYFUNCTION("""COMPUTED_VALUE"""),-0.557440634226903)</f>
        <v>-0.55744063422690304</v>
      </c>
      <c r="L32" s="3">
        <f ca="1">IFERROR(__xludf.DUMMYFUNCTION("""COMPUTED_VALUE"""),-0.571722444178543)</f>
        <v>-0.57172244417854301</v>
      </c>
      <c r="M32" s="3">
        <f ca="1">IFERROR(__xludf.DUMMYFUNCTION("""COMPUTED_VALUE"""),-0.654539449805695)</f>
        <v>-0.65453944980569501</v>
      </c>
      <c r="N32" s="3">
        <f ca="1">IFERROR(__xludf.DUMMYFUNCTION("""COMPUTED_VALUE"""),-0.57291872297353)</f>
        <v>-0.57291872297352997</v>
      </c>
      <c r="O32" s="3">
        <f ca="1">IFERROR(__xludf.DUMMYFUNCTION("""COMPUTED_VALUE"""),-0.484151740673526)</f>
        <v>-0.48415174067352601</v>
      </c>
      <c r="P32" s="3">
        <f ca="1">IFERROR(__xludf.DUMMYFUNCTION("""COMPUTED_VALUE"""),-0.393561454299472)</f>
        <v>-0.39356145429947198</v>
      </c>
      <c r="Q32" s="3">
        <f ca="1">IFERROR(__xludf.DUMMYFUNCTION("""COMPUTED_VALUE"""),-0.583347222250408)</f>
        <v>-0.58334722225040803</v>
      </c>
      <c r="R32" s="3">
        <f ca="1">IFERROR(__xludf.DUMMYFUNCTION("""COMPUTED_VALUE"""),-0.629697561986039)</f>
        <v>-0.62969756198603899</v>
      </c>
      <c r="S32" s="3">
        <f ca="1">IFERROR(__xludf.DUMMYFUNCTION("""COMPUTED_VALUE"""),-0.643571252959354)</f>
        <v>-0.64357125295935402</v>
      </c>
      <c r="T32" s="3">
        <f ca="1">IFERROR(__xludf.DUMMYFUNCTION("""COMPUTED_VALUE"""),-0.730662670208455)</f>
        <v>-0.73066267020845499</v>
      </c>
      <c r="U32" s="3">
        <f ca="1">IFERROR(__xludf.DUMMYFUNCTION("""COMPUTED_VALUE"""),-0.719474372675079)</f>
        <v>-0.71947437267507897</v>
      </c>
      <c r="V32" s="3">
        <f ca="1">IFERROR(__xludf.DUMMYFUNCTION("""COMPUTED_VALUE"""),-0.613024735115064)</f>
        <v>-0.61302473511506395</v>
      </c>
      <c r="W32" s="3">
        <f ca="1">IFERROR(__xludf.DUMMYFUNCTION("""COMPUTED_VALUE"""),-0.515628747610378)</f>
        <v>-0.51562874761037802</v>
      </c>
      <c r="X32" s="3">
        <f ca="1">IFERROR(__xludf.DUMMYFUNCTION("""COMPUTED_VALUE"""),-0.732176605188789)</f>
        <v>-0.73217660518878902</v>
      </c>
      <c r="Y32" s="3">
        <f ca="1">IFERROR(__xludf.DUMMYFUNCTION("""COMPUTED_VALUE"""),-0.724026131089142)</f>
        <v>-0.72402613108914204</v>
      </c>
      <c r="Z32" s="3">
        <f ca="1">IFERROR(__xludf.DUMMYFUNCTION("""COMPUTED_VALUE"""),-0.725460161758308)</f>
        <v>-0.72546016175830796</v>
      </c>
      <c r="AA32" s="3">
        <f ca="1">IFERROR(__xludf.DUMMYFUNCTION("""COMPUTED_VALUE"""),-0.752404230487731)</f>
        <v>-0.75240423048773097</v>
      </c>
      <c r="AB32" s="3">
        <f ca="1">IFERROR(__xludf.DUMMYFUNCTION("""COMPUTED_VALUE"""),-0.714402952369047)</f>
        <v>-0.71440295236904705</v>
      </c>
      <c r="AC32" s="3">
        <f ca="1">IFERROR(__xludf.DUMMYFUNCTION("""COMPUTED_VALUE"""),-0.690602538136529)</f>
        <v>-0.69060253813652905</v>
      </c>
      <c r="AD32" s="3">
        <f ca="1">IFERROR(__xludf.DUMMYFUNCTION("""COMPUTED_VALUE"""),-0.652405854393989)</f>
        <v>-0.65240585439398902</v>
      </c>
      <c r="AE32" s="3">
        <f ca="1">IFERROR(__xludf.DUMMYFUNCTION("""COMPUTED_VALUE"""),-0.713375942944822)</f>
        <v>-0.71337594294482198</v>
      </c>
      <c r="AF32" s="3">
        <f ca="1">IFERROR(__xludf.DUMMYFUNCTION("""COMPUTED_VALUE"""),-0.758805525351343)</f>
        <v>-0.75880552535134305</v>
      </c>
      <c r="AG32" s="3">
        <f ca="1">IFERROR(__xludf.DUMMYFUNCTION("""COMPUTED_VALUE"""),-0.708884673828264)</f>
        <v>-0.70888467382826403</v>
      </c>
      <c r="AH32" s="3">
        <f ca="1">IFERROR(__xludf.DUMMYFUNCTION("""COMPUTED_VALUE"""),-0.686480212258004)</f>
        <v>-0.68648021225800404</v>
      </c>
      <c r="AI32" s="3">
        <f ca="1">IFERROR(__xludf.DUMMYFUNCTION("""COMPUTED_VALUE"""),-0.753097627473616)</f>
        <v>-0.75309762747361597</v>
      </c>
      <c r="AJ32" s="3">
        <f ca="1">IFERROR(__xludf.DUMMYFUNCTION("""COMPUTED_VALUE"""),-0.630213212147888)</f>
        <v>-0.63021321214788795</v>
      </c>
      <c r="AK32" s="3">
        <f ca="1">IFERROR(__xludf.DUMMYFUNCTION("""COMPUTED_VALUE"""),-0.603771357077785)</f>
        <v>-0.60377135707778495</v>
      </c>
      <c r="AL32" s="3">
        <f ca="1">IFERROR(__xludf.DUMMYFUNCTION("""COMPUTED_VALUE"""),-0.701361495453422)</f>
        <v>-0.70136149545342197</v>
      </c>
      <c r="AM32" s="3">
        <f ca="1">IFERROR(__xludf.DUMMYFUNCTION("""COMPUTED_VALUE"""),-0.7412535580633)</f>
        <v>-0.74125355806329996</v>
      </c>
      <c r="AN32" s="3">
        <f ca="1">IFERROR(__xludf.DUMMYFUNCTION("""COMPUTED_VALUE"""),-0.751423083076308)</f>
        <v>-0.75142308307630801</v>
      </c>
      <c r="AO32" s="3">
        <f ca="1">IFERROR(__xludf.DUMMYFUNCTION("""COMPUTED_VALUE"""),-0.693116134452762)</f>
        <v>-0.69311613445276199</v>
      </c>
      <c r="AP32" s="3">
        <f ca="1">IFERROR(__xludf.DUMMYFUNCTION("""COMPUTED_VALUE"""),-0.668324693370389)</f>
        <v>-0.66832469337038902</v>
      </c>
      <c r="AQ32" s="3">
        <f ca="1">IFERROR(__xludf.DUMMYFUNCTION("""COMPUTED_VALUE"""),-0.566240135969064)</f>
        <v>-0.56624013596906397</v>
      </c>
      <c r="AR32" s="3">
        <f ca="1">IFERROR(__xludf.DUMMYFUNCTION("""COMPUTED_VALUE"""),-0.60281269468675)</f>
        <v>-0.60281269468675003</v>
      </c>
      <c r="AS32" s="3">
        <f ca="1">IFERROR(__xludf.DUMMYFUNCTION("""COMPUTED_VALUE"""),-0.686998303773966)</f>
        <v>-0.68699830377396598</v>
      </c>
      <c r="AT32" s="3">
        <f ca="1">IFERROR(__xludf.DUMMYFUNCTION("""COMPUTED_VALUE"""),-0.706994816864297)</f>
        <v>-0.70699481686429699</v>
      </c>
      <c r="AU32" s="3">
        <f ca="1">IFERROR(__xludf.DUMMYFUNCTION("""COMPUTED_VALUE"""),-0.762014328381526)</f>
        <v>-0.76201432838152605</v>
      </c>
      <c r="AV32" s="3">
        <f ca="1">IFERROR(__xludf.DUMMYFUNCTION("""COMPUTED_VALUE"""),-0.712572420599039)</f>
        <v>-0.71257242059903902</v>
      </c>
      <c r="AW32" s="3">
        <f ca="1">IFERROR(__xludf.DUMMYFUNCTION("""COMPUTED_VALUE"""),-0.699905584740489)</f>
        <v>-0.69990558474048903</v>
      </c>
      <c r="AX32" s="3">
        <f ca="1">IFERROR(__xludf.DUMMYFUNCTION("""COMPUTED_VALUE"""),-0.596926864871885)</f>
        <v>-0.59692686487188495</v>
      </c>
      <c r="AY32" s="3">
        <f ca="1">IFERROR(__xludf.DUMMYFUNCTION("""COMPUTED_VALUE"""),-0.580618936097063)</f>
        <v>-0.58061893609706305</v>
      </c>
      <c r="AZ32" s="3">
        <f ca="1">IFERROR(__xludf.DUMMYFUNCTION("""COMPUTED_VALUE"""),-0.656854502549728)</f>
        <v>-0.65685450254972799</v>
      </c>
      <c r="BA32" s="3">
        <f ca="1">IFERROR(__xludf.DUMMYFUNCTION("""COMPUTED_VALUE"""),-0.730318188097324)</f>
        <v>-0.73031818809732396</v>
      </c>
      <c r="BB32" s="3">
        <f ca="1">IFERROR(__xludf.DUMMYFUNCTION("""COMPUTED_VALUE"""),-0.743900362553329)</f>
        <v>-0.74390036255332903</v>
      </c>
      <c r="BC32" s="3">
        <f ca="1">IFERROR(__xludf.DUMMYFUNCTION("""COMPUTED_VALUE"""),-0.718470698959285)</f>
        <v>-0.71847069895928495</v>
      </c>
      <c r="BD32" s="3">
        <f ca="1">IFERROR(__xludf.DUMMYFUNCTION("""COMPUTED_VALUE"""),-0.712727167691315)</f>
        <v>-0.71272716769131494</v>
      </c>
      <c r="BE32" s="3">
        <f ca="1">IFERROR(__xludf.DUMMYFUNCTION("""COMPUTED_VALUE"""),-0.536630995380498)</f>
        <v>-0.53663099538049797</v>
      </c>
      <c r="BF32" s="3">
        <f ca="1">IFERROR(__xludf.DUMMYFUNCTION("""COMPUTED_VALUE"""),-0.597614445400626)</f>
        <v>-0.59761444540062603</v>
      </c>
      <c r="BG32" s="3">
        <f ca="1">IFERROR(__xludf.DUMMYFUNCTION("""COMPUTED_VALUE"""),-0.672602281905939)</f>
        <v>-0.67260228190593896</v>
      </c>
      <c r="BH32" s="3">
        <f ca="1">IFERROR(__xludf.DUMMYFUNCTION("""COMPUTED_VALUE"""),-0.756535612476047)</f>
        <v>-0.75653561247604695</v>
      </c>
      <c r="BI32" s="3">
        <f ca="1">IFERROR(__xludf.DUMMYFUNCTION("""COMPUTED_VALUE"""),-0.744344232819498)</f>
        <v>-0.74434423281949802</v>
      </c>
      <c r="BJ32" s="3">
        <f ca="1">IFERROR(__xludf.DUMMYFUNCTION("""COMPUTED_VALUE"""),-0.716987236199611)</f>
        <v>-0.71698723619961102</v>
      </c>
      <c r="BK32" s="3">
        <f ca="1">IFERROR(__xludf.DUMMYFUNCTION("""COMPUTED_VALUE"""),-0.740130871424617)</f>
        <v>-0.74013087142461698</v>
      </c>
      <c r="BL32" s="3">
        <f ca="1">IFERROR(__xludf.DUMMYFUNCTION("""COMPUTED_VALUE"""),-0.625623986127418)</f>
        <v>-0.62562398612741799</v>
      </c>
      <c r="BM32" s="3">
        <f ca="1">IFERROR(__xludf.DUMMYFUNCTION("""COMPUTED_VALUE"""),-0.660391619714757)</f>
        <v>-0.66039161971475702</v>
      </c>
      <c r="BN32" s="3">
        <f ca="1">IFERROR(__xludf.DUMMYFUNCTION("""COMPUTED_VALUE"""),-0.708035854121157)</f>
        <v>-0.70803585412115699</v>
      </c>
      <c r="BO32" s="3">
        <f ca="1">IFERROR(__xludf.DUMMYFUNCTION("""COMPUTED_VALUE"""),-0.731194093857892)</f>
        <v>-0.73119409385789202</v>
      </c>
      <c r="BP32" s="3">
        <f ca="1">IFERROR(__xludf.DUMMYFUNCTION("""COMPUTED_VALUE"""),-0.770437021440129)</f>
        <v>-0.77043702144012904</v>
      </c>
      <c r="BQ32" s="3">
        <f ca="1">IFERROR(__xludf.DUMMYFUNCTION("""COMPUTED_VALUE"""),-0.742697820853797)</f>
        <v>-0.74269782085379699</v>
      </c>
      <c r="BR32" s="3">
        <f ca="1">IFERROR(__xludf.DUMMYFUNCTION("""COMPUTED_VALUE"""),-0.761385762966025)</f>
        <v>-0.761385762966025</v>
      </c>
      <c r="BS32" s="3">
        <f ca="1">IFERROR(__xludf.DUMMYFUNCTION("""COMPUTED_VALUE"""),-0.71916994839325)</f>
        <v>-0.71916994839324999</v>
      </c>
      <c r="BT32" s="3">
        <f ca="1">IFERROR(__xludf.DUMMYFUNCTION("""COMPUTED_VALUE"""),-0.740627349790521)</f>
        <v>-0.74062734979052103</v>
      </c>
      <c r="BU32" s="3">
        <f ca="1">IFERROR(__xludf.DUMMYFUNCTION("""COMPUTED_VALUE"""),-0.8124491087899)</f>
        <v>-0.81244910878989995</v>
      </c>
      <c r="BV32" s="3">
        <f ca="1">IFERROR(__xludf.DUMMYFUNCTION("""COMPUTED_VALUE"""),-0.845353869936986)</f>
        <v>-0.84535386993698602</v>
      </c>
      <c r="BW32" s="3">
        <f ca="1">IFERROR(__xludf.DUMMYFUNCTION("""COMPUTED_VALUE"""),-0.864583875097625)</f>
        <v>-0.86458387509762502</v>
      </c>
      <c r="BX32" s="3">
        <f ca="1">IFERROR(__xludf.DUMMYFUNCTION("""COMPUTED_VALUE"""),-0.886340832828006)</f>
        <v>-0.88634083282800602</v>
      </c>
      <c r="BY32" s="3">
        <f ca="1">IFERROR(__xludf.DUMMYFUNCTION("""COMPUTED_VALUE"""),-0.902031390768915)</f>
        <v>-0.90203139076891503</v>
      </c>
      <c r="BZ32" s="3">
        <f ca="1">IFERROR(__xludf.DUMMYFUNCTION("""COMPUTED_VALUE"""),-0.842245914187549)</f>
        <v>-0.84224591418754902</v>
      </c>
      <c r="CA32" s="3">
        <f ca="1">IFERROR(__xludf.DUMMYFUNCTION("""COMPUTED_VALUE"""),-0.859281521202008)</f>
        <v>-0.85928152120200796</v>
      </c>
      <c r="CB32" s="3">
        <f ca="1">IFERROR(__xludf.DUMMYFUNCTION("""COMPUTED_VALUE"""),-0.898867266521605)</f>
        <v>-0.89886726652160498</v>
      </c>
      <c r="CC32" s="3">
        <f ca="1">IFERROR(__xludf.DUMMYFUNCTION("""COMPUTED_VALUE"""),-0.91680618405504)</f>
        <v>-0.91680618405504</v>
      </c>
      <c r="CD32" s="3">
        <f ca="1">IFERROR(__xludf.DUMMYFUNCTION("""COMPUTED_VALUE"""),-0.897192114537604)</f>
        <v>-0.89719211453760395</v>
      </c>
      <c r="CE32" s="3">
        <f ca="1">IFERROR(__xludf.DUMMYFUNCTION("""COMPUTED_VALUE"""),-0.904537374406152)</f>
        <v>-0.90453737440615201</v>
      </c>
      <c r="CF32" s="3">
        <f ca="1">IFERROR(__xludf.DUMMYFUNCTION("""COMPUTED_VALUE"""),-0.902134997224173)</f>
        <v>-0.90213499722417301</v>
      </c>
      <c r="CG32" s="3">
        <f ca="1">IFERROR(__xludf.DUMMYFUNCTION("""COMPUTED_VALUE"""),-0.872652114298887)</f>
        <v>-0.87265211429888701</v>
      </c>
      <c r="CH32" s="3">
        <f ca="1">IFERROR(__xludf.DUMMYFUNCTION("""COMPUTED_VALUE"""),-0.860636844552113)</f>
        <v>-0.86063684455211298</v>
      </c>
      <c r="CI32" s="3">
        <f ca="1">IFERROR(__xludf.DUMMYFUNCTION("""COMPUTED_VALUE"""),-0.91002832055876)</f>
        <v>-0.91002832055876004</v>
      </c>
      <c r="CJ32" s="3">
        <f ca="1">IFERROR(__xludf.DUMMYFUNCTION("""COMPUTED_VALUE"""),-0.90965292830018)</f>
        <v>-0.90965292830017996</v>
      </c>
      <c r="CK32" s="3">
        <f ca="1">IFERROR(__xludf.DUMMYFUNCTION("""COMPUTED_VALUE"""),-0.894687826759075)</f>
        <v>-0.89468782675907499</v>
      </c>
      <c r="CL32" s="3">
        <f ca="1">IFERROR(__xludf.DUMMYFUNCTION("""COMPUTED_VALUE"""),-0.87999943510328)</f>
        <v>-0.87999943510328005</v>
      </c>
      <c r="CM32" s="3">
        <f ca="1">IFERROR(__xludf.DUMMYFUNCTION("""COMPUTED_VALUE"""),-0.818270493698357)</f>
        <v>-0.81827049369835703</v>
      </c>
      <c r="CN32" s="3">
        <f ca="1">IFERROR(__xludf.DUMMYFUNCTION("""COMPUTED_VALUE"""),-0.774865118203391)</f>
        <v>-0.77486511820339099</v>
      </c>
      <c r="CO32" s="3">
        <f ca="1">IFERROR(__xludf.DUMMYFUNCTION("""COMPUTED_VALUE"""),-0.67495117886236)</f>
        <v>-0.67495117886236</v>
      </c>
      <c r="CP32" s="3">
        <f ca="1">IFERROR(__xludf.DUMMYFUNCTION("""COMPUTED_VALUE"""),-0.731635894534288)</f>
        <v>-0.73163589453428801</v>
      </c>
      <c r="CQ32" s="3">
        <f ca="1">IFERROR(__xludf.DUMMYFUNCTION("""COMPUTED_VALUE"""),-0.780038810927085)</f>
        <v>-0.78003881092708505</v>
      </c>
      <c r="CR32" s="3">
        <f ca="1">IFERROR(__xludf.DUMMYFUNCTION("""COMPUTED_VALUE"""),-0.634218525903887)</f>
        <v>-0.63421852590388705</v>
      </c>
      <c r="CS32" s="3">
        <f ca="1">IFERROR(__xludf.DUMMYFUNCTION("""COMPUTED_VALUE"""),-0.691389272160167)</f>
        <v>-0.69138927216016699</v>
      </c>
      <c r="CT32" s="3">
        <f ca="1">IFERROR(__xludf.DUMMYFUNCTION("""COMPUTED_VALUE"""),-0.654341642656586)</f>
        <v>-0.65434164265658601</v>
      </c>
      <c r="CU32" s="3">
        <f ca="1">IFERROR(__xludf.DUMMYFUNCTION("""COMPUTED_VALUE"""),-0.530443322071669)</f>
        <v>-0.530443322071669</v>
      </c>
      <c r="CV32" s="3">
        <f ca="1">IFERROR(__xludf.DUMMYFUNCTION("""COMPUTED_VALUE"""),-0.390312490486325)</f>
        <v>-0.39031249048632499</v>
      </c>
      <c r="CW32" s="3">
        <f ca="1">IFERROR(__xludf.DUMMYFUNCTION("""COMPUTED_VALUE"""),-0.915861319833953)</f>
        <v>-0.91586131983395302</v>
      </c>
      <c r="CX32" s="3">
        <f ca="1">IFERROR(__xludf.DUMMYFUNCTION("""COMPUTED_VALUE"""),-0.710286077496364)</f>
        <v>-0.71028607749636397</v>
      </c>
      <c r="CY32" s="3">
        <f ca="1">IFERROR(__xludf.DUMMYFUNCTION("""COMPUTED_VALUE"""),-0.350334163861673)</f>
        <v>-0.35033416386167299</v>
      </c>
      <c r="CZ32" s="3">
        <f ca="1">IFERROR(__xludf.DUMMYFUNCTION("""COMPUTED_VALUE"""),-0.554809658957873)</f>
        <v>-0.55480965895787304</v>
      </c>
      <c r="DA32" s="3">
        <f ca="1">IFERROR(__xludf.DUMMYFUNCTION("""COMPUTED_VALUE"""),-0.666619573991479)</f>
        <v>-0.66661957399147898</v>
      </c>
      <c r="DB32" s="3">
        <f ca="1">IFERROR(__xludf.DUMMYFUNCTION("""COMPUTED_VALUE"""),-0.640267748718981)</f>
        <v>-0.64026774871898096</v>
      </c>
      <c r="DC32" s="3">
        <f ca="1">IFERROR(__xludf.DUMMYFUNCTION("""COMPUTED_VALUE"""),-0.674732806127208)</f>
        <v>-0.67473280612720798</v>
      </c>
      <c r="DD32" s="3">
        <f ca="1">IFERROR(__xludf.DUMMYFUNCTION("""COMPUTED_VALUE"""),-0.957500618566298)</f>
        <v>-0.95750061856629798</v>
      </c>
      <c r="DE32" s="3">
        <f ca="1">IFERROR(__xludf.DUMMYFUNCTION("""COMPUTED_VALUE"""),-0.867121071304374)</f>
        <v>-0.86712107130437399</v>
      </c>
      <c r="DF32" s="3">
        <f ca="1">IFERROR(__xludf.DUMMYFUNCTION("""COMPUTED_VALUE"""),-0.706545327168383)</f>
        <v>-0.70654532716838303</v>
      </c>
      <c r="DG32" s="3">
        <f ca="1">IFERROR(__xludf.DUMMYFUNCTION("""COMPUTED_VALUE"""),-0.762815230655873)</f>
        <v>-0.76281523065587298</v>
      </c>
      <c r="DH32" s="3">
        <f ca="1">IFERROR(__xludf.DUMMYFUNCTION("""COMPUTED_VALUE"""),-0.757494337967142)</f>
        <v>-0.75749433796714205</v>
      </c>
      <c r="DI32" s="3">
        <f ca="1">IFERROR(__xludf.DUMMYFUNCTION("""COMPUTED_VALUE"""),-0.838888807590027)</f>
        <v>-0.83888880759002704</v>
      </c>
      <c r="DJ32" s="3">
        <f ca="1">IFERROR(__xludf.DUMMYFUNCTION("""COMPUTED_VALUE"""),-0.794865603080795)</f>
        <v>-0.79486560308079501</v>
      </c>
      <c r="DK32" s="3">
        <f ca="1">IFERROR(__xludf.DUMMYFUNCTION("""COMPUTED_VALUE"""),-0.766207523662581)</f>
        <v>-0.76620752366258105</v>
      </c>
      <c r="DL32" s="3">
        <f ca="1">IFERROR(__xludf.DUMMYFUNCTION("""COMPUTED_VALUE"""),-0.840735445142946)</f>
        <v>-0.84073544514294596</v>
      </c>
      <c r="DM32" s="3">
        <f ca="1">IFERROR(__xludf.DUMMYFUNCTION("""COMPUTED_VALUE"""),-0.859871162610908)</f>
        <v>-0.85987116261090801</v>
      </c>
      <c r="DN32" s="3">
        <f ca="1">IFERROR(__xludf.DUMMYFUNCTION("""COMPUTED_VALUE"""),-0.869788120176581)</f>
        <v>-0.86978812017658103</v>
      </c>
      <c r="DO32" s="3">
        <f ca="1">IFERROR(__xludf.DUMMYFUNCTION("""COMPUTED_VALUE"""),-0.887619918842337)</f>
        <v>-0.88761991884233704</v>
      </c>
      <c r="DP32" s="3">
        <f ca="1">IFERROR(__xludf.DUMMYFUNCTION("""COMPUTED_VALUE"""),-0.85786601541347)</f>
        <v>-0.85786601541346996</v>
      </c>
      <c r="DQ32" s="3">
        <f ca="1">IFERROR(__xludf.DUMMYFUNCTION("""COMPUTED_VALUE"""),-0.851735654371241)</f>
        <v>-0.85173565437124099</v>
      </c>
      <c r="DR32" s="3">
        <f ca="1">IFERROR(__xludf.DUMMYFUNCTION("""COMPUTED_VALUE"""),-0.894976897484233)</f>
        <v>-0.89497689748423304</v>
      </c>
      <c r="DS32" s="3">
        <f ca="1">IFERROR(__xludf.DUMMYFUNCTION("""COMPUTED_VALUE"""),-0.911759320941468)</f>
        <v>-0.91175932094146805</v>
      </c>
      <c r="DT32" s="3">
        <f ca="1">IFERROR(__xludf.DUMMYFUNCTION("""COMPUTED_VALUE"""),-0.893155495311629)</f>
        <v>-0.89315549531162897</v>
      </c>
      <c r="DU32" s="3">
        <f ca="1">IFERROR(__xludf.DUMMYFUNCTION("""COMPUTED_VALUE"""),-0.911161216703866)</f>
        <v>-0.91116121670386596</v>
      </c>
      <c r="DV32" s="3">
        <f ca="1">IFERROR(__xludf.DUMMYFUNCTION("""COMPUTED_VALUE"""),-0.866121462675064)</f>
        <v>-0.86612146267506396</v>
      </c>
      <c r="DW32" s="3">
        <f ca="1">IFERROR(__xludf.DUMMYFUNCTION("""COMPUTED_VALUE"""),-0.847600658294126)</f>
        <v>-0.84760065829412601</v>
      </c>
      <c r="DX32" s="3">
        <f ca="1">IFERROR(__xludf.DUMMYFUNCTION("""COMPUTED_VALUE"""),-0.851358755185396)</f>
        <v>-0.85135875518539605</v>
      </c>
      <c r="DY32" s="3">
        <f ca="1">IFERROR(__xludf.DUMMYFUNCTION("""COMPUTED_VALUE"""),-0.877589159615178)</f>
        <v>-0.87758915961517803</v>
      </c>
      <c r="DZ32" s="3">
        <f ca="1">IFERROR(__xludf.DUMMYFUNCTION("""COMPUTED_VALUE"""),-0.854002755014782)</f>
        <v>-0.85400275501478196</v>
      </c>
      <c r="EA32" s="3">
        <f ca="1">IFERROR(__xludf.DUMMYFUNCTION("""COMPUTED_VALUE"""),-0.867807442251554)</f>
        <v>-0.86780744225155404</v>
      </c>
      <c r="EB32" s="3">
        <f ca="1">IFERROR(__xludf.DUMMYFUNCTION("""COMPUTED_VALUE"""),-0.885447177483286)</f>
        <v>-0.88544717748328605</v>
      </c>
      <c r="EC32" s="3">
        <f ca="1">IFERROR(__xludf.DUMMYFUNCTION("""COMPUTED_VALUE"""),-0.869808361327568)</f>
        <v>-0.869808361327568</v>
      </c>
      <c r="ED32" s="3">
        <f ca="1">IFERROR(__xludf.DUMMYFUNCTION("""COMPUTED_VALUE"""),-0.869098750249085)</f>
        <v>-0.86909875024908501</v>
      </c>
      <c r="EE32" s="3">
        <f ca="1">IFERROR(__xludf.DUMMYFUNCTION("""COMPUTED_VALUE"""),-0.853446488528169)</f>
        <v>-0.85344648852816896</v>
      </c>
      <c r="EF32" s="3">
        <f ca="1">IFERROR(__xludf.DUMMYFUNCTION("""COMPUTED_VALUE"""),-0.888244203298479)</f>
        <v>-0.88824420329847897</v>
      </c>
      <c r="EG32" s="3">
        <f ca="1">IFERROR(__xludf.DUMMYFUNCTION("""COMPUTED_VALUE"""),-0.987556030884971)</f>
        <v>-0.98755603088497101</v>
      </c>
      <c r="EH32" s="3">
        <f ca="1">IFERROR(__xludf.DUMMYFUNCTION("""COMPUTED_VALUE"""),-0.865725117743325)</f>
        <v>-0.86572511774332495</v>
      </c>
      <c r="EI32" s="3">
        <f ca="1">IFERROR(__xludf.DUMMYFUNCTION("""COMPUTED_VALUE"""),-0.834722710662727)</f>
        <v>-0.83472271066272696</v>
      </c>
      <c r="EJ32" s="3">
        <f ca="1">IFERROR(__xludf.DUMMYFUNCTION("""COMPUTED_VALUE"""),-0.741339886639575)</f>
        <v>-0.74133988663957495</v>
      </c>
      <c r="EK32" s="3">
        <f ca="1">IFERROR(__xludf.DUMMYFUNCTION("""COMPUTED_VALUE"""),-0.770140029729095)</f>
        <v>-0.77014002972909501</v>
      </c>
      <c r="EL32" s="3">
        <f ca="1">IFERROR(__xludf.DUMMYFUNCTION("""COMPUTED_VALUE"""),-0.720934976453706)</f>
        <v>-0.72093497645370597</v>
      </c>
      <c r="EM32" s="3">
        <f ca="1">IFERROR(__xludf.DUMMYFUNCTION("""COMPUTED_VALUE"""),-0.742228940021225)</f>
        <v>-0.74222894002122497</v>
      </c>
      <c r="EN32" s="3">
        <f ca="1">IFERROR(__xludf.DUMMYFUNCTION("""COMPUTED_VALUE"""),-0.714863216859651)</f>
        <v>-0.71486321685965104</v>
      </c>
      <c r="EO32" s="3">
        <f ca="1">IFERROR(__xludf.DUMMYFUNCTION("""COMPUTED_VALUE"""),-0.739109649097071)</f>
        <v>-0.739109649097071</v>
      </c>
      <c r="EP32" s="3">
        <f ca="1">IFERROR(__xludf.DUMMYFUNCTION("""COMPUTED_VALUE"""),-0.794894573718933)</f>
        <v>-0.79489457371893302</v>
      </c>
      <c r="EQ32" s="3">
        <f ca="1">IFERROR(__xludf.DUMMYFUNCTION("""COMPUTED_VALUE"""),-0.782126740511736)</f>
        <v>-0.78212674051173603</v>
      </c>
      <c r="ER32" s="3">
        <f ca="1">IFERROR(__xludf.DUMMYFUNCTION("""COMPUTED_VALUE"""),-0.714947411557575)</f>
        <v>-0.71494741155757502</v>
      </c>
      <c r="ES32" s="3">
        <f ca="1">IFERROR(__xludf.DUMMYFUNCTION("""COMPUTED_VALUE"""),-0.656497052510985)</f>
        <v>-0.656497052510985</v>
      </c>
      <c r="ET32" s="3">
        <f ca="1">IFERROR(__xludf.DUMMYFUNCTION("""COMPUTED_VALUE"""),-0.759290488948953)</f>
        <v>-0.75929048894895301</v>
      </c>
      <c r="EU32" s="3">
        <f ca="1">IFERROR(__xludf.DUMMYFUNCTION("""COMPUTED_VALUE"""),-0.787751241378892)</f>
        <v>-0.78775124137889196</v>
      </c>
      <c r="EV32" s="3">
        <f ca="1">IFERROR(__xludf.DUMMYFUNCTION("""COMPUTED_VALUE"""),-0.806102451088691)</f>
        <v>-0.80610245108869105</v>
      </c>
      <c r="EW32" s="3">
        <f ca="1">IFERROR(__xludf.DUMMYFUNCTION("""COMPUTED_VALUE"""),-0.811519493647343)</f>
        <v>-0.81151949364734299</v>
      </c>
      <c r="EX32" s="3">
        <f ca="1">IFERROR(__xludf.DUMMYFUNCTION("""COMPUTED_VALUE"""),-0.805895964761788)</f>
        <v>-0.80589596476178804</v>
      </c>
      <c r="EY32" s="3">
        <f ca="1">IFERROR(__xludf.DUMMYFUNCTION("""COMPUTED_VALUE"""),-0.772510893097918)</f>
        <v>-0.77251089309791798</v>
      </c>
      <c r="EZ32" s="3">
        <f ca="1">IFERROR(__xludf.DUMMYFUNCTION("""COMPUTED_VALUE"""),-0.621724051790403)</f>
        <v>-0.62172405179040302</v>
      </c>
      <c r="FA32" s="3">
        <f ca="1">IFERROR(__xludf.DUMMYFUNCTION("""COMPUTED_VALUE"""),-0.800509365414126)</f>
        <v>-0.80050936541412598</v>
      </c>
      <c r="FB32" s="3">
        <f ca="1">IFERROR(__xludf.DUMMYFUNCTION("""COMPUTED_VALUE"""),-0.802967615676971)</f>
        <v>-0.80296761567697095</v>
      </c>
      <c r="FC32" s="3">
        <f ca="1">IFERROR(__xludf.DUMMYFUNCTION("""COMPUTED_VALUE"""),-0.804279523232356)</f>
        <v>-0.80427952323235596</v>
      </c>
      <c r="FD32" s="3">
        <f ca="1">IFERROR(__xludf.DUMMYFUNCTION("""COMPUTED_VALUE"""),-0.777214362109562)</f>
        <v>-0.77721436210956196</v>
      </c>
      <c r="FE32" s="3">
        <f ca="1">IFERROR(__xludf.DUMMYFUNCTION("""COMPUTED_VALUE"""),-0.759859202456696)</f>
        <v>-0.75985920245669603</v>
      </c>
      <c r="FF32" s="3">
        <f ca="1">IFERROR(__xludf.DUMMYFUNCTION("""COMPUTED_VALUE"""),-0.740958875129371)</f>
        <v>-0.74095887512937098</v>
      </c>
      <c r="FG32" s="3">
        <f ca="1">IFERROR(__xludf.DUMMYFUNCTION("""COMPUTED_VALUE"""),-0.649148851947856)</f>
        <v>-0.64914885194785599</v>
      </c>
      <c r="FH32" s="3">
        <f ca="1">IFERROR(__xludf.DUMMYFUNCTION("""COMPUTED_VALUE"""),-0.770051005321061)</f>
        <v>-0.77005100532106097</v>
      </c>
      <c r="FI32" s="3">
        <f ca="1">IFERROR(__xludf.DUMMYFUNCTION("""COMPUTED_VALUE"""),-0.756990629719532)</f>
        <v>-0.75699062971953202</v>
      </c>
      <c r="FJ32" s="3">
        <f ca="1">IFERROR(__xludf.DUMMYFUNCTION("""COMPUTED_VALUE"""),-0.764507658272212)</f>
        <v>-0.76450765827221201</v>
      </c>
      <c r="FK32" s="3">
        <f ca="1">IFERROR(__xludf.DUMMYFUNCTION("""COMPUTED_VALUE"""),-0.795011198980456)</f>
        <v>-0.79501119898045602</v>
      </c>
      <c r="FL32" s="3">
        <f ca="1">IFERROR(__xludf.DUMMYFUNCTION("""COMPUTED_VALUE"""),-0.803001892127355)</f>
        <v>-0.80300189212735495</v>
      </c>
      <c r="FM32" s="3">
        <f ca="1">IFERROR(__xludf.DUMMYFUNCTION("""COMPUTED_VALUE"""),-0.710484520848831)</f>
        <v>-0.71048452084883096</v>
      </c>
      <c r="FN32" s="3">
        <f ca="1">IFERROR(__xludf.DUMMYFUNCTION("""COMPUTED_VALUE"""),-0.628213520064318)</f>
        <v>-0.62821352006431797</v>
      </c>
      <c r="FO32" s="3">
        <f ca="1">IFERROR(__xludf.DUMMYFUNCTION("""COMPUTED_VALUE"""),-0.750281204838074)</f>
        <v>-0.75028120483807403</v>
      </c>
      <c r="FP32" s="3">
        <f ca="1">IFERROR(__xludf.DUMMYFUNCTION("""COMPUTED_VALUE"""),-0.776566116200277)</f>
        <v>-0.77656611620027705</v>
      </c>
      <c r="FQ32" s="3">
        <f ca="1">IFERROR(__xludf.DUMMYFUNCTION("""COMPUTED_VALUE"""),-0.795532065503551)</f>
        <v>-0.79553206550355104</v>
      </c>
      <c r="FR32" s="3">
        <f ca="1">IFERROR(__xludf.DUMMYFUNCTION("""COMPUTED_VALUE"""),-0.765567494836044)</f>
        <v>-0.76556749483604403</v>
      </c>
      <c r="FS32" s="3">
        <f ca="1">IFERROR(__xludf.DUMMYFUNCTION("""COMPUTED_VALUE"""),-0.742368737200452)</f>
        <v>-0.74236873720045204</v>
      </c>
      <c r="FT32" s="3">
        <f ca="1">IFERROR(__xludf.DUMMYFUNCTION("""COMPUTED_VALUE"""),-0.720769540484318)</f>
        <v>-0.72076954048431796</v>
      </c>
      <c r="FU32" s="3">
        <f ca="1">IFERROR(__xludf.DUMMYFUNCTION("""COMPUTED_VALUE"""),-0.606053609810386)</f>
        <v>-0.60605360981038603</v>
      </c>
      <c r="FV32" s="3">
        <f ca="1">IFERROR(__xludf.DUMMYFUNCTION("""COMPUTED_VALUE"""),-0.730258064247154)</f>
        <v>-0.730258064247154</v>
      </c>
      <c r="FW32" s="3">
        <f ca="1">IFERROR(__xludf.DUMMYFUNCTION("""COMPUTED_VALUE"""),-0.81273976298394)</f>
        <v>-0.81273976298394002</v>
      </c>
      <c r="FX32" s="3">
        <f ca="1">IFERROR(__xludf.DUMMYFUNCTION("""COMPUTED_VALUE"""),-0.695339171786167)</f>
        <v>-0.695339171786167</v>
      </c>
      <c r="FY32" s="3">
        <f ca="1">IFERROR(__xludf.DUMMYFUNCTION("""COMPUTED_VALUE"""),-0.74607700113302)</f>
        <v>-0.74607700113302</v>
      </c>
      <c r="FZ32" s="3">
        <f ca="1">IFERROR(__xludf.DUMMYFUNCTION("""COMPUTED_VALUE"""),-0.743015409464575)</f>
        <v>-0.74301540946457501</v>
      </c>
      <c r="GA32" s="3">
        <f ca="1">IFERROR(__xludf.DUMMYFUNCTION("""COMPUTED_VALUE"""),-0.579140079685676)</f>
        <v>-0.57914007968567605</v>
      </c>
      <c r="GB32" s="3">
        <f ca="1">IFERROR(__xludf.DUMMYFUNCTION("""COMPUTED_VALUE"""),-0.63297824025458)</f>
        <v>-0.63297824025458005</v>
      </c>
      <c r="GC32" s="3">
        <f ca="1">IFERROR(__xludf.DUMMYFUNCTION("""COMPUTED_VALUE"""),-0.793979320667071)</f>
        <v>-0.793979320667071</v>
      </c>
      <c r="GD32" s="3">
        <f ca="1">IFERROR(__xludf.DUMMYFUNCTION("""COMPUTED_VALUE"""),-0.832199020206225)</f>
        <v>-0.83219902020622505</v>
      </c>
      <c r="GE32" s="3">
        <f ca="1">IFERROR(__xludf.DUMMYFUNCTION("""COMPUTED_VALUE"""),-0.826354513862172)</f>
        <v>-0.82635451386217196</v>
      </c>
      <c r="GF32" s="3">
        <f ca="1">IFERROR(__xludf.DUMMYFUNCTION("""COMPUTED_VALUE"""),-0.775926788600625)</f>
        <v>-0.77592678860062503</v>
      </c>
      <c r="GG32" s="3">
        <f ca="1">IFERROR(__xludf.DUMMYFUNCTION("""COMPUTED_VALUE"""),-0.7858922877881)</f>
        <v>-0.78589228778810005</v>
      </c>
      <c r="GH32" s="3">
        <f ca="1">IFERROR(__xludf.DUMMYFUNCTION("""COMPUTED_VALUE"""),-0.779226750115437)</f>
        <v>-0.77922675011543696</v>
      </c>
      <c r="GI32" s="3">
        <f ca="1">IFERROR(__xludf.DUMMYFUNCTION("""COMPUTED_VALUE"""),-0.675692694583527)</f>
        <v>-0.67569269458352699</v>
      </c>
      <c r="GJ32" s="3">
        <f ca="1">IFERROR(__xludf.DUMMYFUNCTION("""COMPUTED_VALUE"""),-0.769674168366973)</f>
        <v>-0.769674168366973</v>
      </c>
      <c r="GK32" s="3">
        <f ca="1">IFERROR(__xludf.DUMMYFUNCTION("""COMPUTED_VALUE"""),-0.812739336088093)</f>
        <v>-0.81273933608809301</v>
      </c>
      <c r="GL32" s="3">
        <f ca="1">IFERROR(__xludf.DUMMYFUNCTION("""COMPUTED_VALUE"""),-0.823233789977583)</f>
        <v>-0.82323378997758301</v>
      </c>
      <c r="GM32" s="3">
        <f ca="1">IFERROR(__xludf.DUMMYFUNCTION("""COMPUTED_VALUE"""),-0.817593543860592)</f>
        <v>-0.81759354386059202</v>
      </c>
      <c r="GN32" s="3">
        <f ca="1">IFERROR(__xludf.DUMMYFUNCTION("""COMPUTED_VALUE"""),-0.800433888928769)</f>
        <v>-0.80043388892876899</v>
      </c>
      <c r="GO32" s="3">
        <f ca="1">IFERROR(__xludf.DUMMYFUNCTION("""COMPUTED_VALUE"""),-0.763175878201573)</f>
        <v>-0.76317587820157295</v>
      </c>
      <c r="GP32" s="3">
        <f ca="1">IFERROR(__xludf.DUMMYFUNCTION("""COMPUTED_VALUE"""),-0.688892519758613)</f>
        <v>-0.68889251975861299</v>
      </c>
      <c r="GQ32" s="3">
        <f ca="1">IFERROR(__xludf.DUMMYFUNCTION("""COMPUTED_VALUE"""),-0.78503767968198)</f>
        <v>-0.78503767968198002</v>
      </c>
      <c r="GR32" s="3">
        <f ca="1">IFERROR(__xludf.DUMMYFUNCTION("""COMPUTED_VALUE"""),-0.821456660215027)</f>
        <v>-0.82145666021502695</v>
      </c>
      <c r="GS32" s="3">
        <f ca="1">IFERROR(__xludf.DUMMYFUNCTION("""COMPUTED_VALUE"""),-0.804589724264184)</f>
        <v>-0.80458972426418396</v>
      </c>
      <c r="GT32" s="3">
        <f ca="1">IFERROR(__xludf.DUMMYFUNCTION("""COMPUTED_VALUE"""),-0.821530525836382)</f>
        <v>-0.82153052583638198</v>
      </c>
      <c r="GU32" s="3">
        <f ca="1">IFERROR(__xludf.DUMMYFUNCTION("""COMPUTED_VALUE"""),-0.837654067126076)</f>
        <v>-0.83765406712607604</v>
      </c>
      <c r="GV32" s="3">
        <f ca="1">IFERROR(__xludf.DUMMYFUNCTION("""COMPUTED_VALUE"""),-0.766254827349801)</f>
        <v>-0.76625482734980099</v>
      </c>
      <c r="GW32" s="3">
        <f ca="1">IFERROR(__xludf.DUMMYFUNCTION("""COMPUTED_VALUE"""),-0.65702100430092)</f>
        <v>-0.65702100430092003</v>
      </c>
      <c r="GX32" s="3">
        <f ca="1">IFERROR(__xludf.DUMMYFUNCTION("""COMPUTED_VALUE"""),-0.805987048891789)</f>
        <v>-0.80598704889178896</v>
      </c>
      <c r="GY32" s="3">
        <f ca="1">IFERROR(__xludf.DUMMYFUNCTION("""COMPUTED_VALUE"""),-0.814250110607581)</f>
        <v>-0.81425011060758101</v>
      </c>
      <c r="GZ32" s="3">
        <f ca="1">IFERROR(__xludf.DUMMYFUNCTION("""COMPUTED_VALUE"""),-0.803747485127293)</f>
        <v>-0.80374748512729299</v>
      </c>
      <c r="HA32" s="3">
        <f ca="1">IFERROR(__xludf.DUMMYFUNCTION("""COMPUTED_VALUE"""),-0.817385873851568)</f>
        <v>-0.81738587385156802</v>
      </c>
      <c r="HB32" s="3">
        <f ca="1">IFERROR(__xludf.DUMMYFUNCTION("""COMPUTED_VALUE"""),-0.834895896306796)</f>
        <v>-0.83489589630679595</v>
      </c>
      <c r="HC32" s="3">
        <f ca="1">IFERROR(__xludf.DUMMYFUNCTION("""COMPUTED_VALUE"""),-0.804339619300491)</f>
        <v>-0.80433961930049103</v>
      </c>
      <c r="HD32" s="3">
        <f ca="1">IFERROR(__xludf.DUMMYFUNCTION("""COMPUTED_VALUE"""),-0.670059944961026)</f>
        <v>-0.67005994496102605</v>
      </c>
      <c r="HE32" s="3">
        <f ca="1">IFERROR(__xludf.DUMMYFUNCTION("""COMPUTED_VALUE"""),-0.79186280213122)</f>
        <v>-0.79186280213121996</v>
      </c>
      <c r="HF32" s="3">
        <f ca="1">IFERROR(__xludf.DUMMYFUNCTION("""COMPUTED_VALUE"""),-0.822231146101165)</f>
        <v>-0.82223114610116499</v>
      </c>
      <c r="HG32" s="3">
        <f ca="1">IFERROR(__xludf.DUMMYFUNCTION("""COMPUTED_VALUE"""),-0.821199244387962)</f>
        <v>-0.82119924438796199</v>
      </c>
      <c r="HH32" s="3">
        <f ca="1">IFERROR(__xludf.DUMMYFUNCTION("""COMPUTED_VALUE"""),-0.815639025847684)</f>
        <v>-0.815639025847684</v>
      </c>
      <c r="HI32" s="3">
        <f ca="1">IFERROR(__xludf.DUMMYFUNCTION("""COMPUTED_VALUE"""),-0.782997761750313)</f>
        <v>-0.78299776175031299</v>
      </c>
      <c r="HJ32" s="3">
        <f ca="1">IFERROR(__xludf.DUMMYFUNCTION("""COMPUTED_VALUE"""),-0.65160771066588)</f>
        <v>-0.65160771066587997</v>
      </c>
      <c r="HK32" s="3">
        <f ca="1">IFERROR(__xludf.DUMMYFUNCTION("""COMPUTED_VALUE"""),-0.699873142039141)</f>
        <v>-0.69987314203914097</v>
      </c>
      <c r="HL32" s="3">
        <f ca="1">IFERROR(__xludf.DUMMYFUNCTION("""COMPUTED_VALUE"""),-0.764454080380022)</f>
        <v>-0.76445408038002205</v>
      </c>
      <c r="HM32" s="3">
        <f ca="1">IFERROR(__xludf.DUMMYFUNCTION("""COMPUTED_VALUE"""),-0.801463492308681)</f>
        <v>-0.80146349230868097</v>
      </c>
      <c r="HN32" s="3">
        <f ca="1">IFERROR(__xludf.DUMMYFUNCTION("""COMPUTED_VALUE"""),-0.777274451611637)</f>
        <v>-0.777274451611637</v>
      </c>
      <c r="HO32" s="3">
        <f ca="1">IFERROR(__xludf.DUMMYFUNCTION("""COMPUTED_VALUE"""),-0.700104700219817)</f>
        <v>-0.70010470021981697</v>
      </c>
      <c r="HP32" s="3">
        <f ca="1">IFERROR(__xludf.DUMMYFUNCTION("""COMPUTED_VALUE"""),-0.579041174239384)</f>
        <v>-0.57904117423938395</v>
      </c>
      <c r="HQ32" s="3">
        <f ca="1">IFERROR(__xludf.DUMMYFUNCTION("""COMPUTED_VALUE"""),-0.634758759463187)</f>
        <v>-0.63475875946318705</v>
      </c>
      <c r="HR32" s="3">
        <f ca="1">IFERROR(__xludf.DUMMYFUNCTION("""COMPUTED_VALUE"""),-0.703547999255376)</f>
        <v>-0.70354799925537603</v>
      </c>
      <c r="HS32" s="3">
        <f ca="1">IFERROR(__xludf.DUMMYFUNCTION("""COMPUTED_VALUE"""),-0.742776979343129)</f>
        <v>-0.74277697934312903</v>
      </c>
      <c r="HT32" s="3">
        <f ca="1">IFERROR(__xludf.DUMMYFUNCTION("""COMPUTED_VALUE"""),-0.745068380317723)</f>
        <v>-0.74506838031772304</v>
      </c>
      <c r="HU32" s="3">
        <f ca="1">IFERROR(__xludf.DUMMYFUNCTION("""COMPUTED_VALUE"""),-0.750275512813607)</f>
        <v>-0.75027551281360705</v>
      </c>
      <c r="HV32" s="3">
        <f ca="1">IFERROR(__xludf.DUMMYFUNCTION("""COMPUTED_VALUE"""),-0.74689625198233)</f>
        <v>-0.74689625198233001</v>
      </c>
      <c r="HW32" s="3">
        <f ca="1">IFERROR(__xludf.DUMMYFUNCTION("""COMPUTED_VALUE"""),-0.59991200974034)</f>
        <v>-0.59991200974033998</v>
      </c>
      <c r="HX32" s="3">
        <f ca="1">IFERROR(__xludf.DUMMYFUNCTION("""COMPUTED_VALUE"""),-0.795589555462854)</f>
        <v>-0.79558955546285404</v>
      </c>
      <c r="HY32" s="3">
        <f ca="1">IFERROR(__xludf.DUMMYFUNCTION("""COMPUTED_VALUE"""),-0.849016596122895)</f>
        <v>-0.84901659612289504</v>
      </c>
      <c r="HZ32" s="3">
        <f ca="1">IFERROR(__xludf.DUMMYFUNCTION("""COMPUTED_VALUE"""),-0.786855942739402)</f>
        <v>-0.78685594273940196</v>
      </c>
      <c r="IA32" s="3">
        <f ca="1">IFERROR(__xludf.DUMMYFUNCTION("""COMPUTED_VALUE"""),-0.840596959186781)</f>
        <v>-0.84059695918678101</v>
      </c>
      <c r="IB32" s="3">
        <f ca="1">IFERROR(__xludf.DUMMYFUNCTION("""COMPUTED_VALUE"""),-0.75954087400423)</f>
        <v>-0.75954087400422998</v>
      </c>
      <c r="IC32" s="3">
        <f ca="1">IFERROR(__xludf.DUMMYFUNCTION("""COMPUTED_VALUE"""),-0.782916441744742)</f>
        <v>-0.78291644174474195</v>
      </c>
      <c r="ID32" s="3">
        <f ca="1">IFERROR(__xludf.DUMMYFUNCTION("""COMPUTED_VALUE"""),-0.815274706583462)</f>
        <v>-0.81527470658346202</v>
      </c>
      <c r="IE32" s="3">
        <f ca="1">IFERROR(__xludf.DUMMYFUNCTION("""COMPUTED_VALUE"""),-0.761855958705395)</f>
        <v>-0.76185595870539502</v>
      </c>
      <c r="IF32" s="3">
        <f ca="1">IFERROR(__xludf.DUMMYFUNCTION("""COMPUTED_VALUE"""),-0.735316306168363)</f>
        <v>-0.73531630616836297</v>
      </c>
      <c r="IG32" s="3">
        <f ca="1">IFERROR(__xludf.DUMMYFUNCTION("""COMPUTED_VALUE"""),-0.764765660396197)</f>
        <v>-0.76476566039619698</v>
      </c>
      <c r="IH32" s="3">
        <f ca="1">IFERROR(__xludf.DUMMYFUNCTION("""COMPUTED_VALUE"""),-0.696134498215503)</f>
        <v>-0.69613449821550299</v>
      </c>
      <c r="II32" s="3">
        <f ca="1">IFERROR(__xludf.DUMMYFUNCTION("""COMPUTED_VALUE"""),-0.742471506879019)</f>
        <v>-0.74247150687901897</v>
      </c>
      <c r="IJ32" s="3">
        <f ca="1">IFERROR(__xludf.DUMMYFUNCTION("""COMPUTED_VALUE"""),-0.717306962174205)</f>
        <v>-0.71730696217420498</v>
      </c>
      <c r="IK32" s="3">
        <f ca="1">IFERROR(__xludf.DUMMYFUNCTION("""COMPUTED_VALUE"""),-0.724988088877896)</f>
        <v>-0.72498808887789601</v>
      </c>
      <c r="IL32" s="3">
        <f ca="1">IFERROR(__xludf.DUMMYFUNCTION("""COMPUTED_VALUE"""),-0.565240678993934)</f>
        <v>-0.56524067899393404</v>
      </c>
      <c r="IM32" s="3">
        <f ca="1">IFERROR(__xludf.DUMMYFUNCTION("""COMPUTED_VALUE"""),-0.690762365117704)</f>
        <v>-0.69076236511770395</v>
      </c>
      <c r="IN32" s="3">
        <f ca="1">IFERROR(__xludf.DUMMYFUNCTION("""COMPUTED_VALUE"""),-0.761316889558198)</f>
        <v>-0.76131688955819798</v>
      </c>
      <c r="IO32" s="3">
        <f ca="1">IFERROR(__xludf.DUMMYFUNCTION("""COMPUTED_VALUE"""),-0.699356613891363)</f>
        <v>-0.69935661389136305</v>
      </c>
      <c r="IP32" s="3">
        <f ca="1">IFERROR(__xludf.DUMMYFUNCTION("""COMPUTED_VALUE"""),-0.677376372900108)</f>
        <v>-0.67737637290010799</v>
      </c>
      <c r="IQ32" s="3">
        <f ca="1">IFERROR(__xludf.DUMMYFUNCTION("""COMPUTED_VALUE"""),-0.743635993020715)</f>
        <v>-0.74363599302071504</v>
      </c>
      <c r="IR32" s="3">
        <f ca="1">IFERROR(__xludf.DUMMYFUNCTION("""COMPUTED_VALUE"""),-0.724145994104618)</f>
        <v>-0.724145994104618</v>
      </c>
      <c r="IS32" s="3">
        <f ca="1">IFERROR(__xludf.DUMMYFUNCTION("""COMPUTED_VALUE"""),-0.670519696165739)</f>
        <v>-0.67051969616573903</v>
      </c>
      <c r="IT32" s="3">
        <f ca="1">IFERROR(__xludf.DUMMYFUNCTION("""COMPUTED_VALUE"""),-0.743904994579907)</f>
        <v>-0.743904994579907</v>
      </c>
      <c r="IU32" s="3">
        <f ca="1">IFERROR(__xludf.DUMMYFUNCTION("""COMPUTED_VALUE"""),-0.81369514523762)</f>
        <v>-0.81369514523761999</v>
      </c>
      <c r="IV32" s="3">
        <f ca="1">IFERROR(__xludf.DUMMYFUNCTION("""COMPUTED_VALUE"""),-0.721564852046131)</f>
        <v>-0.72156485204613097</v>
      </c>
      <c r="IW32" s="3">
        <f ca="1">IFERROR(__xludf.DUMMYFUNCTION("""COMPUTED_VALUE"""),-0.744695423056463)</f>
        <v>-0.74469542305646297</v>
      </c>
      <c r="IX32" s="3">
        <f ca="1">IFERROR(__xludf.DUMMYFUNCTION("""COMPUTED_VALUE"""),-0.744496881645271)</f>
        <v>-0.74449688164527095</v>
      </c>
      <c r="IY32" s="3">
        <f ca="1">IFERROR(__xludf.DUMMYFUNCTION("""COMPUTED_VALUE"""),-0.795170986166671)</f>
        <v>-0.79517098616667103</v>
      </c>
      <c r="IZ32" s="3">
        <f ca="1">IFERROR(__xludf.DUMMYFUNCTION("""COMPUTED_VALUE"""),-0.752860699894373)</f>
        <v>-0.75286069989437299</v>
      </c>
      <c r="JA32" s="3">
        <f ca="1">IFERROR(__xludf.DUMMYFUNCTION("""COMPUTED_VALUE"""),-0.804777644580716)</f>
        <v>-0.80477764458071599</v>
      </c>
      <c r="JB32" s="3">
        <f ca="1">IFERROR(__xludf.DUMMYFUNCTION("""COMPUTED_VALUE"""),-0.799458026997744)</f>
        <v>-0.79945802699774404</v>
      </c>
      <c r="JC32" s="3">
        <f ca="1">IFERROR(__xludf.DUMMYFUNCTION("""COMPUTED_VALUE"""),-0.763316381446148)</f>
        <v>-0.763316381446148</v>
      </c>
      <c r="JD32" s="3">
        <f ca="1">IFERROR(__xludf.DUMMYFUNCTION("""COMPUTED_VALUE"""),-0.791884861953597)</f>
        <v>-0.79188486195359697</v>
      </c>
      <c r="JE32" s="3">
        <f ca="1">IFERROR(__xludf.DUMMYFUNCTION("""COMPUTED_VALUE"""),-0.785312047217529)</f>
        <v>-0.78531204721752901</v>
      </c>
      <c r="JF32" s="3">
        <f ca="1">IFERROR(__xludf.DUMMYFUNCTION("""COMPUTED_VALUE"""),-0.793645359633834)</f>
        <v>-0.79364535963383398</v>
      </c>
      <c r="JG32" s="3">
        <f ca="1">IFERROR(__xludf.DUMMYFUNCTION("""COMPUTED_VALUE"""),-0.805162193671881)</f>
        <v>-0.80516219367188102</v>
      </c>
      <c r="JH32" s="3">
        <f ca="1">IFERROR(__xludf.DUMMYFUNCTION("""COMPUTED_VALUE"""),-0.790263338418592)</f>
        <v>-0.79026333841859198</v>
      </c>
      <c r="JI32" s="3">
        <f ca="1">IFERROR(__xludf.DUMMYFUNCTION("""COMPUTED_VALUE"""),-0.803340312545051)</f>
        <v>-0.80334031254505101</v>
      </c>
      <c r="JJ32" s="3">
        <f ca="1">IFERROR(__xludf.DUMMYFUNCTION("""COMPUTED_VALUE"""),-0.777402669312388)</f>
        <v>-0.77740266931238799</v>
      </c>
      <c r="JK32" s="3">
        <f ca="1">IFERROR(__xludf.DUMMYFUNCTION("""COMPUTED_VALUE"""),-0.773473758960329)</f>
        <v>-0.77347375896032899</v>
      </c>
      <c r="JL32" s="3">
        <f ca="1">IFERROR(__xludf.DUMMYFUNCTION("""COMPUTED_VALUE"""),-0.780780914393967)</f>
        <v>-0.78078091439396702</v>
      </c>
      <c r="JM32" s="3">
        <f ca="1">IFERROR(__xludf.DUMMYFUNCTION("""COMPUTED_VALUE"""),-0.807444778090715)</f>
        <v>-0.80744477809071502</v>
      </c>
      <c r="JN32" s="3">
        <f ca="1">IFERROR(__xludf.DUMMYFUNCTION("""COMPUTED_VALUE"""),-0.685853933098272)</f>
        <v>-0.68585393309827203</v>
      </c>
      <c r="JO32" s="3">
        <f ca="1">IFERROR(__xludf.DUMMYFUNCTION("""COMPUTED_VALUE"""),-0.763212904938106)</f>
        <v>-0.76321290493810601</v>
      </c>
      <c r="JP32" s="3">
        <f ca="1">IFERROR(__xludf.DUMMYFUNCTION("""COMPUTED_VALUE"""),-0.795004471759437)</f>
        <v>-0.795004471759437</v>
      </c>
      <c r="JQ32" s="3">
        <f ca="1">IFERROR(__xludf.DUMMYFUNCTION("""COMPUTED_VALUE"""),-0.70721745077147)</f>
        <v>-0.70721745077147002</v>
      </c>
      <c r="JR32" s="3">
        <f ca="1">IFERROR(__xludf.DUMMYFUNCTION("""COMPUTED_VALUE"""),-0.776664308473181)</f>
        <v>-0.77666430847318102</v>
      </c>
      <c r="JS32" s="3">
        <f ca="1">IFERROR(__xludf.DUMMYFUNCTION("""COMPUTED_VALUE"""),-0.817988805617001)</f>
        <v>-0.81798880561700105</v>
      </c>
      <c r="JT32" s="3">
        <f ca="1">IFERROR(__xludf.DUMMYFUNCTION("""COMPUTED_VALUE"""),-0.762896170117671)</f>
        <v>-0.76289617011767097</v>
      </c>
      <c r="JU32" s="3">
        <f ca="1">IFERROR(__xludf.DUMMYFUNCTION("""COMPUTED_VALUE"""),-0.738100272479089)</f>
        <v>-0.73810027247908905</v>
      </c>
      <c r="JV32" s="3">
        <f ca="1">IFERROR(__xludf.DUMMYFUNCTION("""COMPUTED_VALUE"""),-0.831293610406826)</f>
        <v>-0.83129361040682603</v>
      </c>
      <c r="JW32" s="3">
        <f ca="1">IFERROR(__xludf.DUMMYFUNCTION("""COMPUTED_VALUE"""),-0.84612677486607)</f>
        <v>-0.84612677486607002</v>
      </c>
      <c r="JX32" s="3">
        <f ca="1">IFERROR(__xludf.DUMMYFUNCTION("""COMPUTED_VALUE"""),-0.709343348147481)</f>
        <v>-0.70934334814748101</v>
      </c>
      <c r="JY32" s="3">
        <f ca="1">IFERROR(__xludf.DUMMYFUNCTION("""COMPUTED_VALUE"""),-0.797480243142982)</f>
        <v>-0.79748024314298205</v>
      </c>
      <c r="JZ32" s="3">
        <f ca="1">IFERROR(__xludf.DUMMYFUNCTION("""COMPUTED_VALUE"""),-0.793795138065447)</f>
        <v>-0.79379513806544699</v>
      </c>
      <c r="KA32" s="3">
        <f ca="1">IFERROR(__xludf.DUMMYFUNCTION("""COMPUTED_VALUE"""),-0.806883500501541)</f>
        <v>-0.80688350050154101</v>
      </c>
      <c r="KB32" s="3">
        <f ca="1">IFERROR(__xludf.DUMMYFUNCTION("""COMPUTED_VALUE"""),-0.775516432539737)</f>
        <v>-0.77551643253973701</v>
      </c>
      <c r="KC32" s="3">
        <f ca="1">IFERROR(__xludf.DUMMYFUNCTION("""COMPUTED_VALUE"""),-0.824429853408874)</f>
        <v>-0.82442985340887398</v>
      </c>
      <c r="KD32" s="3">
        <f ca="1">IFERROR(__xludf.DUMMYFUNCTION("""COMPUTED_VALUE"""),-0.766663632443351)</f>
        <v>-0.76666363244335101</v>
      </c>
      <c r="KE32" s="3">
        <f ca="1">IFERROR(__xludf.DUMMYFUNCTION("""COMPUTED_VALUE"""),-0.798916590535085)</f>
        <v>-0.79891659053508501</v>
      </c>
      <c r="KF32" s="3">
        <f ca="1">IFERROR(__xludf.DUMMYFUNCTION("""COMPUTED_VALUE"""),-0.825715375557265)</f>
        <v>-0.82571537555726504</v>
      </c>
      <c r="KG32" s="3">
        <f ca="1">IFERROR(__xludf.DUMMYFUNCTION("""COMPUTED_VALUE"""),-0.802029870284465)</f>
        <v>-0.80202987028446504</v>
      </c>
      <c r="KH32" s="3">
        <f ca="1">IFERROR(__xludf.DUMMYFUNCTION("""COMPUTED_VALUE"""),-0.804602882793872)</f>
        <v>-0.80460288279387204</v>
      </c>
      <c r="KI32" s="3">
        <f ca="1">IFERROR(__xludf.DUMMYFUNCTION("""COMPUTED_VALUE"""),-0.692835295609669)</f>
        <v>-0.69283529560966906</v>
      </c>
      <c r="KJ32" s="3">
        <f ca="1">IFERROR(__xludf.DUMMYFUNCTION("""COMPUTED_VALUE"""),-0.686320023801435)</f>
        <v>-0.68632002380143498</v>
      </c>
      <c r="KK32" s="3">
        <f ca="1">IFERROR(__xludf.DUMMYFUNCTION("""COMPUTED_VALUE"""),-0.766978942201525)</f>
        <v>-0.76697894220152496</v>
      </c>
      <c r="KL32" s="3">
        <f ca="1">IFERROR(__xludf.DUMMYFUNCTION("""COMPUTED_VALUE"""),-0.768603337022484)</f>
        <v>-0.76860333702248396</v>
      </c>
      <c r="KM32" s="3">
        <f ca="1">IFERROR(__xludf.DUMMYFUNCTION("""COMPUTED_VALUE"""),-0.717185912528254)</f>
        <v>-0.71718591252825403</v>
      </c>
      <c r="KN32" s="3">
        <f ca="1">IFERROR(__xludf.DUMMYFUNCTION("""COMPUTED_VALUE"""),-0.688258022694926)</f>
        <v>-0.68825802269492597</v>
      </c>
      <c r="KO32" s="3">
        <f ca="1">IFERROR(__xludf.DUMMYFUNCTION("""COMPUTED_VALUE"""),-0.751704164860364)</f>
        <v>-0.75170416486036395</v>
      </c>
      <c r="KP32" s="3">
        <f ca="1">IFERROR(__xludf.DUMMYFUNCTION("""COMPUTED_VALUE"""),-0.760590156440619)</f>
        <v>-0.760590156440619</v>
      </c>
      <c r="KQ32" s="3">
        <f ca="1">IFERROR(__xludf.DUMMYFUNCTION("""COMPUTED_VALUE"""),-0.700700020649354)</f>
        <v>-0.70070002064935399</v>
      </c>
      <c r="KR32" s="3">
        <f ca="1">IFERROR(__xludf.DUMMYFUNCTION("""COMPUTED_VALUE"""),-0.792217194405612)</f>
        <v>-0.792217194405612</v>
      </c>
      <c r="KS32" s="3">
        <f ca="1">IFERROR(__xludf.DUMMYFUNCTION("""COMPUTED_VALUE"""),-0.858090041957383)</f>
        <v>-0.85809004195738303</v>
      </c>
      <c r="KT32" s="3">
        <f ca="1">IFERROR(__xludf.DUMMYFUNCTION("""COMPUTED_VALUE"""),-0.813096681642621)</f>
        <v>-0.81309668164262106</v>
      </c>
      <c r="KU32" s="3">
        <f ca="1">IFERROR(__xludf.DUMMYFUNCTION("""COMPUTED_VALUE"""),-0.859649998860827)</f>
        <v>-0.85964999886082705</v>
      </c>
      <c r="KV32" s="3">
        <f ca="1">IFERROR(__xludf.DUMMYFUNCTION("""COMPUTED_VALUE"""),-0.872247871504608)</f>
        <v>-0.87224787150460803</v>
      </c>
      <c r="KW32" s="3">
        <f ca="1">IFERROR(__xludf.DUMMYFUNCTION("""COMPUTED_VALUE"""),-0.74137635165715)</f>
        <v>-0.74137635165714999</v>
      </c>
      <c r="KX32" s="3">
        <f ca="1">IFERROR(__xludf.DUMMYFUNCTION("""COMPUTED_VALUE"""),-0.734250230563004)</f>
        <v>-0.73425023056300398</v>
      </c>
      <c r="KY32" s="3">
        <f ca="1">IFERROR(__xludf.DUMMYFUNCTION("""COMPUTED_VALUE"""),-0.735524204085092)</f>
        <v>-0.735524204085092</v>
      </c>
      <c r="KZ32" s="3">
        <f ca="1">IFERROR(__xludf.DUMMYFUNCTION("""COMPUTED_VALUE"""),-0.806974886202877)</f>
        <v>-0.80697488620287705</v>
      </c>
      <c r="LA32" s="3">
        <f ca="1">IFERROR(__xludf.DUMMYFUNCTION("""COMPUTED_VALUE"""),-0.861824539744122)</f>
        <v>-0.86182453974412199</v>
      </c>
      <c r="LB32" s="3">
        <f ca="1">IFERROR(__xludf.DUMMYFUNCTION("""COMPUTED_VALUE"""),-0.861458797282912)</f>
        <v>-0.86145879728291197</v>
      </c>
      <c r="LC32" s="3">
        <f ca="1">IFERROR(__xludf.DUMMYFUNCTION("""COMPUTED_VALUE"""),-0.763315883508259)</f>
        <v>-0.76331588350825896</v>
      </c>
      <c r="LD32" s="3">
        <f ca="1">IFERROR(__xludf.DUMMYFUNCTION("""COMPUTED_VALUE"""),-0.79470405073299)</f>
        <v>-0.79470405073299</v>
      </c>
      <c r="LE32" s="3">
        <f ca="1">IFERROR(__xludf.DUMMYFUNCTION("""COMPUTED_VALUE"""),-0.888164440531344)</f>
        <v>-0.88816444053134402</v>
      </c>
      <c r="LF32" s="3">
        <f ca="1">IFERROR(__xludf.DUMMYFUNCTION("""COMPUTED_VALUE"""),-0.85367592966972)</f>
        <v>-0.85367592966971995</v>
      </c>
      <c r="LG32" s="3">
        <f ca="1">IFERROR(__xludf.DUMMYFUNCTION("""COMPUTED_VALUE"""),-0.876440340638505)</f>
        <v>-0.87644034063850496</v>
      </c>
      <c r="LH32" s="3">
        <f ca="1">IFERROR(__xludf.DUMMYFUNCTION("""COMPUTED_VALUE"""),-0.846032842096184)</f>
        <v>-0.84603284209618401</v>
      </c>
      <c r="LI32" s="3">
        <f ca="1">IFERROR(__xludf.DUMMYFUNCTION("""COMPUTED_VALUE"""),-0.778826600009767)</f>
        <v>-0.778826600009767</v>
      </c>
      <c r="LJ32" s="3">
        <f ca="1">IFERROR(__xludf.DUMMYFUNCTION("""COMPUTED_VALUE"""),-0.828647650797359)</f>
        <v>-0.82864765079735903</v>
      </c>
      <c r="LK32" s="3">
        <f ca="1">IFERROR(__xludf.DUMMYFUNCTION("""COMPUTED_VALUE"""),-0.833845878537527)</f>
        <v>-0.83384587853752701</v>
      </c>
      <c r="LL32" s="3">
        <f ca="1">IFERROR(__xludf.DUMMYFUNCTION("""COMPUTED_VALUE"""),-0.920312513196468)</f>
        <v>-0.92031251319646801</v>
      </c>
      <c r="LM32" s="3">
        <f ca="1">IFERROR(__xludf.DUMMYFUNCTION("""COMPUTED_VALUE"""),-0.915075263202117)</f>
        <v>-0.91507526320211696</v>
      </c>
      <c r="LN32" s="3">
        <f ca="1">IFERROR(__xludf.DUMMYFUNCTION("""COMPUTED_VALUE"""),-0.943168115122448)</f>
        <v>-0.94316811512244803</v>
      </c>
      <c r="LO32" s="3">
        <f ca="1">IFERROR(__xludf.DUMMYFUNCTION("""COMPUTED_VALUE"""),-0.891811902659948)</f>
        <v>-0.89181190265994803</v>
      </c>
      <c r="LP32" s="3">
        <f ca="1">IFERROR(__xludf.DUMMYFUNCTION("""COMPUTED_VALUE"""),-0.920860747463915)</f>
        <v>-0.920860747463915</v>
      </c>
      <c r="LQ32" s="3">
        <f ca="1">IFERROR(__xludf.DUMMYFUNCTION("""COMPUTED_VALUE"""),-0.927317839646369)</f>
        <v>-0.92731783964636905</v>
      </c>
      <c r="LR32" s="3">
        <f ca="1">IFERROR(__xludf.DUMMYFUNCTION("""COMPUTED_VALUE"""),-0.936852220411019)</f>
        <v>-0.93685222041101901</v>
      </c>
      <c r="LS32" s="3">
        <f ca="1">IFERROR(__xludf.DUMMYFUNCTION("""COMPUTED_VALUE"""),-0.923338773793444)</f>
        <v>-0.92333877379344398</v>
      </c>
      <c r="LT32" s="3">
        <f ca="1">IFERROR(__xludf.DUMMYFUNCTION("""COMPUTED_VALUE"""),-0.941736773419259)</f>
        <v>-0.94173677341925899</v>
      </c>
      <c r="LU32" s="3">
        <f ca="1">IFERROR(__xludf.DUMMYFUNCTION("""COMPUTED_VALUE"""),-0.949710236964395)</f>
        <v>-0.94971023696439505</v>
      </c>
      <c r="LV32" s="3">
        <f ca="1">IFERROR(__xludf.DUMMYFUNCTION("""COMPUTED_VALUE"""),-0.953837053293757)</f>
        <v>-0.95383705329375701</v>
      </c>
      <c r="LW32" s="3">
        <f ca="1">IFERROR(__xludf.DUMMYFUNCTION("""COMPUTED_VALUE"""),-0.966941375210378)</f>
        <v>-0.96694137521037804</v>
      </c>
      <c r="LX32" s="3">
        <f ca="1">IFERROR(__xludf.DUMMYFUNCTION("""COMPUTED_VALUE"""),-0.945446132933447)</f>
        <v>-0.94544613293344704</v>
      </c>
      <c r="LY32" s="3">
        <f ca="1">IFERROR(__xludf.DUMMYFUNCTION("""COMPUTED_VALUE"""),-0.972893212003827)</f>
        <v>-0.97289321200382695</v>
      </c>
      <c r="LZ32" s="3">
        <f ca="1">IFERROR(__xludf.DUMMYFUNCTION("""COMPUTED_VALUE"""),-0.958279557833727)</f>
        <v>-0.95827955783372698</v>
      </c>
      <c r="MA32" s="3">
        <f ca="1">IFERROR(__xludf.DUMMYFUNCTION("""COMPUTED_VALUE"""),-0.971868907239276)</f>
        <v>-0.97186890723927599</v>
      </c>
      <c r="MB32" s="3">
        <f ca="1">IFERROR(__xludf.DUMMYFUNCTION("""COMPUTED_VALUE"""),-0.966439858088629)</f>
        <v>-0.96643985808862898</v>
      </c>
      <c r="MC32" s="3">
        <f ca="1">IFERROR(__xludf.DUMMYFUNCTION("""COMPUTED_VALUE"""),-0.957351435785996)</f>
        <v>-0.95735143578599602</v>
      </c>
      <c r="MD32" s="3">
        <f ca="1">IFERROR(__xludf.DUMMYFUNCTION("""COMPUTED_VALUE"""),-0.969430964431559)</f>
        <v>-0.96943096443155896</v>
      </c>
      <c r="ME32" s="3">
        <f ca="1">IFERROR(__xludf.DUMMYFUNCTION("""COMPUTED_VALUE"""),-0.957002163098214)</f>
        <v>-0.95700216309821395</v>
      </c>
      <c r="MF32" s="3">
        <f ca="1">IFERROR(__xludf.DUMMYFUNCTION("""COMPUTED_VALUE"""),-0.961964717293742)</f>
        <v>-0.961964717293742</v>
      </c>
      <c r="MG32" s="3">
        <f ca="1">IFERROR(__xludf.DUMMYFUNCTION("""COMPUTED_VALUE"""),-0.955374867508783)</f>
        <v>-0.95537486750878298</v>
      </c>
      <c r="MH32" s="3">
        <f ca="1">IFERROR(__xludf.DUMMYFUNCTION("""COMPUTED_VALUE"""),-0.969290756839568)</f>
        <v>-0.969290756839568</v>
      </c>
      <c r="MI32" s="3">
        <f ca="1">IFERROR(__xludf.DUMMYFUNCTION("""COMPUTED_VALUE"""),-0.977356378884056)</f>
        <v>-0.97735637888405602</v>
      </c>
      <c r="MJ32" s="3">
        <f ca="1">IFERROR(__xludf.DUMMYFUNCTION("""COMPUTED_VALUE"""),-0.957245896816662)</f>
        <v>-0.95724589681666195</v>
      </c>
      <c r="MK32" s="3">
        <f ca="1">IFERROR(__xludf.DUMMYFUNCTION("""COMPUTED_VALUE"""),-0.970523390173344)</f>
        <v>-0.97052339017334399</v>
      </c>
      <c r="ML32" s="3">
        <f ca="1">IFERROR(__xludf.DUMMYFUNCTION("""COMPUTED_VALUE"""),-0.952927386669147)</f>
        <v>-0.952927386669147</v>
      </c>
      <c r="MM32" s="3">
        <f ca="1">IFERROR(__xludf.DUMMYFUNCTION("""COMPUTED_VALUE"""),-0.970909055822039)</f>
        <v>-0.97090905582203901</v>
      </c>
      <c r="MN32" s="3">
        <f ca="1">IFERROR(__xludf.DUMMYFUNCTION("""COMPUTED_VALUE"""),-0.962283922519344)</f>
        <v>-0.96228392251934403</v>
      </c>
      <c r="MO32" s="3">
        <f ca="1">IFERROR(__xludf.DUMMYFUNCTION("""COMPUTED_VALUE"""),-0.970322174912028)</f>
        <v>-0.97032217491202799</v>
      </c>
      <c r="MP32" s="3">
        <f ca="1">IFERROR(__xludf.DUMMYFUNCTION("""COMPUTED_VALUE"""),-0.967588674840897)</f>
        <v>-0.96758867484089695</v>
      </c>
      <c r="MQ32" s="3">
        <f ca="1">IFERROR(__xludf.DUMMYFUNCTION("""COMPUTED_VALUE"""),-0.962938384215857)</f>
        <v>-0.96293838421585698</v>
      </c>
      <c r="MR32" s="3">
        <f ca="1">IFERROR(__xludf.DUMMYFUNCTION("""COMPUTED_VALUE"""),-0.966816275889267)</f>
        <v>-0.966816275889267</v>
      </c>
      <c r="MS32" s="3">
        <f ca="1">IFERROR(__xludf.DUMMYFUNCTION("""COMPUTED_VALUE"""),-0.956941330186824)</f>
        <v>-0.95694133018682404</v>
      </c>
      <c r="MT32" s="3">
        <f ca="1">IFERROR(__xludf.DUMMYFUNCTION("""COMPUTED_VALUE"""),-0.970532536280741)</f>
        <v>-0.97053253628074099</v>
      </c>
      <c r="MU32" s="3">
        <f ca="1">IFERROR(__xludf.DUMMYFUNCTION("""COMPUTED_VALUE"""),-0.95840955678756)</f>
        <v>-0.95840955678756001</v>
      </c>
      <c r="MV32" s="3">
        <f ca="1">IFERROR(__xludf.DUMMYFUNCTION("""COMPUTED_VALUE"""),-0.965040083096135)</f>
        <v>-0.96504008309613498</v>
      </c>
      <c r="MW32" s="3">
        <f ca="1">IFERROR(__xludf.DUMMYFUNCTION("""COMPUTED_VALUE"""),-0.948429680097871)</f>
        <v>-0.94842968009787099</v>
      </c>
      <c r="MX32" s="3">
        <f ca="1">IFERROR(__xludf.DUMMYFUNCTION("""COMPUTED_VALUE"""),-0.970292778186924)</f>
        <v>-0.97029277818692405</v>
      </c>
      <c r="MY32" s="3">
        <f ca="1">IFERROR(__xludf.DUMMYFUNCTION("""COMPUTED_VALUE"""),-0.961338369176616)</f>
        <v>-0.96133836917661597</v>
      </c>
      <c r="MZ32" s="3">
        <f ca="1">IFERROR(__xludf.DUMMYFUNCTION("""COMPUTED_VALUE"""),-0.96365063032367)</f>
        <v>-0.96365063032367004</v>
      </c>
      <c r="NA32" s="3">
        <f ca="1">IFERROR(__xludf.DUMMYFUNCTION("""COMPUTED_VALUE"""),-0.95137351803447)</f>
        <v>-0.95137351803447001</v>
      </c>
      <c r="NB32" s="3">
        <f ca="1">IFERROR(__xludf.DUMMYFUNCTION("""COMPUTED_VALUE"""),-0.940684844913718)</f>
        <v>-0.94068484491371795</v>
      </c>
      <c r="NC32" s="3">
        <f ca="1">IFERROR(__xludf.DUMMYFUNCTION("""COMPUTED_VALUE"""),-0.95430660139757)</f>
        <v>-0.95430660139756995</v>
      </c>
      <c r="ND32" s="3">
        <f ca="1">IFERROR(__xludf.DUMMYFUNCTION("""COMPUTED_VALUE"""),-0.951983027530605)</f>
        <v>-0.95198302753060504</v>
      </c>
      <c r="NE32" s="3">
        <f ca="1">IFERROR(__xludf.DUMMYFUNCTION("""COMPUTED_VALUE"""),-0.958910940901805)</f>
        <v>-0.95891094090180495</v>
      </c>
      <c r="NF32" s="3">
        <f ca="1">IFERROR(__xludf.DUMMYFUNCTION("""COMPUTED_VALUE"""),-0.957577037898194)</f>
        <v>-0.95757703789819404</v>
      </c>
      <c r="NG32" s="3">
        <f ca="1">IFERROR(__xludf.DUMMYFUNCTION("""COMPUTED_VALUE"""),-0.929803897254735)</f>
        <v>-0.929803897254735</v>
      </c>
      <c r="NH32" s="3">
        <f ca="1">IFERROR(__xludf.DUMMYFUNCTION("""COMPUTED_VALUE"""),-0.914226360639576)</f>
        <v>-0.91422636063957596</v>
      </c>
      <c r="NI32" s="3">
        <f ca="1">IFERROR(__xludf.DUMMYFUNCTION("""COMPUTED_VALUE"""),-0.944343237812891)</f>
        <v>-0.94434323781289098</v>
      </c>
      <c r="NJ32" s="3">
        <f ca="1">IFERROR(__xludf.DUMMYFUNCTION("""COMPUTED_VALUE"""),-0.930537865709919)</f>
        <v>-0.93053786570991903</v>
      </c>
      <c r="NK32" s="3">
        <f ca="1">IFERROR(__xludf.DUMMYFUNCTION("""COMPUTED_VALUE"""),-0.939881460950626)</f>
        <v>-0.93988146095062597</v>
      </c>
      <c r="NL32" s="3">
        <f ca="1">IFERROR(__xludf.DUMMYFUNCTION("""COMPUTED_VALUE"""),-0.93739760008429)</f>
        <v>-0.93739760008428996</v>
      </c>
      <c r="NM32" s="3">
        <f ca="1">IFERROR(__xludf.DUMMYFUNCTION("""COMPUTED_VALUE"""),-0.934080189874465)</f>
        <v>-0.93408018987446495</v>
      </c>
      <c r="NN32" s="3">
        <f ca="1">IFERROR(__xludf.DUMMYFUNCTION("""COMPUTED_VALUE"""),-0.944714397795926)</f>
        <v>-0.94471439779592603</v>
      </c>
      <c r="NO32" s="3">
        <f ca="1">IFERROR(__xludf.DUMMYFUNCTION("""COMPUTED_VALUE"""),-0.910903090727491)</f>
        <v>-0.91090309072749098</v>
      </c>
      <c r="NP32" s="3">
        <f ca="1">IFERROR(__xludf.DUMMYFUNCTION("""COMPUTED_VALUE"""),-0.892251951317036)</f>
        <v>-0.89225195131703605</v>
      </c>
      <c r="NQ32" s="3">
        <f ca="1">IFERROR(__xludf.DUMMYFUNCTION("""COMPUTED_VALUE"""),-0.930867484965752)</f>
        <v>-0.930867484965752</v>
      </c>
      <c r="NR32" s="3">
        <f ca="1">IFERROR(__xludf.DUMMYFUNCTION("""COMPUTED_VALUE"""),-0.940767727542924)</f>
        <v>-0.94076772754292404</v>
      </c>
      <c r="NS32" s="3">
        <f ca="1">IFERROR(__xludf.DUMMYFUNCTION("""COMPUTED_VALUE"""),-0.918973340734859)</f>
        <v>-0.91897334073485903</v>
      </c>
      <c r="NT32" s="3">
        <f ca="1">IFERROR(__xludf.DUMMYFUNCTION("""COMPUTED_VALUE"""),-0.914075609717025)</f>
        <v>-0.91407560971702495</v>
      </c>
      <c r="NU32" s="3">
        <f ca="1">IFERROR(__xludf.DUMMYFUNCTION("""COMPUTED_VALUE"""),-0.938322234300789)</f>
        <v>-0.93832223430078898</v>
      </c>
      <c r="NV32" s="3">
        <f ca="1">IFERROR(__xludf.DUMMYFUNCTION("""COMPUTED_VALUE"""),-0.847584210366942)</f>
        <v>-0.84758421036694198</v>
      </c>
      <c r="NW32" s="3">
        <f ca="1">IFERROR(__xludf.DUMMYFUNCTION("""COMPUTED_VALUE"""),-0.856482591884556)</f>
        <v>-0.856482591884556</v>
      </c>
      <c r="NX32" s="3">
        <f ca="1">IFERROR(__xludf.DUMMYFUNCTION("""COMPUTED_VALUE"""),-0.868646459776801)</f>
        <v>-0.86864645977680099</v>
      </c>
      <c r="NY32" s="3">
        <f ca="1">IFERROR(__xludf.DUMMYFUNCTION("""COMPUTED_VALUE"""),-0.872364753589564)</f>
        <v>-0.872364753589564</v>
      </c>
      <c r="NZ32" s="3">
        <f ca="1">IFERROR(__xludf.DUMMYFUNCTION("""COMPUTED_VALUE"""),-0.81447628908547)</f>
        <v>-0.81447628908546998</v>
      </c>
      <c r="OA32" s="3">
        <f ca="1">IFERROR(__xludf.DUMMYFUNCTION("""COMPUTED_VALUE"""),-0.753325041200793)</f>
        <v>-0.75332504120079302</v>
      </c>
      <c r="OB32" s="3">
        <f ca="1">IFERROR(__xludf.DUMMYFUNCTION("""COMPUTED_VALUE"""),-0.640265665668387)</f>
        <v>-0.64026566566838705</v>
      </c>
      <c r="OC32" s="3">
        <f ca="1">IFERROR(__xludf.DUMMYFUNCTION("""COMPUTED_VALUE"""),-0.371632899309218)</f>
        <v>-0.371632899309218</v>
      </c>
      <c r="OD32" s="3">
        <f ca="1">IFERROR(__xludf.DUMMYFUNCTION("""COMPUTED_VALUE"""),-0.31142884257891)</f>
        <v>-0.31142884257891001</v>
      </c>
      <c r="OE32" s="3">
        <f ca="1">IFERROR(__xludf.DUMMYFUNCTION("""COMPUTED_VALUE"""),-0.226575437283468)</f>
        <v>-0.22657543728346799</v>
      </c>
      <c r="OF32" s="3">
        <f ca="1">IFERROR(__xludf.DUMMYFUNCTION("""COMPUTED_VALUE"""),-0.186952975034872)</f>
        <v>-0.18695297503487199</v>
      </c>
      <c r="OG32" s="3">
        <f ca="1">IFERROR(__xludf.DUMMYFUNCTION("""COMPUTED_VALUE"""),-0.209173679855017)</f>
        <v>-0.209173679855017</v>
      </c>
      <c r="OH32" s="3">
        <f ca="1">IFERROR(__xludf.DUMMYFUNCTION("""COMPUTED_VALUE"""),-0.184587714645142)</f>
        <v>-0.18458771464514201</v>
      </c>
      <c r="OI32" s="3">
        <f ca="1">IFERROR(__xludf.DUMMYFUNCTION("""COMPUTED_VALUE"""),-0.225286678324417)</f>
        <v>-0.22528667832441701</v>
      </c>
      <c r="OJ32" s="3">
        <f ca="1">IFERROR(__xludf.DUMMYFUNCTION("""COMPUTED_VALUE"""),-0.138650245647673)</f>
        <v>-0.138650245647673</v>
      </c>
      <c r="OK32" s="3">
        <f ca="1">IFERROR(__xludf.DUMMYFUNCTION("""COMPUTED_VALUE"""),0.086042103230177)</f>
        <v>8.6042103230176997E-2</v>
      </c>
      <c r="OL32" s="3">
        <f ca="1">IFERROR(__xludf.DUMMYFUNCTION("""COMPUTED_VALUE"""),0.0882124437087787)</f>
        <v>8.8212443708778704E-2</v>
      </c>
      <c r="OM32" s="3">
        <f ca="1">IFERROR(__xludf.DUMMYFUNCTION("""COMPUTED_VALUE"""),-0.121080346865234)</f>
        <v>-0.121080346865234</v>
      </c>
      <c r="ON32" s="3">
        <f ca="1">IFERROR(__xludf.DUMMYFUNCTION("""COMPUTED_VALUE"""),-0.0680993783456671)</f>
        <v>-6.8099378345667094E-2</v>
      </c>
      <c r="OO32" s="3">
        <f ca="1">IFERROR(__xludf.DUMMYFUNCTION("""COMPUTED_VALUE"""),0.0137122892970804)</f>
        <v>1.3712289297080399E-2</v>
      </c>
      <c r="OP32" s="3">
        <f ca="1">IFERROR(__xludf.DUMMYFUNCTION("""COMPUTED_VALUE"""),-0.018087904341099)</f>
        <v>-1.8087904341099002E-2</v>
      </c>
      <c r="OQ32" s="3">
        <f ca="1">IFERROR(__xludf.DUMMYFUNCTION("""COMPUTED_VALUE"""),0.144184204526048)</f>
        <v>0.14418420452604799</v>
      </c>
      <c r="OR32" s="3">
        <f ca="1">IFERROR(__xludf.DUMMYFUNCTION("""COMPUTED_VALUE"""),0.210667128094055)</f>
        <v>0.210667128094055</v>
      </c>
      <c r="OS32" s="3">
        <f ca="1">IFERROR(__xludf.DUMMYFUNCTION("""COMPUTED_VALUE"""),0.147204871236653)</f>
        <v>0.14720487123665299</v>
      </c>
      <c r="OT32" s="3">
        <f ca="1">IFERROR(__xludf.DUMMYFUNCTION("""COMPUTED_VALUE"""),0.0429865000485962)</f>
        <v>4.29865000485962E-2</v>
      </c>
      <c r="OU32" s="3">
        <f ca="1">IFERROR(__xludf.DUMMYFUNCTION("""COMPUTED_VALUE"""),-0.139448242502944)</f>
        <v>-0.13944824250294399</v>
      </c>
      <c r="OV32" s="3">
        <f ca="1">IFERROR(__xludf.DUMMYFUNCTION("""COMPUTED_VALUE"""),-0.316025802317118)</f>
        <v>-0.31602580231711802</v>
      </c>
      <c r="OW32" s="3">
        <f ca="1">IFERROR(__xludf.DUMMYFUNCTION("""COMPUTED_VALUE"""),-0.39570218717147)</f>
        <v>-0.39570218717146999</v>
      </c>
      <c r="OX32" s="3">
        <f ca="1">IFERROR(__xludf.DUMMYFUNCTION("""COMPUTED_VALUE"""),-0.230920079498598)</f>
        <v>-0.230920079498598</v>
      </c>
      <c r="OY32" s="3">
        <f ca="1">IFERROR(__xludf.DUMMYFUNCTION("""COMPUTED_VALUE"""),-0.176379769428714)</f>
        <v>-0.176379769428714</v>
      </c>
      <c r="OZ32" s="3">
        <f ca="1">IFERROR(__xludf.DUMMYFUNCTION("""COMPUTED_VALUE"""),-0.0447111660845754)</f>
        <v>-4.4711166084575399E-2</v>
      </c>
      <c r="PA32" s="3">
        <f ca="1">IFERROR(__xludf.DUMMYFUNCTION("""COMPUTED_VALUE"""),0.0043593160648665)</f>
        <v>4.3593160648665004E-3</v>
      </c>
      <c r="PB32" s="3">
        <f ca="1">IFERROR(__xludf.DUMMYFUNCTION("""COMPUTED_VALUE"""),-0.0667574569815829)</f>
        <v>-6.6757456981582905E-2</v>
      </c>
      <c r="PC32" s="3">
        <f ca="1">IFERROR(__xludf.DUMMYFUNCTION("""COMPUTED_VALUE"""),0.0614355965037096)</f>
        <v>6.1435596503709597E-2</v>
      </c>
      <c r="PD32" s="3">
        <f ca="1">IFERROR(__xludf.DUMMYFUNCTION("""COMPUTED_VALUE"""),0.0525865338226232)</f>
        <v>5.2586533822623197E-2</v>
      </c>
      <c r="PE32" s="3">
        <f ca="1">IFERROR(__xludf.DUMMYFUNCTION("""COMPUTED_VALUE"""),0.0888636540423626)</f>
        <v>8.88636540423626E-2</v>
      </c>
      <c r="PF32" s="3">
        <f ca="1">IFERROR(__xludf.DUMMYFUNCTION("""COMPUTED_VALUE"""),0.215943592720047)</f>
        <v>0.21594359272004701</v>
      </c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</row>
    <row r="33" spans="1:594" ht="15.75" customHeight="1">
      <c r="A33" s="1" t="str">
        <f ca="1">IFERROR(__xludf.DUMMYFUNCTION("""COMPUTED_VALUE"""),"Kamloops")</f>
        <v>Kamloops</v>
      </c>
      <c r="B33" s="3">
        <f ca="1">IFERROR(__xludf.DUMMYFUNCTION("""COMPUTED_VALUE"""),-0.613917229546072)</f>
        <v>-0.61391722954607197</v>
      </c>
      <c r="C33" s="3">
        <f ca="1">IFERROR(__xludf.DUMMYFUNCTION("""COMPUTED_VALUE"""),-0.555786895872693)</f>
        <v>-0.55578689587269303</v>
      </c>
      <c r="D33" s="3">
        <f ca="1">IFERROR(__xludf.DUMMYFUNCTION("""COMPUTED_VALUE"""),-0.636826727806831)</f>
        <v>-0.63682672780683103</v>
      </c>
      <c r="E33" s="3">
        <f ca="1">IFERROR(__xludf.DUMMYFUNCTION("""COMPUTED_VALUE"""),-0.639442503975606)</f>
        <v>-0.63944250397560598</v>
      </c>
      <c r="F33" s="3">
        <f ca="1">IFERROR(__xludf.DUMMYFUNCTION("""COMPUTED_VALUE"""),-0.612523085522226)</f>
        <v>-0.61252308552222601</v>
      </c>
      <c r="G33" s="3">
        <f ca="1">IFERROR(__xludf.DUMMYFUNCTION("""COMPUTED_VALUE"""),-0.675623248772625)</f>
        <v>-0.67562324877262503</v>
      </c>
      <c r="H33" s="3">
        <f ca="1">IFERROR(__xludf.DUMMYFUNCTION("""COMPUTED_VALUE"""),-0.683132636522098)</f>
        <v>-0.68313263652209799</v>
      </c>
      <c r="I33" s="3">
        <f ca="1">IFERROR(__xludf.DUMMYFUNCTION("""COMPUTED_VALUE"""),-0.63887704377294)</f>
        <v>-0.63887704377293997</v>
      </c>
      <c r="J33" s="3">
        <f ca="1">IFERROR(__xludf.DUMMYFUNCTION("""COMPUTED_VALUE"""),-0.595319049479851)</f>
        <v>-0.59531904947985104</v>
      </c>
      <c r="K33" s="3">
        <f ca="1">IFERROR(__xludf.DUMMYFUNCTION("""COMPUTED_VALUE"""),-0.598787601651823)</f>
        <v>-0.59878760165182299</v>
      </c>
      <c r="L33" s="3">
        <f ca="1">IFERROR(__xludf.DUMMYFUNCTION("""COMPUTED_VALUE"""),-0.651214181744169)</f>
        <v>-0.65121418174416901</v>
      </c>
      <c r="M33" s="3">
        <f ca="1">IFERROR(__xludf.DUMMYFUNCTION("""COMPUTED_VALUE"""),-0.655990928334564)</f>
        <v>-0.65599092833456396</v>
      </c>
      <c r="N33" s="3">
        <f ca="1">IFERROR(__xludf.DUMMYFUNCTION("""COMPUTED_VALUE"""),-0.637954495690848)</f>
        <v>-0.63795449569084794</v>
      </c>
      <c r="O33" s="3">
        <f ca="1">IFERROR(__xludf.DUMMYFUNCTION("""COMPUTED_VALUE"""),-0.639557422000215)</f>
        <v>-0.63955742200021504</v>
      </c>
      <c r="P33" s="3">
        <f ca="1">IFERROR(__xludf.DUMMYFUNCTION("""COMPUTED_VALUE"""),-0.588136597793008)</f>
        <v>-0.58813659779300798</v>
      </c>
      <c r="Q33" s="3">
        <f ca="1">IFERROR(__xludf.DUMMYFUNCTION("""COMPUTED_VALUE"""),-0.59851864427136)</f>
        <v>-0.59851864427136003</v>
      </c>
      <c r="R33" s="3">
        <f ca="1">IFERROR(__xludf.DUMMYFUNCTION("""COMPUTED_VALUE"""),-0.628420258526567)</f>
        <v>-0.62842025852656702</v>
      </c>
      <c r="S33" s="3">
        <f ca="1">IFERROR(__xludf.DUMMYFUNCTION("""COMPUTED_VALUE"""),-0.62904294240796)</f>
        <v>-0.62904294240795999</v>
      </c>
      <c r="T33" s="3">
        <f ca="1">IFERROR(__xludf.DUMMYFUNCTION("""COMPUTED_VALUE"""),-0.615370063229681)</f>
        <v>-0.61537006322968102</v>
      </c>
      <c r="U33" s="3">
        <f ca="1">IFERROR(__xludf.DUMMYFUNCTION("""COMPUTED_VALUE"""),-0.634313687749141)</f>
        <v>-0.63431368774914099</v>
      </c>
      <c r="V33" s="3">
        <f ca="1">IFERROR(__xludf.DUMMYFUNCTION("""COMPUTED_VALUE"""),-0.592534873462925)</f>
        <v>-0.59253487346292499</v>
      </c>
      <c r="W33" s="3">
        <f ca="1">IFERROR(__xludf.DUMMYFUNCTION("""COMPUTED_VALUE"""),-0.58347257732897)</f>
        <v>-0.58347257732896995</v>
      </c>
      <c r="X33" s="3">
        <f ca="1">IFERROR(__xludf.DUMMYFUNCTION("""COMPUTED_VALUE"""),-0.621783799508402)</f>
        <v>-0.62178379950840201</v>
      </c>
      <c r="Y33" s="3">
        <f ca="1">IFERROR(__xludf.DUMMYFUNCTION("""COMPUTED_VALUE"""),-0.636534521883516)</f>
        <v>-0.636534521883516</v>
      </c>
      <c r="Z33" s="3">
        <f ca="1">IFERROR(__xludf.DUMMYFUNCTION("""COMPUTED_VALUE"""),-0.633163827242212)</f>
        <v>-0.63316382724221199</v>
      </c>
      <c r="AA33" s="3">
        <f ca="1">IFERROR(__xludf.DUMMYFUNCTION("""COMPUTED_VALUE"""),-0.644579320999596)</f>
        <v>-0.64457932099959603</v>
      </c>
      <c r="AB33" s="3">
        <f ca="1">IFERROR(__xludf.DUMMYFUNCTION("""COMPUTED_VALUE"""),-0.611562819169207)</f>
        <v>-0.61156281916920696</v>
      </c>
      <c r="AC33" s="3">
        <f ca="1">IFERROR(__xludf.DUMMYFUNCTION("""COMPUTED_VALUE"""),-0.596148623136328)</f>
        <v>-0.59614862313632799</v>
      </c>
      <c r="AD33" s="3">
        <f ca="1">IFERROR(__xludf.DUMMYFUNCTION("""COMPUTED_VALUE"""),-0.584944989156025)</f>
        <v>-0.584944989156025</v>
      </c>
      <c r="AE33" s="3">
        <f ca="1">IFERROR(__xludf.DUMMYFUNCTION("""COMPUTED_VALUE"""),-0.599979793089295)</f>
        <v>-0.59997979308929505</v>
      </c>
      <c r="AF33" s="3">
        <f ca="1">IFERROR(__xludf.DUMMYFUNCTION("""COMPUTED_VALUE"""),-0.616199559775142)</f>
        <v>-0.61619955977514196</v>
      </c>
      <c r="AG33" s="3">
        <f ca="1">IFERROR(__xludf.DUMMYFUNCTION("""COMPUTED_VALUE"""),-0.653082356470275)</f>
        <v>-0.65308235647027502</v>
      </c>
      <c r="AH33" s="3">
        <f ca="1">IFERROR(__xludf.DUMMYFUNCTION("""COMPUTED_VALUE"""),-0.631116904279045)</f>
        <v>-0.63111690427904499</v>
      </c>
      <c r="AI33" s="3">
        <f ca="1">IFERROR(__xludf.DUMMYFUNCTION("""COMPUTED_VALUE"""),-0.634415722234508)</f>
        <v>-0.63441572223450804</v>
      </c>
      <c r="AJ33" s="3">
        <f ca="1">IFERROR(__xludf.DUMMYFUNCTION("""COMPUTED_VALUE"""),-0.607460100658697)</f>
        <v>-0.60746010065869704</v>
      </c>
      <c r="AK33" s="3">
        <f ca="1">IFERROR(__xludf.DUMMYFUNCTION("""COMPUTED_VALUE"""),-0.569641026228547)</f>
        <v>-0.56964102622854695</v>
      </c>
      <c r="AL33" s="3">
        <f ca="1">IFERROR(__xludf.DUMMYFUNCTION("""COMPUTED_VALUE"""),-0.630705397378057)</f>
        <v>-0.63070539737805698</v>
      </c>
      <c r="AM33" s="3">
        <f ca="1">IFERROR(__xludf.DUMMYFUNCTION("""COMPUTED_VALUE"""),-0.666943836449901)</f>
        <v>-0.66694383644990096</v>
      </c>
      <c r="AN33" s="3">
        <f ca="1">IFERROR(__xludf.DUMMYFUNCTION("""COMPUTED_VALUE"""),-0.65576079624144)</f>
        <v>-0.65576079624144001</v>
      </c>
      <c r="AO33" s="3">
        <f ca="1">IFERROR(__xludf.DUMMYFUNCTION("""COMPUTED_VALUE"""),-0.654241045504542)</f>
        <v>-0.65424104550454198</v>
      </c>
      <c r="AP33" s="3">
        <f ca="1">IFERROR(__xludf.DUMMYFUNCTION("""COMPUTED_VALUE"""),-0.62753732495768)</f>
        <v>-0.62753732495768</v>
      </c>
      <c r="AQ33" s="3">
        <f ca="1">IFERROR(__xludf.DUMMYFUNCTION("""COMPUTED_VALUE"""),-0.616066269770077)</f>
        <v>-0.61606626977007695</v>
      </c>
      <c r="AR33" s="3">
        <f ca="1">IFERROR(__xludf.DUMMYFUNCTION("""COMPUTED_VALUE"""),-0.585768502840728)</f>
        <v>-0.58576850284072801</v>
      </c>
      <c r="AS33" s="3">
        <f ca="1">IFERROR(__xludf.DUMMYFUNCTION("""COMPUTED_VALUE"""),-0.633903555447014)</f>
        <v>-0.63390355544701404</v>
      </c>
      <c r="AT33" s="3">
        <f ca="1">IFERROR(__xludf.DUMMYFUNCTION("""COMPUTED_VALUE"""),-0.665446914679509)</f>
        <v>-0.66544691467950901</v>
      </c>
      <c r="AU33" s="3">
        <f ca="1">IFERROR(__xludf.DUMMYFUNCTION("""COMPUTED_VALUE"""),-0.615909546803587)</f>
        <v>-0.615909546803587</v>
      </c>
      <c r="AV33" s="3">
        <f ca="1">IFERROR(__xludf.DUMMYFUNCTION("""COMPUTED_VALUE"""),-0.629102097466163)</f>
        <v>-0.62910209746616297</v>
      </c>
      <c r="AW33" s="3">
        <f ca="1">IFERROR(__xludf.DUMMYFUNCTION("""COMPUTED_VALUE"""),-0.625202076893169)</f>
        <v>-0.62520207689316898</v>
      </c>
      <c r="AX33" s="3">
        <f ca="1">IFERROR(__xludf.DUMMYFUNCTION("""COMPUTED_VALUE"""),-0.615669126344291)</f>
        <v>-0.61566912634429105</v>
      </c>
      <c r="AY33" s="3">
        <f ca="1">IFERROR(__xludf.DUMMYFUNCTION("""COMPUTED_VALUE"""),-0.565250462445785)</f>
        <v>-0.56525046244578503</v>
      </c>
      <c r="AZ33" s="3">
        <f ca="1">IFERROR(__xludf.DUMMYFUNCTION("""COMPUTED_VALUE"""),-0.630443735218189)</f>
        <v>-0.63044373521818897</v>
      </c>
      <c r="BA33" s="3">
        <f ca="1">IFERROR(__xludf.DUMMYFUNCTION("""COMPUTED_VALUE"""),-0.649292140256245)</f>
        <v>-0.64929214025624504</v>
      </c>
      <c r="BB33" s="3">
        <f ca="1">IFERROR(__xludf.DUMMYFUNCTION("""COMPUTED_VALUE"""),-0.638359528307042)</f>
        <v>-0.63835952830704201</v>
      </c>
      <c r="BC33" s="3">
        <f ca="1">IFERROR(__xludf.DUMMYFUNCTION("""COMPUTED_VALUE"""),-0.607199037882933)</f>
        <v>-0.60719903788293295</v>
      </c>
      <c r="BD33" s="3">
        <f ca="1">IFERROR(__xludf.DUMMYFUNCTION("""COMPUTED_VALUE"""),-0.675693936637613)</f>
        <v>-0.67569393663761301</v>
      </c>
      <c r="BE33" s="3">
        <f ca="1">IFERROR(__xludf.DUMMYFUNCTION("""COMPUTED_VALUE"""),-0.581965826964103)</f>
        <v>-0.58196582696410304</v>
      </c>
      <c r="BF33" s="3">
        <f ca="1">IFERROR(__xludf.DUMMYFUNCTION("""COMPUTED_VALUE"""),-0.604408147900644)</f>
        <v>-0.60440814790064401</v>
      </c>
      <c r="BG33" s="3">
        <f ca="1">IFERROR(__xludf.DUMMYFUNCTION("""COMPUTED_VALUE"""),-0.660364702169637)</f>
        <v>-0.66036470216963705</v>
      </c>
      <c r="BH33" s="3">
        <f ca="1">IFERROR(__xludf.DUMMYFUNCTION("""COMPUTED_VALUE"""),-0.698082722656207)</f>
        <v>-0.69808272265620697</v>
      </c>
      <c r="BI33" s="3">
        <f ca="1">IFERROR(__xludf.DUMMYFUNCTION("""COMPUTED_VALUE"""),-0.719776731783184)</f>
        <v>-0.71977673178318402</v>
      </c>
      <c r="BJ33" s="3">
        <f ca="1">IFERROR(__xludf.DUMMYFUNCTION("""COMPUTED_VALUE"""),-0.68144534848756)</f>
        <v>-0.68144534848756</v>
      </c>
      <c r="BK33" s="3">
        <f ca="1">IFERROR(__xludf.DUMMYFUNCTION("""COMPUTED_VALUE"""),-0.637597302143003)</f>
        <v>-0.63759730214300303</v>
      </c>
      <c r="BL33" s="3">
        <f ca="1">IFERROR(__xludf.DUMMYFUNCTION("""COMPUTED_VALUE"""),-0.61209472691738)</f>
        <v>-0.61209472691737998</v>
      </c>
      <c r="BM33" s="3">
        <f ca="1">IFERROR(__xludf.DUMMYFUNCTION("""COMPUTED_VALUE"""),-0.592990709613448)</f>
        <v>-0.59299070961344802</v>
      </c>
      <c r="BN33" s="3">
        <f ca="1">IFERROR(__xludf.DUMMYFUNCTION("""COMPUTED_VALUE"""),-0.643739429105504)</f>
        <v>-0.64373942910550397</v>
      </c>
      <c r="BO33" s="3">
        <f ca="1">IFERROR(__xludf.DUMMYFUNCTION("""COMPUTED_VALUE"""),-0.673524120269726)</f>
        <v>-0.67352412026972597</v>
      </c>
      <c r="BP33" s="3">
        <f ca="1">IFERROR(__xludf.DUMMYFUNCTION("""COMPUTED_VALUE"""),-0.679281361018681)</f>
        <v>-0.67928136101868097</v>
      </c>
      <c r="BQ33" s="3">
        <f ca="1">IFERROR(__xludf.DUMMYFUNCTION("""COMPUTED_VALUE"""),-0.653756440858303)</f>
        <v>-0.65375644085830298</v>
      </c>
      <c r="BR33" s="3">
        <f ca="1">IFERROR(__xludf.DUMMYFUNCTION("""COMPUTED_VALUE"""),-0.673612646610477)</f>
        <v>-0.67361264661047704</v>
      </c>
      <c r="BS33" s="3">
        <f ca="1">IFERROR(__xludf.DUMMYFUNCTION("""COMPUTED_VALUE"""),-0.64217641859845)</f>
        <v>-0.64217641859844998</v>
      </c>
      <c r="BT33" s="3">
        <f ca="1">IFERROR(__xludf.DUMMYFUNCTION("""COMPUTED_VALUE"""),-0.621607694571434)</f>
        <v>-0.62160769457143406</v>
      </c>
      <c r="BU33" s="3">
        <f ca="1">IFERROR(__xludf.DUMMYFUNCTION("""COMPUTED_VALUE"""),-0.668086768560007)</f>
        <v>-0.66808676856000704</v>
      </c>
      <c r="BV33" s="3">
        <f ca="1">IFERROR(__xludf.DUMMYFUNCTION("""COMPUTED_VALUE"""),-0.693712057897086)</f>
        <v>-0.69371205789708601</v>
      </c>
      <c r="BW33" s="3">
        <f ca="1">IFERROR(__xludf.DUMMYFUNCTION("""COMPUTED_VALUE"""),-0.697220839868059)</f>
        <v>-0.69722083986805905</v>
      </c>
      <c r="BX33" s="3">
        <f ca="1">IFERROR(__xludf.DUMMYFUNCTION("""COMPUTED_VALUE"""),-0.691443706551677)</f>
        <v>-0.69144370655167697</v>
      </c>
      <c r="BY33" s="3">
        <f ca="1">IFERROR(__xludf.DUMMYFUNCTION("""COMPUTED_VALUE"""),-0.668529409857571)</f>
        <v>-0.66852940985757103</v>
      </c>
      <c r="BZ33" s="3">
        <f ca="1">IFERROR(__xludf.DUMMYFUNCTION("""COMPUTED_VALUE"""),-0.64518960485625)</f>
        <v>-0.64518960485624999</v>
      </c>
      <c r="CA33" s="3">
        <f ca="1">IFERROR(__xludf.DUMMYFUNCTION("""COMPUTED_VALUE"""),-0.612828501056028)</f>
        <v>-0.61282850105602804</v>
      </c>
      <c r="CB33" s="3">
        <f ca="1">IFERROR(__xludf.DUMMYFUNCTION("""COMPUTED_VALUE"""),-0.65244204912399)</f>
        <v>-0.65244204912398995</v>
      </c>
      <c r="CC33" s="3">
        <f ca="1">IFERROR(__xludf.DUMMYFUNCTION("""COMPUTED_VALUE"""),-0.699877784905246)</f>
        <v>-0.69987778490524599</v>
      </c>
      <c r="CD33" s="3">
        <f ca="1">IFERROR(__xludf.DUMMYFUNCTION("""COMPUTED_VALUE"""),-0.689142224856761)</f>
        <v>-0.68914222485676102</v>
      </c>
      <c r="CE33" s="3">
        <f ca="1">IFERROR(__xludf.DUMMYFUNCTION("""COMPUTED_VALUE"""),-0.683858400627218)</f>
        <v>-0.68385840062721803</v>
      </c>
      <c r="CF33" s="3">
        <f ca="1">IFERROR(__xludf.DUMMYFUNCTION("""COMPUTED_VALUE"""),-0.658649378642784)</f>
        <v>-0.65864937864278394</v>
      </c>
      <c r="CG33" s="3">
        <f ca="1">IFERROR(__xludf.DUMMYFUNCTION("""COMPUTED_VALUE"""),-0.640662760896979)</f>
        <v>-0.64066276089697904</v>
      </c>
      <c r="CH33" s="3">
        <f ca="1">IFERROR(__xludf.DUMMYFUNCTION("""COMPUTED_VALUE"""),-0.612967581953628)</f>
        <v>-0.61296758195362799</v>
      </c>
      <c r="CI33" s="3">
        <f ca="1">IFERROR(__xludf.DUMMYFUNCTION("""COMPUTED_VALUE"""),-0.655887419444473)</f>
        <v>-0.65588741944447304</v>
      </c>
      <c r="CJ33" s="3">
        <f ca="1">IFERROR(__xludf.DUMMYFUNCTION("""COMPUTED_VALUE"""),-0.704531657430944)</f>
        <v>-0.70453165743094404</v>
      </c>
      <c r="CK33" s="3">
        <f ca="1">IFERROR(__xludf.DUMMYFUNCTION("""COMPUTED_VALUE"""),-0.71353064599821)</f>
        <v>-0.71353064599821003</v>
      </c>
      <c r="CL33" s="3">
        <f ca="1">IFERROR(__xludf.DUMMYFUNCTION("""COMPUTED_VALUE"""),-0.702166094188563)</f>
        <v>-0.70216609418856302</v>
      </c>
      <c r="CM33" s="3">
        <f ca="1">IFERROR(__xludf.DUMMYFUNCTION("""COMPUTED_VALUE"""),-0.687084179523165)</f>
        <v>-0.68708417952316503</v>
      </c>
      <c r="CN33" s="3">
        <f ca="1">IFERROR(__xludf.DUMMYFUNCTION("""COMPUTED_VALUE"""),-0.590910590416273)</f>
        <v>-0.59091059041627303</v>
      </c>
      <c r="CO33" s="3">
        <f ca="1">IFERROR(__xludf.DUMMYFUNCTION("""COMPUTED_VALUE"""),-0.593723770388838)</f>
        <v>-0.59372377038883795</v>
      </c>
      <c r="CP33" s="3">
        <f ca="1">IFERROR(__xludf.DUMMYFUNCTION("""COMPUTED_VALUE"""),-0.614541673972765)</f>
        <v>-0.61454167397276505</v>
      </c>
      <c r="CQ33" s="3">
        <f ca="1">IFERROR(__xludf.DUMMYFUNCTION("""COMPUTED_VALUE"""),-0.638026656267163)</f>
        <v>-0.63802665626716304</v>
      </c>
      <c r="CR33" s="3">
        <f ca="1">IFERROR(__xludf.DUMMYFUNCTION("""COMPUTED_VALUE"""),-0.616438067291869)</f>
        <v>-0.61643806729186901</v>
      </c>
      <c r="CS33" s="3">
        <f ca="1">IFERROR(__xludf.DUMMYFUNCTION("""COMPUTED_VALUE"""),-0.628434399525468)</f>
        <v>-0.62843439952546798</v>
      </c>
      <c r="CT33" s="3">
        <f ca="1">IFERROR(__xludf.DUMMYFUNCTION("""COMPUTED_VALUE"""),-0.606049711432392)</f>
        <v>-0.60604971143239195</v>
      </c>
      <c r="CU33" s="3">
        <f ca="1">IFERROR(__xludf.DUMMYFUNCTION("""COMPUTED_VALUE"""),-0.568164937741423)</f>
        <v>-0.56816493774142296</v>
      </c>
      <c r="CV33" s="3">
        <f ca="1">IFERROR(__xludf.DUMMYFUNCTION("""COMPUTED_VALUE"""),-0.587592146629872)</f>
        <v>-0.58759214662987203</v>
      </c>
      <c r="CW33" s="3">
        <f ca="1">IFERROR(__xludf.DUMMYFUNCTION("""COMPUTED_VALUE"""),-0.728529493950081)</f>
        <v>-0.72852949395008104</v>
      </c>
      <c r="CX33" s="3">
        <f ca="1">IFERROR(__xludf.DUMMYFUNCTION("""COMPUTED_VALUE"""),-0.605868513078634)</f>
        <v>-0.60586851307863399</v>
      </c>
      <c r="CY33" s="3">
        <f ca="1">IFERROR(__xludf.DUMMYFUNCTION("""COMPUTED_VALUE"""),-0.469417325011033)</f>
        <v>-0.469417325011033</v>
      </c>
      <c r="CZ33" s="3">
        <f ca="1">IFERROR(__xludf.DUMMYFUNCTION("""COMPUTED_VALUE"""),-0.61465650235985)</f>
        <v>-0.61465650235985003</v>
      </c>
      <c r="DA33" s="3">
        <f ca="1">IFERROR(__xludf.DUMMYFUNCTION("""COMPUTED_VALUE"""),-0.600381682453593)</f>
        <v>-0.60038168245359302</v>
      </c>
      <c r="DB33" s="3">
        <f ca="1">IFERROR(__xludf.DUMMYFUNCTION("""COMPUTED_VALUE"""),-0.562073481154459)</f>
        <v>-0.56207348115445899</v>
      </c>
      <c r="DC33" s="3">
        <f ca="1">IFERROR(__xludf.DUMMYFUNCTION("""COMPUTED_VALUE"""),-0.524077415809319)</f>
        <v>-0.52407741580931899</v>
      </c>
      <c r="DD33" s="3">
        <f ca="1">IFERROR(__xludf.DUMMYFUNCTION("""COMPUTED_VALUE"""),-0.928454077848267)</f>
        <v>-0.92845407784826695</v>
      </c>
      <c r="DE33" s="3">
        <f ca="1">IFERROR(__xludf.DUMMYFUNCTION("""COMPUTED_VALUE"""),-0.548609375068644)</f>
        <v>-0.54860937506864405</v>
      </c>
      <c r="DF33" s="3">
        <f ca="1">IFERROR(__xludf.DUMMYFUNCTION("""COMPUTED_VALUE"""),-0.19126551560646)</f>
        <v>-0.19126551560645999</v>
      </c>
      <c r="DG33" s="3">
        <f ca="1">IFERROR(__xludf.DUMMYFUNCTION("""COMPUTED_VALUE"""),-0.38289621380606)</f>
        <v>-0.38289621380605998</v>
      </c>
      <c r="DH33" s="3">
        <f ca="1">IFERROR(__xludf.DUMMYFUNCTION("""COMPUTED_VALUE"""),-0.426629264894685)</f>
        <v>-0.426629264894685</v>
      </c>
      <c r="DI33" s="3">
        <f ca="1">IFERROR(__xludf.DUMMYFUNCTION("""COMPUTED_VALUE"""),-0.507654656306191)</f>
        <v>-0.507654656306191</v>
      </c>
      <c r="DJ33" s="3">
        <f ca="1">IFERROR(__xludf.DUMMYFUNCTION("""COMPUTED_VALUE"""),-0.542157730619142)</f>
        <v>-0.54215773061914196</v>
      </c>
      <c r="DK33" s="3">
        <f ca="1">IFERROR(__xludf.DUMMYFUNCTION("""COMPUTED_VALUE"""),-0.458559702717773)</f>
        <v>-0.45855970271777302</v>
      </c>
      <c r="DL33" s="3">
        <f ca="1">IFERROR(__xludf.DUMMYFUNCTION("""COMPUTED_VALUE"""),-0.482675600486304)</f>
        <v>-0.48267560048630398</v>
      </c>
      <c r="DM33" s="3">
        <f ca="1">IFERROR(__xludf.DUMMYFUNCTION("""COMPUTED_VALUE"""),-0.366451276666458)</f>
        <v>-0.36645127666645799</v>
      </c>
      <c r="DN33" s="3">
        <f ca="1">IFERROR(__xludf.DUMMYFUNCTION("""COMPUTED_VALUE"""),-0.470654479023194)</f>
        <v>-0.47065447902319402</v>
      </c>
      <c r="DO33" s="3">
        <f ca="1">IFERROR(__xludf.DUMMYFUNCTION("""COMPUTED_VALUE"""),-0.513302051017815)</f>
        <v>-0.51330205101781501</v>
      </c>
      <c r="DP33" s="3">
        <f ca="1">IFERROR(__xludf.DUMMYFUNCTION("""COMPUTED_VALUE"""),-0.601073258706787)</f>
        <v>-0.60107325870678696</v>
      </c>
      <c r="DQ33" s="3">
        <f ca="1">IFERROR(__xludf.DUMMYFUNCTION("""COMPUTED_VALUE"""),-0.555877064356019)</f>
        <v>-0.55587706435601902</v>
      </c>
      <c r="DR33" s="3">
        <f ca="1">IFERROR(__xludf.DUMMYFUNCTION("""COMPUTED_VALUE"""),-0.579905669033951)</f>
        <v>-0.57990566903395102</v>
      </c>
      <c r="DS33" s="3">
        <f ca="1">IFERROR(__xludf.DUMMYFUNCTION("""COMPUTED_VALUE"""),-0.533228965681586)</f>
        <v>-0.53322896568158595</v>
      </c>
      <c r="DT33" s="3">
        <f ca="1">IFERROR(__xludf.DUMMYFUNCTION("""COMPUTED_VALUE"""),-0.560816647716048)</f>
        <v>-0.560816647716048</v>
      </c>
      <c r="DU33" s="3">
        <f ca="1">IFERROR(__xludf.DUMMYFUNCTION("""COMPUTED_VALUE"""),-0.567478806995261)</f>
        <v>-0.56747880699526099</v>
      </c>
      <c r="DV33" s="3">
        <f ca="1">IFERROR(__xludf.DUMMYFUNCTION("""COMPUTED_VALUE"""),-0.600903998168019)</f>
        <v>-0.60090399816801898</v>
      </c>
      <c r="DW33" s="3">
        <f ca="1">IFERROR(__xludf.DUMMYFUNCTION("""COMPUTED_VALUE"""),-0.586378803532557)</f>
        <v>-0.586378803532557</v>
      </c>
      <c r="DX33" s="3">
        <f ca="1">IFERROR(__xludf.DUMMYFUNCTION("""COMPUTED_VALUE"""),-0.593560196426387)</f>
        <v>-0.59356019642638702</v>
      </c>
      <c r="DY33" s="3">
        <f ca="1">IFERROR(__xludf.DUMMYFUNCTION("""COMPUTED_VALUE"""),-0.611329984488096)</f>
        <v>-0.61132998448809595</v>
      </c>
      <c r="DZ33" s="3">
        <f ca="1">IFERROR(__xludf.DUMMYFUNCTION("""COMPUTED_VALUE"""),-0.604608929968918)</f>
        <v>-0.60460892996891802</v>
      </c>
      <c r="EA33" s="3">
        <f ca="1">IFERROR(__xludf.DUMMYFUNCTION("""COMPUTED_VALUE"""),-0.614945783852904)</f>
        <v>-0.61494578385290399</v>
      </c>
      <c r="EB33" s="3">
        <f ca="1">IFERROR(__xludf.DUMMYFUNCTION("""COMPUTED_VALUE"""),-0.599884635617313)</f>
        <v>-0.59988463561731298</v>
      </c>
      <c r="EC33" s="3">
        <f ca="1">IFERROR(__xludf.DUMMYFUNCTION("""COMPUTED_VALUE"""),-0.579864191419574)</f>
        <v>-0.57986419141957402</v>
      </c>
      <c r="ED33" s="3">
        <f ca="1">IFERROR(__xludf.DUMMYFUNCTION("""COMPUTED_VALUE"""),-0.62780345944604)</f>
        <v>-0.62780345944603999</v>
      </c>
      <c r="EE33" s="3">
        <f ca="1">IFERROR(__xludf.DUMMYFUNCTION("""COMPUTED_VALUE"""),-0.607933548866695)</f>
        <v>-0.60793354886669504</v>
      </c>
      <c r="EF33" s="3">
        <f ca="1">IFERROR(__xludf.DUMMYFUNCTION("""COMPUTED_VALUE"""),-0.593891693331964)</f>
        <v>-0.59389169333196401</v>
      </c>
      <c r="EG33" s="3">
        <f ca="1">IFERROR(__xludf.DUMMYFUNCTION("""COMPUTED_VALUE"""),-0.598026360147098)</f>
        <v>-0.59802636014709798</v>
      </c>
      <c r="EH33" s="3">
        <f ca="1">IFERROR(__xludf.DUMMYFUNCTION("""COMPUTED_VALUE"""),-0.617543752591577)</f>
        <v>-0.61754375259157701</v>
      </c>
      <c r="EI33" s="3">
        <f ca="1">IFERROR(__xludf.DUMMYFUNCTION("""COMPUTED_VALUE"""),-0.623828477408653)</f>
        <v>-0.62382847740865299</v>
      </c>
      <c r="EJ33" s="3">
        <f ca="1">IFERROR(__xludf.DUMMYFUNCTION("""COMPUTED_VALUE"""),-0.632262290057176)</f>
        <v>-0.63226229005717605</v>
      </c>
      <c r="EK33" s="3">
        <f ca="1">IFERROR(__xludf.DUMMYFUNCTION("""COMPUTED_VALUE"""),-0.627167281327503)</f>
        <v>-0.62716728132750299</v>
      </c>
      <c r="EL33" s="3">
        <f ca="1">IFERROR(__xludf.DUMMYFUNCTION("""COMPUTED_VALUE"""),-0.596173639431664)</f>
        <v>-0.59617363943166402</v>
      </c>
      <c r="EM33" s="3">
        <f ca="1">IFERROR(__xludf.DUMMYFUNCTION("""COMPUTED_VALUE"""),-0.634144000911911)</f>
        <v>-0.63414400091191103</v>
      </c>
      <c r="EN33" s="3">
        <f ca="1">IFERROR(__xludf.DUMMYFUNCTION("""COMPUTED_VALUE"""),-0.602360884545187)</f>
        <v>-0.60236088454518699</v>
      </c>
      <c r="EO33" s="3">
        <f ca="1">IFERROR(__xludf.DUMMYFUNCTION("""COMPUTED_VALUE"""),-0.617261995468942)</f>
        <v>-0.617261995468942</v>
      </c>
      <c r="EP33" s="3">
        <f ca="1">IFERROR(__xludf.DUMMYFUNCTION("""COMPUTED_VALUE"""),-0.647255653188201)</f>
        <v>-0.647255653188201</v>
      </c>
      <c r="EQ33" s="3">
        <f ca="1">IFERROR(__xludf.DUMMYFUNCTION("""COMPUTED_VALUE"""),-0.592263110111368)</f>
        <v>-0.59226311011136801</v>
      </c>
      <c r="ER33" s="3">
        <f ca="1">IFERROR(__xludf.DUMMYFUNCTION("""COMPUTED_VALUE"""),-0.613401281726716)</f>
        <v>-0.61340128172671604</v>
      </c>
      <c r="ES33" s="3">
        <f ca="1">IFERROR(__xludf.DUMMYFUNCTION("""COMPUTED_VALUE"""),-0.527954760085816)</f>
        <v>-0.52795476008581599</v>
      </c>
      <c r="ET33" s="3">
        <f ca="1">IFERROR(__xludf.DUMMYFUNCTION("""COMPUTED_VALUE"""),-0.585336410125493)</f>
        <v>-0.58533641012549298</v>
      </c>
      <c r="EU33" s="3">
        <f ca="1">IFERROR(__xludf.DUMMYFUNCTION("""COMPUTED_VALUE"""),-0.630936010306957)</f>
        <v>-0.63093601030695701</v>
      </c>
      <c r="EV33" s="3">
        <f ca="1">IFERROR(__xludf.DUMMYFUNCTION("""COMPUTED_VALUE"""),-0.652347064214246)</f>
        <v>-0.65234706421424604</v>
      </c>
      <c r="EW33" s="3">
        <f ca="1">IFERROR(__xludf.DUMMYFUNCTION("""COMPUTED_VALUE"""),-0.604125401265662)</f>
        <v>-0.60412540126566205</v>
      </c>
      <c r="EX33" s="3">
        <f ca="1">IFERROR(__xludf.DUMMYFUNCTION("""COMPUTED_VALUE"""),-0.601401944705469)</f>
        <v>-0.60140194470546904</v>
      </c>
      <c r="EY33" s="3">
        <f ca="1">IFERROR(__xludf.DUMMYFUNCTION("""COMPUTED_VALUE"""),-0.596929683932858)</f>
        <v>-0.59692968393285795</v>
      </c>
      <c r="EZ33" s="3">
        <f ca="1">IFERROR(__xludf.DUMMYFUNCTION("""COMPUTED_VALUE"""),-0.512353284125803)</f>
        <v>-0.51235328412580305</v>
      </c>
      <c r="FA33" s="3">
        <f ca="1">IFERROR(__xludf.DUMMYFUNCTION("""COMPUTED_VALUE"""),-0.583292619366393)</f>
        <v>-0.58329261936639298</v>
      </c>
      <c r="FB33" s="3">
        <f ca="1">IFERROR(__xludf.DUMMYFUNCTION("""COMPUTED_VALUE"""),-0.623184806171578)</f>
        <v>-0.62318480617157801</v>
      </c>
      <c r="FC33" s="3">
        <f ca="1">IFERROR(__xludf.DUMMYFUNCTION("""COMPUTED_VALUE"""),-0.615804629742809)</f>
        <v>-0.61580462974280903</v>
      </c>
      <c r="FD33" s="3">
        <f ca="1">IFERROR(__xludf.DUMMYFUNCTION("""COMPUTED_VALUE"""),-0.628281551629932)</f>
        <v>-0.62828155162993204</v>
      </c>
      <c r="FE33" s="3">
        <f ca="1">IFERROR(__xludf.DUMMYFUNCTION("""COMPUTED_VALUE"""),-0.584135012157751)</f>
        <v>-0.58413501215775099</v>
      </c>
      <c r="FF33" s="3">
        <f ca="1">IFERROR(__xludf.DUMMYFUNCTION("""COMPUTED_VALUE"""),-0.56602597605188)</f>
        <v>-0.56602597605187999</v>
      </c>
      <c r="FG33" s="3">
        <f ca="1">IFERROR(__xludf.DUMMYFUNCTION("""COMPUTED_VALUE"""),-0.510910410325754)</f>
        <v>-0.51091041032575402</v>
      </c>
      <c r="FH33" s="3">
        <f ca="1">IFERROR(__xludf.DUMMYFUNCTION("""COMPUTED_VALUE"""),-0.596519850648645)</f>
        <v>-0.59651985064864499</v>
      </c>
      <c r="FI33" s="3">
        <f ca="1">IFERROR(__xludf.DUMMYFUNCTION("""COMPUTED_VALUE"""),-0.627087930803947)</f>
        <v>-0.62708793080394698</v>
      </c>
      <c r="FJ33" s="3">
        <f ca="1">IFERROR(__xludf.DUMMYFUNCTION("""COMPUTED_VALUE"""),-0.619275936117273)</f>
        <v>-0.61927593611727305</v>
      </c>
      <c r="FK33" s="3">
        <f ca="1">IFERROR(__xludf.DUMMYFUNCTION("""COMPUTED_VALUE"""),-0.607768234303095)</f>
        <v>-0.60776823430309501</v>
      </c>
      <c r="FL33" s="3">
        <f ca="1">IFERROR(__xludf.DUMMYFUNCTION("""COMPUTED_VALUE"""),-0.605757056491248)</f>
        <v>-0.605757056491248</v>
      </c>
      <c r="FM33" s="3">
        <f ca="1">IFERROR(__xludf.DUMMYFUNCTION("""COMPUTED_VALUE"""),-0.573764806865076)</f>
        <v>-0.57376480686507603</v>
      </c>
      <c r="FN33" s="3">
        <f ca="1">IFERROR(__xludf.DUMMYFUNCTION("""COMPUTED_VALUE"""),-0.552542539870477)</f>
        <v>-0.55254253987047697</v>
      </c>
      <c r="FO33" s="3">
        <f ca="1">IFERROR(__xludf.DUMMYFUNCTION("""COMPUTED_VALUE"""),-0.574584292825799)</f>
        <v>-0.57458429282579904</v>
      </c>
      <c r="FP33" s="3">
        <f ca="1">IFERROR(__xludf.DUMMYFUNCTION("""COMPUTED_VALUE"""),-0.61482669329655)</f>
        <v>-0.61482669329655004</v>
      </c>
      <c r="FQ33" s="3">
        <f ca="1">IFERROR(__xludf.DUMMYFUNCTION("""COMPUTED_VALUE"""),-0.617821049201882)</f>
        <v>-0.61782104920188197</v>
      </c>
      <c r="FR33" s="3">
        <f ca="1">IFERROR(__xludf.DUMMYFUNCTION("""COMPUTED_VALUE"""),-0.623432318064457)</f>
        <v>-0.62343231806445698</v>
      </c>
      <c r="FS33" s="3">
        <f ca="1">IFERROR(__xludf.DUMMYFUNCTION("""COMPUTED_VALUE"""),-0.561052060465634)</f>
        <v>-0.56105206046563405</v>
      </c>
      <c r="FT33" s="3">
        <f ca="1">IFERROR(__xludf.DUMMYFUNCTION("""COMPUTED_VALUE"""),-0.562017989765801)</f>
        <v>-0.56201798976580097</v>
      </c>
      <c r="FU33" s="3">
        <f ca="1">IFERROR(__xludf.DUMMYFUNCTION("""COMPUTED_VALUE"""),-0.521199994103339)</f>
        <v>-0.52119999410333895</v>
      </c>
      <c r="FV33" s="3">
        <f ca="1">IFERROR(__xludf.DUMMYFUNCTION("""COMPUTED_VALUE"""),-0.621301062583471)</f>
        <v>-0.62130106258347095</v>
      </c>
      <c r="FW33" s="3">
        <f ca="1">IFERROR(__xludf.DUMMYFUNCTION("""COMPUTED_VALUE"""),-0.655011669819524)</f>
        <v>-0.65501166981952397</v>
      </c>
      <c r="FX33" s="3">
        <f ca="1">IFERROR(__xludf.DUMMYFUNCTION("""COMPUTED_VALUE"""),-0.655916672682897)</f>
        <v>-0.655916672682897</v>
      </c>
      <c r="FY33" s="3">
        <f ca="1">IFERROR(__xludf.DUMMYFUNCTION("""COMPUTED_VALUE"""),-0.649487556193877)</f>
        <v>-0.64948755619387699</v>
      </c>
      <c r="FZ33" s="3">
        <f ca="1">IFERROR(__xludf.DUMMYFUNCTION("""COMPUTED_VALUE"""),-0.705368194899315)</f>
        <v>-0.70536819489931502</v>
      </c>
      <c r="GA33" s="3">
        <f ca="1">IFERROR(__xludf.DUMMYFUNCTION("""COMPUTED_VALUE"""),-0.618905145882142)</f>
        <v>-0.61890514588214196</v>
      </c>
      <c r="GB33" s="3">
        <f ca="1">IFERROR(__xludf.DUMMYFUNCTION("""COMPUTED_VALUE"""),-0.584344721354076)</f>
        <v>-0.584344721354076</v>
      </c>
      <c r="GC33" s="3">
        <f ca="1">IFERROR(__xludf.DUMMYFUNCTION("""COMPUTED_VALUE"""),-0.658648394806137)</f>
        <v>-0.65864839480613702</v>
      </c>
      <c r="GD33" s="3">
        <f ca="1">IFERROR(__xludf.DUMMYFUNCTION("""COMPUTED_VALUE"""),-0.671777446497236)</f>
        <v>-0.67177744649723603</v>
      </c>
      <c r="GE33" s="3">
        <f ca="1">IFERROR(__xludf.DUMMYFUNCTION("""COMPUTED_VALUE"""),-0.640537500080804)</f>
        <v>-0.64053750008080401</v>
      </c>
      <c r="GF33" s="3">
        <f ca="1">IFERROR(__xludf.DUMMYFUNCTION("""COMPUTED_VALUE"""),-0.625472533093824)</f>
        <v>-0.625472533093824</v>
      </c>
      <c r="GG33" s="3">
        <f ca="1">IFERROR(__xludf.DUMMYFUNCTION("""COMPUTED_VALUE"""),-0.564056900619833)</f>
        <v>-0.56405690061983305</v>
      </c>
      <c r="GH33" s="3">
        <f ca="1">IFERROR(__xludf.DUMMYFUNCTION("""COMPUTED_VALUE"""),-0.566457723205441)</f>
        <v>-0.56645772320544097</v>
      </c>
      <c r="GI33" s="3">
        <f ca="1">IFERROR(__xludf.DUMMYFUNCTION("""COMPUTED_VALUE"""),-0.549046470779273)</f>
        <v>-0.54904647077927304</v>
      </c>
      <c r="GJ33" s="3">
        <f ca="1">IFERROR(__xludf.DUMMYFUNCTION("""COMPUTED_VALUE"""),-0.626122681124189)</f>
        <v>-0.62612268112418901</v>
      </c>
      <c r="GK33" s="3">
        <f ca="1">IFERROR(__xludf.DUMMYFUNCTION("""COMPUTED_VALUE"""),-0.643271053482682)</f>
        <v>-0.64327105348268199</v>
      </c>
      <c r="GL33" s="3">
        <f ca="1">IFERROR(__xludf.DUMMYFUNCTION("""COMPUTED_VALUE"""),-0.640971966493369)</f>
        <v>-0.64097196649336896</v>
      </c>
      <c r="GM33" s="3">
        <f ca="1">IFERROR(__xludf.DUMMYFUNCTION("""COMPUTED_VALUE"""),-0.636819273174972)</f>
        <v>-0.636819273174972</v>
      </c>
      <c r="GN33" s="3">
        <f ca="1">IFERROR(__xludf.DUMMYFUNCTION("""COMPUTED_VALUE"""),-0.652403681657806)</f>
        <v>-0.65240368165780604</v>
      </c>
      <c r="GO33" s="3">
        <f ca="1">IFERROR(__xludf.DUMMYFUNCTION("""COMPUTED_VALUE"""),-0.538401794249269)</f>
        <v>-0.53840179424926904</v>
      </c>
      <c r="GP33" s="3">
        <f ca="1">IFERROR(__xludf.DUMMYFUNCTION("""COMPUTED_VALUE"""),-0.560345915342954)</f>
        <v>-0.56034591534295397</v>
      </c>
      <c r="GQ33" s="3">
        <f ca="1">IFERROR(__xludf.DUMMYFUNCTION("""COMPUTED_VALUE"""),-0.600857147837464)</f>
        <v>-0.60085714783746402</v>
      </c>
      <c r="GR33" s="3">
        <f ca="1">IFERROR(__xludf.DUMMYFUNCTION("""COMPUTED_VALUE"""),-0.62221425875726)</f>
        <v>-0.62221425875726</v>
      </c>
      <c r="GS33" s="3">
        <f ca="1">IFERROR(__xludf.DUMMYFUNCTION("""COMPUTED_VALUE"""),-0.60881135687774)</f>
        <v>-0.60881135687774002</v>
      </c>
      <c r="GT33" s="3">
        <f ca="1">IFERROR(__xludf.DUMMYFUNCTION("""COMPUTED_VALUE"""),-0.620130283778088)</f>
        <v>-0.62013028377808799</v>
      </c>
      <c r="GU33" s="3">
        <f ca="1">IFERROR(__xludf.DUMMYFUNCTION("""COMPUTED_VALUE"""),-0.620623870194571)</f>
        <v>-0.62062387019457099</v>
      </c>
      <c r="GV33" s="3">
        <f ca="1">IFERROR(__xludf.DUMMYFUNCTION("""COMPUTED_VALUE"""),-0.543917442281128)</f>
        <v>-0.54391744228112804</v>
      </c>
      <c r="GW33" s="3">
        <f ca="1">IFERROR(__xludf.DUMMYFUNCTION("""COMPUTED_VALUE"""),-0.561396908002167)</f>
        <v>-0.56139690800216702</v>
      </c>
      <c r="GX33" s="3">
        <f ca="1">IFERROR(__xludf.DUMMYFUNCTION("""COMPUTED_VALUE"""),-0.619211124899991)</f>
        <v>-0.61921112489999097</v>
      </c>
      <c r="GY33" s="3">
        <f ca="1">IFERROR(__xludf.DUMMYFUNCTION("""COMPUTED_VALUE"""),-0.62800451588461)</f>
        <v>-0.62800451588461004</v>
      </c>
      <c r="GZ33" s="3">
        <f ca="1">IFERROR(__xludf.DUMMYFUNCTION("""COMPUTED_VALUE"""),-0.614874928583467)</f>
        <v>-0.61487492858346704</v>
      </c>
      <c r="HA33" s="3">
        <f ca="1">IFERROR(__xludf.DUMMYFUNCTION("""COMPUTED_VALUE"""),-0.614719318816755)</f>
        <v>-0.61471931881675501</v>
      </c>
      <c r="HB33" s="3">
        <f ca="1">IFERROR(__xludf.DUMMYFUNCTION("""COMPUTED_VALUE"""),-0.630020726654994)</f>
        <v>-0.63002072665499398</v>
      </c>
      <c r="HC33" s="3">
        <f ca="1">IFERROR(__xludf.DUMMYFUNCTION("""COMPUTED_VALUE"""),-0.533604263186455)</f>
        <v>-0.53360426318645504</v>
      </c>
      <c r="HD33" s="3">
        <f ca="1">IFERROR(__xludf.DUMMYFUNCTION("""COMPUTED_VALUE"""),-0.543271751284987)</f>
        <v>-0.54327175128498695</v>
      </c>
      <c r="HE33" s="3">
        <f ca="1">IFERROR(__xludf.DUMMYFUNCTION("""COMPUTED_VALUE"""),-0.594147474847432)</f>
        <v>-0.59414747484743202</v>
      </c>
      <c r="HF33" s="3">
        <f ca="1">IFERROR(__xludf.DUMMYFUNCTION("""COMPUTED_VALUE"""),-0.608559050554249)</f>
        <v>-0.60855905055424897</v>
      </c>
      <c r="HG33" s="3">
        <f ca="1">IFERROR(__xludf.DUMMYFUNCTION("""COMPUTED_VALUE"""),-0.632606446532975)</f>
        <v>-0.63260644653297504</v>
      </c>
      <c r="HH33" s="3">
        <f ca="1">IFERROR(__xludf.DUMMYFUNCTION("""COMPUTED_VALUE"""),-0.595240848054864)</f>
        <v>-0.59524084805486399</v>
      </c>
      <c r="HI33" s="3">
        <f ca="1">IFERROR(__xludf.DUMMYFUNCTION("""COMPUTED_VALUE"""),-0.660659264687666)</f>
        <v>-0.660659264687666</v>
      </c>
      <c r="HJ33" s="3">
        <f ca="1">IFERROR(__xludf.DUMMYFUNCTION("""COMPUTED_VALUE"""),-0.538040527184411)</f>
        <v>-0.53804052718441098</v>
      </c>
      <c r="HK33" s="3">
        <f ca="1">IFERROR(__xludf.DUMMYFUNCTION("""COMPUTED_VALUE"""),-0.547825995336108)</f>
        <v>-0.54782599533610798</v>
      </c>
      <c r="HL33" s="3">
        <f ca="1">IFERROR(__xludf.DUMMYFUNCTION("""COMPUTED_VALUE"""),-0.606754794951048)</f>
        <v>-0.606754794951048</v>
      </c>
      <c r="HM33" s="3">
        <f ca="1">IFERROR(__xludf.DUMMYFUNCTION("""COMPUTED_VALUE"""),-0.607752065657809)</f>
        <v>-0.60775206565780904</v>
      </c>
      <c r="HN33" s="3">
        <f ca="1">IFERROR(__xludf.DUMMYFUNCTION("""COMPUTED_VALUE"""),-0.597125629950443)</f>
        <v>-0.59712562995044305</v>
      </c>
      <c r="HO33" s="3">
        <f ca="1">IFERROR(__xludf.DUMMYFUNCTION("""COMPUTED_VALUE"""),-0.579133572126475)</f>
        <v>-0.57913357212647498</v>
      </c>
      <c r="HP33" s="3">
        <f ca="1">IFERROR(__xludf.DUMMYFUNCTION("""COMPUTED_VALUE"""),-0.542486108903232)</f>
        <v>-0.54248610890323201</v>
      </c>
      <c r="HQ33" s="3">
        <f ca="1">IFERROR(__xludf.DUMMYFUNCTION("""COMPUTED_VALUE"""),-0.551914181088122)</f>
        <v>-0.55191418108812196</v>
      </c>
      <c r="HR33" s="3">
        <f ca="1">IFERROR(__xludf.DUMMYFUNCTION("""COMPUTED_VALUE"""),-0.482991497860032)</f>
        <v>-0.48299149786003198</v>
      </c>
      <c r="HS33" s="3">
        <f ca="1">IFERROR(__xludf.DUMMYFUNCTION("""COMPUTED_VALUE"""),-0.525274262793031)</f>
        <v>-0.52527426279303102</v>
      </c>
      <c r="HT33" s="3">
        <f ca="1">IFERROR(__xludf.DUMMYFUNCTION("""COMPUTED_VALUE"""),-0.555494983841965)</f>
        <v>-0.55549498384196505</v>
      </c>
      <c r="HU33" s="3">
        <f ca="1">IFERROR(__xludf.DUMMYFUNCTION("""COMPUTED_VALUE"""),-0.534533840628327)</f>
        <v>-0.53453384062832698</v>
      </c>
      <c r="HV33" s="3">
        <f ca="1">IFERROR(__xludf.DUMMYFUNCTION("""COMPUTED_VALUE"""),-0.493661561806184)</f>
        <v>-0.49366156180618398</v>
      </c>
      <c r="HW33" s="3">
        <f ca="1">IFERROR(__xludf.DUMMYFUNCTION("""COMPUTED_VALUE"""),-0.447051067270769)</f>
        <v>-0.44705106727076899</v>
      </c>
      <c r="HX33" s="3">
        <f ca="1">IFERROR(__xludf.DUMMYFUNCTION("""COMPUTED_VALUE"""),-0.466961729027329)</f>
        <v>-0.46696172902732902</v>
      </c>
      <c r="HY33" s="3">
        <f ca="1">IFERROR(__xludf.DUMMYFUNCTION("""COMPUTED_VALUE"""),-0.406045345941659)</f>
        <v>-0.40604534594165897</v>
      </c>
      <c r="HZ33" s="3">
        <f ca="1">IFERROR(__xludf.DUMMYFUNCTION("""COMPUTED_VALUE"""),-0.451680823131357)</f>
        <v>-0.45168082313135699</v>
      </c>
      <c r="IA33" s="3">
        <f ca="1">IFERROR(__xludf.DUMMYFUNCTION("""COMPUTED_VALUE"""),-0.445599338469463)</f>
        <v>-0.44559933846946298</v>
      </c>
      <c r="IB33" s="3">
        <f ca="1">IFERROR(__xludf.DUMMYFUNCTION("""COMPUTED_VALUE"""),-0.429053033387121)</f>
        <v>-0.42905303338712097</v>
      </c>
      <c r="IC33" s="3">
        <f ca="1">IFERROR(__xludf.DUMMYFUNCTION("""COMPUTED_VALUE"""),-0.434059394830073)</f>
        <v>-0.434059394830073</v>
      </c>
      <c r="ID33" s="3">
        <f ca="1">IFERROR(__xludf.DUMMYFUNCTION("""COMPUTED_VALUE"""),-0.40754299176917)</f>
        <v>-0.40754299176917003</v>
      </c>
      <c r="IE33" s="3">
        <f ca="1">IFERROR(__xludf.DUMMYFUNCTION("""COMPUTED_VALUE"""),-0.420474097984799)</f>
        <v>-0.42047409798479901</v>
      </c>
      <c r="IF33" s="3">
        <f ca="1">IFERROR(__xludf.DUMMYFUNCTION("""COMPUTED_VALUE"""),-0.365290860166712)</f>
        <v>-0.36529086016671197</v>
      </c>
      <c r="IG33" s="3">
        <f ca="1">IFERROR(__xludf.DUMMYFUNCTION("""COMPUTED_VALUE"""),-0.416188746007793)</f>
        <v>-0.41618874600779299</v>
      </c>
      <c r="IH33" s="3">
        <f ca="1">IFERROR(__xludf.DUMMYFUNCTION("""COMPUTED_VALUE"""),-0.41479274167991)</f>
        <v>-0.41479274167990998</v>
      </c>
      <c r="II33" s="3">
        <f ca="1">IFERROR(__xludf.DUMMYFUNCTION("""COMPUTED_VALUE"""),-0.413229723185181)</f>
        <v>-0.41322972318518097</v>
      </c>
      <c r="IJ33" s="3">
        <f ca="1">IFERROR(__xludf.DUMMYFUNCTION("""COMPUTED_VALUE"""),-0.411543434906308)</f>
        <v>-0.41154343490630801</v>
      </c>
      <c r="IK33" s="3">
        <f ca="1">IFERROR(__xludf.DUMMYFUNCTION("""COMPUTED_VALUE"""),-0.385497914746587)</f>
        <v>-0.38549791474658701</v>
      </c>
      <c r="IL33" s="3">
        <f ca="1">IFERROR(__xludf.DUMMYFUNCTION("""COMPUTED_VALUE"""),-0.418552542035088)</f>
        <v>-0.41855254203508802</v>
      </c>
      <c r="IM33" s="3">
        <f ca="1">IFERROR(__xludf.DUMMYFUNCTION("""COMPUTED_VALUE"""),-0.368246667620323)</f>
        <v>-0.36824666762032299</v>
      </c>
      <c r="IN33" s="3">
        <f ca="1">IFERROR(__xludf.DUMMYFUNCTION("""COMPUTED_VALUE"""),-0.448464227514269)</f>
        <v>-0.44846422751426901</v>
      </c>
      <c r="IO33" s="3">
        <f ca="1">IFERROR(__xludf.DUMMYFUNCTION("""COMPUTED_VALUE"""),-0.44782644326633)</f>
        <v>-0.44782644326632998</v>
      </c>
      <c r="IP33" s="3">
        <f ca="1">IFERROR(__xludf.DUMMYFUNCTION("""COMPUTED_VALUE"""),-0.396176612641487)</f>
        <v>-0.39617661264148701</v>
      </c>
      <c r="IQ33" s="3">
        <f ca="1">IFERROR(__xludf.DUMMYFUNCTION("""COMPUTED_VALUE"""),-0.410626309001437)</f>
        <v>-0.41062630900143698</v>
      </c>
      <c r="IR33" s="3">
        <f ca="1">IFERROR(__xludf.DUMMYFUNCTION("""COMPUTED_VALUE"""),-0.437126362496113)</f>
        <v>-0.43712636249611297</v>
      </c>
      <c r="IS33" s="3">
        <f ca="1">IFERROR(__xludf.DUMMYFUNCTION("""COMPUTED_VALUE"""),-0.370016839213734)</f>
        <v>-0.37001683921373402</v>
      </c>
      <c r="IT33" s="3">
        <f ca="1">IFERROR(__xludf.DUMMYFUNCTION("""COMPUTED_VALUE"""),-0.375927726588593)</f>
        <v>-0.37592772658859303</v>
      </c>
      <c r="IU33" s="3">
        <f ca="1">IFERROR(__xludf.DUMMYFUNCTION("""COMPUTED_VALUE"""),-0.427670672827548)</f>
        <v>-0.427670672827548</v>
      </c>
      <c r="IV33" s="3">
        <f ca="1">IFERROR(__xludf.DUMMYFUNCTION("""COMPUTED_VALUE"""),-0.420898634796287)</f>
        <v>-0.42089863479628697</v>
      </c>
      <c r="IW33" s="3">
        <f ca="1">IFERROR(__xludf.DUMMYFUNCTION("""COMPUTED_VALUE"""),-0.42697509023171)</f>
        <v>-0.42697509023170999</v>
      </c>
      <c r="IX33" s="3">
        <f ca="1">IFERROR(__xludf.DUMMYFUNCTION("""COMPUTED_VALUE"""),-0.453857220896162)</f>
        <v>-0.45385722089616198</v>
      </c>
      <c r="IY33" s="3">
        <f ca="1">IFERROR(__xludf.DUMMYFUNCTION("""COMPUTED_VALUE"""),-0.42226391309183)</f>
        <v>-0.42226391309182998</v>
      </c>
      <c r="IZ33" s="3">
        <f ca="1">IFERROR(__xludf.DUMMYFUNCTION("""COMPUTED_VALUE"""),-0.357848806788011)</f>
        <v>-0.35784880678801101</v>
      </c>
      <c r="JA33" s="3">
        <f ca="1">IFERROR(__xludf.DUMMYFUNCTION("""COMPUTED_VALUE"""),-0.343620690128143)</f>
        <v>-0.343620690128143</v>
      </c>
      <c r="JB33" s="3">
        <f ca="1">IFERROR(__xludf.DUMMYFUNCTION("""COMPUTED_VALUE"""),-0.491979479459026)</f>
        <v>-0.49197947945902598</v>
      </c>
      <c r="JC33" s="3">
        <f ca="1">IFERROR(__xludf.DUMMYFUNCTION("""COMPUTED_VALUE"""),-0.451087662472167)</f>
        <v>-0.45108766247216697</v>
      </c>
      <c r="JD33" s="3">
        <f ca="1">IFERROR(__xludf.DUMMYFUNCTION("""COMPUTED_VALUE"""),-0.402407490226716)</f>
        <v>-0.40240749022671601</v>
      </c>
      <c r="JE33" s="3">
        <f ca="1">IFERROR(__xludf.DUMMYFUNCTION("""COMPUTED_VALUE"""),-0.446894728858374)</f>
        <v>-0.446894728858374</v>
      </c>
      <c r="JF33" s="3">
        <f ca="1">IFERROR(__xludf.DUMMYFUNCTION("""COMPUTED_VALUE"""),-0.41060909201589)</f>
        <v>-0.41060909201589002</v>
      </c>
      <c r="JG33" s="3">
        <f ca="1">IFERROR(__xludf.DUMMYFUNCTION("""COMPUTED_VALUE"""),-0.400269663489677)</f>
        <v>-0.40026966348967702</v>
      </c>
      <c r="JH33" s="3">
        <f ca="1">IFERROR(__xludf.DUMMYFUNCTION("""COMPUTED_VALUE"""),-0.353082946303986)</f>
        <v>-0.35308294630398601</v>
      </c>
      <c r="JI33" s="3">
        <f ca="1">IFERROR(__xludf.DUMMYFUNCTION("""COMPUTED_VALUE"""),-0.430596586304923)</f>
        <v>-0.43059658630492298</v>
      </c>
      <c r="JJ33" s="3">
        <f ca="1">IFERROR(__xludf.DUMMYFUNCTION("""COMPUTED_VALUE"""),-0.482711157481836)</f>
        <v>-0.48271115748183602</v>
      </c>
      <c r="JK33" s="3">
        <f ca="1">IFERROR(__xludf.DUMMYFUNCTION("""COMPUTED_VALUE"""),-0.457597934222944)</f>
        <v>-0.45759793422294398</v>
      </c>
      <c r="JL33" s="3">
        <f ca="1">IFERROR(__xludf.DUMMYFUNCTION("""COMPUTED_VALUE"""),-0.466918672720842)</f>
        <v>-0.46691867272084198</v>
      </c>
      <c r="JM33" s="3">
        <f ca="1">IFERROR(__xludf.DUMMYFUNCTION("""COMPUTED_VALUE"""),-0.480703143321211)</f>
        <v>-0.480703143321211</v>
      </c>
      <c r="JN33" s="3">
        <f ca="1">IFERROR(__xludf.DUMMYFUNCTION("""COMPUTED_VALUE"""),-0.486673644535908)</f>
        <v>-0.486673644535908</v>
      </c>
      <c r="JO33" s="3">
        <f ca="1">IFERROR(__xludf.DUMMYFUNCTION("""COMPUTED_VALUE"""),-0.441027422088281)</f>
        <v>-0.441027422088281</v>
      </c>
      <c r="JP33" s="3">
        <f ca="1">IFERROR(__xludf.DUMMYFUNCTION("""COMPUTED_VALUE"""),-0.457029135190375)</f>
        <v>-0.45702913519037502</v>
      </c>
      <c r="JQ33" s="3">
        <f ca="1">IFERROR(__xludf.DUMMYFUNCTION("""COMPUTED_VALUE"""),-0.482339760272217)</f>
        <v>-0.48233976027221698</v>
      </c>
      <c r="JR33" s="3">
        <f ca="1">IFERROR(__xludf.DUMMYFUNCTION("""COMPUTED_VALUE"""),-0.43692338498405)</f>
        <v>-0.43692338498404998</v>
      </c>
      <c r="JS33" s="3">
        <f ca="1">IFERROR(__xludf.DUMMYFUNCTION("""COMPUTED_VALUE"""),-0.520061614903496)</f>
        <v>-0.52006161490349601</v>
      </c>
      <c r="JT33" s="3">
        <f ca="1">IFERROR(__xludf.DUMMYFUNCTION("""COMPUTED_VALUE"""),-0.483077063118702)</f>
        <v>-0.48307706311870202</v>
      </c>
      <c r="JU33" s="3">
        <f ca="1">IFERROR(__xludf.DUMMYFUNCTION("""COMPUTED_VALUE"""),-0.424407068404096)</f>
        <v>-0.42440706840409598</v>
      </c>
      <c r="JV33" s="3">
        <f ca="1">IFERROR(__xludf.DUMMYFUNCTION("""COMPUTED_VALUE"""),-0.380173194060911)</f>
        <v>-0.38017319406091099</v>
      </c>
      <c r="JW33" s="3">
        <f ca="1">IFERROR(__xludf.DUMMYFUNCTION("""COMPUTED_VALUE"""),-0.421397991470327)</f>
        <v>-0.42139799147032703</v>
      </c>
      <c r="JX33" s="3">
        <f ca="1">IFERROR(__xludf.DUMMYFUNCTION("""COMPUTED_VALUE"""),-0.465386201940704)</f>
        <v>-0.46538620194070401</v>
      </c>
      <c r="JY33" s="3">
        <f ca="1">IFERROR(__xludf.DUMMYFUNCTION("""COMPUTED_VALUE"""),-0.543476828809265)</f>
        <v>-0.54347682880926496</v>
      </c>
      <c r="JZ33" s="3">
        <f ca="1">IFERROR(__xludf.DUMMYFUNCTION("""COMPUTED_VALUE"""),-0.517264262019532)</f>
        <v>-0.51726426201953202</v>
      </c>
      <c r="KA33" s="3">
        <f ca="1">IFERROR(__xludf.DUMMYFUNCTION("""COMPUTED_VALUE"""),-0.469590989572427)</f>
        <v>-0.46959098957242701</v>
      </c>
      <c r="KB33" s="3">
        <f ca="1">IFERROR(__xludf.DUMMYFUNCTION("""COMPUTED_VALUE"""),-0.493314872445276)</f>
        <v>-0.493314872445276</v>
      </c>
      <c r="KC33" s="3">
        <f ca="1">IFERROR(__xludf.DUMMYFUNCTION("""COMPUTED_VALUE"""),-0.456737314549836)</f>
        <v>-0.45673731454983602</v>
      </c>
      <c r="KD33" s="3">
        <f ca="1">IFERROR(__xludf.DUMMYFUNCTION("""COMPUTED_VALUE"""),-0.481072409881448)</f>
        <v>-0.481072409881448</v>
      </c>
      <c r="KE33" s="3">
        <f ca="1">IFERROR(__xludf.DUMMYFUNCTION("""COMPUTED_VALUE"""),-0.43450889611955)</f>
        <v>-0.43450889611955001</v>
      </c>
      <c r="KF33" s="3">
        <f ca="1">IFERROR(__xludf.DUMMYFUNCTION("""COMPUTED_VALUE"""),-0.485919536566849)</f>
        <v>-0.485919536566849</v>
      </c>
      <c r="KG33" s="3">
        <f ca="1">IFERROR(__xludf.DUMMYFUNCTION("""COMPUTED_VALUE"""),-0.528796986302904)</f>
        <v>-0.52879698630290395</v>
      </c>
      <c r="KH33" s="3">
        <f ca="1">IFERROR(__xludf.DUMMYFUNCTION("""COMPUTED_VALUE"""),-0.475250482722161)</f>
        <v>-0.47525048272216103</v>
      </c>
      <c r="KI33" s="3">
        <f ca="1">IFERROR(__xludf.DUMMYFUNCTION("""COMPUTED_VALUE"""),-0.449269672252417)</f>
        <v>-0.44926967225241699</v>
      </c>
      <c r="KJ33" s="3">
        <f ca="1">IFERROR(__xludf.DUMMYFUNCTION("""COMPUTED_VALUE"""),-0.398125847894377)</f>
        <v>-0.39812584789437699</v>
      </c>
      <c r="KK33" s="3">
        <f ca="1">IFERROR(__xludf.DUMMYFUNCTION("""COMPUTED_VALUE"""),-0.451579162314459)</f>
        <v>-0.45157916231445899</v>
      </c>
      <c r="KL33" s="3">
        <f ca="1">IFERROR(__xludf.DUMMYFUNCTION("""COMPUTED_VALUE"""),-0.4809377059405)</f>
        <v>-0.4809377059405</v>
      </c>
      <c r="KM33" s="3">
        <f ca="1">IFERROR(__xludf.DUMMYFUNCTION("""COMPUTED_VALUE"""),-0.480921581502678)</f>
        <v>-0.480921581502678</v>
      </c>
      <c r="KN33" s="3">
        <f ca="1">IFERROR(__xludf.DUMMYFUNCTION("""COMPUTED_VALUE"""),-0.477525723964786)</f>
        <v>-0.47752572396478599</v>
      </c>
      <c r="KO33" s="3">
        <f ca="1">IFERROR(__xludf.DUMMYFUNCTION("""COMPUTED_VALUE"""),-0.49672671990347)</f>
        <v>-0.49672671990347</v>
      </c>
      <c r="KP33" s="3">
        <f ca="1">IFERROR(__xludf.DUMMYFUNCTION("""COMPUTED_VALUE"""),-0.484362792675543)</f>
        <v>-0.484362792675543</v>
      </c>
      <c r="KQ33" s="3">
        <f ca="1">IFERROR(__xludf.DUMMYFUNCTION("""COMPUTED_VALUE"""),-0.504702414080231)</f>
        <v>-0.50470241408023098</v>
      </c>
      <c r="KR33" s="3">
        <f ca="1">IFERROR(__xludf.DUMMYFUNCTION("""COMPUTED_VALUE"""),-0.51987341207218)</f>
        <v>-0.51987341207217996</v>
      </c>
      <c r="KS33" s="3">
        <f ca="1">IFERROR(__xludf.DUMMYFUNCTION("""COMPUTED_VALUE"""),-0.529665644537185)</f>
        <v>-0.52966564453718501</v>
      </c>
      <c r="KT33" s="3">
        <f ca="1">IFERROR(__xludf.DUMMYFUNCTION("""COMPUTED_VALUE"""),-0.505408970111785)</f>
        <v>-0.50540897011178498</v>
      </c>
      <c r="KU33" s="3">
        <f ca="1">IFERROR(__xludf.DUMMYFUNCTION("""COMPUTED_VALUE"""),-0.527814272242153)</f>
        <v>-0.52781427224215305</v>
      </c>
      <c r="KV33" s="3">
        <f ca="1">IFERROR(__xludf.DUMMYFUNCTION("""COMPUTED_VALUE"""),-0.517353352089923)</f>
        <v>-0.51735335208992295</v>
      </c>
      <c r="KW33" s="3">
        <f ca="1">IFERROR(__xludf.DUMMYFUNCTION("""COMPUTED_VALUE"""),-0.494174126536015)</f>
        <v>-0.494174126536015</v>
      </c>
      <c r="KX33" s="3">
        <f ca="1">IFERROR(__xludf.DUMMYFUNCTION("""COMPUTED_VALUE"""),-0.51472057844906)</f>
        <v>-0.51472057844906005</v>
      </c>
      <c r="KY33" s="3">
        <f ca="1">IFERROR(__xludf.DUMMYFUNCTION("""COMPUTED_VALUE"""),-0.499135869515762)</f>
        <v>-0.499135869515762</v>
      </c>
      <c r="KZ33" s="3">
        <f ca="1">IFERROR(__xludf.DUMMYFUNCTION("""COMPUTED_VALUE"""),-0.491349248871026)</f>
        <v>-0.49134924887102599</v>
      </c>
      <c r="LA33" s="3">
        <f ca="1">IFERROR(__xludf.DUMMYFUNCTION("""COMPUTED_VALUE"""),-0.505790313737092)</f>
        <v>-0.50579031373709205</v>
      </c>
      <c r="LB33" s="3">
        <f ca="1">IFERROR(__xludf.DUMMYFUNCTION("""COMPUTED_VALUE"""),-0.516197752214272)</f>
        <v>-0.516197752214272</v>
      </c>
      <c r="LC33" s="3">
        <f ca="1">IFERROR(__xludf.DUMMYFUNCTION("""COMPUTED_VALUE"""),-0.49908839800358)</f>
        <v>-0.49908839800358001</v>
      </c>
      <c r="LD33" s="3">
        <f ca="1">IFERROR(__xludf.DUMMYFUNCTION("""COMPUTED_VALUE"""),-0.456762466983456)</f>
        <v>-0.45676246698345602</v>
      </c>
      <c r="LE33" s="3">
        <f ca="1">IFERROR(__xludf.DUMMYFUNCTION("""COMPUTED_VALUE"""),-0.519511750225389)</f>
        <v>-0.51951175022538898</v>
      </c>
      <c r="LF33" s="3">
        <f ca="1">IFERROR(__xludf.DUMMYFUNCTION("""COMPUTED_VALUE"""),-0.480519482235294)</f>
        <v>-0.480519482235294</v>
      </c>
      <c r="LG33" s="3">
        <f ca="1">IFERROR(__xludf.DUMMYFUNCTION("""COMPUTED_VALUE"""),-0.487782777271566)</f>
        <v>-0.48778277727156599</v>
      </c>
      <c r="LH33" s="3">
        <f ca="1">IFERROR(__xludf.DUMMYFUNCTION("""COMPUTED_VALUE"""),-0.496319338920099)</f>
        <v>-0.496319338920099</v>
      </c>
      <c r="LI33" s="3">
        <f ca="1">IFERROR(__xludf.DUMMYFUNCTION("""COMPUTED_VALUE"""),-0.542864365825549)</f>
        <v>-0.54286436582554898</v>
      </c>
      <c r="LJ33" s="3">
        <f ca="1">IFERROR(__xludf.DUMMYFUNCTION("""COMPUTED_VALUE"""),-0.500470185466864)</f>
        <v>-0.50047018546686395</v>
      </c>
      <c r="LK33" s="3">
        <f ca="1">IFERROR(__xludf.DUMMYFUNCTION("""COMPUTED_VALUE"""),-0.504798112105223)</f>
        <v>-0.50479811210522296</v>
      </c>
      <c r="LL33" s="3">
        <f ca="1">IFERROR(__xludf.DUMMYFUNCTION("""COMPUTED_VALUE"""),-0.498917259301107)</f>
        <v>-0.49891725930110697</v>
      </c>
      <c r="LM33" s="3">
        <f ca="1">IFERROR(__xludf.DUMMYFUNCTION("""COMPUTED_VALUE"""),-0.544862410188371)</f>
        <v>-0.544862410188371</v>
      </c>
      <c r="LN33" s="3">
        <f ca="1">IFERROR(__xludf.DUMMYFUNCTION("""COMPUTED_VALUE"""),-0.559735653579583)</f>
        <v>-0.55973565357958299</v>
      </c>
      <c r="LO33" s="3">
        <f ca="1">IFERROR(__xludf.DUMMYFUNCTION("""COMPUTED_VALUE"""),-0.545798257100475)</f>
        <v>-0.54579825710047503</v>
      </c>
      <c r="LP33" s="3">
        <f ca="1">IFERROR(__xludf.DUMMYFUNCTION("""COMPUTED_VALUE"""),-0.549725990243759)</f>
        <v>-0.54972599024375901</v>
      </c>
      <c r="LQ33" s="3">
        <f ca="1">IFERROR(__xludf.DUMMYFUNCTION("""COMPUTED_VALUE"""),-0.489785148213584)</f>
        <v>-0.48978514821358399</v>
      </c>
      <c r="LR33" s="3">
        <f ca="1">IFERROR(__xludf.DUMMYFUNCTION("""COMPUTED_VALUE"""),-0.590605920312262)</f>
        <v>-0.590605920312262</v>
      </c>
      <c r="LS33" s="3">
        <f ca="1">IFERROR(__xludf.DUMMYFUNCTION("""COMPUTED_VALUE"""),-0.568274957590132)</f>
        <v>-0.56827495759013202</v>
      </c>
      <c r="LT33" s="3">
        <f ca="1">IFERROR(__xludf.DUMMYFUNCTION("""COMPUTED_VALUE"""),-0.629397470559148)</f>
        <v>-0.62939747055914796</v>
      </c>
      <c r="LU33" s="3">
        <f ca="1">IFERROR(__xludf.DUMMYFUNCTION("""COMPUTED_VALUE"""),-0.621321722016378)</f>
        <v>-0.62132172201637803</v>
      </c>
      <c r="LV33" s="3">
        <f ca="1">IFERROR(__xludf.DUMMYFUNCTION("""COMPUTED_VALUE"""),-0.617829052913163)</f>
        <v>-0.61782905291316303</v>
      </c>
      <c r="LW33" s="3">
        <f ca="1">IFERROR(__xludf.DUMMYFUNCTION("""COMPUTED_VALUE"""),-0.597828650327991)</f>
        <v>-0.59782865032799104</v>
      </c>
      <c r="LX33" s="3">
        <f ca="1">IFERROR(__xludf.DUMMYFUNCTION("""COMPUTED_VALUE"""),-0.590064503722011)</f>
        <v>-0.59006450372201102</v>
      </c>
      <c r="LY33" s="3">
        <f ca="1">IFERROR(__xludf.DUMMYFUNCTION("""COMPUTED_VALUE"""),-0.598203017844324)</f>
        <v>-0.59820301784432395</v>
      </c>
      <c r="LZ33" s="3">
        <f ca="1">IFERROR(__xludf.DUMMYFUNCTION("""COMPUTED_VALUE"""),-0.582066628300162)</f>
        <v>-0.58206662830016198</v>
      </c>
      <c r="MA33" s="3">
        <f ca="1">IFERROR(__xludf.DUMMYFUNCTION("""COMPUTED_VALUE"""),-0.61669496440869)</f>
        <v>-0.61669496440868998</v>
      </c>
      <c r="MB33" s="3">
        <f ca="1">IFERROR(__xludf.DUMMYFUNCTION("""COMPUTED_VALUE"""),-0.637182966589395)</f>
        <v>-0.63718296658939499</v>
      </c>
      <c r="MC33" s="3">
        <f ca="1">IFERROR(__xludf.DUMMYFUNCTION("""COMPUTED_VALUE"""),-0.672525207221289)</f>
        <v>-0.67252520722128895</v>
      </c>
      <c r="MD33" s="3">
        <f ca="1">IFERROR(__xludf.DUMMYFUNCTION("""COMPUTED_VALUE"""),-0.676786633020285)</f>
        <v>-0.67678663302028497</v>
      </c>
      <c r="ME33" s="3">
        <f ca="1">IFERROR(__xludf.DUMMYFUNCTION("""COMPUTED_VALUE"""),-0.699832760205053)</f>
        <v>-0.69983276020505303</v>
      </c>
      <c r="MF33" s="3">
        <f ca="1">IFERROR(__xludf.DUMMYFUNCTION("""COMPUTED_VALUE"""),-0.670099802556204)</f>
        <v>-0.67009980255620405</v>
      </c>
      <c r="MG33" s="3">
        <f ca="1">IFERROR(__xludf.DUMMYFUNCTION("""COMPUTED_VALUE"""),-0.678340648741686)</f>
        <v>-0.67834064874168598</v>
      </c>
      <c r="MH33" s="3">
        <f ca="1">IFERROR(__xludf.DUMMYFUNCTION("""COMPUTED_VALUE"""),-0.648851161543995)</f>
        <v>-0.64885116154399503</v>
      </c>
      <c r="MI33" s="3">
        <f ca="1">IFERROR(__xludf.DUMMYFUNCTION("""COMPUTED_VALUE"""),-0.640073149822745)</f>
        <v>-0.64007314982274499</v>
      </c>
      <c r="MJ33" s="3">
        <f ca="1">IFERROR(__xludf.DUMMYFUNCTION("""COMPUTED_VALUE"""),-0.674200972241668)</f>
        <v>-0.67420097224166797</v>
      </c>
      <c r="MK33" s="3">
        <f ca="1">IFERROR(__xludf.DUMMYFUNCTION("""COMPUTED_VALUE"""),-0.697206271740529)</f>
        <v>-0.69720627174052896</v>
      </c>
      <c r="ML33" s="3">
        <f ca="1">IFERROR(__xludf.DUMMYFUNCTION("""COMPUTED_VALUE"""),-0.686242601308911)</f>
        <v>-0.68624260130891102</v>
      </c>
      <c r="MM33" s="3">
        <f ca="1">IFERROR(__xludf.DUMMYFUNCTION("""COMPUTED_VALUE"""),-0.6588573477769)</f>
        <v>-0.65885734777689997</v>
      </c>
      <c r="MN33" s="3">
        <f ca="1">IFERROR(__xludf.DUMMYFUNCTION("""COMPUTED_VALUE"""),-0.693649737919293)</f>
        <v>-0.69364973791929296</v>
      </c>
      <c r="MO33" s="3">
        <f ca="1">IFERROR(__xludf.DUMMYFUNCTION("""COMPUTED_VALUE"""),-0.616695717307627)</f>
        <v>-0.61669571730762696</v>
      </c>
      <c r="MP33" s="3">
        <f ca="1">IFERROR(__xludf.DUMMYFUNCTION("""COMPUTED_VALUE"""),-0.710028496492167)</f>
        <v>-0.71002849649216704</v>
      </c>
      <c r="MQ33" s="3">
        <f ca="1">IFERROR(__xludf.DUMMYFUNCTION("""COMPUTED_VALUE"""),-0.696203620412878)</f>
        <v>-0.69620362041287798</v>
      </c>
      <c r="MR33" s="3">
        <f ca="1">IFERROR(__xludf.DUMMYFUNCTION("""COMPUTED_VALUE"""),-0.71562318012976)</f>
        <v>-0.71562318012976001</v>
      </c>
      <c r="MS33" s="3">
        <f ca="1">IFERROR(__xludf.DUMMYFUNCTION("""COMPUTED_VALUE"""),-0.67276801512136)</f>
        <v>-0.67276801512135997</v>
      </c>
      <c r="MT33" s="3">
        <f ca="1">IFERROR(__xludf.DUMMYFUNCTION("""COMPUTED_VALUE"""),-0.725487997078527)</f>
        <v>-0.72548799707852696</v>
      </c>
      <c r="MU33" s="3">
        <f ca="1">IFERROR(__xludf.DUMMYFUNCTION("""COMPUTED_VALUE"""),-0.739851701288228)</f>
        <v>-0.73985170128822797</v>
      </c>
      <c r="MV33" s="3">
        <f ca="1">IFERROR(__xludf.DUMMYFUNCTION("""COMPUTED_VALUE"""),-0.726838205956543)</f>
        <v>-0.72683820595654303</v>
      </c>
      <c r="MW33" s="3">
        <f ca="1">IFERROR(__xludf.DUMMYFUNCTION("""COMPUTED_VALUE"""),-0.758877594391706)</f>
        <v>-0.75887759439170599</v>
      </c>
      <c r="MX33" s="3">
        <f ca="1">IFERROR(__xludf.DUMMYFUNCTION("""COMPUTED_VALUE"""),-0.77104466404477)</f>
        <v>-0.77104466404477001</v>
      </c>
      <c r="MY33" s="3">
        <f ca="1">IFERROR(__xludf.DUMMYFUNCTION("""COMPUTED_VALUE"""),-0.764644196433585)</f>
        <v>-0.76464419643358505</v>
      </c>
      <c r="MZ33" s="3">
        <f ca="1">IFERROR(__xludf.DUMMYFUNCTION("""COMPUTED_VALUE"""),-0.722957202761024)</f>
        <v>-0.72295720276102404</v>
      </c>
      <c r="NA33" s="3">
        <f ca="1">IFERROR(__xludf.DUMMYFUNCTION("""COMPUTED_VALUE"""),-0.737965927261681)</f>
        <v>-0.73796592726168098</v>
      </c>
      <c r="NB33" s="3">
        <f ca="1">IFERROR(__xludf.DUMMYFUNCTION("""COMPUTED_VALUE"""),-0.707292526251991)</f>
        <v>-0.70729252625199102</v>
      </c>
      <c r="NC33" s="3">
        <f ca="1">IFERROR(__xludf.DUMMYFUNCTION("""COMPUTED_VALUE"""),-0.654368456172532)</f>
        <v>-0.65436845617253203</v>
      </c>
      <c r="ND33" s="3">
        <f ca="1">IFERROR(__xludf.DUMMYFUNCTION("""COMPUTED_VALUE"""),-0.760980478379424)</f>
        <v>-0.76098047837942395</v>
      </c>
      <c r="NE33" s="3">
        <f ca="1">IFERROR(__xludf.DUMMYFUNCTION("""COMPUTED_VALUE"""),-0.790868433802197)</f>
        <v>-0.79086843380219696</v>
      </c>
      <c r="NF33" s="3">
        <f ca="1">IFERROR(__xludf.DUMMYFUNCTION("""COMPUTED_VALUE"""),-0.797413788358019)</f>
        <v>-0.79741378835801902</v>
      </c>
      <c r="NG33" s="3">
        <f ca="1">IFERROR(__xludf.DUMMYFUNCTION("""COMPUTED_VALUE"""),-0.751762935597398)</f>
        <v>-0.75176293559739804</v>
      </c>
      <c r="NH33" s="3">
        <f ca="1">IFERROR(__xludf.DUMMYFUNCTION("""COMPUTED_VALUE"""),-0.745777103441773)</f>
        <v>-0.74577710344177295</v>
      </c>
      <c r="NI33" s="3">
        <f ca="1">IFERROR(__xludf.DUMMYFUNCTION("""COMPUTED_VALUE"""),-0.767339385659049)</f>
        <v>-0.76733938565904902</v>
      </c>
      <c r="NJ33" s="3">
        <f ca="1">IFERROR(__xludf.DUMMYFUNCTION("""COMPUTED_VALUE"""),-0.79973474300667)</f>
        <v>-0.79973474300667002</v>
      </c>
      <c r="NK33" s="3">
        <f ca="1">IFERROR(__xludf.DUMMYFUNCTION("""COMPUTED_VALUE"""),-0.794726566919577)</f>
        <v>-0.79472656691957699</v>
      </c>
      <c r="NL33" s="3">
        <f ca="1">IFERROR(__xludf.DUMMYFUNCTION("""COMPUTED_VALUE"""),-0.78376135884966)</f>
        <v>-0.78376135884966003</v>
      </c>
      <c r="NM33" s="3">
        <f ca="1">IFERROR(__xludf.DUMMYFUNCTION("""COMPUTED_VALUE"""),-0.79543940060273)</f>
        <v>-0.79543940060273</v>
      </c>
      <c r="NN33" s="3">
        <f ca="1">IFERROR(__xludf.DUMMYFUNCTION("""COMPUTED_VALUE"""),-0.778322780128241)</f>
        <v>-0.77832278012824097</v>
      </c>
      <c r="NO33" s="3">
        <f ca="1">IFERROR(__xludf.DUMMYFUNCTION("""COMPUTED_VALUE"""),-0.744722180506091)</f>
        <v>-0.74472218050609096</v>
      </c>
      <c r="NP33" s="3">
        <f ca="1">IFERROR(__xludf.DUMMYFUNCTION("""COMPUTED_VALUE"""),-0.767238677073887)</f>
        <v>-0.76723867707388704</v>
      </c>
      <c r="NQ33" s="3">
        <f ca="1">IFERROR(__xludf.DUMMYFUNCTION("""COMPUTED_VALUE"""),-0.76801532752155)</f>
        <v>-0.76801532752155</v>
      </c>
      <c r="NR33" s="3">
        <f ca="1">IFERROR(__xludf.DUMMYFUNCTION("""COMPUTED_VALUE"""),-0.793390767626269)</f>
        <v>-0.79339076762626903</v>
      </c>
      <c r="NS33" s="3">
        <f ca="1">IFERROR(__xludf.DUMMYFUNCTION("""COMPUTED_VALUE"""),-0.759633799128961)</f>
        <v>-0.75963379912896101</v>
      </c>
      <c r="NT33" s="3">
        <f ca="1">IFERROR(__xludf.DUMMYFUNCTION("""COMPUTED_VALUE"""),-0.777747868735115)</f>
        <v>-0.77774786873511503</v>
      </c>
      <c r="NU33" s="3">
        <f ca="1">IFERROR(__xludf.DUMMYFUNCTION("""COMPUTED_VALUE"""),-0.713081861783265)</f>
        <v>-0.71308186178326505</v>
      </c>
      <c r="NV33" s="3">
        <f ca="1">IFERROR(__xludf.DUMMYFUNCTION("""COMPUTED_VALUE"""),-0.649320695188501)</f>
        <v>-0.649320695188501</v>
      </c>
      <c r="NW33" s="3">
        <f ca="1">IFERROR(__xludf.DUMMYFUNCTION("""COMPUTED_VALUE"""),-0.604719763433958)</f>
        <v>-0.60471976343395795</v>
      </c>
      <c r="NX33" s="3">
        <f ca="1">IFERROR(__xludf.DUMMYFUNCTION("""COMPUTED_VALUE"""),-0.612297664763841)</f>
        <v>-0.61229766476384095</v>
      </c>
      <c r="NY33" s="3">
        <f ca="1">IFERROR(__xludf.DUMMYFUNCTION("""COMPUTED_VALUE"""),-0.561520901045879)</f>
        <v>-0.56152090104587904</v>
      </c>
      <c r="NZ33" s="3">
        <f ca="1">IFERROR(__xludf.DUMMYFUNCTION("""COMPUTED_VALUE"""),-0.526240348661448)</f>
        <v>-0.52624034866144798</v>
      </c>
      <c r="OA33" s="3">
        <f ca="1">IFERROR(__xludf.DUMMYFUNCTION("""COMPUTED_VALUE"""),-0.448932335323335)</f>
        <v>-0.44893233532333499</v>
      </c>
      <c r="OB33" s="3">
        <f ca="1">IFERROR(__xludf.DUMMYFUNCTION("""COMPUTED_VALUE"""),-0.335695231917151)</f>
        <v>-0.335695231917151</v>
      </c>
      <c r="OC33" s="3">
        <f ca="1">IFERROR(__xludf.DUMMYFUNCTION("""COMPUTED_VALUE"""),-0.151897047934531)</f>
        <v>-0.15189704793453099</v>
      </c>
      <c r="OD33" s="3">
        <f ca="1">IFERROR(__xludf.DUMMYFUNCTION("""COMPUTED_VALUE"""),-0.204901119101351)</f>
        <v>-0.204901119101351</v>
      </c>
      <c r="OE33" s="3">
        <f ca="1">IFERROR(__xludf.DUMMYFUNCTION("""COMPUTED_VALUE"""),-0.0497041383411128)</f>
        <v>-4.97041383411128E-2</v>
      </c>
      <c r="OF33" s="3">
        <f ca="1">IFERROR(__xludf.DUMMYFUNCTION("""COMPUTED_VALUE"""),-0.0187151420865024)</f>
        <v>-1.87151420865024E-2</v>
      </c>
      <c r="OG33" s="3">
        <f ca="1">IFERROR(__xludf.DUMMYFUNCTION("""COMPUTED_VALUE"""),0.00274375167269425)</f>
        <v>2.7437516726942501E-3</v>
      </c>
      <c r="OH33" s="3">
        <f ca="1">IFERROR(__xludf.DUMMYFUNCTION("""COMPUTED_VALUE"""),0.0676648533893815)</f>
        <v>6.7664853389381496E-2</v>
      </c>
      <c r="OI33" s="3">
        <f ca="1">IFERROR(__xludf.DUMMYFUNCTION("""COMPUTED_VALUE"""),-0.00332432630833823)</f>
        <v>-3.3243263083382298E-3</v>
      </c>
      <c r="OJ33" s="3">
        <f ca="1">IFERROR(__xludf.DUMMYFUNCTION("""COMPUTED_VALUE"""),-0.061728038144711)</f>
        <v>-6.1728038144710999E-2</v>
      </c>
      <c r="OK33" s="3">
        <f ca="1">IFERROR(__xludf.DUMMYFUNCTION("""COMPUTED_VALUE"""),-0.0189525729514858)</f>
        <v>-1.8952572951485801E-2</v>
      </c>
      <c r="OL33" s="3">
        <f ca="1">IFERROR(__xludf.DUMMYFUNCTION("""COMPUTED_VALUE"""),0.00809250843065445)</f>
        <v>8.0925084306544496E-3</v>
      </c>
      <c r="OM33" s="3">
        <f ca="1">IFERROR(__xludf.DUMMYFUNCTION("""COMPUTED_VALUE"""),0.0596064205232871)</f>
        <v>5.9606420523287101E-2</v>
      </c>
      <c r="ON33" s="3">
        <f ca="1">IFERROR(__xludf.DUMMYFUNCTION("""COMPUTED_VALUE"""),0.0322761374651507)</f>
        <v>3.2276137465150699E-2</v>
      </c>
      <c r="OO33" s="3">
        <f ca="1">IFERROR(__xludf.DUMMYFUNCTION("""COMPUTED_VALUE"""),0.0842035141659933)</f>
        <v>8.4203514165993296E-2</v>
      </c>
      <c r="OP33" s="3">
        <f ca="1">IFERROR(__xludf.DUMMYFUNCTION("""COMPUTED_VALUE"""),-0.00864761838837646)</f>
        <v>-8.6476183883764605E-3</v>
      </c>
      <c r="OQ33" s="3">
        <f ca="1">IFERROR(__xludf.DUMMYFUNCTION("""COMPUTED_VALUE"""),0.0287316128014052)</f>
        <v>2.8731612801405199E-2</v>
      </c>
      <c r="OR33" s="3">
        <f ca="1">IFERROR(__xludf.DUMMYFUNCTION("""COMPUTED_VALUE"""),0.0379882169454013)</f>
        <v>3.7988216945401297E-2</v>
      </c>
      <c r="OS33" s="3">
        <f ca="1">IFERROR(__xludf.DUMMYFUNCTION("""COMPUTED_VALUE"""),0.0923433184355366)</f>
        <v>9.23433184355366E-2</v>
      </c>
      <c r="OT33" s="3">
        <f ca="1">IFERROR(__xludf.DUMMYFUNCTION("""COMPUTED_VALUE"""),0.0488707080249086)</f>
        <v>4.8870708024908602E-2</v>
      </c>
      <c r="OU33" s="3">
        <f ca="1">IFERROR(__xludf.DUMMYFUNCTION("""COMPUTED_VALUE"""),0.117893266709381)</f>
        <v>0.11789326670938099</v>
      </c>
      <c r="OV33" s="3">
        <f ca="1">IFERROR(__xludf.DUMMYFUNCTION("""COMPUTED_VALUE"""),0.0925835080297763)</f>
        <v>9.2583508029776301E-2</v>
      </c>
      <c r="OW33" s="3">
        <f ca="1">IFERROR(__xludf.DUMMYFUNCTION("""COMPUTED_VALUE"""),0.0981272938944748)</f>
        <v>9.8127293894474804E-2</v>
      </c>
      <c r="OX33" s="3">
        <f ca="1">IFERROR(__xludf.DUMMYFUNCTION("""COMPUTED_VALUE"""),-0.0762064126231889)</f>
        <v>-7.6206412623188904E-2</v>
      </c>
      <c r="OY33" s="3">
        <f ca="1">IFERROR(__xludf.DUMMYFUNCTION("""COMPUTED_VALUE"""),-0.0652276756672304)</f>
        <v>-6.5227675667230395E-2</v>
      </c>
      <c r="OZ33" s="3">
        <f ca="1">IFERROR(__xludf.DUMMYFUNCTION("""COMPUTED_VALUE"""),-0.128563706731471)</f>
        <v>-0.12856370673147099</v>
      </c>
      <c r="PA33" s="3">
        <f ca="1">IFERROR(__xludf.DUMMYFUNCTION("""COMPUTED_VALUE"""),-0.172341752899606)</f>
        <v>-0.17234175289960599</v>
      </c>
      <c r="PB33" s="3">
        <f ca="1">IFERROR(__xludf.DUMMYFUNCTION("""COMPUTED_VALUE"""),-0.146807438506329)</f>
        <v>-0.14680743850632899</v>
      </c>
      <c r="PC33" s="3">
        <f ca="1">IFERROR(__xludf.DUMMYFUNCTION("""COMPUTED_VALUE"""),-0.17064534957574)</f>
        <v>-0.17064534957574001</v>
      </c>
      <c r="PD33" s="3">
        <f ca="1">IFERROR(__xludf.DUMMYFUNCTION("""COMPUTED_VALUE"""),-0.166208977029135)</f>
        <v>-0.16620897702913501</v>
      </c>
      <c r="PE33" s="3">
        <f ca="1">IFERROR(__xludf.DUMMYFUNCTION("""COMPUTED_VALUE"""),0.0453640159114512)</f>
        <v>4.53640159114512E-2</v>
      </c>
      <c r="PF33" s="3">
        <f ca="1">IFERROR(__xludf.DUMMYFUNCTION("""COMPUTED_VALUE"""),-0.0362069158499113)</f>
        <v>-3.62069158499113E-2</v>
      </c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</row>
    <row r="34" spans="1:594" ht="15.75" customHeight="1">
      <c r="A34" s="1" t="str">
        <f ca="1">IFERROR(__xludf.DUMMYFUNCTION("""COMPUTED_VALUE"""),"Kelowna")</f>
        <v>Kelowna</v>
      </c>
      <c r="B34" s="3">
        <f ca="1">IFERROR(__xludf.DUMMYFUNCTION("""COMPUTED_VALUE"""),-0.404303002052245)</f>
        <v>-0.40430300205224501</v>
      </c>
      <c r="C34" s="3">
        <f ca="1">IFERROR(__xludf.DUMMYFUNCTION("""COMPUTED_VALUE"""),-0.349968991682031)</f>
        <v>-0.34996899168203099</v>
      </c>
      <c r="D34" s="3">
        <f ca="1">IFERROR(__xludf.DUMMYFUNCTION("""COMPUTED_VALUE"""),-0.421626466480832)</f>
        <v>-0.42162646648083202</v>
      </c>
      <c r="E34" s="3">
        <f ca="1">IFERROR(__xludf.DUMMYFUNCTION("""COMPUTED_VALUE"""),-0.429795089691724)</f>
        <v>-0.42979508969172397</v>
      </c>
      <c r="F34" s="3">
        <f ca="1">IFERROR(__xludf.DUMMYFUNCTION("""COMPUTED_VALUE"""),-0.381734709829747)</f>
        <v>-0.381734709829747</v>
      </c>
      <c r="G34" s="3">
        <f ca="1">IFERROR(__xludf.DUMMYFUNCTION("""COMPUTED_VALUE"""),-0.480989498555291)</f>
        <v>-0.480989498555291</v>
      </c>
      <c r="H34" s="3">
        <f ca="1">IFERROR(__xludf.DUMMYFUNCTION("""COMPUTED_VALUE"""),-0.512070913503467)</f>
        <v>-0.51207091350346701</v>
      </c>
      <c r="I34" s="3">
        <f ca="1">IFERROR(__xludf.DUMMYFUNCTION("""COMPUTED_VALUE"""),-0.467286531387795)</f>
        <v>-0.46728653138779502</v>
      </c>
      <c r="J34" s="3">
        <f ca="1">IFERROR(__xludf.DUMMYFUNCTION("""COMPUTED_VALUE"""),-0.490237075246698)</f>
        <v>-0.49023707524669802</v>
      </c>
      <c r="K34" s="3">
        <f ca="1">IFERROR(__xludf.DUMMYFUNCTION("""COMPUTED_VALUE"""),-0.388482535124645)</f>
        <v>-0.38848253512464498</v>
      </c>
      <c r="L34" s="3">
        <f ca="1">IFERROR(__xludf.DUMMYFUNCTION("""COMPUTED_VALUE"""),-0.410720216556627)</f>
        <v>-0.41072021655662699</v>
      </c>
      <c r="M34" s="3">
        <f ca="1">IFERROR(__xludf.DUMMYFUNCTION("""COMPUTED_VALUE"""),-0.413326196328747)</f>
        <v>-0.41332619632874701</v>
      </c>
      <c r="N34" s="3">
        <f ca="1">IFERROR(__xludf.DUMMYFUNCTION("""COMPUTED_VALUE"""),-0.379959399612717)</f>
        <v>-0.37995939961271702</v>
      </c>
      <c r="O34" s="3">
        <f ca="1">IFERROR(__xludf.DUMMYFUNCTION("""COMPUTED_VALUE"""),-0.441088561372638)</f>
        <v>-0.44108856137263802</v>
      </c>
      <c r="P34" s="3">
        <f ca="1">IFERROR(__xludf.DUMMYFUNCTION("""COMPUTED_VALUE"""),-0.374198418895296)</f>
        <v>-0.37419841889529598</v>
      </c>
      <c r="Q34" s="3">
        <f ca="1">IFERROR(__xludf.DUMMYFUNCTION("""COMPUTED_VALUE"""),-0.45637673085017)</f>
        <v>-0.45637673085017</v>
      </c>
      <c r="R34" s="3">
        <f ca="1">IFERROR(__xludf.DUMMYFUNCTION("""COMPUTED_VALUE"""),-0.489988791092367)</f>
        <v>-0.48998879109236698</v>
      </c>
      <c r="S34" s="3">
        <f ca="1">IFERROR(__xludf.DUMMYFUNCTION("""COMPUTED_VALUE"""),-0.486881434078674)</f>
        <v>-0.48688143407867401</v>
      </c>
      <c r="T34" s="3">
        <f ca="1">IFERROR(__xludf.DUMMYFUNCTION("""COMPUTED_VALUE"""),-0.476385610591989)</f>
        <v>-0.47638561059198897</v>
      </c>
      <c r="U34" s="3">
        <f ca="1">IFERROR(__xludf.DUMMYFUNCTION("""COMPUTED_VALUE"""),-0.524431248701519)</f>
        <v>-0.52443124870151903</v>
      </c>
      <c r="V34" s="3">
        <f ca="1">IFERROR(__xludf.DUMMYFUNCTION("""COMPUTED_VALUE"""),-0.478089045564977)</f>
        <v>-0.478089045564977</v>
      </c>
      <c r="W34" s="3">
        <f ca="1">IFERROR(__xludf.DUMMYFUNCTION("""COMPUTED_VALUE"""),-0.410197892038579)</f>
        <v>-0.41019789203857898</v>
      </c>
      <c r="X34" s="3">
        <f ca="1">IFERROR(__xludf.DUMMYFUNCTION("""COMPUTED_VALUE"""),-0.501346062744062)</f>
        <v>-0.50134606274406202</v>
      </c>
      <c r="Y34" s="3">
        <f ca="1">IFERROR(__xludf.DUMMYFUNCTION("""COMPUTED_VALUE"""),-0.498338136244989)</f>
        <v>-0.49833813624498902</v>
      </c>
      <c r="Z34" s="3">
        <f ca="1">IFERROR(__xludf.DUMMYFUNCTION("""COMPUTED_VALUE"""),-0.45527121657866)</f>
        <v>-0.45527121657865999</v>
      </c>
      <c r="AA34" s="3">
        <f ca="1">IFERROR(__xludf.DUMMYFUNCTION("""COMPUTED_VALUE"""),-0.463264215856636)</f>
        <v>-0.46326421585663602</v>
      </c>
      <c r="AB34" s="3">
        <f ca="1">IFERROR(__xludf.DUMMYFUNCTION("""COMPUTED_VALUE"""),-0.465048291801823)</f>
        <v>-0.465048291801823</v>
      </c>
      <c r="AC34" s="3">
        <f ca="1">IFERROR(__xludf.DUMMYFUNCTION("""COMPUTED_VALUE"""),-0.479607624574923)</f>
        <v>-0.47960762457492301</v>
      </c>
      <c r="AD34" s="3">
        <f ca="1">IFERROR(__xludf.DUMMYFUNCTION("""COMPUTED_VALUE"""),-0.431807078271316)</f>
        <v>-0.43180707827131598</v>
      </c>
      <c r="AE34" s="3">
        <f ca="1">IFERROR(__xludf.DUMMYFUNCTION("""COMPUTED_VALUE"""),-0.471569651286345)</f>
        <v>-0.47156965128634498</v>
      </c>
      <c r="AF34" s="3">
        <f ca="1">IFERROR(__xludf.DUMMYFUNCTION("""COMPUTED_VALUE"""),-0.483062794728398)</f>
        <v>-0.48306279472839803</v>
      </c>
      <c r="AG34" s="3">
        <f ca="1">IFERROR(__xludf.DUMMYFUNCTION("""COMPUTED_VALUE"""),-0.474786357663211)</f>
        <v>-0.47478635766321098</v>
      </c>
      <c r="AH34" s="3">
        <f ca="1">IFERROR(__xludf.DUMMYFUNCTION("""COMPUTED_VALUE"""),-0.486901679816221)</f>
        <v>-0.48690167981622101</v>
      </c>
      <c r="AI34" s="3">
        <f ca="1">IFERROR(__xludf.DUMMYFUNCTION("""COMPUTED_VALUE"""),-0.461074281575068)</f>
        <v>-0.46107428157506802</v>
      </c>
      <c r="AJ34" s="3">
        <f ca="1">IFERROR(__xludf.DUMMYFUNCTION("""COMPUTED_VALUE"""),-0.46638978205652)</f>
        <v>-0.46638978205651999</v>
      </c>
      <c r="AK34" s="3">
        <f ca="1">IFERROR(__xludf.DUMMYFUNCTION("""COMPUTED_VALUE"""),-0.392670027660629)</f>
        <v>-0.39267002766062897</v>
      </c>
      <c r="AL34" s="3">
        <f ca="1">IFERROR(__xludf.DUMMYFUNCTION("""COMPUTED_VALUE"""),-0.464342708541475)</f>
        <v>-0.46434270854147502</v>
      </c>
      <c r="AM34" s="3">
        <f ca="1">IFERROR(__xludf.DUMMYFUNCTION("""COMPUTED_VALUE"""),-0.479486606454543)</f>
        <v>-0.479486606454543</v>
      </c>
      <c r="AN34" s="3">
        <f ca="1">IFERROR(__xludf.DUMMYFUNCTION("""COMPUTED_VALUE"""),-0.447539154188719)</f>
        <v>-0.44753915418871898</v>
      </c>
      <c r="AO34" s="3">
        <f ca="1">IFERROR(__xludf.DUMMYFUNCTION("""COMPUTED_VALUE"""),-0.438930690313879)</f>
        <v>-0.43893069031387899</v>
      </c>
      <c r="AP34" s="3">
        <f ca="1">IFERROR(__xludf.DUMMYFUNCTION("""COMPUTED_VALUE"""),-0.444694095644161)</f>
        <v>-0.44469409564416101</v>
      </c>
      <c r="AQ34" s="3">
        <f ca="1">IFERROR(__xludf.DUMMYFUNCTION("""COMPUTED_VALUE"""),-0.408448296248054)</f>
        <v>-0.40844829624805401</v>
      </c>
      <c r="AR34" s="3">
        <f ca="1">IFERROR(__xludf.DUMMYFUNCTION("""COMPUTED_VALUE"""),-0.353335117338071)</f>
        <v>-0.35333511733807099</v>
      </c>
      <c r="AS34" s="3">
        <f ca="1">IFERROR(__xludf.DUMMYFUNCTION("""COMPUTED_VALUE"""),-0.435515057813875)</f>
        <v>-0.43551505781387501</v>
      </c>
      <c r="AT34" s="3">
        <f ca="1">IFERROR(__xludf.DUMMYFUNCTION("""COMPUTED_VALUE"""),-0.425938224627301)</f>
        <v>-0.42593822462730102</v>
      </c>
      <c r="AU34" s="3">
        <f ca="1">IFERROR(__xludf.DUMMYFUNCTION("""COMPUTED_VALUE"""),-0.430590282723212)</f>
        <v>-0.43059028272321198</v>
      </c>
      <c r="AV34" s="3">
        <f ca="1">IFERROR(__xludf.DUMMYFUNCTION("""COMPUTED_VALUE"""),-0.443038295151814)</f>
        <v>-0.44303829515181398</v>
      </c>
      <c r="AW34" s="3">
        <f ca="1">IFERROR(__xludf.DUMMYFUNCTION("""COMPUTED_VALUE"""),-0.436591324881196)</f>
        <v>-0.43659132488119601</v>
      </c>
      <c r="AX34" s="3">
        <f ca="1">IFERROR(__xludf.DUMMYFUNCTION("""COMPUTED_VALUE"""),-0.455051932473932)</f>
        <v>-0.455051932473932</v>
      </c>
      <c r="AY34" s="3">
        <f ca="1">IFERROR(__xludf.DUMMYFUNCTION("""COMPUTED_VALUE"""),-0.402269801169984)</f>
        <v>-0.40226980116998401</v>
      </c>
      <c r="AZ34" s="3">
        <f ca="1">IFERROR(__xludf.DUMMYFUNCTION("""COMPUTED_VALUE"""),-0.442983897898099)</f>
        <v>-0.442983897898099</v>
      </c>
      <c r="BA34" s="3">
        <f ca="1">IFERROR(__xludf.DUMMYFUNCTION("""COMPUTED_VALUE"""),-0.452658312434188)</f>
        <v>-0.45265831243418803</v>
      </c>
      <c r="BB34" s="3">
        <f ca="1">IFERROR(__xludf.DUMMYFUNCTION("""COMPUTED_VALUE"""),-0.408063436632367)</f>
        <v>-0.40806343663236699</v>
      </c>
      <c r="BC34" s="3">
        <f ca="1">IFERROR(__xludf.DUMMYFUNCTION("""COMPUTED_VALUE"""),-0.430599051840507)</f>
        <v>-0.43059905184050701</v>
      </c>
      <c r="BD34" s="3">
        <f ca="1">IFERROR(__xludf.DUMMYFUNCTION("""COMPUTED_VALUE"""),-0.577413989457763)</f>
        <v>-0.57741398945776301</v>
      </c>
      <c r="BE34" s="3">
        <f ca="1">IFERROR(__xludf.DUMMYFUNCTION("""COMPUTED_VALUE"""),-0.387454664448057)</f>
        <v>-0.38745466444805698</v>
      </c>
      <c r="BF34" s="3">
        <f ca="1">IFERROR(__xludf.DUMMYFUNCTION("""COMPUTED_VALUE"""),-0.44404591185807)</f>
        <v>-0.44404591185807002</v>
      </c>
      <c r="BG34" s="3">
        <f ca="1">IFERROR(__xludf.DUMMYFUNCTION("""COMPUTED_VALUE"""),-0.546522606271981)</f>
        <v>-0.54652260627198102</v>
      </c>
      <c r="BH34" s="3">
        <f ca="1">IFERROR(__xludf.DUMMYFUNCTION("""COMPUTED_VALUE"""),-0.553081221336151)</f>
        <v>-0.55308122133615101</v>
      </c>
      <c r="BI34" s="3">
        <f ca="1">IFERROR(__xludf.DUMMYFUNCTION("""COMPUTED_VALUE"""),-0.50420353021155)</f>
        <v>-0.50420353021154996</v>
      </c>
      <c r="BJ34" s="3">
        <f ca="1">IFERROR(__xludf.DUMMYFUNCTION("""COMPUTED_VALUE"""),-0.512681913886968)</f>
        <v>-0.51268191388696804</v>
      </c>
      <c r="BK34" s="3">
        <f ca="1">IFERROR(__xludf.DUMMYFUNCTION("""COMPUTED_VALUE"""),-0.478365150056802)</f>
        <v>-0.47836515005680202</v>
      </c>
      <c r="BL34" s="3">
        <f ca="1">IFERROR(__xludf.DUMMYFUNCTION("""COMPUTED_VALUE"""),-0.489148179322516)</f>
        <v>-0.48914817932251597</v>
      </c>
      <c r="BM34" s="3">
        <f ca="1">IFERROR(__xludf.DUMMYFUNCTION("""COMPUTED_VALUE"""),-0.436737159961429)</f>
        <v>-0.43673715996142898</v>
      </c>
      <c r="BN34" s="3">
        <f ca="1">IFERROR(__xludf.DUMMYFUNCTION("""COMPUTED_VALUE"""),-0.484669037892698)</f>
        <v>-0.484669037892698</v>
      </c>
      <c r="BO34" s="3">
        <f ca="1">IFERROR(__xludf.DUMMYFUNCTION("""COMPUTED_VALUE"""),-0.48813268525707)</f>
        <v>-0.48813268525706999</v>
      </c>
      <c r="BP34" s="3">
        <f ca="1">IFERROR(__xludf.DUMMYFUNCTION("""COMPUTED_VALUE"""),-0.488259064911429)</f>
        <v>-0.48825906491142901</v>
      </c>
      <c r="BQ34" s="3">
        <f ca="1">IFERROR(__xludf.DUMMYFUNCTION("""COMPUTED_VALUE"""),-0.492932556479969)</f>
        <v>-0.49293255647996898</v>
      </c>
      <c r="BR34" s="3">
        <f ca="1">IFERROR(__xludf.DUMMYFUNCTION("""COMPUTED_VALUE"""),-0.508203415104406)</f>
        <v>-0.50820341510440603</v>
      </c>
      <c r="BS34" s="3">
        <f ca="1">IFERROR(__xludf.DUMMYFUNCTION("""COMPUTED_VALUE"""),-0.503794503825518)</f>
        <v>-0.50379450382551805</v>
      </c>
      <c r="BT34" s="3">
        <f ca="1">IFERROR(__xludf.DUMMYFUNCTION("""COMPUTED_VALUE"""),-0.434349562635534)</f>
        <v>-0.43434956263553398</v>
      </c>
      <c r="BU34" s="3">
        <f ca="1">IFERROR(__xludf.DUMMYFUNCTION("""COMPUTED_VALUE"""),-0.531490944799445)</f>
        <v>-0.53149094479944503</v>
      </c>
      <c r="BV34" s="3">
        <f ca="1">IFERROR(__xludf.DUMMYFUNCTION("""COMPUTED_VALUE"""),-0.549184867362091)</f>
        <v>-0.54918486736209104</v>
      </c>
      <c r="BW34" s="3">
        <f ca="1">IFERROR(__xludf.DUMMYFUNCTION("""COMPUTED_VALUE"""),-0.543757322455734)</f>
        <v>-0.54375732245573405</v>
      </c>
      <c r="BX34" s="3">
        <f ca="1">IFERROR(__xludf.DUMMYFUNCTION("""COMPUTED_VALUE"""),-0.543166454080273)</f>
        <v>-0.54316645408027298</v>
      </c>
      <c r="BY34" s="3">
        <f ca="1">IFERROR(__xludf.DUMMYFUNCTION("""COMPUTED_VALUE"""),-0.524462133834389)</f>
        <v>-0.524462133834389</v>
      </c>
      <c r="BZ34" s="3">
        <f ca="1">IFERROR(__xludf.DUMMYFUNCTION("""COMPUTED_VALUE"""),-0.517919476011158)</f>
        <v>-0.51791947601115795</v>
      </c>
      <c r="CA34" s="3">
        <f ca="1">IFERROR(__xludf.DUMMYFUNCTION("""COMPUTED_VALUE"""),-0.477785637472059)</f>
        <v>-0.47778563747205899</v>
      </c>
      <c r="CB34" s="3">
        <f ca="1">IFERROR(__xludf.DUMMYFUNCTION("""COMPUTED_VALUE"""),-0.520548832398869)</f>
        <v>-0.52054883239886895</v>
      </c>
      <c r="CC34" s="3">
        <f ca="1">IFERROR(__xludf.DUMMYFUNCTION("""COMPUTED_VALUE"""),-0.54460940012602)</f>
        <v>-0.54460940012601999</v>
      </c>
      <c r="CD34" s="3">
        <f ca="1">IFERROR(__xludf.DUMMYFUNCTION("""COMPUTED_VALUE"""),-0.531133813601637)</f>
        <v>-0.53113381360163703</v>
      </c>
      <c r="CE34" s="3">
        <f ca="1">IFERROR(__xludf.DUMMYFUNCTION("""COMPUTED_VALUE"""),-0.548749413122955)</f>
        <v>-0.548749413122955</v>
      </c>
      <c r="CF34" s="3">
        <f ca="1">IFERROR(__xludf.DUMMYFUNCTION("""COMPUTED_VALUE"""),-0.57089807617659)</f>
        <v>-0.57089807617659005</v>
      </c>
      <c r="CG34" s="3">
        <f ca="1">IFERROR(__xludf.DUMMYFUNCTION("""COMPUTED_VALUE"""),-0.449425764349873)</f>
        <v>-0.44942576434987302</v>
      </c>
      <c r="CH34" s="3">
        <f ca="1">IFERROR(__xludf.DUMMYFUNCTION("""COMPUTED_VALUE"""),-0.462910270241334)</f>
        <v>-0.46291027024133402</v>
      </c>
      <c r="CI34" s="3">
        <f ca="1">IFERROR(__xludf.DUMMYFUNCTION("""COMPUTED_VALUE"""),-0.541235472133898)</f>
        <v>-0.541235472133898</v>
      </c>
      <c r="CJ34" s="3">
        <f ca="1">IFERROR(__xludf.DUMMYFUNCTION("""COMPUTED_VALUE"""),-0.555207226289657)</f>
        <v>-0.55520722628965702</v>
      </c>
      <c r="CK34" s="3">
        <f ca="1">IFERROR(__xludf.DUMMYFUNCTION("""COMPUTED_VALUE"""),-0.560856567014578)</f>
        <v>-0.56085656701457798</v>
      </c>
      <c r="CL34" s="3">
        <f ca="1">IFERROR(__xludf.DUMMYFUNCTION("""COMPUTED_VALUE"""),-0.56240098174284)</f>
        <v>-0.56240098174284003</v>
      </c>
      <c r="CM34" s="3">
        <f ca="1">IFERROR(__xludf.DUMMYFUNCTION("""COMPUTED_VALUE"""),-0.550691960084536)</f>
        <v>-0.55069196008453603</v>
      </c>
      <c r="CN34" s="3">
        <f ca="1">IFERROR(__xludf.DUMMYFUNCTION("""COMPUTED_VALUE"""),-0.450737669342957)</f>
        <v>-0.450737669342957</v>
      </c>
      <c r="CO34" s="3">
        <f ca="1">IFERROR(__xludf.DUMMYFUNCTION("""COMPUTED_VALUE"""),-0.443518277652071)</f>
        <v>-0.44351827765207102</v>
      </c>
      <c r="CP34" s="3">
        <f ca="1">IFERROR(__xludf.DUMMYFUNCTION("""COMPUTED_VALUE"""),-0.493928852857289)</f>
        <v>-0.49392885285728899</v>
      </c>
      <c r="CQ34" s="3">
        <f ca="1">IFERROR(__xludf.DUMMYFUNCTION("""COMPUTED_VALUE"""),-0.472139368672946)</f>
        <v>-0.47213936867294598</v>
      </c>
      <c r="CR34" s="3">
        <f ca="1">IFERROR(__xludf.DUMMYFUNCTION("""COMPUTED_VALUE"""),-0.429101516681378)</f>
        <v>-0.42910151668137803</v>
      </c>
      <c r="CS34" s="3">
        <f ca="1">IFERROR(__xludf.DUMMYFUNCTION("""COMPUTED_VALUE"""),-0.469395529664582)</f>
        <v>-0.46939552966458198</v>
      </c>
      <c r="CT34" s="3">
        <f ca="1">IFERROR(__xludf.DUMMYFUNCTION("""COMPUTED_VALUE"""),-0.43580861589488)</f>
        <v>-0.43580861589488001</v>
      </c>
      <c r="CU34" s="3">
        <f ca="1">IFERROR(__xludf.DUMMYFUNCTION("""COMPUTED_VALUE"""),-0.449175963532492)</f>
        <v>-0.44917596353249201</v>
      </c>
      <c r="CV34" s="3">
        <f ca="1">IFERROR(__xludf.DUMMYFUNCTION("""COMPUTED_VALUE"""),-0.481502023905647)</f>
        <v>-0.481502023905647</v>
      </c>
      <c r="CW34" s="3">
        <f ca="1">IFERROR(__xludf.DUMMYFUNCTION("""COMPUTED_VALUE"""),-0.648339395606472)</f>
        <v>-0.64833939560647202</v>
      </c>
      <c r="CX34" s="3">
        <f ca="1">IFERROR(__xludf.DUMMYFUNCTION("""COMPUTED_VALUE"""),-0.451201775168311)</f>
        <v>-0.451201775168311</v>
      </c>
      <c r="CY34" s="3">
        <f ca="1">IFERROR(__xludf.DUMMYFUNCTION("""COMPUTED_VALUE"""),-0.383586370567857)</f>
        <v>-0.38358637056785699</v>
      </c>
      <c r="CZ34" s="3">
        <f ca="1">IFERROR(__xludf.DUMMYFUNCTION("""COMPUTED_VALUE"""),-0.488765007346058)</f>
        <v>-0.48876500734605799</v>
      </c>
      <c r="DA34" s="3">
        <f ca="1">IFERROR(__xludf.DUMMYFUNCTION("""COMPUTED_VALUE"""),-0.472786827522882)</f>
        <v>-0.47278682752288198</v>
      </c>
      <c r="DB34" s="3">
        <f ca="1">IFERROR(__xludf.DUMMYFUNCTION("""COMPUTED_VALUE"""),-0.401477846900149)</f>
        <v>-0.40147784690014898</v>
      </c>
      <c r="DC34" s="3">
        <f ca="1">IFERROR(__xludf.DUMMYFUNCTION("""COMPUTED_VALUE"""),-0.334998737688822)</f>
        <v>-0.33499873768882199</v>
      </c>
      <c r="DD34" s="3">
        <f ca="1">IFERROR(__xludf.DUMMYFUNCTION("""COMPUTED_VALUE"""),-0.807732791941229)</f>
        <v>-0.80773279194122904</v>
      </c>
      <c r="DE34" s="3">
        <f ca="1">IFERROR(__xludf.DUMMYFUNCTION("""COMPUTED_VALUE"""),-0.509981811692397)</f>
        <v>-0.50998181169239698</v>
      </c>
      <c r="DF34" s="3">
        <f ca="1">IFERROR(__xludf.DUMMYFUNCTION("""COMPUTED_VALUE"""),-0.127053826898708)</f>
        <v>-0.12705382689870801</v>
      </c>
      <c r="DG34" s="3">
        <f ca="1">IFERROR(__xludf.DUMMYFUNCTION("""COMPUTED_VALUE"""),-0.381729555423555)</f>
        <v>-0.38172955542355502</v>
      </c>
      <c r="DH34" s="3">
        <f ca="1">IFERROR(__xludf.DUMMYFUNCTION("""COMPUTED_VALUE"""),-0.436427781212395)</f>
        <v>-0.43642778121239501</v>
      </c>
      <c r="DI34" s="3">
        <f ca="1">IFERROR(__xludf.DUMMYFUNCTION("""COMPUTED_VALUE"""),-0.399383850661153)</f>
        <v>-0.39938385066115301</v>
      </c>
      <c r="DJ34" s="3">
        <f ca="1">IFERROR(__xludf.DUMMYFUNCTION("""COMPUTED_VALUE"""),-0.392277675566029)</f>
        <v>-0.39227767556602899</v>
      </c>
      <c r="DK34" s="3">
        <f ca="1">IFERROR(__xludf.DUMMYFUNCTION("""COMPUTED_VALUE"""),-0.353768744450864)</f>
        <v>-0.35376874445086398</v>
      </c>
      <c r="DL34" s="3">
        <f ca="1">IFERROR(__xludf.DUMMYFUNCTION("""COMPUTED_VALUE"""),-0.368924338515767)</f>
        <v>-0.368924338515767</v>
      </c>
      <c r="DM34" s="3">
        <f ca="1">IFERROR(__xludf.DUMMYFUNCTION("""COMPUTED_VALUE"""),-0.296470436500315)</f>
        <v>-0.29647043650031502</v>
      </c>
      <c r="DN34" s="3">
        <f ca="1">IFERROR(__xludf.DUMMYFUNCTION("""COMPUTED_VALUE"""),-0.395593558278483)</f>
        <v>-0.39559355827848303</v>
      </c>
      <c r="DO34" s="3">
        <f ca="1">IFERROR(__xludf.DUMMYFUNCTION("""COMPUTED_VALUE"""),-0.436486416513189)</f>
        <v>-0.43648641651318898</v>
      </c>
      <c r="DP34" s="3">
        <f ca="1">IFERROR(__xludf.DUMMYFUNCTION("""COMPUTED_VALUE"""),-0.473260253931938)</f>
        <v>-0.47326025393193799</v>
      </c>
      <c r="DQ34" s="3">
        <f ca="1">IFERROR(__xludf.DUMMYFUNCTION("""COMPUTED_VALUE"""),-0.474621240769514)</f>
        <v>-0.47462124076951401</v>
      </c>
      <c r="DR34" s="3">
        <f ca="1">IFERROR(__xludf.DUMMYFUNCTION("""COMPUTED_VALUE"""),-0.471404785692555)</f>
        <v>-0.47140478569255501</v>
      </c>
      <c r="DS34" s="3">
        <f ca="1">IFERROR(__xludf.DUMMYFUNCTION("""COMPUTED_VALUE"""),-0.41294030586881)</f>
        <v>-0.41294030586880998</v>
      </c>
      <c r="DT34" s="3">
        <f ca="1">IFERROR(__xludf.DUMMYFUNCTION("""COMPUTED_VALUE"""),-0.492762263168509)</f>
        <v>-0.49276226316850902</v>
      </c>
      <c r="DU34" s="3">
        <f ca="1">IFERROR(__xludf.DUMMYFUNCTION("""COMPUTED_VALUE"""),-0.491470039678759)</f>
        <v>-0.49147003967875902</v>
      </c>
      <c r="DV34" s="3">
        <f ca="1">IFERROR(__xludf.DUMMYFUNCTION("""COMPUTED_VALUE"""),-0.528307646022041)</f>
        <v>-0.52830764602204106</v>
      </c>
      <c r="DW34" s="3">
        <f ca="1">IFERROR(__xludf.DUMMYFUNCTION("""COMPUTED_VALUE"""),-0.480613417093571)</f>
        <v>-0.48061341709357103</v>
      </c>
      <c r="DX34" s="3">
        <f ca="1">IFERROR(__xludf.DUMMYFUNCTION("""COMPUTED_VALUE"""),-0.50130399205665)</f>
        <v>-0.50130399205664999</v>
      </c>
      <c r="DY34" s="3">
        <f ca="1">IFERROR(__xludf.DUMMYFUNCTION("""COMPUTED_VALUE"""),-0.512415949733651)</f>
        <v>-0.51241594973365101</v>
      </c>
      <c r="DZ34" s="3">
        <f ca="1">IFERROR(__xludf.DUMMYFUNCTION("""COMPUTED_VALUE"""),-0.495748407457942)</f>
        <v>-0.49574840745794202</v>
      </c>
      <c r="EA34" s="3">
        <f ca="1">IFERROR(__xludf.DUMMYFUNCTION("""COMPUTED_VALUE"""),-0.488120995878552)</f>
        <v>-0.48812099587855201</v>
      </c>
      <c r="EB34" s="3">
        <f ca="1">IFERROR(__xludf.DUMMYFUNCTION("""COMPUTED_VALUE"""),-0.466873675266942)</f>
        <v>-0.46687367526694201</v>
      </c>
      <c r="EC34" s="3">
        <f ca="1">IFERROR(__xludf.DUMMYFUNCTION("""COMPUTED_VALUE"""),-0.454104906146743)</f>
        <v>-0.45410490614674298</v>
      </c>
      <c r="ED34" s="3">
        <f ca="1">IFERROR(__xludf.DUMMYFUNCTION("""COMPUTED_VALUE"""),-0.511874137017381)</f>
        <v>-0.51187413701738105</v>
      </c>
      <c r="EE34" s="3">
        <f ca="1">IFERROR(__xludf.DUMMYFUNCTION("""COMPUTED_VALUE"""),-0.507577715044636)</f>
        <v>-0.507577715044636</v>
      </c>
      <c r="EF34" s="3">
        <f ca="1">IFERROR(__xludf.DUMMYFUNCTION("""COMPUTED_VALUE"""),-0.47042408834202)</f>
        <v>-0.47042408834201999</v>
      </c>
      <c r="EG34" s="3">
        <f ca="1">IFERROR(__xludf.DUMMYFUNCTION("""COMPUTED_VALUE"""),-0.473101172393019)</f>
        <v>-0.47310117239301902</v>
      </c>
      <c r="EH34" s="3">
        <f ca="1">IFERROR(__xludf.DUMMYFUNCTION("""COMPUTED_VALUE"""),-0.421574313743723)</f>
        <v>-0.42157431374372301</v>
      </c>
      <c r="EI34" s="3">
        <f ca="1">IFERROR(__xludf.DUMMYFUNCTION("""COMPUTED_VALUE"""),-0.517658415515628)</f>
        <v>-0.51765841551562797</v>
      </c>
      <c r="EJ34" s="3">
        <f ca="1">IFERROR(__xludf.DUMMYFUNCTION("""COMPUTED_VALUE"""),-0.501748918304623)</f>
        <v>-0.50174891830462298</v>
      </c>
      <c r="EK34" s="3">
        <f ca="1">IFERROR(__xludf.DUMMYFUNCTION("""COMPUTED_VALUE"""),-0.51798885049802)</f>
        <v>-0.51798885049802001</v>
      </c>
      <c r="EL34" s="3">
        <f ca="1">IFERROR(__xludf.DUMMYFUNCTION("""COMPUTED_VALUE"""),-0.505203890827702)</f>
        <v>-0.50520389082770201</v>
      </c>
      <c r="EM34" s="3">
        <f ca="1">IFERROR(__xludf.DUMMYFUNCTION("""COMPUTED_VALUE"""),-0.51777212421574)</f>
        <v>-0.51777212421574004</v>
      </c>
      <c r="EN34" s="3">
        <f ca="1">IFERROR(__xludf.DUMMYFUNCTION("""COMPUTED_VALUE"""),-0.52235594205597)</f>
        <v>-0.52235594205597002</v>
      </c>
      <c r="EO34" s="3">
        <f ca="1">IFERROR(__xludf.DUMMYFUNCTION("""COMPUTED_VALUE"""),-0.477668119841142)</f>
        <v>-0.47766811984114199</v>
      </c>
      <c r="EP34" s="3">
        <f ca="1">IFERROR(__xludf.DUMMYFUNCTION("""COMPUTED_VALUE"""),-0.444775779435115)</f>
        <v>-0.44477577943511498</v>
      </c>
      <c r="EQ34" s="3">
        <f ca="1">IFERROR(__xludf.DUMMYFUNCTION("""COMPUTED_VALUE"""),-0.444700729309647)</f>
        <v>-0.44470072930964699</v>
      </c>
      <c r="ER34" s="3">
        <f ca="1">IFERROR(__xludf.DUMMYFUNCTION("""COMPUTED_VALUE"""),-0.515655197073191)</f>
        <v>-0.51565519707319096</v>
      </c>
      <c r="ES34" s="3">
        <f ca="1">IFERROR(__xludf.DUMMYFUNCTION("""COMPUTED_VALUE"""),-0.467102728439342)</f>
        <v>-0.46710272843934197</v>
      </c>
      <c r="ET34" s="3">
        <f ca="1">IFERROR(__xludf.DUMMYFUNCTION("""COMPUTED_VALUE"""),-0.466367565539847)</f>
        <v>-0.46636756553984698</v>
      </c>
      <c r="EU34" s="3">
        <f ca="1">IFERROR(__xludf.DUMMYFUNCTION("""COMPUTED_VALUE"""),-0.460810207080696)</f>
        <v>-0.46081020708069598</v>
      </c>
      <c r="EV34" s="3">
        <f ca="1">IFERROR(__xludf.DUMMYFUNCTION("""COMPUTED_VALUE"""),-0.505633488721304)</f>
        <v>-0.50563348872130398</v>
      </c>
      <c r="EW34" s="3">
        <f ca="1">IFERROR(__xludf.DUMMYFUNCTION("""COMPUTED_VALUE"""),-0.423905788718782)</f>
        <v>-0.42390578871878198</v>
      </c>
      <c r="EX34" s="3">
        <f ca="1">IFERROR(__xludf.DUMMYFUNCTION("""COMPUTED_VALUE"""),-0.416869889126489)</f>
        <v>-0.41686988912648898</v>
      </c>
      <c r="EY34" s="3">
        <f ca="1">IFERROR(__xludf.DUMMYFUNCTION("""COMPUTED_VALUE"""),-0.459531150024958)</f>
        <v>-0.45953115002495798</v>
      </c>
      <c r="EZ34" s="3">
        <f ca="1">IFERROR(__xludf.DUMMYFUNCTION("""COMPUTED_VALUE"""),-0.448938199873296)</f>
        <v>-0.44893819987329597</v>
      </c>
      <c r="FA34" s="3">
        <f ca="1">IFERROR(__xludf.DUMMYFUNCTION("""COMPUTED_VALUE"""),-0.449853983810224)</f>
        <v>-0.44985398381022401</v>
      </c>
      <c r="FB34" s="3">
        <f ca="1">IFERROR(__xludf.DUMMYFUNCTION("""COMPUTED_VALUE"""),-0.46175340209201)</f>
        <v>-0.46175340209200999</v>
      </c>
      <c r="FC34" s="3">
        <f ca="1">IFERROR(__xludf.DUMMYFUNCTION("""COMPUTED_VALUE"""),-0.443640911630009)</f>
        <v>-0.44364091163000902</v>
      </c>
      <c r="FD34" s="3">
        <f ca="1">IFERROR(__xludf.DUMMYFUNCTION("""COMPUTED_VALUE"""),-0.456894439727147)</f>
        <v>-0.45689443972714699</v>
      </c>
      <c r="FE34" s="3">
        <f ca="1">IFERROR(__xludf.DUMMYFUNCTION("""COMPUTED_VALUE"""),-0.396790805229315)</f>
        <v>-0.39679080522931498</v>
      </c>
      <c r="FF34" s="3">
        <f ca="1">IFERROR(__xludf.DUMMYFUNCTION("""COMPUTED_VALUE"""),-0.496734543438416)</f>
        <v>-0.496734543438416</v>
      </c>
      <c r="FG34" s="3">
        <f ca="1">IFERROR(__xludf.DUMMYFUNCTION("""COMPUTED_VALUE"""),-0.440516849757028)</f>
        <v>-0.44051684975702798</v>
      </c>
      <c r="FH34" s="3">
        <f ca="1">IFERROR(__xludf.DUMMYFUNCTION("""COMPUTED_VALUE"""),-0.430320647284634)</f>
        <v>-0.43032064728463398</v>
      </c>
      <c r="FI34" s="3">
        <f ca="1">IFERROR(__xludf.DUMMYFUNCTION("""COMPUTED_VALUE"""),-0.467762982473309)</f>
        <v>-0.467762982473309</v>
      </c>
      <c r="FJ34" s="3">
        <f ca="1">IFERROR(__xludf.DUMMYFUNCTION("""COMPUTED_VALUE"""),-0.436710072382763)</f>
        <v>-0.43671007238276299</v>
      </c>
      <c r="FK34" s="3">
        <f ca="1">IFERROR(__xludf.DUMMYFUNCTION("""COMPUTED_VALUE"""),-0.449328833185188)</f>
        <v>-0.44932883318518801</v>
      </c>
      <c r="FL34" s="3">
        <f ca="1">IFERROR(__xludf.DUMMYFUNCTION("""COMPUTED_VALUE"""),-0.426342273004666)</f>
        <v>-0.42634227300466598</v>
      </c>
      <c r="FM34" s="3">
        <f ca="1">IFERROR(__xludf.DUMMYFUNCTION("""COMPUTED_VALUE"""),-0.458568442810105)</f>
        <v>-0.458568442810105</v>
      </c>
      <c r="FN34" s="3">
        <f ca="1">IFERROR(__xludf.DUMMYFUNCTION("""COMPUTED_VALUE"""),-0.500384599028172)</f>
        <v>-0.50038459902817201</v>
      </c>
      <c r="FO34" s="3">
        <f ca="1">IFERROR(__xludf.DUMMYFUNCTION("""COMPUTED_VALUE"""),-0.525256543975985)</f>
        <v>-0.52525654397598498</v>
      </c>
      <c r="FP34" s="3">
        <f ca="1">IFERROR(__xludf.DUMMYFUNCTION("""COMPUTED_VALUE"""),-0.458171951801925)</f>
        <v>-0.45817195180192499</v>
      </c>
      <c r="FQ34" s="3">
        <f ca="1">IFERROR(__xludf.DUMMYFUNCTION("""COMPUTED_VALUE"""),-0.449942212859018)</f>
        <v>-0.44994221285901798</v>
      </c>
      <c r="FR34" s="3">
        <f ca="1">IFERROR(__xludf.DUMMYFUNCTION("""COMPUTED_VALUE"""),-0.433240834673925)</f>
        <v>-0.43324083467392499</v>
      </c>
      <c r="FS34" s="3">
        <f ca="1">IFERROR(__xludf.DUMMYFUNCTION("""COMPUTED_VALUE"""),-0.34053393753777)</f>
        <v>-0.34053393753777</v>
      </c>
      <c r="FT34" s="3">
        <f ca="1">IFERROR(__xludf.DUMMYFUNCTION("""COMPUTED_VALUE"""),-0.413556984161606)</f>
        <v>-0.41355698416160602</v>
      </c>
      <c r="FU34" s="3">
        <f ca="1">IFERROR(__xludf.DUMMYFUNCTION("""COMPUTED_VALUE"""),-0.414877767517487)</f>
        <v>-0.41487776751748701</v>
      </c>
      <c r="FV34" s="3">
        <f ca="1">IFERROR(__xludf.DUMMYFUNCTION("""COMPUTED_VALUE"""),-0.455336946717536)</f>
        <v>-0.455336946717536</v>
      </c>
      <c r="FW34" s="3">
        <f ca="1">IFERROR(__xludf.DUMMYFUNCTION("""COMPUTED_VALUE"""),-0.435580901642872)</f>
        <v>-0.435580901642872</v>
      </c>
      <c r="FX34" s="3">
        <f ca="1">IFERROR(__xludf.DUMMYFUNCTION("""COMPUTED_VALUE"""),-0.478185610321982)</f>
        <v>-0.47818561032198198</v>
      </c>
      <c r="FY34" s="3">
        <f ca="1">IFERROR(__xludf.DUMMYFUNCTION("""COMPUTED_VALUE"""),-0.450572225206558)</f>
        <v>-0.45057222520655799</v>
      </c>
      <c r="FZ34" s="3">
        <f ca="1">IFERROR(__xludf.DUMMYFUNCTION("""COMPUTED_VALUE"""),-0.575178176216417)</f>
        <v>-0.57517817621641698</v>
      </c>
      <c r="GA34" s="3">
        <f ca="1">IFERROR(__xludf.DUMMYFUNCTION("""COMPUTED_VALUE"""),-0.440812679074121)</f>
        <v>-0.44081267907412103</v>
      </c>
      <c r="GB34" s="3">
        <f ca="1">IFERROR(__xludf.DUMMYFUNCTION("""COMPUTED_VALUE"""),-0.468787890363844)</f>
        <v>-0.468787890363844</v>
      </c>
      <c r="GC34" s="3">
        <f ca="1">IFERROR(__xludf.DUMMYFUNCTION("""COMPUTED_VALUE"""),-0.487736342321336)</f>
        <v>-0.487736342321336</v>
      </c>
      <c r="GD34" s="3">
        <f ca="1">IFERROR(__xludf.DUMMYFUNCTION("""COMPUTED_VALUE"""),-0.451509705846425)</f>
        <v>-0.45150970584642502</v>
      </c>
      <c r="GE34" s="3">
        <f ca="1">IFERROR(__xludf.DUMMYFUNCTION("""COMPUTED_VALUE"""),-0.383563707057455)</f>
        <v>-0.38356370705745502</v>
      </c>
      <c r="GF34" s="3">
        <f ca="1">IFERROR(__xludf.DUMMYFUNCTION("""COMPUTED_VALUE"""),-0.425770685630361)</f>
        <v>-0.42577068563036102</v>
      </c>
      <c r="GG34" s="3">
        <f ca="1">IFERROR(__xludf.DUMMYFUNCTION("""COMPUTED_VALUE"""),-0.33359736078767)</f>
        <v>-0.33359736078766999</v>
      </c>
      <c r="GH34" s="3">
        <f ca="1">IFERROR(__xludf.DUMMYFUNCTION("""COMPUTED_VALUE"""),-0.437628901620486)</f>
        <v>-0.43762890162048601</v>
      </c>
      <c r="GI34" s="3">
        <f ca="1">IFERROR(__xludf.DUMMYFUNCTION("""COMPUTED_VALUE"""),-0.417393607667957)</f>
        <v>-0.41739360766795702</v>
      </c>
      <c r="GJ34" s="3">
        <f ca="1">IFERROR(__xludf.DUMMYFUNCTION("""COMPUTED_VALUE"""),-0.396131242328296)</f>
        <v>-0.396131242328296</v>
      </c>
      <c r="GK34" s="3">
        <f ca="1">IFERROR(__xludf.DUMMYFUNCTION("""COMPUTED_VALUE"""),-0.365412802526699)</f>
        <v>-0.365412802526699</v>
      </c>
      <c r="GL34" s="3">
        <f ca="1">IFERROR(__xludf.DUMMYFUNCTION("""COMPUTED_VALUE"""),-0.385697955937091)</f>
        <v>-0.385697955937091</v>
      </c>
      <c r="GM34" s="3">
        <f ca="1">IFERROR(__xludf.DUMMYFUNCTION("""COMPUTED_VALUE"""),-0.397833197488106)</f>
        <v>-0.39783319748810603</v>
      </c>
      <c r="GN34" s="3">
        <f ca="1">IFERROR(__xludf.DUMMYFUNCTION("""COMPUTED_VALUE"""),-0.416031955401195)</f>
        <v>-0.41603195540119497</v>
      </c>
      <c r="GO34" s="3">
        <f ca="1">IFERROR(__xludf.DUMMYFUNCTION("""COMPUTED_VALUE"""),-0.39306838539513)</f>
        <v>-0.39306838539513</v>
      </c>
      <c r="GP34" s="3">
        <f ca="1">IFERROR(__xludf.DUMMYFUNCTION("""COMPUTED_VALUE"""),-0.450911263751552)</f>
        <v>-0.45091126375155199</v>
      </c>
      <c r="GQ34" s="3">
        <f ca="1">IFERROR(__xludf.DUMMYFUNCTION("""COMPUTED_VALUE"""),-0.43189488125046)</f>
        <v>-0.43189488125045999</v>
      </c>
      <c r="GR34" s="3">
        <f ca="1">IFERROR(__xludf.DUMMYFUNCTION("""COMPUTED_VALUE"""),-0.449732786621431)</f>
        <v>-0.44973278662143101</v>
      </c>
      <c r="GS34" s="3">
        <f ca="1">IFERROR(__xludf.DUMMYFUNCTION("""COMPUTED_VALUE"""),-0.42238951595415)</f>
        <v>-0.42238951595414997</v>
      </c>
      <c r="GT34" s="3">
        <f ca="1">IFERROR(__xludf.DUMMYFUNCTION("""COMPUTED_VALUE"""),-0.382490348614209)</f>
        <v>-0.382490348614209</v>
      </c>
      <c r="GU34" s="3">
        <f ca="1">IFERROR(__xludf.DUMMYFUNCTION("""COMPUTED_VALUE"""),-0.389211734646606)</f>
        <v>-0.38921173464660602</v>
      </c>
      <c r="GV34" s="3">
        <f ca="1">IFERROR(__xludf.DUMMYFUNCTION("""COMPUTED_VALUE"""),-0.380052694555238)</f>
        <v>-0.38005269455523799</v>
      </c>
      <c r="GW34" s="3">
        <f ca="1">IFERROR(__xludf.DUMMYFUNCTION("""COMPUTED_VALUE"""),-0.419739195054143)</f>
        <v>-0.41973919505414298</v>
      </c>
      <c r="GX34" s="3">
        <f ca="1">IFERROR(__xludf.DUMMYFUNCTION("""COMPUTED_VALUE"""),-0.409455865922678)</f>
        <v>-0.40945586592267802</v>
      </c>
      <c r="GY34" s="3">
        <f ca="1">IFERROR(__xludf.DUMMYFUNCTION("""COMPUTED_VALUE"""),-0.399252830702615)</f>
        <v>-0.39925283070261502</v>
      </c>
      <c r="GZ34" s="3">
        <f ca="1">IFERROR(__xludf.DUMMYFUNCTION("""COMPUTED_VALUE"""),-0.42496033533476)</f>
        <v>-0.42496033533476002</v>
      </c>
      <c r="HA34" s="3">
        <f ca="1">IFERROR(__xludf.DUMMYFUNCTION("""COMPUTED_VALUE"""),-0.391729174226885)</f>
        <v>-0.39172917422688502</v>
      </c>
      <c r="HB34" s="3">
        <f ca="1">IFERROR(__xludf.DUMMYFUNCTION("""COMPUTED_VALUE"""),-0.44810705781557)</f>
        <v>-0.44810705781556998</v>
      </c>
      <c r="HC34" s="3">
        <f ca="1">IFERROR(__xludf.DUMMYFUNCTION("""COMPUTED_VALUE"""),-0.419032447102004)</f>
        <v>-0.41903244710200399</v>
      </c>
      <c r="HD34" s="3">
        <f ca="1">IFERROR(__xludf.DUMMYFUNCTION("""COMPUTED_VALUE"""),-0.423235017635643)</f>
        <v>-0.42323501763564297</v>
      </c>
      <c r="HE34" s="3">
        <f ca="1">IFERROR(__xludf.DUMMYFUNCTION("""COMPUTED_VALUE"""),-0.481659130582271)</f>
        <v>-0.481659130582271</v>
      </c>
      <c r="HF34" s="3">
        <f ca="1">IFERROR(__xludf.DUMMYFUNCTION("""COMPUTED_VALUE"""),-0.470706094583161)</f>
        <v>-0.47070609458316098</v>
      </c>
      <c r="HG34" s="3">
        <f ca="1">IFERROR(__xludf.DUMMYFUNCTION("""COMPUTED_VALUE"""),-0.516548277992866)</f>
        <v>-0.51654827799286596</v>
      </c>
      <c r="HH34" s="3">
        <f ca="1">IFERROR(__xludf.DUMMYFUNCTION("""COMPUTED_VALUE"""),-0.497357643286083)</f>
        <v>-0.49735764328608301</v>
      </c>
      <c r="HI34" s="3">
        <f ca="1">IFERROR(__xludf.DUMMYFUNCTION("""COMPUTED_VALUE"""),-0.551356253281369)</f>
        <v>-0.55135625328136895</v>
      </c>
      <c r="HJ34" s="3">
        <f ca="1">IFERROR(__xludf.DUMMYFUNCTION("""COMPUTED_VALUE"""),-0.365823970990333)</f>
        <v>-0.36582397099033298</v>
      </c>
      <c r="HK34" s="3">
        <f ca="1">IFERROR(__xludf.DUMMYFUNCTION("""COMPUTED_VALUE"""),-0.395039939577979)</f>
        <v>-0.395039939577979</v>
      </c>
      <c r="HL34" s="3">
        <f ca="1">IFERROR(__xludf.DUMMYFUNCTION("""COMPUTED_VALUE"""),-0.500956410258701)</f>
        <v>-0.50095641025870097</v>
      </c>
      <c r="HM34" s="3">
        <f ca="1">IFERROR(__xludf.DUMMYFUNCTION("""COMPUTED_VALUE"""),-0.468606152986426)</f>
        <v>-0.46860615298642599</v>
      </c>
      <c r="HN34" s="3">
        <f ca="1">IFERROR(__xludf.DUMMYFUNCTION("""COMPUTED_VALUE"""),-0.527284763799746)</f>
        <v>-0.52728476379974598</v>
      </c>
      <c r="HO34" s="3">
        <f ca="1">IFERROR(__xludf.DUMMYFUNCTION("""COMPUTED_VALUE"""),-0.463117280968901)</f>
        <v>-0.46311728096890098</v>
      </c>
      <c r="HP34" s="3">
        <f ca="1">IFERROR(__xludf.DUMMYFUNCTION("""COMPUTED_VALUE"""),-0.44490827632785)</f>
        <v>-0.44490827632785002</v>
      </c>
      <c r="HQ34" s="3">
        <f ca="1">IFERROR(__xludf.DUMMYFUNCTION("""COMPUTED_VALUE"""),-0.276169606030317)</f>
        <v>-0.27616960603031698</v>
      </c>
      <c r="HR34" s="3">
        <f ca="1">IFERROR(__xludf.DUMMYFUNCTION("""COMPUTED_VALUE"""),-0.326107638180679)</f>
        <v>-0.326107638180679</v>
      </c>
      <c r="HS34" s="3">
        <f ca="1">IFERROR(__xludf.DUMMYFUNCTION("""COMPUTED_VALUE"""),-0.407570691314948)</f>
        <v>-0.407570691314948</v>
      </c>
      <c r="HT34" s="3">
        <f ca="1">IFERROR(__xludf.DUMMYFUNCTION("""COMPUTED_VALUE"""),-0.383384488195027)</f>
        <v>-0.38338448819502702</v>
      </c>
      <c r="HU34" s="3">
        <f ca="1">IFERROR(__xludf.DUMMYFUNCTION("""COMPUTED_VALUE"""),-0.407241471142024)</f>
        <v>-0.40724147114202403</v>
      </c>
      <c r="HV34" s="3">
        <f ca="1">IFERROR(__xludf.DUMMYFUNCTION("""COMPUTED_VALUE"""),-0.385917110220932)</f>
        <v>-0.385917110220932</v>
      </c>
      <c r="HW34" s="3">
        <f ca="1">IFERROR(__xludf.DUMMYFUNCTION("""COMPUTED_VALUE"""),-0.272148409238975)</f>
        <v>-0.27214840923897499</v>
      </c>
      <c r="HX34" s="3">
        <f ca="1">IFERROR(__xludf.DUMMYFUNCTION("""COMPUTED_VALUE"""),-0.225636255339972)</f>
        <v>-0.225636255339972</v>
      </c>
      <c r="HY34" s="3">
        <f ca="1">IFERROR(__xludf.DUMMYFUNCTION("""COMPUTED_VALUE"""),-0.169550890208073)</f>
        <v>-0.16955089020807301</v>
      </c>
      <c r="HZ34" s="3">
        <f ca="1">IFERROR(__xludf.DUMMYFUNCTION("""COMPUTED_VALUE"""),-0.255188974427892)</f>
        <v>-0.25518897442789201</v>
      </c>
      <c r="IA34" s="3">
        <f ca="1">IFERROR(__xludf.DUMMYFUNCTION("""COMPUTED_VALUE"""),-0.190186927475659)</f>
        <v>-0.19018692747565899</v>
      </c>
      <c r="IB34" s="3">
        <f ca="1">IFERROR(__xludf.DUMMYFUNCTION("""COMPUTED_VALUE"""),-0.219130799098772)</f>
        <v>-0.21913079909877201</v>
      </c>
      <c r="IC34" s="3">
        <f ca="1">IFERROR(__xludf.DUMMYFUNCTION("""COMPUTED_VALUE"""),-0.196451136698374)</f>
        <v>-0.196451136698374</v>
      </c>
      <c r="ID34" s="3">
        <f ca="1">IFERROR(__xludf.DUMMYFUNCTION("""COMPUTED_VALUE"""),-0.179962521385261)</f>
        <v>-0.179962521385261</v>
      </c>
      <c r="IE34" s="3">
        <f ca="1">IFERROR(__xludf.DUMMYFUNCTION("""COMPUTED_VALUE"""),-0.167075935348095)</f>
        <v>-0.16707593534809501</v>
      </c>
      <c r="IF34" s="3">
        <f ca="1">IFERROR(__xludf.DUMMYFUNCTION("""COMPUTED_VALUE"""),-0.106032474053975)</f>
        <v>-0.10603247405397501</v>
      </c>
      <c r="IG34" s="3">
        <f ca="1">IFERROR(__xludf.DUMMYFUNCTION("""COMPUTED_VALUE"""),-0.133836889594728)</f>
        <v>-0.133836889594728</v>
      </c>
      <c r="IH34" s="3">
        <f ca="1">IFERROR(__xludf.DUMMYFUNCTION("""COMPUTED_VALUE"""),-0.240216881693504)</f>
        <v>-0.240216881693504</v>
      </c>
      <c r="II34" s="3">
        <f ca="1">IFERROR(__xludf.DUMMYFUNCTION("""COMPUTED_VALUE"""),-0.202315185994815)</f>
        <v>-0.20231518599481499</v>
      </c>
      <c r="IJ34" s="3">
        <f ca="1">IFERROR(__xludf.DUMMYFUNCTION("""COMPUTED_VALUE"""),-0.253771571799978)</f>
        <v>-0.253771571799978</v>
      </c>
      <c r="IK34" s="3">
        <f ca="1">IFERROR(__xludf.DUMMYFUNCTION("""COMPUTED_VALUE"""),-0.141796895143651)</f>
        <v>-0.14179689514365101</v>
      </c>
      <c r="IL34" s="3">
        <f ca="1">IFERROR(__xludf.DUMMYFUNCTION("""COMPUTED_VALUE"""),-0.113290661624651)</f>
        <v>-0.113290661624651</v>
      </c>
      <c r="IM34" s="3">
        <f ca="1">IFERROR(__xludf.DUMMYFUNCTION("""COMPUTED_VALUE"""),-0.143102494694722)</f>
        <v>-0.143102494694722</v>
      </c>
      <c r="IN34" s="3">
        <f ca="1">IFERROR(__xludf.DUMMYFUNCTION("""COMPUTED_VALUE"""),-0.165249913450715)</f>
        <v>-0.16524991345071499</v>
      </c>
      <c r="IO34" s="3">
        <f ca="1">IFERROR(__xludf.DUMMYFUNCTION("""COMPUTED_VALUE"""),-0.313172312235798)</f>
        <v>-0.313172312235798</v>
      </c>
      <c r="IP34" s="3">
        <f ca="1">IFERROR(__xludf.DUMMYFUNCTION("""COMPUTED_VALUE"""),-0.204838389159835)</f>
        <v>-0.20483838915983499</v>
      </c>
      <c r="IQ34" s="3">
        <f ca="1">IFERROR(__xludf.DUMMYFUNCTION("""COMPUTED_VALUE"""),-0.236492609696112)</f>
        <v>-0.23649260969611199</v>
      </c>
      <c r="IR34" s="3">
        <f ca="1">IFERROR(__xludf.DUMMYFUNCTION("""COMPUTED_VALUE"""),-0.274263511602604)</f>
        <v>-0.27426351160260398</v>
      </c>
      <c r="IS34" s="3">
        <f ca="1">IFERROR(__xludf.DUMMYFUNCTION("""COMPUTED_VALUE"""),-0.139502019589916)</f>
        <v>-0.13950201958991601</v>
      </c>
      <c r="IT34" s="3">
        <f ca="1">IFERROR(__xludf.DUMMYFUNCTION("""COMPUTED_VALUE"""),-0.192692323473784)</f>
        <v>-0.19269232347378401</v>
      </c>
      <c r="IU34" s="3">
        <f ca="1">IFERROR(__xludf.DUMMYFUNCTION("""COMPUTED_VALUE"""),-0.18302518064092)</f>
        <v>-0.18302518064091999</v>
      </c>
      <c r="IV34" s="3">
        <f ca="1">IFERROR(__xludf.DUMMYFUNCTION("""COMPUTED_VALUE"""),-0.258024283646085)</f>
        <v>-0.25802428364608498</v>
      </c>
      <c r="IW34" s="3">
        <f ca="1">IFERROR(__xludf.DUMMYFUNCTION("""COMPUTED_VALUE"""),-0.214630917555089)</f>
        <v>-0.21463091755508901</v>
      </c>
      <c r="IX34" s="3">
        <f ca="1">IFERROR(__xludf.DUMMYFUNCTION("""COMPUTED_VALUE"""),-0.262401503591894)</f>
        <v>-0.26240150359189401</v>
      </c>
      <c r="IY34" s="3">
        <f ca="1">IFERROR(__xludf.DUMMYFUNCTION("""COMPUTED_VALUE"""),-0.254012685822959)</f>
        <v>-0.25401268582295899</v>
      </c>
      <c r="IZ34" s="3">
        <f ca="1">IFERROR(__xludf.DUMMYFUNCTION("""COMPUTED_VALUE"""),-0.293839465176719)</f>
        <v>-0.29383946517671899</v>
      </c>
      <c r="JA34" s="3">
        <f ca="1">IFERROR(__xludf.DUMMYFUNCTION("""COMPUTED_VALUE"""),-0.23779632921091)</f>
        <v>-0.23779632921091001</v>
      </c>
      <c r="JB34" s="3">
        <f ca="1">IFERROR(__xludf.DUMMYFUNCTION("""COMPUTED_VALUE"""),-0.248013222380629)</f>
        <v>-0.24801322238062901</v>
      </c>
      <c r="JC34" s="3">
        <f ca="1">IFERROR(__xludf.DUMMYFUNCTION("""COMPUTED_VALUE"""),-0.237038538748494)</f>
        <v>-0.23703853874849401</v>
      </c>
      <c r="JD34" s="3">
        <f ca="1">IFERROR(__xludf.DUMMYFUNCTION("""COMPUTED_VALUE"""),-0.242363240901943)</f>
        <v>-0.242363240901943</v>
      </c>
      <c r="JE34" s="3">
        <f ca="1">IFERROR(__xludf.DUMMYFUNCTION("""COMPUTED_VALUE"""),-0.262860556366231)</f>
        <v>-0.26286055636623101</v>
      </c>
      <c r="JF34" s="3">
        <f ca="1">IFERROR(__xludf.DUMMYFUNCTION("""COMPUTED_VALUE"""),-0.192282051168118)</f>
        <v>-0.192282051168118</v>
      </c>
      <c r="JG34" s="3">
        <f ca="1">IFERROR(__xludf.DUMMYFUNCTION("""COMPUTED_VALUE"""),-0.232262249243881)</f>
        <v>-0.232262249243881</v>
      </c>
      <c r="JH34" s="3">
        <f ca="1">IFERROR(__xludf.DUMMYFUNCTION("""COMPUTED_VALUE"""),-0.236872745316835)</f>
        <v>-0.236872745316835</v>
      </c>
      <c r="JI34" s="3">
        <f ca="1">IFERROR(__xludf.DUMMYFUNCTION("""COMPUTED_VALUE"""),-0.205156176284365)</f>
        <v>-0.205156176284365</v>
      </c>
      <c r="JJ34" s="3">
        <f ca="1">IFERROR(__xludf.DUMMYFUNCTION("""COMPUTED_VALUE"""),-0.26158510553716)</f>
        <v>-0.26158510553716002</v>
      </c>
      <c r="JK34" s="3">
        <f ca="1">IFERROR(__xludf.DUMMYFUNCTION("""COMPUTED_VALUE"""),-0.225726336412575)</f>
        <v>-0.225726336412575</v>
      </c>
      <c r="JL34" s="3">
        <f ca="1">IFERROR(__xludf.DUMMYFUNCTION("""COMPUTED_VALUE"""),-0.213178702544054)</f>
        <v>-0.21317870254405399</v>
      </c>
      <c r="JM34" s="3">
        <f ca="1">IFERROR(__xludf.DUMMYFUNCTION("""COMPUTED_VALUE"""),-0.207779718873531)</f>
        <v>-0.207779718873531</v>
      </c>
      <c r="JN34" s="3">
        <f ca="1">IFERROR(__xludf.DUMMYFUNCTION("""COMPUTED_VALUE"""),-0.285994800384307)</f>
        <v>-0.28599480038430702</v>
      </c>
      <c r="JO34" s="3">
        <f ca="1">IFERROR(__xludf.DUMMYFUNCTION("""COMPUTED_VALUE"""),-0.261719167085503)</f>
        <v>-0.26171916708550302</v>
      </c>
      <c r="JP34" s="3">
        <f ca="1">IFERROR(__xludf.DUMMYFUNCTION("""COMPUTED_VALUE"""),-0.209575952599522)</f>
        <v>-0.209575952599522</v>
      </c>
      <c r="JQ34" s="3">
        <f ca="1">IFERROR(__xludf.DUMMYFUNCTION("""COMPUTED_VALUE"""),-0.228692173526456)</f>
        <v>-0.22869217352645599</v>
      </c>
      <c r="JR34" s="3">
        <f ca="1">IFERROR(__xludf.DUMMYFUNCTION("""COMPUTED_VALUE"""),-0.242461739864357)</f>
        <v>-0.24246173986435701</v>
      </c>
      <c r="JS34" s="3">
        <f ca="1">IFERROR(__xludf.DUMMYFUNCTION("""COMPUTED_VALUE"""),-0.330966418819953)</f>
        <v>-0.33096641881995298</v>
      </c>
      <c r="JT34" s="3">
        <f ca="1">IFERROR(__xludf.DUMMYFUNCTION("""COMPUTED_VALUE"""),-0.228886340440409)</f>
        <v>-0.22888634044040901</v>
      </c>
      <c r="JU34" s="3">
        <f ca="1">IFERROR(__xludf.DUMMYFUNCTION("""COMPUTED_VALUE"""),-0.207739951740689)</f>
        <v>-0.20773995174068899</v>
      </c>
      <c r="JV34" s="3">
        <f ca="1">IFERROR(__xludf.DUMMYFUNCTION("""COMPUTED_VALUE"""),-0.217461275752656)</f>
        <v>-0.217461275752656</v>
      </c>
      <c r="JW34" s="3">
        <f ca="1">IFERROR(__xludf.DUMMYFUNCTION("""COMPUTED_VALUE"""),-0.272702255209918)</f>
        <v>-0.27270225520991798</v>
      </c>
      <c r="JX34" s="3">
        <f ca="1">IFERROR(__xludf.DUMMYFUNCTION("""COMPUTED_VALUE"""),-0.276946150745403)</f>
        <v>-0.27694615074540302</v>
      </c>
      <c r="JY34" s="3">
        <f ca="1">IFERROR(__xludf.DUMMYFUNCTION("""COMPUTED_VALUE"""),-0.322151157781457)</f>
        <v>-0.32215115778145698</v>
      </c>
      <c r="JZ34" s="3">
        <f ca="1">IFERROR(__xludf.DUMMYFUNCTION("""COMPUTED_VALUE"""),-0.317759260683771)</f>
        <v>-0.31775926068377103</v>
      </c>
      <c r="KA34" s="3">
        <f ca="1">IFERROR(__xludf.DUMMYFUNCTION("""COMPUTED_VALUE"""),-0.28561874147392)</f>
        <v>-0.28561874147392002</v>
      </c>
      <c r="KB34" s="3">
        <f ca="1">IFERROR(__xludf.DUMMYFUNCTION("""COMPUTED_VALUE"""),-0.329639320142417)</f>
        <v>-0.32963932014241698</v>
      </c>
      <c r="KC34" s="3">
        <f ca="1">IFERROR(__xludf.DUMMYFUNCTION("""COMPUTED_VALUE"""),-0.288191387807097)</f>
        <v>-0.28819138780709702</v>
      </c>
      <c r="KD34" s="3">
        <f ca="1">IFERROR(__xludf.DUMMYFUNCTION("""COMPUTED_VALUE"""),-0.31448094152665)</f>
        <v>-0.31448094152665002</v>
      </c>
      <c r="KE34" s="3">
        <f ca="1">IFERROR(__xludf.DUMMYFUNCTION("""COMPUTED_VALUE"""),-0.33647457920992)</f>
        <v>-0.33647457920992002</v>
      </c>
      <c r="KF34" s="3">
        <f ca="1">IFERROR(__xludf.DUMMYFUNCTION("""COMPUTED_VALUE"""),-0.324706696540101)</f>
        <v>-0.32470669654010098</v>
      </c>
      <c r="KG34" s="3">
        <f ca="1">IFERROR(__xludf.DUMMYFUNCTION("""COMPUTED_VALUE"""),-0.355586155381466)</f>
        <v>-0.35558615538146598</v>
      </c>
      <c r="KH34" s="3">
        <f ca="1">IFERROR(__xludf.DUMMYFUNCTION("""COMPUTED_VALUE"""),-0.332842452568242)</f>
        <v>-0.33284245256824202</v>
      </c>
      <c r="KI34" s="3">
        <f ca="1">IFERROR(__xludf.DUMMYFUNCTION("""COMPUTED_VALUE"""),-0.296127373606048)</f>
        <v>-0.29612737360604802</v>
      </c>
      <c r="KJ34" s="3">
        <f ca="1">IFERROR(__xludf.DUMMYFUNCTION("""COMPUTED_VALUE"""),-0.349165606145639)</f>
        <v>-0.34916560614563902</v>
      </c>
      <c r="KK34" s="3">
        <f ca="1">IFERROR(__xludf.DUMMYFUNCTION("""COMPUTED_VALUE"""),-0.37791433519032)</f>
        <v>-0.37791433519032003</v>
      </c>
      <c r="KL34" s="3">
        <f ca="1">IFERROR(__xludf.DUMMYFUNCTION("""COMPUTED_VALUE"""),-0.344920999801706)</f>
        <v>-0.34492099980170599</v>
      </c>
      <c r="KM34" s="3">
        <f ca="1">IFERROR(__xludf.DUMMYFUNCTION("""COMPUTED_VALUE"""),-0.427107095238911)</f>
        <v>-0.42710709523891099</v>
      </c>
      <c r="KN34" s="3">
        <f ca="1">IFERROR(__xludf.DUMMYFUNCTION("""COMPUTED_VALUE"""),-0.382846095378684)</f>
        <v>-0.38284609537868403</v>
      </c>
      <c r="KO34" s="3">
        <f ca="1">IFERROR(__xludf.DUMMYFUNCTION("""COMPUTED_VALUE"""),-0.397724706385159)</f>
        <v>-0.397724706385159</v>
      </c>
      <c r="KP34" s="3">
        <f ca="1">IFERROR(__xludf.DUMMYFUNCTION("""COMPUTED_VALUE"""),-0.407937152076832)</f>
        <v>-0.40793715207683201</v>
      </c>
      <c r="KQ34" s="3">
        <f ca="1">IFERROR(__xludf.DUMMYFUNCTION("""COMPUTED_VALUE"""),-0.417631051710208)</f>
        <v>-0.41763105171020798</v>
      </c>
      <c r="KR34" s="3">
        <f ca="1">IFERROR(__xludf.DUMMYFUNCTION("""COMPUTED_VALUE"""),-0.409150814975016)</f>
        <v>-0.40915081497501599</v>
      </c>
      <c r="KS34" s="3">
        <f ca="1">IFERROR(__xludf.DUMMYFUNCTION("""COMPUTED_VALUE"""),-0.427798709825784)</f>
        <v>-0.427798709825784</v>
      </c>
      <c r="KT34" s="3">
        <f ca="1">IFERROR(__xludf.DUMMYFUNCTION("""COMPUTED_VALUE"""),-0.382473916174176)</f>
        <v>-0.38247391617417598</v>
      </c>
      <c r="KU34" s="3">
        <f ca="1">IFERROR(__xludf.DUMMYFUNCTION("""COMPUTED_VALUE"""),-0.441066549536672)</f>
        <v>-0.44106654953667201</v>
      </c>
      <c r="KV34" s="3">
        <f ca="1">IFERROR(__xludf.DUMMYFUNCTION("""COMPUTED_VALUE"""),-0.397912946047632)</f>
        <v>-0.397912946047632</v>
      </c>
      <c r="KW34" s="3">
        <f ca="1">IFERROR(__xludf.DUMMYFUNCTION("""COMPUTED_VALUE"""),-0.416661391701881)</f>
        <v>-0.41666139170188099</v>
      </c>
      <c r="KX34" s="3">
        <f ca="1">IFERROR(__xludf.DUMMYFUNCTION("""COMPUTED_VALUE"""),-0.404968033224722)</f>
        <v>-0.40496803322472202</v>
      </c>
      <c r="KY34" s="3">
        <f ca="1">IFERROR(__xludf.DUMMYFUNCTION("""COMPUTED_VALUE"""),-0.446831178548135)</f>
        <v>-0.44683117854813498</v>
      </c>
      <c r="KZ34" s="3">
        <f ca="1">IFERROR(__xludf.DUMMYFUNCTION("""COMPUTED_VALUE"""),-0.407084042021736)</f>
        <v>-0.40708404202173598</v>
      </c>
      <c r="LA34" s="3">
        <f ca="1">IFERROR(__xludf.DUMMYFUNCTION("""COMPUTED_VALUE"""),-0.360938900644364)</f>
        <v>-0.36093890064436401</v>
      </c>
      <c r="LB34" s="3">
        <f ca="1">IFERROR(__xludf.DUMMYFUNCTION("""COMPUTED_VALUE"""),-0.427761458921464)</f>
        <v>-0.427761458921464</v>
      </c>
      <c r="LC34" s="3">
        <f ca="1">IFERROR(__xludf.DUMMYFUNCTION("""COMPUTED_VALUE"""),-0.355121157264641)</f>
        <v>-0.355121157264641</v>
      </c>
      <c r="LD34" s="3">
        <f ca="1">IFERROR(__xludf.DUMMYFUNCTION("""COMPUTED_VALUE"""),-0.465367369691258)</f>
        <v>-0.46536736969125803</v>
      </c>
      <c r="LE34" s="3">
        <f ca="1">IFERROR(__xludf.DUMMYFUNCTION("""COMPUTED_VALUE"""),-0.443891176245896)</f>
        <v>-0.44389117624589602</v>
      </c>
      <c r="LF34" s="3">
        <f ca="1">IFERROR(__xludf.DUMMYFUNCTION("""COMPUTED_VALUE"""),-0.376412846808141)</f>
        <v>-0.37641284680814102</v>
      </c>
      <c r="LG34" s="3">
        <f ca="1">IFERROR(__xludf.DUMMYFUNCTION("""COMPUTED_VALUE"""),-0.434489590562146)</f>
        <v>-0.43448959056214598</v>
      </c>
      <c r="LH34" s="3">
        <f ca="1">IFERROR(__xludf.DUMMYFUNCTION("""COMPUTED_VALUE"""),-0.384184599876104)</f>
        <v>-0.38418459987610398</v>
      </c>
      <c r="LI34" s="3">
        <f ca="1">IFERROR(__xludf.DUMMYFUNCTION("""COMPUTED_VALUE"""),-0.435211714186834)</f>
        <v>-0.43521171418683402</v>
      </c>
      <c r="LJ34" s="3">
        <f ca="1">IFERROR(__xludf.DUMMYFUNCTION("""COMPUTED_VALUE"""),-0.515204028676991)</f>
        <v>-0.515204028676991</v>
      </c>
      <c r="LK34" s="3">
        <f ca="1">IFERROR(__xludf.DUMMYFUNCTION("""COMPUTED_VALUE"""),-0.452787531419101)</f>
        <v>-0.452787531419101</v>
      </c>
      <c r="LL34" s="3">
        <f ca="1">IFERROR(__xludf.DUMMYFUNCTION("""COMPUTED_VALUE"""),-0.4871634512924)</f>
        <v>-0.48716345129240002</v>
      </c>
      <c r="LM34" s="3">
        <f ca="1">IFERROR(__xludf.DUMMYFUNCTION("""COMPUTED_VALUE"""),-0.540889033731647)</f>
        <v>-0.54088903373164698</v>
      </c>
      <c r="LN34" s="3">
        <f ca="1">IFERROR(__xludf.DUMMYFUNCTION("""COMPUTED_VALUE"""),-0.520718468958824)</f>
        <v>-0.52071846895882401</v>
      </c>
      <c r="LO34" s="3">
        <f ca="1">IFERROR(__xludf.DUMMYFUNCTION("""COMPUTED_VALUE"""),-0.470214728279784)</f>
        <v>-0.470214728279784</v>
      </c>
      <c r="LP34" s="3">
        <f ca="1">IFERROR(__xludf.DUMMYFUNCTION("""COMPUTED_VALUE"""),-0.453169712122449)</f>
        <v>-0.453169712122449</v>
      </c>
      <c r="LQ34" s="3">
        <f ca="1">IFERROR(__xludf.DUMMYFUNCTION("""COMPUTED_VALUE"""),-0.505557068403709)</f>
        <v>-0.50555706840370895</v>
      </c>
      <c r="LR34" s="3">
        <f ca="1">IFERROR(__xludf.DUMMYFUNCTION("""COMPUTED_VALUE"""),-0.51176265404267)</f>
        <v>-0.51176265404266996</v>
      </c>
      <c r="LS34" s="3">
        <f ca="1">IFERROR(__xludf.DUMMYFUNCTION("""COMPUTED_VALUE"""),-0.541813221170834)</f>
        <v>-0.54181322117083397</v>
      </c>
      <c r="LT34" s="3">
        <f ca="1">IFERROR(__xludf.DUMMYFUNCTION("""COMPUTED_VALUE"""),-0.553952324221324)</f>
        <v>-0.55395232422132401</v>
      </c>
      <c r="LU34" s="3">
        <f ca="1">IFERROR(__xludf.DUMMYFUNCTION("""COMPUTED_VALUE"""),-0.614917351845422)</f>
        <v>-0.61491735184542196</v>
      </c>
      <c r="LV34" s="3">
        <f ca="1">IFERROR(__xludf.DUMMYFUNCTION("""COMPUTED_VALUE"""),-0.551347771280461)</f>
        <v>-0.55134777128046097</v>
      </c>
      <c r="LW34" s="3">
        <f ca="1">IFERROR(__xludf.DUMMYFUNCTION("""COMPUTED_VALUE"""),-0.606632098006384)</f>
        <v>-0.60663209800638396</v>
      </c>
      <c r="LX34" s="3">
        <f ca="1">IFERROR(__xludf.DUMMYFUNCTION("""COMPUTED_VALUE"""),-0.519133392414615)</f>
        <v>-0.51913339241461498</v>
      </c>
      <c r="LY34" s="3">
        <f ca="1">IFERROR(__xludf.DUMMYFUNCTION("""COMPUTED_VALUE"""),-0.546829954269362)</f>
        <v>-0.54682995426936198</v>
      </c>
      <c r="LZ34" s="3">
        <f ca="1">IFERROR(__xludf.DUMMYFUNCTION("""COMPUTED_VALUE"""),-0.56098983087557)</f>
        <v>-0.56098983087556997</v>
      </c>
      <c r="MA34" s="3">
        <f ca="1">IFERROR(__xludf.DUMMYFUNCTION("""COMPUTED_VALUE"""),-0.600381090960008)</f>
        <v>-0.60038109096000802</v>
      </c>
      <c r="MB34" s="3">
        <f ca="1">IFERROR(__xludf.DUMMYFUNCTION("""COMPUTED_VALUE"""),-0.639730651589664)</f>
        <v>-0.63973065158966402</v>
      </c>
      <c r="MC34" s="3">
        <f ca="1">IFERROR(__xludf.DUMMYFUNCTION("""COMPUTED_VALUE"""),-0.69065452469634)</f>
        <v>-0.69065452469634003</v>
      </c>
      <c r="MD34" s="3">
        <f ca="1">IFERROR(__xludf.DUMMYFUNCTION("""COMPUTED_VALUE"""),-0.618222289659944)</f>
        <v>-0.61822228965994397</v>
      </c>
      <c r="ME34" s="3">
        <f ca="1">IFERROR(__xludf.DUMMYFUNCTION("""COMPUTED_VALUE"""),-0.619455271180453)</f>
        <v>-0.61945527118045296</v>
      </c>
      <c r="MF34" s="3">
        <f ca="1">IFERROR(__xludf.DUMMYFUNCTION("""COMPUTED_VALUE"""),-0.62429911687927)</f>
        <v>-0.62429911687926998</v>
      </c>
      <c r="MG34" s="3">
        <f ca="1">IFERROR(__xludf.DUMMYFUNCTION("""COMPUTED_VALUE"""),-0.651594972992697)</f>
        <v>-0.65159497299269697</v>
      </c>
      <c r="MH34" s="3">
        <f ca="1">IFERROR(__xludf.DUMMYFUNCTION("""COMPUTED_VALUE"""),-0.673504261112308)</f>
        <v>-0.67350426111230799</v>
      </c>
      <c r="MI34" s="3">
        <f ca="1">IFERROR(__xludf.DUMMYFUNCTION("""COMPUTED_VALUE"""),-0.653176936176708)</f>
        <v>-0.65317693617670802</v>
      </c>
      <c r="MJ34" s="3">
        <f ca="1">IFERROR(__xludf.DUMMYFUNCTION("""COMPUTED_VALUE"""),-0.710912528572559)</f>
        <v>-0.71091252857255904</v>
      </c>
      <c r="MK34" s="3">
        <f ca="1">IFERROR(__xludf.DUMMYFUNCTION("""COMPUTED_VALUE"""),-0.701840396404376)</f>
        <v>-0.70184039640437601</v>
      </c>
      <c r="ML34" s="3">
        <f ca="1">IFERROR(__xludf.DUMMYFUNCTION("""COMPUTED_VALUE"""),-0.657095939939853)</f>
        <v>-0.65709593993985305</v>
      </c>
      <c r="MM34" s="3">
        <f ca="1">IFERROR(__xludf.DUMMYFUNCTION("""COMPUTED_VALUE"""),-0.667834410771065)</f>
        <v>-0.66783441077106498</v>
      </c>
      <c r="MN34" s="3">
        <f ca="1">IFERROR(__xludf.DUMMYFUNCTION("""COMPUTED_VALUE"""),-0.694432881448789)</f>
        <v>-0.69443288144878901</v>
      </c>
      <c r="MO34" s="3">
        <f ca="1">IFERROR(__xludf.DUMMYFUNCTION("""COMPUTED_VALUE"""),-0.723959649264192)</f>
        <v>-0.72395964926419198</v>
      </c>
      <c r="MP34" s="3">
        <f ca="1">IFERROR(__xludf.DUMMYFUNCTION("""COMPUTED_VALUE"""),-0.728210102685979)</f>
        <v>-0.72821010268597897</v>
      </c>
      <c r="MQ34" s="3">
        <f ca="1">IFERROR(__xludf.DUMMYFUNCTION("""COMPUTED_VALUE"""),-0.734643625907729)</f>
        <v>-0.73464362590772903</v>
      </c>
      <c r="MR34" s="3">
        <f ca="1">IFERROR(__xludf.DUMMYFUNCTION("""COMPUTED_VALUE"""),-0.746328578949513)</f>
        <v>-0.74632857894951299</v>
      </c>
      <c r="MS34" s="3">
        <f ca="1">IFERROR(__xludf.DUMMYFUNCTION("""COMPUTED_VALUE"""),-0.688767951641899)</f>
        <v>-0.68876795164189897</v>
      </c>
      <c r="MT34" s="3">
        <f ca="1">IFERROR(__xludf.DUMMYFUNCTION("""COMPUTED_VALUE"""),-0.681701886179736)</f>
        <v>-0.68170188617973604</v>
      </c>
      <c r="MU34" s="3">
        <f ca="1">IFERROR(__xludf.DUMMYFUNCTION("""COMPUTED_VALUE"""),-0.712390861337863)</f>
        <v>-0.712390861337863</v>
      </c>
      <c r="MV34" s="3">
        <f ca="1">IFERROR(__xludf.DUMMYFUNCTION("""COMPUTED_VALUE"""),-0.747417277802474)</f>
        <v>-0.74741727780247402</v>
      </c>
      <c r="MW34" s="3">
        <f ca="1">IFERROR(__xludf.DUMMYFUNCTION("""COMPUTED_VALUE"""),-0.761531916769253)</f>
        <v>-0.76153191676925303</v>
      </c>
      <c r="MX34" s="3">
        <f ca="1">IFERROR(__xludf.DUMMYFUNCTION("""COMPUTED_VALUE"""),-0.748089675812501)</f>
        <v>-0.74808967581250096</v>
      </c>
      <c r="MY34" s="3">
        <f ca="1">IFERROR(__xludf.DUMMYFUNCTION("""COMPUTED_VALUE"""),-0.784295131733694)</f>
        <v>-0.78429513173369403</v>
      </c>
      <c r="MZ34" s="3">
        <f ca="1">IFERROR(__xludf.DUMMYFUNCTION("""COMPUTED_VALUE"""),-0.74986874822247)</f>
        <v>-0.74986874822246996</v>
      </c>
      <c r="NA34" s="3">
        <f ca="1">IFERROR(__xludf.DUMMYFUNCTION("""COMPUTED_VALUE"""),-0.745279346944636)</f>
        <v>-0.74527934694463605</v>
      </c>
      <c r="NB34" s="3">
        <f ca="1">IFERROR(__xludf.DUMMYFUNCTION("""COMPUTED_VALUE"""),-0.729137067078387)</f>
        <v>-0.72913706707838699</v>
      </c>
      <c r="NC34" s="3">
        <f ca="1">IFERROR(__xludf.DUMMYFUNCTION("""COMPUTED_VALUE"""),-0.785145416566169)</f>
        <v>-0.78514541656616899</v>
      </c>
      <c r="ND34" s="3">
        <f ca="1">IFERROR(__xludf.DUMMYFUNCTION("""COMPUTED_VALUE"""),-0.771559050716329)</f>
        <v>-0.77155905071632902</v>
      </c>
      <c r="NE34" s="3">
        <f ca="1">IFERROR(__xludf.DUMMYFUNCTION("""COMPUTED_VALUE"""),-0.80041304574674)</f>
        <v>-0.80041304574673999</v>
      </c>
      <c r="NF34" s="3">
        <f ca="1">IFERROR(__xludf.DUMMYFUNCTION("""COMPUTED_VALUE"""),-0.747695652388058)</f>
        <v>-0.74769565238805802</v>
      </c>
      <c r="NG34" s="3">
        <f ca="1">IFERROR(__xludf.DUMMYFUNCTION("""COMPUTED_VALUE"""),-0.749394228071767)</f>
        <v>-0.74939422807176703</v>
      </c>
      <c r="NH34" s="3">
        <f ca="1">IFERROR(__xludf.DUMMYFUNCTION("""COMPUTED_VALUE"""),-0.744597883718246)</f>
        <v>-0.74459788371824598</v>
      </c>
      <c r="NI34" s="3">
        <f ca="1">IFERROR(__xludf.DUMMYFUNCTION("""COMPUTED_VALUE"""),-0.73292482327125)</f>
        <v>-0.73292482327124997</v>
      </c>
      <c r="NJ34" s="3">
        <f ca="1">IFERROR(__xludf.DUMMYFUNCTION("""COMPUTED_VALUE"""),-0.796157599121274)</f>
        <v>-0.79615759912127404</v>
      </c>
      <c r="NK34" s="3">
        <f ca="1">IFERROR(__xludf.DUMMYFUNCTION("""COMPUTED_VALUE"""),-0.805639483365256)</f>
        <v>-0.80563948336525604</v>
      </c>
      <c r="NL34" s="3">
        <f ca="1">IFERROR(__xludf.DUMMYFUNCTION("""COMPUTED_VALUE"""),-0.788453035805792)</f>
        <v>-0.78845303580579196</v>
      </c>
      <c r="NM34" s="3">
        <f ca="1">IFERROR(__xludf.DUMMYFUNCTION("""COMPUTED_VALUE"""),-0.778174992294409)</f>
        <v>-0.77817499229440901</v>
      </c>
      <c r="NN34" s="3">
        <f ca="1">IFERROR(__xludf.DUMMYFUNCTION("""COMPUTED_VALUE"""),-0.751570571606594)</f>
        <v>-0.75157057160659402</v>
      </c>
      <c r="NO34" s="3">
        <f ca="1">IFERROR(__xludf.DUMMYFUNCTION("""COMPUTED_VALUE"""),-0.695800518514786)</f>
        <v>-0.69580051851478597</v>
      </c>
      <c r="NP34" s="3">
        <f ca="1">IFERROR(__xludf.DUMMYFUNCTION("""COMPUTED_VALUE"""),-0.71607235114623)</f>
        <v>-0.71607235114623002</v>
      </c>
      <c r="NQ34" s="3">
        <f ca="1">IFERROR(__xludf.DUMMYFUNCTION("""COMPUTED_VALUE"""),-0.779960211910526)</f>
        <v>-0.779960211910526</v>
      </c>
      <c r="NR34" s="3">
        <f ca="1">IFERROR(__xludf.DUMMYFUNCTION("""COMPUTED_VALUE"""),-0.783886167867125)</f>
        <v>-0.78388616786712495</v>
      </c>
      <c r="NS34" s="3">
        <f ca="1">IFERROR(__xludf.DUMMYFUNCTION("""COMPUTED_VALUE"""),-0.765892111762791)</f>
        <v>-0.76589211176279104</v>
      </c>
      <c r="NT34" s="3">
        <f ca="1">IFERROR(__xludf.DUMMYFUNCTION("""COMPUTED_VALUE"""),-0.753407724784855)</f>
        <v>-0.75340772478485496</v>
      </c>
      <c r="NU34" s="3">
        <f ca="1">IFERROR(__xludf.DUMMYFUNCTION("""COMPUTED_VALUE"""),-0.715063734775545)</f>
        <v>-0.71506373477554497</v>
      </c>
      <c r="NV34" s="3">
        <f ca="1">IFERROR(__xludf.DUMMYFUNCTION("""COMPUTED_VALUE"""),-0.676249155228133)</f>
        <v>-0.676249155228133</v>
      </c>
      <c r="NW34" s="3">
        <f ca="1">IFERROR(__xludf.DUMMYFUNCTION("""COMPUTED_VALUE"""),-0.62681399452788)</f>
        <v>-0.62681399452788</v>
      </c>
      <c r="NX34" s="3">
        <f ca="1">IFERROR(__xludf.DUMMYFUNCTION("""COMPUTED_VALUE"""),-0.65919177868223)</f>
        <v>-0.65919177868223</v>
      </c>
      <c r="NY34" s="3">
        <f ca="1">IFERROR(__xludf.DUMMYFUNCTION("""COMPUTED_VALUE"""),-0.591857096022989)</f>
        <v>-0.59185709602298897</v>
      </c>
      <c r="NZ34" s="3">
        <f ca="1">IFERROR(__xludf.DUMMYFUNCTION("""COMPUTED_VALUE"""),-0.524440070719993)</f>
        <v>-0.52444007071999299</v>
      </c>
      <c r="OA34" s="3">
        <f ca="1">IFERROR(__xludf.DUMMYFUNCTION("""COMPUTED_VALUE"""),-0.445863803901864)</f>
        <v>-0.44586380390186398</v>
      </c>
      <c r="OB34" s="3">
        <f ca="1">IFERROR(__xludf.DUMMYFUNCTION("""COMPUTED_VALUE"""),-0.297787665359913)</f>
        <v>-0.29778766535991302</v>
      </c>
      <c r="OC34" s="3">
        <f ca="1">IFERROR(__xludf.DUMMYFUNCTION("""COMPUTED_VALUE"""),-0.208839970681332)</f>
        <v>-0.208839970681332</v>
      </c>
      <c r="OD34" s="3">
        <f ca="1">IFERROR(__xludf.DUMMYFUNCTION("""COMPUTED_VALUE"""),-0.133077898180311)</f>
        <v>-0.13307789818031099</v>
      </c>
      <c r="OE34" s="3">
        <f ca="1">IFERROR(__xludf.DUMMYFUNCTION("""COMPUTED_VALUE"""),-0.1308227678334)</f>
        <v>-0.13082276783339999</v>
      </c>
      <c r="OF34" s="3">
        <f ca="1">IFERROR(__xludf.DUMMYFUNCTION("""COMPUTED_VALUE"""),-0.0604245760969932)</f>
        <v>-6.0424576096993199E-2</v>
      </c>
      <c r="OG34" s="3">
        <f ca="1">IFERROR(__xludf.DUMMYFUNCTION("""COMPUTED_VALUE"""),-0.0801423760096045)</f>
        <v>-8.0142376009604499E-2</v>
      </c>
      <c r="OH34" s="3">
        <f ca="1">IFERROR(__xludf.DUMMYFUNCTION("""COMPUTED_VALUE"""),-0.052780562573089)</f>
        <v>-5.2780562573089003E-2</v>
      </c>
      <c r="OI34" s="3">
        <f ca="1">IFERROR(__xludf.DUMMYFUNCTION("""COMPUTED_VALUE"""),-0.0427066958790495)</f>
        <v>-4.2706695879049503E-2</v>
      </c>
      <c r="OJ34" s="3">
        <f ca="1">IFERROR(__xludf.DUMMYFUNCTION("""COMPUTED_VALUE"""),-0.124382541905826)</f>
        <v>-0.124382541905826</v>
      </c>
      <c r="OK34" s="3">
        <f ca="1">IFERROR(__xludf.DUMMYFUNCTION("""COMPUTED_VALUE"""),-0.0316089721685058)</f>
        <v>-3.1608972168505799E-2</v>
      </c>
      <c r="OL34" s="3">
        <f ca="1">IFERROR(__xludf.DUMMYFUNCTION("""COMPUTED_VALUE"""),-0.0402115048712887)</f>
        <v>-4.0211504871288703E-2</v>
      </c>
      <c r="OM34" s="3">
        <f ca="1">IFERROR(__xludf.DUMMYFUNCTION("""COMPUTED_VALUE"""),-0.0636637364492875)</f>
        <v>-6.3663736449287495E-2</v>
      </c>
      <c r="ON34" s="3">
        <f ca="1">IFERROR(__xludf.DUMMYFUNCTION("""COMPUTED_VALUE"""),-0.0283402483652371)</f>
        <v>-2.8340248365237099E-2</v>
      </c>
      <c r="OO34" s="3">
        <f ca="1">IFERROR(__xludf.DUMMYFUNCTION("""COMPUTED_VALUE"""),-0.0105913807711957)</f>
        <v>-1.05913807711957E-2</v>
      </c>
      <c r="OP34" s="3">
        <f ca="1">IFERROR(__xludf.DUMMYFUNCTION("""COMPUTED_VALUE"""),0.0138943848010215)</f>
        <v>1.38943848010215E-2</v>
      </c>
      <c r="OQ34" s="3">
        <f ca="1">IFERROR(__xludf.DUMMYFUNCTION("""COMPUTED_VALUE"""),0.0727499789039785)</f>
        <v>7.2749978903978496E-2</v>
      </c>
      <c r="OR34" s="3">
        <f ca="1">IFERROR(__xludf.DUMMYFUNCTION("""COMPUTED_VALUE"""),0.0553091874018472)</f>
        <v>5.5309187401847197E-2</v>
      </c>
      <c r="OS34" s="3">
        <f ca="1">IFERROR(__xludf.DUMMYFUNCTION("""COMPUTED_VALUE"""),-0.0200451296308593)</f>
        <v>-2.0045129630859301E-2</v>
      </c>
      <c r="OT34" s="3">
        <f ca="1">IFERROR(__xludf.DUMMYFUNCTION("""COMPUTED_VALUE"""),0.0712399077956047)</f>
        <v>7.1239907795604698E-2</v>
      </c>
      <c r="OU34" s="3">
        <f ca="1">IFERROR(__xludf.DUMMYFUNCTION("""COMPUTED_VALUE"""),0.0616494333963264)</f>
        <v>6.1649433396326399E-2</v>
      </c>
      <c r="OV34" s="3">
        <f ca="1">IFERROR(__xludf.DUMMYFUNCTION("""COMPUTED_VALUE"""),-0.00877691021733761)</f>
        <v>-8.7769102173376103E-3</v>
      </c>
      <c r="OW34" s="3">
        <f ca="1">IFERROR(__xludf.DUMMYFUNCTION("""COMPUTED_VALUE"""),0.00703668392111112)</f>
        <v>7.0366839211111198E-3</v>
      </c>
      <c r="OX34" s="3">
        <f ca="1">IFERROR(__xludf.DUMMYFUNCTION("""COMPUTED_VALUE"""),-0.0546148076662125)</f>
        <v>-5.4614807666212503E-2</v>
      </c>
      <c r="OY34" s="3">
        <f ca="1">IFERROR(__xludf.DUMMYFUNCTION("""COMPUTED_VALUE"""),-0.00630160806264423)</f>
        <v>-6.3016080626442303E-3</v>
      </c>
      <c r="OZ34" s="3">
        <f ca="1">IFERROR(__xludf.DUMMYFUNCTION("""COMPUTED_VALUE"""),-0.073495492886122)</f>
        <v>-7.3495492886122005E-2</v>
      </c>
      <c r="PA34" s="3">
        <f ca="1">IFERROR(__xludf.DUMMYFUNCTION("""COMPUTED_VALUE"""),-0.0740226905254221)</f>
        <v>-7.4022690525422097E-2</v>
      </c>
      <c r="PB34" s="3">
        <f ca="1">IFERROR(__xludf.DUMMYFUNCTION("""COMPUTED_VALUE"""),-0.0932260543184223)</f>
        <v>-9.3226054318422305E-2</v>
      </c>
      <c r="PC34" s="3">
        <f ca="1">IFERROR(__xludf.DUMMYFUNCTION("""COMPUTED_VALUE"""),-0.0845794898740648)</f>
        <v>-8.45794898740648E-2</v>
      </c>
      <c r="PD34" s="3">
        <f ca="1">IFERROR(__xludf.DUMMYFUNCTION("""COMPUTED_VALUE"""),-0.208140032682267)</f>
        <v>-0.208140032682267</v>
      </c>
      <c r="PE34" s="3">
        <f ca="1">IFERROR(__xludf.DUMMYFUNCTION("""COMPUTED_VALUE"""),0.137326923497364)</f>
        <v>0.137326923497364</v>
      </c>
      <c r="PF34" s="3">
        <f ca="1">IFERROR(__xludf.DUMMYFUNCTION("""COMPUTED_VALUE"""),0.0488022765906905)</f>
        <v>4.8802276590690502E-2</v>
      </c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</row>
    <row r="35" spans="1:594" ht="15.75" customHeight="1">
      <c r="A35" s="1" t="str">
        <f ca="1">IFERROR(__xludf.DUMMYFUNCTION("""COMPUTED_VALUE"""),"Kingston")</f>
        <v>Kingston</v>
      </c>
      <c r="B35" s="3">
        <f ca="1">IFERROR(__xludf.DUMMYFUNCTION("""COMPUTED_VALUE"""),-0.751130799332096)</f>
        <v>-0.75113079933209603</v>
      </c>
      <c r="C35" s="3">
        <f ca="1">IFERROR(__xludf.DUMMYFUNCTION("""COMPUTED_VALUE"""),-0.654297562212623)</f>
        <v>-0.65429756221262303</v>
      </c>
      <c r="D35" s="3">
        <f ca="1">IFERROR(__xludf.DUMMYFUNCTION("""COMPUTED_VALUE"""),-0.728280200491695)</f>
        <v>-0.72828020049169495</v>
      </c>
      <c r="E35" s="3">
        <f ca="1">IFERROR(__xludf.DUMMYFUNCTION("""COMPUTED_VALUE"""),-0.664100948595372)</f>
        <v>-0.66410094859537205</v>
      </c>
      <c r="F35" s="3">
        <f ca="1">IFERROR(__xludf.DUMMYFUNCTION("""COMPUTED_VALUE"""),-0.715839211222627)</f>
        <v>-0.71583921122262695</v>
      </c>
      <c r="G35" s="3">
        <f ca="1">IFERROR(__xludf.DUMMYFUNCTION("""COMPUTED_VALUE"""),-0.772013541030188)</f>
        <v>-0.77201354103018804</v>
      </c>
      <c r="H35" s="3">
        <f ca="1">IFERROR(__xludf.DUMMYFUNCTION("""COMPUTED_VALUE"""),-0.803439233748956)</f>
        <v>-0.80343923374895598</v>
      </c>
      <c r="I35" s="3">
        <f ca="1">IFERROR(__xludf.DUMMYFUNCTION("""COMPUTED_VALUE"""),-0.733253561511159)</f>
        <v>-0.73325356151115895</v>
      </c>
      <c r="J35" s="3">
        <f ca="1">IFERROR(__xludf.DUMMYFUNCTION("""COMPUTED_VALUE"""),-0.929382345374683)</f>
        <v>-0.92938234537468301</v>
      </c>
      <c r="K35" s="3">
        <f ca="1">IFERROR(__xludf.DUMMYFUNCTION("""COMPUTED_VALUE"""),-0.636263022558422)</f>
        <v>-0.63626302255842204</v>
      </c>
      <c r="L35" s="3">
        <f ca="1">IFERROR(__xludf.DUMMYFUNCTION("""COMPUTED_VALUE"""),-0.694639805408068)</f>
        <v>-0.69463980540806802</v>
      </c>
      <c r="M35" s="3">
        <f ca="1">IFERROR(__xludf.DUMMYFUNCTION("""COMPUTED_VALUE"""),-0.678947163756475)</f>
        <v>-0.67894716375647501</v>
      </c>
      <c r="N35" s="3">
        <f ca="1">IFERROR(__xludf.DUMMYFUNCTION("""COMPUTED_VALUE"""),-0.687030679502531)</f>
        <v>-0.68703067950253105</v>
      </c>
      <c r="O35" s="3">
        <f ca="1">IFERROR(__xludf.DUMMYFUNCTION("""COMPUTED_VALUE"""),-0.711808717696603)</f>
        <v>-0.71180871769660303</v>
      </c>
      <c r="P35" s="3">
        <f ca="1">IFERROR(__xludf.DUMMYFUNCTION("""COMPUTED_VALUE"""),-0.67134057484052)</f>
        <v>-0.67134057484052001</v>
      </c>
      <c r="Q35" s="3">
        <f ca="1">IFERROR(__xludf.DUMMYFUNCTION("""COMPUTED_VALUE"""),-0.712046450167007)</f>
        <v>-0.71204645016700696</v>
      </c>
      <c r="R35" s="3">
        <f ca="1">IFERROR(__xludf.DUMMYFUNCTION("""COMPUTED_VALUE"""),-0.681013475596871)</f>
        <v>-0.68101347559687098</v>
      </c>
      <c r="S35" s="3">
        <f ca="1">IFERROR(__xludf.DUMMYFUNCTION("""COMPUTED_VALUE"""),-0.716510832454121)</f>
        <v>-0.71651083245412095</v>
      </c>
      <c r="T35" s="3">
        <f ca="1">IFERROR(__xludf.DUMMYFUNCTION("""COMPUTED_VALUE"""),-0.706206509547493)</f>
        <v>-0.70620650954749298</v>
      </c>
      <c r="U35" s="3">
        <f ca="1">IFERROR(__xludf.DUMMYFUNCTION("""COMPUTED_VALUE"""),-0.679279493057433)</f>
        <v>-0.67927949305743296</v>
      </c>
      <c r="V35" s="3">
        <f ca="1">IFERROR(__xludf.DUMMYFUNCTION("""COMPUTED_VALUE"""),-0.645017657751806)</f>
        <v>-0.64501765775180597</v>
      </c>
      <c r="W35" s="3">
        <f ca="1">IFERROR(__xludf.DUMMYFUNCTION("""COMPUTED_VALUE"""),-0.671587971524178)</f>
        <v>-0.67158797152417804</v>
      </c>
      <c r="X35" s="3">
        <f ca="1">IFERROR(__xludf.DUMMYFUNCTION("""COMPUTED_VALUE"""),-0.695301601482541)</f>
        <v>-0.69530160148254105</v>
      </c>
      <c r="Y35" s="3">
        <f ca="1">IFERROR(__xludf.DUMMYFUNCTION("""COMPUTED_VALUE"""),-0.705325972916248)</f>
        <v>-0.70532597291624799</v>
      </c>
      <c r="Z35" s="3">
        <f ca="1">IFERROR(__xludf.DUMMYFUNCTION("""COMPUTED_VALUE"""),-0.703953669678783)</f>
        <v>-0.70395366967878303</v>
      </c>
      <c r="AA35" s="3">
        <f ca="1">IFERROR(__xludf.DUMMYFUNCTION("""COMPUTED_VALUE"""),-0.697291912286338)</f>
        <v>-0.69729191228633802</v>
      </c>
      <c r="AB35" s="3">
        <f ca="1">IFERROR(__xludf.DUMMYFUNCTION("""COMPUTED_VALUE"""),-0.700643014879322)</f>
        <v>-0.70064301487932201</v>
      </c>
      <c r="AC35" s="3">
        <f ca="1">IFERROR(__xludf.DUMMYFUNCTION("""COMPUTED_VALUE"""),-0.656996992435801)</f>
        <v>-0.65699699243580101</v>
      </c>
      <c r="AD35" s="3">
        <f ca="1">IFERROR(__xludf.DUMMYFUNCTION("""COMPUTED_VALUE"""),-0.671715589959886)</f>
        <v>-0.67171558995988601</v>
      </c>
      <c r="AE35" s="3">
        <f ca="1">IFERROR(__xludf.DUMMYFUNCTION("""COMPUTED_VALUE"""),-0.697964310355999)</f>
        <v>-0.69796431035599904</v>
      </c>
      <c r="AF35" s="3">
        <f ca="1">IFERROR(__xludf.DUMMYFUNCTION("""COMPUTED_VALUE"""),-0.716393480158022)</f>
        <v>-0.71639348015802196</v>
      </c>
      <c r="AG35" s="3">
        <f ca="1">IFERROR(__xludf.DUMMYFUNCTION("""COMPUTED_VALUE"""),-0.700669587633589)</f>
        <v>-0.700669587633589</v>
      </c>
      <c r="AH35" s="3">
        <f ca="1">IFERROR(__xludf.DUMMYFUNCTION("""COMPUTED_VALUE"""),-0.709270330257778)</f>
        <v>-0.70927033025777797</v>
      </c>
      <c r="AI35" s="3">
        <f ca="1">IFERROR(__xludf.DUMMYFUNCTION("""COMPUTED_VALUE"""),-0.70680800851599)</f>
        <v>-0.70680800851599002</v>
      </c>
      <c r="AJ35" s="3">
        <f ca="1">IFERROR(__xludf.DUMMYFUNCTION("""COMPUTED_VALUE"""),-0.644322692484563)</f>
        <v>-0.64432269248456298</v>
      </c>
      <c r="AK35" s="3">
        <f ca="1">IFERROR(__xludf.DUMMYFUNCTION("""COMPUTED_VALUE"""),-0.689109816766574)</f>
        <v>-0.68910981676657401</v>
      </c>
      <c r="AL35" s="3">
        <f ca="1">IFERROR(__xludf.DUMMYFUNCTION("""COMPUTED_VALUE"""),-0.678940157979039)</f>
        <v>-0.67894015797903895</v>
      </c>
      <c r="AM35" s="3">
        <f ca="1">IFERROR(__xludf.DUMMYFUNCTION("""COMPUTED_VALUE"""),-0.687943054063845)</f>
        <v>-0.68794305406384504</v>
      </c>
      <c r="AN35" s="3">
        <f ca="1">IFERROR(__xludf.DUMMYFUNCTION("""COMPUTED_VALUE"""),-0.687675873612094)</f>
        <v>-0.68767587361209404</v>
      </c>
      <c r="AO35" s="3">
        <f ca="1">IFERROR(__xludf.DUMMYFUNCTION("""COMPUTED_VALUE"""),-0.725535726812671)</f>
        <v>-0.72553572681267098</v>
      </c>
      <c r="AP35" s="3">
        <f ca="1">IFERROR(__xludf.DUMMYFUNCTION("""COMPUTED_VALUE"""),-0.688024534734955)</f>
        <v>-0.68802453473495495</v>
      </c>
      <c r="AQ35" s="3">
        <f ca="1">IFERROR(__xludf.DUMMYFUNCTION("""COMPUTED_VALUE"""),-0.622348834343478)</f>
        <v>-0.62234883434347799</v>
      </c>
      <c r="AR35" s="3">
        <f ca="1">IFERROR(__xludf.DUMMYFUNCTION("""COMPUTED_VALUE"""),-0.687596851978763)</f>
        <v>-0.68759685197876297</v>
      </c>
      <c r="AS35" s="3">
        <f ca="1">IFERROR(__xludf.DUMMYFUNCTION("""COMPUTED_VALUE"""),-0.642355440328201)</f>
        <v>-0.64235544032820102</v>
      </c>
      <c r="AT35" s="3">
        <f ca="1">IFERROR(__xludf.DUMMYFUNCTION("""COMPUTED_VALUE"""),-0.691672414400471)</f>
        <v>-0.691672414400471</v>
      </c>
      <c r="AU35" s="3">
        <f ca="1">IFERROR(__xludf.DUMMYFUNCTION("""COMPUTED_VALUE"""),-0.683382251632268)</f>
        <v>-0.68338225163226796</v>
      </c>
      <c r="AV35" s="3">
        <f ca="1">IFERROR(__xludf.DUMMYFUNCTION("""COMPUTED_VALUE"""),-0.699652218826248)</f>
        <v>-0.69965221882624795</v>
      </c>
      <c r="AW35" s="3">
        <f ca="1">IFERROR(__xludf.DUMMYFUNCTION("""COMPUTED_VALUE"""),-0.671359853398924)</f>
        <v>-0.67135985339892401</v>
      </c>
      <c r="AX35" s="3">
        <f ca="1">IFERROR(__xludf.DUMMYFUNCTION("""COMPUTED_VALUE"""),-0.633751266204612)</f>
        <v>-0.63375126620461197</v>
      </c>
      <c r="AY35" s="3">
        <f ca="1">IFERROR(__xludf.DUMMYFUNCTION("""COMPUTED_VALUE"""),-0.622996665314305)</f>
        <v>-0.62299666531430498</v>
      </c>
      <c r="AZ35" s="3">
        <f ca="1">IFERROR(__xludf.DUMMYFUNCTION("""COMPUTED_VALUE"""),-0.662794538667943)</f>
        <v>-0.66279453866794302</v>
      </c>
      <c r="BA35" s="3">
        <f ca="1">IFERROR(__xludf.DUMMYFUNCTION("""COMPUTED_VALUE"""),-0.701669187010894)</f>
        <v>-0.70166918701089398</v>
      </c>
      <c r="BB35" s="3">
        <f ca="1">IFERROR(__xludf.DUMMYFUNCTION("""COMPUTED_VALUE"""),-0.668065008053881)</f>
        <v>-0.66806500805388103</v>
      </c>
      <c r="BC35" s="3">
        <f ca="1">IFERROR(__xludf.DUMMYFUNCTION("""COMPUTED_VALUE"""),-0.692589781885361)</f>
        <v>-0.69258978188536102</v>
      </c>
      <c r="BD35" s="3">
        <f ca="1">IFERROR(__xludf.DUMMYFUNCTION("""COMPUTED_VALUE"""),-0.799431666859546)</f>
        <v>-0.79943166685954603</v>
      </c>
      <c r="BE35" s="3">
        <f ca="1">IFERROR(__xludf.DUMMYFUNCTION("""COMPUTED_VALUE"""),-0.596176486069713)</f>
        <v>-0.59617648606971296</v>
      </c>
      <c r="BF35" s="3">
        <f ca="1">IFERROR(__xludf.DUMMYFUNCTION("""COMPUTED_VALUE"""),-0.668069895389627)</f>
        <v>-0.66806989538962702</v>
      </c>
      <c r="BG35" s="3">
        <f ca="1">IFERROR(__xludf.DUMMYFUNCTION("""COMPUTED_VALUE"""),-0.686561555094989)</f>
        <v>-0.68656155509498895</v>
      </c>
      <c r="BH35" s="3">
        <f ca="1">IFERROR(__xludf.DUMMYFUNCTION("""COMPUTED_VALUE"""),-0.736162952405053)</f>
        <v>-0.73616295240505303</v>
      </c>
      <c r="BI35" s="3">
        <f ca="1">IFERROR(__xludf.DUMMYFUNCTION("""COMPUTED_VALUE"""),-0.695732112248884)</f>
        <v>-0.69573211224888398</v>
      </c>
      <c r="BJ35" s="3">
        <f ca="1">IFERROR(__xludf.DUMMYFUNCTION("""COMPUTED_VALUE"""),-0.756580217976436)</f>
        <v>-0.75658021797643604</v>
      </c>
      <c r="BK35" s="3">
        <f ca="1">IFERROR(__xludf.DUMMYFUNCTION("""COMPUTED_VALUE"""),-0.726106394402427)</f>
        <v>-0.72610639440242697</v>
      </c>
      <c r="BL35" s="3">
        <f ca="1">IFERROR(__xludf.DUMMYFUNCTION("""COMPUTED_VALUE"""),-0.744227979937241)</f>
        <v>-0.74422797993724099</v>
      </c>
      <c r="BM35" s="3">
        <f ca="1">IFERROR(__xludf.DUMMYFUNCTION("""COMPUTED_VALUE"""),-0.797147953309901)</f>
        <v>-0.79714795330990096</v>
      </c>
      <c r="BN35" s="3">
        <f ca="1">IFERROR(__xludf.DUMMYFUNCTION("""COMPUTED_VALUE"""),-0.796776488204511)</f>
        <v>-0.79677648820451097</v>
      </c>
      <c r="BO35" s="3">
        <f ca="1">IFERROR(__xludf.DUMMYFUNCTION("""COMPUTED_VALUE"""),-0.774339252876439)</f>
        <v>-0.77433925287643901</v>
      </c>
      <c r="BP35" s="3">
        <f ca="1">IFERROR(__xludf.DUMMYFUNCTION("""COMPUTED_VALUE"""),-0.788471746379917)</f>
        <v>-0.78847174637991702</v>
      </c>
      <c r="BQ35" s="3">
        <f ca="1">IFERROR(__xludf.DUMMYFUNCTION("""COMPUTED_VALUE"""),-0.797119822046674)</f>
        <v>-0.79711982204667398</v>
      </c>
      <c r="BR35" s="3">
        <f ca="1">IFERROR(__xludf.DUMMYFUNCTION("""COMPUTED_VALUE"""),-0.791898039955788)</f>
        <v>-0.791898039955788</v>
      </c>
      <c r="BS35" s="3">
        <f ca="1">IFERROR(__xludf.DUMMYFUNCTION("""COMPUTED_VALUE"""),-0.800388841299052)</f>
        <v>-0.80038884129905197</v>
      </c>
      <c r="BT35" s="3">
        <f ca="1">IFERROR(__xludf.DUMMYFUNCTION("""COMPUTED_VALUE"""),-0.841948362981186)</f>
        <v>-0.84194836298118603</v>
      </c>
      <c r="BU35" s="3">
        <f ca="1">IFERROR(__xludf.DUMMYFUNCTION("""COMPUTED_VALUE"""),-0.837660113048535)</f>
        <v>-0.83766011304853505</v>
      </c>
      <c r="BV35" s="3">
        <f ca="1">IFERROR(__xludf.DUMMYFUNCTION("""COMPUTED_VALUE"""),-0.817655131370251)</f>
        <v>-0.81765513137025103</v>
      </c>
      <c r="BW35" s="3">
        <f ca="1">IFERROR(__xludf.DUMMYFUNCTION("""COMPUTED_VALUE"""),-0.788547928147484)</f>
        <v>-0.78854792814748398</v>
      </c>
      <c r="BX35" s="3">
        <f ca="1">IFERROR(__xludf.DUMMYFUNCTION("""COMPUTED_VALUE"""),-0.78662233231833)</f>
        <v>-0.78662233231833001</v>
      </c>
      <c r="BY35" s="3">
        <f ca="1">IFERROR(__xludf.DUMMYFUNCTION("""COMPUTED_VALUE"""),-0.786965490453938)</f>
        <v>-0.78696549045393804</v>
      </c>
      <c r="BZ35" s="3">
        <f ca="1">IFERROR(__xludf.DUMMYFUNCTION("""COMPUTED_VALUE"""),-0.829601036029998)</f>
        <v>-0.82960103602999802</v>
      </c>
      <c r="CA35" s="3">
        <f ca="1">IFERROR(__xludf.DUMMYFUNCTION("""COMPUTED_VALUE"""),-0.829122039580557)</f>
        <v>-0.82912203958055697</v>
      </c>
      <c r="CB35" s="3">
        <f ca="1">IFERROR(__xludf.DUMMYFUNCTION("""COMPUTED_VALUE"""),-0.869333612793216)</f>
        <v>-0.86933361279321597</v>
      </c>
      <c r="CC35" s="3">
        <f ca="1">IFERROR(__xludf.DUMMYFUNCTION("""COMPUTED_VALUE"""),-0.870286638568125)</f>
        <v>-0.87028663856812505</v>
      </c>
      <c r="CD35" s="3">
        <f ca="1">IFERROR(__xludf.DUMMYFUNCTION("""COMPUTED_VALUE"""),-0.861929994226549)</f>
        <v>-0.86192999422654903</v>
      </c>
      <c r="CE35" s="3">
        <f ca="1">IFERROR(__xludf.DUMMYFUNCTION("""COMPUTED_VALUE"""),-0.887357438004976)</f>
        <v>-0.88735743800497602</v>
      </c>
      <c r="CF35" s="3">
        <f ca="1">IFERROR(__xludf.DUMMYFUNCTION("""COMPUTED_VALUE"""),-0.867754567534282)</f>
        <v>-0.86775456753428204</v>
      </c>
      <c r="CG35" s="3">
        <f ca="1">IFERROR(__xludf.DUMMYFUNCTION("""COMPUTED_VALUE"""),-0.820689557074644)</f>
        <v>-0.82068955707464397</v>
      </c>
      <c r="CH35" s="3">
        <f ca="1">IFERROR(__xludf.DUMMYFUNCTION("""COMPUTED_VALUE"""),-0.837737180696676)</f>
        <v>-0.83773718069667602</v>
      </c>
      <c r="CI35" s="3">
        <f ca="1">IFERROR(__xludf.DUMMYFUNCTION("""COMPUTED_VALUE"""),-0.885787721792871)</f>
        <v>-0.88578772179287102</v>
      </c>
      <c r="CJ35" s="3">
        <f ca="1">IFERROR(__xludf.DUMMYFUNCTION("""COMPUTED_VALUE"""),-0.883974308040023)</f>
        <v>-0.88397430804002297</v>
      </c>
      <c r="CK35" s="3">
        <f ca="1">IFERROR(__xludf.DUMMYFUNCTION("""COMPUTED_VALUE"""),-0.85112455987709)</f>
        <v>-0.85112455987709001</v>
      </c>
      <c r="CL35" s="3">
        <f ca="1">IFERROR(__xludf.DUMMYFUNCTION("""COMPUTED_VALUE"""),-0.85522903355609)</f>
        <v>-0.85522903355609003</v>
      </c>
      <c r="CM35" s="3">
        <f ca="1">IFERROR(__xludf.DUMMYFUNCTION("""COMPUTED_VALUE"""),-0.859281526139132)</f>
        <v>-0.859281526139132</v>
      </c>
      <c r="CN35" s="3">
        <f ca="1">IFERROR(__xludf.DUMMYFUNCTION("""COMPUTED_VALUE"""),-0.78564258825545)</f>
        <v>-0.78564258825544997</v>
      </c>
      <c r="CO35" s="3">
        <f ca="1">IFERROR(__xludf.DUMMYFUNCTION("""COMPUTED_VALUE"""),-0.776836358274686)</f>
        <v>-0.776836358274686</v>
      </c>
      <c r="CP35" s="3">
        <f ca="1">IFERROR(__xludf.DUMMYFUNCTION("""COMPUTED_VALUE"""),-0.837131295617134)</f>
        <v>-0.83713129561713395</v>
      </c>
      <c r="CQ35" s="3">
        <f ca="1">IFERROR(__xludf.DUMMYFUNCTION("""COMPUTED_VALUE"""),-0.845611965932935)</f>
        <v>-0.84561196593293497</v>
      </c>
      <c r="CR35" s="3">
        <f ca="1">IFERROR(__xludf.DUMMYFUNCTION("""COMPUTED_VALUE"""),-0.801411964352275)</f>
        <v>-0.80141196435227502</v>
      </c>
      <c r="CS35" s="3">
        <f ca="1">IFERROR(__xludf.DUMMYFUNCTION("""COMPUTED_VALUE"""),-0.829624721265471)</f>
        <v>-0.82962472126547104</v>
      </c>
      <c r="CT35" s="3">
        <f ca="1">IFERROR(__xludf.DUMMYFUNCTION("""COMPUTED_VALUE"""),-0.795899650251424)</f>
        <v>-0.79589965025142395</v>
      </c>
      <c r="CU35" s="3">
        <f ca="1">IFERROR(__xludf.DUMMYFUNCTION("""COMPUTED_VALUE"""),-0.754443048721977)</f>
        <v>-0.75444304872197698</v>
      </c>
      <c r="CV35" s="3">
        <f ca="1">IFERROR(__xludf.DUMMYFUNCTION("""COMPUTED_VALUE"""),-0.737733113018279)</f>
        <v>-0.73773311301827904</v>
      </c>
      <c r="CW35" s="3">
        <f ca="1">IFERROR(__xludf.DUMMYFUNCTION("""COMPUTED_VALUE"""),-0.974071616016407)</f>
        <v>-0.97407161601640702</v>
      </c>
      <c r="CX35" s="3">
        <f ca="1">IFERROR(__xludf.DUMMYFUNCTION("""COMPUTED_VALUE"""),-0.803014381484523)</f>
        <v>-0.80301438148452298</v>
      </c>
      <c r="CY35" s="3">
        <f ca="1">IFERROR(__xludf.DUMMYFUNCTION("""COMPUTED_VALUE"""),-0.635311900773962)</f>
        <v>-0.63531190077396205</v>
      </c>
      <c r="CZ35" s="3">
        <f ca="1">IFERROR(__xludf.DUMMYFUNCTION("""COMPUTED_VALUE"""),-0.756924069904079)</f>
        <v>-0.75692406990407901</v>
      </c>
      <c r="DA35" s="3">
        <f ca="1">IFERROR(__xludf.DUMMYFUNCTION("""COMPUTED_VALUE"""),-0.80135500743963)</f>
        <v>-0.80135500743962995</v>
      </c>
      <c r="DB35" s="3">
        <f ca="1">IFERROR(__xludf.DUMMYFUNCTION("""COMPUTED_VALUE"""),-0.708491158914361)</f>
        <v>-0.70849115891436099</v>
      </c>
      <c r="DC35" s="3">
        <f ca="1">IFERROR(__xludf.DUMMYFUNCTION("""COMPUTED_VALUE"""),-0.762078905493246)</f>
        <v>-0.76207890549324597</v>
      </c>
      <c r="DD35" s="3">
        <f ca="1">IFERROR(__xludf.DUMMYFUNCTION("""COMPUTED_VALUE"""),-0.97330079740027)</f>
        <v>-0.97330079740026998</v>
      </c>
      <c r="DE35" s="3">
        <f ca="1">IFERROR(__xludf.DUMMYFUNCTION("""COMPUTED_VALUE"""),-0.765633616347493)</f>
        <v>-0.76563361634749305</v>
      </c>
      <c r="DF35" s="3">
        <f ca="1">IFERROR(__xludf.DUMMYFUNCTION("""COMPUTED_VALUE"""),-0.157811485250217)</f>
        <v>-0.15781148525021699</v>
      </c>
      <c r="DG35" s="3">
        <f ca="1">IFERROR(__xludf.DUMMYFUNCTION("""COMPUTED_VALUE"""),-0.528483013519489)</f>
        <v>-0.52848301351948901</v>
      </c>
      <c r="DH35" s="3">
        <f ca="1">IFERROR(__xludf.DUMMYFUNCTION("""COMPUTED_VALUE"""),-0.561153450704194)</f>
        <v>-0.56115345070419398</v>
      </c>
      <c r="DI35" s="3">
        <f ca="1">IFERROR(__xludf.DUMMYFUNCTION("""COMPUTED_VALUE"""),-0.617477459527147)</f>
        <v>-0.61747745952714705</v>
      </c>
      <c r="DJ35" s="3">
        <f ca="1">IFERROR(__xludf.DUMMYFUNCTION("""COMPUTED_VALUE"""),-0.59564956983331)</f>
        <v>-0.59564956983330997</v>
      </c>
      <c r="DK35" s="3">
        <f ca="1">IFERROR(__xludf.DUMMYFUNCTION("""COMPUTED_VALUE"""),-0.583590025321493)</f>
        <v>-0.58359002532149296</v>
      </c>
      <c r="DL35" s="3">
        <f ca="1">IFERROR(__xludf.DUMMYFUNCTION("""COMPUTED_VALUE"""),-0.548154708333555)</f>
        <v>-0.54815470833355495</v>
      </c>
      <c r="DM35" s="3">
        <f ca="1">IFERROR(__xludf.DUMMYFUNCTION("""COMPUTED_VALUE"""),-0.52478500672919)</f>
        <v>-0.52478500672919004</v>
      </c>
      <c r="DN35" s="3">
        <f ca="1">IFERROR(__xludf.DUMMYFUNCTION("""COMPUTED_VALUE"""),-0.516710692037234)</f>
        <v>-0.51671069203723397</v>
      </c>
      <c r="DO35" s="3">
        <f ca="1">IFERROR(__xludf.DUMMYFUNCTION("""COMPUTED_VALUE"""),-0.565816820131788)</f>
        <v>-0.56581682013178802</v>
      </c>
      <c r="DP35" s="3">
        <f ca="1">IFERROR(__xludf.DUMMYFUNCTION("""COMPUTED_VALUE"""),-0.594958113957498)</f>
        <v>-0.59495811395749798</v>
      </c>
      <c r="DQ35" s="3">
        <f ca="1">IFERROR(__xludf.DUMMYFUNCTION("""COMPUTED_VALUE"""),-0.622945006214318)</f>
        <v>-0.62294500621431803</v>
      </c>
      <c r="DR35" s="3">
        <f ca="1">IFERROR(__xludf.DUMMYFUNCTION("""COMPUTED_VALUE"""),-0.623705951439117)</f>
        <v>-0.623705951439117</v>
      </c>
      <c r="DS35" s="3">
        <f ca="1">IFERROR(__xludf.DUMMYFUNCTION("""COMPUTED_VALUE"""),-0.626418615354156)</f>
        <v>-0.62641861535415599</v>
      </c>
      <c r="DT35" s="3">
        <f ca="1">IFERROR(__xludf.DUMMYFUNCTION("""COMPUTED_VALUE"""),-0.671169558651182)</f>
        <v>-0.671169558651182</v>
      </c>
      <c r="DU35" s="3">
        <f ca="1">IFERROR(__xludf.DUMMYFUNCTION("""COMPUTED_VALUE"""),-0.656539973532071)</f>
        <v>-0.65653997353207105</v>
      </c>
      <c r="DV35" s="3">
        <f ca="1">IFERROR(__xludf.DUMMYFUNCTION("""COMPUTED_VALUE"""),-0.669955037248923)</f>
        <v>-0.66995503724892302</v>
      </c>
      <c r="DW35" s="3">
        <f ca="1">IFERROR(__xludf.DUMMYFUNCTION("""COMPUTED_VALUE"""),-0.666168062492445)</f>
        <v>-0.66616806249244498</v>
      </c>
      <c r="DX35" s="3">
        <f ca="1">IFERROR(__xludf.DUMMYFUNCTION("""COMPUTED_VALUE"""),-0.679055440099477)</f>
        <v>-0.67905544009947705</v>
      </c>
      <c r="DY35" s="3">
        <f ca="1">IFERROR(__xludf.DUMMYFUNCTION("""COMPUTED_VALUE"""),-0.680673751507172)</f>
        <v>-0.68067375150717202</v>
      </c>
      <c r="DZ35" s="3">
        <f ca="1">IFERROR(__xludf.DUMMYFUNCTION("""COMPUTED_VALUE"""),-0.679377155446816)</f>
        <v>-0.67937715544681598</v>
      </c>
      <c r="EA35" s="3">
        <f ca="1">IFERROR(__xludf.DUMMYFUNCTION("""COMPUTED_VALUE"""),-0.679855002845367)</f>
        <v>-0.67985500284536704</v>
      </c>
      <c r="EB35" s="3">
        <f ca="1">IFERROR(__xludf.DUMMYFUNCTION("""COMPUTED_VALUE"""),-0.671154174135588)</f>
        <v>-0.67115417413558798</v>
      </c>
      <c r="EC35" s="3">
        <f ca="1">IFERROR(__xludf.DUMMYFUNCTION("""COMPUTED_VALUE"""),-0.71506980586122)</f>
        <v>-0.71506980586122004</v>
      </c>
      <c r="ED35" s="3">
        <f ca="1">IFERROR(__xludf.DUMMYFUNCTION("""COMPUTED_VALUE"""),-0.665849199764276)</f>
        <v>-0.66584919976427603</v>
      </c>
      <c r="EE35" s="3">
        <f ca="1">IFERROR(__xludf.DUMMYFUNCTION("""COMPUTED_VALUE"""),-0.65053267085641)</f>
        <v>-0.65053267085640998</v>
      </c>
      <c r="EF35" s="3">
        <f ca="1">IFERROR(__xludf.DUMMYFUNCTION("""COMPUTED_VALUE"""),-0.683558946518059)</f>
        <v>-0.68355894651805904</v>
      </c>
      <c r="EG35" s="3">
        <f ca="1">IFERROR(__xludf.DUMMYFUNCTION("""COMPUTED_VALUE"""),-0.687540720120764)</f>
        <v>-0.68754072012076395</v>
      </c>
      <c r="EH35" s="3">
        <f ca="1">IFERROR(__xludf.DUMMYFUNCTION("""COMPUTED_VALUE"""),-0.693857882817339)</f>
        <v>-0.69385788281733896</v>
      </c>
      <c r="EI35" s="3">
        <f ca="1">IFERROR(__xludf.DUMMYFUNCTION("""COMPUTED_VALUE"""),-0.696641008724837)</f>
        <v>-0.69664100872483703</v>
      </c>
      <c r="EJ35" s="3">
        <f ca="1">IFERROR(__xludf.DUMMYFUNCTION("""COMPUTED_VALUE"""),-0.701499743773093)</f>
        <v>-0.70149974377309299</v>
      </c>
      <c r="EK35" s="3">
        <f ca="1">IFERROR(__xludf.DUMMYFUNCTION("""COMPUTED_VALUE"""),-0.698735527617597)</f>
        <v>-0.69873552761759705</v>
      </c>
      <c r="EL35" s="3">
        <f ca="1">IFERROR(__xludf.DUMMYFUNCTION("""COMPUTED_VALUE"""),-0.686078014766475)</f>
        <v>-0.68607801476647501</v>
      </c>
      <c r="EM35" s="3">
        <f ca="1">IFERROR(__xludf.DUMMYFUNCTION("""COMPUTED_VALUE"""),-0.722565208300145)</f>
        <v>-0.72256520830014503</v>
      </c>
      <c r="EN35" s="3">
        <f ca="1">IFERROR(__xludf.DUMMYFUNCTION("""COMPUTED_VALUE"""),-0.729922620344025)</f>
        <v>-0.729922620344025</v>
      </c>
      <c r="EO35" s="3">
        <f ca="1">IFERROR(__xludf.DUMMYFUNCTION("""COMPUTED_VALUE"""),-0.711457278910361)</f>
        <v>-0.71145727891036104</v>
      </c>
      <c r="EP35" s="3">
        <f ca="1">IFERROR(__xludf.DUMMYFUNCTION("""COMPUTED_VALUE"""),-0.705375987927077)</f>
        <v>-0.70537598792707701</v>
      </c>
      <c r="EQ35" s="3">
        <f ca="1">IFERROR(__xludf.DUMMYFUNCTION("""COMPUTED_VALUE"""),-0.71637941658043)</f>
        <v>-0.71637941658043003</v>
      </c>
      <c r="ER35" s="3">
        <f ca="1">IFERROR(__xludf.DUMMYFUNCTION("""COMPUTED_VALUE"""),-0.713405263046905)</f>
        <v>-0.71340526304690499</v>
      </c>
      <c r="ES35" s="3">
        <f ca="1">IFERROR(__xludf.DUMMYFUNCTION("""COMPUTED_VALUE"""),-0.65312692553821)</f>
        <v>-0.65312692553820995</v>
      </c>
      <c r="ET35" s="3">
        <f ca="1">IFERROR(__xludf.DUMMYFUNCTION("""COMPUTED_VALUE"""),-0.706859955757349)</f>
        <v>-0.70685995575734895</v>
      </c>
      <c r="EU35" s="3">
        <f ca="1">IFERROR(__xludf.DUMMYFUNCTION("""COMPUTED_VALUE"""),-0.644696496304636)</f>
        <v>-0.64469649630463599</v>
      </c>
      <c r="EV35" s="3">
        <f ca="1">IFERROR(__xludf.DUMMYFUNCTION("""COMPUTED_VALUE"""),-0.687753331301341)</f>
        <v>-0.68775333130134098</v>
      </c>
      <c r="EW35" s="3">
        <f ca="1">IFERROR(__xludf.DUMMYFUNCTION("""COMPUTED_VALUE"""),-0.654600723792862)</f>
        <v>-0.65460072379286205</v>
      </c>
      <c r="EX35" s="3">
        <f ca="1">IFERROR(__xludf.DUMMYFUNCTION("""COMPUTED_VALUE"""),-0.673911345818155)</f>
        <v>-0.67391134581815504</v>
      </c>
      <c r="EY35" s="3">
        <f ca="1">IFERROR(__xludf.DUMMYFUNCTION("""COMPUTED_VALUE"""),-0.651548675219569)</f>
        <v>-0.65154867521956905</v>
      </c>
      <c r="EZ35" s="3">
        <f ca="1">IFERROR(__xludf.DUMMYFUNCTION("""COMPUTED_VALUE"""),-0.65596022516227)</f>
        <v>-0.65596022516227004</v>
      </c>
      <c r="FA35" s="3">
        <f ca="1">IFERROR(__xludf.DUMMYFUNCTION("""COMPUTED_VALUE"""),-0.680144088736401)</f>
        <v>-0.68014408873640098</v>
      </c>
      <c r="FB35" s="3">
        <f ca="1">IFERROR(__xludf.DUMMYFUNCTION("""COMPUTED_VALUE"""),-0.699661166828388)</f>
        <v>-0.69966116682838797</v>
      </c>
      <c r="FC35" s="3">
        <f ca="1">IFERROR(__xludf.DUMMYFUNCTION("""COMPUTED_VALUE"""),-0.708297334157646)</f>
        <v>-0.70829733415764595</v>
      </c>
      <c r="FD35" s="3">
        <f ca="1">IFERROR(__xludf.DUMMYFUNCTION("""COMPUTED_VALUE"""),-0.727952261538834)</f>
        <v>-0.72795226153883397</v>
      </c>
      <c r="FE35" s="3">
        <f ca="1">IFERROR(__xludf.DUMMYFUNCTION("""COMPUTED_VALUE"""),-0.684217119238375)</f>
        <v>-0.68421711923837503</v>
      </c>
      <c r="FF35" s="3">
        <f ca="1">IFERROR(__xludf.DUMMYFUNCTION("""COMPUTED_VALUE"""),-0.718884354922516)</f>
        <v>-0.71888435492251601</v>
      </c>
      <c r="FG35" s="3">
        <f ca="1">IFERROR(__xludf.DUMMYFUNCTION("""COMPUTED_VALUE"""),-0.631955170100199)</f>
        <v>-0.63195517010019897</v>
      </c>
      <c r="FH35" s="3">
        <f ca="1">IFERROR(__xludf.DUMMYFUNCTION("""COMPUTED_VALUE"""),-0.637108041596918)</f>
        <v>-0.63710804159691803</v>
      </c>
      <c r="FI35" s="3">
        <f ca="1">IFERROR(__xludf.DUMMYFUNCTION("""COMPUTED_VALUE"""),-0.656180838209629)</f>
        <v>-0.65618083820962902</v>
      </c>
      <c r="FJ35" s="3">
        <f ca="1">IFERROR(__xludf.DUMMYFUNCTION("""COMPUTED_VALUE"""),-0.663867464601833)</f>
        <v>-0.66386746460183299</v>
      </c>
      <c r="FK35" s="3">
        <f ca="1">IFERROR(__xludf.DUMMYFUNCTION("""COMPUTED_VALUE"""),-0.677360108206679)</f>
        <v>-0.67736010820667902</v>
      </c>
      <c r="FL35" s="3">
        <f ca="1">IFERROR(__xludf.DUMMYFUNCTION("""COMPUTED_VALUE"""),-0.694200444425588)</f>
        <v>-0.69420044442558804</v>
      </c>
      <c r="FM35" s="3">
        <f ca="1">IFERROR(__xludf.DUMMYFUNCTION("""COMPUTED_VALUE"""),-0.639096868162348)</f>
        <v>-0.63909686816234801</v>
      </c>
      <c r="FN35" s="3">
        <f ca="1">IFERROR(__xludf.DUMMYFUNCTION("""COMPUTED_VALUE"""),-0.618051929009306)</f>
        <v>-0.61805192900930594</v>
      </c>
      <c r="FO35" s="3">
        <f ca="1">IFERROR(__xludf.DUMMYFUNCTION("""COMPUTED_VALUE"""),-0.639616537480943)</f>
        <v>-0.63961653748094305</v>
      </c>
      <c r="FP35" s="3">
        <f ca="1">IFERROR(__xludf.DUMMYFUNCTION("""COMPUTED_VALUE"""),-0.663667671658634)</f>
        <v>-0.66366767165863405</v>
      </c>
      <c r="FQ35" s="3">
        <f ca="1">IFERROR(__xludf.DUMMYFUNCTION("""COMPUTED_VALUE"""),-0.711901584875542)</f>
        <v>-0.711901584875542</v>
      </c>
      <c r="FR35" s="3">
        <f ca="1">IFERROR(__xludf.DUMMYFUNCTION("""COMPUTED_VALUE"""),-0.682234581520315)</f>
        <v>-0.68223458152031502</v>
      </c>
      <c r="FS35" s="3">
        <f ca="1">IFERROR(__xludf.DUMMYFUNCTION("""COMPUTED_VALUE"""),-0.5881231707372)</f>
        <v>-0.5881231707372</v>
      </c>
      <c r="FT35" s="3">
        <f ca="1">IFERROR(__xludf.DUMMYFUNCTION("""COMPUTED_VALUE"""),-0.558568780441057)</f>
        <v>-0.55856878044105696</v>
      </c>
      <c r="FU35" s="3">
        <f ca="1">IFERROR(__xludf.DUMMYFUNCTION("""COMPUTED_VALUE"""),-0.570642986129321)</f>
        <v>-0.57064298612932096</v>
      </c>
      <c r="FV35" s="3">
        <f ca="1">IFERROR(__xludf.DUMMYFUNCTION("""COMPUTED_VALUE"""),-0.66853698496203)</f>
        <v>-0.66853698496202996</v>
      </c>
      <c r="FW35" s="3">
        <f ca="1">IFERROR(__xludf.DUMMYFUNCTION("""COMPUTED_VALUE"""),-0.699546501206986)</f>
        <v>-0.69954650120698603</v>
      </c>
      <c r="FX35" s="3">
        <f ca="1">IFERROR(__xludf.DUMMYFUNCTION("""COMPUTED_VALUE"""),-0.699659303143338)</f>
        <v>-0.69965930314333802</v>
      </c>
      <c r="FY35" s="3">
        <f ca="1">IFERROR(__xludf.DUMMYFUNCTION("""COMPUTED_VALUE"""),-0.70194968592112)</f>
        <v>-0.70194968592111995</v>
      </c>
      <c r="FZ35" s="3">
        <f ca="1">IFERROR(__xludf.DUMMYFUNCTION("""COMPUTED_VALUE"""),-0.812120125178376)</f>
        <v>-0.81212012517837595</v>
      </c>
      <c r="GA35" s="3">
        <f ca="1">IFERROR(__xludf.DUMMYFUNCTION("""COMPUTED_VALUE"""),-0.665635198474146)</f>
        <v>-0.66563519847414598</v>
      </c>
      <c r="GB35" s="3">
        <f ca="1">IFERROR(__xludf.DUMMYFUNCTION("""COMPUTED_VALUE"""),-0.714139231668787)</f>
        <v>-0.71413923166878701</v>
      </c>
      <c r="GC35" s="3">
        <f ca="1">IFERROR(__xludf.DUMMYFUNCTION("""COMPUTED_VALUE"""),-0.702719651844988)</f>
        <v>-0.70271965184498797</v>
      </c>
      <c r="GD35" s="3">
        <f ca="1">IFERROR(__xludf.DUMMYFUNCTION("""COMPUTED_VALUE"""),-0.664261778536807)</f>
        <v>-0.66426177853680701</v>
      </c>
      <c r="GE35" s="3">
        <f ca="1">IFERROR(__xludf.DUMMYFUNCTION("""COMPUTED_VALUE"""),-0.678677923811047)</f>
        <v>-0.67867792381104697</v>
      </c>
      <c r="GF35" s="3">
        <f ca="1">IFERROR(__xludf.DUMMYFUNCTION("""COMPUTED_VALUE"""),-0.684598397624792)</f>
        <v>-0.68459839762479202</v>
      </c>
      <c r="GG35" s="3">
        <f ca="1">IFERROR(__xludf.DUMMYFUNCTION("""COMPUTED_VALUE"""),-0.615598825735515)</f>
        <v>-0.61559882573551505</v>
      </c>
      <c r="GH35" s="3">
        <f ca="1">IFERROR(__xludf.DUMMYFUNCTION("""COMPUTED_VALUE"""),-0.599513198883277)</f>
        <v>-0.59951319888327703</v>
      </c>
      <c r="GI35" s="3">
        <f ca="1">IFERROR(__xludf.DUMMYFUNCTION("""COMPUTED_VALUE"""),-0.613619552598912)</f>
        <v>-0.61361955259891199</v>
      </c>
      <c r="GJ35" s="3">
        <f ca="1">IFERROR(__xludf.DUMMYFUNCTION("""COMPUTED_VALUE"""),-0.707732562208235)</f>
        <v>-0.70773256220823499</v>
      </c>
      <c r="GK35" s="3">
        <f ca="1">IFERROR(__xludf.DUMMYFUNCTION("""COMPUTED_VALUE"""),-0.720214977409437)</f>
        <v>-0.72021497740943696</v>
      </c>
      <c r="GL35" s="3">
        <f ca="1">IFERROR(__xludf.DUMMYFUNCTION("""COMPUTED_VALUE"""),-0.698690605768583)</f>
        <v>-0.698690605768583</v>
      </c>
      <c r="GM35" s="3">
        <f ca="1">IFERROR(__xludf.DUMMYFUNCTION("""COMPUTED_VALUE"""),-0.700592892274305)</f>
        <v>-0.70059289227430499</v>
      </c>
      <c r="GN35" s="3">
        <f ca="1">IFERROR(__xludf.DUMMYFUNCTION("""COMPUTED_VALUE"""),-0.679768771145992)</f>
        <v>-0.67976877114599199</v>
      </c>
      <c r="GO35" s="3">
        <f ca="1">IFERROR(__xludf.DUMMYFUNCTION("""COMPUTED_VALUE"""),-0.578936768300205)</f>
        <v>-0.57893676830020502</v>
      </c>
      <c r="GP35" s="3">
        <f ca="1">IFERROR(__xludf.DUMMYFUNCTION("""COMPUTED_VALUE"""),-0.645216866795364)</f>
        <v>-0.64521686679536405</v>
      </c>
      <c r="GQ35" s="3">
        <f ca="1">IFERROR(__xludf.DUMMYFUNCTION("""COMPUTED_VALUE"""),-0.71112532119198)</f>
        <v>-0.71112532119198002</v>
      </c>
      <c r="GR35" s="3">
        <f ca="1">IFERROR(__xludf.DUMMYFUNCTION("""COMPUTED_VALUE"""),-0.675329495112603)</f>
        <v>-0.67532949511260298</v>
      </c>
      <c r="GS35" s="3">
        <f ca="1">IFERROR(__xludf.DUMMYFUNCTION("""COMPUTED_VALUE"""),-0.67799057504016)</f>
        <v>-0.67799057504016003</v>
      </c>
      <c r="GT35" s="3">
        <f ca="1">IFERROR(__xludf.DUMMYFUNCTION("""COMPUTED_VALUE"""),-0.672331890977115)</f>
        <v>-0.67233189097711499</v>
      </c>
      <c r="GU35" s="3">
        <f ca="1">IFERROR(__xludf.DUMMYFUNCTION("""COMPUTED_VALUE"""),-0.677786939835773)</f>
        <v>-0.67778693983577298</v>
      </c>
      <c r="GV35" s="3">
        <f ca="1">IFERROR(__xludf.DUMMYFUNCTION("""COMPUTED_VALUE"""),-0.611067240956497)</f>
        <v>-0.611067240956497</v>
      </c>
      <c r="GW35" s="3">
        <f ca="1">IFERROR(__xludf.DUMMYFUNCTION("""COMPUTED_VALUE"""),-0.6338329874886)</f>
        <v>-0.63383298748859995</v>
      </c>
      <c r="GX35" s="3">
        <f ca="1">IFERROR(__xludf.DUMMYFUNCTION("""COMPUTED_VALUE"""),-0.667757524667336)</f>
        <v>-0.66775752466733596</v>
      </c>
      <c r="GY35" s="3">
        <f ca="1">IFERROR(__xludf.DUMMYFUNCTION("""COMPUTED_VALUE"""),-0.701640820655559)</f>
        <v>-0.70164082065555899</v>
      </c>
      <c r="GZ35" s="3">
        <f ca="1">IFERROR(__xludf.DUMMYFUNCTION("""COMPUTED_VALUE"""),-0.695605956131995)</f>
        <v>-0.69560595613199505</v>
      </c>
      <c r="HA35" s="3">
        <f ca="1">IFERROR(__xludf.DUMMYFUNCTION("""COMPUTED_VALUE"""),-0.670543289416448)</f>
        <v>-0.67054328941644803</v>
      </c>
      <c r="HB35" s="3">
        <f ca="1">IFERROR(__xludf.DUMMYFUNCTION("""COMPUTED_VALUE"""),-0.661856691017621)</f>
        <v>-0.66185669101762101</v>
      </c>
      <c r="HC35" s="3">
        <f ca="1">IFERROR(__xludf.DUMMYFUNCTION("""COMPUTED_VALUE"""),-0.709909141197358)</f>
        <v>-0.70990914119735804</v>
      </c>
      <c r="HD35" s="3">
        <f ca="1">IFERROR(__xludf.DUMMYFUNCTION("""COMPUTED_VALUE"""),-0.659995957693475)</f>
        <v>-0.65999595769347497</v>
      </c>
      <c r="HE35" s="3">
        <f ca="1">IFERROR(__xludf.DUMMYFUNCTION("""COMPUTED_VALUE"""),-0.682246783183821)</f>
        <v>-0.68224678318382104</v>
      </c>
      <c r="HF35" s="3">
        <f ca="1">IFERROR(__xludf.DUMMYFUNCTION("""COMPUTED_VALUE"""),-0.68964525116693)</f>
        <v>-0.68964525116692998</v>
      </c>
      <c r="HG35" s="3">
        <f ca="1">IFERROR(__xludf.DUMMYFUNCTION("""COMPUTED_VALUE"""),-0.647161738345064)</f>
        <v>-0.64716173834506396</v>
      </c>
      <c r="HH35" s="3">
        <f ca="1">IFERROR(__xludf.DUMMYFUNCTION("""COMPUTED_VALUE"""),-0.644084960287184)</f>
        <v>-0.64408496028718398</v>
      </c>
      <c r="HI35" s="3">
        <f ca="1">IFERROR(__xludf.DUMMYFUNCTION("""COMPUTED_VALUE"""),-0.772598276947538)</f>
        <v>-0.77259827694753802</v>
      </c>
      <c r="HJ35" s="3">
        <f ca="1">IFERROR(__xludf.DUMMYFUNCTION("""COMPUTED_VALUE"""),-0.616891116607425)</f>
        <v>-0.61689111660742502</v>
      </c>
      <c r="HK35" s="3">
        <f ca="1">IFERROR(__xludf.DUMMYFUNCTION("""COMPUTED_VALUE"""),-0.662342553818303)</f>
        <v>-0.66234255381830298</v>
      </c>
      <c r="HL35" s="3">
        <f ca="1">IFERROR(__xludf.DUMMYFUNCTION("""COMPUTED_VALUE"""),-0.682922850088892)</f>
        <v>-0.68292285008889198</v>
      </c>
      <c r="HM35" s="3">
        <f ca="1">IFERROR(__xludf.DUMMYFUNCTION("""COMPUTED_VALUE"""),-0.682669358355976)</f>
        <v>-0.68266935835597597</v>
      </c>
      <c r="HN35" s="3">
        <f ca="1">IFERROR(__xludf.DUMMYFUNCTION("""COMPUTED_VALUE"""),-0.676507104995738)</f>
        <v>-0.67650710499573796</v>
      </c>
      <c r="HO35" s="3">
        <f ca="1">IFERROR(__xludf.DUMMYFUNCTION("""COMPUTED_VALUE"""),-0.670757377908451)</f>
        <v>-0.67075737790845102</v>
      </c>
      <c r="HP35" s="3">
        <f ca="1">IFERROR(__xludf.DUMMYFUNCTION("""COMPUTED_VALUE"""),-0.583099814471742)</f>
        <v>-0.58309981447174197</v>
      </c>
      <c r="HQ35" s="3">
        <f ca="1">IFERROR(__xludf.DUMMYFUNCTION("""COMPUTED_VALUE"""),-0.609077925282287)</f>
        <v>-0.60907792528228699</v>
      </c>
      <c r="HR35" s="3">
        <f ca="1">IFERROR(__xludf.DUMMYFUNCTION("""COMPUTED_VALUE"""),-0.60931581812213)</f>
        <v>-0.60931581812212998</v>
      </c>
      <c r="HS35" s="3">
        <f ca="1">IFERROR(__xludf.DUMMYFUNCTION("""COMPUTED_VALUE"""),-0.668488551931452)</f>
        <v>-0.66848855193145196</v>
      </c>
      <c r="HT35" s="3">
        <f ca="1">IFERROR(__xludf.DUMMYFUNCTION("""COMPUTED_VALUE"""),-0.671690589916935)</f>
        <v>-0.67169058991693498</v>
      </c>
      <c r="HU35" s="3">
        <f ca="1">IFERROR(__xludf.DUMMYFUNCTION("""COMPUTED_VALUE"""),-0.617511287348482)</f>
        <v>-0.61751128734848204</v>
      </c>
      <c r="HV35" s="3">
        <f ca="1">IFERROR(__xludf.DUMMYFUNCTION("""COMPUTED_VALUE"""),-0.608749647796098)</f>
        <v>-0.60874964779609797</v>
      </c>
      <c r="HW35" s="3">
        <f ca="1">IFERROR(__xludf.DUMMYFUNCTION("""COMPUTED_VALUE"""),-0.552360422810209)</f>
        <v>-0.55236042281020903</v>
      </c>
      <c r="HX35" s="3">
        <f ca="1">IFERROR(__xludf.DUMMYFUNCTION("""COMPUTED_VALUE"""),-0.54978372442935)</f>
        <v>-0.54978372442934997</v>
      </c>
      <c r="HY35" s="3">
        <f ca="1">IFERROR(__xludf.DUMMYFUNCTION("""COMPUTED_VALUE"""),-0.5509719124089)</f>
        <v>-0.55097191240889998</v>
      </c>
      <c r="HZ35" s="3">
        <f ca="1">IFERROR(__xludf.DUMMYFUNCTION("""COMPUTED_VALUE"""),-0.614331456917058)</f>
        <v>-0.61433145691705804</v>
      </c>
      <c r="IA35" s="3">
        <f ca="1">IFERROR(__xludf.DUMMYFUNCTION("""COMPUTED_VALUE"""),-0.534275634034229)</f>
        <v>-0.53427563403422895</v>
      </c>
      <c r="IB35" s="3">
        <f ca="1">IFERROR(__xludf.DUMMYFUNCTION("""COMPUTED_VALUE"""),-0.496949712214803)</f>
        <v>-0.496949712214803</v>
      </c>
      <c r="IC35" s="3">
        <f ca="1">IFERROR(__xludf.DUMMYFUNCTION("""COMPUTED_VALUE"""),-0.567660824646343)</f>
        <v>-0.56766082464634304</v>
      </c>
      <c r="ID35" s="3">
        <f ca="1">IFERROR(__xludf.DUMMYFUNCTION("""COMPUTED_VALUE"""),-0.541513747374393)</f>
        <v>-0.54151374737439295</v>
      </c>
      <c r="IE35" s="3">
        <f ca="1">IFERROR(__xludf.DUMMYFUNCTION("""COMPUTED_VALUE"""),-0.517595149236682)</f>
        <v>-0.51759514923668204</v>
      </c>
      <c r="IF35" s="3">
        <f ca="1">IFERROR(__xludf.DUMMYFUNCTION("""COMPUTED_VALUE"""),-0.41803047261701)</f>
        <v>-0.41803047261700998</v>
      </c>
      <c r="IG35" s="3">
        <f ca="1">IFERROR(__xludf.DUMMYFUNCTION("""COMPUTED_VALUE"""),-0.508034869696345)</f>
        <v>-0.50803486969634504</v>
      </c>
      <c r="IH35" s="3">
        <f ca="1">IFERROR(__xludf.DUMMYFUNCTION("""COMPUTED_VALUE"""),-0.49469249270737)</f>
        <v>-0.49469249270736998</v>
      </c>
      <c r="II35" s="3">
        <f ca="1">IFERROR(__xludf.DUMMYFUNCTION("""COMPUTED_VALUE"""),-0.512103372942399)</f>
        <v>-0.51210337294239905</v>
      </c>
      <c r="IJ35" s="3">
        <f ca="1">IFERROR(__xludf.DUMMYFUNCTION("""COMPUTED_VALUE"""),-0.532006176872545)</f>
        <v>-0.53200617687254503</v>
      </c>
      <c r="IK35" s="3">
        <f ca="1">IFERROR(__xludf.DUMMYFUNCTION("""COMPUTED_VALUE"""),-0.474447786721341)</f>
        <v>-0.47444778672134102</v>
      </c>
      <c r="IL35" s="3">
        <f ca="1">IFERROR(__xludf.DUMMYFUNCTION("""COMPUTED_VALUE"""),-0.528903563716886)</f>
        <v>-0.52890356371688596</v>
      </c>
      <c r="IM35" s="3">
        <f ca="1">IFERROR(__xludf.DUMMYFUNCTION("""COMPUTED_VALUE"""),-0.499347367553464)</f>
        <v>-0.49934736755346398</v>
      </c>
      <c r="IN35" s="3">
        <f ca="1">IFERROR(__xludf.DUMMYFUNCTION("""COMPUTED_VALUE"""),-0.549885575758017)</f>
        <v>-0.549885575758017</v>
      </c>
      <c r="IO35" s="3">
        <f ca="1">IFERROR(__xludf.DUMMYFUNCTION("""COMPUTED_VALUE"""),-0.595141312512977)</f>
        <v>-0.59514131251297697</v>
      </c>
      <c r="IP35" s="3">
        <f ca="1">IFERROR(__xludf.DUMMYFUNCTION("""COMPUTED_VALUE"""),-0.582835486024174)</f>
        <v>-0.58283548602417401</v>
      </c>
      <c r="IQ35" s="3">
        <f ca="1">IFERROR(__xludf.DUMMYFUNCTION("""COMPUTED_VALUE"""),-0.606084913495014)</f>
        <v>-0.60608491349501403</v>
      </c>
      <c r="IR35" s="3">
        <f ca="1">IFERROR(__xludf.DUMMYFUNCTION("""COMPUTED_VALUE"""),-0.672372105734896)</f>
        <v>-0.67237210573489603</v>
      </c>
      <c r="IS35" s="3">
        <f ca="1">IFERROR(__xludf.DUMMYFUNCTION("""COMPUTED_VALUE"""),-0.614548562295293)</f>
        <v>-0.61454856229529298</v>
      </c>
      <c r="IT35" s="3">
        <f ca="1">IFERROR(__xludf.DUMMYFUNCTION("""COMPUTED_VALUE"""),-0.551679918762789)</f>
        <v>-0.55167991876278899</v>
      </c>
      <c r="IU35" s="3">
        <f ca="1">IFERROR(__xludf.DUMMYFUNCTION("""COMPUTED_VALUE"""),-0.596944810040176)</f>
        <v>-0.59694481004017597</v>
      </c>
      <c r="IV35" s="3">
        <f ca="1">IFERROR(__xludf.DUMMYFUNCTION("""COMPUTED_VALUE"""),-0.605319720907985)</f>
        <v>-0.60531972090798503</v>
      </c>
      <c r="IW35" s="3">
        <f ca="1">IFERROR(__xludf.DUMMYFUNCTION("""COMPUTED_VALUE"""),-0.603246101557116)</f>
        <v>-0.603246101557116</v>
      </c>
      <c r="IX35" s="3">
        <f ca="1">IFERROR(__xludf.DUMMYFUNCTION("""COMPUTED_VALUE"""),-0.553755444415133)</f>
        <v>-0.55375544441513302</v>
      </c>
      <c r="IY35" s="3">
        <f ca="1">IFERROR(__xludf.DUMMYFUNCTION("""COMPUTED_VALUE"""),-0.566095595578084)</f>
        <v>-0.56609559557808398</v>
      </c>
      <c r="IZ35" s="3">
        <f ca="1">IFERROR(__xludf.DUMMYFUNCTION("""COMPUTED_VALUE"""),-0.577707005428633)</f>
        <v>-0.57770700542863296</v>
      </c>
      <c r="JA35" s="3">
        <f ca="1">IFERROR(__xludf.DUMMYFUNCTION("""COMPUTED_VALUE"""),-0.56686777008184)</f>
        <v>-0.56686777008183997</v>
      </c>
      <c r="JB35" s="3">
        <f ca="1">IFERROR(__xludf.DUMMYFUNCTION("""COMPUTED_VALUE"""),-0.625205950035606)</f>
        <v>-0.62520595003560597</v>
      </c>
      <c r="JC35" s="3">
        <f ca="1">IFERROR(__xludf.DUMMYFUNCTION("""COMPUTED_VALUE"""),-0.616946350438508)</f>
        <v>-0.61694635043850798</v>
      </c>
      <c r="JD35" s="3">
        <f ca="1">IFERROR(__xludf.DUMMYFUNCTION("""COMPUTED_VALUE"""),-0.663345095379251)</f>
        <v>-0.66334509537925102</v>
      </c>
      <c r="JE35" s="3">
        <f ca="1">IFERROR(__xludf.DUMMYFUNCTION("""COMPUTED_VALUE"""),-0.638344857042994)</f>
        <v>-0.63834485704299404</v>
      </c>
      <c r="JF35" s="3">
        <f ca="1">IFERROR(__xludf.DUMMYFUNCTION("""COMPUTED_VALUE"""),-0.604054612871946)</f>
        <v>-0.60405461287194595</v>
      </c>
      <c r="JG35" s="3">
        <f ca="1">IFERROR(__xludf.DUMMYFUNCTION("""COMPUTED_VALUE"""),-0.607165209522017)</f>
        <v>-0.60716520952201702</v>
      </c>
      <c r="JH35" s="3">
        <f ca="1">IFERROR(__xludf.DUMMYFUNCTION("""COMPUTED_VALUE"""),-0.581232980915323)</f>
        <v>-0.58123298091532305</v>
      </c>
      <c r="JI35" s="3">
        <f ca="1">IFERROR(__xludf.DUMMYFUNCTION("""COMPUTED_VALUE"""),-0.651860839895248)</f>
        <v>-0.65186083989524801</v>
      </c>
      <c r="JJ35" s="3">
        <f ca="1">IFERROR(__xludf.DUMMYFUNCTION("""COMPUTED_VALUE"""),-0.708770178080043)</f>
        <v>-0.70877017808004295</v>
      </c>
      <c r="JK35" s="3">
        <f ca="1">IFERROR(__xludf.DUMMYFUNCTION("""COMPUTED_VALUE"""),-0.596528660716628)</f>
        <v>-0.59652866071662802</v>
      </c>
      <c r="JL35" s="3">
        <f ca="1">IFERROR(__xludf.DUMMYFUNCTION("""COMPUTED_VALUE"""),-0.644706605625853)</f>
        <v>-0.64470660562585302</v>
      </c>
      <c r="JM35" s="3">
        <f ca="1">IFERROR(__xludf.DUMMYFUNCTION("""COMPUTED_VALUE"""),-0.669604585892359)</f>
        <v>-0.66960458589235905</v>
      </c>
      <c r="JN35" s="3">
        <f ca="1">IFERROR(__xludf.DUMMYFUNCTION("""COMPUTED_VALUE"""),-0.664390257287362)</f>
        <v>-0.66439025728736201</v>
      </c>
      <c r="JO35" s="3">
        <f ca="1">IFERROR(__xludf.DUMMYFUNCTION("""COMPUTED_VALUE"""),-0.63375071062429)</f>
        <v>-0.63375071062429</v>
      </c>
      <c r="JP35" s="3">
        <f ca="1">IFERROR(__xludf.DUMMYFUNCTION("""COMPUTED_VALUE"""),-0.66896768207755)</f>
        <v>-0.66896768207754997</v>
      </c>
      <c r="JQ35" s="3">
        <f ca="1">IFERROR(__xludf.DUMMYFUNCTION("""COMPUTED_VALUE"""),-0.685488279042951)</f>
        <v>-0.68548827904295095</v>
      </c>
      <c r="JR35" s="3">
        <f ca="1">IFERROR(__xludf.DUMMYFUNCTION("""COMPUTED_VALUE"""),-0.658623927223531)</f>
        <v>-0.65862392722353102</v>
      </c>
      <c r="JS35" s="3">
        <f ca="1">IFERROR(__xludf.DUMMYFUNCTION("""COMPUTED_VALUE"""),-0.701274974621691)</f>
        <v>-0.70127497462169097</v>
      </c>
      <c r="JT35" s="3">
        <f ca="1">IFERROR(__xludf.DUMMYFUNCTION("""COMPUTED_VALUE"""),-0.655655052597772)</f>
        <v>-0.65565505259777201</v>
      </c>
      <c r="JU35" s="3">
        <f ca="1">IFERROR(__xludf.DUMMYFUNCTION("""COMPUTED_VALUE"""),-0.627954377520152)</f>
        <v>-0.62795437752015204</v>
      </c>
      <c r="JV35" s="3">
        <f ca="1">IFERROR(__xludf.DUMMYFUNCTION("""COMPUTED_VALUE"""),-0.582505129490083)</f>
        <v>-0.58250512949008304</v>
      </c>
      <c r="JW35" s="3">
        <f ca="1">IFERROR(__xludf.DUMMYFUNCTION("""COMPUTED_VALUE"""),-0.703666053511363)</f>
        <v>-0.70366605351136302</v>
      </c>
      <c r="JX35" s="3">
        <f ca="1">IFERROR(__xludf.DUMMYFUNCTION("""COMPUTED_VALUE"""),-0.705284972340449)</f>
        <v>-0.70528497234044896</v>
      </c>
      <c r="JY35" s="3">
        <f ca="1">IFERROR(__xludf.DUMMYFUNCTION("""COMPUTED_VALUE"""),-0.792331560951611)</f>
        <v>-0.79233156095161095</v>
      </c>
      <c r="JZ35" s="3">
        <f ca="1">IFERROR(__xludf.DUMMYFUNCTION("""COMPUTED_VALUE"""),-0.695966938130226)</f>
        <v>-0.69596693813022603</v>
      </c>
      <c r="KA35" s="3">
        <f ca="1">IFERROR(__xludf.DUMMYFUNCTION("""COMPUTED_VALUE"""),-0.718858110466259)</f>
        <v>-0.71885811046625903</v>
      </c>
      <c r="KB35" s="3">
        <f ca="1">IFERROR(__xludf.DUMMYFUNCTION("""COMPUTED_VALUE"""),-0.737672156816499)</f>
        <v>-0.737672156816499</v>
      </c>
      <c r="KC35" s="3">
        <f ca="1">IFERROR(__xludf.DUMMYFUNCTION("""COMPUTED_VALUE"""),-0.735927857067456)</f>
        <v>-0.735927857067456</v>
      </c>
      <c r="KD35" s="3">
        <f ca="1">IFERROR(__xludf.DUMMYFUNCTION("""COMPUTED_VALUE"""),-0.72021697985952)</f>
        <v>-0.72021697985952005</v>
      </c>
      <c r="KE35" s="3">
        <f ca="1">IFERROR(__xludf.DUMMYFUNCTION("""COMPUTED_VALUE"""),-0.69129199378233)</f>
        <v>-0.69129199378232997</v>
      </c>
      <c r="KF35" s="3">
        <f ca="1">IFERROR(__xludf.DUMMYFUNCTION("""COMPUTED_VALUE"""),-0.712434259862733)</f>
        <v>-0.71243425986273301</v>
      </c>
      <c r="KG35" s="3">
        <f ca="1">IFERROR(__xludf.DUMMYFUNCTION("""COMPUTED_VALUE"""),-0.678470029753639)</f>
        <v>-0.67847002975363901</v>
      </c>
      <c r="KH35" s="3">
        <f ca="1">IFERROR(__xludf.DUMMYFUNCTION("""COMPUTED_VALUE"""),-0.665260566861424)</f>
        <v>-0.66526056686142399</v>
      </c>
      <c r="KI35" s="3">
        <f ca="1">IFERROR(__xludf.DUMMYFUNCTION("""COMPUTED_VALUE"""),-0.645987669329192)</f>
        <v>-0.64598766932919205</v>
      </c>
      <c r="KJ35" s="3">
        <f ca="1">IFERROR(__xludf.DUMMYFUNCTION("""COMPUTED_VALUE"""),-0.636022481619536)</f>
        <v>-0.63602248161953601</v>
      </c>
      <c r="KK35" s="3">
        <f ca="1">IFERROR(__xludf.DUMMYFUNCTION("""COMPUTED_VALUE"""),-0.7114764800058)</f>
        <v>-0.71147648000579999</v>
      </c>
      <c r="KL35" s="3">
        <f ca="1">IFERROR(__xludf.DUMMYFUNCTION("""COMPUTED_VALUE"""),-0.697048865683928)</f>
        <v>-0.69704886568392799</v>
      </c>
      <c r="KM35" s="3">
        <f ca="1">IFERROR(__xludf.DUMMYFUNCTION("""COMPUTED_VALUE"""),-0.685567425653828)</f>
        <v>-0.685567425653828</v>
      </c>
      <c r="KN35" s="3">
        <f ca="1">IFERROR(__xludf.DUMMYFUNCTION("""COMPUTED_VALUE"""),-0.683652582402185)</f>
        <v>-0.68365258240218496</v>
      </c>
      <c r="KO35" s="3">
        <f ca="1">IFERROR(__xludf.DUMMYFUNCTION("""COMPUTED_VALUE"""),-0.666071808838963)</f>
        <v>-0.666071808838963</v>
      </c>
      <c r="KP35" s="3">
        <f ca="1">IFERROR(__xludf.DUMMYFUNCTION("""COMPUTED_VALUE"""),-0.683155914222573)</f>
        <v>-0.68315591422257305</v>
      </c>
      <c r="KQ35" s="3">
        <f ca="1">IFERROR(__xludf.DUMMYFUNCTION("""COMPUTED_VALUE"""),-0.730384393198289)</f>
        <v>-0.73038439319828896</v>
      </c>
      <c r="KR35" s="3">
        <f ca="1">IFERROR(__xludf.DUMMYFUNCTION("""COMPUTED_VALUE"""),-0.740996845963379)</f>
        <v>-0.740996845963379</v>
      </c>
      <c r="KS35" s="3">
        <f ca="1">IFERROR(__xludf.DUMMYFUNCTION("""COMPUTED_VALUE"""),-0.773628678259751)</f>
        <v>-0.77362867825975101</v>
      </c>
      <c r="KT35" s="3">
        <f ca="1">IFERROR(__xludf.DUMMYFUNCTION("""COMPUTED_VALUE"""),-0.769702609830008)</f>
        <v>-0.76970260983000804</v>
      </c>
      <c r="KU35" s="3">
        <f ca="1">IFERROR(__xludf.DUMMYFUNCTION("""COMPUTED_VALUE"""),-0.756459343187582)</f>
        <v>-0.75645934318758201</v>
      </c>
      <c r="KV35" s="3">
        <f ca="1">IFERROR(__xludf.DUMMYFUNCTION("""COMPUTED_VALUE"""),-0.765388277231812)</f>
        <v>-0.76538827723181202</v>
      </c>
      <c r="KW35" s="3">
        <f ca="1">IFERROR(__xludf.DUMMYFUNCTION("""COMPUTED_VALUE"""),-0.731507911998557)</f>
        <v>-0.73150791199855703</v>
      </c>
      <c r="KX35" s="3">
        <f ca="1">IFERROR(__xludf.DUMMYFUNCTION("""COMPUTED_VALUE"""),-0.763863053775493)</f>
        <v>-0.76386305377549302</v>
      </c>
      <c r="KY35" s="3">
        <f ca="1">IFERROR(__xludf.DUMMYFUNCTION("""COMPUTED_VALUE"""),-0.797875315763279)</f>
        <v>-0.79787531576327897</v>
      </c>
      <c r="KZ35" s="3">
        <f ca="1">IFERROR(__xludf.DUMMYFUNCTION("""COMPUTED_VALUE"""),-0.790938302725799)</f>
        <v>-0.79093830272579901</v>
      </c>
      <c r="LA35" s="3">
        <f ca="1">IFERROR(__xludf.DUMMYFUNCTION("""COMPUTED_VALUE"""),-0.802456044012515)</f>
        <v>-0.80245604401251502</v>
      </c>
      <c r="LB35" s="3">
        <f ca="1">IFERROR(__xludf.DUMMYFUNCTION("""COMPUTED_VALUE"""),-0.797891405006909)</f>
        <v>-0.79789140500690903</v>
      </c>
      <c r="LC35" s="3">
        <f ca="1">IFERROR(__xludf.DUMMYFUNCTION("""COMPUTED_VALUE"""),-0.779749749243468)</f>
        <v>-0.77974974924346796</v>
      </c>
      <c r="LD35" s="3">
        <f ca="1">IFERROR(__xludf.DUMMYFUNCTION("""COMPUTED_VALUE"""),-0.747436848028534)</f>
        <v>-0.74743684802853405</v>
      </c>
      <c r="LE35" s="3">
        <f ca="1">IFERROR(__xludf.DUMMYFUNCTION("""COMPUTED_VALUE"""),-0.792755741729443)</f>
        <v>-0.79275574172944296</v>
      </c>
      <c r="LF35" s="3">
        <f ca="1">IFERROR(__xludf.DUMMYFUNCTION("""COMPUTED_VALUE"""),-0.82413792288225)</f>
        <v>-0.82413792288224996</v>
      </c>
      <c r="LG35" s="3">
        <f ca="1">IFERROR(__xludf.DUMMYFUNCTION("""COMPUTED_VALUE"""),-0.831215269815227)</f>
        <v>-0.83121526981522698</v>
      </c>
      <c r="LH35" s="3">
        <f ca="1">IFERROR(__xludf.DUMMYFUNCTION("""COMPUTED_VALUE"""),-0.780797163359954)</f>
        <v>-0.78079716335995397</v>
      </c>
      <c r="LI35" s="3">
        <f ca="1">IFERROR(__xludf.DUMMYFUNCTION("""COMPUTED_VALUE"""),-0.801288941981875)</f>
        <v>-0.80128894198187495</v>
      </c>
      <c r="LJ35" s="3">
        <f ca="1">IFERROR(__xludf.DUMMYFUNCTION("""COMPUTED_VALUE"""),-0.734448368948774)</f>
        <v>-0.73444836894877397</v>
      </c>
      <c r="LK35" s="3">
        <f ca="1">IFERROR(__xludf.DUMMYFUNCTION("""COMPUTED_VALUE"""),-0.815978590432502)</f>
        <v>-0.81597859043250198</v>
      </c>
      <c r="LL35" s="3">
        <f ca="1">IFERROR(__xludf.DUMMYFUNCTION("""COMPUTED_VALUE"""),-0.787725566985556)</f>
        <v>-0.78772556698555596</v>
      </c>
      <c r="LM35" s="3">
        <f ca="1">IFERROR(__xludf.DUMMYFUNCTION("""COMPUTED_VALUE"""),-0.841741125715619)</f>
        <v>-0.84174112571561899</v>
      </c>
      <c r="LN35" s="3">
        <f ca="1">IFERROR(__xludf.DUMMYFUNCTION("""COMPUTED_VALUE"""),-0.86545413217221)</f>
        <v>-0.86545413217221001</v>
      </c>
      <c r="LO35" s="3">
        <f ca="1">IFERROR(__xludf.DUMMYFUNCTION("""COMPUTED_VALUE"""),-0.850193042071697)</f>
        <v>-0.85019304207169699</v>
      </c>
      <c r="LP35" s="3">
        <f ca="1">IFERROR(__xludf.DUMMYFUNCTION("""COMPUTED_VALUE"""),-0.837611830637135)</f>
        <v>-0.83761183063713496</v>
      </c>
      <c r="LQ35" s="3">
        <f ca="1">IFERROR(__xludf.DUMMYFUNCTION("""COMPUTED_VALUE"""),-0.860227192508219)</f>
        <v>-0.860227192508219</v>
      </c>
      <c r="LR35" s="3">
        <f ca="1">IFERROR(__xludf.DUMMYFUNCTION("""COMPUTED_VALUE"""),-0.843930348840433)</f>
        <v>-0.84393034884043305</v>
      </c>
      <c r="LS35" s="3">
        <f ca="1">IFERROR(__xludf.DUMMYFUNCTION("""COMPUTED_VALUE"""),-0.826278392176303)</f>
        <v>-0.82627839217630294</v>
      </c>
      <c r="LT35" s="3">
        <f ca="1">IFERROR(__xludf.DUMMYFUNCTION("""COMPUTED_VALUE"""),-0.89126181041237)</f>
        <v>-0.89126181041236996</v>
      </c>
      <c r="LU35" s="3">
        <f ca="1">IFERROR(__xludf.DUMMYFUNCTION("""COMPUTED_VALUE"""),-0.884254918112669)</f>
        <v>-0.88425491811266899</v>
      </c>
      <c r="LV35" s="3">
        <f ca="1">IFERROR(__xludf.DUMMYFUNCTION("""COMPUTED_VALUE"""),-0.871740833260726)</f>
        <v>-0.87174083326072604</v>
      </c>
      <c r="LW35" s="3">
        <f ca="1">IFERROR(__xludf.DUMMYFUNCTION("""COMPUTED_VALUE"""),-0.873715132910776)</f>
        <v>-0.87371513291077596</v>
      </c>
      <c r="LX35" s="3">
        <f ca="1">IFERROR(__xludf.DUMMYFUNCTION("""COMPUTED_VALUE"""),-0.878504455589986)</f>
        <v>-0.87850445558998602</v>
      </c>
      <c r="LY35" s="3">
        <f ca="1">IFERROR(__xludf.DUMMYFUNCTION("""COMPUTED_VALUE"""),-0.881877530877928)</f>
        <v>-0.88187753087792797</v>
      </c>
      <c r="LZ35" s="3">
        <f ca="1">IFERROR(__xludf.DUMMYFUNCTION("""COMPUTED_VALUE"""),-0.867725310296566)</f>
        <v>-0.86772531029656597</v>
      </c>
      <c r="MA35" s="3">
        <f ca="1">IFERROR(__xludf.DUMMYFUNCTION("""COMPUTED_VALUE"""),-0.881679693165909)</f>
        <v>-0.881679693165909</v>
      </c>
      <c r="MB35" s="3">
        <f ca="1">IFERROR(__xludf.DUMMYFUNCTION("""COMPUTED_VALUE"""),-0.911137803741779)</f>
        <v>-0.911137803741779</v>
      </c>
      <c r="MC35" s="3">
        <f ca="1">IFERROR(__xludf.DUMMYFUNCTION("""COMPUTED_VALUE"""),-0.880116677404242)</f>
        <v>-0.88011667740424204</v>
      </c>
      <c r="MD35" s="3">
        <f ca="1">IFERROR(__xludf.DUMMYFUNCTION("""COMPUTED_VALUE"""),-0.870478892050749)</f>
        <v>-0.87047889205074902</v>
      </c>
      <c r="ME35" s="3">
        <f ca="1">IFERROR(__xludf.DUMMYFUNCTION("""COMPUTED_VALUE"""),-0.884782107883131)</f>
        <v>-0.88478210788313105</v>
      </c>
      <c r="MF35" s="3">
        <f ca="1">IFERROR(__xludf.DUMMYFUNCTION("""COMPUTED_VALUE"""),-0.856423882227062)</f>
        <v>-0.85642388222706201</v>
      </c>
      <c r="MG35" s="3">
        <f ca="1">IFERROR(__xludf.DUMMYFUNCTION("""COMPUTED_VALUE"""),-0.853312884798186)</f>
        <v>-0.85331288479818601</v>
      </c>
      <c r="MH35" s="3">
        <f ca="1">IFERROR(__xludf.DUMMYFUNCTION("""COMPUTED_VALUE"""),-0.894346580771529)</f>
        <v>-0.89434658077152895</v>
      </c>
      <c r="MI35" s="3">
        <f ca="1">IFERROR(__xludf.DUMMYFUNCTION("""COMPUTED_VALUE"""),-0.91171466057465)</f>
        <v>-0.91171466057465</v>
      </c>
      <c r="MJ35" s="3">
        <f ca="1">IFERROR(__xludf.DUMMYFUNCTION("""COMPUTED_VALUE"""),-0.903573761053153)</f>
        <v>-0.90357376105315301</v>
      </c>
      <c r="MK35" s="3">
        <f ca="1">IFERROR(__xludf.DUMMYFUNCTION("""COMPUTED_VALUE"""),-0.897405852101348)</f>
        <v>-0.89740585210134804</v>
      </c>
      <c r="ML35" s="3">
        <f ca="1">IFERROR(__xludf.DUMMYFUNCTION("""COMPUTED_VALUE"""),-0.901586768213569)</f>
        <v>-0.90158676821356898</v>
      </c>
      <c r="MM35" s="3">
        <f ca="1">IFERROR(__xludf.DUMMYFUNCTION("""COMPUTED_VALUE"""),-0.882705347429034)</f>
        <v>-0.88270534742903395</v>
      </c>
      <c r="MN35" s="3">
        <f ca="1">IFERROR(__xludf.DUMMYFUNCTION("""COMPUTED_VALUE"""),-0.871683695568491)</f>
        <v>-0.87168369556849101</v>
      </c>
      <c r="MO35" s="3">
        <f ca="1">IFERROR(__xludf.DUMMYFUNCTION("""COMPUTED_VALUE"""),-0.846746314451531)</f>
        <v>-0.84674631445153103</v>
      </c>
      <c r="MP35" s="3">
        <f ca="1">IFERROR(__xludf.DUMMYFUNCTION("""COMPUTED_VALUE"""),-0.908983166970031)</f>
        <v>-0.90898316697003101</v>
      </c>
      <c r="MQ35" s="3">
        <f ca="1">IFERROR(__xludf.DUMMYFUNCTION("""COMPUTED_VALUE"""),-0.893123807732535)</f>
        <v>-0.89312380773253497</v>
      </c>
      <c r="MR35" s="3">
        <f ca="1">IFERROR(__xludf.DUMMYFUNCTION("""COMPUTED_VALUE"""),-0.894492525315768)</f>
        <v>-0.89449252531576795</v>
      </c>
      <c r="MS35" s="3">
        <f ca="1">IFERROR(__xludf.DUMMYFUNCTION("""COMPUTED_VALUE"""),-0.877241917238642)</f>
        <v>-0.87724191723864198</v>
      </c>
      <c r="MT35" s="3">
        <f ca="1">IFERROR(__xludf.DUMMYFUNCTION("""COMPUTED_VALUE"""),-0.895108095664837)</f>
        <v>-0.89510809566483696</v>
      </c>
      <c r="MU35" s="3">
        <f ca="1">IFERROR(__xludf.DUMMYFUNCTION("""COMPUTED_VALUE"""),-0.878100400815512)</f>
        <v>-0.87810040081551199</v>
      </c>
      <c r="MV35" s="3">
        <f ca="1">IFERROR(__xludf.DUMMYFUNCTION("""COMPUTED_VALUE"""),-0.880270095182573)</f>
        <v>-0.88027009518257304</v>
      </c>
      <c r="MW35" s="3">
        <f ca="1">IFERROR(__xludf.DUMMYFUNCTION("""COMPUTED_VALUE"""),-0.923963419688344)</f>
        <v>-0.92396341968834395</v>
      </c>
      <c r="MX35" s="3">
        <f ca="1">IFERROR(__xludf.DUMMYFUNCTION("""COMPUTED_VALUE"""),-0.909903101052426)</f>
        <v>-0.909903101052426</v>
      </c>
      <c r="MY35" s="3">
        <f ca="1">IFERROR(__xludf.DUMMYFUNCTION("""COMPUTED_VALUE"""),-0.918157869756969)</f>
        <v>-0.918157869756969</v>
      </c>
      <c r="MZ35" s="3">
        <f ca="1">IFERROR(__xludf.DUMMYFUNCTION("""COMPUTED_VALUE"""),-0.915227479212572)</f>
        <v>-0.91522747921257197</v>
      </c>
      <c r="NA35" s="3">
        <f ca="1">IFERROR(__xludf.DUMMYFUNCTION("""COMPUTED_VALUE"""),-0.967612175866005)</f>
        <v>-0.96761217586600501</v>
      </c>
      <c r="NB35" s="3">
        <f ca="1">IFERROR(__xludf.DUMMYFUNCTION("""COMPUTED_VALUE"""),-0.879605349605271)</f>
        <v>-0.87960534960527104</v>
      </c>
      <c r="NC35" s="3">
        <f ca="1">IFERROR(__xludf.DUMMYFUNCTION("""COMPUTED_VALUE"""),-0.972105123303657)</f>
        <v>-0.97210512330365695</v>
      </c>
      <c r="ND35" s="3">
        <f ca="1">IFERROR(__xludf.DUMMYFUNCTION("""COMPUTED_VALUE"""),-0.918303145005878)</f>
        <v>-0.91830314500587795</v>
      </c>
      <c r="NE35" s="3">
        <f ca="1">IFERROR(__xludf.DUMMYFUNCTION("""COMPUTED_VALUE"""),-0.913733637173728)</f>
        <v>-0.91373363717372802</v>
      </c>
      <c r="NF35" s="3">
        <f ca="1">IFERROR(__xludf.DUMMYFUNCTION("""COMPUTED_VALUE"""),-0.912616199156651)</f>
        <v>-0.91261619915665104</v>
      </c>
      <c r="NG35" s="3">
        <f ca="1">IFERROR(__xludf.DUMMYFUNCTION("""COMPUTED_VALUE"""),-0.911606525035755)</f>
        <v>-0.91160652503575501</v>
      </c>
      <c r="NH35" s="3">
        <f ca="1">IFERROR(__xludf.DUMMYFUNCTION("""COMPUTED_VALUE"""),-0.891950551919919)</f>
        <v>-0.89195055191991901</v>
      </c>
      <c r="NI35" s="3">
        <f ca="1">IFERROR(__xludf.DUMMYFUNCTION("""COMPUTED_VALUE"""),-0.87840486831299)</f>
        <v>-0.87840486831299003</v>
      </c>
      <c r="NJ35" s="3">
        <f ca="1">IFERROR(__xludf.DUMMYFUNCTION("""COMPUTED_VALUE"""),-0.914303311300355)</f>
        <v>-0.91430331130035503</v>
      </c>
      <c r="NK35" s="3">
        <f ca="1">IFERROR(__xludf.DUMMYFUNCTION("""COMPUTED_VALUE"""),-0.907353682799144)</f>
        <v>-0.90735368279914397</v>
      </c>
      <c r="NL35" s="3">
        <f ca="1">IFERROR(__xludf.DUMMYFUNCTION("""COMPUTED_VALUE"""),-0.914859515888494)</f>
        <v>-0.91485951588849401</v>
      </c>
      <c r="NM35" s="3">
        <f ca="1">IFERROR(__xludf.DUMMYFUNCTION("""COMPUTED_VALUE"""),-0.882409923082181)</f>
        <v>-0.88240992308218102</v>
      </c>
      <c r="NN35" s="3">
        <f ca="1">IFERROR(__xludf.DUMMYFUNCTION("""COMPUTED_VALUE"""),-0.888778974669032)</f>
        <v>-0.888778974669032</v>
      </c>
      <c r="NO35" s="3">
        <f ca="1">IFERROR(__xludf.DUMMYFUNCTION("""COMPUTED_VALUE"""),-0.885666239141857)</f>
        <v>-0.88566623914185705</v>
      </c>
      <c r="NP35" s="3">
        <f ca="1">IFERROR(__xludf.DUMMYFUNCTION("""COMPUTED_VALUE"""),-0.882411508502115)</f>
        <v>-0.88241150850211503</v>
      </c>
      <c r="NQ35" s="3">
        <f ca="1">IFERROR(__xludf.DUMMYFUNCTION("""COMPUTED_VALUE"""),-0.899227371165161)</f>
        <v>-0.89922737116516105</v>
      </c>
      <c r="NR35" s="3">
        <f ca="1">IFERROR(__xludf.DUMMYFUNCTION("""COMPUTED_VALUE"""),-0.898809551510742)</f>
        <v>-0.89880955151074204</v>
      </c>
      <c r="NS35" s="3">
        <f ca="1">IFERROR(__xludf.DUMMYFUNCTION("""COMPUTED_VALUE"""),-0.886546771729355)</f>
        <v>-0.88654677172935503</v>
      </c>
      <c r="NT35" s="3">
        <f ca="1">IFERROR(__xludf.DUMMYFUNCTION("""COMPUTED_VALUE"""),-0.882030212302754)</f>
        <v>-0.88203021230275402</v>
      </c>
      <c r="NU35" s="3">
        <f ca="1">IFERROR(__xludf.DUMMYFUNCTION("""COMPUTED_VALUE"""),-0.885732703352191)</f>
        <v>-0.88573270335219101</v>
      </c>
      <c r="NV35" s="3">
        <f ca="1">IFERROR(__xludf.DUMMYFUNCTION("""COMPUTED_VALUE"""),-0.815819145993257)</f>
        <v>-0.815819145993257</v>
      </c>
      <c r="NW35" s="3">
        <f ca="1">IFERROR(__xludf.DUMMYFUNCTION("""COMPUTED_VALUE"""),-0.843780183973163)</f>
        <v>-0.84378018397316301</v>
      </c>
      <c r="NX35" s="3">
        <f ca="1">IFERROR(__xludf.DUMMYFUNCTION("""COMPUTED_VALUE"""),-0.938075987087207)</f>
        <v>-0.93807598708720696</v>
      </c>
      <c r="NY35" s="3">
        <f ca="1">IFERROR(__xludf.DUMMYFUNCTION("""COMPUTED_VALUE"""),-0.920894648985573)</f>
        <v>-0.92089464898557305</v>
      </c>
      <c r="NZ35" s="3">
        <f ca="1">IFERROR(__xludf.DUMMYFUNCTION("""COMPUTED_VALUE"""),-0.879675097782592)</f>
        <v>-0.87967509778259201</v>
      </c>
      <c r="OA35" s="3">
        <f ca="1">IFERROR(__xludf.DUMMYFUNCTION("""COMPUTED_VALUE"""),-0.77529442983128)</f>
        <v>-0.77529442983128005</v>
      </c>
      <c r="OB35" s="3">
        <f ca="1">IFERROR(__xludf.DUMMYFUNCTION("""COMPUTED_VALUE"""),-0.46655864983787)</f>
        <v>-0.46655864983786999</v>
      </c>
      <c r="OC35" s="3">
        <f ca="1">IFERROR(__xludf.DUMMYFUNCTION("""COMPUTED_VALUE"""),-0.253508123675045)</f>
        <v>-0.25350812367504499</v>
      </c>
      <c r="OD35" s="3">
        <f ca="1">IFERROR(__xludf.DUMMYFUNCTION("""COMPUTED_VALUE"""),-0.28322323909619)</f>
        <v>-0.28322323909619002</v>
      </c>
      <c r="OE35" s="3">
        <f ca="1">IFERROR(__xludf.DUMMYFUNCTION("""COMPUTED_VALUE"""),-0.180724916029558)</f>
        <v>-0.18072491602955801</v>
      </c>
      <c r="OF35" s="3">
        <f ca="1">IFERROR(__xludf.DUMMYFUNCTION("""COMPUTED_VALUE"""),-0.0670486033581728)</f>
        <v>-6.7048603358172795E-2</v>
      </c>
      <c r="OG35" s="3">
        <f ca="1">IFERROR(__xludf.DUMMYFUNCTION("""COMPUTED_VALUE"""),-0.021895813392176)</f>
        <v>-2.1895813392176E-2</v>
      </c>
      <c r="OH35" s="3">
        <f ca="1">IFERROR(__xludf.DUMMYFUNCTION("""COMPUTED_VALUE"""),-0.0304606874175088)</f>
        <v>-3.0460687417508799E-2</v>
      </c>
      <c r="OI35" s="3">
        <f ca="1">IFERROR(__xludf.DUMMYFUNCTION("""COMPUTED_VALUE"""),-0.0274689466928993)</f>
        <v>-2.7468946692899301E-2</v>
      </c>
      <c r="OJ35" s="3">
        <f ca="1">IFERROR(__xludf.DUMMYFUNCTION("""COMPUTED_VALUE"""),-0.0219014557534568)</f>
        <v>-2.1901455753456801E-2</v>
      </c>
      <c r="OK35" s="3">
        <f ca="1">IFERROR(__xludf.DUMMYFUNCTION("""COMPUTED_VALUE"""),0.0243096675919034)</f>
        <v>2.4309667591903401E-2</v>
      </c>
      <c r="OL35" s="3">
        <f ca="1">IFERROR(__xludf.DUMMYFUNCTION("""COMPUTED_VALUE"""),0.0890954512642538)</f>
        <v>8.9095451264253805E-2</v>
      </c>
      <c r="OM35" s="3">
        <f ca="1">IFERROR(__xludf.DUMMYFUNCTION("""COMPUTED_VALUE"""),0.0624246048860801)</f>
        <v>6.24246048860801E-2</v>
      </c>
      <c r="ON35" s="3">
        <f ca="1">IFERROR(__xludf.DUMMYFUNCTION("""COMPUTED_VALUE"""),0.097558791585159)</f>
        <v>9.7558791585158997E-2</v>
      </c>
      <c r="OO35" s="3">
        <f ca="1">IFERROR(__xludf.DUMMYFUNCTION("""COMPUTED_VALUE"""),-0.0181351962336581)</f>
        <v>-1.8135196233658099E-2</v>
      </c>
      <c r="OP35" s="3">
        <f ca="1">IFERROR(__xludf.DUMMYFUNCTION("""COMPUTED_VALUE"""),0.0226660701084115)</f>
        <v>2.2666070108411498E-2</v>
      </c>
      <c r="OQ35" s="3">
        <f ca="1">IFERROR(__xludf.DUMMYFUNCTION("""COMPUTED_VALUE"""),0.202321673867351)</f>
        <v>0.202321673867351</v>
      </c>
      <c r="OR35" s="3">
        <f ca="1">IFERROR(__xludf.DUMMYFUNCTION("""COMPUTED_VALUE"""),0.106308818346511)</f>
        <v>0.106308818346511</v>
      </c>
      <c r="OS35" s="3">
        <f ca="1">IFERROR(__xludf.DUMMYFUNCTION("""COMPUTED_VALUE"""),0.12578584298774)</f>
        <v>0.12578584298774001</v>
      </c>
      <c r="OT35" s="3">
        <f ca="1">IFERROR(__xludf.DUMMYFUNCTION("""COMPUTED_VALUE"""),-0.0712972673456422)</f>
        <v>-7.1297267345642207E-2</v>
      </c>
      <c r="OU35" s="3">
        <f ca="1">IFERROR(__xludf.DUMMYFUNCTION("""COMPUTED_VALUE"""),-0.0627232090131529)</f>
        <v>-6.2723209013152897E-2</v>
      </c>
      <c r="OV35" s="3">
        <f ca="1">IFERROR(__xludf.DUMMYFUNCTION("""COMPUTED_VALUE"""),-0.0068436111137129)</f>
        <v>-6.8436111137128997E-3</v>
      </c>
      <c r="OW35" s="3">
        <f ca="1">IFERROR(__xludf.DUMMYFUNCTION("""COMPUTED_VALUE"""),0.131245454593017)</f>
        <v>0.13124545459301701</v>
      </c>
      <c r="OX35" s="3">
        <f ca="1">IFERROR(__xludf.DUMMYFUNCTION("""COMPUTED_VALUE"""),0.0740408749010701)</f>
        <v>7.40408749010701E-2</v>
      </c>
      <c r="OY35" s="3">
        <f ca="1">IFERROR(__xludf.DUMMYFUNCTION("""COMPUTED_VALUE"""),-0.00123562271949428)</f>
        <v>-1.2356227194942799E-3</v>
      </c>
      <c r="OZ35" s="3">
        <f ca="1">IFERROR(__xludf.DUMMYFUNCTION("""COMPUTED_VALUE"""),-0.124529736990486)</f>
        <v>-0.124529736990486</v>
      </c>
      <c r="PA35" s="3">
        <f ca="1">IFERROR(__xludf.DUMMYFUNCTION("""COMPUTED_VALUE"""),-0.158739539738791)</f>
        <v>-0.15873953973879101</v>
      </c>
      <c r="PB35" s="3">
        <f ca="1">IFERROR(__xludf.DUMMYFUNCTION("""COMPUTED_VALUE"""),-0.157910246539375)</f>
        <v>-0.15791024653937499</v>
      </c>
      <c r="PC35" s="3">
        <f ca="1">IFERROR(__xludf.DUMMYFUNCTION("""COMPUTED_VALUE"""),-0.0947146786298942)</f>
        <v>-9.4714678629894203E-2</v>
      </c>
      <c r="PD35" s="3">
        <f ca="1">IFERROR(__xludf.DUMMYFUNCTION("""COMPUTED_VALUE"""),-0.51858914782523)</f>
        <v>-0.51858914782523002</v>
      </c>
      <c r="PE35" s="3">
        <f ca="1">IFERROR(__xludf.DUMMYFUNCTION("""COMPUTED_VALUE"""),-0.102691968810781)</f>
        <v>-0.10269196881078101</v>
      </c>
      <c r="PF35" s="3">
        <f ca="1">IFERROR(__xludf.DUMMYFUNCTION("""COMPUTED_VALUE"""),-0.0804610897804408)</f>
        <v>-8.0461089780440795E-2</v>
      </c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</row>
    <row r="36" spans="1:594" ht="15.75" customHeight="1">
      <c r="A36" s="1" t="str">
        <f ca="1">IFERROR(__xludf.DUMMYFUNCTION("""COMPUTED_VALUE"""),"Las Vegas")</f>
        <v>Las Vegas</v>
      </c>
      <c r="B36" s="3">
        <f ca="1">IFERROR(__xludf.DUMMYFUNCTION("""COMPUTED_VALUE"""),-0.313554697374969)</f>
        <v>-0.31355469737496899</v>
      </c>
      <c r="C36" s="3">
        <f ca="1">IFERROR(__xludf.DUMMYFUNCTION("""COMPUTED_VALUE"""),-0.300355229515885)</f>
        <v>-0.300355229515885</v>
      </c>
      <c r="D36" s="3">
        <f ca="1">IFERROR(__xludf.DUMMYFUNCTION("""COMPUTED_VALUE"""),-0.335989753794311)</f>
        <v>-0.33598975379431101</v>
      </c>
      <c r="E36" s="3">
        <f ca="1">IFERROR(__xludf.DUMMYFUNCTION("""COMPUTED_VALUE"""),-0.328525160695173)</f>
        <v>-0.32852516069517301</v>
      </c>
      <c r="F36" s="3">
        <f ca="1">IFERROR(__xludf.DUMMYFUNCTION("""COMPUTED_VALUE"""),-0.319195392928437)</f>
        <v>-0.31919539292843702</v>
      </c>
      <c r="G36" s="3">
        <f ca="1">IFERROR(__xludf.DUMMYFUNCTION("""COMPUTED_VALUE"""),-0.326423648928476)</f>
        <v>-0.32642364892847597</v>
      </c>
      <c r="H36" s="3">
        <f ca="1">IFERROR(__xludf.DUMMYFUNCTION("""COMPUTED_VALUE"""),-0.312449769660478)</f>
        <v>-0.31244976966047799</v>
      </c>
      <c r="I36" s="3">
        <f ca="1">IFERROR(__xludf.DUMMYFUNCTION("""COMPUTED_VALUE"""),-0.299397555213198)</f>
        <v>-0.299397555213198</v>
      </c>
      <c r="J36" s="3">
        <f ca="1">IFERROR(__xludf.DUMMYFUNCTION("""COMPUTED_VALUE"""),-0.316273761554069)</f>
        <v>-0.316273761554069</v>
      </c>
      <c r="K36" s="3">
        <f ca="1">IFERROR(__xludf.DUMMYFUNCTION("""COMPUTED_VALUE"""),-0.337859985512119)</f>
        <v>-0.33785998551211899</v>
      </c>
      <c r="L36" s="3">
        <f ca="1">IFERROR(__xludf.DUMMYFUNCTION("""COMPUTED_VALUE"""),-0.380555760740847)</f>
        <v>-0.38055576074084702</v>
      </c>
      <c r="M36" s="3">
        <f ca="1">IFERROR(__xludf.DUMMYFUNCTION("""COMPUTED_VALUE"""),-0.395094341057926)</f>
        <v>-0.39509434105792601</v>
      </c>
      <c r="N36" s="3">
        <f ca="1">IFERROR(__xludf.DUMMYFUNCTION("""COMPUTED_VALUE"""),-0.359479088924408)</f>
        <v>-0.359479088924408</v>
      </c>
      <c r="O36" s="3">
        <f ca="1">IFERROR(__xludf.DUMMYFUNCTION("""COMPUTED_VALUE"""),-0.3190214806598)</f>
        <v>-0.31902148065980002</v>
      </c>
      <c r="P36" s="3">
        <f ca="1">IFERROR(__xludf.DUMMYFUNCTION("""COMPUTED_VALUE"""),-0.350196185885294)</f>
        <v>-0.350196185885294</v>
      </c>
      <c r="Q36" s="3">
        <f ca="1">IFERROR(__xludf.DUMMYFUNCTION("""COMPUTED_VALUE"""),-0.383237795752205)</f>
        <v>-0.38323779575220501</v>
      </c>
      <c r="R36" s="3">
        <f ca="1">IFERROR(__xludf.DUMMYFUNCTION("""COMPUTED_VALUE"""),-0.405533760864348)</f>
        <v>-0.405533760864348</v>
      </c>
      <c r="S36" s="3">
        <f ca="1">IFERROR(__xludf.DUMMYFUNCTION("""COMPUTED_VALUE"""),-0.430716630456435)</f>
        <v>-0.43071663045643499</v>
      </c>
      <c r="T36" s="3">
        <f ca="1">IFERROR(__xludf.DUMMYFUNCTION("""COMPUTED_VALUE"""),-0.428296457842883)</f>
        <v>-0.428296457842883</v>
      </c>
      <c r="U36" s="3">
        <f ca="1">IFERROR(__xludf.DUMMYFUNCTION("""COMPUTED_VALUE"""),-0.395224370173965)</f>
        <v>-0.395224370173965</v>
      </c>
      <c r="V36" s="3">
        <f ca="1">IFERROR(__xludf.DUMMYFUNCTION("""COMPUTED_VALUE"""),-0.368673815421004)</f>
        <v>-0.36867381542100403</v>
      </c>
      <c r="W36" s="3">
        <f ca="1">IFERROR(__xludf.DUMMYFUNCTION("""COMPUTED_VALUE"""),-0.352745551865225)</f>
        <v>-0.35274555186522499</v>
      </c>
      <c r="X36" s="3">
        <f ca="1">IFERROR(__xludf.DUMMYFUNCTION("""COMPUTED_VALUE"""),-0.370985318676697)</f>
        <v>-0.37098531867669698</v>
      </c>
      <c r="Y36" s="3">
        <f ca="1">IFERROR(__xludf.DUMMYFUNCTION("""COMPUTED_VALUE"""),-0.386295541189997)</f>
        <v>-0.38629554118999698</v>
      </c>
      <c r="Z36" s="3">
        <f ca="1">IFERROR(__xludf.DUMMYFUNCTION("""COMPUTED_VALUE"""),-0.373060318308137)</f>
        <v>-0.37306031830813702</v>
      </c>
      <c r="AA36" s="3">
        <f ca="1">IFERROR(__xludf.DUMMYFUNCTION("""COMPUTED_VALUE"""),-0.410184722220672)</f>
        <v>-0.41018472222067198</v>
      </c>
      <c r="AB36" s="3">
        <f ca="1">IFERROR(__xludf.DUMMYFUNCTION("""COMPUTED_VALUE"""),-0.411428023063005)</f>
        <v>-0.41142802306300502</v>
      </c>
      <c r="AC36" s="3">
        <f ca="1">IFERROR(__xludf.DUMMYFUNCTION("""COMPUTED_VALUE"""),-0.383937213030656)</f>
        <v>-0.38393721303065598</v>
      </c>
      <c r="AD36" s="3">
        <f ca="1">IFERROR(__xludf.DUMMYFUNCTION("""COMPUTED_VALUE"""),-0.38408968623471)</f>
        <v>-0.38408968623471001</v>
      </c>
      <c r="AE36" s="3">
        <f ca="1">IFERROR(__xludf.DUMMYFUNCTION("""COMPUTED_VALUE"""),-0.434216584032387)</f>
        <v>-0.434216584032387</v>
      </c>
      <c r="AF36" s="3">
        <f ca="1">IFERROR(__xludf.DUMMYFUNCTION("""COMPUTED_VALUE"""),-0.461756869364198)</f>
        <v>-0.46175686936419802</v>
      </c>
      <c r="AG36" s="3">
        <f ca="1">IFERROR(__xludf.DUMMYFUNCTION("""COMPUTED_VALUE"""),-0.421221980200174)</f>
        <v>-0.42122198020017398</v>
      </c>
      <c r="AH36" s="3">
        <f ca="1">IFERROR(__xludf.DUMMYFUNCTION("""COMPUTED_VALUE"""),-0.437243788362662)</f>
        <v>-0.43724378836266198</v>
      </c>
      <c r="AI36" s="3">
        <f ca="1">IFERROR(__xludf.DUMMYFUNCTION("""COMPUTED_VALUE"""),-0.433141899820675)</f>
        <v>-0.43314189982067502</v>
      </c>
      <c r="AJ36" s="3">
        <f ca="1">IFERROR(__xludf.DUMMYFUNCTION("""COMPUTED_VALUE"""),-0.39678834646839)</f>
        <v>-0.39678834646839001</v>
      </c>
      <c r="AK36" s="3">
        <f ca="1">IFERROR(__xludf.DUMMYFUNCTION("""COMPUTED_VALUE"""),-0.39389467763723)</f>
        <v>-0.39389467763723002</v>
      </c>
      <c r="AL36" s="3">
        <f ca="1">IFERROR(__xludf.DUMMYFUNCTION("""COMPUTED_VALUE"""),-0.419758177036484)</f>
        <v>-0.41975817703648399</v>
      </c>
      <c r="AM36" s="3">
        <f ca="1">IFERROR(__xludf.DUMMYFUNCTION("""COMPUTED_VALUE"""),-0.451751047537773)</f>
        <v>-0.45175104753777301</v>
      </c>
      <c r="AN36" s="3">
        <f ca="1">IFERROR(__xludf.DUMMYFUNCTION("""COMPUTED_VALUE"""),-0.435834347755796)</f>
        <v>-0.43583434775579599</v>
      </c>
      <c r="AO36" s="3">
        <f ca="1">IFERROR(__xludf.DUMMYFUNCTION("""COMPUTED_VALUE"""),-0.469272682753465)</f>
        <v>-0.46927268275346501</v>
      </c>
      <c r="AP36" s="3">
        <f ca="1">IFERROR(__xludf.DUMMYFUNCTION("""COMPUTED_VALUE"""),-0.435946195360264)</f>
        <v>-0.43594619536026402</v>
      </c>
      <c r="AQ36" s="3">
        <f ca="1">IFERROR(__xludf.DUMMYFUNCTION("""COMPUTED_VALUE"""),-0.410635341039487)</f>
        <v>-0.41063534103948701</v>
      </c>
      <c r="AR36" s="3">
        <f ca="1">IFERROR(__xludf.DUMMYFUNCTION("""COMPUTED_VALUE"""),-0.425152598508747)</f>
        <v>-0.42515259850874698</v>
      </c>
      <c r="AS36" s="3">
        <f ca="1">IFERROR(__xludf.DUMMYFUNCTION("""COMPUTED_VALUE"""),-0.444679483787244)</f>
        <v>-0.44467948378724398</v>
      </c>
      <c r="AT36" s="3">
        <f ca="1">IFERROR(__xludf.DUMMYFUNCTION("""COMPUTED_VALUE"""),-0.462826165763669)</f>
        <v>-0.46282616576366897</v>
      </c>
      <c r="AU36" s="3">
        <f ca="1">IFERROR(__xludf.DUMMYFUNCTION("""COMPUTED_VALUE"""),-0.447308244210719)</f>
        <v>-0.44730824421071902</v>
      </c>
      <c r="AV36" s="3">
        <f ca="1">IFERROR(__xludf.DUMMYFUNCTION("""COMPUTED_VALUE"""),-0.487750062784308)</f>
        <v>-0.48775006278430799</v>
      </c>
      <c r="AW36" s="3">
        <f ca="1">IFERROR(__xludf.DUMMYFUNCTION("""COMPUTED_VALUE"""),-0.455901184811935)</f>
        <v>-0.45590118481193498</v>
      </c>
      <c r="AX36" s="3">
        <f ca="1">IFERROR(__xludf.DUMMYFUNCTION("""COMPUTED_VALUE"""),-0.424942639928215)</f>
        <v>-0.42494263992821502</v>
      </c>
      <c r="AY36" s="3">
        <f ca="1">IFERROR(__xludf.DUMMYFUNCTION("""COMPUTED_VALUE"""),-0.437520465550747)</f>
        <v>-0.43752046555074697</v>
      </c>
      <c r="AZ36" s="3">
        <f ca="1">IFERROR(__xludf.DUMMYFUNCTION("""COMPUTED_VALUE"""),-0.453968918094975)</f>
        <v>-0.45396891809497503</v>
      </c>
      <c r="BA36" s="3">
        <f ca="1">IFERROR(__xludf.DUMMYFUNCTION("""COMPUTED_VALUE"""),-0.422039969962092)</f>
        <v>-0.42203996996209198</v>
      </c>
      <c r="BB36" s="3">
        <f ca="1">IFERROR(__xludf.DUMMYFUNCTION("""COMPUTED_VALUE"""),-0.48326106647338)</f>
        <v>-0.48326106647338002</v>
      </c>
      <c r="BC36" s="3">
        <f ca="1">IFERROR(__xludf.DUMMYFUNCTION("""COMPUTED_VALUE"""),-0.489779204588499)</f>
        <v>-0.489779204588499</v>
      </c>
      <c r="BD36" s="3">
        <f ca="1">IFERROR(__xludf.DUMMYFUNCTION("""COMPUTED_VALUE"""),-0.444839729692527)</f>
        <v>-0.444839729692527</v>
      </c>
      <c r="BE36" s="3">
        <f ca="1">IFERROR(__xludf.DUMMYFUNCTION("""COMPUTED_VALUE"""),-0.393971343387385)</f>
        <v>-0.39397134338738499</v>
      </c>
      <c r="BF36" s="3">
        <f ca="1">IFERROR(__xludf.DUMMYFUNCTION("""COMPUTED_VALUE"""),-0.447266557405685)</f>
        <v>-0.44726655740568499</v>
      </c>
      <c r="BG36" s="3">
        <f ca="1">IFERROR(__xludf.DUMMYFUNCTION("""COMPUTED_VALUE"""),-0.500848544118216)</f>
        <v>-0.500848544118216</v>
      </c>
      <c r="BH36" s="3">
        <f ca="1">IFERROR(__xludf.DUMMYFUNCTION("""COMPUTED_VALUE"""),-0.511249652296593)</f>
        <v>-0.51124965229659303</v>
      </c>
      <c r="BI36" s="3">
        <f ca="1">IFERROR(__xludf.DUMMYFUNCTION("""COMPUTED_VALUE"""),-0.517311009482885)</f>
        <v>-0.517311009482885</v>
      </c>
      <c r="BJ36" s="3">
        <f ca="1">IFERROR(__xludf.DUMMYFUNCTION("""COMPUTED_VALUE"""),-0.52226780514489)</f>
        <v>-0.52226780514489002</v>
      </c>
      <c r="BK36" s="3">
        <f ca="1">IFERROR(__xludf.DUMMYFUNCTION("""COMPUTED_VALUE"""),-0.48805427615333)</f>
        <v>-0.48805427615333002</v>
      </c>
      <c r="BL36" s="3">
        <f ca="1">IFERROR(__xludf.DUMMYFUNCTION("""COMPUTED_VALUE"""),-0.454314632353616)</f>
        <v>-0.45431463235361602</v>
      </c>
      <c r="BM36" s="3">
        <f ca="1">IFERROR(__xludf.DUMMYFUNCTION("""COMPUTED_VALUE"""),-0.479328444774416)</f>
        <v>-0.479328444774416</v>
      </c>
      <c r="BN36" s="3">
        <f ca="1">IFERROR(__xludf.DUMMYFUNCTION("""COMPUTED_VALUE"""),-0.517589325225314)</f>
        <v>-0.51758932522531398</v>
      </c>
      <c r="BO36" s="3">
        <f ca="1">IFERROR(__xludf.DUMMYFUNCTION("""COMPUTED_VALUE"""),-0.527288624044727)</f>
        <v>-0.52728862404472698</v>
      </c>
      <c r="BP36" s="3">
        <f ca="1">IFERROR(__xludf.DUMMYFUNCTION("""COMPUTED_VALUE"""),-0.506583819416872)</f>
        <v>-0.50658381941687203</v>
      </c>
      <c r="BQ36" s="3">
        <f ca="1">IFERROR(__xludf.DUMMYFUNCTION("""COMPUTED_VALUE"""),-0.526560848930419)</f>
        <v>-0.52656084893041899</v>
      </c>
      <c r="BR36" s="3">
        <f ca="1">IFERROR(__xludf.DUMMYFUNCTION("""COMPUTED_VALUE"""),-0.537230023639324)</f>
        <v>-0.53723002363932404</v>
      </c>
      <c r="BS36" s="3">
        <f ca="1">IFERROR(__xludf.DUMMYFUNCTION("""COMPUTED_VALUE"""),-0.478058484899535)</f>
        <v>-0.47805848489953501</v>
      </c>
      <c r="BT36" s="3">
        <f ca="1">IFERROR(__xludf.DUMMYFUNCTION("""COMPUTED_VALUE"""),-0.48262187389614)</f>
        <v>-0.48262187389613997</v>
      </c>
      <c r="BU36" s="3">
        <f ca="1">IFERROR(__xludf.DUMMYFUNCTION("""COMPUTED_VALUE"""),-0.541653536806376)</f>
        <v>-0.54165353680637596</v>
      </c>
      <c r="BV36" s="3">
        <f ca="1">IFERROR(__xludf.DUMMYFUNCTION("""COMPUTED_VALUE"""),-0.555241596985436)</f>
        <v>-0.55524159698543596</v>
      </c>
      <c r="BW36" s="3">
        <f ca="1">IFERROR(__xludf.DUMMYFUNCTION("""COMPUTED_VALUE"""),-0.562717717323415)</f>
        <v>-0.56271771732341502</v>
      </c>
      <c r="BX36" s="3">
        <f ca="1">IFERROR(__xludf.DUMMYFUNCTION("""COMPUTED_VALUE"""),-0.573795724757633)</f>
        <v>-0.57379572475763296</v>
      </c>
      <c r="BY36" s="3">
        <f ca="1">IFERROR(__xludf.DUMMYFUNCTION("""COMPUTED_VALUE"""),-0.571216102572346)</f>
        <v>-0.57121610257234601</v>
      </c>
      <c r="BZ36" s="3">
        <f ca="1">IFERROR(__xludf.DUMMYFUNCTION("""COMPUTED_VALUE"""),-0.485178333748885)</f>
        <v>-0.48517833374888503</v>
      </c>
      <c r="CA36" s="3">
        <f ca="1">IFERROR(__xludf.DUMMYFUNCTION("""COMPUTED_VALUE"""),-0.510485171734785)</f>
        <v>-0.51048517173478503</v>
      </c>
      <c r="CB36" s="3">
        <f ca="1">IFERROR(__xludf.DUMMYFUNCTION("""COMPUTED_VALUE"""),-0.543863935279683)</f>
        <v>-0.54386393527968302</v>
      </c>
      <c r="CC36" s="3">
        <f ca="1">IFERROR(__xludf.DUMMYFUNCTION("""COMPUTED_VALUE"""),-0.5395526435387)</f>
        <v>-0.53955264353870003</v>
      </c>
      <c r="CD36" s="3">
        <f ca="1">IFERROR(__xludf.DUMMYFUNCTION("""COMPUTED_VALUE"""),-0.555568557318718)</f>
        <v>-0.55556855731871801</v>
      </c>
      <c r="CE36" s="3">
        <f ca="1">IFERROR(__xludf.DUMMYFUNCTION("""COMPUTED_VALUE"""),-0.540060182492304)</f>
        <v>-0.54006018249230403</v>
      </c>
      <c r="CF36" s="3">
        <f ca="1">IFERROR(__xludf.DUMMYFUNCTION("""COMPUTED_VALUE"""),-0.495866732501294)</f>
        <v>-0.49586673250129398</v>
      </c>
      <c r="CG36" s="3">
        <f ca="1">IFERROR(__xludf.DUMMYFUNCTION("""COMPUTED_VALUE"""),-0.490485899898252)</f>
        <v>-0.49048589989825198</v>
      </c>
      <c r="CH36" s="3">
        <f ca="1">IFERROR(__xludf.DUMMYFUNCTION("""COMPUTED_VALUE"""),-0.491765595188956)</f>
        <v>-0.49176559518895602</v>
      </c>
      <c r="CI36" s="3">
        <f ca="1">IFERROR(__xludf.DUMMYFUNCTION("""COMPUTED_VALUE"""),-0.536216484153785)</f>
        <v>-0.53621648415378498</v>
      </c>
      <c r="CJ36" s="3">
        <f ca="1">IFERROR(__xludf.DUMMYFUNCTION("""COMPUTED_VALUE"""),-0.559476529627748)</f>
        <v>-0.55947652962774796</v>
      </c>
      <c r="CK36" s="3">
        <f ca="1">IFERROR(__xludf.DUMMYFUNCTION("""COMPUTED_VALUE"""),-0.546280063839091)</f>
        <v>-0.546280063839091</v>
      </c>
      <c r="CL36" s="3">
        <f ca="1">IFERROR(__xludf.DUMMYFUNCTION("""COMPUTED_VALUE"""),-0.550809482140561)</f>
        <v>-0.55080948214056102</v>
      </c>
      <c r="CM36" s="3">
        <f ca="1">IFERROR(__xludf.DUMMYFUNCTION("""COMPUTED_VALUE"""),-0.525864804682571)</f>
        <v>-0.52586480468257102</v>
      </c>
      <c r="CN36" s="3">
        <f ca="1">IFERROR(__xludf.DUMMYFUNCTION("""COMPUTED_VALUE"""),-0.507147289501899)</f>
        <v>-0.50714728950189902</v>
      </c>
      <c r="CO36" s="3">
        <f ca="1">IFERROR(__xludf.DUMMYFUNCTION("""COMPUTED_VALUE"""),-0.529405346839455)</f>
        <v>-0.52940534683945495</v>
      </c>
      <c r="CP36" s="3">
        <f ca="1">IFERROR(__xludf.DUMMYFUNCTION("""COMPUTED_VALUE"""),-0.509942299220004)</f>
        <v>-0.509942299220004</v>
      </c>
      <c r="CQ36" s="3">
        <f ca="1">IFERROR(__xludf.DUMMYFUNCTION("""COMPUTED_VALUE"""),-0.525052487361755)</f>
        <v>-0.52505248736175503</v>
      </c>
      <c r="CR36" s="3">
        <f ca="1">IFERROR(__xludf.DUMMYFUNCTION("""COMPUTED_VALUE"""),-0.490531443765467)</f>
        <v>-0.49053144376546698</v>
      </c>
      <c r="CS36" s="3">
        <f ca="1">IFERROR(__xludf.DUMMYFUNCTION("""COMPUTED_VALUE"""),-0.535483904216759)</f>
        <v>-0.53548390421675895</v>
      </c>
      <c r="CT36" s="3">
        <f ca="1">IFERROR(__xludf.DUMMYFUNCTION("""COMPUTED_VALUE"""),-0.514812135319218)</f>
        <v>-0.51481213531921799</v>
      </c>
      <c r="CU36" s="3">
        <f ca="1">IFERROR(__xludf.DUMMYFUNCTION("""COMPUTED_VALUE"""),-0.498729763884899)</f>
        <v>-0.49872976388489898</v>
      </c>
      <c r="CV36" s="3">
        <f ca="1">IFERROR(__xludf.DUMMYFUNCTION("""COMPUTED_VALUE"""),-0.49324675772838)</f>
        <v>-0.49324675772838</v>
      </c>
      <c r="CW36" s="3">
        <f ca="1">IFERROR(__xludf.DUMMYFUNCTION("""COMPUTED_VALUE"""),-0.554631474578454)</f>
        <v>-0.55463147457845396</v>
      </c>
      <c r="CX36" s="3">
        <f ca="1">IFERROR(__xludf.DUMMYFUNCTION("""COMPUTED_VALUE"""),-0.447477643072773)</f>
        <v>-0.44747764307277299</v>
      </c>
      <c r="CY36" s="3">
        <f ca="1">IFERROR(__xludf.DUMMYFUNCTION("""COMPUTED_VALUE"""),-0.40193261659716)</f>
        <v>-0.40193261659716001</v>
      </c>
      <c r="CZ36" s="3">
        <f ca="1">IFERROR(__xludf.DUMMYFUNCTION("""COMPUTED_VALUE"""),-0.532353796753802)</f>
        <v>-0.53235379675380201</v>
      </c>
      <c r="DA36" s="3">
        <f ca="1">IFERROR(__xludf.DUMMYFUNCTION("""COMPUTED_VALUE"""),-0.52286659442173)</f>
        <v>-0.52286659442173</v>
      </c>
      <c r="DB36" s="3">
        <f ca="1">IFERROR(__xludf.DUMMYFUNCTION("""COMPUTED_VALUE"""),-0.497157365406366)</f>
        <v>-0.49715736540636601</v>
      </c>
      <c r="DC36" s="3">
        <f ca="1">IFERROR(__xludf.DUMMYFUNCTION("""COMPUTED_VALUE"""),-0.564597808860762)</f>
        <v>-0.56459780886076205</v>
      </c>
      <c r="DD36" s="3">
        <f ca="1">IFERROR(__xludf.DUMMYFUNCTION("""COMPUTED_VALUE"""),-0.731197306460332)</f>
        <v>-0.73119730646033199</v>
      </c>
      <c r="DE36" s="3">
        <f ca="1">IFERROR(__xludf.DUMMYFUNCTION("""COMPUTED_VALUE"""),-0.502446360969502)</f>
        <v>-0.50244636096950201</v>
      </c>
      <c r="DF36" s="3">
        <f ca="1">IFERROR(__xludf.DUMMYFUNCTION("""COMPUTED_VALUE"""),-0.373987704018557)</f>
        <v>-0.37398770401855702</v>
      </c>
      <c r="DG36" s="3">
        <f ca="1">IFERROR(__xludf.DUMMYFUNCTION("""COMPUTED_VALUE"""),-0.499287721747575)</f>
        <v>-0.49928772174757502</v>
      </c>
      <c r="DH36" s="3">
        <f ca="1">IFERROR(__xludf.DUMMYFUNCTION("""COMPUTED_VALUE"""),-0.47562762098739)</f>
        <v>-0.47562762098738998</v>
      </c>
      <c r="DI36" s="3">
        <f ca="1">IFERROR(__xludf.DUMMYFUNCTION("""COMPUTED_VALUE"""),-0.472019627718875)</f>
        <v>-0.47201962771887501</v>
      </c>
      <c r="DJ36" s="3">
        <f ca="1">IFERROR(__xludf.DUMMYFUNCTION("""COMPUTED_VALUE"""),-0.508523106792863)</f>
        <v>-0.50852310679286306</v>
      </c>
      <c r="DK36" s="3">
        <f ca="1">IFERROR(__xludf.DUMMYFUNCTION("""COMPUTED_VALUE"""),-0.516144672153314)</f>
        <v>-0.51614467215331405</v>
      </c>
      <c r="DL36" s="3">
        <f ca="1">IFERROR(__xludf.DUMMYFUNCTION("""COMPUTED_VALUE"""),-0.525442836959873)</f>
        <v>-0.52544283695987304</v>
      </c>
      <c r="DM36" s="3">
        <f ca="1">IFERROR(__xludf.DUMMYFUNCTION("""COMPUTED_VALUE"""),-0.482791043445481)</f>
        <v>-0.48279104344548102</v>
      </c>
      <c r="DN36" s="3">
        <f ca="1">IFERROR(__xludf.DUMMYFUNCTION("""COMPUTED_VALUE"""),-0.52950384410489)</f>
        <v>-0.52950384410489004</v>
      </c>
      <c r="DO36" s="3">
        <f ca="1">IFERROR(__xludf.DUMMYFUNCTION("""COMPUTED_VALUE"""),-0.520856458951068)</f>
        <v>-0.52085645895106802</v>
      </c>
      <c r="DP36" s="3">
        <f ca="1">IFERROR(__xludf.DUMMYFUNCTION("""COMPUTED_VALUE"""),-0.529744429367704)</f>
        <v>-0.52974442936770405</v>
      </c>
      <c r="DQ36" s="3">
        <f ca="1">IFERROR(__xludf.DUMMYFUNCTION("""COMPUTED_VALUE"""),-0.531511025702846)</f>
        <v>-0.53151102570284603</v>
      </c>
      <c r="DR36" s="3">
        <f ca="1">IFERROR(__xludf.DUMMYFUNCTION("""COMPUTED_VALUE"""),-0.543953890914885)</f>
        <v>-0.543953890914885</v>
      </c>
      <c r="DS36" s="3">
        <f ca="1">IFERROR(__xludf.DUMMYFUNCTION("""COMPUTED_VALUE"""),-0.563815048066874)</f>
        <v>-0.56381504806687399</v>
      </c>
      <c r="DT36" s="3">
        <f ca="1">IFERROR(__xludf.DUMMYFUNCTION("""COMPUTED_VALUE"""),-0.532379036787516)</f>
        <v>-0.53237903678751597</v>
      </c>
      <c r="DU36" s="3">
        <f ca="1">IFERROR(__xludf.DUMMYFUNCTION("""COMPUTED_VALUE"""),-0.550997516135235)</f>
        <v>-0.55099751613523495</v>
      </c>
      <c r="DV36" s="3">
        <f ca="1">IFERROR(__xludf.DUMMYFUNCTION("""COMPUTED_VALUE"""),-0.533341570652706)</f>
        <v>-0.53334157065270604</v>
      </c>
      <c r="DW36" s="3">
        <f ca="1">IFERROR(__xludf.DUMMYFUNCTION("""COMPUTED_VALUE"""),-0.493454055406595)</f>
        <v>-0.49345405540659498</v>
      </c>
      <c r="DX36" s="3">
        <f ca="1">IFERROR(__xludf.DUMMYFUNCTION("""COMPUTED_VALUE"""),-0.505000823678037)</f>
        <v>-0.505000823678037</v>
      </c>
      <c r="DY36" s="3">
        <f ca="1">IFERROR(__xludf.DUMMYFUNCTION("""COMPUTED_VALUE"""),-0.505526114327439)</f>
        <v>-0.50552611432743899</v>
      </c>
      <c r="DZ36" s="3">
        <f ca="1">IFERROR(__xludf.DUMMYFUNCTION("""COMPUTED_VALUE"""),-0.441175281120356)</f>
        <v>-0.44117528112035598</v>
      </c>
      <c r="EA36" s="3">
        <f ca="1">IFERROR(__xludf.DUMMYFUNCTION("""COMPUTED_VALUE"""),-0.506373211015086)</f>
        <v>-0.50637321101508603</v>
      </c>
      <c r="EB36" s="3">
        <f ca="1">IFERROR(__xludf.DUMMYFUNCTION("""COMPUTED_VALUE"""),-0.542502208911385)</f>
        <v>-0.54250220891138501</v>
      </c>
      <c r="EC36" s="3">
        <f ca="1">IFERROR(__xludf.DUMMYFUNCTION("""COMPUTED_VALUE"""),-0.521613454548642)</f>
        <v>-0.52161345454864205</v>
      </c>
      <c r="ED36" s="3">
        <f ca="1">IFERROR(__xludf.DUMMYFUNCTION("""COMPUTED_VALUE"""),-0.50312013006272)</f>
        <v>-0.50312013006272005</v>
      </c>
      <c r="EE36" s="3">
        <f ca="1">IFERROR(__xludf.DUMMYFUNCTION("""COMPUTED_VALUE"""),-0.514790653615038)</f>
        <v>-0.51479065361503795</v>
      </c>
      <c r="EF36" s="3">
        <f ca="1">IFERROR(__xludf.DUMMYFUNCTION("""COMPUTED_VALUE"""),-0.543660784754324)</f>
        <v>-0.543660784754324</v>
      </c>
      <c r="EG36" s="3">
        <f ca="1">IFERROR(__xludf.DUMMYFUNCTION("""COMPUTED_VALUE"""),-0.637337448870221)</f>
        <v>-0.63733744887022103</v>
      </c>
      <c r="EH36" s="3">
        <f ca="1">IFERROR(__xludf.DUMMYFUNCTION("""COMPUTED_VALUE"""),-0.47101704967689)</f>
        <v>-0.47101704967689001</v>
      </c>
      <c r="EI36" s="3">
        <f ca="1">IFERROR(__xludf.DUMMYFUNCTION("""COMPUTED_VALUE"""),-0.525614904116225)</f>
        <v>-0.52561490411622502</v>
      </c>
      <c r="EJ36" s="3">
        <f ca="1">IFERROR(__xludf.DUMMYFUNCTION("""COMPUTED_VALUE"""),-0.528454300365777)</f>
        <v>-0.52845430036577701</v>
      </c>
      <c r="EK36" s="3">
        <f ca="1">IFERROR(__xludf.DUMMYFUNCTION("""COMPUTED_VALUE"""),-0.502758392165488)</f>
        <v>-0.50275839216548801</v>
      </c>
      <c r="EL36" s="3">
        <f ca="1">IFERROR(__xludf.DUMMYFUNCTION("""COMPUTED_VALUE"""),-0.515373941452377)</f>
        <v>-0.51537394145237703</v>
      </c>
      <c r="EM36" s="3">
        <f ca="1">IFERROR(__xludf.DUMMYFUNCTION("""COMPUTED_VALUE"""),-0.502909069025626)</f>
        <v>-0.50290906902562604</v>
      </c>
      <c r="EN36" s="3">
        <f ca="1">IFERROR(__xludf.DUMMYFUNCTION("""COMPUTED_VALUE"""),-0.46345609124697)</f>
        <v>-0.46345609124697001</v>
      </c>
      <c r="EO36" s="3">
        <f ca="1">IFERROR(__xludf.DUMMYFUNCTION("""COMPUTED_VALUE"""),-0.514940052233526)</f>
        <v>-0.51494005223352601</v>
      </c>
      <c r="EP36" s="3">
        <f ca="1">IFERROR(__xludf.DUMMYFUNCTION("""COMPUTED_VALUE"""),-0.523858206025195)</f>
        <v>-0.52385820602519495</v>
      </c>
      <c r="EQ36" s="3">
        <f ca="1">IFERROR(__xludf.DUMMYFUNCTION("""COMPUTED_VALUE"""),-0.500486328579335)</f>
        <v>-0.50048632857933495</v>
      </c>
      <c r="ER36" s="3">
        <f ca="1">IFERROR(__xludf.DUMMYFUNCTION("""COMPUTED_VALUE"""),-0.507815524035513)</f>
        <v>-0.507815524035513</v>
      </c>
      <c r="ES36" s="3">
        <f ca="1">IFERROR(__xludf.DUMMYFUNCTION("""COMPUTED_VALUE"""),-0.52112324244456)</f>
        <v>-0.52112324244455999</v>
      </c>
      <c r="ET36" s="3">
        <f ca="1">IFERROR(__xludf.DUMMYFUNCTION("""COMPUTED_VALUE"""),-0.525627375882818)</f>
        <v>-0.52562737588281805</v>
      </c>
      <c r="EU36" s="3">
        <f ca="1">IFERROR(__xludf.DUMMYFUNCTION("""COMPUTED_VALUE"""),-0.527374803442885)</f>
        <v>-0.52737480344288501</v>
      </c>
      <c r="EV36" s="3">
        <f ca="1">IFERROR(__xludf.DUMMYFUNCTION("""COMPUTED_VALUE"""),-0.558701055738981)</f>
        <v>-0.55870105573898099</v>
      </c>
      <c r="EW36" s="3">
        <f ca="1">IFERROR(__xludf.DUMMYFUNCTION("""COMPUTED_VALUE"""),-0.556354440246444)</f>
        <v>-0.55635444024644398</v>
      </c>
      <c r="EX36" s="3">
        <f ca="1">IFERROR(__xludf.DUMMYFUNCTION("""COMPUTED_VALUE"""),-0.525552401904766)</f>
        <v>-0.52555240190476604</v>
      </c>
      <c r="EY36" s="3">
        <f ca="1">IFERROR(__xludf.DUMMYFUNCTION("""COMPUTED_VALUE"""),-0.554239962513929)</f>
        <v>-0.55423996251392904</v>
      </c>
      <c r="EZ36" s="3">
        <f ca="1">IFERROR(__xludf.DUMMYFUNCTION("""COMPUTED_VALUE"""),-0.537554844460332)</f>
        <v>-0.53755484446033197</v>
      </c>
      <c r="FA36" s="3">
        <f ca="1">IFERROR(__xludf.DUMMYFUNCTION("""COMPUTED_VALUE"""),-0.529139080777955)</f>
        <v>-0.52913908077795502</v>
      </c>
      <c r="FB36" s="3">
        <f ca="1">IFERROR(__xludf.DUMMYFUNCTION("""COMPUTED_VALUE"""),-0.542824327466717)</f>
        <v>-0.54282432746671705</v>
      </c>
      <c r="FC36" s="3">
        <f ca="1">IFERROR(__xludf.DUMMYFUNCTION("""COMPUTED_VALUE"""),-0.559371072592467)</f>
        <v>-0.55937107259246699</v>
      </c>
      <c r="FD36" s="3">
        <f ca="1">IFERROR(__xludf.DUMMYFUNCTION("""COMPUTED_VALUE"""),-0.501000878936662)</f>
        <v>-0.50100087893666201</v>
      </c>
      <c r="FE36" s="3">
        <f ca="1">IFERROR(__xludf.DUMMYFUNCTION("""COMPUTED_VALUE"""),-0.508206926826569)</f>
        <v>-0.50820692682656898</v>
      </c>
      <c r="FF36" s="3">
        <f ca="1">IFERROR(__xludf.DUMMYFUNCTION("""COMPUTED_VALUE"""),-0.449654405060541)</f>
        <v>-0.449654405060541</v>
      </c>
      <c r="FG36" s="3">
        <f ca="1">IFERROR(__xludf.DUMMYFUNCTION("""COMPUTED_VALUE"""),-0.502448856019813)</f>
        <v>-0.50244885601981304</v>
      </c>
      <c r="FH36" s="3">
        <f ca="1">IFERROR(__xludf.DUMMYFUNCTION("""COMPUTED_VALUE"""),-0.513533246907745)</f>
        <v>-0.51353324690774504</v>
      </c>
      <c r="FI36" s="3">
        <f ca="1">IFERROR(__xludf.DUMMYFUNCTION("""COMPUTED_VALUE"""),-0.539032832384341)</f>
        <v>-0.53903283238434097</v>
      </c>
      <c r="FJ36" s="3">
        <f ca="1">IFERROR(__xludf.DUMMYFUNCTION("""COMPUTED_VALUE"""),-0.556582469234741)</f>
        <v>-0.55658246923474097</v>
      </c>
      <c r="FK36" s="3">
        <f ca="1">IFERROR(__xludf.DUMMYFUNCTION("""COMPUTED_VALUE"""),-0.576168364114418)</f>
        <v>-0.57616836411441796</v>
      </c>
      <c r="FL36" s="3">
        <f ca="1">IFERROR(__xludf.DUMMYFUNCTION("""COMPUTED_VALUE"""),-0.565203356099887)</f>
        <v>-0.56520335609988703</v>
      </c>
      <c r="FM36" s="3">
        <f ca="1">IFERROR(__xludf.DUMMYFUNCTION("""COMPUTED_VALUE"""),-0.51075201360237)</f>
        <v>-0.51075201360236999</v>
      </c>
      <c r="FN36" s="3">
        <f ca="1">IFERROR(__xludf.DUMMYFUNCTION("""COMPUTED_VALUE"""),-0.522666437817124)</f>
        <v>-0.52266643781712396</v>
      </c>
      <c r="FO36" s="3">
        <f ca="1">IFERROR(__xludf.DUMMYFUNCTION("""COMPUTED_VALUE"""),-0.525836838336881)</f>
        <v>-0.525836838336881</v>
      </c>
      <c r="FP36" s="3">
        <f ca="1">IFERROR(__xludf.DUMMYFUNCTION("""COMPUTED_VALUE"""),-0.529594798808592)</f>
        <v>-0.52959479880859195</v>
      </c>
      <c r="FQ36" s="3">
        <f ca="1">IFERROR(__xludf.DUMMYFUNCTION("""COMPUTED_VALUE"""),-0.54322420076595)</f>
        <v>-0.54322420076595002</v>
      </c>
      <c r="FR36" s="3">
        <f ca="1">IFERROR(__xludf.DUMMYFUNCTION("""COMPUTED_VALUE"""),-0.545660791510886)</f>
        <v>-0.54566079151088598</v>
      </c>
      <c r="FS36" s="3">
        <f ca="1">IFERROR(__xludf.DUMMYFUNCTION("""COMPUTED_VALUE"""),-0.515708717131521)</f>
        <v>-0.515708717131521</v>
      </c>
      <c r="FT36" s="3">
        <f ca="1">IFERROR(__xludf.DUMMYFUNCTION("""COMPUTED_VALUE"""),-0.47539961944272)</f>
        <v>-0.47539961944272002</v>
      </c>
      <c r="FU36" s="3">
        <f ca="1">IFERROR(__xludf.DUMMYFUNCTION("""COMPUTED_VALUE"""),-0.508999421075215)</f>
        <v>-0.50899942107521501</v>
      </c>
      <c r="FV36" s="3">
        <f ca="1">IFERROR(__xludf.DUMMYFUNCTION("""COMPUTED_VALUE"""),-0.502836499070594)</f>
        <v>-0.50283649907059402</v>
      </c>
      <c r="FW36" s="3">
        <f ca="1">IFERROR(__xludf.DUMMYFUNCTION("""COMPUTED_VALUE"""),-0.52520405120381)</f>
        <v>-0.52520405120380997</v>
      </c>
      <c r="FX36" s="3">
        <f ca="1">IFERROR(__xludf.DUMMYFUNCTION("""COMPUTED_VALUE"""),-0.540219299805635)</f>
        <v>-0.54021929980563499</v>
      </c>
      <c r="FY36" s="3">
        <f ca="1">IFERROR(__xludf.DUMMYFUNCTION("""COMPUTED_VALUE"""),-0.54319113267277)</f>
        <v>-0.54319113267276997</v>
      </c>
      <c r="FZ36" s="3">
        <f ca="1">IFERROR(__xludf.DUMMYFUNCTION("""COMPUTED_VALUE"""),-0.545724538527025)</f>
        <v>-0.54572453852702496</v>
      </c>
      <c r="GA36" s="3">
        <f ca="1">IFERROR(__xludf.DUMMYFUNCTION("""COMPUTED_VALUE"""),-0.46074613557411)</f>
        <v>-0.46074613557410998</v>
      </c>
      <c r="GB36" s="3">
        <f ca="1">IFERROR(__xludf.DUMMYFUNCTION("""COMPUTED_VALUE"""),-0.523832027988976)</f>
        <v>-0.52383202798897599</v>
      </c>
      <c r="GC36" s="3">
        <f ca="1">IFERROR(__xludf.DUMMYFUNCTION("""COMPUTED_VALUE"""),-0.523229962452559)</f>
        <v>-0.52322996245255904</v>
      </c>
      <c r="GD36" s="3">
        <f ca="1">IFERROR(__xludf.DUMMYFUNCTION("""COMPUTED_VALUE"""),-0.552737481866217)</f>
        <v>-0.55273748186621696</v>
      </c>
      <c r="GE36" s="3">
        <f ca="1">IFERROR(__xludf.DUMMYFUNCTION("""COMPUTED_VALUE"""),-0.543674732352924)</f>
        <v>-0.54367473235292396</v>
      </c>
      <c r="GF36" s="3">
        <f ca="1">IFERROR(__xludf.DUMMYFUNCTION("""COMPUTED_VALUE"""),-0.538228411063513)</f>
        <v>-0.53822841106351305</v>
      </c>
      <c r="GG36" s="3">
        <f ca="1">IFERROR(__xludf.DUMMYFUNCTION("""COMPUTED_VALUE"""),-0.511192110015869)</f>
        <v>-0.51119211001586895</v>
      </c>
      <c r="GH36" s="3">
        <f ca="1">IFERROR(__xludf.DUMMYFUNCTION("""COMPUTED_VALUE"""),-0.485019593339118)</f>
        <v>-0.48501959333911798</v>
      </c>
      <c r="GI36" s="3">
        <f ca="1">IFERROR(__xludf.DUMMYFUNCTION("""COMPUTED_VALUE"""),-0.526066212744523)</f>
        <v>-0.52606621274452303</v>
      </c>
      <c r="GJ36" s="3">
        <f ca="1">IFERROR(__xludf.DUMMYFUNCTION("""COMPUTED_VALUE"""),-0.51960704430518)</f>
        <v>-0.51960704430518001</v>
      </c>
      <c r="GK36" s="3">
        <f ca="1">IFERROR(__xludf.DUMMYFUNCTION("""COMPUTED_VALUE"""),-0.539193848234169)</f>
        <v>-0.53919384823416905</v>
      </c>
      <c r="GL36" s="3">
        <f ca="1">IFERROR(__xludf.DUMMYFUNCTION("""COMPUTED_VALUE"""),-0.554702227870144)</f>
        <v>-0.554702227870144</v>
      </c>
      <c r="GM36" s="3">
        <f ca="1">IFERROR(__xludf.DUMMYFUNCTION("""COMPUTED_VALUE"""),-0.559079405131353)</f>
        <v>-0.55907940513135301</v>
      </c>
      <c r="GN36" s="3">
        <f ca="1">IFERROR(__xludf.DUMMYFUNCTION("""COMPUTED_VALUE"""),-0.554908081510948)</f>
        <v>-0.55490808151094795</v>
      </c>
      <c r="GO36" s="3">
        <f ca="1">IFERROR(__xludf.DUMMYFUNCTION("""COMPUTED_VALUE"""),-0.500217287783173)</f>
        <v>-0.50021728778317298</v>
      </c>
      <c r="GP36" s="3">
        <f ca="1">IFERROR(__xludf.DUMMYFUNCTION("""COMPUTED_VALUE"""),-0.519139088765513)</f>
        <v>-0.51913908876551296</v>
      </c>
      <c r="GQ36" s="3">
        <f ca="1">IFERROR(__xludf.DUMMYFUNCTION("""COMPUTED_VALUE"""),-0.548541173112118)</f>
        <v>-0.54854117311211803</v>
      </c>
      <c r="GR36" s="3">
        <f ca="1">IFERROR(__xludf.DUMMYFUNCTION("""COMPUTED_VALUE"""),-0.558641335818848)</f>
        <v>-0.55864133581884801</v>
      </c>
      <c r="GS36" s="3">
        <f ca="1">IFERROR(__xludf.DUMMYFUNCTION("""COMPUTED_VALUE"""),-0.552657116365212)</f>
        <v>-0.55265711636521198</v>
      </c>
      <c r="GT36" s="3">
        <f ca="1">IFERROR(__xludf.DUMMYFUNCTION("""COMPUTED_VALUE"""),-0.544307302385817)</f>
        <v>-0.54430730238581704</v>
      </c>
      <c r="GU36" s="3">
        <f ca="1">IFERROR(__xludf.DUMMYFUNCTION("""COMPUTED_VALUE"""),-0.549461467948578)</f>
        <v>-0.54946146794857798</v>
      </c>
      <c r="GV36" s="3">
        <f ca="1">IFERROR(__xludf.DUMMYFUNCTION("""COMPUTED_VALUE"""),-0.502648452877345)</f>
        <v>-0.50264845287734505</v>
      </c>
      <c r="GW36" s="3">
        <f ca="1">IFERROR(__xludf.DUMMYFUNCTION("""COMPUTED_VALUE"""),-0.518640365369081)</f>
        <v>-0.51864036536908098</v>
      </c>
      <c r="GX36" s="3">
        <f ca="1">IFERROR(__xludf.DUMMYFUNCTION("""COMPUTED_VALUE"""),-0.524137283196603)</f>
        <v>-0.52413728319660302</v>
      </c>
      <c r="GY36" s="3">
        <f ca="1">IFERROR(__xludf.DUMMYFUNCTION("""COMPUTED_VALUE"""),-0.479727585674184)</f>
        <v>-0.479727585674184</v>
      </c>
      <c r="GZ36" s="3">
        <f ca="1">IFERROR(__xludf.DUMMYFUNCTION("""COMPUTED_VALUE"""),-0.555086151465192)</f>
        <v>-0.55508615146519202</v>
      </c>
      <c r="HA36" s="3">
        <f ca="1">IFERROR(__xludf.DUMMYFUNCTION("""COMPUTED_VALUE"""),-0.54795297938567)</f>
        <v>-0.54795297938567</v>
      </c>
      <c r="HB36" s="3">
        <f ca="1">IFERROR(__xludf.DUMMYFUNCTION("""COMPUTED_VALUE"""),-0.537560466475826)</f>
        <v>-0.537560466475826</v>
      </c>
      <c r="HC36" s="3">
        <f ca="1">IFERROR(__xludf.DUMMYFUNCTION("""COMPUTED_VALUE"""),-0.488497340727967)</f>
        <v>-0.48849734072796702</v>
      </c>
      <c r="HD36" s="3">
        <f ca="1">IFERROR(__xludf.DUMMYFUNCTION("""COMPUTED_VALUE"""),-0.52105188598377)</f>
        <v>-0.52105188598376995</v>
      </c>
      <c r="HE36" s="3">
        <f ca="1">IFERROR(__xludf.DUMMYFUNCTION("""COMPUTED_VALUE"""),-0.548730142084809)</f>
        <v>-0.54873014208480897</v>
      </c>
      <c r="HF36" s="3">
        <f ca="1">IFERROR(__xludf.DUMMYFUNCTION("""COMPUTED_VALUE"""),-0.551252526012704)</f>
        <v>-0.55125252601270402</v>
      </c>
      <c r="HG36" s="3">
        <f ca="1">IFERROR(__xludf.DUMMYFUNCTION("""COMPUTED_VALUE"""),-0.556508998736262)</f>
        <v>-0.55650899873626203</v>
      </c>
      <c r="HH36" s="3">
        <f ca="1">IFERROR(__xludf.DUMMYFUNCTION("""COMPUTED_VALUE"""),-0.560552077090398)</f>
        <v>-0.560552077090398</v>
      </c>
      <c r="HI36" s="3">
        <f ca="1">IFERROR(__xludf.DUMMYFUNCTION("""COMPUTED_VALUE"""),-0.581411934686405)</f>
        <v>-0.58141193468640495</v>
      </c>
      <c r="HJ36" s="3">
        <f ca="1">IFERROR(__xludf.DUMMYFUNCTION("""COMPUTED_VALUE"""),-0.476254722241513)</f>
        <v>-0.476254722241513</v>
      </c>
      <c r="HK36" s="3">
        <f ca="1">IFERROR(__xludf.DUMMYFUNCTION("""COMPUTED_VALUE"""),-0.496601661396672)</f>
        <v>-0.496601661396672</v>
      </c>
      <c r="HL36" s="3">
        <f ca="1">IFERROR(__xludf.DUMMYFUNCTION("""COMPUTED_VALUE"""),-0.521981543363481)</f>
        <v>-0.52198154336348102</v>
      </c>
      <c r="HM36" s="3">
        <f ca="1">IFERROR(__xludf.DUMMYFUNCTION("""COMPUTED_VALUE"""),-0.514443108134793)</f>
        <v>-0.51444310813479299</v>
      </c>
      <c r="HN36" s="3">
        <f ca="1">IFERROR(__xludf.DUMMYFUNCTION("""COMPUTED_VALUE"""),-0.552506224875926)</f>
        <v>-0.55250622487592604</v>
      </c>
      <c r="HO36" s="3">
        <f ca="1">IFERROR(__xludf.DUMMYFUNCTION("""COMPUTED_VALUE"""),-0.546894521068034)</f>
        <v>-0.54689452106803405</v>
      </c>
      <c r="HP36" s="3">
        <f ca="1">IFERROR(__xludf.DUMMYFUNCTION("""COMPUTED_VALUE"""),-0.54158016564344)</f>
        <v>-0.54158016564344003</v>
      </c>
      <c r="HQ36" s="3">
        <f ca="1">IFERROR(__xludf.DUMMYFUNCTION("""COMPUTED_VALUE"""),-0.513173477241804)</f>
        <v>-0.51317347724180395</v>
      </c>
      <c r="HR36" s="3">
        <f ca="1">IFERROR(__xludf.DUMMYFUNCTION("""COMPUTED_VALUE"""),-0.518673801752364)</f>
        <v>-0.51867380175236399</v>
      </c>
      <c r="HS36" s="3">
        <f ca="1">IFERROR(__xludf.DUMMYFUNCTION("""COMPUTED_VALUE"""),-0.545154938193876)</f>
        <v>-0.54515493819387595</v>
      </c>
      <c r="HT36" s="3">
        <f ca="1">IFERROR(__xludf.DUMMYFUNCTION("""COMPUTED_VALUE"""),-0.543476372935813)</f>
        <v>-0.54347637293581297</v>
      </c>
      <c r="HU36" s="3">
        <f ca="1">IFERROR(__xludf.DUMMYFUNCTION("""COMPUTED_VALUE"""),-0.555497538898033)</f>
        <v>-0.55549753889803299</v>
      </c>
      <c r="HV36" s="3">
        <f ca="1">IFERROR(__xludf.DUMMYFUNCTION("""COMPUTED_VALUE"""),-0.554073046101462)</f>
        <v>-0.55407304610146202</v>
      </c>
      <c r="HW36" s="3">
        <f ca="1">IFERROR(__xludf.DUMMYFUNCTION("""COMPUTED_VALUE"""),-0.498345158283262)</f>
        <v>-0.49834515828326198</v>
      </c>
      <c r="HX36" s="3">
        <f ca="1">IFERROR(__xludf.DUMMYFUNCTION("""COMPUTED_VALUE"""),-0.516894987715306)</f>
        <v>-0.51689498771530595</v>
      </c>
      <c r="HY36" s="3">
        <f ca="1">IFERROR(__xludf.DUMMYFUNCTION("""COMPUTED_VALUE"""),-0.513838661993192)</f>
        <v>-0.51383866199319195</v>
      </c>
      <c r="HZ36" s="3">
        <f ca="1">IFERROR(__xludf.DUMMYFUNCTION("""COMPUTED_VALUE"""),-0.514668055972848)</f>
        <v>-0.51466805597284804</v>
      </c>
      <c r="IA36" s="3">
        <f ca="1">IFERROR(__xludf.DUMMYFUNCTION("""COMPUTED_VALUE"""),-0.515963907581565)</f>
        <v>-0.51596390758156496</v>
      </c>
      <c r="IB36" s="3">
        <f ca="1">IFERROR(__xludf.DUMMYFUNCTION("""COMPUTED_VALUE"""),-0.530555445044668)</f>
        <v>-0.53055544504466801</v>
      </c>
      <c r="IC36" s="3">
        <f ca="1">IFERROR(__xludf.DUMMYFUNCTION("""COMPUTED_VALUE"""),-0.53376689724999)</f>
        <v>-0.53376689724999005</v>
      </c>
      <c r="ID36" s="3">
        <f ca="1">IFERROR(__xludf.DUMMYFUNCTION("""COMPUTED_VALUE"""),-0.526183017515688)</f>
        <v>-0.52618301751568797</v>
      </c>
      <c r="IE36" s="3">
        <f ca="1">IFERROR(__xludf.DUMMYFUNCTION("""COMPUTED_VALUE"""),-0.49444919266928)</f>
        <v>-0.49444919266928</v>
      </c>
      <c r="IF36" s="3">
        <f ca="1">IFERROR(__xludf.DUMMYFUNCTION("""COMPUTED_VALUE"""),-0.500916028761334)</f>
        <v>-0.50091602876133401</v>
      </c>
      <c r="IG36" s="3">
        <f ca="1">IFERROR(__xludf.DUMMYFUNCTION("""COMPUTED_VALUE"""),-0.514604114410483)</f>
        <v>-0.51460411441048304</v>
      </c>
      <c r="IH36" s="3">
        <f ca="1">IFERROR(__xludf.DUMMYFUNCTION("""COMPUTED_VALUE"""),-0.529706555720727)</f>
        <v>-0.529706555720727</v>
      </c>
      <c r="II36" s="3">
        <f ca="1">IFERROR(__xludf.DUMMYFUNCTION("""COMPUTED_VALUE"""),-0.510415835645267)</f>
        <v>-0.51041583564526705</v>
      </c>
      <c r="IJ36" s="3">
        <f ca="1">IFERROR(__xludf.DUMMYFUNCTION("""COMPUTED_VALUE"""),-0.519841405969382)</f>
        <v>-0.519841405969382</v>
      </c>
      <c r="IK36" s="3">
        <f ca="1">IFERROR(__xludf.DUMMYFUNCTION("""COMPUTED_VALUE"""),-0.511178370888796)</f>
        <v>-0.51117837088879603</v>
      </c>
      <c r="IL36" s="3">
        <f ca="1">IFERROR(__xludf.DUMMYFUNCTION("""COMPUTED_VALUE"""),-0.516110635163071)</f>
        <v>-0.51611063516307099</v>
      </c>
      <c r="IM36" s="3">
        <f ca="1">IFERROR(__xludf.DUMMYFUNCTION("""COMPUTED_VALUE"""),-0.500343629947535)</f>
        <v>-0.50034362994753501</v>
      </c>
      <c r="IN36" s="3">
        <f ca="1">IFERROR(__xludf.DUMMYFUNCTION("""COMPUTED_VALUE"""),-0.501841230620907)</f>
        <v>-0.50184123062090702</v>
      </c>
      <c r="IO36" s="3">
        <f ca="1">IFERROR(__xludf.DUMMYFUNCTION("""COMPUTED_VALUE"""),-0.53265409537622)</f>
        <v>-0.53265409537621999</v>
      </c>
      <c r="IP36" s="3">
        <f ca="1">IFERROR(__xludf.DUMMYFUNCTION("""COMPUTED_VALUE"""),-0.50516753686718)</f>
        <v>-0.50516753686717997</v>
      </c>
      <c r="IQ36" s="3">
        <f ca="1">IFERROR(__xludf.DUMMYFUNCTION("""COMPUTED_VALUE"""),-0.510890704582295)</f>
        <v>-0.51089070458229502</v>
      </c>
      <c r="IR36" s="3">
        <f ca="1">IFERROR(__xludf.DUMMYFUNCTION("""COMPUTED_VALUE"""),-0.502075424262954)</f>
        <v>-0.50207542426295404</v>
      </c>
      <c r="IS36" s="3">
        <f ca="1">IFERROR(__xludf.DUMMYFUNCTION("""COMPUTED_VALUE"""),-0.515656818533185)</f>
        <v>-0.51565681853318501</v>
      </c>
      <c r="IT36" s="3">
        <f ca="1">IFERROR(__xludf.DUMMYFUNCTION("""COMPUTED_VALUE"""),-0.512180110367829)</f>
        <v>-0.51218011036782896</v>
      </c>
      <c r="IU36" s="3">
        <f ca="1">IFERROR(__xludf.DUMMYFUNCTION("""COMPUTED_VALUE"""),-0.508331967869379)</f>
        <v>-0.50833196786937895</v>
      </c>
      <c r="IV36" s="3">
        <f ca="1">IFERROR(__xludf.DUMMYFUNCTION("""COMPUTED_VALUE"""),-0.530779804322737)</f>
        <v>-0.53077980432273697</v>
      </c>
      <c r="IW36" s="3">
        <f ca="1">IFERROR(__xludf.DUMMYFUNCTION("""COMPUTED_VALUE"""),-0.50647900215804)</f>
        <v>-0.50647900215803998</v>
      </c>
      <c r="IX36" s="3">
        <f ca="1">IFERROR(__xludf.DUMMYFUNCTION("""COMPUTED_VALUE"""),-0.524586479219168)</f>
        <v>-0.52458647921916801</v>
      </c>
      <c r="IY36" s="3">
        <f ca="1">IFERROR(__xludf.DUMMYFUNCTION("""COMPUTED_VALUE"""),-0.5098787438064)</f>
        <v>-0.50987874380639997</v>
      </c>
      <c r="IZ36" s="3">
        <f ca="1">IFERROR(__xludf.DUMMYFUNCTION("""COMPUTED_VALUE"""),-0.520110400054957)</f>
        <v>-0.52011040005495701</v>
      </c>
      <c r="JA36" s="3">
        <f ca="1">IFERROR(__xludf.DUMMYFUNCTION("""COMPUTED_VALUE"""),-0.528949910627387)</f>
        <v>-0.52894991062738705</v>
      </c>
      <c r="JB36" s="3">
        <f ca="1">IFERROR(__xludf.DUMMYFUNCTION("""COMPUTED_VALUE"""),-0.533749131952839)</f>
        <v>-0.53374913195283902</v>
      </c>
      <c r="JC36" s="3">
        <f ca="1">IFERROR(__xludf.DUMMYFUNCTION("""COMPUTED_VALUE"""),-0.514971288460937)</f>
        <v>-0.51497128846093698</v>
      </c>
      <c r="JD36" s="3">
        <f ca="1">IFERROR(__xludf.DUMMYFUNCTION("""COMPUTED_VALUE"""),-0.505072103887657)</f>
        <v>-0.505072103887657</v>
      </c>
      <c r="JE36" s="3">
        <f ca="1">IFERROR(__xludf.DUMMYFUNCTION("""COMPUTED_VALUE"""),-0.508783102550059)</f>
        <v>-0.50878310255005899</v>
      </c>
      <c r="JF36" s="3">
        <f ca="1">IFERROR(__xludf.DUMMYFUNCTION("""COMPUTED_VALUE"""),-0.524164392187844)</f>
        <v>-0.52416439218784405</v>
      </c>
      <c r="JG36" s="3">
        <f ca="1">IFERROR(__xludf.DUMMYFUNCTION("""COMPUTED_VALUE"""),-0.514581204151245)</f>
        <v>-0.51458120415124498</v>
      </c>
      <c r="JH36" s="3">
        <f ca="1">IFERROR(__xludf.DUMMYFUNCTION("""COMPUTED_VALUE"""),-0.498532841445899)</f>
        <v>-0.49853284144589899</v>
      </c>
      <c r="JI36" s="3">
        <f ca="1">IFERROR(__xludf.DUMMYFUNCTION("""COMPUTED_VALUE"""),-0.509353159851167)</f>
        <v>-0.50935315985116703</v>
      </c>
      <c r="JJ36" s="3">
        <f ca="1">IFERROR(__xludf.DUMMYFUNCTION("""COMPUTED_VALUE"""),-0.492071872891092)</f>
        <v>-0.492071872891092</v>
      </c>
      <c r="JK36" s="3">
        <f ca="1">IFERROR(__xludf.DUMMYFUNCTION("""COMPUTED_VALUE"""),-0.499011261231827)</f>
        <v>-0.49901126123182699</v>
      </c>
      <c r="JL36" s="3">
        <f ca="1">IFERROR(__xludf.DUMMYFUNCTION("""COMPUTED_VALUE"""),-0.493213727602221)</f>
        <v>-0.49321372760222099</v>
      </c>
      <c r="JM36" s="3">
        <f ca="1">IFERROR(__xludf.DUMMYFUNCTION("""COMPUTED_VALUE"""),-0.496725743722394)</f>
        <v>-0.49672574372239398</v>
      </c>
      <c r="JN36" s="3">
        <f ca="1">IFERROR(__xludf.DUMMYFUNCTION("""COMPUTED_VALUE"""),-0.511752457550922)</f>
        <v>-0.51175245755092202</v>
      </c>
      <c r="JO36" s="3">
        <f ca="1">IFERROR(__xludf.DUMMYFUNCTION("""COMPUTED_VALUE"""),-0.491279095975502)</f>
        <v>-0.49127909597550201</v>
      </c>
      <c r="JP36" s="3">
        <f ca="1">IFERROR(__xludf.DUMMYFUNCTION("""COMPUTED_VALUE"""),-0.485642858477717)</f>
        <v>-0.48564285847771699</v>
      </c>
      <c r="JQ36" s="3">
        <f ca="1">IFERROR(__xludf.DUMMYFUNCTION("""COMPUTED_VALUE"""),-0.460608753745983)</f>
        <v>-0.46060875374598298</v>
      </c>
      <c r="JR36" s="3">
        <f ca="1">IFERROR(__xludf.DUMMYFUNCTION("""COMPUTED_VALUE"""),-0.502091211358848)</f>
        <v>-0.50209121135884804</v>
      </c>
      <c r="JS36" s="3">
        <f ca="1">IFERROR(__xludf.DUMMYFUNCTION("""COMPUTED_VALUE"""),-0.49133667521419)</f>
        <v>-0.49133667521419</v>
      </c>
      <c r="JT36" s="3">
        <f ca="1">IFERROR(__xludf.DUMMYFUNCTION("""COMPUTED_VALUE"""),-0.489151159877673)</f>
        <v>-0.48915115987767299</v>
      </c>
      <c r="JU36" s="3">
        <f ca="1">IFERROR(__xludf.DUMMYFUNCTION("""COMPUTED_VALUE"""),-0.463410565367612)</f>
        <v>-0.46341056536761199</v>
      </c>
      <c r="JV36" s="3">
        <f ca="1">IFERROR(__xludf.DUMMYFUNCTION("""COMPUTED_VALUE"""),-0.513883267560483)</f>
        <v>-0.51388326756048297</v>
      </c>
      <c r="JW36" s="3">
        <f ca="1">IFERROR(__xludf.DUMMYFUNCTION("""COMPUTED_VALUE"""),-0.501693253339846)</f>
        <v>-0.50169325333984605</v>
      </c>
      <c r="JX36" s="3">
        <f ca="1">IFERROR(__xludf.DUMMYFUNCTION("""COMPUTED_VALUE"""),-0.445336076886081)</f>
        <v>-0.44533607688608101</v>
      </c>
      <c r="JY36" s="3">
        <f ca="1">IFERROR(__xludf.DUMMYFUNCTION("""COMPUTED_VALUE"""),-0.453313396976692)</f>
        <v>-0.45331339697669198</v>
      </c>
      <c r="JZ36" s="3">
        <f ca="1">IFERROR(__xludf.DUMMYFUNCTION("""COMPUTED_VALUE"""),-0.511917693716537)</f>
        <v>-0.51191769371653695</v>
      </c>
      <c r="KA36" s="3">
        <f ca="1">IFERROR(__xludf.DUMMYFUNCTION("""COMPUTED_VALUE"""),-0.517523032653116)</f>
        <v>-0.51752303265311606</v>
      </c>
      <c r="KB36" s="3">
        <f ca="1">IFERROR(__xludf.DUMMYFUNCTION("""COMPUTED_VALUE"""),-0.49106662274528)</f>
        <v>-0.49106662274528001</v>
      </c>
      <c r="KC36" s="3">
        <f ca="1">IFERROR(__xludf.DUMMYFUNCTION("""COMPUTED_VALUE"""),-0.472767693721879)</f>
        <v>-0.47276769372187899</v>
      </c>
      <c r="KD36" s="3">
        <f ca="1">IFERROR(__xludf.DUMMYFUNCTION("""COMPUTED_VALUE"""),-0.47455917462331)</f>
        <v>-0.47455917462330999</v>
      </c>
      <c r="KE36" s="3">
        <f ca="1">IFERROR(__xludf.DUMMYFUNCTION("""COMPUTED_VALUE"""),-0.43352278751274)</f>
        <v>-0.43352278751273998</v>
      </c>
      <c r="KF36" s="3">
        <f ca="1">IFERROR(__xludf.DUMMYFUNCTION("""COMPUTED_VALUE"""),-0.459914818354225)</f>
        <v>-0.45991481835422499</v>
      </c>
      <c r="KG36" s="3">
        <f ca="1">IFERROR(__xludf.DUMMYFUNCTION("""COMPUTED_VALUE"""),-0.452112187473661)</f>
        <v>-0.452112187473661</v>
      </c>
      <c r="KH36" s="3">
        <f ca="1">IFERROR(__xludf.DUMMYFUNCTION("""COMPUTED_VALUE"""),-0.456401244635602)</f>
        <v>-0.456401244635602</v>
      </c>
      <c r="KI36" s="3">
        <f ca="1">IFERROR(__xludf.DUMMYFUNCTION("""COMPUTED_VALUE"""),-0.472035795333035)</f>
        <v>-0.47203579533303502</v>
      </c>
      <c r="KJ36" s="3">
        <f ca="1">IFERROR(__xludf.DUMMYFUNCTION("""COMPUTED_VALUE"""),-0.50514207742661)</f>
        <v>-0.50514207742660999</v>
      </c>
      <c r="KK36" s="3">
        <f ca="1">IFERROR(__xludf.DUMMYFUNCTION("""COMPUTED_VALUE"""),-0.487467341243403)</f>
        <v>-0.48746734124340302</v>
      </c>
      <c r="KL36" s="3">
        <f ca="1">IFERROR(__xludf.DUMMYFUNCTION("""COMPUTED_VALUE"""),-0.487798789751812)</f>
        <v>-0.48779878975181201</v>
      </c>
      <c r="KM36" s="3">
        <f ca="1">IFERROR(__xludf.DUMMYFUNCTION("""COMPUTED_VALUE"""),-0.507386458923352)</f>
        <v>-0.50738645892335199</v>
      </c>
      <c r="KN36" s="3">
        <f ca="1">IFERROR(__xludf.DUMMYFUNCTION("""COMPUTED_VALUE"""),-0.484195842716793)</f>
        <v>-0.484195842716793</v>
      </c>
      <c r="KO36" s="3">
        <f ca="1">IFERROR(__xludf.DUMMYFUNCTION("""COMPUTED_VALUE"""),-0.500221295758502)</f>
        <v>-0.50022129575850205</v>
      </c>
      <c r="KP36" s="3">
        <f ca="1">IFERROR(__xludf.DUMMYFUNCTION("""COMPUTED_VALUE"""),-0.500176848390559)</f>
        <v>-0.50017684839055898</v>
      </c>
      <c r="KQ36" s="3">
        <f ca="1">IFERROR(__xludf.DUMMYFUNCTION("""COMPUTED_VALUE"""),-0.535461775671741)</f>
        <v>-0.53546177567174102</v>
      </c>
      <c r="KR36" s="3">
        <f ca="1">IFERROR(__xludf.DUMMYFUNCTION("""COMPUTED_VALUE"""),-0.508404908874742)</f>
        <v>-0.50840490887474199</v>
      </c>
      <c r="KS36" s="3">
        <f ca="1">IFERROR(__xludf.DUMMYFUNCTION("""COMPUTED_VALUE"""),-0.536353368294679)</f>
        <v>-0.53635336829467894</v>
      </c>
      <c r="KT36" s="3">
        <f ca="1">IFERROR(__xludf.DUMMYFUNCTION("""COMPUTED_VALUE"""),-0.504999627806434)</f>
        <v>-0.50499962780643404</v>
      </c>
      <c r="KU36" s="3">
        <f ca="1">IFERROR(__xludf.DUMMYFUNCTION("""COMPUTED_VALUE"""),-0.523162478020442)</f>
        <v>-0.52316247802044202</v>
      </c>
      <c r="KV36" s="3">
        <f ca="1">IFERROR(__xludf.DUMMYFUNCTION("""COMPUTED_VALUE"""),-0.513947771692874)</f>
        <v>-0.51394777169287398</v>
      </c>
      <c r="KW36" s="3">
        <f ca="1">IFERROR(__xludf.DUMMYFUNCTION("""COMPUTED_VALUE"""),-0.525900119407785)</f>
        <v>-0.52590011940778503</v>
      </c>
      <c r="KX36" s="3">
        <f ca="1">IFERROR(__xludf.DUMMYFUNCTION("""COMPUTED_VALUE"""),-0.49802216797836)</f>
        <v>-0.49802216797836002</v>
      </c>
      <c r="KY36" s="3">
        <f ca="1">IFERROR(__xludf.DUMMYFUNCTION("""COMPUTED_VALUE"""),-0.485723920872307)</f>
        <v>-0.48572392087230698</v>
      </c>
      <c r="KZ36" s="3">
        <f ca="1">IFERROR(__xludf.DUMMYFUNCTION("""COMPUTED_VALUE"""),-0.501174414853528)</f>
        <v>-0.50117441485352798</v>
      </c>
      <c r="LA36" s="3">
        <f ca="1">IFERROR(__xludf.DUMMYFUNCTION("""COMPUTED_VALUE"""),-0.535888465411608)</f>
        <v>-0.53588846541160795</v>
      </c>
      <c r="LB36" s="3">
        <f ca="1">IFERROR(__xludf.DUMMYFUNCTION("""COMPUTED_VALUE"""),-0.535838387617031)</f>
        <v>-0.53583838761703095</v>
      </c>
      <c r="LC36" s="3">
        <f ca="1">IFERROR(__xludf.DUMMYFUNCTION("""COMPUTED_VALUE"""),-0.503821716890537)</f>
        <v>-0.50382171689053701</v>
      </c>
      <c r="LD36" s="3">
        <f ca="1">IFERROR(__xludf.DUMMYFUNCTION("""COMPUTED_VALUE"""),-0.558246624357763)</f>
        <v>-0.55824662435776295</v>
      </c>
      <c r="LE36" s="3">
        <f ca="1">IFERROR(__xludf.DUMMYFUNCTION("""COMPUTED_VALUE"""),-0.576433481021945)</f>
        <v>-0.57643348102194503</v>
      </c>
      <c r="LF36" s="3">
        <f ca="1">IFERROR(__xludf.DUMMYFUNCTION("""COMPUTED_VALUE"""),-0.570128244102144)</f>
        <v>-0.57012824410214402</v>
      </c>
      <c r="LG36" s="3">
        <f ca="1">IFERROR(__xludf.DUMMYFUNCTION("""COMPUTED_VALUE"""),-0.587611394361391)</f>
        <v>-0.58761139436139098</v>
      </c>
      <c r="LH36" s="3">
        <f ca="1">IFERROR(__xludf.DUMMYFUNCTION("""COMPUTED_VALUE"""),-0.578552285238162)</f>
        <v>-0.57855228523816205</v>
      </c>
      <c r="LI36" s="3">
        <f ca="1">IFERROR(__xludf.DUMMYFUNCTION("""COMPUTED_VALUE"""),-0.609226180286155)</f>
        <v>-0.60922618028615505</v>
      </c>
      <c r="LJ36" s="3">
        <f ca="1">IFERROR(__xludf.DUMMYFUNCTION("""COMPUTED_VALUE"""),-0.649093606692909)</f>
        <v>-0.64909360669290905</v>
      </c>
      <c r="LK36" s="3">
        <f ca="1">IFERROR(__xludf.DUMMYFUNCTION("""COMPUTED_VALUE"""),-0.595731597887446)</f>
        <v>-0.59573159788744601</v>
      </c>
      <c r="LL36" s="3">
        <f ca="1">IFERROR(__xludf.DUMMYFUNCTION("""COMPUTED_VALUE"""),-0.596556279098776)</f>
        <v>-0.59655627909877595</v>
      </c>
      <c r="LM36" s="3">
        <f ca="1">IFERROR(__xludf.DUMMYFUNCTION("""COMPUTED_VALUE"""),-0.598605583963572)</f>
        <v>-0.598605583963572</v>
      </c>
      <c r="LN36" s="3">
        <f ca="1">IFERROR(__xludf.DUMMYFUNCTION("""COMPUTED_VALUE"""),-0.598462718819044)</f>
        <v>-0.598462718819044</v>
      </c>
      <c r="LO36" s="3">
        <f ca="1">IFERROR(__xludf.DUMMYFUNCTION("""COMPUTED_VALUE"""),-0.621109669952476)</f>
        <v>-0.62110966995247596</v>
      </c>
      <c r="LP36" s="3">
        <f ca="1">IFERROR(__xludf.DUMMYFUNCTION("""COMPUTED_VALUE"""),-0.59576271018173)</f>
        <v>-0.59576271018172999</v>
      </c>
      <c r="LQ36" s="3">
        <f ca="1">IFERROR(__xludf.DUMMYFUNCTION("""COMPUTED_VALUE"""),-0.594661418973128)</f>
        <v>-0.59466141897312796</v>
      </c>
      <c r="LR36" s="3">
        <f ca="1">IFERROR(__xludf.DUMMYFUNCTION("""COMPUTED_VALUE"""),-0.607467403580191)</f>
        <v>-0.60746740358019102</v>
      </c>
      <c r="LS36" s="3">
        <f ca="1">IFERROR(__xludf.DUMMYFUNCTION("""COMPUTED_VALUE"""),-0.64151416541135)</f>
        <v>-0.64151416541134998</v>
      </c>
      <c r="LT36" s="3">
        <f ca="1">IFERROR(__xludf.DUMMYFUNCTION("""COMPUTED_VALUE"""),-0.65687047325719)</f>
        <v>-0.65687047325718995</v>
      </c>
      <c r="LU36" s="3">
        <f ca="1">IFERROR(__xludf.DUMMYFUNCTION("""COMPUTED_VALUE"""),-0.64260878520494)</f>
        <v>-0.64260878520494003</v>
      </c>
      <c r="LV36" s="3">
        <f ca="1">IFERROR(__xludf.DUMMYFUNCTION("""COMPUTED_VALUE"""),-0.632695384254579)</f>
        <v>-0.63269538425457905</v>
      </c>
      <c r="LW36" s="3">
        <f ca="1">IFERROR(__xludf.DUMMYFUNCTION("""COMPUTED_VALUE"""),-0.644229865782091)</f>
        <v>-0.64422986578209096</v>
      </c>
      <c r="LX36" s="3">
        <f ca="1">IFERROR(__xludf.DUMMYFUNCTION("""COMPUTED_VALUE"""),-0.640755734764567)</f>
        <v>-0.64075573476456704</v>
      </c>
      <c r="LY36" s="3">
        <f ca="1">IFERROR(__xludf.DUMMYFUNCTION("""COMPUTED_VALUE"""),-0.655310742799804)</f>
        <v>-0.65531074279980395</v>
      </c>
      <c r="LZ36" s="3">
        <f ca="1">IFERROR(__xludf.DUMMYFUNCTION("""COMPUTED_VALUE"""),-0.651755545490149)</f>
        <v>-0.65175554549014902</v>
      </c>
      <c r="MA36" s="3">
        <f ca="1">IFERROR(__xludf.DUMMYFUNCTION("""COMPUTED_VALUE"""),-0.655040613067518)</f>
        <v>-0.65504061306751804</v>
      </c>
      <c r="MB36" s="3">
        <f ca="1">IFERROR(__xludf.DUMMYFUNCTION("""COMPUTED_VALUE"""),-0.663243570793342)</f>
        <v>-0.66324357079334195</v>
      </c>
      <c r="MC36" s="3">
        <f ca="1">IFERROR(__xludf.DUMMYFUNCTION("""COMPUTED_VALUE"""),-0.66556989854792)</f>
        <v>-0.66556989854792004</v>
      </c>
      <c r="MD36" s="3">
        <f ca="1">IFERROR(__xludf.DUMMYFUNCTION("""COMPUTED_VALUE"""),-0.680726493786951)</f>
        <v>-0.68072649378695105</v>
      </c>
      <c r="ME36" s="3">
        <f ca="1">IFERROR(__xludf.DUMMYFUNCTION("""COMPUTED_VALUE"""),-0.654239617502926)</f>
        <v>-0.65423961750292603</v>
      </c>
      <c r="MF36" s="3">
        <f ca="1">IFERROR(__xludf.DUMMYFUNCTION("""COMPUTED_VALUE"""),-0.694243786777246)</f>
        <v>-0.69424378677724596</v>
      </c>
      <c r="MG36" s="3">
        <f ca="1">IFERROR(__xludf.DUMMYFUNCTION("""COMPUTED_VALUE"""),-0.679468416648099)</f>
        <v>-0.67946841664809898</v>
      </c>
      <c r="MH36" s="3">
        <f ca="1">IFERROR(__xludf.DUMMYFUNCTION("""COMPUTED_VALUE"""),-0.6847320543642)</f>
        <v>-0.68473205436420004</v>
      </c>
      <c r="MI36" s="3">
        <f ca="1">IFERROR(__xludf.DUMMYFUNCTION("""COMPUTED_VALUE"""),-0.66756124824112)</f>
        <v>-0.66756124824111995</v>
      </c>
      <c r="MJ36" s="3">
        <f ca="1">IFERROR(__xludf.DUMMYFUNCTION("""COMPUTED_VALUE"""),-0.651204349212975)</f>
        <v>-0.65120434921297499</v>
      </c>
      <c r="MK36" s="3">
        <f ca="1">IFERROR(__xludf.DUMMYFUNCTION("""COMPUTED_VALUE"""),-0.670288538067899)</f>
        <v>-0.67028853806789901</v>
      </c>
      <c r="ML36" s="3">
        <f ca="1">IFERROR(__xludf.DUMMYFUNCTION("""COMPUTED_VALUE"""),-0.648775586037571)</f>
        <v>-0.64877558603757102</v>
      </c>
      <c r="MM36" s="3">
        <f ca="1">IFERROR(__xludf.DUMMYFUNCTION("""COMPUTED_VALUE"""),-0.668954256875055)</f>
        <v>-0.66895425687505505</v>
      </c>
      <c r="MN36" s="3">
        <f ca="1">IFERROR(__xludf.DUMMYFUNCTION("""COMPUTED_VALUE"""),-0.689795305223832)</f>
        <v>-0.68979530522383203</v>
      </c>
      <c r="MO36" s="3">
        <f ca="1">IFERROR(__xludf.DUMMYFUNCTION("""COMPUTED_VALUE"""),-0.684961320024753)</f>
        <v>-0.68496132002475296</v>
      </c>
      <c r="MP36" s="3">
        <f ca="1">IFERROR(__xludf.DUMMYFUNCTION("""COMPUTED_VALUE"""),-0.670446591924279)</f>
        <v>-0.67044659192427902</v>
      </c>
      <c r="MQ36" s="3">
        <f ca="1">IFERROR(__xludf.DUMMYFUNCTION("""COMPUTED_VALUE"""),-0.66717853561468)</f>
        <v>-0.66717853561467999</v>
      </c>
      <c r="MR36" s="3">
        <f ca="1">IFERROR(__xludf.DUMMYFUNCTION("""COMPUTED_VALUE"""),-0.665298579151257)</f>
        <v>-0.66529857915125701</v>
      </c>
      <c r="MS36" s="3">
        <f ca="1">IFERROR(__xludf.DUMMYFUNCTION("""COMPUTED_VALUE"""),-0.665630217457671)</f>
        <v>-0.66563021745767104</v>
      </c>
      <c r="MT36" s="3">
        <f ca="1">IFERROR(__xludf.DUMMYFUNCTION("""COMPUTED_VALUE"""),-0.687555127054196)</f>
        <v>-0.68755512705419597</v>
      </c>
      <c r="MU36" s="3">
        <f ca="1">IFERROR(__xludf.DUMMYFUNCTION("""COMPUTED_VALUE"""),-0.696519184289388)</f>
        <v>-0.69651918428938797</v>
      </c>
      <c r="MV36" s="3">
        <f ca="1">IFERROR(__xludf.DUMMYFUNCTION("""COMPUTED_VALUE"""),-0.678039578879283)</f>
        <v>-0.67803957887928301</v>
      </c>
      <c r="MW36" s="3">
        <f ca="1">IFERROR(__xludf.DUMMYFUNCTION("""COMPUTED_VALUE"""),-0.688749220143973)</f>
        <v>-0.688749220143973</v>
      </c>
      <c r="MX36" s="3">
        <f ca="1">IFERROR(__xludf.DUMMYFUNCTION("""COMPUTED_VALUE"""),-0.669835811248112)</f>
        <v>-0.66983581124811198</v>
      </c>
      <c r="MY36" s="3">
        <f ca="1">IFERROR(__xludf.DUMMYFUNCTION("""COMPUTED_VALUE"""),-0.666760638781037)</f>
        <v>-0.66676063878103697</v>
      </c>
      <c r="MZ36" s="3">
        <f ca="1">IFERROR(__xludf.DUMMYFUNCTION("""COMPUTED_VALUE"""),-0.644855464773687)</f>
        <v>-0.64485546477368705</v>
      </c>
      <c r="NA36" s="3">
        <f ca="1">IFERROR(__xludf.DUMMYFUNCTION("""COMPUTED_VALUE"""),-0.713394741618068)</f>
        <v>-0.71339474161806804</v>
      </c>
      <c r="NB36" s="3">
        <f ca="1">IFERROR(__xludf.DUMMYFUNCTION("""COMPUTED_VALUE"""),-0.681663864543789)</f>
        <v>-0.68166386454378902</v>
      </c>
      <c r="NC36" s="3">
        <f ca="1">IFERROR(__xludf.DUMMYFUNCTION("""COMPUTED_VALUE"""),-0.674661601552055)</f>
        <v>-0.67466160155205501</v>
      </c>
      <c r="ND36" s="3">
        <f ca="1">IFERROR(__xludf.DUMMYFUNCTION("""COMPUTED_VALUE"""),-0.655908596980408)</f>
        <v>-0.65590859698040804</v>
      </c>
      <c r="NE36" s="3">
        <f ca="1">IFERROR(__xludf.DUMMYFUNCTION("""COMPUTED_VALUE"""),-0.694215504402792)</f>
        <v>-0.69421550440279201</v>
      </c>
      <c r="NF36" s="3">
        <f ca="1">IFERROR(__xludf.DUMMYFUNCTION("""COMPUTED_VALUE"""),-0.670790263291472)</f>
        <v>-0.67079026329147196</v>
      </c>
      <c r="NG36" s="3">
        <f ca="1">IFERROR(__xludf.DUMMYFUNCTION("""COMPUTED_VALUE"""),-0.667724368977253)</f>
        <v>-0.66772436897725296</v>
      </c>
      <c r="NH36" s="3">
        <f ca="1">IFERROR(__xludf.DUMMYFUNCTION("""COMPUTED_VALUE"""),-0.694678580403814)</f>
        <v>-0.69467858040381403</v>
      </c>
      <c r="NI36" s="3">
        <f ca="1">IFERROR(__xludf.DUMMYFUNCTION("""COMPUTED_VALUE"""),-0.683093442643264)</f>
        <v>-0.68309344264326399</v>
      </c>
      <c r="NJ36" s="3">
        <f ca="1">IFERROR(__xludf.DUMMYFUNCTION("""COMPUTED_VALUE"""),-0.632754866839839)</f>
        <v>-0.63275486683983895</v>
      </c>
      <c r="NK36" s="3">
        <f ca="1">IFERROR(__xludf.DUMMYFUNCTION("""COMPUTED_VALUE"""),-0.649230060143663)</f>
        <v>-0.64923006014366302</v>
      </c>
      <c r="NL36" s="3">
        <f ca="1">IFERROR(__xludf.DUMMYFUNCTION("""COMPUTED_VALUE"""),-0.627609100964433)</f>
        <v>-0.62760910096443301</v>
      </c>
      <c r="NM36" s="3">
        <f ca="1">IFERROR(__xludf.DUMMYFUNCTION("""COMPUTED_VALUE"""),-0.645607781489356)</f>
        <v>-0.64560778148935605</v>
      </c>
      <c r="NN36" s="3">
        <f ca="1">IFERROR(__xludf.DUMMYFUNCTION("""COMPUTED_VALUE"""),-0.654267757745976)</f>
        <v>-0.65426775774597601</v>
      </c>
      <c r="NO36" s="3">
        <f ca="1">IFERROR(__xludf.DUMMYFUNCTION("""COMPUTED_VALUE"""),-0.679575037175826)</f>
        <v>-0.67957503717582601</v>
      </c>
      <c r="NP36" s="3">
        <f ca="1">IFERROR(__xludf.DUMMYFUNCTION("""COMPUTED_VALUE"""),-0.658813492686853)</f>
        <v>-0.65881349268685296</v>
      </c>
      <c r="NQ36" s="3">
        <f ca="1">IFERROR(__xludf.DUMMYFUNCTION("""COMPUTED_VALUE"""),-0.62820738580865)</f>
        <v>-0.62820738580864999</v>
      </c>
      <c r="NR36" s="3">
        <f ca="1">IFERROR(__xludf.DUMMYFUNCTION("""COMPUTED_VALUE"""),-0.603312985881244)</f>
        <v>-0.60331298588124405</v>
      </c>
      <c r="NS36" s="3">
        <f ca="1">IFERROR(__xludf.DUMMYFUNCTION("""COMPUTED_VALUE"""),-0.59654611769927)</f>
        <v>-0.59654611769927002</v>
      </c>
      <c r="NT36" s="3">
        <f ca="1">IFERROR(__xludf.DUMMYFUNCTION("""COMPUTED_VALUE"""),-0.50174214688581)</f>
        <v>-0.50174214688580998</v>
      </c>
      <c r="NU36" s="3">
        <f ca="1">IFERROR(__xludf.DUMMYFUNCTION("""COMPUTED_VALUE"""),-0.633575612259086)</f>
        <v>-0.63357561225908599</v>
      </c>
      <c r="NV36" s="3">
        <f ca="1">IFERROR(__xludf.DUMMYFUNCTION("""COMPUTED_VALUE"""),-0.641514652849402)</f>
        <v>-0.64151465284940201</v>
      </c>
      <c r="NW36" s="3">
        <f ca="1">IFERROR(__xludf.DUMMYFUNCTION("""COMPUTED_VALUE"""),-0.623026420399684)</f>
        <v>-0.62302642039968403</v>
      </c>
      <c r="NX36" s="3">
        <f ca="1">IFERROR(__xludf.DUMMYFUNCTION("""COMPUTED_VALUE"""),-0.591900124138556)</f>
        <v>-0.59190012413855597</v>
      </c>
      <c r="NY36" s="3">
        <f ca="1">IFERROR(__xludf.DUMMYFUNCTION("""COMPUTED_VALUE"""),-0.573748041567472)</f>
        <v>-0.57374804156747194</v>
      </c>
      <c r="NZ36" s="3">
        <f ca="1">IFERROR(__xludf.DUMMYFUNCTION("""COMPUTED_VALUE"""),-0.468240322913657)</f>
        <v>-0.46824032291365703</v>
      </c>
      <c r="OA36" s="3">
        <f ca="1">IFERROR(__xludf.DUMMYFUNCTION("""COMPUTED_VALUE"""),-0.285083471160945)</f>
        <v>-0.28508347116094501</v>
      </c>
      <c r="OB36" s="3">
        <f ca="1">IFERROR(__xludf.DUMMYFUNCTION("""COMPUTED_VALUE"""),-0.232313112212782)</f>
        <v>-0.232313112212782</v>
      </c>
      <c r="OC36" s="3">
        <f ca="1">IFERROR(__xludf.DUMMYFUNCTION("""COMPUTED_VALUE"""),-0.147501111215696)</f>
        <v>-0.14750111121569601</v>
      </c>
      <c r="OD36" s="3">
        <f ca="1">IFERROR(__xludf.DUMMYFUNCTION("""COMPUTED_VALUE"""),-0.154099466412933)</f>
        <v>-0.15409946641293301</v>
      </c>
      <c r="OE36" s="3">
        <f ca="1">IFERROR(__xludf.DUMMYFUNCTION("""COMPUTED_VALUE"""),-0.154975899570215)</f>
        <v>-0.15497589957021499</v>
      </c>
      <c r="OF36" s="3">
        <f ca="1">IFERROR(__xludf.DUMMYFUNCTION("""COMPUTED_VALUE"""),-0.0811327736165369)</f>
        <v>-8.1132773616536896E-2</v>
      </c>
      <c r="OG36" s="3">
        <f ca="1">IFERROR(__xludf.DUMMYFUNCTION("""COMPUTED_VALUE"""),0.0146095393411957)</f>
        <v>1.46095393411957E-2</v>
      </c>
      <c r="OH36" s="3">
        <f ca="1">IFERROR(__xludf.DUMMYFUNCTION("""COMPUTED_VALUE"""),-0.0545369085908763)</f>
        <v>-5.4536908590876301E-2</v>
      </c>
      <c r="OI36" s="3">
        <f ca="1">IFERROR(__xludf.DUMMYFUNCTION("""COMPUTED_VALUE"""),-0.112550347853553)</f>
        <v>-0.112550347853553</v>
      </c>
      <c r="OJ36" s="3">
        <f ca="1">IFERROR(__xludf.DUMMYFUNCTION("""COMPUTED_VALUE"""),-0.0495849128763405)</f>
        <v>-4.9584912876340502E-2</v>
      </c>
      <c r="OK36" s="3">
        <f ca="1">IFERROR(__xludf.DUMMYFUNCTION("""COMPUTED_VALUE"""),-0.0618181851748417)</f>
        <v>-6.1818185174841701E-2</v>
      </c>
      <c r="OL36" s="3">
        <f ca="1">IFERROR(__xludf.DUMMYFUNCTION("""COMPUTED_VALUE"""),-0.0121120397074799)</f>
        <v>-1.2112039707479901E-2</v>
      </c>
      <c r="OM36" s="3">
        <f ca="1">IFERROR(__xludf.DUMMYFUNCTION("""COMPUTED_VALUE"""),-0.0249840994912712)</f>
        <v>-2.49840994912712E-2</v>
      </c>
      <c r="ON36" s="3">
        <f ca="1">IFERROR(__xludf.DUMMYFUNCTION("""COMPUTED_VALUE"""),0.0601491962323241)</f>
        <v>6.0149196232324099E-2</v>
      </c>
      <c r="OO36" s="3">
        <f ca="1">IFERROR(__xludf.DUMMYFUNCTION("""COMPUTED_VALUE"""),0.0193786592340525)</f>
        <v>1.9378659234052499E-2</v>
      </c>
      <c r="OP36" s="3">
        <f ca="1">IFERROR(__xludf.DUMMYFUNCTION("""COMPUTED_VALUE"""),-0.0283762571942134)</f>
        <v>-2.8376257194213401E-2</v>
      </c>
      <c r="OQ36" s="3">
        <f ca="1">IFERROR(__xludf.DUMMYFUNCTION("""COMPUTED_VALUE"""),-0.0633745795816048)</f>
        <v>-6.3374579581604806E-2</v>
      </c>
      <c r="OR36" s="3">
        <f ca="1">IFERROR(__xludf.DUMMYFUNCTION("""COMPUTED_VALUE"""),-0.0494533562528244)</f>
        <v>-4.9453356252824397E-2</v>
      </c>
      <c r="OS36" s="3">
        <f ca="1">IFERROR(__xludf.DUMMYFUNCTION("""COMPUTED_VALUE"""),-0.0162723006083301)</f>
        <v>-1.6272300608330102E-2</v>
      </c>
      <c r="OT36" s="3">
        <f ca="1">IFERROR(__xludf.DUMMYFUNCTION("""COMPUTED_VALUE"""),0.0265112747427063)</f>
        <v>2.6511274742706301E-2</v>
      </c>
      <c r="OU36" s="3">
        <f ca="1">IFERROR(__xludf.DUMMYFUNCTION("""COMPUTED_VALUE"""),0.033408706717342)</f>
        <v>3.3408706717342002E-2</v>
      </c>
      <c r="OV36" s="3">
        <f ca="1">IFERROR(__xludf.DUMMYFUNCTION("""COMPUTED_VALUE"""),-0.0101893377566175)</f>
        <v>-1.0189337756617499E-2</v>
      </c>
      <c r="OW36" s="3">
        <f ca="1">IFERROR(__xludf.DUMMYFUNCTION("""COMPUTED_VALUE"""),0.00190910151191081)</f>
        <v>1.90910151191081E-3</v>
      </c>
      <c r="OX36" s="3">
        <f ca="1">IFERROR(__xludf.DUMMYFUNCTION("""COMPUTED_VALUE"""),-0.0393266259469775)</f>
        <v>-3.93266259469775E-2</v>
      </c>
      <c r="OY36" s="3">
        <f ca="1">IFERROR(__xludf.DUMMYFUNCTION("""COMPUTED_VALUE"""),-0.100565640205712)</f>
        <v>-0.100565640205712</v>
      </c>
      <c r="OZ36" s="3">
        <f ca="1">IFERROR(__xludf.DUMMYFUNCTION("""COMPUTED_VALUE"""),0.0644007529479897)</f>
        <v>6.4400752947989706E-2</v>
      </c>
      <c r="PA36" s="3">
        <f ca="1">IFERROR(__xludf.DUMMYFUNCTION("""COMPUTED_VALUE"""),0.170497313361243)</f>
        <v>0.17049731336124299</v>
      </c>
      <c r="PB36" s="3">
        <f ca="1">IFERROR(__xludf.DUMMYFUNCTION("""COMPUTED_VALUE"""),0.0505239684409093)</f>
        <v>5.0523968440909298E-2</v>
      </c>
      <c r="PC36" s="3">
        <f ca="1">IFERROR(__xludf.DUMMYFUNCTION("""COMPUTED_VALUE"""),0.0193202061467496)</f>
        <v>1.9320206146749602E-2</v>
      </c>
      <c r="PD36" s="3">
        <f ca="1">IFERROR(__xludf.DUMMYFUNCTION("""COMPUTED_VALUE"""),-0.0658585368111611)</f>
        <v>-6.5858536811161106E-2</v>
      </c>
      <c r="PE36" s="3">
        <f ca="1">IFERROR(__xludf.DUMMYFUNCTION("""COMPUTED_VALUE"""),-0.00956343536533566)</f>
        <v>-9.5634353653356596E-3</v>
      </c>
      <c r="PF36" s="3">
        <f ca="1">IFERROR(__xludf.DUMMYFUNCTION("""COMPUTED_VALUE"""),-0.00229702855376989)</f>
        <v>-2.2970285537698902E-3</v>
      </c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</row>
    <row r="37" spans="1:594" ht="15.75" customHeight="1">
      <c r="A37" s="1" t="str">
        <f ca="1">IFERROR(__xludf.DUMMYFUNCTION("""COMPUTED_VALUE"""),"London, ON")</f>
        <v>London, ON</v>
      </c>
      <c r="B37" s="3">
        <f ca="1">IFERROR(__xludf.DUMMYFUNCTION("""COMPUTED_VALUE"""),-0.750805922251891)</f>
        <v>-0.75080592225189102</v>
      </c>
      <c r="C37" s="3">
        <f ca="1">IFERROR(__xludf.DUMMYFUNCTION("""COMPUTED_VALUE"""),-0.726341334833755)</f>
        <v>-0.72634133483375496</v>
      </c>
      <c r="D37" s="3">
        <f ca="1">IFERROR(__xludf.DUMMYFUNCTION("""COMPUTED_VALUE"""),-0.764102692880546)</f>
        <v>-0.764102692880546</v>
      </c>
      <c r="E37" s="3">
        <f ca="1">IFERROR(__xludf.DUMMYFUNCTION("""COMPUTED_VALUE"""),-0.742461324655197)</f>
        <v>-0.74246132465519699</v>
      </c>
      <c r="F37" s="3">
        <f ca="1">IFERROR(__xludf.DUMMYFUNCTION("""COMPUTED_VALUE"""),-0.737915032373592)</f>
        <v>-0.73791503237359202</v>
      </c>
      <c r="G37" s="3">
        <f ca="1">IFERROR(__xludf.DUMMYFUNCTION("""COMPUTED_VALUE"""),-0.782536581931684)</f>
        <v>-0.78253658193168396</v>
      </c>
      <c r="H37" s="3">
        <f ca="1">IFERROR(__xludf.DUMMYFUNCTION("""COMPUTED_VALUE"""),-0.791513565217285)</f>
        <v>-0.791513565217285</v>
      </c>
      <c r="I37" s="3">
        <f ca="1">IFERROR(__xludf.DUMMYFUNCTION("""COMPUTED_VALUE"""),-0.726548809849513)</f>
        <v>-0.72654880984951298</v>
      </c>
      <c r="J37" s="3">
        <f ca="1">IFERROR(__xludf.DUMMYFUNCTION("""COMPUTED_VALUE"""),-0.797198702776891)</f>
        <v>-0.79719870277689098</v>
      </c>
      <c r="K37" s="3">
        <f ca="1">IFERROR(__xludf.DUMMYFUNCTION("""COMPUTED_VALUE"""),-0.704264000476366)</f>
        <v>-0.70426400047636595</v>
      </c>
      <c r="L37" s="3">
        <f ca="1">IFERROR(__xludf.DUMMYFUNCTION("""COMPUTED_VALUE"""),-0.713143376540832)</f>
        <v>-0.71314337654083204</v>
      </c>
      <c r="M37" s="3">
        <f ca="1">IFERROR(__xludf.DUMMYFUNCTION("""COMPUTED_VALUE"""),-0.727846731954165)</f>
        <v>-0.72784673195416505</v>
      </c>
      <c r="N37" s="3">
        <f ca="1">IFERROR(__xludf.DUMMYFUNCTION("""COMPUTED_VALUE"""),-0.700730062879359)</f>
        <v>-0.70073006287935902</v>
      </c>
      <c r="O37" s="3">
        <f ca="1">IFERROR(__xludf.DUMMYFUNCTION("""COMPUTED_VALUE"""),-0.679042496104427)</f>
        <v>-0.67904249610442702</v>
      </c>
      <c r="P37" s="3">
        <f ca="1">IFERROR(__xludf.DUMMYFUNCTION("""COMPUTED_VALUE"""),-0.616165971429261)</f>
        <v>-0.61616597142926099</v>
      </c>
      <c r="Q37" s="3">
        <f ca="1">IFERROR(__xludf.DUMMYFUNCTION("""COMPUTED_VALUE"""),-0.718629914655394)</f>
        <v>-0.71862991465539405</v>
      </c>
      <c r="R37" s="3">
        <f ca="1">IFERROR(__xludf.DUMMYFUNCTION("""COMPUTED_VALUE"""),-0.712792178336708)</f>
        <v>-0.71279217833670805</v>
      </c>
      <c r="S37" s="3">
        <f ca="1">IFERROR(__xludf.DUMMYFUNCTION("""COMPUTED_VALUE"""),-0.728538408876296)</f>
        <v>-0.72853840887629595</v>
      </c>
      <c r="T37" s="3">
        <f ca="1">IFERROR(__xludf.DUMMYFUNCTION("""COMPUTED_VALUE"""),-0.732970014753458)</f>
        <v>-0.73297001475345802</v>
      </c>
      <c r="U37" s="3">
        <f ca="1">IFERROR(__xludf.DUMMYFUNCTION("""COMPUTED_VALUE"""),-0.707352628286799)</f>
        <v>-0.70735262828679901</v>
      </c>
      <c r="V37" s="3">
        <f ca="1">IFERROR(__xludf.DUMMYFUNCTION("""COMPUTED_VALUE"""),-0.628090142901145)</f>
        <v>-0.62809014290114495</v>
      </c>
      <c r="W37" s="3">
        <f ca="1">IFERROR(__xludf.DUMMYFUNCTION("""COMPUTED_VALUE"""),-0.647408975018968)</f>
        <v>-0.64740897501896799</v>
      </c>
      <c r="X37" s="3">
        <f ca="1">IFERROR(__xludf.DUMMYFUNCTION("""COMPUTED_VALUE"""),-0.718300124271715)</f>
        <v>-0.71830012427171497</v>
      </c>
      <c r="Y37" s="3">
        <f ca="1">IFERROR(__xludf.DUMMYFUNCTION("""COMPUTED_VALUE"""),-0.728586297894853)</f>
        <v>-0.72858629789485296</v>
      </c>
      <c r="Z37" s="3">
        <f ca="1">IFERROR(__xludf.DUMMYFUNCTION("""COMPUTED_VALUE"""),-0.720101177711509)</f>
        <v>-0.72010117771150906</v>
      </c>
      <c r="AA37" s="3">
        <f ca="1">IFERROR(__xludf.DUMMYFUNCTION("""COMPUTED_VALUE"""),-0.701250433343156)</f>
        <v>-0.70125043334315595</v>
      </c>
      <c r="AB37" s="3">
        <f ca="1">IFERROR(__xludf.DUMMYFUNCTION("""COMPUTED_VALUE"""),-0.713226077013002)</f>
        <v>-0.713226077013002</v>
      </c>
      <c r="AC37" s="3">
        <f ca="1">IFERROR(__xludf.DUMMYFUNCTION("""COMPUTED_VALUE"""),-0.664948195570881)</f>
        <v>-0.66494819557088103</v>
      </c>
      <c r="AD37" s="3">
        <f ca="1">IFERROR(__xludf.DUMMYFUNCTION("""COMPUTED_VALUE"""),-0.672336175490606)</f>
        <v>-0.67233617549060598</v>
      </c>
      <c r="AE37" s="3">
        <f ca="1">IFERROR(__xludf.DUMMYFUNCTION("""COMPUTED_VALUE"""),-0.725508022821394)</f>
        <v>-0.72550802282139404</v>
      </c>
      <c r="AF37" s="3">
        <f ca="1">IFERROR(__xludf.DUMMYFUNCTION("""COMPUTED_VALUE"""),-0.712370002976452)</f>
        <v>-0.71237000297645203</v>
      </c>
      <c r="AG37" s="3">
        <f ca="1">IFERROR(__xludf.DUMMYFUNCTION("""COMPUTED_VALUE"""),-0.718993917831395)</f>
        <v>-0.71899391783139499</v>
      </c>
      <c r="AH37" s="3">
        <f ca="1">IFERROR(__xludf.DUMMYFUNCTION("""COMPUTED_VALUE"""),-0.71310771301544)</f>
        <v>-0.71310771301543996</v>
      </c>
      <c r="AI37" s="3">
        <f ca="1">IFERROR(__xludf.DUMMYFUNCTION("""COMPUTED_VALUE"""),-0.724931964541691)</f>
        <v>-0.72493196454169095</v>
      </c>
      <c r="AJ37" s="3">
        <f ca="1">IFERROR(__xludf.DUMMYFUNCTION("""COMPUTED_VALUE"""),-0.651921418278483)</f>
        <v>-0.65192141827848304</v>
      </c>
      <c r="AK37" s="3">
        <f ca="1">IFERROR(__xludf.DUMMYFUNCTION("""COMPUTED_VALUE"""),-0.68206109692052)</f>
        <v>-0.68206109692051997</v>
      </c>
      <c r="AL37" s="3">
        <f ca="1">IFERROR(__xludf.DUMMYFUNCTION("""COMPUTED_VALUE"""),-0.727171312417178)</f>
        <v>-0.72717131241717803</v>
      </c>
      <c r="AM37" s="3">
        <f ca="1">IFERROR(__xludf.DUMMYFUNCTION("""COMPUTED_VALUE"""),-0.725406693508597)</f>
        <v>-0.72540669350859699</v>
      </c>
      <c r="AN37" s="3">
        <f ca="1">IFERROR(__xludf.DUMMYFUNCTION("""COMPUTED_VALUE"""),-0.723994763873075)</f>
        <v>-0.72399476387307504</v>
      </c>
      <c r="AO37" s="3">
        <f ca="1">IFERROR(__xludf.DUMMYFUNCTION("""COMPUTED_VALUE"""),-0.715994367614216)</f>
        <v>-0.71599436761421598</v>
      </c>
      <c r="AP37" s="3">
        <f ca="1">IFERROR(__xludf.DUMMYFUNCTION("""COMPUTED_VALUE"""),-0.71996982235236)</f>
        <v>-0.71996982235235996</v>
      </c>
      <c r="AQ37" s="3">
        <f ca="1">IFERROR(__xludf.DUMMYFUNCTION("""COMPUTED_VALUE"""),-0.669229130525039)</f>
        <v>-0.66922913052503896</v>
      </c>
      <c r="AR37" s="3">
        <f ca="1">IFERROR(__xludf.DUMMYFUNCTION("""COMPUTED_VALUE"""),-0.641375553822975)</f>
        <v>-0.64137555382297495</v>
      </c>
      <c r="AS37" s="3">
        <f ca="1">IFERROR(__xludf.DUMMYFUNCTION("""COMPUTED_VALUE"""),-0.684831743601992)</f>
        <v>-0.68483174360199195</v>
      </c>
      <c r="AT37" s="3">
        <f ca="1">IFERROR(__xludf.DUMMYFUNCTION("""COMPUTED_VALUE"""),-0.702203637668103)</f>
        <v>-0.70220363766810301</v>
      </c>
      <c r="AU37" s="3">
        <f ca="1">IFERROR(__xludf.DUMMYFUNCTION("""COMPUTED_VALUE"""),-0.723213262624527)</f>
        <v>-0.72321326262452701</v>
      </c>
      <c r="AV37" s="3">
        <f ca="1">IFERROR(__xludf.DUMMYFUNCTION("""COMPUTED_VALUE"""),-0.73438470464353)</f>
        <v>-0.73438470464353001</v>
      </c>
      <c r="AW37" s="3">
        <f ca="1">IFERROR(__xludf.DUMMYFUNCTION("""COMPUTED_VALUE"""),-0.637156888985927)</f>
        <v>-0.63715688898592704</v>
      </c>
      <c r="AX37" s="3">
        <f ca="1">IFERROR(__xludf.DUMMYFUNCTION("""COMPUTED_VALUE"""),-0.664472843195056)</f>
        <v>-0.66447284319505595</v>
      </c>
      <c r="AY37" s="3">
        <f ca="1">IFERROR(__xludf.DUMMYFUNCTION("""COMPUTED_VALUE"""),-0.669914375181055)</f>
        <v>-0.66991437518105501</v>
      </c>
      <c r="AZ37" s="3">
        <f ca="1">IFERROR(__xludf.DUMMYFUNCTION("""COMPUTED_VALUE"""),-0.721245745758883)</f>
        <v>-0.72124574575888301</v>
      </c>
      <c r="BA37" s="3">
        <f ca="1">IFERROR(__xludf.DUMMYFUNCTION("""COMPUTED_VALUE"""),-0.756659862427661)</f>
        <v>-0.75665986242766103</v>
      </c>
      <c r="BB37" s="3">
        <f ca="1">IFERROR(__xludf.DUMMYFUNCTION("""COMPUTED_VALUE"""),-0.73509680730097)</f>
        <v>-0.73509680730097005</v>
      </c>
      <c r="BC37" s="3">
        <f ca="1">IFERROR(__xludf.DUMMYFUNCTION("""COMPUTED_VALUE"""),-0.657887779384206)</f>
        <v>-0.65788777938420595</v>
      </c>
      <c r="BD37" s="3">
        <f ca="1">IFERROR(__xludf.DUMMYFUNCTION("""COMPUTED_VALUE"""),-0.810864804782639)</f>
        <v>-0.810864804782639</v>
      </c>
      <c r="BE37" s="3">
        <f ca="1">IFERROR(__xludf.DUMMYFUNCTION("""COMPUTED_VALUE"""),-0.712561385762452)</f>
        <v>-0.71256138576245198</v>
      </c>
      <c r="BF37" s="3">
        <f ca="1">IFERROR(__xludf.DUMMYFUNCTION("""COMPUTED_VALUE"""),-0.732775246064552)</f>
        <v>-0.73277524606455202</v>
      </c>
      <c r="BG37" s="3">
        <f ca="1">IFERROR(__xludf.DUMMYFUNCTION("""COMPUTED_VALUE"""),-0.761128767414753)</f>
        <v>-0.76112876741475299</v>
      </c>
      <c r="BH37" s="3">
        <f ca="1">IFERROR(__xludf.DUMMYFUNCTION("""COMPUTED_VALUE"""),-0.759697790889355)</f>
        <v>-0.75969779088935496</v>
      </c>
      <c r="BI37" s="3">
        <f ca="1">IFERROR(__xludf.DUMMYFUNCTION("""COMPUTED_VALUE"""),-0.772486793284543)</f>
        <v>-0.77248679328454295</v>
      </c>
      <c r="BJ37" s="3">
        <f ca="1">IFERROR(__xludf.DUMMYFUNCTION("""COMPUTED_VALUE"""),-0.763165750914656)</f>
        <v>-0.76316575091465599</v>
      </c>
      <c r="BK37" s="3">
        <f ca="1">IFERROR(__xludf.DUMMYFUNCTION("""COMPUTED_VALUE"""),-0.729289012554333)</f>
        <v>-0.72928901255433298</v>
      </c>
      <c r="BL37" s="3">
        <f ca="1">IFERROR(__xludf.DUMMYFUNCTION("""COMPUTED_VALUE"""),-0.745368594433033)</f>
        <v>-0.74536859443303305</v>
      </c>
      <c r="BM37" s="3">
        <f ca="1">IFERROR(__xludf.DUMMYFUNCTION("""COMPUTED_VALUE"""),-0.74793527738038)</f>
        <v>-0.74793527738038001</v>
      </c>
      <c r="BN37" s="3">
        <f ca="1">IFERROR(__xludf.DUMMYFUNCTION("""COMPUTED_VALUE"""),-0.817081356024173)</f>
        <v>-0.81708135602417298</v>
      </c>
      <c r="BO37" s="3">
        <f ca="1">IFERROR(__xludf.DUMMYFUNCTION("""COMPUTED_VALUE"""),-0.820842857197054)</f>
        <v>-0.82084285719705397</v>
      </c>
      <c r="BP37" s="3">
        <f ca="1">IFERROR(__xludf.DUMMYFUNCTION("""COMPUTED_VALUE"""),-0.827511143972397)</f>
        <v>-0.827511143972397</v>
      </c>
      <c r="BQ37" s="3">
        <f ca="1">IFERROR(__xludf.DUMMYFUNCTION("""COMPUTED_VALUE"""),-0.840989211166216)</f>
        <v>-0.84098921116621606</v>
      </c>
      <c r="BR37" s="3">
        <f ca="1">IFERROR(__xludf.DUMMYFUNCTION("""COMPUTED_VALUE"""),-0.818512366949855)</f>
        <v>-0.81851236694985496</v>
      </c>
      <c r="BS37" s="3">
        <f ca="1">IFERROR(__xludf.DUMMYFUNCTION("""COMPUTED_VALUE"""),-0.772240401980581)</f>
        <v>-0.77224040198058097</v>
      </c>
      <c r="BT37" s="3">
        <f ca="1">IFERROR(__xludf.DUMMYFUNCTION("""COMPUTED_VALUE"""),-0.769619446515769)</f>
        <v>-0.76961944651576897</v>
      </c>
      <c r="BU37" s="3">
        <f ca="1">IFERROR(__xludf.DUMMYFUNCTION("""COMPUTED_VALUE"""),-0.83832975129597)</f>
        <v>-0.83832975129596998</v>
      </c>
      <c r="BV37" s="3">
        <f ca="1">IFERROR(__xludf.DUMMYFUNCTION("""COMPUTED_VALUE"""),-0.852620913854118)</f>
        <v>-0.85262091385411798</v>
      </c>
      <c r="BW37" s="3">
        <f ca="1">IFERROR(__xludf.DUMMYFUNCTION("""COMPUTED_VALUE"""),-0.85528805939333)</f>
        <v>-0.85528805939332997</v>
      </c>
      <c r="BX37" s="3">
        <f ca="1">IFERROR(__xludf.DUMMYFUNCTION("""COMPUTED_VALUE"""),-0.849571456165561)</f>
        <v>-0.84957145616556096</v>
      </c>
      <c r="BY37" s="3">
        <f ca="1">IFERROR(__xludf.DUMMYFUNCTION("""COMPUTED_VALUE"""),-0.839750809839715)</f>
        <v>-0.83975080983971495</v>
      </c>
      <c r="BZ37" s="3">
        <f ca="1">IFERROR(__xludf.DUMMYFUNCTION("""COMPUTED_VALUE"""),-0.757126924623282)</f>
        <v>-0.75712692462328202</v>
      </c>
      <c r="CA37" s="3">
        <f ca="1">IFERROR(__xludf.DUMMYFUNCTION("""COMPUTED_VALUE"""),-0.792390381623371)</f>
        <v>-0.79239038162337105</v>
      </c>
      <c r="CB37" s="3">
        <f ca="1">IFERROR(__xludf.DUMMYFUNCTION("""COMPUTED_VALUE"""),-0.84716067398068)</f>
        <v>-0.84716067398067996</v>
      </c>
      <c r="CC37" s="3">
        <f ca="1">IFERROR(__xludf.DUMMYFUNCTION("""COMPUTED_VALUE"""),-0.852981750571252)</f>
        <v>-0.85298175057125203</v>
      </c>
      <c r="CD37" s="3">
        <f ca="1">IFERROR(__xludf.DUMMYFUNCTION("""COMPUTED_VALUE"""),-0.862574708483355)</f>
        <v>-0.86257470848335505</v>
      </c>
      <c r="CE37" s="3">
        <f ca="1">IFERROR(__xludf.DUMMYFUNCTION("""COMPUTED_VALUE"""),-0.85686273629223)</f>
        <v>-0.85686273629222998</v>
      </c>
      <c r="CF37" s="3">
        <f ca="1">IFERROR(__xludf.DUMMYFUNCTION("""COMPUTED_VALUE"""),-0.845960306317459)</f>
        <v>-0.845960306317459</v>
      </c>
      <c r="CG37" s="3">
        <f ca="1">IFERROR(__xludf.DUMMYFUNCTION("""COMPUTED_VALUE"""),-0.782568780251651)</f>
        <v>-0.782568780251651</v>
      </c>
      <c r="CH37" s="3">
        <f ca="1">IFERROR(__xludf.DUMMYFUNCTION("""COMPUTED_VALUE"""),-0.798885308790417)</f>
        <v>-0.79888530879041697</v>
      </c>
      <c r="CI37" s="3">
        <f ca="1">IFERROR(__xludf.DUMMYFUNCTION("""COMPUTED_VALUE"""),-0.854913290095998)</f>
        <v>-0.85491329009599804</v>
      </c>
      <c r="CJ37" s="3">
        <f ca="1">IFERROR(__xludf.DUMMYFUNCTION("""COMPUTED_VALUE"""),-0.871447739781701)</f>
        <v>-0.87144773978170098</v>
      </c>
      <c r="CK37" s="3">
        <f ca="1">IFERROR(__xludf.DUMMYFUNCTION("""COMPUTED_VALUE"""),-0.837784016041117)</f>
        <v>-0.83778401604111696</v>
      </c>
      <c r="CL37" s="3">
        <f ca="1">IFERROR(__xludf.DUMMYFUNCTION("""COMPUTED_VALUE"""),-0.848736565799627)</f>
        <v>-0.84873656579962697</v>
      </c>
      <c r="CM37" s="3">
        <f ca="1">IFERROR(__xludf.DUMMYFUNCTION("""COMPUTED_VALUE"""),-0.839291204913952)</f>
        <v>-0.83929120491395204</v>
      </c>
      <c r="CN37" s="3">
        <f ca="1">IFERROR(__xludf.DUMMYFUNCTION("""COMPUTED_VALUE"""),-0.753522168990916)</f>
        <v>-0.75352216899091595</v>
      </c>
      <c r="CO37" s="3">
        <f ca="1">IFERROR(__xludf.DUMMYFUNCTION("""COMPUTED_VALUE"""),-0.736383677916127)</f>
        <v>-0.73638367791612702</v>
      </c>
      <c r="CP37" s="3">
        <f ca="1">IFERROR(__xludf.DUMMYFUNCTION("""COMPUTED_VALUE"""),-0.802287814813894)</f>
        <v>-0.802287814813894</v>
      </c>
      <c r="CQ37" s="3">
        <f ca="1">IFERROR(__xludf.DUMMYFUNCTION("""COMPUTED_VALUE"""),-0.830858478312666)</f>
        <v>-0.83085847831266602</v>
      </c>
      <c r="CR37" s="3">
        <f ca="1">IFERROR(__xludf.DUMMYFUNCTION("""COMPUTED_VALUE"""),-0.812494712579882)</f>
        <v>-0.81249471257988204</v>
      </c>
      <c r="CS37" s="3">
        <f ca="1">IFERROR(__xludf.DUMMYFUNCTION("""COMPUTED_VALUE"""),-0.823856619741643)</f>
        <v>-0.82385661974164304</v>
      </c>
      <c r="CT37" s="3">
        <f ca="1">IFERROR(__xludf.DUMMYFUNCTION("""COMPUTED_VALUE"""),-0.799684126587812)</f>
        <v>-0.79968412658781196</v>
      </c>
      <c r="CU37" s="3">
        <f ca="1">IFERROR(__xludf.DUMMYFUNCTION("""COMPUTED_VALUE"""),-0.747931831312508)</f>
        <v>-0.74793183131250796</v>
      </c>
      <c r="CV37" s="3">
        <f ca="1">IFERROR(__xludf.DUMMYFUNCTION("""COMPUTED_VALUE"""),-0.743733896111342)</f>
        <v>-0.743733896111342</v>
      </c>
      <c r="CW37" s="3">
        <f ca="1">IFERROR(__xludf.DUMMYFUNCTION("""COMPUTED_VALUE"""),-0.875980994141171)</f>
        <v>-0.87598099414117103</v>
      </c>
      <c r="CX37" s="3">
        <f ca="1">IFERROR(__xludf.DUMMYFUNCTION("""COMPUTED_VALUE"""),-0.774888436738582)</f>
        <v>-0.77488843673858199</v>
      </c>
      <c r="CY37" s="3">
        <f ca="1">IFERROR(__xludf.DUMMYFUNCTION("""COMPUTED_VALUE"""),-0.725296223060742)</f>
        <v>-0.72529622306074204</v>
      </c>
      <c r="CZ37" s="3">
        <f ca="1">IFERROR(__xludf.DUMMYFUNCTION("""COMPUTED_VALUE"""),-0.764090771989349)</f>
        <v>-0.76409077198934905</v>
      </c>
      <c r="DA37" s="3">
        <f ca="1">IFERROR(__xludf.DUMMYFUNCTION("""COMPUTED_VALUE"""),-0.786924490881104)</f>
        <v>-0.78692449088110406</v>
      </c>
      <c r="DB37" s="3">
        <f ca="1">IFERROR(__xludf.DUMMYFUNCTION("""COMPUTED_VALUE"""),-0.696702020667575)</f>
        <v>-0.69670202066757503</v>
      </c>
      <c r="DC37" s="3">
        <f ca="1">IFERROR(__xludf.DUMMYFUNCTION("""COMPUTED_VALUE"""),-0.711643915599124)</f>
        <v>-0.71164391559912399</v>
      </c>
      <c r="DD37" s="3">
        <f ca="1">IFERROR(__xludf.DUMMYFUNCTION("""COMPUTED_VALUE"""),-0.881136789087949)</f>
        <v>-0.88113678908794901</v>
      </c>
      <c r="DE37" s="3">
        <f ca="1">IFERROR(__xludf.DUMMYFUNCTION("""COMPUTED_VALUE"""),-0.679885122721954)</f>
        <v>-0.679885122721954</v>
      </c>
      <c r="DF37" s="3">
        <f ca="1">IFERROR(__xludf.DUMMYFUNCTION("""COMPUTED_VALUE"""),-0.431828413240087)</f>
        <v>-0.43182841324008697</v>
      </c>
      <c r="DG37" s="3">
        <f ca="1">IFERROR(__xludf.DUMMYFUNCTION("""COMPUTED_VALUE"""),-0.601684027027061)</f>
        <v>-0.60168402702706103</v>
      </c>
      <c r="DH37" s="3">
        <f ca="1">IFERROR(__xludf.DUMMYFUNCTION("""COMPUTED_VALUE"""),-0.584474125288124)</f>
        <v>-0.58447412528812404</v>
      </c>
      <c r="DI37" s="3">
        <f ca="1">IFERROR(__xludf.DUMMYFUNCTION("""COMPUTED_VALUE"""),-0.573905374127267)</f>
        <v>-0.57390537412726705</v>
      </c>
      <c r="DJ37" s="3">
        <f ca="1">IFERROR(__xludf.DUMMYFUNCTION("""COMPUTED_VALUE"""),-0.595567003711904)</f>
        <v>-0.59556700371190396</v>
      </c>
      <c r="DK37" s="3">
        <f ca="1">IFERROR(__xludf.DUMMYFUNCTION("""COMPUTED_VALUE"""),-0.619206557590065)</f>
        <v>-0.61920655759006504</v>
      </c>
      <c r="DL37" s="3">
        <f ca="1">IFERROR(__xludf.DUMMYFUNCTION("""COMPUTED_VALUE"""),-0.643018773615069)</f>
        <v>-0.64301877361506898</v>
      </c>
      <c r="DM37" s="3">
        <f ca="1">IFERROR(__xludf.DUMMYFUNCTION("""COMPUTED_VALUE"""),-0.605329338258353)</f>
        <v>-0.605329338258353</v>
      </c>
      <c r="DN37" s="3">
        <f ca="1">IFERROR(__xludf.DUMMYFUNCTION("""COMPUTED_VALUE"""),-0.638316830712699)</f>
        <v>-0.63831683071269896</v>
      </c>
      <c r="DO37" s="3">
        <f ca="1">IFERROR(__xludf.DUMMYFUNCTION("""COMPUTED_VALUE"""),-0.677480311034496)</f>
        <v>-0.67748031103449602</v>
      </c>
      <c r="DP37" s="3">
        <f ca="1">IFERROR(__xludf.DUMMYFUNCTION("""COMPUTED_VALUE"""),-0.638476968238292)</f>
        <v>-0.63847696823829203</v>
      </c>
      <c r="DQ37" s="3">
        <f ca="1">IFERROR(__xludf.DUMMYFUNCTION("""COMPUTED_VALUE"""),-0.626703425163932)</f>
        <v>-0.62670342516393196</v>
      </c>
      <c r="DR37" s="3">
        <f ca="1">IFERROR(__xludf.DUMMYFUNCTION("""COMPUTED_VALUE"""),-0.625661826379475)</f>
        <v>-0.62566182637947498</v>
      </c>
      <c r="DS37" s="3">
        <f ca="1">IFERROR(__xludf.DUMMYFUNCTION("""COMPUTED_VALUE"""),-0.677845968628164)</f>
        <v>-0.67784596862816404</v>
      </c>
      <c r="DT37" s="3">
        <f ca="1">IFERROR(__xludf.DUMMYFUNCTION("""COMPUTED_VALUE"""),-0.721732718797635)</f>
        <v>-0.72173271879763501</v>
      </c>
      <c r="DU37" s="3">
        <f ca="1">IFERROR(__xludf.DUMMYFUNCTION("""COMPUTED_VALUE"""),-0.694812037225975)</f>
        <v>-0.69481203722597495</v>
      </c>
      <c r="DV37" s="3">
        <f ca="1">IFERROR(__xludf.DUMMYFUNCTION("""COMPUTED_VALUE"""),-0.70189560528583)</f>
        <v>-0.70189560528582995</v>
      </c>
      <c r="DW37" s="3">
        <f ca="1">IFERROR(__xludf.DUMMYFUNCTION("""COMPUTED_VALUE"""),-0.682013183290595)</f>
        <v>-0.68201318329059502</v>
      </c>
      <c r="DX37" s="3">
        <f ca="1">IFERROR(__xludf.DUMMYFUNCTION("""COMPUTED_VALUE"""),-0.64870897232161)</f>
        <v>-0.64870897232160996</v>
      </c>
      <c r="DY37" s="3">
        <f ca="1">IFERROR(__xludf.DUMMYFUNCTION("""COMPUTED_VALUE"""),-0.710673139827835)</f>
        <v>-0.71067313982783498</v>
      </c>
      <c r="DZ37" s="3">
        <f ca="1">IFERROR(__xludf.DUMMYFUNCTION("""COMPUTED_VALUE"""),-0.720876768279817)</f>
        <v>-0.72087676827981695</v>
      </c>
      <c r="EA37" s="3">
        <f ca="1">IFERROR(__xludf.DUMMYFUNCTION("""COMPUTED_VALUE"""),-0.711969036762761)</f>
        <v>-0.71196903676276102</v>
      </c>
      <c r="EB37" s="3">
        <f ca="1">IFERROR(__xludf.DUMMYFUNCTION("""COMPUTED_VALUE"""),-0.730182678945584)</f>
        <v>-0.73018267894558397</v>
      </c>
      <c r="EC37" s="3">
        <f ca="1">IFERROR(__xludf.DUMMYFUNCTION("""COMPUTED_VALUE"""),-0.700233893163236)</f>
        <v>-0.70023389316323603</v>
      </c>
      <c r="ED37" s="3">
        <f ca="1">IFERROR(__xludf.DUMMYFUNCTION("""COMPUTED_VALUE"""),-0.643104824522036)</f>
        <v>-0.64310482452203599</v>
      </c>
      <c r="EE37" s="3">
        <f ca="1">IFERROR(__xludf.DUMMYFUNCTION("""COMPUTED_VALUE"""),-0.618275116467922)</f>
        <v>-0.61827511646792199</v>
      </c>
      <c r="EF37" s="3">
        <f ca="1">IFERROR(__xludf.DUMMYFUNCTION("""COMPUTED_VALUE"""),-0.661744308878304)</f>
        <v>-0.66174430887830404</v>
      </c>
      <c r="EG37" s="3">
        <f ca="1">IFERROR(__xludf.DUMMYFUNCTION("""COMPUTED_VALUE"""),-0.715820159474447)</f>
        <v>-0.71582015947444699</v>
      </c>
      <c r="EH37" s="3">
        <f ca="1">IFERROR(__xludf.DUMMYFUNCTION("""COMPUTED_VALUE"""),-0.726936419855022)</f>
        <v>-0.726936419855022</v>
      </c>
      <c r="EI37" s="3">
        <f ca="1">IFERROR(__xludf.DUMMYFUNCTION("""COMPUTED_VALUE"""),-0.732435213511547)</f>
        <v>-0.73243521351154695</v>
      </c>
      <c r="EJ37" s="3">
        <f ca="1">IFERROR(__xludf.DUMMYFUNCTION("""COMPUTED_VALUE"""),-0.727830613137035)</f>
        <v>-0.72783061313703501</v>
      </c>
      <c r="EK37" s="3">
        <f ca="1">IFERROR(__xludf.DUMMYFUNCTION("""COMPUTED_VALUE"""),-0.682684044722581)</f>
        <v>-0.68268404472258104</v>
      </c>
      <c r="EL37" s="3">
        <f ca="1">IFERROR(__xludf.DUMMYFUNCTION("""COMPUTED_VALUE"""),-0.645269962605801)</f>
        <v>-0.64526996260580105</v>
      </c>
      <c r="EM37" s="3">
        <f ca="1">IFERROR(__xludf.DUMMYFUNCTION("""COMPUTED_VALUE"""),-0.72251832549853)</f>
        <v>-0.72251832549853001</v>
      </c>
      <c r="EN37" s="3">
        <f ca="1">IFERROR(__xludf.DUMMYFUNCTION("""COMPUTED_VALUE"""),-0.736177939242937)</f>
        <v>-0.73617793924293695</v>
      </c>
      <c r="EO37" s="3">
        <f ca="1">IFERROR(__xludf.DUMMYFUNCTION("""COMPUTED_VALUE"""),-0.723371912299576)</f>
        <v>-0.72337191229957598</v>
      </c>
      <c r="EP37" s="3">
        <f ca="1">IFERROR(__xludf.DUMMYFUNCTION("""COMPUTED_VALUE"""),-0.744449502349646)</f>
        <v>-0.74444950234964602</v>
      </c>
      <c r="EQ37" s="3">
        <f ca="1">IFERROR(__xludf.DUMMYFUNCTION("""COMPUTED_VALUE"""),-0.718973215416892)</f>
        <v>-0.71897321541689196</v>
      </c>
      <c r="ER37" s="3">
        <f ca="1">IFERROR(__xludf.DUMMYFUNCTION("""COMPUTED_VALUE"""),-0.710658129280106)</f>
        <v>-0.71065812928010597</v>
      </c>
      <c r="ES37" s="3">
        <f ca="1">IFERROR(__xludf.DUMMYFUNCTION("""COMPUTED_VALUE"""),-0.613942721561287)</f>
        <v>-0.61394272156128704</v>
      </c>
      <c r="ET37" s="3">
        <f ca="1">IFERROR(__xludf.DUMMYFUNCTION("""COMPUTED_VALUE"""),-0.681454866393003)</f>
        <v>-0.68145486639300301</v>
      </c>
      <c r="EU37" s="3">
        <f ca="1">IFERROR(__xludf.DUMMYFUNCTION("""COMPUTED_VALUE"""),-0.696768595926032)</f>
        <v>-0.69676859592603202</v>
      </c>
      <c r="EV37" s="3">
        <f ca="1">IFERROR(__xludf.DUMMYFUNCTION("""COMPUTED_VALUE"""),-0.721743122261596)</f>
        <v>-0.72174312226159598</v>
      </c>
      <c r="EW37" s="3">
        <f ca="1">IFERROR(__xludf.DUMMYFUNCTION("""COMPUTED_VALUE"""),-0.704018748632819)</f>
        <v>-0.70401874863281899</v>
      </c>
      <c r="EX37" s="3">
        <f ca="1">IFERROR(__xludf.DUMMYFUNCTION("""COMPUTED_VALUE"""),-0.701528162096022)</f>
        <v>-0.70152816209602198</v>
      </c>
      <c r="EY37" s="3">
        <f ca="1">IFERROR(__xludf.DUMMYFUNCTION("""COMPUTED_VALUE"""),-0.613406803184612)</f>
        <v>-0.61340680318461205</v>
      </c>
      <c r="EZ37" s="3">
        <f ca="1">IFERROR(__xludf.DUMMYFUNCTION("""COMPUTED_VALUE"""),-0.630454392835828)</f>
        <v>-0.63045439283582805</v>
      </c>
      <c r="FA37" s="3">
        <f ca="1">IFERROR(__xludf.DUMMYFUNCTION("""COMPUTED_VALUE"""),-0.713501514713755)</f>
        <v>-0.713501514713755</v>
      </c>
      <c r="FB37" s="3">
        <f ca="1">IFERROR(__xludf.DUMMYFUNCTION("""COMPUTED_VALUE"""),-0.70535336992256)</f>
        <v>-0.70535336992256004</v>
      </c>
      <c r="FC37" s="3">
        <f ca="1">IFERROR(__xludf.DUMMYFUNCTION("""COMPUTED_VALUE"""),-0.728367453992634)</f>
        <v>-0.72836745399263403</v>
      </c>
      <c r="FD37" s="3">
        <f ca="1">IFERROR(__xludf.DUMMYFUNCTION("""COMPUTED_VALUE"""),-0.70669651539052)</f>
        <v>-0.70669651539052003</v>
      </c>
      <c r="FE37" s="3">
        <f ca="1">IFERROR(__xludf.DUMMYFUNCTION("""COMPUTED_VALUE"""),-0.702588228704589)</f>
        <v>-0.70258822870458904</v>
      </c>
      <c r="FF37" s="3">
        <f ca="1">IFERROR(__xludf.DUMMYFUNCTION("""COMPUTED_VALUE"""),-0.695803630228109)</f>
        <v>-0.69580363022810898</v>
      </c>
      <c r="FG37" s="3">
        <f ca="1">IFERROR(__xludf.DUMMYFUNCTION("""COMPUTED_VALUE"""),-0.598390909469962)</f>
        <v>-0.59839090946996198</v>
      </c>
      <c r="FH37" s="3">
        <f ca="1">IFERROR(__xludf.DUMMYFUNCTION("""COMPUTED_VALUE"""),-0.68220739671152)</f>
        <v>-0.68220739671151998</v>
      </c>
      <c r="FI37" s="3">
        <f ca="1">IFERROR(__xludf.DUMMYFUNCTION("""COMPUTED_VALUE"""),-0.701685215437799)</f>
        <v>-0.70168521543779905</v>
      </c>
      <c r="FJ37" s="3">
        <f ca="1">IFERROR(__xludf.DUMMYFUNCTION("""COMPUTED_VALUE"""),-0.70295329293608)</f>
        <v>-0.70295329293608</v>
      </c>
      <c r="FK37" s="3">
        <f ca="1">IFERROR(__xludf.DUMMYFUNCTION("""COMPUTED_VALUE"""),-0.706742260684692)</f>
        <v>-0.70674226068469204</v>
      </c>
      <c r="FL37" s="3">
        <f ca="1">IFERROR(__xludf.DUMMYFUNCTION("""COMPUTED_VALUE"""),-0.680861028644946)</f>
        <v>-0.68086102864494602</v>
      </c>
      <c r="FM37" s="3">
        <f ca="1">IFERROR(__xludf.DUMMYFUNCTION("""COMPUTED_VALUE"""),-0.62406905476299)</f>
        <v>-0.62406905476299002</v>
      </c>
      <c r="FN37" s="3">
        <f ca="1">IFERROR(__xludf.DUMMYFUNCTION("""COMPUTED_VALUE"""),-0.645674427461085)</f>
        <v>-0.64567442746108505</v>
      </c>
      <c r="FO37" s="3">
        <f ca="1">IFERROR(__xludf.DUMMYFUNCTION("""COMPUTED_VALUE"""),-0.683698291073939)</f>
        <v>-0.68369829107393898</v>
      </c>
      <c r="FP37" s="3">
        <f ca="1">IFERROR(__xludf.DUMMYFUNCTION("""COMPUTED_VALUE"""),-0.69960636425723)</f>
        <v>-0.69960636425723</v>
      </c>
      <c r="FQ37" s="3">
        <f ca="1">IFERROR(__xludf.DUMMYFUNCTION("""COMPUTED_VALUE"""),-0.734408130632127)</f>
        <v>-0.73440813063212695</v>
      </c>
      <c r="FR37" s="3">
        <f ca="1">IFERROR(__xludf.DUMMYFUNCTION("""COMPUTED_VALUE"""),-0.695313447172524)</f>
        <v>-0.69531344717252397</v>
      </c>
      <c r="FS37" s="3">
        <f ca="1">IFERROR(__xludf.DUMMYFUNCTION("""COMPUTED_VALUE"""),-0.659930083858471)</f>
        <v>-0.65993008385847096</v>
      </c>
      <c r="FT37" s="3">
        <f ca="1">IFERROR(__xludf.DUMMYFUNCTION("""COMPUTED_VALUE"""),-0.664007224506189)</f>
        <v>-0.66400722450618899</v>
      </c>
      <c r="FU37" s="3">
        <f ca="1">IFERROR(__xludf.DUMMYFUNCTION("""COMPUTED_VALUE"""),-0.639660557875734)</f>
        <v>-0.63966055787573395</v>
      </c>
      <c r="FV37" s="3">
        <f ca="1">IFERROR(__xludf.DUMMYFUNCTION("""COMPUTED_VALUE"""),-0.677487933185705)</f>
        <v>-0.67748793318570499</v>
      </c>
      <c r="FW37" s="3">
        <f ca="1">IFERROR(__xludf.DUMMYFUNCTION("""COMPUTED_VALUE"""),-0.74642259981097)</f>
        <v>-0.74642259981097003</v>
      </c>
      <c r="FX37" s="3">
        <f ca="1">IFERROR(__xludf.DUMMYFUNCTION("""COMPUTED_VALUE"""),-0.745643857453404)</f>
        <v>-0.745643857453404</v>
      </c>
      <c r="FY37" s="3">
        <f ca="1">IFERROR(__xludf.DUMMYFUNCTION("""COMPUTED_VALUE"""),-0.714745303333443)</f>
        <v>-0.71474530333344299</v>
      </c>
      <c r="FZ37" s="3">
        <f ca="1">IFERROR(__xludf.DUMMYFUNCTION("""COMPUTED_VALUE"""),-0.836554528424988)</f>
        <v>-0.83655452842498801</v>
      </c>
      <c r="GA37" s="3">
        <f ca="1">IFERROR(__xludf.DUMMYFUNCTION("""COMPUTED_VALUE"""),-0.679421711478145)</f>
        <v>-0.67942171147814501</v>
      </c>
      <c r="GB37" s="3">
        <f ca="1">IFERROR(__xludf.DUMMYFUNCTION("""COMPUTED_VALUE"""),-0.652968868217516)</f>
        <v>-0.65296886821751599</v>
      </c>
      <c r="GC37" s="3">
        <f ca="1">IFERROR(__xludf.DUMMYFUNCTION("""COMPUTED_VALUE"""),-0.715121557058135)</f>
        <v>-0.71512155705813496</v>
      </c>
      <c r="GD37" s="3">
        <f ca="1">IFERROR(__xludf.DUMMYFUNCTION("""COMPUTED_VALUE"""),-0.723116579509647)</f>
        <v>-0.72311657950964703</v>
      </c>
      <c r="GE37" s="3">
        <f ca="1">IFERROR(__xludf.DUMMYFUNCTION("""COMPUTED_VALUE"""),-0.709989086046038)</f>
        <v>-0.70998908604603805</v>
      </c>
      <c r="GF37" s="3">
        <f ca="1">IFERROR(__xludf.DUMMYFUNCTION("""COMPUTED_VALUE"""),-0.704806081412005)</f>
        <v>-0.70480608141200496</v>
      </c>
      <c r="GG37" s="3">
        <f ca="1">IFERROR(__xludf.DUMMYFUNCTION("""COMPUTED_VALUE"""),-0.626835117135448)</f>
        <v>-0.62683511713544804</v>
      </c>
      <c r="GH37" s="3">
        <f ca="1">IFERROR(__xludf.DUMMYFUNCTION("""COMPUTED_VALUE"""),-0.674246781222325)</f>
        <v>-0.67424678122232495</v>
      </c>
      <c r="GI37" s="3">
        <f ca="1">IFERROR(__xludf.DUMMYFUNCTION("""COMPUTED_VALUE"""),-0.638497438125516)</f>
        <v>-0.63849743812551596</v>
      </c>
      <c r="GJ37" s="3">
        <f ca="1">IFERROR(__xludf.DUMMYFUNCTION("""COMPUTED_VALUE"""),-0.713961296266052)</f>
        <v>-0.71396129626605198</v>
      </c>
      <c r="GK37" s="3">
        <f ca="1">IFERROR(__xludf.DUMMYFUNCTION("""COMPUTED_VALUE"""),-0.721970325894837)</f>
        <v>-0.72197032589483701</v>
      </c>
      <c r="GL37" s="3">
        <f ca="1">IFERROR(__xludf.DUMMYFUNCTION("""COMPUTED_VALUE"""),-0.72818894487474)</f>
        <v>-0.72818894487473995</v>
      </c>
      <c r="GM37" s="3">
        <f ca="1">IFERROR(__xludf.DUMMYFUNCTION("""COMPUTED_VALUE"""),-0.707312361862587)</f>
        <v>-0.70731236186258695</v>
      </c>
      <c r="GN37" s="3">
        <f ca="1">IFERROR(__xludf.DUMMYFUNCTION("""COMPUTED_VALUE"""),-0.72463716412497)</f>
        <v>-0.72463716412497003</v>
      </c>
      <c r="GO37" s="3">
        <f ca="1">IFERROR(__xludf.DUMMYFUNCTION("""COMPUTED_VALUE"""),-0.634719162743168)</f>
        <v>-0.63471916274316798</v>
      </c>
      <c r="GP37" s="3">
        <f ca="1">IFERROR(__xludf.DUMMYFUNCTION("""COMPUTED_VALUE"""),-0.63368399315088)</f>
        <v>-0.63368399315087998</v>
      </c>
      <c r="GQ37" s="3">
        <f ca="1">IFERROR(__xludf.DUMMYFUNCTION("""COMPUTED_VALUE"""),-0.683001644866715)</f>
        <v>-0.683001644866715</v>
      </c>
      <c r="GR37" s="3">
        <f ca="1">IFERROR(__xludf.DUMMYFUNCTION("""COMPUTED_VALUE"""),-0.709060974259339)</f>
        <v>-0.70906097425933901</v>
      </c>
      <c r="GS37" s="3">
        <f ca="1">IFERROR(__xludf.DUMMYFUNCTION("""COMPUTED_VALUE"""),-0.704132568221653)</f>
        <v>-0.70413256822165304</v>
      </c>
      <c r="GT37" s="3">
        <f ca="1">IFERROR(__xludf.DUMMYFUNCTION("""COMPUTED_VALUE"""),-0.708672931932184)</f>
        <v>-0.70867293193218395</v>
      </c>
      <c r="GU37" s="3">
        <f ca="1">IFERROR(__xludf.DUMMYFUNCTION("""COMPUTED_VALUE"""),-0.688471653913622)</f>
        <v>-0.68847165391362197</v>
      </c>
      <c r="GV37" s="3">
        <f ca="1">IFERROR(__xludf.DUMMYFUNCTION("""COMPUTED_VALUE"""),-0.602610573104399)</f>
        <v>-0.60261057310439903</v>
      </c>
      <c r="GW37" s="3">
        <f ca="1">IFERROR(__xludf.DUMMYFUNCTION("""COMPUTED_VALUE"""),-0.590429730130237)</f>
        <v>-0.59042973013023703</v>
      </c>
      <c r="GX37" s="3">
        <f ca="1">IFERROR(__xludf.DUMMYFUNCTION("""COMPUTED_VALUE"""),-0.706654020155165)</f>
        <v>-0.70665402015516499</v>
      </c>
      <c r="GY37" s="3">
        <f ca="1">IFERROR(__xludf.DUMMYFUNCTION("""COMPUTED_VALUE"""),-0.713323543868128)</f>
        <v>-0.71332354386812802</v>
      </c>
      <c r="GZ37" s="3">
        <f ca="1">IFERROR(__xludf.DUMMYFUNCTION("""COMPUTED_VALUE"""),-0.71548806860475)</f>
        <v>-0.71548806860475</v>
      </c>
      <c r="HA37" s="3">
        <f ca="1">IFERROR(__xludf.DUMMYFUNCTION("""COMPUTED_VALUE"""),-0.716240767744433)</f>
        <v>-0.71624076774443302</v>
      </c>
      <c r="HB37" s="3">
        <f ca="1">IFERROR(__xludf.DUMMYFUNCTION("""COMPUTED_VALUE"""),-0.707855133409198)</f>
        <v>-0.70785513340919803</v>
      </c>
      <c r="HC37" s="3">
        <f ca="1">IFERROR(__xludf.DUMMYFUNCTION("""COMPUTED_VALUE"""),-0.586539178293647)</f>
        <v>-0.58653917829364699</v>
      </c>
      <c r="HD37" s="3">
        <f ca="1">IFERROR(__xludf.DUMMYFUNCTION("""COMPUTED_VALUE"""),-0.560159660210563)</f>
        <v>-0.56015966021056296</v>
      </c>
      <c r="HE37" s="3">
        <f ca="1">IFERROR(__xludf.DUMMYFUNCTION("""COMPUTED_VALUE"""),-0.679705431826525)</f>
        <v>-0.67970543182652499</v>
      </c>
      <c r="HF37" s="3">
        <f ca="1">IFERROR(__xludf.DUMMYFUNCTION("""COMPUTED_VALUE"""),-0.69289967486779)</f>
        <v>-0.69289967486779003</v>
      </c>
      <c r="HG37" s="3">
        <f ca="1">IFERROR(__xludf.DUMMYFUNCTION("""COMPUTED_VALUE"""),-0.685408869039496)</f>
        <v>-0.68540886903949605</v>
      </c>
      <c r="HH37" s="3">
        <f ca="1">IFERROR(__xludf.DUMMYFUNCTION("""COMPUTED_VALUE"""),-0.683740969055353)</f>
        <v>-0.68374096905535298</v>
      </c>
      <c r="HI37" s="3">
        <f ca="1">IFERROR(__xludf.DUMMYFUNCTION("""COMPUTED_VALUE"""),-0.735790358776525)</f>
        <v>-0.73579035877652499</v>
      </c>
      <c r="HJ37" s="3">
        <f ca="1">IFERROR(__xludf.DUMMYFUNCTION("""COMPUTED_VALUE"""),-0.56810552576079)</f>
        <v>-0.56810552576078999</v>
      </c>
      <c r="HK37" s="3">
        <f ca="1">IFERROR(__xludf.DUMMYFUNCTION("""COMPUTED_VALUE"""),-0.605693142536668)</f>
        <v>-0.60569314253666795</v>
      </c>
      <c r="HL37" s="3">
        <f ca="1">IFERROR(__xludf.DUMMYFUNCTION("""COMPUTED_VALUE"""),-0.686991377925998)</f>
        <v>-0.68699137792599796</v>
      </c>
      <c r="HM37" s="3">
        <f ca="1">IFERROR(__xludf.DUMMYFUNCTION("""COMPUTED_VALUE"""),-0.71178313033379)</f>
        <v>-0.71178313033379004</v>
      </c>
      <c r="HN37" s="3">
        <f ca="1">IFERROR(__xludf.DUMMYFUNCTION("""COMPUTED_VALUE"""),-0.702174513243248)</f>
        <v>-0.70217451324324798</v>
      </c>
      <c r="HO37" s="3">
        <f ca="1">IFERROR(__xludf.DUMMYFUNCTION("""COMPUTED_VALUE"""),-0.681499072637522)</f>
        <v>-0.68149907263752196</v>
      </c>
      <c r="HP37" s="3">
        <f ca="1">IFERROR(__xludf.DUMMYFUNCTION("""COMPUTED_VALUE"""),-0.592335889647888)</f>
        <v>-0.59233588964788797</v>
      </c>
      <c r="HQ37" s="3">
        <f ca="1">IFERROR(__xludf.DUMMYFUNCTION("""COMPUTED_VALUE"""),-0.549646673659443)</f>
        <v>-0.54964667365944297</v>
      </c>
      <c r="HR37" s="3">
        <f ca="1">IFERROR(__xludf.DUMMYFUNCTION("""COMPUTED_VALUE"""),-0.559962837732456)</f>
        <v>-0.55996283773245603</v>
      </c>
      <c r="HS37" s="3">
        <f ca="1">IFERROR(__xludf.DUMMYFUNCTION("""COMPUTED_VALUE"""),-0.672648556075067)</f>
        <v>-0.67264855607506702</v>
      </c>
      <c r="HT37" s="3">
        <f ca="1">IFERROR(__xludf.DUMMYFUNCTION("""COMPUTED_VALUE"""),-0.697357847484818)</f>
        <v>-0.69735784748481799</v>
      </c>
      <c r="HU37" s="3">
        <f ca="1">IFERROR(__xludf.DUMMYFUNCTION("""COMPUTED_VALUE"""),-0.643680456806284)</f>
        <v>-0.64368045680628405</v>
      </c>
      <c r="HV37" s="3">
        <f ca="1">IFERROR(__xludf.DUMMYFUNCTION("""COMPUTED_VALUE"""),-0.610496709594348)</f>
        <v>-0.61049670959434799</v>
      </c>
      <c r="HW37" s="3">
        <f ca="1">IFERROR(__xludf.DUMMYFUNCTION("""COMPUTED_VALUE"""),-0.48156221677722)</f>
        <v>-0.48156221677722</v>
      </c>
      <c r="HX37" s="3">
        <f ca="1">IFERROR(__xludf.DUMMYFUNCTION("""COMPUTED_VALUE"""),-0.482059728454859)</f>
        <v>-0.482059728454859</v>
      </c>
      <c r="HY37" s="3">
        <f ca="1">IFERROR(__xludf.DUMMYFUNCTION("""COMPUTED_VALUE"""),-0.418172055986492)</f>
        <v>-0.41817205598649199</v>
      </c>
      <c r="HZ37" s="3">
        <f ca="1">IFERROR(__xludf.DUMMYFUNCTION("""COMPUTED_VALUE"""),-0.479850372550405)</f>
        <v>-0.47985037255040502</v>
      </c>
      <c r="IA37" s="3">
        <f ca="1">IFERROR(__xludf.DUMMYFUNCTION("""COMPUTED_VALUE"""),-0.494289264915974)</f>
        <v>-0.49428926491597402</v>
      </c>
      <c r="IB37" s="3">
        <f ca="1">IFERROR(__xludf.DUMMYFUNCTION("""COMPUTED_VALUE"""),-0.492919264708298)</f>
        <v>-0.492919264708298</v>
      </c>
      <c r="IC37" s="3">
        <f ca="1">IFERROR(__xludf.DUMMYFUNCTION("""COMPUTED_VALUE"""),-0.440211718384128)</f>
        <v>-0.44021171838412798</v>
      </c>
      <c r="ID37" s="3">
        <f ca="1">IFERROR(__xludf.DUMMYFUNCTION("""COMPUTED_VALUE"""),-0.434399462789081)</f>
        <v>-0.43439946278908098</v>
      </c>
      <c r="IE37" s="3">
        <f ca="1">IFERROR(__xludf.DUMMYFUNCTION("""COMPUTED_VALUE"""),-0.412919578443676)</f>
        <v>-0.41291957844367599</v>
      </c>
      <c r="IF37" s="3">
        <f ca="1">IFERROR(__xludf.DUMMYFUNCTION("""COMPUTED_VALUE"""),-0.366421820266386)</f>
        <v>-0.36642182026638598</v>
      </c>
      <c r="IG37" s="3">
        <f ca="1">IFERROR(__xludf.DUMMYFUNCTION("""COMPUTED_VALUE"""),-0.393860889984826)</f>
        <v>-0.39386088998482599</v>
      </c>
      <c r="IH37" s="3">
        <f ca="1">IFERROR(__xludf.DUMMYFUNCTION("""COMPUTED_VALUE"""),-0.429600068803894)</f>
        <v>-0.42960006880389401</v>
      </c>
      <c r="II37" s="3">
        <f ca="1">IFERROR(__xludf.DUMMYFUNCTION("""COMPUTED_VALUE"""),-0.441526934034662)</f>
        <v>-0.44152693403466198</v>
      </c>
      <c r="IJ37" s="3">
        <f ca="1">IFERROR(__xludf.DUMMYFUNCTION("""COMPUTED_VALUE"""),-0.420871456892152)</f>
        <v>-0.420871456892152</v>
      </c>
      <c r="IK37" s="3">
        <f ca="1">IFERROR(__xludf.DUMMYFUNCTION("""COMPUTED_VALUE"""),-0.332638382376246)</f>
        <v>-0.33263838237624599</v>
      </c>
      <c r="IL37" s="3">
        <f ca="1">IFERROR(__xludf.DUMMYFUNCTION("""COMPUTED_VALUE"""),-0.400355677150345)</f>
        <v>-0.40035567715034498</v>
      </c>
      <c r="IM37" s="3">
        <f ca="1">IFERROR(__xludf.DUMMYFUNCTION("""COMPUTED_VALUE"""),-0.295168697855375)</f>
        <v>-0.29516869785537497</v>
      </c>
      <c r="IN37" s="3">
        <f ca="1">IFERROR(__xludf.DUMMYFUNCTION("""COMPUTED_VALUE"""),-0.402559519594047)</f>
        <v>-0.40255951959404701</v>
      </c>
      <c r="IO37" s="3">
        <f ca="1">IFERROR(__xludf.DUMMYFUNCTION("""COMPUTED_VALUE"""),-0.472205364654384)</f>
        <v>-0.47220536465438401</v>
      </c>
      <c r="IP37" s="3">
        <f ca="1">IFERROR(__xludf.DUMMYFUNCTION("""COMPUTED_VALUE"""),-0.437829342667089)</f>
        <v>-0.43782934266708901</v>
      </c>
      <c r="IQ37" s="3">
        <f ca="1">IFERROR(__xludf.DUMMYFUNCTION("""COMPUTED_VALUE"""),-0.428654279479873)</f>
        <v>-0.428654279479873</v>
      </c>
      <c r="IR37" s="3">
        <f ca="1">IFERROR(__xludf.DUMMYFUNCTION("""COMPUTED_VALUE"""),-0.448666388187788)</f>
        <v>-0.44866638818778798</v>
      </c>
      <c r="IS37" s="3">
        <f ca="1">IFERROR(__xludf.DUMMYFUNCTION("""COMPUTED_VALUE"""),-0.41467642870372)</f>
        <v>-0.41467642870372001</v>
      </c>
      <c r="IT37" s="3">
        <f ca="1">IFERROR(__xludf.DUMMYFUNCTION("""COMPUTED_VALUE"""),-0.349908109530333)</f>
        <v>-0.34990810953033302</v>
      </c>
      <c r="IU37" s="3">
        <f ca="1">IFERROR(__xludf.DUMMYFUNCTION("""COMPUTED_VALUE"""),-0.440194238961053)</f>
        <v>-0.44019423896105297</v>
      </c>
      <c r="IV37" s="3">
        <f ca="1">IFERROR(__xludf.DUMMYFUNCTION("""COMPUTED_VALUE"""),-0.500385744263368)</f>
        <v>-0.50038574426336802</v>
      </c>
      <c r="IW37" s="3">
        <f ca="1">IFERROR(__xludf.DUMMYFUNCTION("""COMPUTED_VALUE"""),-0.480586250070111)</f>
        <v>-0.48058625007011102</v>
      </c>
      <c r="IX37" s="3">
        <f ca="1">IFERROR(__xludf.DUMMYFUNCTION("""COMPUTED_VALUE"""),-0.467016688715546)</f>
        <v>-0.46701668871554602</v>
      </c>
      <c r="IY37" s="3">
        <f ca="1">IFERROR(__xludf.DUMMYFUNCTION("""COMPUTED_VALUE"""),-0.389666336736634)</f>
        <v>-0.38966633673663398</v>
      </c>
      <c r="IZ37" s="3">
        <f ca="1">IFERROR(__xludf.DUMMYFUNCTION("""COMPUTED_VALUE"""),-0.349978853792679)</f>
        <v>-0.34997885379267901</v>
      </c>
      <c r="JA37" s="3">
        <f ca="1">IFERROR(__xludf.DUMMYFUNCTION("""COMPUTED_VALUE"""),-0.371085255912627)</f>
        <v>-0.37108525591262698</v>
      </c>
      <c r="JB37" s="3">
        <f ca="1">IFERROR(__xludf.DUMMYFUNCTION("""COMPUTED_VALUE"""),-0.453174534459407)</f>
        <v>-0.45317453445940697</v>
      </c>
      <c r="JC37" s="3">
        <f ca="1">IFERROR(__xludf.DUMMYFUNCTION("""COMPUTED_VALUE"""),-0.491209458413604)</f>
        <v>-0.49120945841360403</v>
      </c>
      <c r="JD37" s="3">
        <f ca="1">IFERROR(__xludf.DUMMYFUNCTION("""COMPUTED_VALUE"""),-0.523621124328435)</f>
        <v>-0.52362112432843499</v>
      </c>
      <c r="JE37" s="3">
        <f ca="1">IFERROR(__xludf.DUMMYFUNCTION("""COMPUTED_VALUE"""),-0.442933044316595)</f>
        <v>-0.44293304431659503</v>
      </c>
      <c r="JF37" s="3">
        <f ca="1">IFERROR(__xludf.DUMMYFUNCTION("""COMPUTED_VALUE"""),-0.42699559860128)</f>
        <v>-0.42699559860128</v>
      </c>
      <c r="JG37" s="3">
        <f ca="1">IFERROR(__xludf.DUMMYFUNCTION("""COMPUTED_VALUE"""),-0.446677357195028)</f>
        <v>-0.44667735719502799</v>
      </c>
      <c r="JH37" s="3">
        <f ca="1">IFERROR(__xludf.DUMMYFUNCTION("""COMPUTED_VALUE"""),-0.38754461188604)</f>
        <v>-0.38754461188604</v>
      </c>
      <c r="JI37" s="3">
        <f ca="1">IFERROR(__xludf.DUMMYFUNCTION("""COMPUTED_VALUE"""),-0.48160794566262)</f>
        <v>-0.48160794566262</v>
      </c>
      <c r="JJ37" s="3">
        <f ca="1">IFERROR(__xludf.DUMMYFUNCTION("""COMPUTED_VALUE"""),-0.548796459958477)</f>
        <v>-0.54879645995847703</v>
      </c>
      <c r="JK37" s="3">
        <f ca="1">IFERROR(__xludf.DUMMYFUNCTION("""COMPUTED_VALUE"""),-0.547483936599447)</f>
        <v>-0.54748393659944705</v>
      </c>
      <c r="JL37" s="3">
        <f ca="1">IFERROR(__xludf.DUMMYFUNCTION("""COMPUTED_VALUE"""),-0.514615523018209)</f>
        <v>-0.51461552301820901</v>
      </c>
      <c r="JM37" s="3">
        <f ca="1">IFERROR(__xludf.DUMMYFUNCTION("""COMPUTED_VALUE"""),-0.500288805122448)</f>
        <v>-0.500288805122448</v>
      </c>
      <c r="JN37" s="3">
        <f ca="1">IFERROR(__xludf.DUMMYFUNCTION("""COMPUTED_VALUE"""),-0.448204130552145)</f>
        <v>-0.44820413055214497</v>
      </c>
      <c r="JO37" s="3">
        <f ca="1">IFERROR(__xludf.DUMMYFUNCTION("""COMPUTED_VALUE"""),-0.423144298445373)</f>
        <v>-0.42314429844537299</v>
      </c>
      <c r="JP37" s="3">
        <f ca="1">IFERROR(__xludf.DUMMYFUNCTION("""COMPUTED_VALUE"""),-0.520338108343298)</f>
        <v>-0.52033810834329797</v>
      </c>
      <c r="JQ37" s="3">
        <f ca="1">IFERROR(__xludf.DUMMYFUNCTION("""COMPUTED_VALUE"""),-0.564465577011016)</f>
        <v>-0.56446557701101596</v>
      </c>
      <c r="JR37" s="3">
        <f ca="1">IFERROR(__xludf.DUMMYFUNCTION("""COMPUTED_VALUE"""),-0.552658030190345)</f>
        <v>-0.55265803019034498</v>
      </c>
      <c r="JS37" s="3">
        <f ca="1">IFERROR(__xludf.DUMMYFUNCTION("""COMPUTED_VALUE"""),-0.500408220422359)</f>
        <v>-0.500408220422359</v>
      </c>
      <c r="JT37" s="3">
        <f ca="1">IFERROR(__xludf.DUMMYFUNCTION("""COMPUTED_VALUE"""),-0.461933401538191)</f>
        <v>-0.46193340153819101</v>
      </c>
      <c r="JU37" s="3">
        <f ca="1">IFERROR(__xludf.DUMMYFUNCTION("""COMPUTED_VALUE"""),-0.43576406618028)</f>
        <v>-0.43576406618028002</v>
      </c>
      <c r="JV37" s="3">
        <f ca="1">IFERROR(__xludf.DUMMYFUNCTION("""COMPUTED_VALUE"""),-0.414491767973377)</f>
        <v>-0.414491767973377</v>
      </c>
      <c r="JW37" s="3">
        <f ca="1">IFERROR(__xludf.DUMMYFUNCTION("""COMPUTED_VALUE"""),-0.516713808210656)</f>
        <v>-0.51671380821065604</v>
      </c>
      <c r="JX37" s="3">
        <f ca="1">IFERROR(__xludf.DUMMYFUNCTION("""COMPUTED_VALUE"""),-0.547305646229264)</f>
        <v>-0.54730564622926403</v>
      </c>
      <c r="JY37" s="3">
        <f ca="1">IFERROR(__xludf.DUMMYFUNCTION("""COMPUTED_VALUE"""),-0.618914979521086)</f>
        <v>-0.61891497952108598</v>
      </c>
      <c r="JZ37" s="3">
        <f ca="1">IFERROR(__xludf.DUMMYFUNCTION("""COMPUTED_VALUE"""),-0.500779741885325)</f>
        <v>-0.50077974188532504</v>
      </c>
      <c r="KA37" s="3">
        <f ca="1">IFERROR(__xludf.DUMMYFUNCTION("""COMPUTED_VALUE"""),-0.395115338409303)</f>
        <v>-0.39511533840930302</v>
      </c>
      <c r="KB37" s="3">
        <f ca="1">IFERROR(__xludf.DUMMYFUNCTION("""COMPUTED_VALUE"""),-0.385542774470716)</f>
        <v>-0.385542774470716</v>
      </c>
      <c r="KC37" s="3">
        <f ca="1">IFERROR(__xludf.DUMMYFUNCTION("""COMPUTED_VALUE"""),-0.371760775647124)</f>
        <v>-0.37176077564712401</v>
      </c>
      <c r="KD37" s="3">
        <f ca="1">IFERROR(__xludf.DUMMYFUNCTION("""COMPUTED_VALUE"""),-0.443297552813153)</f>
        <v>-0.44329755281315297</v>
      </c>
      <c r="KE37" s="3">
        <f ca="1">IFERROR(__xludf.DUMMYFUNCTION("""COMPUTED_VALUE"""),-0.429482551673193)</f>
        <v>-0.42948255167319299</v>
      </c>
      <c r="KF37" s="3">
        <f ca="1">IFERROR(__xludf.DUMMYFUNCTION("""COMPUTED_VALUE"""),-0.404698502153417)</f>
        <v>-0.40469850215341702</v>
      </c>
      <c r="KG37" s="3">
        <f ca="1">IFERROR(__xludf.DUMMYFUNCTION("""COMPUTED_VALUE"""),-0.475249980239731)</f>
        <v>-0.47524998023973097</v>
      </c>
      <c r="KH37" s="3">
        <f ca="1">IFERROR(__xludf.DUMMYFUNCTION("""COMPUTED_VALUE"""),-0.307631959402166)</f>
        <v>-0.30763195940216598</v>
      </c>
      <c r="KI37" s="3">
        <f ca="1">IFERROR(__xludf.DUMMYFUNCTION("""COMPUTED_VALUE"""),-0.222823817612936)</f>
        <v>-0.22282381761293599</v>
      </c>
      <c r="KJ37" s="3">
        <f ca="1">IFERROR(__xludf.DUMMYFUNCTION("""COMPUTED_VALUE"""),-0.287202755236963)</f>
        <v>-0.28720275523696298</v>
      </c>
      <c r="KK37" s="3">
        <f ca="1">IFERROR(__xludf.DUMMYFUNCTION("""COMPUTED_VALUE"""),-0.549122821377729)</f>
        <v>-0.54912282137772905</v>
      </c>
      <c r="KL37" s="3">
        <f ca="1">IFERROR(__xludf.DUMMYFUNCTION("""COMPUTED_VALUE"""),-0.568031317971244)</f>
        <v>-0.56803131797124395</v>
      </c>
      <c r="KM37" s="3">
        <f ca="1">IFERROR(__xludf.DUMMYFUNCTION("""COMPUTED_VALUE"""),-0.665076259469171)</f>
        <v>-0.66507625946917104</v>
      </c>
      <c r="KN37" s="3">
        <f ca="1">IFERROR(__xludf.DUMMYFUNCTION("""COMPUTED_VALUE"""),-0.682137192588466)</f>
        <v>-0.68213719258846595</v>
      </c>
      <c r="KO37" s="3">
        <f ca="1">IFERROR(__xludf.DUMMYFUNCTION("""COMPUTED_VALUE"""),-0.637096693411616)</f>
        <v>-0.63709669341161601</v>
      </c>
      <c r="KP37" s="3">
        <f ca="1">IFERROR(__xludf.DUMMYFUNCTION("""COMPUTED_VALUE"""),-0.61894049724605)</f>
        <v>-0.61894049724605005</v>
      </c>
      <c r="KQ37" s="3">
        <f ca="1">IFERROR(__xludf.DUMMYFUNCTION("""COMPUTED_VALUE"""),-0.615641698046015)</f>
        <v>-0.61564169804601498</v>
      </c>
      <c r="KR37" s="3">
        <f ca="1">IFERROR(__xludf.DUMMYFUNCTION("""COMPUTED_VALUE"""),-0.729989078988877)</f>
        <v>-0.72998907898887699</v>
      </c>
      <c r="KS37" s="3">
        <f ca="1">IFERROR(__xludf.DUMMYFUNCTION("""COMPUTED_VALUE"""),-0.724209861005222)</f>
        <v>-0.724209861005222</v>
      </c>
      <c r="KT37" s="3">
        <f ca="1">IFERROR(__xludf.DUMMYFUNCTION("""COMPUTED_VALUE"""),-0.738454637306996)</f>
        <v>-0.73845463730699601</v>
      </c>
      <c r="KU37" s="3">
        <f ca="1">IFERROR(__xludf.DUMMYFUNCTION("""COMPUTED_VALUE"""),-0.7161429506554)</f>
        <v>-0.71614295065540001</v>
      </c>
      <c r="KV37" s="3">
        <f ca="1">IFERROR(__xludf.DUMMYFUNCTION("""COMPUTED_VALUE"""),-0.700579237847289)</f>
        <v>-0.70057923784728904</v>
      </c>
      <c r="KW37" s="3">
        <f ca="1">IFERROR(__xludf.DUMMYFUNCTION("""COMPUTED_VALUE"""),-0.606778419526545)</f>
        <v>-0.60677841952654499</v>
      </c>
      <c r="KX37" s="3">
        <f ca="1">IFERROR(__xludf.DUMMYFUNCTION("""COMPUTED_VALUE"""),-0.640368230557302)</f>
        <v>-0.64036823055730197</v>
      </c>
      <c r="KY37" s="3">
        <f ca="1">IFERROR(__xludf.DUMMYFUNCTION("""COMPUTED_VALUE"""),-0.731504529264639)</f>
        <v>-0.73150452926463905</v>
      </c>
      <c r="KZ37" s="3">
        <f ca="1">IFERROR(__xludf.DUMMYFUNCTION("""COMPUTED_VALUE"""),-0.75161999009203)</f>
        <v>-0.75161999009202995</v>
      </c>
      <c r="LA37" s="3">
        <f ca="1">IFERROR(__xludf.DUMMYFUNCTION("""COMPUTED_VALUE"""),-0.758228953708124)</f>
        <v>-0.75822895370812404</v>
      </c>
      <c r="LB37" s="3">
        <f ca="1">IFERROR(__xludf.DUMMYFUNCTION("""COMPUTED_VALUE"""),-0.742034047187993)</f>
        <v>-0.74203404718799304</v>
      </c>
      <c r="LC37" s="3">
        <f ca="1">IFERROR(__xludf.DUMMYFUNCTION("""COMPUTED_VALUE"""),-0.71741295455922)</f>
        <v>-0.71741295455922005</v>
      </c>
      <c r="LD37" s="3">
        <f ca="1">IFERROR(__xludf.DUMMYFUNCTION("""COMPUTED_VALUE"""),-0.657878477918638)</f>
        <v>-0.65787847791863796</v>
      </c>
      <c r="LE37" s="3">
        <f ca="1">IFERROR(__xludf.DUMMYFUNCTION("""COMPUTED_VALUE"""),-0.679444635210128)</f>
        <v>-0.67944463521012799</v>
      </c>
      <c r="LF37" s="3">
        <f ca="1">IFERROR(__xludf.DUMMYFUNCTION("""COMPUTED_VALUE"""),-0.770734187991946)</f>
        <v>-0.77073418799194604</v>
      </c>
      <c r="LG37" s="3">
        <f ca="1">IFERROR(__xludf.DUMMYFUNCTION("""COMPUTED_VALUE"""),-0.773319277305772)</f>
        <v>-0.77331927730577199</v>
      </c>
      <c r="LH37" s="3">
        <f ca="1">IFERROR(__xludf.DUMMYFUNCTION("""COMPUTED_VALUE"""),-0.764481029076727)</f>
        <v>-0.76448102907672699</v>
      </c>
      <c r="LI37" s="3">
        <f ca="1">IFERROR(__xludf.DUMMYFUNCTION("""COMPUTED_VALUE"""),-0.788893523151323)</f>
        <v>-0.788893523151323</v>
      </c>
      <c r="LJ37" s="3">
        <f ca="1">IFERROR(__xludf.DUMMYFUNCTION("""COMPUTED_VALUE"""),-0.701102169213741)</f>
        <v>-0.70110216921374102</v>
      </c>
      <c r="LK37" s="3">
        <f ca="1">IFERROR(__xludf.DUMMYFUNCTION("""COMPUTED_VALUE"""),-0.681733514870881)</f>
        <v>-0.68173351487088096</v>
      </c>
      <c r="LL37" s="3">
        <f ca="1">IFERROR(__xludf.DUMMYFUNCTION("""COMPUTED_VALUE"""),-0.683910868015821)</f>
        <v>-0.68391086801582102</v>
      </c>
      <c r="LM37" s="3">
        <f ca="1">IFERROR(__xludf.DUMMYFUNCTION("""COMPUTED_VALUE"""),-0.762917258295273)</f>
        <v>-0.76291725829527302</v>
      </c>
      <c r="LN37" s="3">
        <f ca="1">IFERROR(__xludf.DUMMYFUNCTION("""COMPUTED_VALUE"""),-0.785218476919513)</f>
        <v>-0.78521847691951296</v>
      </c>
      <c r="LO37" s="3">
        <f ca="1">IFERROR(__xludf.DUMMYFUNCTION("""COMPUTED_VALUE"""),-0.784125227896367)</f>
        <v>-0.78412522789636696</v>
      </c>
      <c r="LP37" s="3">
        <f ca="1">IFERROR(__xludf.DUMMYFUNCTION("""COMPUTED_VALUE"""),-0.777010060465744)</f>
        <v>-0.77701006046574395</v>
      </c>
      <c r="LQ37" s="3">
        <f ca="1">IFERROR(__xludf.DUMMYFUNCTION("""COMPUTED_VALUE"""),-0.833967038305392)</f>
        <v>-0.83396703830539198</v>
      </c>
      <c r="LR37" s="3">
        <f ca="1">IFERROR(__xludf.DUMMYFUNCTION("""COMPUTED_VALUE"""),-0.748968028037475)</f>
        <v>-0.74896802803747498</v>
      </c>
      <c r="LS37" s="3">
        <f ca="1">IFERROR(__xludf.DUMMYFUNCTION("""COMPUTED_VALUE"""),-0.721629679103421)</f>
        <v>-0.72162967910342102</v>
      </c>
      <c r="LT37" s="3">
        <f ca="1">IFERROR(__xludf.DUMMYFUNCTION("""COMPUTED_VALUE"""),-0.824272781601883)</f>
        <v>-0.824272781601883</v>
      </c>
      <c r="LU37" s="3">
        <f ca="1">IFERROR(__xludf.DUMMYFUNCTION("""COMPUTED_VALUE"""),-0.840442059354219)</f>
        <v>-0.84044205935421901</v>
      </c>
      <c r="LV37" s="3">
        <f ca="1">IFERROR(__xludf.DUMMYFUNCTION("""COMPUTED_VALUE"""),-0.794514955056192)</f>
        <v>-0.79451495505619196</v>
      </c>
      <c r="LW37" s="3">
        <f ca="1">IFERROR(__xludf.DUMMYFUNCTION("""COMPUTED_VALUE"""),-0.810485347836007)</f>
        <v>-0.81048534783600701</v>
      </c>
      <c r="LX37" s="3">
        <f ca="1">IFERROR(__xludf.DUMMYFUNCTION("""COMPUTED_VALUE"""),-0.752398933559064)</f>
        <v>-0.75239893355906395</v>
      </c>
      <c r="LY37" s="3">
        <f ca="1">IFERROR(__xludf.DUMMYFUNCTION("""COMPUTED_VALUE"""),-0.749823232821053)</f>
        <v>-0.74982323282105301</v>
      </c>
      <c r="LZ37" s="3">
        <f ca="1">IFERROR(__xludf.DUMMYFUNCTION("""COMPUTED_VALUE"""),-0.755517820617026)</f>
        <v>-0.75551782061702599</v>
      </c>
      <c r="MA37" s="3">
        <f ca="1">IFERROR(__xludf.DUMMYFUNCTION("""COMPUTED_VALUE"""),-0.799779252596085)</f>
        <v>-0.79977925259608496</v>
      </c>
      <c r="MB37" s="3">
        <f ca="1">IFERROR(__xludf.DUMMYFUNCTION("""COMPUTED_VALUE"""),-0.810417262140985)</f>
        <v>-0.81041726214098497</v>
      </c>
      <c r="MC37" s="3">
        <f ca="1">IFERROR(__xludf.DUMMYFUNCTION("""COMPUTED_VALUE"""),-0.811823546620104)</f>
        <v>-0.81182354662010403</v>
      </c>
      <c r="MD37" s="3">
        <f ca="1">IFERROR(__xludf.DUMMYFUNCTION("""COMPUTED_VALUE"""),-0.793852598446964)</f>
        <v>-0.79385259844696399</v>
      </c>
      <c r="ME37" s="3">
        <f ca="1">IFERROR(__xludf.DUMMYFUNCTION("""COMPUTED_VALUE"""),-0.788486890203069)</f>
        <v>-0.78848689020306895</v>
      </c>
      <c r="MF37" s="3">
        <f ca="1">IFERROR(__xludf.DUMMYFUNCTION("""COMPUTED_VALUE"""),-0.755009155371845)</f>
        <v>-0.75500915537184499</v>
      </c>
      <c r="MG37" s="3">
        <f ca="1">IFERROR(__xludf.DUMMYFUNCTION("""COMPUTED_VALUE"""),-0.800455041747067)</f>
        <v>-0.80045504174706705</v>
      </c>
      <c r="MH37" s="3">
        <f ca="1">IFERROR(__xludf.DUMMYFUNCTION("""COMPUTED_VALUE"""),-0.819220138603274)</f>
        <v>-0.81922013860327403</v>
      </c>
      <c r="MI37" s="3">
        <f ca="1">IFERROR(__xludf.DUMMYFUNCTION("""COMPUTED_VALUE"""),-0.812961908754185)</f>
        <v>-0.81296190875418495</v>
      </c>
      <c r="MJ37" s="3">
        <f ca="1">IFERROR(__xludf.DUMMYFUNCTION("""COMPUTED_VALUE"""),-0.840624165659153)</f>
        <v>-0.84062416565915299</v>
      </c>
      <c r="MK37" s="3">
        <f ca="1">IFERROR(__xludf.DUMMYFUNCTION("""COMPUTED_VALUE"""),-0.815951120582388)</f>
        <v>-0.81595112058238795</v>
      </c>
      <c r="ML37" s="3">
        <f ca="1">IFERROR(__xludf.DUMMYFUNCTION("""COMPUTED_VALUE"""),-0.801490915688048)</f>
        <v>-0.80149091568804798</v>
      </c>
      <c r="MM37" s="3">
        <f ca="1">IFERROR(__xludf.DUMMYFUNCTION("""COMPUTED_VALUE"""),-0.79628698950477)</f>
        <v>-0.79628698950476995</v>
      </c>
      <c r="MN37" s="3">
        <f ca="1">IFERROR(__xludf.DUMMYFUNCTION("""COMPUTED_VALUE"""),-0.79313087026058)</f>
        <v>-0.79313087026058005</v>
      </c>
      <c r="MO37" s="3">
        <f ca="1">IFERROR(__xludf.DUMMYFUNCTION("""COMPUTED_VALUE"""),-0.771999900799612)</f>
        <v>-0.771999900799612</v>
      </c>
      <c r="MP37" s="3">
        <f ca="1">IFERROR(__xludf.DUMMYFUNCTION("""COMPUTED_VALUE"""),-0.857855483788319)</f>
        <v>-0.857855483788319</v>
      </c>
      <c r="MQ37" s="3">
        <f ca="1">IFERROR(__xludf.DUMMYFUNCTION("""COMPUTED_VALUE"""),-0.857341602649591)</f>
        <v>-0.85734160264959103</v>
      </c>
      <c r="MR37" s="3">
        <f ca="1">IFERROR(__xludf.DUMMYFUNCTION("""COMPUTED_VALUE"""),-0.840398643432976)</f>
        <v>-0.84039864343297599</v>
      </c>
      <c r="MS37" s="3">
        <f ca="1">IFERROR(__xludf.DUMMYFUNCTION("""COMPUTED_VALUE"""),-0.829140553088638)</f>
        <v>-0.82914055308863799</v>
      </c>
      <c r="MT37" s="3">
        <f ca="1">IFERROR(__xludf.DUMMYFUNCTION("""COMPUTED_VALUE"""),-0.786392341178259)</f>
        <v>-0.78639234117825896</v>
      </c>
      <c r="MU37" s="3">
        <f ca="1">IFERROR(__xludf.DUMMYFUNCTION("""COMPUTED_VALUE"""),-0.811757598428724)</f>
        <v>-0.81175759842872397</v>
      </c>
      <c r="MV37" s="3">
        <f ca="1">IFERROR(__xludf.DUMMYFUNCTION("""COMPUTED_VALUE"""),-0.822798063755418)</f>
        <v>-0.82279806375541797</v>
      </c>
      <c r="MW37" s="3">
        <f ca="1">IFERROR(__xludf.DUMMYFUNCTION("""COMPUTED_VALUE"""),-0.860612296706769)</f>
        <v>-0.86061229670676898</v>
      </c>
      <c r="MX37" s="3">
        <f ca="1">IFERROR(__xludf.DUMMYFUNCTION("""COMPUTED_VALUE"""),-0.845395097499514)</f>
        <v>-0.84539509749951403</v>
      </c>
      <c r="MY37" s="3">
        <f ca="1">IFERROR(__xludf.DUMMYFUNCTION("""COMPUTED_VALUE"""),-0.848050295598857)</f>
        <v>-0.84805029559885703</v>
      </c>
      <c r="MZ37" s="3">
        <f ca="1">IFERROR(__xludf.DUMMYFUNCTION("""COMPUTED_VALUE"""),-0.861266917706657)</f>
        <v>-0.86126691770665698</v>
      </c>
      <c r="NA37" s="3">
        <f ca="1">IFERROR(__xludf.DUMMYFUNCTION("""COMPUTED_VALUE"""),-0.849222630489665)</f>
        <v>-0.84922263048966495</v>
      </c>
      <c r="NB37" s="3">
        <f ca="1">IFERROR(__xludf.DUMMYFUNCTION("""COMPUTED_VALUE"""),-0.809737331397588)</f>
        <v>-0.80973733139758797</v>
      </c>
      <c r="NC37" s="3">
        <f ca="1">IFERROR(__xludf.DUMMYFUNCTION("""COMPUTED_VALUE"""),-0.883948499077137)</f>
        <v>-0.88394849907713702</v>
      </c>
      <c r="ND37" s="3">
        <f ca="1">IFERROR(__xludf.DUMMYFUNCTION("""COMPUTED_VALUE"""),-0.862604444440976)</f>
        <v>-0.86260444444097595</v>
      </c>
      <c r="NE37" s="3">
        <f ca="1">IFERROR(__xludf.DUMMYFUNCTION("""COMPUTED_VALUE"""),-0.853802429246556)</f>
        <v>-0.85380242924655603</v>
      </c>
      <c r="NF37" s="3">
        <f ca="1">IFERROR(__xludf.DUMMYFUNCTION("""COMPUTED_VALUE"""),-0.854535909502591)</f>
        <v>-0.85453590950259095</v>
      </c>
      <c r="NG37" s="3">
        <f ca="1">IFERROR(__xludf.DUMMYFUNCTION("""COMPUTED_VALUE"""),-0.867721184642579)</f>
        <v>-0.86772118464257897</v>
      </c>
      <c r="NH37" s="3">
        <f ca="1">IFERROR(__xludf.DUMMYFUNCTION("""COMPUTED_VALUE"""),-0.801901969600839)</f>
        <v>-0.80190196960083904</v>
      </c>
      <c r="NI37" s="3">
        <f ca="1">IFERROR(__xludf.DUMMYFUNCTION("""COMPUTED_VALUE"""),-0.81803319718678)</f>
        <v>-0.81803319718678003</v>
      </c>
      <c r="NJ37" s="3">
        <f ca="1">IFERROR(__xludf.DUMMYFUNCTION("""COMPUTED_VALUE"""),-0.872664898421351)</f>
        <v>-0.87266489842135098</v>
      </c>
      <c r="NK37" s="3">
        <f ca="1">IFERROR(__xludf.DUMMYFUNCTION("""COMPUTED_VALUE"""),-0.856485946736002)</f>
        <v>-0.85648594673600198</v>
      </c>
      <c r="NL37" s="3">
        <f ca="1">IFERROR(__xludf.DUMMYFUNCTION("""COMPUTED_VALUE"""),-0.853523605092882)</f>
        <v>-0.85352360509288205</v>
      </c>
      <c r="NM37" s="3">
        <f ca="1">IFERROR(__xludf.DUMMYFUNCTION("""COMPUTED_VALUE"""),-0.866280445410044)</f>
        <v>-0.86628044541004401</v>
      </c>
      <c r="NN37" s="3">
        <f ca="1">IFERROR(__xludf.DUMMYFUNCTION("""COMPUTED_VALUE"""),-0.871972421947602)</f>
        <v>-0.87197242194760205</v>
      </c>
      <c r="NO37" s="3">
        <f ca="1">IFERROR(__xludf.DUMMYFUNCTION("""COMPUTED_VALUE"""),-0.814492939387509)</f>
        <v>-0.814492939387509</v>
      </c>
      <c r="NP37" s="3">
        <f ca="1">IFERROR(__xludf.DUMMYFUNCTION("""COMPUTED_VALUE"""),-0.834166734617504)</f>
        <v>-0.83416673461750401</v>
      </c>
      <c r="NQ37" s="3">
        <f ca="1">IFERROR(__xludf.DUMMYFUNCTION("""COMPUTED_VALUE"""),-0.856161274031052)</f>
        <v>-0.85616127403105202</v>
      </c>
      <c r="NR37" s="3">
        <f ca="1">IFERROR(__xludf.DUMMYFUNCTION("""COMPUTED_VALUE"""),-0.868266002429378)</f>
        <v>-0.86826600242937801</v>
      </c>
      <c r="NS37" s="3">
        <f ca="1">IFERROR(__xludf.DUMMYFUNCTION("""COMPUTED_VALUE"""),-0.843811368326284)</f>
        <v>-0.84381136832628401</v>
      </c>
      <c r="NT37" s="3">
        <f ca="1">IFERROR(__xludf.DUMMYFUNCTION("""COMPUTED_VALUE"""),-0.829756561944353)</f>
        <v>-0.82975656194435299</v>
      </c>
      <c r="NU37" s="3">
        <f ca="1">IFERROR(__xludf.DUMMYFUNCTION("""COMPUTED_VALUE"""),-0.828515592702713)</f>
        <v>-0.82851559270271302</v>
      </c>
      <c r="NV37" s="3">
        <f ca="1">IFERROR(__xludf.DUMMYFUNCTION("""COMPUTED_VALUE"""),-0.725771584119506)</f>
        <v>-0.72577158411950604</v>
      </c>
      <c r="NW37" s="3">
        <f ca="1">IFERROR(__xludf.DUMMYFUNCTION("""COMPUTED_VALUE"""),-0.74239441049191)</f>
        <v>-0.74239441049191002</v>
      </c>
      <c r="NX37" s="3">
        <f ca="1">IFERROR(__xludf.DUMMYFUNCTION("""COMPUTED_VALUE"""),-0.775690828586301)</f>
        <v>-0.77569082858630101</v>
      </c>
      <c r="NY37" s="3">
        <f ca="1">IFERROR(__xludf.DUMMYFUNCTION("""COMPUTED_VALUE"""),-0.762545291069759)</f>
        <v>-0.76254529106975899</v>
      </c>
      <c r="NZ37" s="3">
        <f ca="1">IFERROR(__xludf.DUMMYFUNCTION("""COMPUTED_VALUE"""),-0.737578907271)</f>
        <v>-0.73757890727099995</v>
      </c>
      <c r="OA37" s="3">
        <f ca="1">IFERROR(__xludf.DUMMYFUNCTION("""COMPUTED_VALUE"""),-0.660407409497317)</f>
        <v>-0.66040740949731702</v>
      </c>
      <c r="OB37" s="3">
        <f ca="1">IFERROR(__xludf.DUMMYFUNCTION("""COMPUTED_VALUE"""),-0.560993539266666)</f>
        <v>-0.56099353926666595</v>
      </c>
      <c r="OC37" s="3">
        <f ca="1">IFERROR(__xludf.DUMMYFUNCTION("""COMPUTED_VALUE"""),-0.339486137383018)</f>
        <v>-0.33948613738301803</v>
      </c>
      <c r="OD37" s="3">
        <f ca="1">IFERROR(__xludf.DUMMYFUNCTION("""COMPUTED_VALUE"""),-0.340608689275072)</f>
        <v>-0.34060868927507199</v>
      </c>
      <c r="OE37" s="3">
        <f ca="1">IFERROR(__xludf.DUMMYFUNCTION("""COMPUTED_VALUE"""),-0.230870691663361)</f>
        <v>-0.23087069166336099</v>
      </c>
      <c r="OF37" s="3">
        <f ca="1">IFERROR(__xludf.DUMMYFUNCTION("""COMPUTED_VALUE"""),-0.0280467882454622)</f>
        <v>-2.8046788245462199E-2</v>
      </c>
      <c r="OG37" s="3">
        <f ca="1">IFERROR(__xludf.DUMMYFUNCTION("""COMPUTED_VALUE"""),0.00284466033505981)</f>
        <v>2.8446603350598099E-3</v>
      </c>
      <c r="OH37" s="3">
        <f ca="1">IFERROR(__xludf.DUMMYFUNCTION("""COMPUTED_VALUE"""),0.0591780585702526)</f>
        <v>5.9178058570252601E-2</v>
      </c>
      <c r="OI37" s="3">
        <f ca="1">IFERROR(__xludf.DUMMYFUNCTION("""COMPUTED_VALUE"""),0.0482463856526558)</f>
        <v>4.82463856526558E-2</v>
      </c>
      <c r="OJ37" s="3">
        <f ca="1">IFERROR(__xludf.DUMMYFUNCTION("""COMPUTED_VALUE"""),0.00295910330104165)</f>
        <v>2.9591033010416502E-3</v>
      </c>
      <c r="OK37" s="3">
        <f ca="1">IFERROR(__xludf.DUMMYFUNCTION("""COMPUTED_VALUE"""),-0.0433745680198613)</f>
        <v>-4.3374568019861302E-2</v>
      </c>
      <c r="OL37" s="3">
        <f ca="1">IFERROR(__xludf.DUMMYFUNCTION("""COMPUTED_VALUE"""),-0.0169286398124337)</f>
        <v>-1.6928639812433699E-2</v>
      </c>
      <c r="OM37" s="3">
        <f ca="1">IFERROR(__xludf.DUMMYFUNCTION("""COMPUTED_VALUE"""),0.0692152099970317)</f>
        <v>6.9215209997031693E-2</v>
      </c>
      <c r="ON37" s="3">
        <f ca="1">IFERROR(__xludf.DUMMYFUNCTION("""COMPUTED_VALUE"""),0.0356954005083722)</f>
        <v>3.5695400508372201E-2</v>
      </c>
      <c r="OO37" s="3">
        <f ca="1">IFERROR(__xludf.DUMMYFUNCTION("""COMPUTED_VALUE"""),0.0956909550905809)</f>
        <v>9.5690955090580898E-2</v>
      </c>
      <c r="OP37" s="3">
        <f ca="1">IFERROR(__xludf.DUMMYFUNCTION("""COMPUTED_VALUE"""),0.106508867173861)</f>
        <v>0.106508867173861</v>
      </c>
      <c r="OQ37" s="3">
        <f ca="1">IFERROR(__xludf.DUMMYFUNCTION("""COMPUTED_VALUE"""),0.147392472383486)</f>
        <v>0.14739247238348599</v>
      </c>
      <c r="OR37" s="3">
        <f ca="1">IFERROR(__xludf.DUMMYFUNCTION("""COMPUTED_VALUE"""),0.0785514248073657)</f>
        <v>7.8551424807365697E-2</v>
      </c>
      <c r="OS37" s="3">
        <f ca="1">IFERROR(__xludf.DUMMYFUNCTION("""COMPUTED_VALUE"""),0.126136668453553)</f>
        <v>0.12613666845355301</v>
      </c>
      <c r="OT37" s="3">
        <f ca="1">IFERROR(__xludf.DUMMYFUNCTION("""COMPUTED_VALUE"""),0.117343610706953)</f>
        <v>0.117343610706953</v>
      </c>
      <c r="OU37" s="3">
        <f ca="1">IFERROR(__xludf.DUMMYFUNCTION("""COMPUTED_VALUE"""),0.156265068802399)</f>
        <v>0.15626506880239899</v>
      </c>
      <c r="OV37" s="3">
        <f ca="1">IFERROR(__xludf.DUMMYFUNCTION("""COMPUTED_VALUE"""),0.136348092062065)</f>
        <v>0.136348092062065</v>
      </c>
      <c r="OW37" s="3">
        <f ca="1">IFERROR(__xludf.DUMMYFUNCTION("""COMPUTED_VALUE"""),0.323540582896759)</f>
        <v>0.32354058289675902</v>
      </c>
      <c r="OX37" s="3">
        <f ca="1">IFERROR(__xludf.DUMMYFUNCTION("""COMPUTED_VALUE"""),-0.057902489020384)</f>
        <v>-5.7902489020384001E-2</v>
      </c>
      <c r="OY37" s="3">
        <f ca="1">IFERROR(__xludf.DUMMYFUNCTION("""COMPUTED_VALUE"""),-0.146690180868441)</f>
        <v>-0.14669018086844099</v>
      </c>
      <c r="OZ37" s="3">
        <f ca="1">IFERROR(__xludf.DUMMYFUNCTION("""COMPUTED_VALUE"""),-0.233156070678365)</f>
        <v>-0.233156070678365</v>
      </c>
      <c r="PA37" s="3">
        <f ca="1">IFERROR(__xludf.DUMMYFUNCTION("""COMPUTED_VALUE"""),-0.282384636389155)</f>
        <v>-0.28238463638915501</v>
      </c>
      <c r="PB37" s="3">
        <f ca="1">IFERROR(__xludf.DUMMYFUNCTION("""COMPUTED_VALUE"""),-0.244417046215216)</f>
        <v>-0.24441704621521601</v>
      </c>
      <c r="PC37" s="3">
        <f ca="1">IFERROR(__xludf.DUMMYFUNCTION("""COMPUTED_VALUE"""),-0.0995701241160557)</f>
        <v>-9.9570124116055703E-2</v>
      </c>
      <c r="PD37" s="3">
        <f ca="1">IFERROR(__xludf.DUMMYFUNCTION("""COMPUTED_VALUE"""),-0.534339950463374)</f>
        <v>-0.53433995046337401</v>
      </c>
      <c r="PE37" s="3">
        <f ca="1">IFERROR(__xludf.DUMMYFUNCTION("""COMPUTED_VALUE"""),-0.141148060551247)</f>
        <v>-0.14114806055124701</v>
      </c>
      <c r="PF37" s="3">
        <f ca="1">IFERROR(__xludf.DUMMYFUNCTION("""COMPUTED_VALUE"""),-0.115582651734125)</f>
        <v>-0.11558265173412501</v>
      </c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</row>
    <row r="38" spans="1:594" ht="15.75" customHeight="1">
      <c r="A38" s="1" t="str">
        <f ca="1">IFERROR(__xludf.DUMMYFUNCTION("""COMPUTED_VALUE"""),"London, UK")</f>
        <v>London, UK</v>
      </c>
      <c r="B38" s="3">
        <f ca="1">IFERROR(__xludf.DUMMYFUNCTION("""COMPUTED_VALUE"""),-0.591353713894259)</f>
        <v>-0.59135371389425895</v>
      </c>
      <c r="C38" s="3">
        <f ca="1">IFERROR(__xludf.DUMMYFUNCTION("""COMPUTED_VALUE"""),-0.59405283107451)</f>
        <v>-0.59405283107451001</v>
      </c>
      <c r="D38" s="3">
        <f ca="1">IFERROR(__xludf.DUMMYFUNCTION("""COMPUTED_VALUE"""),-0.580844871947378)</f>
        <v>-0.58084487194737799</v>
      </c>
      <c r="E38" s="3">
        <f ca="1">IFERROR(__xludf.DUMMYFUNCTION("""COMPUTED_VALUE"""),-0.586049185663064)</f>
        <v>-0.58604918566306397</v>
      </c>
      <c r="F38" s="3">
        <f ca="1">IFERROR(__xludf.DUMMYFUNCTION("""COMPUTED_VALUE"""),-0.570431288129274)</f>
        <v>-0.57043128812927402</v>
      </c>
      <c r="G38" s="3">
        <f ca="1">IFERROR(__xludf.DUMMYFUNCTION("""COMPUTED_VALUE"""),-0.621706052736389)</f>
        <v>-0.62170605273638901</v>
      </c>
      <c r="H38" s="3">
        <f ca="1">IFERROR(__xludf.DUMMYFUNCTION("""COMPUTED_VALUE"""),-0.590946196882185)</f>
        <v>-0.59094619688218497</v>
      </c>
      <c r="I38" s="3">
        <f ca="1">IFERROR(__xludf.DUMMYFUNCTION("""COMPUTED_VALUE"""),-0.607949059097816)</f>
        <v>-0.60794905909781605</v>
      </c>
      <c r="J38" s="3">
        <f ca="1">IFERROR(__xludf.DUMMYFUNCTION("""COMPUTED_VALUE"""),-0.637077460223916)</f>
        <v>-0.63707746022391598</v>
      </c>
      <c r="K38" s="3">
        <f ca="1">IFERROR(__xludf.DUMMYFUNCTION("""COMPUTED_VALUE"""),-0.466208731204804)</f>
        <v>-0.46620873120480399</v>
      </c>
      <c r="L38" s="3">
        <f ca="1">IFERROR(__xludf.DUMMYFUNCTION("""COMPUTED_VALUE"""),-0.454139174067481)</f>
        <v>-0.454139174067481</v>
      </c>
      <c r="M38" s="3">
        <f ca="1">IFERROR(__xludf.DUMMYFUNCTION("""COMPUTED_VALUE"""),-0.454637765256258)</f>
        <v>-0.45463776525625799</v>
      </c>
      <c r="N38" s="3">
        <f ca="1">IFERROR(__xludf.DUMMYFUNCTION("""COMPUTED_VALUE"""),-0.53506017965394)</f>
        <v>-0.53506017965394004</v>
      </c>
      <c r="O38" s="3">
        <f ca="1">IFERROR(__xludf.DUMMYFUNCTION("""COMPUTED_VALUE"""),-0.631744766111476)</f>
        <v>-0.63174476611147601</v>
      </c>
      <c r="P38" s="3">
        <f ca="1">IFERROR(__xludf.DUMMYFUNCTION("""COMPUTED_VALUE"""),-0.62470993329396)</f>
        <v>-0.62470993329395996</v>
      </c>
      <c r="Q38" s="3">
        <f ca="1">IFERROR(__xludf.DUMMYFUNCTION("""COMPUTED_VALUE"""),-0.632279129416985)</f>
        <v>-0.63227912941698505</v>
      </c>
      <c r="R38" s="3">
        <f ca="1">IFERROR(__xludf.DUMMYFUNCTION("""COMPUTED_VALUE"""),-0.568928601934063)</f>
        <v>-0.56892860193406303</v>
      </c>
      <c r="S38" s="3">
        <f ca="1">IFERROR(__xludf.DUMMYFUNCTION("""COMPUTED_VALUE"""),-0.550141124337725)</f>
        <v>-0.550141124337725</v>
      </c>
      <c r="T38" s="3">
        <f ca="1">IFERROR(__xludf.DUMMYFUNCTION("""COMPUTED_VALUE"""),-0.534102658142913)</f>
        <v>-0.53410265814291302</v>
      </c>
      <c r="U38" s="3">
        <f ca="1">IFERROR(__xludf.DUMMYFUNCTION("""COMPUTED_VALUE"""),-0.586937722789936)</f>
        <v>-0.58693772278993595</v>
      </c>
      <c r="V38" s="3">
        <f ca="1">IFERROR(__xludf.DUMMYFUNCTION("""COMPUTED_VALUE"""),-0.68278753240294)</f>
        <v>-0.68278753240293999</v>
      </c>
      <c r="W38" s="3">
        <f ca="1">IFERROR(__xludf.DUMMYFUNCTION("""COMPUTED_VALUE"""),-0.679284687835818)</f>
        <v>-0.67928468783581797</v>
      </c>
      <c r="X38" s="3">
        <f ca="1">IFERROR(__xludf.DUMMYFUNCTION("""COMPUTED_VALUE"""),-0.613438268802753)</f>
        <v>-0.61343826880275298</v>
      </c>
      <c r="Y38" s="3">
        <f ca="1">IFERROR(__xludf.DUMMYFUNCTION("""COMPUTED_VALUE"""),-0.576462691411963)</f>
        <v>-0.57646269141196305</v>
      </c>
      <c r="Z38" s="3">
        <f ca="1">IFERROR(__xludf.DUMMYFUNCTION("""COMPUTED_VALUE"""),-0.515814080948524)</f>
        <v>-0.51581408094852399</v>
      </c>
      <c r="AA38" s="3">
        <f ca="1">IFERROR(__xludf.DUMMYFUNCTION("""COMPUTED_VALUE"""),-0.570326696572247)</f>
        <v>-0.57032669657224699</v>
      </c>
      <c r="AB38" s="3">
        <f ca="1">IFERROR(__xludf.DUMMYFUNCTION("""COMPUTED_VALUE"""),-0.57688925100092)</f>
        <v>-0.57688925100092003</v>
      </c>
      <c r="AC38" s="3">
        <f ca="1">IFERROR(__xludf.DUMMYFUNCTION("""COMPUTED_VALUE"""),-0.614197339328708)</f>
        <v>-0.61419733932870801</v>
      </c>
      <c r="AD38" s="3">
        <f ca="1">IFERROR(__xludf.DUMMYFUNCTION("""COMPUTED_VALUE"""),-0.685317498406283)</f>
        <v>-0.68531749840628298</v>
      </c>
      <c r="AE38" s="3">
        <f ca="1">IFERROR(__xludf.DUMMYFUNCTION("""COMPUTED_VALUE"""),-0.632201744896194)</f>
        <v>-0.63220174489619396</v>
      </c>
      <c r="AF38" s="3">
        <f ca="1">IFERROR(__xludf.DUMMYFUNCTION("""COMPUTED_VALUE"""),-0.570855672549102)</f>
        <v>-0.57085567254910197</v>
      </c>
      <c r="AG38" s="3">
        <f ca="1">IFERROR(__xludf.DUMMYFUNCTION("""COMPUTED_VALUE"""),-0.551897824178486)</f>
        <v>-0.55189782417848599</v>
      </c>
      <c r="AH38" s="3">
        <f ca="1">IFERROR(__xludf.DUMMYFUNCTION("""COMPUTED_VALUE"""),-0.58143505142173)</f>
        <v>-0.58143505142173002</v>
      </c>
      <c r="AI38" s="3">
        <f ca="1">IFERROR(__xludf.DUMMYFUNCTION("""COMPUTED_VALUE"""),-0.600048796917896)</f>
        <v>-0.60004879691789603</v>
      </c>
      <c r="AJ38" s="3">
        <f ca="1">IFERROR(__xludf.DUMMYFUNCTION("""COMPUTED_VALUE"""),-0.698399412820802)</f>
        <v>-0.69839941282080198</v>
      </c>
      <c r="AK38" s="3">
        <f ca="1">IFERROR(__xludf.DUMMYFUNCTION("""COMPUTED_VALUE"""),-0.650491763554598)</f>
        <v>-0.65049176355459803</v>
      </c>
      <c r="AL38" s="3">
        <f ca="1">IFERROR(__xludf.DUMMYFUNCTION("""COMPUTED_VALUE"""),-0.659507650719253)</f>
        <v>-0.65950765071925299</v>
      </c>
      <c r="AM38" s="3">
        <f ca="1">IFERROR(__xludf.DUMMYFUNCTION("""COMPUTED_VALUE"""),-0.64945841065806)</f>
        <v>-0.64945841065805998</v>
      </c>
      <c r="AN38" s="3">
        <f ca="1">IFERROR(__xludf.DUMMYFUNCTION("""COMPUTED_VALUE"""),-0.649697452642765)</f>
        <v>-0.64969745264276502</v>
      </c>
      <c r="AO38" s="3">
        <f ca="1">IFERROR(__xludf.DUMMYFUNCTION("""COMPUTED_VALUE"""),-0.668195019995023)</f>
        <v>-0.66819501999502295</v>
      </c>
      <c r="AP38" s="3">
        <f ca="1">IFERROR(__xludf.DUMMYFUNCTION("""COMPUTED_VALUE"""),-0.710917908424554)</f>
        <v>-0.71091790842455405</v>
      </c>
      <c r="AQ38" s="3">
        <f ca="1">IFERROR(__xludf.DUMMYFUNCTION("""COMPUTED_VALUE"""),-0.60830792262935)</f>
        <v>-0.60830792262934996</v>
      </c>
      <c r="AR38" s="3">
        <f ca="1">IFERROR(__xludf.DUMMYFUNCTION("""COMPUTED_VALUE"""),-0.636917796726675)</f>
        <v>-0.63691779672667503</v>
      </c>
      <c r="AS38" s="3">
        <f ca="1">IFERROR(__xludf.DUMMYFUNCTION("""COMPUTED_VALUE"""),-0.671528294327147)</f>
        <v>-0.671528294327147</v>
      </c>
      <c r="AT38" s="3">
        <f ca="1">IFERROR(__xludf.DUMMYFUNCTION("""COMPUTED_VALUE"""),-0.68674260720742)</f>
        <v>-0.68674260720741997</v>
      </c>
      <c r="AU38" s="3">
        <f ca="1">IFERROR(__xludf.DUMMYFUNCTION("""COMPUTED_VALUE"""),-0.58272185504476)</f>
        <v>-0.58272185504476004</v>
      </c>
      <c r="AV38" s="3">
        <f ca="1">IFERROR(__xludf.DUMMYFUNCTION("""COMPUTED_VALUE"""),-0.639946262573516)</f>
        <v>-0.63994626257351594</v>
      </c>
      <c r="AW38" s="3">
        <f ca="1">IFERROR(__xludf.DUMMYFUNCTION("""COMPUTED_VALUE"""),-0.594651853862346)</f>
        <v>-0.59465185386234598</v>
      </c>
      <c r="AX38" s="3">
        <f ca="1">IFERROR(__xludf.DUMMYFUNCTION("""COMPUTED_VALUE"""),-0.640578265927851)</f>
        <v>-0.64057826592785105</v>
      </c>
      <c r="AY38" s="3">
        <f ca="1">IFERROR(__xludf.DUMMYFUNCTION("""COMPUTED_VALUE"""),-0.631878785165981)</f>
        <v>-0.63187878516598095</v>
      </c>
      <c r="AZ38" s="3">
        <f ca="1">IFERROR(__xludf.DUMMYFUNCTION("""COMPUTED_VALUE"""),-0.663389594563601)</f>
        <v>-0.66338959456360103</v>
      </c>
      <c r="BA38" s="3">
        <f ca="1">IFERROR(__xludf.DUMMYFUNCTION("""COMPUTED_VALUE"""),-0.714218864008287)</f>
        <v>-0.71421886400828705</v>
      </c>
      <c r="BB38" s="3">
        <f ca="1">IFERROR(__xludf.DUMMYFUNCTION("""COMPUTED_VALUE"""),-0.662049704730918)</f>
        <v>-0.66204970473091795</v>
      </c>
      <c r="BC38" s="3">
        <f ca="1">IFERROR(__xludf.DUMMYFUNCTION("""COMPUTED_VALUE"""),-0.696407134925142)</f>
        <v>-0.69640713492514195</v>
      </c>
      <c r="BD38" s="3">
        <f ca="1">IFERROR(__xludf.DUMMYFUNCTION("""COMPUTED_VALUE"""),-0.65783853421685)</f>
        <v>-0.65783853421685001</v>
      </c>
      <c r="BE38" s="3">
        <f ca="1">IFERROR(__xludf.DUMMYFUNCTION("""COMPUTED_VALUE"""),-0.591915693249377)</f>
        <v>-0.59191569324937698</v>
      </c>
      <c r="BF38" s="3">
        <f ca="1">IFERROR(__xludf.DUMMYFUNCTION("""COMPUTED_VALUE"""),-0.571711841511352)</f>
        <v>-0.57171184151135201</v>
      </c>
      <c r="BG38" s="3">
        <f ca="1">IFERROR(__xludf.DUMMYFUNCTION("""COMPUTED_VALUE"""),-0.691439699533714)</f>
        <v>-0.69143969953371398</v>
      </c>
      <c r="BH38" s="3">
        <f ca="1">IFERROR(__xludf.DUMMYFUNCTION("""COMPUTED_VALUE"""),-0.737539743023303)</f>
        <v>-0.73753974302330305</v>
      </c>
      <c r="BI38" s="3">
        <f ca="1">IFERROR(__xludf.DUMMYFUNCTION("""COMPUTED_VALUE"""),-0.681898147760781)</f>
        <v>-0.68189814776078095</v>
      </c>
      <c r="BJ38" s="3">
        <f ca="1">IFERROR(__xludf.DUMMYFUNCTION("""COMPUTED_VALUE"""),-0.718483141196457)</f>
        <v>-0.71848314119645695</v>
      </c>
      <c r="BK38" s="3">
        <f ca="1">IFERROR(__xludf.DUMMYFUNCTION("""COMPUTED_VALUE"""),-0.711339046417289)</f>
        <v>-0.71133904641728896</v>
      </c>
      <c r="BL38" s="3">
        <f ca="1">IFERROR(__xludf.DUMMYFUNCTION("""COMPUTED_VALUE"""),-0.730669900775256)</f>
        <v>-0.73066990077525595</v>
      </c>
      <c r="BM38" s="3">
        <f ca="1">IFERROR(__xludf.DUMMYFUNCTION("""COMPUTED_VALUE"""),-0.688501516304929)</f>
        <v>-0.68850151630492895</v>
      </c>
      <c r="BN38" s="3">
        <f ca="1">IFERROR(__xludf.DUMMYFUNCTION("""COMPUTED_VALUE"""),-0.71557937599186)</f>
        <v>-0.71557937599185995</v>
      </c>
      <c r="BO38" s="3">
        <f ca="1">IFERROR(__xludf.DUMMYFUNCTION("""COMPUTED_VALUE"""),-0.741781823717933)</f>
        <v>-0.741781823717933</v>
      </c>
      <c r="BP38" s="3">
        <f ca="1">IFERROR(__xludf.DUMMYFUNCTION("""COMPUTED_VALUE"""),-0.745604349967318)</f>
        <v>-0.74560434996731795</v>
      </c>
      <c r="BQ38" s="3">
        <f ca="1">IFERROR(__xludf.DUMMYFUNCTION("""COMPUTED_VALUE"""),-0.755524946287017)</f>
        <v>-0.75552494628701705</v>
      </c>
      <c r="BR38" s="3">
        <f ca="1">IFERROR(__xludf.DUMMYFUNCTION("""COMPUTED_VALUE"""),-0.711535845289443)</f>
        <v>-0.71153584528944303</v>
      </c>
      <c r="BS38" s="3">
        <f ca="1">IFERROR(__xludf.DUMMYFUNCTION("""COMPUTED_VALUE"""),-0.68882891891109)</f>
        <v>-0.68882891891108999</v>
      </c>
      <c r="BT38" s="3">
        <f ca="1">IFERROR(__xludf.DUMMYFUNCTION("""COMPUTED_VALUE"""),-0.660667258324271)</f>
        <v>-0.66066725832427098</v>
      </c>
      <c r="BU38" s="3">
        <f ca="1">IFERROR(__xludf.DUMMYFUNCTION("""COMPUTED_VALUE"""),-0.715362354885869)</f>
        <v>-0.71536235488586897</v>
      </c>
      <c r="BV38" s="3">
        <f ca="1">IFERROR(__xludf.DUMMYFUNCTION("""COMPUTED_VALUE"""),-0.730042438352529)</f>
        <v>-0.73004243835252902</v>
      </c>
      <c r="BW38" s="3">
        <f ca="1">IFERROR(__xludf.DUMMYFUNCTION("""COMPUTED_VALUE"""),-0.72849407487553)</f>
        <v>-0.72849407487552997</v>
      </c>
      <c r="BX38" s="3">
        <f ca="1">IFERROR(__xludf.DUMMYFUNCTION("""COMPUTED_VALUE"""),-0.703095854636012)</f>
        <v>-0.70309585463601199</v>
      </c>
      <c r="BY38" s="3">
        <f ca="1">IFERROR(__xludf.DUMMYFUNCTION("""COMPUTED_VALUE"""),-0.733134421439159)</f>
        <v>-0.73313442143915897</v>
      </c>
      <c r="BZ38" s="3">
        <f ca="1">IFERROR(__xludf.DUMMYFUNCTION("""COMPUTED_VALUE"""),-0.720982943823574)</f>
        <v>-0.72098294382357397</v>
      </c>
      <c r="CA38" s="3">
        <f ca="1">IFERROR(__xludf.DUMMYFUNCTION("""COMPUTED_VALUE"""),-0.700439632934998)</f>
        <v>-0.700439632934998</v>
      </c>
      <c r="CB38" s="3">
        <f ca="1">IFERROR(__xludf.DUMMYFUNCTION("""COMPUTED_VALUE"""),-0.759369893992799)</f>
        <v>-0.75936989399279897</v>
      </c>
      <c r="CC38" s="3">
        <f ca="1">IFERROR(__xludf.DUMMYFUNCTION("""COMPUTED_VALUE"""),-0.755797718026655)</f>
        <v>-0.75579771802665496</v>
      </c>
      <c r="CD38" s="3">
        <f ca="1">IFERROR(__xludf.DUMMYFUNCTION("""COMPUTED_VALUE"""),-0.741028836250325)</f>
        <v>-0.74102883625032501</v>
      </c>
      <c r="CE38" s="3">
        <f ca="1">IFERROR(__xludf.DUMMYFUNCTION("""COMPUTED_VALUE"""),-0.702928653509478)</f>
        <v>-0.70292865350947797</v>
      </c>
      <c r="CF38" s="3">
        <f ca="1">IFERROR(__xludf.DUMMYFUNCTION("""COMPUTED_VALUE"""),-0.721173130911091)</f>
        <v>-0.72117313091109103</v>
      </c>
      <c r="CG38" s="3">
        <f ca="1">IFERROR(__xludf.DUMMYFUNCTION("""COMPUTED_VALUE"""),-0.751449512031571)</f>
        <v>-0.75144951203157095</v>
      </c>
      <c r="CH38" s="3">
        <f ca="1">IFERROR(__xludf.DUMMYFUNCTION("""COMPUTED_VALUE"""),-0.740024297477453)</f>
        <v>-0.74002429747745302</v>
      </c>
      <c r="CI38" s="3">
        <f ca="1">IFERROR(__xludf.DUMMYFUNCTION("""COMPUTED_VALUE"""),-0.727687099896847)</f>
        <v>-0.72768709989684699</v>
      </c>
      <c r="CJ38" s="3">
        <f ca="1">IFERROR(__xludf.DUMMYFUNCTION("""COMPUTED_VALUE"""),-0.718849128284353)</f>
        <v>-0.71884912828435299</v>
      </c>
      <c r="CK38" s="3">
        <f ca="1">IFERROR(__xludf.DUMMYFUNCTION("""COMPUTED_VALUE"""),-0.718143180117529)</f>
        <v>-0.71814318011752898</v>
      </c>
      <c r="CL38" s="3">
        <f ca="1">IFERROR(__xludf.DUMMYFUNCTION("""COMPUTED_VALUE"""),-0.738850714357465)</f>
        <v>-0.73885071435746497</v>
      </c>
      <c r="CM38" s="3">
        <f ca="1">IFERROR(__xludf.DUMMYFUNCTION("""COMPUTED_VALUE"""),-0.729127015335591)</f>
        <v>-0.72912701533559099</v>
      </c>
      <c r="CN38" s="3">
        <f ca="1">IFERROR(__xludf.DUMMYFUNCTION("""COMPUTED_VALUE"""),-0.685905780111541)</f>
        <v>-0.68590578011154102</v>
      </c>
      <c r="CO38" s="3">
        <f ca="1">IFERROR(__xludf.DUMMYFUNCTION("""COMPUTED_VALUE"""),-0.711349996991304)</f>
        <v>-0.71134999699130397</v>
      </c>
      <c r="CP38" s="3">
        <f ca="1">IFERROR(__xludf.DUMMYFUNCTION("""COMPUTED_VALUE"""),-0.725412807360502)</f>
        <v>-0.72541280736050195</v>
      </c>
      <c r="CQ38" s="3">
        <f ca="1">IFERROR(__xludf.DUMMYFUNCTION("""COMPUTED_VALUE"""),-0.733449732756824)</f>
        <v>-0.73344973275682401</v>
      </c>
      <c r="CR38" s="3">
        <f ca="1">IFERROR(__xludf.DUMMYFUNCTION("""COMPUTED_VALUE"""),-0.708729646984167)</f>
        <v>-0.70872964698416696</v>
      </c>
      <c r="CS38" s="3">
        <f ca="1">IFERROR(__xludf.DUMMYFUNCTION("""COMPUTED_VALUE"""),-0.762195696776769)</f>
        <v>-0.76219569677676902</v>
      </c>
      <c r="CT38" s="3">
        <f ca="1">IFERROR(__xludf.DUMMYFUNCTION("""COMPUTED_VALUE"""),-0.728117368366625)</f>
        <v>-0.728117368366625</v>
      </c>
      <c r="CU38" s="3">
        <f ca="1">IFERROR(__xludf.DUMMYFUNCTION("""COMPUTED_VALUE"""),-0.765785274545478)</f>
        <v>-0.76578527454547796</v>
      </c>
      <c r="CV38" s="3">
        <f ca="1">IFERROR(__xludf.DUMMYFUNCTION("""COMPUTED_VALUE"""),-0.770567827784364)</f>
        <v>-0.77056782778436395</v>
      </c>
      <c r="CW38" s="3">
        <f ca="1">IFERROR(__xludf.DUMMYFUNCTION("""COMPUTED_VALUE"""),-0.784948615740912)</f>
        <v>-0.78494861574091201</v>
      </c>
      <c r="CX38" s="3">
        <f ca="1">IFERROR(__xludf.DUMMYFUNCTION("""COMPUTED_VALUE"""),-0.70050788403575)</f>
        <v>-0.70050788403575004</v>
      </c>
      <c r="CY38" s="3">
        <f ca="1">IFERROR(__xludf.DUMMYFUNCTION("""COMPUTED_VALUE"""),-0.479680224511285)</f>
        <v>-0.479680224511285</v>
      </c>
      <c r="CZ38" s="3">
        <f ca="1">IFERROR(__xludf.DUMMYFUNCTION("""COMPUTED_VALUE"""),-0.72164553272212)</f>
        <v>-0.72164553272211995</v>
      </c>
      <c r="DA38" s="3">
        <f ca="1">IFERROR(__xludf.DUMMYFUNCTION("""COMPUTED_VALUE"""),-0.721016250128172)</f>
        <v>-0.72101625012817205</v>
      </c>
      <c r="DB38" s="3">
        <f ca="1">IFERROR(__xludf.DUMMYFUNCTION("""COMPUTED_VALUE"""),-0.752834098345324)</f>
        <v>-0.752834098345324</v>
      </c>
      <c r="DC38" s="3">
        <f ca="1">IFERROR(__xludf.DUMMYFUNCTION("""COMPUTED_VALUE"""),-0.753661871700174)</f>
        <v>-0.75366187170017396</v>
      </c>
      <c r="DD38" s="3">
        <f ca="1">IFERROR(__xludf.DUMMYFUNCTION("""COMPUTED_VALUE"""),-0.953816907728896)</f>
        <v>-0.95381690772889605</v>
      </c>
      <c r="DE38" s="3">
        <f ca="1">IFERROR(__xludf.DUMMYFUNCTION("""COMPUTED_VALUE"""),-0.729081067509928)</f>
        <v>-0.72908106750992796</v>
      </c>
      <c r="DF38" s="3">
        <f ca="1">IFERROR(__xludf.DUMMYFUNCTION("""COMPUTED_VALUE"""),-0.596988445610524)</f>
        <v>-0.596988445610524</v>
      </c>
      <c r="DG38" s="3">
        <f ca="1">IFERROR(__xludf.DUMMYFUNCTION("""COMPUTED_VALUE"""),-0.708429859401117)</f>
        <v>-0.70842985940111702</v>
      </c>
      <c r="DH38" s="3">
        <f ca="1">IFERROR(__xludf.DUMMYFUNCTION("""COMPUTED_VALUE"""),-0.729670481947826)</f>
        <v>-0.72967048194782602</v>
      </c>
      <c r="DI38" s="3">
        <f ca="1">IFERROR(__xludf.DUMMYFUNCTION("""COMPUTED_VALUE"""),-0.732680469444594)</f>
        <v>-0.73268046944459397</v>
      </c>
      <c r="DJ38" s="3">
        <f ca="1">IFERROR(__xludf.DUMMYFUNCTION("""COMPUTED_VALUE"""),-0.667002633165327)</f>
        <v>-0.66700263316532704</v>
      </c>
      <c r="DK38" s="3">
        <f ca="1">IFERROR(__xludf.DUMMYFUNCTION("""COMPUTED_VALUE"""),-0.578744295932775)</f>
        <v>-0.57874429593277499</v>
      </c>
      <c r="DL38" s="3">
        <f ca="1">IFERROR(__xludf.DUMMYFUNCTION("""COMPUTED_VALUE"""),-0.527843553077792)</f>
        <v>-0.52784355307779196</v>
      </c>
      <c r="DM38" s="3">
        <f ca="1">IFERROR(__xludf.DUMMYFUNCTION("""COMPUTED_VALUE"""),-0.439488106241611)</f>
        <v>-0.439488106241611</v>
      </c>
      <c r="DN38" s="3">
        <f ca="1">IFERROR(__xludf.DUMMYFUNCTION("""COMPUTED_VALUE"""),-0.533403338394265)</f>
        <v>-0.53340333839426501</v>
      </c>
      <c r="DO38" s="3">
        <f ca="1">IFERROR(__xludf.DUMMYFUNCTION("""COMPUTED_VALUE"""),-0.592264746995017)</f>
        <v>-0.59226474699501697</v>
      </c>
      <c r="DP38" s="3">
        <f ca="1">IFERROR(__xludf.DUMMYFUNCTION("""COMPUTED_VALUE"""),-0.624592155612099)</f>
        <v>-0.62459215561209902</v>
      </c>
      <c r="DQ38" s="3">
        <f ca="1">IFERROR(__xludf.DUMMYFUNCTION("""COMPUTED_VALUE"""),-0.566571892263957)</f>
        <v>-0.56657189226395699</v>
      </c>
      <c r="DR38" s="3">
        <f ca="1">IFERROR(__xludf.DUMMYFUNCTION("""COMPUTED_VALUE"""),-0.556976386598279)</f>
        <v>-0.55697638659827897</v>
      </c>
      <c r="DS38" s="3">
        <f ca="1">IFERROR(__xludf.DUMMYFUNCTION("""COMPUTED_VALUE"""),-0.579830542102681)</f>
        <v>-0.57983054210268103</v>
      </c>
      <c r="DT38" s="3">
        <f ca="1">IFERROR(__xludf.DUMMYFUNCTION("""COMPUTED_VALUE"""),-0.536955808709589)</f>
        <v>-0.53695580870958903</v>
      </c>
      <c r="DU38" s="3">
        <f ca="1">IFERROR(__xludf.DUMMYFUNCTION("""COMPUTED_VALUE"""),-0.55105704006563)</f>
        <v>-0.55105704006563005</v>
      </c>
      <c r="DV38" s="3">
        <f ca="1">IFERROR(__xludf.DUMMYFUNCTION("""COMPUTED_VALUE"""),-0.577764502274019)</f>
        <v>-0.57776450227401899</v>
      </c>
      <c r="DW38" s="3">
        <f ca="1">IFERROR(__xludf.DUMMYFUNCTION("""COMPUTED_VALUE"""),-0.580738726654338)</f>
        <v>-0.58073872665433801</v>
      </c>
      <c r="DX38" s="3">
        <f ca="1">IFERROR(__xludf.DUMMYFUNCTION("""COMPUTED_VALUE"""),-0.625928619358775)</f>
        <v>-0.62592861935877497</v>
      </c>
      <c r="DY38" s="3">
        <f ca="1">IFERROR(__xludf.DUMMYFUNCTION("""COMPUTED_VALUE"""),-0.576693377757451)</f>
        <v>-0.576693377757451</v>
      </c>
      <c r="DZ38" s="3">
        <f ca="1">IFERROR(__xludf.DUMMYFUNCTION("""COMPUTED_VALUE"""),-0.560954738373336)</f>
        <v>-0.56095473837333598</v>
      </c>
      <c r="EA38" s="3">
        <f ca="1">IFERROR(__xludf.DUMMYFUNCTION("""COMPUTED_VALUE"""),-0.599448980025184)</f>
        <v>-0.59944898002518399</v>
      </c>
      <c r="EB38" s="3">
        <f ca="1">IFERROR(__xludf.DUMMYFUNCTION("""COMPUTED_VALUE"""),-0.646276775594541)</f>
        <v>-0.646276775594541</v>
      </c>
      <c r="EC38" s="3">
        <f ca="1">IFERROR(__xludf.DUMMYFUNCTION("""COMPUTED_VALUE"""),-0.639628546523388)</f>
        <v>-0.63962854652338796</v>
      </c>
      <c r="ED38" s="3">
        <f ca="1">IFERROR(__xludf.DUMMYFUNCTION("""COMPUTED_VALUE"""),-0.706446590207657)</f>
        <v>-0.70644659020765699</v>
      </c>
      <c r="EE38" s="3">
        <f ca="1">IFERROR(__xludf.DUMMYFUNCTION("""COMPUTED_VALUE"""),-0.70148227459235)</f>
        <v>-0.70148227459235002</v>
      </c>
      <c r="EF38" s="3">
        <f ca="1">IFERROR(__xludf.DUMMYFUNCTION("""COMPUTED_VALUE"""),-0.67380050974385)</f>
        <v>-0.67380050974384997</v>
      </c>
      <c r="EG38" s="3">
        <f ca="1">IFERROR(__xludf.DUMMYFUNCTION("""COMPUTED_VALUE"""),-0.657614983589461)</f>
        <v>-0.65761498358946102</v>
      </c>
      <c r="EH38" s="3">
        <f ca="1">IFERROR(__xludf.DUMMYFUNCTION("""COMPUTED_VALUE"""),-0.659833862598036)</f>
        <v>-0.659833862598036</v>
      </c>
      <c r="EI38" s="3">
        <f ca="1">IFERROR(__xludf.DUMMYFUNCTION("""COMPUTED_VALUE"""),-0.690399707342864)</f>
        <v>-0.69039970734286404</v>
      </c>
      <c r="EJ38" s="3">
        <f ca="1">IFERROR(__xludf.DUMMYFUNCTION("""COMPUTED_VALUE"""),-0.669080850435465)</f>
        <v>-0.66908085043546495</v>
      </c>
      <c r="EK38" s="3">
        <f ca="1">IFERROR(__xludf.DUMMYFUNCTION("""COMPUTED_VALUE"""),-0.716503424549789)</f>
        <v>-0.71650342454978899</v>
      </c>
      <c r="EL38" s="3">
        <f ca="1">IFERROR(__xludf.DUMMYFUNCTION("""COMPUTED_VALUE"""),-0.72092524238423)</f>
        <v>-0.72092524238422995</v>
      </c>
      <c r="EM38" s="3">
        <f ca="1">IFERROR(__xludf.DUMMYFUNCTION("""COMPUTED_VALUE"""),-0.661654558909757)</f>
        <v>-0.661654558909757</v>
      </c>
      <c r="EN38" s="3">
        <f ca="1">IFERROR(__xludf.DUMMYFUNCTION("""COMPUTED_VALUE"""),-0.641504131894265)</f>
        <v>-0.64150413189426503</v>
      </c>
      <c r="EO38" s="3">
        <f ca="1">IFERROR(__xludf.DUMMYFUNCTION("""COMPUTED_VALUE"""),-0.678519056675424)</f>
        <v>-0.678519056675424</v>
      </c>
      <c r="EP38" s="3">
        <f ca="1">IFERROR(__xludf.DUMMYFUNCTION("""COMPUTED_VALUE"""),-0.633907096900021)</f>
        <v>-0.63390709690002101</v>
      </c>
      <c r="EQ38" s="3">
        <f ca="1">IFERROR(__xludf.DUMMYFUNCTION("""COMPUTED_VALUE"""),-0.652053893328506)</f>
        <v>-0.65205389332850605</v>
      </c>
      <c r="ER38" s="3">
        <f ca="1">IFERROR(__xludf.DUMMYFUNCTION("""COMPUTED_VALUE"""),-0.770259472154955)</f>
        <v>-0.77025947215495505</v>
      </c>
      <c r="ES38" s="3">
        <f ca="1">IFERROR(__xludf.DUMMYFUNCTION("""COMPUTED_VALUE"""),-0.750939332354418)</f>
        <v>-0.75093933235441801</v>
      </c>
      <c r="ET38" s="3">
        <f ca="1">IFERROR(__xludf.DUMMYFUNCTION("""COMPUTED_VALUE"""),-0.65370269129991)</f>
        <v>-0.65370269129990999</v>
      </c>
      <c r="EU38" s="3">
        <f ca="1">IFERROR(__xludf.DUMMYFUNCTION("""COMPUTED_VALUE"""),-0.669378159956752)</f>
        <v>-0.66937815995675198</v>
      </c>
      <c r="EV38" s="3">
        <f ca="1">IFERROR(__xludf.DUMMYFUNCTION("""COMPUTED_VALUE"""),-0.669101249328827)</f>
        <v>-0.66910124932882697</v>
      </c>
      <c r="EW38" s="3">
        <f ca="1">IFERROR(__xludf.DUMMYFUNCTION("""COMPUTED_VALUE"""),-0.66249157760704)</f>
        <v>-0.66249157760704003</v>
      </c>
      <c r="EX38" s="3">
        <f ca="1">IFERROR(__xludf.DUMMYFUNCTION("""COMPUTED_VALUE"""),-0.703429718947765)</f>
        <v>-0.70342971894776496</v>
      </c>
      <c r="EY38" s="3">
        <f ca="1">IFERROR(__xludf.DUMMYFUNCTION("""COMPUTED_VALUE"""),-0.764044233943406)</f>
        <v>-0.76404423394340604</v>
      </c>
      <c r="EZ38" s="3">
        <f ca="1">IFERROR(__xludf.DUMMYFUNCTION("""COMPUTED_VALUE"""),-0.774549522870631)</f>
        <v>-0.77454952287063095</v>
      </c>
      <c r="FA38" s="3">
        <f ca="1">IFERROR(__xludf.DUMMYFUNCTION("""COMPUTED_VALUE"""),-0.66774203107813)</f>
        <v>-0.66774203107813002</v>
      </c>
      <c r="FB38" s="3">
        <f ca="1">IFERROR(__xludf.DUMMYFUNCTION("""COMPUTED_VALUE"""),-0.666859966128665)</f>
        <v>-0.66685996612866505</v>
      </c>
      <c r="FC38" s="3">
        <f ca="1">IFERROR(__xludf.DUMMYFUNCTION("""COMPUTED_VALUE"""),-0.510012149706869)</f>
        <v>-0.51001214970686903</v>
      </c>
      <c r="FD38" s="3">
        <f ca="1">IFERROR(__xludf.DUMMYFUNCTION("""COMPUTED_VALUE"""),-0.531932482483102)</f>
        <v>-0.53193248248310199</v>
      </c>
      <c r="FE38" s="3">
        <f ca="1">IFERROR(__xludf.DUMMYFUNCTION("""COMPUTED_VALUE"""),-0.573270592272459)</f>
        <v>-0.57327059227245902</v>
      </c>
      <c r="FF38" s="3">
        <f ca="1">IFERROR(__xludf.DUMMYFUNCTION("""COMPUTED_VALUE"""),-0.610996676117284)</f>
        <v>-0.61099667611728403</v>
      </c>
      <c r="FG38" s="3">
        <f ca="1">IFERROR(__xludf.DUMMYFUNCTION("""COMPUTED_VALUE"""),-0.574930863834727)</f>
        <v>-0.57493086383472702</v>
      </c>
      <c r="FH38" s="3">
        <f ca="1">IFERROR(__xludf.DUMMYFUNCTION("""COMPUTED_VALUE"""),-0.674718335471825)</f>
        <v>-0.67471833547182503</v>
      </c>
      <c r="FI38" s="3">
        <f ca="1">IFERROR(__xludf.DUMMYFUNCTION("""COMPUTED_VALUE"""),-0.654830918194906)</f>
        <v>-0.65483091819490602</v>
      </c>
      <c r="FJ38" s="3">
        <f ca="1">IFERROR(__xludf.DUMMYFUNCTION("""COMPUTED_VALUE"""),-0.667272949315737)</f>
        <v>-0.667272949315737</v>
      </c>
      <c r="FK38" s="3">
        <f ca="1">IFERROR(__xludf.DUMMYFUNCTION("""COMPUTED_VALUE"""),-0.684309614422681)</f>
        <v>-0.68430961442268101</v>
      </c>
      <c r="FL38" s="3">
        <f ca="1">IFERROR(__xludf.DUMMYFUNCTION("""COMPUTED_VALUE"""),-0.691543528842683)</f>
        <v>-0.691543528842683</v>
      </c>
      <c r="FM38" s="3">
        <f ca="1">IFERROR(__xludf.DUMMYFUNCTION("""COMPUTED_VALUE"""),-0.61384741984506)</f>
        <v>-0.61384741984505997</v>
      </c>
      <c r="FN38" s="3">
        <f ca="1">IFERROR(__xludf.DUMMYFUNCTION("""COMPUTED_VALUE"""),-0.594787357309699)</f>
        <v>-0.59478735730969901</v>
      </c>
      <c r="FO38" s="3">
        <f ca="1">IFERROR(__xludf.DUMMYFUNCTION("""COMPUTED_VALUE"""),-0.603016009299578)</f>
        <v>-0.60301600929957799</v>
      </c>
      <c r="FP38" s="3">
        <f ca="1">IFERROR(__xludf.DUMMYFUNCTION("""COMPUTED_VALUE"""),-0.601623238716364)</f>
        <v>-0.60162323871636403</v>
      </c>
      <c r="FQ38" s="3">
        <f ca="1">IFERROR(__xludf.DUMMYFUNCTION("""COMPUTED_VALUE"""),-0.620031634728836)</f>
        <v>-0.62003163472883605</v>
      </c>
      <c r="FR38" s="3">
        <f ca="1">IFERROR(__xludf.DUMMYFUNCTION("""COMPUTED_VALUE"""),-0.590595004521715)</f>
        <v>-0.59059500452171498</v>
      </c>
      <c r="FS38" s="3">
        <f ca="1">IFERROR(__xludf.DUMMYFUNCTION("""COMPUTED_VALUE"""),-0.633577000137854)</f>
        <v>-0.63357700013785401</v>
      </c>
      <c r="FT38" s="3">
        <f ca="1">IFERROR(__xludf.DUMMYFUNCTION("""COMPUTED_VALUE"""),-0.600949405528062)</f>
        <v>-0.60094940552806198</v>
      </c>
      <c r="FU38" s="3">
        <f ca="1">IFERROR(__xludf.DUMMYFUNCTION("""COMPUTED_VALUE"""),-0.645428106127344)</f>
        <v>-0.64542810612734403</v>
      </c>
      <c r="FV38" s="3">
        <f ca="1">IFERROR(__xludf.DUMMYFUNCTION("""COMPUTED_VALUE"""),-0.5529244443876)</f>
        <v>-0.55292444438760002</v>
      </c>
      <c r="FW38" s="3">
        <f ca="1">IFERROR(__xludf.DUMMYFUNCTION("""COMPUTED_VALUE"""),-0.564526361111812)</f>
        <v>-0.56452636111181198</v>
      </c>
      <c r="FX38" s="3">
        <f ca="1">IFERROR(__xludf.DUMMYFUNCTION("""COMPUTED_VALUE"""),-0.589161491829538)</f>
        <v>-0.58916149182953803</v>
      </c>
      <c r="FY38" s="3">
        <f ca="1">IFERROR(__xludf.DUMMYFUNCTION("""COMPUTED_VALUE"""),-0.578261896641338)</f>
        <v>-0.57826189664133798</v>
      </c>
      <c r="FZ38" s="3">
        <f ca="1">IFERROR(__xludf.DUMMYFUNCTION("""COMPUTED_VALUE"""),-0.600588329124661)</f>
        <v>-0.60058832912466098</v>
      </c>
      <c r="GA38" s="3">
        <f ca="1">IFERROR(__xludf.DUMMYFUNCTION("""COMPUTED_VALUE"""),-0.611917817765028)</f>
        <v>-0.61191781776502796</v>
      </c>
      <c r="GB38" s="3">
        <f ca="1">IFERROR(__xludf.DUMMYFUNCTION("""COMPUTED_VALUE"""),-0.627957098373664)</f>
        <v>-0.62795709837366398</v>
      </c>
      <c r="GC38" s="3">
        <f ca="1">IFERROR(__xludf.DUMMYFUNCTION("""COMPUTED_VALUE"""),-0.560842681395818)</f>
        <v>-0.56084268139581805</v>
      </c>
      <c r="GD38" s="3">
        <f ca="1">IFERROR(__xludf.DUMMYFUNCTION("""COMPUTED_VALUE"""),-0.522451669100197)</f>
        <v>-0.52245166910019702</v>
      </c>
      <c r="GE38" s="3">
        <f ca="1">IFERROR(__xludf.DUMMYFUNCTION("""COMPUTED_VALUE"""),-0.574440526821919)</f>
        <v>-0.57444052682191904</v>
      </c>
      <c r="GF38" s="3">
        <f ca="1">IFERROR(__xludf.DUMMYFUNCTION("""COMPUTED_VALUE"""),-0.580681503794256)</f>
        <v>-0.58068150379425598</v>
      </c>
      <c r="GG38" s="3">
        <f ca="1">IFERROR(__xludf.DUMMYFUNCTION("""COMPUTED_VALUE"""),-0.610651325573775)</f>
        <v>-0.61065132557377499</v>
      </c>
      <c r="GH38" s="3">
        <f ca="1">IFERROR(__xludf.DUMMYFUNCTION("""COMPUTED_VALUE"""),-0.700490325276233)</f>
        <v>-0.70049032527623301</v>
      </c>
      <c r="GI38" s="3">
        <f ca="1">IFERROR(__xludf.DUMMYFUNCTION("""COMPUTED_VALUE"""),-0.645463391791127)</f>
        <v>-0.64546339179112699</v>
      </c>
      <c r="GJ38" s="3">
        <f ca="1">IFERROR(__xludf.DUMMYFUNCTION("""COMPUTED_VALUE"""),-0.628138747890563)</f>
        <v>-0.62813874789056301</v>
      </c>
      <c r="GK38" s="3">
        <f ca="1">IFERROR(__xludf.DUMMYFUNCTION("""COMPUTED_VALUE"""),-0.637902694374799)</f>
        <v>-0.63790269437479896</v>
      </c>
      <c r="GL38" s="3">
        <f ca="1">IFERROR(__xludf.DUMMYFUNCTION("""COMPUTED_VALUE"""),-0.599667194893651)</f>
        <v>-0.59966719489365095</v>
      </c>
      <c r="GM38" s="3">
        <f ca="1">IFERROR(__xludf.DUMMYFUNCTION("""COMPUTED_VALUE"""),-0.606485878950243)</f>
        <v>-0.60648587895024297</v>
      </c>
      <c r="GN38" s="3">
        <f ca="1">IFERROR(__xludf.DUMMYFUNCTION("""COMPUTED_VALUE"""),-0.568610380075472)</f>
        <v>-0.56861038007547204</v>
      </c>
      <c r="GO38" s="3">
        <f ca="1">IFERROR(__xludf.DUMMYFUNCTION("""COMPUTED_VALUE"""),-0.641124114381948)</f>
        <v>-0.64112411438194805</v>
      </c>
      <c r="GP38" s="3">
        <f ca="1">IFERROR(__xludf.DUMMYFUNCTION("""COMPUTED_VALUE"""),-0.630196412572716)</f>
        <v>-0.63019641257271597</v>
      </c>
      <c r="GQ38" s="3">
        <f ca="1">IFERROR(__xludf.DUMMYFUNCTION("""COMPUTED_VALUE"""),-0.594288739635364)</f>
        <v>-0.59428873963536399</v>
      </c>
      <c r="GR38" s="3">
        <f ca="1">IFERROR(__xludf.DUMMYFUNCTION("""COMPUTED_VALUE"""),-0.599769282277775)</f>
        <v>-0.59976928227777504</v>
      </c>
      <c r="GS38" s="3">
        <f ca="1">IFERROR(__xludf.DUMMYFUNCTION("""COMPUTED_VALUE"""),-0.600704452183197)</f>
        <v>-0.60070445218319701</v>
      </c>
      <c r="GT38" s="3">
        <f ca="1">IFERROR(__xludf.DUMMYFUNCTION("""COMPUTED_VALUE"""),-0.587876491499984)</f>
        <v>-0.587876491499984</v>
      </c>
      <c r="GU38" s="3">
        <f ca="1">IFERROR(__xludf.DUMMYFUNCTION("""COMPUTED_VALUE"""),-0.62532848203135)</f>
        <v>-0.62532848203135005</v>
      </c>
      <c r="GV38" s="3">
        <f ca="1">IFERROR(__xludf.DUMMYFUNCTION("""COMPUTED_VALUE"""),-0.655636819709371)</f>
        <v>-0.65563681970937104</v>
      </c>
      <c r="GW38" s="3">
        <f ca="1">IFERROR(__xludf.DUMMYFUNCTION("""COMPUTED_VALUE"""),-0.642022853000995)</f>
        <v>-0.64202285300099504</v>
      </c>
      <c r="GX38" s="3">
        <f ca="1">IFERROR(__xludf.DUMMYFUNCTION("""COMPUTED_VALUE"""),-0.581545951957998)</f>
        <v>-0.58154595195799796</v>
      </c>
      <c r="GY38" s="3">
        <f ca="1">IFERROR(__xludf.DUMMYFUNCTION("""COMPUTED_VALUE"""),-0.59322747424851)</f>
        <v>-0.59322747424850997</v>
      </c>
      <c r="GZ38" s="3">
        <f ca="1">IFERROR(__xludf.DUMMYFUNCTION("""COMPUTED_VALUE"""),-0.564780015063964)</f>
        <v>-0.56478001506396402</v>
      </c>
      <c r="HA38" s="3">
        <f ca="1">IFERROR(__xludf.DUMMYFUNCTION("""COMPUTED_VALUE"""),-0.563658714174201)</f>
        <v>-0.56365871417420099</v>
      </c>
      <c r="HB38" s="3">
        <f ca="1">IFERROR(__xludf.DUMMYFUNCTION("""COMPUTED_VALUE"""),-0.576430162500024)</f>
        <v>-0.57643016250002399</v>
      </c>
      <c r="HC38" s="3">
        <f ca="1">IFERROR(__xludf.DUMMYFUNCTION("""COMPUTED_VALUE"""),-0.630150989886863)</f>
        <v>-0.63015098988686302</v>
      </c>
      <c r="HD38" s="3">
        <f ca="1">IFERROR(__xludf.DUMMYFUNCTION("""COMPUTED_VALUE"""),-0.663604910946932)</f>
        <v>-0.66360491094693197</v>
      </c>
      <c r="HE38" s="3">
        <f ca="1">IFERROR(__xludf.DUMMYFUNCTION("""COMPUTED_VALUE"""),-0.634349252013625)</f>
        <v>-0.63434925201362502</v>
      </c>
      <c r="HF38" s="3">
        <f ca="1">IFERROR(__xludf.DUMMYFUNCTION("""COMPUTED_VALUE"""),-0.60639083550722)</f>
        <v>-0.60639083550721995</v>
      </c>
      <c r="HG38" s="3">
        <f ca="1">IFERROR(__xludf.DUMMYFUNCTION("""COMPUTED_VALUE"""),-0.57192714605052)</f>
        <v>-0.57192714605051997</v>
      </c>
      <c r="HH38" s="3">
        <f ca="1">IFERROR(__xludf.DUMMYFUNCTION("""COMPUTED_VALUE"""),-0.519811877809247)</f>
        <v>-0.51981187780924698</v>
      </c>
      <c r="HI38" s="3">
        <f ca="1">IFERROR(__xludf.DUMMYFUNCTION("""COMPUTED_VALUE"""),-0.593626489938416)</f>
        <v>-0.59362648993841605</v>
      </c>
      <c r="HJ38" s="3">
        <f ca="1">IFERROR(__xludf.DUMMYFUNCTION("""COMPUTED_VALUE"""),-0.630923879427885)</f>
        <v>-0.63092387942788497</v>
      </c>
      <c r="HK38" s="3">
        <f ca="1">IFERROR(__xludf.DUMMYFUNCTION("""COMPUTED_VALUE"""),-0.634166885659334)</f>
        <v>-0.63416688565933399</v>
      </c>
      <c r="HL38" s="3">
        <f ca="1">IFERROR(__xludf.DUMMYFUNCTION("""COMPUTED_VALUE"""),-0.601238152559361)</f>
        <v>-0.60123815255936097</v>
      </c>
      <c r="HM38" s="3">
        <f ca="1">IFERROR(__xludf.DUMMYFUNCTION("""COMPUTED_VALUE"""),-0.638601403993411)</f>
        <v>-0.63860140399341103</v>
      </c>
      <c r="HN38" s="3">
        <f ca="1">IFERROR(__xludf.DUMMYFUNCTION("""COMPUTED_VALUE"""),-0.670884943144093)</f>
        <v>-0.67088494314409297</v>
      </c>
      <c r="HO38" s="3">
        <f ca="1">IFERROR(__xludf.DUMMYFUNCTION("""COMPUTED_VALUE"""),-0.648799207775505)</f>
        <v>-0.64879920777550504</v>
      </c>
      <c r="HP38" s="3">
        <f ca="1">IFERROR(__xludf.DUMMYFUNCTION("""COMPUTED_VALUE"""),-0.570955070548466)</f>
        <v>-0.57095507054846595</v>
      </c>
      <c r="HQ38" s="3">
        <f ca="1">IFERROR(__xludf.DUMMYFUNCTION("""COMPUTED_VALUE"""),-0.610880894290429)</f>
        <v>-0.61088089429042902</v>
      </c>
      <c r="HR38" s="3">
        <f ca="1">IFERROR(__xludf.DUMMYFUNCTION("""COMPUTED_VALUE"""),-0.64835119700976)</f>
        <v>-0.64835119700975996</v>
      </c>
      <c r="HS38" s="3">
        <f ca="1">IFERROR(__xludf.DUMMYFUNCTION("""COMPUTED_VALUE"""),-0.680895355144404)</f>
        <v>-0.68089535514440402</v>
      </c>
      <c r="HT38" s="3">
        <f ca="1">IFERROR(__xludf.DUMMYFUNCTION("""COMPUTED_VALUE"""),-0.667268555410735)</f>
        <v>-0.66726855541073504</v>
      </c>
      <c r="HU38" s="3">
        <f ca="1">IFERROR(__xludf.DUMMYFUNCTION("""COMPUTED_VALUE"""),-0.667345584714512)</f>
        <v>-0.667345584714512</v>
      </c>
      <c r="HV38" s="3">
        <f ca="1">IFERROR(__xludf.DUMMYFUNCTION("""COMPUTED_VALUE"""),-0.659259667299476)</f>
        <v>-0.65925966729947605</v>
      </c>
      <c r="HW38" s="3">
        <f ca="1">IFERROR(__xludf.DUMMYFUNCTION("""COMPUTED_VALUE"""),-0.635679748446556)</f>
        <v>-0.63567974844655595</v>
      </c>
      <c r="HX38" s="3">
        <f ca="1">IFERROR(__xludf.DUMMYFUNCTION("""COMPUTED_VALUE"""),-0.64095800421316)</f>
        <v>-0.64095800421315996</v>
      </c>
      <c r="HY38" s="3">
        <f ca="1">IFERROR(__xludf.DUMMYFUNCTION("""COMPUTED_VALUE"""),-0.618549113982569)</f>
        <v>-0.61854911398256895</v>
      </c>
      <c r="HZ38" s="3">
        <f ca="1">IFERROR(__xludf.DUMMYFUNCTION("""COMPUTED_VALUE"""),-0.645349219788163)</f>
        <v>-0.64534921978816295</v>
      </c>
      <c r="IA38" s="3">
        <f ca="1">IFERROR(__xludf.DUMMYFUNCTION("""COMPUTED_VALUE"""),-0.629360155360706)</f>
        <v>-0.629360155360706</v>
      </c>
      <c r="IB38" s="3">
        <f ca="1">IFERROR(__xludf.DUMMYFUNCTION("""COMPUTED_VALUE"""),-0.643178651531804)</f>
        <v>-0.64317865153180398</v>
      </c>
      <c r="IC38" s="3">
        <f ca="1">IFERROR(__xludf.DUMMYFUNCTION("""COMPUTED_VALUE"""),-0.637886545756851)</f>
        <v>-0.637886545756851</v>
      </c>
      <c r="ID38" s="3">
        <f ca="1">IFERROR(__xludf.DUMMYFUNCTION("""COMPUTED_VALUE"""),-0.599726832924342)</f>
        <v>-0.59972683292434203</v>
      </c>
      <c r="IE38" s="3">
        <f ca="1">IFERROR(__xludf.DUMMYFUNCTION("""COMPUTED_VALUE"""),-0.650216022431237)</f>
        <v>-0.650216022431237</v>
      </c>
      <c r="IF38" s="3">
        <f ca="1">IFERROR(__xludf.DUMMYFUNCTION("""COMPUTED_VALUE"""),-0.665385603472519)</f>
        <v>-0.66538560347251896</v>
      </c>
      <c r="IG38" s="3">
        <f ca="1">IFERROR(__xludf.DUMMYFUNCTION("""COMPUTED_VALUE"""),-0.650136558878999)</f>
        <v>-0.65013655887899902</v>
      </c>
      <c r="IH38" s="3">
        <f ca="1">IFERROR(__xludf.DUMMYFUNCTION("""COMPUTED_VALUE"""),-0.638226686114116)</f>
        <v>-0.63822668611411604</v>
      </c>
      <c r="II38" s="3">
        <f ca="1">IFERROR(__xludf.DUMMYFUNCTION("""COMPUTED_VALUE"""),-0.655338897232525)</f>
        <v>-0.65533889723252503</v>
      </c>
      <c r="IJ38" s="3">
        <f ca="1">IFERROR(__xludf.DUMMYFUNCTION("""COMPUTED_VALUE"""),-0.663089121467074)</f>
        <v>-0.66308912146707399</v>
      </c>
      <c r="IK38" s="3">
        <f ca="1">IFERROR(__xludf.DUMMYFUNCTION("""COMPUTED_VALUE"""),-0.64572719082018)</f>
        <v>-0.64572719082018004</v>
      </c>
      <c r="IL38" s="3">
        <f ca="1">IFERROR(__xludf.DUMMYFUNCTION("""COMPUTED_VALUE"""),-0.633894452151845)</f>
        <v>-0.63389445215184503</v>
      </c>
      <c r="IM38" s="3">
        <f ca="1">IFERROR(__xludf.DUMMYFUNCTION("""COMPUTED_VALUE"""),-0.580002268329195)</f>
        <v>-0.58000226832919499</v>
      </c>
      <c r="IN38" s="3">
        <f ca="1">IFERROR(__xludf.DUMMYFUNCTION("""COMPUTED_VALUE"""),-0.622298290496872)</f>
        <v>-0.62229829049687202</v>
      </c>
      <c r="IO38" s="3">
        <f ca="1">IFERROR(__xludf.DUMMYFUNCTION("""COMPUTED_VALUE"""),-0.630374605518317)</f>
        <v>-0.63037460551831703</v>
      </c>
      <c r="IP38" s="3">
        <f ca="1">IFERROR(__xludf.DUMMYFUNCTION("""COMPUTED_VALUE"""),-0.551702239406911)</f>
        <v>-0.55170223940691099</v>
      </c>
      <c r="IQ38" s="3">
        <f ca="1">IFERROR(__xludf.DUMMYFUNCTION("""COMPUTED_VALUE"""),-0.586887419228349)</f>
        <v>-0.58688741922834897</v>
      </c>
      <c r="IR38" s="3">
        <f ca="1">IFERROR(__xludf.DUMMYFUNCTION("""COMPUTED_VALUE"""),-0.59401581225959)</f>
        <v>-0.59401581225958999</v>
      </c>
      <c r="IS38" s="3">
        <f ca="1">IFERROR(__xludf.DUMMYFUNCTION("""COMPUTED_VALUE"""),-0.637304932753996)</f>
        <v>-0.63730493275399602</v>
      </c>
      <c r="IT38" s="3">
        <f ca="1">IFERROR(__xludf.DUMMYFUNCTION("""COMPUTED_VALUE"""),-0.592057637286491)</f>
        <v>-0.59205763728649097</v>
      </c>
      <c r="IU38" s="3">
        <f ca="1">IFERROR(__xludf.DUMMYFUNCTION("""COMPUTED_VALUE"""),-0.580363231541965)</f>
        <v>-0.58036323154196501</v>
      </c>
      <c r="IV38" s="3">
        <f ca="1">IFERROR(__xludf.DUMMYFUNCTION("""COMPUTED_VALUE"""),-0.587797524824726)</f>
        <v>-0.58779752482472603</v>
      </c>
      <c r="IW38" s="3">
        <f ca="1">IFERROR(__xludf.DUMMYFUNCTION("""COMPUTED_VALUE"""),-0.632810283524241)</f>
        <v>-0.63281028352424096</v>
      </c>
      <c r="IX38" s="3">
        <f ca="1">IFERROR(__xludf.DUMMYFUNCTION("""COMPUTED_VALUE"""),-0.630235835829232)</f>
        <v>-0.63023583582923204</v>
      </c>
      <c r="IY38" s="3">
        <f ca="1">IFERROR(__xludf.DUMMYFUNCTION("""COMPUTED_VALUE"""),-0.641603357199009)</f>
        <v>-0.64160335719900896</v>
      </c>
      <c r="IZ38" s="3">
        <f ca="1">IFERROR(__xludf.DUMMYFUNCTION("""COMPUTED_VALUE"""),-0.590029254453544)</f>
        <v>-0.59002925445354404</v>
      </c>
      <c r="JA38" s="3">
        <f ca="1">IFERROR(__xludf.DUMMYFUNCTION("""COMPUTED_VALUE"""),-0.642379019053433)</f>
        <v>-0.64237901905343298</v>
      </c>
      <c r="JB38" s="3">
        <f ca="1">IFERROR(__xludf.DUMMYFUNCTION("""COMPUTED_VALUE"""),-0.641814165831405)</f>
        <v>-0.64181416583140505</v>
      </c>
      <c r="JC38" s="3">
        <f ca="1">IFERROR(__xludf.DUMMYFUNCTION("""COMPUTED_VALUE"""),-0.691968587519417)</f>
        <v>-0.69196858751941703</v>
      </c>
      <c r="JD38" s="3">
        <f ca="1">IFERROR(__xludf.DUMMYFUNCTION("""COMPUTED_VALUE"""),-0.674567605253183)</f>
        <v>-0.67456760525318304</v>
      </c>
      <c r="JE38" s="3">
        <f ca="1">IFERROR(__xludf.DUMMYFUNCTION("""COMPUTED_VALUE"""),-0.649462188170295)</f>
        <v>-0.649462188170295</v>
      </c>
      <c r="JF38" s="3">
        <f ca="1">IFERROR(__xludf.DUMMYFUNCTION("""COMPUTED_VALUE"""),-0.639630724347331)</f>
        <v>-0.63963072434733104</v>
      </c>
      <c r="JG38" s="3">
        <f ca="1">IFERROR(__xludf.DUMMYFUNCTION("""COMPUTED_VALUE"""),-0.636010656580343)</f>
        <v>-0.63601065658034295</v>
      </c>
      <c r="JH38" s="3">
        <f ca="1">IFERROR(__xludf.DUMMYFUNCTION("""COMPUTED_VALUE"""),-0.638411483671963)</f>
        <v>-0.63841148367196299</v>
      </c>
      <c r="JI38" s="3">
        <f ca="1">IFERROR(__xludf.DUMMYFUNCTION("""COMPUTED_VALUE"""),-0.604227515637921)</f>
        <v>-0.60422751563792099</v>
      </c>
      <c r="JJ38" s="3">
        <f ca="1">IFERROR(__xludf.DUMMYFUNCTION("""COMPUTED_VALUE"""),-0.708100396343735)</f>
        <v>-0.70810039634373501</v>
      </c>
      <c r="JK38" s="3">
        <f ca="1">IFERROR(__xludf.DUMMYFUNCTION("""COMPUTED_VALUE"""),-0.687819741367878)</f>
        <v>-0.68781974136787805</v>
      </c>
      <c r="JL38" s="3">
        <f ca="1">IFERROR(__xludf.DUMMYFUNCTION("""COMPUTED_VALUE"""),-0.703971821870844)</f>
        <v>-0.70397182187084395</v>
      </c>
      <c r="JM38" s="3">
        <f ca="1">IFERROR(__xludf.DUMMYFUNCTION("""COMPUTED_VALUE"""),-0.709826635816244)</f>
        <v>-0.70982663581624394</v>
      </c>
      <c r="JN38" s="3">
        <f ca="1">IFERROR(__xludf.DUMMYFUNCTION("""COMPUTED_VALUE"""),-0.641339203057415)</f>
        <v>-0.64133920305741499</v>
      </c>
      <c r="JO38" s="3">
        <f ca="1">IFERROR(__xludf.DUMMYFUNCTION("""COMPUTED_VALUE"""),-0.682480812308942)</f>
        <v>-0.68248081230894198</v>
      </c>
      <c r="JP38" s="3">
        <f ca="1">IFERROR(__xludf.DUMMYFUNCTION("""COMPUTED_VALUE"""),-0.726666862593611)</f>
        <v>-0.72666686259361102</v>
      </c>
      <c r="JQ38" s="3">
        <f ca="1">IFERROR(__xludf.DUMMYFUNCTION("""COMPUTED_VALUE"""),-0.719060412227227)</f>
        <v>-0.71906041222722705</v>
      </c>
      <c r="JR38" s="3">
        <f ca="1">IFERROR(__xludf.DUMMYFUNCTION("""COMPUTED_VALUE"""),-0.709834867315478)</f>
        <v>-0.70983486731547796</v>
      </c>
      <c r="JS38" s="3">
        <f ca="1">IFERROR(__xludf.DUMMYFUNCTION("""COMPUTED_VALUE"""),-0.749238305891342)</f>
        <v>-0.74923830589134199</v>
      </c>
      <c r="JT38" s="3">
        <f ca="1">IFERROR(__xludf.DUMMYFUNCTION("""COMPUTED_VALUE"""),-0.700609277194213)</f>
        <v>-0.70060927719421295</v>
      </c>
      <c r="JU38" s="3">
        <f ca="1">IFERROR(__xludf.DUMMYFUNCTION("""COMPUTED_VALUE"""),-0.71792194161699)</f>
        <v>-0.71792194161698997</v>
      </c>
      <c r="JV38" s="3">
        <f ca="1">IFERROR(__xludf.DUMMYFUNCTION("""COMPUTED_VALUE"""),-0.708425139447672)</f>
        <v>-0.70842513944767205</v>
      </c>
      <c r="JW38" s="3">
        <f ca="1">IFERROR(__xludf.DUMMYFUNCTION("""COMPUTED_VALUE"""),-0.730528245388668)</f>
        <v>-0.73052824538866801</v>
      </c>
      <c r="JX38" s="3">
        <f ca="1">IFERROR(__xludf.DUMMYFUNCTION("""COMPUTED_VALUE"""),-0.726858698492716)</f>
        <v>-0.726858698492716</v>
      </c>
      <c r="JY38" s="3">
        <f ca="1">IFERROR(__xludf.DUMMYFUNCTION("""COMPUTED_VALUE"""),-0.720968474538498)</f>
        <v>-0.72096847453849799</v>
      </c>
      <c r="JZ38" s="3">
        <f ca="1">IFERROR(__xludf.DUMMYFUNCTION("""COMPUTED_VALUE"""),-0.691772558676858)</f>
        <v>-0.69177255867685805</v>
      </c>
      <c r="KA38" s="3">
        <f ca="1">IFERROR(__xludf.DUMMYFUNCTION("""COMPUTED_VALUE"""),-0.70428103921511)</f>
        <v>-0.70428103921510998</v>
      </c>
      <c r="KB38" s="3">
        <f ca="1">IFERROR(__xludf.DUMMYFUNCTION("""COMPUTED_VALUE"""),-0.688066813670613)</f>
        <v>-0.68806681367061295</v>
      </c>
      <c r="KC38" s="3">
        <f ca="1">IFERROR(__xludf.DUMMYFUNCTION("""COMPUTED_VALUE"""),-0.757091111142529)</f>
        <v>-0.75709111114252903</v>
      </c>
      <c r="KD38" s="3">
        <f ca="1">IFERROR(__xludf.DUMMYFUNCTION("""COMPUTED_VALUE"""),-0.713895386509685)</f>
        <v>-0.71389538650968498</v>
      </c>
      <c r="KE38" s="3">
        <f ca="1">IFERROR(__xludf.DUMMYFUNCTION("""COMPUTED_VALUE"""),-0.733939453643698)</f>
        <v>-0.73393945364369795</v>
      </c>
      <c r="KF38" s="3">
        <f ca="1">IFERROR(__xludf.DUMMYFUNCTION("""COMPUTED_VALUE"""),-0.725046143806311)</f>
        <v>-0.72504614380631105</v>
      </c>
      <c r="KG38" s="3">
        <f ca="1">IFERROR(__xludf.DUMMYFUNCTION("""COMPUTED_VALUE"""),-0.710148906387319)</f>
        <v>-0.71014890638731898</v>
      </c>
      <c r="KH38" s="3">
        <f ca="1">IFERROR(__xludf.DUMMYFUNCTION("""COMPUTED_VALUE"""),-0.741533262268188)</f>
        <v>-0.74153326226818805</v>
      </c>
      <c r="KI38" s="3">
        <f ca="1">IFERROR(__xludf.DUMMYFUNCTION("""COMPUTED_VALUE"""),-0.730580610185413)</f>
        <v>-0.73058061018541298</v>
      </c>
      <c r="KJ38" s="3">
        <f ca="1">IFERROR(__xludf.DUMMYFUNCTION("""COMPUTED_VALUE"""),-0.726934988159656)</f>
        <v>-0.72693498815965596</v>
      </c>
      <c r="KK38" s="3">
        <f ca="1">IFERROR(__xludf.DUMMYFUNCTION("""COMPUTED_VALUE"""),-0.744135968517747)</f>
        <v>-0.74413596851774699</v>
      </c>
      <c r="KL38" s="3">
        <f ca="1">IFERROR(__xludf.DUMMYFUNCTION("""COMPUTED_VALUE"""),-0.730673103344037)</f>
        <v>-0.73067310334403701</v>
      </c>
      <c r="KM38" s="3">
        <f ca="1">IFERROR(__xludf.DUMMYFUNCTION("""COMPUTED_VALUE"""),-0.749421633038767)</f>
        <v>-0.74942163303876697</v>
      </c>
      <c r="KN38" s="3">
        <f ca="1">IFERROR(__xludf.DUMMYFUNCTION("""COMPUTED_VALUE"""),-0.707546717632902)</f>
        <v>-0.707546717632902</v>
      </c>
      <c r="KO38" s="3">
        <f ca="1">IFERROR(__xludf.DUMMYFUNCTION("""COMPUTED_VALUE"""),-0.74922709508279)</f>
        <v>-0.74922709508278995</v>
      </c>
      <c r="KP38" s="3">
        <f ca="1">IFERROR(__xludf.DUMMYFUNCTION("""COMPUTED_VALUE"""),-0.676686790640877)</f>
        <v>-0.676686790640877</v>
      </c>
      <c r="KQ38" s="3">
        <f ca="1">IFERROR(__xludf.DUMMYFUNCTION("""COMPUTED_VALUE"""),-0.758092558145747)</f>
        <v>-0.75809255814574705</v>
      </c>
      <c r="KR38" s="3">
        <f ca="1">IFERROR(__xludf.DUMMYFUNCTION("""COMPUTED_VALUE"""),-0.710424999019893)</f>
        <v>-0.71042499901989298</v>
      </c>
      <c r="KS38" s="3">
        <f ca="1">IFERROR(__xludf.DUMMYFUNCTION("""COMPUTED_VALUE"""),-0.788860556713084)</f>
        <v>-0.78886055671308397</v>
      </c>
      <c r="KT38" s="3">
        <f ca="1">IFERROR(__xludf.DUMMYFUNCTION("""COMPUTED_VALUE"""),-0.726231568711962)</f>
        <v>-0.72623156871196204</v>
      </c>
      <c r="KU38" s="3">
        <f ca="1">IFERROR(__xludf.DUMMYFUNCTION("""COMPUTED_VALUE"""),-0.705604952158637)</f>
        <v>-0.70560495215863706</v>
      </c>
      <c r="KV38" s="3">
        <f ca="1">IFERROR(__xludf.DUMMYFUNCTION("""COMPUTED_VALUE"""),-0.731747083511005)</f>
        <v>-0.73174708351100504</v>
      </c>
      <c r="KW38" s="3">
        <f ca="1">IFERROR(__xludf.DUMMYFUNCTION("""COMPUTED_VALUE"""),-0.740945813742858)</f>
        <v>-0.74094581374285795</v>
      </c>
      <c r="KX38" s="3">
        <f ca="1">IFERROR(__xludf.DUMMYFUNCTION("""COMPUTED_VALUE"""),-0.770057335732359)</f>
        <v>-0.77005733573235902</v>
      </c>
      <c r="KY38" s="3">
        <f ca="1">IFERROR(__xludf.DUMMYFUNCTION("""COMPUTED_VALUE"""),-0.726358699729567)</f>
        <v>-0.72635869972956701</v>
      </c>
      <c r="KZ38" s="3">
        <f ca="1">IFERROR(__xludf.DUMMYFUNCTION("""COMPUTED_VALUE"""),-0.677376162480334)</f>
        <v>-0.67737616248033405</v>
      </c>
      <c r="LA38" s="3">
        <f ca="1">IFERROR(__xludf.DUMMYFUNCTION("""COMPUTED_VALUE"""),-0.731511363889889)</f>
        <v>-0.73151136388988902</v>
      </c>
      <c r="LB38" s="3">
        <f ca="1">IFERROR(__xludf.DUMMYFUNCTION("""COMPUTED_VALUE"""),-0.644983519886365)</f>
        <v>-0.64498351988636504</v>
      </c>
      <c r="LC38" s="3">
        <f ca="1">IFERROR(__xludf.DUMMYFUNCTION("""COMPUTED_VALUE"""),-0.709199057832483)</f>
        <v>-0.70919905783248305</v>
      </c>
      <c r="LD38" s="3">
        <f ca="1">IFERROR(__xludf.DUMMYFUNCTION("""COMPUTED_VALUE"""),-0.788492491339394)</f>
        <v>-0.78849249133939403</v>
      </c>
      <c r="LE38" s="3">
        <f ca="1">IFERROR(__xludf.DUMMYFUNCTION("""COMPUTED_VALUE"""),-0.745602634760405)</f>
        <v>-0.745602634760405</v>
      </c>
      <c r="LF38" s="3">
        <f ca="1">IFERROR(__xludf.DUMMYFUNCTION("""COMPUTED_VALUE"""),-0.738582417197799)</f>
        <v>-0.73858241719779905</v>
      </c>
      <c r="LG38" s="3">
        <f ca="1">IFERROR(__xludf.DUMMYFUNCTION("""COMPUTED_VALUE"""),-0.719477989193443)</f>
        <v>-0.71947798919344297</v>
      </c>
      <c r="LH38" s="3">
        <f ca="1">IFERROR(__xludf.DUMMYFUNCTION("""COMPUTED_VALUE"""),-0.725339002881455)</f>
        <v>-0.72533900288145503</v>
      </c>
      <c r="LI38" s="3">
        <f ca="1">IFERROR(__xludf.DUMMYFUNCTION("""COMPUTED_VALUE"""),-0.734483210399785)</f>
        <v>-0.73448321039978504</v>
      </c>
      <c r="LJ38" s="3">
        <f ca="1">IFERROR(__xludf.DUMMYFUNCTION("""COMPUTED_VALUE"""),-0.74568669800982)</f>
        <v>-0.74568669800982001</v>
      </c>
      <c r="LK38" s="3">
        <f ca="1">IFERROR(__xludf.DUMMYFUNCTION("""COMPUTED_VALUE"""),-0.791113553478878)</f>
        <v>-0.79111355347887802</v>
      </c>
      <c r="LL38" s="3">
        <f ca="1">IFERROR(__xludf.DUMMYFUNCTION("""COMPUTED_VALUE"""),-0.758335800523097)</f>
        <v>-0.75833580052309701</v>
      </c>
      <c r="LM38" s="3">
        <f ca="1">IFERROR(__xludf.DUMMYFUNCTION("""COMPUTED_VALUE"""),-0.778736648326896)</f>
        <v>-0.77873664832689604</v>
      </c>
      <c r="LN38" s="3">
        <f ca="1">IFERROR(__xludf.DUMMYFUNCTION("""COMPUTED_VALUE"""),-0.784548088458057)</f>
        <v>-0.78454808845805701</v>
      </c>
      <c r="LO38" s="3">
        <f ca="1">IFERROR(__xludf.DUMMYFUNCTION("""COMPUTED_VALUE"""),-0.78293136696056)</f>
        <v>-0.78293136696055998</v>
      </c>
      <c r="LP38" s="3">
        <f ca="1">IFERROR(__xludf.DUMMYFUNCTION("""COMPUTED_VALUE"""),-0.763253047982411)</f>
        <v>-0.763253047982411</v>
      </c>
      <c r="LQ38" s="3">
        <f ca="1">IFERROR(__xludf.DUMMYFUNCTION("""COMPUTED_VALUE"""),-0.760977292230822)</f>
        <v>-0.760977292230822</v>
      </c>
      <c r="LR38" s="3">
        <f ca="1">IFERROR(__xludf.DUMMYFUNCTION("""COMPUTED_VALUE"""),-0.76067296058218)</f>
        <v>-0.76067296058218004</v>
      </c>
      <c r="LS38" s="3">
        <f ca="1">IFERROR(__xludf.DUMMYFUNCTION("""COMPUTED_VALUE"""),-0.82850696089855)</f>
        <v>-0.82850696089855003</v>
      </c>
      <c r="LT38" s="3">
        <f ca="1">IFERROR(__xludf.DUMMYFUNCTION("""COMPUTED_VALUE"""),-0.760433800492841)</f>
        <v>-0.76043380049284104</v>
      </c>
      <c r="LU38" s="3">
        <f ca="1">IFERROR(__xludf.DUMMYFUNCTION("""COMPUTED_VALUE"""),-0.746294173662297)</f>
        <v>-0.746294173662297</v>
      </c>
      <c r="LV38" s="3">
        <f ca="1">IFERROR(__xludf.DUMMYFUNCTION("""COMPUTED_VALUE"""),-0.805652100623301)</f>
        <v>-0.80565210062330095</v>
      </c>
      <c r="LW38" s="3">
        <f ca="1">IFERROR(__xludf.DUMMYFUNCTION("""COMPUTED_VALUE"""),-0.794319130261278)</f>
        <v>-0.79431913026127798</v>
      </c>
      <c r="LX38" s="3">
        <f ca="1">IFERROR(__xludf.DUMMYFUNCTION("""COMPUTED_VALUE"""),-0.679874699039464)</f>
        <v>-0.67987469903946396</v>
      </c>
      <c r="LY38" s="3">
        <f ca="1">IFERROR(__xludf.DUMMYFUNCTION("""COMPUTED_VALUE"""),-0.754804508560003)</f>
        <v>-0.75480450856000303</v>
      </c>
      <c r="LZ38" s="3">
        <f ca="1">IFERROR(__xludf.DUMMYFUNCTION("""COMPUTED_VALUE"""),-0.799534160716373)</f>
        <v>-0.79953416071637295</v>
      </c>
      <c r="MA38" s="3">
        <f ca="1">IFERROR(__xludf.DUMMYFUNCTION("""COMPUTED_VALUE"""),-0.790289133193347)</f>
        <v>-0.79028913319334704</v>
      </c>
      <c r="MB38" s="3">
        <f ca="1">IFERROR(__xludf.DUMMYFUNCTION("""COMPUTED_VALUE"""),-0.780803188606472)</f>
        <v>-0.78080318860647202</v>
      </c>
      <c r="MC38" s="3">
        <f ca="1">IFERROR(__xludf.DUMMYFUNCTION("""COMPUTED_VALUE"""),-0.774846861999921)</f>
        <v>-0.77484686199992103</v>
      </c>
      <c r="MD38" s="3">
        <f ca="1">IFERROR(__xludf.DUMMYFUNCTION("""COMPUTED_VALUE"""),-0.788707508998769)</f>
        <v>-0.78870750899876896</v>
      </c>
      <c r="ME38" s="3">
        <f ca="1">IFERROR(__xludf.DUMMYFUNCTION("""COMPUTED_VALUE"""),-0.768050580282975)</f>
        <v>-0.76805058028297502</v>
      </c>
      <c r="MF38" s="3">
        <f ca="1">IFERROR(__xludf.DUMMYFUNCTION("""COMPUTED_VALUE"""),-0.801830191864443)</f>
        <v>-0.80183019186444304</v>
      </c>
      <c r="MG38" s="3">
        <f ca="1">IFERROR(__xludf.DUMMYFUNCTION("""COMPUTED_VALUE"""),-0.758916922544897)</f>
        <v>-0.75891692254489695</v>
      </c>
      <c r="MH38" s="3">
        <f ca="1">IFERROR(__xludf.DUMMYFUNCTION("""COMPUTED_VALUE"""),-0.774456719825869)</f>
        <v>-0.77445671982586906</v>
      </c>
      <c r="MI38" s="3">
        <f ca="1">IFERROR(__xludf.DUMMYFUNCTION("""COMPUTED_VALUE"""),-0.760509747951267)</f>
        <v>-0.76050974795126702</v>
      </c>
      <c r="MJ38" s="3">
        <f ca="1">IFERROR(__xludf.DUMMYFUNCTION("""COMPUTED_VALUE"""),-0.746483638738595)</f>
        <v>-0.74648363873859502</v>
      </c>
      <c r="MK38" s="3">
        <f ca="1">IFERROR(__xludf.DUMMYFUNCTION("""COMPUTED_VALUE"""),-0.728696133524544)</f>
        <v>-0.72869613352454399</v>
      </c>
      <c r="ML38" s="3">
        <f ca="1">IFERROR(__xludf.DUMMYFUNCTION("""COMPUTED_VALUE"""),-0.743346003119997)</f>
        <v>-0.74334600311999699</v>
      </c>
      <c r="MM38" s="3">
        <f ca="1">IFERROR(__xludf.DUMMYFUNCTION("""COMPUTED_VALUE"""),-0.796163584280731)</f>
        <v>-0.79616358428073097</v>
      </c>
      <c r="MN38" s="3">
        <f ca="1">IFERROR(__xludf.DUMMYFUNCTION("""COMPUTED_VALUE"""),-0.794761623156244)</f>
        <v>-0.79476162315624399</v>
      </c>
      <c r="MO38" s="3">
        <f ca="1">IFERROR(__xludf.DUMMYFUNCTION("""COMPUTED_VALUE"""),-0.763597937773629)</f>
        <v>-0.76359793777362905</v>
      </c>
      <c r="MP38" s="3">
        <f ca="1">IFERROR(__xludf.DUMMYFUNCTION("""COMPUTED_VALUE"""),-0.774193876629363)</f>
        <v>-0.77419387662936301</v>
      </c>
      <c r="MQ38" s="3">
        <f ca="1">IFERROR(__xludf.DUMMYFUNCTION("""COMPUTED_VALUE"""),-0.767637489807048)</f>
        <v>-0.76763748980704805</v>
      </c>
      <c r="MR38" s="3">
        <f ca="1">IFERROR(__xludf.DUMMYFUNCTION("""COMPUTED_VALUE"""),-0.836877308331554)</f>
        <v>-0.83687730833155405</v>
      </c>
      <c r="MS38" s="3">
        <f ca="1">IFERROR(__xludf.DUMMYFUNCTION("""COMPUTED_VALUE"""),-0.758554619643079)</f>
        <v>-0.75855461964307902</v>
      </c>
      <c r="MT38" s="3">
        <f ca="1">IFERROR(__xludf.DUMMYFUNCTION("""COMPUTED_VALUE"""),-0.778061367319399)</f>
        <v>-0.77806136731939901</v>
      </c>
      <c r="MU38" s="3">
        <f ca="1">IFERROR(__xludf.DUMMYFUNCTION("""COMPUTED_VALUE"""),-0.804064902875264)</f>
        <v>-0.804064902875264</v>
      </c>
      <c r="MV38" s="3">
        <f ca="1">IFERROR(__xludf.DUMMYFUNCTION("""COMPUTED_VALUE"""),-0.765687709781715)</f>
        <v>-0.76568770978171496</v>
      </c>
      <c r="MW38" s="3">
        <f ca="1">IFERROR(__xludf.DUMMYFUNCTION("""COMPUTED_VALUE"""),-0.758201089139998)</f>
        <v>-0.75820108913999795</v>
      </c>
      <c r="MX38" s="3">
        <f ca="1">IFERROR(__xludf.DUMMYFUNCTION("""COMPUTED_VALUE"""),-0.782211682697081)</f>
        <v>-0.78221168269708097</v>
      </c>
      <c r="MY38" s="3">
        <f ca="1">IFERROR(__xludf.DUMMYFUNCTION("""COMPUTED_VALUE"""),-0.804387380747996)</f>
        <v>-0.80438738074799598</v>
      </c>
      <c r="MZ38" s="3">
        <f ca="1">IFERROR(__xludf.DUMMYFUNCTION("""COMPUTED_VALUE"""),-0.803569561126207)</f>
        <v>-0.80356956112620703</v>
      </c>
      <c r="NA38" s="3">
        <f ca="1">IFERROR(__xludf.DUMMYFUNCTION("""COMPUTED_VALUE"""),-0.78774190436888)</f>
        <v>-0.78774190436888003</v>
      </c>
      <c r="NB38" s="3">
        <f ca="1">IFERROR(__xludf.DUMMYFUNCTION("""COMPUTED_VALUE"""),-0.793711145025122)</f>
        <v>-0.79371114502512197</v>
      </c>
      <c r="NC38" s="3">
        <f ca="1">IFERROR(__xludf.DUMMYFUNCTION("""COMPUTED_VALUE"""),-0.753821617956281)</f>
        <v>-0.753821617956281</v>
      </c>
      <c r="ND38" s="3">
        <f ca="1">IFERROR(__xludf.DUMMYFUNCTION("""COMPUTED_VALUE"""),-0.763445014037327)</f>
        <v>-0.76344501403732701</v>
      </c>
      <c r="NE38" s="3">
        <f ca="1">IFERROR(__xludf.DUMMYFUNCTION("""COMPUTED_VALUE"""),-0.806743168378944)</f>
        <v>-0.806743168378944</v>
      </c>
      <c r="NF38" s="3">
        <f ca="1">IFERROR(__xludf.DUMMYFUNCTION("""COMPUTED_VALUE"""),-0.621580411859024)</f>
        <v>-0.62158041185902402</v>
      </c>
      <c r="NG38" s="3">
        <f ca="1">IFERROR(__xludf.DUMMYFUNCTION("""COMPUTED_VALUE"""),-0.64876803126915)</f>
        <v>-0.64876803126914995</v>
      </c>
      <c r="NH38" s="3">
        <f ca="1">IFERROR(__xludf.DUMMYFUNCTION("""COMPUTED_VALUE"""),-0.645493933618203)</f>
        <v>-0.64549393361820295</v>
      </c>
      <c r="NI38" s="3">
        <f ca="1">IFERROR(__xludf.DUMMYFUNCTION("""COMPUTED_VALUE"""),-0.729523686459003)</f>
        <v>-0.72952368645900301</v>
      </c>
      <c r="NJ38" s="3">
        <f ca="1">IFERROR(__xludf.DUMMYFUNCTION("""COMPUTED_VALUE"""),-0.746519162367505)</f>
        <v>-0.74651916236750504</v>
      </c>
      <c r="NK38" s="3">
        <f ca="1">IFERROR(__xludf.DUMMYFUNCTION("""COMPUTED_VALUE"""),-0.79459888124734)</f>
        <v>-0.79459888124734002</v>
      </c>
      <c r="NL38" s="3">
        <f ca="1">IFERROR(__xludf.DUMMYFUNCTION("""COMPUTED_VALUE"""),-0.788103015093813)</f>
        <v>-0.78810301509381298</v>
      </c>
      <c r="NM38" s="3">
        <f ca="1">IFERROR(__xludf.DUMMYFUNCTION("""COMPUTED_VALUE"""),-0.815177177093648)</f>
        <v>-0.81517717709364801</v>
      </c>
      <c r="NN38" s="3">
        <f ca="1">IFERROR(__xludf.DUMMYFUNCTION("""COMPUTED_VALUE"""),-0.786387954295968)</f>
        <v>-0.78638795429596797</v>
      </c>
      <c r="NO38" s="3">
        <f ca="1">IFERROR(__xludf.DUMMYFUNCTION("""COMPUTED_VALUE"""),-0.812008074985551)</f>
        <v>-0.81200807498555105</v>
      </c>
      <c r="NP38" s="3">
        <f ca="1">IFERROR(__xludf.DUMMYFUNCTION("""COMPUTED_VALUE"""),-0.785474230484402)</f>
        <v>-0.78547423048440201</v>
      </c>
      <c r="NQ38" s="3">
        <f ca="1">IFERROR(__xludf.DUMMYFUNCTION("""COMPUTED_VALUE"""),-0.803293764900299)</f>
        <v>-0.80329376490029902</v>
      </c>
      <c r="NR38" s="3">
        <f ca="1">IFERROR(__xludf.DUMMYFUNCTION("""COMPUTED_VALUE"""),-0.764458133649162)</f>
        <v>-0.76445813364916204</v>
      </c>
      <c r="NS38" s="3">
        <f ca="1">IFERROR(__xludf.DUMMYFUNCTION("""COMPUTED_VALUE"""),-0.755976084969801)</f>
        <v>-0.75597608496980095</v>
      </c>
      <c r="NT38" s="3">
        <f ca="1">IFERROR(__xludf.DUMMYFUNCTION("""COMPUTED_VALUE"""),-0.683373467792619)</f>
        <v>-0.68337346779261898</v>
      </c>
      <c r="NU38" s="3">
        <f ca="1">IFERROR(__xludf.DUMMYFUNCTION("""COMPUTED_VALUE"""),-0.630277218333797)</f>
        <v>-0.63027721833379702</v>
      </c>
      <c r="NV38" s="3">
        <f ca="1">IFERROR(__xludf.DUMMYFUNCTION("""COMPUTED_VALUE"""),-0.670945771967371)</f>
        <v>-0.67094577196737104</v>
      </c>
      <c r="NW38" s="3">
        <f ca="1">IFERROR(__xludf.DUMMYFUNCTION("""COMPUTED_VALUE"""),-0.583811233346293)</f>
        <v>-0.58381123334629303</v>
      </c>
      <c r="NX38" s="3">
        <f ca="1">IFERROR(__xludf.DUMMYFUNCTION("""COMPUTED_VALUE"""),-0.599660137414465)</f>
        <v>-0.599660137414465</v>
      </c>
      <c r="NY38" s="3">
        <f ca="1">IFERROR(__xludf.DUMMYFUNCTION("""COMPUTED_VALUE"""),-0.54760358239014)</f>
        <v>-0.54760358239013995</v>
      </c>
      <c r="NZ38" s="3">
        <f ca="1">IFERROR(__xludf.DUMMYFUNCTION("""COMPUTED_VALUE"""),-0.496125666018791)</f>
        <v>-0.49612566601879099</v>
      </c>
      <c r="OA38" s="3">
        <f ca="1">IFERROR(__xludf.DUMMYFUNCTION("""COMPUTED_VALUE"""),-0.451069164673644)</f>
        <v>-0.451069164673644</v>
      </c>
      <c r="OB38" s="3">
        <f ca="1">IFERROR(__xludf.DUMMYFUNCTION("""COMPUTED_VALUE"""),-0.379494060206157)</f>
        <v>-0.379494060206157</v>
      </c>
      <c r="OC38" s="3">
        <f ca="1">IFERROR(__xludf.DUMMYFUNCTION("""COMPUTED_VALUE"""),-0.36854108268773)</f>
        <v>-0.36854108268773</v>
      </c>
      <c r="OD38" s="3">
        <f ca="1">IFERROR(__xludf.DUMMYFUNCTION("""COMPUTED_VALUE"""),-0.313750582574825)</f>
        <v>-0.31375058257482502</v>
      </c>
      <c r="OE38" s="3">
        <f ca="1">IFERROR(__xludf.DUMMYFUNCTION("""COMPUTED_VALUE"""),-0.337674473471664)</f>
        <v>-0.33767447347166402</v>
      </c>
      <c r="OF38" s="3">
        <f ca="1">IFERROR(__xludf.DUMMYFUNCTION("""COMPUTED_VALUE"""),-0.192052557801713)</f>
        <v>-0.19205255780171299</v>
      </c>
      <c r="OG38" s="3">
        <f ca="1">IFERROR(__xludf.DUMMYFUNCTION("""COMPUTED_VALUE"""),-0.202344735939524)</f>
        <v>-0.20234473593952401</v>
      </c>
      <c r="OH38" s="3">
        <f ca="1">IFERROR(__xludf.DUMMYFUNCTION("""COMPUTED_VALUE"""),-0.189270893786683)</f>
        <v>-0.18927089378668299</v>
      </c>
      <c r="OI38" s="3">
        <f ca="1">IFERROR(__xludf.DUMMYFUNCTION("""COMPUTED_VALUE"""),-0.197452579897392)</f>
        <v>-0.19745257989739201</v>
      </c>
      <c r="OJ38" s="3">
        <f ca="1">IFERROR(__xludf.DUMMYFUNCTION("""COMPUTED_VALUE"""),-0.0742626508336983)</f>
        <v>-7.4262650833698304E-2</v>
      </c>
      <c r="OK38" s="3">
        <f ca="1">IFERROR(__xludf.DUMMYFUNCTION("""COMPUTED_VALUE"""),-0.0580248990726698)</f>
        <v>-5.8024899072669799E-2</v>
      </c>
      <c r="OL38" s="3">
        <f ca="1">IFERROR(__xludf.DUMMYFUNCTION("""COMPUTED_VALUE"""),-0.115859646796713)</f>
        <v>-0.115859646796713</v>
      </c>
      <c r="OM38" s="3">
        <f ca="1">IFERROR(__xludf.DUMMYFUNCTION("""COMPUTED_VALUE"""),-0.0451569443419223)</f>
        <v>-4.51569443419223E-2</v>
      </c>
      <c r="ON38" s="3">
        <f ca="1">IFERROR(__xludf.DUMMYFUNCTION("""COMPUTED_VALUE"""),-0.0697558613986831)</f>
        <v>-6.9755861398683103E-2</v>
      </c>
      <c r="OO38" s="3">
        <f ca="1">IFERROR(__xludf.DUMMYFUNCTION("""COMPUTED_VALUE"""),-0.147816638713425)</f>
        <v>-0.14781663871342501</v>
      </c>
      <c r="OP38" s="3">
        <f ca="1">IFERROR(__xludf.DUMMYFUNCTION("""COMPUTED_VALUE"""),-0.202362474034325)</f>
        <v>-0.202362474034325</v>
      </c>
      <c r="OQ38" s="3">
        <f ca="1">IFERROR(__xludf.DUMMYFUNCTION("""COMPUTED_VALUE"""),-0.124776219903256)</f>
        <v>-0.12477621990325601</v>
      </c>
      <c r="OR38" s="3">
        <f ca="1">IFERROR(__xludf.DUMMYFUNCTION("""COMPUTED_VALUE"""),-0.125094755426995)</f>
        <v>-0.125094755426995</v>
      </c>
      <c r="OS38" s="3">
        <f ca="1">IFERROR(__xludf.DUMMYFUNCTION("""COMPUTED_VALUE"""),-0.132308320324972)</f>
        <v>-0.132308320324972</v>
      </c>
      <c r="OT38" s="3">
        <f ca="1">IFERROR(__xludf.DUMMYFUNCTION("""COMPUTED_VALUE"""),0.0185882263319574)</f>
        <v>1.8588226331957398E-2</v>
      </c>
      <c r="OU38" s="3">
        <f ca="1">IFERROR(__xludf.DUMMYFUNCTION("""COMPUTED_VALUE"""),0.0724512571857525)</f>
        <v>7.2451257185752502E-2</v>
      </c>
      <c r="OV38" s="3">
        <f ca="1">IFERROR(__xludf.DUMMYFUNCTION("""COMPUTED_VALUE"""),-0.0883442863491758)</f>
        <v>-8.8344286349175793E-2</v>
      </c>
      <c r="OW38" s="3">
        <f ca="1">IFERROR(__xludf.DUMMYFUNCTION("""COMPUTED_VALUE"""),-0.0891248154819106)</f>
        <v>-8.9124815481910605E-2</v>
      </c>
      <c r="OX38" s="3">
        <f ca="1">IFERROR(__xludf.DUMMYFUNCTION("""COMPUTED_VALUE"""),0.0743271351558561)</f>
        <v>7.4327135155856094E-2</v>
      </c>
      <c r="OY38" s="3">
        <f ca="1">IFERROR(__xludf.DUMMYFUNCTION("""COMPUTED_VALUE"""),0.133168849471727)</f>
        <v>0.133168849471727</v>
      </c>
      <c r="OZ38" s="3">
        <f ca="1">IFERROR(__xludf.DUMMYFUNCTION("""COMPUTED_VALUE"""),0.0343274746295791)</f>
        <v>3.4327474629579101E-2</v>
      </c>
      <c r="PA38" s="3">
        <f ca="1">IFERROR(__xludf.DUMMYFUNCTION("""COMPUTED_VALUE"""),-0.0832664517182386)</f>
        <v>-8.3266451718238599E-2</v>
      </c>
      <c r="PB38" s="3">
        <f ca="1">IFERROR(__xludf.DUMMYFUNCTION("""COMPUTED_VALUE"""),-0.0465401786164557)</f>
        <v>-4.65401786164557E-2</v>
      </c>
      <c r="PC38" s="3">
        <f ca="1">IFERROR(__xludf.DUMMYFUNCTION("""COMPUTED_VALUE"""),-0.0434154930028731)</f>
        <v>-4.3415493002873097E-2</v>
      </c>
      <c r="PD38" s="3">
        <f ca="1">IFERROR(__xludf.DUMMYFUNCTION("""COMPUTED_VALUE"""),0.0645244093653991)</f>
        <v>6.4524409365399105E-2</v>
      </c>
      <c r="PE38" s="3">
        <f ca="1">IFERROR(__xludf.DUMMYFUNCTION("""COMPUTED_VALUE"""),0.15341326607616)</f>
        <v>0.15341326607615999</v>
      </c>
      <c r="PF38" s="3">
        <f ca="1">IFERROR(__xludf.DUMMYFUNCTION("""COMPUTED_VALUE"""),0.221832770183782)</f>
        <v>0.221832770183782</v>
      </c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</row>
    <row r="39" spans="1:594" ht="15.75" customHeight="1">
      <c r="A39" s="1" t="str">
        <f ca="1">IFERROR(__xludf.DUMMYFUNCTION("""COMPUTED_VALUE"""),"Louisville")</f>
        <v>Louisville</v>
      </c>
      <c r="B39" s="3">
        <f ca="1">IFERROR(__xludf.DUMMYFUNCTION("""COMPUTED_VALUE"""),-0.595885909154487)</f>
        <v>-0.59588590915448703</v>
      </c>
      <c r="C39" s="3">
        <f ca="1">IFERROR(__xludf.DUMMYFUNCTION("""COMPUTED_VALUE"""),-0.529376584985031)</f>
        <v>-0.52937658498503104</v>
      </c>
      <c r="D39" s="3">
        <f ca="1">IFERROR(__xludf.DUMMYFUNCTION("""COMPUTED_VALUE"""),-0.559086836481008)</f>
        <v>-0.55908683648100799</v>
      </c>
      <c r="E39" s="3">
        <f ca="1">IFERROR(__xludf.DUMMYFUNCTION("""COMPUTED_VALUE"""),-0.587217970828104)</f>
        <v>-0.58721797082810401</v>
      </c>
      <c r="F39" s="3">
        <f ca="1">IFERROR(__xludf.DUMMYFUNCTION("""COMPUTED_VALUE"""),-0.558637232328464)</f>
        <v>-0.55863723232846396</v>
      </c>
      <c r="G39" s="3">
        <f ca="1">IFERROR(__xludf.DUMMYFUNCTION("""COMPUTED_VALUE"""),-0.516827982593138)</f>
        <v>-0.516827982593138</v>
      </c>
      <c r="H39" s="3">
        <f ca="1">IFERROR(__xludf.DUMMYFUNCTION("""COMPUTED_VALUE"""),-0.474528930756965)</f>
        <v>-0.47452893075696501</v>
      </c>
      <c r="I39" s="3">
        <f ca="1">IFERROR(__xludf.DUMMYFUNCTION("""COMPUTED_VALUE"""),-0.47714409994785)</f>
        <v>-0.47714409994785001</v>
      </c>
      <c r="J39" s="3">
        <f ca="1">IFERROR(__xludf.DUMMYFUNCTION("""COMPUTED_VALUE"""),-0.577965269638107)</f>
        <v>-0.57796526963810702</v>
      </c>
      <c r="K39" s="3">
        <f ca="1">IFERROR(__xludf.DUMMYFUNCTION("""COMPUTED_VALUE"""),-0.601830953046569)</f>
        <v>-0.60183095304656897</v>
      </c>
      <c r="L39" s="3">
        <f ca="1">IFERROR(__xludf.DUMMYFUNCTION("""COMPUTED_VALUE"""),-0.610335009572951)</f>
        <v>-0.61033500957295095</v>
      </c>
      <c r="M39" s="3">
        <f ca="1">IFERROR(__xludf.DUMMYFUNCTION("""COMPUTED_VALUE"""),-0.584676305719245)</f>
        <v>-0.584676305719245</v>
      </c>
      <c r="N39" s="3">
        <f ca="1">IFERROR(__xludf.DUMMYFUNCTION("""COMPUTED_VALUE"""),-0.554272996495268)</f>
        <v>-0.55427299649526796</v>
      </c>
      <c r="O39" s="3">
        <f ca="1">IFERROR(__xludf.DUMMYFUNCTION("""COMPUTED_VALUE"""),-0.493684829542403)</f>
        <v>-0.493684829542403</v>
      </c>
      <c r="P39" s="3">
        <f ca="1">IFERROR(__xludf.DUMMYFUNCTION("""COMPUTED_VALUE"""),-0.498869275425812)</f>
        <v>-0.498869275425812</v>
      </c>
      <c r="Q39" s="3">
        <f ca="1">IFERROR(__xludf.DUMMYFUNCTION("""COMPUTED_VALUE"""),-0.535525424963481)</f>
        <v>-0.53552542496348099</v>
      </c>
      <c r="R39" s="3">
        <f ca="1">IFERROR(__xludf.DUMMYFUNCTION("""COMPUTED_VALUE"""),-0.606629664106416)</f>
        <v>-0.60662966410641594</v>
      </c>
      <c r="S39" s="3">
        <f ca="1">IFERROR(__xludf.DUMMYFUNCTION("""COMPUTED_VALUE"""),-0.587282227706441)</f>
        <v>-0.58728222770644101</v>
      </c>
      <c r="T39" s="3">
        <f ca="1">IFERROR(__xludf.DUMMYFUNCTION("""COMPUTED_VALUE"""),-0.580398793086657)</f>
        <v>-0.58039879308665698</v>
      </c>
      <c r="U39" s="3">
        <f ca="1">IFERROR(__xludf.DUMMYFUNCTION("""COMPUTED_VALUE"""),-0.532517582464505)</f>
        <v>-0.53251758246450498</v>
      </c>
      <c r="V39" s="3">
        <f ca="1">IFERROR(__xludf.DUMMYFUNCTION("""COMPUTED_VALUE"""),-0.474233888917797)</f>
        <v>-0.474233888917797</v>
      </c>
      <c r="W39" s="3">
        <f ca="1">IFERROR(__xludf.DUMMYFUNCTION("""COMPUTED_VALUE"""),-0.50172029490151)</f>
        <v>-0.50172029490151004</v>
      </c>
      <c r="X39" s="3">
        <f ca="1">IFERROR(__xludf.DUMMYFUNCTION("""COMPUTED_VALUE"""),-0.558954402146423)</f>
        <v>-0.558954402146423</v>
      </c>
      <c r="Y39" s="3">
        <f ca="1">IFERROR(__xludf.DUMMYFUNCTION("""COMPUTED_VALUE"""),-0.558145278070841)</f>
        <v>-0.55814527807084102</v>
      </c>
      <c r="Z39" s="3">
        <f ca="1">IFERROR(__xludf.DUMMYFUNCTION("""COMPUTED_VALUE"""),-0.556159513026249)</f>
        <v>-0.556159513026249</v>
      </c>
      <c r="AA39" s="3">
        <f ca="1">IFERROR(__xludf.DUMMYFUNCTION("""COMPUTED_VALUE"""),-0.587119717068706)</f>
        <v>-0.58711971706870603</v>
      </c>
      <c r="AB39" s="3">
        <f ca="1">IFERROR(__xludf.DUMMYFUNCTION("""COMPUTED_VALUE"""),-0.584888343569457)</f>
        <v>-0.58488834356945696</v>
      </c>
      <c r="AC39" s="3">
        <f ca="1">IFERROR(__xludf.DUMMYFUNCTION("""COMPUTED_VALUE"""),-0.527288148720046)</f>
        <v>-0.52728814872004603</v>
      </c>
      <c r="AD39" s="3">
        <f ca="1">IFERROR(__xludf.DUMMYFUNCTION("""COMPUTED_VALUE"""),-0.468640793202469)</f>
        <v>-0.46864079320246899</v>
      </c>
      <c r="AE39" s="3">
        <f ca="1">IFERROR(__xludf.DUMMYFUNCTION("""COMPUTED_VALUE"""),-0.550250365375809)</f>
        <v>-0.55025036537580896</v>
      </c>
      <c r="AF39" s="3">
        <f ca="1">IFERROR(__xludf.DUMMYFUNCTION("""COMPUTED_VALUE"""),-0.5410370741712)</f>
        <v>-0.54103707417119995</v>
      </c>
      <c r="AG39" s="3">
        <f ca="1">IFERROR(__xludf.DUMMYFUNCTION("""COMPUTED_VALUE"""),-0.511858683655802)</f>
        <v>-0.511858683655802</v>
      </c>
      <c r="AH39" s="3">
        <f ca="1">IFERROR(__xludf.DUMMYFUNCTION("""COMPUTED_VALUE"""),-0.531709217725862)</f>
        <v>-0.53170921772586199</v>
      </c>
      <c r="AI39" s="3">
        <f ca="1">IFERROR(__xludf.DUMMYFUNCTION("""COMPUTED_VALUE"""),-0.555142582758744)</f>
        <v>-0.55514258275874395</v>
      </c>
      <c r="AJ39" s="3">
        <f ca="1">IFERROR(__xludf.DUMMYFUNCTION("""COMPUTED_VALUE"""),-0.486223623421846)</f>
        <v>-0.486223623421846</v>
      </c>
      <c r="AK39" s="3">
        <f ca="1">IFERROR(__xludf.DUMMYFUNCTION("""COMPUTED_VALUE"""),-0.548473827401586)</f>
        <v>-0.54847382740158601</v>
      </c>
      <c r="AL39" s="3">
        <f ca="1">IFERROR(__xludf.DUMMYFUNCTION("""COMPUTED_VALUE"""),-0.548407343337171)</f>
        <v>-0.548407343337171</v>
      </c>
      <c r="AM39" s="3">
        <f ca="1">IFERROR(__xludf.DUMMYFUNCTION("""COMPUTED_VALUE"""),-0.546760182149186)</f>
        <v>-0.54676018214918598</v>
      </c>
      <c r="AN39" s="3">
        <f ca="1">IFERROR(__xludf.DUMMYFUNCTION("""COMPUTED_VALUE"""),-0.5181751807102)</f>
        <v>-0.51817518071019997</v>
      </c>
      <c r="AO39" s="3">
        <f ca="1">IFERROR(__xludf.DUMMYFUNCTION("""COMPUTED_VALUE"""),-0.577033583200494)</f>
        <v>-0.57703358320049403</v>
      </c>
      <c r="AP39" s="3">
        <f ca="1">IFERROR(__xludf.DUMMYFUNCTION("""COMPUTED_VALUE"""),-0.54676305213215)</f>
        <v>-0.54676305213215004</v>
      </c>
      <c r="AQ39" s="3">
        <f ca="1">IFERROR(__xludf.DUMMYFUNCTION("""COMPUTED_VALUE"""),-0.522887067614697)</f>
        <v>-0.52288706761469705</v>
      </c>
      <c r="AR39" s="3">
        <f ca="1">IFERROR(__xludf.DUMMYFUNCTION("""COMPUTED_VALUE"""),-0.483282532587332)</f>
        <v>-0.483282532587332</v>
      </c>
      <c r="AS39" s="3">
        <f ca="1">IFERROR(__xludf.DUMMYFUNCTION("""COMPUTED_VALUE"""),-0.578459944660392)</f>
        <v>-0.57845994466039197</v>
      </c>
      <c r="AT39" s="3">
        <f ca="1">IFERROR(__xludf.DUMMYFUNCTION("""COMPUTED_VALUE"""),-0.551329472260141)</f>
        <v>-0.55132947226014095</v>
      </c>
      <c r="AU39" s="3">
        <f ca="1">IFERROR(__xludf.DUMMYFUNCTION("""COMPUTED_VALUE"""),-0.511216181131494)</f>
        <v>-0.51121618113149403</v>
      </c>
      <c r="AV39" s="3">
        <f ca="1">IFERROR(__xludf.DUMMYFUNCTION("""COMPUTED_VALUE"""),-0.5240858409753)</f>
        <v>-0.52408584097529998</v>
      </c>
      <c r="AW39" s="3">
        <f ca="1">IFERROR(__xludf.DUMMYFUNCTION("""COMPUTED_VALUE"""),-0.530647166187277)</f>
        <v>-0.53064716618727703</v>
      </c>
      <c r="AX39" s="3">
        <f ca="1">IFERROR(__xludf.DUMMYFUNCTION("""COMPUTED_VALUE"""),-0.507314176862992)</f>
        <v>-0.50731417686299196</v>
      </c>
      <c r="AY39" s="3">
        <f ca="1">IFERROR(__xludf.DUMMYFUNCTION("""COMPUTED_VALUE"""),-0.540126830824257)</f>
        <v>-0.54012683082425705</v>
      </c>
      <c r="AZ39" s="3">
        <f ca="1">IFERROR(__xludf.DUMMYFUNCTION("""COMPUTED_VALUE"""),-0.575039246942268)</f>
        <v>-0.57503924694226805</v>
      </c>
      <c r="BA39" s="3">
        <f ca="1">IFERROR(__xludf.DUMMYFUNCTION("""COMPUTED_VALUE"""),-0.616090331446802)</f>
        <v>-0.61609033144680203</v>
      </c>
      <c r="BB39" s="3">
        <f ca="1">IFERROR(__xludf.DUMMYFUNCTION("""COMPUTED_VALUE"""),-0.565560683940243)</f>
        <v>-0.56556068394024295</v>
      </c>
      <c r="BC39" s="3">
        <f ca="1">IFERROR(__xludf.DUMMYFUNCTION("""COMPUTED_VALUE"""),-0.675593989680088)</f>
        <v>-0.67559398968008799</v>
      </c>
      <c r="BD39" s="3">
        <f ca="1">IFERROR(__xludf.DUMMYFUNCTION("""COMPUTED_VALUE"""),-0.646204327841061)</f>
        <v>-0.64620432784106097</v>
      </c>
      <c r="BE39" s="3">
        <f ca="1">IFERROR(__xludf.DUMMYFUNCTION("""COMPUTED_VALUE"""),-0.493160849015723)</f>
        <v>-0.49316084901572299</v>
      </c>
      <c r="BF39" s="3">
        <f ca="1">IFERROR(__xludf.DUMMYFUNCTION("""COMPUTED_VALUE"""),-0.571274831040177)</f>
        <v>-0.57127483104017696</v>
      </c>
      <c r="BG39" s="3">
        <f ca="1">IFERROR(__xludf.DUMMYFUNCTION("""COMPUTED_VALUE"""),-0.589037188261199)</f>
        <v>-0.589037188261199</v>
      </c>
      <c r="BH39" s="3">
        <f ca="1">IFERROR(__xludf.DUMMYFUNCTION("""COMPUTED_VALUE"""),-0.619771228455661)</f>
        <v>-0.61977122845566102</v>
      </c>
      <c r="BI39" s="3">
        <f ca="1">IFERROR(__xludf.DUMMYFUNCTION("""COMPUTED_VALUE"""),-0.618031292723039)</f>
        <v>-0.61803129272303903</v>
      </c>
      <c r="BJ39" s="3">
        <f ca="1">IFERROR(__xludf.DUMMYFUNCTION("""COMPUTED_VALUE"""),-0.654776850692732)</f>
        <v>-0.65477685069273195</v>
      </c>
      <c r="BK39" s="3">
        <f ca="1">IFERROR(__xludf.DUMMYFUNCTION("""COMPUTED_VALUE"""),-0.609968057747297)</f>
        <v>-0.60996805774729701</v>
      </c>
      <c r="BL39" s="3">
        <f ca="1">IFERROR(__xludf.DUMMYFUNCTION("""COMPUTED_VALUE"""),-0.515026371296627)</f>
        <v>-0.51502637129662698</v>
      </c>
      <c r="BM39" s="3">
        <f ca="1">IFERROR(__xludf.DUMMYFUNCTION("""COMPUTED_VALUE"""),-0.574723409247965)</f>
        <v>-0.57472340924796494</v>
      </c>
      <c r="BN39" s="3">
        <f ca="1">IFERROR(__xludf.DUMMYFUNCTION("""COMPUTED_VALUE"""),-0.576362138224721)</f>
        <v>-0.57636213822472104</v>
      </c>
      <c r="BO39" s="3">
        <f ca="1">IFERROR(__xludf.DUMMYFUNCTION("""COMPUTED_VALUE"""),-0.656609385922941)</f>
        <v>-0.65660938592294105</v>
      </c>
      <c r="BP39" s="3">
        <f ca="1">IFERROR(__xludf.DUMMYFUNCTION("""COMPUTED_VALUE"""),-0.643968743312626)</f>
        <v>-0.64396874331262599</v>
      </c>
      <c r="BQ39" s="3">
        <f ca="1">IFERROR(__xludf.DUMMYFUNCTION("""COMPUTED_VALUE"""),-0.6563746548793)</f>
        <v>-0.65637465487930002</v>
      </c>
      <c r="BR39" s="3">
        <f ca="1">IFERROR(__xludf.DUMMYFUNCTION("""COMPUTED_VALUE"""),-0.627869753738848)</f>
        <v>-0.62786975373884801</v>
      </c>
      <c r="BS39" s="3">
        <f ca="1">IFERROR(__xludf.DUMMYFUNCTION("""COMPUTED_VALUE"""),-0.612419499214844)</f>
        <v>-0.61241949921484395</v>
      </c>
      <c r="BT39" s="3">
        <f ca="1">IFERROR(__xludf.DUMMYFUNCTION("""COMPUTED_VALUE"""),-0.609994012694638)</f>
        <v>-0.60999401269463804</v>
      </c>
      <c r="BU39" s="3">
        <f ca="1">IFERROR(__xludf.DUMMYFUNCTION("""COMPUTED_VALUE"""),-0.601991896721561)</f>
        <v>-0.60199189672156095</v>
      </c>
      <c r="BV39" s="3">
        <f ca="1">IFERROR(__xludf.DUMMYFUNCTION("""COMPUTED_VALUE"""),-0.623309911484869)</f>
        <v>-0.62330991148486903</v>
      </c>
      <c r="BW39" s="3">
        <f ca="1">IFERROR(__xludf.DUMMYFUNCTION("""COMPUTED_VALUE"""),-0.606486340608144)</f>
        <v>-0.60648634060814399</v>
      </c>
      <c r="BX39" s="3">
        <f ca="1">IFERROR(__xludf.DUMMYFUNCTION("""COMPUTED_VALUE"""),-0.607237881006147)</f>
        <v>-0.60723788100614695</v>
      </c>
      <c r="BY39" s="3">
        <f ca="1">IFERROR(__xludf.DUMMYFUNCTION("""COMPUTED_VALUE"""),-0.654664110714376)</f>
        <v>-0.65466411071437602</v>
      </c>
      <c r="BZ39" s="3">
        <f ca="1">IFERROR(__xludf.DUMMYFUNCTION("""COMPUTED_VALUE"""),-0.614583535049957)</f>
        <v>-0.614583535049957</v>
      </c>
      <c r="CA39" s="3">
        <f ca="1">IFERROR(__xludf.DUMMYFUNCTION("""COMPUTED_VALUE"""),-0.561154656783955)</f>
        <v>-0.56115465678395504</v>
      </c>
      <c r="CB39" s="3">
        <f ca="1">IFERROR(__xludf.DUMMYFUNCTION("""COMPUTED_VALUE"""),-0.616008286154962)</f>
        <v>-0.61600828615496195</v>
      </c>
      <c r="CC39" s="3">
        <f ca="1">IFERROR(__xludf.DUMMYFUNCTION("""COMPUTED_VALUE"""),-0.64052412709557)</f>
        <v>-0.64052412709557005</v>
      </c>
      <c r="CD39" s="3">
        <f ca="1">IFERROR(__xludf.DUMMYFUNCTION("""COMPUTED_VALUE"""),-0.61416147650017)</f>
        <v>-0.61416147650016994</v>
      </c>
      <c r="CE39" s="3">
        <f ca="1">IFERROR(__xludf.DUMMYFUNCTION("""COMPUTED_VALUE"""),-0.61973127875179)</f>
        <v>-0.61973127875179002</v>
      </c>
      <c r="CF39" s="3">
        <f ca="1">IFERROR(__xludf.DUMMYFUNCTION("""COMPUTED_VALUE"""),-0.63585248928974)</f>
        <v>-0.63585248928974003</v>
      </c>
      <c r="CG39" s="3">
        <f ca="1">IFERROR(__xludf.DUMMYFUNCTION("""COMPUTED_VALUE"""),-0.596889362478527)</f>
        <v>-0.59688936247852697</v>
      </c>
      <c r="CH39" s="3">
        <f ca="1">IFERROR(__xludf.DUMMYFUNCTION("""COMPUTED_VALUE"""),-0.551242901255473)</f>
        <v>-0.55124290125547304</v>
      </c>
      <c r="CI39" s="3">
        <f ca="1">IFERROR(__xludf.DUMMYFUNCTION("""COMPUTED_VALUE"""),-0.625084012320792)</f>
        <v>-0.62508401232079203</v>
      </c>
      <c r="CJ39" s="3">
        <f ca="1">IFERROR(__xludf.DUMMYFUNCTION("""COMPUTED_VALUE"""),-0.621306299781709)</f>
        <v>-0.62130629978170904</v>
      </c>
      <c r="CK39" s="3">
        <f ca="1">IFERROR(__xludf.DUMMYFUNCTION("""COMPUTED_VALUE"""),-0.601344452075147)</f>
        <v>-0.60134445207514697</v>
      </c>
      <c r="CL39" s="3">
        <f ca="1">IFERROR(__xludf.DUMMYFUNCTION("""COMPUTED_VALUE"""),-0.614677675118986)</f>
        <v>-0.61467767511898597</v>
      </c>
      <c r="CM39" s="3">
        <f ca="1">IFERROR(__xludf.DUMMYFUNCTION("""COMPUTED_VALUE"""),-0.571578273156256)</f>
        <v>-0.57157827315625598</v>
      </c>
      <c r="CN39" s="3">
        <f ca="1">IFERROR(__xludf.DUMMYFUNCTION("""COMPUTED_VALUE"""),-0.551484465672185)</f>
        <v>-0.55148446567218501</v>
      </c>
      <c r="CO39" s="3">
        <f ca="1">IFERROR(__xludf.DUMMYFUNCTION("""COMPUTED_VALUE"""),-0.544034341207276)</f>
        <v>-0.54403434120727601</v>
      </c>
      <c r="CP39" s="3">
        <f ca="1">IFERROR(__xludf.DUMMYFUNCTION("""COMPUTED_VALUE"""),-0.621575798494184)</f>
        <v>-0.62157579849418398</v>
      </c>
      <c r="CQ39" s="3">
        <f ca="1">IFERROR(__xludf.DUMMYFUNCTION("""COMPUTED_VALUE"""),-0.618736961972031)</f>
        <v>-0.61873696197203099</v>
      </c>
      <c r="CR39" s="3">
        <f ca="1">IFERROR(__xludf.DUMMYFUNCTION("""COMPUTED_VALUE"""),-0.576451292391464)</f>
        <v>-0.57645129239146398</v>
      </c>
      <c r="CS39" s="3">
        <f ca="1">IFERROR(__xludf.DUMMYFUNCTION("""COMPUTED_VALUE"""),-0.60912376370628)</f>
        <v>-0.60912376370627996</v>
      </c>
      <c r="CT39" s="3">
        <f ca="1">IFERROR(__xludf.DUMMYFUNCTION("""COMPUTED_VALUE"""),-0.590612936150526)</f>
        <v>-0.59061293615052601</v>
      </c>
      <c r="CU39" s="3">
        <f ca="1">IFERROR(__xludf.DUMMYFUNCTION("""COMPUTED_VALUE"""),-0.523602436406733)</f>
        <v>-0.52360243640673299</v>
      </c>
      <c r="CV39" s="3">
        <f ca="1">IFERROR(__xludf.DUMMYFUNCTION("""COMPUTED_VALUE"""),-0.549076303322535)</f>
        <v>-0.54907630332253499</v>
      </c>
      <c r="CW39" s="3">
        <f ca="1">IFERROR(__xludf.DUMMYFUNCTION("""COMPUTED_VALUE"""),-0.698629117426735)</f>
        <v>-0.69862911742673495</v>
      </c>
      <c r="CX39" s="3">
        <f ca="1">IFERROR(__xludf.DUMMYFUNCTION("""COMPUTED_VALUE"""),-0.600981015750682)</f>
        <v>-0.60098101575068197</v>
      </c>
      <c r="CY39" s="3">
        <f ca="1">IFERROR(__xludf.DUMMYFUNCTION("""COMPUTED_VALUE"""),-0.473052197081605)</f>
        <v>-0.47305219708160501</v>
      </c>
      <c r="CZ39" s="3">
        <f ca="1">IFERROR(__xludf.DUMMYFUNCTION("""COMPUTED_VALUE"""),-0.572090558883348)</f>
        <v>-0.57209055888334803</v>
      </c>
      <c r="DA39" s="3">
        <f ca="1">IFERROR(__xludf.DUMMYFUNCTION("""COMPUTED_VALUE"""),-0.595246993543674)</f>
        <v>-0.59524699354367405</v>
      </c>
      <c r="DB39" s="3">
        <f ca="1">IFERROR(__xludf.DUMMYFUNCTION("""COMPUTED_VALUE"""),-0.564089685794079)</f>
        <v>-0.56408968579407903</v>
      </c>
      <c r="DC39" s="3">
        <f ca="1">IFERROR(__xludf.DUMMYFUNCTION("""COMPUTED_VALUE"""),-0.614948285724059)</f>
        <v>-0.61494828572405902</v>
      </c>
      <c r="DD39" s="3">
        <f ca="1">IFERROR(__xludf.DUMMYFUNCTION("""COMPUTED_VALUE"""),-0.844792478393072)</f>
        <v>-0.84479247839307203</v>
      </c>
      <c r="DE39" s="3">
        <f ca="1">IFERROR(__xludf.DUMMYFUNCTION("""COMPUTED_VALUE"""),-0.684623921753062)</f>
        <v>-0.68462392175306197</v>
      </c>
      <c r="DF39" s="3">
        <f ca="1">IFERROR(__xludf.DUMMYFUNCTION("""COMPUTED_VALUE"""),-0.385369884370195)</f>
        <v>-0.38536988437019498</v>
      </c>
      <c r="DG39" s="3">
        <f ca="1">IFERROR(__xludf.DUMMYFUNCTION("""COMPUTED_VALUE"""),-0.51974214398279)</f>
        <v>-0.51974214398278995</v>
      </c>
      <c r="DH39" s="3">
        <f ca="1">IFERROR(__xludf.DUMMYFUNCTION("""COMPUTED_VALUE"""),-0.559215664197461)</f>
        <v>-0.55921566419746105</v>
      </c>
      <c r="DI39" s="3">
        <f ca="1">IFERROR(__xludf.DUMMYFUNCTION("""COMPUTED_VALUE"""),-0.502426553939548)</f>
        <v>-0.50242655393954805</v>
      </c>
      <c r="DJ39" s="3">
        <f ca="1">IFERROR(__xludf.DUMMYFUNCTION("""COMPUTED_VALUE"""),-0.580193090000656)</f>
        <v>-0.580193090000656</v>
      </c>
      <c r="DK39" s="3">
        <f ca="1">IFERROR(__xludf.DUMMYFUNCTION("""COMPUTED_VALUE"""),-0.581193355434196)</f>
        <v>-0.58119335543419604</v>
      </c>
      <c r="DL39" s="3">
        <f ca="1">IFERROR(__xludf.DUMMYFUNCTION("""COMPUTED_VALUE"""),-0.576373086354718)</f>
        <v>-0.57637308635471796</v>
      </c>
      <c r="DM39" s="3">
        <f ca="1">IFERROR(__xludf.DUMMYFUNCTION("""COMPUTED_VALUE"""),-0.499256585749513)</f>
        <v>-0.49925658574951298</v>
      </c>
      <c r="DN39" s="3">
        <f ca="1">IFERROR(__xludf.DUMMYFUNCTION("""COMPUTED_VALUE"""),-0.574316135038325)</f>
        <v>-0.57431613503832502</v>
      </c>
      <c r="DO39" s="3">
        <f ca="1">IFERROR(__xludf.DUMMYFUNCTION("""COMPUTED_VALUE"""),-0.590324142394742)</f>
        <v>-0.59032414239474196</v>
      </c>
      <c r="DP39" s="3">
        <f ca="1">IFERROR(__xludf.DUMMYFUNCTION("""COMPUTED_VALUE"""),-0.585663015598707)</f>
        <v>-0.58566301559870704</v>
      </c>
      <c r="DQ39" s="3">
        <f ca="1">IFERROR(__xludf.DUMMYFUNCTION("""COMPUTED_VALUE"""),-0.585727881107073)</f>
        <v>-0.58572788110707297</v>
      </c>
      <c r="DR39" s="3">
        <f ca="1">IFERROR(__xludf.DUMMYFUNCTION("""COMPUTED_VALUE"""),-0.605572546566126)</f>
        <v>-0.60557254656612602</v>
      </c>
      <c r="DS39" s="3">
        <f ca="1">IFERROR(__xludf.DUMMYFUNCTION("""COMPUTED_VALUE"""),-0.62034661645209)</f>
        <v>-0.62034661645208999</v>
      </c>
      <c r="DT39" s="3">
        <f ca="1">IFERROR(__xludf.DUMMYFUNCTION("""COMPUTED_VALUE"""),-0.62249768763882)</f>
        <v>-0.62249768763881996</v>
      </c>
      <c r="DU39" s="3">
        <f ca="1">IFERROR(__xludf.DUMMYFUNCTION("""COMPUTED_VALUE"""),-0.619144121483159)</f>
        <v>-0.619144121483159</v>
      </c>
      <c r="DV39" s="3">
        <f ca="1">IFERROR(__xludf.DUMMYFUNCTION("""COMPUTED_VALUE"""),-0.599911262029534)</f>
        <v>-0.59991126202953404</v>
      </c>
      <c r="DW39" s="3">
        <f ca="1">IFERROR(__xludf.DUMMYFUNCTION("""COMPUTED_VALUE"""),-0.566064896931441)</f>
        <v>-0.56606489693144102</v>
      </c>
      <c r="DX39" s="3">
        <f ca="1">IFERROR(__xludf.DUMMYFUNCTION("""COMPUTED_VALUE"""),-0.554138125975417)</f>
        <v>-0.55413812597541701</v>
      </c>
      <c r="DY39" s="3">
        <f ca="1">IFERROR(__xludf.DUMMYFUNCTION("""COMPUTED_VALUE"""),-0.596856274436792)</f>
        <v>-0.59685627443679201</v>
      </c>
      <c r="DZ39" s="3">
        <f ca="1">IFERROR(__xludf.DUMMYFUNCTION("""COMPUTED_VALUE"""),-0.537831719122369)</f>
        <v>-0.53783171912236905</v>
      </c>
      <c r="EA39" s="3">
        <f ca="1">IFERROR(__xludf.DUMMYFUNCTION("""COMPUTED_VALUE"""),-0.640931106171252)</f>
        <v>-0.64093110617125204</v>
      </c>
      <c r="EB39" s="3">
        <f ca="1">IFERROR(__xludf.DUMMYFUNCTION("""COMPUTED_VALUE"""),-0.608667718232095)</f>
        <v>-0.60866771823209498</v>
      </c>
      <c r="EC39" s="3">
        <f ca="1">IFERROR(__xludf.DUMMYFUNCTION("""COMPUTED_VALUE"""),-0.630940003970737)</f>
        <v>-0.63094000397073702</v>
      </c>
      <c r="ED39" s="3">
        <f ca="1">IFERROR(__xludf.DUMMYFUNCTION("""COMPUTED_VALUE"""),-0.50849539990675)</f>
        <v>-0.50849539990674997</v>
      </c>
      <c r="EE39" s="3">
        <f ca="1">IFERROR(__xludf.DUMMYFUNCTION("""COMPUTED_VALUE"""),-0.521385679628136)</f>
        <v>-0.52138567962813598</v>
      </c>
      <c r="EF39" s="3">
        <f ca="1">IFERROR(__xludf.DUMMYFUNCTION("""COMPUTED_VALUE"""),-0.626863107470425)</f>
        <v>-0.62686310747042495</v>
      </c>
      <c r="EG39" s="3">
        <f ca="1">IFERROR(__xludf.DUMMYFUNCTION("""COMPUTED_VALUE"""),-0.768828389616596)</f>
        <v>-0.76882838961659605</v>
      </c>
      <c r="EH39" s="3">
        <f ca="1">IFERROR(__xludf.DUMMYFUNCTION("""COMPUTED_VALUE"""),-0.651669030208035)</f>
        <v>-0.65166903020803502</v>
      </c>
      <c r="EI39" s="3">
        <f ca="1">IFERROR(__xludf.DUMMYFUNCTION("""COMPUTED_VALUE"""),-0.604135491720811)</f>
        <v>-0.60413549172081105</v>
      </c>
      <c r="EJ39" s="3">
        <f ca="1">IFERROR(__xludf.DUMMYFUNCTION("""COMPUTED_VALUE"""),-0.590222503848066)</f>
        <v>-0.59022250384806596</v>
      </c>
      <c r="EK39" s="3">
        <f ca="1">IFERROR(__xludf.DUMMYFUNCTION("""COMPUTED_VALUE"""),-0.561153391452129)</f>
        <v>-0.56115339145212895</v>
      </c>
      <c r="EL39" s="3">
        <f ca="1">IFERROR(__xludf.DUMMYFUNCTION("""COMPUTED_VALUE"""),-0.516652927835309)</f>
        <v>-0.51665292783530903</v>
      </c>
      <c r="EM39" s="3">
        <f ca="1">IFERROR(__xludf.DUMMYFUNCTION("""COMPUTED_VALUE"""),-0.579222462044468)</f>
        <v>-0.57922246204446803</v>
      </c>
      <c r="EN39" s="3">
        <f ca="1">IFERROR(__xludf.DUMMYFUNCTION("""COMPUTED_VALUE"""),-0.493053506796367)</f>
        <v>-0.493053506796367</v>
      </c>
      <c r="EO39" s="3">
        <f ca="1">IFERROR(__xludf.DUMMYFUNCTION("""COMPUTED_VALUE"""),-0.575229201877695)</f>
        <v>-0.575229201877695</v>
      </c>
      <c r="EP39" s="3">
        <f ca="1">IFERROR(__xludf.DUMMYFUNCTION("""COMPUTED_VALUE"""),-0.58463512591991)</f>
        <v>-0.58463512591990996</v>
      </c>
      <c r="EQ39" s="3">
        <f ca="1">IFERROR(__xludf.DUMMYFUNCTION("""COMPUTED_VALUE"""),-0.602714621866284)</f>
        <v>-0.60271462186628399</v>
      </c>
      <c r="ER39" s="3">
        <f ca="1">IFERROR(__xludf.DUMMYFUNCTION("""COMPUTED_VALUE"""),-0.580589519454465)</f>
        <v>-0.58058951945446502</v>
      </c>
      <c r="ES39" s="3">
        <f ca="1">IFERROR(__xludf.DUMMYFUNCTION("""COMPUTED_VALUE"""),-0.562947811116763)</f>
        <v>-0.56294781111676295</v>
      </c>
      <c r="ET39" s="3">
        <f ca="1">IFERROR(__xludf.DUMMYFUNCTION("""COMPUTED_VALUE"""),-0.577769186766725)</f>
        <v>-0.57776918676672495</v>
      </c>
      <c r="EU39" s="3">
        <f ca="1">IFERROR(__xludf.DUMMYFUNCTION("""COMPUTED_VALUE"""),-0.594260391633141)</f>
        <v>-0.59426039163314104</v>
      </c>
      <c r="EV39" s="3">
        <f ca="1">IFERROR(__xludf.DUMMYFUNCTION("""COMPUTED_VALUE"""),-0.5938066404389)</f>
        <v>-0.59380664043889997</v>
      </c>
      <c r="EW39" s="3">
        <f ca="1">IFERROR(__xludf.DUMMYFUNCTION("""COMPUTED_VALUE"""),-0.597832028909053)</f>
        <v>-0.59783202890905296</v>
      </c>
      <c r="EX39" s="3">
        <f ca="1">IFERROR(__xludf.DUMMYFUNCTION("""COMPUTED_VALUE"""),-0.566016752773036)</f>
        <v>-0.56601675277303598</v>
      </c>
      <c r="EY39" s="3">
        <f ca="1">IFERROR(__xludf.DUMMYFUNCTION("""COMPUTED_VALUE"""),-0.549082898266888)</f>
        <v>-0.54908289826688805</v>
      </c>
      <c r="EZ39" s="3">
        <f ca="1">IFERROR(__xludf.DUMMYFUNCTION("""COMPUTED_VALUE"""),-0.535763092484399)</f>
        <v>-0.53576309248439902</v>
      </c>
      <c r="FA39" s="3">
        <f ca="1">IFERROR(__xludf.DUMMYFUNCTION("""COMPUTED_VALUE"""),-0.591093727794266)</f>
        <v>-0.59109372779426606</v>
      </c>
      <c r="FB39" s="3">
        <f ca="1">IFERROR(__xludf.DUMMYFUNCTION("""COMPUTED_VALUE"""),-0.55729535221298)</f>
        <v>-0.55729535221297999</v>
      </c>
      <c r="FC39" s="3">
        <f ca="1">IFERROR(__xludf.DUMMYFUNCTION("""COMPUTED_VALUE"""),-0.587968037204366)</f>
        <v>-0.58796803720436597</v>
      </c>
      <c r="FD39" s="3">
        <f ca="1">IFERROR(__xludf.DUMMYFUNCTION("""COMPUTED_VALUE"""),-0.580206828284558)</f>
        <v>-0.58020682828455805</v>
      </c>
      <c r="FE39" s="3">
        <f ca="1">IFERROR(__xludf.DUMMYFUNCTION("""COMPUTED_VALUE"""),-0.587868575837514)</f>
        <v>-0.58786857583751395</v>
      </c>
      <c r="FF39" s="3">
        <f ca="1">IFERROR(__xludf.DUMMYFUNCTION("""COMPUTED_VALUE"""),-0.499679218158756)</f>
        <v>-0.49967921815875599</v>
      </c>
      <c r="FG39" s="3">
        <f ca="1">IFERROR(__xludf.DUMMYFUNCTION("""COMPUTED_VALUE"""),-0.477264743849764)</f>
        <v>-0.47726474384976397</v>
      </c>
      <c r="FH39" s="3">
        <f ca="1">IFERROR(__xludf.DUMMYFUNCTION("""COMPUTED_VALUE"""),-0.567985473971511)</f>
        <v>-0.567985473971511</v>
      </c>
      <c r="FI39" s="3">
        <f ca="1">IFERROR(__xludf.DUMMYFUNCTION("""COMPUTED_VALUE"""),-0.617121393710429)</f>
        <v>-0.61712139371042896</v>
      </c>
      <c r="FJ39" s="3">
        <f ca="1">IFERROR(__xludf.DUMMYFUNCTION("""COMPUTED_VALUE"""),-0.607621023811301)</f>
        <v>-0.60762102381130101</v>
      </c>
      <c r="FK39" s="3">
        <f ca="1">IFERROR(__xludf.DUMMYFUNCTION("""COMPUTED_VALUE"""),-0.624170507345176)</f>
        <v>-0.62417050734517598</v>
      </c>
      <c r="FL39" s="3">
        <f ca="1">IFERROR(__xludf.DUMMYFUNCTION("""COMPUTED_VALUE"""),-0.593533687681126)</f>
        <v>-0.59353368768112602</v>
      </c>
      <c r="FM39" s="3">
        <f ca="1">IFERROR(__xludf.DUMMYFUNCTION("""COMPUTED_VALUE"""),-0.561408413905088)</f>
        <v>-0.561408413905088</v>
      </c>
      <c r="FN39" s="3">
        <f ca="1">IFERROR(__xludf.DUMMYFUNCTION("""COMPUTED_VALUE"""),-0.513922585034247)</f>
        <v>-0.51392258503424704</v>
      </c>
      <c r="FO39" s="3">
        <f ca="1">IFERROR(__xludf.DUMMYFUNCTION("""COMPUTED_VALUE"""),-0.593746155881737)</f>
        <v>-0.59374615588173696</v>
      </c>
      <c r="FP39" s="3">
        <f ca="1">IFERROR(__xludf.DUMMYFUNCTION("""COMPUTED_VALUE"""),-0.581930067311483)</f>
        <v>-0.581930067311483</v>
      </c>
      <c r="FQ39" s="3">
        <f ca="1">IFERROR(__xludf.DUMMYFUNCTION("""COMPUTED_VALUE"""),-0.573491919217448)</f>
        <v>-0.57349191921744802</v>
      </c>
      <c r="FR39" s="3">
        <f ca="1">IFERROR(__xludf.DUMMYFUNCTION("""COMPUTED_VALUE"""),-0.591531600199107)</f>
        <v>-0.591531600199107</v>
      </c>
      <c r="FS39" s="3">
        <f ca="1">IFERROR(__xludf.DUMMYFUNCTION("""COMPUTED_VALUE"""),-0.613901192198309)</f>
        <v>-0.61390119219830896</v>
      </c>
      <c r="FT39" s="3">
        <f ca="1">IFERROR(__xludf.DUMMYFUNCTION("""COMPUTED_VALUE"""),-0.512955394348536)</f>
        <v>-0.51295539434853599</v>
      </c>
      <c r="FU39" s="3">
        <f ca="1">IFERROR(__xludf.DUMMYFUNCTION("""COMPUTED_VALUE"""),-0.532873212992978)</f>
        <v>-0.53287321299297796</v>
      </c>
      <c r="FV39" s="3">
        <f ca="1">IFERROR(__xludf.DUMMYFUNCTION("""COMPUTED_VALUE"""),-0.573064978233676)</f>
        <v>-0.57306497823367597</v>
      </c>
      <c r="FW39" s="3">
        <f ca="1">IFERROR(__xludf.DUMMYFUNCTION("""COMPUTED_VALUE"""),-0.574499529547318)</f>
        <v>-0.57449952954731798</v>
      </c>
      <c r="FX39" s="3">
        <f ca="1">IFERROR(__xludf.DUMMYFUNCTION("""COMPUTED_VALUE"""),-0.578577971122002)</f>
        <v>-0.57857797112200204</v>
      </c>
      <c r="FY39" s="3">
        <f ca="1">IFERROR(__xludf.DUMMYFUNCTION("""COMPUTED_VALUE"""),-0.604458141508631)</f>
        <v>-0.60445814150863098</v>
      </c>
      <c r="FZ39" s="3">
        <f ca="1">IFERROR(__xludf.DUMMYFUNCTION("""COMPUTED_VALUE"""),-0.582181789544777)</f>
        <v>-0.58218178954477695</v>
      </c>
      <c r="GA39" s="3">
        <f ca="1">IFERROR(__xludf.DUMMYFUNCTION("""COMPUTED_VALUE"""),-0.548402144118526)</f>
        <v>-0.54840214411852595</v>
      </c>
      <c r="GB39" s="3">
        <f ca="1">IFERROR(__xludf.DUMMYFUNCTION("""COMPUTED_VALUE"""),-0.588097428806951)</f>
        <v>-0.58809742880695104</v>
      </c>
      <c r="GC39" s="3">
        <f ca="1">IFERROR(__xludf.DUMMYFUNCTION("""COMPUTED_VALUE"""),-0.588843289616631)</f>
        <v>-0.58884328961663102</v>
      </c>
      <c r="GD39" s="3">
        <f ca="1">IFERROR(__xludf.DUMMYFUNCTION("""COMPUTED_VALUE"""),-0.585856042816212)</f>
        <v>-0.58585604281621195</v>
      </c>
      <c r="GE39" s="3">
        <f ca="1">IFERROR(__xludf.DUMMYFUNCTION("""COMPUTED_VALUE"""),-0.594041431932149)</f>
        <v>-0.59404143193214898</v>
      </c>
      <c r="GF39" s="3">
        <f ca="1">IFERROR(__xludf.DUMMYFUNCTION("""COMPUTED_VALUE"""),-0.588728519289872)</f>
        <v>-0.58872851928987202</v>
      </c>
      <c r="GG39" s="3">
        <f ca="1">IFERROR(__xludf.DUMMYFUNCTION("""COMPUTED_VALUE"""),-0.579759249625656)</f>
        <v>-0.57975924962565595</v>
      </c>
      <c r="GH39" s="3">
        <f ca="1">IFERROR(__xludf.DUMMYFUNCTION("""COMPUTED_VALUE"""),-0.543900525683653)</f>
        <v>-0.54390052568365299</v>
      </c>
      <c r="GI39" s="3">
        <f ca="1">IFERROR(__xludf.DUMMYFUNCTION("""COMPUTED_VALUE"""),-0.535932002496248)</f>
        <v>-0.53593200249624795</v>
      </c>
      <c r="GJ39" s="3">
        <f ca="1">IFERROR(__xludf.DUMMYFUNCTION("""COMPUTED_VALUE"""),-0.555069090111185)</f>
        <v>-0.55506909011118499</v>
      </c>
      <c r="GK39" s="3">
        <f ca="1">IFERROR(__xludf.DUMMYFUNCTION("""COMPUTED_VALUE"""),-0.589947477589066)</f>
        <v>-0.58994747758906596</v>
      </c>
      <c r="GL39" s="3">
        <f ca="1">IFERROR(__xludf.DUMMYFUNCTION("""COMPUTED_VALUE"""),-0.597434027758823)</f>
        <v>-0.59743402775882304</v>
      </c>
      <c r="GM39" s="3">
        <f ca="1">IFERROR(__xludf.DUMMYFUNCTION("""COMPUTED_VALUE"""),-0.591868554253246)</f>
        <v>-0.59186855425324603</v>
      </c>
      <c r="GN39" s="3">
        <f ca="1">IFERROR(__xludf.DUMMYFUNCTION("""COMPUTED_VALUE"""),-0.6000863715308)</f>
        <v>-0.60008637153080002</v>
      </c>
      <c r="GO39" s="3">
        <f ca="1">IFERROR(__xludf.DUMMYFUNCTION("""COMPUTED_VALUE"""),-0.576800394243775)</f>
        <v>-0.57680039424377505</v>
      </c>
      <c r="GP39" s="3">
        <f ca="1">IFERROR(__xludf.DUMMYFUNCTION("""COMPUTED_VALUE"""),-0.62476872266374)</f>
        <v>-0.62476872266373995</v>
      </c>
      <c r="GQ39" s="3">
        <f ca="1">IFERROR(__xludf.DUMMYFUNCTION("""COMPUTED_VALUE"""),-0.61726447683595)</f>
        <v>-0.61726447683594998</v>
      </c>
      <c r="GR39" s="3">
        <f ca="1">IFERROR(__xludf.DUMMYFUNCTION("""COMPUTED_VALUE"""),-0.642144940290505)</f>
        <v>-0.64214494029050495</v>
      </c>
      <c r="GS39" s="3">
        <f ca="1">IFERROR(__xludf.DUMMYFUNCTION("""COMPUTED_VALUE"""),-0.661313888189969)</f>
        <v>-0.66131388818996895</v>
      </c>
      <c r="GT39" s="3">
        <f ca="1">IFERROR(__xludf.DUMMYFUNCTION("""COMPUTED_VALUE"""),-0.604088561794922)</f>
        <v>-0.60408856179492199</v>
      </c>
      <c r="GU39" s="3">
        <f ca="1">IFERROR(__xludf.DUMMYFUNCTION("""COMPUTED_VALUE"""),-0.566294577898234)</f>
        <v>-0.56629457789823401</v>
      </c>
      <c r="GV39" s="3">
        <f ca="1">IFERROR(__xludf.DUMMYFUNCTION("""COMPUTED_VALUE"""),-0.479453725880841)</f>
        <v>-0.47945372588084101</v>
      </c>
      <c r="GW39" s="3">
        <f ca="1">IFERROR(__xludf.DUMMYFUNCTION("""COMPUTED_VALUE"""),-0.564333132420621)</f>
        <v>-0.564333132420621</v>
      </c>
      <c r="GX39" s="3">
        <f ca="1">IFERROR(__xludf.DUMMYFUNCTION("""COMPUTED_VALUE"""),-0.584640807258503)</f>
        <v>-0.58464080725850298</v>
      </c>
      <c r="GY39" s="3">
        <f ca="1">IFERROR(__xludf.DUMMYFUNCTION("""COMPUTED_VALUE"""),-0.587734274429284)</f>
        <v>-0.58773427442928405</v>
      </c>
      <c r="GZ39" s="3">
        <f ca="1">IFERROR(__xludf.DUMMYFUNCTION("""COMPUTED_VALUE"""),-0.633292684799953)</f>
        <v>-0.63329268479995304</v>
      </c>
      <c r="HA39" s="3">
        <f ca="1">IFERROR(__xludf.DUMMYFUNCTION("""COMPUTED_VALUE"""),-0.611246551745532)</f>
        <v>-0.611246551745532</v>
      </c>
      <c r="HB39" s="3">
        <f ca="1">IFERROR(__xludf.DUMMYFUNCTION("""COMPUTED_VALUE"""),-0.558223667892249)</f>
        <v>-0.55822366789224898</v>
      </c>
      <c r="HC39" s="3">
        <f ca="1">IFERROR(__xludf.DUMMYFUNCTION("""COMPUTED_VALUE"""),-0.529567273302999)</f>
        <v>-0.52956727330299902</v>
      </c>
      <c r="HD39" s="3">
        <f ca="1">IFERROR(__xludf.DUMMYFUNCTION("""COMPUTED_VALUE"""),-0.595793961894846)</f>
        <v>-0.59579396189484601</v>
      </c>
      <c r="HE39" s="3">
        <f ca="1">IFERROR(__xludf.DUMMYFUNCTION("""COMPUTED_VALUE"""),-0.555848452725352)</f>
        <v>-0.55584845272535199</v>
      </c>
      <c r="HF39" s="3">
        <f ca="1">IFERROR(__xludf.DUMMYFUNCTION("""COMPUTED_VALUE"""),-0.580758717766786)</f>
        <v>-0.580758717766786</v>
      </c>
      <c r="HG39" s="3">
        <f ca="1">IFERROR(__xludf.DUMMYFUNCTION("""COMPUTED_VALUE"""),-0.571073435574486)</f>
        <v>-0.57107343557448598</v>
      </c>
      <c r="HH39" s="3">
        <f ca="1">IFERROR(__xludf.DUMMYFUNCTION("""COMPUTED_VALUE"""),-0.574441501107983)</f>
        <v>-0.57444150110798298</v>
      </c>
      <c r="HI39" s="3">
        <f ca="1">IFERROR(__xludf.DUMMYFUNCTION("""COMPUTED_VALUE"""),-0.583156798799592)</f>
        <v>-0.58315679879959204</v>
      </c>
      <c r="HJ39" s="3">
        <f ca="1">IFERROR(__xludf.DUMMYFUNCTION("""COMPUTED_VALUE"""),-0.474202275325657)</f>
        <v>-0.47420227532565701</v>
      </c>
      <c r="HK39" s="3">
        <f ca="1">IFERROR(__xludf.DUMMYFUNCTION("""COMPUTED_VALUE"""),-0.557948785996589)</f>
        <v>-0.55794878599658904</v>
      </c>
      <c r="HL39" s="3">
        <f ca="1">IFERROR(__xludf.DUMMYFUNCTION("""COMPUTED_VALUE"""),-0.598140159180386)</f>
        <v>-0.59814015918038599</v>
      </c>
      <c r="HM39" s="3">
        <f ca="1">IFERROR(__xludf.DUMMYFUNCTION("""COMPUTED_VALUE"""),-0.584090961501361)</f>
        <v>-0.58409096150136097</v>
      </c>
      <c r="HN39" s="3">
        <f ca="1">IFERROR(__xludf.DUMMYFUNCTION("""COMPUTED_VALUE"""),-0.592148831774979)</f>
        <v>-0.59214883177497901</v>
      </c>
      <c r="HO39" s="3">
        <f ca="1">IFERROR(__xludf.DUMMYFUNCTION("""COMPUTED_VALUE"""),-0.588737932409998)</f>
        <v>-0.58873793240999805</v>
      </c>
      <c r="HP39" s="3">
        <f ca="1">IFERROR(__xludf.DUMMYFUNCTION("""COMPUTED_VALUE"""),-0.50784573483631)</f>
        <v>-0.50784573483631001</v>
      </c>
      <c r="HQ39" s="3">
        <f ca="1">IFERROR(__xludf.DUMMYFUNCTION("""COMPUTED_VALUE"""),-0.523391763776312)</f>
        <v>-0.52339176377631202</v>
      </c>
      <c r="HR39" s="3">
        <f ca="1">IFERROR(__xludf.DUMMYFUNCTION("""COMPUTED_VALUE"""),-0.590443692021055)</f>
        <v>-0.59044369202105496</v>
      </c>
      <c r="HS39" s="3">
        <f ca="1">IFERROR(__xludf.DUMMYFUNCTION("""COMPUTED_VALUE"""),-0.580327549881678)</f>
        <v>-0.58032754988167801</v>
      </c>
      <c r="HT39" s="3">
        <f ca="1">IFERROR(__xludf.DUMMYFUNCTION("""COMPUTED_VALUE"""),-0.602120096660709)</f>
        <v>-0.60212009666070898</v>
      </c>
      <c r="HU39" s="3">
        <f ca="1">IFERROR(__xludf.DUMMYFUNCTION("""COMPUTED_VALUE"""),-0.60499627741958)</f>
        <v>-0.60499627741957995</v>
      </c>
      <c r="HV39" s="3">
        <f ca="1">IFERROR(__xludf.DUMMYFUNCTION("""COMPUTED_VALUE"""),-0.60618746284848)</f>
        <v>-0.60618746284848002</v>
      </c>
      <c r="HW39" s="3">
        <f ca="1">IFERROR(__xludf.DUMMYFUNCTION("""COMPUTED_VALUE"""),-0.4726903137472)</f>
        <v>-0.4726903137472</v>
      </c>
      <c r="HX39" s="3">
        <f ca="1">IFERROR(__xludf.DUMMYFUNCTION("""COMPUTED_VALUE"""),-0.529967300353457)</f>
        <v>-0.52996730035345696</v>
      </c>
      <c r="HY39" s="3">
        <f ca="1">IFERROR(__xludf.DUMMYFUNCTION("""COMPUTED_VALUE"""),-0.590658412979066)</f>
        <v>-0.59065841297906596</v>
      </c>
      <c r="HZ39" s="3">
        <f ca="1">IFERROR(__xludf.DUMMYFUNCTION("""COMPUTED_VALUE"""),-0.594830667509462)</f>
        <v>-0.59483066750946201</v>
      </c>
      <c r="IA39" s="3">
        <f ca="1">IFERROR(__xludf.DUMMYFUNCTION("""COMPUTED_VALUE"""),-0.525273953824819)</f>
        <v>-0.52527395382481901</v>
      </c>
      <c r="IB39" s="3">
        <f ca="1">IFERROR(__xludf.DUMMYFUNCTION("""COMPUTED_VALUE"""),-0.599644781218863)</f>
        <v>-0.599644781218863</v>
      </c>
      <c r="IC39" s="3">
        <f ca="1">IFERROR(__xludf.DUMMYFUNCTION("""COMPUTED_VALUE"""),-0.580799808681621)</f>
        <v>-0.58079980868162095</v>
      </c>
      <c r="ID39" s="3">
        <f ca="1">IFERROR(__xludf.DUMMYFUNCTION("""COMPUTED_VALUE"""),-0.557178144806945)</f>
        <v>-0.55717814480694505</v>
      </c>
      <c r="IE39" s="3">
        <f ca="1">IFERROR(__xludf.DUMMYFUNCTION("""COMPUTED_VALUE"""),-0.529636785477603)</f>
        <v>-0.52963678547760296</v>
      </c>
      <c r="IF39" s="3">
        <f ca="1">IFERROR(__xludf.DUMMYFUNCTION("""COMPUTED_VALUE"""),-0.583849843675872)</f>
        <v>-0.583849843675872</v>
      </c>
      <c r="IG39" s="3">
        <f ca="1">IFERROR(__xludf.DUMMYFUNCTION("""COMPUTED_VALUE"""),-0.566503968130318)</f>
        <v>-0.566503968130318</v>
      </c>
      <c r="IH39" s="3">
        <f ca="1">IFERROR(__xludf.DUMMYFUNCTION("""COMPUTED_VALUE"""),-0.564361287882589)</f>
        <v>-0.56436128788258899</v>
      </c>
      <c r="II39" s="3">
        <f ca="1">IFERROR(__xludf.DUMMYFUNCTION("""COMPUTED_VALUE"""),-0.585713849136609)</f>
        <v>-0.58571384913660895</v>
      </c>
      <c r="IJ39" s="3">
        <f ca="1">IFERROR(__xludf.DUMMYFUNCTION("""COMPUTED_VALUE"""),-0.539480429702679)</f>
        <v>-0.53948042970267895</v>
      </c>
      <c r="IK39" s="3">
        <f ca="1">IFERROR(__xludf.DUMMYFUNCTION("""COMPUTED_VALUE"""),-0.528533534145927)</f>
        <v>-0.52853353414592696</v>
      </c>
      <c r="IL39" s="3">
        <f ca="1">IFERROR(__xludf.DUMMYFUNCTION("""COMPUTED_VALUE"""),-0.517454859741551)</f>
        <v>-0.51745485974155103</v>
      </c>
      <c r="IM39" s="3">
        <f ca="1">IFERROR(__xludf.DUMMYFUNCTION("""COMPUTED_VALUE"""),-0.610735432685494)</f>
        <v>-0.61073543268549402</v>
      </c>
      <c r="IN39" s="3">
        <f ca="1">IFERROR(__xludf.DUMMYFUNCTION("""COMPUTED_VALUE"""),-0.589397750319713)</f>
        <v>-0.58939775031971298</v>
      </c>
      <c r="IO39" s="3">
        <f ca="1">IFERROR(__xludf.DUMMYFUNCTION("""COMPUTED_VALUE"""),-0.592994793576555)</f>
        <v>-0.59299479357655505</v>
      </c>
      <c r="IP39" s="3">
        <f ca="1">IFERROR(__xludf.DUMMYFUNCTION("""COMPUTED_VALUE"""),-0.600506307090278)</f>
        <v>-0.60050630709027797</v>
      </c>
      <c r="IQ39" s="3">
        <f ca="1">IFERROR(__xludf.DUMMYFUNCTION("""COMPUTED_VALUE"""),-0.581736806430371)</f>
        <v>-0.58173680643037096</v>
      </c>
      <c r="IR39" s="3">
        <f ca="1">IFERROR(__xludf.DUMMYFUNCTION("""COMPUTED_VALUE"""),-0.573632243802331)</f>
        <v>-0.57363224380233102</v>
      </c>
      <c r="IS39" s="3">
        <f ca="1">IFERROR(__xludf.DUMMYFUNCTION("""COMPUTED_VALUE"""),-0.566541261261913)</f>
        <v>-0.56654126126191295</v>
      </c>
      <c r="IT39" s="3">
        <f ca="1">IFERROR(__xludf.DUMMYFUNCTION("""COMPUTED_VALUE"""),-0.607578671853494)</f>
        <v>-0.60757867185349401</v>
      </c>
      <c r="IU39" s="3">
        <f ca="1">IFERROR(__xludf.DUMMYFUNCTION("""COMPUTED_VALUE"""),-0.604657702974036)</f>
        <v>-0.60465770297403598</v>
      </c>
      <c r="IV39" s="3">
        <f ca="1">IFERROR(__xludf.DUMMYFUNCTION("""COMPUTED_VALUE"""),-0.664444146370804)</f>
        <v>-0.66444414637080396</v>
      </c>
      <c r="IW39" s="3">
        <f ca="1">IFERROR(__xludf.DUMMYFUNCTION("""COMPUTED_VALUE"""),-0.578120963818148)</f>
        <v>-0.57812096381814804</v>
      </c>
      <c r="IX39" s="3">
        <f ca="1">IFERROR(__xludf.DUMMYFUNCTION("""COMPUTED_VALUE"""),-0.601125786733394)</f>
        <v>-0.60112578673339401</v>
      </c>
      <c r="IY39" s="3">
        <f ca="1">IFERROR(__xludf.DUMMYFUNCTION("""COMPUTED_VALUE"""),-0.571736685464804)</f>
        <v>-0.57173668546480405</v>
      </c>
      <c r="IZ39" s="3">
        <f ca="1">IFERROR(__xludf.DUMMYFUNCTION("""COMPUTED_VALUE"""),-0.518414662362791)</f>
        <v>-0.51841466236279099</v>
      </c>
      <c r="JA39" s="3">
        <f ca="1">IFERROR(__xludf.DUMMYFUNCTION("""COMPUTED_VALUE"""),-0.563515487532134)</f>
        <v>-0.56351548753213399</v>
      </c>
      <c r="JB39" s="3">
        <f ca="1">IFERROR(__xludf.DUMMYFUNCTION("""COMPUTED_VALUE"""),-0.554208191390801)</f>
        <v>-0.55420819139080102</v>
      </c>
      <c r="JC39" s="3">
        <f ca="1">IFERROR(__xludf.DUMMYFUNCTION("""COMPUTED_VALUE"""),-0.634028859314411)</f>
        <v>-0.634028859314411</v>
      </c>
      <c r="JD39" s="3">
        <f ca="1">IFERROR(__xludf.DUMMYFUNCTION("""COMPUTED_VALUE"""),-0.599250317633491)</f>
        <v>-0.59925031763349101</v>
      </c>
      <c r="JE39" s="3">
        <f ca="1">IFERROR(__xludf.DUMMYFUNCTION("""COMPUTED_VALUE"""),-0.554657701893604)</f>
        <v>-0.55465770189360397</v>
      </c>
      <c r="JF39" s="3">
        <f ca="1">IFERROR(__xludf.DUMMYFUNCTION("""COMPUTED_VALUE"""),-0.562200150057935)</f>
        <v>-0.562200150057935</v>
      </c>
      <c r="JG39" s="3">
        <f ca="1">IFERROR(__xludf.DUMMYFUNCTION("""COMPUTED_VALUE"""),-0.489204309210353)</f>
        <v>-0.48920430921035302</v>
      </c>
      <c r="JH39" s="3">
        <f ca="1">IFERROR(__xludf.DUMMYFUNCTION("""COMPUTED_VALUE"""),-0.565548776158336)</f>
        <v>-0.56554877615833599</v>
      </c>
      <c r="JI39" s="3">
        <f ca="1">IFERROR(__xludf.DUMMYFUNCTION("""COMPUTED_VALUE"""),-0.557044443798696)</f>
        <v>-0.557044443798696</v>
      </c>
      <c r="JJ39" s="3">
        <f ca="1">IFERROR(__xludf.DUMMYFUNCTION("""COMPUTED_VALUE"""),-0.573520273954742)</f>
        <v>-0.57352027395474203</v>
      </c>
      <c r="JK39" s="3">
        <f ca="1">IFERROR(__xludf.DUMMYFUNCTION("""COMPUTED_VALUE"""),-0.553460762512101)</f>
        <v>-0.55346076251210097</v>
      </c>
      <c r="JL39" s="3">
        <f ca="1">IFERROR(__xludf.DUMMYFUNCTION("""COMPUTED_VALUE"""),-0.526398810200826)</f>
        <v>-0.52639881020082602</v>
      </c>
      <c r="JM39" s="3">
        <f ca="1">IFERROR(__xludf.DUMMYFUNCTION("""COMPUTED_VALUE"""),-0.56835594157594)</f>
        <v>-0.56835594157594005</v>
      </c>
      <c r="JN39" s="3">
        <f ca="1">IFERROR(__xludf.DUMMYFUNCTION("""COMPUTED_VALUE"""),-0.522210912011323)</f>
        <v>-0.52221091201132297</v>
      </c>
      <c r="JO39" s="3">
        <f ca="1">IFERROR(__xludf.DUMMYFUNCTION("""COMPUTED_VALUE"""),-0.577873003648587)</f>
        <v>-0.57787300364858696</v>
      </c>
      <c r="JP39" s="3">
        <f ca="1">IFERROR(__xludf.DUMMYFUNCTION("""COMPUTED_VALUE"""),-0.549713311995229)</f>
        <v>-0.54971331199522899</v>
      </c>
      <c r="JQ39" s="3">
        <f ca="1">IFERROR(__xludf.DUMMYFUNCTION("""COMPUTED_VALUE"""),-0.524840709182502)</f>
        <v>-0.52484070918250203</v>
      </c>
      <c r="JR39" s="3">
        <f ca="1">IFERROR(__xludf.DUMMYFUNCTION("""COMPUTED_VALUE"""),-0.573706656445812)</f>
        <v>-0.57370665644581198</v>
      </c>
      <c r="JS39" s="3">
        <f ca="1">IFERROR(__xludf.DUMMYFUNCTION("""COMPUTED_VALUE"""),-0.55941659991108)</f>
        <v>-0.55941659991107995</v>
      </c>
      <c r="JT39" s="3">
        <f ca="1">IFERROR(__xludf.DUMMYFUNCTION("""COMPUTED_VALUE"""),-0.572740835791566)</f>
        <v>-0.57274083579156598</v>
      </c>
      <c r="JU39" s="3">
        <f ca="1">IFERROR(__xludf.DUMMYFUNCTION("""COMPUTED_VALUE"""),-0.557835843033889)</f>
        <v>-0.557835843033889</v>
      </c>
      <c r="JV39" s="3">
        <f ca="1">IFERROR(__xludf.DUMMYFUNCTION("""COMPUTED_VALUE"""),-0.602277632815749)</f>
        <v>-0.60227763281574898</v>
      </c>
      <c r="JW39" s="3">
        <f ca="1">IFERROR(__xludf.DUMMYFUNCTION("""COMPUTED_VALUE"""),-0.587318953755788)</f>
        <v>-0.58731895375578802</v>
      </c>
      <c r="JX39" s="3">
        <f ca="1">IFERROR(__xludf.DUMMYFUNCTION("""COMPUTED_VALUE"""),-0.525621745605637)</f>
        <v>-0.52562174560563701</v>
      </c>
      <c r="JY39" s="3">
        <f ca="1">IFERROR(__xludf.DUMMYFUNCTION("""COMPUTED_VALUE"""),-0.574738891564322)</f>
        <v>-0.57473889156432201</v>
      </c>
      <c r="JZ39" s="3">
        <f ca="1">IFERROR(__xludf.DUMMYFUNCTION("""COMPUTED_VALUE"""),-0.592813730531207)</f>
        <v>-0.59281373053120701</v>
      </c>
      <c r="KA39" s="3">
        <f ca="1">IFERROR(__xludf.DUMMYFUNCTION("""COMPUTED_VALUE"""),-0.577156376506991)</f>
        <v>-0.57715637650699103</v>
      </c>
      <c r="KB39" s="3">
        <f ca="1">IFERROR(__xludf.DUMMYFUNCTION("""COMPUTED_VALUE"""),-0.539681593498407)</f>
        <v>-0.53968159349840705</v>
      </c>
      <c r="KC39" s="3">
        <f ca="1">IFERROR(__xludf.DUMMYFUNCTION("""COMPUTED_VALUE"""),-0.592459200789968)</f>
        <v>-0.59245920078996805</v>
      </c>
      <c r="KD39" s="3">
        <f ca="1">IFERROR(__xludf.DUMMYFUNCTION("""COMPUTED_VALUE"""),-0.576357095837562)</f>
        <v>-0.57635709583756201</v>
      </c>
      <c r="KE39" s="3">
        <f ca="1">IFERROR(__xludf.DUMMYFUNCTION("""COMPUTED_VALUE"""),-0.51219150102854)</f>
        <v>-0.51219150102854005</v>
      </c>
      <c r="KF39" s="3">
        <f ca="1">IFERROR(__xludf.DUMMYFUNCTION("""COMPUTED_VALUE"""),-0.535268975572827)</f>
        <v>-0.53526897557282704</v>
      </c>
      <c r="KG39" s="3">
        <f ca="1">IFERROR(__xludf.DUMMYFUNCTION("""COMPUTED_VALUE"""),-0.558185602686143)</f>
        <v>-0.55818560268614303</v>
      </c>
      <c r="KH39" s="3">
        <f ca="1">IFERROR(__xludf.DUMMYFUNCTION("""COMPUTED_VALUE"""),-0.573427575539018)</f>
        <v>-0.57342757553901802</v>
      </c>
      <c r="KI39" s="3">
        <f ca="1">IFERROR(__xludf.DUMMYFUNCTION("""COMPUTED_VALUE"""),-0.515759321120875)</f>
        <v>-0.51575932112087497</v>
      </c>
      <c r="KJ39" s="3">
        <f ca="1">IFERROR(__xludf.DUMMYFUNCTION("""COMPUTED_VALUE"""),-0.518910951799716)</f>
        <v>-0.51891095179971602</v>
      </c>
      <c r="KK39" s="3">
        <f ca="1">IFERROR(__xludf.DUMMYFUNCTION("""COMPUTED_VALUE"""),-0.606866338342413)</f>
        <v>-0.60686633834241299</v>
      </c>
      <c r="KL39" s="3">
        <f ca="1">IFERROR(__xludf.DUMMYFUNCTION("""COMPUTED_VALUE"""),-0.571401805429113)</f>
        <v>-0.57140180542911301</v>
      </c>
      <c r="KM39" s="3">
        <f ca="1">IFERROR(__xludf.DUMMYFUNCTION("""COMPUTED_VALUE"""),-0.520212031986178)</f>
        <v>-0.52021203198617805</v>
      </c>
      <c r="KN39" s="3">
        <f ca="1">IFERROR(__xludf.DUMMYFUNCTION("""COMPUTED_VALUE"""),-0.608628336169953)</f>
        <v>-0.60862833616995304</v>
      </c>
      <c r="KO39" s="3">
        <f ca="1">IFERROR(__xludf.DUMMYFUNCTION("""COMPUTED_VALUE"""),-0.505502654747785)</f>
        <v>-0.505502654747785</v>
      </c>
      <c r="KP39" s="3">
        <f ca="1">IFERROR(__xludf.DUMMYFUNCTION("""COMPUTED_VALUE"""),-0.535980986657332)</f>
        <v>-0.53598098665733196</v>
      </c>
      <c r="KQ39" s="3">
        <f ca="1">IFERROR(__xludf.DUMMYFUNCTION("""COMPUTED_VALUE"""),-0.562923546585323)</f>
        <v>-0.56292354658532295</v>
      </c>
      <c r="KR39" s="3">
        <f ca="1">IFERROR(__xludf.DUMMYFUNCTION("""COMPUTED_VALUE"""),-0.569266433452722)</f>
        <v>-0.56926643345272199</v>
      </c>
      <c r="KS39" s="3">
        <f ca="1">IFERROR(__xludf.DUMMYFUNCTION("""COMPUTED_VALUE"""),-0.58738654920146)</f>
        <v>-0.58738654920146005</v>
      </c>
      <c r="KT39" s="3">
        <f ca="1">IFERROR(__xludf.DUMMYFUNCTION("""COMPUTED_VALUE"""),-0.58633159144576)</f>
        <v>-0.58633159144575997</v>
      </c>
      <c r="KU39" s="3">
        <f ca="1">IFERROR(__xludf.DUMMYFUNCTION("""COMPUTED_VALUE"""),-0.623888924294842)</f>
        <v>-0.623888924294842</v>
      </c>
      <c r="KV39" s="3">
        <f ca="1">IFERROR(__xludf.DUMMYFUNCTION("""COMPUTED_VALUE"""),-0.563886917982388)</f>
        <v>-0.56388691798238799</v>
      </c>
      <c r="KW39" s="3">
        <f ca="1">IFERROR(__xludf.DUMMYFUNCTION("""COMPUTED_VALUE"""),-0.511225164228509)</f>
        <v>-0.51122516422850905</v>
      </c>
      <c r="KX39" s="3">
        <f ca="1">IFERROR(__xludf.DUMMYFUNCTION("""COMPUTED_VALUE"""),-0.592926930854666)</f>
        <v>-0.59292693085466597</v>
      </c>
      <c r="KY39" s="3">
        <f ca="1">IFERROR(__xludf.DUMMYFUNCTION("""COMPUTED_VALUE"""),-0.5898922376536)</f>
        <v>-0.58989223765359999</v>
      </c>
      <c r="KZ39" s="3">
        <f ca="1">IFERROR(__xludf.DUMMYFUNCTION("""COMPUTED_VALUE"""),-0.629916024237422)</f>
        <v>-0.62991602423742199</v>
      </c>
      <c r="LA39" s="3">
        <f ca="1">IFERROR(__xludf.DUMMYFUNCTION("""COMPUTED_VALUE"""),-0.608896412385839)</f>
        <v>-0.60889641238583903</v>
      </c>
      <c r="LB39" s="3">
        <f ca="1">IFERROR(__xludf.DUMMYFUNCTION("""COMPUTED_VALUE"""),-0.651129506615875)</f>
        <v>-0.65112950661587499</v>
      </c>
      <c r="LC39" s="3">
        <f ca="1">IFERROR(__xludf.DUMMYFUNCTION("""COMPUTED_VALUE"""),-0.551687744277909)</f>
        <v>-0.55168774427790901</v>
      </c>
      <c r="LD39" s="3">
        <f ca="1">IFERROR(__xludf.DUMMYFUNCTION("""COMPUTED_VALUE"""),-0.554788114141046)</f>
        <v>-0.55478811414104601</v>
      </c>
      <c r="LE39" s="3">
        <f ca="1">IFERROR(__xludf.DUMMYFUNCTION("""COMPUTED_VALUE"""),-0.556033920473314)</f>
        <v>-0.55603392047331401</v>
      </c>
      <c r="LF39" s="3">
        <f ca="1">IFERROR(__xludf.DUMMYFUNCTION("""COMPUTED_VALUE"""),-0.638825131670847)</f>
        <v>-0.63882513167084698</v>
      </c>
      <c r="LG39" s="3">
        <f ca="1">IFERROR(__xludf.DUMMYFUNCTION("""COMPUTED_VALUE"""),-0.564543125257979)</f>
        <v>-0.56454312525797901</v>
      </c>
      <c r="LH39" s="3">
        <f ca="1">IFERROR(__xludf.DUMMYFUNCTION("""COMPUTED_VALUE"""),-0.62014744271729)</f>
        <v>-0.62014744271729005</v>
      </c>
      <c r="LI39" s="3">
        <f ca="1">IFERROR(__xludf.DUMMYFUNCTION("""COMPUTED_VALUE"""),-0.631250032238205)</f>
        <v>-0.63125003223820497</v>
      </c>
      <c r="LJ39" s="3">
        <f ca="1">IFERROR(__xludf.DUMMYFUNCTION("""COMPUTED_VALUE"""),-0.629388160176558)</f>
        <v>-0.62938816017655796</v>
      </c>
      <c r="LK39" s="3">
        <f ca="1">IFERROR(__xludf.DUMMYFUNCTION("""COMPUTED_VALUE"""),-0.554656001550986)</f>
        <v>-0.55465600155098604</v>
      </c>
      <c r="LL39" s="3">
        <f ca="1">IFERROR(__xludf.DUMMYFUNCTION("""COMPUTED_VALUE"""),-0.622045241162294)</f>
        <v>-0.62204524116229398</v>
      </c>
      <c r="LM39" s="3">
        <f ca="1">IFERROR(__xludf.DUMMYFUNCTION("""COMPUTED_VALUE"""),-0.626393862676891)</f>
        <v>-0.62639386267689101</v>
      </c>
      <c r="LN39" s="3">
        <f ca="1">IFERROR(__xludf.DUMMYFUNCTION("""COMPUTED_VALUE"""),-0.637250706471775)</f>
        <v>-0.63725070647177495</v>
      </c>
      <c r="LO39" s="3">
        <f ca="1">IFERROR(__xludf.DUMMYFUNCTION("""COMPUTED_VALUE"""),-0.610255684223207)</f>
        <v>-0.61025568422320697</v>
      </c>
      <c r="LP39" s="3">
        <f ca="1">IFERROR(__xludf.DUMMYFUNCTION("""COMPUTED_VALUE"""),-0.676139158047902)</f>
        <v>-0.67613915804790203</v>
      </c>
      <c r="LQ39" s="3">
        <f ca="1">IFERROR(__xludf.DUMMYFUNCTION("""COMPUTED_VALUE"""),-0.64535193367928)</f>
        <v>-0.64535193367928001</v>
      </c>
      <c r="LR39" s="3">
        <f ca="1">IFERROR(__xludf.DUMMYFUNCTION("""COMPUTED_VALUE"""),-0.56518011425961)</f>
        <v>-0.56518011425961001</v>
      </c>
      <c r="LS39" s="3">
        <f ca="1">IFERROR(__xludf.DUMMYFUNCTION("""COMPUTED_VALUE"""),-0.704657294885249)</f>
        <v>-0.70465729488524897</v>
      </c>
      <c r="LT39" s="3">
        <f ca="1">IFERROR(__xludf.DUMMYFUNCTION("""COMPUTED_VALUE"""),-0.706160180526772)</f>
        <v>-0.70616018052677199</v>
      </c>
      <c r="LU39" s="3">
        <f ca="1">IFERROR(__xludf.DUMMYFUNCTION("""COMPUTED_VALUE"""),-0.67179823023594)</f>
        <v>-0.67179823023593999</v>
      </c>
      <c r="LV39" s="3">
        <f ca="1">IFERROR(__xludf.DUMMYFUNCTION("""COMPUTED_VALUE"""),-0.714129198022239)</f>
        <v>-0.71412919802223895</v>
      </c>
      <c r="LW39" s="3">
        <f ca="1">IFERROR(__xludf.DUMMYFUNCTION("""COMPUTED_VALUE"""),-0.696374999799341)</f>
        <v>-0.69637499979934103</v>
      </c>
      <c r="LX39" s="3">
        <f ca="1">IFERROR(__xludf.DUMMYFUNCTION("""COMPUTED_VALUE"""),-0.665129516283448)</f>
        <v>-0.66512951628344796</v>
      </c>
      <c r="LY39" s="3">
        <f ca="1">IFERROR(__xludf.DUMMYFUNCTION("""COMPUTED_VALUE"""),-0.609646504105164)</f>
        <v>-0.60964650410516397</v>
      </c>
      <c r="LZ39" s="3">
        <f ca="1">IFERROR(__xludf.DUMMYFUNCTION("""COMPUTED_VALUE"""),-0.653976301412502)</f>
        <v>-0.65397630141250196</v>
      </c>
      <c r="MA39" s="3">
        <f ca="1">IFERROR(__xludf.DUMMYFUNCTION("""COMPUTED_VALUE"""),-0.699384091038414)</f>
        <v>-0.69938409103841404</v>
      </c>
      <c r="MB39" s="3">
        <f ca="1">IFERROR(__xludf.DUMMYFUNCTION("""COMPUTED_VALUE"""),-0.677717491566297)</f>
        <v>-0.67771749156629701</v>
      </c>
      <c r="MC39" s="3">
        <f ca="1">IFERROR(__xludf.DUMMYFUNCTION("""COMPUTED_VALUE"""),-0.664463515057448)</f>
        <v>-0.66446351505744805</v>
      </c>
      <c r="MD39" s="3">
        <f ca="1">IFERROR(__xludf.DUMMYFUNCTION("""COMPUTED_VALUE"""),-0.713565576559311)</f>
        <v>-0.71356557655931097</v>
      </c>
      <c r="ME39" s="3">
        <f ca="1">IFERROR(__xludf.DUMMYFUNCTION("""COMPUTED_VALUE"""),-0.653797447149518)</f>
        <v>-0.65379744714951804</v>
      </c>
      <c r="MF39" s="3">
        <f ca="1">IFERROR(__xludf.DUMMYFUNCTION("""COMPUTED_VALUE"""),-0.660148549728298)</f>
        <v>-0.66014854972829795</v>
      </c>
      <c r="MG39" s="3">
        <f ca="1">IFERROR(__xludf.DUMMYFUNCTION("""COMPUTED_VALUE"""),-0.651482424745096)</f>
        <v>-0.65148242474509599</v>
      </c>
      <c r="MH39" s="3">
        <f ca="1">IFERROR(__xludf.DUMMYFUNCTION("""COMPUTED_VALUE"""),-0.646884245064098)</f>
        <v>-0.64688424506409803</v>
      </c>
      <c r="MI39" s="3">
        <f ca="1">IFERROR(__xludf.DUMMYFUNCTION("""COMPUTED_VALUE"""),-0.710752398196589)</f>
        <v>-0.71075239819658897</v>
      </c>
      <c r="MJ39" s="3">
        <f ca="1">IFERROR(__xludf.DUMMYFUNCTION("""COMPUTED_VALUE"""),-0.7306082975404)</f>
        <v>-0.73060829754040002</v>
      </c>
      <c r="MK39" s="3">
        <f ca="1">IFERROR(__xludf.DUMMYFUNCTION("""COMPUTED_VALUE"""),-0.678029222258833)</f>
        <v>-0.678029222258833</v>
      </c>
      <c r="ML39" s="3">
        <f ca="1">IFERROR(__xludf.DUMMYFUNCTION("""COMPUTED_VALUE"""),-0.718136631406611)</f>
        <v>-0.71813663140661099</v>
      </c>
      <c r="MM39" s="3">
        <f ca="1">IFERROR(__xludf.DUMMYFUNCTION("""COMPUTED_VALUE"""),-0.721984670818675)</f>
        <v>-0.72198467081867501</v>
      </c>
      <c r="MN39" s="3">
        <f ca="1">IFERROR(__xludf.DUMMYFUNCTION("""COMPUTED_VALUE"""),-0.697479775419652)</f>
        <v>-0.697479775419652</v>
      </c>
      <c r="MO39" s="3">
        <f ca="1">IFERROR(__xludf.DUMMYFUNCTION("""COMPUTED_VALUE"""),-0.682525462329728)</f>
        <v>-0.68252546232972799</v>
      </c>
      <c r="MP39" s="3">
        <f ca="1">IFERROR(__xludf.DUMMYFUNCTION("""COMPUTED_VALUE"""),-0.744043810203548)</f>
        <v>-0.74404381020354804</v>
      </c>
      <c r="MQ39" s="3">
        <f ca="1">IFERROR(__xludf.DUMMYFUNCTION("""COMPUTED_VALUE"""),-0.670089530475286)</f>
        <v>-0.67008953047528597</v>
      </c>
      <c r="MR39" s="3">
        <f ca="1">IFERROR(__xludf.DUMMYFUNCTION("""COMPUTED_VALUE"""),-0.68110916838173)</f>
        <v>-0.68110916838172997</v>
      </c>
      <c r="MS39" s="3">
        <f ca="1">IFERROR(__xludf.DUMMYFUNCTION("""COMPUTED_VALUE"""),-0.672414255271519)</f>
        <v>-0.67241425527151899</v>
      </c>
      <c r="MT39" s="3">
        <f ca="1">IFERROR(__xludf.DUMMYFUNCTION("""COMPUTED_VALUE"""),-0.648858218690077)</f>
        <v>-0.64885821869007698</v>
      </c>
      <c r="MU39" s="3">
        <f ca="1">IFERROR(__xludf.DUMMYFUNCTION("""COMPUTED_VALUE"""),-0.646700440974251)</f>
        <v>-0.64670044097425095</v>
      </c>
      <c r="MV39" s="3">
        <f ca="1">IFERROR(__xludf.DUMMYFUNCTION("""COMPUTED_VALUE"""),-0.730671228539611)</f>
        <v>-0.73067122853961097</v>
      </c>
      <c r="MW39" s="3">
        <f ca="1">IFERROR(__xludf.DUMMYFUNCTION("""COMPUTED_VALUE"""),-0.695378257520022)</f>
        <v>-0.69537825752002203</v>
      </c>
      <c r="MX39" s="3">
        <f ca="1">IFERROR(__xludf.DUMMYFUNCTION("""COMPUTED_VALUE"""),-0.712539931178045)</f>
        <v>-0.71253993117804504</v>
      </c>
      <c r="MY39" s="3">
        <f ca="1">IFERROR(__xludf.DUMMYFUNCTION("""COMPUTED_VALUE"""),-0.74784252026899)</f>
        <v>-0.74784252026899001</v>
      </c>
      <c r="MZ39" s="3">
        <f ca="1">IFERROR(__xludf.DUMMYFUNCTION("""COMPUTED_VALUE"""),-0.723402543890181)</f>
        <v>-0.72340254389018099</v>
      </c>
      <c r="NA39" s="3">
        <f ca="1">IFERROR(__xludf.DUMMYFUNCTION("""COMPUTED_VALUE"""),-0.670418416641753)</f>
        <v>-0.67041841664175295</v>
      </c>
      <c r="NB39" s="3">
        <f ca="1">IFERROR(__xludf.DUMMYFUNCTION("""COMPUTED_VALUE"""),-0.662590998545358)</f>
        <v>-0.66259099854535797</v>
      </c>
      <c r="NC39" s="3">
        <f ca="1">IFERROR(__xludf.DUMMYFUNCTION("""COMPUTED_VALUE"""),-0.638439387272256)</f>
        <v>-0.63843938727225602</v>
      </c>
      <c r="ND39" s="3">
        <f ca="1">IFERROR(__xludf.DUMMYFUNCTION("""COMPUTED_VALUE"""),-0.668349890547677)</f>
        <v>-0.66834989054767702</v>
      </c>
      <c r="NE39" s="3">
        <f ca="1">IFERROR(__xludf.DUMMYFUNCTION("""COMPUTED_VALUE"""),-0.668436004895544)</f>
        <v>-0.668436004895544</v>
      </c>
      <c r="NF39" s="3">
        <f ca="1">IFERROR(__xludf.DUMMYFUNCTION("""COMPUTED_VALUE"""),-0.674091659132175)</f>
        <v>-0.67409165913217495</v>
      </c>
      <c r="NG39" s="3">
        <f ca="1">IFERROR(__xludf.DUMMYFUNCTION("""COMPUTED_VALUE"""),-0.624474405212989)</f>
        <v>-0.62447440521298903</v>
      </c>
      <c r="NH39" s="3">
        <f ca="1">IFERROR(__xludf.DUMMYFUNCTION("""COMPUTED_VALUE"""),-0.410546702118564)</f>
        <v>-0.41054670211856398</v>
      </c>
      <c r="NI39" s="3">
        <f ca="1">IFERROR(__xludf.DUMMYFUNCTION("""COMPUTED_VALUE"""),-0.597973420587443)</f>
        <v>-0.59797342058744296</v>
      </c>
      <c r="NJ39" s="3">
        <f ca="1">IFERROR(__xludf.DUMMYFUNCTION("""COMPUTED_VALUE"""),-0.595075797652247)</f>
        <v>-0.59507579765224705</v>
      </c>
      <c r="NK39" s="3">
        <f ca="1">IFERROR(__xludf.DUMMYFUNCTION("""COMPUTED_VALUE"""),-0.665329713054763)</f>
        <v>-0.66532971305476296</v>
      </c>
      <c r="NL39" s="3">
        <f ca="1">IFERROR(__xludf.DUMMYFUNCTION("""COMPUTED_VALUE"""),-0.667042412364223)</f>
        <v>-0.66704241236422301</v>
      </c>
      <c r="NM39" s="3">
        <f ca="1">IFERROR(__xludf.DUMMYFUNCTION("""COMPUTED_VALUE"""),-0.63377486040355)</f>
        <v>-0.63377486040355002</v>
      </c>
      <c r="NN39" s="3">
        <f ca="1">IFERROR(__xludf.DUMMYFUNCTION("""COMPUTED_VALUE"""),-0.637224299027939)</f>
        <v>-0.63722429902793898</v>
      </c>
      <c r="NO39" s="3">
        <f ca="1">IFERROR(__xludf.DUMMYFUNCTION("""COMPUTED_VALUE"""),-0.534428542964899)</f>
        <v>-0.53442854296489894</v>
      </c>
      <c r="NP39" s="3">
        <f ca="1">IFERROR(__xludf.DUMMYFUNCTION("""COMPUTED_VALUE"""),-0.569804107093996)</f>
        <v>-0.56980410709399598</v>
      </c>
      <c r="NQ39" s="3">
        <f ca="1">IFERROR(__xludf.DUMMYFUNCTION("""COMPUTED_VALUE"""),-0.660118425127598)</f>
        <v>-0.660118425127598</v>
      </c>
      <c r="NR39" s="3">
        <f ca="1">IFERROR(__xludf.DUMMYFUNCTION("""COMPUTED_VALUE"""),-0.642867053252304)</f>
        <v>-0.64286705325230398</v>
      </c>
      <c r="NS39" s="3">
        <f ca="1">IFERROR(__xludf.DUMMYFUNCTION("""COMPUTED_VALUE"""),-0.58407944060542)</f>
        <v>-0.58407944060542005</v>
      </c>
      <c r="NT39" s="3">
        <f ca="1">IFERROR(__xludf.DUMMYFUNCTION("""COMPUTED_VALUE"""),-0.553361606718653)</f>
        <v>-0.55336160671865298</v>
      </c>
      <c r="NU39" s="3">
        <f ca="1">IFERROR(__xludf.DUMMYFUNCTION("""COMPUTED_VALUE"""),-0.486986508046872)</f>
        <v>-0.48698650804687199</v>
      </c>
      <c r="NV39" s="3">
        <f ca="1">IFERROR(__xludf.DUMMYFUNCTION("""COMPUTED_VALUE"""),-0.450802880855565)</f>
        <v>-0.45080288085556502</v>
      </c>
      <c r="NW39" s="3">
        <f ca="1">IFERROR(__xludf.DUMMYFUNCTION("""COMPUTED_VALUE"""),-0.509972995206785)</f>
        <v>-0.50997299520678496</v>
      </c>
      <c r="NX39" s="3">
        <f ca="1">IFERROR(__xludf.DUMMYFUNCTION("""COMPUTED_VALUE"""),-0.349029473082475)</f>
        <v>-0.34902947308247501</v>
      </c>
      <c r="NY39" s="3">
        <f ca="1">IFERROR(__xludf.DUMMYFUNCTION("""COMPUTED_VALUE"""),-0.487887728228947)</f>
        <v>-0.48788772822894699</v>
      </c>
      <c r="NZ39" s="3">
        <f ca="1">IFERROR(__xludf.DUMMYFUNCTION("""COMPUTED_VALUE"""),-0.462530180696963)</f>
        <v>-0.462530180696963</v>
      </c>
      <c r="OA39" s="3">
        <f ca="1">IFERROR(__xludf.DUMMYFUNCTION("""COMPUTED_VALUE"""),-0.351203986703285)</f>
        <v>-0.35120398670328501</v>
      </c>
      <c r="OB39" s="3">
        <f ca="1">IFERROR(__xludf.DUMMYFUNCTION("""COMPUTED_VALUE"""),-0.315799645158)</f>
        <v>-0.31579964515800002</v>
      </c>
      <c r="OC39" s="3">
        <f ca="1">IFERROR(__xludf.DUMMYFUNCTION("""COMPUTED_VALUE"""),-0.232496943725115)</f>
        <v>-0.23249694372511501</v>
      </c>
      <c r="OD39" s="3">
        <f ca="1">IFERROR(__xludf.DUMMYFUNCTION("""COMPUTED_VALUE"""),-0.329688170957854)</f>
        <v>-0.32968817095785402</v>
      </c>
      <c r="OE39" s="3">
        <f ca="1">IFERROR(__xludf.DUMMYFUNCTION("""COMPUTED_VALUE"""),-0.119490624298569)</f>
        <v>-0.11949062429856901</v>
      </c>
      <c r="OF39" s="3">
        <f ca="1">IFERROR(__xludf.DUMMYFUNCTION("""COMPUTED_VALUE"""),-0.0863580528313925)</f>
        <v>-8.6358052831392501E-2</v>
      </c>
      <c r="OG39" s="3">
        <f ca="1">IFERROR(__xludf.DUMMYFUNCTION("""COMPUTED_VALUE"""),0.023749790952422)</f>
        <v>2.3749790952421999E-2</v>
      </c>
      <c r="OH39" s="3">
        <f ca="1">IFERROR(__xludf.DUMMYFUNCTION("""COMPUTED_VALUE"""),-0.039069996171383)</f>
        <v>-3.9069996171383001E-2</v>
      </c>
      <c r="OI39" s="3">
        <f ca="1">IFERROR(__xludf.DUMMYFUNCTION("""COMPUTED_VALUE"""),-0.0597500879646665)</f>
        <v>-5.97500879646665E-2</v>
      </c>
      <c r="OJ39" s="3">
        <f ca="1">IFERROR(__xludf.DUMMYFUNCTION("""COMPUTED_VALUE"""),-0.0593746793906919)</f>
        <v>-5.9374679390691902E-2</v>
      </c>
      <c r="OK39" s="3">
        <f ca="1">IFERROR(__xludf.DUMMYFUNCTION("""COMPUTED_VALUE"""),-0.0438349327426255)</f>
        <v>-4.3834932742625503E-2</v>
      </c>
      <c r="OL39" s="3">
        <f ca="1">IFERROR(__xludf.DUMMYFUNCTION("""COMPUTED_VALUE"""),-0.0454683993725734)</f>
        <v>-4.5468399372573402E-2</v>
      </c>
      <c r="OM39" s="3">
        <f ca="1">IFERROR(__xludf.DUMMYFUNCTION("""COMPUTED_VALUE"""),0.142848414205304)</f>
        <v>0.142848414205304</v>
      </c>
      <c r="ON39" s="3">
        <f ca="1">IFERROR(__xludf.DUMMYFUNCTION("""COMPUTED_VALUE"""),0.102849646062548)</f>
        <v>0.102849646062548</v>
      </c>
      <c r="OO39" s="3">
        <f ca="1">IFERROR(__xludf.DUMMYFUNCTION("""COMPUTED_VALUE"""),0.0615186216077108)</f>
        <v>6.1518621607710801E-2</v>
      </c>
      <c r="OP39" s="3">
        <f ca="1">IFERROR(__xludf.DUMMYFUNCTION("""COMPUTED_VALUE"""),-0.0227373264840246)</f>
        <v>-2.27373264840246E-2</v>
      </c>
      <c r="OQ39" s="3">
        <f ca="1">IFERROR(__xludf.DUMMYFUNCTION("""COMPUTED_VALUE"""),0.0765196426836329)</f>
        <v>7.6519642683632899E-2</v>
      </c>
      <c r="OR39" s="3">
        <f ca="1">IFERROR(__xludf.DUMMYFUNCTION("""COMPUTED_VALUE"""),-0.104746976399235)</f>
        <v>-0.104746976399235</v>
      </c>
      <c r="OS39" s="3">
        <f ca="1">IFERROR(__xludf.DUMMYFUNCTION("""COMPUTED_VALUE"""),0.00701646805175992)</f>
        <v>7.0164680517599198E-3</v>
      </c>
      <c r="OT39" s="3">
        <f ca="1">IFERROR(__xludf.DUMMYFUNCTION("""COMPUTED_VALUE"""),0.0451434512619377)</f>
        <v>4.5143451261937702E-2</v>
      </c>
      <c r="OU39" s="3">
        <f ca="1">IFERROR(__xludf.DUMMYFUNCTION("""COMPUTED_VALUE"""),0.0730681146084171)</f>
        <v>7.3068114608417098E-2</v>
      </c>
      <c r="OV39" s="3">
        <f ca="1">IFERROR(__xludf.DUMMYFUNCTION("""COMPUTED_VALUE"""),0.0764840202229579)</f>
        <v>7.6484020222957902E-2</v>
      </c>
      <c r="OW39" s="3">
        <f ca="1">IFERROR(__xludf.DUMMYFUNCTION("""COMPUTED_VALUE"""),-0.027437145121648)</f>
        <v>-2.7437145121648E-2</v>
      </c>
      <c r="OX39" s="3">
        <f ca="1">IFERROR(__xludf.DUMMYFUNCTION("""COMPUTED_VALUE"""),0.0480995878434065)</f>
        <v>4.8099587843406497E-2</v>
      </c>
      <c r="OY39" s="3">
        <f ca="1">IFERROR(__xludf.DUMMYFUNCTION("""COMPUTED_VALUE"""),0.0521359173889481)</f>
        <v>5.21359173889481E-2</v>
      </c>
      <c r="OZ39" s="3">
        <f ca="1">IFERROR(__xludf.DUMMYFUNCTION("""COMPUTED_VALUE"""),0.0475565972523583)</f>
        <v>4.75565972523583E-2</v>
      </c>
      <c r="PA39" s="3">
        <f ca="1">IFERROR(__xludf.DUMMYFUNCTION("""COMPUTED_VALUE"""),0.0302814570676031)</f>
        <v>3.0281457067603101E-2</v>
      </c>
      <c r="PB39" s="3">
        <f ca="1">IFERROR(__xludf.DUMMYFUNCTION("""COMPUTED_VALUE"""),0.049573379780208)</f>
        <v>4.9573379780208003E-2</v>
      </c>
      <c r="PC39" s="3">
        <f ca="1">IFERROR(__xludf.DUMMYFUNCTION("""COMPUTED_VALUE"""),0.0441872750198912)</f>
        <v>4.4187275019891198E-2</v>
      </c>
      <c r="PD39" s="3">
        <f ca="1">IFERROR(__xludf.DUMMYFUNCTION("""COMPUTED_VALUE"""),-0.000506225976199981)</f>
        <v>-5.06225976199981E-4</v>
      </c>
      <c r="PE39" s="3">
        <f ca="1">IFERROR(__xludf.DUMMYFUNCTION("""COMPUTED_VALUE"""),0.0586264319234608)</f>
        <v>5.8626431923460801E-2</v>
      </c>
      <c r="PF39" s="3">
        <f ca="1">IFERROR(__xludf.DUMMYFUNCTION("""COMPUTED_VALUE"""),-0.0502653677252414)</f>
        <v>-5.02653677252414E-2</v>
      </c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</row>
    <row r="40" spans="1:594" ht="15.75" customHeight="1">
      <c r="A40" s="1" t="str">
        <f ca="1">IFERROR(__xludf.DUMMYFUNCTION("""COMPUTED_VALUE"""),"Lyon")</f>
        <v>Lyon</v>
      </c>
      <c r="B40" s="3">
        <f ca="1">IFERROR(__xludf.DUMMYFUNCTION("""COMPUTED_VALUE"""),-0.32530038913661)</f>
        <v>-0.32530038913661002</v>
      </c>
      <c r="C40" s="3">
        <f ca="1">IFERROR(__xludf.DUMMYFUNCTION("""COMPUTED_VALUE"""),-0.369237688541032)</f>
        <v>-0.36923768854103201</v>
      </c>
      <c r="D40" s="3">
        <f ca="1">IFERROR(__xludf.DUMMYFUNCTION("""COMPUTED_VALUE"""),-0.351367516126869)</f>
        <v>-0.35136751612686901</v>
      </c>
      <c r="E40" s="3">
        <f ca="1">IFERROR(__xludf.DUMMYFUNCTION("""COMPUTED_VALUE"""),-0.321934372433604)</f>
        <v>-0.32193437243360401</v>
      </c>
      <c r="F40" s="3">
        <f ca="1">IFERROR(__xludf.DUMMYFUNCTION("""COMPUTED_VALUE"""),-0.345346692542384)</f>
        <v>-0.34534669254238398</v>
      </c>
      <c r="G40" s="3">
        <f ca="1">IFERROR(__xludf.DUMMYFUNCTION("""COMPUTED_VALUE"""),-0.411891254268226)</f>
        <v>-0.41189125426822598</v>
      </c>
      <c r="H40" s="3">
        <f ca="1">IFERROR(__xludf.DUMMYFUNCTION("""COMPUTED_VALUE"""),-0.268198491963612)</f>
        <v>-0.26819849196361201</v>
      </c>
      <c r="I40" s="3">
        <f ca="1">IFERROR(__xludf.DUMMYFUNCTION("""COMPUTED_VALUE"""),-0.443416617826783)</f>
        <v>-0.44341661782678299</v>
      </c>
      <c r="J40" s="3">
        <f ca="1">IFERROR(__xludf.DUMMYFUNCTION("""COMPUTED_VALUE"""),-0.329497290167523)</f>
        <v>-0.32949729016752299</v>
      </c>
      <c r="K40" s="3">
        <f ca="1">IFERROR(__xludf.DUMMYFUNCTION("""COMPUTED_VALUE"""),-0.325818917830327)</f>
        <v>-0.32581891783032702</v>
      </c>
      <c r="L40" s="3">
        <f ca="1">IFERROR(__xludf.DUMMYFUNCTION("""COMPUTED_VALUE"""),-0.278579755032219)</f>
        <v>-0.27857975503221899</v>
      </c>
      <c r="M40" s="3">
        <f ca="1">IFERROR(__xludf.DUMMYFUNCTION("""COMPUTED_VALUE"""),-0.338420956318391)</f>
        <v>-0.33842095631839098</v>
      </c>
      <c r="N40" s="3">
        <f ca="1">IFERROR(__xludf.DUMMYFUNCTION("""COMPUTED_VALUE"""),-0.262653435435401)</f>
        <v>-0.26265343543540098</v>
      </c>
      <c r="O40" s="3">
        <f ca="1">IFERROR(__xludf.DUMMYFUNCTION("""COMPUTED_VALUE"""),-0.30815152069262)</f>
        <v>-0.30815152069261997</v>
      </c>
      <c r="P40" s="3">
        <f ca="1">IFERROR(__xludf.DUMMYFUNCTION("""COMPUTED_VALUE"""),-0.416064966987221)</f>
        <v>-0.41606496698722101</v>
      </c>
      <c r="Q40" s="3">
        <f ca="1">IFERROR(__xludf.DUMMYFUNCTION("""COMPUTED_VALUE"""),-0.25336551884904)</f>
        <v>-0.25336551884904002</v>
      </c>
      <c r="R40" s="3">
        <f ca="1">IFERROR(__xludf.DUMMYFUNCTION("""COMPUTED_VALUE"""),-0.267129479521126)</f>
        <v>-0.26712947952112598</v>
      </c>
      <c r="S40" s="3">
        <f ca="1">IFERROR(__xludf.DUMMYFUNCTION("""COMPUTED_VALUE"""),-0.266204687102077)</f>
        <v>-0.26620468710207701</v>
      </c>
      <c r="T40" s="3">
        <f ca="1">IFERROR(__xludf.DUMMYFUNCTION("""COMPUTED_VALUE"""),-0.302392684281402)</f>
        <v>-0.30239268428140198</v>
      </c>
      <c r="U40" s="3">
        <f ca="1">IFERROR(__xludf.DUMMYFUNCTION("""COMPUTED_VALUE"""),-0.18981984811472)</f>
        <v>-0.18981984811472</v>
      </c>
      <c r="V40" s="3">
        <f ca="1">IFERROR(__xludf.DUMMYFUNCTION("""COMPUTED_VALUE"""),-0.265734157106493)</f>
        <v>-0.26573415710649301</v>
      </c>
      <c r="W40" s="3">
        <f ca="1">IFERROR(__xludf.DUMMYFUNCTION("""COMPUTED_VALUE"""),-0.290467327234656)</f>
        <v>-0.29046732723465601</v>
      </c>
      <c r="X40" s="3">
        <f ca="1">IFERROR(__xludf.DUMMYFUNCTION("""COMPUTED_VALUE"""),-0.292527557077399)</f>
        <v>-0.29252755707739903</v>
      </c>
      <c r="Y40" s="3">
        <f ca="1">IFERROR(__xludf.DUMMYFUNCTION("""COMPUTED_VALUE"""),-0.283912375571866)</f>
        <v>-0.28391237557186599</v>
      </c>
      <c r="Z40" s="3">
        <f ca="1">IFERROR(__xludf.DUMMYFUNCTION("""COMPUTED_VALUE"""),-0.282551246143164)</f>
        <v>-0.28255124614316401</v>
      </c>
      <c r="AA40" s="3">
        <f ca="1">IFERROR(__xludf.DUMMYFUNCTION("""COMPUTED_VALUE"""),-0.259801925543915)</f>
        <v>-0.25980192554391501</v>
      </c>
      <c r="AB40" s="3">
        <f ca="1">IFERROR(__xludf.DUMMYFUNCTION("""COMPUTED_VALUE"""),-0.128807338891102)</f>
        <v>-0.12880733889110199</v>
      </c>
      <c r="AC40" s="3">
        <f ca="1">IFERROR(__xludf.DUMMYFUNCTION("""COMPUTED_VALUE"""),-0.249510099793134)</f>
        <v>-0.24951009979313399</v>
      </c>
      <c r="AD40" s="3">
        <f ca="1">IFERROR(__xludf.DUMMYFUNCTION("""COMPUTED_VALUE"""),-0.366637948160495)</f>
        <v>-0.366637948160495</v>
      </c>
      <c r="AE40" s="3">
        <f ca="1">IFERROR(__xludf.DUMMYFUNCTION("""COMPUTED_VALUE"""),-0.339443229386765)</f>
        <v>-0.33944322938676502</v>
      </c>
      <c r="AF40" s="3">
        <f ca="1">IFERROR(__xludf.DUMMYFUNCTION("""COMPUTED_VALUE"""),-0.342104392676104)</f>
        <v>-0.34210439267610399</v>
      </c>
      <c r="AG40" s="3">
        <f ca="1">IFERROR(__xludf.DUMMYFUNCTION("""COMPUTED_VALUE"""),-0.255754551457613)</f>
        <v>-0.255754551457613</v>
      </c>
      <c r="AH40" s="3">
        <f ca="1">IFERROR(__xludf.DUMMYFUNCTION("""COMPUTED_VALUE"""),-0.297554734120477)</f>
        <v>-0.297554734120477</v>
      </c>
      <c r="AI40" s="3">
        <f ca="1">IFERROR(__xludf.DUMMYFUNCTION("""COMPUTED_VALUE"""),-0.241702737355079)</f>
        <v>-0.24170273735507899</v>
      </c>
      <c r="AJ40" s="3">
        <f ca="1">IFERROR(__xludf.DUMMYFUNCTION("""COMPUTED_VALUE"""),-0.104430581804301)</f>
        <v>-0.104430581804301</v>
      </c>
      <c r="AK40" s="3">
        <f ca="1">IFERROR(__xludf.DUMMYFUNCTION("""COMPUTED_VALUE"""),-0.28084262094696)</f>
        <v>-0.28084262094696</v>
      </c>
      <c r="AL40" s="3">
        <f ca="1">IFERROR(__xludf.DUMMYFUNCTION("""COMPUTED_VALUE"""),-0.349607042534915)</f>
        <v>-0.34960704253491498</v>
      </c>
      <c r="AM40" s="3">
        <f ca="1">IFERROR(__xludf.DUMMYFUNCTION("""COMPUTED_VALUE"""),-0.239947036640841)</f>
        <v>-0.23994703664084099</v>
      </c>
      <c r="AN40" s="3">
        <f ca="1">IFERROR(__xludf.DUMMYFUNCTION("""COMPUTED_VALUE"""),-0.270461479162155)</f>
        <v>-0.27046147916215502</v>
      </c>
      <c r="AO40" s="3">
        <f ca="1">IFERROR(__xludf.DUMMYFUNCTION("""COMPUTED_VALUE"""),-0.244311094146553)</f>
        <v>-0.244311094146553</v>
      </c>
      <c r="AP40" s="3">
        <f ca="1">IFERROR(__xludf.DUMMYFUNCTION("""COMPUTED_VALUE"""),-0.259069247033924)</f>
        <v>-0.25906924703392398</v>
      </c>
      <c r="AQ40" s="3">
        <f ca="1">IFERROR(__xludf.DUMMYFUNCTION("""COMPUTED_VALUE"""),-0.0368394734078599)</f>
        <v>-3.6839473407859903E-2</v>
      </c>
      <c r="AR40" s="3">
        <f ca="1">IFERROR(__xludf.DUMMYFUNCTION("""COMPUTED_VALUE"""),-0.279258770127734)</f>
        <v>-0.27925877012773398</v>
      </c>
      <c r="AS40" s="3">
        <f ca="1">IFERROR(__xludf.DUMMYFUNCTION("""COMPUTED_VALUE"""),-0.257400979761743)</f>
        <v>-0.25740097976174298</v>
      </c>
      <c r="AT40" s="3">
        <f ca="1">IFERROR(__xludf.DUMMYFUNCTION("""COMPUTED_VALUE"""),-0.308476953376115)</f>
        <v>-0.30847695337611503</v>
      </c>
      <c r="AU40" s="3">
        <f ca="1">IFERROR(__xludf.DUMMYFUNCTION("""COMPUTED_VALUE"""),-0.263944332232943)</f>
        <v>-0.263944332232943</v>
      </c>
      <c r="AV40" s="3">
        <f ca="1">IFERROR(__xludf.DUMMYFUNCTION("""COMPUTED_VALUE"""),-0.224644067200938)</f>
        <v>-0.22464406720093799</v>
      </c>
      <c r="AW40" s="3">
        <f ca="1">IFERROR(__xludf.DUMMYFUNCTION("""COMPUTED_VALUE"""),-0.279905532128308)</f>
        <v>-0.27990553212830799</v>
      </c>
      <c r="AX40" s="3">
        <f ca="1">IFERROR(__xludf.DUMMYFUNCTION("""COMPUTED_VALUE"""),-0.0911436875800053)</f>
        <v>-9.1143687580005295E-2</v>
      </c>
      <c r="AY40" s="3">
        <f ca="1">IFERROR(__xludf.DUMMYFUNCTION("""COMPUTED_VALUE"""),-0.316851444154567)</f>
        <v>-0.31685144415456701</v>
      </c>
      <c r="AZ40" s="3">
        <f ca="1">IFERROR(__xludf.DUMMYFUNCTION("""COMPUTED_VALUE"""),-0.375242651531677)</f>
        <v>-0.37524265153167702</v>
      </c>
      <c r="BA40" s="3">
        <f ca="1">IFERROR(__xludf.DUMMYFUNCTION("""COMPUTED_VALUE"""),-0.372640202297893)</f>
        <v>-0.37264020229789302</v>
      </c>
      <c r="BB40" s="3">
        <f ca="1">IFERROR(__xludf.DUMMYFUNCTION("""COMPUTED_VALUE"""),-0.288327367402953)</f>
        <v>-0.28832736740295301</v>
      </c>
      <c r="BC40" s="3">
        <f ca="1">IFERROR(__xludf.DUMMYFUNCTION("""COMPUTED_VALUE"""),-0.343449162749603)</f>
        <v>-0.34344916274960302</v>
      </c>
      <c r="BD40" s="3">
        <f ca="1">IFERROR(__xludf.DUMMYFUNCTION("""COMPUTED_VALUE"""),-0.401131406650449)</f>
        <v>-0.401131406650449</v>
      </c>
      <c r="BE40" s="3">
        <f ca="1">IFERROR(__xludf.DUMMYFUNCTION("""COMPUTED_VALUE"""),-0.121742136117749)</f>
        <v>-0.12174213611774901</v>
      </c>
      <c r="BF40" s="3">
        <f ca="1">IFERROR(__xludf.DUMMYFUNCTION("""COMPUTED_VALUE"""),-0.377458814707288)</f>
        <v>-0.37745881470728798</v>
      </c>
      <c r="BG40" s="3">
        <f ca="1">IFERROR(__xludf.DUMMYFUNCTION("""COMPUTED_VALUE"""),-0.401703298942837)</f>
        <v>-0.40170329894283702</v>
      </c>
      <c r="BH40" s="3">
        <f ca="1">IFERROR(__xludf.DUMMYFUNCTION("""COMPUTED_VALUE"""),-0.41120860144058)</f>
        <v>-0.41120860144058002</v>
      </c>
      <c r="BI40" s="3">
        <f ca="1">IFERROR(__xludf.DUMMYFUNCTION("""COMPUTED_VALUE"""),-0.364475198961617)</f>
        <v>-0.36447519896161701</v>
      </c>
      <c r="BJ40" s="3">
        <f ca="1">IFERROR(__xludf.DUMMYFUNCTION("""COMPUTED_VALUE"""),-0.366452790478492)</f>
        <v>-0.366452790478492</v>
      </c>
      <c r="BK40" s="3">
        <f ca="1">IFERROR(__xludf.DUMMYFUNCTION("""COMPUTED_VALUE"""),-0.327843311574197)</f>
        <v>-0.32784331157419699</v>
      </c>
      <c r="BL40" s="3">
        <f ca="1">IFERROR(__xludf.DUMMYFUNCTION("""COMPUTED_VALUE"""),-0.324339536291856)</f>
        <v>-0.32433953629185602</v>
      </c>
      <c r="BM40" s="3">
        <f ca="1">IFERROR(__xludf.DUMMYFUNCTION("""COMPUTED_VALUE"""),-0.484955882438722)</f>
        <v>-0.48495588243872201</v>
      </c>
      <c r="BN40" s="3">
        <f ca="1">IFERROR(__xludf.DUMMYFUNCTION("""COMPUTED_VALUE"""),-0.337841548432287)</f>
        <v>-0.33784154843228698</v>
      </c>
      <c r="BO40" s="3">
        <f ca="1">IFERROR(__xludf.DUMMYFUNCTION("""COMPUTED_VALUE"""),-0.356280510303278)</f>
        <v>-0.35628051030327801</v>
      </c>
      <c r="BP40" s="3">
        <f ca="1">IFERROR(__xludf.DUMMYFUNCTION("""COMPUTED_VALUE"""),-0.397163234721323)</f>
        <v>-0.39716323472132298</v>
      </c>
      <c r="BQ40" s="3">
        <f ca="1">IFERROR(__xludf.DUMMYFUNCTION("""COMPUTED_VALUE"""),-0.405114494326881)</f>
        <v>-0.40511449432688101</v>
      </c>
      <c r="BR40" s="3">
        <f ca="1">IFERROR(__xludf.DUMMYFUNCTION("""COMPUTED_VALUE"""),-0.302166330269121)</f>
        <v>-0.30216633026912099</v>
      </c>
      <c r="BS40" s="3">
        <f ca="1">IFERROR(__xludf.DUMMYFUNCTION("""COMPUTED_VALUE"""),-0.19479438775963)</f>
        <v>-0.19479438775963001</v>
      </c>
      <c r="BT40" s="3">
        <f ca="1">IFERROR(__xludf.DUMMYFUNCTION("""COMPUTED_VALUE"""),-0.360105378365472)</f>
        <v>-0.36010537836547202</v>
      </c>
      <c r="BU40" s="3">
        <f ca="1">IFERROR(__xludf.DUMMYFUNCTION("""COMPUTED_VALUE"""),-0.293903366930964)</f>
        <v>-0.29390336693096403</v>
      </c>
      <c r="BV40" s="3">
        <f ca="1">IFERROR(__xludf.DUMMYFUNCTION("""COMPUTED_VALUE"""),-0.378363179531895)</f>
        <v>-0.37836317953189502</v>
      </c>
      <c r="BW40" s="3">
        <f ca="1">IFERROR(__xludf.DUMMYFUNCTION("""COMPUTED_VALUE"""),-0.394783082750003)</f>
        <v>-0.39478308275000301</v>
      </c>
      <c r="BX40" s="3">
        <f ca="1">IFERROR(__xludf.DUMMYFUNCTION("""COMPUTED_VALUE"""),-0.336872049971684)</f>
        <v>-0.33687204997168402</v>
      </c>
      <c r="BY40" s="3">
        <f ca="1">IFERROR(__xludf.DUMMYFUNCTION("""COMPUTED_VALUE"""),-0.26761477895065)</f>
        <v>-0.26761477895065</v>
      </c>
      <c r="BZ40" s="3">
        <f ca="1">IFERROR(__xludf.DUMMYFUNCTION("""COMPUTED_VALUE"""),-0.255030682130956)</f>
        <v>-0.25503068213095598</v>
      </c>
      <c r="CA40" s="3">
        <f ca="1">IFERROR(__xludf.DUMMYFUNCTION("""COMPUTED_VALUE"""),-0.372711397635222)</f>
        <v>-0.37271139763522199</v>
      </c>
      <c r="CB40" s="3">
        <f ca="1">IFERROR(__xludf.DUMMYFUNCTION("""COMPUTED_VALUE"""),-0.432536237362272)</f>
        <v>-0.43253623736227198</v>
      </c>
      <c r="CC40" s="3">
        <f ca="1">IFERROR(__xludf.DUMMYFUNCTION("""COMPUTED_VALUE"""),-0.449686639190172)</f>
        <v>-0.44968663919017199</v>
      </c>
      <c r="CD40" s="3">
        <f ca="1">IFERROR(__xludf.DUMMYFUNCTION("""COMPUTED_VALUE"""),-0.362415866956679)</f>
        <v>-0.36241586695667899</v>
      </c>
      <c r="CE40" s="3">
        <f ca="1">IFERROR(__xludf.DUMMYFUNCTION("""COMPUTED_VALUE"""),-0.332081409065736)</f>
        <v>-0.33208140906573602</v>
      </c>
      <c r="CF40" s="3">
        <f ca="1">IFERROR(__xludf.DUMMYFUNCTION("""COMPUTED_VALUE"""),-0.330114060270126)</f>
        <v>-0.33011406027012602</v>
      </c>
      <c r="CG40" s="3">
        <f ca="1">IFERROR(__xludf.DUMMYFUNCTION("""COMPUTED_VALUE"""),-0.312696003990853)</f>
        <v>-0.31269600399085301</v>
      </c>
      <c r="CH40" s="3">
        <f ca="1">IFERROR(__xludf.DUMMYFUNCTION("""COMPUTED_VALUE"""),-0.341017475711464)</f>
        <v>-0.34101747571146401</v>
      </c>
      <c r="CI40" s="3">
        <f ca="1">IFERROR(__xludf.DUMMYFUNCTION("""COMPUTED_VALUE"""),-0.3181046725942)</f>
        <v>-0.3181046725942</v>
      </c>
      <c r="CJ40" s="3">
        <f ca="1">IFERROR(__xludf.DUMMYFUNCTION("""COMPUTED_VALUE"""),-0.384757409433135)</f>
        <v>-0.38475740943313502</v>
      </c>
      <c r="CK40" s="3">
        <f ca="1">IFERROR(__xludf.DUMMYFUNCTION("""COMPUTED_VALUE"""),-0.297849332446859)</f>
        <v>-0.29784933244685902</v>
      </c>
      <c r="CL40" s="3">
        <f ca="1">IFERROR(__xludf.DUMMYFUNCTION("""COMPUTED_VALUE"""),-0.319139055687833)</f>
        <v>-0.31913905568783302</v>
      </c>
      <c r="CM40" s="3">
        <f ca="1">IFERROR(__xludf.DUMMYFUNCTION("""COMPUTED_VALUE"""),-0.315735510991694)</f>
        <v>-0.315735510991694</v>
      </c>
      <c r="CN40" s="3">
        <f ca="1">IFERROR(__xludf.DUMMYFUNCTION("""COMPUTED_VALUE"""),-0.383820314218729)</f>
        <v>-0.38382031421872898</v>
      </c>
      <c r="CO40" s="3">
        <f ca="1">IFERROR(__xludf.DUMMYFUNCTION("""COMPUTED_VALUE"""),-0.277716923587863)</f>
        <v>-0.27771692358786298</v>
      </c>
      <c r="CP40" s="3">
        <f ca="1">IFERROR(__xludf.DUMMYFUNCTION("""COMPUTED_VALUE"""),-0.329092470073305)</f>
        <v>-0.329092470073305</v>
      </c>
      <c r="CQ40" s="3">
        <f ca="1">IFERROR(__xludf.DUMMYFUNCTION("""COMPUTED_VALUE"""),-0.33170331848885)</f>
        <v>-0.33170331848884999</v>
      </c>
      <c r="CR40" s="3">
        <f ca="1">IFERROR(__xludf.DUMMYFUNCTION("""COMPUTED_VALUE"""),-0.245543810283451)</f>
        <v>-0.24554381028345099</v>
      </c>
      <c r="CS40" s="3">
        <f ca="1">IFERROR(__xludf.DUMMYFUNCTION("""COMPUTED_VALUE"""),-0.452230761590448)</f>
        <v>-0.452230761590448</v>
      </c>
      <c r="CT40" s="3">
        <f ca="1">IFERROR(__xludf.DUMMYFUNCTION("""COMPUTED_VALUE"""),-0.362526726369131)</f>
        <v>-0.36252672636913102</v>
      </c>
      <c r="CU40" s="3">
        <f ca="1">IFERROR(__xludf.DUMMYFUNCTION("""COMPUTED_VALUE"""),-0.373074123983469)</f>
        <v>-0.37307412398346901</v>
      </c>
      <c r="CV40" s="3">
        <f ca="1">IFERROR(__xludf.DUMMYFUNCTION("""COMPUTED_VALUE"""),-0.39747732573976)</f>
        <v>-0.39747732573976002</v>
      </c>
      <c r="CW40" s="3">
        <f ca="1">IFERROR(__xludf.DUMMYFUNCTION("""COMPUTED_VALUE"""),-0.529778309250497)</f>
        <v>-0.52977830925049696</v>
      </c>
      <c r="CX40" s="3">
        <f ca="1">IFERROR(__xludf.DUMMYFUNCTION("""COMPUTED_VALUE"""),-0.341711156894267)</f>
        <v>-0.34171115689426701</v>
      </c>
      <c r="CY40" s="3">
        <f ca="1">IFERROR(__xludf.DUMMYFUNCTION("""COMPUTED_VALUE"""),-0.300977193909288)</f>
        <v>-0.30097719390928801</v>
      </c>
      <c r="CZ40" s="3">
        <f ca="1">IFERROR(__xludf.DUMMYFUNCTION("""COMPUTED_VALUE"""),-0.46510965166693)</f>
        <v>-0.46510965166693002</v>
      </c>
      <c r="DA40" s="3">
        <f ca="1">IFERROR(__xludf.DUMMYFUNCTION("""COMPUTED_VALUE"""),-0.526397934294962)</f>
        <v>-0.52639793429496196</v>
      </c>
      <c r="DB40" s="3">
        <f ca="1">IFERROR(__xludf.DUMMYFUNCTION("""COMPUTED_VALUE"""),-0.442715988568709)</f>
        <v>-0.44271598856870897</v>
      </c>
      <c r="DC40" s="3">
        <f ca="1">IFERROR(__xludf.DUMMYFUNCTION("""COMPUTED_VALUE"""),-0.422618606438038)</f>
        <v>-0.422618606438038</v>
      </c>
      <c r="DD40" s="3">
        <f ca="1">IFERROR(__xludf.DUMMYFUNCTION("""COMPUTED_VALUE"""),-0.635497039454804)</f>
        <v>-0.63549703945480396</v>
      </c>
      <c r="DE40" s="3">
        <f ca="1">IFERROR(__xludf.DUMMYFUNCTION("""COMPUTED_VALUE"""),-0.432579360555277)</f>
        <v>-0.43257936055527701</v>
      </c>
      <c r="DF40" s="3">
        <f ca="1">IFERROR(__xludf.DUMMYFUNCTION("""COMPUTED_VALUE"""),-0.324883082721467)</f>
        <v>-0.32488308272146699</v>
      </c>
      <c r="DG40" s="3">
        <f ca="1">IFERROR(__xludf.DUMMYFUNCTION("""COMPUTED_VALUE"""),-0.495167144819128)</f>
        <v>-0.49516714481912799</v>
      </c>
      <c r="DH40" s="3">
        <f ca="1">IFERROR(__xludf.DUMMYFUNCTION("""COMPUTED_VALUE"""),-0.455664638431432)</f>
        <v>-0.45566463843143201</v>
      </c>
      <c r="DI40" s="3">
        <f ca="1">IFERROR(__xludf.DUMMYFUNCTION("""COMPUTED_VALUE"""),-0.437441428081004)</f>
        <v>-0.437441428081004</v>
      </c>
      <c r="DJ40" s="3">
        <f ca="1">IFERROR(__xludf.DUMMYFUNCTION("""COMPUTED_VALUE"""),-0.354032407586907)</f>
        <v>-0.35403240758690702</v>
      </c>
      <c r="DK40" s="3">
        <f ca="1">IFERROR(__xludf.DUMMYFUNCTION("""COMPUTED_VALUE"""),-0.412959384511506)</f>
        <v>-0.41295938451150599</v>
      </c>
      <c r="DL40" s="3">
        <f ca="1">IFERROR(__xludf.DUMMYFUNCTION("""COMPUTED_VALUE"""),-0.384685861047484)</f>
        <v>-0.38468586104748398</v>
      </c>
      <c r="DM40" s="3">
        <f ca="1">IFERROR(__xludf.DUMMYFUNCTION("""COMPUTED_VALUE"""),-0.354957431934831)</f>
        <v>-0.35495743193483098</v>
      </c>
      <c r="DN40" s="3">
        <f ca="1">IFERROR(__xludf.DUMMYFUNCTION("""COMPUTED_VALUE"""),-0.34858605064945)</f>
        <v>-0.34858605064944997</v>
      </c>
      <c r="DO40" s="3">
        <f ca="1">IFERROR(__xludf.DUMMYFUNCTION("""COMPUTED_VALUE"""),-0.4880567282692)</f>
        <v>-0.48805672826919999</v>
      </c>
      <c r="DP40" s="3">
        <f ca="1">IFERROR(__xludf.DUMMYFUNCTION("""COMPUTED_VALUE"""),-0.484644597682251)</f>
        <v>-0.48464459768225099</v>
      </c>
      <c r="DQ40" s="3">
        <f ca="1">IFERROR(__xludf.DUMMYFUNCTION("""COMPUTED_VALUE"""),-0.511827877842913)</f>
        <v>-0.51182787784291295</v>
      </c>
      <c r="DR40" s="3">
        <f ca="1">IFERROR(__xludf.DUMMYFUNCTION("""COMPUTED_VALUE"""),-0.56216673144226)</f>
        <v>-0.56216673144226004</v>
      </c>
      <c r="DS40" s="3">
        <f ca="1">IFERROR(__xludf.DUMMYFUNCTION("""COMPUTED_VALUE"""),-0.519428064108191)</f>
        <v>-0.51942806410819098</v>
      </c>
      <c r="DT40" s="3">
        <f ca="1">IFERROR(__xludf.DUMMYFUNCTION("""COMPUTED_VALUE"""),-0.477884341485528)</f>
        <v>-0.477884341485528</v>
      </c>
      <c r="DU40" s="3">
        <f ca="1">IFERROR(__xludf.DUMMYFUNCTION("""COMPUTED_VALUE"""),-0.400979760839479)</f>
        <v>-0.400979760839479</v>
      </c>
      <c r="DV40" s="3">
        <f ca="1">IFERROR(__xludf.DUMMYFUNCTION("""COMPUTED_VALUE"""),-0.44433983605179)</f>
        <v>-0.44433983605179</v>
      </c>
      <c r="DW40" s="3">
        <f ca="1">IFERROR(__xludf.DUMMYFUNCTION("""COMPUTED_VALUE"""),-0.527417085437021)</f>
        <v>-0.52741708543702104</v>
      </c>
      <c r="DX40" s="3">
        <f ca="1">IFERROR(__xludf.DUMMYFUNCTION("""COMPUTED_VALUE"""),-0.522534214957398)</f>
        <v>-0.52253421495739805</v>
      </c>
      <c r="DY40" s="3">
        <f ca="1">IFERROR(__xludf.DUMMYFUNCTION("""COMPUTED_VALUE"""),-0.56116678881181)</f>
        <v>-0.56116678881181004</v>
      </c>
      <c r="DZ40" s="3">
        <f ca="1">IFERROR(__xludf.DUMMYFUNCTION("""COMPUTED_VALUE"""),-0.520725371987317)</f>
        <v>-0.52072537198731705</v>
      </c>
      <c r="EA40" s="3">
        <f ca="1">IFERROR(__xludf.DUMMYFUNCTION("""COMPUTED_VALUE"""),-0.518179901529015)</f>
        <v>-0.51817990152901505</v>
      </c>
      <c r="EB40" s="3">
        <f ca="1">IFERROR(__xludf.DUMMYFUNCTION("""COMPUTED_VALUE"""),-0.420063264830294)</f>
        <v>-0.42006326483029399</v>
      </c>
      <c r="EC40" s="3">
        <f ca="1">IFERROR(__xludf.DUMMYFUNCTION("""COMPUTED_VALUE"""),-0.471033760666735)</f>
        <v>-0.47103376066673502</v>
      </c>
      <c r="ED40" s="3">
        <f ca="1">IFERROR(__xludf.DUMMYFUNCTION("""COMPUTED_VALUE"""),-0.617788498663718)</f>
        <v>-0.61778849866371799</v>
      </c>
      <c r="EE40" s="3">
        <f ca="1">IFERROR(__xludf.DUMMYFUNCTION("""COMPUTED_VALUE"""),-0.62623044416609)</f>
        <v>-0.62623044416608997</v>
      </c>
      <c r="EF40" s="3">
        <f ca="1">IFERROR(__xludf.DUMMYFUNCTION("""COMPUTED_VALUE"""),-0.625420882201782)</f>
        <v>-0.62542088220178205</v>
      </c>
      <c r="EG40" s="3">
        <f ca="1">IFERROR(__xludf.DUMMYFUNCTION("""COMPUTED_VALUE"""),-0.603228797670284)</f>
        <v>-0.60322879767028403</v>
      </c>
      <c r="EH40" s="3">
        <f ca="1">IFERROR(__xludf.DUMMYFUNCTION("""COMPUTED_VALUE"""),-0.599818663775416)</f>
        <v>-0.59981866377541604</v>
      </c>
      <c r="EI40" s="3">
        <f ca="1">IFERROR(__xludf.DUMMYFUNCTION("""COMPUTED_VALUE"""),-0.514417703619576)</f>
        <v>-0.51441770361957595</v>
      </c>
      <c r="EJ40" s="3">
        <f ca="1">IFERROR(__xludf.DUMMYFUNCTION("""COMPUTED_VALUE"""),-0.533100864324391)</f>
        <v>-0.53310086432439097</v>
      </c>
      <c r="EK40" s="3">
        <f ca="1">IFERROR(__xludf.DUMMYFUNCTION("""COMPUTED_VALUE"""),-0.640039680387036)</f>
        <v>-0.64003968038703596</v>
      </c>
      <c r="EL40" s="3">
        <f ca="1">IFERROR(__xludf.DUMMYFUNCTION("""COMPUTED_VALUE"""),-0.709932724765314)</f>
        <v>-0.70993272476531399</v>
      </c>
      <c r="EM40" s="3">
        <f ca="1">IFERROR(__xludf.DUMMYFUNCTION("""COMPUTED_VALUE"""),-0.653344863503982)</f>
        <v>-0.65334486350398202</v>
      </c>
      <c r="EN40" s="3">
        <f ca="1">IFERROR(__xludf.DUMMYFUNCTION("""COMPUTED_VALUE"""),-0.610859821427862)</f>
        <v>-0.61085982142786199</v>
      </c>
      <c r="EO40" s="3">
        <f ca="1">IFERROR(__xludf.DUMMYFUNCTION("""COMPUTED_VALUE"""),-0.60096123815746)</f>
        <v>-0.60096123815746005</v>
      </c>
      <c r="EP40" s="3">
        <f ca="1">IFERROR(__xludf.DUMMYFUNCTION("""COMPUTED_VALUE"""),-0.62645177980238)</f>
        <v>-0.62645177980237998</v>
      </c>
      <c r="EQ40" s="3">
        <f ca="1">IFERROR(__xludf.DUMMYFUNCTION("""COMPUTED_VALUE"""),-0.488835395824919)</f>
        <v>-0.48883539582491897</v>
      </c>
      <c r="ER40" s="3">
        <f ca="1">IFERROR(__xludf.DUMMYFUNCTION("""COMPUTED_VALUE"""),-0.729621079144117)</f>
        <v>-0.729621079144117</v>
      </c>
      <c r="ES40" s="3">
        <f ca="1">IFERROR(__xludf.DUMMYFUNCTION("""COMPUTED_VALUE"""),-0.719993363170831)</f>
        <v>-0.71999336317083096</v>
      </c>
      <c r="ET40" s="3">
        <f ca="1">IFERROR(__xludf.DUMMYFUNCTION("""COMPUTED_VALUE"""),-0.659691950045226)</f>
        <v>-0.65969195004522596</v>
      </c>
      <c r="EU40" s="3">
        <f ca="1">IFERROR(__xludf.DUMMYFUNCTION("""COMPUTED_VALUE"""),-0.658106840537499)</f>
        <v>-0.65810684053749902</v>
      </c>
      <c r="EV40" s="3">
        <f ca="1">IFERROR(__xludf.DUMMYFUNCTION("""COMPUTED_VALUE"""),-0.730527849678262)</f>
        <v>-0.73052784967826201</v>
      </c>
      <c r="EW40" s="3">
        <f ca="1">IFERROR(__xludf.DUMMYFUNCTION("""COMPUTED_VALUE"""),-0.565365382112813)</f>
        <v>-0.56536538211281295</v>
      </c>
      <c r="EX40" s="3">
        <f ca="1">IFERROR(__xludf.DUMMYFUNCTION("""COMPUTED_VALUE"""),-0.586900851795688)</f>
        <v>-0.58690085179568796</v>
      </c>
      <c r="EY40" s="3">
        <f ca="1">IFERROR(__xludf.DUMMYFUNCTION("""COMPUTED_VALUE"""),-0.704757367957008)</f>
        <v>-0.70475736795700805</v>
      </c>
      <c r="EZ40" s="3">
        <f ca="1">IFERROR(__xludf.DUMMYFUNCTION("""COMPUTED_VALUE"""),-0.724931903544004)</f>
        <v>-0.72493190354400405</v>
      </c>
      <c r="FA40" s="3">
        <f ca="1">IFERROR(__xludf.DUMMYFUNCTION("""COMPUTED_VALUE"""),-0.68862628006983)</f>
        <v>-0.68862628006982995</v>
      </c>
      <c r="FB40" s="3">
        <f ca="1">IFERROR(__xludf.DUMMYFUNCTION("""COMPUTED_VALUE"""),-0.691748980306214)</f>
        <v>-0.69174898030621401</v>
      </c>
      <c r="FC40" s="3">
        <f ca="1">IFERROR(__xludf.DUMMYFUNCTION("""COMPUTED_VALUE"""),-0.677412525319766)</f>
        <v>-0.67741252531976603</v>
      </c>
      <c r="FD40" s="3">
        <f ca="1">IFERROR(__xludf.DUMMYFUNCTION("""COMPUTED_VALUE"""),-0.624895926153861)</f>
        <v>-0.62489592615386103</v>
      </c>
      <c r="FE40" s="3">
        <f ca="1">IFERROR(__xludf.DUMMYFUNCTION("""COMPUTED_VALUE"""),-0.565286722578795)</f>
        <v>-0.56528672257879498</v>
      </c>
      <c r="FF40" s="3">
        <f ca="1">IFERROR(__xludf.DUMMYFUNCTION("""COMPUTED_VALUE"""),-0.728262671727569)</f>
        <v>-0.72826267172756898</v>
      </c>
      <c r="FG40" s="3">
        <f ca="1">IFERROR(__xludf.DUMMYFUNCTION("""COMPUTED_VALUE"""),-0.761339480054066)</f>
        <v>-0.76133948005406604</v>
      </c>
      <c r="FH40" s="3">
        <f ca="1">IFERROR(__xludf.DUMMYFUNCTION("""COMPUTED_VALUE"""),-0.730133319992946)</f>
        <v>-0.73013331999294595</v>
      </c>
      <c r="FI40" s="3">
        <f ca="1">IFERROR(__xludf.DUMMYFUNCTION("""COMPUTED_VALUE"""),-0.448581522524199)</f>
        <v>-0.44858152252419897</v>
      </c>
      <c r="FJ40" s="3">
        <f ca="1">IFERROR(__xludf.DUMMYFUNCTION("""COMPUTED_VALUE"""),-0.425053582068346)</f>
        <v>-0.42505358206834598</v>
      </c>
      <c r="FK40" s="3">
        <f ca="1">IFERROR(__xludf.DUMMYFUNCTION("""COMPUTED_VALUE"""),-0.508080082014344)</f>
        <v>-0.50808008201434396</v>
      </c>
      <c r="FL40" s="3">
        <f ca="1">IFERROR(__xludf.DUMMYFUNCTION("""COMPUTED_VALUE"""),-0.447409398674667)</f>
        <v>-0.447409398674667</v>
      </c>
      <c r="FM40" s="3">
        <f ca="1">IFERROR(__xludf.DUMMYFUNCTION("""COMPUTED_VALUE"""),-0.385935999613893)</f>
        <v>-0.38593599961389302</v>
      </c>
      <c r="FN40" s="3">
        <f ca="1">IFERROR(__xludf.DUMMYFUNCTION("""COMPUTED_VALUE"""),-0.432834320794596)</f>
        <v>-0.43283432079459599</v>
      </c>
      <c r="FO40" s="3">
        <f ca="1">IFERROR(__xludf.DUMMYFUNCTION("""COMPUTED_VALUE"""),-0.393742156234179)</f>
        <v>-0.39374215623417902</v>
      </c>
      <c r="FP40" s="3">
        <f ca="1">IFERROR(__xludf.DUMMYFUNCTION("""COMPUTED_VALUE"""),-0.418841888227745)</f>
        <v>-0.41884188822774499</v>
      </c>
      <c r="FQ40" s="3">
        <f ca="1">IFERROR(__xludf.DUMMYFUNCTION("""COMPUTED_VALUE"""),-0.420036800766881)</f>
        <v>-0.42003680076688099</v>
      </c>
      <c r="FR40" s="3">
        <f ca="1">IFERROR(__xludf.DUMMYFUNCTION("""COMPUTED_VALUE"""),-0.423178417303189)</f>
        <v>-0.423178417303189</v>
      </c>
      <c r="FS40" s="3">
        <f ca="1">IFERROR(__xludf.DUMMYFUNCTION("""COMPUTED_VALUE"""),-0.328829716461401)</f>
        <v>-0.32882971646140102</v>
      </c>
      <c r="FT40" s="3">
        <f ca="1">IFERROR(__xludf.DUMMYFUNCTION("""COMPUTED_VALUE"""),-0.309063489000323)</f>
        <v>-0.30906348900032299</v>
      </c>
      <c r="FU40" s="3">
        <f ca="1">IFERROR(__xludf.DUMMYFUNCTION("""COMPUTED_VALUE"""),-0.459773977040646)</f>
        <v>-0.45977397704064599</v>
      </c>
      <c r="FV40" s="3">
        <f ca="1">IFERROR(__xludf.DUMMYFUNCTION("""COMPUTED_VALUE"""),-0.395666037048)</f>
        <v>-0.39566603704800002</v>
      </c>
      <c r="FW40" s="3">
        <f ca="1">IFERROR(__xludf.DUMMYFUNCTION("""COMPUTED_VALUE"""),-0.411492960814382)</f>
        <v>-0.41149296081438202</v>
      </c>
      <c r="FX40" s="3">
        <f ca="1">IFERROR(__xludf.DUMMYFUNCTION("""COMPUTED_VALUE"""),-0.434739212422335)</f>
        <v>-0.43473921242233499</v>
      </c>
      <c r="FY40" s="3">
        <f ca="1">IFERROR(__xludf.DUMMYFUNCTION("""COMPUTED_VALUE"""),-0.407327133235278)</f>
        <v>-0.40732713323527803</v>
      </c>
      <c r="FZ40" s="3">
        <f ca="1">IFERROR(__xludf.DUMMYFUNCTION("""COMPUTED_VALUE"""),-0.326239370867733)</f>
        <v>-0.32623937086773303</v>
      </c>
      <c r="GA40" s="3">
        <f ca="1">IFERROR(__xludf.DUMMYFUNCTION("""COMPUTED_VALUE"""),-0.325534257857972)</f>
        <v>-0.32553425785797202</v>
      </c>
      <c r="GB40" s="3">
        <f ca="1">IFERROR(__xludf.DUMMYFUNCTION("""COMPUTED_VALUE"""),-0.34697688299783)</f>
        <v>-0.34697688299783003</v>
      </c>
      <c r="GC40" s="3">
        <f ca="1">IFERROR(__xludf.DUMMYFUNCTION("""COMPUTED_VALUE"""),-0.354531537712654)</f>
        <v>-0.354531537712654</v>
      </c>
      <c r="GD40" s="3">
        <f ca="1">IFERROR(__xludf.DUMMYFUNCTION("""COMPUTED_VALUE"""),-0.3275378381882)</f>
        <v>-0.32753783818819998</v>
      </c>
      <c r="GE40" s="3">
        <f ca="1">IFERROR(__xludf.DUMMYFUNCTION("""COMPUTED_VALUE"""),-0.333347779275629)</f>
        <v>-0.33334777927562897</v>
      </c>
      <c r="GF40" s="3">
        <f ca="1">IFERROR(__xludf.DUMMYFUNCTION("""COMPUTED_VALUE"""),-0.195616958407541)</f>
        <v>-0.19561695840754101</v>
      </c>
      <c r="GG40" s="3">
        <f ca="1">IFERROR(__xludf.DUMMYFUNCTION("""COMPUTED_VALUE"""),-0.181354519039352)</f>
        <v>-0.18135451903935201</v>
      </c>
      <c r="GH40" s="3">
        <f ca="1">IFERROR(__xludf.DUMMYFUNCTION("""COMPUTED_VALUE"""),-0.355314848482434)</f>
        <v>-0.355314848482434</v>
      </c>
      <c r="GI40" s="3">
        <f ca="1">IFERROR(__xludf.DUMMYFUNCTION("""COMPUTED_VALUE"""),-0.365877479424943)</f>
        <v>-0.36587747942494298</v>
      </c>
      <c r="GJ40" s="3">
        <f ca="1">IFERROR(__xludf.DUMMYFUNCTION("""COMPUTED_VALUE"""),-0.300948552618865)</f>
        <v>-0.300948552618865</v>
      </c>
      <c r="GK40" s="3">
        <f ca="1">IFERROR(__xludf.DUMMYFUNCTION("""COMPUTED_VALUE"""),-0.379166456912692)</f>
        <v>-0.37916645691269202</v>
      </c>
      <c r="GL40" s="3">
        <f ca="1">IFERROR(__xludf.DUMMYFUNCTION("""COMPUTED_VALUE"""),-0.3043914335983)</f>
        <v>-0.30439143359830001</v>
      </c>
      <c r="GM40" s="3">
        <f ca="1">IFERROR(__xludf.DUMMYFUNCTION("""COMPUTED_VALUE"""),-0.352380642477154)</f>
        <v>-0.352380642477154</v>
      </c>
      <c r="GN40" s="3">
        <f ca="1">IFERROR(__xludf.DUMMYFUNCTION("""COMPUTED_VALUE"""),-0.277272607176425)</f>
        <v>-0.27727260717642499</v>
      </c>
      <c r="GO40" s="3">
        <f ca="1">IFERROR(__xludf.DUMMYFUNCTION("""COMPUTED_VALUE"""),-0.469367613681969)</f>
        <v>-0.469367613681969</v>
      </c>
      <c r="GP40" s="3">
        <f ca="1">IFERROR(__xludf.DUMMYFUNCTION("""COMPUTED_VALUE"""),-0.408063727461759)</f>
        <v>-0.40806372746175901</v>
      </c>
      <c r="GQ40" s="3">
        <f ca="1">IFERROR(__xludf.DUMMYFUNCTION("""COMPUTED_VALUE"""),-0.435594556932781)</f>
        <v>-0.43559455693278099</v>
      </c>
      <c r="GR40" s="3">
        <f ca="1">IFERROR(__xludf.DUMMYFUNCTION("""COMPUTED_VALUE"""),-0.389877168357166)</f>
        <v>-0.38987716835716602</v>
      </c>
      <c r="GS40" s="3">
        <f ca="1">IFERROR(__xludf.DUMMYFUNCTION("""COMPUTED_VALUE"""),-0.3189679278731)</f>
        <v>-0.31896792787310002</v>
      </c>
      <c r="GT40" s="3">
        <f ca="1">IFERROR(__xludf.DUMMYFUNCTION("""COMPUTED_VALUE"""),-0.370880564659681)</f>
        <v>-0.370880564659681</v>
      </c>
      <c r="GU40" s="3">
        <f ca="1">IFERROR(__xludf.DUMMYFUNCTION("""COMPUTED_VALUE"""),-0.345147273033471)</f>
        <v>-0.34514727303347098</v>
      </c>
      <c r="GV40" s="3">
        <f ca="1">IFERROR(__xludf.DUMMYFUNCTION("""COMPUTED_VALUE"""),-0.392193329503021)</f>
        <v>-0.39219332950302099</v>
      </c>
      <c r="GW40" s="3">
        <f ca="1">IFERROR(__xludf.DUMMYFUNCTION("""COMPUTED_VALUE"""),-0.392233981957518)</f>
        <v>-0.39223398195751802</v>
      </c>
      <c r="GX40" s="3">
        <f ca="1">IFERROR(__xludf.DUMMYFUNCTION("""COMPUTED_VALUE"""),-0.397843633203624)</f>
        <v>-0.39784363320362398</v>
      </c>
      <c r="GY40" s="3">
        <f ca="1">IFERROR(__xludf.DUMMYFUNCTION("""COMPUTED_VALUE"""),-0.310862851301952)</f>
        <v>-0.31086285130195201</v>
      </c>
      <c r="GZ40" s="3">
        <f ca="1">IFERROR(__xludf.DUMMYFUNCTION("""COMPUTED_VALUE"""),-0.278313887659559)</f>
        <v>-0.278313887659559</v>
      </c>
      <c r="HA40" s="3">
        <f ca="1">IFERROR(__xludf.DUMMYFUNCTION("""COMPUTED_VALUE"""),-0.427005315931594)</f>
        <v>-0.42700531593159402</v>
      </c>
      <c r="HB40" s="3">
        <f ca="1">IFERROR(__xludf.DUMMYFUNCTION("""COMPUTED_VALUE"""),-0.338409669236432)</f>
        <v>-0.33840966923643201</v>
      </c>
      <c r="HC40" s="3">
        <f ca="1">IFERROR(__xludf.DUMMYFUNCTION("""COMPUTED_VALUE"""),-0.194676049709331)</f>
        <v>-0.194676049709331</v>
      </c>
      <c r="HD40" s="3">
        <f ca="1">IFERROR(__xludf.DUMMYFUNCTION("""COMPUTED_VALUE"""),-0.255881953545215)</f>
        <v>-0.25588195354521498</v>
      </c>
      <c r="HE40" s="3">
        <f ca="1">IFERROR(__xludf.DUMMYFUNCTION("""COMPUTED_VALUE"""),-0.419727864381542)</f>
        <v>-0.41972786438154203</v>
      </c>
      <c r="HF40" s="3">
        <f ca="1">IFERROR(__xludf.DUMMYFUNCTION("""COMPUTED_VALUE"""),-0.349558402098718)</f>
        <v>-0.34955840209871802</v>
      </c>
      <c r="HG40" s="3">
        <f ca="1">IFERROR(__xludf.DUMMYFUNCTION("""COMPUTED_VALUE"""),-0.254460280256723)</f>
        <v>-0.25446028025672301</v>
      </c>
      <c r="HH40" s="3">
        <f ca="1">IFERROR(__xludf.DUMMYFUNCTION("""COMPUTED_VALUE"""),-0.397788461607291)</f>
        <v>-0.39778846160729098</v>
      </c>
      <c r="HI40" s="3">
        <f ca="1">IFERROR(__xludf.DUMMYFUNCTION("""COMPUTED_VALUE"""),-0.346408600601426)</f>
        <v>-0.34640860060142598</v>
      </c>
      <c r="HJ40" s="3">
        <f ca="1">IFERROR(__xludf.DUMMYFUNCTION("""COMPUTED_VALUE"""),-0.244266903743482)</f>
        <v>-0.24426690374348201</v>
      </c>
      <c r="HK40" s="3">
        <f ca="1">IFERROR(__xludf.DUMMYFUNCTION("""COMPUTED_VALUE"""),-0.258208908296715)</f>
        <v>-0.258208908296715</v>
      </c>
      <c r="HL40" s="3">
        <f ca="1">IFERROR(__xludf.DUMMYFUNCTION("""COMPUTED_VALUE"""),-0.229196625355156)</f>
        <v>-0.229196625355156</v>
      </c>
      <c r="HM40" s="3">
        <f ca="1">IFERROR(__xludf.DUMMYFUNCTION("""COMPUTED_VALUE"""),-0.264623684626229)</f>
        <v>-0.26462368462622898</v>
      </c>
      <c r="HN40" s="3">
        <f ca="1">IFERROR(__xludf.DUMMYFUNCTION("""COMPUTED_VALUE"""),-0.258790074607126)</f>
        <v>-0.258790074607126</v>
      </c>
      <c r="HO40" s="3">
        <f ca="1">IFERROR(__xludf.DUMMYFUNCTION("""COMPUTED_VALUE"""),-0.358575527624542)</f>
        <v>-0.35857552762454198</v>
      </c>
      <c r="HP40" s="3">
        <f ca="1">IFERROR(__xludf.DUMMYFUNCTION("""COMPUTED_VALUE"""),-0.296235513387097)</f>
        <v>-0.29623551338709703</v>
      </c>
      <c r="HQ40" s="3">
        <f ca="1">IFERROR(__xludf.DUMMYFUNCTION("""COMPUTED_VALUE"""),-0.261661991221216)</f>
        <v>-0.26166199122121597</v>
      </c>
      <c r="HR40" s="3">
        <f ca="1">IFERROR(__xludf.DUMMYFUNCTION("""COMPUTED_VALUE"""),-0.298855852724782)</f>
        <v>-0.29885585272478199</v>
      </c>
      <c r="HS40" s="3">
        <f ca="1">IFERROR(__xludf.DUMMYFUNCTION("""COMPUTED_VALUE"""),-0.349665645398512)</f>
        <v>-0.34966564539851203</v>
      </c>
      <c r="HT40" s="3">
        <f ca="1">IFERROR(__xludf.DUMMYFUNCTION("""COMPUTED_VALUE"""),-0.324394815558743)</f>
        <v>-0.324394815558743</v>
      </c>
      <c r="HU40" s="3">
        <f ca="1">IFERROR(__xludf.DUMMYFUNCTION("""COMPUTED_VALUE"""),-0.357357500848445)</f>
        <v>-0.35735750084844498</v>
      </c>
      <c r="HV40" s="3">
        <f ca="1">IFERROR(__xludf.DUMMYFUNCTION("""COMPUTED_VALUE"""),-0.353298289550878)</f>
        <v>-0.353298289550878</v>
      </c>
      <c r="HW40" s="3">
        <f ca="1">IFERROR(__xludf.DUMMYFUNCTION("""COMPUTED_VALUE"""),-0.340815537205904)</f>
        <v>-0.34081553720590402</v>
      </c>
      <c r="HX40" s="3">
        <f ca="1">IFERROR(__xludf.DUMMYFUNCTION("""COMPUTED_VALUE"""),-0.198401673317068)</f>
        <v>-0.19840167331706801</v>
      </c>
      <c r="HY40" s="3">
        <f ca="1">IFERROR(__xludf.DUMMYFUNCTION("""COMPUTED_VALUE"""),-0.132331160863432)</f>
        <v>-0.132331160863432</v>
      </c>
      <c r="HZ40" s="3">
        <f ca="1">IFERROR(__xludf.DUMMYFUNCTION("""COMPUTED_VALUE"""),-0.179991495769073)</f>
        <v>-0.179991495769073</v>
      </c>
      <c r="IA40" s="3">
        <f ca="1">IFERROR(__xludf.DUMMYFUNCTION("""COMPUTED_VALUE"""),-0.148701774377247)</f>
        <v>-0.14870177437724699</v>
      </c>
      <c r="IB40" s="3">
        <f ca="1">IFERROR(__xludf.DUMMYFUNCTION("""COMPUTED_VALUE"""),-0.181826439645871)</f>
        <v>-0.181826439645871</v>
      </c>
      <c r="IC40" s="3">
        <f ca="1">IFERROR(__xludf.DUMMYFUNCTION("""COMPUTED_VALUE"""),-0.0834088265682667)</f>
        <v>-8.3408826568266703E-2</v>
      </c>
      <c r="ID40" s="3">
        <f ca="1">IFERROR(__xludf.DUMMYFUNCTION("""COMPUTED_VALUE"""),0.000182299426809251)</f>
        <v>1.82299426809251E-4</v>
      </c>
      <c r="IE40" s="3">
        <f ca="1">IFERROR(__xludf.DUMMYFUNCTION("""COMPUTED_VALUE"""),-0.0142804235322041)</f>
        <v>-1.4280423532204101E-2</v>
      </c>
      <c r="IF40" s="3">
        <f ca="1">IFERROR(__xludf.DUMMYFUNCTION("""COMPUTED_VALUE"""),0.0660728681311502)</f>
        <v>6.6072868131150195E-2</v>
      </c>
      <c r="IG40" s="3">
        <f ca="1">IFERROR(__xludf.DUMMYFUNCTION("""COMPUTED_VALUE"""),0.0654778203818116)</f>
        <v>6.5477820381811602E-2</v>
      </c>
      <c r="IH40" s="3">
        <f ca="1">IFERROR(__xludf.DUMMYFUNCTION("""COMPUTED_VALUE"""),-0.0380262319870124)</f>
        <v>-3.8026231987012403E-2</v>
      </c>
      <c r="II40" s="3">
        <f ca="1">IFERROR(__xludf.DUMMYFUNCTION("""COMPUTED_VALUE"""),-0.00371370918396329)</f>
        <v>-3.7137091839632898E-3</v>
      </c>
      <c r="IJ40" s="3">
        <f ca="1">IFERROR(__xludf.DUMMYFUNCTION("""COMPUTED_VALUE"""),0.0470496684568908)</f>
        <v>4.7049668456890799E-2</v>
      </c>
      <c r="IK40" s="3">
        <f ca="1">IFERROR(__xludf.DUMMYFUNCTION("""COMPUTED_VALUE"""),-0.096315354993248)</f>
        <v>-9.6315354993248004E-2</v>
      </c>
      <c r="IL40" s="3">
        <f ca="1">IFERROR(__xludf.DUMMYFUNCTION("""COMPUTED_VALUE"""),0.190769949488209)</f>
        <v>0.190769949488209</v>
      </c>
      <c r="IM40" s="3">
        <f ca="1">IFERROR(__xludf.DUMMYFUNCTION("""COMPUTED_VALUE"""),0.0226115184138886)</f>
        <v>2.2611518413888601E-2</v>
      </c>
      <c r="IN40" s="3">
        <f ca="1">IFERROR(__xludf.DUMMYFUNCTION("""COMPUTED_VALUE"""),0.0103099873476335)</f>
        <v>1.03099873476335E-2</v>
      </c>
      <c r="IO40" s="3">
        <f ca="1">IFERROR(__xludf.DUMMYFUNCTION("""COMPUTED_VALUE"""),-0.0794243021257599)</f>
        <v>-7.9424302125759905E-2</v>
      </c>
      <c r="IP40" s="3">
        <f ca="1">IFERROR(__xludf.DUMMYFUNCTION("""COMPUTED_VALUE"""),0.0157294072465878)</f>
        <v>1.57294072465878E-2</v>
      </c>
      <c r="IQ40" s="3">
        <f ca="1">IFERROR(__xludf.DUMMYFUNCTION("""COMPUTED_VALUE"""),-0.0581486334629973)</f>
        <v>-5.8148633462997298E-2</v>
      </c>
      <c r="IR40" s="3">
        <f ca="1">IFERROR(__xludf.DUMMYFUNCTION("""COMPUTED_VALUE"""),-0.0675464507013626)</f>
        <v>-6.7546450701362601E-2</v>
      </c>
      <c r="IS40" s="3">
        <f ca="1">IFERROR(__xludf.DUMMYFUNCTION("""COMPUTED_VALUE"""),0.109430956132405)</f>
        <v>0.109430956132405</v>
      </c>
      <c r="IT40" s="3">
        <f ca="1">IFERROR(__xludf.DUMMYFUNCTION("""COMPUTED_VALUE"""),-0.115499019072735)</f>
        <v>-0.11549901907273501</v>
      </c>
      <c r="IU40" s="3">
        <f ca="1">IFERROR(__xludf.DUMMYFUNCTION("""COMPUTED_VALUE"""),0.00810852227299063)</f>
        <v>8.1085222729906301E-3</v>
      </c>
      <c r="IV40" s="3">
        <f ca="1">IFERROR(__xludf.DUMMYFUNCTION("""COMPUTED_VALUE"""),0.0554092691848668)</f>
        <v>5.54092691848668E-2</v>
      </c>
      <c r="IW40" s="3">
        <f ca="1">IFERROR(__xludf.DUMMYFUNCTION("""COMPUTED_VALUE"""),-0.167919452795043)</f>
        <v>-0.167919452795043</v>
      </c>
      <c r="IX40" s="3">
        <f ca="1">IFERROR(__xludf.DUMMYFUNCTION("""COMPUTED_VALUE"""),-0.102706498281253)</f>
        <v>-0.102706498281253</v>
      </c>
      <c r="IY40" s="3">
        <f ca="1">IFERROR(__xludf.DUMMYFUNCTION("""COMPUTED_VALUE"""),-0.123275018150526)</f>
        <v>-0.12327501815052599</v>
      </c>
      <c r="IZ40" s="3">
        <f ca="1">IFERROR(__xludf.DUMMYFUNCTION("""COMPUTED_VALUE"""),0.0486621451872502)</f>
        <v>4.8662145187250198E-2</v>
      </c>
      <c r="JA40" s="3">
        <f ca="1">IFERROR(__xludf.DUMMYFUNCTION("""COMPUTED_VALUE"""),-0.0968143120729697)</f>
        <v>-9.6814312072969699E-2</v>
      </c>
      <c r="JB40" s="3">
        <f ca="1">IFERROR(__xludf.DUMMYFUNCTION("""COMPUTED_VALUE"""),-0.110301594984683)</f>
        <v>-0.110301594984683</v>
      </c>
      <c r="JC40" s="3">
        <f ca="1">IFERROR(__xludf.DUMMYFUNCTION("""COMPUTED_VALUE"""),-0.107240403909112)</f>
        <v>-0.10724040390911201</v>
      </c>
      <c r="JD40" s="3">
        <f ca="1">IFERROR(__xludf.DUMMYFUNCTION("""COMPUTED_VALUE"""),-0.170014091112373)</f>
        <v>-0.17001409111237301</v>
      </c>
      <c r="JE40" s="3">
        <f ca="1">IFERROR(__xludf.DUMMYFUNCTION("""COMPUTED_VALUE"""),-0.178044674342881)</f>
        <v>-0.17804467434288099</v>
      </c>
      <c r="JF40" s="3">
        <f ca="1">IFERROR(__xludf.DUMMYFUNCTION("""COMPUTED_VALUE"""),-0.101917545364552)</f>
        <v>-0.101917545364552</v>
      </c>
      <c r="JG40" s="3">
        <f ca="1">IFERROR(__xludf.DUMMYFUNCTION("""COMPUTED_VALUE"""),0.206357228766105)</f>
        <v>0.20635722876610499</v>
      </c>
      <c r="JH40" s="3">
        <f ca="1">IFERROR(__xludf.DUMMYFUNCTION("""COMPUTED_VALUE"""),0.0352145499637031)</f>
        <v>3.5214549963703101E-2</v>
      </c>
      <c r="JI40" s="3">
        <f ca="1">IFERROR(__xludf.DUMMYFUNCTION("""COMPUTED_VALUE"""),-0.0731229038374332)</f>
        <v>-7.3122903837433195E-2</v>
      </c>
      <c r="JJ40" s="3">
        <f ca="1">IFERROR(__xludf.DUMMYFUNCTION("""COMPUTED_VALUE"""),-0.186483664397603)</f>
        <v>-0.186483664397603</v>
      </c>
      <c r="JK40" s="3">
        <f ca="1">IFERROR(__xludf.DUMMYFUNCTION("""COMPUTED_VALUE"""),-0.0874611858806423)</f>
        <v>-8.7461185880642306E-2</v>
      </c>
      <c r="JL40" s="3">
        <f ca="1">IFERROR(__xludf.DUMMYFUNCTION("""COMPUTED_VALUE"""),-0.33373314393802)</f>
        <v>-0.33373314393802</v>
      </c>
      <c r="JM40" s="3">
        <f ca="1">IFERROR(__xludf.DUMMYFUNCTION("""COMPUTED_VALUE"""),-0.293797920914646)</f>
        <v>-0.29379792091464602</v>
      </c>
      <c r="JN40" s="3">
        <f ca="1">IFERROR(__xludf.DUMMYFUNCTION("""COMPUTED_VALUE"""),-0.296682873173387)</f>
        <v>-0.29668287317338699</v>
      </c>
      <c r="JO40" s="3">
        <f ca="1">IFERROR(__xludf.DUMMYFUNCTION("""COMPUTED_VALUE"""),-0.371557348342243)</f>
        <v>-0.37155734834224302</v>
      </c>
      <c r="JP40" s="3">
        <f ca="1">IFERROR(__xludf.DUMMYFUNCTION("""COMPUTED_VALUE"""),-0.352135213427256)</f>
        <v>-0.35213521342725601</v>
      </c>
      <c r="JQ40" s="3">
        <f ca="1">IFERROR(__xludf.DUMMYFUNCTION("""COMPUTED_VALUE"""),-0.316424870909888)</f>
        <v>-0.31642487090988802</v>
      </c>
      <c r="JR40" s="3">
        <f ca="1">IFERROR(__xludf.DUMMYFUNCTION("""COMPUTED_VALUE"""),-0.334732135893317)</f>
        <v>-0.33473213589331702</v>
      </c>
      <c r="JS40" s="3">
        <f ca="1">IFERROR(__xludf.DUMMYFUNCTION("""COMPUTED_VALUE"""),-0.38411554446155)</f>
        <v>-0.38411554446155</v>
      </c>
      <c r="JT40" s="3">
        <f ca="1">IFERROR(__xludf.DUMMYFUNCTION("""COMPUTED_VALUE"""),-0.381211714994225)</f>
        <v>-0.38121171499422501</v>
      </c>
      <c r="JU40" s="3">
        <f ca="1">IFERROR(__xludf.DUMMYFUNCTION("""COMPUTED_VALUE"""),-0.347628655930219)</f>
        <v>-0.34762865593021902</v>
      </c>
      <c r="JV40" s="3">
        <f ca="1">IFERROR(__xludf.DUMMYFUNCTION("""COMPUTED_VALUE"""),-0.406986131163572)</f>
        <v>-0.40698613116357202</v>
      </c>
      <c r="JW40" s="3">
        <f ca="1">IFERROR(__xludf.DUMMYFUNCTION("""COMPUTED_VALUE"""),-0.394709463090922)</f>
        <v>-0.39470946309092197</v>
      </c>
      <c r="JX40" s="3">
        <f ca="1">IFERROR(__xludf.DUMMYFUNCTION("""COMPUTED_VALUE"""),-0.449791873819839)</f>
        <v>-0.44979187381983898</v>
      </c>
      <c r="JY40" s="3">
        <f ca="1">IFERROR(__xludf.DUMMYFUNCTION("""COMPUTED_VALUE"""),-0.432786544532955)</f>
        <v>-0.43278654453295501</v>
      </c>
      <c r="JZ40" s="3">
        <f ca="1">IFERROR(__xludf.DUMMYFUNCTION("""COMPUTED_VALUE"""),-0.437490235398088)</f>
        <v>-0.43749023539808801</v>
      </c>
      <c r="KA40" s="3">
        <f ca="1">IFERROR(__xludf.DUMMYFUNCTION("""COMPUTED_VALUE"""),-0.462840358734594)</f>
        <v>-0.462840358734594</v>
      </c>
      <c r="KB40" s="3">
        <f ca="1">IFERROR(__xludf.DUMMYFUNCTION("""COMPUTED_VALUE"""),-0.374616222090568)</f>
        <v>-0.374616222090568</v>
      </c>
      <c r="KC40" s="3">
        <f ca="1">IFERROR(__xludf.DUMMYFUNCTION("""COMPUTED_VALUE"""),-0.384543724163639)</f>
        <v>-0.38454372416363902</v>
      </c>
      <c r="KD40" s="3">
        <f ca="1">IFERROR(__xludf.DUMMYFUNCTION("""COMPUTED_VALUE"""),-0.379629577417576)</f>
        <v>-0.37962957741757603</v>
      </c>
      <c r="KE40" s="3">
        <f ca="1">IFERROR(__xludf.DUMMYFUNCTION("""COMPUTED_VALUE"""),-0.432075684789257)</f>
        <v>-0.43207568478925701</v>
      </c>
      <c r="KF40" s="3">
        <f ca="1">IFERROR(__xludf.DUMMYFUNCTION("""COMPUTED_VALUE"""),-0.350070788208993)</f>
        <v>-0.35007078820899301</v>
      </c>
      <c r="KG40" s="3">
        <f ca="1">IFERROR(__xludf.DUMMYFUNCTION("""COMPUTED_VALUE"""),-0.400058764405248)</f>
        <v>-0.40005876440524801</v>
      </c>
      <c r="KH40" s="3">
        <f ca="1">IFERROR(__xludf.DUMMYFUNCTION("""COMPUTED_VALUE"""),-0.471868552887317)</f>
        <v>-0.47186855288731699</v>
      </c>
      <c r="KI40" s="3">
        <f ca="1">IFERROR(__xludf.DUMMYFUNCTION("""COMPUTED_VALUE"""),-0.342789866449841)</f>
        <v>-0.342789866449841</v>
      </c>
      <c r="KJ40" s="3">
        <f ca="1">IFERROR(__xludf.DUMMYFUNCTION("""COMPUTED_VALUE"""),-0.215254904372834)</f>
        <v>-0.21525490437283401</v>
      </c>
      <c r="KK40" s="3">
        <f ca="1">IFERROR(__xludf.DUMMYFUNCTION("""COMPUTED_VALUE"""),-0.408669632567796)</f>
        <v>-0.40866963256779598</v>
      </c>
      <c r="KL40" s="3">
        <f ca="1">IFERROR(__xludf.DUMMYFUNCTION("""COMPUTED_VALUE"""),-0.458431531615045)</f>
        <v>-0.45843153161504502</v>
      </c>
      <c r="KM40" s="3">
        <f ca="1">IFERROR(__xludf.DUMMYFUNCTION("""COMPUTED_VALUE"""),-0.381522429332709)</f>
        <v>-0.38152242933270902</v>
      </c>
      <c r="KN40" s="3">
        <f ca="1">IFERROR(__xludf.DUMMYFUNCTION("""COMPUTED_VALUE"""),-0.443447891084267)</f>
        <v>-0.44344789108426702</v>
      </c>
      <c r="KO40" s="3">
        <f ca="1">IFERROR(__xludf.DUMMYFUNCTION("""COMPUTED_VALUE"""),-0.419000872913786)</f>
        <v>-0.41900087291378602</v>
      </c>
      <c r="KP40" s="3">
        <f ca="1">IFERROR(__xludf.DUMMYFUNCTION("""COMPUTED_VALUE"""),-0.35805021320905)</f>
        <v>-0.35805021320905001</v>
      </c>
      <c r="KQ40" s="3">
        <f ca="1">IFERROR(__xludf.DUMMYFUNCTION("""COMPUTED_VALUE"""),-0.402716265953991)</f>
        <v>-0.40271626595399102</v>
      </c>
      <c r="KR40" s="3">
        <f ca="1">IFERROR(__xludf.DUMMYFUNCTION("""COMPUTED_VALUE"""),-0.462723964748892)</f>
        <v>-0.46272396474889199</v>
      </c>
      <c r="KS40" s="3">
        <f ca="1">IFERROR(__xludf.DUMMYFUNCTION("""COMPUTED_VALUE"""),-0.485232839399908)</f>
        <v>-0.48523283939990802</v>
      </c>
      <c r="KT40" s="3">
        <f ca="1">IFERROR(__xludf.DUMMYFUNCTION("""COMPUTED_VALUE"""),-0.505888843584828)</f>
        <v>-0.505888843584828</v>
      </c>
      <c r="KU40" s="3">
        <f ca="1">IFERROR(__xludf.DUMMYFUNCTION("""COMPUTED_VALUE"""),-0.582020469022429)</f>
        <v>-0.58202046902242899</v>
      </c>
      <c r="KV40" s="3">
        <f ca="1">IFERROR(__xludf.DUMMYFUNCTION("""COMPUTED_VALUE"""),-0.465856211686373)</f>
        <v>-0.46585621168637298</v>
      </c>
      <c r="KW40" s="3">
        <f ca="1">IFERROR(__xludf.DUMMYFUNCTION("""COMPUTED_VALUE"""),-0.43956770387496)</f>
        <v>-0.43956770387496003</v>
      </c>
      <c r="KX40" s="3">
        <f ca="1">IFERROR(__xludf.DUMMYFUNCTION("""COMPUTED_VALUE"""),-0.465274558593786)</f>
        <v>-0.46527455859378603</v>
      </c>
      <c r="KY40" s="3">
        <f ca="1">IFERROR(__xludf.DUMMYFUNCTION("""COMPUTED_VALUE"""),-0.552785273401784)</f>
        <v>-0.55278527340178396</v>
      </c>
      <c r="KZ40" s="3">
        <f ca="1">IFERROR(__xludf.DUMMYFUNCTION("""COMPUTED_VALUE"""),-0.505074907947625)</f>
        <v>-0.505074907947625</v>
      </c>
      <c r="LA40" s="3">
        <f ca="1">IFERROR(__xludf.DUMMYFUNCTION("""COMPUTED_VALUE"""),-0.613799114600357)</f>
        <v>-0.61379911460035697</v>
      </c>
      <c r="LB40" s="3">
        <f ca="1">IFERROR(__xludf.DUMMYFUNCTION("""COMPUTED_VALUE"""),-0.517368508169442)</f>
        <v>-0.51736850816944202</v>
      </c>
      <c r="LC40" s="3">
        <f ca="1">IFERROR(__xludf.DUMMYFUNCTION("""COMPUTED_VALUE"""),-0.560208715672298)</f>
        <v>-0.56020871567229802</v>
      </c>
      <c r="LD40" s="3">
        <f ca="1">IFERROR(__xludf.DUMMYFUNCTION("""COMPUTED_VALUE"""),-0.662130893019818)</f>
        <v>-0.66213089301981798</v>
      </c>
      <c r="LE40" s="3">
        <f ca="1">IFERROR(__xludf.DUMMYFUNCTION("""COMPUTED_VALUE"""),-0.598823265827077)</f>
        <v>-0.59882326582707701</v>
      </c>
      <c r="LF40" s="3">
        <f ca="1">IFERROR(__xludf.DUMMYFUNCTION("""COMPUTED_VALUE"""),-0.657912954040725)</f>
        <v>-0.65791295404072503</v>
      </c>
      <c r="LG40" s="3">
        <f ca="1">IFERROR(__xludf.DUMMYFUNCTION("""COMPUTED_VALUE"""),-0.648611797871999)</f>
        <v>-0.64861179787199896</v>
      </c>
      <c r="LH40" s="3">
        <f ca="1">IFERROR(__xludf.DUMMYFUNCTION("""COMPUTED_VALUE"""),-0.673610991078802)</f>
        <v>-0.67361099107880196</v>
      </c>
      <c r="LI40" s="3">
        <f ca="1">IFERROR(__xludf.DUMMYFUNCTION("""COMPUTED_VALUE"""),-0.660761105106963)</f>
        <v>-0.66076110510696295</v>
      </c>
      <c r="LJ40" s="3">
        <f ca="1">IFERROR(__xludf.DUMMYFUNCTION("""COMPUTED_VALUE"""),-0.621365720607164)</f>
        <v>-0.621365720607164</v>
      </c>
      <c r="LK40" s="3">
        <f ca="1">IFERROR(__xludf.DUMMYFUNCTION("""COMPUTED_VALUE"""),-0.695081371267673)</f>
        <v>-0.695081371267673</v>
      </c>
      <c r="LL40" s="3">
        <f ca="1">IFERROR(__xludf.DUMMYFUNCTION("""COMPUTED_VALUE"""),-0.728553343525236)</f>
        <v>-0.72855334352523604</v>
      </c>
      <c r="LM40" s="3">
        <f ca="1">IFERROR(__xludf.DUMMYFUNCTION("""COMPUTED_VALUE"""),-0.671535690958435)</f>
        <v>-0.67153569095843502</v>
      </c>
      <c r="LN40" s="3">
        <f ca="1">IFERROR(__xludf.DUMMYFUNCTION("""COMPUTED_VALUE"""),-0.715162453211168)</f>
        <v>-0.715162453211168</v>
      </c>
      <c r="LO40" s="3">
        <f ca="1">IFERROR(__xludf.DUMMYFUNCTION("""COMPUTED_VALUE"""),-0.670502749181436)</f>
        <v>-0.67050274918143604</v>
      </c>
      <c r="LP40" s="3">
        <f ca="1">IFERROR(__xludf.DUMMYFUNCTION("""COMPUTED_VALUE"""),-0.649498856999436)</f>
        <v>-0.64949885699943599</v>
      </c>
      <c r="LQ40" s="3">
        <f ca="1">IFERROR(__xludf.DUMMYFUNCTION("""COMPUTED_VALUE"""),-0.616550991901713)</f>
        <v>-0.61655099190171303</v>
      </c>
      <c r="LR40" s="3">
        <f ca="1">IFERROR(__xludf.DUMMYFUNCTION("""COMPUTED_VALUE"""),-0.686211230340995)</f>
        <v>-0.68621123034099496</v>
      </c>
      <c r="LS40" s="3">
        <f ca="1">IFERROR(__xludf.DUMMYFUNCTION("""COMPUTED_VALUE"""),-0.739352723146596)</f>
        <v>-0.73935272314659595</v>
      </c>
      <c r="LT40" s="3">
        <f ca="1">IFERROR(__xludf.DUMMYFUNCTION("""COMPUTED_VALUE"""),-0.770768606231258)</f>
        <v>-0.77076860623125798</v>
      </c>
      <c r="LU40" s="3">
        <f ca="1">IFERROR(__xludf.DUMMYFUNCTION("""COMPUTED_VALUE"""),-0.701670306992847)</f>
        <v>-0.70167030699284705</v>
      </c>
      <c r="LV40" s="3">
        <f ca="1">IFERROR(__xludf.DUMMYFUNCTION("""COMPUTED_VALUE"""),-0.746149230302582)</f>
        <v>-0.74614923030258196</v>
      </c>
      <c r="LW40" s="3">
        <f ca="1">IFERROR(__xludf.DUMMYFUNCTION("""COMPUTED_VALUE"""),-0.752392261077682)</f>
        <v>-0.75239226107768198</v>
      </c>
      <c r="LX40" s="3">
        <f ca="1">IFERROR(__xludf.DUMMYFUNCTION("""COMPUTED_VALUE"""),-0.700223603435625)</f>
        <v>-0.70022360343562495</v>
      </c>
      <c r="LY40" s="3">
        <f ca="1">IFERROR(__xludf.DUMMYFUNCTION("""COMPUTED_VALUE"""),-0.809633786441819)</f>
        <v>-0.80963378644181905</v>
      </c>
      <c r="LZ40" s="3">
        <f ca="1">IFERROR(__xludf.DUMMYFUNCTION("""COMPUTED_VALUE"""),-0.844807342871087)</f>
        <v>-0.84480734287108705</v>
      </c>
      <c r="MA40" s="3">
        <f ca="1">IFERROR(__xludf.DUMMYFUNCTION("""COMPUTED_VALUE"""),-0.86193801784128)</f>
        <v>-0.86193801784127999</v>
      </c>
      <c r="MB40" s="3">
        <f ca="1">IFERROR(__xludf.DUMMYFUNCTION("""COMPUTED_VALUE"""),-0.838045573683601)</f>
        <v>-0.838045573683601</v>
      </c>
      <c r="MC40" s="3">
        <f ca="1">IFERROR(__xludf.DUMMYFUNCTION("""COMPUTED_VALUE"""),-0.744684331284629)</f>
        <v>-0.74468433128462896</v>
      </c>
      <c r="MD40" s="3">
        <f ca="1">IFERROR(__xludf.DUMMYFUNCTION("""COMPUTED_VALUE"""),-0.824214035027885)</f>
        <v>-0.82421403502788504</v>
      </c>
      <c r="ME40" s="3">
        <f ca="1">IFERROR(__xludf.DUMMYFUNCTION("""COMPUTED_VALUE"""),-0.822231584512095)</f>
        <v>-0.82223158451209499</v>
      </c>
      <c r="MF40" s="3">
        <f ca="1">IFERROR(__xludf.DUMMYFUNCTION("""COMPUTED_VALUE"""),-0.858059287681488)</f>
        <v>-0.85805928768148798</v>
      </c>
      <c r="MG40" s="3">
        <f ca="1">IFERROR(__xludf.DUMMYFUNCTION("""COMPUTED_VALUE"""),-0.840414533671006)</f>
        <v>-0.84041453367100605</v>
      </c>
      <c r="MH40" s="3">
        <f ca="1">IFERROR(__xludf.DUMMYFUNCTION("""COMPUTED_VALUE"""),-0.934995226168352)</f>
        <v>-0.93499522616835196</v>
      </c>
      <c r="MI40" s="3">
        <f ca="1">IFERROR(__xludf.DUMMYFUNCTION("""COMPUTED_VALUE"""),-0.860683448219859)</f>
        <v>-0.86068344821985898</v>
      </c>
      <c r="MJ40" s="3">
        <f ca="1">IFERROR(__xludf.DUMMYFUNCTION("""COMPUTED_VALUE"""),-0.761408472562192)</f>
        <v>-0.76140847256219202</v>
      </c>
      <c r="MK40" s="3">
        <f ca="1">IFERROR(__xludf.DUMMYFUNCTION("""COMPUTED_VALUE"""),-0.878550773526426)</f>
        <v>-0.87855077352642597</v>
      </c>
      <c r="ML40" s="3">
        <f ca="1">IFERROR(__xludf.DUMMYFUNCTION("""COMPUTED_VALUE"""),-0.831898587687182)</f>
        <v>-0.83189858768718195</v>
      </c>
      <c r="MM40" s="3">
        <f ca="1">IFERROR(__xludf.DUMMYFUNCTION("""COMPUTED_VALUE"""),-0.88030098206748)</f>
        <v>-0.88030098206747998</v>
      </c>
      <c r="MN40" s="3">
        <f ca="1">IFERROR(__xludf.DUMMYFUNCTION("""COMPUTED_VALUE"""),-0.890318097965101)</f>
        <v>-0.89031809796510097</v>
      </c>
      <c r="MO40" s="3">
        <f ca="1">IFERROR(__xludf.DUMMYFUNCTION("""COMPUTED_VALUE"""),-0.884873826667444)</f>
        <v>-0.88487382666744396</v>
      </c>
      <c r="MP40" s="3">
        <f ca="1">IFERROR(__xludf.DUMMYFUNCTION("""COMPUTED_VALUE"""),-0.835573419793878)</f>
        <v>-0.835573419793878</v>
      </c>
      <c r="MQ40" s="3">
        <f ca="1">IFERROR(__xludf.DUMMYFUNCTION("""COMPUTED_VALUE"""),-0.798600963018966)</f>
        <v>-0.79860096301896599</v>
      </c>
      <c r="MR40" s="3">
        <f ca="1">IFERROR(__xludf.DUMMYFUNCTION("""COMPUTED_VALUE"""),-0.787127011728226)</f>
        <v>-0.78712701172822597</v>
      </c>
      <c r="MS40" s="3">
        <f ca="1">IFERROR(__xludf.DUMMYFUNCTION("""COMPUTED_VALUE"""),-0.768705641665311)</f>
        <v>-0.76870564166531097</v>
      </c>
      <c r="MT40" s="3">
        <f ca="1">IFERROR(__xludf.DUMMYFUNCTION("""COMPUTED_VALUE"""),-0.912463403904082)</f>
        <v>-0.91246340390408198</v>
      </c>
      <c r="MU40" s="3">
        <f ca="1">IFERROR(__xludf.DUMMYFUNCTION("""COMPUTED_VALUE"""),-0.889364102841981)</f>
        <v>-0.88936410284198097</v>
      </c>
      <c r="MV40" s="3">
        <f ca="1">IFERROR(__xludf.DUMMYFUNCTION("""COMPUTED_VALUE"""),-0.897016637278762)</f>
        <v>-0.89701663727876202</v>
      </c>
      <c r="MW40" s="3">
        <f ca="1">IFERROR(__xludf.DUMMYFUNCTION("""COMPUTED_VALUE"""),-0.906117600019438)</f>
        <v>-0.90611760001943797</v>
      </c>
      <c r="MX40" s="3">
        <f ca="1">IFERROR(__xludf.DUMMYFUNCTION("""COMPUTED_VALUE"""),-0.901318788514621)</f>
        <v>-0.90131878851462099</v>
      </c>
      <c r="MY40" s="3">
        <f ca="1">IFERROR(__xludf.DUMMYFUNCTION("""COMPUTED_VALUE"""),-0.868540543438868)</f>
        <v>-0.868540543438868</v>
      </c>
      <c r="MZ40" s="3">
        <f ca="1">IFERROR(__xludf.DUMMYFUNCTION("""COMPUTED_VALUE"""),-0.906828355535003)</f>
        <v>-0.90682835553500296</v>
      </c>
      <c r="NA40" s="3">
        <f ca="1">IFERROR(__xludf.DUMMYFUNCTION("""COMPUTED_VALUE"""),-0.91894125166274)</f>
        <v>-0.91894125166273999</v>
      </c>
      <c r="NB40" s="3">
        <f ca="1">IFERROR(__xludf.DUMMYFUNCTION("""COMPUTED_VALUE"""),-0.921060893834499)</f>
        <v>-0.92106089383449896</v>
      </c>
      <c r="NC40" s="3">
        <f ca="1">IFERROR(__xludf.DUMMYFUNCTION("""COMPUTED_VALUE"""),-0.90120274984591)</f>
        <v>-0.90120274984590998</v>
      </c>
      <c r="ND40" s="3">
        <f ca="1">IFERROR(__xludf.DUMMYFUNCTION("""COMPUTED_VALUE"""),-0.880118923343058)</f>
        <v>-0.88011892334305797</v>
      </c>
      <c r="NE40" s="3">
        <f ca="1">IFERROR(__xludf.DUMMYFUNCTION("""COMPUTED_VALUE"""),-0.902789881948063)</f>
        <v>-0.90278988194806298</v>
      </c>
      <c r="NF40" s="3">
        <f ca="1">IFERROR(__xludf.DUMMYFUNCTION("""COMPUTED_VALUE"""),-0.903966537629665)</f>
        <v>-0.90396653762966495</v>
      </c>
      <c r="NG40" s="3">
        <f ca="1">IFERROR(__xludf.DUMMYFUNCTION("""COMPUTED_VALUE"""),-0.851997832224663)</f>
        <v>-0.85199783222466297</v>
      </c>
      <c r="NH40" s="3">
        <f ca="1">IFERROR(__xludf.DUMMYFUNCTION("""COMPUTED_VALUE"""),-0.904940152439395)</f>
        <v>-0.90494015243939496</v>
      </c>
      <c r="NI40" s="3">
        <f ca="1">IFERROR(__xludf.DUMMYFUNCTION("""COMPUTED_VALUE"""),-0.927509788217592)</f>
        <v>-0.927509788217592</v>
      </c>
      <c r="NJ40" s="3">
        <f ca="1">IFERROR(__xludf.DUMMYFUNCTION("""COMPUTED_VALUE"""),-0.915797334114061)</f>
        <v>-0.91579733411406095</v>
      </c>
      <c r="NK40" s="3">
        <f ca="1">IFERROR(__xludf.DUMMYFUNCTION("""COMPUTED_VALUE"""),-0.907821189991193)</f>
        <v>-0.90782118999119299</v>
      </c>
      <c r="NL40" s="3">
        <f ca="1">IFERROR(__xludf.DUMMYFUNCTION("""COMPUTED_VALUE"""),-0.927255009000283)</f>
        <v>-0.92725500900028301</v>
      </c>
      <c r="NM40" s="3">
        <f ca="1">IFERROR(__xludf.DUMMYFUNCTION("""COMPUTED_VALUE"""),-0.922451564888534)</f>
        <v>-0.92245156488853397</v>
      </c>
      <c r="NN40" s="3">
        <f ca="1">IFERROR(__xludf.DUMMYFUNCTION("""COMPUTED_VALUE"""),-0.904909209366036)</f>
        <v>-0.90490920936603603</v>
      </c>
      <c r="NO40" s="3">
        <f ca="1">IFERROR(__xludf.DUMMYFUNCTION("""COMPUTED_VALUE"""),-0.927608902780654)</f>
        <v>-0.927608902780654</v>
      </c>
      <c r="NP40" s="3">
        <f ca="1">IFERROR(__xludf.DUMMYFUNCTION("""COMPUTED_VALUE"""),-0.938098163744745)</f>
        <v>-0.93809816374474497</v>
      </c>
      <c r="NQ40" s="3">
        <f ca="1">IFERROR(__xludf.DUMMYFUNCTION("""COMPUTED_VALUE"""),-0.911647344085861)</f>
        <v>-0.91164734408586101</v>
      </c>
      <c r="NR40" s="3">
        <f ca="1">IFERROR(__xludf.DUMMYFUNCTION("""COMPUTED_VALUE"""),-0.922750503173729)</f>
        <v>-0.92275050317372898</v>
      </c>
      <c r="NS40" s="3">
        <f ca="1">IFERROR(__xludf.DUMMYFUNCTION("""COMPUTED_VALUE"""),-0.877867084173639)</f>
        <v>-0.87786708417363901</v>
      </c>
      <c r="NT40" s="3">
        <f ca="1">IFERROR(__xludf.DUMMYFUNCTION("""COMPUTED_VALUE"""),-0.832873106437201)</f>
        <v>-0.83287310643720103</v>
      </c>
      <c r="NU40" s="3">
        <f ca="1">IFERROR(__xludf.DUMMYFUNCTION("""COMPUTED_VALUE"""),-0.859080016930276)</f>
        <v>-0.85908001693027602</v>
      </c>
      <c r="NV40" s="3">
        <f ca="1">IFERROR(__xludf.DUMMYFUNCTION("""COMPUTED_VALUE"""),-0.88201107490056)</f>
        <v>-0.88201107490055997</v>
      </c>
      <c r="NW40" s="3">
        <f ca="1">IFERROR(__xludf.DUMMYFUNCTION("""COMPUTED_VALUE"""),-0.912124528466266)</f>
        <v>-0.91212452846626602</v>
      </c>
      <c r="NX40" s="3">
        <f ca="1">IFERROR(__xludf.DUMMYFUNCTION("""COMPUTED_VALUE"""),-0.895864692212549)</f>
        <v>-0.89586469221254905</v>
      </c>
      <c r="NY40" s="3">
        <f ca="1">IFERROR(__xludf.DUMMYFUNCTION("""COMPUTED_VALUE"""),-0.870808933737192)</f>
        <v>-0.87080893373719204</v>
      </c>
      <c r="NZ40" s="3">
        <f ca="1">IFERROR(__xludf.DUMMYFUNCTION("""COMPUTED_VALUE"""),-0.872020589700724)</f>
        <v>-0.87202058970072405</v>
      </c>
      <c r="OA40" s="3">
        <f ca="1">IFERROR(__xludf.DUMMYFUNCTION("""COMPUTED_VALUE"""),-0.787325502124581)</f>
        <v>-0.78732550212458097</v>
      </c>
      <c r="OB40" s="3">
        <f ca="1">IFERROR(__xludf.DUMMYFUNCTION("""COMPUTED_VALUE"""),-0.593443424815848)</f>
        <v>-0.593443424815848</v>
      </c>
      <c r="OC40" s="3">
        <f ca="1">IFERROR(__xludf.DUMMYFUNCTION("""COMPUTED_VALUE"""),-0.421348865953118)</f>
        <v>-0.42134886595311799</v>
      </c>
      <c r="OD40" s="3">
        <f ca="1">IFERROR(__xludf.DUMMYFUNCTION("""COMPUTED_VALUE"""),-0.380838167411928)</f>
        <v>-0.380838167411928</v>
      </c>
      <c r="OE40" s="3">
        <f ca="1">IFERROR(__xludf.DUMMYFUNCTION("""COMPUTED_VALUE"""),-0.320557230282298)</f>
        <v>-0.32055723028229799</v>
      </c>
      <c r="OF40" s="3">
        <f ca="1">IFERROR(__xludf.DUMMYFUNCTION("""COMPUTED_VALUE"""),-0.212858299655499)</f>
        <v>-0.21285829965549899</v>
      </c>
      <c r="OG40" s="3">
        <f ca="1">IFERROR(__xludf.DUMMYFUNCTION("""COMPUTED_VALUE"""),-0.0676454509760049)</f>
        <v>-6.7645450976004898E-2</v>
      </c>
      <c r="OH40" s="3">
        <f ca="1">IFERROR(__xludf.DUMMYFUNCTION("""COMPUTED_VALUE"""),-0.102203295920432)</f>
        <v>-0.10220329592043199</v>
      </c>
      <c r="OI40" s="3">
        <f ca="1">IFERROR(__xludf.DUMMYFUNCTION("""COMPUTED_VALUE"""),-0.103102497057529)</f>
        <v>-0.103102497057529</v>
      </c>
      <c r="OJ40" s="3">
        <f ca="1">IFERROR(__xludf.DUMMYFUNCTION("""COMPUTED_VALUE"""),-0.0671762286382506)</f>
        <v>-6.7176228638250596E-2</v>
      </c>
      <c r="OK40" s="3">
        <f ca="1">IFERROR(__xludf.DUMMYFUNCTION("""COMPUTED_VALUE"""),-0.233975396097763)</f>
        <v>-0.23397539609776299</v>
      </c>
      <c r="OL40" s="3">
        <f ca="1">IFERROR(__xludf.DUMMYFUNCTION("""COMPUTED_VALUE"""),-0.351586234587127)</f>
        <v>-0.35158623458712701</v>
      </c>
      <c r="OM40" s="3">
        <f ca="1">IFERROR(__xludf.DUMMYFUNCTION("""COMPUTED_VALUE"""),-0.28229552797157)</f>
        <v>-0.28229552797156998</v>
      </c>
      <c r="ON40" s="3">
        <f ca="1">IFERROR(__xludf.DUMMYFUNCTION("""COMPUTED_VALUE"""),-0.250992424980682)</f>
        <v>-0.25099242498068203</v>
      </c>
      <c r="OO40" s="3">
        <f ca="1">IFERROR(__xludf.DUMMYFUNCTION("""COMPUTED_VALUE"""),-0.328437342942783)</f>
        <v>-0.32843734294278298</v>
      </c>
      <c r="OP40" s="3">
        <f ca="1">IFERROR(__xludf.DUMMYFUNCTION("""COMPUTED_VALUE"""),-0.267338956221624)</f>
        <v>-0.26733895622162401</v>
      </c>
      <c r="OQ40" s="3">
        <f ca="1">IFERROR(__xludf.DUMMYFUNCTION("""COMPUTED_VALUE"""),-0.0823349786897217)</f>
        <v>-8.23349786897217E-2</v>
      </c>
      <c r="OR40" s="3">
        <f ca="1">IFERROR(__xludf.DUMMYFUNCTION("""COMPUTED_VALUE"""),-0.186477778267481)</f>
        <v>-0.18647777826748099</v>
      </c>
      <c r="OS40" s="3">
        <f ca="1">IFERROR(__xludf.DUMMYFUNCTION("""COMPUTED_VALUE"""),-0.101345218757842)</f>
        <v>-0.101345218757842</v>
      </c>
      <c r="OT40" s="3">
        <f ca="1">IFERROR(__xludf.DUMMYFUNCTION("""COMPUTED_VALUE"""),-0.198945330103647)</f>
        <v>-0.19894533010364701</v>
      </c>
      <c r="OU40" s="3">
        <f ca="1">IFERROR(__xludf.DUMMYFUNCTION("""COMPUTED_VALUE"""),-0.0411445976156572)</f>
        <v>-4.1144597615657197E-2</v>
      </c>
      <c r="OV40" s="3">
        <f ca="1">IFERROR(__xludf.DUMMYFUNCTION("""COMPUTED_VALUE"""),-0.0390724040966564)</f>
        <v>-3.9072404096656403E-2</v>
      </c>
      <c r="OW40" s="3">
        <f ca="1">IFERROR(__xludf.DUMMYFUNCTION("""COMPUTED_VALUE"""),-0.118963166131954)</f>
        <v>-0.118963166131954</v>
      </c>
      <c r="OX40" s="3">
        <f ca="1">IFERROR(__xludf.DUMMYFUNCTION("""COMPUTED_VALUE"""),0.078140257142989)</f>
        <v>7.8140257142989E-2</v>
      </c>
      <c r="OY40" s="3">
        <f ca="1">IFERROR(__xludf.DUMMYFUNCTION("""COMPUTED_VALUE"""),-0.0127947272842928)</f>
        <v>-1.27947272842928E-2</v>
      </c>
      <c r="OZ40" s="3">
        <f ca="1">IFERROR(__xludf.DUMMYFUNCTION("""COMPUTED_VALUE"""),0.0599806319823892)</f>
        <v>5.9980631982389197E-2</v>
      </c>
      <c r="PA40" s="3">
        <f ca="1">IFERROR(__xludf.DUMMYFUNCTION("""COMPUTED_VALUE"""),-0.0189392902513559)</f>
        <v>-1.8939290251355899E-2</v>
      </c>
      <c r="PB40" s="3">
        <f ca="1">IFERROR(__xludf.DUMMYFUNCTION("""COMPUTED_VALUE"""),0.083921475401131)</f>
        <v>8.3921475401130999E-2</v>
      </c>
      <c r="PC40" s="3">
        <f ca="1">IFERROR(__xludf.DUMMYFUNCTION("""COMPUTED_VALUE"""),0.0225247747470926)</f>
        <v>2.25247747470926E-2</v>
      </c>
      <c r="PD40" s="3">
        <f ca="1">IFERROR(__xludf.DUMMYFUNCTION("""COMPUTED_VALUE"""),-0.0186282405755748)</f>
        <v>-1.86282405755748E-2</v>
      </c>
      <c r="PE40" s="3">
        <f ca="1">IFERROR(__xludf.DUMMYFUNCTION("""COMPUTED_VALUE"""),0.162843566556541)</f>
        <v>0.162843566556541</v>
      </c>
      <c r="PF40" s="3">
        <f ca="1">IFERROR(__xludf.DUMMYFUNCTION("""COMPUTED_VALUE"""),0.229264929397189)</f>
        <v>0.22926492939718901</v>
      </c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</row>
    <row r="41" spans="1:594" ht="15.75" customHeight="1">
      <c r="A41" s="1" t="str">
        <f ca="1">IFERROR(__xludf.DUMMYFUNCTION("""COMPUTED_VALUE"""),"Madison")</f>
        <v>Madison</v>
      </c>
      <c r="B41" s="3">
        <f ca="1">IFERROR(__xludf.DUMMYFUNCTION("""COMPUTED_VALUE"""),-0.48936580916295)</f>
        <v>-0.48936580916295003</v>
      </c>
      <c r="C41" s="3">
        <f ca="1">IFERROR(__xludf.DUMMYFUNCTION("""COMPUTED_VALUE"""),-0.748079263783035)</f>
        <v>-0.74807926378303502</v>
      </c>
      <c r="D41" s="3">
        <f ca="1">IFERROR(__xludf.DUMMYFUNCTION("""COMPUTED_VALUE"""),-0.811664690863219)</f>
        <v>-0.81166469086321902</v>
      </c>
      <c r="E41" s="3">
        <f ca="1">IFERROR(__xludf.DUMMYFUNCTION("""COMPUTED_VALUE"""),-0.829423132289764)</f>
        <v>-0.82942313228976405</v>
      </c>
      <c r="F41" s="3">
        <f ca="1">IFERROR(__xludf.DUMMYFUNCTION("""COMPUTED_VALUE"""),-0.776140927835423)</f>
        <v>-0.77614092783542299</v>
      </c>
      <c r="G41" s="3">
        <f ca="1">IFERROR(__xludf.DUMMYFUNCTION("""COMPUTED_VALUE"""),-0.789983778005859)</f>
        <v>-0.78998377800585895</v>
      </c>
      <c r="H41" s="3">
        <f ca="1">IFERROR(__xludf.DUMMYFUNCTION("""COMPUTED_VALUE"""),-0.680657389441117)</f>
        <v>-0.68065738944111698</v>
      </c>
      <c r="I41" s="3">
        <f ca="1">IFERROR(__xludf.DUMMYFUNCTION("""COMPUTED_VALUE"""),-0.658354943572043)</f>
        <v>-0.65835494357204305</v>
      </c>
      <c r="J41" s="3">
        <f ca="1">IFERROR(__xludf.DUMMYFUNCTION("""COMPUTED_VALUE"""),-0.788015142206074)</f>
        <v>-0.78801514220607405</v>
      </c>
      <c r="K41" s="3">
        <f ca="1">IFERROR(__xludf.DUMMYFUNCTION("""COMPUTED_VALUE"""),-0.775709711682294)</f>
        <v>-0.77570971168229397</v>
      </c>
      <c r="L41" s="3">
        <f ca="1">IFERROR(__xludf.DUMMYFUNCTION("""COMPUTED_VALUE"""),-0.787917075890353)</f>
        <v>-0.78791707589035298</v>
      </c>
      <c r="M41" s="3">
        <f ca="1">IFERROR(__xludf.DUMMYFUNCTION("""COMPUTED_VALUE"""),-0.783139668665673)</f>
        <v>-0.78313966866567297</v>
      </c>
      <c r="N41" s="3">
        <f ca="1">IFERROR(__xludf.DUMMYFUNCTION("""COMPUTED_VALUE"""),-0.761792319633914)</f>
        <v>-0.76179231963391403</v>
      </c>
      <c r="O41" s="3">
        <f ca="1">IFERROR(__xludf.DUMMYFUNCTION("""COMPUTED_VALUE"""),-0.441010282726402)</f>
        <v>-0.44101028272640203</v>
      </c>
      <c r="P41" s="3">
        <f ca="1">IFERROR(__xludf.DUMMYFUNCTION("""COMPUTED_VALUE"""),-0.536613858471634)</f>
        <v>-0.53661385847163401</v>
      </c>
      <c r="Q41" s="3">
        <f ca="1">IFERROR(__xludf.DUMMYFUNCTION("""COMPUTED_VALUE"""),-0.705093305933514)</f>
        <v>-0.70509330593351405</v>
      </c>
      <c r="R41" s="3">
        <f ca="1">IFERROR(__xludf.DUMMYFUNCTION("""COMPUTED_VALUE"""),-0.735756451658163)</f>
        <v>-0.73575645165816295</v>
      </c>
      <c r="S41" s="3">
        <f ca="1">IFERROR(__xludf.DUMMYFUNCTION("""COMPUTED_VALUE"""),-0.725302478517009)</f>
        <v>-0.72530247851700902</v>
      </c>
      <c r="T41" s="3">
        <f ca="1">IFERROR(__xludf.DUMMYFUNCTION("""COMPUTED_VALUE"""),-0.729940398985264)</f>
        <v>-0.72994039898526397</v>
      </c>
      <c r="U41" s="3">
        <f ca="1">IFERROR(__xludf.DUMMYFUNCTION("""COMPUTED_VALUE"""),-0.736265216239499)</f>
        <v>-0.73626521623949903</v>
      </c>
      <c r="V41" s="3">
        <f ca="1">IFERROR(__xludf.DUMMYFUNCTION("""COMPUTED_VALUE"""),-0.368096966671069)</f>
        <v>-0.368096966671069</v>
      </c>
      <c r="W41" s="3">
        <f ca="1">IFERROR(__xludf.DUMMYFUNCTION("""COMPUTED_VALUE"""),-0.37015413131509)</f>
        <v>-0.37015413131509001</v>
      </c>
      <c r="X41" s="3">
        <f ca="1">IFERROR(__xludf.DUMMYFUNCTION("""COMPUTED_VALUE"""),-0.726257325481765)</f>
        <v>-0.72625732548176503</v>
      </c>
      <c r="Y41" s="3">
        <f ca="1">IFERROR(__xludf.DUMMYFUNCTION("""COMPUTED_VALUE"""),-0.746812379114479)</f>
        <v>-0.74681237911447895</v>
      </c>
      <c r="Z41" s="3">
        <f ca="1">IFERROR(__xludf.DUMMYFUNCTION("""COMPUTED_VALUE"""),-0.718084796013433)</f>
        <v>-0.718084796013433</v>
      </c>
      <c r="AA41" s="3">
        <f ca="1">IFERROR(__xludf.DUMMYFUNCTION("""COMPUTED_VALUE"""),-0.753112547537356)</f>
        <v>-0.75311254753735601</v>
      </c>
      <c r="AB41" s="3">
        <f ca="1">IFERROR(__xludf.DUMMYFUNCTION("""COMPUTED_VALUE"""),-0.742266944256351)</f>
        <v>-0.74226694425635098</v>
      </c>
      <c r="AC41" s="3">
        <f ca="1">IFERROR(__xludf.DUMMYFUNCTION("""COMPUTED_VALUE"""),-0.522345892495108)</f>
        <v>-0.52234589249510799</v>
      </c>
      <c r="AD41" s="3">
        <f ca="1">IFERROR(__xludf.DUMMYFUNCTION("""COMPUTED_VALUE"""),-0.494288807987919)</f>
        <v>-0.49428880798791902</v>
      </c>
      <c r="AE41" s="3">
        <f ca="1">IFERROR(__xludf.DUMMYFUNCTION("""COMPUTED_VALUE"""),-0.74257523651991)</f>
        <v>-0.74257523651990998</v>
      </c>
      <c r="AF41" s="3">
        <f ca="1">IFERROR(__xludf.DUMMYFUNCTION("""COMPUTED_VALUE"""),-0.797390239905051)</f>
        <v>-0.79739023990505098</v>
      </c>
      <c r="AG41" s="3">
        <f ca="1">IFERROR(__xludf.DUMMYFUNCTION("""COMPUTED_VALUE"""),-0.77533084119946)</f>
        <v>-0.77533084119946005</v>
      </c>
      <c r="AH41" s="3">
        <f ca="1">IFERROR(__xludf.DUMMYFUNCTION("""COMPUTED_VALUE"""),-0.794048883345021)</f>
        <v>-0.79404888334502099</v>
      </c>
      <c r="AI41" s="3">
        <f ca="1">IFERROR(__xludf.DUMMYFUNCTION("""COMPUTED_VALUE"""),-0.804334538005498)</f>
        <v>-0.80433453800549803</v>
      </c>
      <c r="AJ41" s="3">
        <f ca="1">IFERROR(__xludf.DUMMYFUNCTION("""COMPUTED_VALUE"""),-0.515635273461815)</f>
        <v>-0.51563527346181504</v>
      </c>
      <c r="AK41" s="3">
        <f ca="1">IFERROR(__xludf.DUMMYFUNCTION("""COMPUTED_VALUE"""),-0.587350210917882)</f>
        <v>-0.58735021091788198</v>
      </c>
      <c r="AL41" s="3">
        <f ca="1">IFERROR(__xludf.DUMMYFUNCTION("""COMPUTED_VALUE"""),-0.782114557326477)</f>
        <v>-0.78211455732647694</v>
      </c>
      <c r="AM41" s="3">
        <f ca="1">IFERROR(__xludf.DUMMYFUNCTION("""COMPUTED_VALUE"""),-0.807396017301921)</f>
        <v>-0.80739601730192101</v>
      </c>
      <c r="AN41" s="3">
        <f ca="1">IFERROR(__xludf.DUMMYFUNCTION("""COMPUTED_VALUE"""),-0.819928747873454)</f>
        <v>-0.81992874787345404</v>
      </c>
      <c r="AO41" s="3">
        <f ca="1">IFERROR(__xludf.DUMMYFUNCTION("""COMPUTED_VALUE"""),-0.839240615632708)</f>
        <v>-0.83924061563270802</v>
      </c>
      <c r="AP41" s="3">
        <f ca="1">IFERROR(__xludf.DUMMYFUNCTION("""COMPUTED_VALUE"""),-0.810973286638494)</f>
        <v>-0.810973286638494</v>
      </c>
      <c r="AQ41" s="3">
        <f ca="1">IFERROR(__xludf.DUMMYFUNCTION("""COMPUTED_VALUE"""),-0.653843332557379)</f>
        <v>-0.65384333255737903</v>
      </c>
      <c r="AR41" s="3">
        <f ca="1">IFERROR(__xludf.DUMMYFUNCTION("""COMPUTED_VALUE"""),-0.693924058491695)</f>
        <v>-0.69392405849169503</v>
      </c>
      <c r="AS41" s="3">
        <f ca="1">IFERROR(__xludf.DUMMYFUNCTION("""COMPUTED_VALUE"""),-0.785742280100912)</f>
        <v>-0.78574228010091196</v>
      </c>
      <c r="AT41" s="3">
        <f ca="1">IFERROR(__xludf.DUMMYFUNCTION("""COMPUTED_VALUE"""),-0.811437959881335)</f>
        <v>-0.81143795988133505</v>
      </c>
      <c r="AU41" s="3">
        <f ca="1">IFERROR(__xludf.DUMMYFUNCTION("""COMPUTED_VALUE"""),-0.800224944307259)</f>
        <v>-0.80022494430725899</v>
      </c>
      <c r="AV41" s="3">
        <f ca="1">IFERROR(__xludf.DUMMYFUNCTION("""COMPUTED_VALUE"""),-0.811198267314141)</f>
        <v>-0.81119826731414102</v>
      </c>
      <c r="AW41" s="3">
        <f ca="1">IFERROR(__xludf.DUMMYFUNCTION("""COMPUTED_VALUE"""),-0.81646143320157)</f>
        <v>-0.81646143320157005</v>
      </c>
      <c r="AX41" s="3">
        <f ca="1">IFERROR(__xludf.DUMMYFUNCTION("""COMPUTED_VALUE"""),-0.652817457853243)</f>
        <v>-0.65281745785324297</v>
      </c>
      <c r="AY41" s="3">
        <f ca="1">IFERROR(__xludf.DUMMYFUNCTION("""COMPUTED_VALUE"""),-0.594498134836988)</f>
        <v>-0.59449813483698799</v>
      </c>
      <c r="AZ41" s="3">
        <f ca="1">IFERROR(__xludf.DUMMYFUNCTION("""COMPUTED_VALUE"""),-0.778246434536961)</f>
        <v>-0.77824643453696096</v>
      </c>
      <c r="BA41" s="3">
        <f ca="1">IFERROR(__xludf.DUMMYFUNCTION("""COMPUTED_VALUE"""),-0.79461270924915)</f>
        <v>-0.79461270924914995</v>
      </c>
      <c r="BB41" s="3">
        <f ca="1">IFERROR(__xludf.DUMMYFUNCTION("""COMPUTED_VALUE"""),-0.813280262199823)</f>
        <v>-0.81328026219982297</v>
      </c>
      <c r="BC41" s="3">
        <f ca="1">IFERROR(__xludf.DUMMYFUNCTION("""COMPUTED_VALUE"""),-0.820228031831776)</f>
        <v>-0.82022803183177595</v>
      </c>
      <c r="BD41" s="3">
        <f ca="1">IFERROR(__xludf.DUMMYFUNCTION("""COMPUTED_VALUE"""),-0.812608434929879)</f>
        <v>-0.812608434929879</v>
      </c>
      <c r="BE41" s="3">
        <f ca="1">IFERROR(__xludf.DUMMYFUNCTION("""COMPUTED_VALUE"""),-0.610172469406666)</f>
        <v>-0.61017246940666603</v>
      </c>
      <c r="BF41" s="3">
        <f ca="1">IFERROR(__xludf.DUMMYFUNCTION("""COMPUTED_VALUE"""),-0.565473756051025)</f>
        <v>-0.56547375605102501</v>
      </c>
      <c r="BG41" s="3">
        <f ca="1">IFERROR(__xludf.DUMMYFUNCTION("""COMPUTED_VALUE"""),-0.771508136871195)</f>
        <v>-0.77150813687119502</v>
      </c>
      <c r="BH41" s="3">
        <f ca="1">IFERROR(__xludf.DUMMYFUNCTION("""COMPUTED_VALUE"""),-0.805473930873053)</f>
        <v>-0.80547393087305297</v>
      </c>
      <c r="BI41" s="3">
        <f ca="1">IFERROR(__xludf.DUMMYFUNCTION("""COMPUTED_VALUE"""),-0.79003188764888)</f>
        <v>-0.79003188764887999</v>
      </c>
      <c r="BJ41" s="3">
        <f ca="1">IFERROR(__xludf.DUMMYFUNCTION("""COMPUTED_VALUE"""),-0.811520435898187)</f>
        <v>-0.81152043589818701</v>
      </c>
      <c r="BK41" s="3">
        <f ca="1">IFERROR(__xludf.DUMMYFUNCTION("""COMPUTED_VALUE"""),-0.80969569421176)</f>
        <v>-0.80969569421176002</v>
      </c>
      <c r="BL41" s="3">
        <f ca="1">IFERROR(__xludf.DUMMYFUNCTION("""COMPUTED_VALUE"""),-0.696930483620909)</f>
        <v>-0.69693048362090904</v>
      </c>
      <c r="BM41" s="3">
        <f ca="1">IFERROR(__xludf.DUMMYFUNCTION("""COMPUTED_VALUE"""),-0.665128069453896)</f>
        <v>-0.66512806945389602</v>
      </c>
      <c r="BN41" s="3">
        <f ca="1">IFERROR(__xludf.DUMMYFUNCTION("""COMPUTED_VALUE"""),-0.761046274158762)</f>
        <v>-0.76104627415876203</v>
      </c>
      <c r="BO41" s="3">
        <f ca="1">IFERROR(__xludf.DUMMYFUNCTION("""COMPUTED_VALUE"""),-0.793186879218921)</f>
        <v>-0.79318687921892095</v>
      </c>
      <c r="BP41" s="3">
        <f ca="1">IFERROR(__xludf.DUMMYFUNCTION("""COMPUTED_VALUE"""),-0.792763607678082)</f>
        <v>-0.79276360767808196</v>
      </c>
      <c r="BQ41" s="3">
        <f ca="1">IFERROR(__xludf.DUMMYFUNCTION("""COMPUTED_VALUE"""),-0.806697293843582)</f>
        <v>-0.80669729384358202</v>
      </c>
      <c r="BR41" s="3">
        <f ca="1">IFERROR(__xludf.DUMMYFUNCTION("""COMPUTED_VALUE"""),-0.796494182253417)</f>
        <v>-0.79649418225341695</v>
      </c>
      <c r="BS41" s="3">
        <f ca="1">IFERROR(__xludf.DUMMYFUNCTION("""COMPUTED_VALUE"""),-0.710573029273196)</f>
        <v>-0.71057302927319599</v>
      </c>
      <c r="BT41" s="3">
        <f ca="1">IFERROR(__xludf.DUMMYFUNCTION("""COMPUTED_VALUE"""),-0.658574324489831)</f>
        <v>-0.658574324489831</v>
      </c>
      <c r="BU41" s="3">
        <f ca="1">IFERROR(__xludf.DUMMYFUNCTION("""COMPUTED_VALUE"""),-0.823699822922022)</f>
        <v>-0.82369982292202204</v>
      </c>
      <c r="BV41" s="3">
        <f ca="1">IFERROR(__xludf.DUMMYFUNCTION("""COMPUTED_VALUE"""),-0.835213745004684)</f>
        <v>-0.83521374500468404</v>
      </c>
      <c r="BW41" s="3">
        <f ca="1">IFERROR(__xludf.DUMMYFUNCTION("""COMPUTED_VALUE"""),-0.819863419006901)</f>
        <v>-0.81986341900690096</v>
      </c>
      <c r="BX41" s="3">
        <f ca="1">IFERROR(__xludf.DUMMYFUNCTION("""COMPUTED_VALUE"""),-0.802263521795779)</f>
        <v>-0.80226352179577898</v>
      </c>
      <c r="BY41" s="3">
        <f ca="1">IFERROR(__xludf.DUMMYFUNCTION("""COMPUTED_VALUE"""),-0.797510310928642)</f>
        <v>-0.797510310928642</v>
      </c>
      <c r="BZ41" s="3">
        <f ca="1">IFERROR(__xludf.DUMMYFUNCTION("""COMPUTED_VALUE"""),-0.647681164455671)</f>
        <v>-0.64768116445567103</v>
      </c>
      <c r="CA41" s="3">
        <f ca="1">IFERROR(__xludf.DUMMYFUNCTION("""COMPUTED_VALUE"""),-0.716462954322319)</f>
        <v>-0.71646295432231899</v>
      </c>
      <c r="CB41" s="3">
        <f ca="1">IFERROR(__xludf.DUMMYFUNCTION("""COMPUTED_VALUE"""),-0.824879932500018)</f>
        <v>-0.82487993250001801</v>
      </c>
      <c r="CC41" s="3">
        <f ca="1">IFERROR(__xludf.DUMMYFUNCTION("""COMPUTED_VALUE"""),-0.831947178115778)</f>
        <v>-0.83194717811577801</v>
      </c>
      <c r="CD41" s="3">
        <f ca="1">IFERROR(__xludf.DUMMYFUNCTION("""COMPUTED_VALUE"""),-0.847405828621905)</f>
        <v>-0.84740582862190506</v>
      </c>
      <c r="CE41" s="3">
        <f ca="1">IFERROR(__xludf.DUMMYFUNCTION("""COMPUTED_VALUE"""),-0.838276506115072)</f>
        <v>-0.83827650611507198</v>
      </c>
      <c r="CF41" s="3">
        <f ca="1">IFERROR(__xludf.DUMMYFUNCTION("""COMPUTED_VALUE"""),-0.860780333484244)</f>
        <v>-0.86078033348424399</v>
      </c>
      <c r="CG41" s="3">
        <f ca="1">IFERROR(__xludf.DUMMYFUNCTION("""COMPUTED_VALUE"""),-0.731948541487263)</f>
        <v>-0.73194854148726296</v>
      </c>
      <c r="CH41" s="3">
        <f ca="1">IFERROR(__xludf.DUMMYFUNCTION("""COMPUTED_VALUE"""),-0.768734251930545)</f>
        <v>-0.76873425193054501</v>
      </c>
      <c r="CI41" s="3">
        <f ca="1">IFERROR(__xludf.DUMMYFUNCTION("""COMPUTED_VALUE"""),-0.840153158259738)</f>
        <v>-0.84015315825973802</v>
      </c>
      <c r="CJ41" s="3">
        <f ca="1">IFERROR(__xludf.DUMMYFUNCTION("""COMPUTED_VALUE"""),-0.856474322738656)</f>
        <v>-0.85647432273865598</v>
      </c>
      <c r="CK41" s="3">
        <f ca="1">IFERROR(__xludf.DUMMYFUNCTION("""COMPUTED_VALUE"""),-0.849826624033502)</f>
        <v>-0.84982662403350195</v>
      </c>
      <c r="CL41" s="3">
        <f ca="1">IFERROR(__xludf.DUMMYFUNCTION("""COMPUTED_VALUE"""),-0.842212402002182)</f>
        <v>-0.84221240200218195</v>
      </c>
      <c r="CM41" s="3">
        <f ca="1">IFERROR(__xludf.DUMMYFUNCTION("""COMPUTED_VALUE"""),-0.810954677875062)</f>
        <v>-0.81095467787506204</v>
      </c>
      <c r="CN41" s="3">
        <f ca="1">IFERROR(__xludf.DUMMYFUNCTION("""COMPUTED_VALUE"""),-0.719682563369367)</f>
        <v>-0.71968256336936698</v>
      </c>
      <c r="CO41" s="3">
        <f ca="1">IFERROR(__xludf.DUMMYFUNCTION("""COMPUTED_VALUE"""),-0.715221709689629)</f>
        <v>-0.71522170968962895</v>
      </c>
      <c r="CP41" s="3">
        <f ca="1">IFERROR(__xludf.DUMMYFUNCTION("""COMPUTED_VALUE"""),-0.813040500896299)</f>
        <v>-0.81304050089629898</v>
      </c>
      <c r="CQ41" s="3">
        <f ca="1">IFERROR(__xludf.DUMMYFUNCTION("""COMPUTED_VALUE"""),-0.784818708150232)</f>
        <v>-0.78481870815023203</v>
      </c>
      <c r="CR41" s="3">
        <f ca="1">IFERROR(__xludf.DUMMYFUNCTION("""COMPUTED_VALUE"""),-0.791471249007852)</f>
        <v>-0.79147124900785204</v>
      </c>
      <c r="CS41" s="3">
        <f ca="1">IFERROR(__xludf.DUMMYFUNCTION("""COMPUTED_VALUE"""),-0.78326129000031)</f>
        <v>-0.78326129000030997</v>
      </c>
      <c r="CT41" s="3">
        <f ca="1">IFERROR(__xludf.DUMMYFUNCTION("""COMPUTED_VALUE"""),-0.765782678310287)</f>
        <v>-0.76578267831028701</v>
      </c>
      <c r="CU41" s="3">
        <f ca="1">IFERROR(__xludf.DUMMYFUNCTION("""COMPUTED_VALUE"""),-0.69645532264459)</f>
        <v>-0.69645532264458998</v>
      </c>
      <c r="CV41" s="3">
        <f ca="1">IFERROR(__xludf.DUMMYFUNCTION("""COMPUTED_VALUE"""),-0.700518778091168)</f>
        <v>-0.70051877809116803</v>
      </c>
      <c r="CW41" s="3">
        <f ca="1">IFERROR(__xludf.DUMMYFUNCTION("""COMPUTED_VALUE"""),-0.87494558198759)</f>
        <v>-0.87494558198758998</v>
      </c>
      <c r="CX41" s="3">
        <f ca="1">IFERROR(__xludf.DUMMYFUNCTION("""COMPUTED_VALUE"""),-0.794577463416926)</f>
        <v>-0.79457746341692603</v>
      </c>
      <c r="CY41" s="3">
        <f ca="1">IFERROR(__xludf.DUMMYFUNCTION("""COMPUTED_VALUE"""),-0.643164344402104)</f>
        <v>-0.64316434440210402</v>
      </c>
      <c r="CZ41" s="3">
        <f ca="1">IFERROR(__xludf.DUMMYFUNCTION("""COMPUTED_VALUE"""),-0.687738911719209)</f>
        <v>-0.68773891171920898</v>
      </c>
      <c r="DA41" s="3">
        <f ca="1">IFERROR(__xludf.DUMMYFUNCTION("""COMPUTED_VALUE"""),-0.784997389850274)</f>
        <v>-0.78499738985027401</v>
      </c>
      <c r="DB41" s="3">
        <f ca="1">IFERROR(__xludf.DUMMYFUNCTION("""COMPUTED_VALUE"""),-0.649522480330731)</f>
        <v>-0.64952248033073101</v>
      </c>
      <c r="DC41" s="3">
        <f ca="1">IFERROR(__xludf.DUMMYFUNCTION("""COMPUTED_VALUE"""),-0.728125306366413)</f>
        <v>-0.72812530636641304</v>
      </c>
      <c r="DD41" s="3">
        <f ca="1">IFERROR(__xludf.DUMMYFUNCTION("""COMPUTED_VALUE"""),-0.942882226657709)</f>
        <v>-0.94288222665770904</v>
      </c>
      <c r="DE41" s="3">
        <f ca="1">IFERROR(__xludf.DUMMYFUNCTION("""COMPUTED_VALUE"""),-0.892041398736752)</f>
        <v>-0.89204139873675203</v>
      </c>
      <c r="DF41" s="3">
        <f ca="1">IFERROR(__xludf.DUMMYFUNCTION("""COMPUTED_VALUE"""),-0.7279364055263)</f>
        <v>-0.72793640552630001</v>
      </c>
      <c r="DG41" s="3">
        <f ca="1">IFERROR(__xludf.DUMMYFUNCTION("""COMPUTED_VALUE"""),-0.777403887422854)</f>
        <v>-0.77740388742285405</v>
      </c>
      <c r="DH41" s="3">
        <f ca="1">IFERROR(__xludf.DUMMYFUNCTION("""COMPUTED_VALUE"""),-0.796269217480796)</f>
        <v>-0.79626921748079604</v>
      </c>
      <c r="DI41" s="3">
        <f ca="1">IFERROR(__xludf.DUMMYFUNCTION("""COMPUTED_VALUE"""),-0.750288038577785)</f>
        <v>-0.75028803857778503</v>
      </c>
      <c r="DJ41" s="3">
        <f ca="1">IFERROR(__xludf.DUMMYFUNCTION("""COMPUTED_VALUE"""),-0.730551309776353)</f>
        <v>-0.73055130977635296</v>
      </c>
      <c r="DK41" s="3">
        <f ca="1">IFERROR(__xludf.DUMMYFUNCTION("""COMPUTED_VALUE"""),-0.789244973816086)</f>
        <v>-0.78924497381608605</v>
      </c>
      <c r="DL41" s="3">
        <f ca="1">IFERROR(__xludf.DUMMYFUNCTION("""COMPUTED_VALUE"""),-0.780819479826316)</f>
        <v>-0.78081947982631605</v>
      </c>
      <c r="DM41" s="3">
        <f ca="1">IFERROR(__xludf.DUMMYFUNCTION("""COMPUTED_VALUE"""),-0.800742945824844)</f>
        <v>-0.80074294582484395</v>
      </c>
      <c r="DN41" s="3">
        <f ca="1">IFERROR(__xludf.DUMMYFUNCTION("""COMPUTED_VALUE"""),-0.811013340619435)</f>
        <v>-0.81101334061943497</v>
      </c>
      <c r="DO41" s="3">
        <f ca="1">IFERROR(__xludf.DUMMYFUNCTION("""COMPUTED_VALUE"""),-0.833896455979531)</f>
        <v>-0.83389645597953099</v>
      </c>
      <c r="DP41" s="3">
        <f ca="1">IFERROR(__xludf.DUMMYFUNCTION("""COMPUTED_VALUE"""),-0.658786284347463)</f>
        <v>-0.658786284347463</v>
      </c>
      <c r="DQ41" s="3">
        <f ca="1">IFERROR(__xludf.DUMMYFUNCTION("""COMPUTED_VALUE"""),-0.740605212268227)</f>
        <v>-0.74060521226822695</v>
      </c>
      <c r="DR41" s="3">
        <f ca="1">IFERROR(__xludf.DUMMYFUNCTION("""COMPUTED_VALUE"""),-0.832312228112484)</f>
        <v>-0.83231222811248395</v>
      </c>
      <c r="DS41" s="3">
        <f ca="1">IFERROR(__xludf.DUMMYFUNCTION("""COMPUTED_VALUE"""),-0.853902036763597)</f>
        <v>-0.85390203676359699</v>
      </c>
      <c r="DT41" s="3">
        <f ca="1">IFERROR(__xludf.DUMMYFUNCTION("""COMPUTED_VALUE"""),-0.865840141119596)</f>
        <v>-0.86584014111959595</v>
      </c>
      <c r="DU41" s="3">
        <f ca="1">IFERROR(__xludf.DUMMYFUNCTION("""COMPUTED_VALUE"""),-0.875850071672657)</f>
        <v>-0.87585007167265705</v>
      </c>
      <c r="DV41" s="3">
        <f ca="1">IFERROR(__xludf.DUMMYFUNCTION("""COMPUTED_VALUE"""),-0.871691468382664)</f>
        <v>-0.87169146838266398</v>
      </c>
      <c r="DW41" s="3">
        <f ca="1">IFERROR(__xludf.DUMMYFUNCTION("""COMPUTED_VALUE"""),-0.747661791465602)</f>
        <v>-0.74766179146560197</v>
      </c>
      <c r="DX41" s="3">
        <f ca="1">IFERROR(__xludf.DUMMYFUNCTION("""COMPUTED_VALUE"""),-0.735655107258345)</f>
        <v>-0.73565510725834504</v>
      </c>
      <c r="DY41" s="3">
        <f ca="1">IFERROR(__xludf.DUMMYFUNCTION("""COMPUTED_VALUE"""),-0.827152376877872)</f>
        <v>-0.82715237687787202</v>
      </c>
      <c r="DZ41" s="3">
        <f ca="1">IFERROR(__xludf.DUMMYFUNCTION("""COMPUTED_VALUE"""),-0.805395748639986)</f>
        <v>-0.80539574863998598</v>
      </c>
      <c r="EA41" s="3">
        <f ca="1">IFERROR(__xludf.DUMMYFUNCTION("""COMPUTED_VALUE"""),-0.84411726223232)</f>
        <v>-0.84411726223231998</v>
      </c>
      <c r="EB41" s="3">
        <f ca="1">IFERROR(__xludf.DUMMYFUNCTION("""COMPUTED_VALUE"""),-0.876841836669119)</f>
        <v>-0.87684183666911897</v>
      </c>
      <c r="EC41" s="3">
        <f ca="1">IFERROR(__xludf.DUMMYFUNCTION("""COMPUTED_VALUE"""),-0.868729938600604)</f>
        <v>-0.86872993860060399</v>
      </c>
      <c r="ED41" s="3">
        <f ca="1">IFERROR(__xludf.DUMMYFUNCTION("""COMPUTED_VALUE"""),-0.796982923669736)</f>
        <v>-0.796982923669736</v>
      </c>
      <c r="EE41" s="3">
        <f ca="1">IFERROR(__xludf.DUMMYFUNCTION("""COMPUTED_VALUE"""),-0.811374084241815)</f>
        <v>-0.81137408424181501</v>
      </c>
      <c r="EF41" s="3">
        <f ca="1">IFERROR(__xludf.DUMMYFUNCTION("""COMPUTED_VALUE"""),-0.882737483542715)</f>
        <v>-0.88273748354271497</v>
      </c>
      <c r="EG41" s="3">
        <f ca="1">IFERROR(__xludf.DUMMYFUNCTION("""COMPUTED_VALUE"""),-0.931735702573512)</f>
        <v>-0.93173570257351201</v>
      </c>
      <c r="EH41" s="3">
        <f ca="1">IFERROR(__xludf.DUMMYFUNCTION("""COMPUTED_VALUE"""),-0.862614946695373)</f>
        <v>-0.86261494669537297</v>
      </c>
      <c r="EI41" s="3">
        <f ca="1">IFERROR(__xludf.DUMMYFUNCTION("""COMPUTED_VALUE"""),-0.872908345591033)</f>
        <v>-0.87290834559103303</v>
      </c>
      <c r="EJ41" s="3">
        <f ca="1">IFERROR(__xludf.DUMMYFUNCTION("""COMPUTED_VALUE"""),-0.854975777289682)</f>
        <v>-0.85497577728968199</v>
      </c>
      <c r="EK41" s="3">
        <f ca="1">IFERROR(__xludf.DUMMYFUNCTION("""COMPUTED_VALUE"""),-0.782031032960569)</f>
        <v>-0.78203103296056897</v>
      </c>
      <c r="EL41" s="3">
        <f ca="1">IFERROR(__xludf.DUMMYFUNCTION("""COMPUTED_VALUE"""),-0.682631745937846)</f>
        <v>-0.68263174593784604</v>
      </c>
      <c r="EM41" s="3">
        <f ca="1">IFERROR(__xludf.DUMMYFUNCTION("""COMPUTED_VALUE"""),-0.813061258742821)</f>
        <v>-0.81306125874282098</v>
      </c>
      <c r="EN41" s="3">
        <f ca="1">IFERROR(__xludf.DUMMYFUNCTION("""COMPUTED_VALUE"""),-0.823897776209806)</f>
        <v>-0.82389777620980598</v>
      </c>
      <c r="EO41" s="3">
        <f ca="1">IFERROR(__xludf.DUMMYFUNCTION("""COMPUTED_VALUE"""),-0.822180183351757)</f>
        <v>-0.82218018335175702</v>
      </c>
      <c r="EP41" s="3">
        <f ca="1">IFERROR(__xludf.DUMMYFUNCTION("""COMPUTED_VALUE"""),-0.873760027694297)</f>
        <v>-0.87376002769429695</v>
      </c>
      <c r="EQ41" s="3">
        <f ca="1">IFERROR(__xludf.DUMMYFUNCTION("""COMPUTED_VALUE"""),-0.861445346979651)</f>
        <v>-0.86144534697965103</v>
      </c>
      <c r="ER41" s="3">
        <f ca="1">IFERROR(__xludf.DUMMYFUNCTION("""COMPUTED_VALUE"""),-0.739156520015864)</f>
        <v>-0.73915652001586396</v>
      </c>
      <c r="ES41" s="3">
        <f ca="1">IFERROR(__xludf.DUMMYFUNCTION("""COMPUTED_VALUE"""),-0.728919416793069)</f>
        <v>-0.72891941679306904</v>
      </c>
      <c r="ET41" s="3">
        <f ca="1">IFERROR(__xludf.DUMMYFUNCTION("""COMPUTED_VALUE"""),-0.847344049803529)</f>
        <v>-0.84734404980352895</v>
      </c>
      <c r="EU41" s="3">
        <f ca="1">IFERROR(__xludf.DUMMYFUNCTION("""COMPUTED_VALUE"""),-0.865791180439972)</f>
        <v>-0.86579118043997205</v>
      </c>
      <c r="EV41" s="3">
        <f ca="1">IFERROR(__xludf.DUMMYFUNCTION("""COMPUTED_VALUE"""),-0.871995332498451)</f>
        <v>-0.87199533249845096</v>
      </c>
      <c r="EW41" s="3">
        <f ca="1">IFERROR(__xludf.DUMMYFUNCTION("""COMPUTED_VALUE"""),-0.874807809380397)</f>
        <v>-0.87480780938039704</v>
      </c>
      <c r="EX41" s="3">
        <f ca="1">IFERROR(__xludf.DUMMYFUNCTION("""COMPUTED_VALUE"""),-0.864454883253929)</f>
        <v>-0.86445488325392905</v>
      </c>
      <c r="EY41" s="3">
        <f ca="1">IFERROR(__xludf.DUMMYFUNCTION("""COMPUTED_VALUE"""),-0.751726756934508)</f>
        <v>-0.75172675693450797</v>
      </c>
      <c r="EZ41" s="3">
        <f ca="1">IFERROR(__xludf.DUMMYFUNCTION("""COMPUTED_VALUE"""),-0.741017451590485)</f>
        <v>-0.74101745159048504</v>
      </c>
      <c r="FA41" s="3">
        <f ca="1">IFERROR(__xludf.DUMMYFUNCTION("""COMPUTED_VALUE"""),-0.855913694187282)</f>
        <v>-0.85591369418728203</v>
      </c>
      <c r="FB41" s="3">
        <f ca="1">IFERROR(__xludf.DUMMYFUNCTION("""COMPUTED_VALUE"""),-0.8832424301578)</f>
        <v>-0.88324243015780002</v>
      </c>
      <c r="FC41" s="3">
        <f ca="1">IFERROR(__xludf.DUMMYFUNCTION("""COMPUTED_VALUE"""),-0.852835201532704)</f>
        <v>-0.85283520153270398</v>
      </c>
      <c r="FD41" s="3">
        <f ca="1">IFERROR(__xludf.DUMMYFUNCTION("""COMPUTED_VALUE"""),-0.853029628386412)</f>
        <v>-0.85302962838641205</v>
      </c>
      <c r="FE41" s="3">
        <f ca="1">IFERROR(__xludf.DUMMYFUNCTION("""COMPUTED_VALUE"""),-0.848370492204347)</f>
        <v>-0.84837049220434702</v>
      </c>
      <c r="FF41" s="3">
        <f ca="1">IFERROR(__xludf.DUMMYFUNCTION("""COMPUTED_VALUE"""),-0.75704419304776)</f>
        <v>-0.75704419304776005</v>
      </c>
      <c r="FG41" s="3">
        <f ca="1">IFERROR(__xludf.DUMMYFUNCTION("""COMPUTED_VALUE"""),-0.705587119245288)</f>
        <v>-0.70558711924528805</v>
      </c>
      <c r="FH41" s="3">
        <f ca="1">IFERROR(__xludf.DUMMYFUNCTION("""COMPUTED_VALUE"""),-0.809790971378996)</f>
        <v>-0.80979097137899603</v>
      </c>
      <c r="FI41" s="3">
        <f ca="1">IFERROR(__xludf.DUMMYFUNCTION("""COMPUTED_VALUE"""),-0.853994916632845)</f>
        <v>-0.85399491663284499</v>
      </c>
      <c r="FJ41" s="3">
        <f ca="1">IFERROR(__xludf.DUMMYFUNCTION("""COMPUTED_VALUE"""),-0.843108890526165)</f>
        <v>-0.843108890526165</v>
      </c>
      <c r="FK41" s="3">
        <f ca="1">IFERROR(__xludf.DUMMYFUNCTION("""COMPUTED_VALUE"""),-0.845521385083558)</f>
        <v>-0.84552138508355801</v>
      </c>
      <c r="FL41" s="3">
        <f ca="1">IFERROR(__xludf.DUMMYFUNCTION("""COMPUTED_VALUE"""),-0.837578798131061)</f>
        <v>-0.83757879813106095</v>
      </c>
      <c r="FM41" s="3">
        <f ca="1">IFERROR(__xludf.DUMMYFUNCTION("""COMPUTED_VALUE"""),-0.70503503619617)</f>
        <v>-0.70503503619617003</v>
      </c>
      <c r="FN41" s="3">
        <f ca="1">IFERROR(__xludf.DUMMYFUNCTION("""COMPUTED_VALUE"""),-0.742367193748775)</f>
        <v>-0.74236719374877502</v>
      </c>
      <c r="FO41" s="3">
        <f ca="1">IFERROR(__xludf.DUMMYFUNCTION("""COMPUTED_VALUE"""),-0.82470230659459)</f>
        <v>-0.82470230659458998</v>
      </c>
      <c r="FP41" s="3">
        <f ca="1">IFERROR(__xludf.DUMMYFUNCTION("""COMPUTED_VALUE"""),-0.847950499397686)</f>
        <v>-0.84795049939768596</v>
      </c>
      <c r="FQ41" s="3">
        <f ca="1">IFERROR(__xludf.DUMMYFUNCTION("""COMPUTED_VALUE"""),-0.831067454959022)</f>
        <v>-0.83106745495902201</v>
      </c>
      <c r="FR41" s="3">
        <f ca="1">IFERROR(__xludf.DUMMYFUNCTION("""COMPUTED_VALUE"""),-0.843018103901448)</f>
        <v>-0.84301810390144805</v>
      </c>
      <c r="FS41" s="3">
        <f ca="1">IFERROR(__xludf.DUMMYFUNCTION("""COMPUTED_VALUE"""),-0.834114097596422)</f>
        <v>-0.83411409759642197</v>
      </c>
      <c r="FT41" s="3">
        <f ca="1">IFERROR(__xludf.DUMMYFUNCTION("""COMPUTED_VALUE"""),-0.74438556543931)</f>
        <v>-0.74438556543931</v>
      </c>
      <c r="FU41" s="3">
        <f ca="1">IFERROR(__xludf.DUMMYFUNCTION("""COMPUTED_VALUE"""),-0.770612805020429)</f>
        <v>-0.77061280502042895</v>
      </c>
      <c r="FV41" s="3">
        <f ca="1">IFERROR(__xludf.DUMMYFUNCTION("""COMPUTED_VALUE"""),-0.836378095522126)</f>
        <v>-0.83637809552212605</v>
      </c>
      <c r="FW41" s="3">
        <f ca="1">IFERROR(__xludf.DUMMYFUNCTION("""COMPUTED_VALUE"""),-0.831701801542478)</f>
        <v>-0.83170180154247797</v>
      </c>
      <c r="FX41" s="3">
        <f ca="1">IFERROR(__xludf.DUMMYFUNCTION("""COMPUTED_VALUE"""),-0.820882794355813)</f>
        <v>-0.82088279435581302</v>
      </c>
      <c r="FY41" s="3">
        <f ca="1">IFERROR(__xludf.DUMMYFUNCTION("""COMPUTED_VALUE"""),-0.855189537397149)</f>
        <v>-0.85518953739714898</v>
      </c>
      <c r="FZ41" s="3">
        <f ca="1">IFERROR(__xludf.DUMMYFUNCTION("""COMPUTED_VALUE"""),-0.852076301958993)</f>
        <v>-0.85207630195899298</v>
      </c>
      <c r="GA41" s="3">
        <f ca="1">IFERROR(__xludf.DUMMYFUNCTION("""COMPUTED_VALUE"""),-0.720267074658153)</f>
        <v>-0.72026707465815298</v>
      </c>
      <c r="GB41" s="3">
        <f ca="1">IFERROR(__xludf.DUMMYFUNCTION("""COMPUTED_VALUE"""),-0.73147877431832)</f>
        <v>-0.73147877431831998</v>
      </c>
      <c r="GC41" s="3">
        <f ca="1">IFERROR(__xludf.DUMMYFUNCTION("""COMPUTED_VALUE"""),-0.846278155930453)</f>
        <v>-0.84627815593045297</v>
      </c>
      <c r="GD41" s="3">
        <f ca="1">IFERROR(__xludf.DUMMYFUNCTION("""COMPUTED_VALUE"""),-0.848260252792453)</f>
        <v>-0.84826025279245298</v>
      </c>
      <c r="GE41" s="3">
        <f ca="1">IFERROR(__xludf.DUMMYFUNCTION("""COMPUTED_VALUE"""),-0.824254332914802)</f>
        <v>-0.82425433291480199</v>
      </c>
      <c r="GF41" s="3">
        <f ca="1">IFERROR(__xludf.DUMMYFUNCTION("""COMPUTED_VALUE"""),-0.859622235387509)</f>
        <v>-0.85962223538750904</v>
      </c>
      <c r="GG41" s="3">
        <f ca="1">IFERROR(__xludf.DUMMYFUNCTION("""COMPUTED_VALUE"""),-0.831467454285518)</f>
        <v>-0.83146745428551805</v>
      </c>
      <c r="GH41" s="3">
        <f ca="1">IFERROR(__xludf.DUMMYFUNCTION("""COMPUTED_VALUE"""),-0.75948896565021)</f>
        <v>-0.75948896565020996</v>
      </c>
      <c r="GI41" s="3">
        <f ca="1">IFERROR(__xludf.DUMMYFUNCTION("""COMPUTED_VALUE"""),-0.721591259903291)</f>
        <v>-0.72159125990329098</v>
      </c>
      <c r="GJ41" s="3">
        <f ca="1">IFERROR(__xludf.DUMMYFUNCTION("""COMPUTED_VALUE"""),-0.84416047297169)</f>
        <v>-0.84416047297168995</v>
      </c>
      <c r="GK41" s="3">
        <f ca="1">IFERROR(__xludf.DUMMYFUNCTION("""COMPUTED_VALUE"""),-0.836659070656948)</f>
        <v>-0.836659070656948</v>
      </c>
      <c r="GL41" s="3">
        <f ca="1">IFERROR(__xludf.DUMMYFUNCTION("""COMPUTED_VALUE"""),-0.83310868349471)</f>
        <v>-0.83310868349471001</v>
      </c>
      <c r="GM41" s="3">
        <f ca="1">IFERROR(__xludf.DUMMYFUNCTION("""COMPUTED_VALUE"""),-0.850747610916068)</f>
        <v>-0.85074761091606799</v>
      </c>
      <c r="GN41" s="3">
        <f ca="1">IFERROR(__xludf.DUMMYFUNCTION("""COMPUTED_VALUE"""),-0.831265670267872)</f>
        <v>-0.83126567026787201</v>
      </c>
      <c r="GO41" s="3">
        <f ca="1">IFERROR(__xludf.DUMMYFUNCTION("""COMPUTED_VALUE"""),-0.740289106994773)</f>
        <v>-0.74028910699477302</v>
      </c>
      <c r="GP41" s="3">
        <f ca="1">IFERROR(__xludf.DUMMYFUNCTION("""COMPUTED_VALUE"""),-0.790059862275557)</f>
        <v>-0.79005986227555702</v>
      </c>
      <c r="GQ41" s="3">
        <f ca="1">IFERROR(__xludf.DUMMYFUNCTION("""COMPUTED_VALUE"""),-0.844303147974226)</f>
        <v>-0.84430314797422601</v>
      </c>
      <c r="GR41" s="3">
        <f ca="1">IFERROR(__xludf.DUMMYFUNCTION("""COMPUTED_VALUE"""),-0.873684553928383)</f>
        <v>-0.87368455392838296</v>
      </c>
      <c r="GS41" s="3">
        <f ca="1">IFERROR(__xludf.DUMMYFUNCTION("""COMPUTED_VALUE"""),-0.857457827692245)</f>
        <v>-0.85745782769224499</v>
      </c>
      <c r="GT41" s="3">
        <f ca="1">IFERROR(__xludf.DUMMYFUNCTION("""COMPUTED_VALUE"""),-0.847269452887026)</f>
        <v>-0.84726945288702604</v>
      </c>
      <c r="GU41" s="3">
        <f ca="1">IFERROR(__xludf.DUMMYFUNCTION("""COMPUTED_VALUE"""),-0.867413892340916)</f>
        <v>-0.86741389234091604</v>
      </c>
      <c r="GV41" s="3">
        <f ca="1">IFERROR(__xludf.DUMMYFUNCTION("""COMPUTED_VALUE"""),-0.76621140922805)</f>
        <v>-0.76621140922804998</v>
      </c>
      <c r="GW41" s="3">
        <f ca="1">IFERROR(__xludf.DUMMYFUNCTION("""COMPUTED_VALUE"""),-0.782409587527339)</f>
        <v>-0.78240958752733902</v>
      </c>
      <c r="GX41" s="3">
        <f ca="1">IFERROR(__xludf.DUMMYFUNCTION("""COMPUTED_VALUE"""),-0.852993665444093)</f>
        <v>-0.85299366544409305</v>
      </c>
      <c r="GY41" s="3">
        <f ca="1">IFERROR(__xludf.DUMMYFUNCTION("""COMPUTED_VALUE"""),-0.845119844018241)</f>
        <v>-0.84511984401824103</v>
      </c>
      <c r="GZ41" s="3">
        <f ca="1">IFERROR(__xludf.DUMMYFUNCTION("""COMPUTED_VALUE"""),-0.834674059967186)</f>
        <v>-0.83467405996718602</v>
      </c>
      <c r="HA41" s="3">
        <f ca="1">IFERROR(__xludf.DUMMYFUNCTION("""COMPUTED_VALUE"""),-0.860944047818434)</f>
        <v>-0.86094404781843403</v>
      </c>
      <c r="HB41" s="3">
        <f ca="1">IFERROR(__xludf.DUMMYFUNCTION("""COMPUTED_VALUE"""),-0.836654278679368)</f>
        <v>-0.83665427867936804</v>
      </c>
      <c r="HC41" s="3">
        <f ca="1">IFERROR(__xludf.DUMMYFUNCTION("""COMPUTED_VALUE"""),-0.677270738290726)</f>
        <v>-0.67727073829072604</v>
      </c>
      <c r="HD41" s="3">
        <f ca="1">IFERROR(__xludf.DUMMYFUNCTION("""COMPUTED_VALUE"""),-0.788894127853391)</f>
        <v>-0.78889412785339097</v>
      </c>
      <c r="HE41" s="3">
        <f ca="1">IFERROR(__xludf.DUMMYFUNCTION("""COMPUTED_VALUE"""),-0.837305341625908)</f>
        <v>-0.83730534162590797</v>
      </c>
      <c r="HF41" s="3">
        <f ca="1">IFERROR(__xludf.DUMMYFUNCTION("""COMPUTED_VALUE"""),-0.85274507691794)</f>
        <v>-0.85274507691793999</v>
      </c>
      <c r="HG41" s="3">
        <f ca="1">IFERROR(__xludf.DUMMYFUNCTION("""COMPUTED_VALUE"""),-0.80305541786408)</f>
        <v>-0.80305541786407997</v>
      </c>
      <c r="HH41" s="3">
        <f ca="1">IFERROR(__xludf.DUMMYFUNCTION("""COMPUTED_VALUE"""),-0.803296539986576)</f>
        <v>-0.80329653998657602</v>
      </c>
      <c r="HI41" s="3">
        <f ca="1">IFERROR(__xludf.DUMMYFUNCTION("""COMPUTED_VALUE"""),-0.836468936207259)</f>
        <v>-0.83646893620725904</v>
      </c>
      <c r="HJ41" s="3">
        <f ca="1">IFERROR(__xludf.DUMMYFUNCTION("""COMPUTED_VALUE"""),-0.702960513034511)</f>
        <v>-0.70296051303451101</v>
      </c>
      <c r="HK41" s="3">
        <f ca="1">IFERROR(__xludf.DUMMYFUNCTION("""COMPUTED_VALUE"""),-0.656942452547003)</f>
        <v>-0.65694245254700301</v>
      </c>
      <c r="HL41" s="3">
        <f ca="1">IFERROR(__xludf.DUMMYFUNCTION("""COMPUTED_VALUE"""),-0.776778307320681)</f>
        <v>-0.77677830732068098</v>
      </c>
      <c r="HM41" s="3">
        <f ca="1">IFERROR(__xludf.DUMMYFUNCTION("""COMPUTED_VALUE"""),-0.772474228936884)</f>
        <v>-0.772474228936884</v>
      </c>
      <c r="HN41" s="3">
        <f ca="1">IFERROR(__xludf.DUMMYFUNCTION("""COMPUTED_VALUE"""),-0.750593635765137)</f>
        <v>-0.75059363576513705</v>
      </c>
      <c r="HO41" s="3">
        <f ca="1">IFERROR(__xludf.DUMMYFUNCTION("""COMPUTED_VALUE"""),-0.766818247208333)</f>
        <v>-0.76681824720833303</v>
      </c>
      <c r="HP41" s="3">
        <f ca="1">IFERROR(__xludf.DUMMYFUNCTION("""COMPUTED_VALUE"""),-0.698115572825458)</f>
        <v>-0.698115572825458</v>
      </c>
      <c r="HQ41" s="3">
        <f ca="1">IFERROR(__xludf.DUMMYFUNCTION("""COMPUTED_VALUE"""),-0.491531145230417)</f>
        <v>-0.49153114523041702</v>
      </c>
      <c r="HR41" s="3">
        <f ca="1">IFERROR(__xludf.DUMMYFUNCTION("""COMPUTED_VALUE"""),-0.569143366279715)</f>
        <v>-0.56914336627971496</v>
      </c>
      <c r="HS41" s="3">
        <f ca="1">IFERROR(__xludf.DUMMYFUNCTION("""COMPUTED_VALUE"""),-0.75166969412515)</f>
        <v>-0.75166969412514995</v>
      </c>
      <c r="HT41" s="3">
        <f ca="1">IFERROR(__xludf.DUMMYFUNCTION("""COMPUTED_VALUE"""),-0.773919672558568)</f>
        <v>-0.77391967255856797</v>
      </c>
      <c r="HU41" s="3">
        <f ca="1">IFERROR(__xludf.DUMMYFUNCTION("""COMPUTED_VALUE"""),-0.761628911072016)</f>
        <v>-0.76162891107201602</v>
      </c>
      <c r="HV41" s="3">
        <f ca="1">IFERROR(__xludf.DUMMYFUNCTION("""COMPUTED_VALUE"""),-0.729355051146051)</f>
        <v>-0.72935505114605104</v>
      </c>
      <c r="HW41" s="3">
        <f ca="1">IFERROR(__xludf.DUMMYFUNCTION("""COMPUTED_VALUE"""),-0.671126658256707)</f>
        <v>-0.67112665825670703</v>
      </c>
      <c r="HX41" s="3">
        <f ca="1">IFERROR(__xludf.DUMMYFUNCTION("""COMPUTED_VALUE"""),-0.578240423131859)</f>
        <v>-0.57824042313185897</v>
      </c>
      <c r="HY41" s="3">
        <f ca="1">IFERROR(__xludf.DUMMYFUNCTION("""COMPUTED_VALUE"""),-0.639339985253089)</f>
        <v>-0.63933998525308899</v>
      </c>
      <c r="HZ41" s="3">
        <f ca="1">IFERROR(__xludf.DUMMYFUNCTION("""COMPUTED_VALUE"""),-0.746502936789543)</f>
        <v>-0.74650293678954305</v>
      </c>
      <c r="IA41" s="3">
        <f ca="1">IFERROR(__xludf.DUMMYFUNCTION("""COMPUTED_VALUE"""),-0.741418371341053)</f>
        <v>-0.74141837134105304</v>
      </c>
      <c r="IB41" s="3">
        <f ca="1">IFERROR(__xludf.DUMMYFUNCTION("""COMPUTED_VALUE"""),-0.774773328062671)</f>
        <v>-0.77477332806267096</v>
      </c>
      <c r="IC41" s="3">
        <f ca="1">IFERROR(__xludf.DUMMYFUNCTION("""COMPUTED_VALUE"""),-0.774904934706394)</f>
        <v>-0.77490493470639399</v>
      </c>
      <c r="ID41" s="3">
        <f ca="1">IFERROR(__xludf.DUMMYFUNCTION("""COMPUTED_VALUE"""),-0.793915117879447)</f>
        <v>-0.79391511787944702</v>
      </c>
      <c r="IE41" s="3">
        <f ca="1">IFERROR(__xludf.DUMMYFUNCTION("""COMPUTED_VALUE"""),-0.50628040720646)</f>
        <v>-0.50628040720645995</v>
      </c>
      <c r="IF41" s="3">
        <f ca="1">IFERROR(__xludf.DUMMYFUNCTION("""COMPUTED_VALUE"""),-0.562380297972832)</f>
        <v>-0.56238029797283196</v>
      </c>
      <c r="IG41" s="3">
        <f ca="1">IFERROR(__xludf.DUMMYFUNCTION("""COMPUTED_VALUE"""),-0.766869649676909)</f>
        <v>-0.76686964967690896</v>
      </c>
      <c r="IH41" s="3">
        <f ca="1">IFERROR(__xludf.DUMMYFUNCTION("""COMPUTED_VALUE"""),-0.761907506556007)</f>
        <v>-0.76190750655600703</v>
      </c>
      <c r="II41" s="3">
        <f ca="1">IFERROR(__xludf.DUMMYFUNCTION("""COMPUTED_VALUE"""),-0.764447134610077)</f>
        <v>-0.76444713461007696</v>
      </c>
      <c r="IJ41" s="3">
        <f ca="1">IFERROR(__xludf.DUMMYFUNCTION("""COMPUTED_VALUE"""),-0.749728545858365)</f>
        <v>-0.74972854585836501</v>
      </c>
      <c r="IK41" s="3">
        <f ca="1">IFERROR(__xludf.DUMMYFUNCTION("""COMPUTED_VALUE"""),-0.784711251865266)</f>
        <v>-0.78471125186526602</v>
      </c>
      <c r="IL41" s="3">
        <f ca="1">IFERROR(__xludf.DUMMYFUNCTION("""COMPUTED_VALUE"""),-0.577773097766681)</f>
        <v>-0.57777309776668095</v>
      </c>
      <c r="IM41" s="3">
        <f ca="1">IFERROR(__xludf.DUMMYFUNCTION("""COMPUTED_VALUE"""),-0.57797547102743)</f>
        <v>-0.57797547102742997</v>
      </c>
      <c r="IN41" s="3">
        <f ca="1">IFERROR(__xludf.DUMMYFUNCTION("""COMPUTED_VALUE"""),-0.713096415444093)</f>
        <v>-0.71309641544409297</v>
      </c>
      <c r="IO41" s="3">
        <f ca="1">IFERROR(__xludf.DUMMYFUNCTION("""COMPUTED_VALUE"""),-0.748867122949372)</f>
        <v>-0.74886712294937197</v>
      </c>
      <c r="IP41" s="3">
        <f ca="1">IFERROR(__xludf.DUMMYFUNCTION("""COMPUTED_VALUE"""),-0.784388913739283)</f>
        <v>-0.78438891373928299</v>
      </c>
      <c r="IQ41" s="3">
        <f ca="1">IFERROR(__xludf.DUMMYFUNCTION("""COMPUTED_VALUE"""),-0.793240253633686)</f>
        <v>-0.793240253633686</v>
      </c>
      <c r="IR41" s="3">
        <f ca="1">IFERROR(__xludf.DUMMYFUNCTION("""COMPUTED_VALUE"""),-0.81028135910748)</f>
        <v>-0.81028135910748</v>
      </c>
      <c r="IS41" s="3">
        <f ca="1">IFERROR(__xludf.DUMMYFUNCTION("""COMPUTED_VALUE"""),-0.605658810427952)</f>
        <v>-0.605658810427952</v>
      </c>
      <c r="IT41" s="3">
        <f ca="1">IFERROR(__xludf.DUMMYFUNCTION("""COMPUTED_VALUE"""),-0.588089232444286)</f>
        <v>-0.58808923244428601</v>
      </c>
      <c r="IU41" s="3">
        <f ca="1">IFERROR(__xludf.DUMMYFUNCTION("""COMPUTED_VALUE"""),-0.751158540765476)</f>
        <v>-0.75115854076547595</v>
      </c>
      <c r="IV41" s="3">
        <f ca="1">IFERROR(__xludf.DUMMYFUNCTION("""COMPUTED_VALUE"""),-0.780091476060899)</f>
        <v>-0.78009147606089901</v>
      </c>
      <c r="IW41" s="3">
        <f ca="1">IFERROR(__xludf.DUMMYFUNCTION("""COMPUTED_VALUE"""),-0.817144438855487)</f>
        <v>-0.81714443885548704</v>
      </c>
      <c r="IX41" s="3">
        <f ca="1">IFERROR(__xludf.DUMMYFUNCTION("""COMPUTED_VALUE"""),-0.835895337133827)</f>
        <v>-0.83589533713382702</v>
      </c>
      <c r="IY41" s="3">
        <f ca="1">IFERROR(__xludf.DUMMYFUNCTION("""COMPUTED_VALUE"""),-0.784800959510734)</f>
        <v>-0.78480095951073403</v>
      </c>
      <c r="IZ41" s="3">
        <f ca="1">IFERROR(__xludf.DUMMYFUNCTION("""COMPUTED_VALUE"""),-0.703322549785026)</f>
        <v>-0.70332254978502595</v>
      </c>
      <c r="JA41" s="3">
        <f ca="1">IFERROR(__xludf.DUMMYFUNCTION("""COMPUTED_VALUE"""),-0.634661951373525)</f>
        <v>-0.63466195137352499</v>
      </c>
      <c r="JB41" s="3">
        <f ca="1">IFERROR(__xludf.DUMMYFUNCTION("""COMPUTED_VALUE"""),-0.782991446219107)</f>
        <v>-0.78299144621910699</v>
      </c>
      <c r="JC41" s="3">
        <f ca="1">IFERROR(__xludf.DUMMYFUNCTION("""COMPUTED_VALUE"""),-0.797535648649713)</f>
        <v>-0.79753564864971305</v>
      </c>
      <c r="JD41" s="3">
        <f ca="1">IFERROR(__xludf.DUMMYFUNCTION("""COMPUTED_VALUE"""),-0.804352455547922)</f>
        <v>-0.80435245554792201</v>
      </c>
      <c r="JE41" s="3">
        <f ca="1">IFERROR(__xludf.DUMMYFUNCTION("""COMPUTED_VALUE"""),-0.845881077451075)</f>
        <v>-0.84588107745107499</v>
      </c>
      <c r="JF41" s="3">
        <f ca="1">IFERROR(__xludf.DUMMYFUNCTION("""COMPUTED_VALUE"""),-0.823831165037548)</f>
        <v>-0.82383116503754805</v>
      </c>
      <c r="JG41" s="3">
        <f ca="1">IFERROR(__xludf.DUMMYFUNCTION("""COMPUTED_VALUE"""),-0.54489591354908)</f>
        <v>-0.54489591354907996</v>
      </c>
      <c r="JH41" s="3">
        <f ca="1">IFERROR(__xludf.DUMMYFUNCTION("""COMPUTED_VALUE"""),-0.662304478748997)</f>
        <v>-0.66230447874899701</v>
      </c>
      <c r="JI41" s="3">
        <f ca="1">IFERROR(__xludf.DUMMYFUNCTION("""COMPUTED_VALUE"""),-0.816899988418604)</f>
        <v>-0.81689998841860401</v>
      </c>
      <c r="JJ41" s="3">
        <f ca="1">IFERROR(__xludf.DUMMYFUNCTION("""COMPUTED_VALUE"""),-0.798911338213148)</f>
        <v>-0.79891133821314797</v>
      </c>
      <c r="JK41" s="3">
        <f ca="1">IFERROR(__xludf.DUMMYFUNCTION("""COMPUTED_VALUE"""),-0.866109937166767)</f>
        <v>-0.86610993716676699</v>
      </c>
      <c r="JL41" s="3">
        <f ca="1">IFERROR(__xludf.DUMMYFUNCTION("""COMPUTED_VALUE"""),-0.817573996772853)</f>
        <v>-0.81757399677285303</v>
      </c>
      <c r="JM41" s="3">
        <f ca="1">IFERROR(__xludf.DUMMYFUNCTION("""COMPUTED_VALUE"""),-0.817797053278091)</f>
        <v>-0.81779705327809105</v>
      </c>
      <c r="JN41" s="3">
        <f ca="1">IFERROR(__xludf.DUMMYFUNCTION("""COMPUTED_VALUE"""),-0.669764085680547)</f>
        <v>-0.66976408568054702</v>
      </c>
      <c r="JO41" s="3">
        <f ca="1">IFERROR(__xludf.DUMMYFUNCTION("""COMPUTED_VALUE"""),-0.619819367165247)</f>
        <v>-0.61981936716524699</v>
      </c>
      <c r="JP41" s="3">
        <f ca="1">IFERROR(__xludf.DUMMYFUNCTION("""COMPUTED_VALUE"""),-0.733880975233972)</f>
        <v>-0.733880975233972</v>
      </c>
      <c r="JQ41" s="3">
        <f ca="1">IFERROR(__xludf.DUMMYFUNCTION("""COMPUTED_VALUE"""),-0.765987126533879)</f>
        <v>-0.76598712653387901</v>
      </c>
      <c r="JR41" s="3">
        <f ca="1">IFERROR(__xludf.DUMMYFUNCTION("""COMPUTED_VALUE"""),-0.809591975004543)</f>
        <v>-0.80959197500454305</v>
      </c>
      <c r="JS41" s="3">
        <f ca="1">IFERROR(__xludf.DUMMYFUNCTION("""COMPUTED_VALUE"""),-0.830234947011677)</f>
        <v>-0.83023494701167699</v>
      </c>
      <c r="JT41" s="3">
        <f ca="1">IFERROR(__xludf.DUMMYFUNCTION("""COMPUTED_VALUE"""),-0.827939358625628)</f>
        <v>-0.82793935862562795</v>
      </c>
      <c r="JU41" s="3">
        <f ca="1">IFERROR(__xludf.DUMMYFUNCTION("""COMPUTED_VALUE"""),-0.681646168501494)</f>
        <v>-0.68164616850149395</v>
      </c>
      <c r="JV41" s="3">
        <f ca="1">IFERROR(__xludf.DUMMYFUNCTION("""COMPUTED_VALUE"""),-0.681692374222642)</f>
        <v>-0.68169237422264195</v>
      </c>
      <c r="JW41" s="3">
        <f ca="1">IFERROR(__xludf.DUMMYFUNCTION("""COMPUTED_VALUE"""),-0.763577288895562)</f>
        <v>-0.76357728889556198</v>
      </c>
      <c r="JX41" s="3">
        <f ca="1">IFERROR(__xludf.DUMMYFUNCTION("""COMPUTED_VALUE"""),-0.77642854726313)</f>
        <v>-0.77642854726313004</v>
      </c>
      <c r="JY41" s="3">
        <f ca="1">IFERROR(__xludf.DUMMYFUNCTION("""COMPUTED_VALUE"""),-0.826041727151308)</f>
        <v>-0.82604172715130797</v>
      </c>
      <c r="JZ41" s="3">
        <f ca="1">IFERROR(__xludf.DUMMYFUNCTION("""COMPUTED_VALUE"""),-0.789265743457715)</f>
        <v>-0.78926574345771505</v>
      </c>
      <c r="KA41" s="3">
        <f ca="1">IFERROR(__xludf.DUMMYFUNCTION("""COMPUTED_VALUE"""),-0.844929037923392)</f>
        <v>-0.84492903792339202</v>
      </c>
      <c r="KB41" s="3">
        <f ca="1">IFERROR(__xludf.DUMMYFUNCTION("""COMPUTED_VALUE"""),-0.445200790264375)</f>
        <v>-0.44520079026437498</v>
      </c>
      <c r="KC41" s="3">
        <f ca="1">IFERROR(__xludf.DUMMYFUNCTION("""COMPUTED_VALUE"""),-0.576492001740624)</f>
        <v>-0.57649200174062398</v>
      </c>
      <c r="KD41" s="3">
        <f ca="1">IFERROR(__xludf.DUMMYFUNCTION("""COMPUTED_VALUE"""),-0.767860649992902)</f>
        <v>-0.76786064999290204</v>
      </c>
      <c r="KE41" s="3">
        <f ca="1">IFERROR(__xludf.DUMMYFUNCTION("""COMPUTED_VALUE"""),-0.740389783869942)</f>
        <v>-0.74038978386994203</v>
      </c>
      <c r="KF41" s="3">
        <f ca="1">IFERROR(__xludf.DUMMYFUNCTION("""COMPUTED_VALUE"""),-0.798740707803311)</f>
        <v>-0.79874070780331097</v>
      </c>
      <c r="KG41" s="3">
        <f ca="1">IFERROR(__xludf.DUMMYFUNCTION("""COMPUTED_VALUE"""),-0.812865012617217)</f>
        <v>-0.812865012617217</v>
      </c>
      <c r="KH41" s="3">
        <f ca="1">IFERROR(__xludf.DUMMYFUNCTION("""COMPUTED_VALUE"""),-0.813886461146228)</f>
        <v>-0.81388646114622798</v>
      </c>
      <c r="KI41" s="3">
        <f ca="1">IFERROR(__xludf.DUMMYFUNCTION("""COMPUTED_VALUE"""),-0.51765194929032)</f>
        <v>-0.51765194929031999</v>
      </c>
      <c r="KJ41" s="3">
        <f ca="1">IFERROR(__xludf.DUMMYFUNCTION("""COMPUTED_VALUE"""),-0.698895178870907)</f>
        <v>-0.69889517887090702</v>
      </c>
      <c r="KK41" s="3">
        <f ca="1">IFERROR(__xludf.DUMMYFUNCTION("""COMPUTED_VALUE"""),-0.804267495726534)</f>
        <v>-0.804267495726534</v>
      </c>
      <c r="KL41" s="3">
        <f ca="1">IFERROR(__xludf.DUMMYFUNCTION("""COMPUTED_VALUE"""),-0.807254334524857)</f>
        <v>-0.80725433452485695</v>
      </c>
      <c r="KM41" s="3">
        <f ca="1">IFERROR(__xludf.DUMMYFUNCTION("""COMPUTED_VALUE"""),-0.813804232029274)</f>
        <v>-0.81380423202927399</v>
      </c>
      <c r="KN41" s="3">
        <f ca="1">IFERROR(__xludf.DUMMYFUNCTION("""COMPUTED_VALUE"""),-0.824916377258211)</f>
        <v>-0.82491637725821099</v>
      </c>
      <c r="KO41" s="3">
        <f ca="1">IFERROR(__xludf.DUMMYFUNCTION("""COMPUTED_VALUE"""),-0.818195311943815)</f>
        <v>-0.81819531194381501</v>
      </c>
      <c r="KP41" s="3">
        <f ca="1">IFERROR(__xludf.DUMMYFUNCTION("""COMPUTED_VALUE"""),-0.612664387707426)</f>
        <v>-0.61266438770742604</v>
      </c>
      <c r="KQ41" s="3">
        <f ca="1">IFERROR(__xludf.DUMMYFUNCTION("""COMPUTED_VALUE"""),-0.685457982893834)</f>
        <v>-0.68545798289383397</v>
      </c>
      <c r="KR41" s="3">
        <f ca="1">IFERROR(__xludf.DUMMYFUNCTION("""COMPUTED_VALUE"""),-0.83936902393973)</f>
        <v>-0.83936902393973001</v>
      </c>
      <c r="KS41" s="3">
        <f ca="1">IFERROR(__xludf.DUMMYFUNCTION("""COMPUTED_VALUE"""),-0.8324090403259)</f>
        <v>-0.83240904032590002</v>
      </c>
      <c r="KT41" s="3">
        <f ca="1">IFERROR(__xludf.DUMMYFUNCTION("""COMPUTED_VALUE"""),-0.861044271098935)</f>
        <v>-0.861044271098935</v>
      </c>
      <c r="KU41" s="3">
        <f ca="1">IFERROR(__xludf.DUMMYFUNCTION("""COMPUTED_VALUE"""),-0.830741236540934)</f>
        <v>-0.83074123654093401</v>
      </c>
      <c r="KV41" s="3">
        <f ca="1">IFERROR(__xludf.DUMMYFUNCTION("""COMPUTED_VALUE"""),-0.805742245719233)</f>
        <v>-0.80574224571923303</v>
      </c>
      <c r="KW41" s="3">
        <f ca="1">IFERROR(__xludf.DUMMYFUNCTION("""COMPUTED_VALUE"""),-0.607376996434186)</f>
        <v>-0.60737699643418597</v>
      </c>
      <c r="KX41" s="3">
        <f ca="1">IFERROR(__xludf.DUMMYFUNCTION("""COMPUTED_VALUE"""),-0.622407196199724)</f>
        <v>-0.62240719619972396</v>
      </c>
      <c r="KY41" s="3">
        <f ca="1">IFERROR(__xludf.DUMMYFUNCTION("""COMPUTED_VALUE"""),-0.809617331343485)</f>
        <v>-0.80961733134348501</v>
      </c>
      <c r="KZ41" s="3">
        <f ca="1">IFERROR(__xludf.DUMMYFUNCTION("""COMPUTED_VALUE"""),-0.844096102839808)</f>
        <v>-0.84409610283980796</v>
      </c>
      <c r="LA41" s="3">
        <f ca="1">IFERROR(__xludf.DUMMYFUNCTION("""COMPUTED_VALUE"""),-0.845815414810153)</f>
        <v>-0.84581541481015299</v>
      </c>
      <c r="LB41" s="3">
        <f ca="1">IFERROR(__xludf.DUMMYFUNCTION("""COMPUTED_VALUE"""),-0.860098057927867)</f>
        <v>-0.86009805792786698</v>
      </c>
      <c r="LC41" s="3">
        <f ca="1">IFERROR(__xludf.DUMMYFUNCTION("""COMPUTED_VALUE"""),-0.813891393461423)</f>
        <v>-0.81389139346142303</v>
      </c>
      <c r="LD41" s="3">
        <f ca="1">IFERROR(__xludf.DUMMYFUNCTION("""COMPUTED_VALUE"""),-0.727321936918037)</f>
        <v>-0.72732193691803704</v>
      </c>
      <c r="LE41" s="3">
        <f ca="1">IFERROR(__xludf.DUMMYFUNCTION("""COMPUTED_VALUE"""),-0.739773360072286)</f>
        <v>-0.739773360072286</v>
      </c>
      <c r="LF41" s="3">
        <f ca="1">IFERROR(__xludf.DUMMYFUNCTION("""COMPUTED_VALUE"""),-0.878972248449631)</f>
        <v>-0.87897224844963096</v>
      </c>
      <c r="LG41" s="3">
        <f ca="1">IFERROR(__xludf.DUMMYFUNCTION("""COMPUTED_VALUE"""),-0.889017318339658)</f>
        <v>-0.88901731833965802</v>
      </c>
      <c r="LH41" s="3">
        <f ca="1">IFERROR(__xludf.DUMMYFUNCTION("""COMPUTED_VALUE"""),-0.841575333012235)</f>
        <v>-0.84157533301223497</v>
      </c>
      <c r="LI41" s="3">
        <f ca="1">IFERROR(__xludf.DUMMYFUNCTION("""COMPUTED_VALUE"""),-0.878844850299528)</f>
        <v>-0.87884485029952797</v>
      </c>
      <c r="LJ41" s="3">
        <f ca="1">IFERROR(__xludf.DUMMYFUNCTION("""COMPUTED_VALUE"""),-0.851567809193073)</f>
        <v>-0.85156780919307296</v>
      </c>
      <c r="LK41" s="3">
        <f ca="1">IFERROR(__xludf.DUMMYFUNCTION("""COMPUTED_VALUE"""),-0.774905989651046)</f>
        <v>-0.77490598965104596</v>
      </c>
      <c r="LL41" s="3">
        <f ca="1">IFERROR(__xludf.DUMMYFUNCTION("""COMPUTED_VALUE"""),-0.800000708453113)</f>
        <v>-0.800000708453113</v>
      </c>
      <c r="LM41" s="3">
        <f ca="1">IFERROR(__xludf.DUMMYFUNCTION("""COMPUTED_VALUE"""),-0.884452043884915)</f>
        <v>-0.88445204388491505</v>
      </c>
      <c r="LN41" s="3">
        <f ca="1">IFERROR(__xludf.DUMMYFUNCTION("""COMPUTED_VALUE"""),-0.90721894497271)</f>
        <v>-0.90721894497271005</v>
      </c>
      <c r="LO41" s="3">
        <f ca="1">IFERROR(__xludf.DUMMYFUNCTION("""COMPUTED_VALUE"""),-0.892381094559841)</f>
        <v>-0.89238109455984105</v>
      </c>
      <c r="LP41" s="3">
        <f ca="1">IFERROR(__xludf.DUMMYFUNCTION("""COMPUTED_VALUE"""),-0.904254573818588)</f>
        <v>-0.90425457381858798</v>
      </c>
      <c r="LQ41" s="3">
        <f ca="1">IFERROR(__xludf.DUMMYFUNCTION("""COMPUTED_VALUE"""),-0.881409549343702)</f>
        <v>-0.88140954934370197</v>
      </c>
      <c r="LR41" s="3">
        <f ca="1">IFERROR(__xludf.DUMMYFUNCTION("""COMPUTED_VALUE"""),-0.862074737890431)</f>
        <v>-0.86207473789043099</v>
      </c>
      <c r="LS41" s="3">
        <f ca="1">IFERROR(__xludf.DUMMYFUNCTION("""COMPUTED_VALUE"""),-0.864315755177513)</f>
        <v>-0.86431575517751302</v>
      </c>
      <c r="LT41" s="3">
        <f ca="1">IFERROR(__xludf.DUMMYFUNCTION("""COMPUTED_VALUE"""),-0.881996331067882)</f>
        <v>-0.881996331067882</v>
      </c>
      <c r="LU41" s="3">
        <f ca="1">IFERROR(__xludf.DUMMYFUNCTION("""COMPUTED_VALUE"""),-0.902416846564177)</f>
        <v>-0.90241684656417698</v>
      </c>
      <c r="LV41" s="3">
        <f ca="1">IFERROR(__xludf.DUMMYFUNCTION("""COMPUTED_VALUE"""),-0.91386730756761)</f>
        <v>-0.91386730756761003</v>
      </c>
      <c r="LW41" s="3">
        <f ca="1">IFERROR(__xludf.DUMMYFUNCTION("""COMPUTED_VALUE"""),-0.910372267836974)</f>
        <v>-0.910372267836974</v>
      </c>
      <c r="LX41" s="3">
        <f ca="1">IFERROR(__xludf.DUMMYFUNCTION("""COMPUTED_VALUE"""),-0.924635535220998)</f>
        <v>-0.92463553522099795</v>
      </c>
      <c r="LY41" s="3">
        <f ca="1">IFERROR(__xludf.DUMMYFUNCTION("""COMPUTED_VALUE"""),-0.830914769726642)</f>
        <v>-0.83091476972664202</v>
      </c>
      <c r="LZ41" s="3">
        <f ca="1">IFERROR(__xludf.DUMMYFUNCTION("""COMPUTED_VALUE"""),-0.848291814121464)</f>
        <v>-0.84829181412146404</v>
      </c>
      <c r="MA41" s="3">
        <f ca="1">IFERROR(__xludf.DUMMYFUNCTION("""COMPUTED_VALUE"""),-0.922632601131464)</f>
        <v>-0.92263260113146395</v>
      </c>
      <c r="MB41" s="3">
        <f ca="1">IFERROR(__xludf.DUMMYFUNCTION("""COMPUTED_VALUE"""),-0.925795029209034)</f>
        <v>-0.925795029209034</v>
      </c>
      <c r="MC41" s="3">
        <f ca="1">IFERROR(__xludf.DUMMYFUNCTION("""COMPUTED_VALUE"""),-0.902778554680759)</f>
        <v>-0.90277855468075896</v>
      </c>
      <c r="MD41" s="3">
        <f ca="1">IFERROR(__xludf.DUMMYFUNCTION("""COMPUTED_VALUE"""),-0.927064480881776)</f>
        <v>-0.92706448088177595</v>
      </c>
      <c r="ME41" s="3">
        <f ca="1">IFERROR(__xludf.DUMMYFUNCTION("""COMPUTED_VALUE"""),-0.931702847217044)</f>
        <v>-0.93170284721704399</v>
      </c>
      <c r="MF41" s="3">
        <f ca="1">IFERROR(__xludf.DUMMYFUNCTION("""COMPUTED_VALUE"""),-0.812125631255085)</f>
        <v>-0.81212563125508497</v>
      </c>
      <c r="MG41" s="3">
        <f ca="1">IFERROR(__xludf.DUMMYFUNCTION("""COMPUTED_VALUE"""),-0.84429845472006)</f>
        <v>-0.84429845472006004</v>
      </c>
      <c r="MH41" s="3">
        <f ca="1">IFERROR(__xludf.DUMMYFUNCTION("""COMPUTED_VALUE"""),-0.91800589460459)</f>
        <v>-0.91800589460459003</v>
      </c>
      <c r="MI41" s="3">
        <f ca="1">IFERROR(__xludf.DUMMYFUNCTION("""COMPUTED_VALUE"""),-0.945995079395255)</f>
        <v>-0.94599507939525496</v>
      </c>
      <c r="MJ41" s="3">
        <f ca="1">IFERROR(__xludf.DUMMYFUNCTION("""COMPUTED_VALUE"""),-0.915664563868824)</f>
        <v>-0.915664563868824</v>
      </c>
      <c r="MK41" s="3">
        <f ca="1">IFERROR(__xludf.DUMMYFUNCTION("""COMPUTED_VALUE"""),-0.935736742685962)</f>
        <v>-0.93573674268596196</v>
      </c>
      <c r="ML41" s="3">
        <f ca="1">IFERROR(__xludf.DUMMYFUNCTION("""COMPUTED_VALUE"""),-0.942503484668232)</f>
        <v>-0.94250348466823197</v>
      </c>
      <c r="MM41" s="3">
        <f ca="1">IFERROR(__xludf.DUMMYFUNCTION("""COMPUTED_VALUE"""),-0.865880222608963)</f>
        <v>-0.86588022260896302</v>
      </c>
      <c r="MN41" s="3">
        <f ca="1">IFERROR(__xludf.DUMMYFUNCTION("""COMPUTED_VALUE"""),-0.879263519487023)</f>
        <v>-0.87926351948702297</v>
      </c>
      <c r="MO41" s="3">
        <f ca="1">IFERROR(__xludf.DUMMYFUNCTION("""COMPUTED_VALUE"""),-0.932411318891558)</f>
        <v>-0.93241131889155804</v>
      </c>
      <c r="MP41" s="3">
        <f ca="1">IFERROR(__xludf.DUMMYFUNCTION("""COMPUTED_VALUE"""),-0.935284211206686)</f>
        <v>-0.93528421120668603</v>
      </c>
      <c r="MQ41" s="3">
        <f ca="1">IFERROR(__xludf.DUMMYFUNCTION("""COMPUTED_VALUE"""),-0.942540339446196)</f>
        <v>-0.94254033944619597</v>
      </c>
      <c r="MR41" s="3">
        <f ca="1">IFERROR(__xludf.DUMMYFUNCTION("""COMPUTED_VALUE"""),-0.933612529472023)</f>
        <v>-0.933612529472023</v>
      </c>
      <c r="MS41" s="3">
        <f ca="1">IFERROR(__xludf.DUMMYFUNCTION("""COMPUTED_VALUE"""),-0.916962621921371)</f>
        <v>-0.91696262192137101</v>
      </c>
      <c r="MT41" s="3">
        <f ca="1">IFERROR(__xludf.DUMMYFUNCTION("""COMPUTED_VALUE"""),-0.847912513965062)</f>
        <v>-0.84791251396506195</v>
      </c>
      <c r="MU41" s="3">
        <f ca="1">IFERROR(__xludf.DUMMYFUNCTION("""COMPUTED_VALUE"""),-0.884749791571495)</f>
        <v>-0.88474979157149503</v>
      </c>
      <c r="MV41" s="3">
        <f ca="1">IFERROR(__xludf.DUMMYFUNCTION("""COMPUTED_VALUE"""),-0.931732539194637)</f>
        <v>-0.93173253919463705</v>
      </c>
      <c r="MW41" s="3">
        <f ca="1">IFERROR(__xludf.DUMMYFUNCTION("""COMPUTED_VALUE"""),-0.940306372612231)</f>
        <v>-0.94030637261223105</v>
      </c>
      <c r="MX41" s="3">
        <f ca="1">IFERROR(__xludf.DUMMYFUNCTION("""COMPUTED_VALUE"""),-0.923513094155817)</f>
        <v>-0.92351309415581695</v>
      </c>
      <c r="MY41" s="3">
        <f ca="1">IFERROR(__xludf.DUMMYFUNCTION("""COMPUTED_VALUE"""),-0.932694804370182)</f>
        <v>-0.93269480437018204</v>
      </c>
      <c r="MZ41" s="3">
        <f ca="1">IFERROR(__xludf.DUMMYFUNCTION("""COMPUTED_VALUE"""),-0.919741117095385)</f>
        <v>-0.91974111709538497</v>
      </c>
      <c r="NA41" s="3">
        <f ca="1">IFERROR(__xludf.DUMMYFUNCTION("""COMPUTED_VALUE"""),-0.886177687916951)</f>
        <v>-0.88617768791695095</v>
      </c>
      <c r="NB41" s="3">
        <f ca="1">IFERROR(__xludf.DUMMYFUNCTION("""COMPUTED_VALUE"""),-0.871063099350118)</f>
        <v>-0.87106309935011805</v>
      </c>
      <c r="NC41" s="3">
        <f ca="1">IFERROR(__xludf.DUMMYFUNCTION("""COMPUTED_VALUE"""),-0.923408585980039)</f>
        <v>-0.92340858598003905</v>
      </c>
      <c r="ND41" s="3">
        <f ca="1">IFERROR(__xludf.DUMMYFUNCTION("""COMPUTED_VALUE"""),-0.93183344715404)</f>
        <v>-0.93183344715404004</v>
      </c>
      <c r="NE41" s="3">
        <f ca="1">IFERROR(__xludf.DUMMYFUNCTION("""COMPUTED_VALUE"""),-0.937884402634383)</f>
        <v>-0.937884402634383</v>
      </c>
      <c r="NF41" s="3">
        <f ca="1">IFERROR(__xludf.DUMMYFUNCTION("""COMPUTED_VALUE"""),-0.9252090509719)</f>
        <v>-0.92520905097189998</v>
      </c>
      <c r="NG41" s="3">
        <f ca="1">IFERROR(__xludf.DUMMYFUNCTION("""COMPUTED_VALUE"""),-0.925076963834381)</f>
        <v>-0.92507696383438098</v>
      </c>
      <c r="NH41" s="3">
        <f ca="1">IFERROR(__xludf.DUMMYFUNCTION("""COMPUTED_VALUE"""),-0.862050089472177)</f>
        <v>-0.86205008947217698</v>
      </c>
      <c r="NI41" s="3">
        <f ca="1">IFERROR(__xludf.DUMMYFUNCTION("""COMPUTED_VALUE"""),-0.86372667952787)</f>
        <v>-0.86372667952786997</v>
      </c>
      <c r="NJ41" s="3">
        <f ca="1">IFERROR(__xludf.DUMMYFUNCTION("""COMPUTED_VALUE"""),-0.942894735127083)</f>
        <v>-0.94289473512708299</v>
      </c>
      <c r="NK41" s="3">
        <f ca="1">IFERROR(__xludf.DUMMYFUNCTION("""COMPUTED_VALUE"""),-0.946446213944039)</f>
        <v>-0.94644621394403905</v>
      </c>
      <c r="NL41" s="3">
        <f ca="1">IFERROR(__xludf.DUMMYFUNCTION("""COMPUTED_VALUE"""),-0.942653568306016)</f>
        <v>-0.94265356830601599</v>
      </c>
      <c r="NM41" s="3">
        <f ca="1">IFERROR(__xludf.DUMMYFUNCTION("""COMPUTED_VALUE"""),-0.928811806127333)</f>
        <v>-0.92881180612733305</v>
      </c>
      <c r="NN41" s="3">
        <f ca="1">IFERROR(__xludf.DUMMYFUNCTION("""COMPUTED_VALUE"""),-0.942682747087686)</f>
        <v>-0.94268274708768596</v>
      </c>
      <c r="NO41" s="3">
        <f ca="1">IFERROR(__xludf.DUMMYFUNCTION("""COMPUTED_VALUE"""),-0.85343025523456)</f>
        <v>-0.85343025523455995</v>
      </c>
      <c r="NP41" s="3">
        <f ca="1">IFERROR(__xludf.DUMMYFUNCTION("""COMPUTED_VALUE"""),-0.867053107730827)</f>
        <v>-0.867053107730827</v>
      </c>
      <c r="NQ41" s="3">
        <f ca="1">IFERROR(__xludf.DUMMYFUNCTION("""COMPUTED_VALUE"""),-0.921182117303814)</f>
        <v>-0.92118211730381405</v>
      </c>
      <c r="NR41" s="3">
        <f ca="1">IFERROR(__xludf.DUMMYFUNCTION("""COMPUTED_VALUE"""),-0.928139334819243)</f>
        <v>-0.92813933481924304</v>
      </c>
      <c r="NS41" s="3">
        <f ca="1">IFERROR(__xludf.DUMMYFUNCTION("""COMPUTED_VALUE"""),-0.90924720585421)</f>
        <v>-0.90924720585421004</v>
      </c>
      <c r="NT41" s="3">
        <f ca="1">IFERROR(__xludf.DUMMYFUNCTION("""COMPUTED_VALUE"""),-0.91717286975639)</f>
        <v>-0.91717286975639001</v>
      </c>
      <c r="NU41" s="3">
        <f ca="1">IFERROR(__xludf.DUMMYFUNCTION("""COMPUTED_VALUE"""),-0.887416534963887)</f>
        <v>-0.88741653496388695</v>
      </c>
      <c r="NV41" s="3">
        <f ca="1">IFERROR(__xludf.DUMMYFUNCTION("""COMPUTED_VALUE"""),-0.738441137100613)</f>
        <v>-0.73844113710061299</v>
      </c>
      <c r="NW41" s="3">
        <f ca="1">IFERROR(__xludf.DUMMYFUNCTION("""COMPUTED_VALUE"""),-0.757579984425879)</f>
        <v>-0.75757998442587904</v>
      </c>
      <c r="NX41" s="3">
        <f ca="1">IFERROR(__xludf.DUMMYFUNCTION("""COMPUTED_VALUE"""),-0.866209639496947)</f>
        <v>-0.86620963949694696</v>
      </c>
      <c r="NY41" s="3">
        <f ca="1">IFERROR(__xludf.DUMMYFUNCTION("""COMPUTED_VALUE"""),-0.882170678762062)</f>
        <v>-0.88217067876206201</v>
      </c>
      <c r="NZ41" s="3">
        <f ca="1">IFERROR(__xludf.DUMMYFUNCTION("""COMPUTED_VALUE"""),-0.853754002783837)</f>
        <v>-0.85375400278383695</v>
      </c>
      <c r="OA41" s="3">
        <f ca="1">IFERROR(__xludf.DUMMYFUNCTION("""COMPUTED_VALUE"""),-0.775839590157464)</f>
        <v>-0.77583959015746395</v>
      </c>
      <c r="OB41" s="3">
        <f ca="1">IFERROR(__xludf.DUMMYFUNCTION("""COMPUTED_VALUE"""),-0.740487243306457)</f>
        <v>-0.74048724330645699</v>
      </c>
      <c r="OC41" s="3">
        <f ca="1">IFERROR(__xludf.DUMMYFUNCTION("""COMPUTED_VALUE"""),-0.465913178896574)</f>
        <v>-0.46591317889657402</v>
      </c>
      <c r="OD41" s="3">
        <f ca="1">IFERROR(__xludf.DUMMYFUNCTION("""COMPUTED_VALUE"""),-0.316228777228292)</f>
        <v>-0.31622877722829201</v>
      </c>
      <c r="OE41" s="3">
        <f ca="1">IFERROR(__xludf.DUMMYFUNCTION("""COMPUTED_VALUE"""),-0.189395856424778)</f>
        <v>-0.18939585642477799</v>
      </c>
      <c r="OF41" s="3">
        <f ca="1">IFERROR(__xludf.DUMMYFUNCTION("""COMPUTED_VALUE"""),-0.0526163823639979)</f>
        <v>-5.2616382363997898E-2</v>
      </c>
      <c r="OG41" s="3">
        <f ca="1">IFERROR(__xludf.DUMMYFUNCTION("""COMPUTED_VALUE"""),0.0288376424010068)</f>
        <v>2.8837642401006801E-2</v>
      </c>
      <c r="OH41" s="3">
        <f ca="1">IFERROR(__xludf.DUMMYFUNCTION("""COMPUTED_VALUE"""),0.0118149512273553)</f>
        <v>1.18149512273553E-2</v>
      </c>
      <c r="OI41" s="3">
        <f ca="1">IFERROR(__xludf.DUMMYFUNCTION("""COMPUTED_VALUE"""),0.180072943746168)</f>
        <v>0.180072943746168</v>
      </c>
      <c r="OJ41" s="3">
        <f ca="1">IFERROR(__xludf.DUMMYFUNCTION("""COMPUTED_VALUE"""),0.144468333032112)</f>
        <v>0.14446833303211201</v>
      </c>
      <c r="OK41" s="3">
        <f ca="1">IFERROR(__xludf.DUMMYFUNCTION("""COMPUTED_VALUE"""),0.144909041818227)</f>
        <v>0.144909041818227</v>
      </c>
      <c r="OL41" s="3">
        <f ca="1">IFERROR(__xludf.DUMMYFUNCTION("""COMPUTED_VALUE"""),0.0247297875694558)</f>
        <v>2.4729787569455802E-2</v>
      </c>
      <c r="OM41" s="3">
        <f ca="1">IFERROR(__xludf.DUMMYFUNCTION("""COMPUTED_VALUE"""),-0.0624839672796015)</f>
        <v>-6.2483967279601503E-2</v>
      </c>
      <c r="ON41" s="3">
        <f ca="1">IFERROR(__xludf.DUMMYFUNCTION("""COMPUTED_VALUE"""),-0.0595455162931629)</f>
        <v>-5.9545516293162903E-2</v>
      </c>
      <c r="OO41" s="3">
        <f ca="1">IFERROR(__xludf.DUMMYFUNCTION("""COMPUTED_VALUE"""),-0.121060118769523)</f>
        <v>-0.121060118769523</v>
      </c>
      <c r="OP41" s="3">
        <f ca="1">IFERROR(__xludf.DUMMYFUNCTION("""COMPUTED_VALUE"""),-0.0977533880610806)</f>
        <v>-9.7753388061080596E-2</v>
      </c>
      <c r="OQ41" s="3">
        <f ca="1">IFERROR(__xludf.DUMMYFUNCTION("""COMPUTED_VALUE"""),-0.039030105323915)</f>
        <v>-3.9030105323915001E-2</v>
      </c>
      <c r="OR41" s="3">
        <f ca="1">IFERROR(__xludf.DUMMYFUNCTION("""COMPUTED_VALUE"""),-0.00760191501265539)</f>
        <v>-7.6019150126553896E-3</v>
      </c>
      <c r="OS41" s="3">
        <f ca="1">IFERROR(__xludf.DUMMYFUNCTION("""COMPUTED_VALUE"""),-0.0549599087152828)</f>
        <v>-5.49599087152828E-2</v>
      </c>
      <c r="OT41" s="3">
        <f ca="1">IFERROR(__xludf.DUMMYFUNCTION("""COMPUTED_VALUE"""),-0.0659777886181927)</f>
        <v>-6.5977788618192701E-2</v>
      </c>
      <c r="OU41" s="3">
        <f ca="1">IFERROR(__xludf.DUMMYFUNCTION("""COMPUTED_VALUE"""),-0.0579957783279009)</f>
        <v>-5.7995778327900899E-2</v>
      </c>
      <c r="OV41" s="3">
        <f ca="1">IFERROR(__xludf.DUMMYFUNCTION("""COMPUTED_VALUE"""),-0.0701002672816744)</f>
        <v>-7.01002672816744E-2</v>
      </c>
      <c r="OW41" s="3">
        <f ca="1">IFERROR(__xludf.DUMMYFUNCTION("""COMPUTED_VALUE"""),-0.107280366941919)</f>
        <v>-0.107280366941919</v>
      </c>
      <c r="OX41" s="3">
        <f ca="1">IFERROR(__xludf.DUMMYFUNCTION("""COMPUTED_VALUE"""),0.0266247415833467)</f>
        <v>2.6624741583346701E-2</v>
      </c>
      <c r="OY41" s="3">
        <f ca="1">IFERROR(__xludf.DUMMYFUNCTION("""COMPUTED_VALUE"""),0.125535623481876)</f>
        <v>0.125535623481876</v>
      </c>
      <c r="OZ41" s="3">
        <f ca="1">IFERROR(__xludf.DUMMYFUNCTION("""COMPUTED_VALUE"""),0.0197231188024329)</f>
        <v>1.9723118802432899E-2</v>
      </c>
      <c r="PA41" s="3">
        <f ca="1">IFERROR(__xludf.DUMMYFUNCTION("""COMPUTED_VALUE"""),0.0786400615279039)</f>
        <v>7.8640061527903898E-2</v>
      </c>
      <c r="PB41" s="3">
        <f ca="1">IFERROR(__xludf.DUMMYFUNCTION("""COMPUTED_VALUE"""),-0.0493314579408349)</f>
        <v>-4.9331457940834898E-2</v>
      </c>
      <c r="PC41" s="3">
        <f ca="1">IFERROR(__xludf.DUMMYFUNCTION("""COMPUTED_VALUE"""),0.0216099030859051)</f>
        <v>2.1609903085905099E-2</v>
      </c>
      <c r="PD41" s="3">
        <f ca="1">IFERROR(__xludf.DUMMYFUNCTION("""COMPUTED_VALUE"""),0.144972255559092)</f>
        <v>0.14497225555909199</v>
      </c>
      <c r="PE41" s="3">
        <f ca="1">IFERROR(__xludf.DUMMYFUNCTION("""COMPUTED_VALUE"""),0.0609705332431371)</f>
        <v>6.0970533243137101E-2</v>
      </c>
      <c r="PF41" s="3">
        <f ca="1">IFERROR(__xludf.DUMMYFUNCTION("""COMPUTED_VALUE"""),0.188452521209718)</f>
        <v>0.188452521209718</v>
      </c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</row>
    <row r="42" spans="1:594" ht="15.75" customHeight="1">
      <c r="A42" s="1" t="str">
        <f ca="1">IFERROR(__xludf.DUMMYFUNCTION("""COMPUTED_VALUE"""),"Mammoth Lakes")</f>
        <v>Mammoth Lakes</v>
      </c>
      <c r="B42" s="3">
        <f ca="1">IFERROR(__xludf.DUMMYFUNCTION("""COMPUTED_VALUE"""),-0.220048987830233)</f>
        <v>-0.22004898783023299</v>
      </c>
      <c r="C42" s="3">
        <f ca="1">IFERROR(__xludf.DUMMYFUNCTION("""COMPUTED_VALUE"""),-0.29324292433049)</f>
        <v>-0.29324292433048998</v>
      </c>
      <c r="D42" s="3">
        <f ca="1">IFERROR(__xludf.DUMMYFUNCTION("""COMPUTED_VALUE"""),-0.280119110218878)</f>
        <v>-0.28011911021887798</v>
      </c>
      <c r="E42" s="3">
        <f ca="1">IFERROR(__xludf.DUMMYFUNCTION("""COMPUTED_VALUE"""),-0.280245978122848)</f>
        <v>-0.28024597812284802</v>
      </c>
      <c r="F42" s="3">
        <f ca="1">IFERROR(__xludf.DUMMYFUNCTION("""COMPUTED_VALUE"""),-0.457922578407769)</f>
        <v>-0.45792257840776901</v>
      </c>
      <c r="G42" s="3">
        <f ca="1">IFERROR(__xludf.DUMMYFUNCTION("""COMPUTED_VALUE"""),-0.329241658087014)</f>
        <v>-0.329241658087014</v>
      </c>
      <c r="H42" s="3">
        <f ca="1">IFERROR(__xludf.DUMMYFUNCTION("""COMPUTED_VALUE"""),-0.307786278392058)</f>
        <v>-0.30778627839205802</v>
      </c>
      <c r="I42" s="3">
        <f ca="1">IFERROR(__xludf.DUMMYFUNCTION("""COMPUTED_VALUE"""),-0.327762595107459)</f>
        <v>-0.32776259510745898</v>
      </c>
      <c r="J42" s="3">
        <f ca="1">IFERROR(__xludf.DUMMYFUNCTION("""COMPUTED_VALUE"""),-0.184812053585046)</f>
        <v>-0.18481205358504599</v>
      </c>
      <c r="K42" s="3">
        <f ca="1">IFERROR(__xludf.DUMMYFUNCTION("""COMPUTED_VALUE"""),-0.252331002523108)</f>
        <v>-0.25233100252310797</v>
      </c>
      <c r="L42" s="3">
        <f ca="1">IFERROR(__xludf.DUMMYFUNCTION("""COMPUTED_VALUE"""),-0.371175119475904)</f>
        <v>-0.37117511947590398</v>
      </c>
      <c r="M42" s="3">
        <f ca="1">IFERROR(__xludf.DUMMYFUNCTION("""COMPUTED_VALUE"""),-0.303972681782328)</f>
        <v>-0.303972681782328</v>
      </c>
      <c r="N42" s="3">
        <f ca="1">IFERROR(__xludf.DUMMYFUNCTION("""COMPUTED_VALUE"""),-0.295423736472242)</f>
        <v>-0.29542373647224202</v>
      </c>
      <c r="O42" s="3">
        <f ca="1">IFERROR(__xludf.DUMMYFUNCTION("""COMPUTED_VALUE"""),-0.186419078266395)</f>
        <v>-0.18641907826639501</v>
      </c>
      <c r="P42" s="3">
        <f ca="1">IFERROR(__xludf.DUMMYFUNCTION("""COMPUTED_VALUE"""),-0.348643871900873)</f>
        <v>-0.34864387190087298</v>
      </c>
      <c r="Q42" s="3">
        <f ca="1">IFERROR(__xludf.DUMMYFUNCTION("""COMPUTED_VALUE"""),-0.431991152876393)</f>
        <v>-0.431991152876393</v>
      </c>
      <c r="R42" s="3">
        <f ca="1">IFERROR(__xludf.DUMMYFUNCTION("""COMPUTED_VALUE"""),-0.485424872781262)</f>
        <v>-0.48542487278126201</v>
      </c>
      <c r="S42" s="3">
        <f ca="1">IFERROR(__xludf.DUMMYFUNCTION("""COMPUTED_VALUE"""),-0.291633117349942)</f>
        <v>-0.29163311734994202</v>
      </c>
      <c r="T42" s="3">
        <f ca="1">IFERROR(__xludf.DUMMYFUNCTION("""COMPUTED_VALUE"""),-0.0324333145575648)</f>
        <v>-3.2433314557564798E-2</v>
      </c>
      <c r="U42" s="3">
        <f ca="1">IFERROR(__xludf.DUMMYFUNCTION("""COMPUTED_VALUE"""),-0.212235823909018)</f>
        <v>-0.21223582390901799</v>
      </c>
      <c r="V42" s="3">
        <f ca="1">IFERROR(__xludf.DUMMYFUNCTION("""COMPUTED_VALUE"""),-0.398923617786681)</f>
        <v>-0.39892361778668101</v>
      </c>
      <c r="W42" s="3">
        <f ca="1">IFERROR(__xludf.DUMMYFUNCTION("""COMPUTED_VALUE"""),-0.327269678973368)</f>
        <v>-0.32726967897336801</v>
      </c>
      <c r="X42" s="3">
        <f ca="1">IFERROR(__xludf.DUMMYFUNCTION("""COMPUTED_VALUE"""),-0.3731256252529)</f>
        <v>-0.3731256252529</v>
      </c>
      <c r="Y42" s="3">
        <f ca="1">IFERROR(__xludf.DUMMYFUNCTION("""COMPUTED_VALUE"""),-0.312096428730185)</f>
        <v>-0.312096428730185</v>
      </c>
      <c r="Z42" s="3">
        <f ca="1">IFERROR(__xludf.DUMMYFUNCTION("""COMPUTED_VALUE"""),-0.3075968683916)</f>
        <v>-0.3075968683916</v>
      </c>
      <c r="AA42" s="3">
        <f ca="1">IFERROR(__xludf.DUMMYFUNCTION("""COMPUTED_VALUE"""),-0.277253882381359)</f>
        <v>-0.27725388238135901</v>
      </c>
      <c r="AB42" s="3">
        <f ca="1">IFERROR(__xludf.DUMMYFUNCTION("""COMPUTED_VALUE"""),-0.0926155985823375)</f>
        <v>-9.2615598582337505E-2</v>
      </c>
      <c r="AC42" s="3">
        <f ca="1">IFERROR(__xludf.DUMMYFUNCTION("""COMPUTED_VALUE"""),-0.350241534034969)</f>
        <v>-0.35024153403496899</v>
      </c>
      <c r="AD42" s="3">
        <f ca="1">IFERROR(__xludf.DUMMYFUNCTION("""COMPUTED_VALUE"""),-0.287386768940105)</f>
        <v>-0.28738676894010501</v>
      </c>
      <c r="AE42" s="3">
        <f ca="1">IFERROR(__xludf.DUMMYFUNCTION("""COMPUTED_VALUE"""),-0.359523898157011)</f>
        <v>-0.35952389815701102</v>
      </c>
      <c r="AF42" s="3">
        <f ca="1">IFERROR(__xludf.DUMMYFUNCTION("""COMPUTED_VALUE"""),-0.400578709842683)</f>
        <v>-0.40057870984268301</v>
      </c>
      <c r="AG42" s="3">
        <f ca="1">IFERROR(__xludf.DUMMYFUNCTION("""COMPUTED_VALUE"""),-0.453283773879942)</f>
        <v>-0.45328377387994201</v>
      </c>
      <c r="AH42" s="3">
        <f ca="1">IFERROR(__xludf.DUMMYFUNCTION("""COMPUTED_VALUE"""),-0.636730008524842)</f>
        <v>-0.63673000852484196</v>
      </c>
      <c r="AI42" s="3">
        <f ca="1">IFERROR(__xludf.DUMMYFUNCTION("""COMPUTED_VALUE"""),-0.513311865612493)</f>
        <v>-0.51331186561249298</v>
      </c>
      <c r="AJ42" s="3">
        <f ca="1">IFERROR(__xludf.DUMMYFUNCTION("""COMPUTED_VALUE"""),-0.625909896084039)</f>
        <v>-0.62590989608403902</v>
      </c>
      <c r="AK42" s="3">
        <f ca="1">IFERROR(__xludf.DUMMYFUNCTION("""COMPUTED_VALUE"""),-0.656610004983737)</f>
        <v>-0.65661000498373701</v>
      </c>
      <c r="AL42" s="3">
        <f ca="1">IFERROR(__xludf.DUMMYFUNCTION("""COMPUTED_VALUE"""),-0.580443934758489)</f>
        <v>-0.58044393475848899</v>
      </c>
      <c r="AM42" s="3">
        <f ca="1">IFERROR(__xludf.DUMMYFUNCTION("""COMPUTED_VALUE"""),-0.505900423721299)</f>
        <v>-0.50590042372129895</v>
      </c>
      <c r="AN42" s="3">
        <f ca="1">IFERROR(__xludf.DUMMYFUNCTION("""COMPUTED_VALUE"""),-0.53040435776656)</f>
        <v>-0.53040435776656003</v>
      </c>
      <c r="AO42" s="3">
        <f ca="1">IFERROR(__xludf.DUMMYFUNCTION("""COMPUTED_VALUE"""),-0.549489992699847)</f>
        <v>-0.549489992699847</v>
      </c>
      <c r="AP42" s="3">
        <f ca="1">IFERROR(__xludf.DUMMYFUNCTION("""COMPUTED_VALUE"""),-0.590639051749942)</f>
        <v>-0.59063905174994202</v>
      </c>
      <c r="AQ42" s="3">
        <f ca="1">IFERROR(__xludf.DUMMYFUNCTION("""COMPUTED_VALUE"""),-0.58413417223936)</f>
        <v>-0.58413417223936004</v>
      </c>
      <c r="AR42" s="3">
        <f ca="1">IFERROR(__xludf.DUMMYFUNCTION("""COMPUTED_VALUE"""),-0.597834886694352)</f>
        <v>-0.59783488669435203</v>
      </c>
      <c r="AS42" s="3">
        <f ca="1">IFERROR(__xludf.DUMMYFUNCTION("""COMPUTED_VALUE"""),-0.495241942092325)</f>
        <v>-0.49524194209232503</v>
      </c>
      <c r="AT42" s="3">
        <f ca="1">IFERROR(__xludf.DUMMYFUNCTION("""COMPUTED_VALUE"""),-0.581454059313137)</f>
        <v>-0.58145405931313698</v>
      </c>
      <c r="AU42" s="3">
        <f ca="1">IFERROR(__xludf.DUMMYFUNCTION("""COMPUTED_VALUE"""),-0.555852323100454)</f>
        <v>-0.55585232310045396</v>
      </c>
      <c r="AV42" s="3">
        <f ca="1">IFERROR(__xludf.DUMMYFUNCTION("""COMPUTED_VALUE"""),-0.571322427182211)</f>
        <v>-0.57132242718221105</v>
      </c>
      <c r="AW42" s="3">
        <f ca="1">IFERROR(__xludf.DUMMYFUNCTION("""COMPUTED_VALUE"""),-0.457944514492707)</f>
        <v>-0.45794451449270701</v>
      </c>
      <c r="AX42" s="3">
        <f ca="1">IFERROR(__xludf.DUMMYFUNCTION("""COMPUTED_VALUE"""),-0.656761003093883)</f>
        <v>-0.65676100309388297</v>
      </c>
      <c r="AY42" s="3">
        <f ca="1">IFERROR(__xludf.DUMMYFUNCTION("""COMPUTED_VALUE"""),-0.70747598638294)</f>
        <v>-0.70747598638293996</v>
      </c>
      <c r="AZ42" s="3">
        <f ca="1">IFERROR(__xludf.DUMMYFUNCTION("""COMPUTED_VALUE"""),-0.610859951035452)</f>
        <v>-0.61085995103545199</v>
      </c>
      <c r="BA42" s="3">
        <f ca="1">IFERROR(__xludf.DUMMYFUNCTION("""COMPUTED_VALUE"""),-0.517822866419626)</f>
        <v>-0.51782286641962605</v>
      </c>
      <c r="BB42" s="3">
        <f ca="1">IFERROR(__xludf.DUMMYFUNCTION("""COMPUTED_VALUE"""),-0.529229018100394)</f>
        <v>-0.52922901810039402</v>
      </c>
      <c r="BC42" s="3">
        <f ca="1">IFERROR(__xludf.DUMMYFUNCTION("""COMPUTED_VALUE"""),-0.572046587836038)</f>
        <v>-0.57204658783603801</v>
      </c>
      <c r="BD42" s="3">
        <f ca="1">IFERROR(__xludf.DUMMYFUNCTION("""COMPUTED_VALUE"""),-0.487272529129742)</f>
        <v>-0.487272529129742</v>
      </c>
      <c r="BE42" s="3">
        <f ca="1">IFERROR(__xludf.DUMMYFUNCTION("""COMPUTED_VALUE"""),-0.612107504688411)</f>
        <v>-0.61210750468841102</v>
      </c>
      <c r="BF42" s="3">
        <f ca="1">IFERROR(__xludf.DUMMYFUNCTION("""COMPUTED_VALUE"""),-0.522587327588611)</f>
        <v>-0.52258732758861104</v>
      </c>
      <c r="BG42" s="3">
        <f ca="1">IFERROR(__xludf.DUMMYFUNCTION("""COMPUTED_VALUE"""),-0.512568007052832)</f>
        <v>-0.51256800705283201</v>
      </c>
      <c r="BH42" s="3">
        <f ca="1">IFERROR(__xludf.DUMMYFUNCTION("""COMPUTED_VALUE"""),-0.583843799633747)</f>
        <v>-0.583843799633747</v>
      </c>
      <c r="BI42" s="3">
        <f ca="1">IFERROR(__xludf.DUMMYFUNCTION("""COMPUTED_VALUE"""),-0.631844575658916)</f>
        <v>-0.63184457565891605</v>
      </c>
      <c r="BJ42" s="3">
        <f ca="1">IFERROR(__xludf.DUMMYFUNCTION("""COMPUTED_VALUE"""),-0.633332242233647)</f>
        <v>-0.63333224223364704</v>
      </c>
      <c r="BK42" s="3">
        <f ca="1">IFERROR(__xludf.DUMMYFUNCTION("""COMPUTED_VALUE"""),-0.549550968598659)</f>
        <v>-0.54955096859865904</v>
      </c>
      <c r="BL42" s="3">
        <f ca="1">IFERROR(__xludf.DUMMYFUNCTION("""COMPUTED_VALUE"""),-0.644777957596282)</f>
        <v>-0.64477795759628198</v>
      </c>
      <c r="BM42" s="3">
        <f ca="1">IFERROR(__xludf.DUMMYFUNCTION("""COMPUTED_VALUE"""),-0.637830801216548)</f>
        <v>-0.637830801216548</v>
      </c>
      <c r="BN42" s="3">
        <f ca="1">IFERROR(__xludf.DUMMYFUNCTION("""COMPUTED_VALUE"""),-0.631138678038268)</f>
        <v>-0.63113867803826795</v>
      </c>
      <c r="BO42" s="3">
        <f ca="1">IFERROR(__xludf.DUMMYFUNCTION("""COMPUTED_VALUE"""),-0.567298859801658)</f>
        <v>-0.56729885980165795</v>
      </c>
      <c r="BP42" s="3">
        <f ca="1">IFERROR(__xludf.DUMMYFUNCTION("""COMPUTED_VALUE"""),-0.603413629176323)</f>
        <v>-0.60341362917632302</v>
      </c>
      <c r="BQ42" s="3">
        <f ca="1">IFERROR(__xludf.DUMMYFUNCTION("""COMPUTED_VALUE"""),-0.590572920478292)</f>
        <v>-0.59057292047829202</v>
      </c>
      <c r="BR42" s="3">
        <f ca="1">IFERROR(__xludf.DUMMYFUNCTION("""COMPUTED_VALUE"""),-0.508328406406766)</f>
        <v>-0.50832840640676602</v>
      </c>
      <c r="BS42" s="3">
        <f ca="1">IFERROR(__xludf.DUMMYFUNCTION("""COMPUTED_VALUE"""),-0.559026701478337)</f>
        <v>-0.559026701478337</v>
      </c>
      <c r="BT42" s="3">
        <f ca="1">IFERROR(__xludf.DUMMYFUNCTION("""COMPUTED_VALUE"""),-0.43187921768484)</f>
        <v>-0.43187921768484</v>
      </c>
      <c r="BU42" s="3">
        <f ca="1">IFERROR(__xludf.DUMMYFUNCTION("""COMPUTED_VALUE"""),-0.337893894458462)</f>
        <v>-0.33789389445846202</v>
      </c>
      <c r="BV42" s="3">
        <f ca="1">IFERROR(__xludf.DUMMYFUNCTION("""COMPUTED_VALUE"""),-0.387258020882621)</f>
        <v>-0.38725802088262101</v>
      </c>
      <c r="BW42" s="3">
        <f ca="1">IFERROR(__xludf.DUMMYFUNCTION("""COMPUTED_VALUE"""),-0.203659403396893)</f>
        <v>-0.20365940339689301</v>
      </c>
      <c r="BX42" s="3">
        <f ca="1">IFERROR(__xludf.DUMMYFUNCTION("""COMPUTED_VALUE"""),-0.661592560663214)</f>
        <v>-0.66159256066321404</v>
      </c>
      <c r="BY42" s="3">
        <f ca="1">IFERROR(__xludf.DUMMYFUNCTION("""COMPUTED_VALUE"""),-0.54481360754759)</f>
        <v>-0.54481360754759001</v>
      </c>
      <c r="BZ42" s="3">
        <f ca="1">IFERROR(__xludf.DUMMYFUNCTION("""COMPUTED_VALUE"""),-0.683689678498964)</f>
        <v>-0.683689678498964</v>
      </c>
      <c r="CA42" s="3">
        <f ca="1">IFERROR(__xludf.DUMMYFUNCTION("""COMPUTED_VALUE"""),-0.610391407434186)</f>
        <v>-0.61039140743418596</v>
      </c>
      <c r="CB42" s="3">
        <f ca="1">IFERROR(__xludf.DUMMYFUNCTION("""COMPUTED_VALUE"""),-0.65130024563584)</f>
        <v>-0.65130024563583999</v>
      </c>
      <c r="CC42" s="3">
        <f ca="1">IFERROR(__xludf.DUMMYFUNCTION("""COMPUTED_VALUE"""),-0.689505225356371)</f>
        <v>-0.68950522535637104</v>
      </c>
      <c r="CD42" s="3">
        <f ca="1">IFERROR(__xludf.DUMMYFUNCTION("""COMPUTED_VALUE"""),-0.727808942765351)</f>
        <v>-0.72780894276535102</v>
      </c>
      <c r="CE42" s="3">
        <f ca="1">IFERROR(__xludf.DUMMYFUNCTION("""COMPUTED_VALUE"""),-0.764177474718653)</f>
        <v>-0.76417747471865305</v>
      </c>
      <c r="CF42" s="3">
        <f ca="1">IFERROR(__xludf.DUMMYFUNCTION("""COMPUTED_VALUE"""),-0.763803715772342)</f>
        <v>-0.76380371577234196</v>
      </c>
      <c r="CG42" s="3">
        <f ca="1">IFERROR(__xludf.DUMMYFUNCTION("""COMPUTED_VALUE"""),-0.793199955634766)</f>
        <v>-0.79319995563476597</v>
      </c>
      <c r="CH42" s="3">
        <f ca="1">IFERROR(__xludf.DUMMYFUNCTION("""COMPUTED_VALUE"""),-0.780109619645618)</f>
        <v>-0.78010961964561798</v>
      </c>
      <c r="CI42" s="3">
        <f ca="1">IFERROR(__xludf.DUMMYFUNCTION("""COMPUTED_VALUE"""),-0.778315007678019)</f>
        <v>-0.77831500767801898</v>
      </c>
      <c r="CJ42" s="3">
        <f ca="1">IFERROR(__xludf.DUMMYFUNCTION("""COMPUTED_VALUE"""),-0.739384501012793)</f>
        <v>-0.73938450101279296</v>
      </c>
      <c r="CK42" s="3">
        <f ca="1">IFERROR(__xludf.DUMMYFUNCTION("""COMPUTED_VALUE"""),-0.752274148664287)</f>
        <v>-0.75227414866428699</v>
      </c>
      <c r="CL42" s="3">
        <f ca="1">IFERROR(__xludf.DUMMYFUNCTION("""COMPUTED_VALUE"""),-0.775004933814168)</f>
        <v>-0.77500493381416802</v>
      </c>
      <c r="CM42" s="3">
        <f ca="1">IFERROR(__xludf.DUMMYFUNCTION("""COMPUTED_VALUE"""),-0.728012865747004)</f>
        <v>-0.72801286574700397</v>
      </c>
      <c r="CN42" s="3">
        <f ca="1">IFERROR(__xludf.DUMMYFUNCTION("""COMPUTED_VALUE"""),-0.803795493025167)</f>
        <v>-0.80379549302516695</v>
      </c>
      <c r="CO42" s="3">
        <f ca="1">IFERROR(__xludf.DUMMYFUNCTION("""COMPUTED_VALUE"""),-0.761222316451984)</f>
        <v>-0.76122231645198402</v>
      </c>
      <c r="CP42" s="3">
        <f ca="1">IFERROR(__xludf.DUMMYFUNCTION("""COMPUTED_VALUE"""),-0.780573754202499)</f>
        <v>-0.78057375420249897</v>
      </c>
      <c r="CQ42" s="3">
        <f ca="1">IFERROR(__xludf.DUMMYFUNCTION("""COMPUTED_VALUE"""),-0.719839349979584)</f>
        <v>-0.71983934997958399</v>
      </c>
      <c r="CR42" s="3">
        <f ca="1">IFERROR(__xludf.DUMMYFUNCTION("""COMPUTED_VALUE"""),-0.687769337977632)</f>
        <v>-0.68776933797763196</v>
      </c>
      <c r="CS42" s="3">
        <f ca="1">IFERROR(__xludf.DUMMYFUNCTION("""COMPUTED_VALUE"""),-0.692395118908303)</f>
        <v>-0.69239511890830296</v>
      </c>
      <c r="CT42" s="3">
        <f ca="1">IFERROR(__xludf.DUMMYFUNCTION("""COMPUTED_VALUE"""),-0.688432121410909)</f>
        <v>-0.68843212141090904</v>
      </c>
      <c r="CU42" s="3">
        <f ca="1">IFERROR(__xludf.DUMMYFUNCTION("""COMPUTED_VALUE"""),-0.660027374568235)</f>
        <v>-0.66002737456823501</v>
      </c>
      <c r="CV42" s="3">
        <f ca="1">IFERROR(__xludf.DUMMYFUNCTION("""COMPUTED_VALUE"""),-0.722244795722584)</f>
        <v>-0.72224479572258404</v>
      </c>
      <c r="CW42" s="3">
        <f ca="1">IFERROR(__xludf.DUMMYFUNCTION("""COMPUTED_VALUE"""),-0.705315533529659)</f>
        <v>-0.70531553352965903</v>
      </c>
      <c r="CX42" s="3">
        <f ca="1">IFERROR(__xludf.DUMMYFUNCTION("""COMPUTED_VALUE"""),-0.710158739616669)</f>
        <v>-0.71015873961666898</v>
      </c>
      <c r="CY42" s="3">
        <f ca="1">IFERROR(__xludf.DUMMYFUNCTION("""COMPUTED_VALUE"""),-0.61778109423255)</f>
        <v>-0.61778109423255001</v>
      </c>
      <c r="CZ42" s="3">
        <f ca="1">IFERROR(__xludf.DUMMYFUNCTION("""COMPUTED_VALUE"""),-0.716830357382342)</f>
        <v>-0.71683035738234202</v>
      </c>
      <c r="DA42" s="3">
        <f ca="1">IFERROR(__xludf.DUMMYFUNCTION("""COMPUTED_VALUE"""),-0.582580090446445)</f>
        <v>-0.58258009044644499</v>
      </c>
      <c r="DB42" s="3">
        <f ca="1">IFERROR(__xludf.DUMMYFUNCTION("""COMPUTED_VALUE"""),-0.690074858897738)</f>
        <v>-0.69007485889773801</v>
      </c>
      <c r="DC42" s="3">
        <f ca="1">IFERROR(__xludf.DUMMYFUNCTION("""COMPUTED_VALUE"""),-0.722076379918996)</f>
        <v>-0.72207637991899598</v>
      </c>
      <c r="DD42" s="3">
        <f ca="1">IFERROR(__xludf.DUMMYFUNCTION("""COMPUTED_VALUE"""),-0.749489564449993)</f>
        <v>-0.74948956444999304</v>
      </c>
      <c r="DE42" s="3">
        <f ca="1">IFERROR(__xludf.DUMMYFUNCTION("""COMPUTED_VALUE"""),-0.698109695841145)</f>
        <v>-0.69810969584114502</v>
      </c>
      <c r="DF42" s="3">
        <f ca="1">IFERROR(__xludf.DUMMYFUNCTION("""COMPUTED_VALUE"""),-0.72693727435362)</f>
        <v>-0.72693727435361999</v>
      </c>
      <c r="DG42" s="3">
        <f ca="1">IFERROR(__xludf.DUMMYFUNCTION("""COMPUTED_VALUE"""),-0.773255803790206)</f>
        <v>-0.77325580379020598</v>
      </c>
      <c r="DH42" s="3">
        <f ca="1">IFERROR(__xludf.DUMMYFUNCTION("""COMPUTED_VALUE"""),-0.680936873989206)</f>
        <v>-0.68093687398920599</v>
      </c>
      <c r="DI42" s="3">
        <f ca="1">IFERROR(__xludf.DUMMYFUNCTION("""COMPUTED_VALUE"""),-0.624830063764149)</f>
        <v>-0.62483006376414896</v>
      </c>
      <c r="DJ42" s="3">
        <f ca="1">IFERROR(__xludf.DUMMYFUNCTION("""COMPUTED_VALUE"""),-0.717210841890025)</f>
        <v>-0.71721084189002504</v>
      </c>
      <c r="DK42" s="3">
        <f ca="1">IFERROR(__xludf.DUMMYFUNCTION("""COMPUTED_VALUE"""),-0.602642782185639)</f>
        <v>-0.60264278218563905</v>
      </c>
      <c r="DL42" s="3">
        <f ca="1">IFERROR(__xludf.DUMMYFUNCTION("""COMPUTED_VALUE"""),-0.426508367919537)</f>
        <v>-0.426508367919537</v>
      </c>
      <c r="DM42" s="3">
        <f ca="1">IFERROR(__xludf.DUMMYFUNCTION("""COMPUTED_VALUE"""),-0.651048912750295)</f>
        <v>-0.65104891275029497</v>
      </c>
      <c r="DN42" s="3">
        <f ca="1">IFERROR(__xludf.DUMMYFUNCTION("""COMPUTED_VALUE"""),-0.688043470848387)</f>
        <v>-0.68804347084838702</v>
      </c>
      <c r="DO42" s="3">
        <f ca="1">IFERROR(__xludf.DUMMYFUNCTION("""COMPUTED_VALUE"""),-0.641056496774813)</f>
        <v>-0.64105649677481302</v>
      </c>
      <c r="DP42" s="3">
        <f ca="1">IFERROR(__xludf.DUMMYFUNCTION("""COMPUTED_VALUE"""),-0.612403204959788)</f>
        <v>-0.61240320495978795</v>
      </c>
      <c r="DQ42" s="3">
        <f ca="1">IFERROR(__xludf.DUMMYFUNCTION("""COMPUTED_VALUE"""),-0.774002417351204)</f>
        <v>-0.77400241735120401</v>
      </c>
      <c r="DR42" s="3">
        <f ca="1">IFERROR(__xludf.DUMMYFUNCTION("""COMPUTED_VALUE"""),-0.747606357152519)</f>
        <v>-0.747606357152519</v>
      </c>
      <c r="DS42" s="3">
        <f ca="1">IFERROR(__xludf.DUMMYFUNCTION("""COMPUTED_VALUE"""),-0.670883660696686)</f>
        <v>-0.67088366069668603</v>
      </c>
      <c r="DT42" s="3">
        <f ca="1">IFERROR(__xludf.DUMMYFUNCTION("""COMPUTED_VALUE"""),-0.68117605136518)</f>
        <v>-0.68117605136518</v>
      </c>
      <c r="DU42" s="3">
        <f ca="1">IFERROR(__xludf.DUMMYFUNCTION("""COMPUTED_VALUE"""),-0.675016522504486)</f>
        <v>-0.67501652250448596</v>
      </c>
      <c r="DV42" s="3">
        <f ca="1">IFERROR(__xludf.DUMMYFUNCTION("""COMPUTED_VALUE"""),-0.58531458082476)</f>
        <v>-0.58531458082475996</v>
      </c>
      <c r="DW42" s="3">
        <f ca="1">IFERROR(__xludf.DUMMYFUNCTION("""COMPUTED_VALUE"""),-0.590870335159019)</f>
        <v>-0.59087033515901899</v>
      </c>
      <c r="DX42" s="3">
        <f ca="1">IFERROR(__xludf.DUMMYFUNCTION("""COMPUTED_VALUE"""),-0.715252256465362)</f>
        <v>-0.71525225646536195</v>
      </c>
      <c r="DY42" s="3">
        <f ca="1">IFERROR(__xludf.DUMMYFUNCTION("""COMPUTED_VALUE"""),-0.697621579022329)</f>
        <v>-0.69762157902232902</v>
      </c>
      <c r="DZ42" s="3">
        <f ca="1">IFERROR(__xludf.DUMMYFUNCTION("""COMPUTED_VALUE"""),-0.531026657225884)</f>
        <v>-0.53102665722588405</v>
      </c>
      <c r="EA42" s="3">
        <f ca="1">IFERROR(__xludf.DUMMYFUNCTION("""COMPUTED_VALUE"""),-0.659783038187551)</f>
        <v>-0.65978303818755102</v>
      </c>
      <c r="EB42" s="3">
        <f ca="1">IFERROR(__xludf.DUMMYFUNCTION("""COMPUTED_VALUE"""),-0.503923896312287)</f>
        <v>-0.50392389631228696</v>
      </c>
      <c r="EC42" s="3">
        <f ca="1">IFERROR(__xludf.DUMMYFUNCTION("""COMPUTED_VALUE"""),-0.402331303299374)</f>
        <v>-0.402331303299374</v>
      </c>
      <c r="ED42" s="3">
        <f ca="1">IFERROR(__xludf.DUMMYFUNCTION("""COMPUTED_VALUE"""),-0.431727567590002)</f>
        <v>-0.43172756759000203</v>
      </c>
      <c r="EE42" s="3">
        <f ca="1">IFERROR(__xludf.DUMMYFUNCTION("""COMPUTED_VALUE"""),-0.552832681495108)</f>
        <v>-0.552832681495108</v>
      </c>
      <c r="EF42" s="3">
        <f ca="1">IFERROR(__xludf.DUMMYFUNCTION("""COMPUTED_VALUE"""),-0.536467952678502)</f>
        <v>-0.536467952678502</v>
      </c>
      <c r="EG42" s="3">
        <f ca="1">IFERROR(__xludf.DUMMYFUNCTION("""COMPUTED_VALUE"""),-0.63951020871656)</f>
        <v>-0.63951020871655995</v>
      </c>
      <c r="EH42" s="3">
        <f ca="1">IFERROR(__xludf.DUMMYFUNCTION("""COMPUTED_VALUE"""),-0.645609662972771)</f>
        <v>-0.645609662972771</v>
      </c>
      <c r="EI42" s="3">
        <f ca="1">IFERROR(__xludf.DUMMYFUNCTION("""COMPUTED_VALUE"""),-0.337901626714354)</f>
        <v>-0.33790162671435398</v>
      </c>
      <c r="EJ42" s="3">
        <f ca="1">IFERROR(__xludf.DUMMYFUNCTION("""COMPUTED_VALUE"""),-0.329101723822555)</f>
        <v>-0.32910172382255498</v>
      </c>
      <c r="EK42" s="3">
        <f ca="1">IFERROR(__xludf.DUMMYFUNCTION("""COMPUTED_VALUE"""),-0.421053446187488)</f>
        <v>-0.42105344618748802</v>
      </c>
      <c r="EL42" s="3">
        <f ca="1">IFERROR(__xludf.DUMMYFUNCTION("""COMPUTED_VALUE"""),-0.228884837616296)</f>
        <v>-0.22888483761629599</v>
      </c>
      <c r="EM42" s="3">
        <f ca="1">IFERROR(__xludf.DUMMYFUNCTION("""COMPUTED_VALUE"""),-0.472874817584069)</f>
        <v>-0.47287481758406902</v>
      </c>
      <c r="EN42" s="3">
        <f ca="1">IFERROR(__xludf.DUMMYFUNCTION("""COMPUTED_VALUE"""),-0.342322703778873)</f>
        <v>-0.34232270377887303</v>
      </c>
      <c r="EO42" s="3">
        <f ca="1">IFERROR(__xludf.DUMMYFUNCTION("""COMPUTED_VALUE"""),-0.475836927210529)</f>
        <v>-0.475836927210529</v>
      </c>
      <c r="EP42" s="3">
        <f ca="1">IFERROR(__xludf.DUMMYFUNCTION("""COMPUTED_VALUE"""),-0.234578695532961)</f>
        <v>-0.23457869553296101</v>
      </c>
      <c r="EQ42" s="3">
        <f ca="1">IFERROR(__xludf.DUMMYFUNCTION("""COMPUTED_VALUE"""),-0.000550495952092333)</f>
        <v>-5.5049595209233305E-4</v>
      </c>
      <c r="ER42" s="3">
        <f ca="1">IFERROR(__xludf.DUMMYFUNCTION("""COMPUTED_VALUE"""),-0.219520760009162)</f>
        <v>-0.21952076000916201</v>
      </c>
      <c r="ES42" s="3">
        <f ca="1">IFERROR(__xludf.DUMMYFUNCTION("""COMPUTED_VALUE"""),-0.188057179373086)</f>
        <v>-0.188057179373086</v>
      </c>
      <c r="ET42" s="3">
        <f ca="1">IFERROR(__xludf.DUMMYFUNCTION("""COMPUTED_VALUE"""),0.0432483270665262)</f>
        <v>4.3248327066526197E-2</v>
      </c>
      <c r="EU42" s="3">
        <f ca="1">IFERROR(__xludf.DUMMYFUNCTION("""COMPUTED_VALUE"""),-0.482423012775511)</f>
        <v>-0.48242301277551097</v>
      </c>
      <c r="EV42" s="3">
        <f ca="1">IFERROR(__xludf.DUMMYFUNCTION("""COMPUTED_VALUE"""),-0.436929006851722)</f>
        <v>-0.43692900685172198</v>
      </c>
      <c r="EW42" s="3">
        <f ca="1">IFERROR(__xludf.DUMMYFUNCTION("""COMPUTED_VALUE"""),-0.353906277229287)</f>
        <v>-0.35390627722928703</v>
      </c>
      <c r="EX42" s="3">
        <f ca="1">IFERROR(__xludf.DUMMYFUNCTION("""COMPUTED_VALUE"""),-0.266925517352846)</f>
        <v>-0.26692551735284598</v>
      </c>
      <c r="EY42" s="3">
        <f ca="1">IFERROR(__xludf.DUMMYFUNCTION("""COMPUTED_VALUE"""),-0.00361399864020739)</f>
        <v>-3.6139986402073899E-3</v>
      </c>
      <c r="EZ42" s="3">
        <f ca="1">IFERROR(__xludf.DUMMYFUNCTION("""COMPUTED_VALUE"""),-0.331562500093198)</f>
        <v>-0.33156250009319799</v>
      </c>
      <c r="FA42" s="3">
        <f ca="1">IFERROR(__xludf.DUMMYFUNCTION("""COMPUTED_VALUE"""),-0.249479463197692)</f>
        <v>-0.24947946319769199</v>
      </c>
      <c r="FB42" s="3">
        <f ca="1">IFERROR(__xludf.DUMMYFUNCTION("""COMPUTED_VALUE"""),-0.330943008595182)</f>
        <v>-0.330943008595182</v>
      </c>
      <c r="FC42" s="3">
        <f ca="1">IFERROR(__xludf.DUMMYFUNCTION("""COMPUTED_VALUE"""),-0.538103025236781)</f>
        <v>-0.538103025236781</v>
      </c>
      <c r="FD42" s="3">
        <f ca="1">IFERROR(__xludf.DUMMYFUNCTION("""COMPUTED_VALUE"""),0.0413879974397692)</f>
        <v>4.1387997439769203E-2</v>
      </c>
      <c r="FE42" s="3">
        <f ca="1">IFERROR(__xludf.DUMMYFUNCTION("""COMPUTED_VALUE"""),-0.315307389653303)</f>
        <v>-0.31530738965330302</v>
      </c>
      <c r="FF42" s="3">
        <f ca="1">IFERROR(__xludf.DUMMYFUNCTION("""COMPUTED_VALUE"""),-0.477948496951015)</f>
        <v>-0.47794849695101499</v>
      </c>
      <c r="FG42" s="3">
        <f ca="1">IFERROR(__xludf.DUMMYFUNCTION("""COMPUTED_VALUE"""),-0.526109521313261)</f>
        <v>-0.52610952131326105</v>
      </c>
      <c r="FH42" s="3">
        <f ca="1">IFERROR(__xludf.DUMMYFUNCTION("""COMPUTED_VALUE"""),-0.322709856721218)</f>
        <v>-0.32270985672121799</v>
      </c>
      <c r="FI42" s="3">
        <f ca="1">IFERROR(__xludf.DUMMYFUNCTION("""COMPUTED_VALUE"""),-0.422486519627231)</f>
        <v>-0.42248651962723099</v>
      </c>
      <c r="FJ42" s="3">
        <f ca="1">IFERROR(__xludf.DUMMYFUNCTION("""COMPUTED_VALUE"""),-0.279838648376154)</f>
        <v>-0.27983864837615402</v>
      </c>
      <c r="FK42" s="3">
        <f ca="1">IFERROR(__xludf.DUMMYFUNCTION("""COMPUTED_VALUE"""),-0.259304698956582)</f>
        <v>-0.25930469895658198</v>
      </c>
      <c r="FL42" s="3">
        <f ca="1">IFERROR(__xludf.DUMMYFUNCTION("""COMPUTED_VALUE"""),-0.292101996063114)</f>
        <v>-0.29210199606311399</v>
      </c>
      <c r="FM42" s="3">
        <f ca="1">IFERROR(__xludf.DUMMYFUNCTION("""COMPUTED_VALUE"""),-0.371463551357554)</f>
        <v>-0.37146355135755399</v>
      </c>
      <c r="FN42" s="3">
        <f ca="1">IFERROR(__xludf.DUMMYFUNCTION("""COMPUTED_VALUE"""),-0.209220023635548)</f>
        <v>-0.20922002363554801</v>
      </c>
      <c r="FO42" s="3">
        <f ca="1">IFERROR(__xludf.DUMMYFUNCTION("""COMPUTED_VALUE"""),-0.461516981203017)</f>
        <v>-0.46151698120301698</v>
      </c>
      <c r="FP42" s="3">
        <f ca="1">IFERROR(__xludf.DUMMYFUNCTION("""COMPUTED_VALUE"""),-0.429587543064202)</f>
        <v>-0.42958754306420199</v>
      </c>
      <c r="FQ42" s="3">
        <f ca="1">IFERROR(__xludf.DUMMYFUNCTION("""COMPUTED_VALUE"""),0.190363164531532)</f>
        <v>0.19036316453153199</v>
      </c>
      <c r="FR42" s="3">
        <f ca="1">IFERROR(__xludf.DUMMYFUNCTION("""COMPUTED_VALUE"""),-0.2847452691842)</f>
        <v>-0.28474526918420001</v>
      </c>
      <c r="FS42" s="3">
        <f ca="1">IFERROR(__xludf.DUMMYFUNCTION("""COMPUTED_VALUE"""),-0.155355498819589)</f>
        <v>-0.15535549881958899</v>
      </c>
      <c r="FT42" s="3">
        <f ca="1">IFERROR(__xludf.DUMMYFUNCTION("""COMPUTED_VALUE"""),-0.424624029319058)</f>
        <v>-0.42462402931905802</v>
      </c>
      <c r="FU42" s="3">
        <f ca="1">IFERROR(__xludf.DUMMYFUNCTION("""COMPUTED_VALUE"""),-0.454861287473038)</f>
        <v>-0.454861287473038</v>
      </c>
      <c r="FV42" s="3">
        <f ca="1">IFERROR(__xludf.DUMMYFUNCTION("""COMPUTED_VALUE"""),-0.312297044191274)</f>
        <v>-0.31229704419127402</v>
      </c>
      <c r="FW42" s="3">
        <f ca="1">IFERROR(__xludf.DUMMYFUNCTION("""COMPUTED_VALUE"""),-0.437903642515116)</f>
        <v>-0.43790364251511599</v>
      </c>
      <c r="FX42" s="3">
        <f ca="1">IFERROR(__xludf.DUMMYFUNCTION("""COMPUTED_VALUE"""),-0.138052544344978)</f>
        <v>-0.13805254434497799</v>
      </c>
      <c r="FY42" s="3">
        <f ca="1">IFERROR(__xludf.DUMMYFUNCTION("""COMPUTED_VALUE"""),-0.322831245300491)</f>
        <v>-0.32283124530049101</v>
      </c>
      <c r="FZ42" s="3">
        <f ca="1">IFERROR(__xludf.DUMMYFUNCTION("""COMPUTED_VALUE"""),-0.442721490536015)</f>
        <v>-0.44272149053601501</v>
      </c>
      <c r="GA42" s="3">
        <f ca="1">IFERROR(__xludf.DUMMYFUNCTION("""COMPUTED_VALUE"""),-0.360167799625534)</f>
        <v>-0.36016779962553402</v>
      </c>
      <c r="GB42" s="3">
        <f ca="1">IFERROR(__xludf.DUMMYFUNCTION("""COMPUTED_VALUE"""),-0.272366493904144)</f>
        <v>-0.27236649390414402</v>
      </c>
      <c r="GC42" s="3">
        <f ca="1">IFERROR(__xludf.DUMMYFUNCTION("""COMPUTED_VALUE"""),-0.108322620295592)</f>
        <v>-0.108322620295592</v>
      </c>
      <c r="GD42" s="3">
        <f ca="1">IFERROR(__xludf.DUMMYFUNCTION("""COMPUTED_VALUE"""),-0.491759215701388)</f>
        <v>-0.49175921570138798</v>
      </c>
      <c r="GE42" s="3">
        <f ca="1">IFERROR(__xludf.DUMMYFUNCTION("""COMPUTED_VALUE"""),-0.13557011860561)</f>
        <v>-0.13557011860561</v>
      </c>
      <c r="GF42" s="3">
        <f ca="1">IFERROR(__xludf.DUMMYFUNCTION("""COMPUTED_VALUE"""),-0.201675888445289)</f>
        <v>-0.201675888445289</v>
      </c>
      <c r="GG42" s="3">
        <f ca="1">IFERROR(__xludf.DUMMYFUNCTION("""COMPUTED_VALUE"""),-0.255574939982219)</f>
        <v>-0.25557493998221897</v>
      </c>
      <c r="GH42" s="3">
        <f ca="1">IFERROR(__xludf.DUMMYFUNCTION("""COMPUTED_VALUE"""),-0.675712371273257)</f>
        <v>-0.67571237127325701</v>
      </c>
      <c r="GI42" s="3">
        <f ca="1">IFERROR(__xludf.DUMMYFUNCTION("""COMPUTED_VALUE"""),-0.355472457154333)</f>
        <v>-0.35547245715433301</v>
      </c>
      <c r="GJ42" s="3">
        <f ca="1">IFERROR(__xludf.DUMMYFUNCTION("""COMPUTED_VALUE"""),0.0493847439950305)</f>
        <v>4.9384743995030497E-2</v>
      </c>
      <c r="GK42" s="3">
        <f ca="1">IFERROR(__xludf.DUMMYFUNCTION("""COMPUTED_VALUE"""),-0.407697866029314)</f>
        <v>-0.40769786602931402</v>
      </c>
      <c r="GL42" s="3">
        <f ca="1">IFERROR(__xludf.DUMMYFUNCTION("""COMPUTED_VALUE"""),-0.290752044132083)</f>
        <v>-0.290752044132083</v>
      </c>
      <c r="GM42" s="3">
        <f ca="1">IFERROR(__xludf.DUMMYFUNCTION("""COMPUTED_VALUE"""),-0.529597832490807)</f>
        <v>-0.52959783249080705</v>
      </c>
      <c r="GN42" s="3">
        <f ca="1">IFERROR(__xludf.DUMMYFUNCTION("""COMPUTED_VALUE"""),-0.409253687081711)</f>
        <v>-0.409253687081711</v>
      </c>
      <c r="GO42" s="3">
        <f ca="1">IFERROR(__xludf.DUMMYFUNCTION("""COMPUTED_VALUE"""),-0.249741635469149)</f>
        <v>-0.24974163546914899</v>
      </c>
      <c r="GP42" s="3">
        <f ca="1">IFERROR(__xludf.DUMMYFUNCTION("""COMPUTED_VALUE"""),-0.318116995625131)</f>
        <v>-0.31811699562513102</v>
      </c>
      <c r="GQ42" s="3">
        <f ca="1">IFERROR(__xludf.DUMMYFUNCTION("""COMPUTED_VALUE"""),-0.305164960918826)</f>
        <v>-0.305164960918826</v>
      </c>
      <c r="GR42" s="3">
        <f ca="1">IFERROR(__xludf.DUMMYFUNCTION("""COMPUTED_VALUE"""),-0.0461591645876046)</f>
        <v>-4.6159164587604599E-2</v>
      </c>
      <c r="GS42" s="3">
        <f ca="1">IFERROR(__xludf.DUMMYFUNCTION("""COMPUTED_VALUE"""),-0.0371496396549073)</f>
        <v>-3.71496396549073E-2</v>
      </c>
      <c r="GT42" s="3">
        <f ca="1">IFERROR(__xludf.DUMMYFUNCTION("""COMPUTED_VALUE"""),-0.175005544234005)</f>
        <v>-0.17500554423400499</v>
      </c>
      <c r="GU42" s="3">
        <f ca="1">IFERROR(__xludf.DUMMYFUNCTION("""COMPUTED_VALUE"""),-0.519404016390903)</f>
        <v>-0.51940401639090295</v>
      </c>
      <c r="GV42" s="3">
        <f ca="1">IFERROR(__xludf.DUMMYFUNCTION("""COMPUTED_VALUE"""),-0.34819035850741)</f>
        <v>-0.34819035850740998</v>
      </c>
      <c r="GW42" s="3">
        <f ca="1">IFERROR(__xludf.DUMMYFUNCTION("""COMPUTED_VALUE"""),-0.293682594841357)</f>
        <v>-0.293682594841357</v>
      </c>
      <c r="GX42" s="3">
        <f ca="1">IFERROR(__xludf.DUMMYFUNCTION("""COMPUTED_VALUE"""),-0.383489596586739)</f>
        <v>-0.38348959658673898</v>
      </c>
      <c r="GY42" s="3">
        <f ca="1">IFERROR(__xludf.DUMMYFUNCTION("""COMPUTED_VALUE"""),-0.341457504659486)</f>
        <v>-0.34145750465948599</v>
      </c>
      <c r="GZ42" s="3">
        <f ca="1">IFERROR(__xludf.DUMMYFUNCTION("""COMPUTED_VALUE"""),0.0464399246746436)</f>
        <v>4.6439924674643598E-2</v>
      </c>
      <c r="HA42" s="3">
        <f ca="1">IFERROR(__xludf.DUMMYFUNCTION("""COMPUTED_VALUE"""),-0.141942798377547)</f>
        <v>-0.141942798377547</v>
      </c>
      <c r="HB42" s="3">
        <f ca="1">IFERROR(__xludf.DUMMYFUNCTION("""COMPUTED_VALUE"""),-0.318476629781148)</f>
        <v>-0.31847662978114799</v>
      </c>
      <c r="HC42" s="3">
        <f ca="1">IFERROR(__xludf.DUMMYFUNCTION("""COMPUTED_VALUE"""),-0.10865099801967)</f>
        <v>-0.10865099801967</v>
      </c>
      <c r="HD42" s="3">
        <f ca="1">IFERROR(__xludf.DUMMYFUNCTION("""COMPUTED_VALUE"""),-0.242660694116351)</f>
        <v>-0.24266069411635099</v>
      </c>
      <c r="HE42" s="3">
        <f ca="1">IFERROR(__xludf.DUMMYFUNCTION("""COMPUTED_VALUE"""),-0.485873829849898)</f>
        <v>-0.48587382984989802</v>
      </c>
      <c r="HF42" s="3">
        <f ca="1">IFERROR(__xludf.DUMMYFUNCTION("""COMPUTED_VALUE"""),-0.475109701948378)</f>
        <v>-0.47510970194837798</v>
      </c>
      <c r="HG42" s="3">
        <f ca="1">IFERROR(__xludf.DUMMYFUNCTION("""COMPUTED_VALUE"""),-0.31075129393249)</f>
        <v>-0.31075129393249001</v>
      </c>
      <c r="HH42" s="3">
        <f ca="1">IFERROR(__xludf.DUMMYFUNCTION("""COMPUTED_VALUE"""),-0.346444483583994)</f>
        <v>-0.34644448358399399</v>
      </c>
      <c r="HI42" s="3">
        <f ca="1">IFERROR(__xludf.DUMMYFUNCTION("""COMPUTED_VALUE"""),-0.489906005405104)</f>
        <v>-0.48990600540510398</v>
      </c>
      <c r="HJ42" s="3">
        <f ca="1">IFERROR(__xludf.DUMMYFUNCTION("""COMPUTED_VALUE"""),-0.554693665004444)</f>
        <v>-0.55469366500444395</v>
      </c>
      <c r="HK42" s="3">
        <f ca="1">IFERROR(__xludf.DUMMYFUNCTION("""COMPUTED_VALUE"""),-0.285373042626487)</f>
        <v>-0.28537304262648699</v>
      </c>
      <c r="HL42" s="3">
        <f ca="1">IFERROR(__xludf.DUMMYFUNCTION("""COMPUTED_VALUE"""),-0.382136357301733)</f>
        <v>-0.38213635730173301</v>
      </c>
      <c r="HM42" s="3">
        <f ca="1">IFERROR(__xludf.DUMMYFUNCTION("""COMPUTED_VALUE"""),-0.578434334578402)</f>
        <v>-0.57843433457840199</v>
      </c>
      <c r="HN42" s="3">
        <f ca="1">IFERROR(__xludf.DUMMYFUNCTION("""COMPUTED_VALUE"""),-0.219788783160314)</f>
        <v>-0.219788783160314</v>
      </c>
      <c r="HO42" s="3">
        <f ca="1">IFERROR(__xludf.DUMMYFUNCTION("""COMPUTED_VALUE"""),-0.502565223289779)</f>
        <v>-0.50256522328977904</v>
      </c>
      <c r="HP42" s="3">
        <f ca="1">IFERROR(__xludf.DUMMYFUNCTION("""COMPUTED_VALUE"""),-0.437934189228045)</f>
        <v>-0.437934189228045</v>
      </c>
      <c r="HQ42" s="3">
        <f ca="1">IFERROR(__xludf.DUMMYFUNCTION("""COMPUTED_VALUE"""),-0.594010141420153)</f>
        <v>-0.59401014142015296</v>
      </c>
      <c r="HR42" s="3">
        <f ca="1">IFERROR(__xludf.DUMMYFUNCTION("""COMPUTED_VALUE"""),-0.255204183235445)</f>
        <v>-0.25520418323544503</v>
      </c>
      <c r="HS42" s="3">
        <f ca="1">IFERROR(__xludf.DUMMYFUNCTION("""COMPUTED_VALUE"""),-0.547649196442918)</f>
        <v>-0.54764919644291798</v>
      </c>
      <c r="HT42" s="3">
        <f ca="1">IFERROR(__xludf.DUMMYFUNCTION("""COMPUTED_VALUE"""),-0.387187470005622)</f>
        <v>-0.38718747000562198</v>
      </c>
      <c r="HU42" s="3">
        <f ca="1">IFERROR(__xludf.DUMMYFUNCTION("""COMPUTED_VALUE"""),-0.347388289341275)</f>
        <v>-0.34738828934127503</v>
      </c>
      <c r="HV42" s="3">
        <f ca="1">IFERROR(__xludf.DUMMYFUNCTION("""COMPUTED_VALUE"""),-0.363536826384489)</f>
        <v>-0.36353682638448898</v>
      </c>
      <c r="HW42" s="3">
        <f ca="1">IFERROR(__xludf.DUMMYFUNCTION("""COMPUTED_VALUE"""),-0.338940406153521)</f>
        <v>-0.338940406153521</v>
      </c>
      <c r="HX42" s="3">
        <f ca="1">IFERROR(__xludf.DUMMYFUNCTION("""COMPUTED_VALUE"""),-0.477286904377197)</f>
        <v>-0.47728690437719701</v>
      </c>
      <c r="HY42" s="3">
        <f ca="1">IFERROR(__xludf.DUMMYFUNCTION("""COMPUTED_VALUE"""),-0.296988292033292)</f>
        <v>-0.29698829203329202</v>
      </c>
      <c r="HZ42" s="3">
        <f ca="1">IFERROR(__xludf.DUMMYFUNCTION("""COMPUTED_VALUE"""),-0.427074017245754)</f>
        <v>-0.427074017245754</v>
      </c>
      <c r="IA42" s="3">
        <f ca="1">IFERROR(__xludf.DUMMYFUNCTION("""COMPUTED_VALUE"""),-0.435532889727913)</f>
        <v>-0.43553288972791299</v>
      </c>
      <c r="IB42" s="3">
        <f ca="1">IFERROR(__xludf.DUMMYFUNCTION("""COMPUTED_VALUE"""),-0.390633748768436)</f>
        <v>-0.39063374876843598</v>
      </c>
      <c r="IC42" s="3">
        <f ca="1">IFERROR(__xludf.DUMMYFUNCTION("""COMPUTED_VALUE"""),-0.186515775083642)</f>
        <v>-0.186515775083642</v>
      </c>
      <c r="ID42" s="3">
        <f ca="1">IFERROR(__xludf.DUMMYFUNCTION("""COMPUTED_VALUE"""),-0.480549667372994)</f>
        <v>-0.48054966737299398</v>
      </c>
      <c r="IE42" s="3">
        <f ca="1">IFERROR(__xludf.DUMMYFUNCTION("""COMPUTED_VALUE"""),-0.546252198933753)</f>
        <v>-0.54625219893375299</v>
      </c>
      <c r="IF42" s="3">
        <f ca="1">IFERROR(__xludf.DUMMYFUNCTION("""COMPUTED_VALUE"""),-0.621640529454638)</f>
        <v>-0.62164052945463799</v>
      </c>
      <c r="IG42" s="3">
        <f ca="1">IFERROR(__xludf.DUMMYFUNCTION("""COMPUTED_VALUE"""),-0.373163532308493)</f>
        <v>-0.37316353230849297</v>
      </c>
      <c r="IH42" s="3">
        <f ca="1">IFERROR(__xludf.DUMMYFUNCTION("""COMPUTED_VALUE"""),-0.420904381394494)</f>
        <v>-0.42090438139449399</v>
      </c>
      <c r="II42" s="3">
        <f ca="1">IFERROR(__xludf.DUMMYFUNCTION("""COMPUTED_VALUE"""),-0.348478236083876)</f>
        <v>-0.34847823608387601</v>
      </c>
      <c r="IJ42" s="3">
        <f ca="1">IFERROR(__xludf.DUMMYFUNCTION("""COMPUTED_VALUE"""),-0.439466502807614)</f>
        <v>-0.43946650280761401</v>
      </c>
      <c r="IK42" s="3">
        <f ca="1">IFERROR(__xludf.DUMMYFUNCTION("""COMPUTED_VALUE"""),-0.4561142015337)</f>
        <v>-0.45611420153370003</v>
      </c>
      <c r="IL42" s="3">
        <f ca="1">IFERROR(__xludf.DUMMYFUNCTION("""COMPUTED_VALUE"""),-0.386799980614644)</f>
        <v>-0.38679998061464399</v>
      </c>
      <c r="IM42" s="3">
        <f ca="1">IFERROR(__xludf.DUMMYFUNCTION("""COMPUTED_VALUE"""),-0.583494774323069)</f>
        <v>-0.58349477432306895</v>
      </c>
      <c r="IN42" s="3">
        <f ca="1">IFERROR(__xludf.DUMMYFUNCTION("""COMPUTED_VALUE"""),-0.513027400431155)</f>
        <v>-0.51302740043115502</v>
      </c>
      <c r="IO42" s="3">
        <f ca="1">IFERROR(__xludf.DUMMYFUNCTION("""COMPUTED_VALUE"""),-0.560141362212137)</f>
        <v>-0.56014136221213695</v>
      </c>
      <c r="IP42" s="3">
        <f ca="1">IFERROR(__xludf.DUMMYFUNCTION("""COMPUTED_VALUE"""),-0.285799773071439)</f>
        <v>-0.285799773071439</v>
      </c>
      <c r="IQ42" s="3">
        <f ca="1">IFERROR(__xludf.DUMMYFUNCTION("""COMPUTED_VALUE"""),-0.284762211367702)</f>
        <v>-0.28476221136770202</v>
      </c>
      <c r="IR42" s="3">
        <f ca="1">IFERROR(__xludf.DUMMYFUNCTION("""COMPUTED_VALUE"""),-0.32977956496332)</f>
        <v>-0.32977956496332</v>
      </c>
      <c r="IS42" s="3">
        <f ca="1">IFERROR(__xludf.DUMMYFUNCTION("""COMPUTED_VALUE"""),-0.53152842938923)</f>
        <v>-0.53152842938922995</v>
      </c>
      <c r="IT42" s="3">
        <f ca="1">IFERROR(__xludf.DUMMYFUNCTION("""COMPUTED_VALUE"""),-0.656826643798617)</f>
        <v>-0.65682664379861699</v>
      </c>
      <c r="IU42" s="3">
        <f ca="1">IFERROR(__xludf.DUMMYFUNCTION("""COMPUTED_VALUE"""),-0.503006521955985)</f>
        <v>-0.50300652195598505</v>
      </c>
      <c r="IV42" s="3">
        <f ca="1">IFERROR(__xludf.DUMMYFUNCTION("""COMPUTED_VALUE"""),-0.380038552551237)</f>
        <v>-0.38003855255123697</v>
      </c>
      <c r="IW42" s="3">
        <f ca="1">IFERROR(__xludf.DUMMYFUNCTION("""COMPUTED_VALUE"""),-0.409371088996832)</f>
        <v>-0.409371088996832</v>
      </c>
      <c r="IX42" s="3">
        <f ca="1">IFERROR(__xludf.DUMMYFUNCTION("""COMPUTED_VALUE"""),-0.356524902624536)</f>
        <v>-0.35652490262453601</v>
      </c>
      <c r="IY42" s="3">
        <f ca="1">IFERROR(__xludf.DUMMYFUNCTION("""COMPUTED_VALUE"""),-0.466085830314799)</f>
        <v>-0.466085830314799</v>
      </c>
      <c r="IZ42" s="3">
        <f ca="1">IFERROR(__xludf.DUMMYFUNCTION("""COMPUTED_VALUE"""),-0.441110769697033)</f>
        <v>-0.441110769697033</v>
      </c>
      <c r="JA42" s="3">
        <f ca="1">IFERROR(__xludf.DUMMYFUNCTION("""COMPUTED_VALUE"""),-0.701864813979665)</f>
        <v>-0.70186481397966505</v>
      </c>
      <c r="JB42" s="3">
        <f ca="1">IFERROR(__xludf.DUMMYFUNCTION("""COMPUTED_VALUE"""),-0.510014698107983)</f>
        <v>-0.51001469810798294</v>
      </c>
      <c r="JC42" s="3">
        <f ca="1">IFERROR(__xludf.DUMMYFUNCTION("""COMPUTED_VALUE"""),-0.514097562166741)</f>
        <v>-0.51409756216674096</v>
      </c>
      <c r="JD42" s="3">
        <f ca="1">IFERROR(__xludf.DUMMYFUNCTION("""COMPUTED_VALUE"""),-0.290510520106105)</f>
        <v>-0.29051052010610501</v>
      </c>
      <c r="JE42" s="3">
        <f ca="1">IFERROR(__xludf.DUMMYFUNCTION("""COMPUTED_VALUE"""),-0.447380342458786)</f>
        <v>-0.447380342458786</v>
      </c>
      <c r="JF42" s="3">
        <f ca="1">IFERROR(__xludf.DUMMYFUNCTION("""COMPUTED_VALUE"""),-0.533779139415633)</f>
        <v>-0.53377913941563304</v>
      </c>
      <c r="JG42" s="3">
        <f ca="1">IFERROR(__xludf.DUMMYFUNCTION("""COMPUTED_VALUE"""),-0.50642079637865)</f>
        <v>-0.50642079637865001</v>
      </c>
      <c r="JH42" s="3">
        <f ca="1">IFERROR(__xludf.DUMMYFUNCTION("""COMPUTED_VALUE"""),-0.52841153930817)</f>
        <v>-0.52841153930816998</v>
      </c>
      <c r="JI42" s="3">
        <f ca="1">IFERROR(__xludf.DUMMYFUNCTION("""COMPUTED_VALUE"""),-0.560799998092214)</f>
        <v>-0.56079999809221404</v>
      </c>
      <c r="JJ42" s="3">
        <f ca="1">IFERROR(__xludf.DUMMYFUNCTION("""COMPUTED_VALUE"""),-0.600546341267527)</f>
        <v>-0.60054634126752704</v>
      </c>
      <c r="JK42" s="3">
        <f ca="1">IFERROR(__xludf.DUMMYFUNCTION("""COMPUTED_VALUE"""),-0.421711435019858)</f>
        <v>-0.42171143501985803</v>
      </c>
      <c r="JL42" s="3">
        <f ca="1">IFERROR(__xludf.DUMMYFUNCTION("""COMPUTED_VALUE"""),-0.455579054187008)</f>
        <v>-0.455579054187008</v>
      </c>
      <c r="JM42" s="3">
        <f ca="1">IFERROR(__xludf.DUMMYFUNCTION("""COMPUTED_VALUE"""),-0.376260228865906)</f>
        <v>-0.37626022886590599</v>
      </c>
      <c r="JN42" s="3">
        <f ca="1">IFERROR(__xludf.DUMMYFUNCTION("""COMPUTED_VALUE"""),-0.537299067962223)</f>
        <v>-0.53729906796222304</v>
      </c>
      <c r="JO42" s="3">
        <f ca="1">IFERROR(__xludf.DUMMYFUNCTION("""COMPUTED_VALUE"""),-0.757759146101636)</f>
        <v>-0.75775914610163597</v>
      </c>
      <c r="JP42" s="3">
        <f ca="1">IFERROR(__xludf.DUMMYFUNCTION("""COMPUTED_VALUE"""),-0.596166287225287)</f>
        <v>-0.59616628722528697</v>
      </c>
      <c r="JQ42" s="3">
        <f ca="1">IFERROR(__xludf.DUMMYFUNCTION("""COMPUTED_VALUE"""),-0.654914014075145)</f>
        <v>-0.65491401407514505</v>
      </c>
      <c r="JR42" s="3">
        <f ca="1">IFERROR(__xludf.DUMMYFUNCTION("""COMPUTED_VALUE"""),-0.619598061841773)</f>
        <v>-0.61959806184177302</v>
      </c>
      <c r="JS42" s="3">
        <f ca="1">IFERROR(__xludf.DUMMYFUNCTION("""COMPUTED_VALUE"""),-0.525490633619439)</f>
        <v>-0.52549063361943904</v>
      </c>
      <c r="JT42" s="3">
        <f ca="1">IFERROR(__xludf.DUMMYFUNCTION("""COMPUTED_VALUE"""),-0.483816580018279)</f>
        <v>-0.48381658001827899</v>
      </c>
      <c r="JU42" s="3">
        <f ca="1">IFERROR(__xludf.DUMMYFUNCTION("""COMPUTED_VALUE"""),-0.620768816381584)</f>
        <v>-0.62076881638158399</v>
      </c>
      <c r="JV42" s="3">
        <f ca="1">IFERROR(__xludf.DUMMYFUNCTION("""COMPUTED_VALUE"""),-0.653666366453082)</f>
        <v>-0.65366636645308196</v>
      </c>
      <c r="JW42" s="3">
        <f ca="1">IFERROR(__xludf.DUMMYFUNCTION("""COMPUTED_VALUE"""),-0.688992986761129)</f>
        <v>-0.68899298676112897</v>
      </c>
      <c r="JX42" s="3">
        <f ca="1">IFERROR(__xludf.DUMMYFUNCTION("""COMPUTED_VALUE"""),-0.646032358031957)</f>
        <v>-0.64603235803195702</v>
      </c>
      <c r="JY42" s="3">
        <f ca="1">IFERROR(__xludf.DUMMYFUNCTION("""COMPUTED_VALUE"""),-0.69103701871451)</f>
        <v>-0.69103701871450995</v>
      </c>
      <c r="JZ42" s="3">
        <f ca="1">IFERROR(__xludf.DUMMYFUNCTION("""COMPUTED_VALUE"""),-0.735067524182388)</f>
        <v>-0.73506752418238797</v>
      </c>
      <c r="KA42" s="3">
        <f ca="1">IFERROR(__xludf.DUMMYFUNCTION("""COMPUTED_VALUE"""),-0.586331829549484)</f>
        <v>-0.58633182954948404</v>
      </c>
      <c r="KB42" s="3">
        <f ca="1">IFERROR(__xludf.DUMMYFUNCTION("""COMPUTED_VALUE"""),-0.681673024197086)</f>
        <v>-0.68167302419708597</v>
      </c>
      <c r="KC42" s="3">
        <f ca="1">IFERROR(__xludf.DUMMYFUNCTION("""COMPUTED_VALUE"""),-0.76338203727344)</f>
        <v>-0.76338203727344001</v>
      </c>
      <c r="KD42" s="3">
        <f ca="1">IFERROR(__xludf.DUMMYFUNCTION("""COMPUTED_VALUE"""),-0.62033779797791)</f>
        <v>-0.62033779797791</v>
      </c>
      <c r="KE42" s="3">
        <f ca="1">IFERROR(__xludf.DUMMYFUNCTION("""COMPUTED_VALUE"""),-0.786593428312307)</f>
        <v>-0.78659342831230705</v>
      </c>
      <c r="KF42" s="3">
        <f ca="1">IFERROR(__xludf.DUMMYFUNCTION("""COMPUTED_VALUE"""),-0.736506871413085)</f>
        <v>-0.73650687141308502</v>
      </c>
      <c r="KG42" s="3">
        <f ca="1">IFERROR(__xludf.DUMMYFUNCTION("""COMPUTED_VALUE"""),-0.769143920902732)</f>
        <v>-0.76914392090273198</v>
      </c>
      <c r="KH42" s="3">
        <f ca="1">IFERROR(__xludf.DUMMYFUNCTION("""COMPUTED_VALUE"""),-0.721576705176546)</f>
        <v>-0.72157670517654604</v>
      </c>
      <c r="KI42" s="3">
        <f ca="1">IFERROR(__xludf.DUMMYFUNCTION("""COMPUTED_VALUE"""),-0.748008437636387)</f>
        <v>-0.74800843763638702</v>
      </c>
      <c r="KJ42" s="3">
        <f ca="1">IFERROR(__xludf.DUMMYFUNCTION("""COMPUTED_VALUE"""),-0.664513734390635)</f>
        <v>-0.66451373439063499</v>
      </c>
      <c r="KK42" s="3">
        <f ca="1">IFERROR(__xludf.DUMMYFUNCTION("""COMPUTED_VALUE"""),-0.520226858261391)</f>
        <v>-0.52022685826139103</v>
      </c>
      <c r="KL42" s="3">
        <f ca="1">IFERROR(__xludf.DUMMYFUNCTION("""COMPUTED_VALUE"""),-0.631935319959869)</f>
        <v>-0.63193531995986896</v>
      </c>
      <c r="KM42" s="3">
        <f ca="1">IFERROR(__xludf.DUMMYFUNCTION("""COMPUTED_VALUE"""),-0.724298414397256)</f>
        <v>-0.72429841439725595</v>
      </c>
      <c r="KN42" s="3">
        <f ca="1">IFERROR(__xludf.DUMMYFUNCTION("""COMPUTED_VALUE"""),-0.729516244057602)</f>
        <v>-0.72951624405760196</v>
      </c>
      <c r="KO42" s="3">
        <f ca="1">IFERROR(__xludf.DUMMYFUNCTION("""COMPUTED_VALUE"""),-0.68982432901861)</f>
        <v>-0.68982432901861002</v>
      </c>
      <c r="KP42" s="3">
        <f ca="1">IFERROR(__xludf.DUMMYFUNCTION("""COMPUTED_VALUE"""),-0.604596440370502)</f>
        <v>-0.60459644037050198</v>
      </c>
      <c r="KQ42" s="3">
        <f ca="1">IFERROR(__xludf.DUMMYFUNCTION("""COMPUTED_VALUE"""),-0.821337895081468)</f>
        <v>-0.82133789508146804</v>
      </c>
      <c r="KR42" s="3">
        <f ca="1">IFERROR(__xludf.DUMMYFUNCTION("""COMPUTED_VALUE"""),-0.665301137629188)</f>
        <v>-0.66530113762918797</v>
      </c>
      <c r="KS42" s="3">
        <f ca="1">IFERROR(__xludf.DUMMYFUNCTION("""COMPUTED_VALUE"""),-0.535240149250026)</f>
        <v>-0.53524014925002605</v>
      </c>
      <c r="KT42" s="3">
        <f ca="1">IFERROR(__xludf.DUMMYFUNCTION("""COMPUTED_VALUE"""),-0.707910797333022)</f>
        <v>-0.70791079733302198</v>
      </c>
      <c r="KU42" s="3">
        <f ca="1">IFERROR(__xludf.DUMMYFUNCTION("""COMPUTED_VALUE"""),-0.818205200806879)</f>
        <v>-0.81820520080687897</v>
      </c>
      <c r="KV42" s="3">
        <f ca="1">IFERROR(__xludf.DUMMYFUNCTION("""COMPUTED_VALUE"""),-0.67383761421187)</f>
        <v>-0.67383761421187005</v>
      </c>
      <c r="KW42" s="3">
        <f ca="1">IFERROR(__xludf.DUMMYFUNCTION("""COMPUTED_VALUE"""),-0.807264271542367)</f>
        <v>-0.80726427154236702</v>
      </c>
      <c r="KX42" s="3">
        <f ca="1">IFERROR(__xludf.DUMMYFUNCTION("""COMPUTED_VALUE"""),-0.708096352349256)</f>
        <v>-0.70809635234925605</v>
      </c>
      <c r="KY42" s="3">
        <f ca="1">IFERROR(__xludf.DUMMYFUNCTION("""COMPUTED_VALUE"""),-0.85550943247303)</f>
        <v>-0.85550943247303002</v>
      </c>
      <c r="KZ42" s="3">
        <f ca="1">IFERROR(__xludf.DUMMYFUNCTION("""COMPUTED_VALUE"""),-0.742708204077554)</f>
        <v>-0.742708204077554</v>
      </c>
      <c r="LA42" s="3">
        <f ca="1">IFERROR(__xludf.DUMMYFUNCTION("""COMPUTED_VALUE"""),-0.791708428121351)</f>
        <v>-0.791708428121351</v>
      </c>
      <c r="LB42" s="3">
        <f ca="1">IFERROR(__xludf.DUMMYFUNCTION("""COMPUTED_VALUE"""),-0.831476645089082)</f>
        <v>-0.83147664508908203</v>
      </c>
      <c r="LC42" s="3">
        <f ca="1">IFERROR(__xludf.DUMMYFUNCTION("""COMPUTED_VALUE"""),-0.708130778495931)</f>
        <v>-0.70813077849593098</v>
      </c>
      <c r="LD42" s="3">
        <f ca="1">IFERROR(__xludf.DUMMYFUNCTION("""COMPUTED_VALUE"""),-0.730114827546099)</f>
        <v>-0.73011482754609902</v>
      </c>
      <c r="LE42" s="3">
        <f ca="1">IFERROR(__xludf.DUMMYFUNCTION("""COMPUTED_VALUE"""),-0.810389269267919)</f>
        <v>-0.81038926926791899</v>
      </c>
      <c r="LF42" s="3">
        <f ca="1">IFERROR(__xludf.DUMMYFUNCTION("""COMPUTED_VALUE"""),-0.865537446079027)</f>
        <v>-0.86553744607902705</v>
      </c>
      <c r="LG42" s="3">
        <f ca="1">IFERROR(__xludf.DUMMYFUNCTION("""COMPUTED_VALUE"""),-0.749666330671303)</f>
        <v>-0.74966633067130295</v>
      </c>
      <c r="LH42" s="3">
        <f ca="1">IFERROR(__xludf.DUMMYFUNCTION("""COMPUTED_VALUE"""),-0.736338092006078)</f>
        <v>-0.73633809200607803</v>
      </c>
      <c r="LI42" s="3">
        <f ca="1">IFERROR(__xludf.DUMMYFUNCTION("""COMPUTED_VALUE"""),-0.704251856051398)</f>
        <v>-0.70425185605139795</v>
      </c>
      <c r="LJ42" s="3">
        <f ca="1">IFERROR(__xludf.DUMMYFUNCTION("""COMPUTED_VALUE"""),-0.721006558995288)</f>
        <v>-0.72100655899528798</v>
      </c>
      <c r="LK42" s="3">
        <f ca="1">IFERROR(__xludf.DUMMYFUNCTION("""COMPUTED_VALUE"""),-0.849714933062014)</f>
        <v>-0.84971493306201396</v>
      </c>
      <c r="LL42" s="3">
        <f ca="1">IFERROR(__xludf.DUMMYFUNCTION("""COMPUTED_VALUE"""),-0.881794039520428)</f>
        <v>-0.88179403952042801</v>
      </c>
      <c r="LM42" s="3">
        <f ca="1">IFERROR(__xludf.DUMMYFUNCTION("""COMPUTED_VALUE"""),-0.847223653161475)</f>
        <v>-0.84722365316147497</v>
      </c>
      <c r="LN42" s="3">
        <f ca="1">IFERROR(__xludf.DUMMYFUNCTION("""COMPUTED_VALUE"""),-0.769396774846239)</f>
        <v>-0.76939677484623903</v>
      </c>
      <c r="LO42" s="3">
        <f ca="1">IFERROR(__xludf.DUMMYFUNCTION("""COMPUTED_VALUE"""),-0.815505699424744)</f>
        <v>-0.81550569942474405</v>
      </c>
      <c r="LP42" s="3">
        <f ca="1">IFERROR(__xludf.DUMMYFUNCTION("""COMPUTED_VALUE"""),-0.828282454536333)</f>
        <v>-0.82828245453633298</v>
      </c>
      <c r="LQ42" s="3">
        <f ca="1">IFERROR(__xludf.DUMMYFUNCTION("""COMPUTED_VALUE"""),-0.765939788273315)</f>
        <v>-0.76593978827331499</v>
      </c>
      <c r="LR42" s="3">
        <f ca="1">IFERROR(__xludf.DUMMYFUNCTION("""COMPUTED_VALUE"""),-0.821894281059486)</f>
        <v>-0.82189428105948603</v>
      </c>
      <c r="LS42" s="3">
        <f ca="1">IFERROR(__xludf.DUMMYFUNCTION("""COMPUTED_VALUE"""),-0.833881666110058)</f>
        <v>-0.83388166611005798</v>
      </c>
      <c r="LT42" s="3">
        <f ca="1">IFERROR(__xludf.DUMMYFUNCTION("""COMPUTED_VALUE"""),-0.861920942193699)</f>
        <v>-0.86192094219369897</v>
      </c>
      <c r="LU42" s="3">
        <f ca="1">IFERROR(__xludf.DUMMYFUNCTION("""COMPUTED_VALUE"""),-0.843268254035741)</f>
        <v>-0.84326825403574102</v>
      </c>
      <c r="LV42" s="3">
        <f ca="1">IFERROR(__xludf.DUMMYFUNCTION("""COMPUTED_VALUE"""),-0.810303807128395)</f>
        <v>-0.810303807128395</v>
      </c>
      <c r="LW42" s="3">
        <f ca="1">IFERROR(__xludf.DUMMYFUNCTION("""COMPUTED_VALUE"""),-0.649878856747217)</f>
        <v>-0.64987885674721702</v>
      </c>
      <c r="LX42" s="3">
        <f ca="1">IFERROR(__xludf.DUMMYFUNCTION("""COMPUTED_VALUE"""),-0.653839833387805)</f>
        <v>-0.65383983338780505</v>
      </c>
      <c r="LY42" s="3">
        <f ca="1">IFERROR(__xludf.DUMMYFUNCTION("""COMPUTED_VALUE"""),-0.809311285641364)</f>
        <v>-0.80931128564136401</v>
      </c>
      <c r="LZ42" s="3">
        <f ca="1">IFERROR(__xludf.DUMMYFUNCTION("""COMPUTED_VALUE"""),-0.833451359270926)</f>
        <v>-0.83345135927092595</v>
      </c>
      <c r="MA42" s="3">
        <f ca="1">IFERROR(__xludf.DUMMYFUNCTION("""COMPUTED_VALUE"""),-0.843387913616078)</f>
        <v>-0.84338791361607801</v>
      </c>
      <c r="MB42" s="3">
        <f ca="1">IFERROR(__xludf.DUMMYFUNCTION("""COMPUTED_VALUE"""),-0.8356433209071)</f>
        <v>-0.83564332090710003</v>
      </c>
      <c r="MC42" s="3">
        <f ca="1">IFERROR(__xludf.DUMMYFUNCTION("""COMPUTED_VALUE"""),-0.814029906841294)</f>
        <v>-0.81402990684129395</v>
      </c>
      <c r="MD42" s="3">
        <f ca="1">IFERROR(__xludf.DUMMYFUNCTION("""COMPUTED_VALUE"""),-0.655621728510564)</f>
        <v>-0.65562172851056399</v>
      </c>
      <c r="ME42" s="3">
        <f ca="1">IFERROR(__xludf.DUMMYFUNCTION("""COMPUTED_VALUE"""),-0.797631099497617)</f>
        <v>-0.79763109949761701</v>
      </c>
      <c r="MF42" s="3">
        <f ca="1">IFERROR(__xludf.DUMMYFUNCTION("""COMPUTED_VALUE"""),-0.787537487365323)</f>
        <v>-0.78753748736532303</v>
      </c>
      <c r="MG42" s="3">
        <f ca="1">IFERROR(__xludf.DUMMYFUNCTION("""COMPUTED_VALUE"""),-0.873857364219839)</f>
        <v>-0.87385736421983895</v>
      </c>
      <c r="MH42" s="3">
        <f ca="1">IFERROR(__xludf.DUMMYFUNCTION("""COMPUTED_VALUE"""),-0.890638356097991)</f>
        <v>-0.89063835609799102</v>
      </c>
      <c r="MI42" s="3">
        <f ca="1">IFERROR(__xludf.DUMMYFUNCTION("""COMPUTED_VALUE"""),-0.823807915215778)</f>
        <v>-0.82380791521577801</v>
      </c>
      <c r="MJ42" s="3">
        <f ca="1">IFERROR(__xludf.DUMMYFUNCTION("""COMPUTED_VALUE"""),-0.727156504076891)</f>
        <v>-0.72715650407689103</v>
      </c>
      <c r="MK42" s="3">
        <f ca="1">IFERROR(__xludf.DUMMYFUNCTION("""COMPUTED_VALUE"""),-0.839318247718943)</f>
        <v>-0.83931824771894303</v>
      </c>
      <c r="ML42" s="3">
        <f ca="1">IFERROR(__xludf.DUMMYFUNCTION("""COMPUTED_VALUE"""),-0.847106011869643)</f>
        <v>-0.84710601186964296</v>
      </c>
      <c r="MM42" s="3">
        <f ca="1">IFERROR(__xludf.DUMMYFUNCTION("""COMPUTED_VALUE"""),-0.900131493688848)</f>
        <v>-0.90013149368884804</v>
      </c>
      <c r="MN42" s="3">
        <f ca="1">IFERROR(__xludf.DUMMYFUNCTION("""COMPUTED_VALUE"""),-0.921489461925103)</f>
        <v>-0.92148946192510295</v>
      </c>
      <c r="MO42" s="3">
        <f ca="1">IFERROR(__xludf.DUMMYFUNCTION("""COMPUTED_VALUE"""),-0.921241098368795)</f>
        <v>-0.92124109836879498</v>
      </c>
      <c r="MP42" s="3">
        <f ca="1">IFERROR(__xludf.DUMMYFUNCTION("""COMPUTED_VALUE"""),-0.807905016545278)</f>
        <v>-0.80790501654527802</v>
      </c>
      <c r="MQ42" s="3">
        <f ca="1">IFERROR(__xludf.DUMMYFUNCTION("""COMPUTED_VALUE"""),-0.827423792559254)</f>
        <v>-0.82742379255925402</v>
      </c>
      <c r="MR42" s="3">
        <f ca="1">IFERROR(__xludf.DUMMYFUNCTION("""COMPUTED_VALUE"""),-0.853766378166073)</f>
        <v>-0.85376637816607304</v>
      </c>
      <c r="MS42" s="3">
        <f ca="1">IFERROR(__xludf.DUMMYFUNCTION("""COMPUTED_VALUE"""),-0.894916403371862)</f>
        <v>-0.89491640337186196</v>
      </c>
      <c r="MT42" s="3">
        <f ca="1">IFERROR(__xludf.DUMMYFUNCTION("""COMPUTED_VALUE"""),-0.802800771008)</f>
        <v>-0.80280077100799996</v>
      </c>
      <c r="MU42" s="3">
        <f ca="1">IFERROR(__xludf.DUMMYFUNCTION("""COMPUTED_VALUE"""),-0.860878295442667)</f>
        <v>-0.86087829544266703</v>
      </c>
      <c r="MV42" s="3">
        <f ca="1">IFERROR(__xludf.DUMMYFUNCTION("""COMPUTED_VALUE"""),-0.940534196729897)</f>
        <v>-0.94053419672989702</v>
      </c>
      <c r="MW42" s="3">
        <f ca="1">IFERROR(__xludf.DUMMYFUNCTION("""COMPUTED_VALUE"""),-0.905808994809969)</f>
        <v>-0.90580899480996901</v>
      </c>
      <c r="MX42" s="3">
        <f ca="1">IFERROR(__xludf.DUMMYFUNCTION("""COMPUTED_VALUE"""),-0.906827170487208)</f>
        <v>-0.90682717048720796</v>
      </c>
      <c r="MY42" s="3">
        <f ca="1">IFERROR(__xludf.DUMMYFUNCTION("""COMPUTED_VALUE"""),-0.919597437384615)</f>
        <v>-0.91959743738461497</v>
      </c>
      <c r="MZ42" s="3">
        <f ca="1">IFERROR(__xludf.DUMMYFUNCTION("""COMPUTED_VALUE"""),-0.856567131610226)</f>
        <v>-0.85656713161022602</v>
      </c>
      <c r="NA42" s="3">
        <f ca="1">IFERROR(__xludf.DUMMYFUNCTION("""COMPUTED_VALUE"""),-0.825684213416382)</f>
        <v>-0.82568421341638198</v>
      </c>
      <c r="NB42" s="3">
        <f ca="1">IFERROR(__xludf.DUMMYFUNCTION("""COMPUTED_VALUE"""),-0.846764775279194)</f>
        <v>-0.84676477527919403</v>
      </c>
      <c r="NC42" s="3">
        <f ca="1">IFERROR(__xludf.DUMMYFUNCTION("""COMPUTED_VALUE"""),-0.857495345146526)</f>
        <v>-0.85749534514652603</v>
      </c>
      <c r="ND42" s="3">
        <f ca="1">IFERROR(__xludf.DUMMYFUNCTION("""COMPUTED_VALUE"""),-0.8527884392045)</f>
        <v>-0.85278843920449998</v>
      </c>
      <c r="NE42" s="3">
        <f ca="1">IFERROR(__xludf.DUMMYFUNCTION("""COMPUTED_VALUE"""),-0.802545356830161)</f>
        <v>-0.80254535683016104</v>
      </c>
      <c r="NF42" s="3">
        <f ca="1">IFERROR(__xludf.DUMMYFUNCTION("""COMPUTED_VALUE"""),-0.837520560636811)</f>
        <v>-0.83752056063681102</v>
      </c>
      <c r="NG42" s="3">
        <f ca="1">IFERROR(__xludf.DUMMYFUNCTION("""COMPUTED_VALUE"""),-0.794665813700106)</f>
        <v>-0.79466581370010603</v>
      </c>
      <c r="NH42" s="3">
        <f ca="1">IFERROR(__xludf.DUMMYFUNCTION("""COMPUTED_VALUE"""),-0.885767686335635)</f>
        <v>-0.88576768633563496</v>
      </c>
      <c r="NI42" s="3">
        <f ca="1">IFERROR(__xludf.DUMMYFUNCTION("""COMPUTED_VALUE"""),-0.926551839095074)</f>
        <v>-0.92655183909507399</v>
      </c>
      <c r="NJ42" s="3">
        <f ca="1">IFERROR(__xludf.DUMMYFUNCTION("""COMPUTED_VALUE"""),-0.775331215434346)</f>
        <v>-0.77533121543434602</v>
      </c>
      <c r="NK42" s="3">
        <f ca="1">IFERROR(__xludf.DUMMYFUNCTION("""COMPUTED_VALUE"""),-0.809549661308766)</f>
        <v>-0.80954966130876604</v>
      </c>
      <c r="NL42" s="3">
        <f ca="1">IFERROR(__xludf.DUMMYFUNCTION("""COMPUTED_VALUE"""),-0.827740093335217)</f>
        <v>-0.82774009333521703</v>
      </c>
      <c r="NM42" s="3">
        <f ca="1">IFERROR(__xludf.DUMMYFUNCTION("""COMPUTED_VALUE"""),-0.853164867718298)</f>
        <v>-0.85316486771829803</v>
      </c>
      <c r="NN42" s="3">
        <f ca="1">IFERROR(__xludf.DUMMYFUNCTION("""COMPUTED_VALUE"""),-0.871518446062585)</f>
        <v>-0.87151844606258499</v>
      </c>
      <c r="NO42" s="3">
        <f ca="1">IFERROR(__xludf.DUMMYFUNCTION("""COMPUTED_VALUE"""),-0.881321682059043)</f>
        <v>-0.88132168205904304</v>
      </c>
      <c r="NP42" s="3">
        <f ca="1">IFERROR(__xludf.DUMMYFUNCTION("""COMPUTED_VALUE"""),-0.900407762487479)</f>
        <v>-0.900407762487479</v>
      </c>
      <c r="NQ42" s="3">
        <f ca="1">IFERROR(__xludf.DUMMYFUNCTION("""COMPUTED_VALUE"""),-0.814779723764041)</f>
        <v>-0.81477972376404095</v>
      </c>
      <c r="NR42" s="3">
        <f ca="1">IFERROR(__xludf.DUMMYFUNCTION("""COMPUTED_VALUE"""),-0.827372611562865)</f>
        <v>-0.82737261156286501</v>
      </c>
      <c r="NS42" s="3">
        <f ca="1">IFERROR(__xludf.DUMMYFUNCTION("""COMPUTED_VALUE"""),-0.825535752937819)</f>
        <v>-0.825535752937819</v>
      </c>
      <c r="NT42" s="3">
        <f ca="1">IFERROR(__xludf.DUMMYFUNCTION("""COMPUTED_VALUE"""),-0.79196618162926)</f>
        <v>-0.79196618162926002</v>
      </c>
      <c r="NU42" s="3">
        <f ca="1">IFERROR(__xludf.DUMMYFUNCTION("""COMPUTED_VALUE"""),-0.787938363971716)</f>
        <v>-0.78793836397171602</v>
      </c>
      <c r="NV42" s="3">
        <f ca="1">IFERROR(__xludf.DUMMYFUNCTION("""COMPUTED_VALUE"""),-0.824331002799161)</f>
        <v>-0.82433100279916105</v>
      </c>
      <c r="NW42" s="3">
        <f ca="1">IFERROR(__xludf.DUMMYFUNCTION("""COMPUTED_VALUE"""),-0.875459734873234)</f>
        <v>-0.87545973487323403</v>
      </c>
      <c r="NX42" s="3">
        <f ca="1">IFERROR(__xludf.DUMMYFUNCTION("""COMPUTED_VALUE"""),-0.656465546331609)</f>
        <v>-0.65646554633160903</v>
      </c>
      <c r="NY42" s="3">
        <f ca="1">IFERROR(__xludf.DUMMYFUNCTION("""COMPUTED_VALUE"""),-0.691402143550562)</f>
        <v>-0.69140214355056195</v>
      </c>
      <c r="NZ42" s="3">
        <f ca="1">IFERROR(__xludf.DUMMYFUNCTION("""COMPUTED_VALUE"""),-0.564756188864201)</f>
        <v>-0.56475618886420098</v>
      </c>
      <c r="OA42" s="3">
        <f ca="1">IFERROR(__xludf.DUMMYFUNCTION("""COMPUTED_VALUE"""),-0.534807056891869)</f>
        <v>-0.53480705689186903</v>
      </c>
      <c r="OB42" s="3">
        <f ca="1">IFERROR(__xludf.DUMMYFUNCTION("""COMPUTED_VALUE"""),0.0559704003779473)</f>
        <v>5.5970400377947302E-2</v>
      </c>
      <c r="OC42" s="3">
        <f ca="1">IFERROR(__xludf.DUMMYFUNCTION("""COMPUTED_VALUE"""),0.0994408546469478)</f>
        <v>9.9440854646947796E-2</v>
      </c>
      <c r="OD42" s="3">
        <f ca="1">IFERROR(__xludf.DUMMYFUNCTION("""COMPUTED_VALUE"""),0.127593091662138)</f>
        <v>0.127593091662138</v>
      </c>
      <c r="OE42" s="3">
        <f ca="1">IFERROR(__xludf.DUMMYFUNCTION("""COMPUTED_VALUE"""),-0.0727416335934215)</f>
        <v>-7.2741633593421506E-2</v>
      </c>
      <c r="OF42" s="3">
        <f ca="1">IFERROR(__xludf.DUMMYFUNCTION("""COMPUTED_VALUE"""),-0.0954088858888602)</f>
        <v>-9.5408885888860206E-2</v>
      </c>
      <c r="OG42" s="3">
        <f ca="1">IFERROR(__xludf.DUMMYFUNCTION("""COMPUTED_VALUE"""),0.0555540073259648)</f>
        <v>5.5554007325964799E-2</v>
      </c>
      <c r="OH42" s="3">
        <f ca="1">IFERROR(__xludf.DUMMYFUNCTION("""COMPUTED_VALUE"""),0.0338752249603846)</f>
        <v>3.3875224960384601E-2</v>
      </c>
      <c r="OI42" s="3">
        <f ca="1">IFERROR(__xludf.DUMMYFUNCTION("""COMPUTED_VALUE"""),-0.0479380914912422)</f>
        <v>-4.7938091491242202E-2</v>
      </c>
      <c r="OJ42" s="3">
        <f ca="1">IFERROR(__xludf.DUMMYFUNCTION("""COMPUTED_VALUE"""),0.117880847827964)</f>
        <v>0.117880847827964</v>
      </c>
      <c r="OK42" s="3">
        <f ca="1">IFERROR(__xludf.DUMMYFUNCTION("""COMPUTED_VALUE"""),-0.203115846946289)</f>
        <v>-0.20311584694628901</v>
      </c>
      <c r="OL42" s="3">
        <f ca="1">IFERROR(__xludf.DUMMYFUNCTION("""COMPUTED_VALUE"""),-0.0970108215217312)</f>
        <v>-9.7010821521731197E-2</v>
      </c>
      <c r="OM42" s="3">
        <f ca="1">IFERROR(__xludf.DUMMYFUNCTION("""COMPUTED_VALUE"""),-0.153131131648442)</f>
        <v>-0.153131131648442</v>
      </c>
      <c r="ON42" s="3">
        <f ca="1">IFERROR(__xludf.DUMMYFUNCTION("""COMPUTED_VALUE"""),-0.106197141919995)</f>
        <v>-0.10619714191999501</v>
      </c>
      <c r="OO42" s="3">
        <f ca="1">IFERROR(__xludf.DUMMYFUNCTION("""COMPUTED_VALUE"""),0.00113334955589516)</f>
        <v>1.1333495558951601E-3</v>
      </c>
      <c r="OP42" s="3">
        <f ca="1">IFERROR(__xludf.DUMMYFUNCTION("""COMPUTED_VALUE"""),0.336700728308674)</f>
        <v>0.33670072830867398</v>
      </c>
      <c r="OQ42" s="3">
        <f ca="1">IFERROR(__xludf.DUMMYFUNCTION("""COMPUTED_VALUE"""),0.372006078317669)</f>
        <v>0.37200607831766902</v>
      </c>
      <c r="OR42" s="3">
        <f ca="1">IFERROR(__xludf.DUMMYFUNCTION("""COMPUTED_VALUE"""),-0.0206142015375406)</f>
        <v>-2.0614201537540601E-2</v>
      </c>
      <c r="OS42" s="3">
        <f ca="1">IFERROR(__xludf.DUMMYFUNCTION("""COMPUTED_VALUE"""),0.0660801069068002)</f>
        <v>6.6080106906800204E-2</v>
      </c>
      <c r="OT42" s="3">
        <f ca="1">IFERROR(__xludf.DUMMYFUNCTION("""COMPUTED_VALUE"""),-0.0117665289337957)</f>
        <v>-1.1766528933795701E-2</v>
      </c>
      <c r="OU42" s="3">
        <f ca="1">IFERROR(__xludf.DUMMYFUNCTION("""COMPUTED_VALUE"""),-0.0123341523581176)</f>
        <v>-1.2334152358117601E-2</v>
      </c>
      <c r="OV42" s="3">
        <f ca="1">IFERROR(__xludf.DUMMYFUNCTION("""COMPUTED_VALUE"""),-0.0165446277836975)</f>
        <v>-1.6544627783697499E-2</v>
      </c>
      <c r="OW42" s="3">
        <f ca="1">IFERROR(__xludf.DUMMYFUNCTION("""COMPUTED_VALUE"""),0.00981768261871773)</f>
        <v>9.8176826187177293E-3</v>
      </c>
      <c r="OX42" s="3">
        <f ca="1">IFERROR(__xludf.DUMMYFUNCTION("""COMPUTED_VALUE"""),-0.126581150574901)</f>
        <v>-0.12658115057490099</v>
      </c>
      <c r="OY42" s="3">
        <f ca="1">IFERROR(__xludf.DUMMYFUNCTION("""COMPUTED_VALUE"""),-0.194440522174681)</f>
        <v>-0.194440522174681</v>
      </c>
      <c r="OZ42" s="3">
        <f ca="1">IFERROR(__xludf.DUMMYFUNCTION("""COMPUTED_VALUE"""),0.0000524289421393042)</f>
        <v>5.2428942139304201E-5</v>
      </c>
      <c r="PA42" s="3">
        <f ca="1">IFERROR(__xludf.DUMMYFUNCTION("""COMPUTED_VALUE"""),0.035252607123581)</f>
        <v>3.5252607123580998E-2</v>
      </c>
      <c r="PB42" s="3">
        <f ca="1">IFERROR(__xludf.DUMMYFUNCTION("""COMPUTED_VALUE"""),0.148036160841785)</f>
        <v>0.148036160841785</v>
      </c>
      <c r="PC42" s="3">
        <f ca="1">IFERROR(__xludf.DUMMYFUNCTION("""COMPUTED_VALUE"""),0.262909671458646)</f>
        <v>0.26290967145864602</v>
      </c>
      <c r="PD42" s="3">
        <f ca="1">IFERROR(__xludf.DUMMYFUNCTION("""COMPUTED_VALUE"""),0.278072234277843)</f>
        <v>0.278072234277843</v>
      </c>
      <c r="PE42" s="3">
        <f ca="1">IFERROR(__xludf.DUMMYFUNCTION("""COMPUTED_VALUE"""),0.0150383535100373)</f>
        <v>1.50383535100373E-2</v>
      </c>
      <c r="PF42" s="3">
        <f ca="1">IFERROR(__xludf.DUMMYFUNCTION("""COMPUTED_VALUE"""),-0.103810368576586)</f>
        <v>-0.103810368576586</v>
      </c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</row>
    <row r="43" spans="1:594" ht="15.75" customHeight="1">
      <c r="A43" s="1" t="str">
        <f ca="1">IFERROR(__xludf.DUMMYFUNCTION("""COMPUTED_VALUE"""),"Marseille")</f>
        <v>Marseille</v>
      </c>
      <c r="B43" s="3">
        <f ca="1">IFERROR(__xludf.DUMMYFUNCTION("""COMPUTED_VALUE"""),0.0592939495838003)</f>
        <v>5.9293949583800298E-2</v>
      </c>
      <c r="C43" s="3">
        <f ca="1">IFERROR(__xludf.DUMMYFUNCTION("""COMPUTED_VALUE"""),0.0186815604956784)</f>
        <v>1.8681560495678401E-2</v>
      </c>
      <c r="D43" s="3">
        <f ca="1">IFERROR(__xludf.DUMMYFUNCTION("""COMPUTED_VALUE"""),0.00742133407495848)</f>
        <v>7.4213340749584803E-3</v>
      </c>
      <c r="E43" s="3">
        <f ca="1">IFERROR(__xludf.DUMMYFUNCTION("""COMPUTED_VALUE"""),0.0310026226022184)</f>
        <v>3.1002622602218401E-2</v>
      </c>
      <c r="F43" s="3">
        <f ca="1">IFERROR(__xludf.DUMMYFUNCTION("""COMPUTED_VALUE"""),-0.0283004991631146)</f>
        <v>-2.8300499163114601E-2</v>
      </c>
      <c r="G43" s="3">
        <f ca="1">IFERROR(__xludf.DUMMYFUNCTION("""COMPUTED_VALUE"""),-0.24479958462746)</f>
        <v>-0.24479958462745999</v>
      </c>
      <c r="H43" s="3">
        <f ca="1">IFERROR(__xludf.DUMMYFUNCTION("""COMPUTED_VALUE"""),0.202097843845862)</f>
        <v>0.20209784384586199</v>
      </c>
      <c r="I43" s="3">
        <f ca="1">IFERROR(__xludf.DUMMYFUNCTION("""COMPUTED_VALUE"""),0.637053034172571)</f>
        <v>0.63705303417257098</v>
      </c>
      <c r="J43" s="3">
        <f ca="1">IFERROR(__xludf.DUMMYFUNCTION("""COMPUTED_VALUE"""),0.693070694969371)</f>
        <v>0.69307069496937102</v>
      </c>
      <c r="K43" s="3">
        <f ca="1">IFERROR(__xludf.DUMMYFUNCTION("""COMPUTED_VALUE"""),0.460481462642192)</f>
        <v>0.46048146264219197</v>
      </c>
      <c r="L43" s="3">
        <f ca="1">IFERROR(__xludf.DUMMYFUNCTION("""COMPUTED_VALUE"""),0.559542704368374)</f>
        <v>0.55954270436837406</v>
      </c>
      <c r="M43" s="3">
        <f ca="1">IFERROR(__xludf.DUMMYFUNCTION("""COMPUTED_VALUE"""),0.460731654384413)</f>
        <v>0.46073165438441299</v>
      </c>
      <c r="N43" s="3">
        <f ca="1">IFERROR(__xludf.DUMMYFUNCTION("""COMPUTED_VALUE"""),0.404948216520342)</f>
        <v>0.40494821652034202</v>
      </c>
      <c r="O43" s="3">
        <f ca="1">IFERROR(__xludf.DUMMYFUNCTION("""COMPUTED_VALUE"""),0.143348702904925)</f>
        <v>0.14334870290492499</v>
      </c>
      <c r="P43" s="3">
        <f ca="1">IFERROR(__xludf.DUMMYFUNCTION("""COMPUTED_VALUE"""),0.412569821941767)</f>
        <v>0.412569821941767</v>
      </c>
      <c r="Q43" s="3">
        <f ca="1">IFERROR(__xludf.DUMMYFUNCTION("""COMPUTED_VALUE"""),0.286314832611826)</f>
        <v>0.286314832611826</v>
      </c>
      <c r="R43" s="3">
        <f ca="1">IFERROR(__xludf.DUMMYFUNCTION("""COMPUTED_VALUE"""),0.256959015328678)</f>
        <v>0.25695901532867799</v>
      </c>
      <c r="S43" s="3">
        <f ca="1">IFERROR(__xludf.DUMMYFUNCTION("""COMPUTED_VALUE"""),0.258983453862316)</f>
        <v>0.25898345386231603</v>
      </c>
      <c r="T43" s="3">
        <f ca="1">IFERROR(__xludf.DUMMYFUNCTION("""COMPUTED_VALUE"""),0.302658952087235)</f>
        <v>0.30265895208723498</v>
      </c>
      <c r="U43" s="3">
        <f ca="1">IFERROR(__xludf.DUMMYFUNCTION("""COMPUTED_VALUE"""),0.364551232242318)</f>
        <v>0.364551232242318</v>
      </c>
      <c r="V43" s="3">
        <f ca="1">IFERROR(__xludf.DUMMYFUNCTION("""COMPUTED_VALUE"""),0.111174640640794)</f>
        <v>0.11117464064079401</v>
      </c>
      <c r="W43" s="3">
        <f ca="1">IFERROR(__xludf.DUMMYFUNCTION("""COMPUTED_VALUE"""),0.253996294487366)</f>
        <v>0.25399629448736599</v>
      </c>
      <c r="X43" s="3">
        <f ca="1">IFERROR(__xludf.DUMMYFUNCTION("""COMPUTED_VALUE"""),0.134064136543422)</f>
        <v>0.134064136543422</v>
      </c>
      <c r="Y43" s="3">
        <f ca="1">IFERROR(__xludf.DUMMYFUNCTION("""COMPUTED_VALUE"""),0.216117630085364)</f>
        <v>0.216117630085364</v>
      </c>
      <c r="Z43" s="3">
        <f ca="1">IFERROR(__xludf.DUMMYFUNCTION("""COMPUTED_VALUE"""),0.123380985381679)</f>
        <v>0.12338098538167901</v>
      </c>
      <c r="AA43" s="3">
        <f ca="1">IFERROR(__xludf.DUMMYFUNCTION("""COMPUTED_VALUE"""),0.243052803243483)</f>
        <v>0.243052803243483</v>
      </c>
      <c r="AB43" s="3">
        <f ca="1">IFERROR(__xludf.DUMMYFUNCTION("""COMPUTED_VALUE"""),0.30711273567306)</f>
        <v>0.30711273567306002</v>
      </c>
      <c r="AC43" s="3">
        <f ca="1">IFERROR(__xludf.DUMMYFUNCTION("""COMPUTED_VALUE"""),0.0280079709824885)</f>
        <v>2.80079709824885E-2</v>
      </c>
      <c r="AD43" s="3">
        <f ca="1">IFERROR(__xludf.DUMMYFUNCTION("""COMPUTED_VALUE"""),0.209308968660074)</f>
        <v>0.20930896866007401</v>
      </c>
      <c r="AE43" s="3">
        <f ca="1">IFERROR(__xludf.DUMMYFUNCTION("""COMPUTED_VALUE"""),0.162086055145475)</f>
        <v>0.162086055145475</v>
      </c>
      <c r="AF43" s="3">
        <f ca="1">IFERROR(__xludf.DUMMYFUNCTION("""COMPUTED_VALUE"""),0.256053507641895)</f>
        <v>0.256053507641895</v>
      </c>
      <c r="AG43" s="3">
        <f ca="1">IFERROR(__xludf.DUMMYFUNCTION("""COMPUTED_VALUE"""),0.144036137792587)</f>
        <v>0.144036137792587</v>
      </c>
      <c r="AH43" s="3">
        <f ca="1">IFERROR(__xludf.DUMMYFUNCTION("""COMPUTED_VALUE"""),0.160312030593375)</f>
        <v>0.16031203059337501</v>
      </c>
      <c r="AI43" s="3">
        <f ca="1">IFERROR(__xludf.DUMMYFUNCTION("""COMPUTED_VALUE"""),0.268590208409964)</f>
        <v>0.268590208409964</v>
      </c>
      <c r="AJ43" s="3">
        <f ca="1">IFERROR(__xludf.DUMMYFUNCTION("""COMPUTED_VALUE"""),-0.0235043642743276)</f>
        <v>-2.3504364274327599E-2</v>
      </c>
      <c r="AK43" s="3">
        <f ca="1">IFERROR(__xludf.DUMMYFUNCTION("""COMPUTED_VALUE"""),-0.0187507239114197)</f>
        <v>-1.8750723911419701E-2</v>
      </c>
      <c r="AL43" s="3">
        <f ca="1">IFERROR(__xludf.DUMMYFUNCTION("""COMPUTED_VALUE"""),0.02373508813722)</f>
        <v>2.3735088137220001E-2</v>
      </c>
      <c r="AM43" s="3">
        <f ca="1">IFERROR(__xludf.DUMMYFUNCTION("""COMPUTED_VALUE"""),0.0791371633049564)</f>
        <v>7.9137163304956404E-2</v>
      </c>
      <c r="AN43" s="3">
        <f ca="1">IFERROR(__xludf.DUMMYFUNCTION("""COMPUTED_VALUE"""),0.00223909443567671)</f>
        <v>2.2390944356767101E-3</v>
      </c>
      <c r="AO43" s="3">
        <f ca="1">IFERROR(__xludf.DUMMYFUNCTION("""COMPUTED_VALUE"""),0.146451798295832)</f>
        <v>0.14645179829583199</v>
      </c>
      <c r="AP43" s="3">
        <f ca="1">IFERROR(__xludf.DUMMYFUNCTION("""COMPUTED_VALUE"""),0.190956621896717)</f>
        <v>0.190956621896717</v>
      </c>
      <c r="AQ43" s="3">
        <f ca="1">IFERROR(__xludf.DUMMYFUNCTION("""COMPUTED_VALUE"""),0.278377102629158)</f>
        <v>0.27837710262915799</v>
      </c>
      <c r="AR43" s="3">
        <f ca="1">IFERROR(__xludf.DUMMYFUNCTION("""COMPUTED_VALUE"""),0.121223720943689)</f>
        <v>0.121223720943689</v>
      </c>
      <c r="AS43" s="3">
        <f ca="1">IFERROR(__xludf.DUMMYFUNCTION("""COMPUTED_VALUE"""),0.197962945640663)</f>
        <v>0.197962945640663</v>
      </c>
      <c r="AT43" s="3">
        <f ca="1">IFERROR(__xludf.DUMMYFUNCTION("""COMPUTED_VALUE"""),0.31658854181131)</f>
        <v>0.31658854181131002</v>
      </c>
      <c r="AU43" s="3">
        <f ca="1">IFERROR(__xludf.DUMMYFUNCTION("""COMPUTED_VALUE"""),0.111551875299063)</f>
        <v>0.11155187529906301</v>
      </c>
      <c r="AV43" s="3">
        <f ca="1">IFERROR(__xludf.DUMMYFUNCTION("""COMPUTED_VALUE"""),0.34907539288724)</f>
        <v>0.34907539288723999</v>
      </c>
      <c r="AW43" s="3">
        <f ca="1">IFERROR(__xludf.DUMMYFUNCTION("""COMPUTED_VALUE"""),0.135439019112703)</f>
        <v>0.13543901911270301</v>
      </c>
      <c r="AX43" s="3">
        <f ca="1">IFERROR(__xludf.DUMMYFUNCTION("""COMPUTED_VALUE"""),0.241845748228534)</f>
        <v>0.241845748228534</v>
      </c>
      <c r="AY43" s="3">
        <f ca="1">IFERROR(__xludf.DUMMYFUNCTION("""COMPUTED_VALUE"""),0.28339688631682)</f>
        <v>0.28339688631681997</v>
      </c>
      <c r="AZ43" s="3">
        <f ca="1">IFERROR(__xludf.DUMMYFUNCTION("""COMPUTED_VALUE"""),0.258905385073427)</f>
        <v>0.25890538507342697</v>
      </c>
      <c r="BA43" s="3">
        <f ca="1">IFERROR(__xludf.DUMMYFUNCTION("""COMPUTED_VALUE"""),0.239458393269401)</f>
        <v>0.23945839326940099</v>
      </c>
      <c r="BB43" s="3">
        <f ca="1">IFERROR(__xludf.DUMMYFUNCTION("""COMPUTED_VALUE"""),0.287238668513706)</f>
        <v>0.287238668513706</v>
      </c>
      <c r="BC43" s="3">
        <f ca="1">IFERROR(__xludf.DUMMYFUNCTION("""COMPUTED_VALUE"""),0.194151509667631)</f>
        <v>0.19415150966763101</v>
      </c>
      <c r="BD43" s="3">
        <f ca="1">IFERROR(__xludf.DUMMYFUNCTION("""COMPUTED_VALUE"""),0.191784200388354)</f>
        <v>0.191784200388354</v>
      </c>
      <c r="BE43" s="3">
        <f ca="1">IFERROR(__xludf.DUMMYFUNCTION("""COMPUTED_VALUE"""),0.205146058946749)</f>
        <v>0.205146058946749</v>
      </c>
      <c r="BF43" s="3">
        <f ca="1">IFERROR(__xludf.DUMMYFUNCTION("""COMPUTED_VALUE"""),0.339989762321695)</f>
        <v>0.33998976232169498</v>
      </c>
      <c r="BG43" s="3">
        <f ca="1">IFERROR(__xludf.DUMMYFUNCTION("""COMPUTED_VALUE"""),0.10769559449472)</f>
        <v>0.10769559449472001</v>
      </c>
      <c r="BH43" s="3">
        <f ca="1">IFERROR(__xludf.DUMMYFUNCTION("""COMPUTED_VALUE"""),0.129092793739047)</f>
        <v>0.129092793739047</v>
      </c>
      <c r="BI43" s="3">
        <f ca="1">IFERROR(__xludf.DUMMYFUNCTION("""COMPUTED_VALUE"""),0.144610608048399)</f>
        <v>0.14461060804839901</v>
      </c>
      <c r="BJ43" s="3">
        <f ca="1">IFERROR(__xludf.DUMMYFUNCTION("""COMPUTED_VALUE"""),0.0908326531054164)</f>
        <v>9.0832653105416397E-2</v>
      </c>
      <c r="BK43" s="3">
        <f ca="1">IFERROR(__xludf.DUMMYFUNCTION("""COMPUTED_VALUE"""),0.133892402505837)</f>
        <v>0.133892402505837</v>
      </c>
      <c r="BL43" s="3">
        <f ca="1">IFERROR(__xludf.DUMMYFUNCTION("""COMPUTED_VALUE"""),0.0839405432576474)</f>
        <v>8.3940543257647396E-2</v>
      </c>
      <c r="BM43" s="3">
        <f ca="1">IFERROR(__xludf.DUMMYFUNCTION("""COMPUTED_VALUE"""),0.0656103492442565)</f>
        <v>6.5610349244256502E-2</v>
      </c>
      <c r="BN43" s="3">
        <f ca="1">IFERROR(__xludf.DUMMYFUNCTION("""COMPUTED_VALUE"""),0.0268957201835111)</f>
        <v>2.68957201835111E-2</v>
      </c>
      <c r="BO43" s="3">
        <f ca="1">IFERROR(__xludf.DUMMYFUNCTION("""COMPUTED_VALUE"""),0.17827135628492)</f>
        <v>0.17827135628492</v>
      </c>
      <c r="BP43" s="3">
        <f ca="1">IFERROR(__xludf.DUMMYFUNCTION("""COMPUTED_VALUE"""),0.0952082654869008)</f>
        <v>9.5208265486900798E-2</v>
      </c>
      <c r="BQ43" s="3">
        <f ca="1">IFERROR(__xludf.DUMMYFUNCTION("""COMPUTED_VALUE"""),0.112454826573001)</f>
        <v>0.112454826573001</v>
      </c>
      <c r="BR43" s="3">
        <f ca="1">IFERROR(__xludf.DUMMYFUNCTION("""COMPUTED_VALUE"""),0.0790441888588131)</f>
        <v>7.9044188858813105E-2</v>
      </c>
      <c r="BS43" s="3">
        <f ca="1">IFERROR(__xludf.DUMMYFUNCTION("""COMPUTED_VALUE"""),0.218463141713959)</f>
        <v>0.218463141713959</v>
      </c>
      <c r="BT43" s="3">
        <f ca="1">IFERROR(__xludf.DUMMYFUNCTION("""COMPUTED_VALUE"""),0.0912710679788848)</f>
        <v>9.1271067978884804E-2</v>
      </c>
      <c r="BU43" s="3">
        <f ca="1">IFERROR(__xludf.DUMMYFUNCTION("""COMPUTED_VALUE"""),0.00270901479783569)</f>
        <v>2.7090147978356899E-3</v>
      </c>
      <c r="BV43" s="3">
        <f ca="1">IFERROR(__xludf.DUMMYFUNCTION("""COMPUTED_VALUE"""),0.146287806915031)</f>
        <v>0.14628780691503099</v>
      </c>
      <c r="BW43" s="3">
        <f ca="1">IFERROR(__xludf.DUMMYFUNCTION("""COMPUTED_VALUE"""),0.0544018156221037)</f>
        <v>5.4401815622103701E-2</v>
      </c>
      <c r="BX43" s="3">
        <f ca="1">IFERROR(__xludf.DUMMYFUNCTION("""COMPUTED_VALUE"""),0.253380965322241)</f>
        <v>0.25338096532224103</v>
      </c>
      <c r="BY43" s="3">
        <f ca="1">IFERROR(__xludf.DUMMYFUNCTION("""COMPUTED_VALUE"""),0.189012130096728)</f>
        <v>0.18901213009672799</v>
      </c>
      <c r="BZ43" s="3">
        <f ca="1">IFERROR(__xludf.DUMMYFUNCTION("""COMPUTED_VALUE"""),0.292736285517227)</f>
        <v>0.29273628551722702</v>
      </c>
      <c r="CA43" s="3">
        <f ca="1">IFERROR(__xludf.DUMMYFUNCTION("""COMPUTED_VALUE"""),0.0477950996327247)</f>
        <v>4.77950996327247E-2</v>
      </c>
      <c r="CB43" s="3">
        <f ca="1">IFERROR(__xludf.DUMMYFUNCTION("""COMPUTED_VALUE"""),-0.0687936494305953)</f>
        <v>-6.8793649430595294E-2</v>
      </c>
      <c r="CC43" s="3">
        <f ca="1">IFERROR(__xludf.DUMMYFUNCTION("""COMPUTED_VALUE"""),0.0254804177111338)</f>
        <v>2.5480417711133799E-2</v>
      </c>
      <c r="CD43" s="3">
        <f ca="1">IFERROR(__xludf.DUMMYFUNCTION("""COMPUTED_VALUE"""),-0.0308768677649785)</f>
        <v>-3.0876867764978499E-2</v>
      </c>
      <c r="CE43" s="3">
        <f ca="1">IFERROR(__xludf.DUMMYFUNCTION("""COMPUTED_VALUE"""),-0.00286173703397663)</f>
        <v>-2.8617370339766302E-3</v>
      </c>
      <c r="CF43" s="3">
        <f ca="1">IFERROR(__xludf.DUMMYFUNCTION("""COMPUTED_VALUE"""),0.0441055835345847)</f>
        <v>4.41055835345847E-2</v>
      </c>
      <c r="CG43" s="3">
        <f ca="1">IFERROR(__xludf.DUMMYFUNCTION("""COMPUTED_VALUE"""),0.273121605126783)</f>
        <v>0.27312160512678302</v>
      </c>
      <c r="CH43" s="3">
        <f ca="1">IFERROR(__xludf.DUMMYFUNCTION("""COMPUTED_VALUE"""),-0.0321572030344293)</f>
        <v>-3.2157203034429302E-2</v>
      </c>
      <c r="CI43" s="3">
        <f ca="1">IFERROR(__xludf.DUMMYFUNCTION("""COMPUTED_VALUE"""),-0.0469172013318001)</f>
        <v>-4.69172013318001E-2</v>
      </c>
      <c r="CJ43" s="3">
        <f ca="1">IFERROR(__xludf.DUMMYFUNCTION("""COMPUTED_VALUE"""),-0.0368087979005411)</f>
        <v>-3.6808797900541097E-2</v>
      </c>
      <c r="CK43" s="3">
        <f ca="1">IFERROR(__xludf.DUMMYFUNCTION("""COMPUTED_VALUE"""),-0.0642689411763163)</f>
        <v>-6.4268941176316305E-2</v>
      </c>
      <c r="CL43" s="3">
        <f ca="1">IFERROR(__xludf.DUMMYFUNCTION("""COMPUTED_VALUE"""),-0.0133015527724444)</f>
        <v>-1.33015527724444E-2</v>
      </c>
      <c r="CM43" s="3">
        <f ca="1">IFERROR(__xludf.DUMMYFUNCTION("""COMPUTED_VALUE"""),0.0641822488403855)</f>
        <v>6.4182248840385495E-2</v>
      </c>
      <c r="CN43" s="3">
        <f ca="1">IFERROR(__xludf.DUMMYFUNCTION("""COMPUTED_VALUE"""),0.00189004255873959)</f>
        <v>1.8900425587395899E-3</v>
      </c>
      <c r="CO43" s="3">
        <f ca="1">IFERROR(__xludf.DUMMYFUNCTION("""COMPUTED_VALUE"""),-0.037758035772046)</f>
        <v>-3.7758035772045999E-2</v>
      </c>
      <c r="CP43" s="3">
        <f ca="1">IFERROR(__xludf.DUMMYFUNCTION("""COMPUTED_VALUE"""),0.0966921415247414)</f>
        <v>9.6692141524741398E-2</v>
      </c>
      <c r="CQ43" s="3">
        <f ca="1">IFERROR(__xludf.DUMMYFUNCTION("""COMPUTED_VALUE"""),0.0557953283972183)</f>
        <v>5.5795328397218298E-2</v>
      </c>
      <c r="CR43" s="3">
        <f ca="1">IFERROR(__xludf.DUMMYFUNCTION("""COMPUTED_VALUE"""),0.183875124012958)</f>
        <v>0.183875124012958</v>
      </c>
      <c r="CS43" s="3">
        <f ca="1">IFERROR(__xludf.DUMMYFUNCTION("""COMPUTED_VALUE"""),-0.050187220886842)</f>
        <v>-5.0187220886842E-2</v>
      </c>
      <c r="CT43" s="3">
        <f ca="1">IFERROR(__xludf.DUMMYFUNCTION("""COMPUTED_VALUE"""),-0.0164264264040961)</f>
        <v>-1.6426426404096101E-2</v>
      </c>
      <c r="CU43" s="3">
        <f ca="1">IFERROR(__xludf.DUMMYFUNCTION("""COMPUTED_VALUE"""),-0.0603671461257039)</f>
        <v>-6.0367146125703902E-2</v>
      </c>
      <c r="CV43" s="3">
        <f ca="1">IFERROR(__xludf.DUMMYFUNCTION("""COMPUTED_VALUE"""),-0.319339308147516)</f>
        <v>-0.31933930814751599</v>
      </c>
      <c r="CW43" s="3">
        <f ca="1">IFERROR(__xludf.DUMMYFUNCTION("""COMPUTED_VALUE"""),-0.607387488964225)</f>
        <v>-0.60738748896422501</v>
      </c>
      <c r="CX43" s="3">
        <f ca="1">IFERROR(__xludf.DUMMYFUNCTION("""COMPUTED_VALUE"""),0.018329004746743)</f>
        <v>1.8329004746743E-2</v>
      </c>
      <c r="CY43" s="3">
        <f ca="1">IFERROR(__xludf.DUMMYFUNCTION("""COMPUTED_VALUE"""),0.592844970667916)</f>
        <v>0.59284497066791597</v>
      </c>
      <c r="CZ43" s="3">
        <f ca="1">IFERROR(__xludf.DUMMYFUNCTION("""COMPUTED_VALUE"""),0.0793384116670545)</f>
        <v>7.9338411667054506E-2</v>
      </c>
      <c r="DA43" s="3">
        <f ca="1">IFERROR(__xludf.DUMMYFUNCTION("""COMPUTED_VALUE"""),-0.0744306038697996)</f>
        <v>-7.4430603869799605E-2</v>
      </c>
      <c r="DB43" s="3">
        <f ca="1">IFERROR(__xludf.DUMMYFUNCTION("""COMPUTED_VALUE"""),-0.0349145901701295)</f>
        <v>-3.4914590170129503E-2</v>
      </c>
      <c r="DC43" s="3">
        <f ca="1">IFERROR(__xludf.DUMMYFUNCTION("""COMPUTED_VALUE"""),-0.134386099264539)</f>
        <v>-0.13438609926453901</v>
      </c>
      <c r="DD43" s="3">
        <f ca="1">IFERROR(__xludf.DUMMYFUNCTION("""COMPUTED_VALUE"""),-0.668269601033612)</f>
        <v>-0.66826960103361199</v>
      </c>
      <c r="DE43" s="3">
        <f ca="1">IFERROR(__xludf.DUMMYFUNCTION("""COMPUTED_VALUE"""),-0.287705422635048)</f>
        <v>-0.287705422635048</v>
      </c>
      <c r="DF43" s="3">
        <f ca="1">IFERROR(__xludf.DUMMYFUNCTION("""COMPUTED_VALUE"""),0.401559336523583)</f>
        <v>0.401559336523583</v>
      </c>
      <c r="DG43" s="3">
        <f ca="1">IFERROR(__xludf.DUMMYFUNCTION("""COMPUTED_VALUE"""),0.128679783576114)</f>
        <v>0.12867978357611401</v>
      </c>
      <c r="DH43" s="3">
        <f ca="1">IFERROR(__xludf.DUMMYFUNCTION("""COMPUTED_VALUE"""),0.0218441901050443)</f>
        <v>2.1844190105044299E-2</v>
      </c>
      <c r="DI43" s="3">
        <f ca="1">IFERROR(__xludf.DUMMYFUNCTION("""COMPUTED_VALUE"""),-0.0252762089168362)</f>
        <v>-2.5276208916836199E-2</v>
      </c>
      <c r="DJ43" s="3">
        <f ca="1">IFERROR(__xludf.DUMMYFUNCTION("""COMPUTED_VALUE"""),-0.0522245291879727)</f>
        <v>-5.2224529187972699E-2</v>
      </c>
      <c r="DK43" s="3">
        <f ca="1">IFERROR(__xludf.DUMMYFUNCTION("""COMPUTED_VALUE"""),0.0482901420240842)</f>
        <v>4.8290142024084201E-2</v>
      </c>
      <c r="DL43" s="3">
        <f ca="1">IFERROR(__xludf.DUMMYFUNCTION("""COMPUTED_VALUE"""),0.0176486832935514)</f>
        <v>1.76486832935514E-2</v>
      </c>
      <c r="DM43" s="3">
        <f ca="1">IFERROR(__xludf.DUMMYFUNCTION("""COMPUTED_VALUE"""),0.188532577803405)</f>
        <v>0.18853257780340499</v>
      </c>
      <c r="DN43" s="3">
        <f ca="1">IFERROR(__xludf.DUMMYFUNCTION("""COMPUTED_VALUE"""),-0.0640315384422113)</f>
        <v>-6.4031538442211294E-2</v>
      </c>
      <c r="DO43" s="3">
        <f ca="1">IFERROR(__xludf.DUMMYFUNCTION("""COMPUTED_VALUE"""),-0.189534092321381)</f>
        <v>-0.18953409232138099</v>
      </c>
      <c r="DP43" s="3">
        <f ca="1">IFERROR(__xludf.DUMMYFUNCTION("""COMPUTED_VALUE"""),-0.0566859675969105)</f>
        <v>-5.6685967596910497E-2</v>
      </c>
      <c r="DQ43" s="3">
        <f ca="1">IFERROR(__xludf.DUMMYFUNCTION("""COMPUTED_VALUE"""),-0.152510229984532)</f>
        <v>-0.15251022998453201</v>
      </c>
      <c r="DR43" s="3">
        <f ca="1">IFERROR(__xludf.DUMMYFUNCTION("""COMPUTED_VALUE"""),-0.178524655822377)</f>
        <v>-0.178524655822377</v>
      </c>
      <c r="DS43" s="3">
        <f ca="1">IFERROR(__xludf.DUMMYFUNCTION("""COMPUTED_VALUE"""),-0.132419108549596)</f>
        <v>-0.13241910854959599</v>
      </c>
      <c r="DT43" s="3">
        <f ca="1">IFERROR(__xludf.DUMMYFUNCTION("""COMPUTED_VALUE"""),-0.256154815297077)</f>
        <v>-0.25615481529707701</v>
      </c>
      <c r="DU43" s="3">
        <f ca="1">IFERROR(__xludf.DUMMYFUNCTION("""COMPUTED_VALUE"""),-0.287545272422011)</f>
        <v>-0.287545272422011</v>
      </c>
      <c r="DV43" s="3">
        <f ca="1">IFERROR(__xludf.DUMMYFUNCTION("""COMPUTED_VALUE"""),-0.231580905543858)</f>
        <v>-0.23158090554385799</v>
      </c>
      <c r="DW43" s="3">
        <f ca="1">IFERROR(__xludf.DUMMYFUNCTION("""COMPUTED_VALUE"""),-0.140940966562804)</f>
        <v>-0.140940966562804</v>
      </c>
      <c r="DX43" s="3">
        <f ca="1">IFERROR(__xludf.DUMMYFUNCTION("""COMPUTED_VALUE"""),-0.256610490409997)</f>
        <v>-0.25661049040999701</v>
      </c>
      <c r="DY43" s="3">
        <f ca="1">IFERROR(__xludf.DUMMYFUNCTION("""COMPUTED_VALUE"""),-0.206636699464469)</f>
        <v>-0.206636699464469</v>
      </c>
      <c r="DZ43" s="3">
        <f ca="1">IFERROR(__xludf.DUMMYFUNCTION("""COMPUTED_VALUE"""),-0.119464432763273)</f>
        <v>-0.119464432763273</v>
      </c>
      <c r="EA43" s="3">
        <f ca="1">IFERROR(__xludf.DUMMYFUNCTION("""COMPUTED_VALUE"""),-0.267439490117396)</f>
        <v>-0.26743949011739598</v>
      </c>
      <c r="EB43" s="3">
        <f ca="1">IFERROR(__xludf.DUMMYFUNCTION("""COMPUTED_VALUE"""),-0.276308922362383)</f>
        <v>-0.27630892236238302</v>
      </c>
      <c r="EC43" s="3">
        <f ca="1">IFERROR(__xludf.DUMMYFUNCTION("""COMPUTED_VALUE"""),-0.239203412808475)</f>
        <v>-0.23920341280847501</v>
      </c>
      <c r="ED43" s="3">
        <f ca="1">IFERROR(__xludf.DUMMYFUNCTION("""COMPUTED_VALUE"""),-0.190772965322082)</f>
        <v>-0.19077296532208199</v>
      </c>
      <c r="EE43" s="3">
        <f ca="1">IFERROR(__xludf.DUMMYFUNCTION("""COMPUTED_VALUE"""),-0.332301444276012)</f>
        <v>-0.33230144427601199</v>
      </c>
      <c r="EF43" s="3">
        <f ca="1">IFERROR(__xludf.DUMMYFUNCTION("""COMPUTED_VALUE"""),-0.312229487539646)</f>
        <v>-0.31222948753964602</v>
      </c>
      <c r="EG43" s="3">
        <f ca="1">IFERROR(__xludf.DUMMYFUNCTION("""COMPUTED_VALUE"""),-0.237872246976306)</f>
        <v>-0.23787224697630599</v>
      </c>
      <c r="EH43" s="3">
        <f ca="1">IFERROR(__xludf.DUMMYFUNCTION("""COMPUTED_VALUE"""),-0.376737461626856)</f>
        <v>-0.37673746162685601</v>
      </c>
      <c r="EI43" s="3">
        <f ca="1">IFERROR(__xludf.DUMMYFUNCTION("""COMPUTED_VALUE"""),-0.328226051862619)</f>
        <v>-0.32822605186261899</v>
      </c>
      <c r="EJ43" s="3">
        <f ca="1">IFERROR(__xludf.DUMMYFUNCTION("""COMPUTED_VALUE"""),-0.345726575799017)</f>
        <v>-0.345726575799017</v>
      </c>
      <c r="EK43" s="3">
        <f ca="1">IFERROR(__xludf.DUMMYFUNCTION("""COMPUTED_VALUE"""),-0.410252256560065)</f>
        <v>-0.41025225656006498</v>
      </c>
      <c r="EL43" s="3">
        <f ca="1">IFERROR(__xludf.DUMMYFUNCTION("""COMPUTED_VALUE"""),-0.543068198036545)</f>
        <v>-0.54306819803654505</v>
      </c>
      <c r="EM43" s="3">
        <f ca="1">IFERROR(__xludf.DUMMYFUNCTION("""COMPUTED_VALUE"""),-0.310525651312379)</f>
        <v>-0.31052565131237903</v>
      </c>
      <c r="EN43" s="3">
        <f ca="1">IFERROR(__xludf.DUMMYFUNCTION("""COMPUTED_VALUE"""),-0.303420426367785)</f>
        <v>-0.30342042636778499</v>
      </c>
      <c r="EO43" s="3">
        <f ca="1">IFERROR(__xludf.DUMMYFUNCTION("""COMPUTED_VALUE"""),-0.34554879377301)</f>
        <v>-0.34554879377301001</v>
      </c>
      <c r="EP43" s="3">
        <f ca="1">IFERROR(__xludf.DUMMYFUNCTION("""COMPUTED_VALUE"""),-0.34000160236167)</f>
        <v>-0.34000160236166999</v>
      </c>
      <c r="EQ43" s="3">
        <f ca="1">IFERROR(__xludf.DUMMYFUNCTION("""COMPUTED_VALUE"""),-0.237958883412521)</f>
        <v>-0.237958883412521</v>
      </c>
      <c r="ER43" s="3">
        <f ca="1">IFERROR(__xludf.DUMMYFUNCTION("""COMPUTED_VALUE"""),-0.546114714549607)</f>
        <v>-0.54611471454960703</v>
      </c>
      <c r="ES43" s="3">
        <f ca="1">IFERROR(__xludf.DUMMYFUNCTION("""COMPUTED_VALUE"""),-0.547685858413011)</f>
        <v>-0.54768585841301098</v>
      </c>
      <c r="ET43" s="3">
        <f ca="1">IFERROR(__xludf.DUMMYFUNCTION("""COMPUTED_VALUE"""),-0.391919937099156)</f>
        <v>-0.39191993709915601</v>
      </c>
      <c r="EU43" s="3">
        <f ca="1">IFERROR(__xludf.DUMMYFUNCTION("""COMPUTED_VALUE"""),-0.321332873015106)</f>
        <v>-0.32133287301510599</v>
      </c>
      <c r="EV43" s="3">
        <f ca="1">IFERROR(__xludf.DUMMYFUNCTION("""COMPUTED_VALUE"""),-0.659632574486487)</f>
        <v>-0.65963257448648704</v>
      </c>
      <c r="EW43" s="3">
        <f ca="1">IFERROR(__xludf.DUMMYFUNCTION("""COMPUTED_VALUE"""),-0.258409034726414)</f>
        <v>-0.25840903472641402</v>
      </c>
      <c r="EX43" s="3">
        <f ca="1">IFERROR(__xludf.DUMMYFUNCTION("""COMPUTED_VALUE"""),-0.190160897106635)</f>
        <v>-0.190160897106635</v>
      </c>
      <c r="EY43" s="3">
        <f ca="1">IFERROR(__xludf.DUMMYFUNCTION("""COMPUTED_VALUE"""),-0.515555620120296)</f>
        <v>-0.51555562012029599</v>
      </c>
      <c r="EZ43" s="3">
        <f ca="1">IFERROR(__xludf.DUMMYFUNCTION("""COMPUTED_VALUE"""),-0.593040460590757)</f>
        <v>-0.59304046059075699</v>
      </c>
      <c r="FA43" s="3">
        <f ca="1">IFERROR(__xludf.DUMMYFUNCTION("""COMPUTED_VALUE"""),-0.280783505342902)</f>
        <v>-0.28078350534290197</v>
      </c>
      <c r="FB43" s="3">
        <f ca="1">IFERROR(__xludf.DUMMYFUNCTION("""COMPUTED_VALUE"""),-0.337330027903468)</f>
        <v>-0.337330027903468</v>
      </c>
      <c r="FC43" s="3">
        <f ca="1">IFERROR(__xludf.DUMMYFUNCTION("""COMPUTED_VALUE"""),-0.377167864807504)</f>
        <v>-0.37716786480750403</v>
      </c>
      <c r="FD43" s="3">
        <f ca="1">IFERROR(__xludf.DUMMYFUNCTION("""COMPUTED_VALUE"""),-0.330332480018024)</f>
        <v>-0.33033248001802401</v>
      </c>
      <c r="FE43" s="3">
        <f ca="1">IFERROR(__xludf.DUMMYFUNCTION("""COMPUTED_VALUE"""),-0.164896449157899)</f>
        <v>-0.164896449157899</v>
      </c>
      <c r="FF43" s="3">
        <f ca="1">IFERROR(__xludf.DUMMYFUNCTION("""COMPUTED_VALUE"""),-0.614714823717954)</f>
        <v>-0.61471482371795405</v>
      </c>
      <c r="FG43" s="3">
        <f ca="1">IFERROR(__xludf.DUMMYFUNCTION("""COMPUTED_VALUE"""),-0.685802630911166)</f>
        <v>-0.685802630911166</v>
      </c>
      <c r="FH43" s="3">
        <f ca="1">IFERROR(__xludf.DUMMYFUNCTION("""COMPUTED_VALUE"""),-0.638930110172747)</f>
        <v>-0.63893011017274703</v>
      </c>
      <c r="FI43" s="3">
        <f ca="1">IFERROR(__xludf.DUMMYFUNCTION("""COMPUTED_VALUE"""),0.0509625579162313)</f>
        <v>5.0962557916231298E-2</v>
      </c>
      <c r="FJ43" s="3">
        <f ca="1">IFERROR(__xludf.DUMMYFUNCTION("""COMPUTED_VALUE"""),-0.0407454051414925)</f>
        <v>-4.0745405141492497E-2</v>
      </c>
      <c r="FK43" s="3">
        <f ca="1">IFERROR(__xludf.DUMMYFUNCTION("""COMPUTED_VALUE"""),-0.0331986286212233)</f>
        <v>-3.3198628621223303E-2</v>
      </c>
      <c r="FL43" s="3">
        <f ca="1">IFERROR(__xludf.DUMMYFUNCTION("""COMPUTED_VALUE"""),-0.0109542632234468)</f>
        <v>-1.09542632234468E-2</v>
      </c>
      <c r="FM43" s="3">
        <f ca="1">IFERROR(__xludf.DUMMYFUNCTION("""COMPUTED_VALUE"""),0.0339488903196267)</f>
        <v>3.3948890319626703E-2</v>
      </c>
      <c r="FN43" s="3">
        <f ca="1">IFERROR(__xludf.DUMMYFUNCTION("""COMPUTED_VALUE"""),0.0323391655674714)</f>
        <v>3.2339165567471399E-2</v>
      </c>
      <c r="FO43" s="3">
        <f ca="1">IFERROR(__xludf.DUMMYFUNCTION("""COMPUTED_VALUE"""),-0.203314866781752)</f>
        <v>-0.20331486678175201</v>
      </c>
      <c r="FP43" s="3">
        <f ca="1">IFERROR(__xludf.DUMMYFUNCTION("""COMPUTED_VALUE"""),-0.157914449247118)</f>
        <v>-0.15791444924711801</v>
      </c>
      <c r="FQ43" s="3">
        <f ca="1">IFERROR(__xludf.DUMMYFUNCTION("""COMPUTED_VALUE"""),-0.0612749229523665)</f>
        <v>-6.1274922952366501E-2</v>
      </c>
      <c r="FR43" s="3">
        <f ca="1">IFERROR(__xludf.DUMMYFUNCTION("""COMPUTED_VALUE"""),0.0130581483068161)</f>
        <v>1.3058148306816101E-2</v>
      </c>
      <c r="FS43" s="3">
        <f ca="1">IFERROR(__xludf.DUMMYFUNCTION("""COMPUTED_VALUE"""),0.0568386968122105)</f>
        <v>5.6838696812210501E-2</v>
      </c>
      <c r="FT43" s="3">
        <f ca="1">IFERROR(__xludf.DUMMYFUNCTION("""COMPUTED_VALUE"""),0.0679883525466691)</f>
        <v>6.7988352546669101E-2</v>
      </c>
      <c r="FU43" s="3">
        <f ca="1">IFERROR(__xludf.DUMMYFUNCTION("""COMPUTED_VALUE"""),-0.0274049919524725)</f>
        <v>-2.74049919524725E-2</v>
      </c>
      <c r="FV43" s="3">
        <f ca="1">IFERROR(__xludf.DUMMYFUNCTION("""COMPUTED_VALUE"""),-0.0789147373041068)</f>
        <v>-7.8914737304106794E-2</v>
      </c>
      <c r="FW43" s="3">
        <f ca="1">IFERROR(__xludf.DUMMYFUNCTION("""COMPUTED_VALUE"""),-0.106021386644496)</f>
        <v>-0.10602138664449599</v>
      </c>
      <c r="FX43" s="3">
        <f ca="1">IFERROR(__xludf.DUMMYFUNCTION("""COMPUTED_VALUE"""),-0.113437358898388)</f>
        <v>-0.113437358898388</v>
      </c>
      <c r="FY43" s="3">
        <f ca="1">IFERROR(__xludf.DUMMYFUNCTION("""COMPUTED_VALUE"""),-0.0969719579222674)</f>
        <v>-9.6971957922267399E-2</v>
      </c>
      <c r="FZ43" s="3">
        <f ca="1">IFERROR(__xludf.DUMMYFUNCTION("""COMPUTED_VALUE"""),-0.0626597842326708)</f>
        <v>-6.2659784232670795E-2</v>
      </c>
      <c r="GA43" s="3">
        <f ca="1">IFERROR(__xludf.DUMMYFUNCTION("""COMPUTED_VALUE"""),-0.156914294384939)</f>
        <v>-0.15691429438493901</v>
      </c>
      <c r="GB43" s="3">
        <f ca="1">IFERROR(__xludf.DUMMYFUNCTION("""COMPUTED_VALUE"""),-0.0633040435382159)</f>
        <v>-6.3304043538215907E-2</v>
      </c>
      <c r="GC43" s="3">
        <f ca="1">IFERROR(__xludf.DUMMYFUNCTION("""COMPUTED_VALUE"""),-0.058138998165068)</f>
        <v>-5.8138998165067998E-2</v>
      </c>
      <c r="GD43" s="3">
        <f ca="1">IFERROR(__xludf.DUMMYFUNCTION("""COMPUTED_VALUE"""),-0.090697064861324)</f>
        <v>-9.0697064861324006E-2</v>
      </c>
      <c r="GE43" s="3">
        <f ca="1">IFERROR(__xludf.DUMMYFUNCTION("""COMPUTED_VALUE"""),-0.0723776962619203)</f>
        <v>-7.2377696261920296E-2</v>
      </c>
      <c r="GF43" s="3">
        <f ca="1">IFERROR(__xludf.DUMMYFUNCTION("""COMPUTED_VALUE"""),-0.0358398991840434)</f>
        <v>-3.58398991840434E-2</v>
      </c>
      <c r="GG43" s="3">
        <f ca="1">IFERROR(__xludf.DUMMYFUNCTION("""COMPUTED_VALUE"""),-0.00599155936826023)</f>
        <v>-5.9915593682602301E-3</v>
      </c>
      <c r="GH43" s="3">
        <f ca="1">IFERROR(__xludf.DUMMYFUNCTION("""COMPUTED_VALUE"""),-0.168396806943288)</f>
        <v>-0.16839680694328801</v>
      </c>
      <c r="GI43" s="3">
        <f ca="1">IFERROR(__xludf.DUMMYFUNCTION("""COMPUTED_VALUE"""),-0.0467276535118579)</f>
        <v>-4.6727653511857897E-2</v>
      </c>
      <c r="GJ43" s="3">
        <f ca="1">IFERROR(__xludf.DUMMYFUNCTION("""COMPUTED_VALUE"""),-0.17252084666849)</f>
        <v>-0.17252084666848999</v>
      </c>
      <c r="GK43" s="3">
        <f ca="1">IFERROR(__xludf.DUMMYFUNCTION("""COMPUTED_VALUE"""),-0.114176064418986)</f>
        <v>-0.11417606441898601</v>
      </c>
      <c r="GL43" s="3">
        <f ca="1">IFERROR(__xludf.DUMMYFUNCTION("""COMPUTED_VALUE"""),0.0236518188770671)</f>
        <v>2.3651818877067101E-2</v>
      </c>
      <c r="GM43" s="3">
        <f ca="1">IFERROR(__xludf.DUMMYFUNCTION("""COMPUTED_VALUE"""),-0.132533477697761)</f>
        <v>-0.132533477697761</v>
      </c>
      <c r="GN43" s="3">
        <f ca="1">IFERROR(__xludf.DUMMYFUNCTION("""COMPUTED_VALUE"""),-0.0247119098519107)</f>
        <v>-2.4711909851910699E-2</v>
      </c>
      <c r="GO43" s="3">
        <f ca="1">IFERROR(__xludf.DUMMYFUNCTION("""COMPUTED_VALUE"""),-0.167033523036847)</f>
        <v>-0.16703352303684699</v>
      </c>
      <c r="GP43" s="3">
        <f ca="1">IFERROR(__xludf.DUMMYFUNCTION("""COMPUTED_VALUE"""),0.00658277728537637)</f>
        <v>6.5827772853763698E-3</v>
      </c>
      <c r="GQ43" s="3">
        <f ca="1">IFERROR(__xludf.DUMMYFUNCTION("""COMPUTED_VALUE"""),0.0174886443833004)</f>
        <v>1.7488644383300399E-2</v>
      </c>
      <c r="GR43" s="3">
        <f ca="1">IFERROR(__xludf.DUMMYFUNCTION("""COMPUTED_VALUE"""),0.0309614422868911)</f>
        <v>3.09614422868911E-2</v>
      </c>
      <c r="GS43" s="3">
        <f ca="1">IFERROR(__xludf.DUMMYFUNCTION("""COMPUTED_VALUE"""),0.0715948021441159)</f>
        <v>7.1594802144115899E-2</v>
      </c>
      <c r="GT43" s="3">
        <f ca="1">IFERROR(__xludf.DUMMYFUNCTION("""COMPUTED_VALUE"""),-0.0684830748810453)</f>
        <v>-6.8483074881045297E-2</v>
      </c>
      <c r="GU43" s="3">
        <f ca="1">IFERROR(__xludf.DUMMYFUNCTION("""COMPUTED_VALUE"""),0.107428015759135)</f>
        <v>0.10742801575913501</v>
      </c>
      <c r="GV43" s="3">
        <f ca="1">IFERROR(__xludf.DUMMYFUNCTION("""COMPUTED_VALUE"""),-0.129334361485227)</f>
        <v>-0.12933436148522701</v>
      </c>
      <c r="GW43" s="3">
        <f ca="1">IFERROR(__xludf.DUMMYFUNCTION("""COMPUTED_VALUE"""),0.0845301968877496)</f>
        <v>8.4530196887749598E-2</v>
      </c>
      <c r="GX43" s="3">
        <f ca="1">IFERROR(__xludf.DUMMYFUNCTION("""COMPUTED_VALUE"""),0.0600844711893382)</f>
        <v>6.0084471189338198E-2</v>
      </c>
      <c r="GY43" s="3">
        <f ca="1">IFERROR(__xludf.DUMMYFUNCTION("""COMPUTED_VALUE"""),0.132182759367017)</f>
        <v>0.13218275936701701</v>
      </c>
      <c r="GZ43" s="3">
        <f ca="1">IFERROR(__xludf.DUMMYFUNCTION("""COMPUTED_VALUE"""),0.0872258930033038)</f>
        <v>8.72258930033038E-2</v>
      </c>
      <c r="HA43" s="3">
        <f ca="1">IFERROR(__xludf.DUMMYFUNCTION("""COMPUTED_VALUE"""),0.119266531971532)</f>
        <v>0.119266531971532</v>
      </c>
      <c r="HB43" s="3">
        <f ca="1">IFERROR(__xludf.DUMMYFUNCTION("""COMPUTED_VALUE"""),0.129265221613986)</f>
        <v>0.12926522161398599</v>
      </c>
      <c r="HC43" s="3">
        <f ca="1">IFERROR(__xludf.DUMMYFUNCTION("""COMPUTED_VALUE"""),-0.0281933140931071)</f>
        <v>-2.8193314093107099E-2</v>
      </c>
      <c r="HD43" s="3">
        <f ca="1">IFERROR(__xludf.DUMMYFUNCTION("""COMPUTED_VALUE"""),0.120563655441336)</f>
        <v>0.120563655441336</v>
      </c>
      <c r="HE43" s="3">
        <f ca="1">IFERROR(__xludf.DUMMYFUNCTION("""COMPUTED_VALUE"""),0.0785674906131461)</f>
        <v>7.8567490613146093E-2</v>
      </c>
      <c r="HF43" s="3">
        <f ca="1">IFERROR(__xludf.DUMMYFUNCTION("""COMPUTED_VALUE"""),0.0641944699505789)</f>
        <v>6.4194469950578897E-2</v>
      </c>
      <c r="HG43" s="3">
        <f ca="1">IFERROR(__xludf.DUMMYFUNCTION("""COMPUTED_VALUE"""),0.0677748456466871)</f>
        <v>6.7774845646687107E-2</v>
      </c>
      <c r="HH43" s="3">
        <f ca="1">IFERROR(__xludf.DUMMYFUNCTION("""COMPUTED_VALUE"""),0.177681507704365)</f>
        <v>0.177681507704365</v>
      </c>
      <c r="HI43" s="3">
        <f ca="1">IFERROR(__xludf.DUMMYFUNCTION("""COMPUTED_VALUE"""),0.172647656218843)</f>
        <v>0.17264765621884301</v>
      </c>
      <c r="HJ43" s="3">
        <f ca="1">IFERROR(__xludf.DUMMYFUNCTION("""COMPUTED_VALUE"""),-0.0256353964890936)</f>
        <v>-2.56353964890936E-2</v>
      </c>
      <c r="HK43" s="3">
        <f ca="1">IFERROR(__xludf.DUMMYFUNCTION("""COMPUTED_VALUE"""),0.0666220859831507)</f>
        <v>6.6622085983150697E-2</v>
      </c>
      <c r="HL43" s="3">
        <f ca="1">IFERROR(__xludf.DUMMYFUNCTION("""COMPUTED_VALUE"""),0.224119463775487)</f>
        <v>0.224119463775487</v>
      </c>
      <c r="HM43" s="3">
        <f ca="1">IFERROR(__xludf.DUMMYFUNCTION("""COMPUTED_VALUE"""),0.210629864485643)</f>
        <v>0.210629864485643</v>
      </c>
      <c r="HN43" s="3">
        <f ca="1">IFERROR(__xludf.DUMMYFUNCTION("""COMPUTED_VALUE"""),0.219384017107937)</f>
        <v>0.21938401710793701</v>
      </c>
      <c r="HO43" s="3">
        <f ca="1">IFERROR(__xludf.DUMMYFUNCTION("""COMPUTED_VALUE"""),0.211528075083555)</f>
        <v>0.21152807508355501</v>
      </c>
      <c r="HP43" s="3">
        <f ca="1">IFERROR(__xludf.DUMMYFUNCTION("""COMPUTED_VALUE"""),-0.0217562260454559)</f>
        <v>-2.1756226045455899E-2</v>
      </c>
      <c r="HQ43" s="3">
        <f ca="1">IFERROR(__xludf.DUMMYFUNCTION("""COMPUTED_VALUE"""),-0.0702614760047227)</f>
        <v>-7.0261476004722698E-2</v>
      </c>
      <c r="HR43" s="3">
        <f ca="1">IFERROR(__xludf.DUMMYFUNCTION("""COMPUTED_VALUE"""),-0.0795605988945261)</f>
        <v>-7.9560598894526102E-2</v>
      </c>
      <c r="HS43" s="3">
        <f ca="1">IFERROR(__xludf.DUMMYFUNCTION("""COMPUTED_VALUE"""),0.0076733567322893)</f>
        <v>7.6733567322892996E-3</v>
      </c>
      <c r="HT43" s="3">
        <f ca="1">IFERROR(__xludf.DUMMYFUNCTION("""COMPUTED_VALUE"""),0.00411353062958452)</f>
        <v>4.1135306295845197E-3</v>
      </c>
      <c r="HU43" s="3">
        <f ca="1">IFERROR(__xludf.DUMMYFUNCTION("""COMPUTED_VALUE"""),0.0567234200220669)</f>
        <v>5.67234200220669E-2</v>
      </c>
      <c r="HV43" s="3">
        <f ca="1">IFERROR(__xludf.DUMMYFUNCTION("""COMPUTED_VALUE"""),-0.00780370798197849)</f>
        <v>-7.8037079819784898E-3</v>
      </c>
      <c r="HW43" s="3">
        <f ca="1">IFERROR(__xludf.DUMMYFUNCTION("""COMPUTED_VALUE"""),0.0559622498653649)</f>
        <v>5.5962249865364903E-2</v>
      </c>
      <c r="HX43" s="3">
        <f ca="1">IFERROR(__xludf.DUMMYFUNCTION("""COMPUTED_VALUE"""),0.023204035706803)</f>
        <v>2.3204035706802999E-2</v>
      </c>
      <c r="HY43" s="3">
        <f ca="1">IFERROR(__xludf.DUMMYFUNCTION("""COMPUTED_VALUE"""),0.120829564222257)</f>
        <v>0.120829564222257</v>
      </c>
      <c r="HZ43" s="3">
        <f ca="1">IFERROR(__xludf.DUMMYFUNCTION("""COMPUTED_VALUE"""),0.0911414832967147)</f>
        <v>9.1141483296714704E-2</v>
      </c>
      <c r="IA43" s="3">
        <f ca="1">IFERROR(__xludf.DUMMYFUNCTION("""COMPUTED_VALUE"""),0.0969541314824891)</f>
        <v>9.6954131482489103E-2</v>
      </c>
      <c r="IB43" s="3">
        <f ca="1">IFERROR(__xludf.DUMMYFUNCTION("""COMPUTED_VALUE"""),0.125494762494946)</f>
        <v>0.12549476249494601</v>
      </c>
      <c r="IC43" s="3">
        <f ca="1">IFERROR(__xludf.DUMMYFUNCTION("""COMPUTED_VALUE"""),0.291818732783647)</f>
        <v>0.29181873278364701</v>
      </c>
      <c r="ID43" s="3">
        <f ca="1">IFERROR(__xludf.DUMMYFUNCTION("""COMPUTED_VALUE"""),0.215755394958027)</f>
        <v>0.21575539495802701</v>
      </c>
      <c r="IE43" s="3">
        <f ca="1">IFERROR(__xludf.DUMMYFUNCTION("""COMPUTED_VALUE"""),0.161846410995836)</f>
        <v>0.16184641099583599</v>
      </c>
      <c r="IF43" s="3">
        <f ca="1">IFERROR(__xludf.DUMMYFUNCTION("""COMPUTED_VALUE"""),0.374075098038067)</f>
        <v>0.37407509803806699</v>
      </c>
      <c r="IG43" s="3">
        <f ca="1">IFERROR(__xludf.DUMMYFUNCTION("""COMPUTED_VALUE"""),0.0585457001917608)</f>
        <v>5.8545700191760801E-2</v>
      </c>
      <c r="IH43" s="3">
        <f ca="1">IFERROR(__xludf.DUMMYFUNCTION("""COMPUTED_VALUE"""),0.158572538895755)</f>
        <v>0.15857253889575501</v>
      </c>
      <c r="II43" s="3">
        <f ca="1">IFERROR(__xludf.DUMMYFUNCTION("""COMPUTED_VALUE"""),0.227926258783703)</f>
        <v>0.22792625878370301</v>
      </c>
      <c r="IJ43" s="3">
        <f ca="1">IFERROR(__xludf.DUMMYFUNCTION("""COMPUTED_VALUE"""),0.284964211247741)</f>
        <v>0.28496421124774102</v>
      </c>
      <c r="IK43" s="3">
        <f ca="1">IFERROR(__xludf.DUMMYFUNCTION("""COMPUTED_VALUE"""),0.347448768209215)</f>
        <v>0.347448768209215</v>
      </c>
      <c r="IL43" s="3">
        <f ca="1">IFERROR(__xludf.DUMMYFUNCTION("""COMPUTED_VALUE"""),0.159472461318624)</f>
        <v>0.159472461318624</v>
      </c>
      <c r="IM43" s="3">
        <f ca="1">IFERROR(__xludf.DUMMYFUNCTION("""COMPUTED_VALUE"""),0.358864595805287)</f>
        <v>0.35886459580528701</v>
      </c>
      <c r="IN43" s="3">
        <f ca="1">IFERROR(__xludf.DUMMYFUNCTION("""COMPUTED_VALUE"""),0.141082127308745)</f>
        <v>0.141082127308745</v>
      </c>
      <c r="IO43" s="3">
        <f ca="1">IFERROR(__xludf.DUMMYFUNCTION("""COMPUTED_VALUE"""),0.222993248782387)</f>
        <v>0.22299324878238699</v>
      </c>
      <c r="IP43" s="3">
        <f ca="1">IFERROR(__xludf.DUMMYFUNCTION("""COMPUTED_VALUE"""),0.290352596302043)</f>
        <v>0.29035259630204302</v>
      </c>
      <c r="IQ43" s="3">
        <f ca="1">IFERROR(__xludf.DUMMYFUNCTION("""COMPUTED_VALUE"""),0.229200358277085)</f>
        <v>0.22920035827708499</v>
      </c>
      <c r="IR43" s="3">
        <f ca="1">IFERROR(__xludf.DUMMYFUNCTION("""COMPUTED_VALUE"""),0.290001246947241)</f>
        <v>0.290001246947241</v>
      </c>
      <c r="IS43" s="3">
        <f ca="1">IFERROR(__xludf.DUMMYFUNCTION("""COMPUTED_VALUE"""),0.0901855161106353)</f>
        <v>9.01855161106353E-2</v>
      </c>
      <c r="IT43" s="3">
        <f ca="1">IFERROR(__xludf.DUMMYFUNCTION("""COMPUTED_VALUE"""),0.391801683103719)</f>
        <v>0.39180168310371899</v>
      </c>
      <c r="IU43" s="3">
        <f ca="1">IFERROR(__xludf.DUMMYFUNCTION("""COMPUTED_VALUE"""),0.184745057233018)</f>
        <v>0.18474505723301801</v>
      </c>
      <c r="IV43" s="3">
        <f ca="1">IFERROR(__xludf.DUMMYFUNCTION("""COMPUTED_VALUE"""),0.211475236916191)</f>
        <v>0.211475236916191</v>
      </c>
      <c r="IW43" s="3">
        <f ca="1">IFERROR(__xludf.DUMMYFUNCTION("""COMPUTED_VALUE"""),0.381346269722851)</f>
        <v>0.38134626972285102</v>
      </c>
      <c r="IX43" s="3">
        <f ca="1">IFERROR(__xludf.DUMMYFUNCTION("""COMPUTED_VALUE"""),0.254126112982266)</f>
        <v>0.25412611298226601</v>
      </c>
      <c r="IY43" s="3">
        <f ca="1">IFERROR(__xludf.DUMMYFUNCTION("""COMPUTED_VALUE"""),0.309756700077876)</f>
        <v>0.30975670007787598</v>
      </c>
      <c r="IZ43" s="3">
        <f ca="1">IFERROR(__xludf.DUMMYFUNCTION("""COMPUTED_VALUE"""),0.120240896803124)</f>
        <v>0.120240896803124</v>
      </c>
      <c r="JA43" s="3">
        <f ca="1">IFERROR(__xludf.DUMMYFUNCTION("""COMPUTED_VALUE"""),0.243985364735974)</f>
        <v>0.24398536473597399</v>
      </c>
      <c r="JB43" s="3">
        <f ca="1">IFERROR(__xludf.DUMMYFUNCTION("""COMPUTED_VALUE"""),0.250401612979945)</f>
        <v>0.25040161297994501</v>
      </c>
      <c r="JC43" s="3">
        <f ca="1">IFERROR(__xludf.DUMMYFUNCTION("""COMPUTED_VALUE"""),0.163751219264865)</f>
        <v>0.16375121926486499</v>
      </c>
      <c r="JD43" s="3">
        <f ca="1">IFERROR(__xludf.DUMMYFUNCTION("""COMPUTED_VALUE"""),0.161222252443406)</f>
        <v>0.16122225244340599</v>
      </c>
      <c r="JE43" s="3">
        <f ca="1">IFERROR(__xludf.DUMMYFUNCTION("""COMPUTED_VALUE"""),0.147921762364263)</f>
        <v>0.14792176236426299</v>
      </c>
      <c r="JF43" s="3">
        <f ca="1">IFERROR(__xludf.DUMMYFUNCTION("""COMPUTED_VALUE"""),0.179084930024441)</f>
        <v>0.17908493002444101</v>
      </c>
      <c r="JG43" s="3">
        <f ca="1">IFERROR(__xludf.DUMMYFUNCTION("""COMPUTED_VALUE"""),0.158019736315456)</f>
        <v>0.15801973631545599</v>
      </c>
      <c r="JH43" s="3">
        <f ca="1">IFERROR(__xludf.DUMMYFUNCTION("""COMPUTED_VALUE"""),0.199594613758615)</f>
        <v>0.19959461375861501</v>
      </c>
      <c r="JI43" s="3">
        <f ca="1">IFERROR(__xludf.DUMMYFUNCTION("""COMPUTED_VALUE"""),0.283020575109991)</f>
        <v>0.28302057510999101</v>
      </c>
      <c r="JJ43" s="3">
        <f ca="1">IFERROR(__xludf.DUMMYFUNCTION("""COMPUTED_VALUE"""),0.209307706148023)</f>
        <v>0.20930770614802299</v>
      </c>
      <c r="JK43" s="3">
        <f ca="1">IFERROR(__xludf.DUMMYFUNCTION("""COMPUTED_VALUE"""),0.266137536061794)</f>
        <v>0.26613753606179402</v>
      </c>
      <c r="JL43" s="3">
        <f ca="1">IFERROR(__xludf.DUMMYFUNCTION("""COMPUTED_VALUE"""),-0.128380784930921)</f>
        <v>-0.128380784930921</v>
      </c>
      <c r="JM43" s="3">
        <f ca="1">IFERROR(__xludf.DUMMYFUNCTION("""COMPUTED_VALUE"""),0.0199325940325518)</f>
        <v>1.9932594032551799E-2</v>
      </c>
      <c r="JN43" s="3">
        <f ca="1">IFERROR(__xludf.DUMMYFUNCTION("""COMPUTED_VALUE"""),-0.0116902867976349)</f>
        <v>-1.16902867976349E-2</v>
      </c>
      <c r="JO43" s="3">
        <f ca="1">IFERROR(__xludf.DUMMYFUNCTION("""COMPUTED_VALUE"""),-0.0118904751175965)</f>
        <v>-1.18904751175965E-2</v>
      </c>
      <c r="JP43" s="3">
        <f ca="1">IFERROR(__xludf.DUMMYFUNCTION("""COMPUTED_VALUE"""),0.0786134748782054)</f>
        <v>7.86134748782054E-2</v>
      </c>
      <c r="JQ43" s="3">
        <f ca="1">IFERROR(__xludf.DUMMYFUNCTION("""COMPUTED_VALUE"""),0.14728956748117)</f>
        <v>0.14728956748117</v>
      </c>
      <c r="JR43" s="3">
        <f ca="1">IFERROR(__xludf.DUMMYFUNCTION("""COMPUTED_VALUE"""),0.0404526845375334)</f>
        <v>4.0452684537533402E-2</v>
      </c>
      <c r="JS43" s="3">
        <f ca="1">IFERROR(__xludf.DUMMYFUNCTION("""COMPUTED_VALUE"""),-0.0376245645466685)</f>
        <v>-3.7624564546668501E-2</v>
      </c>
      <c r="JT43" s="3">
        <f ca="1">IFERROR(__xludf.DUMMYFUNCTION("""COMPUTED_VALUE"""),-0.0479093294183143)</f>
        <v>-4.79093294183143E-2</v>
      </c>
      <c r="JU43" s="3">
        <f ca="1">IFERROR(__xludf.DUMMYFUNCTION("""COMPUTED_VALUE"""),-0.151350313471755)</f>
        <v>-0.15135031347175501</v>
      </c>
      <c r="JV43" s="3">
        <f ca="1">IFERROR(__xludf.DUMMYFUNCTION("""COMPUTED_VALUE"""),-0.140204459960787)</f>
        <v>-0.14020445996078701</v>
      </c>
      <c r="JW43" s="3">
        <f ca="1">IFERROR(__xludf.DUMMYFUNCTION("""COMPUTED_VALUE"""),-0.144424847586445)</f>
        <v>-0.144424847586445</v>
      </c>
      <c r="JX43" s="3">
        <f ca="1">IFERROR(__xludf.DUMMYFUNCTION("""COMPUTED_VALUE"""),-0.0357727687553572)</f>
        <v>-3.5772768755357197E-2</v>
      </c>
      <c r="JY43" s="3">
        <f ca="1">IFERROR(__xludf.DUMMYFUNCTION("""COMPUTED_VALUE"""),0.00534826645230168)</f>
        <v>5.3482664523016796E-3</v>
      </c>
      <c r="JZ43" s="3">
        <f ca="1">IFERROR(__xludf.DUMMYFUNCTION("""COMPUTED_VALUE"""),0.0128436392416819)</f>
        <v>1.2843639241681901E-2</v>
      </c>
      <c r="KA43" s="3">
        <f ca="1">IFERROR(__xludf.DUMMYFUNCTION("""COMPUTED_VALUE"""),-0.0134156127584204)</f>
        <v>-1.34156127584204E-2</v>
      </c>
      <c r="KB43" s="3">
        <f ca="1">IFERROR(__xludf.DUMMYFUNCTION("""COMPUTED_VALUE"""),-0.187689956245733)</f>
        <v>-0.18768995624573301</v>
      </c>
      <c r="KC43" s="3">
        <f ca="1">IFERROR(__xludf.DUMMYFUNCTION("""COMPUTED_VALUE"""),-0.0477571135575486)</f>
        <v>-4.7757113557548601E-2</v>
      </c>
      <c r="KD43" s="3">
        <f ca="1">IFERROR(__xludf.DUMMYFUNCTION("""COMPUTED_VALUE"""),-0.142560172139046)</f>
        <v>-0.14256017213904601</v>
      </c>
      <c r="KE43" s="3">
        <f ca="1">IFERROR(__xludf.DUMMYFUNCTION("""COMPUTED_VALUE"""),0.017851984114596)</f>
        <v>1.7851984114596001E-2</v>
      </c>
      <c r="KF43" s="3">
        <f ca="1">IFERROR(__xludf.DUMMYFUNCTION("""COMPUTED_VALUE"""),-0.153639101438159)</f>
        <v>-0.15363910143815901</v>
      </c>
      <c r="KG43" s="3">
        <f ca="1">IFERROR(__xludf.DUMMYFUNCTION("""COMPUTED_VALUE"""),-0.0949602523181806)</f>
        <v>-9.4960252318180602E-2</v>
      </c>
      <c r="KH43" s="3">
        <f ca="1">IFERROR(__xludf.DUMMYFUNCTION("""COMPUTED_VALUE"""),-0.198094113647727)</f>
        <v>-0.198094113647727</v>
      </c>
      <c r="KI43" s="3">
        <f ca="1">IFERROR(__xludf.DUMMYFUNCTION("""COMPUTED_VALUE"""),-0.250125818972584)</f>
        <v>-0.25012581897258401</v>
      </c>
      <c r="KJ43" s="3">
        <f ca="1">IFERROR(__xludf.DUMMYFUNCTION("""COMPUTED_VALUE"""),-0.0902592911666451)</f>
        <v>-9.0259291166645106E-2</v>
      </c>
      <c r="KK43" s="3">
        <f ca="1">IFERROR(__xludf.DUMMYFUNCTION("""COMPUTED_VALUE"""),-0.207231119019558)</f>
        <v>-0.20723111901955801</v>
      </c>
      <c r="KL43" s="3">
        <f ca="1">IFERROR(__xludf.DUMMYFUNCTION("""COMPUTED_VALUE"""),-0.162098108855988)</f>
        <v>-0.16209810885598799</v>
      </c>
      <c r="KM43" s="3">
        <f ca="1">IFERROR(__xludf.DUMMYFUNCTION("""COMPUTED_VALUE"""),-0.234354068130628)</f>
        <v>-0.23435406813062801</v>
      </c>
      <c r="KN43" s="3">
        <f ca="1">IFERROR(__xludf.DUMMYFUNCTION("""COMPUTED_VALUE"""),-0.172064761220831)</f>
        <v>-0.172064761220831</v>
      </c>
      <c r="KO43" s="3">
        <f ca="1">IFERROR(__xludf.DUMMYFUNCTION("""COMPUTED_VALUE"""),-0.113768398911957)</f>
        <v>-0.113768398911957</v>
      </c>
      <c r="KP43" s="3">
        <f ca="1">IFERROR(__xludf.DUMMYFUNCTION("""COMPUTED_VALUE"""),-0.315378173128168)</f>
        <v>-0.31537817312816802</v>
      </c>
      <c r="KQ43" s="3">
        <f ca="1">IFERROR(__xludf.DUMMYFUNCTION("""COMPUTED_VALUE"""),-0.399009171959785)</f>
        <v>-0.39900917195978503</v>
      </c>
      <c r="KR43" s="3">
        <f ca="1">IFERROR(__xludf.DUMMYFUNCTION("""COMPUTED_VALUE"""),-0.419648940117479)</f>
        <v>-0.419648940117479</v>
      </c>
      <c r="KS43" s="3">
        <f ca="1">IFERROR(__xludf.DUMMYFUNCTION("""COMPUTED_VALUE"""),-0.275365282481754)</f>
        <v>-0.27536528248175401</v>
      </c>
      <c r="KT43" s="3">
        <f ca="1">IFERROR(__xludf.DUMMYFUNCTION("""COMPUTED_VALUE"""),-0.373564426384251)</f>
        <v>-0.37356442638425102</v>
      </c>
      <c r="KU43" s="3">
        <f ca="1">IFERROR(__xludf.DUMMYFUNCTION("""COMPUTED_VALUE"""),-0.357869079864653)</f>
        <v>-0.35786907986465299</v>
      </c>
      <c r="KV43" s="3">
        <f ca="1">IFERROR(__xludf.DUMMYFUNCTION("""COMPUTED_VALUE"""),-0.267960786885844)</f>
        <v>-0.26796078688584402</v>
      </c>
      <c r="KW43" s="3">
        <f ca="1">IFERROR(__xludf.DUMMYFUNCTION("""COMPUTED_VALUE"""),-0.521963757968422)</f>
        <v>-0.52196375796842198</v>
      </c>
      <c r="KX43" s="3">
        <f ca="1">IFERROR(__xludf.DUMMYFUNCTION("""COMPUTED_VALUE"""),-0.172775888795184)</f>
        <v>-0.17277588879518399</v>
      </c>
      <c r="KY43" s="3">
        <f ca="1">IFERROR(__xludf.DUMMYFUNCTION("""COMPUTED_VALUE"""),-0.367314055596639)</f>
        <v>-0.36731405559663899</v>
      </c>
      <c r="KZ43" s="3">
        <f ca="1">IFERROR(__xludf.DUMMYFUNCTION("""COMPUTED_VALUE"""),-0.503554260550835)</f>
        <v>-0.50355426055083496</v>
      </c>
      <c r="LA43" s="3">
        <f ca="1">IFERROR(__xludf.DUMMYFUNCTION("""COMPUTED_VALUE"""),-0.40742114221596)</f>
        <v>-0.40742114221595999</v>
      </c>
      <c r="LB43" s="3">
        <f ca="1">IFERROR(__xludf.DUMMYFUNCTION("""COMPUTED_VALUE"""),-0.420353325634214)</f>
        <v>-0.42035332563421401</v>
      </c>
      <c r="LC43" s="3">
        <f ca="1">IFERROR(__xludf.DUMMYFUNCTION("""COMPUTED_VALUE"""),-0.521714354845378)</f>
        <v>-0.52171435484537798</v>
      </c>
      <c r="LD43" s="3">
        <f ca="1">IFERROR(__xludf.DUMMYFUNCTION("""COMPUTED_VALUE"""),-0.377505318349712)</f>
        <v>-0.37750531834971202</v>
      </c>
      <c r="LE43" s="3">
        <f ca="1">IFERROR(__xludf.DUMMYFUNCTION("""COMPUTED_VALUE"""),-0.469677497722296)</f>
        <v>-0.469677497722296</v>
      </c>
      <c r="LF43" s="3">
        <f ca="1">IFERROR(__xludf.DUMMYFUNCTION("""COMPUTED_VALUE"""),-0.585185021207643)</f>
        <v>-0.58518502120764304</v>
      </c>
      <c r="LG43" s="3">
        <f ca="1">IFERROR(__xludf.DUMMYFUNCTION("""COMPUTED_VALUE"""),-0.53569070379655)</f>
        <v>-0.53569070379655004</v>
      </c>
      <c r="LH43" s="3">
        <f ca="1">IFERROR(__xludf.DUMMYFUNCTION("""COMPUTED_VALUE"""),-0.543493712719465)</f>
        <v>-0.54349371271946501</v>
      </c>
      <c r="LI43" s="3">
        <f ca="1">IFERROR(__xludf.DUMMYFUNCTION("""COMPUTED_VALUE"""),-0.53199896171908)</f>
        <v>-0.53199896171908001</v>
      </c>
      <c r="LJ43" s="3">
        <f ca="1">IFERROR(__xludf.DUMMYFUNCTION("""COMPUTED_VALUE"""),-0.527597140032167)</f>
        <v>-0.52759714003216696</v>
      </c>
      <c r="LK43" s="3">
        <f ca="1">IFERROR(__xludf.DUMMYFUNCTION("""COMPUTED_VALUE"""),-0.487504554106884)</f>
        <v>-0.48750455410688398</v>
      </c>
      <c r="LL43" s="3">
        <f ca="1">IFERROR(__xludf.DUMMYFUNCTION("""COMPUTED_VALUE"""),-0.567861910071805)</f>
        <v>-0.56786191007180498</v>
      </c>
      <c r="LM43" s="3">
        <f ca="1">IFERROR(__xludf.DUMMYFUNCTION("""COMPUTED_VALUE"""),-0.607059579824259)</f>
        <v>-0.60705957982425895</v>
      </c>
      <c r="LN43" s="3">
        <f ca="1">IFERROR(__xludf.DUMMYFUNCTION("""COMPUTED_VALUE"""),-0.662738759741939)</f>
        <v>-0.66273875974193897</v>
      </c>
      <c r="LO43" s="3">
        <f ca="1">IFERROR(__xludf.DUMMYFUNCTION("""COMPUTED_VALUE"""),-0.6045779368855)</f>
        <v>-0.60457793688549999</v>
      </c>
      <c r="LP43" s="3">
        <f ca="1">IFERROR(__xludf.DUMMYFUNCTION("""COMPUTED_VALUE"""),-0.650821318459601)</f>
        <v>-0.65082131845960101</v>
      </c>
      <c r="LQ43" s="3">
        <f ca="1">IFERROR(__xludf.DUMMYFUNCTION("""COMPUTED_VALUE"""),-0.648717256606495)</f>
        <v>-0.64871725660649504</v>
      </c>
      <c r="LR43" s="3">
        <f ca="1">IFERROR(__xludf.DUMMYFUNCTION("""COMPUTED_VALUE"""),-0.723915159443141)</f>
        <v>-0.723915159443141</v>
      </c>
      <c r="LS43" s="3">
        <f ca="1">IFERROR(__xludf.DUMMYFUNCTION("""COMPUTED_VALUE"""),-0.675268250022715)</f>
        <v>-0.67526825002271496</v>
      </c>
      <c r="LT43" s="3">
        <f ca="1">IFERROR(__xludf.DUMMYFUNCTION("""COMPUTED_VALUE"""),-0.693465994556301)</f>
        <v>-0.69346599455630098</v>
      </c>
      <c r="LU43" s="3">
        <f ca="1">IFERROR(__xludf.DUMMYFUNCTION("""COMPUTED_VALUE"""),-0.76853650455186)</f>
        <v>-0.76853650455185996</v>
      </c>
      <c r="LV43" s="3">
        <f ca="1">IFERROR(__xludf.DUMMYFUNCTION("""COMPUTED_VALUE"""),-0.725408944367156)</f>
        <v>-0.72540894436715597</v>
      </c>
      <c r="LW43" s="3">
        <f ca="1">IFERROR(__xludf.DUMMYFUNCTION("""COMPUTED_VALUE"""),-0.724424973595765)</f>
        <v>-0.72442497359576496</v>
      </c>
      <c r="LX43" s="3">
        <f ca="1">IFERROR(__xludf.DUMMYFUNCTION("""COMPUTED_VALUE"""),-0.725532331204046)</f>
        <v>-0.72553233120404603</v>
      </c>
      <c r="LY43" s="3">
        <f ca="1">IFERROR(__xludf.DUMMYFUNCTION("""COMPUTED_VALUE"""),-0.866943742721027)</f>
        <v>-0.86694374272102703</v>
      </c>
      <c r="LZ43" s="3">
        <f ca="1">IFERROR(__xludf.DUMMYFUNCTION("""COMPUTED_VALUE"""),-0.893943642778587)</f>
        <v>-0.89394364277858696</v>
      </c>
      <c r="MA43" s="3">
        <f ca="1">IFERROR(__xludf.DUMMYFUNCTION("""COMPUTED_VALUE"""),-0.898315444842479)</f>
        <v>-0.89831544484247905</v>
      </c>
      <c r="MB43" s="3">
        <f ca="1">IFERROR(__xludf.DUMMYFUNCTION("""COMPUTED_VALUE"""),-0.899806742792572)</f>
        <v>-0.899806742792572</v>
      </c>
      <c r="MC43" s="3">
        <f ca="1">IFERROR(__xludf.DUMMYFUNCTION("""COMPUTED_VALUE"""),-0.851014295468818)</f>
        <v>-0.85101429546881802</v>
      </c>
      <c r="MD43" s="3">
        <f ca="1">IFERROR(__xludf.DUMMYFUNCTION("""COMPUTED_VALUE"""),-0.907133994506673)</f>
        <v>-0.90713399450667298</v>
      </c>
      <c r="ME43" s="3">
        <f ca="1">IFERROR(__xludf.DUMMYFUNCTION("""COMPUTED_VALUE"""),-0.912264946515383)</f>
        <v>-0.91226494651538304</v>
      </c>
      <c r="MF43" s="3">
        <f ca="1">IFERROR(__xludf.DUMMYFUNCTION("""COMPUTED_VALUE"""),-0.878963928471307)</f>
        <v>-0.878963928471307</v>
      </c>
      <c r="MG43" s="3">
        <f ca="1">IFERROR(__xludf.DUMMYFUNCTION("""COMPUTED_VALUE"""),-0.897199417775449)</f>
        <v>-0.89719941777544898</v>
      </c>
      <c r="MH43" s="3">
        <f ca="1">IFERROR(__xludf.DUMMYFUNCTION("""COMPUTED_VALUE"""),-0.976248175683715)</f>
        <v>-0.97624817568371502</v>
      </c>
      <c r="MI43" s="3">
        <f ca="1">IFERROR(__xludf.DUMMYFUNCTION("""COMPUTED_VALUE"""),-0.928975343354866)</f>
        <v>-0.92897534335486598</v>
      </c>
      <c r="MJ43" s="3">
        <f ca="1">IFERROR(__xludf.DUMMYFUNCTION("""COMPUTED_VALUE"""),-0.874015516181086)</f>
        <v>-0.87401551618108597</v>
      </c>
      <c r="MK43" s="3">
        <f ca="1">IFERROR(__xludf.DUMMYFUNCTION("""COMPUTED_VALUE"""),-0.939034822653496)</f>
        <v>-0.93903482265349603</v>
      </c>
      <c r="ML43" s="3">
        <f ca="1">IFERROR(__xludf.DUMMYFUNCTION("""COMPUTED_VALUE"""),-0.910181689754431)</f>
        <v>-0.91018168975443103</v>
      </c>
      <c r="MM43" s="3">
        <f ca="1">IFERROR(__xludf.DUMMYFUNCTION("""COMPUTED_VALUE"""),-0.920983699671506)</f>
        <v>-0.92098369967150595</v>
      </c>
      <c r="MN43" s="3">
        <f ca="1">IFERROR(__xludf.DUMMYFUNCTION("""COMPUTED_VALUE"""),-0.921726337393316)</f>
        <v>-0.921726337393316</v>
      </c>
      <c r="MO43" s="3">
        <f ca="1">IFERROR(__xludf.DUMMYFUNCTION("""COMPUTED_VALUE"""),-0.910079251890374)</f>
        <v>-0.91007925189037397</v>
      </c>
      <c r="MP43" s="3">
        <f ca="1">IFERROR(__xludf.DUMMYFUNCTION("""COMPUTED_VALUE"""),-0.860736161932704)</f>
        <v>-0.86073616193270397</v>
      </c>
      <c r="MQ43" s="3">
        <f ca="1">IFERROR(__xludf.DUMMYFUNCTION("""COMPUTED_VALUE"""),-0.908040477808895)</f>
        <v>-0.90804047780889496</v>
      </c>
      <c r="MR43" s="3">
        <f ca="1">IFERROR(__xludf.DUMMYFUNCTION("""COMPUTED_VALUE"""),-0.929281680072773)</f>
        <v>-0.92928168007277301</v>
      </c>
      <c r="MS43" s="3">
        <f ca="1">IFERROR(__xludf.DUMMYFUNCTION("""COMPUTED_VALUE"""),-0.924878336681833)</f>
        <v>-0.92487833668183295</v>
      </c>
      <c r="MT43" s="3">
        <f ca="1">IFERROR(__xludf.DUMMYFUNCTION("""COMPUTED_VALUE"""),-0.936662542212414)</f>
        <v>-0.93666254221241396</v>
      </c>
      <c r="MU43" s="3">
        <f ca="1">IFERROR(__xludf.DUMMYFUNCTION("""COMPUTED_VALUE"""),-0.925099934172754)</f>
        <v>-0.92509993417275405</v>
      </c>
      <c r="MV43" s="3">
        <f ca="1">IFERROR(__xludf.DUMMYFUNCTION("""COMPUTED_VALUE"""),-0.935414532554369)</f>
        <v>-0.93541453255436902</v>
      </c>
      <c r="MW43" s="3">
        <f ca="1">IFERROR(__xludf.DUMMYFUNCTION("""COMPUTED_VALUE"""),-0.929424482326543)</f>
        <v>-0.92942448232654296</v>
      </c>
      <c r="MX43" s="3">
        <f ca="1">IFERROR(__xludf.DUMMYFUNCTION("""COMPUTED_VALUE"""),-0.935073782796493)</f>
        <v>-0.935073782796493</v>
      </c>
      <c r="MY43" s="3">
        <f ca="1">IFERROR(__xludf.DUMMYFUNCTION("""COMPUTED_VALUE"""),-0.931459670949738)</f>
        <v>-0.93145967094973803</v>
      </c>
      <c r="MZ43" s="3">
        <f ca="1">IFERROR(__xludf.DUMMYFUNCTION("""COMPUTED_VALUE"""),-0.9244272465546)</f>
        <v>-0.92442724655459996</v>
      </c>
      <c r="NA43" s="3">
        <f ca="1">IFERROR(__xludf.DUMMYFUNCTION("""COMPUTED_VALUE"""),-0.918961908285169)</f>
        <v>-0.91896190828516899</v>
      </c>
      <c r="NB43" s="3">
        <f ca="1">IFERROR(__xludf.DUMMYFUNCTION("""COMPUTED_VALUE"""),-0.924734946756398)</f>
        <v>-0.924734946756398</v>
      </c>
      <c r="NC43" s="3">
        <f ca="1">IFERROR(__xludf.DUMMYFUNCTION("""COMPUTED_VALUE"""),-0.926654778250979)</f>
        <v>-0.92665477825097897</v>
      </c>
      <c r="ND43" s="3">
        <f ca="1">IFERROR(__xludf.DUMMYFUNCTION("""COMPUTED_VALUE"""),-0.936701307975365)</f>
        <v>-0.93670130797536499</v>
      </c>
      <c r="NE43" s="3">
        <f ca="1">IFERROR(__xludf.DUMMYFUNCTION("""COMPUTED_VALUE"""),-0.944035421515275)</f>
        <v>-0.94403542151527498</v>
      </c>
      <c r="NF43" s="3">
        <f ca="1">IFERROR(__xludf.DUMMYFUNCTION("""COMPUTED_VALUE"""),-0.921383382632733)</f>
        <v>-0.92138338263273301</v>
      </c>
      <c r="NG43" s="3">
        <f ca="1">IFERROR(__xludf.DUMMYFUNCTION("""COMPUTED_VALUE"""),-0.906594761523936)</f>
        <v>-0.90659476152393603</v>
      </c>
      <c r="NH43" s="3">
        <f ca="1">IFERROR(__xludf.DUMMYFUNCTION("""COMPUTED_VALUE"""),-0.924439107194736)</f>
        <v>-0.92443910719473599</v>
      </c>
      <c r="NI43" s="3">
        <f ca="1">IFERROR(__xludf.DUMMYFUNCTION("""COMPUTED_VALUE"""),-0.931837209064855)</f>
        <v>-0.93183720906485501</v>
      </c>
      <c r="NJ43" s="3">
        <f ca="1">IFERROR(__xludf.DUMMYFUNCTION("""COMPUTED_VALUE"""),-0.933972496847105)</f>
        <v>-0.93397249684710504</v>
      </c>
      <c r="NK43" s="3">
        <f ca="1">IFERROR(__xludf.DUMMYFUNCTION("""COMPUTED_VALUE"""),-0.933880755896675)</f>
        <v>-0.93388075589667496</v>
      </c>
      <c r="NL43" s="3">
        <f ca="1">IFERROR(__xludf.DUMMYFUNCTION("""COMPUTED_VALUE"""),-0.936186971561217)</f>
        <v>-0.936186971561217</v>
      </c>
      <c r="NM43" s="3">
        <f ca="1">IFERROR(__xludf.DUMMYFUNCTION("""COMPUTED_VALUE"""),-0.941711746004959)</f>
        <v>-0.94171174600495899</v>
      </c>
      <c r="NN43" s="3">
        <f ca="1">IFERROR(__xludf.DUMMYFUNCTION("""COMPUTED_VALUE"""),-0.918581034392376)</f>
        <v>-0.91858103439237604</v>
      </c>
      <c r="NO43" s="3">
        <f ca="1">IFERROR(__xludf.DUMMYFUNCTION("""COMPUTED_VALUE"""),-0.942421288342917)</f>
        <v>-0.94242128834291705</v>
      </c>
      <c r="NP43" s="3">
        <f ca="1">IFERROR(__xludf.DUMMYFUNCTION("""COMPUTED_VALUE"""),-0.925467554457785)</f>
        <v>-0.92546755445778495</v>
      </c>
      <c r="NQ43" s="3">
        <f ca="1">IFERROR(__xludf.DUMMYFUNCTION("""COMPUTED_VALUE"""),-0.942200717129508)</f>
        <v>-0.94220071712950804</v>
      </c>
      <c r="NR43" s="3">
        <f ca="1">IFERROR(__xludf.DUMMYFUNCTION("""COMPUTED_VALUE"""),-0.918513190709368)</f>
        <v>-0.91851319070936799</v>
      </c>
      <c r="NS43" s="3">
        <f ca="1">IFERROR(__xludf.DUMMYFUNCTION("""COMPUTED_VALUE"""),-0.932097343633621)</f>
        <v>-0.93209734363362096</v>
      </c>
      <c r="NT43" s="3">
        <f ca="1">IFERROR(__xludf.DUMMYFUNCTION("""COMPUTED_VALUE"""),-0.928426361783916)</f>
        <v>-0.92842636178391602</v>
      </c>
      <c r="NU43" s="3">
        <f ca="1">IFERROR(__xludf.DUMMYFUNCTION("""COMPUTED_VALUE"""),-0.894232382653706)</f>
        <v>-0.89423238265370597</v>
      </c>
      <c r="NV43" s="3">
        <f ca="1">IFERROR(__xludf.DUMMYFUNCTION("""COMPUTED_VALUE"""),-0.891780062033272)</f>
        <v>-0.89178006203327198</v>
      </c>
      <c r="NW43" s="3">
        <f ca="1">IFERROR(__xludf.DUMMYFUNCTION("""COMPUTED_VALUE"""),-0.923525080230327)</f>
        <v>-0.92352508023032698</v>
      </c>
      <c r="NX43" s="3">
        <f ca="1">IFERROR(__xludf.DUMMYFUNCTION("""COMPUTED_VALUE"""),-0.920171518270617)</f>
        <v>-0.92017151827061705</v>
      </c>
      <c r="NY43" s="3">
        <f ca="1">IFERROR(__xludf.DUMMYFUNCTION("""COMPUTED_VALUE"""),-0.913614880710291)</f>
        <v>-0.91361488071029096</v>
      </c>
      <c r="NZ43" s="3">
        <f ca="1">IFERROR(__xludf.DUMMYFUNCTION("""COMPUTED_VALUE"""),-0.903963315509296)</f>
        <v>-0.90396331550929598</v>
      </c>
      <c r="OA43" s="3">
        <f ca="1">IFERROR(__xludf.DUMMYFUNCTION("""COMPUTED_VALUE"""),-0.859459916982218)</f>
        <v>-0.85945991698221802</v>
      </c>
      <c r="OB43" s="3">
        <f ca="1">IFERROR(__xludf.DUMMYFUNCTION("""COMPUTED_VALUE"""),-0.617781988465935)</f>
        <v>-0.61778198846593502</v>
      </c>
      <c r="OC43" s="3">
        <f ca="1">IFERROR(__xludf.DUMMYFUNCTION("""COMPUTED_VALUE"""),-0.511411544957646)</f>
        <v>-0.51141154495764596</v>
      </c>
      <c r="OD43" s="3">
        <f ca="1">IFERROR(__xludf.DUMMYFUNCTION("""COMPUTED_VALUE"""),-0.0774825071102269)</f>
        <v>-7.7482507110226903E-2</v>
      </c>
      <c r="OE43" s="3">
        <f ca="1">IFERROR(__xludf.DUMMYFUNCTION("""COMPUTED_VALUE"""),-0.0973827188773541)</f>
        <v>-9.7382718877354099E-2</v>
      </c>
      <c r="OF43" s="3">
        <f ca="1">IFERROR(__xludf.DUMMYFUNCTION("""COMPUTED_VALUE"""),-0.0125286061291266)</f>
        <v>-1.2528606129126599E-2</v>
      </c>
      <c r="OG43" s="3">
        <f ca="1">IFERROR(__xludf.DUMMYFUNCTION("""COMPUTED_VALUE"""),0.0489427559460333)</f>
        <v>4.8942755946033298E-2</v>
      </c>
      <c r="OH43" s="3">
        <f ca="1">IFERROR(__xludf.DUMMYFUNCTION("""COMPUTED_VALUE"""),0.0302668509089594)</f>
        <v>3.0266850908959399E-2</v>
      </c>
      <c r="OI43" s="3">
        <f ca="1">IFERROR(__xludf.DUMMYFUNCTION("""COMPUTED_VALUE"""),0.0595553286064349)</f>
        <v>5.95553286064349E-2</v>
      </c>
      <c r="OJ43" s="3">
        <f ca="1">IFERROR(__xludf.DUMMYFUNCTION("""COMPUTED_VALUE"""),-0.165711444235221)</f>
        <v>-0.16571144423522099</v>
      </c>
      <c r="OK43" s="3">
        <f ca="1">IFERROR(__xludf.DUMMYFUNCTION("""COMPUTED_VALUE"""),0.158908086257809)</f>
        <v>0.158908086257809</v>
      </c>
      <c r="OL43" s="3">
        <f ca="1">IFERROR(__xludf.DUMMYFUNCTION("""COMPUTED_VALUE"""),0.0825484925519957)</f>
        <v>8.25484925519957E-2</v>
      </c>
      <c r="OM43" s="3">
        <f ca="1">IFERROR(__xludf.DUMMYFUNCTION("""COMPUTED_VALUE"""),0.0333984563080635)</f>
        <v>3.3398456308063498E-2</v>
      </c>
      <c r="ON43" s="3">
        <f ca="1">IFERROR(__xludf.DUMMYFUNCTION("""COMPUTED_VALUE"""),-0.0305402115377648)</f>
        <v>-3.0540211537764799E-2</v>
      </c>
      <c r="OO43" s="3">
        <f ca="1">IFERROR(__xludf.DUMMYFUNCTION("""COMPUTED_VALUE"""),-0.0266873594337255)</f>
        <v>-2.6687359433725501E-2</v>
      </c>
      <c r="OP43" s="3">
        <f ca="1">IFERROR(__xludf.DUMMYFUNCTION("""COMPUTED_VALUE"""),0.0204447662765596)</f>
        <v>2.0444766276559601E-2</v>
      </c>
      <c r="OQ43" s="3">
        <f ca="1">IFERROR(__xludf.DUMMYFUNCTION("""COMPUTED_VALUE"""),-0.269679699211196)</f>
        <v>-0.269679699211196</v>
      </c>
      <c r="OR43" s="3">
        <f ca="1">IFERROR(__xludf.DUMMYFUNCTION("""COMPUTED_VALUE"""),-0.220570794548537)</f>
        <v>-0.22057079454853701</v>
      </c>
      <c r="OS43" s="3">
        <f ca="1">IFERROR(__xludf.DUMMYFUNCTION("""COMPUTED_VALUE"""),-0.145989178879389)</f>
        <v>-0.145989178879389</v>
      </c>
      <c r="OT43" s="3">
        <f ca="1">IFERROR(__xludf.DUMMYFUNCTION("""COMPUTED_VALUE"""),-0.123541705189769)</f>
        <v>-0.12354170518976899</v>
      </c>
      <c r="OU43" s="3">
        <f ca="1">IFERROR(__xludf.DUMMYFUNCTION("""COMPUTED_VALUE"""),-0.218080749789624)</f>
        <v>-0.218080749789624</v>
      </c>
      <c r="OV43" s="3">
        <f ca="1">IFERROR(__xludf.DUMMYFUNCTION("""COMPUTED_VALUE"""),-0.0278945331599574)</f>
        <v>-2.7894533159957401E-2</v>
      </c>
      <c r="OW43" s="3">
        <f ca="1">IFERROR(__xludf.DUMMYFUNCTION("""COMPUTED_VALUE"""),-0.0188278696129232)</f>
        <v>-1.8827869612923199E-2</v>
      </c>
      <c r="OX43" s="3">
        <f ca="1">IFERROR(__xludf.DUMMYFUNCTION("""COMPUTED_VALUE"""),-0.0140122117185023)</f>
        <v>-1.4012211718502299E-2</v>
      </c>
      <c r="OY43" s="3">
        <f ca="1">IFERROR(__xludf.DUMMYFUNCTION("""COMPUTED_VALUE"""),0.0263714333403564)</f>
        <v>2.6371433340356399E-2</v>
      </c>
      <c r="OZ43" s="3">
        <f ca="1">IFERROR(__xludf.DUMMYFUNCTION("""COMPUTED_VALUE"""),0.0151848695269463)</f>
        <v>1.5184869526946299E-2</v>
      </c>
      <c r="PA43" s="3">
        <f ca="1">IFERROR(__xludf.DUMMYFUNCTION("""COMPUTED_VALUE"""),0.190839150214974)</f>
        <v>0.190839150214974</v>
      </c>
      <c r="PB43" s="3">
        <f ca="1">IFERROR(__xludf.DUMMYFUNCTION("""COMPUTED_VALUE"""),0.0235388600798696)</f>
        <v>2.3538860079869599E-2</v>
      </c>
      <c r="PC43" s="3">
        <f ca="1">IFERROR(__xludf.DUMMYFUNCTION("""COMPUTED_VALUE"""),0.155024195259414)</f>
        <v>0.15502419525941399</v>
      </c>
      <c r="PD43" s="3">
        <f ca="1">IFERROR(__xludf.DUMMYFUNCTION("""COMPUTED_VALUE"""),0.0051459976086241)</f>
        <v>5.1459976086241001E-3</v>
      </c>
      <c r="PE43" s="3">
        <f ca="1">IFERROR(__xludf.DUMMYFUNCTION("""COMPUTED_VALUE"""),0.134266000504396)</f>
        <v>0.13426600050439599</v>
      </c>
      <c r="PF43" s="3">
        <f ca="1">IFERROR(__xludf.DUMMYFUNCTION("""COMPUTED_VALUE"""),0.186286387335276)</f>
        <v>0.186286387335276</v>
      </c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</row>
    <row r="44" spans="1:594" ht="15.75" customHeight="1">
      <c r="A44" s="1" t="str">
        <f ca="1">IFERROR(__xludf.DUMMYFUNCTION("""COMPUTED_VALUE"""),"Miami")</f>
        <v>Miami</v>
      </c>
      <c r="B44" s="3">
        <f ca="1">IFERROR(__xludf.DUMMYFUNCTION("""COMPUTED_VALUE"""),0.103606048922289)</f>
        <v>0.103606048922289</v>
      </c>
      <c r="C44" s="3">
        <f ca="1">IFERROR(__xludf.DUMMYFUNCTION("""COMPUTED_VALUE"""),-0.0149188561616346)</f>
        <v>-1.4918856161634599E-2</v>
      </c>
      <c r="D44" s="3">
        <f ca="1">IFERROR(__xludf.DUMMYFUNCTION("""COMPUTED_VALUE"""),-0.113690633862251)</f>
        <v>-0.11369063386225101</v>
      </c>
      <c r="E44" s="3">
        <f ca="1">IFERROR(__xludf.DUMMYFUNCTION("""COMPUTED_VALUE"""),-0.104002846694387)</f>
        <v>-0.104002846694387</v>
      </c>
      <c r="F44" s="3">
        <f ca="1">IFERROR(__xludf.DUMMYFUNCTION("""COMPUTED_VALUE"""),-0.111289578276481)</f>
        <v>-0.111289578276481</v>
      </c>
      <c r="G44" s="3">
        <f ca="1">IFERROR(__xludf.DUMMYFUNCTION("""COMPUTED_VALUE"""),-0.0931732211681181)</f>
        <v>-9.3173221168118103E-2</v>
      </c>
      <c r="H44" s="3">
        <f ca="1">IFERROR(__xludf.DUMMYFUNCTION("""COMPUTED_VALUE"""),0.116616143243528)</f>
        <v>0.11661614324352799</v>
      </c>
      <c r="I44" s="3">
        <f ca="1">IFERROR(__xludf.DUMMYFUNCTION("""COMPUTED_VALUE"""),-0.0611941383063907)</f>
        <v>-6.11941383063907E-2</v>
      </c>
      <c r="J44" s="3">
        <f ca="1">IFERROR(__xludf.DUMMYFUNCTION("""COMPUTED_VALUE"""),-0.155662258950737)</f>
        <v>-0.15566225895073699</v>
      </c>
      <c r="K44" s="3">
        <f ca="1">IFERROR(__xludf.DUMMYFUNCTION("""COMPUTED_VALUE"""),-0.111173141410937)</f>
        <v>-0.111173141410937</v>
      </c>
      <c r="L44" s="3">
        <f ca="1">IFERROR(__xludf.DUMMYFUNCTION("""COMPUTED_VALUE"""),-0.152216904365317)</f>
        <v>-0.15221690436531701</v>
      </c>
      <c r="M44" s="3">
        <f ca="1">IFERROR(__xludf.DUMMYFUNCTION("""COMPUTED_VALUE"""),-0.110161763776096)</f>
        <v>-0.110161763776096</v>
      </c>
      <c r="N44" s="3">
        <f ca="1">IFERROR(__xludf.DUMMYFUNCTION("""COMPUTED_VALUE"""),-0.106176334629128)</f>
        <v>-0.106176334629128</v>
      </c>
      <c r="O44" s="3">
        <f ca="1">IFERROR(__xludf.DUMMYFUNCTION("""COMPUTED_VALUE"""),0.264512516765692)</f>
        <v>0.26451251676569199</v>
      </c>
      <c r="P44" s="3">
        <f ca="1">IFERROR(__xludf.DUMMYFUNCTION("""COMPUTED_VALUE"""),0.0168040394543946)</f>
        <v>1.6804039454394602E-2</v>
      </c>
      <c r="Q44" s="3">
        <f ca="1">IFERROR(__xludf.DUMMYFUNCTION("""COMPUTED_VALUE"""),-0.0695110543811569)</f>
        <v>-6.95110543811569E-2</v>
      </c>
      <c r="R44" s="3">
        <f ca="1">IFERROR(__xludf.DUMMYFUNCTION("""COMPUTED_VALUE"""),-0.105185367193945)</f>
        <v>-0.105185367193945</v>
      </c>
      <c r="S44" s="3">
        <f ca="1">IFERROR(__xludf.DUMMYFUNCTION("""COMPUTED_VALUE"""),-0.111544267695874)</f>
        <v>-0.111544267695874</v>
      </c>
      <c r="T44" s="3">
        <f ca="1">IFERROR(__xludf.DUMMYFUNCTION("""COMPUTED_VALUE"""),-0.0659338062558231)</f>
        <v>-6.5933806255823096E-2</v>
      </c>
      <c r="U44" s="3">
        <f ca="1">IFERROR(__xludf.DUMMYFUNCTION("""COMPUTED_VALUE"""),-0.14829594920726)</f>
        <v>-0.14829594920726</v>
      </c>
      <c r="V44" s="3">
        <f ca="1">IFERROR(__xludf.DUMMYFUNCTION("""COMPUTED_VALUE"""),0.212872928976901)</f>
        <v>0.21287292897690099</v>
      </c>
      <c r="W44" s="3">
        <f ca="1">IFERROR(__xludf.DUMMYFUNCTION("""COMPUTED_VALUE"""),0.0173408468072882)</f>
        <v>1.7340846807288202E-2</v>
      </c>
      <c r="X44" s="3">
        <f ca="1">IFERROR(__xludf.DUMMYFUNCTION("""COMPUTED_VALUE"""),-0.0927052047804616)</f>
        <v>-9.2705204780461598E-2</v>
      </c>
      <c r="Y44" s="3">
        <f ca="1">IFERROR(__xludf.DUMMYFUNCTION("""COMPUTED_VALUE"""),-0.15128967907431)</f>
        <v>-0.15128967907431001</v>
      </c>
      <c r="Z44" s="3">
        <f ca="1">IFERROR(__xludf.DUMMYFUNCTION("""COMPUTED_VALUE"""),-0.171680901293316)</f>
        <v>-0.17168090129331601</v>
      </c>
      <c r="AA44" s="3">
        <f ca="1">IFERROR(__xludf.DUMMYFUNCTION("""COMPUTED_VALUE"""),-0.14655465234326)</f>
        <v>-0.14655465234326001</v>
      </c>
      <c r="AB44" s="3">
        <f ca="1">IFERROR(__xludf.DUMMYFUNCTION("""COMPUTED_VALUE"""),-0.190182020369042)</f>
        <v>-0.190182020369042</v>
      </c>
      <c r="AC44" s="3">
        <f ca="1">IFERROR(__xludf.DUMMYFUNCTION("""COMPUTED_VALUE"""),0.0629335900353809)</f>
        <v>6.2933590035380904E-2</v>
      </c>
      <c r="AD44" s="3">
        <f ca="1">IFERROR(__xludf.DUMMYFUNCTION("""COMPUTED_VALUE"""),-0.0110849813787567)</f>
        <v>-1.10849813787567E-2</v>
      </c>
      <c r="AE44" s="3">
        <f ca="1">IFERROR(__xludf.DUMMYFUNCTION("""COMPUTED_VALUE"""),-0.17845879850307)</f>
        <v>-0.17845879850307</v>
      </c>
      <c r="AF44" s="3">
        <f ca="1">IFERROR(__xludf.DUMMYFUNCTION("""COMPUTED_VALUE"""),-0.213036340104847)</f>
        <v>-0.21303634010484701</v>
      </c>
      <c r="AG44" s="3">
        <f ca="1">IFERROR(__xludf.DUMMYFUNCTION("""COMPUTED_VALUE"""),-0.255225486511913)</f>
        <v>-0.25522548651191301</v>
      </c>
      <c r="AH44" s="3">
        <f ca="1">IFERROR(__xludf.DUMMYFUNCTION("""COMPUTED_VALUE"""),-0.208581021911138)</f>
        <v>-0.208581021911138</v>
      </c>
      <c r="AI44" s="3">
        <f ca="1">IFERROR(__xludf.DUMMYFUNCTION("""COMPUTED_VALUE"""),-0.236348229240859)</f>
        <v>-0.23634822924085899</v>
      </c>
      <c r="AJ44" s="3">
        <f ca="1">IFERROR(__xludf.DUMMYFUNCTION("""COMPUTED_VALUE"""),0.0414533096095779)</f>
        <v>4.1453309609577903E-2</v>
      </c>
      <c r="AK44" s="3">
        <f ca="1">IFERROR(__xludf.DUMMYFUNCTION("""COMPUTED_VALUE"""),-0.124619205802087)</f>
        <v>-0.124619205802087</v>
      </c>
      <c r="AL44" s="3">
        <f ca="1">IFERROR(__xludf.DUMMYFUNCTION("""COMPUTED_VALUE"""),-0.217811065963616)</f>
        <v>-0.21781106596361599</v>
      </c>
      <c r="AM44" s="3">
        <f ca="1">IFERROR(__xludf.DUMMYFUNCTION("""COMPUTED_VALUE"""),-0.235953982639758)</f>
        <v>-0.235953982639758</v>
      </c>
      <c r="AN44" s="3">
        <f ca="1">IFERROR(__xludf.DUMMYFUNCTION("""COMPUTED_VALUE"""),-0.205572147766492)</f>
        <v>-0.20557214776649199</v>
      </c>
      <c r="AO44" s="3">
        <f ca="1">IFERROR(__xludf.DUMMYFUNCTION("""COMPUTED_VALUE"""),-0.232913661868035)</f>
        <v>-0.232913661868035</v>
      </c>
      <c r="AP44" s="3">
        <f ca="1">IFERROR(__xludf.DUMMYFUNCTION("""COMPUTED_VALUE"""),-0.219921020694387)</f>
        <v>-0.21992102069438699</v>
      </c>
      <c r="AQ44" s="3">
        <f ca="1">IFERROR(__xludf.DUMMYFUNCTION("""COMPUTED_VALUE"""),0.0151216951542669)</f>
        <v>1.5121695154266901E-2</v>
      </c>
      <c r="AR44" s="3">
        <f ca="1">IFERROR(__xludf.DUMMYFUNCTION("""COMPUTED_VALUE"""),-0.0468753612038919)</f>
        <v>-4.6875361203891901E-2</v>
      </c>
      <c r="AS44" s="3">
        <f ca="1">IFERROR(__xludf.DUMMYFUNCTION("""COMPUTED_VALUE"""),-0.182002648622173)</f>
        <v>-0.182002648622173</v>
      </c>
      <c r="AT44" s="3">
        <f ca="1">IFERROR(__xludf.DUMMYFUNCTION("""COMPUTED_VALUE"""),-0.234511902454491)</f>
        <v>-0.23451190245449099</v>
      </c>
      <c r="AU44" s="3">
        <f ca="1">IFERROR(__xludf.DUMMYFUNCTION("""COMPUTED_VALUE"""),-0.279671507388155)</f>
        <v>-0.27967150738815499</v>
      </c>
      <c r="AV44" s="3">
        <f ca="1">IFERROR(__xludf.DUMMYFUNCTION("""COMPUTED_VALUE"""),-0.285078216948281)</f>
        <v>-0.285078216948281</v>
      </c>
      <c r="AW44" s="3">
        <f ca="1">IFERROR(__xludf.DUMMYFUNCTION("""COMPUTED_VALUE"""),-0.233419641054936)</f>
        <v>-0.23341964105493601</v>
      </c>
      <c r="AX44" s="3">
        <f ca="1">IFERROR(__xludf.DUMMYFUNCTION("""COMPUTED_VALUE"""),-0.0629853869290586)</f>
        <v>-6.2985386929058598E-2</v>
      </c>
      <c r="AY44" s="3">
        <f ca="1">IFERROR(__xludf.DUMMYFUNCTION("""COMPUTED_VALUE"""),-0.0994764350186599)</f>
        <v>-9.9476435018659895E-2</v>
      </c>
      <c r="AZ44" s="3">
        <f ca="1">IFERROR(__xludf.DUMMYFUNCTION("""COMPUTED_VALUE"""),-0.258592424550008)</f>
        <v>-0.25859242455000803</v>
      </c>
      <c r="BA44" s="3">
        <f ca="1">IFERROR(__xludf.DUMMYFUNCTION("""COMPUTED_VALUE"""),-0.27538594291476)</f>
        <v>-0.27538594291475998</v>
      </c>
      <c r="BB44" s="3">
        <f ca="1">IFERROR(__xludf.DUMMYFUNCTION("""COMPUTED_VALUE"""),-0.244277931122444)</f>
        <v>-0.244277931122444</v>
      </c>
      <c r="BC44" s="3">
        <f ca="1">IFERROR(__xludf.DUMMYFUNCTION("""COMPUTED_VALUE"""),-0.300113430995721)</f>
        <v>-0.30011343099572102</v>
      </c>
      <c r="BD44" s="3">
        <f ca="1">IFERROR(__xludf.DUMMYFUNCTION("""COMPUTED_VALUE"""),-0.253868987301325)</f>
        <v>-0.25386898730132501</v>
      </c>
      <c r="BE44" s="3">
        <f ca="1">IFERROR(__xludf.DUMMYFUNCTION("""COMPUTED_VALUE"""),0.0367103391454615)</f>
        <v>3.6710339145461499E-2</v>
      </c>
      <c r="BF44" s="3">
        <f ca="1">IFERROR(__xludf.DUMMYFUNCTION("""COMPUTED_VALUE"""),-0.0880072982635612)</f>
        <v>-8.8007298263561198E-2</v>
      </c>
      <c r="BG44" s="3">
        <f ca="1">IFERROR(__xludf.DUMMYFUNCTION("""COMPUTED_VALUE"""),-0.234317998640212)</f>
        <v>-0.23431799864021199</v>
      </c>
      <c r="BH44" s="3">
        <f ca="1">IFERROR(__xludf.DUMMYFUNCTION("""COMPUTED_VALUE"""),-0.297449787291433)</f>
        <v>-0.29744978729143301</v>
      </c>
      <c r="BI44" s="3">
        <f ca="1">IFERROR(__xludf.DUMMYFUNCTION("""COMPUTED_VALUE"""),-0.35014231036281)</f>
        <v>-0.35014231036281002</v>
      </c>
      <c r="BJ44" s="3">
        <f ca="1">IFERROR(__xludf.DUMMYFUNCTION("""COMPUTED_VALUE"""),-0.33709670974929)</f>
        <v>-0.33709670974929001</v>
      </c>
      <c r="BK44" s="3">
        <f ca="1">IFERROR(__xludf.DUMMYFUNCTION("""COMPUTED_VALUE"""),-0.303139455111977)</f>
        <v>-0.30313945511197699</v>
      </c>
      <c r="BL44" s="3">
        <f ca="1">IFERROR(__xludf.DUMMYFUNCTION("""COMPUTED_VALUE"""),-0.0973545605367413)</f>
        <v>-9.7354560536741297E-2</v>
      </c>
      <c r="BM44" s="3">
        <f ca="1">IFERROR(__xludf.DUMMYFUNCTION("""COMPUTED_VALUE"""),-0.263306987195272)</f>
        <v>-0.26330698719527201</v>
      </c>
      <c r="BN44" s="3">
        <f ca="1">IFERROR(__xludf.DUMMYFUNCTION("""COMPUTED_VALUE"""),-0.30001295073055)</f>
        <v>-0.30001295073055001</v>
      </c>
      <c r="BO44" s="3">
        <f ca="1">IFERROR(__xludf.DUMMYFUNCTION("""COMPUTED_VALUE"""),-0.373865163872216)</f>
        <v>-0.37386516387221602</v>
      </c>
      <c r="BP44" s="3">
        <f ca="1">IFERROR(__xludf.DUMMYFUNCTION("""COMPUTED_VALUE"""),-0.403298156290355)</f>
        <v>-0.40329815629035498</v>
      </c>
      <c r="BQ44" s="3">
        <f ca="1">IFERROR(__xludf.DUMMYFUNCTION("""COMPUTED_VALUE"""),-0.351017268173197)</f>
        <v>-0.35101726817319701</v>
      </c>
      <c r="BR44" s="3">
        <f ca="1">IFERROR(__xludf.DUMMYFUNCTION("""COMPUTED_VALUE"""),-0.329932173764713)</f>
        <v>-0.32993217376471301</v>
      </c>
      <c r="BS44" s="3">
        <f ca="1">IFERROR(__xludf.DUMMYFUNCTION("""COMPUTED_VALUE"""),-0.17254246522033)</f>
        <v>-0.17254246522033001</v>
      </c>
      <c r="BT44" s="3">
        <f ca="1">IFERROR(__xludf.DUMMYFUNCTION("""COMPUTED_VALUE"""),-0.236149938849059)</f>
        <v>-0.23614993884905899</v>
      </c>
      <c r="BU44" s="3">
        <f ca="1">IFERROR(__xludf.DUMMYFUNCTION("""COMPUTED_VALUE"""),-0.319425698681437)</f>
        <v>-0.319425698681437</v>
      </c>
      <c r="BV44" s="3">
        <f ca="1">IFERROR(__xludf.DUMMYFUNCTION("""COMPUTED_VALUE"""),-0.341715275990469)</f>
        <v>-0.34171527599046903</v>
      </c>
      <c r="BW44" s="3">
        <f ca="1">IFERROR(__xludf.DUMMYFUNCTION("""COMPUTED_VALUE"""),-0.365568773460502)</f>
        <v>-0.36556877346050198</v>
      </c>
      <c r="BX44" s="3">
        <f ca="1">IFERROR(__xludf.DUMMYFUNCTION("""COMPUTED_VALUE"""),-0.308058074396624)</f>
        <v>-0.30805807439662403</v>
      </c>
      <c r="BY44" s="3">
        <f ca="1">IFERROR(__xludf.DUMMYFUNCTION("""COMPUTED_VALUE"""),-0.291674764452062)</f>
        <v>-0.29167476445206197</v>
      </c>
      <c r="BZ44" s="3">
        <f ca="1">IFERROR(__xludf.DUMMYFUNCTION("""COMPUTED_VALUE"""),-0.21371294049806)</f>
        <v>-0.21371294049806</v>
      </c>
      <c r="CA44" s="3">
        <f ca="1">IFERROR(__xludf.DUMMYFUNCTION("""COMPUTED_VALUE"""),-0.212681479265127)</f>
        <v>-0.21268147926512701</v>
      </c>
      <c r="CB44" s="3">
        <f ca="1">IFERROR(__xludf.DUMMYFUNCTION("""COMPUTED_VALUE"""),-0.308382118099395)</f>
        <v>-0.30838211809939498</v>
      </c>
      <c r="CC44" s="3">
        <f ca="1">IFERROR(__xludf.DUMMYFUNCTION("""COMPUTED_VALUE"""),-0.37645915396256)</f>
        <v>-0.37645915396256002</v>
      </c>
      <c r="CD44" s="3">
        <f ca="1">IFERROR(__xludf.DUMMYFUNCTION("""COMPUTED_VALUE"""),-0.403874793056043)</f>
        <v>-0.40387479305604301</v>
      </c>
      <c r="CE44" s="3">
        <f ca="1">IFERROR(__xludf.DUMMYFUNCTION("""COMPUTED_VALUE"""),-0.34109916725948)</f>
        <v>-0.34109916725947997</v>
      </c>
      <c r="CF44" s="3">
        <f ca="1">IFERROR(__xludf.DUMMYFUNCTION("""COMPUTED_VALUE"""),-0.351264149930914)</f>
        <v>-0.35126414993091398</v>
      </c>
      <c r="CG44" s="3">
        <f ca="1">IFERROR(__xludf.DUMMYFUNCTION("""COMPUTED_VALUE"""),-0.24224684298469)</f>
        <v>-0.24224684298468999</v>
      </c>
      <c r="CH44" s="3">
        <f ca="1">IFERROR(__xludf.DUMMYFUNCTION("""COMPUTED_VALUE"""),-0.226733348283512)</f>
        <v>-0.22673334828351199</v>
      </c>
      <c r="CI44" s="3">
        <f ca="1">IFERROR(__xludf.DUMMYFUNCTION("""COMPUTED_VALUE"""),-0.331314907674889)</f>
        <v>-0.33131490767488903</v>
      </c>
      <c r="CJ44" s="3">
        <f ca="1">IFERROR(__xludf.DUMMYFUNCTION("""COMPUTED_VALUE"""),-0.381735278454055)</f>
        <v>-0.38173527845405503</v>
      </c>
      <c r="CK44" s="3">
        <f ca="1">IFERROR(__xludf.DUMMYFUNCTION("""COMPUTED_VALUE"""),-0.382766790973581)</f>
        <v>-0.38276679097358102</v>
      </c>
      <c r="CL44" s="3">
        <f ca="1">IFERROR(__xludf.DUMMYFUNCTION("""COMPUTED_VALUE"""),-0.374022803549802)</f>
        <v>-0.374022803549802</v>
      </c>
      <c r="CM44" s="3">
        <f ca="1">IFERROR(__xludf.DUMMYFUNCTION("""COMPUTED_VALUE"""),-0.296510702451867)</f>
        <v>-0.296510702451867</v>
      </c>
      <c r="CN44" s="3">
        <f ca="1">IFERROR(__xludf.DUMMYFUNCTION("""COMPUTED_VALUE"""),-0.242927027848348)</f>
        <v>-0.24292702784834799</v>
      </c>
      <c r="CO44" s="3">
        <f ca="1">IFERROR(__xludf.DUMMYFUNCTION("""COMPUTED_VALUE"""),-0.236694275765429)</f>
        <v>-0.23669427576542901</v>
      </c>
      <c r="CP44" s="3">
        <f ca="1">IFERROR(__xludf.DUMMYFUNCTION("""COMPUTED_VALUE"""),-0.29670514079179)</f>
        <v>-0.29670514079179</v>
      </c>
      <c r="CQ44" s="3">
        <f ca="1">IFERROR(__xludf.DUMMYFUNCTION("""COMPUTED_VALUE"""),-0.319778192852039)</f>
        <v>-0.31977819285203901</v>
      </c>
      <c r="CR44" s="3">
        <f ca="1">IFERROR(__xludf.DUMMYFUNCTION("""COMPUTED_VALUE"""),-0.176720225965028)</f>
        <v>-0.17672022596502801</v>
      </c>
      <c r="CS44" s="3">
        <f ca="1">IFERROR(__xludf.DUMMYFUNCTION("""COMPUTED_VALUE"""),-0.259639920794552)</f>
        <v>-0.259639920794552</v>
      </c>
      <c r="CT44" s="3">
        <f ca="1">IFERROR(__xludf.DUMMYFUNCTION("""COMPUTED_VALUE"""),-0.236495070762109)</f>
        <v>-0.23649507076210899</v>
      </c>
      <c r="CU44" s="3">
        <f ca="1">IFERROR(__xludf.DUMMYFUNCTION("""COMPUTED_VALUE"""),-0.14204856621696)</f>
        <v>-0.14204856621695999</v>
      </c>
      <c r="CV44" s="3">
        <f ca="1">IFERROR(__xludf.DUMMYFUNCTION("""COMPUTED_VALUE"""),-0.179467438510055)</f>
        <v>-0.17946743851005501</v>
      </c>
      <c r="CW44" s="3">
        <f ca="1">IFERROR(__xludf.DUMMYFUNCTION("""COMPUTED_VALUE"""),-0.516390448259582)</f>
        <v>-0.51639044825958202</v>
      </c>
      <c r="CX44" s="3">
        <f ca="1">IFERROR(__xludf.DUMMYFUNCTION("""COMPUTED_VALUE"""),-0.262179374853224)</f>
        <v>-0.26217937485322401</v>
      </c>
      <c r="CY44" s="3">
        <f ca="1">IFERROR(__xludf.DUMMYFUNCTION("""COMPUTED_VALUE"""),0.123801926115476)</f>
        <v>0.123801926115476</v>
      </c>
      <c r="CZ44" s="3">
        <f ca="1">IFERROR(__xludf.DUMMYFUNCTION("""COMPUTED_VALUE"""),-0.236923664240122)</f>
        <v>-0.23692366424012201</v>
      </c>
      <c r="DA44" s="3">
        <f ca="1">IFERROR(__xludf.DUMMYFUNCTION("""COMPUTED_VALUE"""),-0.291335968943244)</f>
        <v>-0.29133596894324398</v>
      </c>
      <c r="DB44" s="3">
        <f ca="1">IFERROR(__xludf.DUMMYFUNCTION("""COMPUTED_VALUE"""),-0.220549034853405)</f>
        <v>-0.22054903485340499</v>
      </c>
      <c r="DC44" s="3">
        <f ca="1">IFERROR(__xludf.DUMMYFUNCTION("""COMPUTED_VALUE"""),-0.293713178671559)</f>
        <v>-0.29371317867155899</v>
      </c>
      <c r="DD44" s="3">
        <f ca="1">IFERROR(__xludf.DUMMYFUNCTION("""COMPUTED_VALUE"""),-0.672897196583738)</f>
        <v>-0.67289719658373803</v>
      </c>
      <c r="DE44" s="3">
        <f ca="1">IFERROR(__xludf.DUMMYFUNCTION("""COMPUTED_VALUE"""),-0.27270495616722)</f>
        <v>-0.27270495616722001</v>
      </c>
      <c r="DF44" s="3">
        <f ca="1">IFERROR(__xludf.DUMMYFUNCTION("""COMPUTED_VALUE"""),0.32086801578125)</f>
        <v>0.32086801578125002</v>
      </c>
      <c r="DG44" s="3">
        <f ca="1">IFERROR(__xludf.DUMMYFUNCTION("""COMPUTED_VALUE"""),-0.159957102842378)</f>
        <v>-0.15995710284237799</v>
      </c>
      <c r="DH44" s="3">
        <f ca="1">IFERROR(__xludf.DUMMYFUNCTION("""COMPUTED_VALUE"""),-0.222588639367672)</f>
        <v>-0.22258863936767201</v>
      </c>
      <c r="DI44" s="3">
        <f ca="1">IFERROR(__xludf.DUMMYFUNCTION("""COMPUTED_VALUE"""),-0.0703623760922445)</f>
        <v>-7.0362376092244494E-2</v>
      </c>
      <c r="DJ44" s="3">
        <f ca="1">IFERROR(__xludf.DUMMYFUNCTION("""COMPUTED_VALUE"""),-0.131343045121681)</f>
        <v>-0.13134304512168099</v>
      </c>
      <c r="DK44" s="3">
        <f ca="1">IFERROR(__xludf.DUMMYFUNCTION("""COMPUTED_VALUE"""),-0.198266898222824)</f>
        <v>-0.19826689822282401</v>
      </c>
      <c r="DL44" s="3">
        <f ca="1">IFERROR(__xludf.DUMMYFUNCTION("""COMPUTED_VALUE"""),-0.178157719803225)</f>
        <v>-0.17815771980322501</v>
      </c>
      <c r="DM44" s="3">
        <f ca="1">IFERROR(__xludf.DUMMYFUNCTION("""COMPUTED_VALUE"""),-0.0189983446578518)</f>
        <v>-1.8998344657851801E-2</v>
      </c>
      <c r="DN44" s="3">
        <f ca="1">IFERROR(__xludf.DUMMYFUNCTION("""COMPUTED_VALUE"""),-0.235174998793425)</f>
        <v>-0.23517499879342499</v>
      </c>
      <c r="DO44" s="3">
        <f ca="1">IFERROR(__xludf.DUMMYFUNCTION("""COMPUTED_VALUE"""),-0.213204621560745)</f>
        <v>-0.21320462156074499</v>
      </c>
      <c r="DP44" s="3">
        <f ca="1">IFERROR(__xludf.DUMMYFUNCTION("""COMPUTED_VALUE"""),-0.136492262686368)</f>
        <v>-0.13649226268636799</v>
      </c>
      <c r="DQ44" s="3">
        <f ca="1">IFERROR(__xludf.DUMMYFUNCTION("""COMPUTED_VALUE"""),-0.179158327409273)</f>
        <v>-0.17915832740927301</v>
      </c>
      <c r="DR44" s="3">
        <f ca="1">IFERROR(__xludf.DUMMYFUNCTION("""COMPUTED_VALUE"""),-0.290923274553668)</f>
        <v>-0.29092327455366801</v>
      </c>
      <c r="DS44" s="3">
        <f ca="1">IFERROR(__xludf.DUMMYFUNCTION("""COMPUTED_VALUE"""),-0.282017824957798)</f>
        <v>-0.28201782495779798</v>
      </c>
      <c r="DT44" s="3">
        <f ca="1">IFERROR(__xludf.DUMMYFUNCTION("""COMPUTED_VALUE"""),-0.32740337484706)</f>
        <v>-0.32740337484706</v>
      </c>
      <c r="DU44" s="3">
        <f ca="1">IFERROR(__xludf.DUMMYFUNCTION("""COMPUTED_VALUE"""),-0.357719819262296)</f>
        <v>-0.35771981926229601</v>
      </c>
      <c r="DV44" s="3">
        <f ca="1">IFERROR(__xludf.DUMMYFUNCTION("""COMPUTED_VALUE"""),-0.341663903584223)</f>
        <v>-0.34166390358422299</v>
      </c>
      <c r="DW44" s="3">
        <f ca="1">IFERROR(__xludf.DUMMYFUNCTION("""COMPUTED_VALUE"""),-0.213362736061985)</f>
        <v>-0.213362736061985</v>
      </c>
      <c r="DX44" s="3">
        <f ca="1">IFERROR(__xludf.DUMMYFUNCTION("""COMPUTED_VALUE"""),-0.181284343491206)</f>
        <v>-0.18128434349120601</v>
      </c>
      <c r="DY44" s="3">
        <f ca="1">IFERROR(__xludf.DUMMYFUNCTION("""COMPUTED_VALUE"""),-0.245524583429529)</f>
        <v>-0.24552458342952899</v>
      </c>
      <c r="DZ44" s="3">
        <f ca="1">IFERROR(__xludf.DUMMYFUNCTION("""COMPUTED_VALUE"""),-0.137710990168101)</f>
        <v>-0.13771099016810101</v>
      </c>
      <c r="EA44" s="3">
        <f ca="1">IFERROR(__xludf.DUMMYFUNCTION("""COMPUTED_VALUE"""),-0.306719252841163)</f>
        <v>-0.30671925284116303</v>
      </c>
      <c r="EB44" s="3">
        <f ca="1">IFERROR(__xludf.DUMMYFUNCTION("""COMPUTED_VALUE"""),-0.321717854631218)</f>
        <v>-0.32171785463121799</v>
      </c>
      <c r="EC44" s="3">
        <f ca="1">IFERROR(__xludf.DUMMYFUNCTION("""COMPUTED_VALUE"""),-0.27896199999931)</f>
        <v>-0.27896199999930998</v>
      </c>
      <c r="ED44" s="3">
        <f ca="1">IFERROR(__xludf.DUMMYFUNCTION("""COMPUTED_VALUE"""),-0.167097833251738)</f>
        <v>-0.16709783325173799</v>
      </c>
      <c r="EE44" s="3">
        <f ca="1">IFERROR(__xludf.DUMMYFUNCTION("""COMPUTED_VALUE"""),-0.272900023807237)</f>
        <v>-0.27290002380723699</v>
      </c>
      <c r="EF44" s="3">
        <f ca="1">IFERROR(__xludf.DUMMYFUNCTION("""COMPUTED_VALUE"""),-0.403248937267784)</f>
        <v>-0.40324893726778399</v>
      </c>
      <c r="EG44" s="3">
        <f ca="1">IFERROR(__xludf.DUMMYFUNCTION("""COMPUTED_VALUE"""),-0.540549561966304)</f>
        <v>-0.54054956196630399</v>
      </c>
      <c r="EH44" s="3">
        <f ca="1">IFERROR(__xludf.DUMMYFUNCTION("""COMPUTED_VALUE"""),-0.335934872145125)</f>
        <v>-0.33593487214512502</v>
      </c>
      <c r="EI44" s="3">
        <f ca="1">IFERROR(__xludf.DUMMYFUNCTION("""COMPUTED_VALUE"""),-0.34967939585801)</f>
        <v>-0.34967939585801</v>
      </c>
      <c r="EJ44" s="3">
        <f ca="1">IFERROR(__xludf.DUMMYFUNCTION("""COMPUTED_VALUE"""),-0.304352653792061)</f>
        <v>-0.304352653792061</v>
      </c>
      <c r="EK44" s="3">
        <f ca="1">IFERROR(__xludf.DUMMYFUNCTION("""COMPUTED_VALUE"""),-0.188982656650898)</f>
        <v>-0.188982656650898</v>
      </c>
      <c r="EL44" s="3">
        <f ca="1">IFERROR(__xludf.DUMMYFUNCTION("""COMPUTED_VALUE"""),-0.214779407311558)</f>
        <v>-0.21477940731155801</v>
      </c>
      <c r="EM44" s="3">
        <f ca="1">IFERROR(__xludf.DUMMYFUNCTION("""COMPUTED_VALUE"""),-0.259578791837298)</f>
        <v>-0.25957879183729798</v>
      </c>
      <c r="EN44" s="3">
        <f ca="1">IFERROR(__xludf.DUMMYFUNCTION("""COMPUTED_VALUE"""),-0.198189430126422)</f>
        <v>-0.19818943012642201</v>
      </c>
      <c r="EO44" s="3">
        <f ca="1">IFERROR(__xludf.DUMMYFUNCTION("""COMPUTED_VALUE"""),-0.318162600741762)</f>
        <v>-0.318162600741762</v>
      </c>
      <c r="EP44" s="3">
        <f ca="1">IFERROR(__xludf.DUMMYFUNCTION("""COMPUTED_VALUE"""),-0.35220583137462)</f>
        <v>-0.35220583137462003</v>
      </c>
      <c r="EQ44" s="3">
        <f ca="1">IFERROR(__xludf.DUMMYFUNCTION("""COMPUTED_VALUE"""),-0.247063190109622)</f>
        <v>-0.24706319010962199</v>
      </c>
      <c r="ER44" s="3">
        <f ca="1">IFERROR(__xludf.DUMMYFUNCTION("""COMPUTED_VALUE"""),-0.117963071599847)</f>
        <v>-0.11796307159984699</v>
      </c>
      <c r="ES44" s="3">
        <f ca="1">IFERROR(__xludf.DUMMYFUNCTION("""COMPUTED_VALUE"""),-0.231449041530835)</f>
        <v>-0.23144904153083501</v>
      </c>
      <c r="ET44" s="3">
        <f ca="1">IFERROR(__xludf.DUMMYFUNCTION("""COMPUTED_VALUE"""),-0.281388187292374)</f>
        <v>-0.28138818729237403</v>
      </c>
      <c r="EU44" s="3">
        <f ca="1">IFERROR(__xludf.DUMMYFUNCTION("""COMPUTED_VALUE"""),-0.394863613403554)</f>
        <v>-0.39486361340355403</v>
      </c>
      <c r="EV44" s="3">
        <f ca="1">IFERROR(__xludf.DUMMYFUNCTION("""COMPUTED_VALUE"""),-0.383822708123034)</f>
        <v>-0.38382270812303398</v>
      </c>
      <c r="EW44" s="3">
        <f ca="1">IFERROR(__xludf.DUMMYFUNCTION("""COMPUTED_VALUE"""),-0.39129271671014)</f>
        <v>-0.39129271671013999</v>
      </c>
      <c r="EX44" s="3">
        <f ca="1">IFERROR(__xludf.DUMMYFUNCTION("""COMPUTED_VALUE"""),-0.546620390437141)</f>
        <v>-0.54662039043714095</v>
      </c>
      <c r="EY44" s="3">
        <f ca="1">IFERROR(__xludf.DUMMYFUNCTION("""COMPUTED_VALUE"""),-0.439443348085472)</f>
        <v>-0.43944334808547197</v>
      </c>
      <c r="EZ44" s="3">
        <f ca="1">IFERROR(__xludf.DUMMYFUNCTION("""COMPUTED_VALUE"""),-0.361310224577798)</f>
        <v>-0.36131022457779799</v>
      </c>
      <c r="FA44" s="3">
        <f ca="1">IFERROR(__xludf.DUMMYFUNCTION("""COMPUTED_VALUE"""),-0.335868535331886)</f>
        <v>-0.33586853533188599</v>
      </c>
      <c r="FB44" s="3">
        <f ca="1">IFERROR(__xludf.DUMMYFUNCTION("""COMPUTED_VALUE"""),-0.390872444128717)</f>
        <v>-0.39087244412871702</v>
      </c>
      <c r="FC44" s="3">
        <f ca="1">IFERROR(__xludf.DUMMYFUNCTION("""COMPUTED_VALUE"""),-0.373001061348098)</f>
        <v>-0.37300106134809802</v>
      </c>
      <c r="FD44" s="3">
        <f ca="1">IFERROR(__xludf.DUMMYFUNCTION("""COMPUTED_VALUE"""),-0.387093136608027)</f>
        <v>-0.38709313660802702</v>
      </c>
      <c r="FE44" s="3">
        <f ca="1">IFERROR(__xludf.DUMMYFUNCTION("""COMPUTED_VALUE"""),-0.291800597934261)</f>
        <v>-0.291800597934261</v>
      </c>
      <c r="FF44" s="3">
        <f ca="1">IFERROR(__xludf.DUMMYFUNCTION("""COMPUTED_VALUE"""),-0.1402549911527)</f>
        <v>-0.14025499115269999</v>
      </c>
      <c r="FG44" s="3">
        <f ca="1">IFERROR(__xludf.DUMMYFUNCTION("""COMPUTED_VALUE"""),-0.196798925871007)</f>
        <v>-0.196798925871007</v>
      </c>
      <c r="FH44" s="3">
        <f ca="1">IFERROR(__xludf.DUMMYFUNCTION("""COMPUTED_VALUE"""),-0.246942817237699)</f>
        <v>-0.24694281723769901</v>
      </c>
      <c r="FI44" s="3">
        <f ca="1">IFERROR(__xludf.DUMMYFUNCTION("""COMPUTED_VALUE"""),-0.145917820826267)</f>
        <v>-0.145917820826267</v>
      </c>
      <c r="FJ44" s="3">
        <f ca="1">IFERROR(__xludf.DUMMYFUNCTION("""COMPUTED_VALUE"""),-0.327628877484134)</f>
        <v>-0.327628877484134</v>
      </c>
      <c r="FK44" s="3">
        <f ca="1">IFERROR(__xludf.DUMMYFUNCTION("""COMPUTED_VALUE"""),-0.319526761507156)</f>
        <v>-0.31952676150715598</v>
      </c>
      <c r="FL44" s="3">
        <f ca="1">IFERROR(__xludf.DUMMYFUNCTION("""COMPUTED_VALUE"""),-0.319867457678187)</f>
        <v>-0.31986745767818697</v>
      </c>
      <c r="FM44" s="3">
        <f ca="1">IFERROR(__xludf.DUMMYFUNCTION("""COMPUTED_VALUE"""),-0.293364691746514)</f>
        <v>-0.29336469174651397</v>
      </c>
      <c r="FN44" s="3">
        <f ca="1">IFERROR(__xludf.DUMMYFUNCTION("""COMPUTED_VALUE"""),-0.283914577752147)</f>
        <v>-0.28391457775214701</v>
      </c>
      <c r="FO44" s="3">
        <f ca="1">IFERROR(__xludf.DUMMYFUNCTION("""COMPUTED_VALUE"""),-0.315191596313405)</f>
        <v>-0.31519159631340499</v>
      </c>
      <c r="FP44" s="3">
        <f ca="1">IFERROR(__xludf.DUMMYFUNCTION("""COMPUTED_VALUE"""),-0.385646656923972)</f>
        <v>-0.38564665692397199</v>
      </c>
      <c r="FQ44" s="3">
        <f ca="1">IFERROR(__xludf.DUMMYFUNCTION("""COMPUTED_VALUE"""),-0.494317838121566)</f>
        <v>-0.49431783812156599</v>
      </c>
      <c r="FR44" s="3">
        <f ca="1">IFERROR(__xludf.DUMMYFUNCTION("""COMPUTED_VALUE"""),-0.383320179025596)</f>
        <v>-0.38332017902559601</v>
      </c>
      <c r="FS44" s="3">
        <f ca="1">IFERROR(__xludf.DUMMYFUNCTION("""COMPUTED_VALUE"""),-0.391090359511508)</f>
        <v>-0.391090359511508</v>
      </c>
      <c r="FT44" s="3">
        <f ca="1">IFERROR(__xludf.DUMMYFUNCTION("""COMPUTED_VALUE"""),-0.229187663181552)</f>
        <v>-0.22918766318155201</v>
      </c>
      <c r="FU44" s="3">
        <f ca="1">IFERROR(__xludf.DUMMYFUNCTION("""COMPUTED_VALUE"""),-0.190988499413977)</f>
        <v>-0.190988499413977</v>
      </c>
      <c r="FV44" s="3">
        <f ca="1">IFERROR(__xludf.DUMMYFUNCTION("""COMPUTED_VALUE"""),-0.376478539014112)</f>
        <v>-0.37647853901411199</v>
      </c>
      <c r="FW44" s="3">
        <f ca="1">IFERROR(__xludf.DUMMYFUNCTION("""COMPUTED_VALUE"""),-0.322811877672509)</f>
        <v>-0.32281187767250902</v>
      </c>
      <c r="FX44" s="3">
        <f ca="1">IFERROR(__xludf.DUMMYFUNCTION("""COMPUTED_VALUE"""),-0.297863156106431)</f>
        <v>-0.29786315610643099</v>
      </c>
      <c r="FY44" s="3">
        <f ca="1">IFERROR(__xludf.DUMMYFUNCTION("""COMPUTED_VALUE"""),-0.321925072889871)</f>
        <v>-0.32192507288987099</v>
      </c>
      <c r="FZ44" s="3">
        <f ca="1">IFERROR(__xludf.DUMMYFUNCTION("""COMPUTED_VALUE"""),-0.323983427978088)</f>
        <v>-0.32398342797808799</v>
      </c>
      <c r="GA44" s="3">
        <f ca="1">IFERROR(__xludf.DUMMYFUNCTION("""COMPUTED_VALUE"""),-0.215654648529853)</f>
        <v>-0.215654648529853</v>
      </c>
      <c r="GB44" s="3">
        <f ca="1">IFERROR(__xludf.DUMMYFUNCTION("""COMPUTED_VALUE"""),-0.217564477886275)</f>
        <v>-0.217564477886275</v>
      </c>
      <c r="GC44" s="3">
        <f ca="1">IFERROR(__xludf.DUMMYFUNCTION("""COMPUTED_VALUE"""),-0.320287989153687)</f>
        <v>-0.320287989153687</v>
      </c>
      <c r="GD44" s="3">
        <f ca="1">IFERROR(__xludf.DUMMYFUNCTION("""COMPUTED_VALUE"""),-0.333888558244722)</f>
        <v>-0.33388855824472202</v>
      </c>
      <c r="GE44" s="3">
        <f ca="1">IFERROR(__xludf.DUMMYFUNCTION("""COMPUTED_VALUE"""),-0.304699264231832)</f>
        <v>-0.30469926423183202</v>
      </c>
      <c r="GF44" s="3">
        <f ca="1">IFERROR(__xludf.DUMMYFUNCTION("""COMPUTED_VALUE"""),-0.315340380734044)</f>
        <v>-0.31534038073404402</v>
      </c>
      <c r="GG44" s="3">
        <f ca="1">IFERROR(__xludf.DUMMYFUNCTION("""COMPUTED_VALUE"""),-0.30797159544579)</f>
        <v>-0.30797159544579</v>
      </c>
      <c r="GH44" s="3">
        <f ca="1">IFERROR(__xludf.DUMMYFUNCTION("""COMPUTED_VALUE"""),-0.22519891596294)</f>
        <v>-0.22519891596294001</v>
      </c>
      <c r="GI44" s="3">
        <f ca="1">IFERROR(__xludf.DUMMYFUNCTION("""COMPUTED_VALUE"""),-0.33462692598503)</f>
        <v>-0.33462692598503002</v>
      </c>
      <c r="GJ44" s="3">
        <f ca="1">IFERROR(__xludf.DUMMYFUNCTION("""COMPUTED_VALUE"""),-0.388488497441996)</f>
        <v>-0.38848849744199598</v>
      </c>
      <c r="GK44" s="3">
        <f ca="1">IFERROR(__xludf.DUMMYFUNCTION("""COMPUTED_VALUE"""),-0.365908094727581)</f>
        <v>-0.36590809472758101</v>
      </c>
      <c r="GL44" s="3">
        <f ca="1">IFERROR(__xludf.DUMMYFUNCTION("""COMPUTED_VALUE"""),-0.421463511609408)</f>
        <v>-0.42146351160940798</v>
      </c>
      <c r="GM44" s="3">
        <f ca="1">IFERROR(__xludf.DUMMYFUNCTION("""COMPUTED_VALUE"""),-0.342417308046221)</f>
        <v>-0.342417308046221</v>
      </c>
      <c r="GN44" s="3">
        <f ca="1">IFERROR(__xludf.DUMMYFUNCTION("""COMPUTED_VALUE"""),-0.352306790409201)</f>
        <v>-0.35230679040920099</v>
      </c>
      <c r="GO44" s="3">
        <f ca="1">IFERROR(__xludf.DUMMYFUNCTION("""COMPUTED_VALUE"""),-0.190534941854345)</f>
        <v>-0.190534941854345</v>
      </c>
      <c r="GP44" s="3">
        <f ca="1">IFERROR(__xludf.DUMMYFUNCTION("""COMPUTED_VALUE"""),-0.298241134841088)</f>
        <v>-0.298241134841088</v>
      </c>
      <c r="GQ44" s="3">
        <f ca="1">IFERROR(__xludf.DUMMYFUNCTION("""COMPUTED_VALUE"""),-0.405032997567485)</f>
        <v>-0.40503299756748501</v>
      </c>
      <c r="GR44" s="3">
        <f ca="1">IFERROR(__xludf.DUMMYFUNCTION("""COMPUTED_VALUE"""),-0.430922542667809)</f>
        <v>-0.43092254266780899</v>
      </c>
      <c r="GS44" s="3">
        <f ca="1">IFERROR(__xludf.DUMMYFUNCTION("""COMPUTED_VALUE"""),-0.383405717818414)</f>
        <v>-0.38340571781841398</v>
      </c>
      <c r="GT44" s="3">
        <f ca="1">IFERROR(__xludf.DUMMYFUNCTION("""COMPUTED_VALUE"""),-0.361142458012464)</f>
        <v>-0.36114245801246397</v>
      </c>
      <c r="GU44" s="3">
        <f ca="1">IFERROR(__xludf.DUMMYFUNCTION("""COMPUTED_VALUE"""),-0.443419818714965)</f>
        <v>-0.443419818714965</v>
      </c>
      <c r="GV44" s="3">
        <f ca="1">IFERROR(__xludf.DUMMYFUNCTION("""COMPUTED_VALUE"""),-0.157505512790839)</f>
        <v>-0.15750551279083899</v>
      </c>
      <c r="GW44" s="3">
        <f ca="1">IFERROR(__xludf.DUMMYFUNCTION("""COMPUTED_VALUE"""),-0.216484965655633)</f>
        <v>-0.21648496565563299</v>
      </c>
      <c r="GX44" s="3">
        <f ca="1">IFERROR(__xludf.DUMMYFUNCTION("""COMPUTED_VALUE"""),-0.329400786083284)</f>
        <v>-0.32940078608328399</v>
      </c>
      <c r="GY44" s="3">
        <f ca="1">IFERROR(__xludf.DUMMYFUNCTION("""COMPUTED_VALUE"""),-0.369835536741913)</f>
        <v>-0.369835536741913</v>
      </c>
      <c r="GZ44" s="3">
        <f ca="1">IFERROR(__xludf.DUMMYFUNCTION("""COMPUTED_VALUE"""),-0.379639753190652)</f>
        <v>-0.37963975319065202</v>
      </c>
      <c r="HA44" s="3">
        <f ca="1">IFERROR(__xludf.DUMMYFUNCTION("""COMPUTED_VALUE"""),-0.377633075553291)</f>
        <v>-0.37763307555329101</v>
      </c>
      <c r="HB44" s="3">
        <f ca="1">IFERROR(__xludf.DUMMYFUNCTION("""COMPUTED_VALUE"""),-0.377844298141759)</f>
        <v>-0.37784429814175902</v>
      </c>
      <c r="HC44" s="3">
        <f ca="1">IFERROR(__xludf.DUMMYFUNCTION("""COMPUTED_VALUE"""),-0.143148041198291)</f>
        <v>-0.143148041198291</v>
      </c>
      <c r="HD44" s="3">
        <f ca="1">IFERROR(__xludf.DUMMYFUNCTION("""COMPUTED_VALUE"""),-0.336580507259156)</f>
        <v>-0.336580507259156</v>
      </c>
      <c r="HE44" s="3">
        <f ca="1">IFERROR(__xludf.DUMMYFUNCTION("""COMPUTED_VALUE"""),-0.317208434433369)</f>
        <v>-0.31720843443336899</v>
      </c>
      <c r="HF44" s="3">
        <f ca="1">IFERROR(__xludf.DUMMYFUNCTION("""COMPUTED_VALUE"""),-0.373169067654399)</f>
        <v>-0.373169067654399</v>
      </c>
      <c r="HG44" s="3">
        <f ca="1">IFERROR(__xludf.DUMMYFUNCTION("""COMPUTED_VALUE"""),-0.38878529296934)</f>
        <v>-0.38878529296934</v>
      </c>
      <c r="HH44" s="3">
        <f ca="1">IFERROR(__xludf.DUMMYFUNCTION("""COMPUTED_VALUE"""),-0.265056788897929)</f>
        <v>-0.265056788897929</v>
      </c>
      <c r="HI44" s="3">
        <f ca="1">IFERROR(__xludf.DUMMYFUNCTION("""COMPUTED_VALUE"""),-0.354993832865239)</f>
        <v>-0.354993832865239</v>
      </c>
      <c r="HJ44" s="3">
        <f ca="1">IFERROR(__xludf.DUMMYFUNCTION("""COMPUTED_VALUE"""),-0.0759388884962222)</f>
        <v>-7.5938888496222198E-2</v>
      </c>
      <c r="HK44" s="3">
        <f ca="1">IFERROR(__xludf.DUMMYFUNCTION("""COMPUTED_VALUE"""),-0.127154986425703)</f>
        <v>-0.127154986425703</v>
      </c>
      <c r="HL44" s="3">
        <f ca="1">IFERROR(__xludf.DUMMYFUNCTION("""COMPUTED_VALUE"""),-0.282626248517577)</f>
        <v>-0.28262624851757701</v>
      </c>
      <c r="HM44" s="3">
        <f ca="1">IFERROR(__xludf.DUMMYFUNCTION("""COMPUTED_VALUE"""),-0.349833530002299)</f>
        <v>-0.349833530002299</v>
      </c>
      <c r="HN44" s="3">
        <f ca="1">IFERROR(__xludf.DUMMYFUNCTION("""COMPUTED_VALUE"""),-0.369057295622506)</f>
        <v>-0.369057295622506</v>
      </c>
      <c r="HO44" s="3">
        <f ca="1">IFERROR(__xludf.DUMMYFUNCTION("""COMPUTED_VALUE"""),-0.18265043044297)</f>
        <v>-0.18265043044297</v>
      </c>
      <c r="HP44" s="3">
        <f ca="1">IFERROR(__xludf.DUMMYFUNCTION("""COMPUTED_VALUE"""),-0.198665686119169)</f>
        <v>-0.19866568611916899</v>
      </c>
      <c r="HQ44" s="3">
        <f ca="1">IFERROR(__xludf.DUMMYFUNCTION("""COMPUTED_VALUE"""),-0.0849255418290472)</f>
        <v>-8.4925541829047199E-2</v>
      </c>
      <c r="HR44" s="3">
        <f ca="1">IFERROR(__xludf.DUMMYFUNCTION("""COMPUTED_VALUE"""),-0.140838239834473)</f>
        <v>-0.14083823983447299</v>
      </c>
      <c r="HS44" s="3">
        <f ca="1">IFERROR(__xludf.DUMMYFUNCTION("""COMPUTED_VALUE"""),-0.268074923922586)</f>
        <v>-0.26807492392258597</v>
      </c>
      <c r="HT44" s="3">
        <f ca="1">IFERROR(__xludf.DUMMYFUNCTION("""COMPUTED_VALUE"""),-0.373673585191569)</f>
        <v>-0.37367358519156901</v>
      </c>
      <c r="HU44" s="3">
        <f ca="1">IFERROR(__xludf.DUMMYFUNCTION("""COMPUTED_VALUE"""),-0.363864944237919)</f>
        <v>-0.36386494423791899</v>
      </c>
      <c r="HV44" s="3">
        <f ca="1">IFERROR(__xludf.DUMMYFUNCTION("""COMPUTED_VALUE"""),-0.216356504466815)</f>
        <v>-0.21635650446681501</v>
      </c>
      <c r="HW44" s="3">
        <f ca="1">IFERROR(__xludf.DUMMYFUNCTION("""COMPUTED_VALUE"""),-0.188672218801205)</f>
        <v>-0.18867221880120499</v>
      </c>
      <c r="HX44" s="3">
        <f ca="1">IFERROR(__xludf.DUMMYFUNCTION("""COMPUTED_VALUE"""),-0.138590069360126)</f>
        <v>-0.13859006936012599</v>
      </c>
      <c r="HY44" s="3">
        <f ca="1">IFERROR(__xludf.DUMMYFUNCTION("""COMPUTED_VALUE"""),-0.171893443712921)</f>
        <v>-0.17189344371292101</v>
      </c>
      <c r="HZ44" s="3">
        <f ca="1">IFERROR(__xludf.DUMMYFUNCTION("""COMPUTED_VALUE"""),-0.293782338885367)</f>
        <v>-0.29378233888536698</v>
      </c>
      <c r="IA44" s="3">
        <f ca="1">IFERROR(__xludf.DUMMYFUNCTION("""COMPUTED_VALUE"""),-0.35694060476329)</f>
        <v>-0.35694060476328998</v>
      </c>
      <c r="IB44" s="3">
        <f ca="1">IFERROR(__xludf.DUMMYFUNCTION("""COMPUTED_VALUE"""),-0.377333075451147)</f>
        <v>-0.37733307545114703</v>
      </c>
      <c r="IC44" s="3">
        <f ca="1">IFERROR(__xludf.DUMMYFUNCTION("""COMPUTED_VALUE"""),-0.304293217175733)</f>
        <v>-0.30429321717573299</v>
      </c>
      <c r="ID44" s="3">
        <f ca="1">IFERROR(__xludf.DUMMYFUNCTION("""COMPUTED_VALUE"""),-0.307888140223221)</f>
        <v>-0.30788814022322097</v>
      </c>
      <c r="IE44" s="3">
        <f ca="1">IFERROR(__xludf.DUMMYFUNCTION("""COMPUTED_VALUE"""),-0.136996122789643)</f>
        <v>-0.13699612278964299</v>
      </c>
      <c r="IF44" s="3">
        <f ca="1">IFERROR(__xludf.DUMMYFUNCTION("""COMPUTED_VALUE"""),-0.184664134967677)</f>
        <v>-0.184664134967677</v>
      </c>
      <c r="IG44" s="3">
        <f ca="1">IFERROR(__xludf.DUMMYFUNCTION("""COMPUTED_VALUE"""),-0.287728502758515)</f>
        <v>-0.28772850275851503</v>
      </c>
      <c r="IH44" s="3">
        <f ca="1">IFERROR(__xludf.DUMMYFUNCTION("""COMPUTED_VALUE"""),-0.308750914622599)</f>
        <v>-0.30875091462259902</v>
      </c>
      <c r="II44" s="3">
        <f ca="1">IFERROR(__xludf.DUMMYFUNCTION("""COMPUTED_VALUE"""),-0.33231761370731)</f>
        <v>-0.33231761370731</v>
      </c>
      <c r="IJ44" s="3">
        <f ca="1">IFERROR(__xludf.DUMMYFUNCTION("""COMPUTED_VALUE"""),-0.322626273512952)</f>
        <v>-0.32262627351295198</v>
      </c>
      <c r="IK44" s="3">
        <f ca="1">IFERROR(__xludf.DUMMYFUNCTION("""COMPUTED_VALUE"""),-0.273491499478914)</f>
        <v>-0.27349149947891399</v>
      </c>
      <c r="IL44" s="3">
        <f ca="1">IFERROR(__xludf.DUMMYFUNCTION("""COMPUTED_VALUE"""),-0.141420350557705)</f>
        <v>-0.14142035055770499</v>
      </c>
      <c r="IM44" s="3">
        <f ca="1">IFERROR(__xludf.DUMMYFUNCTION("""COMPUTED_VALUE"""),-0.239119662019497)</f>
        <v>-0.239119662019497</v>
      </c>
      <c r="IN44" s="3">
        <f ca="1">IFERROR(__xludf.DUMMYFUNCTION("""COMPUTED_VALUE"""),-0.288831960148336)</f>
        <v>-0.28883196014833601</v>
      </c>
      <c r="IO44" s="3">
        <f ca="1">IFERROR(__xludf.DUMMYFUNCTION("""COMPUTED_VALUE"""),-0.322005287931564)</f>
        <v>-0.32200528793156402</v>
      </c>
      <c r="IP44" s="3">
        <f ca="1">IFERROR(__xludf.DUMMYFUNCTION("""COMPUTED_VALUE"""),-0.307682864824235)</f>
        <v>-0.30768286482423501</v>
      </c>
      <c r="IQ44" s="3">
        <f ca="1">IFERROR(__xludf.DUMMYFUNCTION("""COMPUTED_VALUE"""),-0.298879799772942)</f>
        <v>-0.29887979977294199</v>
      </c>
      <c r="IR44" s="3">
        <f ca="1">IFERROR(__xludf.DUMMYFUNCTION("""COMPUTED_VALUE"""),-0.300197395403576)</f>
        <v>-0.30019739540357598</v>
      </c>
      <c r="IS44" s="3">
        <f ca="1">IFERROR(__xludf.DUMMYFUNCTION("""COMPUTED_VALUE"""),-0.38412460629833)</f>
        <v>-0.38412460629833001</v>
      </c>
      <c r="IT44" s="3">
        <f ca="1">IFERROR(__xludf.DUMMYFUNCTION("""COMPUTED_VALUE"""),-0.353778439145089)</f>
        <v>-0.353778439145089</v>
      </c>
      <c r="IU44" s="3">
        <f ca="1">IFERROR(__xludf.DUMMYFUNCTION("""COMPUTED_VALUE"""),-0.270232042374565)</f>
        <v>-0.270232042374565</v>
      </c>
      <c r="IV44" s="3">
        <f ca="1">IFERROR(__xludf.DUMMYFUNCTION("""COMPUTED_VALUE"""),-0.287300486096519)</f>
        <v>-0.28730048609651898</v>
      </c>
      <c r="IW44" s="3">
        <f ca="1">IFERROR(__xludf.DUMMYFUNCTION("""COMPUTED_VALUE"""),-0.290492617121938)</f>
        <v>-0.29049261712193802</v>
      </c>
      <c r="IX44" s="3">
        <f ca="1">IFERROR(__xludf.DUMMYFUNCTION("""COMPUTED_VALUE"""),-0.299702122826155)</f>
        <v>-0.29970212282615499</v>
      </c>
      <c r="IY44" s="3">
        <f ca="1">IFERROR(__xludf.DUMMYFUNCTION("""COMPUTED_VALUE"""),-0.272213812747131)</f>
        <v>-0.27221381274713102</v>
      </c>
      <c r="IZ44" s="3">
        <f ca="1">IFERROR(__xludf.DUMMYFUNCTION("""COMPUTED_VALUE"""),-0.15891711527151)</f>
        <v>-0.15891711527151001</v>
      </c>
      <c r="JA44" s="3">
        <f ca="1">IFERROR(__xludf.DUMMYFUNCTION("""COMPUTED_VALUE"""),-0.191520551492485)</f>
        <v>-0.19152055149248501</v>
      </c>
      <c r="JB44" s="3">
        <f ca="1">IFERROR(__xludf.DUMMYFUNCTION("""COMPUTED_VALUE"""),-0.301439265375883)</f>
        <v>-0.301439265375883</v>
      </c>
      <c r="JC44" s="3">
        <f ca="1">IFERROR(__xludf.DUMMYFUNCTION("""COMPUTED_VALUE"""),-0.365869741430395)</f>
        <v>-0.36586974143039502</v>
      </c>
      <c r="JD44" s="3">
        <f ca="1">IFERROR(__xludf.DUMMYFUNCTION("""COMPUTED_VALUE"""),-0.373425049507068)</f>
        <v>-0.37342504950706801</v>
      </c>
      <c r="JE44" s="3">
        <f ca="1">IFERROR(__xludf.DUMMYFUNCTION("""COMPUTED_VALUE"""),-0.322429186490269)</f>
        <v>-0.32242918649026903</v>
      </c>
      <c r="JF44" s="3">
        <f ca="1">IFERROR(__xludf.DUMMYFUNCTION("""COMPUTED_VALUE"""),-0.312223888398677)</f>
        <v>-0.31222388839867699</v>
      </c>
      <c r="JG44" s="3">
        <f ca="1">IFERROR(__xludf.DUMMYFUNCTION("""COMPUTED_VALUE"""),-0.14830061627544)</f>
        <v>-0.14830061627544</v>
      </c>
      <c r="JH44" s="3">
        <f ca="1">IFERROR(__xludf.DUMMYFUNCTION("""COMPUTED_VALUE"""),-0.341592319502654)</f>
        <v>-0.34159231950265401</v>
      </c>
      <c r="JI44" s="3">
        <f ca="1">IFERROR(__xludf.DUMMYFUNCTION("""COMPUTED_VALUE"""),-0.32046974951019)</f>
        <v>-0.32046974951019003</v>
      </c>
      <c r="JJ44" s="3">
        <f ca="1">IFERROR(__xludf.DUMMYFUNCTION("""COMPUTED_VALUE"""),-0.326715390422337)</f>
        <v>-0.32671539042233699</v>
      </c>
      <c r="JK44" s="3">
        <f ca="1">IFERROR(__xludf.DUMMYFUNCTION("""COMPUTED_VALUE"""),-0.322236142847529)</f>
        <v>-0.32223614284752899</v>
      </c>
      <c r="JL44" s="3">
        <f ca="1">IFERROR(__xludf.DUMMYFUNCTION("""COMPUTED_VALUE"""),-0.295757005167216)</f>
        <v>-0.29575700516721598</v>
      </c>
      <c r="JM44" s="3">
        <f ca="1">IFERROR(__xludf.DUMMYFUNCTION("""COMPUTED_VALUE"""),-0.280765778040457)</f>
        <v>-0.28076577804045699</v>
      </c>
      <c r="JN44" s="3">
        <f ca="1">IFERROR(__xludf.DUMMYFUNCTION("""COMPUTED_VALUE"""),-0.199340640370294)</f>
        <v>-0.199340640370294</v>
      </c>
      <c r="JO44" s="3">
        <f ca="1">IFERROR(__xludf.DUMMYFUNCTION("""COMPUTED_VALUE"""),-0.256883275539189)</f>
        <v>-0.25688327553918899</v>
      </c>
      <c r="JP44" s="3">
        <f ca="1">IFERROR(__xludf.DUMMYFUNCTION("""COMPUTED_VALUE"""),-0.270957687495635)</f>
        <v>-0.27095768749563498</v>
      </c>
      <c r="JQ44" s="3">
        <f ca="1">IFERROR(__xludf.DUMMYFUNCTION("""COMPUTED_VALUE"""),-0.178827385671018)</f>
        <v>-0.178827385671018</v>
      </c>
      <c r="JR44" s="3">
        <f ca="1">IFERROR(__xludf.DUMMYFUNCTION("""COMPUTED_VALUE"""),-0.33327846042633)</f>
        <v>-0.33327846042633003</v>
      </c>
      <c r="JS44" s="3">
        <f ca="1">IFERROR(__xludf.DUMMYFUNCTION("""COMPUTED_VALUE"""),-0.308758841547689)</f>
        <v>-0.30875884154768901</v>
      </c>
      <c r="JT44" s="3">
        <f ca="1">IFERROR(__xludf.DUMMYFUNCTION("""COMPUTED_VALUE"""),-0.337542104368661)</f>
        <v>-0.337542104368661</v>
      </c>
      <c r="JU44" s="3">
        <f ca="1">IFERROR(__xludf.DUMMYFUNCTION("""COMPUTED_VALUE"""),-0.279278493584612)</f>
        <v>-0.27927849358461199</v>
      </c>
      <c r="JV44" s="3">
        <f ca="1">IFERROR(__xludf.DUMMYFUNCTION("""COMPUTED_VALUE"""),-0.287695024730455)</f>
        <v>-0.287695024730455</v>
      </c>
      <c r="JW44" s="3">
        <f ca="1">IFERROR(__xludf.DUMMYFUNCTION("""COMPUTED_VALUE"""),-0.220923422448854)</f>
        <v>-0.22092342244885399</v>
      </c>
      <c r="JX44" s="3">
        <f ca="1">IFERROR(__xludf.DUMMYFUNCTION("""COMPUTED_VALUE"""),-0.175686843390521)</f>
        <v>-0.17568684339052101</v>
      </c>
      <c r="JY44" s="3">
        <f ca="1">IFERROR(__xludf.DUMMYFUNCTION("""COMPUTED_VALUE"""),-0.314398502433858)</f>
        <v>-0.31439850243385797</v>
      </c>
      <c r="JZ44" s="3">
        <f ca="1">IFERROR(__xludf.DUMMYFUNCTION("""COMPUTED_VALUE"""),-0.204919858451886)</f>
        <v>-0.20491985845188601</v>
      </c>
      <c r="KA44" s="3">
        <f ca="1">IFERROR(__xludf.DUMMYFUNCTION("""COMPUTED_VALUE"""),-0.0204756667306117)</f>
        <v>-2.04756667306117E-2</v>
      </c>
      <c r="KB44" s="3">
        <f ca="1">IFERROR(__xludf.DUMMYFUNCTION("""COMPUTED_VALUE"""),0.0679060072249959)</f>
        <v>6.7906007224995901E-2</v>
      </c>
      <c r="KC44" s="3">
        <f ca="1">IFERROR(__xludf.DUMMYFUNCTION("""COMPUTED_VALUE"""),-0.102996511376876)</f>
        <v>-0.102996511376876</v>
      </c>
      <c r="KD44" s="3">
        <f ca="1">IFERROR(__xludf.DUMMYFUNCTION("""COMPUTED_VALUE"""),-0.237669398480296)</f>
        <v>-0.237669398480296</v>
      </c>
      <c r="KE44" s="3">
        <f ca="1">IFERROR(__xludf.DUMMYFUNCTION("""COMPUTED_VALUE"""),-0.102552882042713)</f>
        <v>-0.102552882042713</v>
      </c>
      <c r="KF44" s="3">
        <f ca="1">IFERROR(__xludf.DUMMYFUNCTION("""COMPUTED_VALUE"""),-0.298572682039113)</f>
        <v>-0.29857268203911302</v>
      </c>
      <c r="KG44" s="3">
        <f ca="1">IFERROR(__xludf.DUMMYFUNCTION("""COMPUTED_VALUE"""),-0.304323110575619)</f>
        <v>-0.304323110575619</v>
      </c>
      <c r="KH44" s="3">
        <f ca="1">IFERROR(__xludf.DUMMYFUNCTION("""COMPUTED_VALUE"""),-0.304585025415244)</f>
        <v>-0.30458502541524402</v>
      </c>
      <c r="KI44" s="3">
        <f ca="1">IFERROR(__xludf.DUMMYFUNCTION("""COMPUTED_VALUE"""),-0.147314144384199)</f>
        <v>-0.14731414438419899</v>
      </c>
      <c r="KJ44" s="3">
        <f ca="1">IFERROR(__xludf.DUMMYFUNCTION("""COMPUTED_VALUE"""),-0.117479082438553)</f>
        <v>-0.117479082438553</v>
      </c>
      <c r="KK44" s="3">
        <f ca="1">IFERROR(__xludf.DUMMYFUNCTION("""COMPUTED_VALUE"""),-0.260187182437145)</f>
        <v>-0.260187182437145</v>
      </c>
      <c r="KL44" s="3">
        <f ca="1">IFERROR(__xludf.DUMMYFUNCTION("""COMPUTED_VALUE"""),-0.393307397102185)</f>
        <v>-0.39330739710218499</v>
      </c>
      <c r="KM44" s="3">
        <f ca="1">IFERROR(__xludf.DUMMYFUNCTION("""COMPUTED_VALUE"""),-0.330530872253704)</f>
        <v>-0.33053087225370398</v>
      </c>
      <c r="KN44" s="3">
        <f ca="1">IFERROR(__xludf.DUMMYFUNCTION("""COMPUTED_VALUE"""),-0.309285281853659)</f>
        <v>-0.309285281853659</v>
      </c>
      <c r="KO44" s="3">
        <f ca="1">IFERROR(__xludf.DUMMYFUNCTION("""COMPUTED_VALUE"""),-0.309343301692282)</f>
        <v>-0.30934330169228202</v>
      </c>
      <c r="KP44" s="3">
        <f ca="1">IFERROR(__xludf.DUMMYFUNCTION("""COMPUTED_VALUE"""),-0.133652392660474)</f>
        <v>-0.13365239266047399</v>
      </c>
      <c r="KQ44" s="3">
        <f ca="1">IFERROR(__xludf.DUMMYFUNCTION("""COMPUTED_VALUE"""),-0.250880104887085)</f>
        <v>-0.25088010488708501</v>
      </c>
      <c r="KR44" s="3">
        <f ca="1">IFERROR(__xludf.DUMMYFUNCTION("""COMPUTED_VALUE"""),-0.238260091096029)</f>
        <v>-0.238260091096029</v>
      </c>
      <c r="KS44" s="3">
        <f ca="1">IFERROR(__xludf.DUMMYFUNCTION("""COMPUTED_VALUE"""),-0.358760226206999)</f>
        <v>-0.35876022620699899</v>
      </c>
      <c r="KT44" s="3">
        <f ca="1">IFERROR(__xludf.DUMMYFUNCTION("""COMPUTED_VALUE"""),-0.335792814414648)</f>
        <v>-0.33579281441464798</v>
      </c>
      <c r="KU44" s="3">
        <f ca="1">IFERROR(__xludf.DUMMYFUNCTION("""COMPUTED_VALUE"""),-0.369802592264222)</f>
        <v>-0.36980259226422202</v>
      </c>
      <c r="KV44" s="3">
        <f ca="1">IFERROR(__xludf.DUMMYFUNCTION("""COMPUTED_VALUE"""),-0.344480519038244)</f>
        <v>-0.344480519038244</v>
      </c>
      <c r="KW44" s="3">
        <f ca="1">IFERROR(__xludf.DUMMYFUNCTION("""COMPUTED_VALUE"""),-0.178289021198186)</f>
        <v>-0.17828902119818599</v>
      </c>
      <c r="KX44" s="3">
        <f ca="1">IFERROR(__xludf.DUMMYFUNCTION("""COMPUTED_VALUE"""),-0.299648174752842)</f>
        <v>-0.299648174752842</v>
      </c>
      <c r="KY44" s="3">
        <f ca="1">IFERROR(__xludf.DUMMYFUNCTION("""COMPUTED_VALUE"""),-0.396436209776894)</f>
        <v>-0.39643620977689398</v>
      </c>
      <c r="KZ44" s="3">
        <f ca="1">IFERROR(__xludf.DUMMYFUNCTION("""COMPUTED_VALUE"""),-0.482207356688114)</f>
        <v>-0.48220735668811399</v>
      </c>
      <c r="LA44" s="3">
        <f ca="1">IFERROR(__xludf.DUMMYFUNCTION("""COMPUTED_VALUE"""),-0.44902119505182)</f>
        <v>-0.44902119505181998</v>
      </c>
      <c r="LB44" s="3">
        <f ca="1">IFERROR(__xludf.DUMMYFUNCTION("""COMPUTED_VALUE"""),-0.471731830445442)</f>
        <v>-0.47173183044544198</v>
      </c>
      <c r="LC44" s="3">
        <f ca="1">IFERROR(__xludf.DUMMYFUNCTION("""COMPUTED_VALUE"""),-0.175753235439317)</f>
        <v>-0.17575323543931701</v>
      </c>
      <c r="LD44" s="3">
        <f ca="1">IFERROR(__xludf.DUMMYFUNCTION("""COMPUTED_VALUE"""),-0.409056431244401)</f>
        <v>-0.409056431244401</v>
      </c>
      <c r="LE44" s="3">
        <f ca="1">IFERROR(__xludf.DUMMYFUNCTION("""COMPUTED_VALUE"""),-0.286017617342363)</f>
        <v>-0.28601761734236297</v>
      </c>
      <c r="LF44" s="3">
        <f ca="1">IFERROR(__xludf.DUMMYFUNCTION("""COMPUTED_VALUE"""),-0.338112828169163)</f>
        <v>-0.33811282816916299</v>
      </c>
      <c r="LG44" s="3">
        <f ca="1">IFERROR(__xludf.DUMMYFUNCTION("""COMPUTED_VALUE"""),-0.364919097984604)</f>
        <v>-0.36491909798460398</v>
      </c>
      <c r="LH44" s="3">
        <f ca="1">IFERROR(__xludf.DUMMYFUNCTION("""COMPUTED_VALUE"""),-0.423416765074205)</f>
        <v>-0.423416765074205</v>
      </c>
      <c r="LI44" s="3">
        <f ca="1">IFERROR(__xludf.DUMMYFUNCTION("""COMPUTED_VALUE"""),-0.472366596664962)</f>
        <v>-0.472366596664962</v>
      </c>
      <c r="LJ44" s="3">
        <f ca="1">IFERROR(__xludf.DUMMYFUNCTION("""COMPUTED_VALUE"""),-0.744695217213727)</f>
        <v>-0.744695217213727</v>
      </c>
      <c r="LK44" s="3">
        <f ca="1">IFERROR(__xludf.DUMMYFUNCTION("""COMPUTED_VALUE"""),-0.517987920825205)</f>
        <v>-0.51798792082520495</v>
      </c>
      <c r="LL44" s="3">
        <f ca="1">IFERROR(__xludf.DUMMYFUNCTION("""COMPUTED_VALUE"""),-0.372193407126335)</f>
        <v>-0.37219340712633497</v>
      </c>
      <c r="LM44" s="3">
        <f ca="1">IFERROR(__xludf.DUMMYFUNCTION("""COMPUTED_VALUE"""),-0.439110927956258)</f>
        <v>-0.439110927956258</v>
      </c>
      <c r="LN44" s="3">
        <f ca="1">IFERROR(__xludf.DUMMYFUNCTION("""COMPUTED_VALUE"""),-0.498714292996059)</f>
        <v>-0.49871429299605902</v>
      </c>
      <c r="LO44" s="3">
        <f ca="1">IFERROR(__xludf.DUMMYFUNCTION("""COMPUTED_VALUE"""),-0.455517742106592)</f>
        <v>-0.45551774210659202</v>
      </c>
      <c r="LP44" s="3">
        <f ca="1">IFERROR(__xludf.DUMMYFUNCTION("""COMPUTED_VALUE"""),-0.492975679524551)</f>
        <v>-0.49297567952455101</v>
      </c>
      <c r="LQ44" s="3">
        <f ca="1">IFERROR(__xludf.DUMMYFUNCTION("""COMPUTED_VALUE"""),-0.457339173160427)</f>
        <v>-0.45733917316042699</v>
      </c>
      <c r="LR44" s="3">
        <f ca="1">IFERROR(__xludf.DUMMYFUNCTION("""COMPUTED_VALUE"""),-0.429169799960974)</f>
        <v>-0.42916979996097399</v>
      </c>
      <c r="LS44" s="3">
        <f ca="1">IFERROR(__xludf.DUMMYFUNCTION("""COMPUTED_VALUE"""),-0.478657429387814)</f>
        <v>-0.47865742938781403</v>
      </c>
      <c r="LT44" s="3">
        <f ca="1">IFERROR(__xludf.DUMMYFUNCTION("""COMPUTED_VALUE"""),-0.578522196831298)</f>
        <v>-0.57852219683129802</v>
      </c>
      <c r="LU44" s="3">
        <f ca="1">IFERROR(__xludf.DUMMYFUNCTION("""COMPUTED_VALUE"""),-0.58150462564616)</f>
        <v>-0.58150462564616001</v>
      </c>
      <c r="LV44" s="3">
        <f ca="1">IFERROR(__xludf.DUMMYFUNCTION("""COMPUTED_VALUE"""),-0.533525534572504)</f>
        <v>-0.53352553457250396</v>
      </c>
      <c r="LW44" s="3">
        <f ca="1">IFERROR(__xludf.DUMMYFUNCTION("""COMPUTED_VALUE"""),-0.552762367082892)</f>
        <v>-0.55276236708289195</v>
      </c>
      <c r="LX44" s="3">
        <f ca="1">IFERROR(__xludf.DUMMYFUNCTION("""COMPUTED_VALUE"""),-0.553147229333976)</f>
        <v>-0.55314722933397598</v>
      </c>
      <c r="LY44" s="3">
        <f ca="1">IFERROR(__xludf.DUMMYFUNCTION("""COMPUTED_VALUE"""),-0.552066681566631)</f>
        <v>-0.55206668156663097</v>
      </c>
      <c r="LZ44" s="3">
        <f ca="1">IFERROR(__xludf.DUMMYFUNCTION("""COMPUTED_VALUE"""),-0.490304248711725)</f>
        <v>-0.49030424871172501</v>
      </c>
      <c r="MA44" s="3">
        <f ca="1">IFERROR(__xludf.DUMMYFUNCTION("""COMPUTED_VALUE"""),-0.526380732907595)</f>
        <v>-0.52638073290759502</v>
      </c>
      <c r="MB44" s="3">
        <f ca="1">IFERROR(__xludf.DUMMYFUNCTION("""COMPUTED_VALUE"""),-0.559724745744202)</f>
        <v>-0.55972474574420195</v>
      </c>
      <c r="MC44" s="3">
        <f ca="1">IFERROR(__xludf.DUMMYFUNCTION("""COMPUTED_VALUE"""),-0.534349709086796)</f>
        <v>-0.53434970908679602</v>
      </c>
      <c r="MD44" s="3">
        <f ca="1">IFERROR(__xludf.DUMMYFUNCTION("""COMPUTED_VALUE"""),-0.547500288977519)</f>
        <v>-0.54750028897751901</v>
      </c>
      <c r="ME44" s="3">
        <f ca="1">IFERROR(__xludf.DUMMYFUNCTION("""COMPUTED_VALUE"""),-0.528958584664624)</f>
        <v>-0.52895858466462398</v>
      </c>
      <c r="MF44" s="3">
        <f ca="1">IFERROR(__xludf.DUMMYFUNCTION("""COMPUTED_VALUE"""),-0.465742717317244)</f>
        <v>-0.46574271731724398</v>
      </c>
      <c r="MG44" s="3">
        <f ca="1">IFERROR(__xludf.DUMMYFUNCTION("""COMPUTED_VALUE"""),-0.489880574043007)</f>
        <v>-0.489880574043007</v>
      </c>
      <c r="MH44" s="3">
        <f ca="1">IFERROR(__xludf.DUMMYFUNCTION("""COMPUTED_VALUE"""),-0.532250498282337)</f>
        <v>-0.53225049828233695</v>
      </c>
      <c r="MI44" s="3">
        <f ca="1">IFERROR(__xludf.DUMMYFUNCTION("""COMPUTED_VALUE"""),-0.616379698287559)</f>
        <v>-0.61637969828755901</v>
      </c>
      <c r="MJ44" s="3">
        <f ca="1">IFERROR(__xludf.DUMMYFUNCTION("""COMPUTED_VALUE"""),-0.599929889947991)</f>
        <v>-0.59992988994799101</v>
      </c>
      <c r="MK44" s="3">
        <f ca="1">IFERROR(__xludf.DUMMYFUNCTION("""COMPUTED_VALUE"""),-0.591884460654248)</f>
        <v>-0.59188446065424805</v>
      </c>
      <c r="ML44" s="3">
        <f ca="1">IFERROR(__xludf.DUMMYFUNCTION("""COMPUTED_VALUE"""),-0.608140783804373)</f>
        <v>-0.60814078380437298</v>
      </c>
      <c r="MM44" s="3">
        <f ca="1">IFERROR(__xludf.DUMMYFUNCTION("""COMPUTED_VALUE"""),-0.522707097213994)</f>
        <v>-0.522707097213994</v>
      </c>
      <c r="MN44" s="3">
        <f ca="1">IFERROR(__xludf.DUMMYFUNCTION("""COMPUTED_VALUE"""),-0.507807586096623)</f>
        <v>-0.50780758609662302</v>
      </c>
      <c r="MO44" s="3">
        <f ca="1">IFERROR(__xludf.DUMMYFUNCTION("""COMPUTED_VALUE"""),-0.599311376366743)</f>
        <v>-0.59931137636674303</v>
      </c>
      <c r="MP44" s="3">
        <f ca="1">IFERROR(__xludf.DUMMYFUNCTION("""COMPUTED_VALUE"""),-0.614960002771286)</f>
        <v>-0.61496000277128604</v>
      </c>
      <c r="MQ44" s="3">
        <f ca="1">IFERROR(__xludf.DUMMYFUNCTION("""COMPUTED_VALUE"""),-0.620138353238892)</f>
        <v>-0.62013835323889199</v>
      </c>
      <c r="MR44" s="3">
        <f ca="1">IFERROR(__xludf.DUMMYFUNCTION("""COMPUTED_VALUE"""),-0.618923329420783)</f>
        <v>-0.61892332942078299</v>
      </c>
      <c r="MS44" s="3">
        <f ca="1">IFERROR(__xludf.DUMMYFUNCTION("""COMPUTED_VALUE"""),-0.60021973272102)</f>
        <v>-0.60021973272102003</v>
      </c>
      <c r="MT44" s="3">
        <f ca="1">IFERROR(__xludf.DUMMYFUNCTION("""COMPUTED_VALUE"""),-0.454587051262444)</f>
        <v>-0.45458705126244398</v>
      </c>
      <c r="MU44" s="3">
        <f ca="1">IFERROR(__xludf.DUMMYFUNCTION("""COMPUTED_VALUE"""),-0.59393035218229)</f>
        <v>-0.59393035218228996</v>
      </c>
      <c r="MV44" s="3">
        <f ca="1">IFERROR(__xludf.DUMMYFUNCTION("""COMPUTED_VALUE"""),-0.611994287449743)</f>
        <v>-0.61199428744974305</v>
      </c>
      <c r="MW44" s="3">
        <f ca="1">IFERROR(__xludf.DUMMYFUNCTION("""COMPUTED_VALUE"""),-0.639001548935554)</f>
        <v>-0.63900154893555405</v>
      </c>
      <c r="MX44" s="3">
        <f ca="1">IFERROR(__xludf.DUMMYFUNCTION("""COMPUTED_VALUE"""),-0.633119505696514)</f>
        <v>-0.63311950569651398</v>
      </c>
      <c r="MY44" s="3">
        <f ca="1">IFERROR(__xludf.DUMMYFUNCTION("""COMPUTED_VALUE"""),-0.584731589301193)</f>
        <v>-0.58473158930119296</v>
      </c>
      <c r="MZ44" s="3">
        <f ca="1">IFERROR(__xludf.DUMMYFUNCTION("""COMPUTED_VALUE"""),-0.603219473850026)</f>
        <v>-0.60321947385002594</v>
      </c>
      <c r="NA44" s="3">
        <f ca="1">IFERROR(__xludf.DUMMYFUNCTION("""COMPUTED_VALUE"""),-0.556578964184587)</f>
        <v>-0.55657896418458697</v>
      </c>
      <c r="NB44" s="3">
        <f ca="1">IFERROR(__xludf.DUMMYFUNCTION("""COMPUTED_VALUE"""),-0.593686423050318)</f>
        <v>-0.59368642305031805</v>
      </c>
      <c r="NC44" s="3">
        <f ca="1">IFERROR(__xludf.DUMMYFUNCTION("""COMPUTED_VALUE"""),-0.579213180450989)</f>
        <v>-0.57921318045098902</v>
      </c>
      <c r="ND44" s="3">
        <f ca="1">IFERROR(__xludf.DUMMYFUNCTION("""COMPUTED_VALUE"""),-0.653089651778388)</f>
        <v>-0.65308965177838796</v>
      </c>
      <c r="NE44" s="3">
        <f ca="1">IFERROR(__xludf.DUMMYFUNCTION("""COMPUTED_VALUE"""),-0.60335548122722)</f>
        <v>-0.60335548122722005</v>
      </c>
      <c r="NF44" s="3">
        <f ca="1">IFERROR(__xludf.DUMMYFUNCTION("""COMPUTED_VALUE"""),-0.58999821986165)</f>
        <v>-0.58999821986165002</v>
      </c>
      <c r="NG44" s="3">
        <f ca="1">IFERROR(__xludf.DUMMYFUNCTION("""COMPUTED_VALUE"""),-0.611602091957688)</f>
        <v>-0.611602091957688</v>
      </c>
      <c r="NH44" s="3">
        <f ca="1">IFERROR(__xludf.DUMMYFUNCTION("""COMPUTED_VALUE"""),-0.54597029338602)</f>
        <v>-0.54597029338601999</v>
      </c>
      <c r="NI44" s="3">
        <f ca="1">IFERROR(__xludf.DUMMYFUNCTION("""COMPUTED_VALUE"""),-0.558746566544472)</f>
        <v>-0.55874656654447197</v>
      </c>
      <c r="NJ44" s="3">
        <f ca="1">IFERROR(__xludf.DUMMYFUNCTION("""COMPUTED_VALUE"""),-0.552801354543078)</f>
        <v>-0.55280135454307799</v>
      </c>
      <c r="NK44" s="3">
        <f ca="1">IFERROR(__xludf.DUMMYFUNCTION("""COMPUTED_VALUE"""),-0.550304536338117)</f>
        <v>-0.55030453633811705</v>
      </c>
      <c r="NL44" s="3">
        <f ca="1">IFERROR(__xludf.DUMMYFUNCTION("""COMPUTED_VALUE"""),-0.511457473584863)</f>
        <v>-0.51145747358486304</v>
      </c>
      <c r="NM44" s="3">
        <f ca="1">IFERROR(__xludf.DUMMYFUNCTION("""COMPUTED_VALUE"""),-0.528739401058699)</f>
        <v>-0.52873940105869899</v>
      </c>
      <c r="NN44" s="3">
        <f ca="1">IFERROR(__xludf.DUMMYFUNCTION("""COMPUTED_VALUE"""),-0.575429113617611)</f>
        <v>-0.57542911361761095</v>
      </c>
      <c r="NO44" s="3">
        <f ca="1">IFERROR(__xludf.DUMMYFUNCTION("""COMPUTED_VALUE"""),-0.505528517013984)</f>
        <v>-0.50552851701398405</v>
      </c>
      <c r="NP44" s="3">
        <f ca="1">IFERROR(__xludf.DUMMYFUNCTION("""COMPUTED_VALUE"""),-0.591515921762294)</f>
        <v>-0.59151592176229395</v>
      </c>
      <c r="NQ44" s="3">
        <f ca="1">IFERROR(__xludf.DUMMYFUNCTION("""COMPUTED_VALUE"""),-0.521223161111513)</f>
        <v>-0.52122316111151301</v>
      </c>
      <c r="NR44" s="3">
        <f ca="1">IFERROR(__xludf.DUMMYFUNCTION("""COMPUTED_VALUE"""),-0.494567310667549)</f>
        <v>-0.494567310667549</v>
      </c>
      <c r="NS44" s="3">
        <f ca="1">IFERROR(__xludf.DUMMYFUNCTION("""COMPUTED_VALUE"""),-0.51769475430641)</f>
        <v>-0.51769475430640999</v>
      </c>
      <c r="NT44" s="3">
        <f ca="1">IFERROR(__xludf.DUMMYFUNCTION("""COMPUTED_VALUE"""),-0.469675886334072)</f>
        <v>-0.46967588633407198</v>
      </c>
      <c r="NU44" s="3">
        <f ca="1">IFERROR(__xludf.DUMMYFUNCTION("""COMPUTED_VALUE"""),-0.489054119423096)</f>
        <v>-0.48905411942309601</v>
      </c>
      <c r="NV44" s="3">
        <f ca="1">IFERROR(__xludf.DUMMYFUNCTION("""COMPUTED_VALUE"""),-0.454551599774888)</f>
        <v>-0.45455159977488802</v>
      </c>
      <c r="NW44" s="3">
        <f ca="1">IFERROR(__xludf.DUMMYFUNCTION("""COMPUTED_VALUE"""),-0.492866008537087)</f>
        <v>-0.49286600853708701</v>
      </c>
      <c r="NX44" s="3">
        <f ca="1">IFERROR(__xludf.DUMMYFUNCTION("""COMPUTED_VALUE"""),-0.457976711105079)</f>
        <v>-0.45797671110507898</v>
      </c>
      <c r="NY44" s="3">
        <f ca="1">IFERROR(__xludf.DUMMYFUNCTION("""COMPUTED_VALUE"""),-0.496359508644744)</f>
        <v>-0.49635950864474399</v>
      </c>
      <c r="NZ44" s="3">
        <f ca="1">IFERROR(__xludf.DUMMYFUNCTION("""COMPUTED_VALUE"""),-0.446086017889498)</f>
        <v>-0.44608601788949798</v>
      </c>
      <c r="OA44" s="3">
        <f ca="1">IFERROR(__xludf.DUMMYFUNCTION("""COMPUTED_VALUE"""),-0.303004840201476)</f>
        <v>-0.303004840201476</v>
      </c>
      <c r="OB44" s="3">
        <f ca="1">IFERROR(__xludf.DUMMYFUNCTION("""COMPUTED_VALUE"""),-0.270267203007927)</f>
        <v>-0.270267203007927</v>
      </c>
      <c r="OC44" s="3">
        <f ca="1">IFERROR(__xludf.DUMMYFUNCTION("""COMPUTED_VALUE"""),-0.0972535327412251)</f>
        <v>-9.7253532741225099E-2</v>
      </c>
      <c r="OD44" s="3">
        <f ca="1">IFERROR(__xludf.DUMMYFUNCTION("""COMPUTED_VALUE"""),-0.0984397733323108)</f>
        <v>-9.8439773332310798E-2</v>
      </c>
      <c r="OE44" s="3">
        <f ca="1">IFERROR(__xludf.DUMMYFUNCTION("""COMPUTED_VALUE"""),-0.139701616154411)</f>
        <v>-0.13970161615441101</v>
      </c>
      <c r="OF44" s="3">
        <f ca="1">IFERROR(__xludf.DUMMYFUNCTION("""COMPUTED_VALUE"""),-0.06487357510341)</f>
        <v>-6.4873575103410006E-2</v>
      </c>
      <c r="OG44" s="3">
        <f ca="1">IFERROR(__xludf.DUMMYFUNCTION("""COMPUTED_VALUE"""),-0.028033163890515)</f>
        <v>-2.8033163890514998E-2</v>
      </c>
      <c r="OH44" s="3">
        <f ca="1">IFERROR(__xludf.DUMMYFUNCTION("""COMPUTED_VALUE"""),0.010272837887856)</f>
        <v>1.0272837887856E-2</v>
      </c>
      <c r="OI44" s="3">
        <f ca="1">IFERROR(__xludf.DUMMYFUNCTION("""COMPUTED_VALUE"""),-0.0418444144848323)</f>
        <v>-4.1844414484832303E-2</v>
      </c>
      <c r="OJ44" s="3">
        <f ca="1">IFERROR(__xludf.DUMMYFUNCTION("""COMPUTED_VALUE"""),-0.00561827574883988)</f>
        <v>-5.6182757488398797E-3</v>
      </c>
      <c r="OK44" s="3">
        <f ca="1">IFERROR(__xludf.DUMMYFUNCTION("""COMPUTED_VALUE"""),0.0273581333131125)</f>
        <v>2.7358133313112501E-2</v>
      </c>
      <c r="OL44" s="3">
        <f ca="1">IFERROR(__xludf.DUMMYFUNCTION("""COMPUTED_VALUE"""),-0.0462258441330879)</f>
        <v>-4.6225844133087897E-2</v>
      </c>
      <c r="OM44" s="3">
        <f ca="1">IFERROR(__xludf.DUMMYFUNCTION("""COMPUTED_VALUE"""),0.0214544896185551)</f>
        <v>2.14544896185551E-2</v>
      </c>
      <c r="ON44" s="3">
        <f ca="1">IFERROR(__xludf.DUMMYFUNCTION("""COMPUTED_VALUE"""),0.0866536122959547)</f>
        <v>8.6653612295954696E-2</v>
      </c>
      <c r="OO44" s="3">
        <f ca="1">IFERROR(__xludf.DUMMYFUNCTION("""COMPUTED_VALUE"""),0.020735344640862)</f>
        <v>2.0735344640862002E-2</v>
      </c>
      <c r="OP44" s="3">
        <f ca="1">IFERROR(__xludf.DUMMYFUNCTION("""COMPUTED_VALUE"""),-0.0433073947195762)</f>
        <v>-4.3307394719576203E-2</v>
      </c>
      <c r="OQ44" s="3">
        <f ca="1">IFERROR(__xludf.DUMMYFUNCTION("""COMPUTED_VALUE"""),0.020157087334089)</f>
        <v>2.0157087334089E-2</v>
      </c>
      <c r="OR44" s="3">
        <f ca="1">IFERROR(__xludf.DUMMYFUNCTION("""COMPUTED_VALUE"""),0.0559684948947922)</f>
        <v>5.5968494894792199E-2</v>
      </c>
      <c r="OS44" s="3">
        <f ca="1">IFERROR(__xludf.DUMMYFUNCTION("""COMPUTED_VALUE"""),-0.0294501600825511)</f>
        <v>-2.9450160082551101E-2</v>
      </c>
      <c r="OT44" s="3">
        <f ca="1">IFERROR(__xludf.DUMMYFUNCTION("""COMPUTED_VALUE"""),-0.0226478651069228)</f>
        <v>-2.26478651069228E-2</v>
      </c>
      <c r="OU44" s="3">
        <f ca="1">IFERROR(__xludf.DUMMYFUNCTION("""COMPUTED_VALUE"""),0.0637256797167349)</f>
        <v>6.3725679716734901E-2</v>
      </c>
      <c r="OV44" s="3">
        <f ca="1">IFERROR(__xludf.DUMMYFUNCTION("""COMPUTED_VALUE"""),0.012317164179886)</f>
        <v>1.2317164179886E-2</v>
      </c>
      <c r="OW44" s="3">
        <f ca="1">IFERROR(__xludf.DUMMYFUNCTION("""COMPUTED_VALUE"""),0.0668494106298664)</f>
        <v>6.6849410629866393E-2</v>
      </c>
      <c r="OX44" s="3">
        <f ca="1">IFERROR(__xludf.DUMMYFUNCTION("""COMPUTED_VALUE"""),0.00278239256860435)</f>
        <v>2.7823925686043501E-3</v>
      </c>
      <c r="OY44" s="3">
        <f ca="1">IFERROR(__xludf.DUMMYFUNCTION("""COMPUTED_VALUE"""),-0.0202829632282416)</f>
        <v>-2.02829632282416E-2</v>
      </c>
      <c r="OZ44" s="3">
        <f ca="1">IFERROR(__xludf.DUMMYFUNCTION("""COMPUTED_VALUE"""),-0.0471454106495482)</f>
        <v>-4.7145410649548199E-2</v>
      </c>
      <c r="PA44" s="3">
        <f ca="1">IFERROR(__xludf.DUMMYFUNCTION("""COMPUTED_VALUE"""),0.000562221929085726)</f>
        <v>5.6222192908572601E-4</v>
      </c>
      <c r="PB44" s="3">
        <f ca="1">IFERROR(__xludf.DUMMYFUNCTION("""COMPUTED_VALUE"""),0.115009515352519)</f>
        <v>0.11500951535251901</v>
      </c>
      <c r="PC44" s="3">
        <f ca="1">IFERROR(__xludf.DUMMYFUNCTION("""COMPUTED_VALUE"""),0.0266776455737185)</f>
        <v>2.66776455737185E-2</v>
      </c>
      <c r="PD44" s="3">
        <f ca="1">IFERROR(__xludf.DUMMYFUNCTION("""COMPUTED_VALUE"""),-0.0685326759189174)</f>
        <v>-6.8532675918917402E-2</v>
      </c>
      <c r="PE44" s="3">
        <f ca="1">IFERROR(__xludf.DUMMYFUNCTION("""COMPUTED_VALUE"""),-0.0145140289369232)</f>
        <v>-1.45140289369232E-2</v>
      </c>
      <c r="PF44" s="3">
        <f ca="1">IFERROR(__xludf.DUMMYFUNCTION("""COMPUTED_VALUE"""),-0.0587056547856629)</f>
        <v>-5.8705654785662899E-2</v>
      </c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</row>
    <row r="45" spans="1:594" ht="15.75" customHeight="1">
      <c r="A45" s="1" t="str">
        <f ca="1">IFERROR(__xludf.DUMMYFUNCTION("""COMPUTED_VALUE"""),"Milwaukee County")</f>
        <v>Milwaukee County</v>
      </c>
      <c r="B45" s="3">
        <f ca="1">IFERROR(__xludf.DUMMYFUNCTION("""COMPUTED_VALUE"""),-0.575781774564643)</f>
        <v>-0.57578177456464297</v>
      </c>
      <c r="C45" s="3">
        <f ca="1">IFERROR(__xludf.DUMMYFUNCTION("""COMPUTED_VALUE"""),-0.582821105658003)</f>
        <v>-0.58282110565800305</v>
      </c>
      <c r="D45" s="3">
        <f ca="1">IFERROR(__xludf.DUMMYFUNCTION("""COMPUTED_VALUE"""),-0.618674352239722)</f>
        <v>-0.618674352239722</v>
      </c>
      <c r="E45" s="3">
        <f ca="1">IFERROR(__xludf.DUMMYFUNCTION("""COMPUTED_VALUE"""),-0.608259451314801)</f>
        <v>-0.60825945131480097</v>
      </c>
      <c r="F45" s="3">
        <f ca="1">IFERROR(__xludf.DUMMYFUNCTION("""COMPUTED_VALUE"""),-0.584361883384013)</f>
        <v>-0.58436188338401296</v>
      </c>
      <c r="G45" s="3">
        <f ca="1">IFERROR(__xludf.DUMMYFUNCTION("""COMPUTED_VALUE"""),-0.625900139629024)</f>
        <v>-0.62590013962902402</v>
      </c>
      <c r="H45" s="3">
        <f ca="1">IFERROR(__xludf.DUMMYFUNCTION("""COMPUTED_VALUE"""),-0.496891580435751)</f>
        <v>-0.49689158043575099</v>
      </c>
      <c r="I45" s="3">
        <f ca="1">IFERROR(__xludf.DUMMYFUNCTION("""COMPUTED_VALUE"""),-0.512547563209939)</f>
        <v>-0.51254756320993899</v>
      </c>
      <c r="J45" s="3">
        <f ca="1">IFERROR(__xludf.DUMMYFUNCTION("""COMPUTED_VALUE"""),-0.568903167351122)</f>
        <v>-0.56890316735112201</v>
      </c>
      <c r="K45" s="3">
        <f ca="1">IFERROR(__xludf.DUMMYFUNCTION("""COMPUTED_VALUE"""),-0.584170202998365)</f>
        <v>-0.58417020299836497</v>
      </c>
      <c r="L45" s="3">
        <f ca="1">IFERROR(__xludf.DUMMYFUNCTION("""COMPUTED_VALUE"""),-0.616263543589054)</f>
        <v>-0.616263543589054</v>
      </c>
      <c r="M45" s="3">
        <f ca="1">IFERROR(__xludf.DUMMYFUNCTION("""COMPUTED_VALUE"""),-0.622580905370519)</f>
        <v>-0.62258090537051902</v>
      </c>
      <c r="N45" s="3">
        <f ca="1">IFERROR(__xludf.DUMMYFUNCTION("""COMPUTED_VALUE"""),-0.611576246003589)</f>
        <v>-0.61157624600358895</v>
      </c>
      <c r="O45" s="3">
        <f ca="1">IFERROR(__xludf.DUMMYFUNCTION("""COMPUTED_VALUE"""),-0.443067985812238)</f>
        <v>-0.443067985812238</v>
      </c>
      <c r="P45" s="3">
        <f ca="1">IFERROR(__xludf.DUMMYFUNCTION("""COMPUTED_VALUE"""),-0.567919326173128)</f>
        <v>-0.56791932617312801</v>
      </c>
      <c r="Q45" s="3">
        <f ca="1">IFERROR(__xludf.DUMMYFUNCTION("""COMPUTED_VALUE"""),-0.623606123755571)</f>
        <v>-0.62360612375557101</v>
      </c>
      <c r="R45" s="3">
        <f ca="1">IFERROR(__xludf.DUMMYFUNCTION("""COMPUTED_VALUE"""),-0.640043380450913)</f>
        <v>-0.64004338045091302</v>
      </c>
      <c r="S45" s="3">
        <f ca="1">IFERROR(__xludf.DUMMYFUNCTION("""COMPUTED_VALUE"""),-0.62633893015261)</f>
        <v>-0.62633893015261</v>
      </c>
      <c r="T45" s="3">
        <f ca="1">IFERROR(__xludf.DUMMYFUNCTION("""COMPUTED_VALUE"""),-0.609798347338483)</f>
        <v>-0.60979834733848304</v>
      </c>
      <c r="U45" s="3">
        <f ca="1">IFERROR(__xludf.DUMMYFUNCTION("""COMPUTED_VALUE"""),-0.579717202411635)</f>
        <v>-0.57971720241163505</v>
      </c>
      <c r="V45" s="3">
        <f ca="1">IFERROR(__xludf.DUMMYFUNCTION("""COMPUTED_VALUE"""),-0.512267828501781)</f>
        <v>-0.51226782850178099</v>
      </c>
      <c r="W45" s="3">
        <f ca="1">IFERROR(__xludf.DUMMYFUNCTION("""COMPUTED_VALUE"""),-0.554042629896662)</f>
        <v>-0.55404262989666198</v>
      </c>
      <c r="X45" s="3">
        <f ca="1">IFERROR(__xludf.DUMMYFUNCTION("""COMPUTED_VALUE"""),-0.57806779382426)</f>
        <v>-0.57806779382425999</v>
      </c>
      <c r="Y45" s="3">
        <f ca="1">IFERROR(__xludf.DUMMYFUNCTION("""COMPUTED_VALUE"""),-0.629826573441485)</f>
        <v>-0.62982657344148496</v>
      </c>
      <c r="Z45" s="3">
        <f ca="1">IFERROR(__xludf.DUMMYFUNCTION("""COMPUTED_VALUE"""),-0.585027415372698)</f>
        <v>-0.58502741537269798</v>
      </c>
      <c r="AA45" s="3">
        <f ca="1">IFERROR(__xludf.DUMMYFUNCTION("""COMPUTED_VALUE"""),-0.640256654916489)</f>
        <v>-0.64025665491648898</v>
      </c>
      <c r="AB45" s="3">
        <f ca="1">IFERROR(__xludf.DUMMYFUNCTION("""COMPUTED_VALUE"""),-0.634539908371909)</f>
        <v>-0.63453990837190899</v>
      </c>
      <c r="AC45" s="3">
        <f ca="1">IFERROR(__xludf.DUMMYFUNCTION("""COMPUTED_VALUE"""),-0.470042240713665)</f>
        <v>-0.47004224071366502</v>
      </c>
      <c r="AD45" s="3">
        <f ca="1">IFERROR(__xludf.DUMMYFUNCTION("""COMPUTED_VALUE"""),-0.534336607930415)</f>
        <v>-0.53433660793041504</v>
      </c>
      <c r="AE45" s="3">
        <f ca="1">IFERROR(__xludf.DUMMYFUNCTION("""COMPUTED_VALUE"""),-0.584074848692536)</f>
        <v>-0.58407484869253601</v>
      </c>
      <c r="AF45" s="3">
        <f ca="1">IFERROR(__xludf.DUMMYFUNCTION("""COMPUTED_VALUE"""),-0.621677932750421)</f>
        <v>-0.62167793275042105</v>
      </c>
      <c r="AG45" s="3">
        <f ca="1">IFERROR(__xludf.DUMMYFUNCTION("""COMPUTED_VALUE"""),-0.613783559986495)</f>
        <v>-0.61378355998649503</v>
      </c>
      <c r="AH45" s="3">
        <f ca="1">IFERROR(__xludf.DUMMYFUNCTION("""COMPUTED_VALUE"""),-0.581206262222209)</f>
        <v>-0.58120626222220895</v>
      </c>
      <c r="AI45" s="3">
        <f ca="1">IFERROR(__xludf.DUMMYFUNCTION("""COMPUTED_VALUE"""),-0.549993499242191)</f>
        <v>-0.54999349924219099</v>
      </c>
      <c r="AJ45" s="3">
        <f ca="1">IFERROR(__xludf.DUMMYFUNCTION("""COMPUTED_VALUE"""),-0.516456689251517)</f>
        <v>-0.516456689251517</v>
      </c>
      <c r="AK45" s="3">
        <f ca="1">IFERROR(__xludf.DUMMYFUNCTION("""COMPUTED_VALUE"""),-0.520305851375255)</f>
        <v>-0.52030585137525498</v>
      </c>
      <c r="AL45" s="3">
        <f ca="1">IFERROR(__xludf.DUMMYFUNCTION("""COMPUTED_VALUE"""),-0.583567063406151)</f>
        <v>-0.58356706340615105</v>
      </c>
      <c r="AM45" s="3">
        <f ca="1">IFERROR(__xludf.DUMMYFUNCTION("""COMPUTED_VALUE"""),-0.617586727230871)</f>
        <v>-0.61758672723087105</v>
      </c>
      <c r="AN45" s="3">
        <f ca="1">IFERROR(__xludf.DUMMYFUNCTION("""COMPUTED_VALUE"""),-0.581992072445927)</f>
        <v>-0.58199207244592699</v>
      </c>
      <c r="AO45" s="3">
        <f ca="1">IFERROR(__xludf.DUMMYFUNCTION("""COMPUTED_VALUE"""),-0.617735670232619)</f>
        <v>-0.61773567023261899</v>
      </c>
      <c r="AP45" s="3">
        <f ca="1">IFERROR(__xludf.DUMMYFUNCTION("""COMPUTED_VALUE"""),-0.59729994972076)</f>
        <v>-0.59729994972075995</v>
      </c>
      <c r="AQ45" s="3">
        <f ca="1">IFERROR(__xludf.DUMMYFUNCTION("""COMPUTED_VALUE"""),-0.495084383377784)</f>
        <v>-0.49508438337778399</v>
      </c>
      <c r="AR45" s="3">
        <f ca="1">IFERROR(__xludf.DUMMYFUNCTION("""COMPUTED_VALUE"""),-0.501550345215966)</f>
        <v>-0.50155034521596598</v>
      </c>
      <c r="AS45" s="3">
        <f ca="1">IFERROR(__xludf.DUMMYFUNCTION("""COMPUTED_VALUE"""),-0.5926161499905)</f>
        <v>-0.59261614999050005</v>
      </c>
      <c r="AT45" s="3">
        <f ca="1">IFERROR(__xludf.DUMMYFUNCTION("""COMPUTED_VALUE"""),-0.618205381173583)</f>
        <v>-0.61820538117358304</v>
      </c>
      <c r="AU45" s="3">
        <f ca="1">IFERROR(__xludf.DUMMYFUNCTION("""COMPUTED_VALUE"""),-0.608945433245269)</f>
        <v>-0.60894543324526895</v>
      </c>
      <c r="AV45" s="3">
        <f ca="1">IFERROR(__xludf.DUMMYFUNCTION("""COMPUTED_VALUE"""),-0.60359689673155)</f>
        <v>-0.60359689673155004</v>
      </c>
      <c r="AW45" s="3">
        <f ca="1">IFERROR(__xludf.DUMMYFUNCTION("""COMPUTED_VALUE"""),-0.587446354351891)</f>
        <v>-0.58744635435189096</v>
      </c>
      <c r="AX45" s="3">
        <f ca="1">IFERROR(__xludf.DUMMYFUNCTION("""COMPUTED_VALUE"""),-0.539791780158662)</f>
        <v>-0.53979178015866203</v>
      </c>
      <c r="AY45" s="3">
        <f ca="1">IFERROR(__xludf.DUMMYFUNCTION("""COMPUTED_VALUE"""),-0.543482198848646)</f>
        <v>-0.54348219884864601</v>
      </c>
      <c r="AZ45" s="3">
        <f ca="1">IFERROR(__xludf.DUMMYFUNCTION("""COMPUTED_VALUE"""),-0.591412994793136)</f>
        <v>-0.59141299479313603</v>
      </c>
      <c r="BA45" s="3">
        <f ca="1">IFERROR(__xludf.DUMMYFUNCTION("""COMPUTED_VALUE"""),-0.60329742774598)</f>
        <v>-0.60329742774598005</v>
      </c>
      <c r="BB45" s="3">
        <f ca="1">IFERROR(__xludf.DUMMYFUNCTION("""COMPUTED_VALUE"""),-0.603093274339547)</f>
        <v>-0.60309327433954696</v>
      </c>
      <c r="BC45" s="3">
        <f ca="1">IFERROR(__xludf.DUMMYFUNCTION("""COMPUTED_VALUE"""),-0.6053694422356)</f>
        <v>-0.60536944223559996</v>
      </c>
      <c r="BD45" s="3">
        <f ca="1">IFERROR(__xludf.DUMMYFUNCTION("""COMPUTED_VALUE"""),-0.658427720092862)</f>
        <v>-0.65842772009286199</v>
      </c>
      <c r="BE45" s="3">
        <f ca="1">IFERROR(__xludf.DUMMYFUNCTION("""COMPUTED_VALUE"""),-0.545509663346084)</f>
        <v>-0.54550966334608397</v>
      </c>
      <c r="BF45" s="3">
        <f ca="1">IFERROR(__xludf.DUMMYFUNCTION("""COMPUTED_VALUE"""),-0.500602291664185)</f>
        <v>-0.50060229166418502</v>
      </c>
      <c r="BG45" s="3">
        <f ca="1">IFERROR(__xludf.DUMMYFUNCTION("""COMPUTED_VALUE"""),-0.599454198828358)</f>
        <v>-0.59945419882835804</v>
      </c>
      <c r="BH45" s="3">
        <f ca="1">IFERROR(__xludf.DUMMYFUNCTION("""COMPUTED_VALUE"""),-0.67037898680299)</f>
        <v>-0.67037898680299002</v>
      </c>
      <c r="BI45" s="3">
        <f ca="1">IFERROR(__xludf.DUMMYFUNCTION("""COMPUTED_VALUE"""),-0.680927153369863)</f>
        <v>-0.68092715336986298</v>
      </c>
      <c r="BJ45" s="3">
        <f ca="1">IFERROR(__xludf.DUMMYFUNCTION("""COMPUTED_VALUE"""),-0.677818244509637)</f>
        <v>-0.67781824450963701</v>
      </c>
      <c r="BK45" s="3">
        <f ca="1">IFERROR(__xludf.DUMMYFUNCTION("""COMPUTED_VALUE"""),-0.683737452372408)</f>
        <v>-0.68373745237240802</v>
      </c>
      <c r="BL45" s="3">
        <f ca="1">IFERROR(__xludf.DUMMYFUNCTION("""COMPUTED_VALUE"""),-0.643627998835081)</f>
        <v>-0.64362799883508104</v>
      </c>
      <c r="BM45" s="3">
        <f ca="1">IFERROR(__xludf.DUMMYFUNCTION("""COMPUTED_VALUE"""),-0.610417947338256)</f>
        <v>-0.61041794733825605</v>
      </c>
      <c r="BN45" s="3">
        <f ca="1">IFERROR(__xludf.DUMMYFUNCTION("""COMPUTED_VALUE"""),-0.651921083715)</f>
        <v>-0.65192108371500002</v>
      </c>
      <c r="BO45" s="3">
        <f ca="1">IFERROR(__xludf.DUMMYFUNCTION("""COMPUTED_VALUE"""),-0.660890136538337)</f>
        <v>-0.66089013653833695</v>
      </c>
      <c r="BP45" s="3">
        <f ca="1">IFERROR(__xludf.DUMMYFUNCTION("""COMPUTED_VALUE"""),-0.602690632754561)</f>
        <v>-0.60269063275456103</v>
      </c>
      <c r="BQ45" s="3">
        <f ca="1">IFERROR(__xludf.DUMMYFUNCTION("""COMPUTED_VALUE"""),-0.655216833542008)</f>
        <v>-0.65521683354200799</v>
      </c>
      <c r="BR45" s="3">
        <f ca="1">IFERROR(__xludf.DUMMYFUNCTION("""COMPUTED_VALUE"""),-0.646794571442291)</f>
        <v>-0.64679457144229102</v>
      </c>
      <c r="BS45" s="3">
        <f ca="1">IFERROR(__xludf.DUMMYFUNCTION("""COMPUTED_VALUE"""),-0.493266217692384)</f>
        <v>-0.49326621769238399</v>
      </c>
      <c r="BT45" s="3">
        <f ca="1">IFERROR(__xludf.DUMMYFUNCTION("""COMPUTED_VALUE"""),-0.541245025009621)</f>
        <v>-0.54124502500962102</v>
      </c>
      <c r="BU45" s="3">
        <f ca="1">IFERROR(__xludf.DUMMYFUNCTION("""COMPUTED_VALUE"""),-0.655835183177281)</f>
        <v>-0.65583518317728096</v>
      </c>
      <c r="BV45" s="3">
        <f ca="1">IFERROR(__xludf.DUMMYFUNCTION("""COMPUTED_VALUE"""),-0.677260267357587)</f>
        <v>-0.67726026735758704</v>
      </c>
      <c r="BW45" s="3">
        <f ca="1">IFERROR(__xludf.DUMMYFUNCTION("""COMPUTED_VALUE"""),-0.653960778697625)</f>
        <v>-0.65396077869762503</v>
      </c>
      <c r="BX45" s="3">
        <f ca="1">IFERROR(__xludf.DUMMYFUNCTION("""COMPUTED_VALUE"""),-0.728902550586325)</f>
        <v>-0.72890255058632503</v>
      </c>
      <c r="BY45" s="3">
        <f ca="1">IFERROR(__xludf.DUMMYFUNCTION("""COMPUTED_VALUE"""),-0.658420828952409)</f>
        <v>-0.65842082895240905</v>
      </c>
      <c r="BZ45" s="3">
        <f ca="1">IFERROR(__xludf.DUMMYFUNCTION("""COMPUTED_VALUE"""),-0.563654028928054)</f>
        <v>-0.56365402892805405</v>
      </c>
      <c r="CA45" s="3">
        <f ca="1">IFERROR(__xludf.DUMMYFUNCTION("""COMPUTED_VALUE"""),-0.593780054929693)</f>
        <v>-0.59378005492969299</v>
      </c>
      <c r="CB45" s="3">
        <f ca="1">IFERROR(__xludf.DUMMYFUNCTION("""COMPUTED_VALUE"""),-0.673434820054249)</f>
        <v>-0.67343482005424904</v>
      </c>
      <c r="CC45" s="3">
        <f ca="1">IFERROR(__xludf.DUMMYFUNCTION("""COMPUTED_VALUE"""),-0.664042412616683)</f>
        <v>-0.66404241261668295</v>
      </c>
      <c r="CD45" s="3">
        <f ca="1">IFERROR(__xludf.DUMMYFUNCTION("""COMPUTED_VALUE"""),-0.708894088322154)</f>
        <v>-0.70889408832215395</v>
      </c>
      <c r="CE45" s="3">
        <f ca="1">IFERROR(__xludf.DUMMYFUNCTION("""COMPUTED_VALUE"""),-0.678430453554031)</f>
        <v>-0.67843045355403098</v>
      </c>
      <c r="CF45" s="3">
        <f ca="1">IFERROR(__xludf.DUMMYFUNCTION("""COMPUTED_VALUE"""),-0.662185828670289)</f>
        <v>-0.66218582867028897</v>
      </c>
      <c r="CG45" s="3">
        <f ca="1">IFERROR(__xludf.DUMMYFUNCTION("""COMPUTED_VALUE"""),-0.550673269184656)</f>
        <v>-0.55067326918465598</v>
      </c>
      <c r="CH45" s="3">
        <f ca="1">IFERROR(__xludf.DUMMYFUNCTION("""COMPUTED_VALUE"""),-0.573154464813328)</f>
        <v>-0.57315446481332799</v>
      </c>
      <c r="CI45" s="3">
        <f ca="1">IFERROR(__xludf.DUMMYFUNCTION("""COMPUTED_VALUE"""),-0.645786081352064)</f>
        <v>-0.64578608135206395</v>
      </c>
      <c r="CJ45" s="3">
        <f ca="1">IFERROR(__xludf.DUMMYFUNCTION("""COMPUTED_VALUE"""),-0.678535201737467)</f>
        <v>-0.67853520173746695</v>
      </c>
      <c r="CK45" s="3">
        <f ca="1">IFERROR(__xludf.DUMMYFUNCTION("""COMPUTED_VALUE"""),-0.656913689857791)</f>
        <v>-0.65691368985779097</v>
      </c>
      <c r="CL45" s="3">
        <f ca="1">IFERROR(__xludf.DUMMYFUNCTION("""COMPUTED_VALUE"""),-0.664810170972159)</f>
        <v>-0.664810170972159</v>
      </c>
      <c r="CM45" s="3">
        <f ca="1">IFERROR(__xludf.DUMMYFUNCTION("""COMPUTED_VALUE"""),-0.640383456204646)</f>
        <v>-0.64038345620464598</v>
      </c>
      <c r="CN45" s="3">
        <f ca="1">IFERROR(__xludf.DUMMYFUNCTION("""COMPUTED_VALUE"""),-0.604344003325977)</f>
        <v>-0.60434400332597704</v>
      </c>
      <c r="CO45" s="3">
        <f ca="1">IFERROR(__xludf.DUMMYFUNCTION("""COMPUTED_VALUE"""),-0.555305766073809)</f>
        <v>-0.55530576607380899</v>
      </c>
      <c r="CP45" s="3">
        <f ca="1">IFERROR(__xludf.DUMMYFUNCTION("""COMPUTED_VALUE"""),-0.63519531532828)</f>
        <v>-0.63519531532828</v>
      </c>
      <c r="CQ45" s="3">
        <f ca="1">IFERROR(__xludf.DUMMYFUNCTION("""COMPUTED_VALUE"""),-0.640483317295126)</f>
        <v>-0.64048331729512598</v>
      </c>
      <c r="CR45" s="3">
        <f ca="1">IFERROR(__xludf.DUMMYFUNCTION("""COMPUTED_VALUE"""),-0.590125282586504)</f>
        <v>-0.59012528258650399</v>
      </c>
      <c r="CS45" s="3">
        <f ca="1">IFERROR(__xludf.DUMMYFUNCTION("""COMPUTED_VALUE"""),-0.653605345267328)</f>
        <v>-0.65360534526732805</v>
      </c>
      <c r="CT45" s="3">
        <f ca="1">IFERROR(__xludf.DUMMYFUNCTION("""COMPUTED_VALUE"""),-0.633259253073689)</f>
        <v>-0.63325925307368902</v>
      </c>
      <c r="CU45" s="3">
        <f ca="1">IFERROR(__xludf.DUMMYFUNCTION("""COMPUTED_VALUE"""),-0.592032604026193)</f>
        <v>-0.59203260402619295</v>
      </c>
      <c r="CV45" s="3">
        <f ca="1">IFERROR(__xludf.DUMMYFUNCTION("""COMPUTED_VALUE"""),-0.602016422598032)</f>
        <v>-0.60201642259803201</v>
      </c>
      <c r="CW45" s="3">
        <f ca="1">IFERROR(__xludf.DUMMYFUNCTION("""COMPUTED_VALUE"""),-0.666760360819156)</f>
        <v>-0.66676036081915602</v>
      </c>
      <c r="CX45" s="3">
        <f ca="1">IFERROR(__xludf.DUMMYFUNCTION("""COMPUTED_VALUE"""),-0.62593232071489)</f>
        <v>-0.62593232071489002</v>
      </c>
      <c r="CY45" s="3">
        <f ca="1">IFERROR(__xludf.DUMMYFUNCTION("""COMPUTED_VALUE"""),-0.437386790445158)</f>
        <v>-0.43738679044515799</v>
      </c>
      <c r="CZ45" s="3">
        <f ca="1">IFERROR(__xludf.DUMMYFUNCTION("""COMPUTED_VALUE"""),-0.541698026406826)</f>
        <v>-0.54169802640682596</v>
      </c>
      <c r="DA45" s="3">
        <f ca="1">IFERROR(__xludf.DUMMYFUNCTION("""COMPUTED_VALUE"""),-0.618481072868144)</f>
        <v>-0.61848107286814402</v>
      </c>
      <c r="DB45" s="3">
        <f ca="1">IFERROR(__xludf.DUMMYFUNCTION("""COMPUTED_VALUE"""),-0.605486283659685)</f>
        <v>-0.60548628365968504</v>
      </c>
      <c r="DC45" s="3">
        <f ca="1">IFERROR(__xludf.DUMMYFUNCTION("""COMPUTED_VALUE"""),-0.647963692641685)</f>
        <v>-0.64796369264168496</v>
      </c>
      <c r="DD45" s="3">
        <f ca="1">IFERROR(__xludf.DUMMYFUNCTION("""COMPUTED_VALUE"""),-0.800362025887548)</f>
        <v>-0.80036202588754801</v>
      </c>
      <c r="DE45" s="3">
        <f ca="1">IFERROR(__xludf.DUMMYFUNCTION("""COMPUTED_VALUE"""),-0.712479122207228)</f>
        <v>-0.71247912220722798</v>
      </c>
      <c r="DF45" s="3">
        <f ca="1">IFERROR(__xludf.DUMMYFUNCTION("""COMPUTED_VALUE"""),-0.436980961721085)</f>
        <v>-0.43698096172108503</v>
      </c>
      <c r="DG45" s="3">
        <f ca="1">IFERROR(__xludf.DUMMYFUNCTION("""COMPUTED_VALUE"""),-0.562798884031811)</f>
        <v>-0.562798884031811</v>
      </c>
      <c r="DH45" s="3">
        <f ca="1">IFERROR(__xludf.DUMMYFUNCTION("""COMPUTED_VALUE"""),-0.571679791668479)</f>
        <v>-0.57167979166847904</v>
      </c>
      <c r="DI45" s="3">
        <f ca="1">IFERROR(__xludf.DUMMYFUNCTION("""COMPUTED_VALUE"""),-0.600671420794592)</f>
        <v>-0.60067142079459201</v>
      </c>
      <c r="DJ45" s="3">
        <f ca="1">IFERROR(__xludf.DUMMYFUNCTION("""COMPUTED_VALUE"""),-0.592331336123383)</f>
        <v>-0.59233133612338296</v>
      </c>
      <c r="DK45" s="3">
        <f ca="1">IFERROR(__xludf.DUMMYFUNCTION("""COMPUTED_VALUE"""),-0.599957276969956)</f>
        <v>-0.59995727696995604</v>
      </c>
      <c r="DL45" s="3">
        <f ca="1">IFERROR(__xludf.DUMMYFUNCTION("""COMPUTED_VALUE"""),-0.633954848260514)</f>
        <v>-0.63395484826051396</v>
      </c>
      <c r="DM45" s="3">
        <f ca="1">IFERROR(__xludf.DUMMYFUNCTION("""COMPUTED_VALUE"""),-0.545750630007533)</f>
        <v>-0.54575063000753299</v>
      </c>
      <c r="DN45" s="3">
        <f ca="1">IFERROR(__xludf.DUMMYFUNCTION("""COMPUTED_VALUE"""),-0.621471937849659)</f>
        <v>-0.62147193784965904</v>
      </c>
      <c r="DO45" s="3">
        <f ca="1">IFERROR(__xludf.DUMMYFUNCTION("""COMPUTED_VALUE"""),-0.641088019086148)</f>
        <v>-0.64108801908614799</v>
      </c>
      <c r="DP45" s="3">
        <f ca="1">IFERROR(__xludf.DUMMYFUNCTION("""COMPUTED_VALUE"""),-0.568963988428106)</f>
        <v>-0.56896398842810603</v>
      </c>
      <c r="DQ45" s="3">
        <f ca="1">IFERROR(__xludf.DUMMYFUNCTION("""COMPUTED_VALUE"""),-0.611426335361447)</f>
        <v>-0.61142633536144697</v>
      </c>
      <c r="DR45" s="3">
        <f ca="1">IFERROR(__xludf.DUMMYFUNCTION("""COMPUTED_VALUE"""),-0.649518747221246)</f>
        <v>-0.64951874722124603</v>
      </c>
      <c r="DS45" s="3">
        <f ca="1">IFERROR(__xludf.DUMMYFUNCTION("""COMPUTED_VALUE"""),-0.624215481816625)</f>
        <v>-0.62421548181662501</v>
      </c>
      <c r="DT45" s="3">
        <f ca="1">IFERROR(__xludf.DUMMYFUNCTION("""COMPUTED_VALUE"""),-0.631101764882699)</f>
        <v>-0.63110176488269898</v>
      </c>
      <c r="DU45" s="3">
        <f ca="1">IFERROR(__xludf.DUMMYFUNCTION("""COMPUTED_VALUE"""),-0.660138613266151)</f>
        <v>-0.66013861326615098</v>
      </c>
      <c r="DV45" s="3">
        <f ca="1">IFERROR(__xludf.DUMMYFUNCTION("""COMPUTED_VALUE"""),-0.654843415195934)</f>
        <v>-0.65484341519593403</v>
      </c>
      <c r="DW45" s="3">
        <f ca="1">IFERROR(__xludf.DUMMYFUNCTION("""COMPUTED_VALUE"""),-0.526082113519677)</f>
        <v>-0.52608211351967704</v>
      </c>
      <c r="DX45" s="3">
        <f ca="1">IFERROR(__xludf.DUMMYFUNCTION("""COMPUTED_VALUE"""),-0.545277071864021)</f>
        <v>-0.54527707186402097</v>
      </c>
      <c r="DY45" s="3">
        <f ca="1">IFERROR(__xludf.DUMMYFUNCTION("""COMPUTED_VALUE"""),-0.55901660178794)</f>
        <v>-0.55901660178793999</v>
      </c>
      <c r="DZ45" s="3">
        <f ca="1">IFERROR(__xludf.DUMMYFUNCTION("""COMPUTED_VALUE"""),-0.571605403995599)</f>
        <v>-0.571605403995599</v>
      </c>
      <c r="EA45" s="3">
        <f ca="1">IFERROR(__xludf.DUMMYFUNCTION("""COMPUTED_VALUE"""),-0.618520254744734)</f>
        <v>-0.61852025474473404</v>
      </c>
      <c r="EB45" s="3">
        <f ca="1">IFERROR(__xludf.DUMMYFUNCTION("""COMPUTED_VALUE"""),-0.622947778420006)</f>
        <v>-0.62294777842000604</v>
      </c>
      <c r="EC45" s="3">
        <f ca="1">IFERROR(__xludf.DUMMYFUNCTION("""COMPUTED_VALUE"""),-0.673696191537536)</f>
        <v>-0.67369619153753602</v>
      </c>
      <c r="ED45" s="3">
        <f ca="1">IFERROR(__xludf.DUMMYFUNCTION("""COMPUTED_VALUE"""),-0.539647438036122)</f>
        <v>-0.53964743803612203</v>
      </c>
      <c r="EE45" s="3">
        <f ca="1">IFERROR(__xludf.DUMMYFUNCTION("""COMPUTED_VALUE"""),-0.567462123834884)</f>
        <v>-0.56746212383488404</v>
      </c>
      <c r="EF45" s="3">
        <f ca="1">IFERROR(__xludf.DUMMYFUNCTION("""COMPUTED_VALUE"""),-0.639220114530847)</f>
        <v>-0.63922011453084704</v>
      </c>
      <c r="EG45" s="3">
        <f ca="1">IFERROR(__xludf.DUMMYFUNCTION("""COMPUTED_VALUE"""),-0.732238257418383)</f>
        <v>-0.732238257418383</v>
      </c>
      <c r="EH45" s="3">
        <f ca="1">IFERROR(__xludf.DUMMYFUNCTION("""COMPUTED_VALUE"""),-0.680644220411077)</f>
        <v>-0.68064422041107697</v>
      </c>
      <c r="EI45" s="3">
        <f ca="1">IFERROR(__xludf.DUMMYFUNCTION("""COMPUTED_VALUE"""),-0.658610327423944)</f>
        <v>-0.65861032742394399</v>
      </c>
      <c r="EJ45" s="3">
        <f ca="1">IFERROR(__xludf.DUMMYFUNCTION("""COMPUTED_VALUE"""),-0.622126997342837)</f>
        <v>-0.62212699734283705</v>
      </c>
      <c r="EK45" s="3">
        <f ca="1">IFERROR(__xludf.DUMMYFUNCTION("""COMPUTED_VALUE"""),-0.492229210297901)</f>
        <v>-0.49222921029790101</v>
      </c>
      <c r="EL45" s="3">
        <f ca="1">IFERROR(__xludf.DUMMYFUNCTION("""COMPUTED_VALUE"""),-0.541121168879833)</f>
        <v>-0.54112116887983297</v>
      </c>
      <c r="EM45" s="3">
        <f ca="1">IFERROR(__xludf.DUMMYFUNCTION("""COMPUTED_VALUE"""),-0.613140767424547)</f>
        <v>-0.61314076742454704</v>
      </c>
      <c r="EN45" s="3">
        <f ca="1">IFERROR(__xludf.DUMMYFUNCTION("""COMPUTED_VALUE"""),-0.540071419629495)</f>
        <v>-0.54007141962949501</v>
      </c>
      <c r="EO45" s="3">
        <f ca="1">IFERROR(__xludf.DUMMYFUNCTION("""COMPUTED_VALUE"""),-0.598176103862614)</f>
        <v>-0.59817610386261399</v>
      </c>
      <c r="EP45" s="3">
        <f ca="1">IFERROR(__xludf.DUMMYFUNCTION("""COMPUTED_VALUE"""),-0.626131788507757)</f>
        <v>-0.62613178850775697</v>
      </c>
      <c r="EQ45" s="3">
        <f ca="1">IFERROR(__xludf.DUMMYFUNCTION("""COMPUTED_VALUE"""),-0.627790605502635)</f>
        <v>-0.62779060550263499</v>
      </c>
      <c r="ER45" s="3">
        <f ca="1">IFERROR(__xludf.DUMMYFUNCTION("""COMPUTED_VALUE"""),-0.536605062981333)</f>
        <v>-0.53660506298133304</v>
      </c>
      <c r="ES45" s="3">
        <f ca="1">IFERROR(__xludf.DUMMYFUNCTION("""COMPUTED_VALUE"""),-0.507145414742957)</f>
        <v>-0.50714541474295705</v>
      </c>
      <c r="ET45" s="3">
        <f ca="1">IFERROR(__xludf.DUMMYFUNCTION("""COMPUTED_VALUE"""),-0.60856315546192)</f>
        <v>-0.60856315546191997</v>
      </c>
      <c r="EU45" s="3">
        <f ca="1">IFERROR(__xludf.DUMMYFUNCTION("""COMPUTED_VALUE"""),-0.618226048323862)</f>
        <v>-0.61822604832386197</v>
      </c>
      <c r="EV45" s="3">
        <f ca="1">IFERROR(__xludf.DUMMYFUNCTION("""COMPUTED_VALUE"""),-0.651038561087371)</f>
        <v>-0.65103856108737101</v>
      </c>
      <c r="EW45" s="3">
        <f ca="1">IFERROR(__xludf.DUMMYFUNCTION("""COMPUTED_VALUE"""),-0.657864847675606)</f>
        <v>-0.65786484767560605</v>
      </c>
      <c r="EX45" s="3">
        <f ca="1">IFERROR(__xludf.DUMMYFUNCTION("""COMPUTED_VALUE"""),-0.636936394746029)</f>
        <v>-0.63693639474602903</v>
      </c>
      <c r="EY45" s="3">
        <f ca="1">IFERROR(__xludf.DUMMYFUNCTION("""COMPUTED_VALUE"""),-0.539649115859785)</f>
        <v>-0.53964911585978503</v>
      </c>
      <c r="EZ45" s="3">
        <f ca="1">IFERROR(__xludf.DUMMYFUNCTION("""COMPUTED_VALUE"""),-0.50900750653515)</f>
        <v>-0.50900750653515003</v>
      </c>
      <c r="FA45" s="3">
        <f ca="1">IFERROR(__xludf.DUMMYFUNCTION("""COMPUTED_VALUE"""),-0.587550287078537)</f>
        <v>-0.58755028707853696</v>
      </c>
      <c r="FB45" s="3">
        <f ca="1">IFERROR(__xludf.DUMMYFUNCTION("""COMPUTED_VALUE"""),-0.624646250922051)</f>
        <v>-0.62464625092205095</v>
      </c>
      <c r="FC45" s="3">
        <f ca="1">IFERROR(__xludf.DUMMYFUNCTION("""COMPUTED_VALUE"""),-0.606801994076613)</f>
        <v>-0.60680199407661295</v>
      </c>
      <c r="FD45" s="3">
        <f ca="1">IFERROR(__xludf.DUMMYFUNCTION("""COMPUTED_VALUE"""),-0.599520856628436)</f>
        <v>-0.59952085662843602</v>
      </c>
      <c r="FE45" s="3">
        <f ca="1">IFERROR(__xludf.DUMMYFUNCTION("""COMPUTED_VALUE"""),-0.620239326770984)</f>
        <v>-0.62023932677098403</v>
      </c>
      <c r="FF45" s="3">
        <f ca="1">IFERROR(__xludf.DUMMYFUNCTION("""COMPUTED_VALUE"""),-0.578851042943878)</f>
        <v>-0.57885104294387801</v>
      </c>
      <c r="FG45" s="3">
        <f ca="1">IFERROR(__xludf.DUMMYFUNCTION("""COMPUTED_VALUE"""),-0.519090194278447)</f>
        <v>-0.51909019427844705</v>
      </c>
      <c r="FH45" s="3">
        <f ca="1">IFERROR(__xludf.DUMMYFUNCTION("""COMPUTED_VALUE"""),-0.594823627614844)</f>
        <v>-0.59482362761484397</v>
      </c>
      <c r="FI45" s="3">
        <f ca="1">IFERROR(__xludf.DUMMYFUNCTION("""COMPUTED_VALUE"""),-0.621614069312137)</f>
        <v>-0.62161406931213703</v>
      </c>
      <c r="FJ45" s="3">
        <f ca="1">IFERROR(__xludf.DUMMYFUNCTION("""COMPUTED_VALUE"""),-0.626724718347278)</f>
        <v>-0.62672471834727805</v>
      </c>
      <c r="FK45" s="3">
        <f ca="1">IFERROR(__xludf.DUMMYFUNCTION("""COMPUTED_VALUE"""),-0.626062932011223)</f>
        <v>-0.62606293201122298</v>
      </c>
      <c r="FL45" s="3">
        <f ca="1">IFERROR(__xludf.DUMMYFUNCTION("""COMPUTED_VALUE"""),-0.612437938494345)</f>
        <v>-0.61243793849434502</v>
      </c>
      <c r="FM45" s="3">
        <f ca="1">IFERROR(__xludf.DUMMYFUNCTION("""COMPUTED_VALUE"""),-0.534658618920769)</f>
        <v>-0.53465861892076905</v>
      </c>
      <c r="FN45" s="3">
        <f ca="1">IFERROR(__xludf.DUMMYFUNCTION("""COMPUTED_VALUE"""),-0.527427239592435)</f>
        <v>-0.52742723959243498</v>
      </c>
      <c r="FO45" s="3">
        <f ca="1">IFERROR(__xludf.DUMMYFUNCTION("""COMPUTED_VALUE"""),-0.645143820670739)</f>
        <v>-0.64514382067073905</v>
      </c>
      <c r="FP45" s="3">
        <f ca="1">IFERROR(__xludf.DUMMYFUNCTION("""COMPUTED_VALUE"""),-0.650201612286871)</f>
        <v>-0.65020161228687101</v>
      </c>
      <c r="FQ45" s="3">
        <f ca="1">IFERROR(__xludf.DUMMYFUNCTION("""COMPUTED_VALUE"""),-0.614151963716651)</f>
        <v>-0.61415196371665104</v>
      </c>
      <c r="FR45" s="3">
        <f ca="1">IFERROR(__xludf.DUMMYFUNCTION("""COMPUTED_VALUE"""),-0.606394880242151)</f>
        <v>-0.60639488024215105</v>
      </c>
      <c r="FS45" s="3">
        <f ca="1">IFERROR(__xludf.DUMMYFUNCTION("""COMPUTED_VALUE"""),-0.589810786844349)</f>
        <v>-0.58981078684434896</v>
      </c>
      <c r="FT45" s="3">
        <f ca="1">IFERROR(__xludf.DUMMYFUNCTION("""COMPUTED_VALUE"""),-0.523797878588586)</f>
        <v>-0.52379787858858595</v>
      </c>
      <c r="FU45" s="3">
        <f ca="1">IFERROR(__xludf.DUMMYFUNCTION("""COMPUTED_VALUE"""),-0.511936463865898)</f>
        <v>-0.51193646386589797</v>
      </c>
      <c r="FV45" s="3">
        <f ca="1">IFERROR(__xludf.DUMMYFUNCTION("""COMPUTED_VALUE"""),-0.608280490128877)</f>
        <v>-0.60828049012887697</v>
      </c>
      <c r="FW45" s="3">
        <f ca="1">IFERROR(__xludf.DUMMYFUNCTION("""COMPUTED_VALUE"""),-0.623711912862319)</f>
        <v>-0.62371191286231897</v>
      </c>
      <c r="FX45" s="3">
        <f ca="1">IFERROR(__xludf.DUMMYFUNCTION("""COMPUTED_VALUE"""),-0.649044147052913)</f>
        <v>-0.64904414705291302</v>
      </c>
      <c r="FY45" s="3">
        <f ca="1">IFERROR(__xludf.DUMMYFUNCTION("""COMPUTED_VALUE"""),-0.6118071953287)</f>
        <v>-0.61180719532869998</v>
      </c>
      <c r="FZ45" s="3">
        <f ca="1">IFERROR(__xludf.DUMMYFUNCTION("""COMPUTED_VALUE"""),-0.623971989554027)</f>
        <v>-0.623971989554027</v>
      </c>
      <c r="GA45" s="3">
        <f ca="1">IFERROR(__xludf.DUMMYFUNCTION("""COMPUTED_VALUE"""),-0.459975831820676)</f>
        <v>-0.45997583182067597</v>
      </c>
      <c r="GB45" s="3">
        <f ca="1">IFERROR(__xludf.DUMMYFUNCTION("""COMPUTED_VALUE"""),-0.500027519010625)</f>
        <v>-0.50002751901062503</v>
      </c>
      <c r="GC45" s="3">
        <f ca="1">IFERROR(__xludf.DUMMYFUNCTION("""COMPUTED_VALUE"""),-0.585164828045731)</f>
        <v>-0.585164828045731</v>
      </c>
      <c r="GD45" s="3">
        <f ca="1">IFERROR(__xludf.DUMMYFUNCTION("""COMPUTED_VALUE"""),-0.607710193663457)</f>
        <v>-0.60771019366345702</v>
      </c>
      <c r="GE45" s="3">
        <f ca="1">IFERROR(__xludf.DUMMYFUNCTION("""COMPUTED_VALUE"""),-0.61425261422536)</f>
        <v>-0.61425261422536004</v>
      </c>
      <c r="GF45" s="3">
        <f ca="1">IFERROR(__xludf.DUMMYFUNCTION("""COMPUTED_VALUE"""),-0.592568802532933)</f>
        <v>-0.59256880253293298</v>
      </c>
      <c r="GG45" s="3">
        <f ca="1">IFERROR(__xludf.DUMMYFUNCTION("""COMPUTED_VALUE"""),-0.57891339439795)</f>
        <v>-0.57891339439794998</v>
      </c>
      <c r="GH45" s="3">
        <f ca="1">IFERROR(__xludf.DUMMYFUNCTION("""COMPUTED_VALUE"""),-0.474153936970471)</f>
        <v>-0.47415393697047098</v>
      </c>
      <c r="GI45" s="3">
        <f ca="1">IFERROR(__xludf.DUMMYFUNCTION("""COMPUTED_VALUE"""),-0.511905536968001)</f>
        <v>-0.51190553696800101</v>
      </c>
      <c r="GJ45" s="3">
        <f ca="1">IFERROR(__xludf.DUMMYFUNCTION("""COMPUTED_VALUE"""),-0.560482853370644)</f>
        <v>-0.56048285337064396</v>
      </c>
      <c r="GK45" s="3">
        <f ca="1">IFERROR(__xludf.DUMMYFUNCTION("""COMPUTED_VALUE"""),-0.627965701817274)</f>
        <v>-0.62796570181727396</v>
      </c>
      <c r="GL45" s="3">
        <f ca="1">IFERROR(__xludf.DUMMYFUNCTION("""COMPUTED_VALUE"""),-0.652498264659469)</f>
        <v>-0.65249826465946903</v>
      </c>
      <c r="GM45" s="3">
        <f ca="1">IFERROR(__xludf.DUMMYFUNCTION("""COMPUTED_VALUE"""),-0.634740263717154)</f>
        <v>-0.63474026371715397</v>
      </c>
      <c r="GN45" s="3">
        <f ca="1">IFERROR(__xludf.DUMMYFUNCTION("""COMPUTED_VALUE"""),-0.658813131218954)</f>
        <v>-0.65881313121895402</v>
      </c>
      <c r="GO45" s="3">
        <f ca="1">IFERROR(__xludf.DUMMYFUNCTION("""COMPUTED_VALUE"""),-0.463202066246218)</f>
        <v>-0.46320206624621801</v>
      </c>
      <c r="GP45" s="3">
        <f ca="1">IFERROR(__xludf.DUMMYFUNCTION("""COMPUTED_VALUE"""),-0.493521703058592)</f>
        <v>-0.493521703058592</v>
      </c>
      <c r="GQ45" s="3">
        <f ca="1">IFERROR(__xludf.DUMMYFUNCTION("""COMPUTED_VALUE"""),-0.556224065287846)</f>
        <v>-0.55622406528784596</v>
      </c>
      <c r="GR45" s="3">
        <f ca="1">IFERROR(__xludf.DUMMYFUNCTION("""COMPUTED_VALUE"""),-0.607202153941188)</f>
        <v>-0.60720215394118804</v>
      </c>
      <c r="GS45" s="3">
        <f ca="1">IFERROR(__xludf.DUMMYFUNCTION("""COMPUTED_VALUE"""),-0.617392548278333)</f>
        <v>-0.61739254827833301</v>
      </c>
      <c r="GT45" s="3">
        <f ca="1">IFERROR(__xludf.DUMMYFUNCTION("""COMPUTED_VALUE"""),-0.599494038622791)</f>
        <v>-0.59949403862279105</v>
      </c>
      <c r="GU45" s="3">
        <f ca="1">IFERROR(__xludf.DUMMYFUNCTION("""COMPUTED_VALUE"""),-0.5695792891319)</f>
        <v>-0.56957928913190004</v>
      </c>
      <c r="GV45" s="3">
        <f ca="1">IFERROR(__xludf.DUMMYFUNCTION("""COMPUTED_VALUE"""),-0.424449103658377)</f>
        <v>-0.42444910365837701</v>
      </c>
      <c r="GW45" s="3">
        <f ca="1">IFERROR(__xludf.DUMMYFUNCTION("""COMPUTED_VALUE"""),-0.430383043790863)</f>
        <v>-0.43038304379086301</v>
      </c>
      <c r="GX45" s="3">
        <f ca="1">IFERROR(__xludf.DUMMYFUNCTION("""COMPUTED_VALUE"""),-0.565552172272426)</f>
        <v>-0.56555217227242605</v>
      </c>
      <c r="GY45" s="3">
        <f ca="1">IFERROR(__xludf.DUMMYFUNCTION("""COMPUTED_VALUE"""),-0.582237883850976)</f>
        <v>-0.58223788385097597</v>
      </c>
      <c r="GZ45" s="3">
        <f ca="1">IFERROR(__xludf.DUMMYFUNCTION("""COMPUTED_VALUE"""),-0.612391644169878)</f>
        <v>-0.61239164416987801</v>
      </c>
      <c r="HA45" s="3">
        <f ca="1">IFERROR(__xludf.DUMMYFUNCTION("""COMPUTED_VALUE"""),-0.606235575612752)</f>
        <v>-0.60623557561275199</v>
      </c>
      <c r="HB45" s="3">
        <f ca="1">IFERROR(__xludf.DUMMYFUNCTION("""COMPUTED_VALUE"""),-0.611780026361305)</f>
        <v>-0.61178002636130502</v>
      </c>
      <c r="HC45" s="3">
        <f ca="1">IFERROR(__xludf.DUMMYFUNCTION("""COMPUTED_VALUE"""),-0.469952852451318)</f>
        <v>-0.46995285245131801</v>
      </c>
      <c r="HD45" s="3">
        <f ca="1">IFERROR(__xludf.DUMMYFUNCTION("""COMPUTED_VALUE"""),-0.529445466343538)</f>
        <v>-0.52944546634353795</v>
      </c>
      <c r="HE45" s="3">
        <f ca="1">IFERROR(__xludf.DUMMYFUNCTION("""COMPUTED_VALUE"""),-0.597380100674731)</f>
        <v>-0.59738010067473102</v>
      </c>
      <c r="HF45" s="3">
        <f ca="1">IFERROR(__xludf.DUMMYFUNCTION("""COMPUTED_VALUE"""),-0.592139662034503)</f>
        <v>-0.59213966203450297</v>
      </c>
      <c r="HG45" s="3">
        <f ca="1">IFERROR(__xludf.DUMMYFUNCTION("""COMPUTED_VALUE"""),-0.594498887384722)</f>
        <v>-0.59449888738472201</v>
      </c>
      <c r="HH45" s="3">
        <f ca="1">IFERROR(__xludf.DUMMYFUNCTION("""COMPUTED_VALUE"""),-0.630109542907384)</f>
        <v>-0.63010954290738397</v>
      </c>
      <c r="HI45" s="3">
        <f ca="1">IFERROR(__xludf.DUMMYFUNCTION("""COMPUTED_VALUE"""),-0.620195405945307)</f>
        <v>-0.62019540594530698</v>
      </c>
      <c r="HJ45" s="3">
        <f ca="1">IFERROR(__xludf.DUMMYFUNCTION("""COMPUTED_VALUE"""),-0.49464222369928)</f>
        <v>-0.49464222369928001</v>
      </c>
      <c r="HK45" s="3">
        <f ca="1">IFERROR(__xludf.DUMMYFUNCTION("""COMPUTED_VALUE"""),-0.473705830055334)</f>
        <v>-0.47370583005533401</v>
      </c>
      <c r="HL45" s="3">
        <f ca="1">IFERROR(__xludf.DUMMYFUNCTION("""COMPUTED_VALUE"""),-0.5430888000671)</f>
        <v>-0.54308880006710003</v>
      </c>
      <c r="HM45" s="3">
        <f ca="1">IFERROR(__xludf.DUMMYFUNCTION("""COMPUTED_VALUE"""),-0.591103147900507)</f>
        <v>-0.591103147900507</v>
      </c>
      <c r="HN45" s="3">
        <f ca="1">IFERROR(__xludf.DUMMYFUNCTION("""COMPUTED_VALUE"""),-0.602726179527094)</f>
        <v>-0.60272617952709395</v>
      </c>
      <c r="HO45" s="3">
        <f ca="1">IFERROR(__xludf.DUMMYFUNCTION("""COMPUTED_VALUE"""),-0.609697451601371)</f>
        <v>-0.60969745160137101</v>
      </c>
      <c r="HP45" s="3">
        <f ca="1">IFERROR(__xludf.DUMMYFUNCTION("""COMPUTED_VALUE"""),-0.591048760960144)</f>
        <v>-0.59104876096014403</v>
      </c>
      <c r="HQ45" s="3">
        <f ca="1">IFERROR(__xludf.DUMMYFUNCTION("""COMPUTED_VALUE"""),-0.470000522059292)</f>
        <v>-0.47000052205929199</v>
      </c>
      <c r="HR45" s="3">
        <f ca="1">IFERROR(__xludf.DUMMYFUNCTION("""COMPUTED_VALUE"""),-0.49572270759347)</f>
        <v>-0.49572270759346998</v>
      </c>
      <c r="HS45" s="3">
        <f ca="1">IFERROR(__xludf.DUMMYFUNCTION("""COMPUTED_VALUE"""),-0.593389373210156)</f>
        <v>-0.59338937321015595</v>
      </c>
      <c r="HT45" s="3">
        <f ca="1">IFERROR(__xludf.DUMMYFUNCTION("""COMPUTED_VALUE"""),-0.604218683171295)</f>
        <v>-0.60421868317129501</v>
      </c>
      <c r="HU45" s="3">
        <f ca="1">IFERROR(__xludf.DUMMYFUNCTION("""COMPUTED_VALUE"""),-0.628091297347164)</f>
        <v>-0.62809129734716396</v>
      </c>
      <c r="HV45" s="3">
        <f ca="1">IFERROR(__xludf.DUMMYFUNCTION("""COMPUTED_VALUE"""),-0.613877157347647)</f>
        <v>-0.61387715734764703</v>
      </c>
      <c r="HW45" s="3">
        <f ca="1">IFERROR(__xludf.DUMMYFUNCTION("""COMPUTED_VALUE"""),-0.518242145297385)</f>
        <v>-0.51824214529738499</v>
      </c>
      <c r="HX45" s="3">
        <f ca="1">IFERROR(__xludf.DUMMYFUNCTION("""COMPUTED_VALUE"""),-0.504647485169507)</f>
        <v>-0.50464748516950697</v>
      </c>
      <c r="HY45" s="3">
        <f ca="1">IFERROR(__xludf.DUMMYFUNCTION("""COMPUTED_VALUE"""),-0.522436675000759)</f>
        <v>-0.52243667500075897</v>
      </c>
      <c r="HZ45" s="3">
        <f ca="1">IFERROR(__xludf.DUMMYFUNCTION("""COMPUTED_VALUE"""),-0.514751684259433)</f>
        <v>-0.51475168425943296</v>
      </c>
      <c r="IA45" s="3">
        <f ca="1">IFERROR(__xludf.DUMMYFUNCTION("""COMPUTED_VALUE"""),-0.602705797191862)</f>
        <v>-0.60270579719186201</v>
      </c>
      <c r="IB45" s="3">
        <f ca="1">IFERROR(__xludf.DUMMYFUNCTION("""COMPUTED_VALUE"""),-0.569275508711551)</f>
        <v>-0.56927550871155097</v>
      </c>
      <c r="IC45" s="3">
        <f ca="1">IFERROR(__xludf.DUMMYFUNCTION("""COMPUTED_VALUE"""),-0.583653657850606)</f>
        <v>-0.58365365785060597</v>
      </c>
      <c r="ID45" s="3">
        <f ca="1">IFERROR(__xludf.DUMMYFUNCTION("""COMPUTED_VALUE"""),-0.593661536323421)</f>
        <v>-0.593661536323421</v>
      </c>
      <c r="IE45" s="3">
        <f ca="1">IFERROR(__xludf.DUMMYFUNCTION("""COMPUTED_VALUE"""),-0.514297582915594)</f>
        <v>-0.51429758291559402</v>
      </c>
      <c r="IF45" s="3">
        <f ca="1">IFERROR(__xludf.DUMMYFUNCTION("""COMPUTED_VALUE"""),-0.548586606059007)</f>
        <v>-0.548586606059007</v>
      </c>
      <c r="IG45" s="3">
        <f ca="1">IFERROR(__xludf.DUMMYFUNCTION("""COMPUTED_VALUE"""),-0.565475251872181)</f>
        <v>-0.56547525187218095</v>
      </c>
      <c r="IH45" s="3">
        <f ca="1">IFERROR(__xludf.DUMMYFUNCTION("""COMPUTED_VALUE"""),-0.586824630424285)</f>
        <v>-0.58682463042428501</v>
      </c>
      <c r="II45" s="3">
        <f ca="1">IFERROR(__xludf.DUMMYFUNCTION("""COMPUTED_VALUE"""),-0.576916255763131)</f>
        <v>-0.57691625576313099</v>
      </c>
      <c r="IJ45" s="3">
        <f ca="1">IFERROR(__xludf.DUMMYFUNCTION("""COMPUTED_VALUE"""),-0.590315873945648)</f>
        <v>-0.590315873945648</v>
      </c>
      <c r="IK45" s="3">
        <f ca="1">IFERROR(__xludf.DUMMYFUNCTION("""COMPUTED_VALUE"""),-0.60072174332021)</f>
        <v>-0.60072174332021</v>
      </c>
      <c r="IL45" s="3">
        <f ca="1">IFERROR(__xludf.DUMMYFUNCTION("""COMPUTED_VALUE"""),-0.50182235663211)</f>
        <v>-0.50182235663210994</v>
      </c>
      <c r="IM45" s="3">
        <f ca="1">IFERROR(__xludf.DUMMYFUNCTION("""COMPUTED_VALUE"""),-0.51783239151701)</f>
        <v>-0.51783239151700999</v>
      </c>
      <c r="IN45" s="3">
        <f ca="1">IFERROR(__xludf.DUMMYFUNCTION("""COMPUTED_VALUE"""),-0.529471454233545)</f>
        <v>-0.52947145423354502</v>
      </c>
      <c r="IO45" s="3">
        <f ca="1">IFERROR(__xludf.DUMMYFUNCTION("""COMPUTED_VALUE"""),-0.568272306130496)</f>
        <v>-0.56827230613049595</v>
      </c>
      <c r="IP45" s="3">
        <f ca="1">IFERROR(__xludf.DUMMYFUNCTION("""COMPUTED_VALUE"""),-0.565149091647836)</f>
        <v>-0.565149091647836</v>
      </c>
      <c r="IQ45" s="3">
        <f ca="1">IFERROR(__xludf.DUMMYFUNCTION("""COMPUTED_VALUE"""),-0.535362488636491)</f>
        <v>-0.53536248863649105</v>
      </c>
      <c r="IR45" s="3">
        <f ca="1">IFERROR(__xludf.DUMMYFUNCTION("""COMPUTED_VALUE"""),-0.536347128061297)</f>
        <v>-0.53634712806129703</v>
      </c>
      <c r="IS45" s="3">
        <f ca="1">IFERROR(__xludf.DUMMYFUNCTION("""COMPUTED_VALUE"""),-0.544102716754876)</f>
        <v>-0.54410271675487598</v>
      </c>
      <c r="IT45" s="3">
        <f ca="1">IFERROR(__xludf.DUMMYFUNCTION("""COMPUTED_VALUE"""),-0.53525995550207)</f>
        <v>-0.53525995550206995</v>
      </c>
      <c r="IU45" s="3">
        <f ca="1">IFERROR(__xludf.DUMMYFUNCTION("""COMPUTED_VALUE"""),-0.544183812496209)</f>
        <v>-0.54418381249620895</v>
      </c>
      <c r="IV45" s="3">
        <f ca="1">IFERROR(__xludf.DUMMYFUNCTION("""COMPUTED_VALUE"""),-0.559046999142467)</f>
        <v>-0.55904699914246703</v>
      </c>
      <c r="IW45" s="3">
        <f ca="1">IFERROR(__xludf.DUMMYFUNCTION("""COMPUTED_VALUE"""),-0.575250335741345)</f>
        <v>-0.57525033574134499</v>
      </c>
      <c r="IX45" s="3">
        <f ca="1">IFERROR(__xludf.DUMMYFUNCTION("""COMPUTED_VALUE"""),-0.584941231742554)</f>
        <v>-0.58494123174255397</v>
      </c>
      <c r="IY45" s="3">
        <f ca="1">IFERROR(__xludf.DUMMYFUNCTION("""COMPUTED_VALUE"""),-0.57156485733003)</f>
        <v>-0.57156485733003004</v>
      </c>
      <c r="IZ45" s="3">
        <f ca="1">IFERROR(__xludf.DUMMYFUNCTION("""COMPUTED_VALUE"""),-0.54995305385419)</f>
        <v>-0.54995305385419002</v>
      </c>
      <c r="JA45" s="3">
        <f ca="1">IFERROR(__xludf.DUMMYFUNCTION("""COMPUTED_VALUE"""),-0.480084375821625)</f>
        <v>-0.480084375821625</v>
      </c>
      <c r="JB45" s="3">
        <f ca="1">IFERROR(__xludf.DUMMYFUNCTION("""COMPUTED_VALUE"""),-0.524813773443522)</f>
        <v>-0.52481377344352198</v>
      </c>
      <c r="JC45" s="3">
        <f ca="1">IFERROR(__xludf.DUMMYFUNCTION("""COMPUTED_VALUE"""),-0.595049025953161)</f>
        <v>-0.595049025953161</v>
      </c>
      <c r="JD45" s="3">
        <f ca="1">IFERROR(__xludf.DUMMYFUNCTION("""COMPUTED_VALUE"""),-0.583226948060456)</f>
        <v>-0.58322694806045605</v>
      </c>
      <c r="JE45" s="3">
        <f ca="1">IFERROR(__xludf.DUMMYFUNCTION("""COMPUTED_VALUE"""),-0.606533377054405)</f>
        <v>-0.60653337705440502</v>
      </c>
      <c r="JF45" s="3">
        <f ca="1">IFERROR(__xludf.DUMMYFUNCTION("""COMPUTED_VALUE"""),-0.571244854068478)</f>
        <v>-0.57124485406847803</v>
      </c>
      <c r="JG45" s="3">
        <f ca="1">IFERROR(__xludf.DUMMYFUNCTION("""COMPUTED_VALUE"""),-0.481123612964783)</f>
        <v>-0.48112361296478301</v>
      </c>
      <c r="JH45" s="3">
        <f ca="1">IFERROR(__xludf.DUMMYFUNCTION("""COMPUTED_VALUE"""),-0.536688259901959)</f>
        <v>-0.53668825990195901</v>
      </c>
      <c r="JI45" s="3">
        <f ca="1">IFERROR(__xludf.DUMMYFUNCTION("""COMPUTED_VALUE"""),-0.551379287933733)</f>
        <v>-0.55137928793373303</v>
      </c>
      <c r="JJ45" s="3">
        <f ca="1">IFERROR(__xludf.DUMMYFUNCTION("""COMPUTED_VALUE"""),-0.505005175569828)</f>
        <v>-0.50500517556982805</v>
      </c>
      <c r="JK45" s="3">
        <f ca="1">IFERROR(__xludf.DUMMYFUNCTION("""COMPUTED_VALUE"""),-0.602735308843492)</f>
        <v>-0.60273530884349202</v>
      </c>
      <c r="JL45" s="3">
        <f ca="1">IFERROR(__xludf.DUMMYFUNCTION("""COMPUTED_VALUE"""),-0.531994120163924)</f>
        <v>-0.531994120163924</v>
      </c>
      <c r="JM45" s="3">
        <f ca="1">IFERROR(__xludf.DUMMYFUNCTION("""COMPUTED_VALUE"""),-0.566796373930737)</f>
        <v>-0.56679637393073701</v>
      </c>
      <c r="JN45" s="3">
        <f ca="1">IFERROR(__xludf.DUMMYFUNCTION("""COMPUTED_VALUE"""),-0.443065381090335)</f>
        <v>-0.443065381090335</v>
      </c>
      <c r="JO45" s="3">
        <f ca="1">IFERROR(__xludf.DUMMYFUNCTION("""COMPUTED_VALUE"""),-0.449244814435634)</f>
        <v>-0.44924481443563402</v>
      </c>
      <c r="JP45" s="3">
        <f ca="1">IFERROR(__xludf.DUMMYFUNCTION("""COMPUTED_VALUE"""),-0.52270110774312)</f>
        <v>-0.52270110774311995</v>
      </c>
      <c r="JQ45" s="3">
        <f ca="1">IFERROR(__xludf.DUMMYFUNCTION("""COMPUTED_VALUE"""),-0.525227058429762)</f>
        <v>-0.52522705842976203</v>
      </c>
      <c r="JR45" s="3">
        <f ca="1">IFERROR(__xludf.DUMMYFUNCTION("""COMPUTED_VALUE"""),-0.607676958920977)</f>
        <v>-0.60767695892097695</v>
      </c>
      <c r="JS45" s="3">
        <f ca="1">IFERROR(__xludf.DUMMYFUNCTION("""COMPUTED_VALUE"""),-0.585482535845163)</f>
        <v>-0.58548253584516297</v>
      </c>
      <c r="JT45" s="3">
        <f ca="1">IFERROR(__xludf.DUMMYFUNCTION("""COMPUTED_VALUE"""),-0.602649485082373)</f>
        <v>-0.60264948508237304</v>
      </c>
      <c r="JU45" s="3">
        <f ca="1">IFERROR(__xludf.DUMMYFUNCTION("""COMPUTED_VALUE"""),-0.514300888752644)</f>
        <v>-0.51430088875264401</v>
      </c>
      <c r="JV45" s="3">
        <f ca="1">IFERROR(__xludf.DUMMYFUNCTION("""COMPUTED_VALUE"""),-0.574287163998811)</f>
        <v>-0.57428716399881097</v>
      </c>
      <c r="JW45" s="3">
        <f ca="1">IFERROR(__xludf.DUMMYFUNCTION("""COMPUTED_VALUE"""),-0.560923277525365)</f>
        <v>-0.56092327752536497</v>
      </c>
      <c r="JX45" s="3">
        <f ca="1">IFERROR(__xludf.DUMMYFUNCTION("""COMPUTED_VALUE"""),-0.509588750668252)</f>
        <v>-0.50958875066825204</v>
      </c>
      <c r="JY45" s="3">
        <f ca="1">IFERROR(__xludf.DUMMYFUNCTION("""COMPUTED_VALUE"""),-0.573127859657965)</f>
        <v>-0.57312785965796498</v>
      </c>
      <c r="JZ45" s="3">
        <f ca="1">IFERROR(__xludf.DUMMYFUNCTION("""COMPUTED_VALUE"""),-0.55643546516613)</f>
        <v>-0.55643546516612996</v>
      </c>
      <c r="KA45" s="3">
        <f ca="1">IFERROR(__xludf.DUMMYFUNCTION("""COMPUTED_VALUE"""),-0.575649843919438)</f>
        <v>-0.57564984391943796</v>
      </c>
      <c r="KB45" s="3">
        <f ca="1">IFERROR(__xludf.DUMMYFUNCTION("""COMPUTED_VALUE"""),-0.458708071854447)</f>
        <v>-0.45870807185444701</v>
      </c>
      <c r="KC45" s="3">
        <f ca="1">IFERROR(__xludf.DUMMYFUNCTION("""COMPUTED_VALUE"""),-0.455217838462472)</f>
        <v>-0.45521783846247199</v>
      </c>
      <c r="KD45" s="3">
        <f ca="1">IFERROR(__xludf.DUMMYFUNCTION("""COMPUTED_VALUE"""),-0.573936654704108)</f>
        <v>-0.57393665470410804</v>
      </c>
      <c r="KE45" s="3">
        <f ca="1">IFERROR(__xludf.DUMMYFUNCTION("""COMPUTED_VALUE"""),-0.560427445153129)</f>
        <v>-0.56042744515312903</v>
      </c>
      <c r="KF45" s="3">
        <f ca="1">IFERROR(__xludf.DUMMYFUNCTION("""COMPUTED_VALUE"""),-0.565868963715831)</f>
        <v>-0.56586896371583095</v>
      </c>
      <c r="KG45" s="3">
        <f ca="1">IFERROR(__xludf.DUMMYFUNCTION("""COMPUTED_VALUE"""),-0.625722960471504)</f>
        <v>-0.625722960471504</v>
      </c>
      <c r="KH45" s="3">
        <f ca="1">IFERROR(__xludf.DUMMYFUNCTION("""COMPUTED_VALUE"""),-0.616817032188292)</f>
        <v>-0.61681703218829198</v>
      </c>
      <c r="KI45" s="3">
        <f ca="1">IFERROR(__xludf.DUMMYFUNCTION("""COMPUTED_VALUE"""),-0.528479860091772)</f>
        <v>-0.52847986009177195</v>
      </c>
      <c r="KJ45" s="3">
        <f ca="1">IFERROR(__xludf.DUMMYFUNCTION("""COMPUTED_VALUE"""),-0.612538232626915)</f>
        <v>-0.61253823262691498</v>
      </c>
      <c r="KK45" s="3">
        <f ca="1">IFERROR(__xludf.DUMMYFUNCTION("""COMPUTED_VALUE"""),-0.596696884711685)</f>
        <v>-0.59669688471168503</v>
      </c>
      <c r="KL45" s="3">
        <f ca="1">IFERROR(__xludf.DUMMYFUNCTION("""COMPUTED_VALUE"""),-0.550777450303342)</f>
        <v>-0.55077745030334202</v>
      </c>
      <c r="KM45" s="3">
        <f ca="1">IFERROR(__xludf.DUMMYFUNCTION("""COMPUTED_VALUE"""),-0.554855079021791)</f>
        <v>-0.55485507902179099</v>
      </c>
      <c r="KN45" s="3">
        <f ca="1">IFERROR(__xludf.DUMMYFUNCTION("""COMPUTED_VALUE"""),-0.59178684600431)</f>
        <v>-0.59178684600430997</v>
      </c>
      <c r="KO45" s="3">
        <f ca="1">IFERROR(__xludf.DUMMYFUNCTION("""COMPUTED_VALUE"""),-0.576191814752344)</f>
        <v>-0.57619181475234404</v>
      </c>
      <c r="KP45" s="3">
        <f ca="1">IFERROR(__xludf.DUMMYFUNCTION("""COMPUTED_VALUE"""),-0.528745441758423)</f>
        <v>-0.52874544175842297</v>
      </c>
      <c r="KQ45" s="3">
        <f ca="1">IFERROR(__xludf.DUMMYFUNCTION("""COMPUTED_VALUE"""),-0.514812856814644)</f>
        <v>-0.51481285681464395</v>
      </c>
      <c r="KR45" s="3">
        <f ca="1">IFERROR(__xludf.DUMMYFUNCTION("""COMPUTED_VALUE"""),-0.572066562344077)</f>
        <v>-0.57206656234407705</v>
      </c>
      <c r="KS45" s="3">
        <f ca="1">IFERROR(__xludf.DUMMYFUNCTION("""COMPUTED_VALUE"""),-0.585251384913118)</f>
        <v>-0.58525138491311801</v>
      </c>
      <c r="KT45" s="3">
        <f ca="1">IFERROR(__xludf.DUMMYFUNCTION("""COMPUTED_VALUE"""),-0.652978837477749)</f>
        <v>-0.65297883747774899</v>
      </c>
      <c r="KU45" s="3">
        <f ca="1">IFERROR(__xludf.DUMMYFUNCTION("""COMPUTED_VALUE"""),-0.631887552496761)</f>
        <v>-0.63188755249676098</v>
      </c>
      <c r="KV45" s="3">
        <f ca="1">IFERROR(__xludf.DUMMYFUNCTION("""COMPUTED_VALUE"""),-0.584403748303363)</f>
        <v>-0.58440374830336295</v>
      </c>
      <c r="KW45" s="3">
        <f ca="1">IFERROR(__xludf.DUMMYFUNCTION("""COMPUTED_VALUE"""),-0.598643643756116)</f>
        <v>-0.59864364375611601</v>
      </c>
      <c r="KX45" s="3">
        <f ca="1">IFERROR(__xludf.DUMMYFUNCTION("""COMPUTED_VALUE"""),-0.551567883802408)</f>
        <v>-0.55156788380240795</v>
      </c>
      <c r="KY45" s="3">
        <f ca="1">IFERROR(__xludf.DUMMYFUNCTION("""COMPUTED_VALUE"""),-0.678971371213069)</f>
        <v>-0.67897137121306905</v>
      </c>
      <c r="KZ45" s="3">
        <f ca="1">IFERROR(__xludf.DUMMYFUNCTION("""COMPUTED_VALUE"""),-0.609777322132335)</f>
        <v>-0.60977732213233504</v>
      </c>
      <c r="LA45" s="3">
        <f ca="1">IFERROR(__xludf.DUMMYFUNCTION("""COMPUTED_VALUE"""),-0.609216653032104)</f>
        <v>-0.60921665303210404</v>
      </c>
      <c r="LB45" s="3">
        <f ca="1">IFERROR(__xludf.DUMMYFUNCTION("""COMPUTED_VALUE"""),-0.592934480267779)</f>
        <v>-0.59293448026777895</v>
      </c>
      <c r="LC45" s="3">
        <f ca="1">IFERROR(__xludf.DUMMYFUNCTION("""COMPUTED_VALUE"""),-0.534436650038554)</f>
        <v>-0.53443665003855401</v>
      </c>
      <c r="LD45" s="3">
        <f ca="1">IFERROR(__xludf.DUMMYFUNCTION("""COMPUTED_VALUE"""),-0.390655691266189)</f>
        <v>-0.39065569126618899</v>
      </c>
      <c r="LE45" s="3">
        <f ca="1">IFERROR(__xludf.DUMMYFUNCTION("""COMPUTED_VALUE"""),-0.41610534543749)</f>
        <v>-0.41610534543749</v>
      </c>
      <c r="LF45" s="3">
        <f ca="1">IFERROR(__xludf.DUMMYFUNCTION("""COMPUTED_VALUE"""),-0.47981037890975)</f>
        <v>-0.47981037890974998</v>
      </c>
      <c r="LG45" s="3">
        <f ca="1">IFERROR(__xludf.DUMMYFUNCTION("""COMPUTED_VALUE"""),-0.500977236047847)</f>
        <v>-0.50097723604784705</v>
      </c>
      <c r="LH45" s="3">
        <f ca="1">IFERROR(__xludf.DUMMYFUNCTION("""COMPUTED_VALUE"""),-0.500652727310063)</f>
        <v>-0.50065272731006305</v>
      </c>
      <c r="LI45" s="3">
        <f ca="1">IFERROR(__xludf.DUMMYFUNCTION("""COMPUTED_VALUE"""),-0.491928001437585)</f>
        <v>-0.49192800143758503</v>
      </c>
      <c r="LJ45" s="3">
        <f ca="1">IFERROR(__xludf.DUMMYFUNCTION("""COMPUTED_VALUE"""),-0.499458876754934)</f>
        <v>-0.499458876754934</v>
      </c>
      <c r="LK45" s="3">
        <f ca="1">IFERROR(__xludf.DUMMYFUNCTION("""COMPUTED_VALUE"""),-0.415003980565014)</f>
        <v>-0.41500398056501397</v>
      </c>
      <c r="LL45" s="3">
        <f ca="1">IFERROR(__xludf.DUMMYFUNCTION("""COMPUTED_VALUE"""),-0.523580195845862)</f>
        <v>-0.52358019584586202</v>
      </c>
      <c r="LM45" s="3">
        <f ca="1">IFERROR(__xludf.DUMMYFUNCTION("""COMPUTED_VALUE"""),-0.541209558184473)</f>
        <v>-0.54120955818447303</v>
      </c>
      <c r="LN45" s="3">
        <f ca="1">IFERROR(__xludf.DUMMYFUNCTION("""COMPUTED_VALUE"""),-0.533294791573563)</f>
        <v>-0.53329479157356297</v>
      </c>
      <c r="LO45" s="3">
        <f ca="1">IFERROR(__xludf.DUMMYFUNCTION("""COMPUTED_VALUE"""),-0.51589982299212)</f>
        <v>-0.51589982299212001</v>
      </c>
      <c r="LP45" s="3">
        <f ca="1">IFERROR(__xludf.DUMMYFUNCTION("""COMPUTED_VALUE"""),-0.583589625733977)</f>
        <v>-0.58358962573397699</v>
      </c>
      <c r="LQ45" s="3">
        <f ca="1">IFERROR(__xludf.DUMMYFUNCTION("""COMPUTED_VALUE"""),-0.548093478786843)</f>
        <v>-0.548093478786843</v>
      </c>
      <c r="LR45" s="3">
        <f ca="1">IFERROR(__xludf.DUMMYFUNCTION("""COMPUTED_VALUE"""),-0.593005042046603)</f>
        <v>-0.59300504204660298</v>
      </c>
      <c r="LS45" s="3">
        <f ca="1">IFERROR(__xludf.DUMMYFUNCTION("""COMPUTED_VALUE"""),-0.480027517159532)</f>
        <v>-0.48002751715953201</v>
      </c>
      <c r="LT45" s="3">
        <f ca="1">IFERROR(__xludf.DUMMYFUNCTION("""COMPUTED_VALUE"""),-0.522788549996254)</f>
        <v>-0.52278854999625402</v>
      </c>
      <c r="LU45" s="3">
        <f ca="1">IFERROR(__xludf.DUMMYFUNCTION("""COMPUTED_VALUE"""),-0.614149629821707)</f>
        <v>-0.61414962982170695</v>
      </c>
      <c r="LV45" s="3">
        <f ca="1">IFERROR(__xludf.DUMMYFUNCTION("""COMPUTED_VALUE"""),-0.586932510349085)</f>
        <v>-0.586932510349085</v>
      </c>
      <c r="LW45" s="3">
        <f ca="1">IFERROR(__xludf.DUMMYFUNCTION("""COMPUTED_VALUE"""),-0.587806454717527)</f>
        <v>-0.58780645471752702</v>
      </c>
      <c r="LX45" s="3">
        <f ca="1">IFERROR(__xludf.DUMMYFUNCTION("""COMPUTED_VALUE"""),-0.580654663163169)</f>
        <v>-0.58065466316316905</v>
      </c>
      <c r="LY45" s="3">
        <f ca="1">IFERROR(__xludf.DUMMYFUNCTION("""COMPUTED_VALUE"""),-0.405913297195342)</f>
        <v>-0.40591329719534203</v>
      </c>
      <c r="LZ45" s="3">
        <f ca="1">IFERROR(__xludf.DUMMYFUNCTION("""COMPUTED_VALUE"""),-0.499414904537698)</f>
        <v>-0.49941490453769799</v>
      </c>
      <c r="MA45" s="3">
        <f ca="1">IFERROR(__xludf.DUMMYFUNCTION("""COMPUTED_VALUE"""),-0.597830100932967)</f>
        <v>-0.59783010093296696</v>
      </c>
      <c r="MB45" s="3">
        <f ca="1">IFERROR(__xludf.DUMMYFUNCTION("""COMPUTED_VALUE"""),-0.618399456905443)</f>
        <v>-0.61839945690544296</v>
      </c>
      <c r="MC45" s="3">
        <f ca="1">IFERROR(__xludf.DUMMYFUNCTION("""COMPUTED_VALUE"""),-0.623108719419457)</f>
        <v>-0.623108719419457</v>
      </c>
      <c r="MD45" s="3">
        <f ca="1">IFERROR(__xludf.DUMMYFUNCTION("""COMPUTED_VALUE"""),-0.596985678377371)</f>
        <v>-0.59698567837737104</v>
      </c>
      <c r="ME45" s="3">
        <f ca="1">IFERROR(__xludf.DUMMYFUNCTION("""COMPUTED_VALUE"""),-0.593409138719195)</f>
        <v>-0.59340913871919498</v>
      </c>
      <c r="MF45" s="3">
        <f ca="1">IFERROR(__xludf.DUMMYFUNCTION("""COMPUTED_VALUE"""),-0.441928703281143)</f>
        <v>-0.44192870328114298</v>
      </c>
      <c r="MG45" s="3">
        <f ca="1">IFERROR(__xludf.DUMMYFUNCTION("""COMPUTED_VALUE"""),-0.468238655370941)</f>
        <v>-0.468238655370941</v>
      </c>
      <c r="MH45" s="3">
        <f ca="1">IFERROR(__xludf.DUMMYFUNCTION("""COMPUTED_VALUE"""),-0.611958565340804)</f>
        <v>-0.61195856534080395</v>
      </c>
      <c r="MI45" s="3">
        <f ca="1">IFERROR(__xludf.DUMMYFUNCTION("""COMPUTED_VALUE"""),-0.618089659226978)</f>
        <v>-0.61808965922697801</v>
      </c>
      <c r="MJ45" s="3">
        <f ca="1">IFERROR(__xludf.DUMMYFUNCTION("""COMPUTED_VALUE"""),-0.695431700400038)</f>
        <v>-0.69543170040003799</v>
      </c>
      <c r="MK45" s="3">
        <f ca="1">IFERROR(__xludf.DUMMYFUNCTION("""COMPUTED_VALUE"""),-0.638447665997213)</f>
        <v>-0.63844766599721303</v>
      </c>
      <c r="ML45" s="3">
        <f ca="1">IFERROR(__xludf.DUMMYFUNCTION("""COMPUTED_VALUE"""),-0.612411621273683)</f>
        <v>-0.61241162127368298</v>
      </c>
      <c r="MM45" s="3">
        <f ca="1">IFERROR(__xludf.DUMMYFUNCTION("""COMPUTED_VALUE"""),-0.412587999135992)</f>
        <v>-0.41258799913599198</v>
      </c>
      <c r="MN45" s="3">
        <f ca="1">IFERROR(__xludf.DUMMYFUNCTION("""COMPUTED_VALUE"""),-0.521750044086643)</f>
        <v>-0.52175004408664305</v>
      </c>
      <c r="MO45" s="3">
        <f ca="1">IFERROR(__xludf.DUMMYFUNCTION("""COMPUTED_VALUE"""),-0.613498728437567)</f>
        <v>-0.61349872843756703</v>
      </c>
      <c r="MP45" s="3">
        <f ca="1">IFERROR(__xludf.DUMMYFUNCTION("""COMPUTED_VALUE"""),-0.546463020964742)</f>
        <v>-0.54646302096474197</v>
      </c>
      <c r="MQ45" s="3">
        <f ca="1">IFERROR(__xludf.DUMMYFUNCTION("""COMPUTED_VALUE"""),-0.63301048154751)</f>
        <v>-0.63301048154751005</v>
      </c>
      <c r="MR45" s="3">
        <f ca="1">IFERROR(__xludf.DUMMYFUNCTION("""COMPUTED_VALUE"""),-0.612663015123712)</f>
        <v>-0.61266301512371202</v>
      </c>
      <c r="MS45" s="3">
        <f ca="1">IFERROR(__xludf.DUMMYFUNCTION("""COMPUTED_VALUE"""),-0.537101235039035)</f>
        <v>-0.53710123503903495</v>
      </c>
      <c r="MT45" s="3">
        <f ca="1">IFERROR(__xludf.DUMMYFUNCTION("""COMPUTED_VALUE"""),-0.407204687345482)</f>
        <v>-0.40720468734548199</v>
      </c>
      <c r="MU45" s="3">
        <f ca="1">IFERROR(__xludf.DUMMYFUNCTION("""COMPUTED_VALUE"""),-0.525656134670697)</f>
        <v>-0.52565613467069705</v>
      </c>
      <c r="MV45" s="3">
        <f ca="1">IFERROR(__xludf.DUMMYFUNCTION("""COMPUTED_VALUE"""),-0.60786688819279)</f>
        <v>-0.60786688819279</v>
      </c>
      <c r="MW45" s="3">
        <f ca="1">IFERROR(__xludf.DUMMYFUNCTION("""COMPUTED_VALUE"""),-0.578463814576103)</f>
        <v>-0.57846381457610296</v>
      </c>
      <c r="MX45" s="3">
        <f ca="1">IFERROR(__xludf.DUMMYFUNCTION("""COMPUTED_VALUE"""),-0.603723544987371)</f>
        <v>-0.60372354498737102</v>
      </c>
      <c r="MY45" s="3">
        <f ca="1">IFERROR(__xludf.DUMMYFUNCTION("""COMPUTED_VALUE"""),-0.6104481135845)</f>
        <v>-0.61044811358450002</v>
      </c>
      <c r="MZ45" s="3">
        <f ca="1">IFERROR(__xludf.DUMMYFUNCTION("""COMPUTED_VALUE"""),-0.568407513493785)</f>
        <v>-0.56840751349378504</v>
      </c>
      <c r="NA45" s="3">
        <f ca="1">IFERROR(__xludf.DUMMYFUNCTION("""COMPUTED_VALUE"""),-0.487667935579602)</f>
        <v>-0.48766793557960197</v>
      </c>
      <c r="NB45" s="3">
        <f ca="1">IFERROR(__xludf.DUMMYFUNCTION("""COMPUTED_VALUE"""),-0.544864475193765)</f>
        <v>-0.54486447519376502</v>
      </c>
      <c r="NC45" s="3">
        <f ca="1">IFERROR(__xludf.DUMMYFUNCTION("""COMPUTED_VALUE"""),-0.602699817948582)</f>
        <v>-0.60269981794858196</v>
      </c>
      <c r="ND45" s="3">
        <f ca="1">IFERROR(__xludf.DUMMYFUNCTION("""COMPUTED_VALUE"""),-0.630802785863416)</f>
        <v>-0.63080278586341598</v>
      </c>
      <c r="NE45" s="3">
        <f ca="1">IFERROR(__xludf.DUMMYFUNCTION("""COMPUTED_VALUE"""),-0.6187326059156)</f>
        <v>-0.61873260591559998</v>
      </c>
      <c r="NF45" s="3">
        <f ca="1">IFERROR(__xludf.DUMMYFUNCTION("""COMPUTED_VALUE"""),-0.599287045172325)</f>
        <v>-0.59928704517232501</v>
      </c>
      <c r="NG45" s="3">
        <f ca="1">IFERROR(__xludf.DUMMYFUNCTION("""COMPUTED_VALUE"""),-0.60247303203072)</f>
        <v>-0.60247303203072</v>
      </c>
      <c r="NH45" s="3">
        <f ca="1">IFERROR(__xludf.DUMMYFUNCTION("""COMPUTED_VALUE"""),-0.403854719767958)</f>
        <v>-0.403854719767958</v>
      </c>
      <c r="NI45" s="3">
        <f ca="1">IFERROR(__xludf.DUMMYFUNCTION("""COMPUTED_VALUE"""),-0.530214362851039)</f>
        <v>-0.53021436285103896</v>
      </c>
      <c r="NJ45" s="3">
        <f ca="1">IFERROR(__xludf.DUMMYFUNCTION("""COMPUTED_VALUE"""),-0.569787241860527)</f>
        <v>-0.56978724186052698</v>
      </c>
      <c r="NK45" s="3">
        <f ca="1">IFERROR(__xludf.DUMMYFUNCTION("""COMPUTED_VALUE"""),-0.586375198041959)</f>
        <v>-0.58637519804195903</v>
      </c>
      <c r="NL45" s="3">
        <f ca="1">IFERROR(__xludf.DUMMYFUNCTION("""COMPUTED_VALUE"""),-0.605225803507078)</f>
        <v>-0.605225803507078</v>
      </c>
      <c r="NM45" s="3">
        <f ca="1">IFERROR(__xludf.DUMMYFUNCTION("""COMPUTED_VALUE"""),-0.58219024803903)</f>
        <v>-0.58219024803902997</v>
      </c>
      <c r="NN45" s="3">
        <f ca="1">IFERROR(__xludf.DUMMYFUNCTION("""COMPUTED_VALUE"""),-0.660150080302238)</f>
        <v>-0.66015008030223798</v>
      </c>
      <c r="NO45" s="3">
        <f ca="1">IFERROR(__xludf.DUMMYFUNCTION("""COMPUTED_VALUE"""),-0.524232993199911)</f>
        <v>-0.52423299319991101</v>
      </c>
      <c r="NP45" s="3">
        <f ca="1">IFERROR(__xludf.DUMMYFUNCTION("""COMPUTED_VALUE"""),-0.628620925261638)</f>
        <v>-0.62862092526163804</v>
      </c>
      <c r="NQ45" s="3">
        <f ca="1">IFERROR(__xludf.DUMMYFUNCTION("""COMPUTED_VALUE"""),-0.70062710590197)</f>
        <v>-0.70062710590196997</v>
      </c>
      <c r="NR45" s="3">
        <f ca="1">IFERROR(__xludf.DUMMYFUNCTION("""COMPUTED_VALUE"""),-0.696288303759672)</f>
        <v>-0.69628830375967199</v>
      </c>
      <c r="NS45" s="3">
        <f ca="1">IFERROR(__xludf.DUMMYFUNCTION("""COMPUTED_VALUE"""),-0.657504643106577)</f>
        <v>-0.65750464310657697</v>
      </c>
      <c r="NT45" s="3">
        <f ca="1">IFERROR(__xludf.DUMMYFUNCTION("""COMPUTED_VALUE"""),-0.632027139373312)</f>
        <v>-0.63202713937331201</v>
      </c>
      <c r="NU45" s="3">
        <f ca="1">IFERROR(__xludf.DUMMYFUNCTION("""COMPUTED_VALUE"""),-0.576143568364675)</f>
        <v>-0.57614356836467495</v>
      </c>
      <c r="NV45" s="3">
        <f ca="1">IFERROR(__xludf.DUMMYFUNCTION("""COMPUTED_VALUE"""),-0.546103581841334)</f>
        <v>-0.54610358184133401</v>
      </c>
      <c r="NW45" s="3">
        <f ca="1">IFERROR(__xludf.DUMMYFUNCTION("""COMPUTED_VALUE"""),-0.559482007224195)</f>
        <v>-0.55948200722419505</v>
      </c>
      <c r="NX45" s="3">
        <f ca="1">IFERROR(__xludf.DUMMYFUNCTION("""COMPUTED_VALUE"""),-0.561755685662824)</f>
        <v>-0.56175568566282397</v>
      </c>
      <c r="NY45" s="3">
        <f ca="1">IFERROR(__xludf.DUMMYFUNCTION("""COMPUTED_VALUE"""),-0.562856392106777)</f>
        <v>-0.56285639210677696</v>
      </c>
      <c r="NZ45" s="3">
        <f ca="1">IFERROR(__xludf.DUMMYFUNCTION("""COMPUTED_VALUE"""),-0.513279039261022)</f>
        <v>-0.51327903926102203</v>
      </c>
      <c r="OA45" s="3">
        <f ca="1">IFERROR(__xludf.DUMMYFUNCTION("""COMPUTED_VALUE"""),-0.454017843523698)</f>
        <v>-0.45401784352369801</v>
      </c>
      <c r="OB45" s="3">
        <f ca="1">IFERROR(__xludf.DUMMYFUNCTION("""COMPUTED_VALUE"""),-0.322409747992138)</f>
        <v>-0.32240974799213801</v>
      </c>
      <c r="OC45" s="3">
        <f ca="1">IFERROR(__xludf.DUMMYFUNCTION("""COMPUTED_VALUE"""),-0.14546082564274)</f>
        <v>-0.14546082564273999</v>
      </c>
      <c r="OD45" s="3">
        <f ca="1">IFERROR(__xludf.DUMMYFUNCTION("""COMPUTED_VALUE"""),-0.153821074350034)</f>
        <v>-0.153821074350034</v>
      </c>
      <c r="OE45" s="3">
        <f ca="1">IFERROR(__xludf.DUMMYFUNCTION("""COMPUTED_VALUE"""),-0.120948401990887)</f>
        <v>-0.12094840199088699</v>
      </c>
      <c r="OF45" s="3">
        <f ca="1">IFERROR(__xludf.DUMMYFUNCTION("""COMPUTED_VALUE"""),-0.0265298914627311)</f>
        <v>-2.65298914627311E-2</v>
      </c>
      <c r="OG45" s="3">
        <f ca="1">IFERROR(__xludf.DUMMYFUNCTION("""COMPUTED_VALUE"""),-0.0300284232884843)</f>
        <v>-3.0028423288484301E-2</v>
      </c>
      <c r="OH45" s="3">
        <f ca="1">IFERROR(__xludf.DUMMYFUNCTION("""COMPUTED_VALUE"""),0.0536208663449557)</f>
        <v>5.3620866344955699E-2</v>
      </c>
      <c r="OI45" s="3">
        <f ca="1">IFERROR(__xludf.DUMMYFUNCTION("""COMPUTED_VALUE"""),-0.0193355856417409)</f>
        <v>-1.9335585641740899E-2</v>
      </c>
      <c r="OJ45" s="3">
        <f ca="1">IFERROR(__xludf.DUMMYFUNCTION("""COMPUTED_VALUE"""),-0.0350302514829414)</f>
        <v>-3.5030251482941401E-2</v>
      </c>
      <c r="OK45" s="3">
        <f ca="1">IFERROR(__xludf.DUMMYFUNCTION("""COMPUTED_VALUE"""),0.0443268837984285)</f>
        <v>4.4326883798428501E-2</v>
      </c>
      <c r="OL45" s="3">
        <f ca="1">IFERROR(__xludf.DUMMYFUNCTION("""COMPUTED_VALUE"""),0.0100354774922122)</f>
        <v>1.0035477492212201E-2</v>
      </c>
      <c r="OM45" s="3">
        <f ca="1">IFERROR(__xludf.DUMMYFUNCTION("""COMPUTED_VALUE"""),0.0105948068110512)</f>
        <v>1.05948068110512E-2</v>
      </c>
      <c r="ON45" s="3">
        <f ca="1">IFERROR(__xludf.DUMMYFUNCTION("""COMPUTED_VALUE"""),0.0507697679846133)</f>
        <v>5.0769767984613301E-2</v>
      </c>
      <c r="OO45" s="3">
        <f ca="1">IFERROR(__xludf.DUMMYFUNCTION("""COMPUTED_VALUE"""),-0.00414084813379178)</f>
        <v>-4.1408481337917797E-3</v>
      </c>
      <c r="OP45" s="3">
        <f ca="1">IFERROR(__xludf.DUMMYFUNCTION("""COMPUTED_VALUE"""),-0.0185414360822997)</f>
        <v>-1.85414360822997E-2</v>
      </c>
      <c r="OQ45" s="3">
        <f ca="1">IFERROR(__xludf.DUMMYFUNCTION("""COMPUTED_VALUE"""),0.0277219440696279)</f>
        <v>2.7721944069627899E-2</v>
      </c>
      <c r="OR45" s="3">
        <f ca="1">IFERROR(__xludf.DUMMYFUNCTION("""COMPUTED_VALUE"""),0.106206615712677)</f>
        <v>0.106206615712677</v>
      </c>
      <c r="OS45" s="3">
        <f ca="1">IFERROR(__xludf.DUMMYFUNCTION("""COMPUTED_VALUE"""),0.0358407637389284)</f>
        <v>3.5840763738928402E-2</v>
      </c>
      <c r="OT45" s="3">
        <f ca="1">IFERROR(__xludf.DUMMYFUNCTION("""COMPUTED_VALUE"""),-0.092624024892844)</f>
        <v>-9.2624024892844006E-2</v>
      </c>
      <c r="OU45" s="3">
        <f ca="1">IFERROR(__xludf.DUMMYFUNCTION("""COMPUTED_VALUE"""),-0.0246001352713054)</f>
        <v>-2.46001352713054E-2</v>
      </c>
      <c r="OV45" s="3">
        <f ca="1">IFERROR(__xludf.DUMMYFUNCTION("""COMPUTED_VALUE"""),-0.0202706992463924)</f>
        <v>-2.0270699246392399E-2</v>
      </c>
      <c r="OW45" s="3">
        <f ca="1">IFERROR(__xludf.DUMMYFUNCTION("""COMPUTED_VALUE"""),0.100903775824724)</f>
        <v>0.100903775824724</v>
      </c>
      <c r="OX45" s="3">
        <f ca="1">IFERROR(__xludf.DUMMYFUNCTION("""COMPUTED_VALUE"""),0.0177499348713254)</f>
        <v>1.7749934871325399E-2</v>
      </c>
      <c r="OY45" s="3">
        <f ca="1">IFERROR(__xludf.DUMMYFUNCTION("""COMPUTED_VALUE"""),0.041118027100423)</f>
        <v>4.1118027100422998E-2</v>
      </c>
      <c r="OZ45" s="3">
        <f ca="1">IFERROR(__xludf.DUMMYFUNCTION("""COMPUTED_VALUE"""),0.0385631465969351)</f>
        <v>3.8563146596935098E-2</v>
      </c>
      <c r="PA45" s="3">
        <f ca="1">IFERROR(__xludf.DUMMYFUNCTION("""COMPUTED_VALUE"""),-0.0966534876707672)</f>
        <v>-9.6653487670767202E-2</v>
      </c>
      <c r="PB45" s="3">
        <f ca="1">IFERROR(__xludf.DUMMYFUNCTION("""COMPUTED_VALUE"""),0.0192227801597939)</f>
        <v>1.9222780159793899E-2</v>
      </c>
      <c r="PC45" s="3">
        <f ca="1">IFERROR(__xludf.DUMMYFUNCTION("""COMPUTED_VALUE"""),0.0776842049300079)</f>
        <v>7.7684204930007897E-2</v>
      </c>
      <c r="PD45" s="3">
        <f ca="1">IFERROR(__xludf.DUMMYFUNCTION("""COMPUTED_VALUE"""),-0.0386641751058903)</f>
        <v>-3.8664175105890299E-2</v>
      </c>
      <c r="PE45" s="3">
        <f ca="1">IFERROR(__xludf.DUMMYFUNCTION("""COMPUTED_VALUE"""),0.0739053086607164)</f>
        <v>7.3905308660716401E-2</v>
      </c>
      <c r="PF45" s="3">
        <f ca="1">IFERROR(__xludf.DUMMYFUNCTION("""COMPUTED_VALUE"""),0.0330670995659636)</f>
        <v>3.3067099565963598E-2</v>
      </c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</row>
    <row r="46" spans="1:594" ht="15.75" customHeight="1">
      <c r="A46" s="1" t="str">
        <f ca="1">IFERROR(__xludf.DUMMYFUNCTION("""COMPUTED_VALUE"""),"Minneapolis-Saint Paul")</f>
        <v>Minneapolis-Saint Paul</v>
      </c>
      <c r="B46" s="3">
        <f ca="1">IFERROR(__xludf.DUMMYFUNCTION("""COMPUTED_VALUE"""),-0.595793235438729)</f>
        <v>-0.59579323543872897</v>
      </c>
      <c r="C46" s="3">
        <f ca="1">IFERROR(__xludf.DUMMYFUNCTION("""COMPUTED_VALUE"""),-0.708198177954115)</f>
        <v>-0.70819817795411499</v>
      </c>
      <c r="D46" s="3">
        <f ca="1">IFERROR(__xludf.DUMMYFUNCTION("""COMPUTED_VALUE"""),-0.699505859536403)</f>
        <v>-0.69950585953640299</v>
      </c>
      <c r="E46" s="3">
        <f ca="1">IFERROR(__xludf.DUMMYFUNCTION("""COMPUTED_VALUE"""),-0.724426926327776)</f>
        <v>-0.72442692632777606</v>
      </c>
      <c r="F46" s="3">
        <f ca="1">IFERROR(__xludf.DUMMYFUNCTION("""COMPUTED_VALUE"""),-0.725235277050741)</f>
        <v>-0.72523527705074098</v>
      </c>
      <c r="G46" s="3">
        <f ca="1">IFERROR(__xludf.DUMMYFUNCTION("""COMPUTED_VALUE"""),-0.70497107771042)</f>
        <v>-0.70497107771042</v>
      </c>
      <c r="H46" s="3">
        <f ca="1">IFERROR(__xludf.DUMMYFUNCTION("""COMPUTED_VALUE"""),-0.62138300406934)</f>
        <v>-0.62138300406933999</v>
      </c>
      <c r="I46" s="3">
        <f ca="1">IFERROR(__xludf.DUMMYFUNCTION("""COMPUTED_VALUE"""),-0.568678251045986)</f>
        <v>-0.56867825104598602</v>
      </c>
      <c r="J46" s="3">
        <f ca="1">IFERROR(__xludf.DUMMYFUNCTION("""COMPUTED_VALUE"""),-0.666959993729686)</f>
        <v>-0.66695999372968595</v>
      </c>
      <c r="K46" s="3">
        <f ca="1">IFERROR(__xludf.DUMMYFUNCTION("""COMPUTED_VALUE"""),-0.670060014440384)</f>
        <v>-0.67006001444038399</v>
      </c>
      <c r="L46" s="3">
        <f ca="1">IFERROR(__xludf.DUMMYFUNCTION("""COMPUTED_VALUE"""),-0.699299393480393)</f>
        <v>-0.69929939348039305</v>
      </c>
      <c r="M46" s="3">
        <f ca="1">IFERROR(__xludf.DUMMYFUNCTION("""COMPUTED_VALUE"""),-0.700192727007074)</f>
        <v>-0.70019272700707402</v>
      </c>
      <c r="N46" s="3">
        <f ca="1">IFERROR(__xludf.DUMMYFUNCTION("""COMPUTED_VALUE"""),-0.695473359328998)</f>
        <v>-0.69547335932899801</v>
      </c>
      <c r="O46" s="3">
        <f ca="1">IFERROR(__xludf.DUMMYFUNCTION("""COMPUTED_VALUE"""),-0.587406474733915)</f>
        <v>-0.58740647473391505</v>
      </c>
      <c r="P46" s="3">
        <f ca="1">IFERROR(__xludf.DUMMYFUNCTION("""COMPUTED_VALUE"""),-0.634268339216659)</f>
        <v>-0.63426833921665904</v>
      </c>
      <c r="Q46" s="3">
        <f ca="1">IFERROR(__xludf.DUMMYFUNCTION("""COMPUTED_VALUE"""),-0.682632388013523)</f>
        <v>-0.68263238801352299</v>
      </c>
      <c r="R46" s="3">
        <f ca="1">IFERROR(__xludf.DUMMYFUNCTION("""COMPUTED_VALUE"""),-0.695041923814811)</f>
        <v>-0.695041923814811</v>
      </c>
      <c r="S46" s="3">
        <f ca="1">IFERROR(__xludf.DUMMYFUNCTION("""COMPUTED_VALUE"""),-0.718354012421141)</f>
        <v>-0.71835401242114105</v>
      </c>
      <c r="T46" s="3">
        <f ca="1">IFERROR(__xludf.DUMMYFUNCTION("""COMPUTED_VALUE"""),-0.731156264418819)</f>
        <v>-0.73115626441881898</v>
      </c>
      <c r="U46" s="3">
        <f ca="1">IFERROR(__xludf.DUMMYFUNCTION("""COMPUTED_VALUE"""),-0.710068902295161)</f>
        <v>-0.71006890229516095</v>
      </c>
      <c r="V46" s="3">
        <f ca="1">IFERROR(__xludf.DUMMYFUNCTION("""COMPUTED_VALUE"""),-0.585801768693403)</f>
        <v>-0.58580176869340295</v>
      </c>
      <c r="W46" s="3">
        <f ca="1">IFERROR(__xludf.DUMMYFUNCTION("""COMPUTED_VALUE"""),-0.610005972296751)</f>
        <v>-0.61000597229675102</v>
      </c>
      <c r="X46" s="3">
        <f ca="1">IFERROR(__xludf.DUMMYFUNCTION("""COMPUTED_VALUE"""),-0.683517821833449)</f>
        <v>-0.683517821833449</v>
      </c>
      <c r="Y46" s="3">
        <f ca="1">IFERROR(__xludf.DUMMYFUNCTION("""COMPUTED_VALUE"""),-0.705128637647212)</f>
        <v>-0.70512863764721201</v>
      </c>
      <c r="Z46" s="3">
        <f ca="1">IFERROR(__xludf.DUMMYFUNCTION("""COMPUTED_VALUE"""),-0.710838948156316)</f>
        <v>-0.71083894815631599</v>
      </c>
      <c r="AA46" s="3">
        <f ca="1">IFERROR(__xludf.DUMMYFUNCTION("""COMPUTED_VALUE"""),-0.726665128458865)</f>
        <v>-0.726665128458865</v>
      </c>
      <c r="AB46" s="3">
        <f ca="1">IFERROR(__xludf.DUMMYFUNCTION("""COMPUTED_VALUE"""),-0.722180015271954)</f>
        <v>-0.72218001527195397</v>
      </c>
      <c r="AC46" s="3">
        <f ca="1">IFERROR(__xludf.DUMMYFUNCTION("""COMPUTED_VALUE"""),-0.589941439579218)</f>
        <v>-0.58994143957921796</v>
      </c>
      <c r="AD46" s="3">
        <f ca="1">IFERROR(__xludf.DUMMYFUNCTION("""COMPUTED_VALUE"""),-0.556490352345826)</f>
        <v>-0.556490352345826</v>
      </c>
      <c r="AE46" s="3">
        <f ca="1">IFERROR(__xludf.DUMMYFUNCTION("""COMPUTED_VALUE"""),-0.697271470323091)</f>
        <v>-0.697271470323091</v>
      </c>
      <c r="AF46" s="3">
        <f ca="1">IFERROR(__xludf.DUMMYFUNCTION("""COMPUTED_VALUE"""),-0.700920186004916)</f>
        <v>-0.70092018600491601</v>
      </c>
      <c r="AG46" s="3">
        <f ca="1">IFERROR(__xludf.DUMMYFUNCTION("""COMPUTED_VALUE"""),-0.744751665910939)</f>
        <v>-0.744751665910939</v>
      </c>
      <c r="AH46" s="3">
        <f ca="1">IFERROR(__xludf.DUMMYFUNCTION("""COMPUTED_VALUE"""),-0.71600815751157)</f>
        <v>-0.71600815751156999</v>
      </c>
      <c r="AI46" s="3">
        <f ca="1">IFERROR(__xludf.DUMMYFUNCTION("""COMPUTED_VALUE"""),-0.705867333150255)</f>
        <v>-0.70586733315025496</v>
      </c>
      <c r="AJ46" s="3">
        <f ca="1">IFERROR(__xludf.DUMMYFUNCTION("""COMPUTED_VALUE"""),-0.5461813380471)</f>
        <v>-0.54618133804710001</v>
      </c>
      <c r="AK46" s="3">
        <f ca="1">IFERROR(__xludf.DUMMYFUNCTION("""COMPUTED_VALUE"""),-0.574626916167405)</f>
        <v>-0.57462691616740502</v>
      </c>
      <c r="AL46" s="3">
        <f ca="1">IFERROR(__xludf.DUMMYFUNCTION("""COMPUTED_VALUE"""),-0.711331951815242)</f>
        <v>-0.711331951815242</v>
      </c>
      <c r="AM46" s="3">
        <f ca="1">IFERROR(__xludf.DUMMYFUNCTION("""COMPUTED_VALUE"""),-0.711439443474855)</f>
        <v>-0.71143944347485499</v>
      </c>
      <c r="AN46" s="3">
        <f ca="1">IFERROR(__xludf.DUMMYFUNCTION("""COMPUTED_VALUE"""),-0.738536776443711)</f>
        <v>-0.73853677644371096</v>
      </c>
      <c r="AO46" s="3">
        <f ca="1">IFERROR(__xludf.DUMMYFUNCTION("""COMPUTED_VALUE"""),-0.733820919794298)</f>
        <v>-0.73382091979429798</v>
      </c>
      <c r="AP46" s="3">
        <f ca="1">IFERROR(__xludf.DUMMYFUNCTION("""COMPUTED_VALUE"""),-0.726636326151661)</f>
        <v>-0.72663632615166096</v>
      </c>
      <c r="AQ46" s="3">
        <f ca="1">IFERROR(__xludf.DUMMYFUNCTION("""COMPUTED_VALUE"""),-0.569926474003731)</f>
        <v>-0.56992647400373098</v>
      </c>
      <c r="AR46" s="3">
        <f ca="1">IFERROR(__xludf.DUMMYFUNCTION("""COMPUTED_VALUE"""),-0.584597191947958)</f>
        <v>-0.58459719194795801</v>
      </c>
      <c r="AS46" s="3">
        <f ca="1">IFERROR(__xludf.DUMMYFUNCTION("""COMPUTED_VALUE"""),-0.72344478180258)</f>
        <v>-0.72344478180257998</v>
      </c>
      <c r="AT46" s="3">
        <f ca="1">IFERROR(__xludf.DUMMYFUNCTION("""COMPUTED_VALUE"""),-0.724207914748538)</f>
        <v>-0.72420791474853796</v>
      </c>
      <c r="AU46" s="3">
        <f ca="1">IFERROR(__xludf.DUMMYFUNCTION("""COMPUTED_VALUE"""),-0.711781897381672)</f>
        <v>-0.71178189738167197</v>
      </c>
      <c r="AV46" s="3">
        <f ca="1">IFERROR(__xludf.DUMMYFUNCTION("""COMPUTED_VALUE"""),-0.741447510145074)</f>
        <v>-0.74144751014507404</v>
      </c>
      <c r="AW46" s="3">
        <f ca="1">IFERROR(__xludf.DUMMYFUNCTION("""COMPUTED_VALUE"""),-0.690771287411004)</f>
        <v>-0.69077128741100402</v>
      </c>
      <c r="AX46" s="3">
        <f ca="1">IFERROR(__xludf.DUMMYFUNCTION("""COMPUTED_VALUE"""),-0.561328002960052)</f>
        <v>-0.56132800296005203</v>
      </c>
      <c r="AY46" s="3">
        <f ca="1">IFERROR(__xludf.DUMMYFUNCTION("""COMPUTED_VALUE"""),-0.612398850702624)</f>
        <v>-0.61239885070262401</v>
      </c>
      <c r="AZ46" s="3">
        <f ca="1">IFERROR(__xludf.DUMMYFUNCTION("""COMPUTED_VALUE"""),-0.732311498548381)</f>
        <v>-0.73231149854838096</v>
      </c>
      <c r="BA46" s="3">
        <f ca="1">IFERROR(__xludf.DUMMYFUNCTION("""COMPUTED_VALUE"""),-0.769623178672118)</f>
        <v>-0.76962317867211805</v>
      </c>
      <c r="BB46" s="3">
        <f ca="1">IFERROR(__xludf.DUMMYFUNCTION("""COMPUTED_VALUE"""),-0.735445272630175)</f>
        <v>-0.73544527263017501</v>
      </c>
      <c r="BC46" s="3">
        <f ca="1">IFERROR(__xludf.DUMMYFUNCTION("""COMPUTED_VALUE"""),-0.755933150238529)</f>
        <v>-0.75593315023852903</v>
      </c>
      <c r="BD46" s="3">
        <f ca="1">IFERROR(__xludf.DUMMYFUNCTION("""COMPUTED_VALUE"""),-0.752859943970297)</f>
        <v>-0.75285994397029699</v>
      </c>
      <c r="BE46" s="3">
        <f ca="1">IFERROR(__xludf.DUMMYFUNCTION("""COMPUTED_VALUE"""),-0.622709397726469)</f>
        <v>-0.62270939772646905</v>
      </c>
      <c r="BF46" s="3">
        <f ca="1">IFERROR(__xludf.DUMMYFUNCTION("""COMPUTED_VALUE"""),-0.6259026285855)</f>
        <v>-0.62590262858550005</v>
      </c>
      <c r="BG46" s="3">
        <f ca="1">IFERROR(__xludf.DUMMYFUNCTION("""COMPUTED_VALUE"""),-0.740948912719346)</f>
        <v>-0.74094891271934604</v>
      </c>
      <c r="BH46" s="3">
        <f ca="1">IFERROR(__xludf.DUMMYFUNCTION("""COMPUTED_VALUE"""),-0.738544242657351)</f>
        <v>-0.73854424265735097</v>
      </c>
      <c r="BI46" s="3">
        <f ca="1">IFERROR(__xludf.DUMMYFUNCTION("""COMPUTED_VALUE"""),-0.756002075644702)</f>
        <v>-0.75600207564470201</v>
      </c>
      <c r="BJ46" s="3">
        <f ca="1">IFERROR(__xludf.DUMMYFUNCTION("""COMPUTED_VALUE"""),-0.772998887356358)</f>
        <v>-0.77299888735635802</v>
      </c>
      <c r="BK46" s="3">
        <f ca="1">IFERROR(__xludf.DUMMYFUNCTION("""COMPUTED_VALUE"""),-0.741882170578999)</f>
        <v>-0.74188217057899897</v>
      </c>
      <c r="BL46" s="3">
        <f ca="1">IFERROR(__xludf.DUMMYFUNCTION("""COMPUTED_VALUE"""),-0.708957786315525)</f>
        <v>-0.70895778631552497</v>
      </c>
      <c r="BM46" s="3">
        <f ca="1">IFERROR(__xludf.DUMMYFUNCTION("""COMPUTED_VALUE"""),-0.684087692657743)</f>
        <v>-0.68408769265774305</v>
      </c>
      <c r="BN46" s="3">
        <f ca="1">IFERROR(__xludf.DUMMYFUNCTION("""COMPUTED_VALUE"""),-0.741024653510554)</f>
        <v>-0.74102465351055402</v>
      </c>
      <c r="BO46" s="3">
        <f ca="1">IFERROR(__xludf.DUMMYFUNCTION("""COMPUTED_VALUE"""),-0.725057550264647)</f>
        <v>-0.72505755026464702</v>
      </c>
      <c r="BP46" s="3">
        <f ca="1">IFERROR(__xludf.DUMMYFUNCTION("""COMPUTED_VALUE"""),-0.722406845878796)</f>
        <v>-0.722406845878796</v>
      </c>
      <c r="BQ46" s="3">
        <f ca="1">IFERROR(__xludf.DUMMYFUNCTION("""COMPUTED_VALUE"""),-0.738928503918787)</f>
        <v>-0.73892850391878695</v>
      </c>
      <c r="BR46" s="3">
        <f ca="1">IFERROR(__xludf.DUMMYFUNCTION("""COMPUTED_VALUE"""),-0.732756814192106)</f>
        <v>-0.73275681419210603</v>
      </c>
      <c r="BS46" s="3">
        <f ca="1">IFERROR(__xludf.DUMMYFUNCTION("""COMPUTED_VALUE"""),-0.590557466219485)</f>
        <v>-0.59055746621948502</v>
      </c>
      <c r="BT46" s="3">
        <f ca="1">IFERROR(__xludf.DUMMYFUNCTION("""COMPUTED_VALUE"""),-0.618477215687499)</f>
        <v>-0.61847721568749903</v>
      </c>
      <c r="BU46" s="3">
        <f ca="1">IFERROR(__xludf.DUMMYFUNCTION("""COMPUTED_VALUE"""),-0.73160098686519)</f>
        <v>-0.73160098686519004</v>
      </c>
      <c r="BV46" s="3">
        <f ca="1">IFERROR(__xludf.DUMMYFUNCTION("""COMPUTED_VALUE"""),-0.745844287272631)</f>
        <v>-0.74584428727263097</v>
      </c>
      <c r="BW46" s="3">
        <f ca="1">IFERROR(__xludf.DUMMYFUNCTION("""COMPUTED_VALUE"""),-0.74956408788412)</f>
        <v>-0.74956408788411999</v>
      </c>
      <c r="BX46" s="3">
        <f ca="1">IFERROR(__xludf.DUMMYFUNCTION("""COMPUTED_VALUE"""),-0.743487080026096)</f>
        <v>-0.74348708002609598</v>
      </c>
      <c r="BY46" s="3">
        <f ca="1">IFERROR(__xludf.DUMMYFUNCTION("""COMPUTED_VALUE"""),-0.700410945420044)</f>
        <v>-0.70041094542004401</v>
      </c>
      <c r="BZ46" s="3">
        <f ca="1">IFERROR(__xludf.DUMMYFUNCTION("""COMPUTED_VALUE"""),-0.56999342834458)</f>
        <v>-0.56999342834458</v>
      </c>
      <c r="CA46" s="3">
        <f ca="1">IFERROR(__xludf.DUMMYFUNCTION("""COMPUTED_VALUE"""),-0.596359984368001)</f>
        <v>-0.59635998436800097</v>
      </c>
      <c r="CB46" s="3">
        <f ca="1">IFERROR(__xludf.DUMMYFUNCTION("""COMPUTED_VALUE"""),-0.721988252864672)</f>
        <v>-0.72198825286467205</v>
      </c>
      <c r="CC46" s="3">
        <f ca="1">IFERROR(__xludf.DUMMYFUNCTION("""COMPUTED_VALUE"""),-0.718914280708469)</f>
        <v>-0.71891428070846897</v>
      </c>
      <c r="CD46" s="3">
        <f ca="1">IFERROR(__xludf.DUMMYFUNCTION("""COMPUTED_VALUE"""),-0.746203691910163)</f>
        <v>-0.746203691910163</v>
      </c>
      <c r="CE46" s="3">
        <f ca="1">IFERROR(__xludf.DUMMYFUNCTION("""COMPUTED_VALUE"""),-0.746275450689437)</f>
        <v>-0.74627545068943701</v>
      </c>
      <c r="CF46" s="3">
        <f ca="1">IFERROR(__xludf.DUMMYFUNCTION("""COMPUTED_VALUE"""),-0.713233295222468)</f>
        <v>-0.71323329522246803</v>
      </c>
      <c r="CG46" s="3">
        <f ca="1">IFERROR(__xludf.DUMMYFUNCTION("""COMPUTED_VALUE"""),-0.596409184780909)</f>
        <v>-0.59640918478090899</v>
      </c>
      <c r="CH46" s="3">
        <f ca="1">IFERROR(__xludf.DUMMYFUNCTION("""COMPUTED_VALUE"""),-0.585512975441516)</f>
        <v>-0.58551297544151604</v>
      </c>
      <c r="CI46" s="3">
        <f ca="1">IFERROR(__xludf.DUMMYFUNCTION("""COMPUTED_VALUE"""),-0.702105895577533)</f>
        <v>-0.702105895577533</v>
      </c>
      <c r="CJ46" s="3">
        <f ca="1">IFERROR(__xludf.DUMMYFUNCTION("""COMPUTED_VALUE"""),-0.729172184870751)</f>
        <v>-0.72917218487075097</v>
      </c>
      <c r="CK46" s="3">
        <f ca="1">IFERROR(__xludf.DUMMYFUNCTION("""COMPUTED_VALUE"""),-0.743526137338212)</f>
        <v>-0.74352613733821205</v>
      </c>
      <c r="CL46" s="3">
        <f ca="1">IFERROR(__xludf.DUMMYFUNCTION("""COMPUTED_VALUE"""),-0.744765238846893)</f>
        <v>-0.74476523884689305</v>
      </c>
      <c r="CM46" s="3">
        <f ca="1">IFERROR(__xludf.DUMMYFUNCTION("""COMPUTED_VALUE"""),-0.71470764888213)</f>
        <v>-0.71470764888213001</v>
      </c>
      <c r="CN46" s="3">
        <f ca="1">IFERROR(__xludf.DUMMYFUNCTION("""COMPUTED_VALUE"""),-0.611054961376936)</f>
        <v>-0.61105496137693605</v>
      </c>
      <c r="CO46" s="3">
        <f ca="1">IFERROR(__xludf.DUMMYFUNCTION("""COMPUTED_VALUE"""),-0.585535271177238)</f>
        <v>-0.58553527117723803</v>
      </c>
      <c r="CP46" s="3">
        <f ca="1">IFERROR(__xludf.DUMMYFUNCTION("""COMPUTED_VALUE"""),-0.702474915800474)</f>
        <v>-0.70247491580047405</v>
      </c>
      <c r="CQ46" s="3">
        <f ca="1">IFERROR(__xludf.DUMMYFUNCTION("""COMPUTED_VALUE"""),-0.72702939121323)</f>
        <v>-0.72702939121322996</v>
      </c>
      <c r="CR46" s="3">
        <f ca="1">IFERROR(__xludf.DUMMYFUNCTION("""COMPUTED_VALUE"""),-0.687772053237552)</f>
        <v>-0.68777205323755197</v>
      </c>
      <c r="CS46" s="3">
        <f ca="1">IFERROR(__xludf.DUMMYFUNCTION("""COMPUTED_VALUE"""),-0.721449670372349)</f>
        <v>-0.72144967037234897</v>
      </c>
      <c r="CT46" s="3">
        <f ca="1">IFERROR(__xludf.DUMMYFUNCTION("""COMPUTED_VALUE"""),-0.711489579892202)</f>
        <v>-0.71148957989220196</v>
      </c>
      <c r="CU46" s="3">
        <f ca="1">IFERROR(__xludf.DUMMYFUNCTION("""COMPUTED_VALUE"""),-0.579050266802323)</f>
        <v>-0.57905026680232297</v>
      </c>
      <c r="CV46" s="3">
        <f ca="1">IFERROR(__xludf.DUMMYFUNCTION("""COMPUTED_VALUE"""),-0.608518712224247)</f>
        <v>-0.60851871222424703</v>
      </c>
      <c r="CW46" s="3">
        <f ca="1">IFERROR(__xludf.DUMMYFUNCTION("""COMPUTED_VALUE"""),-0.747810026059423)</f>
        <v>-0.74781002605942304</v>
      </c>
      <c r="CX46" s="3">
        <f ca="1">IFERROR(__xludf.DUMMYFUNCTION("""COMPUTED_VALUE"""),-0.681236333875439)</f>
        <v>-0.68123633387543903</v>
      </c>
      <c r="CY46" s="3">
        <f ca="1">IFERROR(__xludf.DUMMYFUNCTION("""COMPUTED_VALUE"""),-0.53524637645007)</f>
        <v>-0.53524637645007</v>
      </c>
      <c r="CZ46" s="3">
        <f ca="1">IFERROR(__xludf.DUMMYFUNCTION("""COMPUTED_VALUE"""),-0.662457507610061)</f>
        <v>-0.66245750761006095</v>
      </c>
      <c r="DA46" s="3">
        <f ca="1">IFERROR(__xludf.DUMMYFUNCTION("""COMPUTED_VALUE"""),-0.674662368701172)</f>
        <v>-0.67466236870117202</v>
      </c>
      <c r="DB46" s="3">
        <f ca="1">IFERROR(__xludf.DUMMYFUNCTION("""COMPUTED_VALUE"""),-0.581456704943549)</f>
        <v>-0.58145670494354895</v>
      </c>
      <c r="DC46" s="3">
        <f ca="1">IFERROR(__xludf.DUMMYFUNCTION("""COMPUTED_VALUE"""),-0.599212192790365)</f>
        <v>-0.59921219279036497</v>
      </c>
      <c r="DD46" s="3">
        <f ca="1">IFERROR(__xludf.DUMMYFUNCTION("""COMPUTED_VALUE"""),-0.844198719135385)</f>
        <v>-0.84419871913538502</v>
      </c>
      <c r="DE46" s="3">
        <f ca="1">IFERROR(__xludf.DUMMYFUNCTION("""COMPUTED_VALUE"""),-0.689968342026615)</f>
        <v>-0.68996834202661494</v>
      </c>
      <c r="DF46" s="3">
        <f ca="1">IFERROR(__xludf.DUMMYFUNCTION("""COMPUTED_VALUE"""),-0.480916937373098)</f>
        <v>-0.48091693737309799</v>
      </c>
      <c r="DG46" s="3">
        <f ca="1">IFERROR(__xludf.DUMMYFUNCTION("""COMPUTED_VALUE"""),-0.658579892415562)</f>
        <v>-0.65857989241556203</v>
      </c>
      <c r="DH46" s="3">
        <f ca="1">IFERROR(__xludf.DUMMYFUNCTION("""COMPUTED_VALUE"""),-0.692712487904379)</f>
        <v>-0.692712487904379</v>
      </c>
      <c r="DI46" s="3">
        <f ca="1">IFERROR(__xludf.DUMMYFUNCTION("""COMPUTED_VALUE"""),-0.601168518504606)</f>
        <v>-0.60116851850460595</v>
      </c>
      <c r="DJ46" s="3">
        <f ca="1">IFERROR(__xludf.DUMMYFUNCTION("""COMPUTED_VALUE"""),-0.637662230717403)</f>
        <v>-0.63766223071740302</v>
      </c>
      <c r="DK46" s="3">
        <f ca="1">IFERROR(__xludf.DUMMYFUNCTION("""COMPUTED_VALUE"""),-0.728055965118061)</f>
        <v>-0.72805596511806103</v>
      </c>
      <c r="DL46" s="3">
        <f ca="1">IFERROR(__xludf.DUMMYFUNCTION("""COMPUTED_VALUE"""),-0.736588216904752)</f>
        <v>-0.73658821690475196</v>
      </c>
      <c r="DM46" s="3">
        <f ca="1">IFERROR(__xludf.DUMMYFUNCTION("""COMPUTED_VALUE"""),-0.682200308299061)</f>
        <v>-0.68220030829906098</v>
      </c>
      <c r="DN46" s="3">
        <f ca="1">IFERROR(__xludf.DUMMYFUNCTION("""COMPUTED_VALUE"""),-0.723918487038308)</f>
        <v>-0.72391848703830797</v>
      </c>
      <c r="DO46" s="3">
        <f ca="1">IFERROR(__xludf.DUMMYFUNCTION("""COMPUTED_VALUE"""),-0.754471539610987)</f>
        <v>-0.75447153961098701</v>
      </c>
      <c r="DP46" s="3">
        <f ca="1">IFERROR(__xludf.DUMMYFUNCTION("""COMPUTED_VALUE"""),-0.630407517404117)</f>
        <v>-0.63040751740411705</v>
      </c>
      <c r="DQ46" s="3">
        <f ca="1">IFERROR(__xludf.DUMMYFUNCTION("""COMPUTED_VALUE"""),-0.642000612225403)</f>
        <v>-0.64200061222540294</v>
      </c>
      <c r="DR46" s="3">
        <f ca="1">IFERROR(__xludf.DUMMYFUNCTION("""COMPUTED_VALUE"""),-0.737867052956751)</f>
        <v>-0.73786705295675103</v>
      </c>
      <c r="DS46" s="3">
        <f ca="1">IFERROR(__xludf.DUMMYFUNCTION("""COMPUTED_VALUE"""),-0.766610739531698)</f>
        <v>-0.766610739531698</v>
      </c>
      <c r="DT46" s="3">
        <f ca="1">IFERROR(__xludf.DUMMYFUNCTION("""COMPUTED_VALUE"""),-0.747339948645686)</f>
        <v>-0.74733994864568598</v>
      </c>
      <c r="DU46" s="3">
        <f ca="1">IFERROR(__xludf.DUMMYFUNCTION("""COMPUTED_VALUE"""),-0.778153256776528)</f>
        <v>-0.77815325677652802</v>
      </c>
      <c r="DV46" s="3">
        <f ca="1">IFERROR(__xludf.DUMMYFUNCTION("""COMPUTED_VALUE"""),-0.779865303557224)</f>
        <v>-0.77986530355722405</v>
      </c>
      <c r="DW46" s="3">
        <f ca="1">IFERROR(__xludf.DUMMYFUNCTION("""COMPUTED_VALUE"""),-0.637929828800066)</f>
        <v>-0.63792982880006599</v>
      </c>
      <c r="DX46" s="3">
        <f ca="1">IFERROR(__xludf.DUMMYFUNCTION("""COMPUTED_VALUE"""),-0.649920217833013)</f>
        <v>-0.64992021783301301</v>
      </c>
      <c r="DY46" s="3">
        <f ca="1">IFERROR(__xludf.DUMMYFUNCTION("""COMPUTED_VALUE"""),-0.711583774748223)</f>
        <v>-0.71158377474822299</v>
      </c>
      <c r="DZ46" s="3">
        <f ca="1">IFERROR(__xludf.DUMMYFUNCTION("""COMPUTED_VALUE"""),-0.706293959385219)</f>
        <v>-0.70629395938521899</v>
      </c>
      <c r="EA46" s="3">
        <f ca="1">IFERROR(__xludf.DUMMYFUNCTION("""COMPUTED_VALUE"""),-0.729834190941952)</f>
        <v>-0.72983419094195201</v>
      </c>
      <c r="EB46" s="3">
        <f ca="1">IFERROR(__xludf.DUMMYFUNCTION("""COMPUTED_VALUE"""),-0.750447357601196)</f>
        <v>-0.75044735760119596</v>
      </c>
      <c r="EC46" s="3">
        <f ca="1">IFERROR(__xludf.DUMMYFUNCTION("""COMPUTED_VALUE"""),-0.772428497532731)</f>
        <v>-0.77242849753273102</v>
      </c>
      <c r="ED46" s="3">
        <f ca="1">IFERROR(__xludf.DUMMYFUNCTION("""COMPUTED_VALUE"""),-0.612489202743095)</f>
        <v>-0.61248920274309504</v>
      </c>
      <c r="EE46" s="3">
        <f ca="1">IFERROR(__xludf.DUMMYFUNCTION("""COMPUTED_VALUE"""),-0.635578109180407)</f>
        <v>-0.63557810918040702</v>
      </c>
      <c r="EF46" s="3">
        <f ca="1">IFERROR(__xludf.DUMMYFUNCTION("""COMPUTED_VALUE"""),-0.717224886289265)</f>
        <v>-0.71722488628926495</v>
      </c>
      <c r="EG46" s="3">
        <f ca="1">IFERROR(__xludf.DUMMYFUNCTION("""COMPUTED_VALUE"""),-0.819301372667409)</f>
        <v>-0.81930137266740899</v>
      </c>
      <c r="EH46" s="3">
        <f ca="1">IFERROR(__xludf.DUMMYFUNCTION("""COMPUTED_VALUE"""),-0.721165723219675)</f>
        <v>-0.72116572321967498</v>
      </c>
      <c r="EI46" s="3">
        <f ca="1">IFERROR(__xludf.DUMMYFUNCTION("""COMPUTED_VALUE"""),-0.758040640857593)</f>
        <v>-0.75804064085759304</v>
      </c>
      <c r="EJ46" s="3">
        <f ca="1">IFERROR(__xludf.DUMMYFUNCTION("""COMPUTED_VALUE"""),-0.76285151619738)</f>
        <v>-0.76285151619738001</v>
      </c>
      <c r="EK46" s="3">
        <f ca="1">IFERROR(__xludf.DUMMYFUNCTION("""COMPUTED_VALUE"""),-0.622106964921818)</f>
        <v>-0.62210696492181805</v>
      </c>
      <c r="EL46" s="3">
        <f ca="1">IFERROR(__xludf.DUMMYFUNCTION("""COMPUTED_VALUE"""),-0.620992678458268)</f>
        <v>-0.620992678458268</v>
      </c>
      <c r="EM46" s="3">
        <f ca="1">IFERROR(__xludf.DUMMYFUNCTION("""COMPUTED_VALUE"""),-0.670178493488254)</f>
        <v>-0.67017849348825398</v>
      </c>
      <c r="EN46" s="3">
        <f ca="1">IFERROR(__xludf.DUMMYFUNCTION("""COMPUTED_VALUE"""),-0.647587877066418)</f>
        <v>-0.64758787706641796</v>
      </c>
      <c r="EO46" s="3">
        <f ca="1">IFERROR(__xludf.DUMMYFUNCTION("""COMPUTED_VALUE"""),-0.699053044452047)</f>
        <v>-0.69905304445204697</v>
      </c>
      <c r="EP46" s="3">
        <f ca="1">IFERROR(__xludf.DUMMYFUNCTION("""COMPUTED_VALUE"""),-0.728685563518119)</f>
        <v>-0.72868556351811897</v>
      </c>
      <c r="EQ46" s="3">
        <f ca="1">IFERROR(__xludf.DUMMYFUNCTION("""COMPUTED_VALUE"""),-0.709916681348402)</f>
        <v>-0.70991668134840202</v>
      </c>
      <c r="ER46" s="3">
        <f ca="1">IFERROR(__xludf.DUMMYFUNCTION("""COMPUTED_VALUE"""),-0.599031834622859)</f>
        <v>-0.59903183462285903</v>
      </c>
      <c r="ES46" s="3">
        <f ca="1">IFERROR(__xludf.DUMMYFUNCTION("""COMPUTED_VALUE"""),-0.594955388230193)</f>
        <v>-0.59495538823019301</v>
      </c>
      <c r="ET46" s="3">
        <f ca="1">IFERROR(__xludf.DUMMYFUNCTION("""COMPUTED_VALUE"""),-0.710849086028302)</f>
        <v>-0.71084908602830199</v>
      </c>
      <c r="EU46" s="3">
        <f ca="1">IFERROR(__xludf.DUMMYFUNCTION("""COMPUTED_VALUE"""),-0.722749403055336)</f>
        <v>-0.72274940305533597</v>
      </c>
      <c r="EV46" s="3">
        <f ca="1">IFERROR(__xludf.DUMMYFUNCTION("""COMPUTED_VALUE"""),-0.720057637016807)</f>
        <v>-0.72005763701680703</v>
      </c>
      <c r="EW46" s="3">
        <f ca="1">IFERROR(__xludf.DUMMYFUNCTION("""COMPUTED_VALUE"""),-0.710721219263488)</f>
        <v>-0.71072121926348797</v>
      </c>
      <c r="EX46" s="3">
        <f ca="1">IFERROR(__xludf.DUMMYFUNCTION("""COMPUTED_VALUE"""),-0.714281856946109)</f>
        <v>-0.71428185694610902</v>
      </c>
      <c r="EY46" s="3">
        <f ca="1">IFERROR(__xludf.DUMMYFUNCTION("""COMPUTED_VALUE"""),-0.54847032842648)</f>
        <v>-0.54847032842648002</v>
      </c>
      <c r="EZ46" s="3">
        <f ca="1">IFERROR(__xludf.DUMMYFUNCTION("""COMPUTED_VALUE"""),-0.568791733326845)</f>
        <v>-0.56879173332684496</v>
      </c>
      <c r="FA46" s="3">
        <f ca="1">IFERROR(__xludf.DUMMYFUNCTION("""COMPUTED_VALUE"""),-0.668723726619018)</f>
        <v>-0.66872372661901802</v>
      </c>
      <c r="FB46" s="3">
        <f ca="1">IFERROR(__xludf.DUMMYFUNCTION("""COMPUTED_VALUE"""),-0.710228534795129)</f>
        <v>-0.71022853479512904</v>
      </c>
      <c r="FC46" s="3">
        <f ca="1">IFERROR(__xludf.DUMMYFUNCTION("""COMPUTED_VALUE"""),-0.712345016796006)</f>
        <v>-0.71234501679600604</v>
      </c>
      <c r="FD46" s="3">
        <f ca="1">IFERROR(__xludf.DUMMYFUNCTION("""COMPUTED_VALUE"""),-0.713357200340884)</f>
        <v>-0.71335720034088401</v>
      </c>
      <c r="FE46" s="3">
        <f ca="1">IFERROR(__xludf.DUMMYFUNCTION("""COMPUTED_VALUE"""),-0.685472841200437)</f>
        <v>-0.68547284120043706</v>
      </c>
      <c r="FF46" s="3">
        <f ca="1">IFERROR(__xludf.DUMMYFUNCTION("""COMPUTED_VALUE"""),-0.513425879147672)</f>
        <v>-0.51342587914767202</v>
      </c>
      <c r="FG46" s="3">
        <f ca="1">IFERROR(__xludf.DUMMYFUNCTION("""COMPUTED_VALUE"""),-0.529012142498864)</f>
        <v>-0.52901214249886397</v>
      </c>
      <c r="FH46" s="3">
        <f ca="1">IFERROR(__xludf.DUMMYFUNCTION("""COMPUTED_VALUE"""),-0.671250099489738)</f>
        <v>-0.67125009948973802</v>
      </c>
      <c r="FI46" s="3">
        <f ca="1">IFERROR(__xludf.DUMMYFUNCTION("""COMPUTED_VALUE"""),-0.710410255885587)</f>
        <v>-0.71041025588558704</v>
      </c>
      <c r="FJ46" s="3">
        <f ca="1">IFERROR(__xludf.DUMMYFUNCTION("""COMPUTED_VALUE"""),-0.714871639905776)</f>
        <v>-0.71487163990577596</v>
      </c>
      <c r="FK46" s="3">
        <f ca="1">IFERROR(__xludf.DUMMYFUNCTION("""COMPUTED_VALUE"""),-0.711278925423859)</f>
        <v>-0.71127892542385895</v>
      </c>
      <c r="FL46" s="3">
        <f ca="1">IFERROR(__xludf.DUMMYFUNCTION("""COMPUTED_VALUE"""),-0.685162118985126)</f>
        <v>-0.68516211898512602</v>
      </c>
      <c r="FM46" s="3">
        <f ca="1">IFERROR(__xludf.DUMMYFUNCTION("""COMPUTED_VALUE"""),-0.556026667684573)</f>
        <v>-0.55602666768457298</v>
      </c>
      <c r="FN46" s="3">
        <f ca="1">IFERROR(__xludf.DUMMYFUNCTION("""COMPUTED_VALUE"""),-0.560828974381635)</f>
        <v>-0.56082897438163504</v>
      </c>
      <c r="FO46" s="3">
        <f ca="1">IFERROR(__xludf.DUMMYFUNCTION("""COMPUTED_VALUE"""),-0.652336634091982)</f>
        <v>-0.65233663409198195</v>
      </c>
      <c r="FP46" s="3">
        <f ca="1">IFERROR(__xludf.DUMMYFUNCTION("""COMPUTED_VALUE"""),-0.704929780233634)</f>
        <v>-0.70492978023363395</v>
      </c>
      <c r="FQ46" s="3">
        <f ca="1">IFERROR(__xludf.DUMMYFUNCTION("""COMPUTED_VALUE"""),-0.69278785021272)</f>
        <v>-0.69278785021272005</v>
      </c>
      <c r="FR46" s="3">
        <f ca="1">IFERROR(__xludf.DUMMYFUNCTION("""COMPUTED_VALUE"""),-0.687257949513438)</f>
        <v>-0.68725794951343799</v>
      </c>
      <c r="FS46" s="3">
        <f ca="1">IFERROR(__xludf.DUMMYFUNCTION("""COMPUTED_VALUE"""),-0.705206300898599)</f>
        <v>-0.70520630089859904</v>
      </c>
      <c r="FT46" s="3">
        <f ca="1">IFERROR(__xludf.DUMMYFUNCTION("""COMPUTED_VALUE"""),-0.535624331023449)</f>
        <v>-0.53562433102344897</v>
      </c>
      <c r="FU46" s="3">
        <f ca="1">IFERROR(__xludf.DUMMYFUNCTION("""COMPUTED_VALUE"""),-0.547162741953162)</f>
        <v>-0.54716274195316195</v>
      </c>
      <c r="FV46" s="3">
        <f ca="1">IFERROR(__xludf.DUMMYFUNCTION("""COMPUTED_VALUE"""),-0.665450620964601)</f>
        <v>-0.66545062096460095</v>
      </c>
      <c r="FW46" s="3">
        <f ca="1">IFERROR(__xludf.DUMMYFUNCTION("""COMPUTED_VALUE"""),-0.674887876149965)</f>
        <v>-0.67488787614996504</v>
      </c>
      <c r="FX46" s="3">
        <f ca="1">IFERROR(__xludf.DUMMYFUNCTION("""COMPUTED_VALUE"""),-0.683444003398631)</f>
        <v>-0.68344400339863098</v>
      </c>
      <c r="FY46" s="3">
        <f ca="1">IFERROR(__xludf.DUMMYFUNCTION("""COMPUTED_VALUE"""),-0.682224639002119)</f>
        <v>-0.68222463900211905</v>
      </c>
      <c r="FZ46" s="3">
        <f ca="1">IFERROR(__xludf.DUMMYFUNCTION("""COMPUTED_VALUE"""),-0.680486981695351)</f>
        <v>-0.68048698169535105</v>
      </c>
      <c r="GA46" s="3">
        <f ca="1">IFERROR(__xludf.DUMMYFUNCTION("""COMPUTED_VALUE"""),-0.542062737188775)</f>
        <v>-0.54206273718877496</v>
      </c>
      <c r="GB46" s="3">
        <f ca="1">IFERROR(__xludf.DUMMYFUNCTION("""COMPUTED_VALUE"""),-0.510226794871618)</f>
        <v>-0.51022679487161804</v>
      </c>
      <c r="GC46" s="3">
        <f ca="1">IFERROR(__xludf.DUMMYFUNCTION("""COMPUTED_VALUE"""),-0.656186743534348)</f>
        <v>-0.65618674353434803</v>
      </c>
      <c r="GD46" s="3">
        <f ca="1">IFERROR(__xludf.DUMMYFUNCTION("""COMPUTED_VALUE"""),-0.676807091400685)</f>
        <v>-0.67680709140068496</v>
      </c>
      <c r="GE46" s="3">
        <f ca="1">IFERROR(__xludf.DUMMYFUNCTION("""COMPUTED_VALUE"""),-0.669961328771147)</f>
        <v>-0.669961328771147</v>
      </c>
      <c r="GF46" s="3">
        <f ca="1">IFERROR(__xludf.DUMMYFUNCTION("""COMPUTED_VALUE"""),-0.690670383797774)</f>
        <v>-0.69067038379777401</v>
      </c>
      <c r="GG46" s="3">
        <f ca="1">IFERROR(__xludf.DUMMYFUNCTION("""COMPUTED_VALUE"""),-0.680511321451146)</f>
        <v>-0.68051132145114601</v>
      </c>
      <c r="GH46" s="3">
        <f ca="1">IFERROR(__xludf.DUMMYFUNCTION("""COMPUTED_VALUE"""),-0.535743694293771)</f>
        <v>-0.535743694293771</v>
      </c>
      <c r="GI46" s="3">
        <f ca="1">IFERROR(__xludf.DUMMYFUNCTION("""COMPUTED_VALUE"""),-0.543628161448895)</f>
        <v>-0.54362816144889503</v>
      </c>
      <c r="GJ46" s="3">
        <f ca="1">IFERROR(__xludf.DUMMYFUNCTION("""COMPUTED_VALUE"""),-0.666130403444726)</f>
        <v>-0.66613040344472596</v>
      </c>
      <c r="GK46" s="3">
        <f ca="1">IFERROR(__xludf.DUMMYFUNCTION("""COMPUTED_VALUE"""),-0.671437497492236)</f>
        <v>-0.67143749749223602</v>
      </c>
      <c r="GL46" s="3">
        <f ca="1">IFERROR(__xludf.DUMMYFUNCTION("""COMPUTED_VALUE"""),-0.694342418602909)</f>
        <v>-0.69434241860290902</v>
      </c>
      <c r="GM46" s="3">
        <f ca="1">IFERROR(__xludf.DUMMYFUNCTION("""COMPUTED_VALUE"""),-0.691731740482277)</f>
        <v>-0.69173174048227704</v>
      </c>
      <c r="GN46" s="3">
        <f ca="1">IFERROR(__xludf.DUMMYFUNCTION("""COMPUTED_VALUE"""),-0.673896844547509)</f>
        <v>-0.67389684454750898</v>
      </c>
      <c r="GO46" s="3">
        <f ca="1">IFERROR(__xludf.DUMMYFUNCTION("""COMPUTED_VALUE"""),-0.550785513754226)</f>
        <v>-0.55078551375422602</v>
      </c>
      <c r="GP46" s="3">
        <f ca="1">IFERROR(__xludf.DUMMYFUNCTION("""COMPUTED_VALUE"""),-0.526304016665399)</f>
        <v>-0.52630401666539905</v>
      </c>
      <c r="GQ46" s="3">
        <f ca="1">IFERROR(__xludf.DUMMYFUNCTION("""COMPUTED_VALUE"""),-0.651851161801819)</f>
        <v>-0.65185116180181901</v>
      </c>
      <c r="GR46" s="3">
        <f ca="1">IFERROR(__xludf.DUMMYFUNCTION("""COMPUTED_VALUE"""),-0.67332421867545)</f>
        <v>-0.67332421867545</v>
      </c>
      <c r="GS46" s="3">
        <f ca="1">IFERROR(__xludf.DUMMYFUNCTION("""COMPUTED_VALUE"""),-0.655967841277121)</f>
        <v>-0.65596784127712104</v>
      </c>
      <c r="GT46" s="3">
        <f ca="1">IFERROR(__xludf.DUMMYFUNCTION("""COMPUTED_VALUE"""),-0.658070957584146)</f>
        <v>-0.65807095758414602</v>
      </c>
      <c r="GU46" s="3">
        <f ca="1">IFERROR(__xludf.DUMMYFUNCTION("""COMPUTED_VALUE"""),-0.653619443068307)</f>
        <v>-0.65361944306830699</v>
      </c>
      <c r="GV46" s="3">
        <f ca="1">IFERROR(__xludf.DUMMYFUNCTION("""COMPUTED_VALUE"""),-0.525126475532417)</f>
        <v>-0.52512647553241698</v>
      </c>
      <c r="GW46" s="3">
        <f ca="1">IFERROR(__xludf.DUMMYFUNCTION("""COMPUTED_VALUE"""),-0.517002420237622)</f>
        <v>-0.517002420237622</v>
      </c>
      <c r="GX46" s="3">
        <f ca="1">IFERROR(__xludf.DUMMYFUNCTION("""COMPUTED_VALUE"""),-0.634812088138364)</f>
        <v>-0.63481208813836398</v>
      </c>
      <c r="GY46" s="3">
        <f ca="1">IFERROR(__xludf.DUMMYFUNCTION("""COMPUTED_VALUE"""),-0.666886071375126)</f>
        <v>-0.66688607137512601</v>
      </c>
      <c r="GZ46" s="3">
        <f ca="1">IFERROR(__xludf.DUMMYFUNCTION("""COMPUTED_VALUE"""),-0.664754927661006)</f>
        <v>-0.66475492766100597</v>
      </c>
      <c r="HA46" s="3">
        <f ca="1">IFERROR(__xludf.DUMMYFUNCTION("""COMPUTED_VALUE"""),-0.674766431528306)</f>
        <v>-0.67476643152830595</v>
      </c>
      <c r="HB46" s="3">
        <f ca="1">IFERROR(__xludf.DUMMYFUNCTION("""COMPUTED_VALUE"""),-0.654858769471246)</f>
        <v>-0.65485876947124599</v>
      </c>
      <c r="HC46" s="3">
        <f ca="1">IFERROR(__xludf.DUMMYFUNCTION("""COMPUTED_VALUE"""),-0.495389811097516)</f>
        <v>-0.49538981109751601</v>
      </c>
      <c r="HD46" s="3">
        <f ca="1">IFERROR(__xludf.DUMMYFUNCTION("""COMPUTED_VALUE"""),-0.558468276553174)</f>
        <v>-0.55846827655317399</v>
      </c>
      <c r="HE46" s="3">
        <f ca="1">IFERROR(__xludf.DUMMYFUNCTION("""COMPUTED_VALUE"""),-0.677394550509661)</f>
        <v>-0.67739455050966102</v>
      </c>
      <c r="HF46" s="3">
        <f ca="1">IFERROR(__xludf.DUMMYFUNCTION("""COMPUTED_VALUE"""),-0.684769711572317)</f>
        <v>-0.68476971157231703</v>
      </c>
      <c r="HG46" s="3">
        <f ca="1">IFERROR(__xludf.DUMMYFUNCTION("""COMPUTED_VALUE"""),-0.703176599312953)</f>
        <v>-0.70317659931295295</v>
      </c>
      <c r="HH46" s="3">
        <f ca="1">IFERROR(__xludf.DUMMYFUNCTION("""COMPUTED_VALUE"""),-0.691600152603495)</f>
        <v>-0.69160015260349506</v>
      </c>
      <c r="HI46" s="3">
        <f ca="1">IFERROR(__xludf.DUMMYFUNCTION("""COMPUTED_VALUE"""),-0.698992297327997)</f>
        <v>-0.69899229732799695</v>
      </c>
      <c r="HJ46" s="3">
        <f ca="1">IFERROR(__xludf.DUMMYFUNCTION("""COMPUTED_VALUE"""),-0.520063911657537)</f>
        <v>-0.52006391165753696</v>
      </c>
      <c r="HK46" s="3">
        <f ca="1">IFERROR(__xludf.DUMMYFUNCTION("""COMPUTED_VALUE"""),-0.539699699586365)</f>
        <v>-0.53969969958636499</v>
      </c>
      <c r="HL46" s="3">
        <f ca="1">IFERROR(__xludf.DUMMYFUNCTION("""COMPUTED_VALUE"""),-0.639154384347892)</f>
        <v>-0.63915438434789196</v>
      </c>
      <c r="HM46" s="3">
        <f ca="1">IFERROR(__xludf.DUMMYFUNCTION("""COMPUTED_VALUE"""),-0.649548965359623)</f>
        <v>-0.64954896535962303</v>
      </c>
      <c r="HN46" s="3">
        <f ca="1">IFERROR(__xludf.DUMMYFUNCTION("""COMPUTED_VALUE"""),-0.667871633595023)</f>
        <v>-0.667871633595023</v>
      </c>
      <c r="HO46" s="3">
        <f ca="1">IFERROR(__xludf.DUMMYFUNCTION("""COMPUTED_VALUE"""),-0.675997724264113)</f>
        <v>-0.67599772426411298</v>
      </c>
      <c r="HP46" s="3">
        <f ca="1">IFERROR(__xludf.DUMMYFUNCTION("""COMPUTED_VALUE"""),-0.609744903564716)</f>
        <v>-0.609744903564716</v>
      </c>
      <c r="HQ46" s="3">
        <f ca="1">IFERROR(__xludf.DUMMYFUNCTION("""COMPUTED_VALUE"""),-0.526158735988753)</f>
        <v>-0.52615873598875296</v>
      </c>
      <c r="HR46" s="3">
        <f ca="1">IFERROR(__xludf.DUMMYFUNCTION("""COMPUTED_VALUE"""),-0.528394984055504)</f>
        <v>-0.528394984055504</v>
      </c>
      <c r="HS46" s="3">
        <f ca="1">IFERROR(__xludf.DUMMYFUNCTION("""COMPUTED_VALUE"""),-0.631227633179253)</f>
        <v>-0.63122763317925301</v>
      </c>
      <c r="HT46" s="3">
        <f ca="1">IFERROR(__xludf.DUMMYFUNCTION("""COMPUTED_VALUE"""),-0.668880617116268)</f>
        <v>-0.66888061711626801</v>
      </c>
      <c r="HU46" s="3">
        <f ca="1">IFERROR(__xludf.DUMMYFUNCTION("""COMPUTED_VALUE"""),-0.641154763124583)</f>
        <v>-0.64115476312458297</v>
      </c>
      <c r="HV46" s="3">
        <f ca="1">IFERROR(__xludf.DUMMYFUNCTION("""COMPUTED_VALUE"""),-0.638140585803369)</f>
        <v>-0.63814058580336896</v>
      </c>
      <c r="HW46" s="3">
        <f ca="1">IFERROR(__xludf.DUMMYFUNCTION("""COMPUTED_VALUE"""),-0.565430908819375)</f>
        <v>-0.56543090881937497</v>
      </c>
      <c r="HX46" s="3">
        <f ca="1">IFERROR(__xludf.DUMMYFUNCTION("""COMPUTED_VALUE"""),-0.466016989547255)</f>
        <v>-0.46601698954725501</v>
      </c>
      <c r="HY46" s="3">
        <f ca="1">IFERROR(__xludf.DUMMYFUNCTION("""COMPUTED_VALUE"""),-0.513561115278247)</f>
        <v>-0.51356111527824699</v>
      </c>
      <c r="HZ46" s="3">
        <f ca="1">IFERROR(__xludf.DUMMYFUNCTION("""COMPUTED_VALUE"""),-0.577764080542508)</f>
        <v>-0.57776408054250805</v>
      </c>
      <c r="IA46" s="3">
        <f ca="1">IFERROR(__xludf.DUMMYFUNCTION("""COMPUTED_VALUE"""),-0.612875181160387)</f>
        <v>-0.61287518116038697</v>
      </c>
      <c r="IB46" s="3">
        <f ca="1">IFERROR(__xludf.DUMMYFUNCTION("""COMPUTED_VALUE"""),-0.61167677908817)</f>
        <v>-0.61167677908816998</v>
      </c>
      <c r="IC46" s="3">
        <f ca="1">IFERROR(__xludf.DUMMYFUNCTION("""COMPUTED_VALUE"""),-0.60512940056867)</f>
        <v>-0.60512940056867004</v>
      </c>
      <c r="ID46" s="3">
        <f ca="1">IFERROR(__xludf.DUMMYFUNCTION("""COMPUTED_VALUE"""),-0.571974197553375)</f>
        <v>-0.57197419755337497</v>
      </c>
      <c r="IE46" s="3">
        <f ca="1">IFERROR(__xludf.DUMMYFUNCTION("""COMPUTED_VALUE"""),-0.467378923455409)</f>
        <v>-0.46737892345540899</v>
      </c>
      <c r="IF46" s="3">
        <f ca="1">IFERROR(__xludf.DUMMYFUNCTION("""COMPUTED_VALUE"""),-0.498507713658427)</f>
        <v>-0.498507713658427</v>
      </c>
      <c r="IG46" s="3">
        <f ca="1">IFERROR(__xludf.DUMMYFUNCTION("""COMPUTED_VALUE"""),-0.586274355612736)</f>
        <v>-0.586274355612736</v>
      </c>
      <c r="IH46" s="3">
        <f ca="1">IFERROR(__xludf.DUMMYFUNCTION("""COMPUTED_VALUE"""),-0.594025824477426)</f>
        <v>-0.59402582447742602</v>
      </c>
      <c r="II46" s="3">
        <f ca="1">IFERROR(__xludf.DUMMYFUNCTION("""COMPUTED_VALUE"""),-0.648482085779591)</f>
        <v>-0.64848208577959099</v>
      </c>
      <c r="IJ46" s="3">
        <f ca="1">IFERROR(__xludf.DUMMYFUNCTION("""COMPUTED_VALUE"""),-0.59704146267906)</f>
        <v>-0.59704146267906</v>
      </c>
      <c r="IK46" s="3">
        <f ca="1">IFERROR(__xludf.DUMMYFUNCTION("""COMPUTED_VALUE"""),-0.572748323289321)</f>
        <v>-0.57274832328932102</v>
      </c>
      <c r="IL46" s="3">
        <f ca="1">IFERROR(__xludf.DUMMYFUNCTION("""COMPUTED_VALUE"""),-0.47497288826881)</f>
        <v>-0.47497288826881001</v>
      </c>
      <c r="IM46" s="3">
        <f ca="1">IFERROR(__xludf.DUMMYFUNCTION("""COMPUTED_VALUE"""),-0.493546183669068)</f>
        <v>-0.49354618366906799</v>
      </c>
      <c r="IN46" s="3">
        <f ca="1">IFERROR(__xludf.DUMMYFUNCTION("""COMPUTED_VALUE"""),-0.573638240884903)</f>
        <v>-0.57363824088490301</v>
      </c>
      <c r="IO46" s="3">
        <f ca="1">IFERROR(__xludf.DUMMYFUNCTION("""COMPUTED_VALUE"""),-0.595643193714897)</f>
        <v>-0.59564319371489705</v>
      </c>
      <c r="IP46" s="3">
        <f ca="1">IFERROR(__xludf.DUMMYFUNCTION("""COMPUTED_VALUE"""),-0.600767867506285)</f>
        <v>-0.60076786750628497</v>
      </c>
      <c r="IQ46" s="3">
        <f ca="1">IFERROR(__xludf.DUMMYFUNCTION("""COMPUTED_VALUE"""),-0.59439026474619)</f>
        <v>-0.59439026474618994</v>
      </c>
      <c r="IR46" s="3">
        <f ca="1">IFERROR(__xludf.DUMMYFUNCTION("""COMPUTED_VALUE"""),-0.544915201825668)</f>
        <v>-0.54491520182566799</v>
      </c>
      <c r="IS46" s="3">
        <f ca="1">IFERROR(__xludf.DUMMYFUNCTION("""COMPUTED_VALUE"""),-0.434721104400069)</f>
        <v>-0.434721104400069</v>
      </c>
      <c r="IT46" s="3">
        <f ca="1">IFERROR(__xludf.DUMMYFUNCTION("""COMPUTED_VALUE"""),-0.421707555613362)</f>
        <v>-0.42170755561336198</v>
      </c>
      <c r="IU46" s="3">
        <f ca="1">IFERROR(__xludf.DUMMYFUNCTION("""COMPUTED_VALUE"""),-0.512829341501012)</f>
        <v>-0.512829341501012</v>
      </c>
      <c r="IV46" s="3">
        <f ca="1">IFERROR(__xludf.DUMMYFUNCTION("""COMPUTED_VALUE"""),-0.554058130409731)</f>
        <v>-0.55405813040973095</v>
      </c>
      <c r="IW46" s="3">
        <f ca="1">IFERROR(__xludf.DUMMYFUNCTION("""COMPUTED_VALUE"""),-0.551821180255864)</f>
        <v>-0.55182118025586402</v>
      </c>
      <c r="IX46" s="3">
        <f ca="1">IFERROR(__xludf.DUMMYFUNCTION("""COMPUTED_VALUE"""),-0.546518627213235)</f>
        <v>-0.54651862721323496</v>
      </c>
      <c r="IY46" s="3">
        <f ca="1">IFERROR(__xludf.DUMMYFUNCTION("""COMPUTED_VALUE"""),-0.510825289896234)</f>
        <v>-0.51082528989623399</v>
      </c>
      <c r="IZ46" s="3">
        <f ca="1">IFERROR(__xludf.DUMMYFUNCTION("""COMPUTED_VALUE"""),-0.417037990645401)</f>
        <v>-0.41703799064540098</v>
      </c>
      <c r="JA46" s="3">
        <f ca="1">IFERROR(__xludf.DUMMYFUNCTION("""COMPUTED_VALUE"""),-0.448018956749868)</f>
        <v>-0.44801895674986802</v>
      </c>
      <c r="JB46" s="3">
        <f ca="1">IFERROR(__xludf.DUMMYFUNCTION("""COMPUTED_VALUE"""),-0.519981230659282)</f>
        <v>-0.51998123065928203</v>
      </c>
      <c r="JC46" s="3">
        <f ca="1">IFERROR(__xludf.DUMMYFUNCTION("""COMPUTED_VALUE"""),-0.559917439719552)</f>
        <v>-0.55991743971955199</v>
      </c>
      <c r="JD46" s="3">
        <f ca="1">IFERROR(__xludf.DUMMYFUNCTION("""COMPUTED_VALUE"""),-0.583817941298423)</f>
        <v>-0.58381794129842302</v>
      </c>
      <c r="JE46" s="3">
        <f ca="1">IFERROR(__xludf.DUMMYFUNCTION("""COMPUTED_VALUE"""),-0.584272108263364)</f>
        <v>-0.58427210826336395</v>
      </c>
      <c r="JF46" s="3">
        <f ca="1">IFERROR(__xludf.DUMMYFUNCTION("""COMPUTED_VALUE"""),-0.541524437937064)</f>
        <v>-0.54152443793706395</v>
      </c>
      <c r="JG46" s="3">
        <f ca="1">IFERROR(__xludf.DUMMYFUNCTION("""COMPUTED_VALUE"""),-0.391329321770249)</f>
        <v>-0.39132932177024898</v>
      </c>
      <c r="JH46" s="3">
        <f ca="1">IFERROR(__xludf.DUMMYFUNCTION("""COMPUTED_VALUE"""),-0.459026556541591)</f>
        <v>-0.45902655654159102</v>
      </c>
      <c r="JI46" s="3">
        <f ca="1">IFERROR(__xludf.DUMMYFUNCTION("""COMPUTED_VALUE"""),-0.536113647225363)</f>
        <v>-0.53611364722536303</v>
      </c>
      <c r="JJ46" s="3">
        <f ca="1">IFERROR(__xludf.DUMMYFUNCTION("""COMPUTED_VALUE"""),-0.565166916182557)</f>
        <v>-0.56516691618255699</v>
      </c>
      <c r="JK46" s="3">
        <f ca="1">IFERROR(__xludf.DUMMYFUNCTION("""COMPUTED_VALUE"""),-0.573893208356532)</f>
        <v>-0.57389320835653201</v>
      </c>
      <c r="JL46" s="3">
        <f ca="1">IFERROR(__xludf.DUMMYFUNCTION("""COMPUTED_VALUE"""),-0.616582233461729)</f>
        <v>-0.61658223346172902</v>
      </c>
      <c r="JM46" s="3">
        <f ca="1">IFERROR(__xludf.DUMMYFUNCTION("""COMPUTED_VALUE"""),-0.547089174180444)</f>
        <v>-0.547089174180444</v>
      </c>
      <c r="JN46" s="3">
        <f ca="1">IFERROR(__xludf.DUMMYFUNCTION("""COMPUTED_VALUE"""),-0.416140612405832)</f>
        <v>-0.416140612405832</v>
      </c>
      <c r="JO46" s="3">
        <f ca="1">IFERROR(__xludf.DUMMYFUNCTION("""COMPUTED_VALUE"""),-0.446191530727172)</f>
        <v>-0.44619153072717199</v>
      </c>
      <c r="JP46" s="3">
        <f ca="1">IFERROR(__xludf.DUMMYFUNCTION("""COMPUTED_VALUE"""),-0.518721179996874)</f>
        <v>-0.51872117999687395</v>
      </c>
      <c r="JQ46" s="3">
        <f ca="1">IFERROR(__xludf.DUMMYFUNCTION("""COMPUTED_VALUE"""),-0.516989857616116)</f>
        <v>-0.51698985761611604</v>
      </c>
      <c r="JR46" s="3">
        <f ca="1">IFERROR(__xludf.DUMMYFUNCTION("""COMPUTED_VALUE"""),-0.574627429572017)</f>
        <v>-0.57462742957201696</v>
      </c>
      <c r="JS46" s="3">
        <f ca="1">IFERROR(__xludf.DUMMYFUNCTION("""COMPUTED_VALUE"""),-0.59339499068204)</f>
        <v>-0.59339499068204005</v>
      </c>
      <c r="JT46" s="3">
        <f ca="1">IFERROR(__xludf.DUMMYFUNCTION("""COMPUTED_VALUE"""),-0.578257109355946)</f>
        <v>-0.57825710935594599</v>
      </c>
      <c r="JU46" s="3">
        <f ca="1">IFERROR(__xludf.DUMMYFUNCTION("""COMPUTED_VALUE"""),-0.439647700372106)</f>
        <v>-0.43964770037210599</v>
      </c>
      <c r="JV46" s="3">
        <f ca="1">IFERROR(__xludf.DUMMYFUNCTION("""COMPUTED_VALUE"""),-0.502524075020004)</f>
        <v>-0.50252407502000396</v>
      </c>
      <c r="JW46" s="3">
        <f ca="1">IFERROR(__xludf.DUMMYFUNCTION("""COMPUTED_VALUE"""),-0.552115677067783)</f>
        <v>-0.55211567706778297</v>
      </c>
      <c r="JX46" s="3">
        <f ca="1">IFERROR(__xludf.DUMMYFUNCTION("""COMPUTED_VALUE"""),-0.502395006395282)</f>
        <v>-0.50239500639528201</v>
      </c>
      <c r="JY46" s="3">
        <f ca="1">IFERROR(__xludf.DUMMYFUNCTION("""COMPUTED_VALUE"""),-0.561430633543584)</f>
        <v>-0.56143063354358402</v>
      </c>
      <c r="JZ46" s="3">
        <f ca="1">IFERROR(__xludf.DUMMYFUNCTION("""COMPUTED_VALUE"""),-0.591873899863009)</f>
        <v>-0.59187389986300898</v>
      </c>
      <c r="KA46" s="3">
        <f ca="1">IFERROR(__xludf.DUMMYFUNCTION("""COMPUTED_VALUE"""),-0.602481237463962)</f>
        <v>-0.60248123746396198</v>
      </c>
      <c r="KB46" s="3">
        <f ca="1">IFERROR(__xludf.DUMMYFUNCTION("""COMPUTED_VALUE"""),-0.436678686927607)</f>
        <v>-0.43667868692760697</v>
      </c>
      <c r="KC46" s="3">
        <f ca="1">IFERROR(__xludf.DUMMYFUNCTION("""COMPUTED_VALUE"""),-0.460582230802057)</f>
        <v>-0.46058223080205701</v>
      </c>
      <c r="KD46" s="3">
        <f ca="1">IFERROR(__xludf.DUMMYFUNCTION("""COMPUTED_VALUE"""),-0.564236148757005)</f>
        <v>-0.56423614875700501</v>
      </c>
      <c r="KE46" s="3">
        <f ca="1">IFERROR(__xludf.DUMMYFUNCTION("""COMPUTED_VALUE"""),-0.550785940871091)</f>
        <v>-0.55078594087109101</v>
      </c>
      <c r="KF46" s="3">
        <f ca="1">IFERROR(__xludf.DUMMYFUNCTION("""COMPUTED_VALUE"""),-0.635295435656933)</f>
        <v>-0.63529543565693303</v>
      </c>
      <c r="KG46" s="3">
        <f ca="1">IFERROR(__xludf.DUMMYFUNCTION("""COMPUTED_VALUE"""),-0.634371875756385)</f>
        <v>-0.63437187575638498</v>
      </c>
      <c r="KH46" s="3">
        <f ca="1">IFERROR(__xludf.DUMMYFUNCTION("""COMPUTED_VALUE"""),-0.592379847201834)</f>
        <v>-0.59237984720183401</v>
      </c>
      <c r="KI46" s="3">
        <f ca="1">IFERROR(__xludf.DUMMYFUNCTION("""COMPUTED_VALUE"""),-0.483347519045337)</f>
        <v>-0.48334751904533702</v>
      </c>
      <c r="KJ46" s="3">
        <f ca="1">IFERROR(__xludf.DUMMYFUNCTION("""COMPUTED_VALUE"""),-0.518105547837584)</f>
        <v>-0.518105547837584</v>
      </c>
      <c r="KK46" s="3">
        <f ca="1">IFERROR(__xludf.DUMMYFUNCTION("""COMPUTED_VALUE"""),-0.583965538681293)</f>
        <v>-0.58396553868129297</v>
      </c>
      <c r="KL46" s="3">
        <f ca="1">IFERROR(__xludf.DUMMYFUNCTION("""COMPUTED_VALUE"""),-0.667217975843714)</f>
        <v>-0.66721797584371401</v>
      </c>
      <c r="KM46" s="3">
        <f ca="1">IFERROR(__xludf.DUMMYFUNCTION("""COMPUTED_VALUE"""),-0.605869501621594)</f>
        <v>-0.60586950162159403</v>
      </c>
      <c r="KN46" s="3">
        <f ca="1">IFERROR(__xludf.DUMMYFUNCTION("""COMPUTED_VALUE"""),-0.613131389971418)</f>
        <v>-0.61313138997141803</v>
      </c>
      <c r="KO46" s="3">
        <f ca="1">IFERROR(__xludf.DUMMYFUNCTION("""COMPUTED_VALUE"""),-0.630085643221706)</f>
        <v>-0.63008564322170602</v>
      </c>
      <c r="KP46" s="3">
        <f ca="1">IFERROR(__xludf.DUMMYFUNCTION("""COMPUTED_VALUE"""),-0.464508856960163)</f>
        <v>-0.46450885696016297</v>
      </c>
      <c r="KQ46" s="3">
        <f ca="1">IFERROR(__xludf.DUMMYFUNCTION("""COMPUTED_VALUE"""),-0.546980070612599)</f>
        <v>-0.54698007061259901</v>
      </c>
      <c r="KR46" s="3">
        <f ca="1">IFERROR(__xludf.DUMMYFUNCTION("""COMPUTED_VALUE"""),-0.600673518614764)</f>
        <v>-0.60067351861476403</v>
      </c>
      <c r="KS46" s="3">
        <f ca="1">IFERROR(__xludf.DUMMYFUNCTION("""COMPUTED_VALUE"""),-0.663043880126667)</f>
        <v>-0.66304388012666704</v>
      </c>
      <c r="KT46" s="3">
        <f ca="1">IFERROR(__xludf.DUMMYFUNCTION("""COMPUTED_VALUE"""),-0.663360739296331)</f>
        <v>-0.66336073929633099</v>
      </c>
      <c r="KU46" s="3">
        <f ca="1">IFERROR(__xludf.DUMMYFUNCTION("""COMPUTED_VALUE"""),-0.727411835534049)</f>
        <v>-0.72741183553404898</v>
      </c>
      <c r="KV46" s="3">
        <f ca="1">IFERROR(__xludf.DUMMYFUNCTION("""COMPUTED_VALUE"""),-0.668224243024079)</f>
        <v>-0.66822424302407901</v>
      </c>
      <c r="KW46" s="3">
        <f ca="1">IFERROR(__xludf.DUMMYFUNCTION("""COMPUTED_VALUE"""),-0.56705261546229)</f>
        <v>-0.56705261546229002</v>
      </c>
      <c r="KX46" s="3">
        <f ca="1">IFERROR(__xludf.DUMMYFUNCTION("""COMPUTED_VALUE"""),-0.67386777980332)</f>
        <v>-0.67386777980332002</v>
      </c>
      <c r="KY46" s="3">
        <f ca="1">IFERROR(__xludf.DUMMYFUNCTION("""COMPUTED_VALUE"""),-0.684889365254085)</f>
        <v>-0.68488936525408495</v>
      </c>
      <c r="KZ46" s="3">
        <f ca="1">IFERROR(__xludf.DUMMYFUNCTION("""COMPUTED_VALUE"""),-0.713004294501457)</f>
        <v>-0.71300429450145697</v>
      </c>
      <c r="LA46" s="3">
        <f ca="1">IFERROR(__xludf.DUMMYFUNCTION("""COMPUTED_VALUE"""),-0.721014298872005)</f>
        <v>-0.72101429887200497</v>
      </c>
      <c r="LB46" s="3">
        <f ca="1">IFERROR(__xludf.DUMMYFUNCTION("""COMPUTED_VALUE"""),-0.932879903131751)</f>
        <v>-0.93287990313175095</v>
      </c>
      <c r="LC46" s="3">
        <f ca="1">IFERROR(__xludf.DUMMYFUNCTION("""COMPUTED_VALUE"""),-0.897839002586508)</f>
        <v>-0.89783900258650795</v>
      </c>
      <c r="LD46" s="3">
        <f ca="1">IFERROR(__xludf.DUMMYFUNCTION("""COMPUTED_VALUE"""),-0.941361175496568)</f>
        <v>-0.94136117549656795</v>
      </c>
      <c r="LE46" s="3">
        <f ca="1">IFERROR(__xludf.DUMMYFUNCTION("""COMPUTED_VALUE"""),-0.958646805982891)</f>
        <v>-0.95864680598289098</v>
      </c>
      <c r="LF46" s="3">
        <f ca="1">IFERROR(__xludf.DUMMYFUNCTION("""COMPUTED_VALUE"""),-0.948416008403849)</f>
        <v>-0.94841600840384899</v>
      </c>
      <c r="LG46" s="3">
        <f ca="1">IFERROR(__xludf.DUMMYFUNCTION("""COMPUTED_VALUE"""),-0.732329881798543)</f>
        <v>-0.73232988179854297</v>
      </c>
      <c r="LH46" s="3">
        <f ca="1">IFERROR(__xludf.DUMMYFUNCTION("""COMPUTED_VALUE"""),-0.674378645317847)</f>
        <v>-0.67437864531784697</v>
      </c>
      <c r="LI46" s="3">
        <f ca="1">IFERROR(__xludf.DUMMYFUNCTION("""COMPUTED_VALUE"""),-0.722542339464605)</f>
        <v>-0.722542339464605</v>
      </c>
      <c r="LJ46" s="3">
        <f ca="1">IFERROR(__xludf.DUMMYFUNCTION("""COMPUTED_VALUE"""),-0.698037688232363)</f>
        <v>-0.69803768823236301</v>
      </c>
      <c r="LK46" s="3">
        <f ca="1">IFERROR(__xludf.DUMMYFUNCTION("""COMPUTED_VALUE"""),-0.59308564964987)</f>
        <v>-0.59308564964986998</v>
      </c>
      <c r="LL46" s="3">
        <f ca="1">IFERROR(__xludf.DUMMYFUNCTION("""COMPUTED_VALUE"""),-0.630108129900376)</f>
        <v>-0.63010812990037601</v>
      </c>
      <c r="LM46" s="3">
        <f ca="1">IFERROR(__xludf.DUMMYFUNCTION("""COMPUTED_VALUE"""),-0.709928604133417)</f>
        <v>-0.70992860413341696</v>
      </c>
      <c r="LN46" s="3">
        <f ca="1">IFERROR(__xludf.DUMMYFUNCTION("""COMPUTED_VALUE"""),-0.742744399899826)</f>
        <v>-0.74274439989982599</v>
      </c>
      <c r="LO46" s="3">
        <f ca="1">IFERROR(__xludf.DUMMYFUNCTION("""COMPUTED_VALUE"""),-0.714233372979933)</f>
        <v>-0.71423337297993295</v>
      </c>
      <c r="LP46" s="3">
        <f ca="1">IFERROR(__xludf.DUMMYFUNCTION("""COMPUTED_VALUE"""),-0.722878019335401)</f>
        <v>-0.72287801933540097</v>
      </c>
      <c r="LQ46" s="3">
        <f ca="1">IFERROR(__xludf.DUMMYFUNCTION("""COMPUTED_VALUE"""),-0.634880693360226)</f>
        <v>-0.63488069336022601</v>
      </c>
      <c r="LR46" s="3">
        <f ca="1">IFERROR(__xludf.DUMMYFUNCTION("""COMPUTED_VALUE"""),-0.675100502867705)</f>
        <v>-0.67510050286770495</v>
      </c>
      <c r="LS46" s="3">
        <f ca="1">IFERROR(__xludf.DUMMYFUNCTION("""COMPUTED_VALUE"""),-0.668414800617915)</f>
        <v>-0.66841480061791503</v>
      </c>
      <c r="LT46" s="3">
        <f ca="1">IFERROR(__xludf.DUMMYFUNCTION("""COMPUTED_VALUE"""),-0.715429357225618)</f>
        <v>-0.71542935722561796</v>
      </c>
      <c r="LU46" s="3">
        <f ca="1">IFERROR(__xludf.DUMMYFUNCTION("""COMPUTED_VALUE"""),-0.751935697866444)</f>
        <v>-0.75193569786644399</v>
      </c>
      <c r="LV46" s="3">
        <f ca="1">IFERROR(__xludf.DUMMYFUNCTION("""COMPUTED_VALUE"""),-0.765764796930454)</f>
        <v>-0.76576479693045396</v>
      </c>
      <c r="LW46" s="3">
        <f ca="1">IFERROR(__xludf.DUMMYFUNCTION("""COMPUTED_VALUE"""),-0.739427714535802)</f>
        <v>-0.73942771453580203</v>
      </c>
      <c r="LX46" s="3">
        <f ca="1">IFERROR(__xludf.DUMMYFUNCTION("""COMPUTED_VALUE"""),-0.729829907735313)</f>
        <v>-0.72982990773531298</v>
      </c>
      <c r="LY46" s="3">
        <f ca="1">IFERROR(__xludf.DUMMYFUNCTION("""COMPUTED_VALUE"""),-0.669848722676824)</f>
        <v>-0.66984872267682405</v>
      </c>
      <c r="LZ46" s="3">
        <f ca="1">IFERROR(__xludf.DUMMYFUNCTION("""COMPUTED_VALUE"""),-0.702874702077472)</f>
        <v>-0.70287470207747205</v>
      </c>
      <c r="MA46" s="3">
        <f ca="1">IFERROR(__xludf.DUMMYFUNCTION("""COMPUTED_VALUE"""),-0.755746026250917)</f>
        <v>-0.75574602625091702</v>
      </c>
      <c r="MB46" s="3">
        <f ca="1">IFERROR(__xludf.DUMMYFUNCTION("""COMPUTED_VALUE"""),-0.755681641226714)</f>
        <v>-0.755681641226714</v>
      </c>
      <c r="MC46" s="3">
        <f ca="1">IFERROR(__xludf.DUMMYFUNCTION("""COMPUTED_VALUE"""),-0.760202202264599)</f>
        <v>-0.760202202264599</v>
      </c>
      <c r="MD46" s="3">
        <f ca="1">IFERROR(__xludf.DUMMYFUNCTION("""COMPUTED_VALUE"""),-0.750278416754199)</f>
        <v>-0.75027841675419904</v>
      </c>
      <c r="ME46" s="3">
        <f ca="1">IFERROR(__xludf.DUMMYFUNCTION("""COMPUTED_VALUE"""),-0.719441356184554)</f>
        <v>-0.71944135618455396</v>
      </c>
      <c r="MF46" s="3">
        <f ca="1">IFERROR(__xludf.DUMMYFUNCTION("""COMPUTED_VALUE"""),-0.592263290650399)</f>
        <v>-0.59226329065039895</v>
      </c>
      <c r="MG46" s="3">
        <f ca="1">IFERROR(__xludf.DUMMYFUNCTION("""COMPUTED_VALUE"""),-0.634743079483433)</f>
        <v>-0.634743079483433</v>
      </c>
      <c r="MH46" s="3">
        <f ca="1">IFERROR(__xludf.DUMMYFUNCTION("""COMPUTED_VALUE"""),-0.73349400574956)</f>
        <v>-0.73349400574956003</v>
      </c>
      <c r="MI46" s="3">
        <f ca="1">IFERROR(__xludf.DUMMYFUNCTION("""COMPUTED_VALUE"""),-0.758103202643499)</f>
        <v>-0.75810320264349895</v>
      </c>
      <c r="MJ46" s="3">
        <f ca="1">IFERROR(__xludf.DUMMYFUNCTION("""COMPUTED_VALUE"""),-0.745983175385804)</f>
        <v>-0.74598317538580405</v>
      </c>
      <c r="MK46" s="3">
        <f ca="1">IFERROR(__xludf.DUMMYFUNCTION("""COMPUTED_VALUE"""),-0.800890383246267)</f>
        <v>-0.80089038324626705</v>
      </c>
      <c r="ML46" s="3">
        <f ca="1">IFERROR(__xludf.DUMMYFUNCTION("""COMPUTED_VALUE"""),-0.724096674065827)</f>
        <v>-0.72409667406582701</v>
      </c>
      <c r="MM46" s="3">
        <f ca="1">IFERROR(__xludf.DUMMYFUNCTION("""COMPUTED_VALUE"""),-0.614500887571911)</f>
        <v>-0.61450088757191101</v>
      </c>
      <c r="MN46" s="3">
        <f ca="1">IFERROR(__xludf.DUMMYFUNCTION("""COMPUTED_VALUE"""),-0.659782046107261)</f>
        <v>-0.65978204610726099</v>
      </c>
      <c r="MO46" s="3">
        <f ca="1">IFERROR(__xludf.DUMMYFUNCTION("""COMPUTED_VALUE"""),-0.754607056012506)</f>
        <v>-0.75460705601250599</v>
      </c>
      <c r="MP46" s="3">
        <f ca="1">IFERROR(__xludf.DUMMYFUNCTION("""COMPUTED_VALUE"""),-0.758554191140556)</f>
        <v>-0.758554191140556</v>
      </c>
      <c r="MQ46" s="3">
        <f ca="1">IFERROR(__xludf.DUMMYFUNCTION("""COMPUTED_VALUE"""),-0.754120032927242)</f>
        <v>-0.75412003292724195</v>
      </c>
      <c r="MR46" s="3">
        <f ca="1">IFERROR(__xludf.DUMMYFUNCTION("""COMPUTED_VALUE"""),-0.769732270538243)</f>
        <v>-0.769732270538243</v>
      </c>
      <c r="MS46" s="3">
        <f ca="1">IFERROR(__xludf.DUMMYFUNCTION("""COMPUTED_VALUE"""),-0.738512486208868)</f>
        <v>-0.738512486208868</v>
      </c>
      <c r="MT46" s="3">
        <f ca="1">IFERROR(__xludf.DUMMYFUNCTION("""COMPUTED_VALUE"""),-0.591184758366766)</f>
        <v>-0.59118475836676598</v>
      </c>
      <c r="MU46" s="3">
        <f ca="1">IFERROR(__xludf.DUMMYFUNCTION("""COMPUTED_VALUE"""),-0.636575280466331)</f>
        <v>-0.63657528046633105</v>
      </c>
      <c r="MV46" s="3">
        <f ca="1">IFERROR(__xludf.DUMMYFUNCTION("""COMPUTED_VALUE"""),-0.756377651488822)</f>
        <v>-0.75637765148882197</v>
      </c>
      <c r="MW46" s="3">
        <f ca="1">IFERROR(__xludf.DUMMYFUNCTION("""COMPUTED_VALUE"""),-0.747039963294477)</f>
        <v>-0.74703996329447697</v>
      </c>
      <c r="MX46" s="3">
        <f ca="1">IFERROR(__xludf.DUMMYFUNCTION("""COMPUTED_VALUE"""),-0.77759638770718)</f>
        <v>-0.77759638770717998</v>
      </c>
      <c r="MY46" s="3">
        <f ca="1">IFERROR(__xludf.DUMMYFUNCTION("""COMPUTED_VALUE"""),-0.792158957541243)</f>
        <v>-0.79215895754124299</v>
      </c>
      <c r="MZ46" s="3">
        <f ca="1">IFERROR(__xludf.DUMMYFUNCTION("""COMPUTED_VALUE"""),-0.774954469904663)</f>
        <v>-0.77495446990466299</v>
      </c>
      <c r="NA46" s="3">
        <f ca="1">IFERROR(__xludf.DUMMYFUNCTION("""COMPUTED_VALUE"""),-0.739177250998552)</f>
        <v>-0.73917725099855203</v>
      </c>
      <c r="NB46" s="3">
        <f ca="1">IFERROR(__xludf.DUMMYFUNCTION("""COMPUTED_VALUE"""),-0.673621195774642)</f>
        <v>-0.67362119577464197</v>
      </c>
      <c r="NC46" s="3">
        <f ca="1">IFERROR(__xludf.DUMMYFUNCTION("""COMPUTED_VALUE"""),-0.748203919402389)</f>
        <v>-0.74820391940238895</v>
      </c>
      <c r="ND46" s="3">
        <f ca="1">IFERROR(__xludf.DUMMYFUNCTION("""COMPUTED_VALUE"""),-0.750627065169728)</f>
        <v>-0.75062706516972799</v>
      </c>
      <c r="NE46" s="3">
        <f ca="1">IFERROR(__xludf.DUMMYFUNCTION("""COMPUTED_VALUE"""),-0.764558039247323)</f>
        <v>-0.76455803924732302</v>
      </c>
      <c r="NF46" s="3">
        <f ca="1">IFERROR(__xludf.DUMMYFUNCTION("""COMPUTED_VALUE"""),-0.740596763002371)</f>
        <v>-0.74059676300237098</v>
      </c>
      <c r="NG46" s="3">
        <f ca="1">IFERROR(__xludf.DUMMYFUNCTION("""COMPUTED_VALUE"""),-0.738038443296891)</f>
        <v>-0.73803844329689094</v>
      </c>
      <c r="NH46" s="3">
        <f ca="1">IFERROR(__xludf.DUMMYFUNCTION("""COMPUTED_VALUE"""),-0.612235819975386)</f>
        <v>-0.61223581997538601</v>
      </c>
      <c r="NI46" s="3">
        <f ca="1">IFERROR(__xludf.DUMMYFUNCTION("""COMPUTED_VALUE"""),-0.658246175528528)</f>
        <v>-0.65824617552852804</v>
      </c>
      <c r="NJ46" s="3">
        <f ca="1">IFERROR(__xludf.DUMMYFUNCTION("""COMPUTED_VALUE"""),-0.746971996885597)</f>
        <v>-0.74697199688559701</v>
      </c>
      <c r="NK46" s="3">
        <f ca="1">IFERROR(__xludf.DUMMYFUNCTION("""COMPUTED_VALUE"""),-0.742302336980969)</f>
        <v>-0.74230233698096904</v>
      </c>
      <c r="NL46" s="3">
        <f ca="1">IFERROR(__xludf.DUMMYFUNCTION("""COMPUTED_VALUE"""),-0.750479996174559)</f>
        <v>-0.75047999617455896</v>
      </c>
      <c r="NM46" s="3">
        <f ca="1">IFERROR(__xludf.DUMMYFUNCTION("""COMPUTED_VALUE"""),-0.750514708917567)</f>
        <v>-0.750514708917567</v>
      </c>
      <c r="NN46" s="3">
        <f ca="1">IFERROR(__xludf.DUMMYFUNCTION("""COMPUTED_VALUE"""),-0.73641453395225)</f>
        <v>-0.73641453395224998</v>
      </c>
      <c r="NO46" s="3">
        <f ca="1">IFERROR(__xludf.DUMMYFUNCTION("""COMPUTED_VALUE"""),-0.685558587609388)</f>
        <v>-0.68555858760938804</v>
      </c>
      <c r="NP46" s="3">
        <f ca="1">IFERROR(__xludf.DUMMYFUNCTION("""COMPUTED_VALUE"""),-0.73156409842784)</f>
        <v>-0.73156409842783998</v>
      </c>
      <c r="NQ46" s="3">
        <f ca="1">IFERROR(__xludf.DUMMYFUNCTION("""COMPUTED_VALUE"""),-0.696002987634857)</f>
        <v>-0.69600298763485702</v>
      </c>
      <c r="NR46" s="3">
        <f ca="1">IFERROR(__xludf.DUMMYFUNCTION("""COMPUTED_VALUE"""),-0.710511595646837)</f>
        <v>-0.71051159564683697</v>
      </c>
      <c r="NS46" s="3">
        <f ca="1">IFERROR(__xludf.DUMMYFUNCTION("""COMPUTED_VALUE"""),-0.711030753935934)</f>
        <v>-0.71103075393593396</v>
      </c>
      <c r="NT46" s="3">
        <f ca="1">IFERROR(__xludf.DUMMYFUNCTION("""COMPUTED_VALUE"""),-0.661786692281843)</f>
        <v>-0.66178669228184295</v>
      </c>
      <c r="NU46" s="3">
        <f ca="1">IFERROR(__xludf.DUMMYFUNCTION("""COMPUTED_VALUE"""),-0.692529268946406)</f>
        <v>-0.69252926894640598</v>
      </c>
      <c r="NV46" s="3">
        <f ca="1">IFERROR(__xludf.DUMMYFUNCTION("""COMPUTED_VALUE"""),-0.593280780682966)</f>
        <v>-0.59328078068296597</v>
      </c>
      <c r="NW46" s="3">
        <f ca="1">IFERROR(__xludf.DUMMYFUNCTION("""COMPUTED_VALUE"""),-0.594702312082983)</f>
        <v>-0.59470231208298296</v>
      </c>
      <c r="NX46" s="3">
        <f ca="1">IFERROR(__xludf.DUMMYFUNCTION("""COMPUTED_VALUE"""),-0.643523489451901)</f>
        <v>-0.64352348945190097</v>
      </c>
      <c r="NY46" s="3">
        <f ca="1">IFERROR(__xludf.DUMMYFUNCTION("""COMPUTED_VALUE"""),-0.71428533233189)</f>
        <v>-0.71428533233188995</v>
      </c>
      <c r="NZ46" s="3">
        <f ca="1">IFERROR(__xludf.DUMMYFUNCTION("""COMPUTED_VALUE"""),-0.647857276972555)</f>
        <v>-0.64785727697255502</v>
      </c>
      <c r="OA46" s="3">
        <f ca="1">IFERROR(__xludf.DUMMYFUNCTION("""COMPUTED_VALUE"""),-0.569683543038345)</f>
        <v>-0.56968354303834501</v>
      </c>
      <c r="OB46" s="3">
        <f ca="1">IFERROR(__xludf.DUMMYFUNCTION("""COMPUTED_VALUE"""),-0.435920909781616)</f>
        <v>-0.43592090978161602</v>
      </c>
      <c r="OC46" s="3">
        <f ca="1">IFERROR(__xludf.DUMMYFUNCTION("""COMPUTED_VALUE"""),-0.21996008834059)</f>
        <v>-0.21996008834059</v>
      </c>
      <c r="OD46" s="3">
        <f ca="1">IFERROR(__xludf.DUMMYFUNCTION("""COMPUTED_VALUE"""),-0.161515504267418)</f>
        <v>-0.16151550426741801</v>
      </c>
      <c r="OE46" s="3">
        <f ca="1">IFERROR(__xludf.DUMMYFUNCTION("""COMPUTED_VALUE"""),-0.193202171889737)</f>
        <v>-0.19320217188973701</v>
      </c>
      <c r="OF46" s="3">
        <f ca="1">IFERROR(__xludf.DUMMYFUNCTION("""COMPUTED_VALUE"""),-0.15916709641103)</f>
        <v>-0.15916709641103</v>
      </c>
      <c r="OG46" s="3">
        <f ca="1">IFERROR(__xludf.DUMMYFUNCTION("""COMPUTED_VALUE"""),-0.119965850655458)</f>
        <v>-0.11996585065545801</v>
      </c>
      <c r="OH46" s="3">
        <f ca="1">IFERROR(__xludf.DUMMYFUNCTION("""COMPUTED_VALUE"""),-0.119405438113309)</f>
        <v>-0.119405438113309</v>
      </c>
      <c r="OI46" s="3">
        <f ca="1">IFERROR(__xludf.DUMMYFUNCTION("""COMPUTED_VALUE"""),-0.0991357427753741)</f>
        <v>-9.9135742775374097E-2</v>
      </c>
      <c r="OJ46" s="3">
        <f ca="1">IFERROR(__xludf.DUMMYFUNCTION("""COMPUTED_VALUE"""),0.0785414093491265)</f>
        <v>7.8541409349126498E-2</v>
      </c>
      <c r="OK46" s="3">
        <f ca="1">IFERROR(__xludf.DUMMYFUNCTION("""COMPUTED_VALUE"""),-0.00812200273241825)</f>
        <v>-8.1220027324182507E-3</v>
      </c>
      <c r="OL46" s="3">
        <f ca="1">IFERROR(__xludf.DUMMYFUNCTION("""COMPUTED_VALUE"""),-0.0635422772428654)</f>
        <v>-6.3542277242865403E-2</v>
      </c>
      <c r="OM46" s="3">
        <f ca="1">IFERROR(__xludf.DUMMYFUNCTION("""COMPUTED_VALUE"""),-0.0251188868925876)</f>
        <v>-2.5118886892587601E-2</v>
      </c>
      <c r="ON46" s="3">
        <f ca="1">IFERROR(__xludf.DUMMYFUNCTION("""COMPUTED_VALUE"""),-0.0684646310149855)</f>
        <v>-6.8464631014985497E-2</v>
      </c>
      <c r="OO46" s="3">
        <f ca="1">IFERROR(__xludf.DUMMYFUNCTION("""COMPUTED_VALUE"""),-0.0488972721574405)</f>
        <v>-4.8897272157440497E-2</v>
      </c>
      <c r="OP46" s="3">
        <f ca="1">IFERROR(__xludf.DUMMYFUNCTION("""COMPUTED_VALUE"""),-0.0207895804451966)</f>
        <v>-2.07895804451966E-2</v>
      </c>
      <c r="OQ46" s="3">
        <f ca="1">IFERROR(__xludf.DUMMYFUNCTION("""COMPUTED_VALUE"""),0.0732776520137687)</f>
        <v>7.3277652013768693E-2</v>
      </c>
      <c r="OR46" s="3">
        <f ca="1">IFERROR(__xludf.DUMMYFUNCTION("""COMPUTED_VALUE"""),0.0137115989563021)</f>
        <v>1.37115989563021E-2</v>
      </c>
      <c r="OS46" s="3">
        <f ca="1">IFERROR(__xludf.DUMMYFUNCTION("""COMPUTED_VALUE"""),-0.0742732250276344)</f>
        <v>-7.4273225027634407E-2</v>
      </c>
      <c r="OT46" s="3">
        <f ca="1">IFERROR(__xludf.DUMMYFUNCTION("""COMPUTED_VALUE"""),-0.0399466533496895)</f>
        <v>-3.9946653349689498E-2</v>
      </c>
      <c r="OU46" s="3">
        <f ca="1">IFERROR(__xludf.DUMMYFUNCTION("""COMPUTED_VALUE"""),0.0400211654636337)</f>
        <v>4.0021165463633698E-2</v>
      </c>
      <c r="OV46" s="3">
        <f ca="1">IFERROR(__xludf.DUMMYFUNCTION("""COMPUTED_VALUE"""),-0.00908724271542305)</f>
        <v>-9.0872427154230495E-3</v>
      </c>
      <c r="OW46" s="3">
        <f ca="1">IFERROR(__xludf.DUMMYFUNCTION("""COMPUTED_VALUE"""),0.0896444702962855)</f>
        <v>8.96444702962855E-2</v>
      </c>
      <c r="OX46" s="3">
        <f ca="1">IFERROR(__xludf.DUMMYFUNCTION("""COMPUTED_VALUE"""),0.106447271873119)</f>
        <v>0.106447271873119</v>
      </c>
      <c r="OY46" s="3">
        <f ca="1">IFERROR(__xludf.DUMMYFUNCTION("""COMPUTED_VALUE"""),0.016244234777722)</f>
        <v>1.6244234777722001E-2</v>
      </c>
      <c r="OZ46" s="3">
        <f ca="1">IFERROR(__xludf.DUMMYFUNCTION("""COMPUTED_VALUE"""),-0.0268358795357839)</f>
        <v>-2.68358795357839E-2</v>
      </c>
      <c r="PA46" s="3">
        <f ca="1">IFERROR(__xludf.DUMMYFUNCTION("""COMPUTED_VALUE"""),-0.0688765564643757)</f>
        <v>-6.8876556464375696E-2</v>
      </c>
      <c r="PB46" s="3">
        <f ca="1">IFERROR(__xludf.DUMMYFUNCTION("""COMPUTED_VALUE"""),0.0360030348761621)</f>
        <v>3.6003034876162097E-2</v>
      </c>
      <c r="PC46" s="3">
        <f ca="1">IFERROR(__xludf.DUMMYFUNCTION("""COMPUTED_VALUE"""),0.0177727859396406)</f>
        <v>1.7772785939640601E-2</v>
      </c>
      <c r="PD46" s="3">
        <f ca="1">IFERROR(__xludf.DUMMYFUNCTION("""COMPUTED_VALUE"""),-0.14147823550547)</f>
        <v>-0.14147823550547001</v>
      </c>
      <c r="PE46" s="3">
        <f ca="1">IFERROR(__xludf.DUMMYFUNCTION("""COMPUTED_VALUE"""),0.0402236649642628)</f>
        <v>4.0223664964262801E-2</v>
      </c>
      <c r="PF46" s="3">
        <f ca="1">IFERROR(__xludf.DUMMYFUNCTION("""COMPUTED_VALUE"""),0.105938464657466)</f>
        <v>0.10593846465746599</v>
      </c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</row>
    <row r="47" spans="1:594" ht="15.75" customHeight="1">
      <c r="A47" s="1" t="str">
        <f ca="1">IFERROR(__xludf.DUMMYFUNCTION("""COMPUTED_VALUE"""),"Monterey, CA")</f>
        <v>Monterey, CA</v>
      </c>
      <c r="B47" s="3">
        <f ca="1">IFERROR(__xludf.DUMMYFUNCTION("""COMPUTED_VALUE"""),-0.819121702651685)</f>
        <v>-0.81912170265168505</v>
      </c>
      <c r="C47" s="3">
        <f ca="1">IFERROR(__xludf.DUMMYFUNCTION("""COMPUTED_VALUE"""),-0.849498736034593)</f>
        <v>-0.84949873603459303</v>
      </c>
      <c r="D47" s="3">
        <f ca="1">IFERROR(__xludf.DUMMYFUNCTION("""COMPUTED_VALUE"""),-0.819352040842863)</f>
        <v>-0.81935204084286295</v>
      </c>
      <c r="E47" s="3">
        <f ca="1">IFERROR(__xludf.DUMMYFUNCTION("""COMPUTED_VALUE"""),-0.840742903994383)</f>
        <v>-0.84074290399438301</v>
      </c>
      <c r="F47" s="3">
        <f ca="1">IFERROR(__xludf.DUMMYFUNCTION("""COMPUTED_VALUE"""),-0.831046076500515)</f>
        <v>-0.83104607650051499</v>
      </c>
      <c r="G47" s="3">
        <f ca="1">IFERROR(__xludf.DUMMYFUNCTION("""COMPUTED_VALUE"""),-0.82758546105887)</f>
        <v>-0.82758546105886999</v>
      </c>
      <c r="H47" s="3">
        <f ca="1">IFERROR(__xludf.DUMMYFUNCTION("""COMPUTED_VALUE"""),-0.85110419950732)</f>
        <v>-0.85110419950731997</v>
      </c>
      <c r="I47" s="3">
        <f ca="1">IFERROR(__xludf.DUMMYFUNCTION("""COMPUTED_VALUE"""),-0.839068206941281)</f>
        <v>-0.83906820694128104</v>
      </c>
      <c r="J47" s="3">
        <f ca="1">IFERROR(__xludf.DUMMYFUNCTION("""COMPUTED_VALUE"""),-0.82084632745882)</f>
        <v>-0.82084632745882002</v>
      </c>
      <c r="K47" s="3">
        <f ca="1">IFERROR(__xludf.DUMMYFUNCTION("""COMPUTED_VALUE"""),-0.829316663932878)</f>
        <v>-0.82931666393287795</v>
      </c>
      <c r="L47" s="3">
        <f ca="1">IFERROR(__xludf.DUMMYFUNCTION("""COMPUTED_VALUE"""),-0.852872137900222)</f>
        <v>-0.85287213790022198</v>
      </c>
      <c r="M47" s="3">
        <f ca="1">IFERROR(__xludf.DUMMYFUNCTION("""COMPUTED_VALUE"""),-0.857352079338604)</f>
        <v>-0.85735207933860402</v>
      </c>
      <c r="N47" s="3">
        <f ca="1">IFERROR(__xludf.DUMMYFUNCTION("""COMPUTED_VALUE"""),-0.835917320065237)</f>
        <v>-0.835917320065237</v>
      </c>
      <c r="O47" s="3">
        <f ca="1">IFERROR(__xludf.DUMMYFUNCTION("""COMPUTED_VALUE"""),-0.853101288393343)</f>
        <v>-0.85310128839334298</v>
      </c>
      <c r="P47" s="3">
        <f ca="1">IFERROR(__xludf.DUMMYFUNCTION("""COMPUTED_VALUE"""),-0.851807249147596)</f>
        <v>-0.85180724914759598</v>
      </c>
      <c r="Q47" s="3">
        <f ca="1">IFERROR(__xludf.DUMMYFUNCTION("""COMPUTED_VALUE"""),-0.826775809000815)</f>
        <v>-0.82677580900081504</v>
      </c>
      <c r="R47" s="3">
        <f ca="1">IFERROR(__xludf.DUMMYFUNCTION("""COMPUTED_VALUE"""),-0.828169957160162)</f>
        <v>-0.82816995716016195</v>
      </c>
      <c r="S47" s="3">
        <f ca="1">IFERROR(__xludf.DUMMYFUNCTION("""COMPUTED_VALUE"""),-0.83763116674408)</f>
        <v>-0.83763116674408</v>
      </c>
      <c r="T47" s="3">
        <f ca="1">IFERROR(__xludf.DUMMYFUNCTION("""COMPUTED_VALUE"""),-0.842412549729091)</f>
        <v>-0.84241254972909096</v>
      </c>
      <c r="U47" s="3">
        <f ca="1">IFERROR(__xludf.DUMMYFUNCTION("""COMPUTED_VALUE"""),-0.823517904330874)</f>
        <v>-0.82351790433087402</v>
      </c>
      <c r="V47" s="3">
        <f ca="1">IFERROR(__xludf.DUMMYFUNCTION("""COMPUTED_VALUE"""),-0.817459225908112)</f>
        <v>-0.81745922590811204</v>
      </c>
      <c r="W47" s="3">
        <f ca="1">IFERROR(__xludf.DUMMYFUNCTION("""COMPUTED_VALUE"""),-0.828223031327215)</f>
        <v>-0.82822303132721498</v>
      </c>
      <c r="X47" s="3">
        <f ca="1">IFERROR(__xludf.DUMMYFUNCTION("""COMPUTED_VALUE"""),-0.823450336675159)</f>
        <v>-0.82345033667515899</v>
      </c>
      <c r="Y47" s="3">
        <f ca="1">IFERROR(__xludf.DUMMYFUNCTION("""COMPUTED_VALUE"""),-0.880544502414781)</f>
        <v>-0.88054450241478099</v>
      </c>
      <c r="Z47" s="3">
        <f ca="1">IFERROR(__xludf.DUMMYFUNCTION("""COMPUTED_VALUE"""),-0.845156034484956)</f>
        <v>-0.84515603448495602</v>
      </c>
      <c r="AA47" s="3">
        <f ca="1">IFERROR(__xludf.DUMMYFUNCTION("""COMPUTED_VALUE"""),-0.87691620984465)</f>
        <v>-0.87691620984465002</v>
      </c>
      <c r="AB47" s="3">
        <f ca="1">IFERROR(__xludf.DUMMYFUNCTION("""COMPUTED_VALUE"""),-0.857828053752038)</f>
        <v>-0.85782805375203797</v>
      </c>
      <c r="AC47" s="3">
        <f ca="1">IFERROR(__xludf.DUMMYFUNCTION("""COMPUTED_VALUE"""),-0.841087265587737)</f>
        <v>-0.84108726558773705</v>
      </c>
      <c r="AD47" s="3">
        <f ca="1">IFERROR(__xludf.DUMMYFUNCTION("""COMPUTED_VALUE"""),-0.812229921126632)</f>
        <v>-0.81222992112663195</v>
      </c>
      <c r="AE47" s="3">
        <f ca="1">IFERROR(__xludf.DUMMYFUNCTION("""COMPUTED_VALUE"""),-0.844194799037384)</f>
        <v>-0.84419479903738404</v>
      </c>
      <c r="AF47" s="3">
        <f ca="1">IFERROR(__xludf.DUMMYFUNCTION("""COMPUTED_VALUE"""),-0.879761009703794)</f>
        <v>-0.87976100970379401</v>
      </c>
      <c r="AG47" s="3">
        <f ca="1">IFERROR(__xludf.DUMMYFUNCTION("""COMPUTED_VALUE"""),-0.868417801434818)</f>
        <v>-0.86841780143481795</v>
      </c>
      <c r="AH47" s="3">
        <f ca="1">IFERROR(__xludf.DUMMYFUNCTION("""COMPUTED_VALUE"""),-0.874222257241671)</f>
        <v>-0.87422225724167102</v>
      </c>
      <c r="AI47" s="3">
        <f ca="1">IFERROR(__xludf.DUMMYFUNCTION("""COMPUTED_VALUE"""),-0.84261762222541)</f>
        <v>-0.84261762222541003</v>
      </c>
      <c r="AJ47" s="3">
        <f ca="1">IFERROR(__xludf.DUMMYFUNCTION("""COMPUTED_VALUE"""),-0.835559427340482)</f>
        <v>-0.83555942734048205</v>
      </c>
      <c r="AK47" s="3">
        <f ca="1">IFERROR(__xludf.DUMMYFUNCTION("""COMPUTED_VALUE"""),-0.837082730863026)</f>
        <v>-0.83708273086302598</v>
      </c>
      <c r="AL47" s="3">
        <f ca="1">IFERROR(__xludf.DUMMYFUNCTION("""COMPUTED_VALUE"""),-0.838879850589146)</f>
        <v>-0.83887985058914605</v>
      </c>
      <c r="AM47" s="3">
        <f ca="1">IFERROR(__xludf.DUMMYFUNCTION("""COMPUTED_VALUE"""),-0.853492104496555)</f>
        <v>-0.85349210449655499</v>
      </c>
      <c r="AN47" s="3">
        <f ca="1">IFERROR(__xludf.DUMMYFUNCTION("""COMPUTED_VALUE"""),-0.837357953841791)</f>
        <v>-0.83735795384179101</v>
      </c>
      <c r="AO47" s="3">
        <f ca="1">IFERROR(__xludf.DUMMYFUNCTION("""COMPUTED_VALUE"""),-0.874789196837455)</f>
        <v>-0.87478919683745504</v>
      </c>
      <c r="AP47" s="3">
        <f ca="1">IFERROR(__xludf.DUMMYFUNCTION("""COMPUTED_VALUE"""),-0.857894012603757)</f>
        <v>-0.85789401260375697</v>
      </c>
      <c r="AQ47" s="3">
        <f ca="1">IFERROR(__xludf.DUMMYFUNCTION("""COMPUTED_VALUE"""),-0.846231249810946)</f>
        <v>-0.846231249810946</v>
      </c>
      <c r="AR47" s="3">
        <f ca="1">IFERROR(__xludf.DUMMYFUNCTION("""COMPUTED_VALUE"""),-0.844954198498175)</f>
        <v>-0.84495419849817499</v>
      </c>
      <c r="AS47" s="3">
        <f ca="1">IFERROR(__xludf.DUMMYFUNCTION("""COMPUTED_VALUE"""),-0.844173903212723)</f>
        <v>-0.84417390321272301</v>
      </c>
      <c r="AT47" s="3">
        <f ca="1">IFERROR(__xludf.DUMMYFUNCTION("""COMPUTED_VALUE"""),-0.846047419841587)</f>
        <v>-0.84604741984158705</v>
      </c>
      <c r="AU47" s="3">
        <f ca="1">IFERROR(__xludf.DUMMYFUNCTION("""COMPUTED_VALUE"""),-0.867460499008913)</f>
        <v>-0.86746049900891298</v>
      </c>
      <c r="AV47" s="3">
        <f ca="1">IFERROR(__xludf.DUMMYFUNCTION("""COMPUTED_VALUE"""),-0.873020316764165)</f>
        <v>-0.87302031676416503</v>
      </c>
      <c r="AW47" s="3">
        <f ca="1">IFERROR(__xludf.DUMMYFUNCTION("""COMPUTED_VALUE"""),-0.861740847763169)</f>
        <v>-0.86174084776316895</v>
      </c>
      <c r="AX47" s="3">
        <f ca="1">IFERROR(__xludf.DUMMYFUNCTION("""COMPUTED_VALUE"""),-0.811792621467443)</f>
        <v>-0.81179262146744302</v>
      </c>
      <c r="AY47" s="3">
        <f ca="1">IFERROR(__xludf.DUMMYFUNCTION("""COMPUTED_VALUE"""),-0.826174814658293)</f>
        <v>-0.82617481465829301</v>
      </c>
      <c r="AZ47" s="3">
        <f ca="1">IFERROR(__xludf.DUMMYFUNCTION("""COMPUTED_VALUE"""),-0.861786500655225)</f>
        <v>-0.861786500655225</v>
      </c>
      <c r="BA47" s="3">
        <f ca="1">IFERROR(__xludf.DUMMYFUNCTION("""COMPUTED_VALUE"""),-0.874560353223661)</f>
        <v>-0.87456035322366099</v>
      </c>
      <c r="BB47" s="3">
        <f ca="1">IFERROR(__xludf.DUMMYFUNCTION("""COMPUTED_VALUE"""),-0.871808282304321)</f>
        <v>-0.87180828230432095</v>
      </c>
      <c r="BC47" s="3">
        <f ca="1">IFERROR(__xludf.DUMMYFUNCTION("""COMPUTED_VALUE"""),-0.860306484913265)</f>
        <v>-0.860306484913265</v>
      </c>
      <c r="BD47" s="3">
        <f ca="1">IFERROR(__xludf.DUMMYFUNCTION("""COMPUTED_VALUE"""),-0.863578009707121)</f>
        <v>-0.86357800970712095</v>
      </c>
      <c r="BE47" s="3">
        <f ca="1">IFERROR(__xludf.DUMMYFUNCTION("""COMPUTED_VALUE"""),-0.84227899114432)</f>
        <v>-0.84227899114432003</v>
      </c>
      <c r="BF47" s="3">
        <f ca="1">IFERROR(__xludf.DUMMYFUNCTION("""COMPUTED_VALUE"""),-0.869623325853658)</f>
        <v>-0.86962332585365798</v>
      </c>
      <c r="BG47" s="3">
        <f ca="1">IFERROR(__xludf.DUMMYFUNCTION("""COMPUTED_VALUE"""),-0.856732874227566)</f>
        <v>-0.85673287422756605</v>
      </c>
      <c r="BH47" s="3">
        <f ca="1">IFERROR(__xludf.DUMMYFUNCTION("""COMPUTED_VALUE"""),-0.893577631150707)</f>
        <v>-0.89357763115070699</v>
      </c>
      <c r="BI47" s="3">
        <f ca="1">IFERROR(__xludf.DUMMYFUNCTION("""COMPUTED_VALUE"""),-0.880759170087848)</f>
        <v>-0.88075917008784799</v>
      </c>
      <c r="BJ47" s="3">
        <f ca="1">IFERROR(__xludf.DUMMYFUNCTION("""COMPUTED_VALUE"""),-0.881158858531973)</f>
        <v>-0.88115885853197295</v>
      </c>
      <c r="BK47" s="3">
        <f ca="1">IFERROR(__xludf.DUMMYFUNCTION("""COMPUTED_VALUE"""),-0.878673617193558)</f>
        <v>-0.87867361719355797</v>
      </c>
      <c r="BL47" s="3">
        <f ca="1">IFERROR(__xludf.DUMMYFUNCTION("""COMPUTED_VALUE"""),-0.845978033981264)</f>
        <v>-0.84597803398126403</v>
      </c>
      <c r="BM47" s="3">
        <f ca="1">IFERROR(__xludf.DUMMYFUNCTION("""COMPUTED_VALUE"""),-0.832793820010953)</f>
        <v>-0.83279382001095303</v>
      </c>
      <c r="BN47" s="3">
        <f ca="1">IFERROR(__xludf.DUMMYFUNCTION("""COMPUTED_VALUE"""),-0.877012615410012)</f>
        <v>-0.87701261541001196</v>
      </c>
      <c r="BO47" s="3">
        <f ca="1">IFERROR(__xludf.DUMMYFUNCTION("""COMPUTED_VALUE"""),-0.903924826115599)</f>
        <v>-0.90392482611559899</v>
      </c>
      <c r="BP47" s="3">
        <f ca="1">IFERROR(__xludf.DUMMYFUNCTION("""COMPUTED_VALUE"""),-0.896863538869348)</f>
        <v>-0.896863538869348</v>
      </c>
      <c r="BQ47" s="3">
        <f ca="1">IFERROR(__xludf.DUMMYFUNCTION("""COMPUTED_VALUE"""),-0.929726774543018)</f>
        <v>-0.929726774543018</v>
      </c>
      <c r="BR47" s="3">
        <f ca="1">IFERROR(__xludf.DUMMYFUNCTION("""COMPUTED_VALUE"""),-0.897800239570944)</f>
        <v>-0.89780023957094401</v>
      </c>
      <c r="BS47" s="3">
        <f ca="1">IFERROR(__xludf.DUMMYFUNCTION("""COMPUTED_VALUE"""),-0.856043081350885)</f>
        <v>-0.85604308135088503</v>
      </c>
      <c r="BT47" s="3">
        <f ca="1">IFERROR(__xludf.DUMMYFUNCTION("""COMPUTED_VALUE"""),-0.872971189166989)</f>
        <v>-0.87297118916698901</v>
      </c>
      <c r="BU47" s="3">
        <f ca="1">IFERROR(__xludf.DUMMYFUNCTION("""COMPUTED_VALUE"""),-0.903499423994156)</f>
        <v>-0.90349942399415595</v>
      </c>
      <c r="BV47" s="3">
        <f ca="1">IFERROR(__xludf.DUMMYFUNCTION("""COMPUTED_VALUE"""),-0.939401864832168)</f>
        <v>-0.93940186483216803</v>
      </c>
      <c r="BW47" s="3">
        <f ca="1">IFERROR(__xludf.DUMMYFUNCTION("""COMPUTED_VALUE"""),-0.933808727595186)</f>
        <v>-0.93380872759518596</v>
      </c>
      <c r="BX47" s="3">
        <f ca="1">IFERROR(__xludf.DUMMYFUNCTION("""COMPUTED_VALUE"""),-0.912072329427296)</f>
        <v>-0.91207232942729599</v>
      </c>
      <c r="BY47" s="3">
        <f ca="1">IFERROR(__xludf.DUMMYFUNCTION("""COMPUTED_VALUE"""),-0.906341770516257)</f>
        <v>-0.90634177051625697</v>
      </c>
      <c r="BZ47" s="3">
        <f ca="1">IFERROR(__xludf.DUMMYFUNCTION("""COMPUTED_VALUE"""),-0.911186212681376)</f>
        <v>-0.91118621268137601</v>
      </c>
      <c r="CA47" s="3">
        <f ca="1">IFERROR(__xludf.DUMMYFUNCTION("""COMPUTED_VALUE"""),-0.87179531493901)</f>
        <v>-0.87179531493900997</v>
      </c>
      <c r="CB47" s="3">
        <f ca="1">IFERROR(__xludf.DUMMYFUNCTION("""COMPUTED_VALUE"""),-0.912588846211797)</f>
        <v>-0.91258884621179703</v>
      </c>
      <c r="CC47" s="3">
        <f ca="1">IFERROR(__xludf.DUMMYFUNCTION("""COMPUTED_VALUE"""),-0.903840805028513)</f>
        <v>-0.90384080502851305</v>
      </c>
      <c r="CD47" s="3">
        <f ca="1">IFERROR(__xludf.DUMMYFUNCTION("""COMPUTED_VALUE"""),-0.890248337756482)</f>
        <v>-0.89024833775648204</v>
      </c>
      <c r="CE47" s="3">
        <f ca="1">IFERROR(__xludf.DUMMYFUNCTION("""COMPUTED_VALUE"""),-0.898596231121807)</f>
        <v>-0.89859623112180698</v>
      </c>
      <c r="CF47" s="3">
        <f ca="1">IFERROR(__xludf.DUMMYFUNCTION("""COMPUTED_VALUE"""),-0.87131820103826)</f>
        <v>-0.87131820103825997</v>
      </c>
      <c r="CG47" s="3">
        <f ca="1">IFERROR(__xludf.DUMMYFUNCTION("""COMPUTED_VALUE"""),-0.879435097338325)</f>
        <v>-0.87943509733832503</v>
      </c>
      <c r="CH47" s="3">
        <f ca="1">IFERROR(__xludf.DUMMYFUNCTION("""COMPUTED_VALUE"""),-0.865656297713229)</f>
        <v>-0.86565629771322905</v>
      </c>
      <c r="CI47" s="3">
        <f ca="1">IFERROR(__xludf.DUMMYFUNCTION("""COMPUTED_VALUE"""),-0.899196481082555)</f>
        <v>-0.89919648108255501</v>
      </c>
      <c r="CJ47" s="3">
        <f ca="1">IFERROR(__xludf.DUMMYFUNCTION("""COMPUTED_VALUE"""),-0.903675848845109)</f>
        <v>-0.90367584884510899</v>
      </c>
      <c r="CK47" s="3">
        <f ca="1">IFERROR(__xludf.DUMMYFUNCTION("""COMPUTED_VALUE"""),-0.910306795769196)</f>
        <v>-0.91030679576919604</v>
      </c>
      <c r="CL47" s="3">
        <f ca="1">IFERROR(__xludf.DUMMYFUNCTION("""COMPUTED_VALUE"""),-0.889288574870688)</f>
        <v>-0.88928857487068802</v>
      </c>
      <c r="CM47" s="3">
        <f ca="1">IFERROR(__xludf.DUMMYFUNCTION("""COMPUTED_VALUE"""),-0.871393766362001)</f>
        <v>-0.87139376636200105</v>
      </c>
      <c r="CN47" s="3">
        <f ca="1">IFERROR(__xludf.DUMMYFUNCTION("""COMPUTED_VALUE"""),-0.842597321776607)</f>
        <v>-0.84259732177660696</v>
      </c>
      <c r="CO47" s="3">
        <f ca="1">IFERROR(__xludf.DUMMYFUNCTION("""COMPUTED_VALUE"""),-0.856679272749829)</f>
        <v>-0.85667927274982902</v>
      </c>
      <c r="CP47" s="3">
        <f ca="1">IFERROR(__xludf.DUMMYFUNCTION("""COMPUTED_VALUE"""),-0.892688126157738)</f>
        <v>-0.89268812615773796</v>
      </c>
      <c r="CQ47" s="3">
        <f ca="1">IFERROR(__xludf.DUMMYFUNCTION("""COMPUTED_VALUE"""),-0.886923764251401)</f>
        <v>-0.88692376425140096</v>
      </c>
      <c r="CR47" s="3">
        <f ca="1">IFERROR(__xludf.DUMMYFUNCTION("""COMPUTED_VALUE"""),-0.874154877532901)</f>
        <v>-0.874154877532901</v>
      </c>
      <c r="CS47" s="3">
        <f ca="1">IFERROR(__xludf.DUMMYFUNCTION("""COMPUTED_VALUE"""),-0.873406847932517)</f>
        <v>-0.87340684793251699</v>
      </c>
      <c r="CT47" s="3">
        <f ca="1">IFERROR(__xludf.DUMMYFUNCTION("""COMPUTED_VALUE"""),-0.888624564855319)</f>
        <v>-0.88862456485531904</v>
      </c>
      <c r="CU47" s="3">
        <f ca="1">IFERROR(__xludf.DUMMYFUNCTION("""COMPUTED_VALUE"""),-0.886358424484553)</f>
        <v>-0.88635842448455304</v>
      </c>
      <c r="CV47" s="3">
        <f ca="1">IFERROR(__xludf.DUMMYFUNCTION("""COMPUTED_VALUE"""),-0.867249772930068)</f>
        <v>-0.867249772930068</v>
      </c>
      <c r="CW47" s="3">
        <f ca="1">IFERROR(__xludf.DUMMYFUNCTION("""COMPUTED_VALUE"""),-0.870891626844909)</f>
        <v>-0.87089162684490895</v>
      </c>
      <c r="CX47" s="3">
        <f ca="1">IFERROR(__xludf.DUMMYFUNCTION("""COMPUTED_VALUE"""),-0.835739730299641)</f>
        <v>-0.83573973029964099</v>
      </c>
      <c r="CY47" s="3">
        <f ca="1">IFERROR(__xludf.DUMMYFUNCTION("""COMPUTED_VALUE"""),-0.80616220367986)</f>
        <v>-0.80616220367986002</v>
      </c>
      <c r="CZ47" s="3">
        <f ca="1">IFERROR(__xludf.DUMMYFUNCTION("""COMPUTED_VALUE"""),-0.852104472805852)</f>
        <v>-0.852104472805852</v>
      </c>
      <c r="DA47" s="3">
        <f ca="1">IFERROR(__xludf.DUMMYFUNCTION("""COMPUTED_VALUE"""),-0.880815666371312)</f>
        <v>-0.88081566637131203</v>
      </c>
      <c r="DB47" s="3">
        <f ca="1">IFERROR(__xludf.DUMMYFUNCTION("""COMPUTED_VALUE"""),-0.851077828718354)</f>
        <v>-0.85107782871835402</v>
      </c>
      <c r="DC47" s="3">
        <f ca="1">IFERROR(__xludf.DUMMYFUNCTION("""COMPUTED_VALUE"""),-0.862456409893729)</f>
        <v>-0.86245640989372896</v>
      </c>
      <c r="DD47" s="3">
        <f ca="1">IFERROR(__xludf.DUMMYFUNCTION("""COMPUTED_VALUE"""),-0.933243481569252)</f>
        <v>-0.93324348156925196</v>
      </c>
      <c r="DE47" s="3">
        <f ca="1">IFERROR(__xludf.DUMMYFUNCTION("""COMPUTED_VALUE"""),-0.857167925380988)</f>
        <v>-0.85716792538098796</v>
      </c>
      <c r="DF47" s="3">
        <f ca="1">IFERROR(__xludf.DUMMYFUNCTION("""COMPUTED_VALUE"""),-0.753091513309025)</f>
        <v>-0.75309151330902502</v>
      </c>
      <c r="DG47" s="3">
        <f ca="1">IFERROR(__xludf.DUMMYFUNCTION("""COMPUTED_VALUE"""),-0.842398121979016)</f>
        <v>-0.84239812197901598</v>
      </c>
      <c r="DH47" s="3">
        <f ca="1">IFERROR(__xludf.DUMMYFUNCTION("""COMPUTED_VALUE"""),-0.852511548365636)</f>
        <v>-0.85251154836563603</v>
      </c>
      <c r="DI47" s="3">
        <f ca="1">IFERROR(__xludf.DUMMYFUNCTION("""COMPUTED_VALUE"""),-0.855648825581521)</f>
        <v>-0.855648825581521</v>
      </c>
      <c r="DJ47" s="3">
        <f ca="1">IFERROR(__xludf.DUMMYFUNCTION("""COMPUTED_VALUE"""),-0.852223547564414)</f>
        <v>-0.85222354756441399</v>
      </c>
      <c r="DK47" s="3">
        <f ca="1">IFERROR(__xludf.DUMMYFUNCTION("""COMPUTED_VALUE"""),-0.877624007348214)</f>
        <v>-0.877624007348214</v>
      </c>
      <c r="DL47" s="3">
        <f ca="1">IFERROR(__xludf.DUMMYFUNCTION("""COMPUTED_VALUE"""),-0.865660667474236)</f>
        <v>-0.86566066747423598</v>
      </c>
      <c r="DM47" s="3">
        <f ca="1">IFERROR(__xludf.DUMMYFUNCTION("""COMPUTED_VALUE"""),-0.844326105881648)</f>
        <v>-0.84432610588164803</v>
      </c>
      <c r="DN47" s="3">
        <f ca="1">IFERROR(__xludf.DUMMYFUNCTION("""COMPUTED_VALUE"""),-0.864881864323788)</f>
        <v>-0.864881864323788</v>
      </c>
      <c r="DO47" s="3">
        <f ca="1">IFERROR(__xludf.DUMMYFUNCTION("""COMPUTED_VALUE"""),-0.887746747802386)</f>
        <v>-0.88774674780238605</v>
      </c>
      <c r="DP47" s="3">
        <f ca="1">IFERROR(__xludf.DUMMYFUNCTION("""COMPUTED_VALUE"""),-0.887054469389727)</f>
        <v>-0.88705446938972699</v>
      </c>
      <c r="DQ47" s="3">
        <f ca="1">IFERROR(__xludf.DUMMYFUNCTION("""COMPUTED_VALUE"""),-0.852326581691457)</f>
        <v>-0.85232658169145703</v>
      </c>
      <c r="DR47" s="3">
        <f ca="1">IFERROR(__xludf.DUMMYFUNCTION("""COMPUTED_VALUE"""),-0.866437411047795)</f>
        <v>-0.86643741104779504</v>
      </c>
      <c r="DS47" s="3">
        <f ca="1">IFERROR(__xludf.DUMMYFUNCTION("""COMPUTED_VALUE"""),-0.869173544685948)</f>
        <v>-0.86917354468594799</v>
      </c>
      <c r="DT47" s="3">
        <f ca="1">IFERROR(__xludf.DUMMYFUNCTION("""COMPUTED_VALUE"""),-0.868776444025282)</f>
        <v>-0.86877644402528198</v>
      </c>
      <c r="DU47" s="3">
        <f ca="1">IFERROR(__xludf.DUMMYFUNCTION("""COMPUTED_VALUE"""),-0.884766611670039)</f>
        <v>-0.884766611670039</v>
      </c>
      <c r="DV47" s="3">
        <f ca="1">IFERROR(__xludf.DUMMYFUNCTION("""COMPUTED_VALUE"""),-0.875484449137158)</f>
        <v>-0.87548444913715795</v>
      </c>
      <c r="DW47" s="3">
        <f ca="1">IFERROR(__xludf.DUMMYFUNCTION("""COMPUTED_VALUE"""),-0.841288680221812)</f>
        <v>-0.84128868022181202</v>
      </c>
      <c r="DX47" s="3">
        <f ca="1">IFERROR(__xludf.DUMMYFUNCTION("""COMPUTED_VALUE"""),-0.825557519732494)</f>
        <v>-0.82555751973249403</v>
      </c>
      <c r="DY47" s="3">
        <f ca="1">IFERROR(__xludf.DUMMYFUNCTION("""COMPUTED_VALUE"""),-0.840702344181019)</f>
        <v>-0.84070234418101897</v>
      </c>
      <c r="DZ47" s="3">
        <f ca="1">IFERROR(__xludf.DUMMYFUNCTION("""COMPUTED_VALUE"""),-0.836885416446514)</f>
        <v>-0.83688541644651404</v>
      </c>
      <c r="EA47" s="3">
        <f ca="1">IFERROR(__xludf.DUMMYFUNCTION("""COMPUTED_VALUE"""),-0.870731376442164)</f>
        <v>-0.87073137644216403</v>
      </c>
      <c r="EB47" s="3">
        <f ca="1">IFERROR(__xludf.DUMMYFUNCTION("""COMPUTED_VALUE"""),-0.846288243689627)</f>
        <v>-0.84628824368962696</v>
      </c>
      <c r="EC47" s="3">
        <f ca="1">IFERROR(__xludf.DUMMYFUNCTION("""COMPUTED_VALUE"""),-0.868853225630708)</f>
        <v>-0.86885322563070799</v>
      </c>
      <c r="ED47" s="3">
        <f ca="1">IFERROR(__xludf.DUMMYFUNCTION("""COMPUTED_VALUE"""),-0.849824969423367)</f>
        <v>-0.84982496942336705</v>
      </c>
      <c r="EE47" s="3">
        <f ca="1">IFERROR(__xludf.DUMMYFUNCTION("""COMPUTED_VALUE"""),-0.846945168398797)</f>
        <v>-0.84694516839879697</v>
      </c>
      <c r="EF47" s="3">
        <f ca="1">IFERROR(__xludf.DUMMYFUNCTION("""COMPUTED_VALUE"""),-0.821050028609803)</f>
        <v>-0.82105002860980303</v>
      </c>
      <c r="EG47" s="3">
        <f ca="1">IFERROR(__xludf.DUMMYFUNCTION("""COMPUTED_VALUE"""),-0.896782444639468)</f>
        <v>-0.89678244463946799</v>
      </c>
      <c r="EH47" s="3">
        <f ca="1">IFERROR(__xludf.DUMMYFUNCTION("""COMPUTED_VALUE"""),-0.850729881407211)</f>
        <v>-0.85072988140721095</v>
      </c>
      <c r="EI47" s="3">
        <f ca="1">IFERROR(__xludf.DUMMYFUNCTION("""COMPUTED_VALUE"""),-0.871893357439837)</f>
        <v>-0.87189335743983698</v>
      </c>
      <c r="EJ47" s="3">
        <f ca="1">IFERROR(__xludf.DUMMYFUNCTION("""COMPUTED_VALUE"""),-0.874267745462011)</f>
        <v>-0.87426774546201103</v>
      </c>
      <c r="EK47" s="3">
        <f ca="1">IFERROR(__xludf.DUMMYFUNCTION("""COMPUTED_VALUE"""),-0.864789026133477)</f>
        <v>-0.86478902613347697</v>
      </c>
      <c r="EL47" s="3">
        <f ca="1">IFERROR(__xludf.DUMMYFUNCTION("""COMPUTED_VALUE"""),-0.814195999031423)</f>
        <v>-0.81419599903142303</v>
      </c>
      <c r="EM47" s="3">
        <f ca="1">IFERROR(__xludf.DUMMYFUNCTION("""COMPUTED_VALUE"""),-0.865073993504256)</f>
        <v>-0.86507399350425596</v>
      </c>
      <c r="EN47" s="3">
        <f ca="1">IFERROR(__xludf.DUMMYFUNCTION("""COMPUTED_VALUE"""),-0.852322763039759)</f>
        <v>-0.85232276303975896</v>
      </c>
      <c r="EO47" s="3">
        <f ca="1">IFERROR(__xludf.DUMMYFUNCTION("""COMPUTED_VALUE"""),-0.847318215817537)</f>
        <v>-0.84731821581753697</v>
      </c>
      <c r="EP47" s="3">
        <f ca="1">IFERROR(__xludf.DUMMYFUNCTION("""COMPUTED_VALUE"""),-0.872516185120699)</f>
        <v>-0.87251618512069895</v>
      </c>
      <c r="EQ47" s="3">
        <f ca="1">IFERROR(__xludf.DUMMYFUNCTION("""COMPUTED_VALUE"""),-0.868862154814045)</f>
        <v>-0.86886215481404505</v>
      </c>
      <c r="ER47" s="3">
        <f ca="1">IFERROR(__xludf.DUMMYFUNCTION("""COMPUTED_VALUE"""),-0.838610362064334)</f>
        <v>-0.83861036206433404</v>
      </c>
      <c r="ES47" s="3">
        <f ca="1">IFERROR(__xludf.DUMMYFUNCTION("""COMPUTED_VALUE"""),-0.839472276915288)</f>
        <v>-0.83947227691528803</v>
      </c>
      <c r="ET47" s="3">
        <f ca="1">IFERROR(__xludf.DUMMYFUNCTION("""COMPUTED_VALUE"""),-0.885613250150495)</f>
        <v>-0.88561325015049497</v>
      </c>
      <c r="EU47" s="3">
        <f ca="1">IFERROR(__xludf.DUMMYFUNCTION("""COMPUTED_VALUE"""),-0.88470347497919)</f>
        <v>-0.88470347497919</v>
      </c>
      <c r="EV47" s="3">
        <f ca="1">IFERROR(__xludf.DUMMYFUNCTION("""COMPUTED_VALUE"""),-0.866034932654119)</f>
        <v>-0.86603493265411902</v>
      </c>
      <c r="EW47" s="3">
        <f ca="1">IFERROR(__xludf.DUMMYFUNCTION("""COMPUTED_VALUE"""),-0.885855978868674)</f>
        <v>-0.88585597886867395</v>
      </c>
      <c r="EX47" s="3">
        <f ca="1">IFERROR(__xludf.DUMMYFUNCTION("""COMPUTED_VALUE"""),-0.897785387387639)</f>
        <v>-0.89778538738763902</v>
      </c>
      <c r="EY47" s="3">
        <f ca="1">IFERROR(__xludf.DUMMYFUNCTION("""COMPUTED_VALUE"""),-0.86333190282883)</f>
        <v>-0.86333190282882999</v>
      </c>
      <c r="EZ47" s="3">
        <f ca="1">IFERROR(__xludf.DUMMYFUNCTION("""COMPUTED_VALUE"""),-0.84187623598223)</f>
        <v>-0.84187623598223005</v>
      </c>
      <c r="FA47" s="3">
        <f ca="1">IFERROR(__xludf.DUMMYFUNCTION("""COMPUTED_VALUE"""),-0.862926701042191)</f>
        <v>-0.86292670104219105</v>
      </c>
      <c r="FB47" s="3">
        <f ca="1">IFERROR(__xludf.DUMMYFUNCTION("""COMPUTED_VALUE"""),-0.885730496343207)</f>
        <v>-0.885730496343207</v>
      </c>
      <c r="FC47" s="3">
        <f ca="1">IFERROR(__xludf.DUMMYFUNCTION("""COMPUTED_VALUE"""),-0.896293304864983)</f>
        <v>-0.89629330486498304</v>
      </c>
      <c r="FD47" s="3">
        <f ca="1">IFERROR(__xludf.DUMMYFUNCTION("""COMPUTED_VALUE"""),-0.852647562337516)</f>
        <v>-0.85264756233751604</v>
      </c>
      <c r="FE47" s="3">
        <f ca="1">IFERROR(__xludf.DUMMYFUNCTION("""COMPUTED_VALUE"""),-0.881725682733612)</f>
        <v>-0.88172568273361196</v>
      </c>
      <c r="FF47" s="3">
        <f ca="1">IFERROR(__xludf.DUMMYFUNCTION("""COMPUTED_VALUE"""),-0.842105764955197)</f>
        <v>-0.84210576495519696</v>
      </c>
      <c r="FG47" s="3">
        <f ca="1">IFERROR(__xludf.DUMMYFUNCTION("""COMPUTED_VALUE"""),-0.847613598293969)</f>
        <v>-0.84761359829396898</v>
      </c>
      <c r="FH47" s="3">
        <f ca="1">IFERROR(__xludf.DUMMYFUNCTION("""COMPUTED_VALUE"""),-0.881405995724476)</f>
        <v>-0.88140599572447598</v>
      </c>
      <c r="FI47" s="3">
        <f ca="1">IFERROR(__xludf.DUMMYFUNCTION("""COMPUTED_VALUE"""),-0.892814562499291)</f>
        <v>-0.89281456249929103</v>
      </c>
      <c r="FJ47" s="3">
        <f ca="1">IFERROR(__xludf.DUMMYFUNCTION("""COMPUTED_VALUE"""),-0.894232341048757)</f>
        <v>-0.89423234104875704</v>
      </c>
      <c r="FK47" s="3">
        <f ca="1">IFERROR(__xludf.DUMMYFUNCTION("""COMPUTED_VALUE"""),-0.8927791032866)</f>
        <v>-0.89277910328660004</v>
      </c>
      <c r="FL47" s="3">
        <f ca="1">IFERROR(__xludf.DUMMYFUNCTION("""COMPUTED_VALUE"""),-0.893673093523934)</f>
        <v>-0.89367309352393398</v>
      </c>
      <c r="FM47" s="3">
        <f ca="1">IFERROR(__xludf.DUMMYFUNCTION("""COMPUTED_VALUE"""),-0.858032430655303)</f>
        <v>-0.85803243065530299</v>
      </c>
      <c r="FN47" s="3">
        <f ca="1">IFERROR(__xludf.DUMMYFUNCTION("""COMPUTED_VALUE"""),-0.843063033091152)</f>
        <v>-0.84306303309115205</v>
      </c>
      <c r="FO47" s="3">
        <f ca="1">IFERROR(__xludf.DUMMYFUNCTION("""COMPUTED_VALUE"""),-0.896348219877046)</f>
        <v>-0.89634821987704605</v>
      </c>
      <c r="FP47" s="3">
        <f ca="1">IFERROR(__xludf.DUMMYFUNCTION("""COMPUTED_VALUE"""),-0.888230035415577)</f>
        <v>-0.88823003541557699</v>
      </c>
      <c r="FQ47" s="3">
        <f ca="1">IFERROR(__xludf.DUMMYFUNCTION("""COMPUTED_VALUE"""),-0.890302145150226)</f>
        <v>-0.89030214515022599</v>
      </c>
      <c r="FR47" s="3">
        <f ca="1">IFERROR(__xludf.DUMMYFUNCTION("""COMPUTED_VALUE"""),-0.886983582786871)</f>
        <v>-0.88698358278687095</v>
      </c>
      <c r="FS47" s="3">
        <f ca="1">IFERROR(__xludf.DUMMYFUNCTION("""COMPUTED_VALUE"""),-0.898174335266945)</f>
        <v>-0.89817433526694501</v>
      </c>
      <c r="FT47" s="3">
        <f ca="1">IFERROR(__xludf.DUMMYFUNCTION("""COMPUTED_VALUE"""),-0.860427837931387)</f>
        <v>-0.860427837931387</v>
      </c>
      <c r="FU47" s="3">
        <f ca="1">IFERROR(__xludf.DUMMYFUNCTION("""COMPUTED_VALUE"""),-0.840351896027014)</f>
        <v>-0.84035189602701399</v>
      </c>
      <c r="FV47" s="3">
        <f ca="1">IFERROR(__xludf.DUMMYFUNCTION("""COMPUTED_VALUE"""),-0.901644386521514)</f>
        <v>-0.90164438652151402</v>
      </c>
      <c r="FW47" s="3">
        <f ca="1">IFERROR(__xludf.DUMMYFUNCTION("""COMPUTED_VALUE"""),-0.88966527878204)</f>
        <v>-0.88966527878204005</v>
      </c>
      <c r="FX47" s="3">
        <f ca="1">IFERROR(__xludf.DUMMYFUNCTION("""COMPUTED_VALUE"""),-0.88781402365033)</f>
        <v>-0.88781402365033002</v>
      </c>
      <c r="FY47" s="3">
        <f ca="1">IFERROR(__xludf.DUMMYFUNCTION("""COMPUTED_VALUE"""),-0.88181628446243)</f>
        <v>-0.88181628446242999</v>
      </c>
      <c r="FZ47" s="3">
        <f ca="1">IFERROR(__xludf.DUMMYFUNCTION("""COMPUTED_VALUE"""),-0.881521673387269)</f>
        <v>-0.88152167338726894</v>
      </c>
      <c r="GA47" s="3">
        <f ca="1">IFERROR(__xludf.DUMMYFUNCTION("""COMPUTED_VALUE"""),-0.841836083468452)</f>
        <v>-0.84183608346845196</v>
      </c>
      <c r="GB47" s="3">
        <f ca="1">IFERROR(__xludf.DUMMYFUNCTION("""COMPUTED_VALUE"""),-0.855819588880786)</f>
        <v>-0.85581958888078602</v>
      </c>
      <c r="GC47" s="3">
        <f ca="1">IFERROR(__xludf.DUMMYFUNCTION("""COMPUTED_VALUE"""),-0.880903939337483)</f>
        <v>-0.88090393933748301</v>
      </c>
      <c r="GD47" s="3">
        <f ca="1">IFERROR(__xludf.DUMMYFUNCTION("""COMPUTED_VALUE"""),-0.888236819833531)</f>
        <v>-0.88823681983353098</v>
      </c>
      <c r="GE47" s="3">
        <f ca="1">IFERROR(__xludf.DUMMYFUNCTION("""COMPUTED_VALUE"""),-0.875652668620039)</f>
        <v>-0.87565266862003899</v>
      </c>
      <c r="GF47" s="3">
        <f ca="1">IFERROR(__xludf.DUMMYFUNCTION("""COMPUTED_VALUE"""),-0.898770728919581)</f>
        <v>-0.89877072891958099</v>
      </c>
      <c r="GG47" s="3">
        <f ca="1">IFERROR(__xludf.DUMMYFUNCTION("""COMPUTED_VALUE"""),-0.871760078535976)</f>
        <v>-0.87176007853597604</v>
      </c>
      <c r="GH47" s="3">
        <f ca="1">IFERROR(__xludf.DUMMYFUNCTION("""COMPUTED_VALUE"""),-0.84879044939684)</f>
        <v>-0.84879044939684001</v>
      </c>
      <c r="GI47" s="3">
        <f ca="1">IFERROR(__xludf.DUMMYFUNCTION("""COMPUTED_VALUE"""),-0.84904352151421)</f>
        <v>-0.84904352151421003</v>
      </c>
      <c r="GJ47" s="3">
        <f ca="1">IFERROR(__xludf.DUMMYFUNCTION("""COMPUTED_VALUE"""),-0.88472070256058)</f>
        <v>-0.88472070256058</v>
      </c>
      <c r="GK47" s="3">
        <f ca="1">IFERROR(__xludf.DUMMYFUNCTION("""COMPUTED_VALUE"""),-0.887971872637886)</f>
        <v>-0.88797187263788602</v>
      </c>
      <c r="GL47" s="3">
        <f ca="1">IFERROR(__xludf.DUMMYFUNCTION("""COMPUTED_VALUE"""),-0.890162711905695)</f>
        <v>-0.89016271190569496</v>
      </c>
      <c r="GM47" s="3">
        <f ca="1">IFERROR(__xludf.DUMMYFUNCTION("""COMPUTED_VALUE"""),-0.896901495635686)</f>
        <v>-0.896901495635686</v>
      </c>
      <c r="GN47" s="3">
        <f ca="1">IFERROR(__xludf.DUMMYFUNCTION("""COMPUTED_VALUE"""),-0.895795540406054)</f>
        <v>-0.89579554040605402</v>
      </c>
      <c r="GO47" s="3">
        <f ca="1">IFERROR(__xludf.DUMMYFUNCTION("""COMPUTED_VALUE"""),-0.834250385195932)</f>
        <v>-0.83425038519593198</v>
      </c>
      <c r="GP47" s="3">
        <f ca="1">IFERROR(__xludf.DUMMYFUNCTION("""COMPUTED_VALUE"""),-0.840564995083866)</f>
        <v>-0.84056499508386595</v>
      </c>
      <c r="GQ47" s="3">
        <f ca="1">IFERROR(__xludf.DUMMYFUNCTION("""COMPUTED_VALUE"""),-0.866264031082071)</f>
        <v>-0.86626403108207095</v>
      </c>
      <c r="GR47" s="3">
        <f ca="1">IFERROR(__xludf.DUMMYFUNCTION("""COMPUTED_VALUE"""),-0.875926724678016)</f>
        <v>-0.87592672467801602</v>
      </c>
      <c r="GS47" s="3">
        <f ca="1">IFERROR(__xludf.DUMMYFUNCTION("""COMPUTED_VALUE"""),-0.886016825065453)</f>
        <v>-0.88601682506545298</v>
      </c>
      <c r="GT47" s="3">
        <f ca="1">IFERROR(__xludf.DUMMYFUNCTION("""COMPUTED_VALUE"""),-0.885258364583743)</f>
        <v>-0.88525836458374296</v>
      </c>
      <c r="GU47" s="3">
        <f ca="1">IFERROR(__xludf.DUMMYFUNCTION("""COMPUTED_VALUE"""),-0.867860240919591)</f>
        <v>-0.86786024091959102</v>
      </c>
      <c r="GV47" s="3">
        <f ca="1">IFERROR(__xludf.DUMMYFUNCTION("""COMPUTED_VALUE"""),-0.819934283158737)</f>
        <v>-0.81993428315873695</v>
      </c>
      <c r="GW47" s="3">
        <f ca="1">IFERROR(__xludf.DUMMYFUNCTION("""COMPUTED_VALUE"""),-0.861743138003922)</f>
        <v>-0.86174313800392199</v>
      </c>
      <c r="GX47" s="3">
        <f ca="1">IFERROR(__xludf.DUMMYFUNCTION("""COMPUTED_VALUE"""),-0.882448332427217)</f>
        <v>-0.88244833242721699</v>
      </c>
      <c r="GY47" s="3">
        <f ca="1">IFERROR(__xludf.DUMMYFUNCTION("""COMPUTED_VALUE"""),-0.902374754664091)</f>
        <v>-0.90237475466409101</v>
      </c>
      <c r="GZ47" s="3">
        <f ca="1">IFERROR(__xludf.DUMMYFUNCTION("""COMPUTED_VALUE"""),-0.910274838281082)</f>
        <v>-0.91027483828108202</v>
      </c>
      <c r="HA47" s="3">
        <f ca="1">IFERROR(__xludf.DUMMYFUNCTION("""COMPUTED_VALUE"""),-0.894385304654063)</f>
        <v>-0.89438530465406296</v>
      </c>
      <c r="HB47" s="3">
        <f ca="1">IFERROR(__xludf.DUMMYFUNCTION("""COMPUTED_VALUE"""),-0.892829084067241)</f>
        <v>-0.89282908406724104</v>
      </c>
      <c r="HC47" s="3">
        <f ca="1">IFERROR(__xludf.DUMMYFUNCTION("""COMPUTED_VALUE"""),-0.851225805284446)</f>
        <v>-0.85122580528444602</v>
      </c>
      <c r="HD47" s="3">
        <f ca="1">IFERROR(__xludf.DUMMYFUNCTION("""COMPUTED_VALUE"""),-0.856159706018601)</f>
        <v>-0.85615970601860103</v>
      </c>
      <c r="HE47" s="3">
        <f ca="1">IFERROR(__xludf.DUMMYFUNCTION("""COMPUTED_VALUE"""),-0.88416464487497)</f>
        <v>-0.88416464487497004</v>
      </c>
      <c r="HF47" s="3">
        <f ca="1">IFERROR(__xludf.DUMMYFUNCTION("""COMPUTED_VALUE"""),-0.890677373963191)</f>
        <v>-0.89067737396319102</v>
      </c>
      <c r="HG47" s="3">
        <f ca="1">IFERROR(__xludf.DUMMYFUNCTION("""COMPUTED_VALUE"""),-0.889457415967985)</f>
        <v>-0.889457415967985</v>
      </c>
      <c r="HH47" s="3">
        <f ca="1">IFERROR(__xludf.DUMMYFUNCTION("""COMPUTED_VALUE"""),-0.883657862137863)</f>
        <v>-0.88365786213786301</v>
      </c>
      <c r="HI47" s="3">
        <f ca="1">IFERROR(__xludf.DUMMYFUNCTION("""COMPUTED_VALUE"""),-0.862780777307298)</f>
        <v>-0.86278077730729796</v>
      </c>
      <c r="HJ47" s="3">
        <f ca="1">IFERROR(__xludf.DUMMYFUNCTION("""COMPUTED_VALUE"""),-0.85793365129417)</f>
        <v>-0.85793365129416999</v>
      </c>
      <c r="HK47" s="3">
        <f ca="1">IFERROR(__xludf.DUMMYFUNCTION("""COMPUTED_VALUE"""),-0.85120426407025)</f>
        <v>-0.85120426407024996</v>
      </c>
      <c r="HL47" s="3">
        <f ca="1">IFERROR(__xludf.DUMMYFUNCTION("""COMPUTED_VALUE"""),-0.878263915900234)</f>
        <v>-0.878263915900234</v>
      </c>
      <c r="HM47" s="3">
        <f ca="1">IFERROR(__xludf.DUMMYFUNCTION("""COMPUTED_VALUE"""),-0.883197096615662)</f>
        <v>-0.88319709661566204</v>
      </c>
      <c r="HN47" s="3">
        <f ca="1">IFERROR(__xludf.DUMMYFUNCTION("""COMPUTED_VALUE"""),-0.906754659935376)</f>
        <v>-0.90675465993537596</v>
      </c>
      <c r="HO47" s="3">
        <f ca="1">IFERROR(__xludf.DUMMYFUNCTION("""COMPUTED_VALUE"""),-0.889967982466618)</f>
        <v>-0.88996798246661801</v>
      </c>
      <c r="HP47" s="3">
        <f ca="1">IFERROR(__xludf.DUMMYFUNCTION("""COMPUTED_VALUE"""),-0.878676845991404)</f>
        <v>-0.87867684599140405</v>
      </c>
      <c r="HQ47" s="3">
        <f ca="1">IFERROR(__xludf.DUMMYFUNCTION("""COMPUTED_VALUE"""),-0.876498730546456)</f>
        <v>-0.876498730546456</v>
      </c>
      <c r="HR47" s="3">
        <f ca="1">IFERROR(__xludf.DUMMYFUNCTION("""COMPUTED_VALUE"""),-0.855128675100865)</f>
        <v>-0.85512867510086499</v>
      </c>
      <c r="HS47" s="3">
        <f ca="1">IFERROR(__xludf.DUMMYFUNCTION("""COMPUTED_VALUE"""),-0.877492294715407)</f>
        <v>-0.87749229471540702</v>
      </c>
      <c r="HT47" s="3">
        <f ca="1">IFERROR(__xludf.DUMMYFUNCTION("""COMPUTED_VALUE"""),-0.901765034114779)</f>
        <v>-0.90176503411477904</v>
      </c>
      <c r="HU47" s="3">
        <f ca="1">IFERROR(__xludf.DUMMYFUNCTION("""COMPUTED_VALUE"""),-0.890033130484123)</f>
        <v>-0.89003313048412303</v>
      </c>
      <c r="HV47" s="3">
        <f ca="1">IFERROR(__xludf.DUMMYFUNCTION("""COMPUTED_VALUE"""),-0.891433197872354)</f>
        <v>-0.89143319787235398</v>
      </c>
      <c r="HW47" s="3">
        <f ca="1">IFERROR(__xludf.DUMMYFUNCTION("""COMPUTED_VALUE"""),-0.867668536268997)</f>
        <v>-0.86766853626899698</v>
      </c>
      <c r="HX47" s="3">
        <f ca="1">IFERROR(__xludf.DUMMYFUNCTION("""COMPUTED_VALUE"""),-0.860661249984116)</f>
        <v>-0.86066124998411597</v>
      </c>
      <c r="HY47" s="3">
        <f ca="1">IFERROR(__xludf.DUMMYFUNCTION("""COMPUTED_VALUE"""),-0.852598269188622)</f>
        <v>-0.85259826918862203</v>
      </c>
      <c r="HZ47" s="3">
        <f ca="1">IFERROR(__xludf.DUMMYFUNCTION("""COMPUTED_VALUE"""),-0.884229137812458)</f>
        <v>-0.88422913781245804</v>
      </c>
      <c r="IA47" s="3">
        <f ca="1">IFERROR(__xludf.DUMMYFUNCTION("""COMPUTED_VALUE"""),-0.881999216713956)</f>
        <v>-0.88199921671395598</v>
      </c>
      <c r="IB47" s="3">
        <f ca="1">IFERROR(__xludf.DUMMYFUNCTION("""COMPUTED_VALUE"""),-0.88929001358877)</f>
        <v>-0.88929001358877002</v>
      </c>
      <c r="IC47" s="3">
        <f ca="1">IFERROR(__xludf.DUMMYFUNCTION("""COMPUTED_VALUE"""),-0.86884146820871)</f>
        <v>-0.86884146820871</v>
      </c>
      <c r="ID47" s="3">
        <f ca="1">IFERROR(__xludf.DUMMYFUNCTION("""COMPUTED_VALUE"""),-0.877849330965629)</f>
        <v>-0.877849330965629</v>
      </c>
      <c r="IE47" s="3">
        <f ca="1">IFERROR(__xludf.DUMMYFUNCTION("""COMPUTED_VALUE"""),-0.816903904469952)</f>
        <v>-0.81690390446995198</v>
      </c>
      <c r="IF47" s="3">
        <f ca="1">IFERROR(__xludf.DUMMYFUNCTION("""COMPUTED_VALUE"""),-0.820032583079243)</f>
        <v>-0.82003258307924298</v>
      </c>
      <c r="IG47" s="3">
        <f ca="1">IFERROR(__xludf.DUMMYFUNCTION("""COMPUTED_VALUE"""),-0.820984599905916)</f>
        <v>-0.82098459990591599</v>
      </c>
      <c r="IH47" s="3">
        <f ca="1">IFERROR(__xludf.DUMMYFUNCTION("""COMPUTED_VALUE"""),-0.837704570047832)</f>
        <v>-0.83770457004783205</v>
      </c>
      <c r="II47" s="3">
        <f ca="1">IFERROR(__xludf.DUMMYFUNCTION("""COMPUTED_VALUE"""),-0.845040124598863)</f>
        <v>-0.84504012459886302</v>
      </c>
      <c r="IJ47" s="3">
        <f ca="1">IFERROR(__xludf.DUMMYFUNCTION("""COMPUTED_VALUE"""),-0.839448402659164)</f>
        <v>-0.83944840265916398</v>
      </c>
      <c r="IK47" s="3">
        <f ca="1">IFERROR(__xludf.DUMMYFUNCTION("""COMPUTED_VALUE"""),-0.816198464791572)</f>
        <v>-0.81619846479157199</v>
      </c>
      <c r="IL47" s="3">
        <f ca="1">IFERROR(__xludf.DUMMYFUNCTION("""COMPUTED_VALUE"""),-0.825233769695924)</f>
        <v>-0.82523376969592399</v>
      </c>
      <c r="IM47" s="3">
        <f ca="1">IFERROR(__xludf.DUMMYFUNCTION("""COMPUTED_VALUE"""),-0.83115906233822)</f>
        <v>-0.83115906233822001</v>
      </c>
      <c r="IN47" s="3">
        <f ca="1">IFERROR(__xludf.DUMMYFUNCTION("""COMPUTED_VALUE"""),-0.811094537899132)</f>
        <v>-0.811094537899132</v>
      </c>
      <c r="IO47" s="3">
        <f ca="1">IFERROR(__xludf.DUMMYFUNCTION("""COMPUTED_VALUE"""),-0.820289595975959)</f>
        <v>-0.82028959597595896</v>
      </c>
      <c r="IP47" s="3">
        <f ca="1">IFERROR(__xludf.DUMMYFUNCTION("""COMPUTED_VALUE"""),-0.816044158078204)</f>
        <v>-0.81604415807820396</v>
      </c>
      <c r="IQ47" s="3">
        <f ca="1">IFERROR(__xludf.DUMMYFUNCTION("""COMPUTED_VALUE"""),-0.815108384940236)</f>
        <v>-0.81510838494023596</v>
      </c>
      <c r="IR47" s="3">
        <f ca="1">IFERROR(__xludf.DUMMYFUNCTION("""COMPUTED_VALUE"""),-0.79984969737103)</f>
        <v>-0.79984969737102996</v>
      </c>
      <c r="IS47" s="3">
        <f ca="1">IFERROR(__xludf.DUMMYFUNCTION("""COMPUTED_VALUE"""),-0.793094430931717)</f>
        <v>-0.79309443093171705</v>
      </c>
      <c r="IT47" s="3">
        <f ca="1">IFERROR(__xludf.DUMMYFUNCTION("""COMPUTED_VALUE"""),-0.81385467514021)</f>
        <v>-0.81385467514021004</v>
      </c>
      <c r="IU47" s="3">
        <f ca="1">IFERROR(__xludf.DUMMYFUNCTION("""COMPUTED_VALUE"""),-0.797320729239531)</f>
        <v>-0.79732072923953101</v>
      </c>
      <c r="IV47" s="3">
        <f ca="1">IFERROR(__xludf.DUMMYFUNCTION("""COMPUTED_VALUE"""),-0.780425160458919)</f>
        <v>-0.78042516045891897</v>
      </c>
      <c r="IW47" s="3">
        <f ca="1">IFERROR(__xludf.DUMMYFUNCTION("""COMPUTED_VALUE"""),-0.795114546378754)</f>
        <v>-0.79511454637875401</v>
      </c>
      <c r="IX47" s="3">
        <f ca="1">IFERROR(__xludf.DUMMYFUNCTION("""COMPUTED_VALUE"""),-0.790052902749747)</f>
        <v>-0.79005290274974704</v>
      </c>
      <c r="IY47" s="3">
        <f ca="1">IFERROR(__xludf.DUMMYFUNCTION("""COMPUTED_VALUE"""),-0.787518293402431)</f>
        <v>-0.78751829340243096</v>
      </c>
      <c r="IZ47" s="3">
        <f ca="1">IFERROR(__xludf.DUMMYFUNCTION("""COMPUTED_VALUE"""),-0.816548334465498)</f>
        <v>-0.81654833446549802</v>
      </c>
      <c r="JA47" s="3">
        <f ca="1">IFERROR(__xludf.DUMMYFUNCTION("""COMPUTED_VALUE"""),-0.799612005257292)</f>
        <v>-0.79961200525729204</v>
      </c>
      <c r="JB47" s="3">
        <f ca="1">IFERROR(__xludf.DUMMYFUNCTION("""COMPUTED_VALUE"""),-0.816743635260347)</f>
        <v>-0.81674363526034699</v>
      </c>
      <c r="JC47" s="3">
        <f ca="1">IFERROR(__xludf.DUMMYFUNCTION("""COMPUTED_VALUE"""),-0.78243145787149)</f>
        <v>-0.78243145787149004</v>
      </c>
      <c r="JD47" s="3">
        <f ca="1">IFERROR(__xludf.DUMMYFUNCTION("""COMPUTED_VALUE"""),-0.778306651683252)</f>
        <v>-0.77830665168325197</v>
      </c>
      <c r="JE47" s="3">
        <f ca="1">IFERROR(__xludf.DUMMYFUNCTION("""COMPUTED_VALUE"""),-0.786890454076388)</f>
        <v>-0.78689045407638802</v>
      </c>
      <c r="JF47" s="3">
        <f ca="1">IFERROR(__xludf.DUMMYFUNCTION("""COMPUTED_VALUE"""),-0.765046954757182)</f>
        <v>-0.76504695475718199</v>
      </c>
      <c r="JG47" s="3">
        <f ca="1">IFERROR(__xludf.DUMMYFUNCTION("""COMPUTED_VALUE"""),-0.833270862673533)</f>
        <v>-0.83327086267353301</v>
      </c>
      <c r="JH47" s="3">
        <f ca="1">IFERROR(__xludf.DUMMYFUNCTION("""COMPUTED_VALUE"""),-0.832539821792852)</f>
        <v>-0.83253982179285202</v>
      </c>
      <c r="JI47" s="3">
        <f ca="1">IFERROR(__xludf.DUMMYFUNCTION("""COMPUTED_VALUE"""),-0.77586679626302)</f>
        <v>-0.77586679626302002</v>
      </c>
      <c r="JJ47" s="3">
        <f ca="1">IFERROR(__xludf.DUMMYFUNCTION("""COMPUTED_VALUE"""),-0.805035492047459)</f>
        <v>-0.80503549204745894</v>
      </c>
      <c r="JK47" s="3">
        <f ca="1">IFERROR(__xludf.DUMMYFUNCTION("""COMPUTED_VALUE"""),-0.794621123984526)</f>
        <v>-0.794621123984526</v>
      </c>
      <c r="JL47" s="3">
        <f ca="1">IFERROR(__xludf.DUMMYFUNCTION("""COMPUTED_VALUE"""),-0.801251536401088)</f>
        <v>-0.80125153640108804</v>
      </c>
      <c r="JM47" s="3">
        <f ca="1">IFERROR(__xludf.DUMMYFUNCTION("""COMPUTED_VALUE"""),-0.783137802879409)</f>
        <v>-0.78313780287940904</v>
      </c>
      <c r="JN47" s="3">
        <f ca="1">IFERROR(__xludf.DUMMYFUNCTION("""COMPUTED_VALUE"""),-0.831820362154459)</f>
        <v>-0.83182036215445898</v>
      </c>
      <c r="JO47" s="3">
        <f ca="1">IFERROR(__xludf.DUMMYFUNCTION("""COMPUTED_VALUE"""),-0.838906704872957)</f>
        <v>-0.83890670487295704</v>
      </c>
      <c r="JP47" s="3">
        <f ca="1">IFERROR(__xludf.DUMMYFUNCTION("""COMPUTED_VALUE"""),-0.806539715697706)</f>
        <v>-0.80653971569770599</v>
      </c>
      <c r="JQ47" s="3">
        <f ca="1">IFERROR(__xludf.DUMMYFUNCTION("""COMPUTED_VALUE"""),-0.775192008079561)</f>
        <v>-0.77519200807956101</v>
      </c>
      <c r="JR47" s="3">
        <f ca="1">IFERROR(__xludf.DUMMYFUNCTION("""COMPUTED_VALUE"""),-0.822315365764968)</f>
        <v>-0.822315365764968</v>
      </c>
      <c r="JS47" s="3">
        <f ca="1">IFERROR(__xludf.DUMMYFUNCTION("""COMPUTED_VALUE"""),-0.766921102033289)</f>
        <v>-0.766921102033289</v>
      </c>
      <c r="JT47" s="3">
        <f ca="1">IFERROR(__xludf.DUMMYFUNCTION("""COMPUTED_VALUE"""),-0.794584277643261)</f>
        <v>-0.79458427764326101</v>
      </c>
      <c r="JU47" s="3">
        <f ca="1">IFERROR(__xludf.DUMMYFUNCTION("""COMPUTED_VALUE"""),-0.824417335202133)</f>
        <v>-0.82441733520213301</v>
      </c>
      <c r="JV47" s="3">
        <f ca="1">IFERROR(__xludf.DUMMYFUNCTION("""COMPUTED_VALUE"""),-0.828749413558457)</f>
        <v>-0.82874941355845699</v>
      </c>
      <c r="JW47" s="3">
        <f ca="1">IFERROR(__xludf.DUMMYFUNCTION("""COMPUTED_VALUE"""),-0.777684303491717)</f>
        <v>-0.77768430349171702</v>
      </c>
      <c r="JX47" s="3">
        <f ca="1">IFERROR(__xludf.DUMMYFUNCTION("""COMPUTED_VALUE"""),-0.783483007268051)</f>
        <v>-0.78348300726805098</v>
      </c>
      <c r="JY47" s="3">
        <f ca="1">IFERROR(__xludf.DUMMYFUNCTION("""COMPUTED_VALUE"""),-0.816940739922576)</f>
        <v>-0.81694073992257599</v>
      </c>
      <c r="JZ47" s="3">
        <f ca="1">IFERROR(__xludf.DUMMYFUNCTION("""COMPUTED_VALUE"""),-0.800400244176461)</f>
        <v>-0.80040024417646105</v>
      </c>
      <c r="KA47" s="3">
        <f ca="1">IFERROR(__xludf.DUMMYFUNCTION("""COMPUTED_VALUE"""),-0.806732913916561)</f>
        <v>-0.80673291391656099</v>
      </c>
      <c r="KB47" s="3">
        <f ca="1">IFERROR(__xludf.DUMMYFUNCTION("""COMPUTED_VALUE"""),-0.828422966660375)</f>
        <v>-0.82842296666037496</v>
      </c>
      <c r="KC47" s="3">
        <f ca="1">IFERROR(__xludf.DUMMYFUNCTION("""COMPUTED_VALUE"""),-0.834027381111671)</f>
        <v>-0.83402738111167096</v>
      </c>
      <c r="KD47" s="3">
        <f ca="1">IFERROR(__xludf.DUMMYFUNCTION("""COMPUTED_VALUE"""),-0.800933570907726)</f>
        <v>-0.80093357090772599</v>
      </c>
      <c r="KE47" s="3">
        <f ca="1">IFERROR(__xludf.DUMMYFUNCTION("""COMPUTED_VALUE"""),-0.805577378662925)</f>
        <v>-0.805577378662925</v>
      </c>
      <c r="KF47" s="3">
        <f ca="1">IFERROR(__xludf.DUMMYFUNCTION("""COMPUTED_VALUE"""),-0.846342354877381)</f>
        <v>-0.84634235487738096</v>
      </c>
      <c r="KG47" s="3">
        <f ca="1">IFERROR(__xludf.DUMMYFUNCTION("""COMPUTED_VALUE"""),-0.841168245662893)</f>
        <v>-0.84116824566289305</v>
      </c>
      <c r="KH47" s="3">
        <f ca="1">IFERROR(__xludf.DUMMYFUNCTION("""COMPUTED_VALUE"""),-0.798640058134232)</f>
        <v>-0.798640058134232</v>
      </c>
      <c r="KI47" s="3">
        <f ca="1">IFERROR(__xludf.DUMMYFUNCTION("""COMPUTED_VALUE"""),-0.82163298947854)</f>
        <v>-0.82163298947854002</v>
      </c>
      <c r="KJ47" s="3">
        <f ca="1">IFERROR(__xludf.DUMMYFUNCTION("""COMPUTED_VALUE"""),-0.782055256474814)</f>
        <v>-0.782055256474814</v>
      </c>
      <c r="KK47" s="3">
        <f ca="1">IFERROR(__xludf.DUMMYFUNCTION("""COMPUTED_VALUE"""),-0.808330225885063)</f>
        <v>-0.80833022588506298</v>
      </c>
      <c r="KL47" s="3">
        <f ca="1">IFERROR(__xludf.DUMMYFUNCTION("""COMPUTED_VALUE"""),-0.778369799620405)</f>
        <v>-0.77836979962040498</v>
      </c>
      <c r="KM47" s="3">
        <f ca="1">IFERROR(__xludf.DUMMYFUNCTION("""COMPUTED_VALUE"""),-0.80691905340337)</f>
        <v>-0.80691905340337</v>
      </c>
      <c r="KN47" s="3">
        <f ca="1">IFERROR(__xludf.DUMMYFUNCTION("""COMPUTED_VALUE"""),-0.856675594365644)</f>
        <v>-0.856675594365644</v>
      </c>
      <c r="KO47" s="3">
        <f ca="1">IFERROR(__xludf.DUMMYFUNCTION("""COMPUTED_VALUE"""),-0.847056640523186)</f>
        <v>-0.84705664052318597</v>
      </c>
      <c r="KP47" s="3">
        <f ca="1">IFERROR(__xludf.DUMMYFUNCTION("""COMPUTED_VALUE"""),-0.817888407549975)</f>
        <v>-0.81788840754997505</v>
      </c>
      <c r="KQ47" s="3">
        <f ca="1">IFERROR(__xludf.DUMMYFUNCTION("""COMPUTED_VALUE"""),-0.792099476984282)</f>
        <v>-0.79209947698428196</v>
      </c>
      <c r="KR47" s="3">
        <f ca="1">IFERROR(__xludf.DUMMYFUNCTION("""COMPUTED_VALUE"""),-0.867877459151003)</f>
        <v>-0.86787745915100301</v>
      </c>
      <c r="KS47" s="3">
        <f ca="1">IFERROR(__xludf.DUMMYFUNCTION("""COMPUTED_VALUE"""),-0.836228963604076)</f>
        <v>-0.83622896360407595</v>
      </c>
      <c r="KT47" s="3">
        <f ca="1">IFERROR(__xludf.DUMMYFUNCTION("""COMPUTED_VALUE"""),-0.839075050932416)</f>
        <v>-0.83907505093241597</v>
      </c>
      <c r="KU47" s="3">
        <f ca="1">IFERROR(__xludf.DUMMYFUNCTION("""COMPUTED_VALUE"""),-0.851079366623277)</f>
        <v>-0.85107936662327699</v>
      </c>
      <c r="KV47" s="3">
        <f ca="1">IFERROR(__xludf.DUMMYFUNCTION("""COMPUTED_VALUE"""),-0.840451008993211)</f>
        <v>-0.84045100899321101</v>
      </c>
      <c r="KW47" s="3">
        <f ca="1">IFERROR(__xludf.DUMMYFUNCTION("""COMPUTED_VALUE"""),-0.859094094953818)</f>
        <v>-0.85909409495381805</v>
      </c>
      <c r="KX47" s="3">
        <f ca="1">IFERROR(__xludf.DUMMYFUNCTION("""COMPUTED_VALUE"""),-0.841275453810356)</f>
        <v>-0.84127545381035596</v>
      </c>
      <c r="KY47" s="3">
        <f ca="1">IFERROR(__xludf.DUMMYFUNCTION("""COMPUTED_VALUE"""),-0.866405693404828)</f>
        <v>-0.86640569340482798</v>
      </c>
      <c r="KZ47" s="3">
        <f ca="1">IFERROR(__xludf.DUMMYFUNCTION("""COMPUTED_VALUE"""),-0.830086852650753)</f>
        <v>-0.83008685265075299</v>
      </c>
      <c r="LA47" s="3">
        <f ca="1">IFERROR(__xludf.DUMMYFUNCTION("""COMPUTED_VALUE"""),-0.8814141699469)</f>
        <v>-0.88141416994690003</v>
      </c>
      <c r="LB47" s="3">
        <f ca="1">IFERROR(__xludf.DUMMYFUNCTION("""COMPUTED_VALUE"""),-0.869567999129574)</f>
        <v>-0.86956799912957405</v>
      </c>
      <c r="LC47" s="3">
        <f ca="1">IFERROR(__xludf.DUMMYFUNCTION("""COMPUTED_VALUE"""),-0.856632299205198)</f>
        <v>-0.85663229920519801</v>
      </c>
      <c r="LD47" s="3">
        <f ca="1">IFERROR(__xludf.DUMMYFUNCTION("""COMPUTED_VALUE"""),-0.889756153646869)</f>
        <v>-0.889756153646869</v>
      </c>
      <c r="LE47" s="3">
        <f ca="1">IFERROR(__xludf.DUMMYFUNCTION("""COMPUTED_VALUE"""),-0.882725942805263)</f>
        <v>-0.88272594280526295</v>
      </c>
      <c r="LF47" s="3">
        <f ca="1">IFERROR(__xludf.DUMMYFUNCTION("""COMPUTED_VALUE"""),-0.865084027928228)</f>
        <v>-0.86508402792822803</v>
      </c>
      <c r="LG47" s="3">
        <f ca="1">IFERROR(__xludf.DUMMYFUNCTION("""COMPUTED_VALUE"""),-0.886708328396633)</f>
        <v>-0.88670832839663305</v>
      </c>
      <c r="LH47" s="3">
        <f ca="1">IFERROR(__xludf.DUMMYFUNCTION("""COMPUTED_VALUE"""),-0.903205307002498)</f>
        <v>-0.90320530700249801</v>
      </c>
      <c r="LI47" s="3">
        <f ca="1">IFERROR(__xludf.DUMMYFUNCTION("""COMPUTED_VALUE"""),-0.874275335388012)</f>
        <v>-0.87427533538801205</v>
      </c>
      <c r="LJ47" s="3">
        <f ca="1">IFERROR(__xludf.DUMMYFUNCTION("""COMPUTED_VALUE"""),-0.88090177117314)</f>
        <v>-0.88090177117313995</v>
      </c>
      <c r="LK47" s="3">
        <f ca="1">IFERROR(__xludf.DUMMYFUNCTION("""COMPUTED_VALUE"""),-0.86301897066146)</f>
        <v>-0.86301897066146005</v>
      </c>
      <c r="LL47" s="3">
        <f ca="1">IFERROR(__xludf.DUMMYFUNCTION("""COMPUTED_VALUE"""),-0.858024547413767)</f>
        <v>-0.85802454741376699</v>
      </c>
      <c r="LM47" s="3">
        <f ca="1">IFERROR(__xludf.DUMMYFUNCTION("""COMPUTED_VALUE"""),-0.878112058682481)</f>
        <v>-0.87811205868248099</v>
      </c>
      <c r="LN47" s="3">
        <f ca="1">IFERROR(__xludf.DUMMYFUNCTION("""COMPUTED_VALUE"""),-0.856859595644613)</f>
        <v>-0.856859595644613</v>
      </c>
      <c r="LO47" s="3">
        <f ca="1">IFERROR(__xludf.DUMMYFUNCTION("""COMPUTED_VALUE"""),-0.892242086394927)</f>
        <v>-0.89224208639492697</v>
      </c>
      <c r="LP47" s="3">
        <f ca="1">IFERROR(__xludf.DUMMYFUNCTION("""COMPUTED_VALUE"""),-0.876326880621923)</f>
        <v>-0.87632688062192299</v>
      </c>
      <c r="LQ47" s="3">
        <f ca="1">IFERROR(__xludf.DUMMYFUNCTION("""COMPUTED_VALUE"""),-0.869833154455972)</f>
        <v>-0.86983315445597198</v>
      </c>
      <c r="LR47" s="3">
        <f ca="1">IFERROR(__xludf.DUMMYFUNCTION("""COMPUTED_VALUE"""),-0.880084302849633)</f>
        <v>-0.88008430284963302</v>
      </c>
      <c r="LS47" s="3">
        <f ca="1">IFERROR(__xludf.DUMMYFUNCTION("""COMPUTED_VALUE"""),-0.891650732590151)</f>
        <v>-0.89165073259015104</v>
      </c>
      <c r="LT47" s="3">
        <f ca="1">IFERROR(__xludf.DUMMYFUNCTION("""COMPUTED_VALUE"""),-0.906889901827662)</f>
        <v>-0.90688990182766205</v>
      </c>
      <c r="LU47" s="3">
        <f ca="1">IFERROR(__xludf.DUMMYFUNCTION("""COMPUTED_VALUE"""),-0.883355214038323)</f>
        <v>-0.88335521403832296</v>
      </c>
      <c r="LV47" s="3">
        <f ca="1">IFERROR(__xludf.DUMMYFUNCTION("""COMPUTED_VALUE"""),-0.89762710219441)</f>
        <v>-0.89762710219441</v>
      </c>
      <c r="LW47" s="3">
        <f ca="1">IFERROR(__xludf.DUMMYFUNCTION("""COMPUTED_VALUE"""),-0.9017622783454)</f>
        <v>-0.90176227834540001</v>
      </c>
      <c r="LX47" s="3">
        <f ca="1">IFERROR(__xludf.DUMMYFUNCTION("""COMPUTED_VALUE"""),-0.885768926154371)</f>
        <v>-0.88576892615437097</v>
      </c>
      <c r="LY47" s="3">
        <f ca="1">IFERROR(__xludf.DUMMYFUNCTION("""COMPUTED_VALUE"""),-0.895480902303097)</f>
        <v>-0.89548090230309696</v>
      </c>
      <c r="LZ47" s="3">
        <f ca="1">IFERROR(__xludf.DUMMYFUNCTION("""COMPUTED_VALUE"""),-0.935448903579033)</f>
        <v>-0.93544890357903299</v>
      </c>
      <c r="MA47" s="3">
        <f ca="1">IFERROR(__xludf.DUMMYFUNCTION("""COMPUTED_VALUE"""),-0.913212901315305)</f>
        <v>-0.91321290131530497</v>
      </c>
      <c r="MB47" s="3">
        <f ca="1">IFERROR(__xludf.DUMMYFUNCTION("""COMPUTED_VALUE"""),-0.900079637083987)</f>
        <v>-0.90007963708398697</v>
      </c>
      <c r="MC47" s="3">
        <f ca="1">IFERROR(__xludf.DUMMYFUNCTION("""COMPUTED_VALUE"""),-0.94391065639937)</f>
        <v>-0.94391065639937</v>
      </c>
      <c r="MD47" s="3">
        <f ca="1">IFERROR(__xludf.DUMMYFUNCTION("""COMPUTED_VALUE"""),-0.904027836041357)</f>
        <v>-0.90402783604135695</v>
      </c>
      <c r="ME47" s="3">
        <f ca="1">IFERROR(__xludf.DUMMYFUNCTION("""COMPUTED_VALUE"""),-0.907034722792976)</f>
        <v>-0.90703472279297603</v>
      </c>
      <c r="MF47" s="3">
        <f ca="1">IFERROR(__xludf.DUMMYFUNCTION("""COMPUTED_VALUE"""),-0.899892767859335)</f>
        <v>-0.89989276785933503</v>
      </c>
      <c r="MG47" s="3">
        <f ca="1">IFERROR(__xludf.DUMMYFUNCTION("""COMPUTED_VALUE"""),-0.936925821546164)</f>
        <v>-0.93692582154616399</v>
      </c>
      <c r="MH47" s="3">
        <f ca="1">IFERROR(__xludf.DUMMYFUNCTION("""COMPUTED_VALUE"""),-0.942063726924686)</f>
        <v>-0.94206372692468598</v>
      </c>
      <c r="MI47" s="3">
        <f ca="1">IFERROR(__xludf.DUMMYFUNCTION("""COMPUTED_VALUE"""),-0.922260078155646)</f>
        <v>-0.92226007815564603</v>
      </c>
      <c r="MJ47" s="3">
        <f ca="1">IFERROR(__xludf.DUMMYFUNCTION("""COMPUTED_VALUE"""),-0.934253107601045)</f>
        <v>-0.93425310760104496</v>
      </c>
      <c r="MK47" s="3">
        <f ca="1">IFERROR(__xludf.DUMMYFUNCTION("""COMPUTED_VALUE"""),-0.928119733801335)</f>
        <v>-0.92811973380133495</v>
      </c>
      <c r="ML47" s="3">
        <f ca="1">IFERROR(__xludf.DUMMYFUNCTION("""COMPUTED_VALUE"""),-0.929771063873191)</f>
        <v>-0.92977106387319097</v>
      </c>
      <c r="MM47" s="3">
        <f ca="1">IFERROR(__xludf.DUMMYFUNCTION("""COMPUTED_VALUE"""),-0.924230314556544)</f>
        <v>-0.92423031455654403</v>
      </c>
      <c r="MN47" s="3">
        <f ca="1">IFERROR(__xludf.DUMMYFUNCTION("""COMPUTED_VALUE"""),-0.927555302896175)</f>
        <v>-0.92755530289617505</v>
      </c>
      <c r="MO47" s="3">
        <f ca="1">IFERROR(__xludf.DUMMYFUNCTION("""COMPUTED_VALUE"""),-0.920265683944301)</f>
        <v>-0.92026568394430097</v>
      </c>
      <c r="MP47" s="3">
        <f ca="1">IFERROR(__xludf.DUMMYFUNCTION("""COMPUTED_VALUE"""),-0.944706644562055)</f>
        <v>-0.944706644562055</v>
      </c>
      <c r="MQ47" s="3">
        <f ca="1">IFERROR(__xludf.DUMMYFUNCTION("""COMPUTED_VALUE"""),-0.949023938664893)</f>
        <v>-0.94902393866489299</v>
      </c>
      <c r="MR47" s="3">
        <f ca="1">IFERROR(__xludf.DUMMYFUNCTION("""COMPUTED_VALUE"""),-0.927318502802627)</f>
        <v>-0.92731850280262695</v>
      </c>
      <c r="MS47" s="3">
        <f ca="1">IFERROR(__xludf.DUMMYFUNCTION("""COMPUTED_VALUE"""),-0.927519880577414)</f>
        <v>-0.92751988057741397</v>
      </c>
      <c r="MT47" s="3">
        <f ca="1">IFERROR(__xludf.DUMMYFUNCTION("""COMPUTED_VALUE"""),-0.92190818401448)</f>
        <v>-0.92190818401448005</v>
      </c>
      <c r="MU47" s="3">
        <f ca="1">IFERROR(__xludf.DUMMYFUNCTION("""COMPUTED_VALUE"""),-0.930066733810978)</f>
        <v>-0.93006673381097804</v>
      </c>
      <c r="MV47" s="3">
        <f ca="1">IFERROR(__xludf.DUMMYFUNCTION("""COMPUTED_VALUE"""),-0.922221050899986)</f>
        <v>-0.92222105089998596</v>
      </c>
      <c r="MW47" s="3">
        <f ca="1">IFERROR(__xludf.DUMMYFUNCTION("""COMPUTED_VALUE"""),-0.93174809001344)</f>
        <v>-0.93174809001343994</v>
      </c>
      <c r="MX47" s="3">
        <f ca="1">IFERROR(__xludf.DUMMYFUNCTION("""COMPUTED_VALUE"""),-0.917824265886652)</f>
        <v>-0.917824265886652</v>
      </c>
      <c r="MY47" s="3">
        <f ca="1">IFERROR(__xludf.DUMMYFUNCTION("""COMPUTED_VALUE"""),-0.925963135186192)</f>
        <v>-0.925963135186192</v>
      </c>
      <c r="MZ47" s="3">
        <f ca="1">IFERROR(__xludf.DUMMYFUNCTION("""COMPUTED_VALUE"""),-0.916398972698656)</f>
        <v>-0.916398972698656</v>
      </c>
      <c r="NA47" s="3">
        <f ca="1">IFERROR(__xludf.DUMMYFUNCTION("""COMPUTED_VALUE"""),-0.939692986921247)</f>
        <v>-0.93969298692124703</v>
      </c>
      <c r="NB47" s="3">
        <f ca="1">IFERROR(__xludf.DUMMYFUNCTION("""COMPUTED_VALUE"""),-0.931257498155082)</f>
        <v>-0.93125749815508196</v>
      </c>
      <c r="NC47" s="3">
        <f ca="1">IFERROR(__xludf.DUMMYFUNCTION("""COMPUTED_VALUE"""),-0.934528934813664)</f>
        <v>-0.93452893481366395</v>
      </c>
      <c r="ND47" s="3">
        <f ca="1">IFERROR(__xludf.DUMMYFUNCTION("""COMPUTED_VALUE"""),-0.920621312112796)</f>
        <v>-0.92062131211279596</v>
      </c>
      <c r="NE47" s="3">
        <f ca="1">IFERROR(__xludf.DUMMYFUNCTION("""COMPUTED_VALUE"""),-0.915019302285356)</f>
        <v>-0.915019302285356</v>
      </c>
      <c r="NF47" s="3">
        <f ca="1">IFERROR(__xludf.DUMMYFUNCTION("""COMPUTED_VALUE"""),-0.92502772065857)</f>
        <v>-0.92502772065856997</v>
      </c>
      <c r="NG47" s="3">
        <f ca="1">IFERROR(__xludf.DUMMYFUNCTION("""COMPUTED_VALUE"""),-0.923351647472783)</f>
        <v>-0.92335164747278298</v>
      </c>
      <c r="NH47" s="3">
        <f ca="1">IFERROR(__xludf.DUMMYFUNCTION("""COMPUTED_VALUE"""),-0.946939650179497)</f>
        <v>-0.94693965017949699</v>
      </c>
      <c r="NI47" s="3">
        <f ca="1">IFERROR(__xludf.DUMMYFUNCTION("""COMPUTED_VALUE"""),-0.926317319194928)</f>
        <v>-0.92631731919492799</v>
      </c>
      <c r="NJ47" s="3">
        <f ca="1">IFERROR(__xludf.DUMMYFUNCTION("""COMPUTED_VALUE"""),-0.898082886240505)</f>
        <v>-0.89808288624050503</v>
      </c>
      <c r="NK47" s="3">
        <f ca="1">IFERROR(__xludf.DUMMYFUNCTION("""COMPUTED_VALUE"""),-0.903380438952142)</f>
        <v>-0.90338043895214204</v>
      </c>
      <c r="NL47" s="3">
        <f ca="1">IFERROR(__xludf.DUMMYFUNCTION("""COMPUTED_VALUE"""),-0.899219498425704)</f>
        <v>-0.89921949842570403</v>
      </c>
      <c r="NM47" s="3">
        <f ca="1">IFERROR(__xludf.DUMMYFUNCTION("""COMPUTED_VALUE"""),-0.89652114926607)</f>
        <v>-0.89652114926606996</v>
      </c>
      <c r="NN47" s="3">
        <f ca="1">IFERROR(__xludf.DUMMYFUNCTION("""COMPUTED_VALUE"""),-0.879279550491971)</f>
        <v>-0.87927955049197104</v>
      </c>
      <c r="NO47" s="3">
        <f ca="1">IFERROR(__xludf.DUMMYFUNCTION("""COMPUTED_VALUE"""),-0.889033347347489)</f>
        <v>-0.88903334734748896</v>
      </c>
      <c r="NP47" s="3">
        <f ca="1">IFERROR(__xludf.DUMMYFUNCTION("""COMPUTED_VALUE"""),-0.9211010817221)</f>
        <v>-0.92110108172210003</v>
      </c>
      <c r="NQ47" s="3">
        <f ca="1">IFERROR(__xludf.DUMMYFUNCTION("""COMPUTED_VALUE"""),-0.886858817997193)</f>
        <v>-0.88685881799719302</v>
      </c>
      <c r="NR47" s="3">
        <f ca="1">IFERROR(__xludf.DUMMYFUNCTION("""COMPUTED_VALUE"""),-0.895718766395761)</f>
        <v>-0.89571876639576098</v>
      </c>
      <c r="NS47" s="3">
        <f ca="1">IFERROR(__xludf.DUMMYFUNCTION("""COMPUTED_VALUE"""),-0.876208480166847)</f>
        <v>-0.87620848016684705</v>
      </c>
      <c r="NT47" s="3">
        <f ca="1">IFERROR(__xludf.DUMMYFUNCTION("""COMPUTED_VALUE"""),-0.857715640917428)</f>
        <v>-0.85771564091742802</v>
      </c>
      <c r="NU47" s="3">
        <f ca="1">IFERROR(__xludf.DUMMYFUNCTION("""COMPUTED_VALUE"""),-0.770409021352885)</f>
        <v>-0.77040902135288503</v>
      </c>
      <c r="NV47" s="3">
        <f ca="1">IFERROR(__xludf.DUMMYFUNCTION("""COMPUTED_VALUE"""),-0.81038933040805)</f>
        <v>-0.81038933040804995</v>
      </c>
      <c r="NW47" s="3">
        <f ca="1">IFERROR(__xludf.DUMMYFUNCTION("""COMPUTED_VALUE"""),-0.838496565186003)</f>
        <v>-0.83849656518600302</v>
      </c>
      <c r="NX47" s="3">
        <f ca="1">IFERROR(__xludf.DUMMYFUNCTION("""COMPUTED_VALUE"""),-0.7427116581542)</f>
        <v>-0.74271165815420004</v>
      </c>
      <c r="NY47" s="3">
        <f ca="1">IFERROR(__xludf.DUMMYFUNCTION("""COMPUTED_VALUE"""),-0.778876777010968)</f>
        <v>-0.77887677701096802</v>
      </c>
      <c r="NZ47" s="3">
        <f ca="1">IFERROR(__xludf.DUMMYFUNCTION("""COMPUTED_VALUE"""),-0.754301489867763)</f>
        <v>-0.75430148986776302</v>
      </c>
      <c r="OA47" s="3">
        <f ca="1">IFERROR(__xludf.DUMMYFUNCTION("""COMPUTED_VALUE"""),-0.666921183248246)</f>
        <v>-0.66692118324824601</v>
      </c>
      <c r="OB47" s="3">
        <f ca="1">IFERROR(__xludf.DUMMYFUNCTION("""COMPUTED_VALUE"""),-0.516526802105061)</f>
        <v>-0.51652680210506097</v>
      </c>
      <c r="OC47" s="3">
        <f ca="1">IFERROR(__xludf.DUMMYFUNCTION("""COMPUTED_VALUE"""),-0.49409803651527)</f>
        <v>-0.49409803651527001</v>
      </c>
      <c r="OD47" s="3">
        <f ca="1">IFERROR(__xludf.DUMMYFUNCTION("""COMPUTED_VALUE"""),-0.41137651249663)</f>
        <v>-0.41137651249662999</v>
      </c>
      <c r="OE47" s="3">
        <f ca="1">IFERROR(__xludf.DUMMYFUNCTION("""COMPUTED_VALUE"""),-0.298132727083528)</f>
        <v>-0.298132727083528</v>
      </c>
      <c r="OF47" s="3">
        <f ca="1">IFERROR(__xludf.DUMMYFUNCTION("""COMPUTED_VALUE"""),-0.196036598367139)</f>
        <v>-0.19603659836713899</v>
      </c>
      <c r="OG47" s="3">
        <f ca="1">IFERROR(__xludf.DUMMYFUNCTION("""COMPUTED_VALUE"""),-0.0772921259023693)</f>
        <v>-7.7292125902369294E-2</v>
      </c>
      <c r="OH47" s="3">
        <f ca="1">IFERROR(__xludf.DUMMYFUNCTION("""COMPUTED_VALUE"""),-0.127590654363751)</f>
        <v>-0.127590654363751</v>
      </c>
      <c r="OI47" s="3">
        <f ca="1">IFERROR(__xludf.DUMMYFUNCTION("""COMPUTED_VALUE"""),-0.0526795437234696)</f>
        <v>-5.2679543723469599E-2</v>
      </c>
      <c r="OJ47" s="3">
        <f ca="1">IFERROR(__xludf.DUMMYFUNCTION("""COMPUTED_VALUE"""),-0.265814572722453)</f>
        <v>-0.26581457272245301</v>
      </c>
      <c r="OK47" s="3">
        <f ca="1">IFERROR(__xludf.DUMMYFUNCTION("""COMPUTED_VALUE"""),-0.22955955892123)</f>
        <v>-0.22955955892123001</v>
      </c>
      <c r="OL47" s="3">
        <f ca="1">IFERROR(__xludf.DUMMYFUNCTION("""COMPUTED_VALUE"""),-0.00151338501444331)</f>
        <v>-1.51338501444331E-3</v>
      </c>
      <c r="OM47" s="3">
        <f ca="1">IFERROR(__xludf.DUMMYFUNCTION("""COMPUTED_VALUE"""),0.00380300456290316)</f>
        <v>3.8030045629031599E-3</v>
      </c>
      <c r="ON47" s="3">
        <f ca="1">IFERROR(__xludf.DUMMYFUNCTION("""COMPUTED_VALUE"""),0.147088568816717)</f>
        <v>0.147088568816717</v>
      </c>
      <c r="OO47" s="3">
        <f ca="1">IFERROR(__xludf.DUMMYFUNCTION("""COMPUTED_VALUE"""),0.194191140294751)</f>
        <v>0.19419114029475101</v>
      </c>
      <c r="OP47" s="3">
        <f ca="1">IFERROR(__xludf.DUMMYFUNCTION("""COMPUTED_VALUE"""),0.108559822053591)</f>
        <v>0.10855982205359101</v>
      </c>
      <c r="OQ47" s="3">
        <f ca="1">IFERROR(__xludf.DUMMYFUNCTION("""COMPUTED_VALUE"""),-0.171909480921051)</f>
        <v>-0.17190948092105099</v>
      </c>
      <c r="OR47" s="3">
        <f ca="1">IFERROR(__xludf.DUMMYFUNCTION("""COMPUTED_VALUE"""),-0.0902755369297884)</f>
        <v>-9.0275536929788402E-2</v>
      </c>
      <c r="OS47" s="3">
        <f ca="1">IFERROR(__xludf.DUMMYFUNCTION("""COMPUTED_VALUE"""),-0.00743165814019974)</f>
        <v>-7.4316581401997397E-3</v>
      </c>
      <c r="OT47" s="3">
        <f ca="1">IFERROR(__xludf.DUMMYFUNCTION("""COMPUTED_VALUE"""),0.19270417028926)</f>
        <v>0.19270417028926001</v>
      </c>
      <c r="OU47" s="3">
        <f ca="1">IFERROR(__xludf.DUMMYFUNCTION("""COMPUTED_VALUE"""),0.143928862395456)</f>
        <v>0.14392886239545599</v>
      </c>
      <c r="OV47" s="3">
        <f ca="1">IFERROR(__xludf.DUMMYFUNCTION("""COMPUTED_VALUE"""),0.188369275358431)</f>
        <v>0.18836927535843101</v>
      </c>
      <c r="OW47" s="3">
        <f ca="1">IFERROR(__xludf.DUMMYFUNCTION("""COMPUTED_VALUE"""),0.0733460754674357)</f>
        <v>7.3346075467435698E-2</v>
      </c>
      <c r="OX47" s="3">
        <f ca="1">IFERROR(__xludf.DUMMYFUNCTION("""COMPUTED_VALUE"""),-0.18869341809584)</f>
        <v>-0.18869341809584</v>
      </c>
      <c r="OY47" s="3">
        <f ca="1">IFERROR(__xludf.DUMMYFUNCTION("""COMPUTED_VALUE"""),-0.152651594979644)</f>
        <v>-0.15265159497964401</v>
      </c>
      <c r="OZ47" s="3">
        <f ca="1">IFERROR(__xludf.DUMMYFUNCTION("""COMPUTED_VALUE"""),-0.0129253657106759)</f>
        <v>-1.2925365710675899E-2</v>
      </c>
      <c r="PA47" s="3">
        <f ca="1">IFERROR(__xludf.DUMMYFUNCTION("""COMPUTED_VALUE"""),0.0286287618090932)</f>
        <v>2.8628761809093201E-2</v>
      </c>
      <c r="PB47" s="3">
        <f ca="1">IFERROR(__xludf.DUMMYFUNCTION("""COMPUTED_VALUE"""),0.0663761809813134)</f>
        <v>6.6376180981313398E-2</v>
      </c>
      <c r="PC47" s="3">
        <f ca="1">IFERROR(__xludf.DUMMYFUNCTION("""COMPUTED_VALUE"""),0.0975346944725921)</f>
        <v>9.7534694472592096E-2</v>
      </c>
      <c r="PD47" s="3">
        <f ca="1">IFERROR(__xludf.DUMMYFUNCTION("""COMPUTED_VALUE"""),-0.193529758603988)</f>
        <v>-0.19352975860398799</v>
      </c>
      <c r="PE47" s="3">
        <f ca="1">IFERROR(__xludf.DUMMYFUNCTION("""COMPUTED_VALUE"""),-0.105876666923348)</f>
        <v>-0.105876666923348</v>
      </c>
      <c r="PF47" s="3">
        <f ca="1">IFERROR(__xludf.DUMMYFUNCTION("""COMPUTED_VALUE"""),-0.11155868512293)</f>
        <v>-0.11155868512293</v>
      </c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</row>
    <row r="48" spans="1:594" ht="15.75" customHeight="1">
      <c r="A48" s="1" t="str">
        <f ca="1">IFERROR(__xludf.DUMMYFUNCTION("""COMPUTED_VALUE"""),"Montréal")</f>
        <v>Montréal</v>
      </c>
      <c r="B48" s="3">
        <f ca="1">IFERROR(__xludf.DUMMYFUNCTION("""COMPUTED_VALUE"""),-0.529199702536971)</f>
        <v>-0.52919970253697102</v>
      </c>
      <c r="C48" s="3">
        <f ca="1">IFERROR(__xludf.DUMMYFUNCTION("""COMPUTED_VALUE"""),-0.56130376566095)</f>
        <v>-0.56130376566094997</v>
      </c>
      <c r="D48" s="3">
        <f ca="1">IFERROR(__xludf.DUMMYFUNCTION("""COMPUTED_VALUE"""),-0.612506957845375)</f>
        <v>-0.61250695784537501</v>
      </c>
      <c r="E48" s="3">
        <f ca="1">IFERROR(__xludf.DUMMYFUNCTION("""COMPUTED_VALUE"""),-0.595149151554565)</f>
        <v>-0.59514915155456505</v>
      </c>
      <c r="F48" s="3">
        <f ca="1">IFERROR(__xludf.DUMMYFUNCTION("""COMPUTED_VALUE"""),-0.584241538860229)</f>
        <v>-0.584241538860229</v>
      </c>
      <c r="G48" s="3">
        <f ca="1">IFERROR(__xludf.DUMMYFUNCTION("""COMPUTED_VALUE"""),-0.597138863164754)</f>
        <v>-0.59713886316475395</v>
      </c>
      <c r="H48" s="3">
        <f ca="1">IFERROR(__xludf.DUMMYFUNCTION("""COMPUTED_VALUE"""),-0.602610074200679)</f>
        <v>-0.60261007420067902</v>
      </c>
      <c r="I48" s="3">
        <f ca="1">IFERROR(__xludf.DUMMYFUNCTION("""COMPUTED_VALUE"""),-0.594357165412346)</f>
        <v>-0.59435716541234596</v>
      </c>
      <c r="J48" s="3">
        <f ca="1">IFERROR(__xludf.DUMMYFUNCTION("""COMPUTED_VALUE"""),-0.652578252582028)</f>
        <v>-0.65257825258202795</v>
      </c>
      <c r="K48" s="3">
        <f ca="1">IFERROR(__xludf.DUMMYFUNCTION("""COMPUTED_VALUE"""),-0.604883150034482)</f>
        <v>-0.60488315003448201</v>
      </c>
      <c r="L48" s="3">
        <f ca="1">IFERROR(__xludf.DUMMYFUNCTION("""COMPUTED_VALUE"""),-0.61037064219728)</f>
        <v>-0.61037064219727999</v>
      </c>
      <c r="M48" s="3">
        <f ca="1">IFERROR(__xludf.DUMMYFUNCTION("""COMPUTED_VALUE"""),-0.598325637184867)</f>
        <v>-0.59832563718486698</v>
      </c>
      <c r="N48" s="3">
        <f ca="1">IFERROR(__xludf.DUMMYFUNCTION("""COMPUTED_VALUE"""),-0.601994109863688)</f>
        <v>-0.60199410986368795</v>
      </c>
      <c r="O48" s="3">
        <f ca="1">IFERROR(__xludf.DUMMYFUNCTION("""COMPUTED_VALUE"""),-0.586277157353533)</f>
        <v>-0.58627715735353303</v>
      </c>
      <c r="P48" s="3">
        <f ca="1">IFERROR(__xludf.DUMMYFUNCTION("""COMPUTED_VALUE"""),-0.580274690409182)</f>
        <v>-0.580274690409182</v>
      </c>
      <c r="Q48" s="3">
        <f ca="1">IFERROR(__xludf.DUMMYFUNCTION("""COMPUTED_VALUE"""),-0.663180074716509)</f>
        <v>-0.66318007471650897</v>
      </c>
      <c r="R48" s="3">
        <f ca="1">IFERROR(__xludf.DUMMYFUNCTION("""COMPUTED_VALUE"""),-0.612069439795203)</f>
        <v>-0.61206943979520301</v>
      </c>
      <c r="S48" s="3">
        <f ca="1">IFERROR(__xludf.DUMMYFUNCTION("""COMPUTED_VALUE"""),-0.629599402220759)</f>
        <v>-0.62959940222075905</v>
      </c>
      <c r="T48" s="3">
        <f ca="1">IFERROR(__xludf.DUMMYFUNCTION("""COMPUTED_VALUE"""),-0.610837728309579)</f>
        <v>-0.61083772830957905</v>
      </c>
      <c r="U48" s="3">
        <f ca="1">IFERROR(__xludf.DUMMYFUNCTION("""COMPUTED_VALUE"""),-0.60994809482221)</f>
        <v>-0.60994809482221002</v>
      </c>
      <c r="V48" s="3">
        <f ca="1">IFERROR(__xludf.DUMMYFUNCTION("""COMPUTED_VALUE"""),-0.538800457087169)</f>
        <v>-0.53880045708716895</v>
      </c>
      <c r="W48" s="3">
        <f ca="1">IFERROR(__xludf.DUMMYFUNCTION("""COMPUTED_VALUE"""),-0.57497185855199)</f>
        <v>-0.57497185855198996</v>
      </c>
      <c r="X48" s="3">
        <f ca="1">IFERROR(__xludf.DUMMYFUNCTION("""COMPUTED_VALUE"""),-0.650389218949782)</f>
        <v>-0.65038921894978197</v>
      </c>
      <c r="Y48" s="3">
        <f ca="1">IFERROR(__xludf.DUMMYFUNCTION("""COMPUTED_VALUE"""),-0.651439118530858)</f>
        <v>-0.65143911853085801</v>
      </c>
      <c r="Z48" s="3">
        <f ca="1">IFERROR(__xludf.DUMMYFUNCTION("""COMPUTED_VALUE"""),-0.648578801061295)</f>
        <v>-0.64857880106129495</v>
      </c>
      <c r="AA48" s="3">
        <f ca="1">IFERROR(__xludf.DUMMYFUNCTION("""COMPUTED_VALUE"""),-0.651477836561654)</f>
        <v>-0.65147783656165403</v>
      </c>
      <c r="AB48" s="3">
        <f ca="1">IFERROR(__xludf.DUMMYFUNCTION("""COMPUTED_VALUE"""),-0.654153419189534)</f>
        <v>-0.65415341918953396</v>
      </c>
      <c r="AC48" s="3">
        <f ca="1">IFERROR(__xludf.DUMMYFUNCTION("""COMPUTED_VALUE"""),-0.601570898164033)</f>
        <v>-0.60157089816403297</v>
      </c>
      <c r="AD48" s="3">
        <f ca="1">IFERROR(__xludf.DUMMYFUNCTION("""COMPUTED_VALUE"""),-0.604147764142599)</f>
        <v>-0.60414776414259896</v>
      </c>
      <c r="AE48" s="3">
        <f ca="1">IFERROR(__xludf.DUMMYFUNCTION("""COMPUTED_VALUE"""),-0.662291930517008)</f>
        <v>-0.66229193051700797</v>
      </c>
      <c r="AF48" s="3">
        <f ca="1">IFERROR(__xludf.DUMMYFUNCTION("""COMPUTED_VALUE"""),-0.660252374074021)</f>
        <v>-0.66025237407402104</v>
      </c>
      <c r="AG48" s="3">
        <f ca="1">IFERROR(__xludf.DUMMYFUNCTION("""COMPUTED_VALUE"""),-0.655732234020133)</f>
        <v>-0.65573223402013303</v>
      </c>
      <c r="AH48" s="3">
        <f ca="1">IFERROR(__xludf.DUMMYFUNCTION("""COMPUTED_VALUE"""),-0.67451543380169)</f>
        <v>-0.67451543380168999</v>
      </c>
      <c r="AI48" s="3">
        <f ca="1">IFERROR(__xludf.DUMMYFUNCTION("""COMPUTED_VALUE"""),-0.656691525499769)</f>
        <v>-0.65669152549976895</v>
      </c>
      <c r="AJ48" s="3">
        <f ca="1">IFERROR(__xludf.DUMMYFUNCTION("""COMPUTED_VALUE"""),-0.60274969581319)</f>
        <v>-0.60274969581319005</v>
      </c>
      <c r="AK48" s="3">
        <f ca="1">IFERROR(__xludf.DUMMYFUNCTION("""COMPUTED_VALUE"""),-0.62300392252845)</f>
        <v>-0.62300392252845005</v>
      </c>
      <c r="AL48" s="3">
        <f ca="1">IFERROR(__xludf.DUMMYFUNCTION("""COMPUTED_VALUE"""),-0.682972485799302)</f>
        <v>-0.68297248579930203</v>
      </c>
      <c r="AM48" s="3">
        <f ca="1">IFERROR(__xludf.DUMMYFUNCTION("""COMPUTED_VALUE"""),-0.672926355119697)</f>
        <v>-0.67292635511969701</v>
      </c>
      <c r="AN48" s="3">
        <f ca="1">IFERROR(__xludf.DUMMYFUNCTION("""COMPUTED_VALUE"""),-0.658032485965264)</f>
        <v>-0.65803248596526398</v>
      </c>
      <c r="AO48" s="3">
        <f ca="1">IFERROR(__xludf.DUMMYFUNCTION("""COMPUTED_VALUE"""),-0.677110228394712)</f>
        <v>-0.67711022839471202</v>
      </c>
      <c r="AP48" s="3">
        <f ca="1">IFERROR(__xludf.DUMMYFUNCTION("""COMPUTED_VALUE"""),-0.636859566364264)</f>
        <v>-0.636859566364264</v>
      </c>
      <c r="AQ48" s="3">
        <f ca="1">IFERROR(__xludf.DUMMYFUNCTION("""COMPUTED_VALUE"""),-0.551279169818148)</f>
        <v>-0.55127916981814795</v>
      </c>
      <c r="AR48" s="3">
        <f ca="1">IFERROR(__xludf.DUMMYFUNCTION("""COMPUTED_VALUE"""),-0.614152707261201)</f>
        <v>-0.61415270726120097</v>
      </c>
      <c r="AS48" s="3">
        <f ca="1">IFERROR(__xludf.DUMMYFUNCTION("""COMPUTED_VALUE"""),-0.663211295352738)</f>
        <v>-0.66321129535273804</v>
      </c>
      <c r="AT48" s="3">
        <f ca="1">IFERROR(__xludf.DUMMYFUNCTION("""COMPUTED_VALUE"""),-0.682681832454901)</f>
        <v>-0.68268183245490099</v>
      </c>
      <c r="AU48" s="3">
        <f ca="1">IFERROR(__xludf.DUMMYFUNCTION("""COMPUTED_VALUE"""),-0.673155965203078)</f>
        <v>-0.67315596520307797</v>
      </c>
      <c r="AV48" s="3">
        <f ca="1">IFERROR(__xludf.DUMMYFUNCTION("""COMPUTED_VALUE"""),-0.690822472450353)</f>
        <v>-0.690822472450353</v>
      </c>
      <c r="AW48" s="3">
        <f ca="1">IFERROR(__xludf.DUMMYFUNCTION("""COMPUTED_VALUE"""),-0.66742090141759)</f>
        <v>-0.66742090141759003</v>
      </c>
      <c r="AX48" s="3">
        <f ca="1">IFERROR(__xludf.DUMMYFUNCTION("""COMPUTED_VALUE"""),-0.612660526893708)</f>
        <v>-0.61266052689370798</v>
      </c>
      <c r="AY48" s="3">
        <f ca="1">IFERROR(__xludf.DUMMYFUNCTION("""COMPUTED_VALUE"""),-0.631496752381305)</f>
        <v>-0.63149675238130498</v>
      </c>
      <c r="AZ48" s="3">
        <f ca="1">IFERROR(__xludf.DUMMYFUNCTION("""COMPUTED_VALUE"""),-0.702396601860771)</f>
        <v>-0.70239660186077102</v>
      </c>
      <c r="BA48" s="3">
        <f ca="1">IFERROR(__xludf.DUMMYFUNCTION("""COMPUTED_VALUE"""),-0.730440560220381)</f>
        <v>-0.73044056022038095</v>
      </c>
      <c r="BB48" s="3">
        <f ca="1">IFERROR(__xludf.DUMMYFUNCTION("""COMPUTED_VALUE"""),-0.657471765227045)</f>
        <v>-0.65747176522704498</v>
      </c>
      <c r="BC48" s="3">
        <f ca="1">IFERROR(__xludf.DUMMYFUNCTION("""COMPUTED_VALUE"""),-0.717930041652495)</f>
        <v>-0.71793004165249497</v>
      </c>
      <c r="BD48" s="3">
        <f ca="1">IFERROR(__xludf.DUMMYFUNCTION("""COMPUTED_VALUE"""),-0.686716739978125)</f>
        <v>-0.68671673997812499</v>
      </c>
      <c r="BE48" s="3">
        <f ca="1">IFERROR(__xludf.DUMMYFUNCTION("""COMPUTED_VALUE"""),-0.582064074751338)</f>
        <v>-0.58206407475133803</v>
      </c>
      <c r="BF48" s="3">
        <f ca="1">IFERROR(__xludf.DUMMYFUNCTION("""COMPUTED_VALUE"""),-0.636047708903376)</f>
        <v>-0.63604770890337603</v>
      </c>
      <c r="BG48" s="3">
        <f ca="1">IFERROR(__xludf.DUMMYFUNCTION("""COMPUTED_VALUE"""),-0.698751859560856)</f>
        <v>-0.69875185956085595</v>
      </c>
      <c r="BH48" s="3">
        <f ca="1">IFERROR(__xludf.DUMMYFUNCTION("""COMPUTED_VALUE"""),-0.709944309925659)</f>
        <v>-0.70994430992565905</v>
      </c>
      <c r="BI48" s="3">
        <f ca="1">IFERROR(__xludf.DUMMYFUNCTION("""COMPUTED_VALUE"""),-0.710619560815242)</f>
        <v>-0.71061956081524202</v>
      </c>
      <c r="BJ48" s="3">
        <f ca="1">IFERROR(__xludf.DUMMYFUNCTION("""COMPUTED_VALUE"""),-0.70470495986576)</f>
        <v>-0.70470495986575998</v>
      </c>
      <c r="BK48" s="3">
        <f ca="1">IFERROR(__xludf.DUMMYFUNCTION("""COMPUTED_VALUE"""),-0.708706088263465)</f>
        <v>-0.70870608826346504</v>
      </c>
      <c r="BL48" s="3">
        <f ca="1">IFERROR(__xludf.DUMMYFUNCTION("""COMPUTED_VALUE"""),-0.684487627305066)</f>
        <v>-0.68448762730506596</v>
      </c>
      <c r="BM48" s="3">
        <f ca="1">IFERROR(__xludf.DUMMYFUNCTION("""COMPUTED_VALUE"""),-0.712947653747714)</f>
        <v>-0.71294765374771396</v>
      </c>
      <c r="BN48" s="3">
        <f ca="1">IFERROR(__xludf.DUMMYFUNCTION("""COMPUTED_VALUE"""),-0.725531883301552)</f>
        <v>-0.72553188330155205</v>
      </c>
      <c r="BO48" s="3">
        <f ca="1">IFERROR(__xludf.DUMMYFUNCTION("""COMPUTED_VALUE"""),-0.726523512327595)</f>
        <v>-0.72652351232759504</v>
      </c>
      <c r="BP48" s="3">
        <f ca="1">IFERROR(__xludf.DUMMYFUNCTION("""COMPUTED_VALUE"""),-0.721021669099875)</f>
        <v>-0.72102166909987497</v>
      </c>
      <c r="BQ48" s="3">
        <f ca="1">IFERROR(__xludf.DUMMYFUNCTION("""COMPUTED_VALUE"""),-0.741691493354959)</f>
        <v>-0.74169149335495899</v>
      </c>
      <c r="BR48" s="3">
        <f ca="1">IFERROR(__xludf.DUMMYFUNCTION("""COMPUTED_VALUE"""),-0.753926676986512)</f>
        <v>-0.75392667698651195</v>
      </c>
      <c r="BS48" s="3">
        <f ca="1">IFERROR(__xludf.DUMMYFUNCTION("""COMPUTED_VALUE"""),-0.706796969220923)</f>
        <v>-0.70679696922092305</v>
      </c>
      <c r="BT48" s="3">
        <f ca="1">IFERROR(__xludf.DUMMYFUNCTION("""COMPUTED_VALUE"""),-0.742967828052566)</f>
        <v>-0.742967828052566</v>
      </c>
      <c r="BU48" s="3">
        <f ca="1">IFERROR(__xludf.DUMMYFUNCTION("""COMPUTED_VALUE"""),-0.753843817377179)</f>
        <v>-0.75384381737717898</v>
      </c>
      <c r="BV48" s="3">
        <f ca="1">IFERROR(__xludf.DUMMYFUNCTION("""COMPUTED_VALUE"""),-0.755437670762175)</f>
        <v>-0.75543767076217505</v>
      </c>
      <c r="BW48" s="3">
        <f ca="1">IFERROR(__xludf.DUMMYFUNCTION("""COMPUTED_VALUE"""),-0.748910687108481)</f>
        <v>-0.74891068710848097</v>
      </c>
      <c r="BX48" s="3">
        <f ca="1">IFERROR(__xludf.DUMMYFUNCTION("""COMPUTED_VALUE"""),-0.754775579392264)</f>
        <v>-0.75477557939226403</v>
      </c>
      <c r="BY48" s="3">
        <f ca="1">IFERROR(__xludf.DUMMYFUNCTION("""COMPUTED_VALUE"""),-0.739159620493052)</f>
        <v>-0.73915962049305195</v>
      </c>
      <c r="BZ48" s="3">
        <f ca="1">IFERROR(__xludf.DUMMYFUNCTION("""COMPUTED_VALUE"""),-0.706006815374126)</f>
        <v>-0.70600681537412602</v>
      </c>
      <c r="CA48" s="3">
        <f ca="1">IFERROR(__xludf.DUMMYFUNCTION("""COMPUTED_VALUE"""),-0.72758872413186)</f>
        <v>-0.72758872413186004</v>
      </c>
      <c r="CB48" s="3">
        <f ca="1">IFERROR(__xludf.DUMMYFUNCTION("""COMPUTED_VALUE"""),-0.746522321403282)</f>
        <v>-0.74652232140328201</v>
      </c>
      <c r="CC48" s="3">
        <f ca="1">IFERROR(__xludf.DUMMYFUNCTION("""COMPUTED_VALUE"""),-0.724800106701782)</f>
        <v>-0.72480010670178197</v>
      </c>
      <c r="CD48" s="3">
        <f ca="1">IFERROR(__xludf.DUMMYFUNCTION("""COMPUTED_VALUE"""),-0.742456988859666)</f>
        <v>-0.74245698885966604</v>
      </c>
      <c r="CE48" s="3">
        <f ca="1">IFERROR(__xludf.DUMMYFUNCTION("""COMPUTED_VALUE"""),-0.742383552105576)</f>
        <v>-0.74238355210557605</v>
      </c>
      <c r="CF48" s="3">
        <f ca="1">IFERROR(__xludf.DUMMYFUNCTION("""COMPUTED_VALUE"""),-0.726191597853263)</f>
        <v>-0.72619159785326304</v>
      </c>
      <c r="CG48" s="3">
        <f ca="1">IFERROR(__xludf.DUMMYFUNCTION("""COMPUTED_VALUE"""),-0.678136759739072)</f>
        <v>-0.67813675973907195</v>
      </c>
      <c r="CH48" s="3">
        <f ca="1">IFERROR(__xludf.DUMMYFUNCTION("""COMPUTED_VALUE"""),-0.720777489371205)</f>
        <v>-0.720777489371205</v>
      </c>
      <c r="CI48" s="3">
        <f ca="1">IFERROR(__xludf.DUMMYFUNCTION("""COMPUTED_VALUE"""),-0.769574328098445)</f>
        <v>-0.76957432809844495</v>
      </c>
      <c r="CJ48" s="3">
        <f ca="1">IFERROR(__xludf.DUMMYFUNCTION("""COMPUTED_VALUE"""),-0.773429690749934)</f>
        <v>-0.77342969074993395</v>
      </c>
      <c r="CK48" s="3">
        <f ca="1">IFERROR(__xludf.DUMMYFUNCTION("""COMPUTED_VALUE"""),-0.774940301724124)</f>
        <v>-0.77494030172412398</v>
      </c>
      <c r="CL48" s="3">
        <f ca="1">IFERROR(__xludf.DUMMYFUNCTION("""COMPUTED_VALUE"""),-0.767776429340785)</f>
        <v>-0.76777642934078505</v>
      </c>
      <c r="CM48" s="3">
        <f ca="1">IFERROR(__xludf.DUMMYFUNCTION("""COMPUTED_VALUE"""),-0.758319343683058)</f>
        <v>-0.75831934368305798</v>
      </c>
      <c r="CN48" s="3">
        <f ca="1">IFERROR(__xludf.DUMMYFUNCTION("""COMPUTED_VALUE"""),-0.703814417945299)</f>
        <v>-0.70381441794529898</v>
      </c>
      <c r="CO48" s="3">
        <f ca="1">IFERROR(__xludf.DUMMYFUNCTION("""COMPUTED_VALUE"""),-0.709885298795844)</f>
        <v>-0.70988529879584406</v>
      </c>
      <c r="CP48" s="3">
        <f ca="1">IFERROR(__xludf.DUMMYFUNCTION("""COMPUTED_VALUE"""),-0.719645904297708)</f>
        <v>-0.71964590429770803</v>
      </c>
      <c r="CQ48" s="3">
        <f ca="1">IFERROR(__xludf.DUMMYFUNCTION("""COMPUTED_VALUE"""),-0.72021048926733)</f>
        <v>-0.72021048926733</v>
      </c>
      <c r="CR48" s="3">
        <f ca="1">IFERROR(__xludf.DUMMYFUNCTION("""COMPUTED_VALUE"""),-0.690820765710143)</f>
        <v>-0.69082076571014295</v>
      </c>
      <c r="CS48" s="3">
        <f ca="1">IFERROR(__xludf.DUMMYFUNCTION("""COMPUTED_VALUE"""),-0.706199520487139)</f>
        <v>-0.70619952048713897</v>
      </c>
      <c r="CT48" s="3">
        <f ca="1">IFERROR(__xludf.DUMMYFUNCTION("""COMPUTED_VALUE"""),-0.691132105323245)</f>
        <v>-0.69113210532324498</v>
      </c>
      <c r="CU48" s="3">
        <f ca="1">IFERROR(__xludf.DUMMYFUNCTION("""COMPUTED_VALUE"""),-0.656986324822402)</f>
        <v>-0.65698632482240205</v>
      </c>
      <c r="CV48" s="3">
        <f ca="1">IFERROR(__xludf.DUMMYFUNCTION("""COMPUTED_VALUE"""),-0.708093695398966)</f>
        <v>-0.70809369539896605</v>
      </c>
      <c r="CW48" s="3">
        <f ca="1">IFERROR(__xludf.DUMMYFUNCTION("""COMPUTED_VALUE"""),-0.791913833971657)</f>
        <v>-0.79191383397165704</v>
      </c>
      <c r="CX48" s="3">
        <f ca="1">IFERROR(__xludf.DUMMYFUNCTION("""COMPUTED_VALUE"""),-0.67596576378314)</f>
        <v>-0.67596576378313999</v>
      </c>
      <c r="CY48" s="3">
        <f ca="1">IFERROR(__xludf.DUMMYFUNCTION("""COMPUTED_VALUE"""),-0.571489945696163)</f>
        <v>-0.57148994569616296</v>
      </c>
      <c r="CZ48" s="3">
        <f ca="1">IFERROR(__xludf.DUMMYFUNCTION("""COMPUTED_VALUE"""),-0.67976401489045)</f>
        <v>-0.67976401489045002</v>
      </c>
      <c r="DA48" s="3">
        <f ca="1">IFERROR(__xludf.DUMMYFUNCTION("""COMPUTED_VALUE"""),-0.717217650015616)</f>
        <v>-0.71721765001561599</v>
      </c>
      <c r="DB48" s="3">
        <f ca="1">IFERROR(__xludf.DUMMYFUNCTION("""COMPUTED_VALUE"""),-0.673190556834664)</f>
        <v>-0.673190556834664</v>
      </c>
      <c r="DC48" s="3">
        <f ca="1">IFERROR(__xludf.DUMMYFUNCTION("""COMPUTED_VALUE"""),-0.7155163840111)</f>
        <v>-0.71551638401109996</v>
      </c>
      <c r="DD48" s="3">
        <f ca="1">IFERROR(__xludf.DUMMYFUNCTION("""COMPUTED_VALUE"""),-0.818437828011681)</f>
        <v>-0.81843782801168097</v>
      </c>
      <c r="DE48" s="3">
        <f ca="1">IFERROR(__xludf.DUMMYFUNCTION("""COMPUTED_VALUE"""),-0.623184960453021)</f>
        <v>-0.62318496045302096</v>
      </c>
      <c r="DF48" s="3">
        <f ca="1">IFERROR(__xludf.DUMMYFUNCTION("""COMPUTED_VALUE"""),-0.418338078684299)</f>
        <v>-0.41833807868429901</v>
      </c>
      <c r="DG48" s="3">
        <f ca="1">IFERROR(__xludf.DUMMYFUNCTION("""COMPUTED_VALUE"""),-0.581134444600889)</f>
        <v>-0.58113444460088903</v>
      </c>
      <c r="DH48" s="3">
        <f ca="1">IFERROR(__xludf.DUMMYFUNCTION("""COMPUTED_VALUE"""),-0.596451438943727)</f>
        <v>-0.59645143894372699</v>
      </c>
      <c r="DI48" s="3">
        <f ca="1">IFERROR(__xludf.DUMMYFUNCTION("""COMPUTED_VALUE"""),-0.587228613257774)</f>
        <v>-0.58722861325777398</v>
      </c>
      <c r="DJ48" s="3">
        <f ca="1">IFERROR(__xludf.DUMMYFUNCTION("""COMPUTED_VALUE"""),-0.590246841001507)</f>
        <v>-0.59024684100150704</v>
      </c>
      <c r="DK48" s="3">
        <f ca="1">IFERROR(__xludf.DUMMYFUNCTION("""COMPUTED_VALUE"""),-0.647624912969556)</f>
        <v>-0.64762491296955604</v>
      </c>
      <c r="DL48" s="3">
        <f ca="1">IFERROR(__xludf.DUMMYFUNCTION("""COMPUTED_VALUE"""),-0.650670478715112)</f>
        <v>-0.65067047871511197</v>
      </c>
      <c r="DM48" s="3">
        <f ca="1">IFERROR(__xludf.DUMMYFUNCTION("""COMPUTED_VALUE"""),-0.566927701863547)</f>
        <v>-0.56692770186354702</v>
      </c>
      <c r="DN48" s="3">
        <f ca="1">IFERROR(__xludf.DUMMYFUNCTION("""COMPUTED_VALUE"""),-0.598254122518187)</f>
        <v>-0.59825412251818699</v>
      </c>
      <c r="DO48" s="3">
        <f ca="1">IFERROR(__xludf.DUMMYFUNCTION("""COMPUTED_VALUE"""),-0.617591661520498)</f>
        <v>-0.61759166152049805</v>
      </c>
      <c r="DP48" s="3">
        <f ca="1">IFERROR(__xludf.DUMMYFUNCTION("""COMPUTED_VALUE"""),-0.608722016805957)</f>
        <v>-0.60872201680595694</v>
      </c>
      <c r="DQ48" s="3">
        <f ca="1">IFERROR(__xludf.DUMMYFUNCTION("""COMPUTED_VALUE"""),-0.623336498194856)</f>
        <v>-0.62333649819485604</v>
      </c>
      <c r="DR48" s="3">
        <f ca="1">IFERROR(__xludf.DUMMYFUNCTION("""COMPUTED_VALUE"""),-0.662218991138318)</f>
        <v>-0.66221899113831795</v>
      </c>
      <c r="DS48" s="3">
        <f ca="1">IFERROR(__xludf.DUMMYFUNCTION("""COMPUTED_VALUE"""),-0.662788706049866)</f>
        <v>-0.66278870604986595</v>
      </c>
      <c r="DT48" s="3">
        <f ca="1">IFERROR(__xludf.DUMMYFUNCTION("""COMPUTED_VALUE"""),-0.673397053157743)</f>
        <v>-0.67339705315774301</v>
      </c>
      <c r="DU48" s="3">
        <f ca="1">IFERROR(__xludf.DUMMYFUNCTION("""COMPUTED_VALUE"""),-0.67164600986147)</f>
        <v>-0.67164600986147005</v>
      </c>
      <c r="DV48" s="3">
        <f ca="1">IFERROR(__xludf.DUMMYFUNCTION("""COMPUTED_VALUE"""),-0.66947119150983)</f>
        <v>-0.66947119150983003</v>
      </c>
      <c r="DW48" s="3">
        <f ca="1">IFERROR(__xludf.DUMMYFUNCTION("""COMPUTED_VALUE"""),-0.61295368956656)</f>
        <v>-0.61295368956656004</v>
      </c>
      <c r="DX48" s="3">
        <f ca="1">IFERROR(__xludf.DUMMYFUNCTION("""COMPUTED_VALUE"""),-0.620920442474875)</f>
        <v>-0.62092044247487499</v>
      </c>
      <c r="DY48" s="3">
        <f ca="1">IFERROR(__xludf.DUMMYFUNCTION("""COMPUTED_VALUE"""),-0.668766668937924)</f>
        <v>-0.66876666893792402</v>
      </c>
      <c r="DZ48" s="3">
        <f ca="1">IFERROR(__xludf.DUMMYFUNCTION("""COMPUTED_VALUE"""),-0.684802770726083)</f>
        <v>-0.68480277072608298</v>
      </c>
      <c r="EA48" s="3">
        <f ca="1">IFERROR(__xludf.DUMMYFUNCTION("""COMPUTED_VALUE"""),-0.688571760720357)</f>
        <v>-0.68857176072035697</v>
      </c>
      <c r="EB48" s="3">
        <f ca="1">IFERROR(__xludf.DUMMYFUNCTION("""COMPUTED_VALUE"""),-0.665115842033793)</f>
        <v>-0.66511584203379304</v>
      </c>
      <c r="EC48" s="3">
        <f ca="1">IFERROR(__xludf.DUMMYFUNCTION("""COMPUTED_VALUE"""),-0.652427254715972)</f>
        <v>-0.65242725471597196</v>
      </c>
      <c r="ED48" s="3">
        <f ca="1">IFERROR(__xludf.DUMMYFUNCTION("""COMPUTED_VALUE"""),-0.588081971012482)</f>
        <v>-0.58808197101248205</v>
      </c>
      <c r="EE48" s="3">
        <f ca="1">IFERROR(__xludf.DUMMYFUNCTION("""COMPUTED_VALUE"""),-0.61346742303363)</f>
        <v>-0.61346742303363</v>
      </c>
      <c r="EF48" s="3">
        <f ca="1">IFERROR(__xludf.DUMMYFUNCTION("""COMPUTED_VALUE"""),-0.645126310211676)</f>
        <v>-0.64512631021167599</v>
      </c>
      <c r="EG48" s="3">
        <f ca="1">IFERROR(__xludf.DUMMYFUNCTION("""COMPUTED_VALUE"""),-0.671893982646104)</f>
        <v>-0.671893982646104</v>
      </c>
      <c r="EH48" s="3">
        <f ca="1">IFERROR(__xludf.DUMMYFUNCTION("""COMPUTED_VALUE"""),-0.646577415262937)</f>
        <v>-0.64657741526293699</v>
      </c>
      <c r="EI48" s="3">
        <f ca="1">IFERROR(__xludf.DUMMYFUNCTION("""COMPUTED_VALUE"""),-0.687461339048751)</f>
        <v>-0.68746133904875095</v>
      </c>
      <c r="EJ48" s="3">
        <f ca="1">IFERROR(__xludf.DUMMYFUNCTION("""COMPUTED_VALUE"""),-0.686676994890018)</f>
        <v>-0.68667699489001799</v>
      </c>
      <c r="EK48" s="3">
        <f ca="1">IFERROR(__xludf.DUMMYFUNCTION("""COMPUTED_VALUE"""),-0.614296296602689)</f>
        <v>-0.61429629660268903</v>
      </c>
      <c r="EL48" s="3">
        <f ca="1">IFERROR(__xludf.DUMMYFUNCTION("""COMPUTED_VALUE"""),-0.629567989342394)</f>
        <v>-0.629567989342394</v>
      </c>
      <c r="EM48" s="3">
        <f ca="1">IFERROR(__xludf.DUMMYFUNCTION("""COMPUTED_VALUE"""),-0.68748811783193)</f>
        <v>-0.68748811783192998</v>
      </c>
      <c r="EN48" s="3">
        <f ca="1">IFERROR(__xludf.DUMMYFUNCTION("""COMPUTED_VALUE"""),-0.727689526764077)</f>
        <v>-0.72768952676407705</v>
      </c>
      <c r="EO48" s="3">
        <f ca="1">IFERROR(__xludf.DUMMYFUNCTION("""COMPUTED_VALUE"""),-0.712813793008844)</f>
        <v>-0.71281379300884395</v>
      </c>
      <c r="EP48" s="3">
        <f ca="1">IFERROR(__xludf.DUMMYFUNCTION("""COMPUTED_VALUE"""),-0.714613533202836)</f>
        <v>-0.71461353320283605</v>
      </c>
      <c r="EQ48" s="3">
        <f ca="1">IFERROR(__xludf.DUMMYFUNCTION("""COMPUTED_VALUE"""),-0.696298855681129)</f>
        <v>-0.69629885568112904</v>
      </c>
      <c r="ER48" s="3">
        <f ca="1">IFERROR(__xludf.DUMMYFUNCTION("""COMPUTED_VALUE"""),-0.630853863375929)</f>
        <v>-0.63085386337592897</v>
      </c>
      <c r="ES48" s="3">
        <f ca="1">IFERROR(__xludf.DUMMYFUNCTION("""COMPUTED_VALUE"""),-0.635963144719129)</f>
        <v>-0.63596314471912896</v>
      </c>
      <c r="ET48" s="3">
        <f ca="1">IFERROR(__xludf.DUMMYFUNCTION("""COMPUTED_VALUE"""),-0.698218547028752)</f>
        <v>-0.69821854702875197</v>
      </c>
      <c r="EU48" s="3">
        <f ca="1">IFERROR(__xludf.DUMMYFUNCTION("""COMPUTED_VALUE"""),-0.726755814091302)</f>
        <v>-0.72675581409130197</v>
      </c>
      <c r="EV48" s="3">
        <f ca="1">IFERROR(__xludf.DUMMYFUNCTION("""COMPUTED_VALUE"""),-0.722304407345332)</f>
        <v>-0.72230440734533197</v>
      </c>
      <c r="EW48" s="3">
        <f ca="1">IFERROR(__xludf.DUMMYFUNCTION("""COMPUTED_VALUE"""),-0.700427464616475)</f>
        <v>-0.70042746461647498</v>
      </c>
      <c r="EX48" s="3">
        <f ca="1">IFERROR(__xludf.DUMMYFUNCTION("""COMPUTED_VALUE"""),-0.672957162451592)</f>
        <v>-0.67295716245159198</v>
      </c>
      <c r="EY48" s="3">
        <f ca="1">IFERROR(__xludf.DUMMYFUNCTION("""COMPUTED_VALUE"""),-0.574237732114035)</f>
        <v>-0.57423773211403495</v>
      </c>
      <c r="EZ48" s="3">
        <f ca="1">IFERROR(__xludf.DUMMYFUNCTION("""COMPUTED_VALUE"""),-0.600766777540173)</f>
        <v>-0.60076677754017305</v>
      </c>
      <c r="FA48" s="3">
        <f ca="1">IFERROR(__xludf.DUMMYFUNCTION("""COMPUTED_VALUE"""),-0.67109957314715)</f>
        <v>-0.67109957314714996</v>
      </c>
      <c r="FB48" s="3">
        <f ca="1">IFERROR(__xludf.DUMMYFUNCTION("""COMPUTED_VALUE"""),-0.697492147368157)</f>
        <v>-0.69749214736815701</v>
      </c>
      <c r="FC48" s="3">
        <f ca="1">IFERROR(__xludf.DUMMYFUNCTION("""COMPUTED_VALUE"""),-0.69152665259313)</f>
        <v>-0.69152665259312995</v>
      </c>
      <c r="FD48" s="3">
        <f ca="1">IFERROR(__xludf.DUMMYFUNCTION("""COMPUTED_VALUE"""),-0.716258022617422)</f>
        <v>-0.716258022617422</v>
      </c>
      <c r="FE48" s="3">
        <f ca="1">IFERROR(__xludf.DUMMYFUNCTION("""COMPUTED_VALUE"""),-0.680786297025131)</f>
        <v>-0.68078629702513105</v>
      </c>
      <c r="FF48" s="3">
        <f ca="1">IFERROR(__xludf.DUMMYFUNCTION("""COMPUTED_VALUE"""),-0.610606115236752)</f>
        <v>-0.61060611523675201</v>
      </c>
      <c r="FG48" s="3">
        <f ca="1">IFERROR(__xludf.DUMMYFUNCTION("""COMPUTED_VALUE"""),-0.595938781086941)</f>
        <v>-0.59593878108694098</v>
      </c>
      <c r="FH48" s="3">
        <f ca="1">IFERROR(__xludf.DUMMYFUNCTION("""COMPUTED_VALUE"""),-0.670249507990173)</f>
        <v>-0.67024950799017302</v>
      </c>
      <c r="FI48" s="3">
        <f ca="1">IFERROR(__xludf.DUMMYFUNCTION("""COMPUTED_VALUE"""),-0.682501709976241)</f>
        <v>-0.68250170997624104</v>
      </c>
      <c r="FJ48" s="3">
        <f ca="1">IFERROR(__xludf.DUMMYFUNCTION("""COMPUTED_VALUE"""),-0.6685255833685)</f>
        <v>-0.66852558336849999</v>
      </c>
      <c r="FK48" s="3">
        <f ca="1">IFERROR(__xludf.DUMMYFUNCTION("""COMPUTED_VALUE"""),-0.661861976588403)</f>
        <v>-0.66186197658840296</v>
      </c>
      <c r="FL48" s="3">
        <f ca="1">IFERROR(__xludf.DUMMYFUNCTION("""COMPUTED_VALUE"""),-0.656841581967741)</f>
        <v>-0.65684158196774101</v>
      </c>
      <c r="FM48" s="3">
        <f ca="1">IFERROR(__xludf.DUMMYFUNCTION("""COMPUTED_VALUE"""),-0.572421002229279)</f>
        <v>-0.57242100222927905</v>
      </c>
      <c r="FN48" s="3">
        <f ca="1">IFERROR(__xludf.DUMMYFUNCTION("""COMPUTED_VALUE"""),-0.604035531040327)</f>
        <v>-0.60403553104032703</v>
      </c>
      <c r="FO48" s="3">
        <f ca="1">IFERROR(__xludf.DUMMYFUNCTION("""COMPUTED_VALUE"""),-0.635599623162252)</f>
        <v>-0.63559962316225205</v>
      </c>
      <c r="FP48" s="3">
        <f ca="1">IFERROR(__xludf.DUMMYFUNCTION("""COMPUTED_VALUE"""),-0.667236086398985)</f>
        <v>-0.66723608639898502</v>
      </c>
      <c r="FQ48" s="3">
        <f ca="1">IFERROR(__xludf.DUMMYFUNCTION("""COMPUTED_VALUE"""),-0.663803929728099)</f>
        <v>-0.66380392972809898</v>
      </c>
      <c r="FR48" s="3">
        <f ca="1">IFERROR(__xludf.DUMMYFUNCTION("""COMPUTED_VALUE"""),-0.640023280903217)</f>
        <v>-0.64002328090321703</v>
      </c>
      <c r="FS48" s="3">
        <f ca="1">IFERROR(__xludf.DUMMYFUNCTION("""COMPUTED_VALUE"""),-0.590161163804664)</f>
        <v>-0.59016116380466399</v>
      </c>
      <c r="FT48" s="3">
        <f ca="1">IFERROR(__xludf.DUMMYFUNCTION("""COMPUTED_VALUE"""),-0.58627765881652)</f>
        <v>-0.58627765881652005</v>
      </c>
      <c r="FU48" s="3">
        <f ca="1">IFERROR(__xludf.DUMMYFUNCTION("""COMPUTED_VALUE"""),-0.615694599187723)</f>
        <v>-0.61569459918772296</v>
      </c>
      <c r="FV48" s="3">
        <f ca="1">IFERROR(__xludf.DUMMYFUNCTION("""COMPUTED_VALUE"""),-0.674892136159636)</f>
        <v>-0.67489213615963595</v>
      </c>
      <c r="FW48" s="3">
        <f ca="1">IFERROR(__xludf.DUMMYFUNCTION("""COMPUTED_VALUE"""),-0.65962054683866)</f>
        <v>-0.65962054683866</v>
      </c>
      <c r="FX48" s="3">
        <f ca="1">IFERROR(__xludf.DUMMYFUNCTION("""COMPUTED_VALUE"""),-0.680479147428852)</f>
        <v>-0.68047914742885196</v>
      </c>
      <c r="FY48" s="3">
        <f ca="1">IFERROR(__xludf.DUMMYFUNCTION("""COMPUTED_VALUE"""),-0.685645758461304)</f>
        <v>-0.68564575846130404</v>
      </c>
      <c r="FZ48" s="3">
        <f ca="1">IFERROR(__xludf.DUMMYFUNCTION("""COMPUTED_VALUE"""),-0.692623016206845)</f>
        <v>-0.69262301620684497</v>
      </c>
      <c r="GA48" s="3">
        <f ca="1">IFERROR(__xludf.DUMMYFUNCTION("""COMPUTED_VALUE"""),-0.587486381284353)</f>
        <v>-0.58748638128435304</v>
      </c>
      <c r="GB48" s="3">
        <f ca="1">IFERROR(__xludf.DUMMYFUNCTION("""COMPUTED_VALUE"""),-0.648011212820672)</f>
        <v>-0.64801121282067198</v>
      </c>
      <c r="GC48" s="3">
        <f ca="1">IFERROR(__xludf.DUMMYFUNCTION("""COMPUTED_VALUE"""),-0.673543286401461)</f>
        <v>-0.67354328640146099</v>
      </c>
      <c r="GD48" s="3">
        <f ca="1">IFERROR(__xludf.DUMMYFUNCTION("""COMPUTED_VALUE"""),-0.665491064448504)</f>
        <v>-0.66549106444850403</v>
      </c>
      <c r="GE48" s="3">
        <f ca="1">IFERROR(__xludf.DUMMYFUNCTION("""COMPUTED_VALUE"""),-0.657269014114969)</f>
        <v>-0.65726901411496896</v>
      </c>
      <c r="GF48" s="3">
        <f ca="1">IFERROR(__xludf.DUMMYFUNCTION("""COMPUTED_VALUE"""),-0.638618300965856)</f>
        <v>-0.63861830096585603</v>
      </c>
      <c r="GG48" s="3">
        <f ca="1">IFERROR(__xludf.DUMMYFUNCTION("""COMPUTED_VALUE"""),-0.557060619156646)</f>
        <v>-0.55706061915664595</v>
      </c>
      <c r="GH48" s="3">
        <f ca="1">IFERROR(__xludf.DUMMYFUNCTION("""COMPUTED_VALUE"""),-0.592053375261971)</f>
        <v>-0.59205337526197099</v>
      </c>
      <c r="GI48" s="3">
        <f ca="1">IFERROR(__xludf.DUMMYFUNCTION("""COMPUTED_VALUE"""),-0.609139186032657)</f>
        <v>-0.60913918603265704</v>
      </c>
      <c r="GJ48" s="3">
        <f ca="1">IFERROR(__xludf.DUMMYFUNCTION("""COMPUTED_VALUE"""),-0.666257832653058)</f>
        <v>-0.66625783265305805</v>
      </c>
      <c r="GK48" s="3">
        <f ca="1">IFERROR(__xludf.DUMMYFUNCTION("""COMPUTED_VALUE"""),-0.627499277960827)</f>
        <v>-0.62749927796082705</v>
      </c>
      <c r="GL48" s="3">
        <f ca="1">IFERROR(__xludf.DUMMYFUNCTION("""COMPUTED_VALUE"""),-0.600896972705483)</f>
        <v>-0.60089697270548303</v>
      </c>
      <c r="GM48" s="3">
        <f ca="1">IFERROR(__xludf.DUMMYFUNCTION("""COMPUTED_VALUE"""),-0.610009605737468)</f>
        <v>-0.61000960573746799</v>
      </c>
      <c r="GN48" s="3">
        <f ca="1">IFERROR(__xludf.DUMMYFUNCTION("""COMPUTED_VALUE"""),-0.58160056103973)</f>
        <v>-0.58160056103973001</v>
      </c>
      <c r="GO48" s="3">
        <f ca="1">IFERROR(__xludf.DUMMYFUNCTION("""COMPUTED_VALUE"""),-0.457911980480399)</f>
        <v>-0.45791198048039899</v>
      </c>
      <c r="GP48" s="3">
        <f ca="1">IFERROR(__xludf.DUMMYFUNCTION("""COMPUTED_VALUE"""),-0.483979164456223)</f>
        <v>-0.48397916445622302</v>
      </c>
      <c r="GQ48" s="3">
        <f ca="1">IFERROR(__xludf.DUMMYFUNCTION("""COMPUTED_VALUE"""),-0.590966950072323)</f>
        <v>-0.59096695007232303</v>
      </c>
      <c r="GR48" s="3">
        <f ca="1">IFERROR(__xludf.DUMMYFUNCTION("""COMPUTED_VALUE"""),-0.581159771006291)</f>
        <v>-0.58115977100629101</v>
      </c>
      <c r="GS48" s="3">
        <f ca="1">IFERROR(__xludf.DUMMYFUNCTION("""COMPUTED_VALUE"""),-0.576484579815549)</f>
        <v>-0.57648457981554901</v>
      </c>
      <c r="GT48" s="3">
        <f ca="1">IFERROR(__xludf.DUMMYFUNCTION("""COMPUTED_VALUE"""),-0.57193852807908)</f>
        <v>-0.57193852807907997</v>
      </c>
      <c r="GU48" s="3">
        <f ca="1">IFERROR(__xludf.DUMMYFUNCTION("""COMPUTED_VALUE"""),-0.542572964389055)</f>
        <v>-0.542572964389055</v>
      </c>
      <c r="GV48" s="3">
        <f ca="1">IFERROR(__xludf.DUMMYFUNCTION("""COMPUTED_VALUE"""),-0.452833024178118)</f>
        <v>-0.45283302417811799</v>
      </c>
      <c r="GW48" s="3">
        <f ca="1">IFERROR(__xludf.DUMMYFUNCTION("""COMPUTED_VALUE"""),-0.467321823117321)</f>
        <v>-0.46732182311732101</v>
      </c>
      <c r="GX48" s="3">
        <f ca="1">IFERROR(__xludf.DUMMYFUNCTION("""COMPUTED_VALUE"""),-0.551568566864023)</f>
        <v>-0.551568566864023</v>
      </c>
      <c r="GY48" s="3">
        <f ca="1">IFERROR(__xludf.DUMMYFUNCTION("""COMPUTED_VALUE"""),-0.549286686684845)</f>
        <v>-0.54928668668484504</v>
      </c>
      <c r="GZ48" s="3">
        <f ca="1">IFERROR(__xludf.DUMMYFUNCTION("""COMPUTED_VALUE"""),-0.556096231106912)</f>
        <v>-0.55609623110691198</v>
      </c>
      <c r="HA48" s="3">
        <f ca="1">IFERROR(__xludf.DUMMYFUNCTION("""COMPUTED_VALUE"""),-0.547424370658618)</f>
        <v>-0.54742437065861804</v>
      </c>
      <c r="HB48" s="3">
        <f ca="1">IFERROR(__xludf.DUMMYFUNCTION("""COMPUTED_VALUE"""),-0.520657552491803)</f>
        <v>-0.52065755249180301</v>
      </c>
      <c r="HC48" s="3">
        <f ca="1">IFERROR(__xludf.DUMMYFUNCTION("""COMPUTED_VALUE"""),-0.474453824274608)</f>
        <v>-0.47445382427460803</v>
      </c>
      <c r="HD48" s="3">
        <f ca="1">IFERROR(__xludf.DUMMYFUNCTION("""COMPUTED_VALUE"""),-0.424942053154451)</f>
        <v>-0.42494205315445099</v>
      </c>
      <c r="HE48" s="3">
        <f ca="1">IFERROR(__xludf.DUMMYFUNCTION("""COMPUTED_VALUE"""),-0.53021259557458)</f>
        <v>-0.53021259557458</v>
      </c>
      <c r="HF48" s="3">
        <f ca="1">IFERROR(__xludf.DUMMYFUNCTION("""COMPUTED_VALUE"""),-0.545549140470165)</f>
        <v>-0.54554914047016501</v>
      </c>
      <c r="HG48" s="3">
        <f ca="1">IFERROR(__xludf.DUMMYFUNCTION("""COMPUTED_VALUE"""),-0.537892018968835)</f>
        <v>-0.53789201896883498</v>
      </c>
      <c r="HH48" s="3">
        <f ca="1">IFERROR(__xludf.DUMMYFUNCTION("""COMPUTED_VALUE"""),-0.534780797393709)</f>
        <v>-0.53478079739370898</v>
      </c>
      <c r="HI48" s="3">
        <f ca="1">IFERROR(__xludf.DUMMYFUNCTION("""COMPUTED_VALUE"""),-0.621928506938052)</f>
        <v>-0.62192850693805202</v>
      </c>
      <c r="HJ48" s="3">
        <f ca="1">IFERROR(__xludf.DUMMYFUNCTION("""COMPUTED_VALUE"""),-0.372696922807778)</f>
        <v>-0.372696922807778</v>
      </c>
      <c r="HK48" s="3">
        <f ca="1">IFERROR(__xludf.DUMMYFUNCTION("""COMPUTED_VALUE"""),-0.406826323272077)</f>
        <v>-0.40682632327207702</v>
      </c>
      <c r="HL48" s="3">
        <f ca="1">IFERROR(__xludf.DUMMYFUNCTION("""COMPUTED_VALUE"""),-0.498240028054599)</f>
        <v>-0.49824002805459899</v>
      </c>
      <c r="HM48" s="3">
        <f ca="1">IFERROR(__xludf.DUMMYFUNCTION("""COMPUTED_VALUE"""),-0.509209538077794)</f>
        <v>-0.50920953807779401</v>
      </c>
      <c r="HN48" s="3">
        <f ca="1">IFERROR(__xludf.DUMMYFUNCTION("""COMPUTED_VALUE"""),-0.534993453875408)</f>
        <v>-0.53499345387540798</v>
      </c>
      <c r="HO48" s="3">
        <f ca="1">IFERROR(__xludf.DUMMYFUNCTION("""COMPUTED_VALUE"""),-0.476080318289282)</f>
        <v>-0.47608031828928199</v>
      </c>
      <c r="HP48" s="3">
        <f ca="1">IFERROR(__xludf.DUMMYFUNCTION("""COMPUTED_VALUE"""),-0.38822032254549)</f>
        <v>-0.38822032254548999</v>
      </c>
      <c r="HQ48" s="3">
        <f ca="1">IFERROR(__xludf.DUMMYFUNCTION("""COMPUTED_VALUE"""),-0.399905768449708)</f>
        <v>-0.39990576844970799</v>
      </c>
      <c r="HR48" s="3">
        <f ca="1">IFERROR(__xludf.DUMMYFUNCTION("""COMPUTED_VALUE"""),-0.50538705771467)</f>
        <v>-0.50538705771466996</v>
      </c>
      <c r="HS48" s="3">
        <f ca="1">IFERROR(__xludf.DUMMYFUNCTION("""COMPUTED_VALUE"""),-0.515585562591872)</f>
        <v>-0.51558556259187205</v>
      </c>
      <c r="HT48" s="3">
        <f ca="1">IFERROR(__xludf.DUMMYFUNCTION("""COMPUTED_VALUE"""),-0.546003796656158)</f>
        <v>-0.54600379665615795</v>
      </c>
      <c r="HU48" s="3">
        <f ca="1">IFERROR(__xludf.DUMMYFUNCTION("""COMPUTED_VALUE"""),-0.548568213573059)</f>
        <v>-0.54856821357305896</v>
      </c>
      <c r="HV48" s="3">
        <f ca="1">IFERROR(__xludf.DUMMYFUNCTION("""COMPUTED_VALUE"""),-0.545492002094208)</f>
        <v>-0.54549200209420801</v>
      </c>
      <c r="HW48" s="3">
        <f ca="1">IFERROR(__xludf.DUMMYFUNCTION("""COMPUTED_VALUE"""),-0.437407496434213)</f>
        <v>-0.43740749643421301</v>
      </c>
      <c r="HX48" s="3">
        <f ca="1">IFERROR(__xludf.DUMMYFUNCTION("""COMPUTED_VALUE"""),-0.442118731894063)</f>
        <v>-0.44211873189406298</v>
      </c>
      <c r="HY48" s="3">
        <f ca="1">IFERROR(__xludf.DUMMYFUNCTION("""COMPUTED_VALUE"""),-0.404569080632954)</f>
        <v>-0.40456908063295399</v>
      </c>
      <c r="HZ48" s="3">
        <f ca="1">IFERROR(__xludf.DUMMYFUNCTION("""COMPUTED_VALUE"""),-0.558668462422317)</f>
        <v>-0.55866846242231705</v>
      </c>
      <c r="IA48" s="3">
        <f ca="1">IFERROR(__xludf.DUMMYFUNCTION("""COMPUTED_VALUE"""),-0.558027424287075)</f>
        <v>-0.55802742428707497</v>
      </c>
      <c r="IB48" s="3">
        <f ca="1">IFERROR(__xludf.DUMMYFUNCTION("""COMPUTED_VALUE"""),-0.513809968731177)</f>
        <v>-0.51380996873117701</v>
      </c>
      <c r="IC48" s="3">
        <f ca="1">IFERROR(__xludf.DUMMYFUNCTION("""COMPUTED_VALUE"""),-0.542977166316874)</f>
        <v>-0.54297716631687398</v>
      </c>
      <c r="ID48" s="3">
        <f ca="1">IFERROR(__xludf.DUMMYFUNCTION("""COMPUTED_VALUE"""),-0.534535012761454)</f>
        <v>-0.53453501276145399</v>
      </c>
      <c r="IE48" s="3">
        <f ca="1">IFERROR(__xludf.DUMMYFUNCTION("""COMPUTED_VALUE"""),-0.400889940304462)</f>
        <v>-0.40088994030446201</v>
      </c>
      <c r="IF48" s="3">
        <f ca="1">IFERROR(__xludf.DUMMYFUNCTION("""COMPUTED_VALUE"""),-0.405140973942474)</f>
        <v>-0.405140973942474</v>
      </c>
      <c r="IG48" s="3">
        <f ca="1">IFERROR(__xludf.DUMMYFUNCTION("""COMPUTED_VALUE"""),-0.497024435066728)</f>
        <v>-0.497024435066728</v>
      </c>
      <c r="IH48" s="3">
        <f ca="1">IFERROR(__xludf.DUMMYFUNCTION("""COMPUTED_VALUE"""),-0.503608308215561)</f>
        <v>-0.50360830821556102</v>
      </c>
      <c r="II48" s="3">
        <f ca="1">IFERROR(__xludf.DUMMYFUNCTION("""COMPUTED_VALUE"""),-0.476804041139576)</f>
        <v>-0.47680404113957597</v>
      </c>
      <c r="IJ48" s="3">
        <f ca="1">IFERROR(__xludf.DUMMYFUNCTION("""COMPUTED_VALUE"""),-0.495612948937775)</f>
        <v>-0.49561294893777502</v>
      </c>
      <c r="IK48" s="3">
        <f ca="1">IFERROR(__xludf.DUMMYFUNCTION("""COMPUTED_VALUE"""),-0.453434611544539)</f>
        <v>-0.45343461154453901</v>
      </c>
      <c r="IL48" s="3">
        <f ca="1">IFERROR(__xludf.DUMMYFUNCTION("""COMPUTED_VALUE"""),-0.426369722898355)</f>
        <v>-0.42636972289835501</v>
      </c>
      <c r="IM48" s="3">
        <f ca="1">IFERROR(__xludf.DUMMYFUNCTION("""COMPUTED_VALUE"""),-0.370302416104366)</f>
        <v>-0.37030241610436598</v>
      </c>
      <c r="IN48" s="3">
        <f ca="1">IFERROR(__xludf.DUMMYFUNCTION("""COMPUTED_VALUE"""),-0.434268282680255)</f>
        <v>-0.43426828268025502</v>
      </c>
      <c r="IO48" s="3">
        <f ca="1">IFERROR(__xludf.DUMMYFUNCTION("""COMPUTED_VALUE"""),-0.455643726460542)</f>
        <v>-0.45564372646054202</v>
      </c>
      <c r="IP48" s="3">
        <f ca="1">IFERROR(__xludf.DUMMYFUNCTION("""COMPUTED_VALUE"""),-0.463298601569678)</f>
        <v>-0.463298601569678</v>
      </c>
      <c r="IQ48" s="3">
        <f ca="1">IFERROR(__xludf.DUMMYFUNCTION("""COMPUTED_VALUE"""),-0.504118788827816)</f>
        <v>-0.50411878882781602</v>
      </c>
      <c r="IR48" s="3">
        <f ca="1">IFERROR(__xludf.DUMMYFUNCTION("""COMPUTED_VALUE"""),-0.420439161468943)</f>
        <v>-0.420439161468943</v>
      </c>
      <c r="IS48" s="3">
        <f ca="1">IFERROR(__xludf.DUMMYFUNCTION("""COMPUTED_VALUE"""),-0.445962179589528)</f>
        <v>-0.445962179589528</v>
      </c>
      <c r="IT48" s="3">
        <f ca="1">IFERROR(__xludf.DUMMYFUNCTION("""COMPUTED_VALUE"""),-0.33160831027088)</f>
        <v>-0.33160831027088</v>
      </c>
      <c r="IU48" s="3">
        <f ca="1">IFERROR(__xludf.DUMMYFUNCTION("""COMPUTED_VALUE"""),-0.398531832408288)</f>
        <v>-0.39853183240828799</v>
      </c>
      <c r="IV48" s="3">
        <f ca="1">IFERROR(__xludf.DUMMYFUNCTION("""COMPUTED_VALUE"""),-0.410804566066029)</f>
        <v>-0.410804566066029</v>
      </c>
      <c r="IW48" s="3">
        <f ca="1">IFERROR(__xludf.DUMMYFUNCTION("""COMPUTED_VALUE"""),-0.41117142462028)</f>
        <v>-0.41117142462028</v>
      </c>
      <c r="IX48" s="3">
        <f ca="1">IFERROR(__xludf.DUMMYFUNCTION("""COMPUTED_VALUE"""),-0.404336383977339)</f>
        <v>-0.40433638397733901</v>
      </c>
      <c r="IY48" s="3">
        <f ca="1">IFERROR(__xludf.DUMMYFUNCTION("""COMPUTED_VALUE"""),-0.451321532842113)</f>
        <v>-0.45132153284211302</v>
      </c>
      <c r="IZ48" s="3">
        <f ca="1">IFERROR(__xludf.DUMMYFUNCTION("""COMPUTED_VALUE"""),-0.365313110294761)</f>
        <v>-0.36531311029476099</v>
      </c>
      <c r="JA48" s="3">
        <f ca="1">IFERROR(__xludf.DUMMYFUNCTION("""COMPUTED_VALUE"""),-0.342457594226956)</f>
        <v>-0.34245759422695599</v>
      </c>
      <c r="JB48" s="3">
        <f ca="1">IFERROR(__xludf.DUMMYFUNCTION("""COMPUTED_VALUE"""),-0.406416652405808)</f>
        <v>-0.40641665240580799</v>
      </c>
      <c r="JC48" s="3">
        <f ca="1">IFERROR(__xludf.DUMMYFUNCTION("""COMPUTED_VALUE"""),-0.446202707974151)</f>
        <v>-0.44620270797415101</v>
      </c>
      <c r="JD48" s="3">
        <f ca="1">IFERROR(__xludf.DUMMYFUNCTION("""COMPUTED_VALUE"""),-0.433390320543151)</f>
        <v>-0.43339032054315102</v>
      </c>
      <c r="JE48" s="3">
        <f ca="1">IFERROR(__xludf.DUMMYFUNCTION("""COMPUTED_VALUE"""),-0.406649309360716)</f>
        <v>-0.40664930936071603</v>
      </c>
      <c r="JF48" s="3">
        <f ca="1">IFERROR(__xludf.DUMMYFUNCTION("""COMPUTED_VALUE"""),-0.388739085804749)</f>
        <v>-0.38873908580474897</v>
      </c>
      <c r="JG48" s="3">
        <f ca="1">IFERROR(__xludf.DUMMYFUNCTION("""COMPUTED_VALUE"""),-0.340223304915711)</f>
        <v>-0.34022330491571101</v>
      </c>
      <c r="JH48" s="3">
        <f ca="1">IFERROR(__xludf.DUMMYFUNCTION("""COMPUTED_VALUE"""),-0.331327173557379)</f>
        <v>-0.33132717355737901</v>
      </c>
      <c r="JI48" s="3">
        <f ca="1">IFERROR(__xludf.DUMMYFUNCTION("""COMPUTED_VALUE"""),-0.419737205108213)</f>
        <v>-0.419737205108213</v>
      </c>
      <c r="JJ48" s="3">
        <f ca="1">IFERROR(__xludf.DUMMYFUNCTION("""COMPUTED_VALUE"""),-0.430597910723722)</f>
        <v>-0.430597910723722</v>
      </c>
      <c r="JK48" s="3">
        <f ca="1">IFERROR(__xludf.DUMMYFUNCTION("""COMPUTED_VALUE"""),-0.406361646052253)</f>
        <v>-0.406361646052253</v>
      </c>
      <c r="JL48" s="3">
        <f ca="1">IFERROR(__xludf.DUMMYFUNCTION("""COMPUTED_VALUE"""),-0.410987510062027)</f>
        <v>-0.41098751006202699</v>
      </c>
      <c r="JM48" s="3">
        <f ca="1">IFERROR(__xludf.DUMMYFUNCTION("""COMPUTED_VALUE"""),-0.388281099465451)</f>
        <v>-0.38828109946545097</v>
      </c>
      <c r="JN48" s="3">
        <f ca="1">IFERROR(__xludf.DUMMYFUNCTION("""COMPUTED_VALUE"""),-0.374357454372877)</f>
        <v>-0.37435745437287699</v>
      </c>
      <c r="JO48" s="3">
        <f ca="1">IFERROR(__xludf.DUMMYFUNCTION("""COMPUTED_VALUE"""),-0.454182982814215)</f>
        <v>-0.45418298281421499</v>
      </c>
      <c r="JP48" s="3">
        <f ca="1">IFERROR(__xludf.DUMMYFUNCTION("""COMPUTED_VALUE"""),-0.433151040534193)</f>
        <v>-0.43315104053419301</v>
      </c>
      <c r="JQ48" s="3">
        <f ca="1">IFERROR(__xludf.DUMMYFUNCTION("""COMPUTED_VALUE"""),-0.445804195840957)</f>
        <v>-0.44580419584095698</v>
      </c>
      <c r="JR48" s="3">
        <f ca="1">IFERROR(__xludf.DUMMYFUNCTION("""COMPUTED_VALUE"""),-0.467004234532749)</f>
        <v>-0.46700423453274897</v>
      </c>
      <c r="JS48" s="3">
        <f ca="1">IFERROR(__xludf.DUMMYFUNCTION("""COMPUTED_VALUE"""),-0.423377724003467)</f>
        <v>-0.42337772400346702</v>
      </c>
      <c r="JT48" s="3">
        <f ca="1">IFERROR(__xludf.DUMMYFUNCTION("""COMPUTED_VALUE"""),-0.343080678531622)</f>
        <v>-0.343080678531622</v>
      </c>
      <c r="JU48" s="3">
        <f ca="1">IFERROR(__xludf.DUMMYFUNCTION("""COMPUTED_VALUE"""),-0.348253069120275)</f>
        <v>-0.34825306912027498</v>
      </c>
      <c r="JV48" s="3">
        <f ca="1">IFERROR(__xludf.DUMMYFUNCTION("""COMPUTED_VALUE"""),-0.356425004979933)</f>
        <v>-0.35642500497993301</v>
      </c>
      <c r="JW48" s="3">
        <f ca="1">IFERROR(__xludf.DUMMYFUNCTION("""COMPUTED_VALUE"""),-0.449714851317346)</f>
        <v>-0.44971485131734601</v>
      </c>
      <c r="JX48" s="3">
        <f ca="1">IFERROR(__xludf.DUMMYFUNCTION("""COMPUTED_VALUE"""),-0.480405098588308)</f>
        <v>-0.48040509858830799</v>
      </c>
      <c r="JY48" s="3">
        <f ca="1">IFERROR(__xludf.DUMMYFUNCTION("""COMPUTED_VALUE"""),-0.536311041831853)</f>
        <v>-0.53631104183185296</v>
      </c>
      <c r="JZ48" s="3">
        <f ca="1">IFERROR(__xludf.DUMMYFUNCTION("""COMPUTED_VALUE"""),-0.436538917712551)</f>
        <v>-0.43653891771255099</v>
      </c>
      <c r="KA48" s="3">
        <f ca="1">IFERROR(__xludf.DUMMYFUNCTION("""COMPUTED_VALUE"""),-0.353744191197796)</f>
        <v>-0.35374419119779599</v>
      </c>
      <c r="KB48" s="3">
        <f ca="1">IFERROR(__xludf.DUMMYFUNCTION("""COMPUTED_VALUE"""),-0.462384923300577)</f>
        <v>-0.46238492330057701</v>
      </c>
      <c r="KC48" s="3">
        <f ca="1">IFERROR(__xludf.DUMMYFUNCTION("""COMPUTED_VALUE"""),-0.456557319400119)</f>
        <v>-0.45655731940011901</v>
      </c>
      <c r="KD48" s="3">
        <f ca="1">IFERROR(__xludf.DUMMYFUNCTION("""COMPUTED_VALUE"""),-0.50288185574064)</f>
        <v>-0.50288185574064004</v>
      </c>
      <c r="KE48" s="3">
        <f ca="1">IFERROR(__xludf.DUMMYFUNCTION("""COMPUTED_VALUE"""),-0.537523109277988)</f>
        <v>-0.53752310927798796</v>
      </c>
      <c r="KF48" s="3">
        <f ca="1">IFERROR(__xludf.DUMMYFUNCTION("""COMPUTED_VALUE"""),-0.651388990754938)</f>
        <v>-0.65138899075493795</v>
      </c>
      <c r="KG48" s="3">
        <f ca="1">IFERROR(__xludf.DUMMYFUNCTION("""COMPUTED_VALUE"""),-0.518973222730154)</f>
        <v>-0.518973222730154</v>
      </c>
      <c r="KH48" s="3">
        <f ca="1">IFERROR(__xludf.DUMMYFUNCTION("""COMPUTED_VALUE"""),-0.392121123219938)</f>
        <v>-0.39212112321993797</v>
      </c>
      <c r="KI48" s="3">
        <f ca="1">IFERROR(__xludf.DUMMYFUNCTION("""COMPUTED_VALUE"""),-0.480730918264661)</f>
        <v>-0.48073091826466102</v>
      </c>
      <c r="KJ48" s="3">
        <f ca="1">IFERROR(__xludf.DUMMYFUNCTION("""COMPUTED_VALUE"""),-0.471559832960381)</f>
        <v>-0.47155983296038101</v>
      </c>
      <c r="KK48" s="3">
        <f ca="1">IFERROR(__xludf.DUMMYFUNCTION("""COMPUTED_VALUE"""),-0.578378420412433)</f>
        <v>-0.57837842041243304</v>
      </c>
      <c r="KL48" s="3">
        <f ca="1">IFERROR(__xludf.DUMMYFUNCTION("""COMPUTED_VALUE"""),-0.601236573585725)</f>
        <v>-0.60123657358572502</v>
      </c>
      <c r="KM48" s="3">
        <f ca="1">IFERROR(__xludf.DUMMYFUNCTION("""COMPUTED_VALUE"""),-0.61352738302546)</f>
        <v>-0.61352738302545995</v>
      </c>
      <c r="KN48" s="3">
        <f ca="1">IFERROR(__xludf.DUMMYFUNCTION("""COMPUTED_VALUE"""),-0.606728586003617)</f>
        <v>-0.60672858600361701</v>
      </c>
      <c r="KO48" s="3">
        <f ca="1">IFERROR(__xludf.DUMMYFUNCTION("""COMPUTED_VALUE"""),-0.565055311091659)</f>
        <v>-0.56505531109165896</v>
      </c>
      <c r="KP48" s="3">
        <f ca="1">IFERROR(__xludf.DUMMYFUNCTION("""COMPUTED_VALUE"""),-0.56470713906749)</f>
        <v>-0.56470713906749004</v>
      </c>
      <c r="KQ48" s="3">
        <f ca="1">IFERROR(__xludf.DUMMYFUNCTION("""COMPUTED_VALUE"""),-0.612582960061715)</f>
        <v>-0.61258296006171498</v>
      </c>
      <c r="KR48" s="3">
        <f ca="1">IFERROR(__xludf.DUMMYFUNCTION("""COMPUTED_VALUE"""),-0.668513116343355)</f>
        <v>-0.66851311634335497</v>
      </c>
      <c r="KS48" s="3">
        <f ca="1">IFERROR(__xludf.DUMMYFUNCTION("""COMPUTED_VALUE"""),-0.686856983474024)</f>
        <v>-0.68685698347402402</v>
      </c>
      <c r="KT48" s="3">
        <f ca="1">IFERROR(__xludf.DUMMYFUNCTION("""COMPUTED_VALUE"""),-0.683027339237775)</f>
        <v>-0.68302733923777503</v>
      </c>
      <c r="KU48" s="3">
        <f ca="1">IFERROR(__xludf.DUMMYFUNCTION("""COMPUTED_VALUE"""),-0.664068914182966)</f>
        <v>-0.66406891418296599</v>
      </c>
      <c r="KV48" s="3">
        <f ca="1">IFERROR(__xludf.DUMMYFUNCTION("""COMPUTED_VALUE"""),-0.646927617996079)</f>
        <v>-0.64692761799607901</v>
      </c>
      <c r="KW48" s="3">
        <f ca="1">IFERROR(__xludf.DUMMYFUNCTION("""COMPUTED_VALUE"""),-0.539172471320628)</f>
        <v>-0.53917247132062796</v>
      </c>
      <c r="KX48" s="3">
        <f ca="1">IFERROR(__xludf.DUMMYFUNCTION("""COMPUTED_VALUE"""),-0.65193159435208)</f>
        <v>-0.65193159435208003</v>
      </c>
      <c r="KY48" s="3">
        <f ca="1">IFERROR(__xludf.DUMMYFUNCTION("""COMPUTED_VALUE"""),-0.680886420859849)</f>
        <v>-0.68088642085984896</v>
      </c>
      <c r="KZ48" s="3">
        <f ca="1">IFERROR(__xludf.DUMMYFUNCTION("""COMPUTED_VALUE"""),-0.681454360627365)</f>
        <v>-0.68145436062736497</v>
      </c>
      <c r="LA48" s="3">
        <f ca="1">IFERROR(__xludf.DUMMYFUNCTION("""COMPUTED_VALUE"""),-0.721179511369075)</f>
        <v>-0.72117951136907499</v>
      </c>
      <c r="LB48" s="3">
        <f ca="1">IFERROR(__xludf.DUMMYFUNCTION("""COMPUTED_VALUE"""),-0.706217579859806)</f>
        <v>-0.70621757985980604</v>
      </c>
      <c r="LC48" s="3">
        <f ca="1">IFERROR(__xludf.DUMMYFUNCTION("""COMPUTED_VALUE"""),-0.67759158788035)</f>
        <v>-0.67759158788035001</v>
      </c>
      <c r="LD48" s="3">
        <f ca="1">IFERROR(__xludf.DUMMYFUNCTION("""COMPUTED_VALUE"""),-0.639872661704286)</f>
        <v>-0.63987266170428603</v>
      </c>
      <c r="LE48" s="3">
        <f ca="1">IFERROR(__xludf.DUMMYFUNCTION("""COMPUTED_VALUE"""),-0.685715819489489)</f>
        <v>-0.68571581948948901</v>
      </c>
      <c r="LF48" s="3">
        <f ca="1">IFERROR(__xludf.DUMMYFUNCTION("""COMPUTED_VALUE"""),-0.748148827689291)</f>
        <v>-0.74814882768929103</v>
      </c>
      <c r="LG48" s="3">
        <f ca="1">IFERROR(__xludf.DUMMYFUNCTION("""COMPUTED_VALUE"""),-0.734661851325144)</f>
        <v>-0.73466185132514406</v>
      </c>
      <c r="LH48" s="3">
        <f ca="1">IFERROR(__xludf.DUMMYFUNCTION("""COMPUTED_VALUE"""),-0.709643861169167)</f>
        <v>-0.709643861169167</v>
      </c>
      <c r="LI48" s="3">
        <f ca="1">IFERROR(__xludf.DUMMYFUNCTION("""COMPUTED_VALUE"""),-0.710038048368058)</f>
        <v>-0.71003804836805795</v>
      </c>
      <c r="LJ48" s="3">
        <f ca="1">IFERROR(__xludf.DUMMYFUNCTION("""COMPUTED_VALUE"""),-0.688422964234804)</f>
        <v>-0.68842296423480398</v>
      </c>
      <c r="LK48" s="3">
        <f ca="1">IFERROR(__xludf.DUMMYFUNCTION("""COMPUTED_VALUE"""),-0.691628200260192)</f>
        <v>-0.69162820026019201</v>
      </c>
      <c r="LL48" s="3">
        <f ca="1">IFERROR(__xludf.DUMMYFUNCTION("""COMPUTED_VALUE"""),-0.709119837385066)</f>
        <v>-0.70911983738506601</v>
      </c>
      <c r="LM48" s="3">
        <f ca="1">IFERROR(__xludf.DUMMYFUNCTION("""COMPUTED_VALUE"""),-0.770456252858303)</f>
        <v>-0.77045625285830299</v>
      </c>
      <c r="LN48" s="3">
        <f ca="1">IFERROR(__xludf.DUMMYFUNCTION("""COMPUTED_VALUE"""),-0.78301406174961)</f>
        <v>-0.78301406174960997</v>
      </c>
      <c r="LO48" s="3">
        <f ca="1">IFERROR(__xludf.DUMMYFUNCTION("""COMPUTED_VALUE"""),-0.773720164275949)</f>
        <v>-0.77372016427594903</v>
      </c>
      <c r="LP48" s="3">
        <f ca="1">IFERROR(__xludf.DUMMYFUNCTION("""COMPUTED_VALUE"""),-0.784359841874487)</f>
        <v>-0.78435984187448704</v>
      </c>
      <c r="LQ48" s="3">
        <f ca="1">IFERROR(__xludf.DUMMYFUNCTION("""COMPUTED_VALUE"""),-0.762607978336112)</f>
        <v>-0.76260797833611205</v>
      </c>
      <c r="LR48" s="3">
        <f ca="1">IFERROR(__xludf.DUMMYFUNCTION("""COMPUTED_VALUE"""),-0.769932830251607)</f>
        <v>-0.76993283025160697</v>
      </c>
      <c r="LS48" s="3">
        <f ca="1">IFERROR(__xludf.DUMMYFUNCTION("""COMPUTED_VALUE"""),-0.766164601062536)</f>
        <v>-0.76616460106253603</v>
      </c>
      <c r="LT48" s="3">
        <f ca="1">IFERROR(__xludf.DUMMYFUNCTION("""COMPUTED_VALUE"""),-0.834419467258923)</f>
        <v>-0.83441946725892302</v>
      </c>
      <c r="LU48" s="3">
        <f ca="1">IFERROR(__xludf.DUMMYFUNCTION("""COMPUTED_VALUE"""),-0.813982864377079)</f>
        <v>-0.81398286437707901</v>
      </c>
      <c r="LV48" s="3">
        <f ca="1">IFERROR(__xludf.DUMMYFUNCTION("""COMPUTED_VALUE"""),-0.806802567243651)</f>
        <v>-0.80680256724365096</v>
      </c>
      <c r="LW48" s="3">
        <f ca="1">IFERROR(__xludf.DUMMYFUNCTION("""COMPUTED_VALUE"""),-0.808014222411168)</f>
        <v>-0.80801422241116805</v>
      </c>
      <c r="LX48" s="3">
        <f ca="1">IFERROR(__xludf.DUMMYFUNCTION("""COMPUTED_VALUE"""),-0.777476865273226)</f>
        <v>-0.77747686527322601</v>
      </c>
      <c r="LY48" s="3">
        <f ca="1">IFERROR(__xludf.DUMMYFUNCTION("""COMPUTED_VALUE"""),-0.809917267028341)</f>
        <v>-0.80991726702834099</v>
      </c>
      <c r="LZ48" s="3">
        <f ca="1">IFERROR(__xludf.DUMMYFUNCTION("""COMPUTED_VALUE"""),-0.793636063852068)</f>
        <v>-0.79363606385206797</v>
      </c>
      <c r="MA48" s="3">
        <f ca="1">IFERROR(__xludf.DUMMYFUNCTION("""COMPUTED_VALUE"""),-0.841574901945721)</f>
        <v>-0.84157490194572104</v>
      </c>
      <c r="MB48" s="3">
        <f ca="1">IFERROR(__xludf.DUMMYFUNCTION("""COMPUTED_VALUE"""),-0.836192310107653)</f>
        <v>-0.83619231010765305</v>
      </c>
      <c r="MC48" s="3">
        <f ca="1">IFERROR(__xludf.DUMMYFUNCTION("""COMPUTED_VALUE"""),-0.831321045807702)</f>
        <v>-0.83132104580770205</v>
      </c>
      <c r="MD48" s="3">
        <f ca="1">IFERROR(__xludf.DUMMYFUNCTION("""COMPUTED_VALUE"""),-0.833568761272381)</f>
        <v>-0.833568761272381</v>
      </c>
      <c r="ME48" s="3">
        <f ca="1">IFERROR(__xludf.DUMMYFUNCTION("""COMPUTED_VALUE"""),-0.815533881958539)</f>
        <v>-0.81553388195853904</v>
      </c>
      <c r="MF48" s="3">
        <f ca="1">IFERROR(__xludf.DUMMYFUNCTION("""COMPUTED_VALUE"""),-0.809250186408854)</f>
        <v>-0.80925018640885404</v>
      </c>
      <c r="MG48" s="3">
        <f ca="1">IFERROR(__xludf.DUMMYFUNCTION("""COMPUTED_VALUE"""),-0.797487542097422)</f>
        <v>-0.79748754209742201</v>
      </c>
      <c r="MH48" s="3">
        <f ca="1">IFERROR(__xludf.DUMMYFUNCTION("""COMPUTED_VALUE"""),-0.84145640730007)</f>
        <v>-0.84145640730006999</v>
      </c>
      <c r="MI48" s="3">
        <f ca="1">IFERROR(__xludf.DUMMYFUNCTION("""COMPUTED_VALUE"""),-0.86240951882274)</f>
        <v>-0.86240951882273997</v>
      </c>
      <c r="MJ48" s="3">
        <f ca="1">IFERROR(__xludf.DUMMYFUNCTION("""COMPUTED_VALUE"""),-0.848110940998621)</f>
        <v>-0.84811094099862105</v>
      </c>
      <c r="MK48" s="3">
        <f ca="1">IFERROR(__xludf.DUMMYFUNCTION("""COMPUTED_VALUE"""),-0.848589499033399)</f>
        <v>-0.84858949903339898</v>
      </c>
      <c r="ML48" s="3">
        <f ca="1">IFERROR(__xludf.DUMMYFUNCTION("""COMPUTED_VALUE"""),-0.834285862738141)</f>
        <v>-0.83428586273814098</v>
      </c>
      <c r="MM48" s="3">
        <f ca="1">IFERROR(__xludf.DUMMYFUNCTION("""COMPUTED_VALUE"""),-0.83771646072103)</f>
        <v>-0.83771646072103001</v>
      </c>
      <c r="MN48" s="3">
        <f ca="1">IFERROR(__xludf.DUMMYFUNCTION("""COMPUTED_VALUE"""),-0.822064299865606)</f>
        <v>-0.82206429986560603</v>
      </c>
      <c r="MO48" s="3">
        <f ca="1">IFERROR(__xludf.DUMMYFUNCTION("""COMPUTED_VALUE"""),-0.857753941453597)</f>
        <v>-0.85775394145359696</v>
      </c>
      <c r="MP48" s="3">
        <f ca="1">IFERROR(__xludf.DUMMYFUNCTION("""COMPUTED_VALUE"""),-0.864754865752435)</f>
        <v>-0.86475486575243499</v>
      </c>
      <c r="MQ48" s="3">
        <f ca="1">IFERROR(__xludf.DUMMYFUNCTION("""COMPUTED_VALUE"""),-0.862987072957516)</f>
        <v>-0.86298707295751598</v>
      </c>
      <c r="MR48" s="3">
        <f ca="1">IFERROR(__xludf.DUMMYFUNCTION("""COMPUTED_VALUE"""),-0.864669250423363)</f>
        <v>-0.86466925042336296</v>
      </c>
      <c r="MS48" s="3">
        <f ca="1">IFERROR(__xludf.DUMMYFUNCTION("""COMPUTED_VALUE"""),-0.827463396476465)</f>
        <v>-0.82746339647646505</v>
      </c>
      <c r="MT48" s="3">
        <f ca="1">IFERROR(__xludf.DUMMYFUNCTION("""COMPUTED_VALUE"""),-0.850320160546682)</f>
        <v>-0.85032016054668202</v>
      </c>
      <c r="MU48" s="3">
        <f ca="1">IFERROR(__xludf.DUMMYFUNCTION("""COMPUTED_VALUE"""),-0.830769814227966)</f>
        <v>-0.83076981422796603</v>
      </c>
      <c r="MV48" s="3">
        <f ca="1">IFERROR(__xludf.DUMMYFUNCTION("""COMPUTED_VALUE"""),-0.85894475597998)</f>
        <v>-0.85894475597997999</v>
      </c>
      <c r="MW48" s="3">
        <f ca="1">IFERROR(__xludf.DUMMYFUNCTION("""COMPUTED_VALUE"""),-0.872021260979908)</f>
        <v>-0.87202126097990795</v>
      </c>
      <c r="MX48" s="3">
        <f ca="1">IFERROR(__xludf.DUMMYFUNCTION("""COMPUTED_VALUE"""),-0.864405798510853)</f>
        <v>-0.86440579851085297</v>
      </c>
      <c r="MY48" s="3">
        <f ca="1">IFERROR(__xludf.DUMMYFUNCTION("""COMPUTED_VALUE"""),-0.860456935627964)</f>
        <v>-0.86045693562796399</v>
      </c>
      <c r="MZ48" s="3">
        <f ca="1">IFERROR(__xludf.DUMMYFUNCTION("""COMPUTED_VALUE"""),-0.845025466078251)</f>
        <v>-0.84502546607825102</v>
      </c>
      <c r="NA48" s="3">
        <f ca="1">IFERROR(__xludf.DUMMYFUNCTION("""COMPUTED_VALUE"""),-0.849501598675506)</f>
        <v>-0.84950159867550601</v>
      </c>
      <c r="NB48" s="3">
        <f ca="1">IFERROR(__xludf.DUMMYFUNCTION("""COMPUTED_VALUE"""),-0.843990186587968)</f>
        <v>-0.84399018658796798</v>
      </c>
      <c r="NC48" s="3">
        <f ca="1">IFERROR(__xludf.DUMMYFUNCTION("""COMPUTED_VALUE"""),-0.868220410530251)</f>
        <v>-0.86822041053025101</v>
      </c>
      <c r="ND48" s="3">
        <f ca="1">IFERROR(__xludf.DUMMYFUNCTION("""COMPUTED_VALUE"""),-0.879002008183666)</f>
        <v>-0.87900200818366603</v>
      </c>
      <c r="NE48" s="3">
        <f ca="1">IFERROR(__xludf.DUMMYFUNCTION("""COMPUTED_VALUE"""),-0.871045727927673)</f>
        <v>-0.87104572792767299</v>
      </c>
      <c r="NF48" s="3">
        <f ca="1">IFERROR(__xludf.DUMMYFUNCTION("""COMPUTED_VALUE"""),-0.870731614766556)</f>
        <v>-0.87073161476655603</v>
      </c>
      <c r="NG48" s="3">
        <f ca="1">IFERROR(__xludf.DUMMYFUNCTION("""COMPUTED_VALUE"""),-0.859205758158654)</f>
        <v>-0.85920575815865396</v>
      </c>
      <c r="NH48" s="3">
        <f ca="1">IFERROR(__xludf.DUMMYFUNCTION("""COMPUTED_VALUE"""),-0.852134035857602)</f>
        <v>-0.85213403585760195</v>
      </c>
      <c r="NI48" s="3">
        <f ca="1">IFERROR(__xludf.DUMMYFUNCTION("""COMPUTED_VALUE"""),-0.841628482968995)</f>
        <v>-0.84162848296899495</v>
      </c>
      <c r="NJ48" s="3">
        <f ca="1">IFERROR(__xludf.DUMMYFUNCTION("""COMPUTED_VALUE"""),-0.865085229123823)</f>
        <v>-0.86508522912382302</v>
      </c>
      <c r="NK48" s="3">
        <f ca="1">IFERROR(__xludf.DUMMYFUNCTION("""COMPUTED_VALUE"""),-0.86473014267007)</f>
        <v>-0.86473014267006998</v>
      </c>
      <c r="NL48" s="3">
        <f ca="1">IFERROR(__xludf.DUMMYFUNCTION("""COMPUTED_VALUE"""),-0.839978711082923)</f>
        <v>-0.83997871108292299</v>
      </c>
      <c r="NM48" s="3">
        <f ca="1">IFERROR(__xludf.DUMMYFUNCTION("""COMPUTED_VALUE"""),-0.846394374291479)</f>
        <v>-0.84639437429147901</v>
      </c>
      <c r="NN48" s="3">
        <f ca="1">IFERROR(__xludf.DUMMYFUNCTION("""COMPUTED_VALUE"""),-0.811987024070223)</f>
        <v>-0.81198702407022305</v>
      </c>
      <c r="NO48" s="3">
        <f ca="1">IFERROR(__xludf.DUMMYFUNCTION("""COMPUTED_VALUE"""),-0.817370975185087)</f>
        <v>-0.81737097518508695</v>
      </c>
      <c r="NP48" s="3">
        <f ca="1">IFERROR(__xludf.DUMMYFUNCTION("""COMPUTED_VALUE"""),-0.837503271667932)</f>
        <v>-0.83750327166793204</v>
      </c>
      <c r="NQ48" s="3">
        <f ca="1">IFERROR(__xludf.DUMMYFUNCTION("""COMPUTED_VALUE"""),-0.871017818315572)</f>
        <v>-0.87101781831557201</v>
      </c>
      <c r="NR48" s="3">
        <f ca="1">IFERROR(__xludf.DUMMYFUNCTION("""COMPUTED_VALUE"""),-0.864141888496314)</f>
        <v>-0.86414188849631401</v>
      </c>
      <c r="NS48" s="3">
        <f ca="1">IFERROR(__xludf.DUMMYFUNCTION("""COMPUTED_VALUE"""),-0.855852214720449)</f>
        <v>-0.85585221472044903</v>
      </c>
      <c r="NT48" s="3">
        <f ca="1">IFERROR(__xludf.DUMMYFUNCTION("""COMPUTED_VALUE"""),-0.809407797458035)</f>
        <v>-0.80940779745803504</v>
      </c>
      <c r="NU48" s="3">
        <f ca="1">IFERROR(__xludf.DUMMYFUNCTION("""COMPUTED_VALUE"""),-0.801625061004143)</f>
        <v>-0.80162506100414299</v>
      </c>
      <c r="NV48" s="3">
        <f ca="1">IFERROR(__xludf.DUMMYFUNCTION("""COMPUTED_VALUE"""),-0.731213721402045)</f>
        <v>-0.73121372140204499</v>
      </c>
      <c r="NW48" s="3">
        <f ca="1">IFERROR(__xludf.DUMMYFUNCTION("""COMPUTED_VALUE"""),-0.739690362170131)</f>
        <v>-0.73969036217013096</v>
      </c>
      <c r="NX48" s="3">
        <f ca="1">IFERROR(__xludf.DUMMYFUNCTION("""COMPUTED_VALUE"""),-0.781149161529058)</f>
        <v>-0.781149161529058</v>
      </c>
      <c r="NY48" s="3">
        <f ca="1">IFERROR(__xludf.DUMMYFUNCTION("""COMPUTED_VALUE"""),-0.743456076750783)</f>
        <v>-0.74345607675078296</v>
      </c>
      <c r="NZ48" s="3">
        <f ca="1">IFERROR(__xludf.DUMMYFUNCTION("""COMPUTED_VALUE"""),-0.719199194167799)</f>
        <v>-0.71919919416779898</v>
      </c>
      <c r="OA48" s="3">
        <f ca="1">IFERROR(__xludf.DUMMYFUNCTION("""COMPUTED_VALUE"""),-0.671597049009183)</f>
        <v>-0.67159704900918304</v>
      </c>
      <c r="OB48" s="3">
        <f ca="1">IFERROR(__xludf.DUMMYFUNCTION("""COMPUTED_VALUE"""),-0.578613536012831)</f>
        <v>-0.57861353601283105</v>
      </c>
      <c r="OC48" s="3">
        <f ca="1">IFERROR(__xludf.DUMMYFUNCTION("""COMPUTED_VALUE"""),-0.370161970573459)</f>
        <v>-0.37016197057345901</v>
      </c>
      <c r="OD48" s="3">
        <f ca="1">IFERROR(__xludf.DUMMYFUNCTION("""COMPUTED_VALUE"""),-0.35054895433098)</f>
        <v>-0.35054895433097999</v>
      </c>
      <c r="OE48" s="3">
        <f ca="1">IFERROR(__xludf.DUMMYFUNCTION("""COMPUTED_VALUE"""),-0.321644450402491)</f>
        <v>-0.32164445040249101</v>
      </c>
      <c r="OF48" s="3">
        <f ca="1">IFERROR(__xludf.DUMMYFUNCTION("""COMPUTED_VALUE"""),-0.0656487104143905)</f>
        <v>-6.5648710414390493E-2</v>
      </c>
      <c r="OG48" s="3">
        <f ca="1">IFERROR(__xludf.DUMMYFUNCTION("""COMPUTED_VALUE"""),0.000384284179949734)</f>
        <v>3.8428417994973402E-4</v>
      </c>
      <c r="OH48" s="3">
        <f ca="1">IFERROR(__xludf.DUMMYFUNCTION("""COMPUTED_VALUE"""),0.0125733143303718)</f>
        <v>1.25733143303718E-2</v>
      </c>
      <c r="OI48" s="3">
        <f ca="1">IFERROR(__xludf.DUMMYFUNCTION("""COMPUTED_VALUE"""),0.00488132541647612)</f>
        <v>4.8813254164761198E-3</v>
      </c>
      <c r="OJ48" s="3">
        <f ca="1">IFERROR(__xludf.DUMMYFUNCTION("""COMPUTED_VALUE"""),-0.000834988661714164)</f>
        <v>-8.3498866171416398E-4</v>
      </c>
      <c r="OK48" s="3">
        <f ca="1">IFERROR(__xludf.DUMMYFUNCTION("""COMPUTED_VALUE"""),0.0392522645449671)</f>
        <v>3.9252264544967101E-2</v>
      </c>
      <c r="OL48" s="3">
        <f ca="1">IFERROR(__xludf.DUMMYFUNCTION("""COMPUTED_VALUE"""),-0.0705330144184521)</f>
        <v>-7.0533014418452097E-2</v>
      </c>
      <c r="OM48" s="3">
        <f ca="1">IFERROR(__xludf.DUMMYFUNCTION("""COMPUTED_VALUE"""),-0.0523181747324248)</f>
        <v>-5.2318174732424803E-2</v>
      </c>
      <c r="ON48" s="3">
        <f ca="1">IFERROR(__xludf.DUMMYFUNCTION("""COMPUTED_VALUE"""),-0.0402908725908168)</f>
        <v>-4.0290872590816797E-2</v>
      </c>
      <c r="OO48" s="3">
        <f ca="1">IFERROR(__xludf.DUMMYFUNCTION("""COMPUTED_VALUE"""),-0.0190637841937776)</f>
        <v>-1.9063784193777598E-2</v>
      </c>
      <c r="OP48" s="3">
        <f ca="1">IFERROR(__xludf.DUMMYFUNCTION("""COMPUTED_VALUE"""),-0.046396698218425)</f>
        <v>-4.6396698218425E-2</v>
      </c>
      <c r="OQ48" s="3">
        <f ca="1">IFERROR(__xludf.DUMMYFUNCTION("""COMPUTED_VALUE"""),0.130280265499788)</f>
        <v>0.13028026549978799</v>
      </c>
      <c r="OR48" s="3">
        <f ca="1">IFERROR(__xludf.DUMMYFUNCTION("""COMPUTED_VALUE"""),0.0679413819912855)</f>
        <v>6.7941381991285493E-2</v>
      </c>
      <c r="OS48" s="3">
        <f ca="1">IFERROR(__xludf.DUMMYFUNCTION("""COMPUTED_VALUE"""),0.0580494973427896)</f>
        <v>5.8049497342789601E-2</v>
      </c>
      <c r="OT48" s="3">
        <f ca="1">IFERROR(__xludf.DUMMYFUNCTION("""COMPUTED_VALUE"""),-0.00460124541751261)</f>
        <v>-4.6012454175126099E-3</v>
      </c>
      <c r="OU48" s="3">
        <f ca="1">IFERROR(__xludf.DUMMYFUNCTION("""COMPUTED_VALUE"""),0.0302025434538717)</f>
        <v>3.0202543453871699E-2</v>
      </c>
      <c r="OV48" s="3">
        <f ca="1">IFERROR(__xludf.DUMMYFUNCTION("""COMPUTED_VALUE"""),0.00752411304410638)</f>
        <v>7.5241130441063798E-3</v>
      </c>
      <c r="OW48" s="3">
        <f ca="1">IFERROR(__xludf.DUMMYFUNCTION("""COMPUTED_VALUE"""),-0.00351130856385861)</f>
        <v>-3.5113085638586099E-3</v>
      </c>
      <c r="OX48" s="3">
        <f ca="1">IFERROR(__xludf.DUMMYFUNCTION("""COMPUTED_VALUE"""),0.0293974694133469)</f>
        <v>2.9397469413346901E-2</v>
      </c>
      <c r="OY48" s="3">
        <f ca="1">IFERROR(__xludf.DUMMYFUNCTION("""COMPUTED_VALUE"""),0.0287389263773434)</f>
        <v>2.8738926377343401E-2</v>
      </c>
      <c r="OZ48" s="3">
        <f ca="1">IFERROR(__xludf.DUMMYFUNCTION("""COMPUTED_VALUE"""),-0.0315783908541583)</f>
        <v>-3.1578390854158297E-2</v>
      </c>
      <c r="PA48" s="3">
        <f ca="1">IFERROR(__xludf.DUMMYFUNCTION("""COMPUTED_VALUE"""),-0.0856663289268656)</f>
        <v>-8.5666328926865598E-2</v>
      </c>
      <c r="PB48" s="3">
        <f ca="1">IFERROR(__xludf.DUMMYFUNCTION("""COMPUTED_VALUE"""),0.135975481328153)</f>
        <v>0.13597548132815299</v>
      </c>
      <c r="PC48" s="3">
        <f ca="1">IFERROR(__xludf.DUMMYFUNCTION("""COMPUTED_VALUE"""),0.0252321499319421)</f>
        <v>2.5232149931942099E-2</v>
      </c>
      <c r="PD48" s="3">
        <f ca="1">IFERROR(__xludf.DUMMYFUNCTION("""COMPUTED_VALUE"""),0.014104426456065)</f>
        <v>1.4104426456065E-2</v>
      </c>
      <c r="PE48" s="3">
        <f ca="1">IFERROR(__xludf.DUMMYFUNCTION("""COMPUTED_VALUE"""),0.0834069751972872)</f>
        <v>8.3406975197287195E-2</v>
      </c>
      <c r="PF48" s="3">
        <f ca="1">IFERROR(__xludf.DUMMYFUNCTION("""COMPUTED_VALUE"""),0.033355721834416)</f>
        <v>3.3355721834415999E-2</v>
      </c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</row>
    <row r="49" spans="1:594" ht="15.75" customHeight="1">
      <c r="A49" s="1" t="str">
        <f ca="1">IFERROR(__xludf.DUMMYFUNCTION("""COMPUTED_VALUE"""),"Nanaimo")</f>
        <v>Nanaimo</v>
      </c>
      <c r="B49" s="3">
        <f ca="1">IFERROR(__xludf.DUMMYFUNCTION("""COMPUTED_VALUE"""),-0.45307853298429)</f>
        <v>-0.45307853298429002</v>
      </c>
      <c r="C49" s="3">
        <f ca="1">IFERROR(__xludf.DUMMYFUNCTION("""COMPUTED_VALUE"""),-0.232297864603492)</f>
        <v>-0.232297864603492</v>
      </c>
      <c r="D49" s="3">
        <f ca="1">IFERROR(__xludf.DUMMYFUNCTION("""COMPUTED_VALUE"""),-0.418043513541256)</f>
        <v>-0.41804351354125602</v>
      </c>
      <c r="E49" s="3">
        <f ca="1">IFERROR(__xludf.DUMMYFUNCTION("""COMPUTED_VALUE"""),-0.444716661233285)</f>
        <v>-0.44471666123328502</v>
      </c>
      <c r="F49" s="3">
        <f ca="1">IFERROR(__xludf.DUMMYFUNCTION("""COMPUTED_VALUE"""),-0.4310220135383)</f>
        <v>-0.4310220135383</v>
      </c>
      <c r="G49" s="3">
        <f ca="1">IFERROR(__xludf.DUMMYFUNCTION("""COMPUTED_VALUE"""),-0.560316188791958)</f>
        <v>-0.56031618879195799</v>
      </c>
      <c r="H49" s="3">
        <f ca="1">IFERROR(__xludf.DUMMYFUNCTION("""COMPUTED_VALUE"""),-0.530127485072733)</f>
        <v>-0.530127485072733</v>
      </c>
      <c r="I49" s="3">
        <f ca="1">IFERROR(__xludf.DUMMYFUNCTION("""COMPUTED_VALUE"""),-0.521779821001319)</f>
        <v>-0.52177982100131903</v>
      </c>
      <c r="J49" s="3">
        <f ca="1">IFERROR(__xludf.DUMMYFUNCTION("""COMPUTED_VALUE"""),-0.549056693400878)</f>
        <v>-0.54905669340087804</v>
      </c>
      <c r="K49" s="3">
        <f ca="1">IFERROR(__xludf.DUMMYFUNCTION("""COMPUTED_VALUE"""),-0.408448584154489)</f>
        <v>-0.40844858415448898</v>
      </c>
      <c r="L49" s="3">
        <f ca="1">IFERROR(__xludf.DUMMYFUNCTION("""COMPUTED_VALUE"""),-0.433036394558969)</f>
        <v>-0.43303639455896897</v>
      </c>
      <c r="M49" s="3">
        <f ca="1">IFERROR(__xludf.DUMMYFUNCTION("""COMPUTED_VALUE"""),-0.437883570127594)</f>
        <v>-0.43788357012759399</v>
      </c>
      <c r="N49" s="3">
        <f ca="1">IFERROR(__xludf.DUMMYFUNCTION("""COMPUTED_VALUE"""),-0.425175522402134)</f>
        <v>-0.42517552240213402</v>
      </c>
      <c r="O49" s="3">
        <f ca="1">IFERROR(__xludf.DUMMYFUNCTION("""COMPUTED_VALUE"""),-0.535009623863019)</f>
        <v>-0.53500962386301898</v>
      </c>
      <c r="P49" s="3">
        <f ca="1">IFERROR(__xludf.DUMMYFUNCTION("""COMPUTED_VALUE"""),-0.523126629610521)</f>
        <v>-0.52312662961052103</v>
      </c>
      <c r="Q49" s="3">
        <f ca="1">IFERROR(__xludf.DUMMYFUNCTION("""COMPUTED_VALUE"""),-0.483711239692014)</f>
        <v>-0.48371123969201402</v>
      </c>
      <c r="R49" s="3">
        <f ca="1">IFERROR(__xludf.DUMMYFUNCTION("""COMPUTED_VALUE"""),-0.498420226269543)</f>
        <v>-0.49842022626954302</v>
      </c>
      <c r="S49" s="3">
        <f ca="1">IFERROR(__xludf.DUMMYFUNCTION("""COMPUTED_VALUE"""),-0.510877800190598)</f>
        <v>-0.51087780019059803</v>
      </c>
      <c r="T49" s="3">
        <f ca="1">IFERROR(__xludf.DUMMYFUNCTION("""COMPUTED_VALUE"""),-0.503453425034978)</f>
        <v>-0.50345342503497803</v>
      </c>
      <c r="U49" s="3">
        <f ca="1">IFERROR(__xludf.DUMMYFUNCTION("""COMPUTED_VALUE"""),-0.473770975375584)</f>
        <v>-0.47377097537558399</v>
      </c>
      <c r="V49" s="3">
        <f ca="1">IFERROR(__xludf.DUMMYFUNCTION("""COMPUTED_VALUE"""),-0.485319484834326)</f>
        <v>-0.48531948483432602</v>
      </c>
      <c r="W49" s="3">
        <f ca="1">IFERROR(__xludf.DUMMYFUNCTION("""COMPUTED_VALUE"""),-0.464411762318064)</f>
        <v>-0.46441176231806403</v>
      </c>
      <c r="X49" s="3">
        <f ca="1">IFERROR(__xludf.DUMMYFUNCTION("""COMPUTED_VALUE"""),-0.523742305708205)</f>
        <v>-0.52374230570820501</v>
      </c>
      <c r="Y49" s="3">
        <f ca="1">IFERROR(__xludf.DUMMYFUNCTION("""COMPUTED_VALUE"""),-0.516098413396435)</f>
        <v>-0.51609841339643503</v>
      </c>
      <c r="Z49" s="3">
        <f ca="1">IFERROR(__xludf.DUMMYFUNCTION("""COMPUTED_VALUE"""),-0.522269781232641)</f>
        <v>-0.52226978123264101</v>
      </c>
      <c r="AA49" s="3">
        <f ca="1">IFERROR(__xludf.DUMMYFUNCTION("""COMPUTED_VALUE"""),-0.404037607101693)</f>
        <v>-0.40403760710169301</v>
      </c>
      <c r="AB49" s="3">
        <f ca="1">IFERROR(__xludf.DUMMYFUNCTION("""COMPUTED_VALUE"""),-0.486552952452954)</f>
        <v>-0.48655295245295399</v>
      </c>
      <c r="AC49" s="3">
        <f ca="1">IFERROR(__xludf.DUMMYFUNCTION("""COMPUTED_VALUE"""),-0.479009813859262)</f>
        <v>-0.479009813859262</v>
      </c>
      <c r="AD49" s="3">
        <f ca="1">IFERROR(__xludf.DUMMYFUNCTION("""COMPUTED_VALUE"""),-0.477933237544917)</f>
        <v>-0.47793323754491701</v>
      </c>
      <c r="AE49" s="3">
        <f ca="1">IFERROR(__xludf.DUMMYFUNCTION("""COMPUTED_VALUE"""),-0.46551909110633)</f>
        <v>-0.46551909110633</v>
      </c>
      <c r="AF49" s="3">
        <f ca="1">IFERROR(__xludf.DUMMYFUNCTION("""COMPUTED_VALUE"""),-0.452210046197308)</f>
        <v>-0.45221004619730798</v>
      </c>
      <c r="AG49" s="3">
        <f ca="1">IFERROR(__xludf.DUMMYFUNCTION("""COMPUTED_VALUE"""),-0.453596133921646)</f>
        <v>-0.45359613392164599</v>
      </c>
      <c r="AH49" s="3">
        <f ca="1">IFERROR(__xludf.DUMMYFUNCTION("""COMPUTED_VALUE"""),-0.475168436237227)</f>
        <v>-0.47516843623722699</v>
      </c>
      <c r="AI49" s="3">
        <f ca="1">IFERROR(__xludf.DUMMYFUNCTION("""COMPUTED_VALUE"""),-0.442374001757771)</f>
        <v>-0.44237400175777097</v>
      </c>
      <c r="AJ49" s="3">
        <f ca="1">IFERROR(__xludf.DUMMYFUNCTION("""COMPUTED_VALUE"""),-0.493447305945288)</f>
        <v>-0.49344730594528802</v>
      </c>
      <c r="AK49" s="3">
        <f ca="1">IFERROR(__xludf.DUMMYFUNCTION("""COMPUTED_VALUE"""),-0.506942497215365)</f>
        <v>-0.506942497215365</v>
      </c>
      <c r="AL49" s="3">
        <f ca="1">IFERROR(__xludf.DUMMYFUNCTION("""COMPUTED_VALUE"""),-0.466978783299569)</f>
        <v>-0.46697878329956899</v>
      </c>
      <c r="AM49" s="3">
        <f ca="1">IFERROR(__xludf.DUMMYFUNCTION("""COMPUTED_VALUE"""),-0.461985641393175)</f>
        <v>-0.46198564139317499</v>
      </c>
      <c r="AN49" s="3">
        <f ca="1">IFERROR(__xludf.DUMMYFUNCTION("""COMPUTED_VALUE"""),-0.461196293657362)</f>
        <v>-0.46119629365736198</v>
      </c>
      <c r="AO49" s="3">
        <f ca="1">IFERROR(__xludf.DUMMYFUNCTION("""COMPUTED_VALUE"""),-0.460757666955321)</f>
        <v>-0.460757666955321</v>
      </c>
      <c r="AP49" s="3">
        <f ca="1">IFERROR(__xludf.DUMMYFUNCTION("""COMPUTED_VALUE"""),-0.423084894282135)</f>
        <v>-0.42308489428213503</v>
      </c>
      <c r="AQ49" s="3">
        <f ca="1">IFERROR(__xludf.DUMMYFUNCTION("""COMPUTED_VALUE"""),-0.454028656480835)</f>
        <v>-0.45402865648083501</v>
      </c>
      <c r="AR49" s="3">
        <f ca="1">IFERROR(__xludf.DUMMYFUNCTION("""COMPUTED_VALUE"""),-0.510033068323392)</f>
        <v>-0.51003306832339201</v>
      </c>
      <c r="AS49" s="3">
        <f ca="1">IFERROR(__xludf.DUMMYFUNCTION("""COMPUTED_VALUE"""),-0.481848447625749)</f>
        <v>-0.48184844762574902</v>
      </c>
      <c r="AT49" s="3">
        <f ca="1">IFERROR(__xludf.DUMMYFUNCTION("""COMPUTED_VALUE"""),-0.459730816549139)</f>
        <v>-0.459730816549139</v>
      </c>
      <c r="AU49" s="3">
        <f ca="1">IFERROR(__xludf.DUMMYFUNCTION("""COMPUTED_VALUE"""),-0.469577955464009)</f>
        <v>-0.46957795546400899</v>
      </c>
      <c r="AV49" s="3">
        <f ca="1">IFERROR(__xludf.DUMMYFUNCTION("""COMPUTED_VALUE"""),-0.517275295472953)</f>
        <v>-0.51727529547295303</v>
      </c>
      <c r="AW49" s="3">
        <f ca="1">IFERROR(__xludf.DUMMYFUNCTION("""COMPUTED_VALUE"""),-0.41282478521695)</f>
        <v>-0.41282478521694999</v>
      </c>
      <c r="AX49" s="3">
        <f ca="1">IFERROR(__xludf.DUMMYFUNCTION("""COMPUTED_VALUE"""),-0.546902673319776)</f>
        <v>-0.54690267331977604</v>
      </c>
      <c r="AY49" s="3">
        <f ca="1">IFERROR(__xludf.DUMMYFUNCTION("""COMPUTED_VALUE"""),-0.525999413213583)</f>
        <v>-0.52599941321358301</v>
      </c>
      <c r="AZ49" s="3">
        <f ca="1">IFERROR(__xludf.DUMMYFUNCTION("""COMPUTED_VALUE"""),-0.459237173954781)</f>
        <v>-0.45923717395478098</v>
      </c>
      <c r="BA49" s="3">
        <f ca="1">IFERROR(__xludf.DUMMYFUNCTION("""COMPUTED_VALUE"""),-0.534044620401165)</f>
        <v>-0.53404462040116496</v>
      </c>
      <c r="BB49" s="3">
        <f ca="1">IFERROR(__xludf.DUMMYFUNCTION("""COMPUTED_VALUE"""),-0.42374959405332)</f>
        <v>-0.42374959405332002</v>
      </c>
      <c r="BC49" s="3">
        <f ca="1">IFERROR(__xludf.DUMMYFUNCTION("""COMPUTED_VALUE"""),-0.379371972477775)</f>
        <v>-0.37937197247777499</v>
      </c>
      <c r="BD49" s="3">
        <f ca="1">IFERROR(__xludf.DUMMYFUNCTION("""COMPUTED_VALUE"""),-0.565521748166691)</f>
        <v>-0.56552174816669099</v>
      </c>
      <c r="BE49" s="3">
        <f ca="1">IFERROR(__xludf.DUMMYFUNCTION("""COMPUTED_VALUE"""),-0.53832778185433)</f>
        <v>-0.53832778185432995</v>
      </c>
      <c r="BF49" s="3">
        <f ca="1">IFERROR(__xludf.DUMMYFUNCTION("""COMPUTED_VALUE"""),-0.530800290784499)</f>
        <v>-0.53080029078449897</v>
      </c>
      <c r="BG49" s="3">
        <f ca="1">IFERROR(__xludf.DUMMYFUNCTION("""COMPUTED_VALUE"""),-0.594530912138423)</f>
        <v>-0.59453091213842302</v>
      </c>
      <c r="BH49" s="3">
        <f ca="1">IFERROR(__xludf.DUMMYFUNCTION("""COMPUTED_VALUE"""),-0.533843025893403)</f>
        <v>-0.53384302589340304</v>
      </c>
      <c r="BI49" s="3">
        <f ca="1">IFERROR(__xludf.DUMMYFUNCTION("""COMPUTED_VALUE"""),-0.486007556245116)</f>
        <v>-0.48600755624511599</v>
      </c>
      <c r="BJ49" s="3">
        <f ca="1">IFERROR(__xludf.DUMMYFUNCTION("""COMPUTED_VALUE"""),-0.466180284640325)</f>
        <v>-0.46618028464032502</v>
      </c>
      <c r="BK49" s="3">
        <f ca="1">IFERROR(__xludf.DUMMYFUNCTION("""COMPUTED_VALUE"""),-0.395414987030167)</f>
        <v>-0.39541498703016698</v>
      </c>
      <c r="BL49" s="3">
        <f ca="1">IFERROR(__xludf.DUMMYFUNCTION("""COMPUTED_VALUE"""),-0.552021202155389)</f>
        <v>-0.55202120215538897</v>
      </c>
      <c r="BM49" s="3">
        <f ca="1">IFERROR(__xludf.DUMMYFUNCTION("""COMPUTED_VALUE"""),-0.519089908706547)</f>
        <v>-0.51908990870654703</v>
      </c>
      <c r="BN49" s="3">
        <f ca="1">IFERROR(__xludf.DUMMYFUNCTION("""COMPUTED_VALUE"""),-0.419269688242254)</f>
        <v>-0.41926968824225402</v>
      </c>
      <c r="BO49" s="3">
        <f ca="1">IFERROR(__xludf.DUMMYFUNCTION("""COMPUTED_VALUE"""),-0.487472498474384)</f>
        <v>-0.48747249847438401</v>
      </c>
      <c r="BP49" s="3">
        <f ca="1">IFERROR(__xludf.DUMMYFUNCTION("""COMPUTED_VALUE"""),-0.502720033191845)</f>
        <v>-0.50272003319184499</v>
      </c>
      <c r="BQ49" s="3">
        <f ca="1">IFERROR(__xludf.DUMMYFUNCTION("""COMPUTED_VALUE"""),-0.484627418930977)</f>
        <v>-0.48462741893097699</v>
      </c>
      <c r="BR49" s="3">
        <f ca="1">IFERROR(__xludf.DUMMYFUNCTION("""COMPUTED_VALUE"""),-0.5288225769446)</f>
        <v>-0.5288225769446</v>
      </c>
      <c r="BS49" s="3">
        <f ca="1">IFERROR(__xludf.DUMMYFUNCTION("""COMPUTED_VALUE"""),-0.558626133767082)</f>
        <v>-0.55862613376708203</v>
      </c>
      <c r="BT49" s="3">
        <f ca="1">IFERROR(__xludf.DUMMYFUNCTION("""COMPUTED_VALUE"""),-0.553267579528889)</f>
        <v>-0.55326757952888905</v>
      </c>
      <c r="BU49" s="3">
        <f ca="1">IFERROR(__xludf.DUMMYFUNCTION("""COMPUTED_VALUE"""),-0.544435020259547)</f>
        <v>-0.54443502025954704</v>
      </c>
      <c r="BV49" s="3">
        <f ca="1">IFERROR(__xludf.DUMMYFUNCTION("""COMPUTED_VALUE"""),-0.497849830095428)</f>
        <v>-0.49784983009542799</v>
      </c>
      <c r="BW49" s="3">
        <f ca="1">IFERROR(__xludf.DUMMYFUNCTION("""COMPUTED_VALUE"""),-0.543053550635747)</f>
        <v>-0.54305355063574701</v>
      </c>
      <c r="BX49" s="3">
        <f ca="1">IFERROR(__xludf.DUMMYFUNCTION("""COMPUTED_VALUE"""),-0.495663548212237)</f>
        <v>-0.49566354821223702</v>
      </c>
      <c r="BY49" s="3">
        <f ca="1">IFERROR(__xludf.DUMMYFUNCTION("""COMPUTED_VALUE"""),-0.526413615614135)</f>
        <v>-0.52641361561413502</v>
      </c>
      <c r="BZ49" s="3">
        <f ca="1">IFERROR(__xludf.DUMMYFUNCTION("""COMPUTED_VALUE"""),-0.608804806336672)</f>
        <v>-0.608804806336672</v>
      </c>
      <c r="CA49" s="3">
        <f ca="1">IFERROR(__xludf.DUMMYFUNCTION("""COMPUTED_VALUE"""),-0.492307640451493)</f>
        <v>-0.492307640451493</v>
      </c>
      <c r="CB49" s="3">
        <f ca="1">IFERROR(__xludf.DUMMYFUNCTION("""COMPUTED_VALUE"""),-0.490113977932107)</f>
        <v>-0.49011397793210698</v>
      </c>
      <c r="CC49" s="3">
        <f ca="1">IFERROR(__xludf.DUMMYFUNCTION("""COMPUTED_VALUE"""),-0.50253853061793)</f>
        <v>-0.50253853061792997</v>
      </c>
      <c r="CD49" s="3">
        <f ca="1">IFERROR(__xludf.DUMMYFUNCTION("""COMPUTED_VALUE"""),-0.488363523412394)</f>
        <v>-0.48836352341239397</v>
      </c>
      <c r="CE49" s="3">
        <f ca="1">IFERROR(__xludf.DUMMYFUNCTION("""COMPUTED_VALUE"""),-0.522588650531081)</f>
        <v>-0.52258865053108094</v>
      </c>
      <c r="CF49" s="3">
        <f ca="1">IFERROR(__xludf.DUMMYFUNCTION("""COMPUTED_VALUE"""),-0.515903455589226)</f>
        <v>-0.51590345558922601</v>
      </c>
      <c r="CG49" s="3">
        <f ca="1">IFERROR(__xludf.DUMMYFUNCTION("""COMPUTED_VALUE"""),-0.514347738355948)</f>
        <v>-0.51434773835594805</v>
      </c>
      <c r="CH49" s="3">
        <f ca="1">IFERROR(__xludf.DUMMYFUNCTION("""COMPUTED_VALUE"""),-0.49579947232297)</f>
        <v>-0.49579947232297</v>
      </c>
      <c r="CI49" s="3">
        <f ca="1">IFERROR(__xludf.DUMMYFUNCTION("""COMPUTED_VALUE"""),-0.510141039844772)</f>
        <v>-0.51014103984477199</v>
      </c>
      <c r="CJ49" s="3">
        <f ca="1">IFERROR(__xludf.DUMMYFUNCTION("""COMPUTED_VALUE"""),-0.494642646621747)</f>
        <v>-0.49464264662174701</v>
      </c>
      <c r="CK49" s="3">
        <f ca="1">IFERROR(__xludf.DUMMYFUNCTION("""COMPUTED_VALUE"""),-0.505853790025532)</f>
        <v>-0.50585379002553199</v>
      </c>
      <c r="CL49" s="3">
        <f ca="1">IFERROR(__xludf.DUMMYFUNCTION("""COMPUTED_VALUE"""),-0.535707454333057)</f>
        <v>-0.535707454333057</v>
      </c>
      <c r="CM49" s="3">
        <f ca="1">IFERROR(__xludf.DUMMYFUNCTION("""COMPUTED_VALUE"""),-0.544679674001654)</f>
        <v>-0.54467967400165396</v>
      </c>
      <c r="CN49" s="3">
        <f ca="1">IFERROR(__xludf.DUMMYFUNCTION("""COMPUTED_VALUE"""),-0.574891402611242)</f>
        <v>-0.57489140261124205</v>
      </c>
      <c r="CO49" s="3">
        <f ca="1">IFERROR(__xludf.DUMMYFUNCTION("""COMPUTED_VALUE"""),-0.544083373021156)</f>
        <v>-0.54408337302115595</v>
      </c>
      <c r="CP49" s="3">
        <f ca="1">IFERROR(__xludf.DUMMYFUNCTION("""COMPUTED_VALUE"""),-0.481861663296781)</f>
        <v>-0.48186166329678098</v>
      </c>
      <c r="CQ49" s="3">
        <f ca="1">IFERROR(__xludf.DUMMYFUNCTION("""COMPUTED_VALUE"""),-0.405946428681987)</f>
        <v>-0.40594642868198699</v>
      </c>
      <c r="CR49" s="3">
        <f ca="1">IFERROR(__xludf.DUMMYFUNCTION("""COMPUTED_VALUE"""),-0.36731676115099)</f>
        <v>-0.36731676115098999</v>
      </c>
      <c r="CS49" s="3">
        <f ca="1">IFERROR(__xludf.DUMMYFUNCTION("""COMPUTED_VALUE"""),-0.520292711130903)</f>
        <v>-0.52029271113090303</v>
      </c>
      <c r="CT49" s="3">
        <f ca="1">IFERROR(__xludf.DUMMYFUNCTION("""COMPUTED_VALUE"""),-0.498134578653644)</f>
        <v>-0.49813457865364402</v>
      </c>
      <c r="CU49" s="3">
        <f ca="1">IFERROR(__xludf.DUMMYFUNCTION("""COMPUTED_VALUE"""),-0.587317098323245)</f>
        <v>-0.58731709832324497</v>
      </c>
      <c r="CV49" s="3">
        <f ca="1">IFERROR(__xludf.DUMMYFUNCTION("""COMPUTED_VALUE"""),-0.643745326305154)</f>
        <v>-0.64374532630515402</v>
      </c>
      <c r="CW49" s="3">
        <f ca="1">IFERROR(__xludf.DUMMYFUNCTION("""COMPUTED_VALUE"""),-0.756482407432159)</f>
        <v>-0.756482407432159</v>
      </c>
      <c r="CX49" s="3">
        <f ca="1">IFERROR(__xludf.DUMMYFUNCTION("""COMPUTED_VALUE"""),-0.502732864187585)</f>
        <v>-0.502732864187585</v>
      </c>
      <c r="CY49" s="3">
        <f ca="1">IFERROR(__xludf.DUMMYFUNCTION("""COMPUTED_VALUE"""),-0.473915617544295)</f>
        <v>-0.47391561754429501</v>
      </c>
      <c r="CZ49" s="3">
        <f ca="1">IFERROR(__xludf.DUMMYFUNCTION("""COMPUTED_VALUE"""),-0.521683537842818)</f>
        <v>-0.52168353784281796</v>
      </c>
      <c r="DA49" s="3">
        <f ca="1">IFERROR(__xludf.DUMMYFUNCTION("""COMPUTED_VALUE"""),-0.5927868860771)</f>
        <v>-0.59278688607709995</v>
      </c>
      <c r="DB49" s="3">
        <f ca="1">IFERROR(__xludf.DUMMYFUNCTION("""COMPUTED_VALUE"""),-0.561228364090819)</f>
        <v>-0.561228364090819</v>
      </c>
      <c r="DC49" s="3">
        <f ca="1">IFERROR(__xludf.DUMMYFUNCTION("""COMPUTED_VALUE"""),-0.515146737576083)</f>
        <v>-0.51514673757608298</v>
      </c>
      <c r="DD49" s="3">
        <f ca="1">IFERROR(__xludf.DUMMYFUNCTION("""COMPUTED_VALUE"""),-0.892895424960244)</f>
        <v>-0.89289542496024399</v>
      </c>
      <c r="DE49" s="3">
        <f ca="1">IFERROR(__xludf.DUMMYFUNCTION("""COMPUTED_VALUE"""),-0.569614403289169)</f>
        <v>-0.56961440328916901</v>
      </c>
      <c r="DF49" s="3">
        <f ca="1">IFERROR(__xludf.DUMMYFUNCTION("""COMPUTED_VALUE"""),-0.389896063662355)</f>
        <v>-0.38989606366235502</v>
      </c>
      <c r="DG49" s="3">
        <f ca="1">IFERROR(__xludf.DUMMYFUNCTION("""COMPUTED_VALUE"""),-0.459649575794633)</f>
        <v>-0.459649575794633</v>
      </c>
      <c r="DH49" s="3">
        <f ca="1">IFERROR(__xludf.DUMMYFUNCTION("""COMPUTED_VALUE"""),-0.563050768574581)</f>
        <v>-0.56305076857458103</v>
      </c>
      <c r="DI49" s="3">
        <f ca="1">IFERROR(__xludf.DUMMYFUNCTION("""COMPUTED_VALUE"""),-0.509350437803287)</f>
        <v>-0.50935043780328704</v>
      </c>
      <c r="DJ49" s="3">
        <f ca="1">IFERROR(__xludf.DUMMYFUNCTION("""COMPUTED_VALUE"""),-0.579868899094967)</f>
        <v>-0.57986889909496697</v>
      </c>
      <c r="DK49" s="3">
        <f ca="1">IFERROR(__xludf.DUMMYFUNCTION("""COMPUTED_VALUE"""),-0.542494735296036)</f>
        <v>-0.54249473529603598</v>
      </c>
      <c r="DL49" s="3">
        <f ca="1">IFERROR(__xludf.DUMMYFUNCTION("""COMPUTED_VALUE"""),-0.400753144646895)</f>
        <v>-0.40075314464689499</v>
      </c>
      <c r="DM49" s="3">
        <f ca="1">IFERROR(__xludf.DUMMYFUNCTION("""COMPUTED_VALUE"""),-0.344014573060926)</f>
        <v>-0.34401457306092598</v>
      </c>
      <c r="DN49" s="3">
        <f ca="1">IFERROR(__xludf.DUMMYFUNCTION("""COMPUTED_VALUE"""),-0.355275230114705)</f>
        <v>-0.35527523011470502</v>
      </c>
      <c r="DO49" s="3">
        <f ca="1">IFERROR(__xludf.DUMMYFUNCTION("""COMPUTED_VALUE"""),-0.452833310867738)</f>
        <v>-0.45283331086773798</v>
      </c>
      <c r="DP49" s="3">
        <f ca="1">IFERROR(__xludf.DUMMYFUNCTION("""COMPUTED_VALUE"""),-0.599377472344897)</f>
        <v>-0.59937747234489702</v>
      </c>
      <c r="DQ49" s="3">
        <f ca="1">IFERROR(__xludf.DUMMYFUNCTION("""COMPUTED_VALUE"""),-0.535760155800181)</f>
        <v>-0.53576015580018099</v>
      </c>
      <c r="DR49" s="3">
        <f ca="1">IFERROR(__xludf.DUMMYFUNCTION("""COMPUTED_VALUE"""),-0.533751765931251)</f>
        <v>-0.53375176593125095</v>
      </c>
      <c r="DS49" s="3">
        <f ca="1">IFERROR(__xludf.DUMMYFUNCTION("""COMPUTED_VALUE"""),-0.489546769623819)</f>
        <v>-0.48954676962381899</v>
      </c>
      <c r="DT49" s="3">
        <f ca="1">IFERROR(__xludf.DUMMYFUNCTION("""COMPUTED_VALUE"""),-0.565390270361483)</f>
        <v>-0.56539027036148304</v>
      </c>
      <c r="DU49" s="3">
        <f ca="1">IFERROR(__xludf.DUMMYFUNCTION("""COMPUTED_VALUE"""),-0.500043871591797)</f>
        <v>-0.50004387159179697</v>
      </c>
      <c r="DV49" s="3">
        <f ca="1">IFERROR(__xludf.DUMMYFUNCTION("""COMPUTED_VALUE"""),-0.522871438676338)</f>
        <v>-0.52287143867633801</v>
      </c>
      <c r="DW49" s="3">
        <f ca="1">IFERROR(__xludf.DUMMYFUNCTION("""COMPUTED_VALUE"""),-0.578669881415891)</f>
        <v>-0.57866988141589104</v>
      </c>
      <c r="DX49" s="3">
        <f ca="1">IFERROR(__xludf.DUMMYFUNCTION("""COMPUTED_VALUE"""),-0.621194694711557)</f>
        <v>-0.62119469471155697</v>
      </c>
      <c r="DY49" s="3">
        <f ca="1">IFERROR(__xludf.DUMMYFUNCTION("""COMPUTED_VALUE"""),-0.531275184916912)</f>
        <v>-0.53127518491691195</v>
      </c>
      <c r="DZ49" s="3">
        <f ca="1">IFERROR(__xludf.DUMMYFUNCTION("""COMPUTED_VALUE"""),-0.528582932288451)</f>
        <v>-0.52858293228845099</v>
      </c>
      <c r="EA49" s="3">
        <f ca="1">IFERROR(__xludf.DUMMYFUNCTION("""COMPUTED_VALUE"""),-0.546960176480718)</f>
        <v>-0.54696017648071804</v>
      </c>
      <c r="EB49" s="3">
        <f ca="1">IFERROR(__xludf.DUMMYFUNCTION("""COMPUTED_VALUE"""),-0.527386787434444)</f>
        <v>-0.527386787434444</v>
      </c>
      <c r="EC49" s="3">
        <f ca="1">IFERROR(__xludf.DUMMYFUNCTION("""COMPUTED_VALUE"""),-0.4810950058831)</f>
        <v>-0.4810950058831</v>
      </c>
      <c r="ED49" s="3">
        <f ca="1">IFERROR(__xludf.DUMMYFUNCTION("""COMPUTED_VALUE"""),-0.536356290810916)</f>
        <v>-0.53635629081091596</v>
      </c>
      <c r="EE49" s="3">
        <f ca="1">IFERROR(__xludf.DUMMYFUNCTION("""COMPUTED_VALUE"""),-0.567638266877012)</f>
        <v>-0.56763826687701202</v>
      </c>
      <c r="EF49" s="3">
        <f ca="1">IFERROR(__xludf.DUMMYFUNCTION("""COMPUTED_VALUE"""),-0.519143591330099)</f>
        <v>-0.51914359133009902</v>
      </c>
      <c r="EG49" s="3">
        <f ca="1">IFERROR(__xludf.DUMMYFUNCTION("""COMPUTED_VALUE"""),-0.495403691062698)</f>
        <v>-0.49540369106269799</v>
      </c>
      <c r="EH49" s="3">
        <f ca="1">IFERROR(__xludf.DUMMYFUNCTION("""COMPUTED_VALUE"""),-0.508711332490817)</f>
        <v>-0.50871133249081701</v>
      </c>
      <c r="EI49" s="3">
        <f ca="1">IFERROR(__xludf.DUMMYFUNCTION("""COMPUTED_VALUE"""),-0.521035414561779)</f>
        <v>-0.52103541456177904</v>
      </c>
      <c r="EJ49" s="3">
        <f ca="1">IFERROR(__xludf.DUMMYFUNCTION("""COMPUTED_VALUE"""),-0.514641425216291)</f>
        <v>-0.51464142521629097</v>
      </c>
      <c r="EK49" s="3">
        <f ca="1">IFERROR(__xludf.DUMMYFUNCTION("""COMPUTED_VALUE"""),-0.572524082260959)</f>
        <v>-0.57252408226095897</v>
      </c>
      <c r="EL49" s="3">
        <f ca="1">IFERROR(__xludf.DUMMYFUNCTION("""COMPUTED_VALUE"""),-0.600846972835373)</f>
        <v>-0.60084697283537303</v>
      </c>
      <c r="EM49" s="3">
        <f ca="1">IFERROR(__xludf.DUMMYFUNCTION("""COMPUTED_VALUE"""),-0.499038226864514)</f>
        <v>-0.49903822686451399</v>
      </c>
      <c r="EN49" s="3">
        <f ca="1">IFERROR(__xludf.DUMMYFUNCTION("""COMPUTED_VALUE"""),-0.509366964219929)</f>
        <v>-0.509366964219929</v>
      </c>
      <c r="EO49" s="3">
        <f ca="1">IFERROR(__xludf.DUMMYFUNCTION("""COMPUTED_VALUE"""),-0.455875891516039)</f>
        <v>-0.45587589151603902</v>
      </c>
      <c r="EP49" s="3">
        <f ca="1">IFERROR(__xludf.DUMMYFUNCTION("""COMPUTED_VALUE"""),-0.473470445369322)</f>
        <v>-0.47347044536932198</v>
      </c>
      <c r="EQ49" s="3">
        <f ca="1">IFERROR(__xludf.DUMMYFUNCTION("""COMPUTED_VALUE"""),-0.523253688996487)</f>
        <v>-0.52325368899648705</v>
      </c>
      <c r="ER49" s="3">
        <f ca="1">IFERROR(__xludf.DUMMYFUNCTION("""COMPUTED_VALUE"""),-0.557528251893127)</f>
        <v>-0.55752825189312705</v>
      </c>
      <c r="ES49" s="3">
        <f ca="1">IFERROR(__xludf.DUMMYFUNCTION("""COMPUTED_VALUE"""),-0.578300552024673)</f>
        <v>-0.57830055202467301</v>
      </c>
      <c r="ET49" s="3">
        <f ca="1">IFERROR(__xludf.DUMMYFUNCTION("""COMPUTED_VALUE"""),-0.525877082877161)</f>
        <v>-0.52587708287716095</v>
      </c>
      <c r="EU49" s="3">
        <f ca="1">IFERROR(__xludf.DUMMYFUNCTION("""COMPUTED_VALUE"""),-0.447279478414239)</f>
        <v>-0.44727947841423898</v>
      </c>
      <c r="EV49" s="3">
        <f ca="1">IFERROR(__xludf.DUMMYFUNCTION("""COMPUTED_VALUE"""),-0.547889829646934)</f>
        <v>-0.547889829646934</v>
      </c>
      <c r="EW49" s="3">
        <f ca="1">IFERROR(__xludf.DUMMYFUNCTION("""COMPUTED_VALUE"""),-0.394033989939959)</f>
        <v>-0.39403398993995897</v>
      </c>
      <c r="EX49" s="3">
        <f ca="1">IFERROR(__xludf.DUMMYFUNCTION("""COMPUTED_VALUE"""),-0.377499013947465)</f>
        <v>-0.37749901394746499</v>
      </c>
      <c r="EY49" s="3">
        <f ca="1">IFERROR(__xludf.DUMMYFUNCTION("""COMPUTED_VALUE"""),-0.465449005848634)</f>
        <v>-0.46544900584863402</v>
      </c>
      <c r="EZ49" s="3">
        <f ca="1">IFERROR(__xludf.DUMMYFUNCTION("""COMPUTED_VALUE"""),-0.441692388014542)</f>
        <v>-0.44169238801454203</v>
      </c>
      <c r="FA49" s="3">
        <f ca="1">IFERROR(__xludf.DUMMYFUNCTION("""COMPUTED_VALUE"""),-0.354223377068494)</f>
        <v>-0.35422337706849399</v>
      </c>
      <c r="FB49" s="3">
        <f ca="1">IFERROR(__xludf.DUMMYFUNCTION("""COMPUTED_VALUE"""),-0.424161443776241)</f>
        <v>-0.42416144377624099</v>
      </c>
      <c r="FC49" s="3">
        <f ca="1">IFERROR(__xludf.DUMMYFUNCTION("""COMPUTED_VALUE"""),-0.380718841842862)</f>
        <v>-0.38071884184286198</v>
      </c>
      <c r="FD49" s="3">
        <f ca="1">IFERROR(__xludf.DUMMYFUNCTION("""COMPUTED_VALUE"""),-0.503563136838981)</f>
        <v>-0.50356313683898102</v>
      </c>
      <c r="FE49" s="3">
        <f ca="1">IFERROR(__xludf.DUMMYFUNCTION("""COMPUTED_VALUE"""),-0.40249314177563)</f>
        <v>-0.40249314177563</v>
      </c>
      <c r="FF49" s="3">
        <f ca="1">IFERROR(__xludf.DUMMYFUNCTION("""COMPUTED_VALUE"""),-0.550106160182423)</f>
        <v>-0.55010616018242298</v>
      </c>
      <c r="FG49" s="3">
        <f ca="1">IFERROR(__xludf.DUMMYFUNCTION("""COMPUTED_VALUE"""),-0.432380472547548)</f>
        <v>-0.43238047254754802</v>
      </c>
      <c r="FH49" s="3">
        <f ca="1">IFERROR(__xludf.DUMMYFUNCTION("""COMPUTED_VALUE"""),-0.36666973405102)</f>
        <v>-0.36666973405101999</v>
      </c>
      <c r="FI49" s="3">
        <f ca="1">IFERROR(__xludf.DUMMYFUNCTION("""COMPUTED_VALUE"""),-0.47564460199857)</f>
        <v>-0.47564460199857</v>
      </c>
      <c r="FJ49" s="3">
        <f ca="1">IFERROR(__xludf.DUMMYFUNCTION("""COMPUTED_VALUE"""),-0.349734425077709)</f>
        <v>-0.34973442507770902</v>
      </c>
      <c r="FK49" s="3">
        <f ca="1">IFERROR(__xludf.DUMMYFUNCTION("""COMPUTED_VALUE"""),-0.409468101909613)</f>
        <v>-0.40946810190961302</v>
      </c>
      <c r="FL49" s="3">
        <f ca="1">IFERROR(__xludf.DUMMYFUNCTION("""COMPUTED_VALUE"""),-0.376001676408489)</f>
        <v>-0.37600167640848903</v>
      </c>
      <c r="FM49" s="3">
        <f ca="1">IFERROR(__xludf.DUMMYFUNCTION("""COMPUTED_VALUE"""),-0.393432242876269)</f>
        <v>-0.39343224287626899</v>
      </c>
      <c r="FN49" s="3">
        <f ca="1">IFERROR(__xludf.DUMMYFUNCTION("""COMPUTED_VALUE"""),-0.438481636143995)</f>
        <v>-0.43848163614399499</v>
      </c>
      <c r="FO49" s="3">
        <f ca="1">IFERROR(__xludf.DUMMYFUNCTION("""COMPUTED_VALUE"""),-0.528077356960384)</f>
        <v>-0.52807735696038405</v>
      </c>
      <c r="FP49" s="3">
        <f ca="1">IFERROR(__xludf.DUMMYFUNCTION("""COMPUTED_VALUE"""),-0.394750784985905)</f>
        <v>-0.39475078498590499</v>
      </c>
      <c r="FQ49" s="3">
        <f ca="1">IFERROR(__xludf.DUMMYFUNCTION("""COMPUTED_VALUE"""),-0.320373226240312)</f>
        <v>-0.320373226240312</v>
      </c>
      <c r="FR49" s="3">
        <f ca="1">IFERROR(__xludf.DUMMYFUNCTION("""COMPUTED_VALUE"""),-0.379134061603176)</f>
        <v>-0.37913406160317598</v>
      </c>
      <c r="FS49" s="3">
        <f ca="1">IFERROR(__xludf.DUMMYFUNCTION("""COMPUTED_VALUE"""),-0.291492318492825)</f>
        <v>-0.29149231849282498</v>
      </c>
      <c r="FT49" s="3">
        <f ca="1">IFERROR(__xludf.DUMMYFUNCTION("""COMPUTED_VALUE"""),-0.38679211394048)</f>
        <v>-0.38679211394048002</v>
      </c>
      <c r="FU49" s="3">
        <f ca="1">IFERROR(__xludf.DUMMYFUNCTION("""COMPUTED_VALUE"""),-0.392267056237374)</f>
        <v>-0.39226705623737401</v>
      </c>
      <c r="FV49" s="3">
        <f ca="1">IFERROR(__xludf.DUMMYFUNCTION("""COMPUTED_VALUE"""),-0.407043615645852)</f>
        <v>-0.40704361564585201</v>
      </c>
      <c r="FW49" s="3">
        <f ca="1">IFERROR(__xludf.DUMMYFUNCTION("""COMPUTED_VALUE"""),-0.380934427639937)</f>
        <v>-0.38093442763993701</v>
      </c>
      <c r="FX49" s="3">
        <f ca="1">IFERROR(__xludf.DUMMYFUNCTION("""COMPUTED_VALUE"""),-0.370537407443109)</f>
        <v>-0.37053740744310898</v>
      </c>
      <c r="FY49" s="3">
        <f ca="1">IFERROR(__xludf.DUMMYFUNCTION("""COMPUTED_VALUE"""),-0.418328603558663)</f>
        <v>-0.41832860355866303</v>
      </c>
      <c r="FZ49" s="3">
        <f ca="1">IFERROR(__xludf.DUMMYFUNCTION("""COMPUTED_VALUE"""),-0.528391082523811)</f>
        <v>-0.52839108252381095</v>
      </c>
      <c r="GA49" s="3">
        <f ca="1">IFERROR(__xludf.DUMMYFUNCTION("""COMPUTED_VALUE"""),-0.516344370132693)</f>
        <v>-0.51634437013269296</v>
      </c>
      <c r="GB49" s="3">
        <f ca="1">IFERROR(__xludf.DUMMYFUNCTION("""COMPUTED_VALUE"""),-0.456980443526071)</f>
        <v>-0.45698044352607098</v>
      </c>
      <c r="GC49" s="3">
        <f ca="1">IFERROR(__xludf.DUMMYFUNCTION("""COMPUTED_VALUE"""),-0.472820671484847)</f>
        <v>-0.47282067148484702</v>
      </c>
      <c r="GD49" s="3">
        <f ca="1">IFERROR(__xludf.DUMMYFUNCTION("""COMPUTED_VALUE"""),-0.34538423429343)</f>
        <v>-0.34538423429343001</v>
      </c>
      <c r="GE49" s="3">
        <f ca="1">IFERROR(__xludf.DUMMYFUNCTION("""COMPUTED_VALUE"""),-0.371067231067502)</f>
        <v>-0.371067231067502</v>
      </c>
      <c r="GF49" s="3">
        <f ca="1">IFERROR(__xludf.DUMMYFUNCTION("""COMPUTED_VALUE"""),-0.344448454787721)</f>
        <v>-0.34444845478772101</v>
      </c>
      <c r="GG49" s="3">
        <f ca="1">IFERROR(__xludf.DUMMYFUNCTION("""COMPUTED_VALUE"""),-0.226472291777116)</f>
        <v>-0.226472291777116</v>
      </c>
      <c r="GH49" s="3">
        <f ca="1">IFERROR(__xludf.DUMMYFUNCTION("""COMPUTED_VALUE"""),-0.471424420199096)</f>
        <v>-0.47142442019909597</v>
      </c>
      <c r="GI49" s="3">
        <f ca="1">IFERROR(__xludf.DUMMYFUNCTION("""COMPUTED_VALUE"""),-0.395990762375641)</f>
        <v>-0.39599076237564101</v>
      </c>
      <c r="GJ49" s="3">
        <f ca="1">IFERROR(__xludf.DUMMYFUNCTION("""COMPUTED_VALUE"""),-0.3387078784472)</f>
        <v>-0.33870787844720002</v>
      </c>
      <c r="GK49" s="3">
        <f ca="1">IFERROR(__xludf.DUMMYFUNCTION("""COMPUTED_VALUE"""),-0.34750639397486)</f>
        <v>-0.34750639397486</v>
      </c>
      <c r="GL49" s="3">
        <f ca="1">IFERROR(__xludf.DUMMYFUNCTION("""COMPUTED_VALUE"""),-0.377637986190271)</f>
        <v>-0.377637986190271</v>
      </c>
      <c r="GM49" s="3">
        <f ca="1">IFERROR(__xludf.DUMMYFUNCTION("""COMPUTED_VALUE"""),-0.335432586921954)</f>
        <v>-0.33543258692195399</v>
      </c>
      <c r="GN49" s="3">
        <f ca="1">IFERROR(__xludf.DUMMYFUNCTION("""COMPUTED_VALUE"""),-0.36701128881148)</f>
        <v>-0.36701128881147999</v>
      </c>
      <c r="GO49" s="3">
        <f ca="1">IFERROR(__xludf.DUMMYFUNCTION("""COMPUTED_VALUE"""),-0.451146377861292)</f>
        <v>-0.45114637786129203</v>
      </c>
      <c r="GP49" s="3">
        <f ca="1">IFERROR(__xludf.DUMMYFUNCTION("""COMPUTED_VALUE"""),-0.435559630171598)</f>
        <v>-0.43555963017159799</v>
      </c>
      <c r="GQ49" s="3">
        <f ca="1">IFERROR(__xludf.DUMMYFUNCTION("""COMPUTED_VALUE"""),-0.370867188790481)</f>
        <v>-0.37086718879048097</v>
      </c>
      <c r="GR49" s="3">
        <f ca="1">IFERROR(__xludf.DUMMYFUNCTION("""COMPUTED_VALUE"""),-0.3578736293615)</f>
        <v>-0.35787362936150002</v>
      </c>
      <c r="GS49" s="3">
        <f ca="1">IFERROR(__xludf.DUMMYFUNCTION("""COMPUTED_VALUE"""),-0.365384098868249)</f>
        <v>-0.36538409886824902</v>
      </c>
      <c r="GT49" s="3">
        <f ca="1">IFERROR(__xludf.DUMMYFUNCTION("""COMPUTED_VALUE"""),-0.341731758365064)</f>
        <v>-0.34173175836506398</v>
      </c>
      <c r="GU49" s="3">
        <f ca="1">IFERROR(__xludf.DUMMYFUNCTION("""COMPUTED_VALUE"""),-0.33267989247227)</f>
        <v>-0.33267989247226998</v>
      </c>
      <c r="GV49" s="3">
        <f ca="1">IFERROR(__xludf.DUMMYFUNCTION("""COMPUTED_VALUE"""),-0.406070219360767)</f>
        <v>-0.40607021936076698</v>
      </c>
      <c r="GW49" s="3">
        <f ca="1">IFERROR(__xludf.DUMMYFUNCTION("""COMPUTED_VALUE"""),-0.383780362025148)</f>
        <v>-0.38378036202514798</v>
      </c>
      <c r="GX49" s="3">
        <f ca="1">IFERROR(__xludf.DUMMYFUNCTION("""COMPUTED_VALUE"""),-0.332126307676804)</f>
        <v>-0.33212630767680401</v>
      </c>
      <c r="GY49" s="3">
        <f ca="1">IFERROR(__xludf.DUMMYFUNCTION("""COMPUTED_VALUE"""),-0.319594340999962)</f>
        <v>-0.31959434099996198</v>
      </c>
      <c r="GZ49" s="3">
        <f ca="1">IFERROR(__xludf.DUMMYFUNCTION("""COMPUTED_VALUE"""),-0.315292826157111)</f>
        <v>-0.31529282615711102</v>
      </c>
      <c r="HA49" s="3">
        <f ca="1">IFERROR(__xludf.DUMMYFUNCTION("""COMPUTED_VALUE"""),-0.292592553459607)</f>
        <v>-0.292592553459607</v>
      </c>
      <c r="HB49" s="3">
        <f ca="1">IFERROR(__xludf.DUMMYFUNCTION("""COMPUTED_VALUE"""),-0.301053401895495)</f>
        <v>-0.30105340189549501</v>
      </c>
      <c r="HC49" s="3">
        <f ca="1">IFERROR(__xludf.DUMMYFUNCTION("""COMPUTED_VALUE"""),-0.43617641800871)</f>
        <v>-0.43617641800870999</v>
      </c>
      <c r="HD49" s="3">
        <f ca="1">IFERROR(__xludf.DUMMYFUNCTION("""COMPUTED_VALUE"""),-0.440781001530785)</f>
        <v>-0.44078100153078498</v>
      </c>
      <c r="HE49" s="3">
        <f ca="1">IFERROR(__xludf.DUMMYFUNCTION("""COMPUTED_VALUE"""),-0.35765865211587)</f>
        <v>-0.35765865211587</v>
      </c>
      <c r="HF49" s="3">
        <f ca="1">IFERROR(__xludf.DUMMYFUNCTION("""COMPUTED_VALUE"""),-0.259172373714017)</f>
        <v>-0.25917237371401702</v>
      </c>
      <c r="HG49" s="3">
        <f ca="1">IFERROR(__xludf.DUMMYFUNCTION("""COMPUTED_VALUE"""),-0.43365658150087)</f>
        <v>-0.43365658150087</v>
      </c>
      <c r="HH49" s="3">
        <f ca="1">IFERROR(__xludf.DUMMYFUNCTION("""COMPUTED_VALUE"""),-0.499960725678781)</f>
        <v>-0.49996072567878103</v>
      </c>
      <c r="HI49" s="3">
        <f ca="1">IFERROR(__xludf.DUMMYFUNCTION("""COMPUTED_VALUE"""),-0.441733019999887)</f>
        <v>-0.44173301999988701</v>
      </c>
      <c r="HJ49" s="3">
        <f ca="1">IFERROR(__xludf.DUMMYFUNCTION("""COMPUTED_VALUE"""),-0.314613823108981)</f>
        <v>-0.31461382310898101</v>
      </c>
      <c r="HK49" s="3">
        <f ca="1">IFERROR(__xludf.DUMMYFUNCTION("""COMPUTED_VALUE"""),-0.362464437296814)</f>
        <v>-0.36246443729681399</v>
      </c>
      <c r="HL49" s="3">
        <f ca="1">IFERROR(__xludf.DUMMYFUNCTION("""COMPUTED_VALUE"""),-0.44374778817602)</f>
        <v>-0.44374778817602001</v>
      </c>
      <c r="HM49" s="3">
        <f ca="1">IFERROR(__xludf.DUMMYFUNCTION("""COMPUTED_VALUE"""),-0.419459684715905)</f>
        <v>-0.419459684715905</v>
      </c>
      <c r="HN49" s="3">
        <f ca="1">IFERROR(__xludf.DUMMYFUNCTION("""COMPUTED_VALUE"""),-0.460747506950977)</f>
        <v>-0.46074750695097699</v>
      </c>
      <c r="HO49" s="3">
        <f ca="1">IFERROR(__xludf.DUMMYFUNCTION("""COMPUTED_VALUE"""),-0.519648021673554)</f>
        <v>-0.51964802167355395</v>
      </c>
      <c r="HP49" s="3">
        <f ca="1">IFERROR(__xludf.DUMMYFUNCTION("""COMPUTED_VALUE"""),-0.423750025692528)</f>
        <v>-0.42375002569252801</v>
      </c>
      <c r="HQ49" s="3">
        <f ca="1">IFERROR(__xludf.DUMMYFUNCTION("""COMPUTED_VALUE"""),-0.444213016951355)</f>
        <v>-0.44421301695135501</v>
      </c>
      <c r="HR49" s="3">
        <f ca="1">IFERROR(__xludf.DUMMYFUNCTION("""COMPUTED_VALUE"""),-0.412944496791491)</f>
        <v>-0.41294449679149098</v>
      </c>
      <c r="HS49" s="3">
        <f ca="1">IFERROR(__xludf.DUMMYFUNCTION("""COMPUTED_VALUE"""),-0.402296780909137)</f>
        <v>-0.40229678090913701</v>
      </c>
      <c r="HT49" s="3">
        <f ca="1">IFERROR(__xludf.DUMMYFUNCTION("""COMPUTED_VALUE"""),-0.39501858085642)</f>
        <v>-0.39501858085642</v>
      </c>
      <c r="HU49" s="3">
        <f ca="1">IFERROR(__xludf.DUMMYFUNCTION("""COMPUTED_VALUE"""),-0.403881276372842)</f>
        <v>-0.40388127637284199</v>
      </c>
      <c r="HV49" s="3">
        <f ca="1">IFERROR(__xludf.DUMMYFUNCTION("""COMPUTED_VALUE"""),-0.435455759904085)</f>
        <v>-0.43545575990408503</v>
      </c>
      <c r="HW49" s="3">
        <f ca="1">IFERROR(__xludf.DUMMYFUNCTION("""COMPUTED_VALUE"""),-0.251021443416616)</f>
        <v>-0.25102144341661597</v>
      </c>
      <c r="HX49" s="3">
        <f ca="1">IFERROR(__xludf.DUMMYFUNCTION("""COMPUTED_VALUE"""),-0.334482054547955)</f>
        <v>-0.33448205454795499</v>
      </c>
      <c r="HY49" s="3">
        <f ca="1">IFERROR(__xludf.DUMMYFUNCTION("""COMPUTED_VALUE"""),-0.331106628760778)</f>
        <v>-0.33110662876077801</v>
      </c>
      <c r="HZ49" s="3">
        <f ca="1">IFERROR(__xludf.DUMMYFUNCTION("""COMPUTED_VALUE"""),-0.372885724065283)</f>
        <v>-0.37288572406528298</v>
      </c>
      <c r="IA49" s="3">
        <f ca="1">IFERROR(__xludf.DUMMYFUNCTION("""COMPUTED_VALUE"""),-0.376817315692672)</f>
        <v>-0.37681731569267202</v>
      </c>
      <c r="IB49" s="3">
        <f ca="1">IFERROR(__xludf.DUMMYFUNCTION("""COMPUTED_VALUE"""),-0.359361919860314)</f>
        <v>-0.35936191986031402</v>
      </c>
      <c r="IC49" s="3">
        <f ca="1">IFERROR(__xludf.DUMMYFUNCTION("""COMPUTED_VALUE"""),-0.295700822440789)</f>
        <v>-0.29570082244078899</v>
      </c>
      <c r="ID49" s="3">
        <f ca="1">IFERROR(__xludf.DUMMYFUNCTION("""COMPUTED_VALUE"""),-0.273103002541448)</f>
        <v>-0.27310300254144798</v>
      </c>
      <c r="IE49" s="3">
        <f ca="1">IFERROR(__xludf.DUMMYFUNCTION("""COMPUTED_VALUE"""),-0.241327477188186)</f>
        <v>-0.24132747718818601</v>
      </c>
      <c r="IF49" s="3">
        <f ca="1">IFERROR(__xludf.DUMMYFUNCTION("""COMPUTED_VALUE"""),-0.265915089394573)</f>
        <v>-0.26591508939457298</v>
      </c>
      <c r="IG49" s="3">
        <f ca="1">IFERROR(__xludf.DUMMYFUNCTION("""COMPUTED_VALUE"""),-0.312931847877487)</f>
        <v>-0.31293184787748701</v>
      </c>
      <c r="IH49" s="3">
        <f ca="1">IFERROR(__xludf.DUMMYFUNCTION("""COMPUTED_VALUE"""),-0.305513565949275)</f>
        <v>-0.30551356594927498</v>
      </c>
      <c r="II49" s="3">
        <f ca="1">IFERROR(__xludf.DUMMYFUNCTION("""COMPUTED_VALUE"""),-0.324994637944102)</f>
        <v>-0.32499463794410199</v>
      </c>
      <c r="IJ49" s="3">
        <f ca="1">IFERROR(__xludf.DUMMYFUNCTION("""COMPUTED_VALUE"""),-0.245402649842203)</f>
        <v>-0.245402649842203</v>
      </c>
      <c r="IK49" s="3">
        <f ca="1">IFERROR(__xludf.DUMMYFUNCTION("""COMPUTED_VALUE"""),-0.16525883934433)</f>
        <v>-0.16525883934433</v>
      </c>
      <c r="IL49" s="3">
        <f ca="1">IFERROR(__xludf.DUMMYFUNCTION("""COMPUTED_VALUE"""),-0.275162484565486)</f>
        <v>-0.27516248456548598</v>
      </c>
      <c r="IM49" s="3">
        <f ca="1">IFERROR(__xludf.DUMMYFUNCTION("""COMPUTED_VALUE"""),-0.307116404816228)</f>
        <v>-0.30711640481622798</v>
      </c>
      <c r="IN49" s="3">
        <f ca="1">IFERROR(__xludf.DUMMYFUNCTION("""COMPUTED_VALUE"""),-0.304047237869056)</f>
        <v>-0.30404723786905602</v>
      </c>
      <c r="IO49" s="3">
        <f ca="1">IFERROR(__xludf.DUMMYFUNCTION("""COMPUTED_VALUE"""),-0.347168671562711)</f>
        <v>-0.34716867156271097</v>
      </c>
      <c r="IP49" s="3">
        <f ca="1">IFERROR(__xludf.DUMMYFUNCTION("""COMPUTED_VALUE"""),-0.3339035133081)</f>
        <v>-0.33390351330809998</v>
      </c>
      <c r="IQ49" s="3">
        <f ca="1">IFERROR(__xludf.DUMMYFUNCTION("""COMPUTED_VALUE"""),-0.300665926596477)</f>
        <v>-0.30066592659647701</v>
      </c>
      <c r="IR49" s="3">
        <f ca="1">IFERROR(__xludf.DUMMYFUNCTION("""COMPUTED_VALUE"""),-0.193677359941297)</f>
        <v>-0.19367735994129701</v>
      </c>
      <c r="IS49" s="3">
        <f ca="1">IFERROR(__xludf.DUMMYFUNCTION("""COMPUTED_VALUE"""),-0.295725311639198)</f>
        <v>-0.29572531163919802</v>
      </c>
      <c r="IT49" s="3">
        <f ca="1">IFERROR(__xludf.DUMMYFUNCTION("""COMPUTED_VALUE"""),-0.352972189041403)</f>
        <v>-0.35297218904140298</v>
      </c>
      <c r="IU49" s="3">
        <f ca="1">IFERROR(__xludf.DUMMYFUNCTION("""COMPUTED_VALUE"""),-0.316946117786637)</f>
        <v>-0.316946117786637</v>
      </c>
      <c r="IV49" s="3">
        <f ca="1">IFERROR(__xludf.DUMMYFUNCTION("""COMPUTED_VALUE"""),-0.331898812277627)</f>
        <v>-0.33189881227762702</v>
      </c>
      <c r="IW49" s="3">
        <f ca="1">IFERROR(__xludf.DUMMYFUNCTION("""COMPUTED_VALUE"""),-0.333665225883884)</f>
        <v>-0.33366522588388398</v>
      </c>
      <c r="IX49" s="3">
        <f ca="1">IFERROR(__xludf.DUMMYFUNCTION("""COMPUTED_VALUE"""),-0.369860728643488)</f>
        <v>-0.36986072864348801</v>
      </c>
      <c r="IY49" s="3">
        <f ca="1">IFERROR(__xludf.DUMMYFUNCTION("""COMPUTED_VALUE"""),-0.304200352907528)</f>
        <v>-0.304200352907528</v>
      </c>
      <c r="IZ49" s="3">
        <f ca="1">IFERROR(__xludf.DUMMYFUNCTION("""COMPUTED_VALUE"""),-0.378804194768789)</f>
        <v>-0.37880419476878902</v>
      </c>
      <c r="JA49" s="3">
        <f ca="1">IFERROR(__xludf.DUMMYFUNCTION("""COMPUTED_VALUE"""),-0.392903682648161)</f>
        <v>-0.392903682648161</v>
      </c>
      <c r="JB49" s="3">
        <f ca="1">IFERROR(__xludf.DUMMYFUNCTION("""COMPUTED_VALUE"""),-0.335426278888752)</f>
        <v>-0.33542627888875198</v>
      </c>
      <c r="JC49" s="3">
        <f ca="1">IFERROR(__xludf.DUMMYFUNCTION("""COMPUTED_VALUE"""),-0.413670601212839)</f>
        <v>-0.413670601212839</v>
      </c>
      <c r="JD49" s="3">
        <f ca="1">IFERROR(__xludf.DUMMYFUNCTION("""COMPUTED_VALUE"""),-0.375270965472331)</f>
        <v>-0.37527096547233102</v>
      </c>
      <c r="JE49" s="3">
        <f ca="1">IFERROR(__xludf.DUMMYFUNCTION("""COMPUTED_VALUE"""),-0.328603608878934)</f>
        <v>-0.32860360887893397</v>
      </c>
      <c r="JF49" s="3">
        <f ca="1">IFERROR(__xludf.DUMMYFUNCTION("""COMPUTED_VALUE"""),-0.269925046442342)</f>
        <v>-0.269925046442342</v>
      </c>
      <c r="JG49" s="3">
        <f ca="1">IFERROR(__xludf.DUMMYFUNCTION("""COMPUTED_VALUE"""),-0.332848976466306)</f>
        <v>-0.33284897646630601</v>
      </c>
      <c r="JH49" s="3">
        <f ca="1">IFERROR(__xludf.DUMMYFUNCTION("""COMPUTED_VALUE"""),-0.397731413380565)</f>
        <v>-0.397731413380565</v>
      </c>
      <c r="JI49" s="3">
        <f ca="1">IFERROR(__xludf.DUMMYFUNCTION("""COMPUTED_VALUE"""),-0.407083628202193)</f>
        <v>-0.40708362820219302</v>
      </c>
      <c r="JJ49" s="3">
        <f ca="1">IFERROR(__xludf.DUMMYFUNCTION("""COMPUTED_VALUE"""),-0.330536359163936)</f>
        <v>-0.33053635916393598</v>
      </c>
      <c r="JK49" s="3">
        <f ca="1">IFERROR(__xludf.DUMMYFUNCTION("""COMPUTED_VALUE"""),-0.343323738068307)</f>
        <v>-0.34332373806830702</v>
      </c>
      <c r="JL49" s="3">
        <f ca="1">IFERROR(__xludf.DUMMYFUNCTION("""COMPUTED_VALUE"""),-0.295217835262465)</f>
        <v>-0.29521783526246498</v>
      </c>
      <c r="JM49" s="3">
        <f ca="1">IFERROR(__xludf.DUMMYFUNCTION("""COMPUTED_VALUE"""),-0.339233114806785)</f>
        <v>-0.33923311480678497</v>
      </c>
      <c r="JN49" s="3">
        <f ca="1">IFERROR(__xludf.DUMMYFUNCTION("""COMPUTED_VALUE"""),-0.338751454811552)</f>
        <v>-0.338751454811552</v>
      </c>
      <c r="JO49" s="3">
        <f ca="1">IFERROR(__xludf.DUMMYFUNCTION("""COMPUTED_VALUE"""),-0.37150856866407)</f>
        <v>-0.37150856866407</v>
      </c>
      <c r="JP49" s="3">
        <f ca="1">IFERROR(__xludf.DUMMYFUNCTION("""COMPUTED_VALUE"""),-0.414787988889748)</f>
        <v>-0.41478798888974799</v>
      </c>
      <c r="JQ49" s="3">
        <f ca="1">IFERROR(__xludf.DUMMYFUNCTION("""COMPUTED_VALUE"""),-0.442545370081013)</f>
        <v>-0.44254537008101302</v>
      </c>
      <c r="JR49" s="3">
        <f ca="1">IFERROR(__xludf.DUMMYFUNCTION("""COMPUTED_VALUE"""),-0.41311109371772)</f>
        <v>-0.41311109371771998</v>
      </c>
      <c r="JS49" s="3">
        <f ca="1">IFERROR(__xludf.DUMMYFUNCTION("""COMPUTED_VALUE"""),-0.334972965564807)</f>
        <v>-0.33497296556480699</v>
      </c>
      <c r="JT49" s="3">
        <f ca="1">IFERROR(__xludf.DUMMYFUNCTION("""COMPUTED_VALUE"""),-0.330480204183263)</f>
        <v>-0.33048020418326302</v>
      </c>
      <c r="JU49" s="3">
        <f ca="1">IFERROR(__xludf.DUMMYFUNCTION("""COMPUTED_VALUE"""),-0.325150394794767)</f>
        <v>-0.32515039479476698</v>
      </c>
      <c r="JV49" s="3">
        <f ca="1">IFERROR(__xludf.DUMMYFUNCTION("""COMPUTED_VALUE"""),-0.375376074452369)</f>
        <v>-0.37537607445236898</v>
      </c>
      <c r="JW49" s="3">
        <f ca="1">IFERROR(__xludf.DUMMYFUNCTION("""COMPUTED_VALUE"""),-0.421105585523747)</f>
        <v>-0.42110558552374699</v>
      </c>
      <c r="JX49" s="3">
        <f ca="1">IFERROR(__xludf.DUMMYFUNCTION("""COMPUTED_VALUE"""),-0.470590193617857)</f>
        <v>-0.47059019361785698</v>
      </c>
      <c r="JY49" s="3">
        <f ca="1">IFERROR(__xludf.DUMMYFUNCTION("""COMPUTED_VALUE"""),-0.499402380268847)</f>
        <v>-0.49940238026884698</v>
      </c>
      <c r="JZ49" s="3">
        <f ca="1">IFERROR(__xludf.DUMMYFUNCTION("""COMPUTED_VALUE"""),-0.370460081320285)</f>
        <v>-0.37046008132028502</v>
      </c>
      <c r="KA49" s="3">
        <f ca="1">IFERROR(__xludf.DUMMYFUNCTION("""COMPUTED_VALUE"""),-0.418767256488093)</f>
        <v>-0.41876725648809299</v>
      </c>
      <c r="KB49" s="3">
        <f ca="1">IFERROR(__xludf.DUMMYFUNCTION("""COMPUTED_VALUE"""),-0.347612272325575)</f>
        <v>-0.34761227232557501</v>
      </c>
      <c r="KC49" s="3">
        <f ca="1">IFERROR(__xludf.DUMMYFUNCTION("""COMPUTED_VALUE"""),-0.375910070437965)</f>
        <v>-0.37591007043796498</v>
      </c>
      <c r="KD49" s="3">
        <f ca="1">IFERROR(__xludf.DUMMYFUNCTION("""COMPUTED_VALUE"""),-0.399041589010665)</f>
        <v>-0.399041589010665</v>
      </c>
      <c r="KE49" s="3">
        <f ca="1">IFERROR(__xludf.DUMMYFUNCTION("""COMPUTED_VALUE"""),-0.384883148810963)</f>
        <v>-0.38488314881096303</v>
      </c>
      <c r="KF49" s="3">
        <f ca="1">IFERROR(__xludf.DUMMYFUNCTION("""COMPUTED_VALUE"""),-0.418645952670242)</f>
        <v>-0.41864595267024202</v>
      </c>
      <c r="KG49" s="3">
        <f ca="1">IFERROR(__xludf.DUMMYFUNCTION("""COMPUTED_VALUE"""),-0.365108829355598)</f>
        <v>-0.36510882935559802</v>
      </c>
      <c r="KH49" s="3">
        <f ca="1">IFERROR(__xludf.DUMMYFUNCTION("""COMPUTED_VALUE"""),-0.378295903599795)</f>
        <v>-0.37829590359979498</v>
      </c>
      <c r="KI49" s="3">
        <f ca="1">IFERROR(__xludf.DUMMYFUNCTION("""COMPUTED_VALUE"""),-0.482676121628305)</f>
        <v>-0.48267612162830498</v>
      </c>
      <c r="KJ49" s="3">
        <f ca="1">IFERROR(__xludf.DUMMYFUNCTION("""COMPUTED_VALUE"""),-0.485566924441834)</f>
        <v>-0.48556692444183402</v>
      </c>
      <c r="KK49" s="3">
        <f ca="1">IFERROR(__xludf.DUMMYFUNCTION("""COMPUTED_VALUE"""),-0.453185709175485)</f>
        <v>-0.45318570917548501</v>
      </c>
      <c r="KL49" s="3">
        <f ca="1">IFERROR(__xludf.DUMMYFUNCTION("""COMPUTED_VALUE"""),-0.426732110639702)</f>
        <v>-0.42673211063970201</v>
      </c>
      <c r="KM49" s="3">
        <f ca="1">IFERROR(__xludf.DUMMYFUNCTION("""COMPUTED_VALUE"""),-0.471993411914643)</f>
        <v>-0.471993411914643</v>
      </c>
      <c r="KN49" s="3">
        <f ca="1">IFERROR(__xludf.DUMMYFUNCTION("""COMPUTED_VALUE"""),-0.441260273719658)</f>
        <v>-0.44126027371965798</v>
      </c>
      <c r="KO49" s="3">
        <f ca="1">IFERROR(__xludf.DUMMYFUNCTION("""COMPUTED_VALUE"""),-0.518760580651602)</f>
        <v>-0.51876058065160202</v>
      </c>
      <c r="KP49" s="3">
        <f ca="1">IFERROR(__xludf.DUMMYFUNCTION("""COMPUTED_VALUE"""),-0.520618102343272)</f>
        <v>-0.52061810234327199</v>
      </c>
      <c r="KQ49" s="3">
        <f ca="1">IFERROR(__xludf.DUMMYFUNCTION("""COMPUTED_VALUE"""),-0.469397037083701)</f>
        <v>-0.46939703708370101</v>
      </c>
      <c r="KR49" s="3">
        <f ca="1">IFERROR(__xludf.DUMMYFUNCTION("""COMPUTED_VALUE"""),-0.543857519843896)</f>
        <v>-0.54385751984389596</v>
      </c>
      <c r="KS49" s="3">
        <f ca="1">IFERROR(__xludf.DUMMYFUNCTION("""COMPUTED_VALUE"""),-0.455524632687811)</f>
        <v>-0.45552463268781102</v>
      </c>
      <c r="KT49" s="3">
        <f ca="1">IFERROR(__xludf.DUMMYFUNCTION("""COMPUTED_VALUE"""),-0.419312665276994)</f>
        <v>-0.41931266527699401</v>
      </c>
      <c r="KU49" s="3">
        <f ca="1">IFERROR(__xludf.DUMMYFUNCTION("""COMPUTED_VALUE"""),-0.528974298579727)</f>
        <v>-0.528974298579727</v>
      </c>
      <c r="KV49" s="3">
        <f ca="1">IFERROR(__xludf.DUMMYFUNCTION("""COMPUTED_VALUE"""),-0.48295837902081)</f>
        <v>-0.48295837902081001</v>
      </c>
      <c r="KW49" s="3">
        <f ca="1">IFERROR(__xludf.DUMMYFUNCTION("""COMPUTED_VALUE"""),-0.494361036476248)</f>
        <v>-0.49436103647624802</v>
      </c>
      <c r="KX49" s="3">
        <f ca="1">IFERROR(__xludf.DUMMYFUNCTION("""COMPUTED_VALUE"""),-0.524314930086437)</f>
        <v>-0.52431493008643704</v>
      </c>
      <c r="KY49" s="3">
        <f ca="1">IFERROR(__xludf.DUMMYFUNCTION("""COMPUTED_VALUE"""),-0.533378104552884)</f>
        <v>-0.53337810455288404</v>
      </c>
      <c r="KZ49" s="3">
        <f ca="1">IFERROR(__xludf.DUMMYFUNCTION("""COMPUTED_VALUE"""),-0.444724341334428)</f>
        <v>-0.44472434133442801</v>
      </c>
      <c r="LA49" s="3">
        <f ca="1">IFERROR(__xludf.DUMMYFUNCTION("""COMPUTED_VALUE"""),-0.515846796595724)</f>
        <v>-0.51584679659572397</v>
      </c>
      <c r="LB49" s="3">
        <f ca="1">IFERROR(__xludf.DUMMYFUNCTION("""COMPUTED_VALUE"""),-0.535334111631018)</f>
        <v>-0.53533411163101796</v>
      </c>
      <c r="LC49" s="3">
        <f ca="1">IFERROR(__xludf.DUMMYFUNCTION("""COMPUTED_VALUE"""),-0.513537570233779)</f>
        <v>-0.51353757023377899</v>
      </c>
      <c r="LD49" s="3">
        <f ca="1">IFERROR(__xludf.DUMMYFUNCTION("""COMPUTED_VALUE"""),-0.425611732427911)</f>
        <v>-0.425611732427911</v>
      </c>
      <c r="LE49" s="3">
        <f ca="1">IFERROR(__xludf.DUMMYFUNCTION("""COMPUTED_VALUE"""),-0.463279914182832)</f>
        <v>-0.46327991418283199</v>
      </c>
      <c r="LF49" s="3">
        <f ca="1">IFERROR(__xludf.DUMMYFUNCTION("""COMPUTED_VALUE"""),-0.521608584343372)</f>
        <v>-0.52160858434337198</v>
      </c>
      <c r="LG49" s="3">
        <f ca="1">IFERROR(__xludf.DUMMYFUNCTION("""COMPUTED_VALUE"""),-0.49365565234285)</f>
        <v>-0.49365565234285003</v>
      </c>
      <c r="LH49" s="3">
        <f ca="1">IFERROR(__xludf.DUMMYFUNCTION("""COMPUTED_VALUE"""),-0.512663897358379)</f>
        <v>-0.51266389735837903</v>
      </c>
      <c r="LI49" s="3">
        <f ca="1">IFERROR(__xludf.DUMMYFUNCTION("""COMPUTED_VALUE"""),-0.482466373445944)</f>
        <v>-0.48246637344594401</v>
      </c>
      <c r="LJ49" s="3">
        <f ca="1">IFERROR(__xludf.DUMMYFUNCTION("""COMPUTED_VALUE"""),-0.534083739859143)</f>
        <v>-0.53408373985914304</v>
      </c>
      <c r="LK49" s="3">
        <f ca="1">IFERROR(__xludf.DUMMYFUNCTION("""COMPUTED_VALUE"""),-0.568440506868422)</f>
        <v>-0.56844050686842196</v>
      </c>
      <c r="LL49" s="3">
        <f ca="1">IFERROR(__xludf.DUMMYFUNCTION("""COMPUTED_VALUE"""),-0.585856729679604)</f>
        <v>-0.585856729679604</v>
      </c>
      <c r="LM49" s="3">
        <f ca="1">IFERROR(__xludf.DUMMYFUNCTION("""COMPUTED_VALUE"""),-0.58268927498894)</f>
        <v>-0.58268927498893996</v>
      </c>
      <c r="LN49" s="3">
        <f ca="1">IFERROR(__xludf.DUMMYFUNCTION("""COMPUTED_VALUE"""),-0.547830042660918)</f>
        <v>-0.54783004266091795</v>
      </c>
      <c r="LO49" s="3">
        <f ca="1">IFERROR(__xludf.DUMMYFUNCTION("""COMPUTED_VALUE"""),-0.636228014456462)</f>
        <v>-0.63622801445646204</v>
      </c>
      <c r="LP49" s="3">
        <f ca="1">IFERROR(__xludf.DUMMYFUNCTION("""COMPUTED_VALUE"""),-0.602038961476396)</f>
        <v>-0.60203896147639602</v>
      </c>
      <c r="LQ49" s="3">
        <f ca="1">IFERROR(__xludf.DUMMYFUNCTION("""COMPUTED_VALUE"""),-0.648903108948579)</f>
        <v>-0.64890310894857905</v>
      </c>
      <c r="LR49" s="3">
        <f ca="1">IFERROR(__xludf.DUMMYFUNCTION("""COMPUTED_VALUE"""),-0.652773066218608)</f>
        <v>-0.65277306621860798</v>
      </c>
      <c r="LS49" s="3">
        <f ca="1">IFERROR(__xludf.DUMMYFUNCTION("""COMPUTED_VALUE"""),-0.675143510158136)</f>
        <v>-0.67514351015813601</v>
      </c>
      <c r="LT49" s="3">
        <f ca="1">IFERROR(__xludf.DUMMYFUNCTION("""COMPUTED_VALUE"""),-0.673399722880844)</f>
        <v>-0.67339972288084404</v>
      </c>
      <c r="LU49" s="3">
        <f ca="1">IFERROR(__xludf.DUMMYFUNCTION("""COMPUTED_VALUE"""),-0.661522282243878)</f>
        <v>-0.66152228224387799</v>
      </c>
      <c r="LV49" s="3">
        <f ca="1">IFERROR(__xludf.DUMMYFUNCTION("""COMPUTED_VALUE"""),-0.660350005204729)</f>
        <v>-0.66035000520472897</v>
      </c>
      <c r="LW49" s="3">
        <f ca="1">IFERROR(__xludf.DUMMYFUNCTION("""COMPUTED_VALUE"""),-0.633172542694079)</f>
        <v>-0.63317254269407897</v>
      </c>
      <c r="LX49" s="3">
        <f ca="1">IFERROR(__xludf.DUMMYFUNCTION("""COMPUTED_VALUE"""),-0.62858157444416)</f>
        <v>-0.62858157444415996</v>
      </c>
      <c r="LY49" s="3">
        <f ca="1">IFERROR(__xludf.DUMMYFUNCTION("""COMPUTED_VALUE"""),-0.58838041812614)</f>
        <v>-0.58838041812613995</v>
      </c>
      <c r="LZ49" s="3">
        <f ca="1">IFERROR(__xludf.DUMMYFUNCTION("""COMPUTED_VALUE"""),-0.653308221030522)</f>
        <v>-0.653308221030522</v>
      </c>
      <c r="MA49" s="3">
        <f ca="1">IFERROR(__xludf.DUMMYFUNCTION("""COMPUTED_VALUE"""),-0.658793869481264)</f>
        <v>-0.65879386948126395</v>
      </c>
      <c r="MB49" s="3">
        <f ca="1">IFERROR(__xludf.DUMMYFUNCTION("""COMPUTED_VALUE"""),-0.717520511021362)</f>
        <v>-0.71752051102136205</v>
      </c>
      <c r="MC49" s="3">
        <f ca="1">IFERROR(__xludf.DUMMYFUNCTION("""COMPUTED_VALUE"""),-0.685620878843996)</f>
        <v>-0.68562087884399603</v>
      </c>
      <c r="MD49" s="3">
        <f ca="1">IFERROR(__xludf.DUMMYFUNCTION("""COMPUTED_VALUE"""),-0.688976777475434)</f>
        <v>-0.68897677747543395</v>
      </c>
      <c r="ME49" s="3">
        <f ca="1">IFERROR(__xludf.DUMMYFUNCTION("""COMPUTED_VALUE"""),-0.729408643823088)</f>
        <v>-0.72940864382308801</v>
      </c>
      <c r="MF49" s="3">
        <f ca="1">IFERROR(__xludf.DUMMYFUNCTION("""COMPUTED_VALUE"""),-0.701445280833154)</f>
        <v>-0.70144528083315405</v>
      </c>
      <c r="MG49" s="3">
        <f ca="1">IFERROR(__xludf.DUMMYFUNCTION("""COMPUTED_VALUE"""),-0.698305749729377)</f>
        <v>-0.69830574972937698</v>
      </c>
      <c r="MH49" s="3">
        <f ca="1">IFERROR(__xludf.DUMMYFUNCTION("""COMPUTED_VALUE"""),-0.717030796242437)</f>
        <v>-0.71703079624243704</v>
      </c>
      <c r="MI49" s="3">
        <f ca="1">IFERROR(__xludf.DUMMYFUNCTION("""COMPUTED_VALUE"""),-0.697244775122397)</f>
        <v>-0.69724477512239702</v>
      </c>
      <c r="MJ49" s="3">
        <f ca="1">IFERROR(__xludf.DUMMYFUNCTION("""COMPUTED_VALUE"""),-0.756516204330128)</f>
        <v>-0.75651620433012801</v>
      </c>
      <c r="MK49" s="3">
        <f ca="1">IFERROR(__xludf.DUMMYFUNCTION("""COMPUTED_VALUE"""),-0.736219438073953)</f>
        <v>-0.73621943807395296</v>
      </c>
      <c r="ML49" s="3">
        <f ca="1">IFERROR(__xludf.DUMMYFUNCTION("""COMPUTED_VALUE"""),-0.723355615279616)</f>
        <v>-0.723355615279616</v>
      </c>
      <c r="MM49" s="3">
        <f ca="1">IFERROR(__xludf.DUMMYFUNCTION("""COMPUTED_VALUE"""),-0.726945809549063)</f>
        <v>-0.72694580954906296</v>
      </c>
      <c r="MN49" s="3">
        <f ca="1">IFERROR(__xludf.DUMMYFUNCTION("""COMPUTED_VALUE"""),-0.733580731177687)</f>
        <v>-0.73358073117768696</v>
      </c>
      <c r="MO49" s="3">
        <f ca="1">IFERROR(__xludf.DUMMYFUNCTION("""COMPUTED_VALUE"""),-0.694652234231862)</f>
        <v>-0.69465223423186195</v>
      </c>
      <c r="MP49" s="3">
        <f ca="1">IFERROR(__xludf.DUMMYFUNCTION("""COMPUTED_VALUE"""),-0.775247039632456)</f>
        <v>-0.775247039632456</v>
      </c>
      <c r="MQ49" s="3">
        <f ca="1">IFERROR(__xludf.DUMMYFUNCTION("""COMPUTED_VALUE"""),-0.770765942105189)</f>
        <v>-0.77076594210518901</v>
      </c>
      <c r="MR49" s="3">
        <f ca="1">IFERROR(__xludf.DUMMYFUNCTION("""COMPUTED_VALUE"""),-0.749188430669596)</f>
        <v>-0.74918843066959595</v>
      </c>
      <c r="MS49" s="3">
        <f ca="1">IFERROR(__xludf.DUMMYFUNCTION("""COMPUTED_VALUE"""),-0.687937002065715)</f>
        <v>-0.68793700206571495</v>
      </c>
      <c r="MT49" s="3">
        <f ca="1">IFERROR(__xludf.DUMMYFUNCTION("""COMPUTED_VALUE"""),-0.717664213006545)</f>
        <v>-0.71766421300654504</v>
      </c>
      <c r="MU49" s="3">
        <f ca="1">IFERROR(__xludf.DUMMYFUNCTION("""COMPUTED_VALUE"""),-0.743414738167695)</f>
        <v>-0.74341473816769499</v>
      </c>
      <c r="MV49" s="3">
        <f ca="1">IFERROR(__xludf.DUMMYFUNCTION("""COMPUTED_VALUE"""),-0.685134405730607)</f>
        <v>-0.68513440573060702</v>
      </c>
      <c r="MW49" s="3">
        <f ca="1">IFERROR(__xludf.DUMMYFUNCTION("""COMPUTED_VALUE"""),-0.775835763747425)</f>
        <v>-0.77583576374742502</v>
      </c>
      <c r="MX49" s="3">
        <f ca="1">IFERROR(__xludf.DUMMYFUNCTION("""COMPUTED_VALUE"""),-0.763697255555644)</f>
        <v>-0.76369725555564405</v>
      </c>
      <c r="MY49" s="3">
        <f ca="1">IFERROR(__xludf.DUMMYFUNCTION("""COMPUTED_VALUE"""),-0.740590076156803)</f>
        <v>-0.74059007615680295</v>
      </c>
      <c r="MZ49" s="3">
        <f ca="1">IFERROR(__xludf.DUMMYFUNCTION("""COMPUTED_VALUE"""),-0.718380552333837)</f>
        <v>-0.71838055233383702</v>
      </c>
      <c r="NA49" s="3">
        <f ca="1">IFERROR(__xludf.DUMMYFUNCTION("""COMPUTED_VALUE"""),-0.779858561774244)</f>
        <v>-0.77985856177424395</v>
      </c>
      <c r="NB49" s="3">
        <f ca="1">IFERROR(__xludf.DUMMYFUNCTION("""COMPUTED_VALUE"""),-0.722125629529687)</f>
        <v>-0.72212562952968695</v>
      </c>
      <c r="NC49" s="3">
        <f ca="1">IFERROR(__xludf.DUMMYFUNCTION("""COMPUTED_VALUE"""),-0.670521861185714)</f>
        <v>-0.670521861185714</v>
      </c>
      <c r="ND49" s="3">
        <f ca="1">IFERROR(__xludf.DUMMYFUNCTION("""COMPUTED_VALUE"""),-0.780267698811906)</f>
        <v>-0.78026769881190605</v>
      </c>
      <c r="NE49" s="3">
        <f ca="1">IFERROR(__xludf.DUMMYFUNCTION("""COMPUTED_VALUE"""),-0.778391850245035)</f>
        <v>-0.77839185024503499</v>
      </c>
      <c r="NF49" s="3">
        <f ca="1">IFERROR(__xludf.DUMMYFUNCTION("""COMPUTED_VALUE"""),-0.780361379577681)</f>
        <v>-0.78036137957768104</v>
      </c>
      <c r="NG49" s="3">
        <f ca="1">IFERROR(__xludf.DUMMYFUNCTION("""COMPUTED_VALUE"""),-0.781635242926626)</f>
        <v>-0.78163524292662601</v>
      </c>
      <c r="NH49" s="3">
        <f ca="1">IFERROR(__xludf.DUMMYFUNCTION("""COMPUTED_VALUE"""),-0.721410217734017)</f>
        <v>-0.72141021773401703</v>
      </c>
      <c r="NI49" s="3">
        <f ca="1">IFERROR(__xludf.DUMMYFUNCTION("""COMPUTED_VALUE"""),-0.756700935299733)</f>
        <v>-0.75670093529973304</v>
      </c>
      <c r="NJ49" s="3">
        <f ca="1">IFERROR(__xludf.DUMMYFUNCTION("""COMPUTED_VALUE"""),-0.782518523964228)</f>
        <v>-0.78251852396422805</v>
      </c>
      <c r="NK49" s="3">
        <f ca="1">IFERROR(__xludf.DUMMYFUNCTION("""COMPUTED_VALUE"""),-0.756784875935482)</f>
        <v>-0.75678487593548205</v>
      </c>
      <c r="NL49" s="3">
        <f ca="1">IFERROR(__xludf.DUMMYFUNCTION("""COMPUTED_VALUE"""),-0.754489305966287)</f>
        <v>-0.75448930596628705</v>
      </c>
      <c r="NM49" s="3">
        <f ca="1">IFERROR(__xludf.DUMMYFUNCTION("""COMPUTED_VALUE"""),-0.731610243731454)</f>
        <v>-0.731610243731454</v>
      </c>
      <c r="NN49" s="3">
        <f ca="1">IFERROR(__xludf.DUMMYFUNCTION("""COMPUTED_VALUE"""),-0.77255269739724)</f>
        <v>-0.77255269739723997</v>
      </c>
      <c r="NO49" s="3">
        <f ca="1">IFERROR(__xludf.DUMMYFUNCTION("""COMPUTED_VALUE"""),-0.748692536379793)</f>
        <v>-0.74869253637979305</v>
      </c>
      <c r="NP49" s="3">
        <f ca="1">IFERROR(__xludf.DUMMYFUNCTION("""COMPUTED_VALUE"""),-0.738182084663815)</f>
        <v>-0.73818208466381496</v>
      </c>
      <c r="NQ49" s="3">
        <f ca="1">IFERROR(__xludf.DUMMYFUNCTION("""COMPUTED_VALUE"""),-0.76577433321082)</f>
        <v>-0.76577433321082</v>
      </c>
      <c r="NR49" s="3">
        <f ca="1">IFERROR(__xludf.DUMMYFUNCTION("""COMPUTED_VALUE"""),-0.747471605132965)</f>
        <v>-0.74747160513296496</v>
      </c>
      <c r="NS49" s="3">
        <f ca="1">IFERROR(__xludf.DUMMYFUNCTION("""COMPUTED_VALUE"""),-0.729248622395926)</f>
        <v>-0.72924862239592603</v>
      </c>
      <c r="NT49" s="3">
        <f ca="1">IFERROR(__xludf.DUMMYFUNCTION("""COMPUTED_VALUE"""),-0.740115755125516)</f>
        <v>-0.74011575512551597</v>
      </c>
      <c r="NU49" s="3">
        <f ca="1">IFERROR(__xludf.DUMMYFUNCTION("""COMPUTED_VALUE"""),-0.720223226511121)</f>
        <v>-0.72022322651112103</v>
      </c>
      <c r="NV49" s="3">
        <f ca="1">IFERROR(__xludf.DUMMYFUNCTION("""COMPUTED_VALUE"""),-0.682772890713712)</f>
        <v>-0.68277289071371206</v>
      </c>
      <c r="NW49" s="3">
        <f ca="1">IFERROR(__xludf.DUMMYFUNCTION("""COMPUTED_VALUE"""),-0.607466455948581)</f>
        <v>-0.60746645594858095</v>
      </c>
      <c r="NX49" s="3">
        <f ca="1">IFERROR(__xludf.DUMMYFUNCTION("""COMPUTED_VALUE"""),-0.618861632375058)</f>
        <v>-0.61886163237505798</v>
      </c>
      <c r="NY49" s="3">
        <f ca="1">IFERROR(__xludf.DUMMYFUNCTION("""COMPUTED_VALUE"""),-0.582423733531523)</f>
        <v>-0.58242373353152299</v>
      </c>
      <c r="NZ49" s="3">
        <f ca="1">IFERROR(__xludf.DUMMYFUNCTION("""COMPUTED_VALUE"""),-0.514891408483023)</f>
        <v>-0.51489140848302295</v>
      </c>
      <c r="OA49" s="3">
        <f ca="1">IFERROR(__xludf.DUMMYFUNCTION("""COMPUTED_VALUE"""),-0.301752459640248)</f>
        <v>-0.30175245964024799</v>
      </c>
      <c r="OB49" s="3">
        <f ca="1">IFERROR(__xludf.DUMMYFUNCTION("""COMPUTED_VALUE"""),-0.254136365312031)</f>
        <v>-0.25413636531203099</v>
      </c>
      <c r="OC49" s="3">
        <f ca="1">IFERROR(__xludf.DUMMYFUNCTION("""COMPUTED_VALUE"""),0.00024419462806513)</f>
        <v>2.4419462806513E-4</v>
      </c>
      <c r="OD49" s="3">
        <f ca="1">IFERROR(__xludf.DUMMYFUNCTION("""COMPUTED_VALUE"""),-0.0856564104659921)</f>
        <v>-8.5656410465992094E-2</v>
      </c>
      <c r="OE49" s="3">
        <f ca="1">IFERROR(__xludf.DUMMYFUNCTION("""COMPUTED_VALUE"""),-0.104717661076659)</f>
        <v>-0.104717661076659</v>
      </c>
      <c r="OF49" s="3">
        <f ca="1">IFERROR(__xludf.DUMMYFUNCTION("""COMPUTED_VALUE"""),-0.00548070521294208)</f>
        <v>-5.4807052129420804E-3</v>
      </c>
      <c r="OG49" s="3">
        <f ca="1">IFERROR(__xludf.DUMMYFUNCTION("""COMPUTED_VALUE"""),0.0138263291872047)</f>
        <v>1.38263291872047E-2</v>
      </c>
      <c r="OH49" s="3">
        <f ca="1">IFERROR(__xludf.DUMMYFUNCTION("""COMPUTED_VALUE"""),-0.00512778966141613)</f>
        <v>-5.12778966141613E-3</v>
      </c>
      <c r="OI49" s="3">
        <f ca="1">IFERROR(__xludf.DUMMYFUNCTION("""COMPUTED_VALUE"""),0.0326162693285485)</f>
        <v>3.2616269328548497E-2</v>
      </c>
      <c r="OJ49" s="3">
        <f ca="1">IFERROR(__xludf.DUMMYFUNCTION("""COMPUTED_VALUE"""),-0.00666803065022403)</f>
        <v>-6.6680306502240301E-3</v>
      </c>
      <c r="OK49" s="3">
        <f ca="1">IFERROR(__xludf.DUMMYFUNCTION("""COMPUTED_VALUE"""),-0.026207153472902)</f>
        <v>-2.6207153472901999E-2</v>
      </c>
      <c r="OL49" s="3">
        <f ca="1">IFERROR(__xludf.DUMMYFUNCTION("""COMPUTED_VALUE"""),0.0418575026279826)</f>
        <v>4.1857502627982601E-2</v>
      </c>
      <c r="OM49" s="3">
        <f ca="1">IFERROR(__xludf.DUMMYFUNCTION("""COMPUTED_VALUE"""),0.0942798129690167)</f>
        <v>9.4279812969016705E-2</v>
      </c>
      <c r="ON49" s="3">
        <f ca="1">IFERROR(__xludf.DUMMYFUNCTION("""COMPUTED_VALUE"""),0.123031619974309)</f>
        <v>0.123031619974309</v>
      </c>
      <c r="OO49" s="3">
        <f ca="1">IFERROR(__xludf.DUMMYFUNCTION("""COMPUTED_VALUE"""),0.00739538702833941)</f>
        <v>7.3953870283394096E-3</v>
      </c>
      <c r="OP49" s="3">
        <f ca="1">IFERROR(__xludf.DUMMYFUNCTION("""COMPUTED_VALUE"""),-0.0122303659398772)</f>
        <v>-1.22303659398772E-2</v>
      </c>
      <c r="OQ49" s="3">
        <f ca="1">IFERROR(__xludf.DUMMYFUNCTION("""COMPUTED_VALUE"""),-0.0454134987521485)</f>
        <v>-4.54134987521485E-2</v>
      </c>
      <c r="OR49" s="3">
        <f ca="1">IFERROR(__xludf.DUMMYFUNCTION("""COMPUTED_VALUE"""),-0.0524398503796106)</f>
        <v>-5.2439850379610603E-2</v>
      </c>
      <c r="OS49" s="3">
        <f ca="1">IFERROR(__xludf.DUMMYFUNCTION("""COMPUTED_VALUE"""),-0.0629300480571185)</f>
        <v>-6.2930048057118507E-2</v>
      </c>
      <c r="OT49" s="3">
        <f ca="1">IFERROR(__xludf.DUMMYFUNCTION("""COMPUTED_VALUE"""),0.00606814387313359)</f>
        <v>6.0681438731335904E-3</v>
      </c>
      <c r="OU49" s="3">
        <f ca="1">IFERROR(__xludf.DUMMYFUNCTION("""COMPUTED_VALUE"""),-0.0535897171185805)</f>
        <v>-5.3589717118580502E-2</v>
      </c>
      <c r="OV49" s="3">
        <f ca="1">IFERROR(__xludf.DUMMYFUNCTION("""COMPUTED_VALUE"""),-0.0636147391426285)</f>
        <v>-6.3614739142628496E-2</v>
      </c>
      <c r="OW49" s="3">
        <f ca="1">IFERROR(__xludf.DUMMYFUNCTION("""COMPUTED_VALUE"""),0.0739621073909859)</f>
        <v>7.3962107390985896E-2</v>
      </c>
      <c r="OX49" s="3">
        <f ca="1">IFERROR(__xludf.DUMMYFUNCTION("""COMPUTED_VALUE"""),-0.00352041738800101)</f>
        <v>-3.5204173880010099E-3</v>
      </c>
      <c r="OY49" s="3">
        <f ca="1">IFERROR(__xludf.DUMMYFUNCTION("""COMPUTED_VALUE"""),-0.0406675407969948)</f>
        <v>-4.0667540796994799E-2</v>
      </c>
      <c r="OZ49" s="3">
        <f ca="1">IFERROR(__xludf.DUMMYFUNCTION("""COMPUTED_VALUE"""),0.00969559057655855)</f>
        <v>9.6955905765585496E-3</v>
      </c>
      <c r="PA49" s="3">
        <f ca="1">IFERROR(__xludf.DUMMYFUNCTION("""COMPUTED_VALUE"""),0.0140235750218238)</f>
        <v>1.40235750218238E-2</v>
      </c>
      <c r="PB49" s="3">
        <f ca="1">IFERROR(__xludf.DUMMYFUNCTION("""COMPUTED_VALUE"""),0.107162184112599)</f>
        <v>0.10716218411259899</v>
      </c>
      <c r="PC49" s="3">
        <f ca="1">IFERROR(__xludf.DUMMYFUNCTION("""COMPUTED_VALUE"""),0.106292719557848)</f>
        <v>0.106292719557848</v>
      </c>
      <c r="PD49" s="3">
        <f ca="1">IFERROR(__xludf.DUMMYFUNCTION("""COMPUTED_VALUE"""),-0.0342181982257526)</f>
        <v>-3.4218198225752602E-2</v>
      </c>
      <c r="PE49" s="3">
        <f ca="1">IFERROR(__xludf.DUMMYFUNCTION("""COMPUTED_VALUE"""),0.0527862591462819)</f>
        <v>5.2786259146281898E-2</v>
      </c>
      <c r="PF49" s="3">
        <f ca="1">IFERROR(__xludf.DUMMYFUNCTION("""COMPUTED_VALUE"""),-0.0290383901191524)</f>
        <v>-2.90383901191524E-2</v>
      </c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</row>
    <row r="50" spans="1:594" ht="15.75" customHeight="1">
      <c r="A50" s="1" t="str">
        <f ca="1">IFERROR(__xludf.DUMMYFUNCTION("""COMPUTED_VALUE"""),"Nantes")</f>
        <v>Nantes</v>
      </c>
      <c r="B50" s="3">
        <f ca="1">IFERROR(__xludf.DUMMYFUNCTION("""COMPUTED_VALUE"""),-0.265431374851826)</f>
        <v>-0.265431374851826</v>
      </c>
      <c r="C50" s="3">
        <f ca="1">IFERROR(__xludf.DUMMYFUNCTION("""COMPUTED_VALUE"""),-0.287043502435406)</f>
        <v>-0.28704350243540599</v>
      </c>
      <c r="D50" s="3">
        <f ca="1">IFERROR(__xludf.DUMMYFUNCTION("""COMPUTED_VALUE"""),-0.230650579125922)</f>
        <v>-0.23065057912592199</v>
      </c>
      <c r="E50" s="3">
        <f ca="1">IFERROR(__xludf.DUMMYFUNCTION("""COMPUTED_VALUE"""),-0.208185950618534)</f>
        <v>-0.20818595061853401</v>
      </c>
      <c r="F50" s="3">
        <f ca="1">IFERROR(__xludf.DUMMYFUNCTION("""COMPUTED_VALUE"""),-0.196134538183445)</f>
        <v>-0.19613453818344501</v>
      </c>
      <c r="G50" s="3">
        <f ca="1">IFERROR(__xludf.DUMMYFUNCTION("""COMPUTED_VALUE"""),-0.360617130127326)</f>
        <v>-0.36061713012732599</v>
      </c>
      <c r="H50" s="3">
        <f ca="1">IFERROR(__xludf.DUMMYFUNCTION("""COMPUTED_VALUE"""),-0.144556273434717)</f>
        <v>-0.144556273434717</v>
      </c>
      <c r="I50" s="3">
        <f ca="1">IFERROR(__xludf.DUMMYFUNCTION("""COMPUTED_VALUE"""),-0.208217436260263)</f>
        <v>-0.20821743626026301</v>
      </c>
      <c r="J50" s="3">
        <f ca="1">IFERROR(__xludf.DUMMYFUNCTION("""COMPUTED_VALUE"""),-0.28422735778213)</f>
        <v>-0.28422735778212999</v>
      </c>
      <c r="K50" s="3">
        <f ca="1">IFERROR(__xludf.DUMMYFUNCTION("""COMPUTED_VALUE"""),-0.234734740742801)</f>
        <v>-0.23473474074280101</v>
      </c>
      <c r="L50" s="3">
        <f ca="1">IFERROR(__xludf.DUMMYFUNCTION("""COMPUTED_VALUE"""),-0.259975145890797)</f>
        <v>-0.25997514589079701</v>
      </c>
      <c r="M50" s="3">
        <f ca="1">IFERROR(__xludf.DUMMYFUNCTION("""COMPUTED_VALUE"""),-0.188861851900385)</f>
        <v>-0.18886185190038501</v>
      </c>
      <c r="N50" s="3">
        <f ca="1">IFERROR(__xludf.DUMMYFUNCTION("""COMPUTED_VALUE"""),-0.242484718981029)</f>
        <v>-0.242484718981029</v>
      </c>
      <c r="O50" s="3">
        <f ca="1">IFERROR(__xludf.DUMMYFUNCTION("""COMPUTED_VALUE"""),-0.183379067565545)</f>
        <v>-0.18337906756554501</v>
      </c>
      <c r="P50" s="3">
        <f ca="1">IFERROR(__xludf.DUMMYFUNCTION("""COMPUTED_VALUE"""),-0.279884091353342)</f>
        <v>-0.27988409135334202</v>
      </c>
      <c r="Q50" s="3">
        <f ca="1">IFERROR(__xludf.DUMMYFUNCTION("""COMPUTED_VALUE"""),-0.320812661807454)</f>
        <v>-0.32081266180745399</v>
      </c>
      <c r="R50" s="3">
        <f ca="1">IFERROR(__xludf.DUMMYFUNCTION("""COMPUTED_VALUE"""),-0.325156790769081)</f>
        <v>-0.32515679076908099</v>
      </c>
      <c r="S50" s="3">
        <f ca="1">IFERROR(__xludf.DUMMYFUNCTION("""COMPUTED_VALUE"""),-0.307423625407804)</f>
        <v>-0.30742362540780399</v>
      </c>
      <c r="T50" s="3">
        <f ca="1">IFERROR(__xludf.DUMMYFUNCTION("""COMPUTED_VALUE"""),-0.341810336602616)</f>
        <v>-0.34181033660261601</v>
      </c>
      <c r="U50" s="3">
        <f ca="1">IFERROR(__xludf.DUMMYFUNCTION("""COMPUTED_VALUE"""),-0.321703358443366)</f>
        <v>-0.32170335844336601</v>
      </c>
      <c r="V50" s="3">
        <f ca="1">IFERROR(__xludf.DUMMYFUNCTION("""COMPUTED_VALUE"""),-0.242870810505449)</f>
        <v>-0.24287081050544901</v>
      </c>
      <c r="W50" s="3">
        <f ca="1">IFERROR(__xludf.DUMMYFUNCTION("""COMPUTED_VALUE"""),-0.362809792395422)</f>
        <v>-0.36280979239542199</v>
      </c>
      <c r="X50" s="3">
        <f ca="1">IFERROR(__xludf.DUMMYFUNCTION("""COMPUTED_VALUE"""),-0.335424800063297)</f>
        <v>-0.335424800063297</v>
      </c>
      <c r="Y50" s="3">
        <f ca="1">IFERROR(__xludf.DUMMYFUNCTION("""COMPUTED_VALUE"""),-0.339478597742117)</f>
        <v>-0.33947859774211703</v>
      </c>
      <c r="Z50" s="3">
        <f ca="1">IFERROR(__xludf.DUMMYFUNCTION("""COMPUTED_VALUE"""),-0.334791149496424)</f>
        <v>-0.33479114949642402</v>
      </c>
      <c r="AA50" s="3">
        <f ca="1">IFERROR(__xludf.DUMMYFUNCTION("""COMPUTED_VALUE"""),-0.329939588841813)</f>
        <v>-0.32993958884181301</v>
      </c>
      <c r="AB50" s="3">
        <f ca="1">IFERROR(__xludf.DUMMYFUNCTION("""COMPUTED_VALUE"""),-0.283867245907748)</f>
        <v>-0.28386724590774798</v>
      </c>
      <c r="AC50" s="3">
        <f ca="1">IFERROR(__xludf.DUMMYFUNCTION("""COMPUTED_VALUE"""),-0.186526345804854)</f>
        <v>-0.186526345804854</v>
      </c>
      <c r="AD50" s="3">
        <f ca="1">IFERROR(__xludf.DUMMYFUNCTION("""COMPUTED_VALUE"""),-0.384459321251126)</f>
        <v>-0.38445932125112597</v>
      </c>
      <c r="AE50" s="3">
        <f ca="1">IFERROR(__xludf.DUMMYFUNCTION("""COMPUTED_VALUE"""),-0.358198188608041)</f>
        <v>-0.35819818860804098</v>
      </c>
      <c r="AF50" s="3">
        <f ca="1">IFERROR(__xludf.DUMMYFUNCTION("""COMPUTED_VALUE"""),-0.371972527595347)</f>
        <v>-0.37197252759534699</v>
      </c>
      <c r="AG50" s="3">
        <f ca="1">IFERROR(__xludf.DUMMYFUNCTION("""COMPUTED_VALUE"""),-0.310555771854375)</f>
        <v>-0.310555771854375</v>
      </c>
      <c r="AH50" s="3">
        <f ca="1">IFERROR(__xludf.DUMMYFUNCTION("""COMPUTED_VALUE"""),-0.377540202485146)</f>
        <v>-0.37754020248514603</v>
      </c>
      <c r="AI50" s="3">
        <f ca="1">IFERROR(__xludf.DUMMYFUNCTION("""COMPUTED_VALUE"""),-0.245759892603842)</f>
        <v>-0.24575989260384201</v>
      </c>
      <c r="AJ50" s="3">
        <f ca="1">IFERROR(__xludf.DUMMYFUNCTION("""COMPUTED_VALUE"""),-0.157505319195861)</f>
        <v>-0.157505319195861</v>
      </c>
      <c r="AK50" s="3">
        <f ca="1">IFERROR(__xludf.DUMMYFUNCTION("""COMPUTED_VALUE"""),-0.315523035568097)</f>
        <v>-0.31552303556809702</v>
      </c>
      <c r="AL50" s="3">
        <f ca="1">IFERROR(__xludf.DUMMYFUNCTION("""COMPUTED_VALUE"""),-0.437459413355294)</f>
        <v>-0.43745941335529398</v>
      </c>
      <c r="AM50" s="3">
        <f ca="1">IFERROR(__xludf.DUMMYFUNCTION("""COMPUTED_VALUE"""),-0.400286688788201)</f>
        <v>-0.40028668878820101</v>
      </c>
      <c r="AN50" s="3">
        <f ca="1">IFERROR(__xludf.DUMMYFUNCTION("""COMPUTED_VALUE"""),-0.43525221884649)</f>
        <v>-0.43525221884649001</v>
      </c>
      <c r="AO50" s="3">
        <f ca="1">IFERROR(__xludf.DUMMYFUNCTION("""COMPUTED_VALUE"""),-0.351762095157283)</f>
        <v>-0.35176209515728302</v>
      </c>
      <c r="AP50" s="3">
        <f ca="1">IFERROR(__xludf.DUMMYFUNCTION("""COMPUTED_VALUE"""),-0.309306706308232)</f>
        <v>-0.30930670630823198</v>
      </c>
      <c r="AQ50" s="3">
        <f ca="1">IFERROR(__xludf.DUMMYFUNCTION("""COMPUTED_VALUE"""),-0.0976196523623696)</f>
        <v>-9.7619652362369594E-2</v>
      </c>
      <c r="AR50" s="3">
        <f ca="1">IFERROR(__xludf.DUMMYFUNCTION("""COMPUTED_VALUE"""),-0.382356875393145)</f>
        <v>-0.382356875393145</v>
      </c>
      <c r="AS50" s="3">
        <f ca="1">IFERROR(__xludf.DUMMYFUNCTION("""COMPUTED_VALUE"""),-0.387766554693404)</f>
        <v>-0.38776655469340399</v>
      </c>
      <c r="AT50" s="3">
        <f ca="1">IFERROR(__xludf.DUMMYFUNCTION("""COMPUTED_VALUE"""),-0.381273394291937)</f>
        <v>-0.38127339429193702</v>
      </c>
      <c r="AU50" s="3">
        <f ca="1">IFERROR(__xludf.DUMMYFUNCTION("""COMPUTED_VALUE"""),-0.324565355663475)</f>
        <v>-0.324565355663475</v>
      </c>
      <c r="AV50" s="3">
        <f ca="1">IFERROR(__xludf.DUMMYFUNCTION("""COMPUTED_VALUE"""),-0.39222059533783)</f>
        <v>-0.39222059533782999</v>
      </c>
      <c r="AW50" s="3">
        <f ca="1">IFERROR(__xludf.DUMMYFUNCTION("""COMPUTED_VALUE"""),-0.333786055594348)</f>
        <v>-0.33378605559434799</v>
      </c>
      <c r="AX50" s="3">
        <f ca="1">IFERROR(__xludf.DUMMYFUNCTION("""COMPUTED_VALUE"""),-0.238573172963426)</f>
        <v>-0.23857317296342601</v>
      </c>
      <c r="AY50" s="3">
        <f ca="1">IFERROR(__xludf.DUMMYFUNCTION("""COMPUTED_VALUE"""),-0.306510603349342)</f>
        <v>-0.30651060334934199</v>
      </c>
      <c r="AZ50" s="3">
        <f ca="1">IFERROR(__xludf.DUMMYFUNCTION("""COMPUTED_VALUE"""),-0.272686551467971)</f>
        <v>-0.27268655146797099</v>
      </c>
      <c r="BA50" s="3">
        <f ca="1">IFERROR(__xludf.DUMMYFUNCTION("""COMPUTED_VALUE"""),-0.373705992481998)</f>
        <v>-0.37370599248199798</v>
      </c>
      <c r="BB50" s="3">
        <f ca="1">IFERROR(__xludf.DUMMYFUNCTION("""COMPUTED_VALUE"""),-0.272155840210789)</f>
        <v>-0.27215584021078898</v>
      </c>
      <c r="BC50" s="3">
        <f ca="1">IFERROR(__xludf.DUMMYFUNCTION("""COMPUTED_VALUE"""),-0.341075413438488)</f>
        <v>-0.34107541343848802</v>
      </c>
      <c r="BD50" s="3">
        <f ca="1">IFERROR(__xludf.DUMMYFUNCTION("""COMPUTED_VALUE"""),-0.358351067747835)</f>
        <v>-0.35835106774783498</v>
      </c>
      <c r="BE50" s="3">
        <f ca="1">IFERROR(__xludf.DUMMYFUNCTION("""COMPUTED_VALUE"""),-0.178711142143487)</f>
        <v>-0.17871114214348699</v>
      </c>
      <c r="BF50" s="3">
        <f ca="1">IFERROR(__xludf.DUMMYFUNCTION("""COMPUTED_VALUE"""),-0.250264627170586)</f>
        <v>-0.25026462717058601</v>
      </c>
      <c r="BG50" s="3">
        <f ca="1">IFERROR(__xludf.DUMMYFUNCTION("""COMPUTED_VALUE"""),-0.360516711835117)</f>
        <v>-0.36051671183511702</v>
      </c>
      <c r="BH50" s="3">
        <f ca="1">IFERROR(__xludf.DUMMYFUNCTION("""COMPUTED_VALUE"""),-0.429625330308912)</f>
        <v>-0.42962533030891198</v>
      </c>
      <c r="BI50" s="3">
        <f ca="1">IFERROR(__xludf.DUMMYFUNCTION("""COMPUTED_VALUE"""),-0.335200423572029)</f>
        <v>-0.335200423572029</v>
      </c>
      <c r="BJ50" s="3">
        <f ca="1">IFERROR(__xludf.DUMMYFUNCTION("""COMPUTED_VALUE"""),-0.400663439229353)</f>
        <v>-0.40066343922935299</v>
      </c>
      <c r="BK50" s="3">
        <f ca="1">IFERROR(__xludf.DUMMYFUNCTION("""COMPUTED_VALUE"""),-0.365210316136277)</f>
        <v>-0.36521031613627702</v>
      </c>
      <c r="BL50" s="3">
        <f ca="1">IFERROR(__xludf.DUMMYFUNCTION("""COMPUTED_VALUE"""),-0.263910018190024)</f>
        <v>-0.26391001819002402</v>
      </c>
      <c r="BM50" s="3">
        <f ca="1">IFERROR(__xludf.DUMMYFUNCTION("""COMPUTED_VALUE"""),-0.398555085205206)</f>
        <v>-0.39855508520520599</v>
      </c>
      <c r="BN50" s="3">
        <f ca="1">IFERROR(__xludf.DUMMYFUNCTION("""COMPUTED_VALUE"""),-0.433375740691428)</f>
        <v>-0.43337574069142798</v>
      </c>
      <c r="BO50" s="3">
        <f ca="1">IFERROR(__xludf.DUMMYFUNCTION("""COMPUTED_VALUE"""),-0.392013865328204)</f>
        <v>-0.39201386532820398</v>
      </c>
      <c r="BP50" s="3">
        <f ca="1">IFERROR(__xludf.DUMMYFUNCTION("""COMPUTED_VALUE"""),-0.378335556060573)</f>
        <v>-0.37833555606057301</v>
      </c>
      <c r="BQ50" s="3">
        <f ca="1">IFERROR(__xludf.DUMMYFUNCTION("""COMPUTED_VALUE"""),-0.429615640802149)</f>
        <v>-0.42961564080214898</v>
      </c>
      <c r="BR50" s="3">
        <f ca="1">IFERROR(__xludf.DUMMYFUNCTION("""COMPUTED_VALUE"""),-0.402596730741185)</f>
        <v>-0.40259673074118502</v>
      </c>
      <c r="BS50" s="3">
        <f ca="1">IFERROR(__xludf.DUMMYFUNCTION("""COMPUTED_VALUE"""),-0.319890467423369)</f>
        <v>-0.31989046742336902</v>
      </c>
      <c r="BT50" s="3">
        <f ca="1">IFERROR(__xludf.DUMMYFUNCTION("""COMPUTED_VALUE"""),-0.432981650402201)</f>
        <v>-0.43298165040220099</v>
      </c>
      <c r="BU50" s="3">
        <f ca="1">IFERROR(__xludf.DUMMYFUNCTION("""COMPUTED_VALUE"""),-0.444190753664623)</f>
        <v>-0.44419075366462302</v>
      </c>
      <c r="BV50" s="3">
        <f ca="1">IFERROR(__xludf.DUMMYFUNCTION("""COMPUTED_VALUE"""),-0.480977380295677)</f>
        <v>-0.48097738029567699</v>
      </c>
      <c r="BW50" s="3">
        <f ca="1">IFERROR(__xludf.DUMMYFUNCTION("""COMPUTED_VALUE"""),-0.385239573640566)</f>
        <v>-0.38523957364056599</v>
      </c>
      <c r="BX50" s="3">
        <f ca="1">IFERROR(__xludf.DUMMYFUNCTION("""COMPUTED_VALUE"""),-0.401684959201845)</f>
        <v>-0.40168495920184499</v>
      </c>
      <c r="BY50" s="3">
        <f ca="1">IFERROR(__xludf.DUMMYFUNCTION("""COMPUTED_VALUE"""),-0.436938268632654)</f>
        <v>-0.436938268632654</v>
      </c>
      <c r="BZ50" s="3">
        <f ca="1">IFERROR(__xludf.DUMMYFUNCTION("""COMPUTED_VALUE"""),-0.319104922338258)</f>
        <v>-0.31910492233825799</v>
      </c>
      <c r="CA50" s="3">
        <f ca="1">IFERROR(__xludf.DUMMYFUNCTION("""COMPUTED_VALUE"""),-0.43298725692132)</f>
        <v>-0.43298725692132001</v>
      </c>
      <c r="CB50" s="3">
        <f ca="1">IFERROR(__xludf.DUMMYFUNCTION("""COMPUTED_VALUE"""),-0.478146324333942)</f>
        <v>-0.478146324333942</v>
      </c>
      <c r="CC50" s="3">
        <f ca="1">IFERROR(__xludf.DUMMYFUNCTION("""COMPUTED_VALUE"""),-0.406938292469364)</f>
        <v>-0.40693829246936403</v>
      </c>
      <c r="CD50" s="3">
        <f ca="1">IFERROR(__xludf.DUMMYFUNCTION("""COMPUTED_VALUE"""),-0.446062545622473)</f>
        <v>-0.44606254562247299</v>
      </c>
      <c r="CE50" s="3">
        <f ca="1">IFERROR(__xludf.DUMMYFUNCTION("""COMPUTED_VALUE"""),-0.458926718489253)</f>
        <v>-0.45892671848925298</v>
      </c>
      <c r="CF50" s="3">
        <f ca="1">IFERROR(__xludf.DUMMYFUNCTION("""COMPUTED_VALUE"""),-0.435049489963261)</f>
        <v>-0.43504948996326098</v>
      </c>
      <c r="CG50" s="3">
        <f ca="1">IFERROR(__xludf.DUMMYFUNCTION("""COMPUTED_VALUE"""),-0.413385780511168)</f>
        <v>-0.41338578051116798</v>
      </c>
      <c r="CH50" s="3">
        <f ca="1">IFERROR(__xludf.DUMMYFUNCTION("""COMPUTED_VALUE"""),-0.512930007318448)</f>
        <v>-0.51293000731844796</v>
      </c>
      <c r="CI50" s="3">
        <f ca="1">IFERROR(__xludf.DUMMYFUNCTION("""COMPUTED_VALUE"""),-0.549566463120877)</f>
        <v>-0.54956646312087698</v>
      </c>
      <c r="CJ50" s="3">
        <f ca="1">IFERROR(__xludf.DUMMYFUNCTION("""COMPUTED_VALUE"""),-0.516075079168001)</f>
        <v>-0.51607507916800099</v>
      </c>
      <c r="CK50" s="3">
        <f ca="1">IFERROR(__xludf.DUMMYFUNCTION("""COMPUTED_VALUE"""),-0.519520333212731)</f>
        <v>-0.51952033321273094</v>
      </c>
      <c r="CL50" s="3">
        <f ca="1">IFERROR(__xludf.DUMMYFUNCTION("""COMPUTED_VALUE"""),-0.497617027787765)</f>
        <v>-0.49761702778776501</v>
      </c>
      <c r="CM50" s="3">
        <f ca="1">IFERROR(__xludf.DUMMYFUNCTION("""COMPUTED_VALUE"""),-0.447157691302868)</f>
        <v>-0.44715769130286798</v>
      </c>
      <c r="CN50" s="3">
        <f ca="1">IFERROR(__xludf.DUMMYFUNCTION("""COMPUTED_VALUE"""),-0.379146423243898)</f>
        <v>-0.37914642324389802</v>
      </c>
      <c r="CO50" s="3">
        <f ca="1">IFERROR(__xludf.DUMMYFUNCTION("""COMPUTED_VALUE"""),-0.487630183341488)</f>
        <v>-0.487630183341488</v>
      </c>
      <c r="CP50" s="3">
        <f ca="1">IFERROR(__xludf.DUMMYFUNCTION("""COMPUTED_VALUE"""),-0.478123755495331)</f>
        <v>-0.47812375549533098</v>
      </c>
      <c r="CQ50" s="3">
        <f ca="1">IFERROR(__xludf.DUMMYFUNCTION("""COMPUTED_VALUE"""),-0.45423401968287)</f>
        <v>-0.45423401968287003</v>
      </c>
      <c r="CR50" s="3">
        <f ca="1">IFERROR(__xludf.DUMMYFUNCTION("""COMPUTED_VALUE"""),-0.405775068393018)</f>
        <v>-0.40577506839301802</v>
      </c>
      <c r="CS50" s="3">
        <f ca="1">IFERROR(__xludf.DUMMYFUNCTION("""COMPUTED_VALUE"""),-0.417329345784547)</f>
        <v>-0.417329345784547</v>
      </c>
      <c r="CT50" s="3">
        <f ca="1">IFERROR(__xludf.DUMMYFUNCTION("""COMPUTED_VALUE"""),-0.425356208900253)</f>
        <v>-0.425356208900253</v>
      </c>
      <c r="CU50" s="3">
        <f ca="1">IFERROR(__xludf.DUMMYFUNCTION("""COMPUTED_VALUE"""),-0.388635173004479)</f>
        <v>-0.38863517300447897</v>
      </c>
      <c r="CV50" s="3">
        <f ca="1">IFERROR(__xludf.DUMMYFUNCTION("""COMPUTED_VALUE"""),-0.575500786241373)</f>
        <v>-0.57550078624137302</v>
      </c>
      <c r="CW50" s="3">
        <f ca="1">IFERROR(__xludf.DUMMYFUNCTION("""COMPUTED_VALUE"""),-0.615434571545276)</f>
        <v>-0.61543457154527603</v>
      </c>
      <c r="CX50" s="3">
        <f ca="1">IFERROR(__xludf.DUMMYFUNCTION("""COMPUTED_VALUE"""),-0.436315462056119)</f>
        <v>-0.43631546205611899</v>
      </c>
      <c r="CY50" s="3">
        <f ca="1">IFERROR(__xludf.DUMMYFUNCTION("""COMPUTED_VALUE"""),-0.354816284885852)</f>
        <v>-0.35481628488585198</v>
      </c>
      <c r="CZ50" s="3">
        <f ca="1">IFERROR(__xludf.DUMMYFUNCTION("""COMPUTED_VALUE"""),-0.527232092704115)</f>
        <v>-0.52723209270411497</v>
      </c>
      <c r="DA50" s="3">
        <f ca="1">IFERROR(__xludf.DUMMYFUNCTION("""COMPUTED_VALUE"""),-0.50734888430695)</f>
        <v>-0.50734888430695002</v>
      </c>
      <c r="DB50" s="3">
        <f ca="1">IFERROR(__xludf.DUMMYFUNCTION("""COMPUTED_VALUE"""),-0.520126186864934)</f>
        <v>-0.52012618686493395</v>
      </c>
      <c r="DC50" s="3">
        <f ca="1">IFERROR(__xludf.DUMMYFUNCTION("""COMPUTED_VALUE"""),-0.532145930905819)</f>
        <v>-0.53214593090581896</v>
      </c>
      <c r="DD50" s="3">
        <f ca="1">IFERROR(__xludf.DUMMYFUNCTION("""COMPUTED_VALUE"""),-0.600993118556129)</f>
        <v>-0.60099311855612902</v>
      </c>
      <c r="DE50" s="3">
        <f ca="1">IFERROR(__xludf.DUMMYFUNCTION("""COMPUTED_VALUE"""),-0.50514945931162)</f>
        <v>-0.50514945931162003</v>
      </c>
      <c r="DF50" s="3">
        <f ca="1">IFERROR(__xludf.DUMMYFUNCTION("""COMPUTED_VALUE"""),-0.351424542366339)</f>
        <v>-0.35142454236633902</v>
      </c>
      <c r="DG50" s="3">
        <f ca="1">IFERROR(__xludf.DUMMYFUNCTION("""COMPUTED_VALUE"""),-0.453523130092424)</f>
        <v>-0.45352313009242401</v>
      </c>
      <c r="DH50" s="3">
        <f ca="1">IFERROR(__xludf.DUMMYFUNCTION("""COMPUTED_VALUE"""),-0.449893941805765)</f>
        <v>-0.44989394180576497</v>
      </c>
      <c r="DI50" s="3">
        <f ca="1">IFERROR(__xludf.DUMMYFUNCTION("""COMPUTED_VALUE"""),-0.427147948356686)</f>
        <v>-0.42714794835668601</v>
      </c>
      <c r="DJ50" s="3">
        <f ca="1">IFERROR(__xludf.DUMMYFUNCTION("""COMPUTED_VALUE"""),-0.473789618079093)</f>
        <v>-0.47378961807909298</v>
      </c>
      <c r="DK50" s="3">
        <f ca="1">IFERROR(__xludf.DUMMYFUNCTION("""COMPUTED_VALUE"""),-0.479080483023402)</f>
        <v>-0.479080483023402</v>
      </c>
      <c r="DL50" s="3">
        <f ca="1">IFERROR(__xludf.DUMMYFUNCTION("""COMPUTED_VALUE"""),-0.475923139799276)</f>
        <v>-0.47592313979927597</v>
      </c>
      <c r="DM50" s="3">
        <f ca="1">IFERROR(__xludf.DUMMYFUNCTION("""COMPUTED_VALUE"""),-0.402206151531793)</f>
        <v>-0.40220615153179301</v>
      </c>
      <c r="DN50" s="3">
        <f ca="1">IFERROR(__xludf.DUMMYFUNCTION("""COMPUTED_VALUE"""),-0.427436575948667)</f>
        <v>-0.42743657594866702</v>
      </c>
      <c r="DO50" s="3">
        <f ca="1">IFERROR(__xludf.DUMMYFUNCTION("""COMPUTED_VALUE"""),-0.463239869557479)</f>
        <v>-0.46323986955747898</v>
      </c>
      <c r="DP50" s="3">
        <f ca="1">IFERROR(__xludf.DUMMYFUNCTION("""COMPUTED_VALUE"""),-0.475412468733931)</f>
        <v>-0.475412468733931</v>
      </c>
      <c r="DQ50" s="3">
        <f ca="1">IFERROR(__xludf.DUMMYFUNCTION("""COMPUTED_VALUE"""),-0.499668370018451)</f>
        <v>-0.49966837001845099</v>
      </c>
      <c r="DR50" s="3">
        <f ca="1">IFERROR(__xludf.DUMMYFUNCTION("""COMPUTED_VALUE"""),-0.519365928122624)</f>
        <v>-0.51936592812262405</v>
      </c>
      <c r="DS50" s="3">
        <f ca="1">IFERROR(__xludf.DUMMYFUNCTION("""COMPUTED_VALUE"""),-0.559620316479523)</f>
        <v>-0.55962031647952304</v>
      </c>
      <c r="DT50" s="3">
        <f ca="1">IFERROR(__xludf.DUMMYFUNCTION("""COMPUTED_VALUE"""),-0.482238274752418)</f>
        <v>-0.48223827475241798</v>
      </c>
      <c r="DU50" s="3">
        <f ca="1">IFERROR(__xludf.DUMMYFUNCTION("""COMPUTED_VALUE"""),-0.464754848604445)</f>
        <v>-0.46475484860444499</v>
      </c>
      <c r="DV50" s="3">
        <f ca="1">IFERROR(__xludf.DUMMYFUNCTION("""COMPUTED_VALUE"""),-0.446342624860536)</f>
        <v>-0.446342624860536</v>
      </c>
      <c r="DW50" s="3">
        <f ca="1">IFERROR(__xludf.DUMMYFUNCTION("""COMPUTED_VALUE"""),-0.421158590487547)</f>
        <v>-0.421158590487547</v>
      </c>
      <c r="DX50" s="3">
        <f ca="1">IFERROR(__xludf.DUMMYFUNCTION("""COMPUTED_VALUE"""),-0.43983685577687)</f>
        <v>-0.43983685577686998</v>
      </c>
      <c r="DY50" s="3">
        <f ca="1">IFERROR(__xludf.DUMMYFUNCTION("""COMPUTED_VALUE"""),-0.516475422484664)</f>
        <v>-0.51647542248466405</v>
      </c>
      <c r="DZ50" s="3">
        <f ca="1">IFERROR(__xludf.DUMMYFUNCTION("""COMPUTED_VALUE"""),-0.545349554455079)</f>
        <v>-0.54534955445507904</v>
      </c>
      <c r="EA50" s="3">
        <f ca="1">IFERROR(__xludf.DUMMYFUNCTION("""COMPUTED_VALUE"""),-0.522940237374548)</f>
        <v>-0.52294023737454798</v>
      </c>
      <c r="EB50" s="3">
        <f ca="1">IFERROR(__xludf.DUMMYFUNCTION("""COMPUTED_VALUE"""),-0.513860140207894)</f>
        <v>-0.51386014020789395</v>
      </c>
      <c r="EC50" s="3">
        <f ca="1">IFERROR(__xludf.DUMMYFUNCTION("""COMPUTED_VALUE"""),-0.472093402463234)</f>
        <v>-0.472093402463234</v>
      </c>
      <c r="ED50" s="3">
        <f ca="1">IFERROR(__xludf.DUMMYFUNCTION("""COMPUTED_VALUE"""),-0.423705242490092)</f>
        <v>-0.423705242490092</v>
      </c>
      <c r="EE50" s="3">
        <f ca="1">IFERROR(__xludf.DUMMYFUNCTION("""COMPUTED_VALUE"""),-0.511564359749048)</f>
        <v>-0.51156435974904801</v>
      </c>
      <c r="EF50" s="3">
        <f ca="1">IFERROR(__xludf.DUMMYFUNCTION("""COMPUTED_VALUE"""),-0.541062713147783)</f>
        <v>-0.54106271314778298</v>
      </c>
      <c r="EG50" s="3">
        <f ca="1">IFERROR(__xludf.DUMMYFUNCTION("""COMPUTED_VALUE"""),-0.560264420783893)</f>
        <v>-0.56026442078389305</v>
      </c>
      <c r="EH50" s="3">
        <f ca="1">IFERROR(__xludf.DUMMYFUNCTION("""COMPUTED_VALUE"""),-0.529144263598563)</f>
        <v>-0.52914426359856304</v>
      </c>
      <c r="EI50" s="3">
        <f ca="1">IFERROR(__xludf.DUMMYFUNCTION("""COMPUTED_VALUE"""),-0.526236015122807)</f>
        <v>-0.52623601512280704</v>
      </c>
      <c r="EJ50" s="3">
        <f ca="1">IFERROR(__xludf.DUMMYFUNCTION("""COMPUTED_VALUE"""),-0.474312216520502)</f>
        <v>-0.47431221652050198</v>
      </c>
      <c r="EK50" s="3">
        <f ca="1">IFERROR(__xludf.DUMMYFUNCTION("""COMPUTED_VALUE"""),-0.480882115062534)</f>
        <v>-0.48088211506253398</v>
      </c>
      <c r="EL50" s="3">
        <f ca="1">IFERROR(__xludf.DUMMYFUNCTION("""COMPUTED_VALUE"""),-0.568029964174981)</f>
        <v>-0.56802996417498097</v>
      </c>
      <c r="EM50" s="3">
        <f ca="1">IFERROR(__xludf.DUMMYFUNCTION("""COMPUTED_VALUE"""),-0.554224818444041)</f>
        <v>-0.55422481844404103</v>
      </c>
      <c r="EN50" s="3">
        <f ca="1">IFERROR(__xludf.DUMMYFUNCTION("""COMPUTED_VALUE"""),-0.541414717966373)</f>
        <v>-0.54141471796637297</v>
      </c>
      <c r="EO50" s="3">
        <f ca="1">IFERROR(__xludf.DUMMYFUNCTION("""COMPUTED_VALUE"""),-0.468728640154263)</f>
        <v>-0.46872864015426302</v>
      </c>
      <c r="EP50" s="3">
        <f ca="1">IFERROR(__xludf.DUMMYFUNCTION("""COMPUTED_VALUE"""),-0.471024023484525)</f>
        <v>-0.47102402348452499</v>
      </c>
      <c r="EQ50" s="3">
        <f ca="1">IFERROR(__xludf.DUMMYFUNCTION("""COMPUTED_VALUE"""),-0.39891055041739)</f>
        <v>-0.39891055041738999</v>
      </c>
      <c r="ER50" s="3">
        <f ca="1">IFERROR(__xludf.DUMMYFUNCTION("""COMPUTED_VALUE"""),-0.529008476282062)</f>
        <v>-0.52900847628206205</v>
      </c>
      <c r="ES50" s="3">
        <f ca="1">IFERROR(__xludf.DUMMYFUNCTION("""COMPUTED_VALUE"""),-0.543897866695864)</f>
        <v>-0.54389786669586404</v>
      </c>
      <c r="ET50" s="3">
        <f ca="1">IFERROR(__xludf.DUMMYFUNCTION("""COMPUTED_VALUE"""),-0.502509618474934)</f>
        <v>-0.50250961847493403</v>
      </c>
      <c r="EU50" s="3">
        <f ca="1">IFERROR(__xludf.DUMMYFUNCTION("""COMPUTED_VALUE"""),-0.481286946075274)</f>
        <v>-0.481286946075274</v>
      </c>
      <c r="EV50" s="3">
        <f ca="1">IFERROR(__xludf.DUMMYFUNCTION("""COMPUTED_VALUE"""),-0.58124349701177)</f>
        <v>-0.58124349701177003</v>
      </c>
      <c r="EW50" s="3">
        <f ca="1">IFERROR(__xludf.DUMMYFUNCTION("""COMPUTED_VALUE"""),-0.473037248110183)</f>
        <v>-0.473037248110183</v>
      </c>
      <c r="EX50" s="3">
        <f ca="1">IFERROR(__xludf.DUMMYFUNCTION("""COMPUTED_VALUE"""),-0.372710156254204)</f>
        <v>-0.37271015625420401</v>
      </c>
      <c r="EY50" s="3">
        <f ca="1">IFERROR(__xludf.DUMMYFUNCTION("""COMPUTED_VALUE"""),-0.547959768401686)</f>
        <v>-0.54795976840168603</v>
      </c>
      <c r="EZ50" s="3">
        <f ca="1">IFERROR(__xludf.DUMMYFUNCTION("""COMPUTED_VALUE"""),-0.59650838626401)</f>
        <v>-0.59650838626401004</v>
      </c>
      <c r="FA50" s="3">
        <f ca="1">IFERROR(__xludf.DUMMYFUNCTION("""COMPUTED_VALUE"""),-0.426429536700572)</f>
        <v>-0.42642953670057199</v>
      </c>
      <c r="FB50" s="3">
        <f ca="1">IFERROR(__xludf.DUMMYFUNCTION("""COMPUTED_VALUE"""),-0.487578658719931)</f>
        <v>-0.487578658719931</v>
      </c>
      <c r="FC50" s="3">
        <f ca="1">IFERROR(__xludf.DUMMYFUNCTION("""COMPUTED_VALUE"""),-0.426727992400861)</f>
        <v>-0.42672799240086101</v>
      </c>
      <c r="FD50" s="3">
        <f ca="1">IFERROR(__xludf.DUMMYFUNCTION("""COMPUTED_VALUE"""),-0.441169111039599)</f>
        <v>-0.44116911103959899</v>
      </c>
      <c r="FE50" s="3">
        <f ca="1">IFERROR(__xludf.DUMMYFUNCTION("""COMPUTED_VALUE"""),-0.290816031784174)</f>
        <v>-0.29081603178417398</v>
      </c>
      <c r="FF50" s="3">
        <f ca="1">IFERROR(__xludf.DUMMYFUNCTION("""COMPUTED_VALUE"""),-0.457658841689425)</f>
        <v>-0.457658841689425</v>
      </c>
      <c r="FG50" s="3">
        <f ca="1">IFERROR(__xludf.DUMMYFUNCTION("""COMPUTED_VALUE"""),-0.624430911098107)</f>
        <v>-0.624430911098107</v>
      </c>
      <c r="FH50" s="3">
        <f ca="1">IFERROR(__xludf.DUMMYFUNCTION("""COMPUTED_VALUE"""),-0.613297576788418)</f>
        <v>-0.61329757678841801</v>
      </c>
      <c r="FI50" s="3">
        <f ca="1">IFERROR(__xludf.DUMMYFUNCTION("""COMPUTED_VALUE"""),-0.146602729915874)</f>
        <v>-0.146602729915874</v>
      </c>
      <c r="FJ50" s="3">
        <f ca="1">IFERROR(__xludf.DUMMYFUNCTION("""COMPUTED_VALUE"""),-0.255256889903907)</f>
        <v>-0.25525688990390699</v>
      </c>
      <c r="FK50" s="3">
        <f ca="1">IFERROR(__xludf.DUMMYFUNCTION("""COMPUTED_VALUE"""),-0.29655850899044)</f>
        <v>-0.29655850899044001</v>
      </c>
      <c r="FL50" s="3">
        <f ca="1">IFERROR(__xludf.DUMMYFUNCTION("""COMPUTED_VALUE"""),-0.305884490750249)</f>
        <v>-0.30588449075024898</v>
      </c>
      <c r="FM50" s="3">
        <f ca="1">IFERROR(__xludf.DUMMYFUNCTION("""COMPUTED_VALUE"""),-0.20147591102885)</f>
        <v>-0.20147591102885001</v>
      </c>
      <c r="FN50" s="3">
        <f ca="1">IFERROR(__xludf.DUMMYFUNCTION("""COMPUTED_VALUE"""),-0.304208763168)</f>
        <v>-0.304208763168</v>
      </c>
      <c r="FO50" s="3">
        <f ca="1">IFERROR(__xludf.DUMMYFUNCTION("""COMPUTED_VALUE"""),-0.250242573497505)</f>
        <v>-0.25024257349750501</v>
      </c>
      <c r="FP50" s="3">
        <f ca="1">IFERROR(__xludf.DUMMYFUNCTION("""COMPUTED_VALUE"""),-0.271248428332469)</f>
        <v>-0.27124842833246898</v>
      </c>
      <c r="FQ50" s="3">
        <f ca="1">IFERROR(__xludf.DUMMYFUNCTION("""COMPUTED_VALUE"""),-0.171196389163713)</f>
        <v>-0.17119638916371299</v>
      </c>
      <c r="FR50" s="3">
        <f ca="1">IFERROR(__xludf.DUMMYFUNCTION("""COMPUTED_VALUE"""),-0.165856440713007)</f>
        <v>-0.16585644071300701</v>
      </c>
      <c r="FS50" s="3">
        <f ca="1">IFERROR(__xludf.DUMMYFUNCTION("""COMPUTED_VALUE"""),-0.15968231509653)</f>
        <v>-0.15968231509653</v>
      </c>
      <c r="FT50" s="3">
        <f ca="1">IFERROR(__xludf.DUMMYFUNCTION("""COMPUTED_VALUE"""),-0.0851036123089786)</f>
        <v>-8.5103612308978602E-2</v>
      </c>
      <c r="FU50" s="3">
        <f ca="1">IFERROR(__xludf.DUMMYFUNCTION("""COMPUTED_VALUE"""),-0.188383463932831)</f>
        <v>-0.18838346393283101</v>
      </c>
      <c r="FV50" s="3">
        <f ca="1">IFERROR(__xludf.DUMMYFUNCTION("""COMPUTED_VALUE"""),-0.227332681470863)</f>
        <v>-0.227332681470863</v>
      </c>
      <c r="FW50" s="3">
        <f ca="1">IFERROR(__xludf.DUMMYFUNCTION("""COMPUTED_VALUE"""),-0.227505086787541)</f>
        <v>-0.227505086787541</v>
      </c>
      <c r="FX50" s="3">
        <f ca="1">IFERROR(__xludf.DUMMYFUNCTION("""COMPUTED_VALUE"""),-0.25332551941105)</f>
        <v>-0.25332551941105003</v>
      </c>
      <c r="FY50" s="3">
        <f ca="1">IFERROR(__xludf.DUMMYFUNCTION("""COMPUTED_VALUE"""),-0.21615699948193)</f>
        <v>-0.21615699948193001</v>
      </c>
      <c r="FZ50" s="3">
        <f ca="1">IFERROR(__xludf.DUMMYFUNCTION("""COMPUTED_VALUE"""),-0.143849845908328)</f>
        <v>-0.143849845908328</v>
      </c>
      <c r="GA50" s="3">
        <f ca="1">IFERROR(__xludf.DUMMYFUNCTION("""COMPUTED_VALUE"""),-0.219131845245404)</f>
        <v>-0.21913184524540399</v>
      </c>
      <c r="GB50" s="3">
        <f ca="1">IFERROR(__xludf.DUMMYFUNCTION("""COMPUTED_VALUE"""),-0.138202316244076)</f>
        <v>-0.138202316244076</v>
      </c>
      <c r="GC50" s="3">
        <f ca="1">IFERROR(__xludf.DUMMYFUNCTION("""COMPUTED_VALUE"""),-0.223903454470692)</f>
        <v>-0.22390345447069199</v>
      </c>
      <c r="GD50" s="3">
        <f ca="1">IFERROR(__xludf.DUMMYFUNCTION("""COMPUTED_VALUE"""),-0.23533082019397)</f>
        <v>-0.23533082019397</v>
      </c>
      <c r="GE50" s="3">
        <f ca="1">IFERROR(__xludf.DUMMYFUNCTION("""COMPUTED_VALUE"""),-0.168519711197198)</f>
        <v>-0.168519711197198</v>
      </c>
      <c r="GF50" s="3">
        <f ca="1">IFERROR(__xludf.DUMMYFUNCTION("""COMPUTED_VALUE"""),-0.150940001531164)</f>
        <v>-0.15094000153116399</v>
      </c>
      <c r="GG50" s="3">
        <f ca="1">IFERROR(__xludf.DUMMYFUNCTION("""COMPUTED_VALUE"""),-0.0522279739092872)</f>
        <v>-5.2227973909287198E-2</v>
      </c>
      <c r="GH50" s="3">
        <f ca="1">IFERROR(__xludf.DUMMYFUNCTION("""COMPUTED_VALUE"""),-0.260671180063264)</f>
        <v>-0.26067118006326401</v>
      </c>
      <c r="GI50" s="3">
        <f ca="1">IFERROR(__xludf.DUMMYFUNCTION("""COMPUTED_VALUE"""),-0.326092559998085)</f>
        <v>-0.32609255999808501</v>
      </c>
      <c r="GJ50" s="3">
        <f ca="1">IFERROR(__xludf.DUMMYFUNCTION("""COMPUTED_VALUE"""),-0.208449441500625)</f>
        <v>-0.208449441500625</v>
      </c>
      <c r="GK50" s="3">
        <f ca="1">IFERROR(__xludf.DUMMYFUNCTION("""COMPUTED_VALUE"""),-0.187509241173332)</f>
        <v>-0.18750924117333201</v>
      </c>
      <c r="GL50" s="3">
        <f ca="1">IFERROR(__xludf.DUMMYFUNCTION("""COMPUTED_VALUE"""),-0.172903032085814)</f>
        <v>-0.17290303208581401</v>
      </c>
      <c r="GM50" s="3">
        <f ca="1">IFERROR(__xludf.DUMMYFUNCTION("""COMPUTED_VALUE"""),-0.28859584572622)</f>
        <v>-0.28859584572621999</v>
      </c>
      <c r="GN50" s="3">
        <f ca="1">IFERROR(__xludf.DUMMYFUNCTION("""COMPUTED_VALUE"""),-0.179659852684908)</f>
        <v>-0.179659852684908</v>
      </c>
      <c r="GO50" s="3">
        <f ca="1">IFERROR(__xludf.DUMMYFUNCTION("""COMPUTED_VALUE"""),-0.170255552303158)</f>
        <v>-0.170255552303158</v>
      </c>
      <c r="GP50" s="3">
        <f ca="1">IFERROR(__xludf.DUMMYFUNCTION("""COMPUTED_VALUE"""),-0.279430207835053)</f>
        <v>-0.27943020783505301</v>
      </c>
      <c r="GQ50" s="3">
        <f ca="1">IFERROR(__xludf.DUMMYFUNCTION("""COMPUTED_VALUE"""),-0.135356845364346)</f>
        <v>-0.135356845364346</v>
      </c>
      <c r="GR50" s="3">
        <f ca="1">IFERROR(__xludf.DUMMYFUNCTION("""COMPUTED_VALUE"""),-0.207693553034819)</f>
        <v>-0.20769355303481901</v>
      </c>
      <c r="GS50" s="3">
        <f ca="1">IFERROR(__xludf.DUMMYFUNCTION("""COMPUTED_VALUE"""),-0.161654311687469)</f>
        <v>-0.16165431168746899</v>
      </c>
      <c r="GT50" s="3">
        <f ca="1">IFERROR(__xludf.DUMMYFUNCTION("""COMPUTED_VALUE"""),-0.177005514180118)</f>
        <v>-0.17700551418011801</v>
      </c>
      <c r="GU50" s="3">
        <f ca="1">IFERROR(__xludf.DUMMYFUNCTION("""COMPUTED_VALUE"""),-0.0649432666596059)</f>
        <v>-6.4943266659605897E-2</v>
      </c>
      <c r="GV50" s="3">
        <f ca="1">IFERROR(__xludf.DUMMYFUNCTION("""COMPUTED_VALUE"""),-0.133495568939172)</f>
        <v>-0.133495568939172</v>
      </c>
      <c r="GW50" s="3">
        <f ca="1">IFERROR(__xludf.DUMMYFUNCTION("""COMPUTED_VALUE"""),-0.16617807854497)</f>
        <v>-0.16617807854496999</v>
      </c>
      <c r="GX50" s="3">
        <f ca="1">IFERROR(__xludf.DUMMYFUNCTION("""COMPUTED_VALUE"""),-0.172910753973308)</f>
        <v>-0.17291075397330799</v>
      </c>
      <c r="GY50" s="3">
        <f ca="1">IFERROR(__xludf.DUMMYFUNCTION("""COMPUTED_VALUE"""),-0.0669612044187668)</f>
        <v>-6.6961204418766795E-2</v>
      </c>
      <c r="GZ50" s="3">
        <f ca="1">IFERROR(__xludf.DUMMYFUNCTION("""COMPUTED_VALUE"""),-0.0434091090702684)</f>
        <v>-4.3409109070268397E-2</v>
      </c>
      <c r="HA50" s="3">
        <f ca="1">IFERROR(__xludf.DUMMYFUNCTION("""COMPUTED_VALUE"""),-0.125298075706119)</f>
        <v>-0.12529807570611901</v>
      </c>
      <c r="HB50" s="3">
        <f ca="1">IFERROR(__xludf.DUMMYFUNCTION("""COMPUTED_VALUE"""),-0.0424121721470028)</f>
        <v>-4.2412172147002797E-2</v>
      </c>
      <c r="HC50" s="3">
        <f ca="1">IFERROR(__xludf.DUMMYFUNCTION("""COMPUTED_VALUE"""),-0.0817041758450051)</f>
        <v>-8.1704175845005098E-2</v>
      </c>
      <c r="HD50" s="3">
        <f ca="1">IFERROR(__xludf.DUMMYFUNCTION("""COMPUTED_VALUE"""),-0.0323227963784782)</f>
        <v>-3.2322796378478201E-2</v>
      </c>
      <c r="HE50" s="3">
        <f ca="1">IFERROR(__xludf.DUMMYFUNCTION("""COMPUTED_VALUE"""),-0.116698170264782)</f>
        <v>-0.11669817026478201</v>
      </c>
      <c r="HF50" s="3">
        <f ca="1">IFERROR(__xludf.DUMMYFUNCTION("""COMPUTED_VALUE"""),0.0210979828734076)</f>
        <v>2.1097982873407601E-2</v>
      </c>
      <c r="HG50" s="3">
        <f ca="1">IFERROR(__xludf.DUMMYFUNCTION("""COMPUTED_VALUE"""),0.0170975961218835)</f>
        <v>1.7097596121883499E-2</v>
      </c>
      <c r="HH50" s="3">
        <f ca="1">IFERROR(__xludf.DUMMYFUNCTION("""COMPUTED_VALUE"""),0.144799343586889)</f>
        <v>0.14479934358688901</v>
      </c>
      <c r="HI50" s="3">
        <f ca="1">IFERROR(__xludf.DUMMYFUNCTION("""COMPUTED_VALUE"""),0.190462934981183)</f>
        <v>0.190462934981183</v>
      </c>
      <c r="HJ50" s="3">
        <f ca="1">IFERROR(__xludf.DUMMYFUNCTION("""COMPUTED_VALUE"""),0.0462804120754849)</f>
        <v>4.6280412075484903E-2</v>
      </c>
      <c r="HK50" s="3">
        <f ca="1">IFERROR(__xludf.DUMMYFUNCTION("""COMPUTED_VALUE"""),0.12832797064486)</f>
        <v>0.12832797064486001</v>
      </c>
      <c r="HL50" s="3">
        <f ca="1">IFERROR(__xludf.DUMMYFUNCTION("""COMPUTED_VALUE"""),0.169924378372193)</f>
        <v>0.16992437837219301</v>
      </c>
      <c r="HM50" s="3">
        <f ca="1">IFERROR(__xludf.DUMMYFUNCTION("""COMPUTED_VALUE"""),0.291079941134391)</f>
        <v>0.29107994113439101</v>
      </c>
      <c r="HN50" s="3">
        <f ca="1">IFERROR(__xludf.DUMMYFUNCTION("""COMPUTED_VALUE"""),0.189365723123381)</f>
        <v>0.18936572312338101</v>
      </c>
      <c r="HO50" s="3">
        <f ca="1">IFERROR(__xludf.DUMMYFUNCTION("""COMPUTED_VALUE"""),0.18372630559536)</f>
        <v>0.18372630559535999</v>
      </c>
      <c r="HP50" s="3">
        <f ca="1">IFERROR(__xludf.DUMMYFUNCTION("""COMPUTED_VALUE"""),0.0552844896303916)</f>
        <v>5.5284489630391599E-2</v>
      </c>
      <c r="HQ50" s="3">
        <f ca="1">IFERROR(__xludf.DUMMYFUNCTION("""COMPUTED_VALUE"""),0.128093263737221)</f>
        <v>0.12809326373722099</v>
      </c>
      <c r="HR50" s="3">
        <f ca="1">IFERROR(__xludf.DUMMYFUNCTION("""COMPUTED_VALUE"""),0.0989563635731389)</f>
        <v>9.8956363573138903E-2</v>
      </c>
      <c r="HS50" s="3">
        <f ca="1">IFERROR(__xludf.DUMMYFUNCTION("""COMPUTED_VALUE"""),0.0848081502773983)</f>
        <v>8.4808150277398298E-2</v>
      </c>
      <c r="HT50" s="3">
        <f ca="1">IFERROR(__xludf.DUMMYFUNCTION("""COMPUTED_VALUE"""),0.0877895837026334)</f>
        <v>8.77895837026334E-2</v>
      </c>
      <c r="HU50" s="3">
        <f ca="1">IFERROR(__xludf.DUMMYFUNCTION("""COMPUTED_VALUE"""),0.00922373370736706)</f>
        <v>9.2237337073670603E-3</v>
      </c>
      <c r="HV50" s="3">
        <f ca="1">IFERROR(__xludf.DUMMYFUNCTION("""COMPUTED_VALUE"""),0.0354800352082513)</f>
        <v>3.5480035208251298E-2</v>
      </c>
      <c r="HW50" s="3">
        <f ca="1">IFERROR(__xludf.DUMMYFUNCTION("""COMPUTED_VALUE"""),0.0952155309842723)</f>
        <v>9.5215530984272295E-2</v>
      </c>
      <c r="HX50" s="3">
        <f ca="1">IFERROR(__xludf.DUMMYFUNCTION("""COMPUTED_VALUE"""),0.109440718072331)</f>
        <v>0.10944071807233099</v>
      </c>
      <c r="HY50" s="3">
        <f ca="1">IFERROR(__xludf.DUMMYFUNCTION("""COMPUTED_VALUE"""),0.17839547382946)</f>
        <v>0.17839547382946</v>
      </c>
      <c r="HZ50" s="3">
        <f ca="1">IFERROR(__xludf.DUMMYFUNCTION("""COMPUTED_VALUE"""),0.137345692829624)</f>
        <v>0.137345692829624</v>
      </c>
      <c r="IA50" s="3">
        <f ca="1">IFERROR(__xludf.DUMMYFUNCTION("""COMPUTED_VALUE"""),0.166813010549038)</f>
        <v>0.16681301054903799</v>
      </c>
      <c r="IB50" s="3">
        <f ca="1">IFERROR(__xludf.DUMMYFUNCTION("""COMPUTED_VALUE"""),0.0224601338313161)</f>
        <v>2.2460133831316099E-2</v>
      </c>
      <c r="IC50" s="3">
        <f ca="1">IFERROR(__xludf.DUMMYFUNCTION("""COMPUTED_VALUE"""),0.0279919108561781)</f>
        <v>2.7991910856178099E-2</v>
      </c>
      <c r="ID50" s="3">
        <f ca="1">IFERROR(__xludf.DUMMYFUNCTION("""COMPUTED_VALUE"""),0.0333542512977482)</f>
        <v>3.3354251297748203E-2</v>
      </c>
      <c r="IE50" s="3">
        <f ca="1">IFERROR(__xludf.DUMMYFUNCTION("""COMPUTED_VALUE"""),0.0562638873655565)</f>
        <v>5.62638873655565E-2</v>
      </c>
      <c r="IF50" s="3">
        <f ca="1">IFERROR(__xludf.DUMMYFUNCTION("""COMPUTED_VALUE"""),0.335013852753098)</f>
        <v>0.33501385275309797</v>
      </c>
      <c r="IG50" s="3">
        <f ca="1">IFERROR(__xludf.DUMMYFUNCTION("""COMPUTED_VALUE"""),0.177076739782108)</f>
        <v>0.177076739782108</v>
      </c>
      <c r="IH50" s="3">
        <f ca="1">IFERROR(__xludf.DUMMYFUNCTION("""COMPUTED_VALUE"""),0.132912929494128)</f>
        <v>0.132912929494128</v>
      </c>
      <c r="II50" s="3">
        <f ca="1">IFERROR(__xludf.DUMMYFUNCTION("""COMPUTED_VALUE"""),-0.0360997349254796)</f>
        <v>-3.6099734925479597E-2</v>
      </c>
      <c r="IJ50" s="3">
        <f ca="1">IFERROR(__xludf.DUMMYFUNCTION("""COMPUTED_VALUE"""),0.107163600385759)</f>
        <v>0.10716360038575901</v>
      </c>
      <c r="IK50" s="3">
        <f ca="1">IFERROR(__xludf.DUMMYFUNCTION("""COMPUTED_VALUE"""),0.142681826635565)</f>
        <v>0.142681826635565</v>
      </c>
      <c r="IL50" s="3">
        <f ca="1">IFERROR(__xludf.DUMMYFUNCTION("""COMPUTED_VALUE"""),0.0718550644416613)</f>
        <v>7.1855064441661301E-2</v>
      </c>
      <c r="IM50" s="3">
        <f ca="1">IFERROR(__xludf.DUMMYFUNCTION("""COMPUTED_VALUE"""),0.0846246093889915)</f>
        <v>8.4624609388991495E-2</v>
      </c>
      <c r="IN50" s="3">
        <f ca="1">IFERROR(__xludf.DUMMYFUNCTION("""COMPUTED_VALUE"""),0.130285298157887)</f>
        <v>0.130285298157887</v>
      </c>
      <c r="IO50" s="3">
        <f ca="1">IFERROR(__xludf.DUMMYFUNCTION("""COMPUTED_VALUE"""),0.193587399914625)</f>
        <v>0.19358739991462501</v>
      </c>
      <c r="IP50" s="3">
        <f ca="1">IFERROR(__xludf.DUMMYFUNCTION("""COMPUTED_VALUE"""),0.0606651558007969)</f>
        <v>6.0665155800796899E-2</v>
      </c>
      <c r="IQ50" s="3">
        <f ca="1">IFERROR(__xludf.DUMMYFUNCTION("""COMPUTED_VALUE"""),0.082845519333514)</f>
        <v>8.2845519333514001E-2</v>
      </c>
      <c r="IR50" s="3">
        <f ca="1">IFERROR(__xludf.DUMMYFUNCTION("""COMPUTED_VALUE"""),0.0552095861525265)</f>
        <v>5.5209586152526503E-2</v>
      </c>
      <c r="IS50" s="3">
        <f ca="1">IFERROR(__xludf.DUMMYFUNCTION("""COMPUTED_VALUE"""),0.00643099086826204)</f>
        <v>6.4309908682620397E-3</v>
      </c>
      <c r="IT50" s="3">
        <f ca="1">IFERROR(__xludf.DUMMYFUNCTION("""COMPUTED_VALUE"""),0.0131646556996467)</f>
        <v>1.3164655699646701E-2</v>
      </c>
      <c r="IU50" s="3">
        <f ca="1">IFERROR(__xludf.DUMMYFUNCTION("""COMPUTED_VALUE"""),0.066355215258262)</f>
        <v>6.6355215258262004E-2</v>
      </c>
      <c r="IV50" s="3">
        <f ca="1">IFERROR(__xludf.DUMMYFUNCTION("""COMPUTED_VALUE"""),0.0425922015126241)</f>
        <v>4.2592201512624099E-2</v>
      </c>
      <c r="IW50" s="3">
        <f ca="1">IFERROR(__xludf.DUMMYFUNCTION("""COMPUTED_VALUE"""),0.0169855839513253)</f>
        <v>1.6985583951325298E-2</v>
      </c>
      <c r="IX50" s="3">
        <f ca="1">IFERROR(__xludf.DUMMYFUNCTION("""COMPUTED_VALUE"""),0.0551546934039861)</f>
        <v>5.5154693403986099E-2</v>
      </c>
      <c r="IY50" s="3">
        <f ca="1">IFERROR(__xludf.DUMMYFUNCTION("""COMPUTED_VALUE"""),-0.0560839705368673)</f>
        <v>-5.6083970536867297E-2</v>
      </c>
      <c r="IZ50" s="3">
        <f ca="1">IFERROR(__xludf.DUMMYFUNCTION("""COMPUTED_VALUE"""),-0.00864194986591093)</f>
        <v>-8.6419498659109292E-3</v>
      </c>
      <c r="JA50" s="3">
        <f ca="1">IFERROR(__xludf.DUMMYFUNCTION("""COMPUTED_VALUE"""),-0.146388086972468)</f>
        <v>-0.146388086972468</v>
      </c>
      <c r="JB50" s="3">
        <f ca="1">IFERROR(__xludf.DUMMYFUNCTION("""COMPUTED_VALUE"""),-0.0837558928614738)</f>
        <v>-8.3755892861473794E-2</v>
      </c>
      <c r="JC50" s="3">
        <f ca="1">IFERROR(__xludf.DUMMYFUNCTION("""COMPUTED_VALUE"""),-0.0384320609074386)</f>
        <v>-3.84320609074386E-2</v>
      </c>
      <c r="JD50" s="3">
        <f ca="1">IFERROR(__xludf.DUMMYFUNCTION("""COMPUTED_VALUE"""),-0.0455824430188743)</f>
        <v>-4.5582443018874298E-2</v>
      </c>
      <c r="JE50" s="3">
        <f ca="1">IFERROR(__xludf.DUMMYFUNCTION("""COMPUTED_VALUE"""),0.0648568032578278)</f>
        <v>6.4856803257827805E-2</v>
      </c>
      <c r="JF50" s="3">
        <f ca="1">IFERROR(__xludf.DUMMYFUNCTION("""COMPUTED_VALUE"""),-0.0212533356152689)</f>
        <v>-2.12533356152689E-2</v>
      </c>
      <c r="JG50" s="3">
        <f ca="1">IFERROR(__xludf.DUMMYFUNCTION("""COMPUTED_VALUE"""),0.0369779190235599)</f>
        <v>3.6977919023559902E-2</v>
      </c>
      <c r="JH50" s="3">
        <f ca="1">IFERROR(__xludf.DUMMYFUNCTION("""COMPUTED_VALUE"""),0.0123897655179487)</f>
        <v>1.23897655179487E-2</v>
      </c>
      <c r="JI50" s="3">
        <f ca="1">IFERROR(__xludf.DUMMYFUNCTION("""COMPUTED_VALUE"""),0.0301317903398334)</f>
        <v>3.01317903398334E-2</v>
      </c>
      <c r="JJ50" s="3">
        <f ca="1">IFERROR(__xludf.DUMMYFUNCTION("""COMPUTED_VALUE"""),0.0102275488002339)</f>
        <v>1.0227548800233899E-2</v>
      </c>
      <c r="JK50" s="3">
        <f ca="1">IFERROR(__xludf.DUMMYFUNCTION("""COMPUTED_VALUE"""),0.036537479743967)</f>
        <v>3.6537479743966997E-2</v>
      </c>
      <c r="JL50" s="3">
        <f ca="1">IFERROR(__xludf.DUMMYFUNCTION("""COMPUTED_VALUE"""),-0.261150709524943)</f>
        <v>-0.26115070952494301</v>
      </c>
      <c r="JM50" s="3">
        <f ca="1">IFERROR(__xludf.DUMMYFUNCTION("""COMPUTED_VALUE"""),-0.172627861625351)</f>
        <v>-0.17262786162535099</v>
      </c>
      <c r="JN50" s="3">
        <f ca="1">IFERROR(__xludf.DUMMYFUNCTION("""COMPUTED_VALUE"""),-0.097204980132366)</f>
        <v>-9.7204980132366003E-2</v>
      </c>
      <c r="JO50" s="3">
        <f ca="1">IFERROR(__xludf.DUMMYFUNCTION("""COMPUTED_VALUE"""),-0.115877971945546)</f>
        <v>-0.115877971945546</v>
      </c>
      <c r="JP50" s="3">
        <f ca="1">IFERROR(__xludf.DUMMYFUNCTION("""COMPUTED_VALUE"""),-0.206224508170773)</f>
        <v>-0.20622450817077301</v>
      </c>
      <c r="JQ50" s="3">
        <f ca="1">IFERROR(__xludf.DUMMYFUNCTION("""COMPUTED_VALUE"""),-0.116904551027669)</f>
        <v>-0.116904551027669</v>
      </c>
      <c r="JR50" s="3">
        <f ca="1">IFERROR(__xludf.DUMMYFUNCTION("""COMPUTED_VALUE"""),-0.206545583097568)</f>
        <v>-0.20654558309756799</v>
      </c>
      <c r="JS50" s="3">
        <f ca="1">IFERROR(__xludf.DUMMYFUNCTION("""COMPUTED_VALUE"""),-0.177118034860242)</f>
        <v>-0.177118034860242</v>
      </c>
      <c r="JT50" s="3">
        <f ca="1">IFERROR(__xludf.DUMMYFUNCTION("""COMPUTED_VALUE"""),-0.207995220318886)</f>
        <v>-0.20799522031888601</v>
      </c>
      <c r="JU50" s="3">
        <f ca="1">IFERROR(__xludf.DUMMYFUNCTION("""COMPUTED_VALUE"""),-0.221661283907271)</f>
        <v>-0.221661283907271</v>
      </c>
      <c r="JV50" s="3">
        <f ca="1">IFERROR(__xludf.DUMMYFUNCTION("""COMPUTED_VALUE"""),-0.220173632769082)</f>
        <v>-0.220173632769082</v>
      </c>
      <c r="JW50" s="3">
        <f ca="1">IFERROR(__xludf.DUMMYFUNCTION("""COMPUTED_VALUE"""),-0.208754989663353)</f>
        <v>-0.20875498966335301</v>
      </c>
      <c r="JX50" s="3">
        <f ca="1">IFERROR(__xludf.DUMMYFUNCTION("""COMPUTED_VALUE"""),-0.250413103863341)</f>
        <v>-0.25041310386334098</v>
      </c>
      <c r="JY50" s="3">
        <f ca="1">IFERROR(__xludf.DUMMYFUNCTION("""COMPUTED_VALUE"""),-0.216245449291956)</f>
        <v>-0.21624544929195599</v>
      </c>
      <c r="JZ50" s="3">
        <f ca="1">IFERROR(__xludf.DUMMYFUNCTION("""COMPUTED_VALUE"""),-0.224581781555968)</f>
        <v>-0.224581781555968</v>
      </c>
      <c r="KA50" s="3">
        <f ca="1">IFERROR(__xludf.DUMMYFUNCTION("""COMPUTED_VALUE"""),-0.241398649564876)</f>
        <v>-0.241398649564876</v>
      </c>
      <c r="KB50" s="3">
        <f ca="1">IFERROR(__xludf.DUMMYFUNCTION("""COMPUTED_VALUE"""),-0.234893135428679)</f>
        <v>-0.23489313542867901</v>
      </c>
      <c r="KC50" s="3">
        <f ca="1">IFERROR(__xludf.DUMMYFUNCTION("""COMPUTED_VALUE"""),-0.219133519953127)</f>
        <v>-0.21913351995312699</v>
      </c>
      <c r="KD50" s="3">
        <f ca="1">IFERROR(__xludf.DUMMYFUNCTION("""COMPUTED_VALUE"""),-0.173626170415747)</f>
        <v>-0.17362617041574699</v>
      </c>
      <c r="KE50" s="3">
        <f ca="1">IFERROR(__xludf.DUMMYFUNCTION("""COMPUTED_VALUE"""),-0.173506165793207)</f>
        <v>-0.17350616579320699</v>
      </c>
      <c r="KF50" s="3">
        <f ca="1">IFERROR(__xludf.DUMMYFUNCTION("""COMPUTED_VALUE"""),-0.080844277415083)</f>
        <v>-8.0844277415083002E-2</v>
      </c>
      <c r="KG50" s="3">
        <f ca="1">IFERROR(__xludf.DUMMYFUNCTION("""COMPUTED_VALUE"""),-0.0997825611236374)</f>
        <v>-9.9782561123637398E-2</v>
      </c>
      <c r="KH50" s="3">
        <f ca="1">IFERROR(__xludf.DUMMYFUNCTION("""COMPUTED_VALUE"""),-0.169205937763348)</f>
        <v>-0.169205937763348</v>
      </c>
      <c r="KI50" s="3">
        <f ca="1">IFERROR(__xludf.DUMMYFUNCTION("""COMPUTED_VALUE"""),-0.199163962119508)</f>
        <v>-0.19916396211950799</v>
      </c>
      <c r="KJ50" s="3">
        <f ca="1">IFERROR(__xludf.DUMMYFUNCTION("""COMPUTED_VALUE"""),-0.216151621467726)</f>
        <v>-0.21615162146772601</v>
      </c>
      <c r="KK50" s="3">
        <f ca="1">IFERROR(__xludf.DUMMYFUNCTION("""COMPUTED_VALUE"""),-0.293869207512785)</f>
        <v>-0.293869207512785</v>
      </c>
      <c r="KL50" s="3">
        <f ca="1">IFERROR(__xludf.DUMMYFUNCTION("""COMPUTED_VALUE"""),-0.314243064944332)</f>
        <v>-0.31424306494433202</v>
      </c>
      <c r="KM50" s="3">
        <f ca="1">IFERROR(__xludf.DUMMYFUNCTION("""COMPUTED_VALUE"""),-0.25784531197351)</f>
        <v>-0.25784531197351002</v>
      </c>
      <c r="KN50" s="3">
        <f ca="1">IFERROR(__xludf.DUMMYFUNCTION("""COMPUTED_VALUE"""),-0.264104933739934)</f>
        <v>-0.26410493373993399</v>
      </c>
      <c r="KO50" s="3">
        <f ca="1">IFERROR(__xludf.DUMMYFUNCTION("""COMPUTED_VALUE"""),-0.271963447128925)</f>
        <v>-0.27196344712892501</v>
      </c>
      <c r="KP50" s="3">
        <f ca="1">IFERROR(__xludf.DUMMYFUNCTION("""COMPUTED_VALUE"""),-0.359526607773008)</f>
        <v>-0.35952660777300799</v>
      </c>
      <c r="KQ50" s="3">
        <f ca="1">IFERROR(__xludf.DUMMYFUNCTION("""COMPUTED_VALUE"""),-0.278067803021495)</f>
        <v>-0.27806780302149497</v>
      </c>
      <c r="KR50" s="3">
        <f ca="1">IFERROR(__xludf.DUMMYFUNCTION("""COMPUTED_VALUE"""),-0.387543945747904)</f>
        <v>-0.38754394574790402</v>
      </c>
      <c r="KS50" s="3">
        <f ca="1">IFERROR(__xludf.DUMMYFUNCTION("""COMPUTED_VALUE"""),-0.362107786445567)</f>
        <v>-0.36210778644556701</v>
      </c>
      <c r="KT50" s="3">
        <f ca="1">IFERROR(__xludf.DUMMYFUNCTION("""COMPUTED_VALUE"""),-0.302860601923469)</f>
        <v>-0.30286060192346898</v>
      </c>
      <c r="KU50" s="3">
        <f ca="1">IFERROR(__xludf.DUMMYFUNCTION("""COMPUTED_VALUE"""),-0.305448910920592)</f>
        <v>-0.30544891092059201</v>
      </c>
      <c r="KV50" s="3">
        <f ca="1">IFERROR(__xludf.DUMMYFUNCTION("""COMPUTED_VALUE"""),-0.311927600989706)</f>
        <v>-0.31192760098970601</v>
      </c>
      <c r="KW50" s="3">
        <f ca="1">IFERROR(__xludf.DUMMYFUNCTION("""COMPUTED_VALUE"""),-0.340494474544359)</f>
        <v>-0.34049447454435899</v>
      </c>
      <c r="KX50" s="3">
        <f ca="1">IFERROR(__xludf.DUMMYFUNCTION("""COMPUTED_VALUE"""),-0.349224889727491)</f>
        <v>-0.34922488972749099</v>
      </c>
      <c r="KY50" s="3">
        <f ca="1">IFERROR(__xludf.DUMMYFUNCTION("""COMPUTED_VALUE"""),-0.393365496462961)</f>
        <v>-0.39336549646296098</v>
      </c>
      <c r="KZ50" s="3">
        <f ca="1">IFERROR(__xludf.DUMMYFUNCTION("""COMPUTED_VALUE"""),-0.348335319798706)</f>
        <v>-0.34833531979870602</v>
      </c>
      <c r="LA50" s="3">
        <f ca="1">IFERROR(__xludf.DUMMYFUNCTION("""COMPUTED_VALUE"""),-0.37229110429593)</f>
        <v>-0.37229110429592999</v>
      </c>
      <c r="LB50" s="3">
        <f ca="1">IFERROR(__xludf.DUMMYFUNCTION("""COMPUTED_VALUE"""),-0.303199742819022)</f>
        <v>-0.30319974281902201</v>
      </c>
      <c r="LC50" s="3">
        <f ca="1">IFERROR(__xludf.DUMMYFUNCTION("""COMPUTED_VALUE"""),-0.39808139030086)</f>
        <v>-0.39808139030085998</v>
      </c>
      <c r="LD50" s="3">
        <f ca="1">IFERROR(__xludf.DUMMYFUNCTION("""COMPUTED_VALUE"""),-0.376375714844433)</f>
        <v>-0.376375714844433</v>
      </c>
      <c r="LE50" s="3">
        <f ca="1">IFERROR(__xludf.DUMMYFUNCTION("""COMPUTED_VALUE"""),-0.435235675175902)</f>
        <v>-0.435235675175902</v>
      </c>
      <c r="LF50" s="3">
        <f ca="1">IFERROR(__xludf.DUMMYFUNCTION("""COMPUTED_VALUE"""),-0.51211202360276)</f>
        <v>-0.51211202360275998</v>
      </c>
      <c r="LG50" s="3">
        <f ca="1">IFERROR(__xludf.DUMMYFUNCTION("""COMPUTED_VALUE"""),-0.45074353555155)</f>
        <v>-0.45074353555155</v>
      </c>
      <c r="LH50" s="3">
        <f ca="1">IFERROR(__xludf.DUMMYFUNCTION("""COMPUTED_VALUE"""),-0.460778591893472)</f>
        <v>-0.46077859189347198</v>
      </c>
      <c r="LI50" s="3">
        <f ca="1">IFERROR(__xludf.DUMMYFUNCTION("""COMPUTED_VALUE"""),-0.476629022275341)</f>
        <v>-0.47662902227534099</v>
      </c>
      <c r="LJ50" s="3">
        <f ca="1">IFERROR(__xludf.DUMMYFUNCTION("""COMPUTED_VALUE"""),-0.396916914375631)</f>
        <v>-0.39691691437563098</v>
      </c>
      <c r="LK50" s="3">
        <f ca="1">IFERROR(__xludf.DUMMYFUNCTION("""COMPUTED_VALUE"""),-0.373315667400942)</f>
        <v>-0.37331566740094202</v>
      </c>
      <c r="LL50" s="3">
        <f ca="1">IFERROR(__xludf.DUMMYFUNCTION("""COMPUTED_VALUE"""),-0.51768003752334)</f>
        <v>-0.51768003752334002</v>
      </c>
      <c r="LM50" s="3">
        <f ca="1">IFERROR(__xludf.DUMMYFUNCTION("""COMPUTED_VALUE"""),-0.566249166810334)</f>
        <v>-0.56624916681033399</v>
      </c>
      <c r="LN50" s="3">
        <f ca="1">IFERROR(__xludf.DUMMYFUNCTION("""COMPUTED_VALUE"""),-0.562908518294631)</f>
        <v>-0.56290851829463096</v>
      </c>
      <c r="LO50" s="3">
        <f ca="1">IFERROR(__xludf.DUMMYFUNCTION("""COMPUTED_VALUE"""),-0.532232025639535)</f>
        <v>-0.53223202563953498</v>
      </c>
      <c r="LP50" s="3">
        <f ca="1">IFERROR(__xludf.DUMMYFUNCTION("""COMPUTED_VALUE"""),-0.422536053603742)</f>
        <v>-0.42253605360374202</v>
      </c>
      <c r="LQ50" s="3">
        <f ca="1">IFERROR(__xludf.DUMMYFUNCTION("""COMPUTED_VALUE"""),-0.40917421509177)</f>
        <v>-0.40917421509176999</v>
      </c>
      <c r="LR50" s="3">
        <f ca="1">IFERROR(__xludf.DUMMYFUNCTION("""COMPUTED_VALUE"""),-0.520813474519086)</f>
        <v>-0.52081347451908599</v>
      </c>
      <c r="LS50" s="3">
        <f ca="1">IFERROR(__xludf.DUMMYFUNCTION("""COMPUTED_VALUE"""),-0.50672370346399)</f>
        <v>-0.50672370346398998</v>
      </c>
      <c r="LT50" s="3">
        <f ca="1">IFERROR(__xludf.DUMMYFUNCTION("""COMPUTED_VALUE"""),-0.623969360164079)</f>
        <v>-0.623969360164079</v>
      </c>
      <c r="LU50" s="3">
        <f ca="1">IFERROR(__xludf.DUMMYFUNCTION("""COMPUTED_VALUE"""),-0.560152748356546)</f>
        <v>-0.56015274835654605</v>
      </c>
      <c r="LV50" s="3">
        <f ca="1">IFERROR(__xludf.DUMMYFUNCTION("""COMPUTED_VALUE"""),-0.525785596320711)</f>
        <v>-0.52578559632071098</v>
      </c>
      <c r="LW50" s="3">
        <f ca="1">IFERROR(__xludf.DUMMYFUNCTION("""COMPUTED_VALUE"""),-0.541318724418427)</f>
        <v>-0.54131872441842699</v>
      </c>
      <c r="LX50" s="3">
        <f ca="1">IFERROR(__xludf.DUMMYFUNCTION("""COMPUTED_VALUE"""),-0.498327101415044)</f>
        <v>-0.49832710141504399</v>
      </c>
      <c r="LY50" s="3">
        <f ca="1">IFERROR(__xludf.DUMMYFUNCTION("""COMPUTED_VALUE"""),-0.756202489017953)</f>
        <v>-0.75620248901795295</v>
      </c>
      <c r="LZ50" s="3">
        <f ca="1">IFERROR(__xludf.DUMMYFUNCTION("""COMPUTED_VALUE"""),-0.751408840173194)</f>
        <v>-0.75140884017319398</v>
      </c>
      <c r="MA50" s="3">
        <f ca="1">IFERROR(__xludf.DUMMYFUNCTION("""COMPUTED_VALUE"""),-0.764846674759331)</f>
        <v>-0.76484667475933099</v>
      </c>
      <c r="MB50" s="3">
        <f ca="1">IFERROR(__xludf.DUMMYFUNCTION("""COMPUTED_VALUE"""),-0.701653616610871)</f>
        <v>-0.701653616610871</v>
      </c>
      <c r="MC50" s="3">
        <f ca="1">IFERROR(__xludf.DUMMYFUNCTION("""COMPUTED_VALUE"""),-0.570404152595639)</f>
        <v>-0.57040415259563904</v>
      </c>
      <c r="MD50" s="3">
        <f ca="1">IFERROR(__xludf.DUMMYFUNCTION("""COMPUTED_VALUE"""),-0.740640152210325)</f>
        <v>-0.74064015221032498</v>
      </c>
      <c r="ME50" s="3">
        <f ca="1">IFERROR(__xludf.DUMMYFUNCTION("""COMPUTED_VALUE"""),-0.776978833952864)</f>
        <v>-0.77697883395286405</v>
      </c>
      <c r="MF50" s="3">
        <f ca="1">IFERROR(__xludf.DUMMYFUNCTION("""COMPUTED_VALUE"""),-0.801751358518785)</f>
        <v>-0.80175135851878498</v>
      </c>
      <c r="MG50" s="3">
        <f ca="1">IFERROR(__xludf.DUMMYFUNCTION("""COMPUTED_VALUE"""),-0.719917880051604)</f>
        <v>-0.71991788005160395</v>
      </c>
      <c r="MH50" s="3">
        <f ca="1">IFERROR(__xludf.DUMMYFUNCTION("""COMPUTED_VALUE"""),-0.949675751015142)</f>
        <v>-0.94967575101514201</v>
      </c>
      <c r="MI50" s="3">
        <f ca="1">IFERROR(__xludf.DUMMYFUNCTION("""COMPUTED_VALUE"""),-0.792402245124923)</f>
        <v>-0.79240224512492297</v>
      </c>
      <c r="MJ50" s="3">
        <f ca="1">IFERROR(__xludf.DUMMYFUNCTION("""COMPUTED_VALUE"""),-0.737515525239734)</f>
        <v>-0.73751552523973396</v>
      </c>
      <c r="MK50" s="3">
        <f ca="1">IFERROR(__xludf.DUMMYFUNCTION("""COMPUTED_VALUE"""),-0.80610263783085)</f>
        <v>-0.80610263783085001</v>
      </c>
      <c r="ML50" s="3">
        <f ca="1">IFERROR(__xludf.DUMMYFUNCTION("""COMPUTED_VALUE"""),-0.747259338539932)</f>
        <v>-0.74725933853993198</v>
      </c>
      <c r="MM50" s="3">
        <f ca="1">IFERROR(__xludf.DUMMYFUNCTION("""COMPUTED_VALUE"""),-0.867829545797785)</f>
        <v>-0.86782954579778504</v>
      </c>
      <c r="MN50" s="3">
        <f ca="1">IFERROR(__xludf.DUMMYFUNCTION("""COMPUTED_VALUE"""),-0.829381762716142)</f>
        <v>-0.82938176271614195</v>
      </c>
      <c r="MO50" s="3">
        <f ca="1">IFERROR(__xludf.DUMMYFUNCTION("""COMPUTED_VALUE"""),-0.774293955891109)</f>
        <v>-0.77429395589110905</v>
      </c>
      <c r="MP50" s="3">
        <f ca="1">IFERROR(__xludf.DUMMYFUNCTION("""COMPUTED_VALUE"""),-0.720952754588733)</f>
        <v>-0.72095275458873298</v>
      </c>
      <c r="MQ50" s="3">
        <f ca="1">IFERROR(__xludf.DUMMYFUNCTION("""COMPUTED_VALUE"""),-0.700766523242027)</f>
        <v>-0.70076652324202704</v>
      </c>
      <c r="MR50" s="3">
        <f ca="1">IFERROR(__xludf.DUMMYFUNCTION("""COMPUTED_VALUE"""),-0.778938722049792)</f>
        <v>-0.77893872204979198</v>
      </c>
      <c r="MS50" s="3">
        <f ca="1">IFERROR(__xludf.DUMMYFUNCTION("""COMPUTED_VALUE"""),-0.704301516591709)</f>
        <v>-0.70430151659170903</v>
      </c>
      <c r="MT50" s="3">
        <f ca="1">IFERROR(__xludf.DUMMYFUNCTION("""COMPUTED_VALUE"""),-0.841023246291289)</f>
        <v>-0.841023246291289</v>
      </c>
      <c r="MU50" s="3">
        <f ca="1">IFERROR(__xludf.DUMMYFUNCTION("""COMPUTED_VALUE"""),-0.779388714536157)</f>
        <v>-0.77938871453615699</v>
      </c>
      <c r="MV50" s="3">
        <f ca="1">IFERROR(__xludf.DUMMYFUNCTION("""COMPUTED_VALUE"""),-0.737283214908752)</f>
        <v>-0.73728321490875204</v>
      </c>
      <c r="MW50" s="3">
        <f ca="1">IFERROR(__xludf.DUMMYFUNCTION("""COMPUTED_VALUE"""),-0.754568649945749)</f>
        <v>-0.75456864994574901</v>
      </c>
      <c r="MX50" s="3">
        <f ca="1">IFERROR(__xludf.DUMMYFUNCTION("""COMPUTED_VALUE"""),-0.743345699505178)</f>
        <v>-0.74334569950517804</v>
      </c>
      <c r="MY50" s="3">
        <f ca="1">IFERROR(__xludf.DUMMYFUNCTION("""COMPUTED_VALUE"""),-0.724483283772393)</f>
        <v>-0.72448328377239302</v>
      </c>
      <c r="MZ50" s="3">
        <f ca="1">IFERROR(__xludf.DUMMYFUNCTION("""COMPUTED_VALUE"""),-0.760179824544343)</f>
        <v>-0.76017982454434296</v>
      </c>
      <c r="NA50" s="3">
        <f ca="1">IFERROR(__xludf.DUMMYFUNCTION("""COMPUTED_VALUE"""),-0.81293480471739)</f>
        <v>-0.81293480471738999</v>
      </c>
      <c r="NB50" s="3">
        <f ca="1">IFERROR(__xludf.DUMMYFUNCTION("""COMPUTED_VALUE"""),-0.72557929643824)</f>
        <v>-0.72557929643824004</v>
      </c>
      <c r="NC50" s="3">
        <f ca="1">IFERROR(__xludf.DUMMYFUNCTION("""COMPUTED_VALUE"""),-0.744768073289369)</f>
        <v>-0.744768073289369</v>
      </c>
      <c r="ND50" s="3">
        <f ca="1">IFERROR(__xludf.DUMMYFUNCTION("""COMPUTED_VALUE"""),-0.789055327339784)</f>
        <v>-0.78905532733978401</v>
      </c>
      <c r="NE50" s="3">
        <f ca="1">IFERROR(__xludf.DUMMYFUNCTION("""COMPUTED_VALUE"""),-0.751519756122595)</f>
        <v>-0.75151975612259503</v>
      </c>
      <c r="NF50" s="3">
        <f ca="1">IFERROR(__xludf.DUMMYFUNCTION("""COMPUTED_VALUE"""),-0.706243939166752)</f>
        <v>-0.70624393916675199</v>
      </c>
      <c r="NG50" s="3">
        <f ca="1">IFERROR(__xludf.DUMMYFUNCTION("""COMPUTED_VALUE"""),-0.739382535453777)</f>
        <v>-0.73938253545377697</v>
      </c>
      <c r="NH50" s="3">
        <f ca="1">IFERROR(__xludf.DUMMYFUNCTION("""COMPUTED_VALUE"""),-0.850292076445316)</f>
        <v>-0.85029207644531601</v>
      </c>
      <c r="NI50" s="3">
        <f ca="1">IFERROR(__xludf.DUMMYFUNCTION("""COMPUTED_VALUE"""),-0.795840229632383)</f>
        <v>-0.79584022963238299</v>
      </c>
      <c r="NJ50" s="3">
        <f ca="1">IFERROR(__xludf.DUMMYFUNCTION("""COMPUTED_VALUE"""),-0.787236426246299)</f>
        <v>-0.78723642624629897</v>
      </c>
      <c r="NK50" s="3">
        <f ca="1">IFERROR(__xludf.DUMMYFUNCTION("""COMPUTED_VALUE"""),-0.812352697957778)</f>
        <v>-0.81235269795777798</v>
      </c>
      <c r="NL50" s="3">
        <f ca="1">IFERROR(__xludf.DUMMYFUNCTION("""COMPUTED_VALUE"""),-0.800083134155425)</f>
        <v>-0.80008313415542498</v>
      </c>
      <c r="NM50" s="3">
        <f ca="1">IFERROR(__xludf.DUMMYFUNCTION("""COMPUTED_VALUE"""),-0.764447118338052)</f>
        <v>-0.76444711833805201</v>
      </c>
      <c r="NN50" s="3">
        <f ca="1">IFERROR(__xludf.DUMMYFUNCTION("""COMPUTED_VALUE"""),-0.790914309430199)</f>
        <v>-0.79091430943019903</v>
      </c>
      <c r="NO50" s="3">
        <f ca="1">IFERROR(__xludf.DUMMYFUNCTION("""COMPUTED_VALUE"""),-0.859194173718114)</f>
        <v>-0.85919417371811402</v>
      </c>
      <c r="NP50" s="3">
        <f ca="1">IFERROR(__xludf.DUMMYFUNCTION("""COMPUTED_VALUE"""),-0.803902175152905)</f>
        <v>-0.80390217515290496</v>
      </c>
      <c r="NQ50" s="3">
        <f ca="1">IFERROR(__xludf.DUMMYFUNCTION("""COMPUTED_VALUE"""),-0.797143715515917)</f>
        <v>-0.79714371551591701</v>
      </c>
      <c r="NR50" s="3">
        <f ca="1">IFERROR(__xludf.DUMMYFUNCTION("""COMPUTED_VALUE"""),-0.846942777287833)</f>
        <v>-0.84694277728783296</v>
      </c>
      <c r="NS50" s="3">
        <f ca="1">IFERROR(__xludf.DUMMYFUNCTION("""COMPUTED_VALUE"""),-0.778469644528487)</f>
        <v>-0.77846964452848699</v>
      </c>
      <c r="NT50" s="3">
        <f ca="1">IFERROR(__xludf.DUMMYFUNCTION("""COMPUTED_VALUE"""),-0.774579620061199)</f>
        <v>-0.77457962006119896</v>
      </c>
      <c r="NU50" s="3">
        <f ca="1">IFERROR(__xludf.DUMMYFUNCTION("""COMPUTED_VALUE"""),-0.81637058468067)</f>
        <v>-0.81637058468067003</v>
      </c>
      <c r="NV50" s="3">
        <f ca="1">IFERROR(__xludf.DUMMYFUNCTION("""COMPUTED_VALUE"""),-0.832435320360135)</f>
        <v>-0.83243532036013501</v>
      </c>
      <c r="NW50" s="3">
        <f ca="1">IFERROR(__xludf.DUMMYFUNCTION("""COMPUTED_VALUE"""),-0.853297283669461)</f>
        <v>-0.853297283669461</v>
      </c>
      <c r="NX50" s="3">
        <f ca="1">IFERROR(__xludf.DUMMYFUNCTION("""COMPUTED_VALUE"""),-0.849834473359366)</f>
        <v>-0.84983447335936602</v>
      </c>
      <c r="NY50" s="3">
        <f ca="1">IFERROR(__xludf.DUMMYFUNCTION("""COMPUTED_VALUE"""),-0.820524897078581)</f>
        <v>-0.82052489707858101</v>
      </c>
      <c r="NZ50" s="3">
        <f ca="1">IFERROR(__xludf.DUMMYFUNCTION("""COMPUTED_VALUE"""),-0.773249894373286)</f>
        <v>-0.77324989437328595</v>
      </c>
      <c r="OA50" s="3">
        <f ca="1">IFERROR(__xludf.DUMMYFUNCTION("""COMPUTED_VALUE"""),-0.691026175534303)</f>
        <v>-0.69102617553430301</v>
      </c>
      <c r="OB50" s="3">
        <f ca="1">IFERROR(__xludf.DUMMYFUNCTION("""COMPUTED_VALUE"""),-0.347634232603174)</f>
        <v>-0.347634232603174</v>
      </c>
      <c r="OC50" s="3">
        <f ca="1">IFERROR(__xludf.DUMMYFUNCTION("""COMPUTED_VALUE"""),-0.230134677233387)</f>
        <v>-0.23013467723338699</v>
      </c>
      <c r="OD50" s="3">
        <f ca="1">IFERROR(__xludf.DUMMYFUNCTION("""COMPUTED_VALUE"""),-0.204249363638081)</f>
        <v>-0.20424936363808099</v>
      </c>
      <c r="OE50" s="3">
        <f ca="1">IFERROR(__xludf.DUMMYFUNCTION("""COMPUTED_VALUE"""),-0.164360599264599)</f>
        <v>-0.16436059926459901</v>
      </c>
      <c r="OF50" s="3">
        <f ca="1">IFERROR(__xludf.DUMMYFUNCTION("""COMPUTED_VALUE"""),-0.0510409369676497)</f>
        <v>-5.1040936967649699E-2</v>
      </c>
      <c r="OG50" s="3">
        <f ca="1">IFERROR(__xludf.DUMMYFUNCTION("""COMPUTED_VALUE"""),-0.0463119711928492)</f>
        <v>-4.6311971192849202E-2</v>
      </c>
      <c r="OH50" s="3">
        <f ca="1">IFERROR(__xludf.DUMMYFUNCTION("""COMPUTED_VALUE"""),-0.0898630535084369)</f>
        <v>-8.9863053508436902E-2</v>
      </c>
      <c r="OI50" s="3">
        <f ca="1">IFERROR(__xludf.DUMMYFUNCTION("""COMPUTED_VALUE"""),-0.018819564957255)</f>
        <v>-1.8819564957255001E-2</v>
      </c>
      <c r="OJ50" s="3">
        <f ca="1">IFERROR(__xludf.DUMMYFUNCTION("""COMPUTED_VALUE"""),0.0563960202936115)</f>
        <v>5.6396020293611501E-2</v>
      </c>
      <c r="OK50" s="3">
        <f ca="1">IFERROR(__xludf.DUMMYFUNCTION("""COMPUTED_VALUE"""),-0.0077926950384044)</f>
        <v>-7.7926950384044E-3</v>
      </c>
      <c r="OL50" s="3">
        <f ca="1">IFERROR(__xludf.DUMMYFUNCTION("""COMPUTED_VALUE"""),0.0361555097708878)</f>
        <v>3.61555097708878E-2</v>
      </c>
      <c r="OM50" s="3">
        <f ca="1">IFERROR(__xludf.DUMMYFUNCTION("""COMPUTED_VALUE"""),0.0136711191840188)</f>
        <v>1.3671119184018799E-2</v>
      </c>
      <c r="ON50" s="3">
        <f ca="1">IFERROR(__xludf.DUMMYFUNCTION("""COMPUTED_VALUE"""),-0.0394137241756393)</f>
        <v>-3.9413724175639299E-2</v>
      </c>
      <c r="OO50" s="3">
        <f ca="1">IFERROR(__xludf.DUMMYFUNCTION("""COMPUTED_VALUE"""),-0.0427958967552162)</f>
        <v>-4.2795896755216202E-2</v>
      </c>
      <c r="OP50" s="3">
        <f ca="1">IFERROR(__xludf.DUMMYFUNCTION("""COMPUTED_VALUE"""),0.131647229912808)</f>
        <v>0.131647229912808</v>
      </c>
      <c r="OQ50" s="3">
        <f ca="1">IFERROR(__xludf.DUMMYFUNCTION("""COMPUTED_VALUE"""),0.045418248545427)</f>
        <v>4.5418248545426997E-2</v>
      </c>
      <c r="OR50" s="3">
        <f ca="1">IFERROR(__xludf.DUMMYFUNCTION("""COMPUTED_VALUE"""),-0.0855276778296729)</f>
        <v>-8.5527677829672896E-2</v>
      </c>
      <c r="OS50" s="3">
        <f ca="1">IFERROR(__xludf.DUMMYFUNCTION("""COMPUTED_VALUE"""),-0.0740605087190549)</f>
        <v>-7.4060508719054896E-2</v>
      </c>
      <c r="OT50" s="3">
        <f ca="1">IFERROR(__xludf.DUMMYFUNCTION("""COMPUTED_VALUE"""),-0.0948241272667925)</f>
        <v>-9.4824127266792499E-2</v>
      </c>
      <c r="OU50" s="3">
        <f ca="1">IFERROR(__xludf.DUMMYFUNCTION("""COMPUTED_VALUE"""),-0.0604537166618184)</f>
        <v>-6.0453716661818403E-2</v>
      </c>
      <c r="OV50" s="3">
        <f ca="1">IFERROR(__xludf.DUMMYFUNCTION("""COMPUTED_VALUE"""),-0.0845148360309513)</f>
        <v>-8.4514836030951307E-2</v>
      </c>
      <c r="OW50" s="3">
        <f ca="1">IFERROR(__xludf.DUMMYFUNCTION("""COMPUTED_VALUE"""),-0.0913037819809537)</f>
        <v>-9.1303781980953694E-2</v>
      </c>
      <c r="OX50" s="3">
        <f ca="1">IFERROR(__xludf.DUMMYFUNCTION("""COMPUTED_VALUE"""),0.0194326606448296)</f>
        <v>1.94326606448296E-2</v>
      </c>
      <c r="OY50" s="3">
        <f ca="1">IFERROR(__xludf.DUMMYFUNCTION("""COMPUTED_VALUE"""),-0.0228427752219572)</f>
        <v>-2.2842775221957198E-2</v>
      </c>
      <c r="OZ50" s="3">
        <f ca="1">IFERROR(__xludf.DUMMYFUNCTION("""COMPUTED_VALUE"""),-0.015457966248856)</f>
        <v>-1.5457966248856E-2</v>
      </c>
      <c r="PA50" s="3">
        <f ca="1">IFERROR(__xludf.DUMMYFUNCTION("""COMPUTED_VALUE"""),0.0783150476195533)</f>
        <v>7.8315047619553296E-2</v>
      </c>
      <c r="PB50" s="3">
        <f ca="1">IFERROR(__xludf.DUMMYFUNCTION("""COMPUTED_VALUE"""),-0.0218333794445437)</f>
        <v>-2.18333794445437E-2</v>
      </c>
      <c r="PC50" s="3">
        <f ca="1">IFERROR(__xludf.DUMMYFUNCTION("""COMPUTED_VALUE"""),-0.00487598544215284)</f>
        <v>-4.8759854421528397E-3</v>
      </c>
      <c r="PD50" s="3">
        <f ca="1">IFERROR(__xludf.DUMMYFUNCTION("""COMPUTED_VALUE"""),0.0664419704868863)</f>
        <v>6.6441970486886298E-2</v>
      </c>
      <c r="PE50" s="3">
        <f ca="1">IFERROR(__xludf.DUMMYFUNCTION("""COMPUTED_VALUE"""),0.0473968693857458)</f>
        <v>4.7396869385745798E-2</v>
      </c>
      <c r="PF50" s="3">
        <f ca="1">IFERROR(__xludf.DUMMYFUNCTION("""COMPUTED_VALUE"""),0.177325431149683)</f>
        <v>0.17732543114968299</v>
      </c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</row>
    <row r="51" spans="1:594" ht="15.75" customHeight="1">
      <c r="A51" s="1" t="str">
        <f ca="1">IFERROR(__xludf.DUMMYFUNCTION("""COMPUTED_VALUE"""),"Nashville")</f>
        <v>Nashville</v>
      </c>
      <c r="B51" s="3">
        <f ca="1">IFERROR(__xludf.DUMMYFUNCTION("""COMPUTED_VALUE"""),-0.626527356700264)</f>
        <v>-0.62652735670026405</v>
      </c>
      <c r="C51" s="3">
        <f ca="1">IFERROR(__xludf.DUMMYFUNCTION("""COMPUTED_VALUE"""),-0.620319766486914)</f>
        <v>-0.620319766486914</v>
      </c>
      <c r="D51" s="3">
        <f ca="1">IFERROR(__xludf.DUMMYFUNCTION("""COMPUTED_VALUE"""),-0.640503777994645)</f>
        <v>-0.64050377799464497</v>
      </c>
      <c r="E51" s="3">
        <f ca="1">IFERROR(__xludf.DUMMYFUNCTION("""COMPUTED_VALUE"""),-0.653793151063286)</f>
        <v>-0.65379315106328595</v>
      </c>
      <c r="F51" s="3">
        <f ca="1">IFERROR(__xludf.DUMMYFUNCTION("""COMPUTED_VALUE"""),-0.687955961655978)</f>
        <v>-0.68795596165597805</v>
      </c>
      <c r="G51" s="3">
        <f ca="1">IFERROR(__xludf.DUMMYFUNCTION("""COMPUTED_VALUE"""),-0.648422314311282)</f>
        <v>-0.64842231431128206</v>
      </c>
      <c r="H51" s="3">
        <f ca="1">IFERROR(__xludf.DUMMYFUNCTION("""COMPUTED_VALUE"""),-0.610762461735603)</f>
        <v>-0.610762461735603</v>
      </c>
      <c r="I51" s="3">
        <f ca="1">IFERROR(__xludf.DUMMYFUNCTION("""COMPUTED_VALUE"""),-0.613790737697164)</f>
        <v>-0.61379073769716397</v>
      </c>
      <c r="J51" s="3">
        <f ca="1">IFERROR(__xludf.DUMMYFUNCTION("""COMPUTED_VALUE"""),-0.717511324237462)</f>
        <v>-0.717511324237462</v>
      </c>
      <c r="K51" s="3">
        <f ca="1">IFERROR(__xludf.DUMMYFUNCTION("""COMPUTED_VALUE"""),-0.68602124958926)</f>
        <v>-0.68602124958926003</v>
      </c>
      <c r="L51" s="3">
        <f ca="1">IFERROR(__xludf.DUMMYFUNCTION("""COMPUTED_VALUE"""),-0.718789538591044)</f>
        <v>-0.718789538591044</v>
      </c>
      <c r="M51" s="3">
        <f ca="1">IFERROR(__xludf.DUMMYFUNCTION("""COMPUTED_VALUE"""),-0.700745803108176)</f>
        <v>-0.70074580310817602</v>
      </c>
      <c r="N51" s="3">
        <f ca="1">IFERROR(__xludf.DUMMYFUNCTION("""COMPUTED_VALUE"""),-0.678921101618218)</f>
        <v>-0.67892110161821795</v>
      </c>
      <c r="O51" s="3">
        <f ca="1">IFERROR(__xludf.DUMMYFUNCTION("""COMPUTED_VALUE"""),-0.589825624868771)</f>
        <v>-0.58982562486877099</v>
      </c>
      <c r="P51" s="3">
        <f ca="1">IFERROR(__xludf.DUMMYFUNCTION("""COMPUTED_VALUE"""),-0.714501642259826)</f>
        <v>-0.71450164225982604</v>
      </c>
      <c r="Q51" s="3">
        <f ca="1">IFERROR(__xludf.DUMMYFUNCTION("""COMPUTED_VALUE"""),-0.680001791363829)</f>
        <v>-0.68000179136382899</v>
      </c>
      <c r="R51" s="3">
        <f ca="1">IFERROR(__xludf.DUMMYFUNCTION("""COMPUTED_VALUE"""),-0.732489247901583)</f>
        <v>-0.73248924790158298</v>
      </c>
      <c r="S51" s="3">
        <f ca="1">IFERROR(__xludf.DUMMYFUNCTION("""COMPUTED_VALUE"""),-0.691299137802385)</f>
        <v>-0.69129913780238506</v>
      </c>
      <c r="T51" s="3">
        <f ca="1">IFERROR(__xludf.DUMMYFUNCTION("""COMPUTED_VALUE"""),-0.711051265371916)</f>
        <v>-0.71105126537191599</v>
      </c>
      <c r="U51" s="3">
        <f ca="1">IFERROR(__xludf.DUMMYFUNCTION("""COMPUTED_VALUE"""),-0.68359461372797)</f>
        <v>-0.68359461372797004</v>
      </c>
      <c r="V51" s="3">
        <f ca="1">IFERROR(__xludf.DUMMYFUNCTION("""COMPUTED_VALUE"""),-0.5774495547297)</f>
        <v>-0.57744955472970005</v>
      </c>
      <c r="W51" s="3">
        <f ca="1">IFERROR(__xludf.DUMMYFUNCTION("""COMPUTED_VALUE"""),-0.623850534626977)</f>
        <v>-0.62385053462697704</v>
      </c>
      <c r="X51" s="3">
        <f ca="1">IFERROR(__xludf.DUMMYFUNCTION("""COMPUTED_VALUE"""),-0.726206873655261)</f>
        <v>-0.72620687365526104</v>
      </c>
      <c r="Y51" s="3">
        <f ca="1">IFERROR(__xludf.DUMMYFUNCTION("""COMPUTED_VALUE"""),-0.698792909628308)</f>
        <v>-0.69879290962830798</v>
      </c>
      <c r="Z51" s="3">
        <f ca="1">IFERROR(__xludf.DUMMYFUNCTION("""COMPUTED_VALUE"""),-0.755111696610964)</f>
        <v>-0.755111696610964</v>
      </c>
      <c r="AA51" s="3">
        <f ca="1">IFERROR(__xludf.DUMMYFUNCTION("""COMPUTED_VALUE"""),-0.693385364015266)</f>
        <v>-0.69338536401526596</v>
      </c>
      <c r="AB51" s="3">
        <f ca="1">IFERROR(__xludf.DUMMYFUNCTION("""COMPUTED_VALUE"""),-0.731738237537767)</f>
        <v>-0.73173823753776701</v>
      </c>
      <c r="AC51" s="3">
        <f ca="1">IFERROR(__xludf.DUMMYFUNCTION("""COMPUTED_VALUE"""),-0.619122479581635)</f>
        <v>-0.61912247958163502</v>
      </c>
      <c r="AD51" s="3">
        <f ca="1">IFERROR(__xludf.DUMMYFUNCTION("""COMPUTED_VALUE"""),-0.601102573745972)</f>
        <v>-0.60110257374597198</v>
      </c>
      <c r="AE51" s="3">
        <f ca="1">IFERROR(__xludf.DUMMYFUNCTION("""COMPUTED_VALUE"""),-0.695326348989444)</f>
        <v>-0.69532634898944401</v>
      </c>
      <c r="AF51" s="3">
        <f ca="1">IFERROR(__xludf.DUMMYFUNCTION("""COMPUTED_VALUE"""),-0.656805146111345)</f>
        <v>-0.656805146111345</v>
      </c>
      <c r="AG51" s="3">
        <f ca="1">IFERROR(__xludf.DUMMYFUNCTION("""COMPUTED_VALUE"""),-0.685671135671072)</f>
        <v>-0.68567113567107196</v>
      </c>
      <c r="AH51" s="3">
        <f ca="1">IFERROR(__xludf.DUMMYFUNCTION("""COMPUTED_VALUE"""),-0.682371898225552)</f>
        <v>-0.682371898225552</v>
      </c>
      <c r="AI51" s="3">
        <f ca="1">IFERROR(__xludf.DUMMYFUNCTION("""COMPUTED_VALUE"""),-0.626828623390806)</f>
        <v>-0.62682862339080603</v>
      </c>
      <c r="AJ51" s="3">
        <f ca="1">IFERROR(__xludf.DUMMYFUNCTION("""COMPUTED_VALUE"""),-0.60846232106104)</f>
        <v>-0.60846232106104003</v>
      </c>
      <c r="AK51" s="3">
        <f ca="1">IFERROR(__xludf.DUMMYFUNCTION("""COMPUTED_VALUE"""),-0.62715226050546)</f>
        <v>-0.62715226050546002</v>
      </c>
      <c r="AL51" s="3">
        <f ca="1">IFERROR(__xludf.DUMMYFUNCTION("""COMPUTED_VALUE"""),-0.656152042133593)</f>
        <v>-0.65615204213359302</v>
      </c>
      <c r="AM51" s="3">
        <f ca="1">IFERROR(__xludf.DUMMYFUNCTION("""COMPUTED_VALUE"""),-0.652865685122638)</f>
        <v>-0.65286568512263798</v>
      </c>
      <c r="AN51" s="3">
        <f ca="1">IFERROR(__xludf.DUMMYFUNCTION("""COMPUTED_VALUE"""),-0.639210292673874)</f>
        <v>-0.63921029267387397</v>
      </c>
      <c r="AO51" s="3">
        <f ca="1">IFERROR(__xludf.DUMMYFUNCTION("""COMPUTED_VALUE"""),-0.658348172877365)</f>
        <v>-0.65834817287736502</v>
      </c>
      <c r="AP51" s="3">
        <f ca="1">IFERROR(__xludf.DUMMYFUNCTION("""COMPUTED_VALUE"""),-0.705498544331967)</f>
        <v>-0.70549854433196701</v>
      </c>
      <c r="AQ51" s="3">
        <f ca="1">IFERROR(__xludf.DUMMYFUNCTION("""COMPUTED_VALUE"""),-0.614624284635582)</f>
        <v>-0.61462428463558205</v>
      </c>
      <c r="AR51" s="3">
        <f ca="1">IFERROR(__xludf.DUMMYFUNCTION("""COMPUTED_VALUE"""),-0.580067853652743)</f>
        <v>-0.58006785365274305</v>
      </c>
      <c r="AS51" s="3">
        <f ca="1">IFERROR(__xludf.DUMMYFUNCTION("""COMPUTED_VALUE"""),-0.662581132751473)</f>
        <v>-0.66258113275147301</v>
      </c>
      <c r="AT51" s="3">
        <f ca="1">IFERROR(__xludf.DUMMYFUNCTION("""COMPUTED_VALUE"""),-0.69553022143963)</f>
        <v>-0.69553022143962995</v>
      </c>
      <c r="AU51" s="3">
        <f ca="1">IFERROR(__xludf.DUMMYFUNCTION("""COMPUTED_VALUE"""),-0.656156651238569)</f>
        <v>-0.65615665123856903</v>
      </c>
      <c r="AV51" s="3">
        <f ca="1">IFERROR(__xludf.DUMMYFUNCTION("""COMPUTED_VALUE"""),-0.676664211967604)</f>
        <v>-0.67666421196760396</v>
      </c>
      <c r="AW51" s="3">
        <f ca="1">IFERROR(__xludf.DUMMYFUNCTION("""COMPUTED_VALUE"""),-0.65762628504709)</f>
        <v>-0.65762628504708998</v>
      </c>
      <c r="AX51" s="3">
        <f ca="1">IFERROR(__xludf.DUMMYFUNCTION("""COMPUTED_VALUE"""),-0.565080802944916)</f>
        <v>-0.56508080294491603</v>
      </c>
      <c r="AY51" s="3">
        <f ca="1">IFERROR(__xludf.DUMMYFUNCTION("""COMPUTED_VALUE"""),-0.581657381308396)</f>
        <v>-0.58165738130839595</v>
      </c>
      <c r="AZ51" s="3">
        <f ca="1">IFERROR(__xludf.DUMMYFUNCTION("""COMPUTED_VALUE"""),-0.689934060627738)</f>
        <v>-0.68993406062773799</v>
      </c>
      <c r="BA51" s="3">
        <f ca="1">IFERROR(__xludf.DUMMYFUNCTION("""COMPUTED_VALUE"""),-0.783844087348926)</f>
        <v>-0.78384408734892597</v>
      </c>
      <c r="BB51" s="3">
        <f ca="1">IFERROR(__xludf.DUMMYFUNCTION("""COMPUTED_VALUE"""),-0.772549588638743)</f>
        <v>-0.77254958863874301</v>
      </c>
      <c r="BC51" s="3">
        <f ca="1">IFERROR(__xludf.DUMMYFUNCTION("""COMPUTED_VALUE"""),-0.776865762598588)</f>
        <v>-0.77686576259858797</v>
      </c>
      <c r="BD51" s="3">
        <f ca="1">IFERROR(__xludf.DUMMYFUNCTION("""COMPUTED_VALUE"""),-0.765597250612546)</f>
        <v>-0.76559725061254602</v>
      </c>
      <c r="BE51" s="3">
        <f ca="1">IFERROR(__xludf.DUMMYFUNCTION("""COMPUTED_VALUE"""),-0.53693358262024)</f>
        <v>-0.53693358262024005</v>
      </c>
      <c r="BF51" s="3">
        <f ca="1">IFERROR(__xludf.DUMMYFUNCTION("""COMPUTED_VALUE"""),-0.628551796825418)</f>
        <v>-0.62855179682541795</v>
      </c>
      <c r="BG51" s="3">
        <f ca="1">IFERROR(__xludf.DUMMYFUNCTION("""COMPUTED_VALUE"""),-0.740458460825516)</f>
        <v>-0.74045846082551603</v>
      </c>
      <c r="BH51" s="3">
        <f ca="1">IFERROR(__xludf.DUMMYFUNCTION("""COMPUTED_VALUE"""),-0.75933164689373)</f>
        <v>-0.75933164689373001</v>
      </c>
      <c r="BI51" s="3">
        <f ca="1">IFERROR(__xludf.DUMMYFUNCTION("""COMPUTED_VALUE"""),-0.739318513818939)</f>
        <v>-0.73931851381893898</v>
      </c>
      <c r="BJ51" s="3">
        <f ca="1">IFERROR(__xludf.DUMMYFUNCTION("""COMPUTED_VALUE"""),-0.733010449387033)</f>
        <v>-0.73301044938703297</v>
      </c>
      <c r="BK51" s="3">
        <f ca="1">IFERROR(__xludf.DUMMYFUNCTION("""COMPUTED_VALUE"""),-0.72006152980789)</f>
        <v>-0.72006152980788996</v>
      </c>
      <c r="BL51" s="3">
        <f ca="1">IFERROR(__xludf.DUMMYFUNCTION("""COMPUTED_VALUE"""),-0.710107919722804)</f>
        <v>-0.71010791972280396</v>
      </c>
      <c r="BM51" s="3">
        <f ca="1">IFERROR(__xludf.DUMMYFUNCTION("""COMPUTED_VALUE"""),-0.676991339965706)</f>
        <v>-0.67699133996570604</v>
      </c>
      <c r="BN51" s="3">
        <f ca="1">IFERROR(__xludf.DUMMYFUNCTION("""COMPUTED_VALUE"""),-0.724053383384577)</f>
        <v>-0.72405338338457703</v>
      </c>
      <c r="BO51" s="3">
        <f ca="1">IFERROR(__xludf.DUMMYFUNCTION("""COMPUTED_VALUE"""),-0.757777478208016)</f>
        <v>-0.757777478208016</v>
      </c>
      <c r="BP51" s="3">
        <f ca="1">IFERROR(__xludf.DUMMYFUNCTION("""COMPUTED_VALUE"""),-0.72614539010274)</f>
        <v>-0.72614539010274004</v>
      </c>
      <c r="BQ51" s="3">
        <f ca="1">IFERROR(__xludf.DUMMYFUNCTION("""COMPUTED_VALUE"""),-0.761733367224378)</f>
        <v>-0.76173336722437801</v>
      </c>
      <c r="BR51" s="3">
        <f ca="1">IFERROR(__xludf.DUMMYFUNCTION("""COMPUTED_VALUE"""),-0.741983957927946)</f>
        <v>-0.74198395792794603</v>
      </c>
      <c r="BS51" s="3">
        <f ca="1">IFERROR(__xludf.DUMMYFUNCTION("""COMPUTED_VALUE"""),-0.664858419203986)</f>
        <v>-0.66485841920398603</v>
      </c>
      <c r="BT51" s="3">
        <f ca="1">IFERROR(__xludf.DUMMYFUNCTION("""COMPUTED_VALUE"""),-0.679483836633557)</f>
        <v>-0.67948383663355705</v>
      </c>
      <c r="BU51" s="3">
        <f ca="1">IFERROR(__xludf.DUMMYFUNCTION("""COMPUTED_VALUE"""),-0.761142410148605)</f>
        <v>-0.76114241014860495</v>
      </c>
      <c r="BV51" s="3">
        <f ca="1">IFERROR(__xludf.DUMMYFUNCTION("""COMPUTED_VALUE"""),-0.762153136752156)</f>
        <v>-0.76215313675215601</v>
      </c>
      <c r="BW51" s="3">
        <f ca="1">IFERROR(__xludf.DUMMYFUNCTION("""COMPUTED_VALUE"""),-0.750135804352022)</f>
        <v>-0.75013580435202198</v>
      </c>
      <c r="BX51" s="3">
        <f ca="1">IFERROR(__xludf.DUMMYFUNCTION("""COMPUTED_VALUE"""),-0.72129804495888)</f>
        <v>-0.72129804495887995</v>
      </c>
      <c r="BY51" s="3">
        <f ca="1">IFERROR(__xludf.DUMMYFUNCTION("""COMPUTED_VALUE"""),-0.751616812903957)</f>
        <v>-0.75161681290395699</v>
      </c>
      <c r="BZ51" s="3">
        <f ca="1">IFERROR(__xludf.DUMMYFUNCTION("""COMPUTED_VALUE"""),-0.728525636474805)</f>
        <v>-0.72852563647480495</v>
      </c>
      <c r="CA51" s="3">
        <f ca="1">IFERROR(__xludf.DUMMYFUNCTION("""COMPUTED_VALUE"""),-0.657796115530312)</f>
        <v>-0.65779611553031203</v>
      </c>
      <c r="CB51" s="3">
        <f ca="1">IFERROR(__xludf.DUMMYFUNCTION("""COMPUTED_VALUE"""),-0.759420364593413)</f>
        <v>-0.759420364593413</v>
      </c>
      <c r="CC51" s="3">
        <f ca="1">IFERROR(__xludf.DUMMYFUNCTION("""COMPUTED_VALUE"""),-0.749597875592922)</f>
        <v>-0.74959787559292201</v>
      </c>
      <c r="CD51" s="3">
        <f ca="1">IFERROR(__xludf.DUMMYFUNCTION("""COMPUTED_VALUE"""),-0.777731709111353)</f>
        <v>-0.77773170911135303</v>
      </c>
      <c r="CE51" s="3">
        <f ca="1">IFERROR(__xludf.DUMMYFUNCTION("""COMPUTED_VALUE"""),-0.728839216369415)</f>
        <v>-0.72883921636941496</v>
      </c>
      <c r="CF51" s="3">
        <f ca="1">IFERROR(__xludf.DUMMYFUNCTION("""COMPUTED_VALUE"""),-0.741890573452922)</f>
        <v>-0.74189057345292198</v>
      </c>
      <c r="CG51" s="3">
        <f ca="1">IFERROR(__xludf.DUMMYFUNCTION("""COMPUTED_VALUE"""),-0.631060081624922)</f>
        <v>-0.631060081624922</v>
      </c>
      <c r="CH51" s="3">
        <f ca="1">IFERROR(__xludf.DUMMYFUNCTION("""COMPUTED_VALUE"""),-0.643697802069846)</f>
        <v>-0.64369780206984595</v>
      </c>
      <c r="CI51" s="3">
        <f ca="1">IFERROR(__xludf.DUMMYFUNCTION("""COMPUTED_VALUE"""),-0.745361314232048)</f>
        <v>-0.74536131423204799</v>
      </c>
      <c r="CJ51" s="3">
        <f ca="1">IFERROR(__xludf.DUMMYFUNCTION("""COMPUTED_VALUE"""),-0.76990186351568)</f>
        <v>-0.76990186351568002</v>
      </c>
      <c r="CK51" s="3">
        <f ca="1">IFERROR(__xludf.DUMMYFUNCTION("""COMPUTED_VALUE"""),-0.768402803344546)</f>
        <v>-0.76840280334454603</v>
      </c>
      <c r="CL51" s="3">
        <f ca="1">IFERROR(__xludf.DUMMYFUNCTION("""COMPUTED_VALUE"""),-0.771266641124693)</f>
        <v>-0.77126664112469301</v>
      </c>
      <c r="CM51" s="3">
        <f ca="1">IFERROR(__xludf.DUMMYFUNCTION("""COMPUTED_VALUE"""),-0.733253167240499)</f>
        <v>-0.73325316724049905</v>
      </c>
      <c r="CN51" s="3">
        <f ca="1">IFERROR(__xludf.DUMMYFUNCTION("""COMPUTED_VALUE"""),-0.667476454639502)</f>
        <v>-0.667476454639502</v>
      </c>
      <c r="CO51" s="3">
        <f ca="1">IFERROR(__xludf.DUMMYFUNCTION("""COMPUTED_VALUE"""),-0.699594895138157)</f>
        <v>-0.69959489513815698</v>
      </c>
      <c r="CP51" s="3">
        <f ca="1">IFERROR(__xludf.DUMMYFUNCTION("""COMPUTED_VALUE"""),-0.734587087364176)</f>
        <v>-0.73458708736417599</v>
      </c>
      <c r="CQ51" s="3">
        <f ca="1">IFERROR(__xludf.DUMMYFUNCTION("""COMPUTED_VALUE"""),-0.726334267417093)</f>
        <v>-0.72633426741709295</v>
      </c>
      <c r="CR51" s="3">
        <f ca="1">IFERROR(__xludf.DUMMYFUNCTION("""COMPUTED_VALUE"""),-0.733832744181544)</f>
        <v>-0.73383274418154398</v>
      </c>
      <c r="CS51" s="3">
        <f ca="1">IFERROR(__xludf.DUMMYFUNCTION("""COMPUTED_VALUE"""),-0.730348224204329)</f>
        <v>-0.73034822420432899</v>
      </c>
      <c r="CT51" s="3">
        <f ca="1">IFERROR(__xludf.DUMMYFUNCTION("""COMPUTED_VALUE"""),-0.734289990752704)</f>
        <v>-0.73428999075270396</v>
      </c>
      <c r="CU51" s="3">
        <f ca="1">IFERROR(__xludf.DUMMYFUNCTION("""COMPUTED_VALUE"""),-0.639331118358639)</f>
        <v>-0.63933111835863898</v>
      </c>
      <c r="CV51" s="3">
        <f ca="1">IFERROR(__xludf.DUMMYFUNCTION("""COMPUTED_VALUE"""),-0.61969093653174)</f>
        <v>-0.61969093653174001</v>
      </c>
      <c r="CW51" s="3">
        <f ca="1">IFERROR(__xludf.DUMMYFUNCTION("""COMPUTED_VALUE"""),-0.747566824279982)</f>
        <v>-0.747566824279982</v>
      </c>
      <c r="CX51" s="3">
        <f ca="1">IFERROR(__xludf.DUMMYFUNCTION("""COMPUTED_VALUE"""),-0.733115107189126)</f>
        <v>-0.73311510718912598</v>
      </c>
      <c r="CY51" s="3">
        <f ca="1">IFERROR(__xludf.DUMMYFUNCTION("""COMPUTED_VALUE"""),-0.630091963163771)</f>
        <v>-0.63009196316377103</v>
      </c>
      <c r="CZ51" s="3">
        <f ca="1">IFERROR(__xludf.DUMMYFUNCTION("""COMPUTED_VALUE"""),-0.665098483070861)</f>
        <v>-0.66509848307086095</v>
      </c>
      <c r="DA51" s="3">
        <f ca="1">IFERROR(__xludf.DUMMYFUNCTION("""COMPUTED_VALUE"""),-0.721112125740528)</f>
        <v>-0.72111212574052796</v>
      </c>
      <c r="DB51" s="3">
        <f ca="1">IFERROR(__xludf.DUMMYFUNCTION("""COMPUTED_VALUE"""),-0.69046227193071)</f>
        <v>-0.69046227193070997</v>
      </c>
      <c r="DC51" s="3">
        <f ca="1">IFERROR(__xludf.DUMMYFUNCTION("""COMPUTED_VALUE"""),-0.716682736382621)</f>
        <v>-0.71668273638262103</v>
      </c>
      <c r="DD51" s="3">
        <f ca="1">IFERROR(__xludf.DUMMYFUNCTION("""COMPUTED_VALUE"""),-0.897852910663583)</f>
        <v>-0.89785291066358297</v>
      </c>
      <c r="DE51" s="3">
        <f ca="1">IFERROR(__xludf.DUMMYFUNCTION("""COMPUTED_VALUE"""),-0.758484098896492)</f>
        <v>-0.75848409889649204</v>
      </c>
      <c r="DF51" s="3">
        <f ca="1">IFERROR(__xludf.DUMMYFUNCTION("""COMPUTED_VALUE"""),-0.660392979087955)</f>
        <v>-0.66039297908795502</v>
      </c>
      <c r="DG51" s="3">
        <f ca="1">IFERROR(__xludf.DUMMYFUNCTION("""COMPUTED_VALUE"""),-0.705792036019512)</f>
        <v>-0.70579203601951201</v>
      </c>
      <c r="DH51" s="3">
        <f ca="1">IFERROR(__xludf.DUMMYFUNCTION("""COMPUTED_VALUE"""),-0.706982196481775)</f>
        <v>-0.70698219648177496</v>
      </c>
      <c r="DI51" s="3">
        <f ca="1">IFERROR(__xludf.DUMMYFUNCTION("""COMPUTED_VALUE"""),-0.629594036426623)</f>
        <v>-0.62959403642662304</v>
      </c>
      <c r="DJ51" s="3">
        <f ca="1">IFERROR(__xludf.DUMMYFUNCTION("""COMPUTED_VALUE"""),-0.646384436688588)</f>
        <v>-0.64638443668858803</v>
      </c>
      <c r="DK51" s="3">
        <f ca="1">IFERROR(__xludf.DUMMYFUNCTION("""COMPUTED_VALUE"""),-0.712288811123647)</f>
        <v>-0.71228881112364695</v>
      </c>
      <c r="DL51" s="3">
        <f ca="1">IFERROR(__xludf.DUMMYFUNCTION("""COMPUTED_VALUE"""),-0.726569089742862)</f>
        <v>-0.72656908974286205</v>
      </c>
      <c r="DM51" s="3">
        <f ca="1">IFERROR(__xludf.DUMMYFUNCTION("""COMPUTED_VALUE"""),-0.675889034352842)</f>
        <v>-0.67588903435284198</v>
      </c>
      <c r="DN51" s="3">
        <f ca="1">IFERROR(__xludf.DUMMYFUNCTION("""COMPUTED_VALUE"""),-0.696030152283188)</f>
        <v>-0.69603015228318799</v>
      </c>
      <c r="DO51" s="3">
        <f ca="1">IFERROR(__xludf.DUMMYFUNCTION("""COMPUTED_VALUE"""),-0.735019089239069)</f>
        <v>-0.735019089239069</v>
      </c>
      <c r="DP51" s="3">
        <f ca="1">IFERROR(__xludf.DUMMYFUNCTION("""COMPUTED_VALUE"""),-0.694999134482943)</f>
        <v>-0.69499913448294304</v>
      </c>
      <c r="DQ51" s="3">
        <f ca="1">IFERROR(__xludf.DUMMYFUNCTION("""COMPUTED_VALUE"""),-0.710942302433687)</f>
        <v>-0.71094230243368695</v>
      </c>
      <c r="DR51" s="3">
        <f ca="1">IFERROR(__xludf.DUMMYFUNCTION("""COMPUTED_VALUE"""),-0.706818414657781)</f>
        <v>-0.70681841465778095</v>
      </c>
      <c r="DS51" s="3">
        <f ca="1">IFERROR(__xludf.DUMMYFUNCTION("""COMPUTED_VALUE"""),-0.757196803975799)</f>
        <v>-0.75719680397579903</v>
      </c>
      <c r="DT51" s="3">
        <f ca="1">IFERROR(__xludf.DUMMYFUNCTION("""COMPUTED_VALUE"""),-0.748281244024283)</f>
        <v>-0.74828124402428298</v>
      </c>
      <c r="DU51" s="3">
        <f ca="1">IFERROR(__xludf.DUMMYFUNCTION("""COMPUTED_VALUE"""),-0.76793101699734)</f>
        <v>-0.76793101699734001</v>
      </c>
      <c r="DV51" s="3">
        <f ca="1">IFERROR(__xludf.DUMMYFUNCTION("""COMPUTED_VALUE"""),-0.762228628998232)</f>
        <v>-0.76222862899823196</v>
      </c>
      <c r="DW51" s="3">
        <f ca="1">IFERROR(__xludf.DUMMYFUNCTION("""COMPUTED_VALUE"""),-0.712508128522947)</f>
        <v>-0.71250812852294698</v>
      </c>
      <c r="DX51" s="3">
        <f ca="1">IFERROR(__xludf.DUMMYFUNCTION("""COMPUTED_VALUE"""),-0.673608281604908)</f>
        <v>-0.67360828160490804</v>
      </c>
      <c r="DY51" s="3">
        <f ca="1">IFERROR(__xludf.DUMMYFUNCTION("""COMPUTED_VALUE"""),-0.730695712223993)</f>
        <v>-0.73069571222399299</v>
      </c>
      <c r="DZ51" s="3">
        <f ca="1">IFERROR(__xludf.DUMMYFUNCTION("""COMPUTED_VALUE"""),-0.734308888369578)</f>
        <v>-0.73430888836957797</v>
      </c>
      <c r="EA51" s="3">
        <f ca="1">IFERROR(__xludf.DUMMYFUNCTION("""COMPUTED_VALUE"""),-0.746658888862897)</f>
        <v>-0.746658888862897</v>
      </c>
      <c r="EB51" s="3">
        <f ca="1">IFERROR(__xludf.DUMMYFUNCTION("""COMPUTED_VALUE"""),-0.742998832873764)</f>
        <v>-0.742998832873764</v>
      </c>
      <c r="EC51" s="3">
        <f ca="1">IFERROR(__xludf.DUMMYFUNCTION("""COMPUTED_VALUE"""),-0.759388385332534)</f>
        <v>-0.75938838533253405</v>
      </c>
      <c r="ED51" s="3">
        <f ca="1">IFERROR(__xludf.DUMMYFUNCTION("""COMPUTED_VALUE"""),-0.686310691322094)</f>
        <v>-0.68631069132209399</v>
      </c>
      <c r="EE51" s="3">
        <f ca="1">IFERROR(__xludf.DUMMYFUNCTION("""COMPUTED_VALUE"""),-0.709611071963707)</f>
        <v>-0.70961107196370699</v>
      </c>
      <c r="EF51" s="3">
        <f ca="1">IFERROR(__xludf.DUMMYFUNCTION("""COMPUTED_VALUE"""),-0.755462072432723)</f>
        <v>-0.75546207243272301</v>
      </c>
      <c r="EG51" s="3">
        <f ca="1">IFERROR(__xludf.DUMMYFUNCTION("""COMPUTED_VALUE"""),-0.808974729586589)</f>
        <v>-0.808974729586589</v>
      </c>
      <c r="EH51" s="3">
        <f ca="1">IFERROR(__xludf.DUMMYFUNCTION("""COMPUTED_VALUE"""),-0.769640339572398)</f>
        <v>-0.76964033957239797</v>
      </c>
      <c r="EI51" s="3">
        <f ca="1">IFERROR(__xludf.DUMMYFUNCTION("""COMPUTED_VALUE"""),-0.776105099428039)</f>
        <v>-0.77610509942803896</v>
      </c>
      <c r="EJ51" s="3">
        <f ca="1">IFERROR(__xludf.DUMMYFUNCTION("""COMPUTED_VALUE"""),-0.762788548071831)</f>
        <v>-0.76278854807183105</v>
      </c>
      <c r="EK51" s="3">
        <f ca="1">IFERROR(__xludf.DUMMYFUNCTION("""COMPUTED_VALUE"""),-0.68501134697408)</f>
        <v>-0.68501134697407995</v>
      </c>
      <c r="EL51" s="3">
        <f ca="1">IFERROR(__xludf.DUMMYFUNCTION("""COMPUTED_VALUE"""),-0.68490236261334)</f>
        <v>-0.68490236261334003</v>
      </c>
      <c r="EM51" s="3">
        <f ca="1">IFERROR(__xludf.DUMMYFUNCTION("""COMPUTED_VALUE"""),-0.732405595955503)</f>
        <v>-0.73240559595550303</v>
      </c>
      <c r="EN51" s="3">
        <f ca="1">IFERROR(__xludf.DUMMYFUNCTION("""COMPUTED_VALUE"""),-0.730622134729143)</f>
        <v>-0.73062213472914295</v>
      </c>
      <c r="EO51" s="3">
        <f ca="1">IFERROR(__xludf.DUMMYFUNCTION("""COMPUTED_VALUE"""),-0.756916878933914)</f>
        <v>-0.75691687893391402</v>
      </c>
      <c r="EP51" s="3">
        <f ca="1">IFERROR(__xludf.DUMMYFUNCTION("""COMPUTED_VALUE"""),-0.754112016693259)</f>
        <v>-0.754112016693259</v>
      </c>
      <c r="EQ51" s="3">
        <f ca="1">IFERROR(__xludf.DUMMYFUNCTION("""COMPUTED_VALUE"""),-0.763983720364844)</f>
        <v>-0.76398372036484397</v>
      </c>
      <c r="ER51" s="3">
        <f ca="1">IFERROR(__xludf.DUMMYFUNCTION("""COMPUTED_VALUE"""),-0.68595309311412)</f>
        <v>-0.68595309311412</v>
      </c>
      <c r="ES51" s="3">
        <f ca="1">IFERROR(__xludf.DUMMYFUNCTION("""COMPUTED_VALUE"""),-0.706899179052208)</f>
        <v>-0.706899179052208</v>
      </c>
      <c r="ET51" s="3">
        <f ca="1">IFERROR(__xludf.DUMMYFUNCTION("""COMPUTED_VALUE"""),-0.760630829451717)</f>
        <v>-0.76063082945171701</v>
      </c>
      <c r="EU51" s="3">
        <f ca="1">IFERROR(__xludf.DUMMYFUNCTION("""COMPUTED_VALUE"""),-0.778345738610669)</f>
        <v>-0.77834573861066902</v>
      </c>
      <c r="EV51" s="3">
        <f ca="1">IFERROR(__xludf.DUMMYFUNCTION("""COMPUTED_VALUE"""),-0.78663377650398)</f>
        <v>-0.78663377650398003</v>
      </c>
      <c r="EW51" s="3">
        <f ca="1">IFERROR(__xludf.DUMMYFUNCTION("""COMPUTED_VALUE"""),-0.770366572249858)</f>
        <v>-0.77036657224985805</v>
      </c>
      <c r="EX51" s="3">
        <f ca="1">IFERROR(__xludf.DUMMYFUNCTION("""COMPUTED_VALUE"""),-0.744493562323215)</f>
        <v>-0.74449356232321495</v>
      </c>
      <c r="EY51" s="3">
        <f ca="1">IFERROR(__xludf.DUMMYFUNCTION("""COMPUTED_VALUE"""),-0.68864910844464)</f>
        <v>-0.68864910844464</v>
      </c>
      <c r="EZ51" s="3">
        <f ca="1">IFERROR(__xludf.DUMMYFUNCTION("""COMPUTED_VALUE"""),-0.695422101982893)</f>
        <v>-0.695422101982893</v>
      </c>
      <c r="FA51" s="3">
        <f ca="1">IFERROR(__xludf.DUMMYFUNCTION("""COMPUTED_VALUE"""),-0.731421640780928)</f>
        <v>-0.73142164078092797</v>
      </c>
      <c r="FB51" s="3">
        <f ca="1">IFERROR(__xludf.DUMMYFUNCTION("""COMPUTED_VALUE"""),-0.793500697782078)</f>
        <v>-0.79350069778207799</v>
      </c>
      <c r="FC51" s="3">
        <f ca="1">IFERROR(__xludf.DUMMYFUNCTION("""COMPUTED_VALUE"""),-0.784591843661369)</f>
        <v>-0.78459184366136903</v>
      </c>
      <c r="FD51" s="3">
        <f ca="1">IFERROR(__xludf.DUMMYFUNCTION("""COMPUTED_VALUE"""),-0.778003904331404)</f>
        <v>-0.77800390433140398</v>
      </c>
      <c r="FE51" s="3">
        <f ca="1">IFERROR(__xludf.DUMMYFUNCTION("""COMPUTED_VALUE"""),-0.749666870523591)</f>
        <v>-0.74966687052359104</v>
      </c>
      <c r="FF51" s="3">
        <f ca="1">IFERROR(__xludf.DUMMYFUNCTION("""COMPUTED_VALUE"""),-0.694976637113087)</f>
        <v>-0.69497663711308699</v>
      </c>
      <c r="FG51" s="3">
        <f ca="1">IFERROR(__xludf.DUMMYFUNCTION("""COMPUTED_VALUE"""),-0.674461146372543)</f>
        <v>-0.67446114637254295</v>
      </c>
      <c r="FH51" s="3">
        <f ca="1">IFERROR(__xludf.DUMMYFUNCTION("""COMPUTED_VALUE"""),-0.74289953568672)</f>
        <v>-0.74289953568671996</v>
      </c>
      <c r="FI51" s="3">
        <f ca="1">IFERROR(__xludf.DUMMYFUNCTION("""COMPUTED_VALUE"""),-0.792710552353407)</f>
        <v>-0.79271055235340704</v>
      </c>
      <c r="FJ51" s="3">
        <f ca="1">IFERROR(__xludf.DUMMYFUNCTION("""COMPUTED_VALUE"""),-0.815696686496058)</f>
        <v>-0.81569668649605798</v>
      </c>
      <c r="FK51" s="3">
        <f ca="1">IFERROR(__xludf.DUMMYFUNCTION("""COMPUTED_VALUE"""),-0.792738467764044)</f>
        <v>-0.792738467764044</v>
      </c>
      <c r="FL51" s="3">
        <f ca="1">IFERROR(__xludf.DUMMYFUNCTION("""COMPUTED_VALUE"""),-0.734076747879101)</f>
        <v>-0.73407674787910104</v>
      </c>
      <c r="FM51" s="3">
        <f ca="1">IFERROR(__xludf.DUMMYFUNCTION("""COMPUTED_VALUE"""),-0.651552890659998)</f>
        <v>-0.651552890659998</v>
      </c>
      <c r="FN51" s="3">
        <f ca="1">IFERROR(__xludf.DUMMYFUNCTION("""COMPUTED_VALUE"""),-0.722359059931495)</f>
        <v>-0.72235905993149496</v>
      </c>
      <c r="FO51" s="3">
        <f ca="1">IFERROR(__xludf.DUMMYFUNCTION("""COMPUTED_VALUE"""),-0.773102465696582)</f>
        <v>-0.77310246569658203</v>
      </c>
      <c r="FP51" s="3">
        <f ca="1">IFERROR(__xludf.DUMMYFUNCTION("""COMPUTED_VALUE"""),-0.745119455150629)</f>
        <v>-0.74511945515062905</v>
      </c>
      <c r="FQ51" s="3">
        <f ca="1">IFERROR(__xludf.DUMMYFUNCTION("""COMPUTED_VALUE"""),-0.77136716366672)</f>
        <v>-0.77136716366671998</v>
      </c>
      <c r="FR51" s="3">
        <f ca="1">IFERROR(__xludf.DUMMYFUNCTION("""COMPUTED_VALUE"""),-0.763293845359843)</f>
        <v>-0.76329384535984302</v>
      </c>
      <c r="FS51" s="3">
        <f ca="1">IFERROR(__xludf.DUMMYFUNCTION("""COMPUTED_VALUE"""),-0.771374912206467)</f>
        <v>-0.77137491220646703</v>
      </c>
      <c r="FT51" s="3">
        <f ca="1">IFERROR(__xludf.DUMMYFUNCTION("""COMPUTED_VALUE"""),-0.692062048478243)</f>
        <v>-0.69206204847824304</v>
      </c>
      <c r="FU51" s="3">
        <f ca="1">IFERROR(__xludf.DUMMYFUNCTION("""COMPUTED_VALUE"""),-0.733067583511257)</f>
        <v>-0.733067583511257</v>
      </c>
      <c r="FV51" s="3">
        <f ca="1">IFERROR(__xludf.DUMMYFUNCTION("""COMPUTED_VALUE"""),-0.768611966486816)</f>
        <v>-0.76861196648681596</v>
      </c>
      <c r="FW51" s="3">
        <f ca="1">IFERROR(__xludf.DUMMYFUNCTION("""COMPUTED_VALUE"""),-0.785459597895717)</f>
        <v>-0.78545959789571695</v>
      </c>
      <c r="FX51" s="3">
        <f ca="1">IFERROR(__xludf.DUMMYFUNCTION("""COMPUTED_VALUE"""),-0.806517863779381)</f>
        <v>-0.80651786377938095</v>
      </c>
      <c r="FY51" s="3">
        <f ca="1">IFERROR(__xludf.DUMMYFUNCTION("""COMPUTED_VALUE"""),-0.774912334765311)</f>
        <v>-0.77491233476531096</v>
      </c>
      <c r="FZ51" s="3">
        <f ca="1">IFERROR(__xludf.DUMMYFUNCTION("""COMPUTED_VALUE"""),-0.750425116036865)</f>
        <v>-0.75042511603686501</v>
      </c>
      <c r="GA51" s="3">
        <f ca="1">IFERROR(__xludf.DUMMYFUNCTION("""COMPUTED_VALUE"""),-0.728254730148042)</f>
        <v>-0.72825473014804198</v>
      </c>
      <c r="GB51" s="3">
        <f ca="1">IFERROR(__xludf.DUMMYFUNCTION("""COMPUTED_VALUE"""),-0.76169987128895)</f>
        <v>-0.76169987128895</v>
      </c>
      <c r="GC51" s="3">
        <f ca="1">IFERROR(__xludf.DUMMYFUNCTION("""COMPUTED_VALUE"""),-0.769850783882505)</f>
        <v>-0.76985078388250505</v>
      </c>
      <c r="GD51" s="3">
        <f ca="1">IFERROR(__xludf.DUMMYFUNCTION("""COMPUTED_VALUE"""),-0.785801004196074)</f>
        <v>-0.78580100419607402</v>
      </c>
      <c r="GE51" s="3">
        <f ca="1">IFERROR(__xludf.DUMMYFUNCTION("""COMPUTED_VALUE"""),-0.781656260650637)</f>
        <v>-0.78165626065063698</v>
      </c>
      <c r="GF51" s="3">
        <f ca="1">IFERROR(__xludf.DUMMYFUNCTION("""COMPUTED_VALUE"""),-0.767201074021789)</f>
        <v>-0.76720107402178905</v>
      </c>
      <c r="GG51" s="3">
        <f ca="1">IFERROR(__xludf.DUMMYFUNCTION("""COMPUTED_VALUE"""),-0.782495804116526)</f>
        <v>-0.78249580411652597</v>
      </c>
      <c r="GH51" s="3">
        <f ca="1">IFERROR(__xludf.DUMMYFUNCTION("""COMPUTED_VALUE"""),-0.688198222405824)</f>
        <v>-0.68819822240582396</v>
      </c>
      <c r="GI51" s="3">
        <f ca="1">IFERROR(__xludf.DUMMYFUNCTION("""COMPUTED_VALUE"""),-0.687270725977546)</f>
        <v>-0.68727072597754602</v>
      </c>
      <c r="GJ51" s="3">
        <f ca="1">IFERROR(__xludf.DUMMYFUNCTION("""COMPUTED_VALUE"""),-0.746543169993722)</f>
        <v>-0.74654316999372194</v>
      </c>
      <c r="GK51" s="3">
        <f ca="1">IFERROR(__xludf.DUMMYFUNCTION("""COMPUTED_VALUE"""),-0.785573023574618)</f>
        <v>-0.785573023574618</v>
      </c>
      <c r="GL51" s="3">
        <f ca="1">IFERROR(__xludf.DUMMYFUNCTION("""COMPUTED_VALUE"""),-0.768408031510166)</f>
        <v>-0.76840803151016601</v>
      </c>
      <c r="GM51" s="3">
        <f ca="1">IFERROR(__xludf.DUMMYFUNCTION("""COMPUTED_VALUE"""),-0.761190016415715)</f>
        <v>-0.76119001641571504</v>
      </c>
      <c r="GN51" s="3">
        <f ca="1">IFERROR(__xludf.DUMMYFUNCTION("""COMPUTED_VALUE"""),-0.780419955165165)</f>
        <v>-0.78041995516516505</v>
      </c>
      <c r="GO51" s="3">
        <f ca="1">IFERROR(__xludf.DUMMYFUNCTION("""COMPUTED_VALUE"""),-0.704987540675466)</f>
        <v>-0.70498754067546598</v>
      </c>
      <c r="GP51" s="3">
        <f ca="1">IFERROR(__xludf.DUMMYFUNCTION("""COMPUTED_VALUE"""),-0.705985115890472)</f>
        <v>-0.70598511589047197</v>
      </c>
      <c r="GQ51" s="3">
        <f ca="1">IFERROR(__xludf.DUMMYFUNCTION("""COMPUTED_VALUE"""),-0.769463713177394)</f>
        <v>-0.76946371317739404</v>
      </c>
      <c r="GR51" s="3">
        <f ca="1">IFERROR(__xludf.DUMMYFUNCTION("""COMPUTED_VALUE"""),-0.793269949004405)</f>
        <v>-0.79326994900440495</v>
      </c>
      <c r="GS51" s="3">
        <f ca="1">IFERROR(__xludf.DUMMYFUNCTION("""COMPUTED_VALUE"""),-0.796823224999049)</f>
        <v>-0.79682322499904901</v>
      </c>
      <c r="GT51" s="3">
        <f ca="1">IFERROR(__xludf.DUMMYFUNCTION("""COMPUTED_VALUE"""),-0.799214443007412)</f>
        <v>-0.79921444300741196</v>
      </c>
      <c r="GU51" s="3">
        <f ca="1">IFERROR(__xludf.DUMMYFUNCTION("""COMPUTED_VALUE"""),-0.773519478143424)</f>
        <v>-0.77351947814342403</v>
      </c>
      <c r="GV51" s="3">
        <f ca="1">IFERROR(__xludf.DUMMYFUNCTION("""COMPUTED_VALUE"""),-0.715576156200113)</f>
        <v>-0.71557615620011294</v>
      </c>
      <c r="GW51" s="3">
        <f ca="1">IFERROR(__xludf.DUMMYFUNCTION("""COMPUTED_VALUE"""),-0.669870603480322)</f>
        <v>-0.66987060348032201</v>
      </c>
      <c r="GX51" s="3">
        <f ca="1">IFERROR(__xludf.DUMMYFUNCTION("""COMPUTED_VALUE"""),-0.746541208992659)</f>
        <v>-0.74654120899265897</v>
      </c>
      <c r="GY51" s="3">
        <f ca="1">IFERROR(__xludf.DUMMYFUNCTION("""COMPUTED_VALUE"""),-0.743150101703836)</f>
        <v>-0.743150101703836</v>
      </c>
      <c r="GZ51" s="3">
        <f ca="1">IFERROR(__xludf.DUMMYFUNCTION("""COMPUTED_VALUE"""),-0.768146502526867)</f>
        <v>-0.768146502526867</v>
      </c>
      <c r="HA51" s="3">
        <f ca="1">IFERROR(__xludf.DUMMYFUNCTION("""COMPUTED_VALUE"""),-0.74234280114273)</f>
        <v>-0.74234280114272999</v>
      </c>
      <c r="HB51" s="3">
        <f ca="1">IFERROR(__xludf.DUMMYFUNCTION("""COMPUTED_VALUE"""),-0.735265395248021)</f>
        <v>-0.73526539524802104</v>
      </c>
      <c r="HC51" s="3">
        <f ca="1">IFERROR(__xludf.DUMMYFUNCTION("""COMPUTED_VALUE"""),-0.686566352379301)</f>
        <v>-0.68656635237930097</v>
      </c>
      <c r="HD51" s="3">
        <f ca="1">IFERROR(__xludf.DUMMYFUNCTION("""COMPUTED_VALUE"""),-0.665542080736235)</f>
        <v>-0.665542080736235</v>
      </c>
      <c r="HE51" s="3">
        <f ca="1">IFERROR(__xludf.DUMMYFUNCTION("""COMPUTED_VALUE"""),-0.762118183727151)</f>
        <v>-0.76211818372715101</v>
      </c>
      <c r="HF51" s="3">
        <f ca="1">IFERROR(__xludf.DUMMYFUNCTION("""COMPUTED_VALUE"""),-0.735177141979994)</f>
        <v>-0.73517714197999395</v>
      </c>
      <c r="HG51" s="3">
        <f ca="1">IFERROR(__xludf.DUMMYFUNCTION("""COMPUTED_VALUE"""),-0.731794446054458)</f>
        <v>-0.73179444605445798</v>
      </c>
      <c r="HH51" s="3">
        <f ca="1">IFERROR(__xludf.DUMMYFUNCTION("""COMPUTED_VALUE"""),-0.761442906874527)</f>
        <v>-0.76144290687452698</v>
      </c>
      <c r="HI51" s="3">
        <f ca="1">IFERROR(__xludf.DUMMYFUNCTION("""COMPUTED_VALUE"""),-0.704585170989928)</f>
        <v>-0.70458517098992801</v>
      </c>
      <c r="HJ51" s="3">
        <f ca="1">IFERROR(__xludf.DUMMYFUNCTION("""COMPUTED_VALUE"""),-0.661013209017648)</f>
        <v>-0.66101320901764804</v>
      </c>
      <c r="HK51" s="3">
        <f ca="1">IFERROR(__xludf.DUMMYFUNCTION("""COMPUTED_VALUE"""),-0.592892930444967)</f>
        <v>-0.59289293044496705</v>
      </c>
      <c r="HL51" s="3">
        <f ca="1">IFERROR(__xludf.DUMMYFUNCTION("""COMPUTED_VALUE"""),-0.737837323678061)</f>
        <v>-0.73783732367806099</v>
      </c>
      <c r="HM51" s="3">
        <f ca="1">IFERROR(__xludf.DUMMYFUNCTION("""COMPUTED_VALUE"""),-0.749653670568894)</f>
        <v>-0.74965367056889398</v>
      </c>
      <c r="HN51" s="3">
        <f ca="1">IFERROR(__xludf.DUMMYFUNCTION("""COMPUTED_VALUE"""),-0.747788937602589)</f>
        <v>-0.74778893760258902</v>
      </c>
      <c r="HO51" s="3">
        <f ca="1">IFERROR(__xludf.DUMMYFUNCTION("""COMPUTED_VALUE"""),-0.738931212279737)</f>
        <v>-0.73893121227973702</v>
      </c>
      <c r="HP51" s="3">
        <f ca="1">IFERROR(__xludf.DUMMYFUNCTION("""COMPUTED_VALUE"""),-0.721742372120747)</f>
        <v>-0.72174237212074699</v>
      </c>
      <c r="HQ51" s="3">
        <f ca="1">IFERROR(__xludf.DUMMYFUNCTION("""COMPUTED_VALUE"""),-0.692396382786743)</f>
        <v>-0.69239638278674298</v>
      </c>
      <c r="HR51" s="3">
        <f ca="1">IFERROR(__xludf.DUMMYFUNCTION("""COMPUTED_VALUE"""),-0.680472166682435)</f>
        <v>-0.68047216668243504</v>
      </c>
      <c r="HS51" s="3">
        <f ca="1">IFERROR(__xludf.DUMMYFUNCTION("""COMPUTED_VALUE"""),-0.80236743499072)</f>
        <v>-0.80236743499072005</v>
      </c>
      <c r="HT51" s="3">
        <f ca="1">IFERROR(__xludf.DUMMYFUNCTION("""COMPUTED_VALUE"""),-0.749136441908359)</f>
        <v>-0.74913644190835904</v>
      </c>
      <c r="HU51" s="3">
        <f ca="1">IFERROR(__xludf.DUMMYFUNCTION("""COMPUTED_VALUE"""),-0.768396894006499)</f>
        <v>-0.76839689400649902</v>
      </c>
      <c r="HV51" s="3">
        <f ca="1">IFERROR(__xludf.DUMMYFUNCTION("""COMPUTED_VALUE"""),-0.744420766535876)</f>
        <v>-0.74442076653587597</v>
      </c>
      <c r="HW51" s="3">
        <f ca="1">IFERROR(__xludf.DUMMYFUNCTION("""COMPUTED_VALUE"""),-0.699026511051802)</f>
        <v>-0.69902651105180202</v>
      </c>
      <c r="HX51" s="3">
        <f ca="1">IFERROR(__xludf.DUMMYFUNCTION("""COMPUTED_VALUE"""),-0.632465428698616)</f>
        <v>-0.63246542869861599</v>
      </c>
      <c r="HY51" s="3">
        <f ca="1">IFERROR(__xludf.DUMMYFUNCTION("""COMPUTED_VALUE"""),-0.707161479752548)</f>
        <v>-0.70716147975254795</v>
      </c>
      <c r="HZ51" s="3">
        <f ca="1">IFERROR(__xludf.DUMMYFUNCTION("""COMPUTED_VALUE"""),-0.770753499273075)</f>
        <v>-0.77075349927307502</v>
      </c>
      <c r="IA51" s="3">
        <f ca="1">IFERROR(__xludf.DUMMYFUNCTION("""COMPUTED_VALUE"""),-0.773152807300537)</f>
        <v>-0.77315280730053704</v>
      </c>
      <c r="IB51" s="3">
        <f ca="1">IFERROR(__xludf.DUMMYFUNCTION("""COMPUTED_VALUE"""),-0.761062282150936)</f>
        <v>-0.76106228215093596</v>
      </c>
      <c r="IC51" s="3">
        <f ca="1">IFERROR(__xludf.DUMMYFUNCTION("""COMPUTED_VALUE"""),-0.723125929670468)</f>
        <v>-0.72312592967046796</v>
      </c>
      <c r="ID51" s="3">
        <f ca="1">IFERROR(__xludf.DUMMYFUNCTION("""COMPUTED_VALUE"""),-0.704238173346216)</f>
        <v>-0.70423817334621597</v>
      </c>
      <c r="IE51" s="3">
        <f ca="1">IFERROR(__xludf.DUMMYFUNCTION("""COMPUTED_VALUE"""),-0.630819889497486)</f>
        <v>-0.63081988949748602</v>
      </c>
      <c r="IF51" s="3">
        <f ca="1">IFERROR(__xludf.DUMMYFUNCTION("""COMPUTED_VALUE"""),-0.67196653733511)</f>
        <v>-0.67196653733511003</v>
      </c>
      <c r="IG51" s="3">
        <f ca="1">IFERROR(__xludf.DUMMYFUNCTION("""COMPUTED_VALUE"""),-0.743200364748964)</f>
        <v>-0.743200364748964</v>
      </c>
      <c r="IH51" s="3">
        <f ca="1">IFERROR(__xludf.DUMMYFUNCTION("""COMPUTED_VALUE"""),-0.74726986423895)</f>
        <v>-0.74726986423895003</v>
      </c>
      <c r="II51" s="3">
        <f ca="1">IFERROR(__xludf.DUMMYFUNCTION("""COMPUTED_VALUE"""),-0.758702091553359)</f>
        <v>-0.75870209155335899</v>
      </c>
      <c r="IJ51" s="3">
        <f ca="1">IFERROR(__xludf.DUMMYFUNCTION("""COMPUTED_VALUE"""),-0.726815198297727)</f>
        <v>-0.72681519829772701</v>
      </c>
      <c r="IK51" s="3">
        <f ca="1">IFERROR(__xludf.DUMMYFUNCTION("""COMPUTED_VALUE"""),-0.720527809705517)</f>
        <v>-0.720527809705517</v>
      </c>
      <c r="IL51" s="3">
        <f ca="1">IFERROR(__xludf.DUMMYFUNCTION("""COMPUTED_VALUE"""),-0.621735883151275)</f>
        <v>-0.62173588315127504</v>
      </c>
      <c r="IM51" s="3">
        <f ca="1">IFERROR(__xludf.DUMMYFUNCTION("""COMPUTED_VALUE"""),-0.698188222159334)</f>
        <v>-0.69818822215933396</v>
      </c>
      <c r="IN51" s="3">
        <f ca="1">IFERROR(__xludf.DUMMYFUNCTION("""COMPUTED_VALUE"""),-0.736062192764382)</f>
        <v>-0.73606219276438201</v>
      </c>
      <c r="IO51" s="3">
        <f ca="1">IFERROR(__xludf.DUMMYFUNCTION("""COMPUTED_VALUE"""),-0.735203675230824)</f>
        <v>-0.73520367523082397</v>
      </c>
      <c r="IP51" s="3">
        <f ca="1">IFERROR(__xludf.DUMMYFUNCTION("""COMPUTED_VALUE"""),-0.704310508111113)</f>
        <v>-0.70431050811111295</v>
      </c>
      <c r="IQ51" s="3">
        <f ca="1">IFERROR(__xludf.DUMMYFUNCTION("""COMPUTED_VALUE"""),-0.736633287988317)</f>
        <v>-0.73663328798831695</v>
      </c>
      <c r="IR51" s="3">
        <f ca="1">IFERROR(__xludf.DUMMYFUNCTION("""COMPUTED_VALUE"""),-0.700042446278789)</f>
        <v>-0.70004244627878898</v>
      </c>
      <c r="IS51" s="3">
        <f ca="1">IFERROR(__xludf.DUMMYFUNCTION("""COMPUTED_VALUE"""),-0.64485976692579)</f>
        <v>-0.64485976692578995</v>
      </c>
      <c r="IT51" s="3">
        <f ca="1">IFERROR(__xludf.DUMMYFUNCTION("""COMPUTED_VALUE"""),-0.661962384139835)</f>
        <v>-0.66196238413983499</v>
      </c>
      <c r="IU51" s="3">
        <f ca="1">IFERROR(__xludf.DUMMYFUNCTION("""COMPUTED_VALUE"""),-0.731982331493947)</f>
        <v>-0.73198233149394698</v>
      </c>
      <c r="IV51" s="3">
        <f ca="1">IFERROR(__xludf.DUMMYFUNCTION("""COMPUTED_VALUE"""),-0.736743848577493)</f>
        <v>-0.73674384857749298</v>
      </c>
      <c r="IW51" s="3">
        <f ca="1">IFERROR(__xludf.DUMMYFUNCTION("""COMPUTED_VALUE"""),-0.711943570438738)</f>
        <v>-0.71194357043873802</v>
      </c>
      <c r="IX51" s="3">
        <f ca="1">IFERROR(__xludf.DUMMYFUNCTION("""COMPUTED_VALUE"""),-0.729837264302507)</f>
        <v>-0.72983726430250695</v>
      </c>
      <c r="IY51" s="3">
        <f ca="1">IFERROR(__xludf.DUMMYFUNCTION("""COMPUTED_VALUE"""),-0.687199723939756)</f>
        <v>-0.68719972393975604</v>
      </c>
      <c r="IZ51" s="3">
        <f ca="1">IFERROR(__xludf.DUMMYFUNCTION("""COMPUTED_VALUE"""),-0.669217025710702)</f>
        <v>-0.66921702571070196</v>
      </c>
      <c r="JA51" s="3">
        <f ca="1">IFERROR(__xludf.DUMMYFUNCTION("""COMPUTED_VALUE"""),-0.706238023512042)</f>
        <v>-0.70623802351204201</v>
      </c>
      <c r="JB51" s="3">
        <f ca="1">IFERROR(__xludf.DUMMYFUNCTION("""COMPUTED_VALUE"""),-0.732776950349925)</f>
        <v>-0.73277695034992496</v>
      </c>
      <c r="JC51" s="3">
        <f ca="1">IFERROR(__xludf.DUMMYFUNCTION("""COMPUTED_VALUE"""),-0.735594253752044)</f>
        <v>-0.73559425375204401</v>
      </c>
      <c r="JD51" s="3">
        <f ca="1">IFERROR(__xludf.DUMMYFUNCTION("""COMPUTED_VALUE"""),-0.738459743940847)</f>
        <v>-0.73845974394084701</v>
      </c>
      <c r="JE51" s="3">
        <f ca="1">IFERROR(__xludf.DUMMYFUNCTION("""COMPUTED_VALUE"""),-0.730985656866903)</f>
        <v>-0.73098565686690298</v>
      </c>
      <c r="JF51" s="3">
        <f ca="1">IFERROR(__xludf.DUMMYFUNCTION("""COMPUTED_VALUE"""),-0.674141633412296)</f>
        <v>-0.67414163341229605</v>
      </c>
      <c r="JG51" s="3">
        <f ca="1">IFERROR(__xludf.DUMMYFUNCTION("""COMPUTED_VALUE"""),-0.629915437190882)</f>
        <v>-0.62991543719088205</v>
      </c>
      <c r="JH51" s="3">
        <f ca="1">IFERROR(__xludf.DUMMYFUNCTION("""COMPUTED_VALUE"""),-0.686300675346824)</f>
        <v>-0.68630067534682404</v>
      </c>
      <c r="JI51" s="3">
        <f ca="1">IFERROR(__xludf.DUMMYFUNCTION("""COMPUTED_VALUE"""),-0.728179061186265)</f>
        <v>-0.72817906118626496</v>
      </c>
      <c r="JJ51" s="3">
        <f ca="1">IFERROR(__xludf.DUMMYFUNCTION("""COMPUTED_VALUE"""),-0.73662068936685)</f>
        <v>-0.73662068936684999</v>
      </c>
      <c r="JK51" s="3">
        <f ca="1">IFERROR(__xludf.DUMMYFUNCTION("""COMPUTED_VALUE"""),-0.67424919759246)</f>
        <v>-0.67424919759246005</v>
      </c>
      <c r="JL51" s="3">
        <f ca="1">IFERROR(__xludf.DUMMYFUNCTION("""COMPUTED_VALUE"""),-0.699445219327148)</f>
        <v>-0.69944521932714798</v>
      </c>
      <c r="JM51" s="3">
        <f ca="1">IFERROR(__xludf.DUMMYFUNCTION("""COMPUTED_VALUE"""),-0.67074224278061)</f>
        <v>-0.67074224278061001</v>
      </c>
      <c r="JN51" s="3">
        <f ca="1">IFERROR(__xludf.DUMMYFUNCTION("""COMPUTED_VALUE"""),-0.67605575587744)</f>
        <v>-0.67605575587744005</v>
      </c>
      <c r="JO51" s="3">
        <f ca="1">IFERROR(__xludf.DUMMYFUNCTION("""COMPUTED_VALUE"""),-0.696729627802362)</f>
        <v>-0.69672962780236203</v>
      </c>
      <c r="JP51" s="3">
        <f ca="1">IFERROR(__xludf.DUMMYFUNCTION("""COMPUTED_VALUE"""),-0.669477404384047)</f>
        <v>-0.66947740438404701</v>
      </c>
      <c r="JQ51" s="3">
        <f ca="1">IFERROR(__xludf.DUMMYFUNCTION("""COMPUTED_VALUE"""),-0.717319153709234)</f>
        <v>-0.71731915370923405</v>
      </c>
      <c r="JR51" s="3">
        <f ca="1">IFERROR(__xludf.DUMMYFUNCTION("""COMPUTED_VALUE"""),-0.71771237832808)</f>
        <v>-0.71771237832807999</v>
      </c>
      <c r="JS51" s="3">
        <f ca="1">IFERROR(__xludf.DUMMYFUNCTION("""COMPUTED_VALUE"""),-0.700486325599782)</f>
        <v>-0.70048632559978197</v>
      </c>
      <c r="JT51" s="3">
        <f ca="1">IFERROR(__xludf.DUMMYFUNCTION("""COMPUTED_VALUE"""),-0.714245616129631)</f>
        <v>-0.714245616129631</v>
      </c>
      <c r="JU51" s="3">
        <f ca="1">IFERROR(__xludf.DUMMYFUNCTION("""COMPUTED_VALUE"""),-0.710732708058608)</f>
        <v>-0.710732708058608</v>
      </c>
      <c r="JV51" s="3">
        <f ca="1">IFERROR(__xludf.DUMMYFUNCTION("""COMPUTED_VALUE"""),-0.742825362179913)</f>
        <v>-0.74282536217991302</v>
      </c>
      <c r="JW51" s="3">
        <f ca="1">IFERROR(__xludf.DUMMYFUNCTION("""COMPUTED_VALUE"""),-0.695858308338718)</f>
        <v>-0.69585830833871798</v>
      </c>
      <c r="JX51" s="3">
        <f ca="1">IFERROR(__xludf.DUMMYFUNCTION("""COMPUTED_VALUE"""),-0.665605984365721)</f>
        <v>-0.66560598436572105</v>
      </c>
      <c r="JY51" s="3">
        <f ca="1">IFERROR(__xludf.DUMMYFUNCTION("""COMPUTED_VALUE"""),-0.684014917423368)</f>
        <v>-0.68401491742336795</v>
      </c>
      <c r="JZ51" s="3">
        <f ca="1">IFERROR(__xludf.DUMMYFUNCTION("""COMPUTED_VALUE"""),-0.711560414162881)</f>
        <v>-0.71156041416288096</v>
      </c>
      <c r="KA51" s="3">
        <f ca="1">IFERROR(__xludf.DUMMYFUNCTION("""COMPUTED_VALUE"""),-0.710984769152026)</f>
        <v>-0.71098476915202602</v>
      </c>
      <c r="KB51" s="3">
        <f ca="1">IFERROR(__xludf.DUMMYFUNCTION("""COMPUTED_VALUE"""),-0.622921374382831)</f>
        <v>-0.62292137438283102</v>
      </c>
      <c r="KC51" s="3">
        <f ca="1">IFERROR(__xludf.DUMMYFUNCTION("""COMPUTED_VALUE"""),-0.718224677370149)</f>
        <v>-0.71822467737014895</v>
      </c>
      <c r="KD51" s="3">
        <f ca="1">IFERROR(__xludf.DUMMYFUNCTION("""COMPUTED_VALUE"""),-0.669448321093141)</f>
        <v>-0.66944832109314101</v>
      </c>
      <c r="KE51" s="3">
        <f ca="1">IFERROR(__xludf.DUMMYFUNCTION("""COMPUTED_VALUE"""),-0.660380606676464)</f>
        <v>-0.66038060667646403</v>
      </c>
      <c r="KF51" s="3">
        <f ca="1">IFERROR(__xludf.DUMMYFUNCTION("""COMPUTED_VALUE"""),-0.71385681632619)</f>
        <v>-0.71385681632619002</v>
      </c>
      <c r="KG51" s="3">
        <f ca="1">IFERROR(__xludf.DUMMYFUNCTION("""COMPUTED_VALUE"""),-0.675754413759298)</f>
        <v>-0.67575441375929801</v>
      </c>
      <c r="KH51" s="3">
        <f ca="1">IFERROR(__xludf.DUMMYFUNCTION("""COMPUTED_VALUE"""),-0.69450172237883)</f>
        <v>-0.69450172237883001</v>
      </c>
      <c r="KI51" s="3">
        <f ca="1">IFERROR(__xludf.DUMMYFUNCTION("""COMPUTED_VALUE"""),-0.680607230246266)</f>
        <v>-0.68060723024626602</v>
      </c>
      <c r="KJ51" s="3">
        <f ca="1">IFERROR(__xludf.DUMMYFUNCTION("""COMPUTED_VALUE"""),-0.635974787880888)</f>
        <v>-0.63597478788088802</v>
      </c>
      <c r="KK51" s="3">
        <f ca="1">IFERROR(__xludf.DUMMYFUNCTION("""COMPUTED_VALUE"""),-0.703310744613749)</f>
        <v>-0.70331074461374898</v>
      </c>
      <c r="KL51" s="3">
        <f ca="1">IFERROR(__xludf.DUMMYFUNCTION("""COMPUTED_VALUE"""),-0.708323390087803)</f>
        <v>-0.70832339008780298</v>
      </c>
      <c r="KM51" s="3">
        <f ca="1">IFERROR(__xludf.DUMMYFUNCTION("""COMPUTED_VALUE"""),-0.698482184390539)</f>
        <v>-0.698482184390539</v>
      </c>
      <c r="KN51" s="3">
        <f ca="1">IFERROR(__xludf.DUMMYFUNCTION("""COMPUTED_VALUE"""),-0.706447279070055)</f>
        <v>-0.706447279070055</v>
      </c>
      <c r="KO51" s="3">
        <f ca="1">IFERROR(__xludf.DUMMYFUNCTION("""COMPUTED_VALUE"""),-0.721307696203674)</f>
        <v>-0.72130769620367396</v>
      </c>
      <c r="KP51" s="3">
        <f ca="1">IFERROR(__xludf.DUMMYFUNCTION("""COMPUTED_VALUE"""),-0.673807197702484)</f>
        <v>-0.67380719770248398</v>
      </c>
      <c r="KQ51" s="3">
        <f ca="1">IFERROR(__xludf.DUMMYFUNCTION("""COMPUTED_VALUE"""),-0.644535337118978)</f>
        <v>-0.64453533711897804</v>
      </c>
      <c r="KR51" s="3">
        <f ca="1">IFERROR(__xludf.DUMMYFUNCTION("""COMPUTED_VALUE"""),-0.710692077749202)</f>
        <v>-0.71069207774920196</v>
      </c>
      <c r="KS51" s="3">
        <f ca="1">IFERROR(__xludf.DUMMYFUNCTION("""COMPUTED_VALUE"""),-0.70109355395686)</f>
        <v>-0.70109355395686002</v>
      </c>
      <c r="KT51" s="3">
        <f ca="1">IFERROR(__xludf.DUMMYFUNCTION("""COMPUTED_VALUE"""),-0.71207560313164)</f>
        <v>-0.71207560313163998</v>
      </c>
      <c r="KU51" s="3">
        <f ca="1">IFERROR(__xludf.DUMMYFUNCTION("""COMPUTED_VALUE"""),-0.722376680056037)</f>
        <v>-0.72237668005603695</v>
      </c>
      <c r="KV51" s="3">
        <f ca="1">IFERROR(__xludf.DUMMYFUNCTION("""COMPUTED_VALUE"""),-0.703200644605118)</f>
        <v>-0.703200644605118</v>
      </c>
      <c r="KW51" s="3">
        <f ca="1">IFERROR(__xludf.DUMMYFUNCTION("""COMPUTED_VALUE"""),-0.647955777295964)</f>
        <v>-0.64795577729596399</v>
      </c>
      <c r="KX51" s="3">
        <f ca="1">IFERROR(__xludf.DUMMYFUNCTION("""COMPUTED_VALUE"""),-0.678342603036318)</f>
        <v>-0.67834260303631799</v>
      </c>
      <c r="KY51" s="3">
        <f ca="1">IFERROR(__xludf.DUMMYFUNCTION("""COMPUTED_VALUE"""),-0.663718595229374)</f>
        <v>-0.66371859522937404</v>
      </c>
      <c r="KZ51" s="3">
        <f ca="1">IFERROR(__xludf.DUMMYFUNCTION("""COMPUTED_VALUE"""),-0.723040570471947)</f>
        <v>-0.72304057047194703</v>
      </c>
      <c r="LA51" s="3">
        <f ca="1">IFERROR(__xludf.DUMMYFUNCTION("""COMPUTED_VALUE"""),-0.671812248471468)</f>
        <v>-0.67181224847146803</v>
      </c>
      <c r="LB51" s="3">
        <f ca="1">IFERROR(__xludf.DUMMYFUNCTION("""COMPUTED_VALUE"""),-0.698188413964423)</f>
        <v>-0.69818841396442299</v>
      </c>
      <c r="LC51" s="3">
        <f ca="1">IFERROR(__xludf.DUMMYFUNCTION("""COMPUTED_VALUE"""),-0.694292160194003)</f>
        <v>-0.69429216019400297</v>
      </c>
      <c r="LD51" s="3">
        <f ca="1">IFERROR(__xludf.DUMMYFUNCTION("""COMPUTED_VALUE"""),-0.650919454846959)</f>
        <v>-0.65091945484695901</v>
      </c>
      <c r="LE51" s="3">
        <f ca="1">IFERROR(__xludf.DUMMYFUNCTION("""COMPUTED_VALUE"""),-0.670660365611175)</f>
        <v>-0.67066036561117504</v>
      </c>
      <c r="LF51" s="3">
        <f ca="1">IFERROR(__xludf.DUMMYFUNCTION("""COMPUTED_VALUE"""),-0.682232015562852)</f>
        <v>-0.68223201556285196</v>
      </c>
      <c r="LG51" s="3">
        <f ca="1">IFERROR(__xludf.DUMMYFUNCTION("""COMPUTED_VALUE"""),-0.764461301816486)</f>
        <v>-0.76446130181648597</v>
      </c>
      <c r="LH51" s="3">
        <f ca="1">IFERROR(__xludf.DUMMYFUNCTION("""COMPUTED_VALUE"""),-0.761743261397392)</f>
        <v>-0.76174326139739201</v>
      </c>
      <c r="LI51" s="3">
        <f ca="1">IFERROR(__xludf.DUMMYFUNCTION("""COMPUTED_VALUE"""),-0.71662668721939)</f>
        <v>-0.71662668721939005</v>
      </c>
      <c r="LJ51" s="3">
        <f ca="1">IFERROR(__xludf.DUMMYFUNCTION("""COMPUTED_VALUE"""),-0.719300108135401)</f>
        <v>-0.71930010813540102</v>
      </c>
      <c r="LK51" s="3">
        <f ca="1">IFERROR(__xludf.DUMMYFUNCTION("""COMPUTED_VALUE"""),-0.66973873409837)</f>
        <v>-0.66973873409837004</v>
      </c>
      <c r="LL51" s="3">
        <f ca="1">IFERROR(__xludf.DUMMYFUNCTION("""COMPUTED_VALUE"""),-0.699500202235124)</f>
        <v>-0.69950020223512399</v>
      </c>
      <c r="LM51" s="3">
        <f ca="1">IFERROR(__xludf.DUMMYFUNCTION("""COMPUTED_VALUE"""),-0.749007548871438)</f>
        <v>-0.74900754887143794</v>
      </c>
      <c r="LN51" s="3">
        <f ca="1">IFERROR(__xludf.DUMMYFUNCTION("""COMPUTED_VALUE"""),-0.747645978203691)</f>
        <v>-0.74764597820369105</v>
      </c>
      <c r="LO51" s="3">
        <f ca="1">IFERROR(__xludf.DUMMYFUNCTION("""COMPUTED_VALUE"""),-0.697166884569929)</f>
        <v>-0.69716688456992904</v>
      </c>
      <c r="LP51" s="3">
        <f ca="1">IFERROR(__xludf.DUMMYFUNCTION("""COMPUTED_VALUE"""),-0.751641585900583)</f>
        <v>-0.75164158590058305</v>
      </c>
      <c r="LQ51" s="3">
        <f ca="1">IFERROR(__xludf.DUMMYFUNCTION("""COMPUTED_VALUE"""),-0.735539302490307)</f>
        <v>-0.73553930249030697</v>
      </c>
      <c r="LR51" s="3">
        <f ca="1">IFERROR(__xludf.DUMMYFUNCTION("""COMPUTED_VALUE"""),-0.656107249659378)</f>
        <v>-0.65610724965937794</v>
      </c>
      <c r="LS51" s="3">
        <f ca="1">IFERROR(__xludf.DUMMYFUNCTION("""COMPUTED_VALUE"""),-0.649068156313932)</f>
        <v>-0.649068156313932</v>
      </c>
      <c r="LT51" s="3">
        <f ca="1">IFERROR(__xludf.DUMMYFUNCTION("""COMPUTED_VALUE"""),-0.712934778931219)</f>
        <v>-0.71293477893121904</v>
      </c>
      <c r="LU51" s="3">
        <f ca="1">IFERROR(__xludf.DUMMYFUNCTION("""COMPUTED_VALUE"""),-0.703414471530279)</f>
        <v>-0.70341447153027903</v>
      </c>
      <c r="LV51" s="3">
        <f ca="1">IFERROR(__xludf.DUMMYFUNCTION("""COMPUTED_VALUE"""),-0.76449103029079)</f>
        <v>-0.76449103029079002</v>
      </c>
      <c r="LW51" s="3">
        <f ca="1">IFERROR(__xludf.DUMMYFUNCTION("""COMPUTED_VALUE"""),-0.743766662146846)</f>
        <v>-0.74376666214684595</v>
      </c>
      <c r="LX51" s="3">
        <f ca="1">IFERROR(__xludf.DUMMYFUNCTION("""COMPUTED_VALUE"""),-0.714678336658881)</f>
        <v>-0.71467833665888103</v>
      </c>
      <c r="LY51" s="3">
        <f ca="1">IFERROR(__xludf.DUMMYFUNCTION("""COMPUTED_VALUE"""),-0.690694350836803)</f>
        <v>-0.69069435083680297</v>
      </c>
      <c r="LZ51" s="3">
        <f ca="1">IFERROR(__xludf.DUMMYFUNCTION("""COMPUTED_VALUE"""),-0.688762733498023)</f>
        <v>-0.68876273349802297</v>
      </c>
      <c r="MA51" s="3">
        <f ca="1">IFERROR(__xludf.DUMMYFUNCTION("""COMPUTED_VALUE"""),-0.768611928331422)</f>
        <v>-0.768611928331422</v>
      </c>
      <c r="MB51" s="3">
        <f ca="1">IFERROR(__xludf.DUMMYFUNCTION("""COMPUTED_VALUE"""),-0.730146542839576)</f>
        <v>-0.73014654283957603</v>
      </c>
      <c r="MC51" s="3">
        <f ca="1">IFERROR(__xludf.DUMMYFUNCTION("""COMPUTED_VALUE"""),-0.711188008958634)</f>
        <v>-0.71118800895863399</v>
      </c>
      <c r="MD51" s="3">
        <f ca="1">IFERROR(__xludf.DUMMYFUNCTION("""COMPUTED_VALUE"""),-0.718189120682858)</f>
        <v>-0.71818912068285801</v>
      </c>
      <c r="ME51" s="3">
        <f ca="1">IFERROR(__xludf.DUMMYFUNCTION("""COMPUTED_VALUE"""),-0.722612547599095)</f>
        <v>-0.72261254759909499</v>
      </c>
      <c r="MF51" s="3">
        <f ca="1">IFERROR(__xludf.DUMMYFUNCTION("""COMPUTED_VALUE"""),-0.755581785252354)</f>
        <v>-0.75558178525235398</v>
      </c>
      <c r="MG51" s="3">
        <f ca="1">IFERROR(__xludf.DUMMYFUNCTION("""COMPUTED_VALUE"""),-0.658084202584909)</f>
        <v>-0.65808420258490896</v>
      </c>
      <c r="MH51" s="3">
        <f ca="1">IFERROR(__xludf.DUMMYFUNCTION("""COMPUTED_VALUE"""),-0.752568389114905)</f>
        <v>-0.75256838911490498</v>
      </c>
      <c r="MI51" s="3">
        <f ca="1">IFERROR(__xludf.DUMMYFUNCTION("""COMPUTED_VALUE"""),-0.740962167107694)</f>
        <v>-0.74096216710769403</v>
      </c>
      <c r="MJ51" s="3">
        <f ca="1">IFERROR(__xludf.DUMMYFUNCTION("""COMPUTED_VALUE"""),-0.766802862441168)</f>
        <v>-0.76680286244116802</v>
      </c>
      <c r="MK51" s="3">
        <f ca="1">IFERROR(__xludf.DUMMYFUNCTION("""COMPUTED_VALUE"""),-0.767229387165375)</f>
        <v>-0.76722938716537503</v>
      </c>
      <c r="ML51" s="3">
        <f ca="1">IFERROR(__xludf.DUMMYFUNCTION("""COMPUTED_VALUE"""),-0.73390474769928)</f>
        <v>-0.73390474769928005</v>
      </c>
      <c r="MM51" s="3">
        <f ca="1">IFERROR(__xludf.DUMMYFUNCTION("""COMPUTED_VALUE"""),-0.735315694053425)</f>
        <v>-0.73531569405342501</v>
      </c>
      <c r="MN51" s="3">
        <f ca="1">IFERROR(__xludf.DUMMYFUNCTION("""COMPUTED_VALUE"""),-0.78271721665633)</f>
        <v>-0.78271721665632998</v>
      </c>
      <c r="MO51" s="3">
        <f ca="1">IFERROR(__xludf.DUMMYFUNCTION("""COMPUTED_VALUE"""),-0.722343761970643)</f>
        <v>-0.72234376197064298</v>
      </c>
      <c r="MP51" s="3">
        <f ca="1">IFERROR(__xludf.DUMMYFUNCTION("""COMPUTED_VALUE"""),-0.752654030954867)</f>
        <v>-0.75265403095486705</v>
      </c>
      <c r="MQ51" s="3">
        <f ca="1">IFERROR(__xludf.DUMMYFUNCTION("""COMPUTED_VALUE"""),-0.764227770054322)</f>
        <v>-0.76422777005432196</v>
      </c>
      <c r="MR51" s="3">
        <f ca="1">IFERROR(__xludf.DUMMYFUNCTION("""COMPUTED_VALUE"""),-0.764904318132178)</f>
        <v>-0.76490431813217796</v>
      </c>
      <c r="MS51" s="3">
        <f ca="1">IFERROR(__xludf.DUMMYFUNCTION("""COMPUTED_VALUE"""),-0.6943877303206)</f>
        <v>-0.69438773032059997</v>
      </c>
      <c r="MT51" s="3">
        <f ca="1">IFERROR(__xludf.DUMMYFUNCTION("""COMPUTED_VALUE"""),-0.744854683802017)</f>
        <v>-0.74485468380201703</v>
      </c>
      <c r="MU51" s="3">
        <f ca="1">IFERROR(__xludf.DUMMYFUNCTION("""COMPUTED_VALUE"""),-0.696247927768697)</f>
        <v>-0.69624792776869704</v>
      </c>
      <c r="MV51" s="3">
        <f ca="1">IFERROR(__xludf.DUMMYFUNCTION("""COMPUTED_VALUE"""),-0.728963122104716)</f>
        <v>-0.72896312210471603</v>
      </c>
      <c r="MW51" s="3">
        <f ca="1">IFERROR(__xludf.DUMMYFUNCTION("""COMPUTED_VALUE"""),-0.763321321187475)</f>
        <v>-0.76332132118747498</v>
      </c>
      <c r="MX51" s="3">
        <f ca="1">IFERROR(__xludf.DUMMYFUNCTION("""COMPUTED_VALUE"""),-0.760662064701866)</f>
        <v>-0.76066206470186604</v>
      </c>
      <c r="MY51" s="3">
        <f ca="1">IFERROR(__xludf.DUMMYFUNCTION("""COMPUTED_VALUE"""),-0.772330282787476)</f>
        <v>-0.77233028278747595</v>
      </c>
      <c r="MZ51" s="3">
        <f ca="1">IFERROR(__xludf.DUMMYFUNCTION("""COMPUTED_VALUE"""),-0.772319126582085)</f>
        <v>-0.77231912658208501</v>
      </c>
      <c r="NA51" s="3">
        <f ca="1">IFERROR(__xludf.DUMMYFUNCTION("""COMPUTED_VALUE"""),-0.761218249432522)</f>
        <v>-0.76121824943252203</v>
      </c>
      <c r="NB51" s="3">
        <f ca="1">IFERROR(__xludf.DUMMYFUNCTION("""COMPUTED_VALUE"""),-0.683454149024948)</f>
        <v>-0.68345414902494805</v>
      </c>
      <c r="NC51" s="3">
        <f ca="1">IFERROR(__xludf.DUMMYFUNCTION("""COMPUTED_VALUE"""),-0.71250000332855)</f>
        <v>-0.71250000332855001</v>
      </c>
      <c r="ND51" s="3">
        <f ca="1">IFERROR(__xludf.DUMMYFUNCTION("""COMPUTED_VALUE"""),-0.72097971684786)</f>
        <v>-0.72097971684786</v>
      </c>
      <c r="NE51" s="3">
        <f ca="1">IFERROR(__xludf.DUMMYFUNCTION("""COMPUTED_VALUE"""),-0.737093755575813)</f>
        <v>-0.73709375557581303</v>
      </c>
      <c r="NF51" s="3">
        <f ca="1">IFERROR(__xludf.DUMMYFUNCTION("""COMPUTED_VALUE"""),-0.730962923229708)</f>
        <v>-0.73096292322970802</v>
      </c>
      <c r="NG51" s="3">
        <f ca="1">IFERROR(__xludf.DUMMYFUNCTION("""COMPUTED_VALUE"""),-0.67334675508296)</f>
        <v>-0.67334675508296005</v>
      </c>
      <c r="NH51" s="3">
        <f ca="1">IFERROR(__xludf.DUMMYFUNCTION("""COMPUTED_VALUE"""),-0.61983862018947)</f>
        <v>-0.61983862018947</v>
      </c>
      <c r="NI51" s="3">
        <f ca="1">IFERROR(__xludf.DUMMYFUNCTION("""COMPUTED_VALUE"""),-0.673553081193835)</f>
        <v>-0.67355308119383495</v>
      </c>
      <c r="NJ51" s="3">
        <f ca="1">IFERROR(__xludf.DUMMYFUNCTION("""COMPUTED_VALUE"""),-0.658385787449955)</f>
        <v>-0.65838578744995502</v>
      </c>
      <c r="NK51" s="3">
        <f ca="1">IFERROR(__xludf.DUMMYFUNCTION("""COMPUTED_VALUE"""),-0.708373546344691)</f>
        <v>-0.70837354634469096</v>
      </c>
      <c r="NL51" s="3">
        <f ca="1">IFERROR(__xludf.DUMMYFUNCTION("""COMPUTED_VALUE"""),-0.699390831031614)</f>
        <v>-0.69939083103161404</v>
      </c>
      <c r="NM51" s="3">
        <f ca="1">IFERROR(__xludf.DUMMYFUNCTION("""COMPUTED_VALUE"""),-0.753284485845304)</f>
        <v>-0.75328448584530405</v>
      </c>
      <c r="NN51" s="3">
        <f ca="1">IFERROR(__xludf.DUMMYFUNCTION("""COMPUTED_VALUE"""),-0.627887178354399)</f>
        <v>-0.627887178354399</v>
      </c>
      <c r="NO51" s="3">
        <f ca="1">IFERROR(__xludf.DUMMYFUNCTION("""COMPUTED_VALUE"""),-0.532540997804002)</f>
        <v>-0.53254099780400199</v>
      </c>
      <c r="NP51" s="3">
        <f ca="1">IFERROR(__xludf.DUMMYFUNCTION("""COMPUTED_VALUE"""),-0.615125248633265)</f>
        <v>-0.61512524863326501</v>
      </c>
      <c r="NQ51" s="3">
        <f ca="1">IFERROR(__xludf.DUMMYFUNCTION("""COMPUTED_VALUE"""),-0.705601648054723)</f>
        <v>-0.70560164805472303</v>
      </c>
      <c r="NR51" s="3">
        <f ca="1">IFERROR(__xludf.DUMMYFUNCTION("""COMPUTED_VALUE"""),-0.68394214372677)</f>
        <v>-0.68394214372676998</v>
      </c>
      <c r="NS51" s="3">
        <f ca="1">IFERROR(__xludf.DUMMYFUNCTION("""COMPUTED_VALUE"""),-0.718031240934563)</f>
        <v>-0.71803124093456305</v>
      </c>
      <c r="NT51" s="3">
        <f ca="1">IFERROR(__xludf.DUMMYFUNCTION("""COMPUTED_VALUE"""),-0.767881725753999)</f>
        <v>-0.76788172575399904</v>
      </c>
      <c r="NU51" s="3">
        <f ca="1">IFERROR(__xludf.DUMMYFUNCTION("""COMPUTED_VALUE"""),-0.692460614043824)</f>
        <v>-0.69246061404382397</v>
      </c>
      <c r="NV51" s="3">
        <f ca="1">IFERROR(__xludf.DUMMYFUNCTION("""COMPUTED_VALUE"""),-0.516990708928658)</f>
        <v>-0.51699070892865795</v>
      </c>
      <c r="NW51" s="3">
        <f ca="1">IFERROR(__xludf.DUMMYFUNCTION("""COMPUTED_VALUE"""),-0.494358213689213)</f>
        <v>-0.49435821368921301</v>
      </c>
      <c r="NX51" s="3">
        <f ca="1">IFERROR(__xludf.DUMMYFUNCTION("""COMPUTED_VALUE"""),-0.62601526342186)</f>
        <v>-0.62601526342185998</v>
      </c>
      <c r="NY51" s="3">
        <f ca="1">IFERROR(__xludf.DUMMYFUNCTION("""COMPUTED_VALUE"""),-0.577531928143902)</f>
        <v>-0.57753192814390197</v>
      </c>
      <c r="NZ51" s="3">
        <f ca="1">IFERROR(__xludf.DUMMYFUNCTION("""COMPUTED_VALUE"""),-0.602914407963266)</f>
        <v>-0.60291440796326601</v>
      </c>
      <c r="OA51" s="3">
        <f ca="1">IFERROR(__xludf.DUMMYFUNCTION("""COMPUTED_VALUE"""),-0.510152517627132)</f>
        <v>-0.51015251762713199</v>
      </c>
      <c r="OB51" s="3">
        <f ca="1">IFERROR(__xludf.DUMMYFUNCTION("""COMPUTED_VALUE"""),-0.360298874128522)</f>
        <v>-0.36029887412852202</v>
      </c>
      <c r="OC51" s="3">
        <f ca="1">IFERROR(__xludf.DUMMYFUNCTION("""COMPUTED_VALUE"""),-0.266578037196517)</f>
        <v>-0.26657803719651701</v>
      </c>
      <c r="OD51" s="3">
        <f ca="1">IFERROR(__xludf.DUMMYFUNCTION("""COMPUTED_VALUE"""),-0.183503200600011)</f>
        <v>-0.18350320060001099</v>
      </c>
      <c r="OE51" s="3">
        <f ca="1">IFERROR(__xludf.DUMMYFUNCTION("""COMPUTED_VALUE"""),-0.365451590223698)</f>
        <v>-0.365451590223698</v>
      </c>
      <c r="OF51" s="3">
        <f ca="1">IFERROR(__xludf.DUMMYFUNCTION("""COMPUTED_VALUE"""),-0.261602189083536)</f>
        <v>-0.261602189083536</v>
      </c>
      <c r="OG51" s="3">
        <f ca="1">IFERROR(__xludf.DUMMYFUNCTION("""COMPUTED_VALUE"""),-0.0917938733728422)</f>
        <v>-9.17938733728422E-2</v>
      </c>
      <c r="OH51" s="3">
        <f ca="1">IFERROR(__xludf.DUMMYFUNCTION("""COMPUTED_VALUE"""),-0.117367824918239)</f>
        <v>-0.11736782491823899</v>
      </c>
      <c r="OI51" s="3">
        <f ca="1">IFERROR(__xludf.DUMMYFUNCTION("""COMPUTED_VALUE"""),0.0327478893031722)</f>
        <v>3.2747889303172198E-2</v>
      </c>
      <c r="OJ51" s="3">
        <f ca="1">IFERROR(__xludf.DUMMYFUNCTION("""COMPUTED_VALUE"""),0.0248463971156169)</f>
        <v>2.4846397115616901E-2</v>
      </c>
      <c r="OK51" s="3">
        <f ca="1">IFERROR(__xludf.DUMMYFUNCTION("""COMPUTED_VALUE"""),-0.072234742874221)</f>
        <v>-7.2234742874221006E-2</v>
      </c>
      <c r="OL51" s="3">
        <f ca="1">IFERROR(__xludf.DUMMYFUNCTION("""COMPUTED_VALUE"""),-0.229244707431925)</f>
        <v>-0.22924470743192499</v>
      </c>
      <c r="OM51" s="3">
        <f ca="1">IFERROR(__xludf.DUMMYFUNCTION("""COMPUTED_VALUE"""),-0.197774941558728)</f>
        <v>-0.19777494155872799</v>
      </c>
      <c r="ON51" s="3">
        <f ca="1">IFERROR(__xludf.DUMMYFUNCTION("""COMPUTED_VALUE"""),-0.169523188559841)</f>
        <v>-0.169523188559841</v>
      </c>
      <c r="OO51" s="3">
        <f ca="1">IFERROR(__xludf.DUMMYFUNCTION("""COMPUTED_VALUE"""),-0.279148631925998)</f>
        <v>-0.27914863192599798</v>
      </c>
      <c r="OP51" s="3">
        <f ca="1">IFERROR(__xludf.DUMMYFUNCTION("""COMPUTED_VALUE"""),-0.102111456872082)</f>
        <v>-0.10211145687208199</v>
      </c>
      <c r="OQ51" s="3">
        <f ca="1">IFERROR(__xludf.DUMMYFUNCTION("""COMPUTED_VALUE"""),-0.131527262967321)</f>
        <v>-0.13152726296732101</v>
      </c>
      <c r="OR51" s="3">
        <f ca="1">IFERROR(__xludf.DUMMYFUNCTION("""COMPUTED_VALUE"""),0.180664430337582)</f>
        <v>0.180664430337582</v>
      </c>
      <c r="OS51" s="3">
        <f ca="1">IFERROR(__xludf.DUMMYFUNCTION("""COMPUTED_VALUE"""),-0.0137989092388616)</f>
        <v>-1.37989092388616E-2</v>
      </c>
      <c r="OT51" s="3">
        <f ca="1">IFERROR(__xludf.DUMMYFUNCTION("""COMPUTED_VALUE"""),-0.0163641828077669)</f>
        <v>-1.63641828077669E-2</v>
      </c>
      <c r="OU51" s="3">
        <f ca="1">IFERROR(__xludf.DUMMYFUNCTION("""COMPUTED_VALUE"""),0.0679566022621693)</f>
        <v>6.7956602262169305E-2</v>
      </c>
      <c r="OV51" s="3">
        <f ca="1">IFERROR(__xludf.DUMMYFUNCTION("""COMPUTED_VALUE"""),-0.00131375030308922)</f>
        <v>-1.31375030308922E-3</v>
      </c>
      <c r="OW51" s="3">
        <f ca="1">IFERROR(__xludf.DUMMYFUNCTION("""COMPUTED_VALUE"""),-0.0285312697548409)</f>
        <v>-2.85312697548409E-2</v>
      </c>
      <c r="OX51" s="3">
        <f ca="1">IFERROR(__xludf.DUMMYFUNCTION("""COMPUTED_VALUE"""),0.0551560550750216)</f>
        <v>5.5156055075021602E-2</v>
      </c>
      <c r="OY51" s="3">
        <f ca="1">IFERROR(__xludf.DUMMYFUNCTION("""COMPUTED_VALUE"""),0.124011077446515)</f>
        <v>0.124011077446515</v>
      </c>
      <c r="OZ51" s="3">
        <f ca="1">IFERROR(__xludf.DUMMYFUNCTION("""COMPUTED_VALUE"""),0.0207683284951722)</f>
        <v>2.0768328495172201E-2</v>
      </c>
      <c r="PA51" s="3">
        <f ca="1">IFERROR(__xludf.DUMMYFUNCTION("""COMPUTED_VALUE"""),-0.0749885235651661)</f>
        <v>-7.4988523565166096E-2</v>
      </c>
      <c r="PB51" s="3">
        <f ca="1">IFERROR(__xludf.DUMMYFUNCTION("""COMPUTED_VALUE"""),-0.023291424998855)</f>
        <v>-2.3291424998855E-2</v>
      </c>
      <c r="PC51" s="3">
        <f ca="1">IFERROR(__xludf.DUMMYFUNCTION("""COMPUTED_VALUE"""),-0.0523286641937819)</f>
        <v>-5.2328664193781897E-2</v>
      </c>
      <c r="PD51" s="3">
        <f ca="1">IFERROR(__xludf.DUMMYFUNCTION("""COMPUTED_VALUE"""),-0.20453458141643)</f>
        <v>-0.20453458141642999</v>
      </c>
      <c r="PE51" s="3">
        <f ca="1">IFERROR(__xludf.DUMMYFUNCTION("""COMPUTED_VALUE"""),0.0669577800449463)</f>
        <v>6.6957780044946305E-2</v>
      </c>
      <c r="PF51" s="3">
        <f ca="1">IFERROR(__xludf.DUMMYFUNCTION("""COMPUTED_VALUE"""),0.207498863120389)</f>
        <v>0.20749886312038901</v>
      </c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</row>
    <row r="52" spans="1:594" ht="13">
      <c r="A52" s="1" t="str">
        <f ca="1">IFERROR(__xludf.DUMMYFUNCTION("""COMPUTED_VALUE"""),"New Jersey")</f>
        <v>New Jersey</v>
      </c>
      <c r="B52" s="3">
        <f ca="1">IFERROR(__xludf.DUMMYFUNCTION("""COMPUTED_VALUE"""),-0.381342139045746)</f>
        <v>-0.38134213904574599</v>
      </c>
      <c r="C52" s="3">
        <f ca="1">IFERROR(__xludf.DUMMYFUNCTION("""COMPUTED_VALUE"""),-0.43469366522901)</f>
        <v>-0.43469366522900998</v>
      </c>
      <c r="D52" s="3">
        <f ca="1">IFERROR(__xludf.DUMMYFUNCTION("""COMPUTED_VALUE"""),-0.469849789580784)</f>
        <v>-0.46984978958078399</v>
      </c>
      <c r="E52" s="3">
        <f ca="1">IFERROR(__xludf.DUMMYFUNCTION("""COMPUTED_VALUE"""),-0.482208783436866)</f>
        <v>-0.48220878343686602</v>
      </c>
      <c r="F52" s="3">
        <f ca="1">IFERROR(__xludf.DUMMYFUNCTION("""COMPUTED_VALUE"""),-0.468504635564367)</f>
        <v>-0.468504635564367</v>
      </c>
      <c r="G52" s="3">
        <f ca="1">IFERROR(__xludf.DUMMYFUNCTION("""COMPUTED_VALUE"""),-0.456964100266679)</f>
        <v>-0.456964100266679</v>
      </c>
      <c r="H52" s="3">
        <f ca="1">IFERROR(__xludf.DUMMYFUNCTION("""COMPUTED_VALUE"""),-0.428178042288706)</f>
        <v>-0.42817804228870598</v>
      </c>
      <c r="I52" s="3">
        <f ca="1">IFERROR(__xludf.DUMMYFUNCTION("""COMPUTED_VALUE"""),-0.43421649175248)</f>
        <v>-0.43421649175248</v>
      </c>
      <c r="J52" s="3">
        <f ca="1">IFERROR(__xludf.DUMMYFUNCTION("""COMPUTED_VALUE"""),-0.500843115407723)</f>
        <v>-0.50084311540772297</v>
      </c>
      <c r="K52" s="3">
        <f ca="1">IFERROR(__xludf.DUMMYFUNCTION("""COMPUTED_VALUE"""),-0.519675078119359)</f>
        <v>-0.51967507811935898</v>
      </c>
      <c r="L52" s="3">
        <f ca="1">IFERROR(__xludf.DUMMYFUNCTION("""COMPUTED_VALUE"""),-0.5448232180828)</f>
        <v>-0.54482321808279999</v>
      </c>
      <c r="M52" s="3">
        <f ca="1">IFERROR(__xludf.DUMMYFUNCTION("""COMPUTED_VALUE"""),-0.502807478931202)</f>
        <v>-0.50280747893120203</v>
      </c>
      <c r="N52" s="3">
        <f ca="1">IFERROR(__xludf.DUMMYFUNCTION("""COMPUTED_VALUE"""),-0.50888646526393)</f>
        <v>-0.50888646526393</v>
      </c>
      <c r="O52" s="3">
        <f ca="1">IFERROR(__xludf.DUMMYFUNCTION("""COMPUTED_VALUE"""),-0.480205165331838)</f>
        <v>-0.48020516533183799</v>
      </c>
      <c r="P52" s="3">
        <f ca="1">IFERROR(__xludf.DUMMYFUNCTION("""COMPUTED_VALUE"""),-0.399353629085606)</f>
        <v>-0.39935362908560601</v>
      </c>
      <c r="Q52" s="3">
        <f ca="1">IFERROR(__xludf.DUMMYFUNCTION("""COMPUTED_VALUE"""),-0.481585164606819)</f>
        <v>-0.48158516460681899</v>
      </c>
      <c r="R52" s="3">
        <f ca="1">IFERROR(__xludf.DUMMYFUNCTION("""COMPUTED_VALUE"""),-0.526593975280344)</f>
        <v>-0.52659397528034402</v>
      </c>
      <c r="S52" s="3">
        <f ca="1">IFERROR(__xludf.DUMMYFUNCTION("""COMPUTED_VALUE"""),-0.577066637851974)</f>
        <v>-0.57706663785197398</v>
      </c>
      <c r="T52" s="3">
        <f ca="1">IFERROR(__xludf.DUMMYFUNCTION("""COMPUTED_VALUE"""),-0.524704121530996)</f>
        <v>-0.52470412153099599</v>
      </c>
      <c r="U52" s="3">
        <f ca="1">IFERROR(__xludf.DUMMYFUNCTION("""COMPUTED_VALUE"""),-0.489698391655059)</f>
        <v>-0.48969839165505902</v>
      </c>
      <c r="V52" s="3">
        <f ca="1">IFERROR(__xludf.DUMMYFUNCTION("""COMPUTED_VALUE"""),-0.398521720940234)</f>
        <v>-0.39852172094023403</v>
      </c>
      <c r="W52" s="3">
        <f ca="1">IFERROR(__xludf.DUMMYFUNCTION("""COMPUTED_VALUE"""),-0.42055448471349)</f>
        <v>-0.42055448471349</v>
      </c>
      <c r="X52" s="3">
        <f ca="1">IFERROR(__xludf.DUMMYFUNCTION("""COMPUTED_VALUE"""),-0.514729029084822)</f>
        <v>-0.51472902908482199</v>
      </c>
      <c r="Y52" s="3">
        <f ca="1">IFERROR(__xludf.DUMMYFUNCTION("""COMPUTED_VALUE"""),-0.566800391785581)</f>
        <v>-0.56680039178558095</v>
      </c>
      <c r="Z52" s="3">
        <f ca="1">IFERROR(__xludf.DUMMYFUNCTION("""COMPUTED_VALUE"""),-0.542318527253523)</f>
        <v>-0.54231852725352303</v>
      </c>
      <c r="AA52" s="3">
        <f ca="1">IFERROR(__xludf.DUMMYFUNCTION("""COMPUTED_VALUE"""),-0.552967771463766)</f>
        <v>-0.55296777146376597</v>
      </c>
      <c r="AB52" s="3">
        <f ca="1">IFERROR(__xludf.DUMMYFUNCTION("""COMPUTED_VALUE"""),-0.524797063096231)</f>
        <v>-0.52479706309623098</v>
      </c>
      <c r="AC52" s="3">
        <f ca="1">IFERROR(__xludf.DUMMYFUNCTION("""COMPUTED_VALUE"""),-0.437226886467295)</f>
        <v>-0.43722688646729502</v>
      </c>
      <c r="AD52" s="3">
        <f ca="1">IFERROR(__xludf.DUMMYFUNCTION("""COMPUTED_VALUE"""),-0.447849960588823)</f>
        <v>-0.44784996058882298</v>
      </c>
      <c r="AE52" s="3">
        <f ca="1">IFERROR(__xludf.DUMMYFUNCTION("""COMPUTED_VALUE"""),-0.503494383285032)</f>
        <v>-0.50349438328503204</v>
      </c>
      <c r="AF52" s="3">
        <f ca="1">IFERROR(__xludf.DUMMYFUNCTION("""COMPUTED_VALUE"""),-0.508850477303567)</f>
        <v>-0.50885047730356703</v>
      </c>
      <c r="AG52" s="3">
        <f ca="1">IFERROR(__xludf.DUMMYFUNCTION("""COMPUTED_VALUE"""),-0.536932182953887)</f>
        <v>-0.53693218295388701</v>
      </c>
      <c r="AH52" s="3">
        <f ca="1">IFERROR(__xludf.DUMMYFUNCTION("""COMPUTED_VALUE"""),-0.531068453890108)</f>
        <v>-0.53106845389010804</v>
      </c>
      <c r="AI52" s="3">
        <f ca="1">IFERROR(__xludf.DUMMYFUNCTION("""COMPUTED_VALUE"""),-0.519206900887082)</f>
        <v>-0.51920690088708199</v>
      </c>
      <c r="AJ52" s="3">
        <f ca="1">IFERROR(__xludf.DUMMYFUNCTION("""COMPUTED_VALUE"""),-0.4371478967609)</f>
        <v>-0.43714789676089999</v>
      </c>
      <c r="AK52" s="3">
        <f ca="1">IFERROR(__xludf.DUMMYFUNCTION("""COMPUTED_VALUE"""),-0.488749240466697)</f>
        <v>-0.48874924046669699</v>
      </c>
      <c r="AL52" s="3">
        <f ca="1">IFERROR(__xludf.DUMMYFUNCTION("""COMPUTED_VALUE"""),-0.541982511612212)</f>
        <v>-0.541982511612212</v>
      </c>
      <c r="AM52" s="3">
        <f ca="1">IFERROR(__xludf.DUMMYFUNCTION("""COMPUTED_VALUE"""),-0.54584806782652)</f>
        <v>-0.54584806782651996</v>
      </c>
      <c r="AN52" s="3">
        <f ca="1">IFERROR(__xludf.DUMMYFUNCTION("""COMPUTED_VALUE"""),-0.531681642493493)</f>
        <v>-0.53168164249349303</v>
      </c>
      <c r="AO52" s="3">
        <f ca="1">IFERROR(__xludf.DUMMYFUNCTION("""COMPUTED_VALUE"""),-0.558638715358203)</f>
        <v>-0.55863871535820298</v>
      </c>
      <c r="AP52" s="3">
        <f ca="1">IFERROR(__xludf.DUMMYFUNCTION("""COMPUTED_VALUE"""),-0.516885646874502)</f>
        <v>-0.516885646874502</v>
      </c>
      <c r="AQ52" s="3">
        <f ca="1">IFERROR(__xludf.DUMMYFUNCTION("""COMPUTED_VALUE"""),-0.437090417689462)</f>
        <v>-0.437090417689462</v>
      </c>
      <c r="AR52" s="3">
        <f ca="1">IFERROR(__xludf.DUMMYFUNCTION("""COMPUTED_VALUE"""),-0.487091486543971)</f>
        <v>-0.487091486543971</v>
      </c>
      <c r="AS52" s="3">
        <f ca="1">IFERROR(__xludf.DUMMYFUNCTION("""COMPUTED_VALUE"""),-0.52645739177728)</f>
        <v>-0.52645739177728001</v>
      </c>
      <c r="AT52" s="3">
        <f ca="1">IFERROR(__xludf.DUMMYFUNCTION("""COMPUTED_VALUE"""),-0.533420996928659)</f>
        <v>-0.53342099692865896</v>
      </c>
      <c r="AU52" s="3">
        <f ca="1">IFERROR(__xludf.DUMMYFUNCTION("""COMPUTED_VALUE"""),-0.514052434839442)</f>
        <v>-0.51405243483944196</v>
      </c>
      <c r="AV52" s="3">
        <f ca="1">IFERROR(__xludf.DUMMYFUNCTION("""COMPUTED_VALUE"""),-0.553108810353354)</f>
        <v>-0.55310881035335402</v>
      </c>
      <c r="AW52" s="3">
        <f ca="1">IFERROR(__xludf.DUMMYFUNCTION("""COMPUTED_VALUE"""),-0.521446729440223)</f>
        <v>-0.52144672944022297</v>
      </c>
      <c r="AX52" s="3">
        <f ca="1">IFERROR(__xludf.DUMMYFUNCTION("""COMPUTED_VALUE"""),-0.426223067194757)</f>
        <v>-0.426223067194757</v>
      </c>
      <c r="AY52" s="3">
        <f ca="1">IFERROR(__xludf.DUMMYFUNCTION("""COMPUTED_VALUE"""),-0.459061553963723)</f>
        <v>-0.459061553963723</v>
      </c>
      <c r="AZ52" s="3">
        <f ca="1">IFERROR(__xludf.DUMMYFUNCTION("""COMPUTED_VALUE"""),-0.548742821237405)</f>
        <v>-0.54874282123740503</v>
      </c>
      <c r="BA52" s="3">
        <f ca="1">IFERROR(__xludf.DUMMYFUNCTION("""COMPUTED_VALUE"""),-0.583716970390454)</f>
        <v>-0.583716970390454</v>
      </c>
      <c r="BB52" s="3">
        <f ca="1">IFERROR(__xludf.DUMMYFUNCTION("""COMPUTED_VALUE"""),-0.517237488888915)</f>
        <v>-0.51723748888891496</v>
      </c>
      <c r="BC52" s="3">
        <f ca="1">IFERROR(__xludf.DUMMYFUNCTION("""COMPUTED_VALUE"""),-0.495136739163932)</f>
        <v>-0.49513673916393203</v>
      </c>
      <c r="BD52" s="3">
        <f ca="1">IFERROR(__xludf.DUMMYFUNCTION("""COMPUTED_VALUE"""),-0.495919061581967)</f>
        <v>-0.49591906158196702</v>
      </c>
      <c r="BE52" s="3">
        <f ca="1">IFERROR(__xludf.DUMMYFUNCTION("""COMPUTED_VALUE"""),-0.428862380648593)</f>
        <v>-0.428862380648593</v>
      </c>
      <c r="BF52" s="3">
        <f ca="1">IFERROR(__xludf.DUMMYFUNCTION("""COMPUTED_VALUE"""),-0.475227557693105)</f>
        <v>-0.47522755769310498</v>
      </c>
      <c r="BG52" s="3">
        <f ca="1">IFERROR(__xludf.DUMMYFUNCTION("""COMPUTED_VALUE"""),-0.542403853811714)</f>
        <v>-0.54240385381171397</v>
      </c>
      <c r="BH52" s="3">
        <f ca="1">IFERROR(__xludf.DUMMYFUNCTION("""COMPUTED_VALUE"""),-0.559514320203255)</f>
        <v>-0.55951432020325498</v>
      </c>
      <c r="BI52" s="3">
        <f ca="1">IFERROR(__xludf.DUMMYFUNCTION("""COMPUTED_VALUE"""),-0.561507468000244)</f>
        <v>-0.56150746800024398</v>
      </c>
      <c r="BJ52" s="3">
        <f ca="1">IFERROR(__xludf.DUMMYFUNCTION("""COMPUTED_VALUE"""),-0.564648126374958)</f>
        <v>-0.56464812637495798</v>
      </c>
      <c r="BK52" s="3">
        <f ca="1">IFERROR(__xludf.DUMMYFUNCTION("""COMPUTED_VALUE"""),-0.51771694460458)</f>
        <v>-0.51771694460457995</v>
      </c>
      <c r="BL52" s="3">
        <f ca="1">IFERROR(__xludf.DUMMYFUNCTION("""COMPUTED_VALUE"""),-0.496121660281481)</f>
        <v>-0.49612166028148103</v>
      </c>
      <c r="BM52" s="3">
        <f ca="1">IFERROR(__xludf.DUMMYFUNCTION("""COMPUTED_VALUE"""),-0.423503042690213)</f>
        <v>-0.42350304269021299</v>
      </c>
      <c r="BN52" s="3">
        <f ca="1">IFERROR(__xludf.DUMMYFUNCTION("""COMPUTED_VALUE"""),-0.522556366443786)</f>
        <v>-0.522556366443786</v>
      </c>
      <c r="BO52" s="3">
        <f ca="1">IFERROR(__xludf.DUMMYFUNCTION("""COMPUTED_VALUE"""),-0.498947292597022)</f>
        <v>-0.49894729259702197</v>
      </c>
      <c r="BP52" s="3">
        <f ca="1">IFERROR(__xludf.DUMMYFUNCTION("""COMPUTED_VALUE"""),-0.463816403765899)</f>
        <v>-0.463816403765899</v>
      </c>
      <c r="BQ52" s="3">
        <f ca="1">IFERROR(__xludf.DUMMYFUNCTION("""COMPUTED_VALUE"""),-0.568896225604787)</f>
        <v>-0.56889622560478703</v>
      </c>
      <c r="BR52" s="3">
        <f ca="1">IFERROR(__xludf.DUMMYFUNCTION("""COMPUTED_VALUE"""),-0.77906623786452)</f>
        <v>-0.77906623786452001</v>
      </c>
      <c r="BS52" s="3">
        <f ca="1">IFERROR(__xludf.DUMMYFUNCTION("""COMPUTED_VALUE"""),-0.510277457994986)</f>
        <v>-0.51027745799498603</v>
      </c>
      <c r="BT52" s="3">
        <f ca="1">IFERROR(__xludf.DUMMYFUNCTION("""COMPUTED_VALUE"""),-0.523718019082427)</f>
        <v>-0.52371801908242699</v>
      </c>
      <c r="BU52" s="3">
        <f ca="1">IFERROR(__xludf.DUMMYFUNCTION("""COMPUTED_VALUE"""),-0.629205735836226)</f>
        <v>-0.62920573583622597</v>
      </c>
      <c r="BV52" s="3">
        <f ca="1">IFERROR(__xludf.DUMMYFUNCTION("""COMPUTED_VALUE"""),-0.604351014949609)</f>
        <v>-0.60435101494960897</v>
      </c>
      <c r="BW52" s="3">
        <f ca="1">IFERROR(__xludf.DUMMYFUNCTION("""COMPUTED_VALUE"""),-0.595574906269402)</f>
        <v>-0.59557490626940202</v>
      </c>
      <c r="BX52" s="3">
        <f ca="1">IFERROR(__xludf.DUMMYFUNCTION("""COMPUTED_VALUE"""),-0.625358689362685)</f>
        <v>-0.62535868936268502</v>
      </c>
      <c r="BY52" s="3">
        <f ca="1">IFERROR(__xludf.DUMMYFUNCTION("""COMPUTED_VALUE"""),-0.558694010455057)</f>
        <v>-0.55869401045505696</v>
      </c>
      <c r="BZ52" s="3">
        <f ca="1">IFERROR(__xludf.DUMMYFUNCTION("""COMPUTED_VALUE"""),-0.526123263513359)</f>
        <v>-0.52612326351335903</v>
      </c>
      <c r="CA52" s="3">
        <f ca="1">IFERROR(__xludf.DUMMYFUNCTION("""COMPUTED_VALUE"""),-0.487179676473218)</f>
        <v>-0.48717967647321803</v>
      </c>
      <c r="CB52" s="3">
        <f ca="1">IFERROR(__xludf.DUMMYFUNCTION("""COMPUTED_VALUE"""),-0.573028786584544)</f>
        <v>-0.57302878658454404</v>
      </c>
      <c r="CC52" s="3">
        <f ca="1">IFERROR(__xludf.DUMMYFUNCTION("""COMPUTED_VALUE"""),-0.584524281515225)</f>
        <v>-0.58452428151522495</v>
      </c>
      <c r="CD52" s="3">
        <f ca="1">IFERROR(__xludf.DUMMYFUNCTION("""COMPUTED_VALUE"""),-0.59570132324323)</f>
        <v>-0.59570132324323</v>
      </c>
      <c r="CE52" s="3">
        <f ca="1">IFERROR(__xludf.DUMMYFUNCTION("""COMPUTED_VALUE"""),-0.575260064924474)</f>
        <v>-0.57526006492447401</v>
      </c>
      <c r="CF52" s="3">
        <f ca="1">IFERROR(__xludf.DUMMYFUNCTION("""COMPUTED_VALUE"""),-0.52212425450117)</f>
        <v>-0.52212425450116995</v>
      </c>
      <c r="CG52" s="3">
        <f ca="1">IFERROR(__xludf.DUMMYFUNCTION("""COMPUTED_VALUE"""),-0.50224995040577)</f>
        <v>-0.50224995040577003</v>
      </c>
      <c r="CH52" s="3">
        <f ca="1">IFERROR(__xludf.DUMMYFUNCTION("""COMPUTED_VALUE"""),-0.483063916317218)</f>
        <v>-0.48306391631721801</v>
      </c>
      <c r="CI52" s="3">
        <f ca="1">IFERROR(__xludf.DUMMYFUNCTION("""COMPUTED_VALUE"""),-0.569335746122776)</f>
        <v>-0.56933574612277604</v>
      </c>
      <c r="CJ52" s="3">
        <f ca="1">IFERROR(__xludf.DUMMYFUNCTION("""COMPUTED_VALUE"""),-0.570008877430128)</f>
        <v>-0.57000887743012796</v>
      </c>
      <c r="CK52" s="3">
        <f ca="1">IFERROR(__xludf.DUMMYFUNCTION("""COMPUTED_VALUE"""),-0.570899842364175)</f>
        <v>-0.57089984236417501</v>
      </c>
      <c r="CL52" s="3">
        <f ca="1">IFERROR(__xludf.DUMMYFUNCTION("""COMPUTED_VALUE"""),-0.562025716939701)</f>
        <v>-0.56202571693970105</v>
      </c>
      <c r="CM52" s="3">
        <f ca="1">IFERROR(__xludf.DUMMYFUNCTION("""COMPUTED_VALUE"""),-0.549722573824572)</f>
        <v>-0.54972257382457201</v>
      </c>
      <c r="CN52" s="3">
        <f ca="1">IFERROR(__xludf.DUMMYFUNCTION("""COMPUTED_VALUE"""),-0.506889575463635)</f>
        <v>-0.506889575463635</v>
      </c>
      <c r="CO52" s="3">
        <f ca="1">IFERROR(__xludf.DUMMYFUNCTION("""COMPUTED_VALUE"""),-0.486508703347959)</f>
        <v>-0.48650870334795898</v>
      </c>
      <c r="CP52" s="3">
        <f ca="1">IFERROR(__xludf.DUMMYFUNCTION("""COMPUTED_VALUE"""),-0.569813982068246)</f>
        <v>-0.56981398206824596</v>
      </c>
      <c r="CQ52" s="3">
        <f ca="1">IFERROR(__xludf.DUMMYFUNCTION("""COMPUTED_VALUE"""),-0.565398500398191)</f>
        <v>-0.56539850039819095</v>
      </c>
      <c r="CR52" s="3">
        <f ca="1">IFERROR(__xludf.DUMMYFUNCTION("""COMPUTED_VALUE"""),-0.522119833971565)</f>
        <v>-0.52211983397156503</v>
      </c>
      <c r="CS52" s="3">
        <f ca="1">IFERROR(__xludf.DUMMYFUNCTION("""COMPUTED_VALUE"""),-0.554083169657135)</f>
        <v>-0.554083169657135</v>
      </c>
      <c r="CT52" s="3">
        <f ca="1">IFERROR(__xludf.DUMMYFUNCTION("""COMPUTED_VALUE"""),-0.539327189394201)</f>
        <v>-0.53932718939420099</v>
      </c>
      <c r="CU52" s="3">
        <f ca="1">IFERROR(__xludf.DUMMYFUNCTION("""COMPUTED_VALUE"""),-0.554891159234359)</f>
        <v>-0.55489115923435905</v>
      </c>
      <c r="CV52" s="3">
        <f ca="1">IFERROR(__xludf.DUMMYFUNCTION("""COMPUTED_VALUE"""),-0.542834974343913)</f>
        <v>-0.54283497434391303</v>
      </c>
      <c r="CW52" s="3">
        <f ca="1">IFERROR(__xludf.DUMMYFUNCTION("""COMPUTED_VALUE"""),-0.682502159003294)</f>
        <v>-0.68250215900329403</v>
      </c>
      <c r="CX52" s="3">
        <f ca="1">IFERROR(__xludf.DUMMYFUNCTION("""COMPUTED_VALUE"""),-0.512597479351018)</f>
        <v>-0.51259747935101796</v>
      </c>
      <c r="CY52" s="3">
        <f ca="1">IFERROR(__xludf.DUMMYFUNCTION("""COMPUTED_VALUE"""),-0.378189504014089)</f>
        <v>-0.37818950401408902</v>
      </c>
      <c r="CZ52" s="3">
        <f ca="1">IFERROR(__xludf.DUMMYFUNCTION("""COMPUTED_VALUE"""),-0.533617082938858)</f>
        <v>-0.53361708293885801</v>
      </c>
      <c r="DA52" s="3">
        <f ca="1">IFERROR(__xludf.DUMMYFUNCTION("""COMPUTED_VALUE"""),-0.534409764903492)</f>
        <v>-0.53440976490349201</v>
      </c>
      <c r="DB52" s="3">
        <f ca="1">IFERROR(__xludf.DUMMYFUNCTION("""COMPUTED_VALUE"""),-0.531501180634165)</f>
        <v>-0.53150118063416496</v>
      </c>
      <c r="DC52" s="3">
        <f ca="1">IFERROR(__xludf.DUMMYFUNCTION("""COMPUTED_VALUE"""),-0.569846247093116)</f>
        <v>-0.56984624709311604</v>
      </c>
      <c r="DD52" s="3">
        <f ca="1">IFERROR(__xludf.DUMMYFUNCTION("""COMPUTED_VALUE"""),-0.765860713470669)</f>
        <v>-0.76586071347066897</v>
      </c>
      <c r="DE52" s="3">
        <f ca="1">IFERROR(__xludf.DUMMYFUNCTION("""COMPUTED_VALUE"""),-0.503457664867265)</f>
        <v>-0.50345766486726495</v>
      </c>
      <c r="DF52" s="3">
        <f ca="1">IFERROR(__xludf.DUMMYFUNCTION("""COMPUTED_VALUE"""),-0.344908837709457)</f>
        <v>-0.34490883770945702</v>
      </c>
      <c r="DG52" s="3">
        <f ca="1">IFERROR(__xludf.DUMMYFUNCTION("""COMPUTED_VALUE"""),-0.510620751847413)</f>
        <v>-0.51062075184741296</v>
      </c>
      <c r="DH52" s="3">
        <f ca="1">IFERROR(__xludf.DUMMYFUNCTION("""COMPUTED_VALUE"""),-0.513517131284272)</f>
        <v>-0.51351713128427201</v>
      </c>
      <c r="DI52" s="3">
        <f ca="1">IFERROR(__xludf.DUMMYFUNCTION("""COMPUTED_VALUE"""),-0.502085824941175)</f>
        <v>-0.50208582494117504</v>
      </c>
      <c r="DJ52" s="3">
        <f ca="1">IFERROR(__xludf.DUMMYFUNCTION("""COMPUTED_VALUE"""),-0.49887350356322)</f>
        <v>-0.49887350356322002</v>
      </c>
      <c r="DK52" s="3">
        <f ca="1">IFERROR(__xludf.DUMMYFUNCTION("""COMPUTED_VALUE"""),-0.54839138981207)</f>
        <v>-0.54839138981207003</v>
      </c>
      <c r="DL52" s="3">
        <f ca="1">IFERROR(__xludf.DUMMYFUNCTION("""COMPUTED_VALUE"""),-0.610451072978671)</f>
        <v>-0.61045107297867096</v>
      </c>
      <c r="DM52" s="3">
        <f ca="1">IFERROR(__xludf.DUMMYFUNCTION("""COMPUTED_VALUE"""),-0.49915979272866)</f>
        <v>-0.49915979272866001</v>
      </c>
      <c r="DN52" s="3">
        <f ca="1">IFERROR(__xludf.DUMMYFUNCTION("""COMPUTED_VALUE"""),-0.574833799395704)</f>
        <v>-0.574833799395704</v>
      </c>
      <c r="DO52" s="3">
        <f ca="1">IFERROR(__xludf.DUMMYFUNCTION("""COMPUTED_VALUE"""),-0.609019851460972)</f>
        <v>-0.60901985146097204</v>
      </c>
      <c r="DP52" s="3">
        <f ca="1">IFERROR(__xludf.DUMMYFUNCTION("""COMPUTED_VALUE"""),-0.511872024484322)</f>
        <v>-0.51187202448432201</v>
      </c>
      <c r="DQ52" s="3">
        <f ca="1">IFERROR(__xludf.DUMMYFUNCTION("""COMPUTED_VALUE"""),-0.53064601535907)</f>
        <v>-0.53064601535906997</v>
      </c>
      <c r="DR52" s="3">
        <f ca="1">IFERROR(__xludf.DUMMYFUNCTION("""COMPUTED_VALUE"""),-0.601496104249174)</f>
        <v>-0.60149610424917399</v>
      </c>
      <c r="DS52" s="3">
        <f ca="1">IFERROR(__xludf.DUMMYFUNCTION("""COMPUTED_VALUE"""),-0.618343742733652)</f>
        <v>-0.618343742733652</v>
      </c>
      <c r="DT52" s="3">
        <f ca="1">IFERROR(__xludf.DUMMYFUNCTION("""COMPUTED_VALUE"""),-0.628952729061131)</f>
        <v>-0.62895272906113098</v>
      </c>
      <c r="DU52" s="3">
        <f ca="1">IFERROR(__xludf.DUMMYFUNCTION("""COMPUTED_VALUE"""),-0.615391856787038)</f>
        <v>-0.61539185678703801</v>
      </c>
      <c r="DV52" s="3">
        <f ca="1">IFERROR(__xludf.DUMMYFUNCTION("""COMPUTED_VALUE"""),-0.575755502077898)</f>
        <v>-0.57575550207789805</v>
      </c>
      <c r="DW52" s="3">
        <f ca="1">IFERROR(__xludf.DUMMYFUNCTION("""COMPUTED_VALUE"""),-0.498641708258533)</f>
        <v>-0.49864170825853299</v>
      </c>
      <c r="DX52" s="3">
        <f ca="1">IFERROR(__xludf.DUMMYFUNCTION("""COMPUTED_VALUE"""),-0.565975421968264)</f>
        <v>-0.565975421968264</v>
      </c>
      <c r="DY52" s="3">
        <f ca="1">IFERROR(__xludf.DUMMYFUNCTION("""COMPUTED_VALUE"""),-0.586013039160695)</f>
        <v>-0.58601303916069503</v>
      </c>
      <c r="DZ52" s="3">
        <f ca="1">IFERROR(__xludf.DUMMYFUNCTION("""COMPUTED_VALUE"""),-0.556917341738441)</f>
        <v>-0.55691734173844099</v>
      </c>
      <c r="EA52" s="3">
        <f ca="1">IFERROR(__xludf.DUMMYFUNCTION("""COMPUTED_VALUE"""),-0.616541363422293)</f>
        <v>-0.61654136342229304</v>
      </c>
      <c r="EB52" s="3">
        <f ca="1">IFERROR(__xludf.DUMMYFUNCTION("""COMPUTED_VALUE"""),-0.608041979522084)</f>
        <v>-0.60804197952208405</v>
      </c>
      <c r="EC52" s="3">
        <f ca="1">IFERROR(__xludf.DUMMYFUNCTION("""COMPUTED_VALUE"""),-0.613368787591746)</f>
        <v>-0.61336878759174596</v>
      </c>
      <c r="ED52" s="3">
        <f ca="1">IFERROR(__xludf.DUMMYFUNCTION("""COMPUTED_VALUE"""),-0.479403206862694)</f>
        <v>-0.479403206862694</v>
      </c>
      <c r="EE52" s="3">
        <f ca="1">IFERROR(__xludf.DUMMYFUNCTION("""COMPUTED_VALUE"""),-0.534116262149406)</f>
        <v>-0.534116262149406</v>
      </c>
      <c r="EF52" s="3">
        <f ca="1">IFERROR(__xludf.DUMMYFUNCTION("""COMPUTED_VALUE"""),-0.567826234474502)</f>
        <v>-0.56782623447450198</v>
      </c>
      <c r="EG52" s="3">
        <f ca="1">IFERROR(__xludf.DUMMYFUNCTION("""COMPUTED_VALUE"""),-0.683260934178597)</f>
        <v>-0.68326093417859701</v>
      </c>
      <c r="EH52" s="3">
        <f ca="1">IFERROR(__xludf.DUMMYFUNCTION("""COMPUTED_VALUE"""),-0.58151448655216)</f>
        <v>-0.58151448655215998</v>
      </c>
      <c r="EI52" s="3">
        <f ca="1">IFERROR(__xludf.DUMMYFUNCTION("""COMPUTED_VALUE"""),-0.60167178380965)</f>
        <v>-0.60167178380965003</v>
      </c>
      <c r="EJ52" s="3">
        <f ca="1">IFERROR(__xludf.DUMMYFUNCTION("""COMPUTED_VALUE"""),-0.571440068275981)</f>
        <v>-0.57144006827598104</v>
      </c>
      <c r="EK52" s="3">
        <f ca="1">IFERROR(__xludf.DUMMYFUNCTION("""COMPUTED_VALUE"""),-0.469998114462249)</f>
        <v>-0.46999811446224898</v>
      </c>
      <c r="EL52" s="3">
        <f ca="1">IFERROR(__xludf.DUMMYFUNCTION("""COMPUTED_VALUE"""),-0.49787590862394)</f>
        <v>-0.49787590862393999</v>
      </c>
      <c r="EM52" s="3">
        <f ca="1">IFERROR(__xludf.DUMMYFUNCTION("""COMPUTED_VALUE"""),-0.557859534407773)</f>
        <v>-0.55785953440777303</v>
      </c>
      <c r="EN52" s="3">
        <f ca="1">IFERROR(__xludf.DUMMYFUNCTION("""COMPUTED_VALUE"""),-0.551831576306273)</f>
        <v>-0.551831576306273</v>
      </c>
      <c r="EO52" s="3">
        <f ca="1">IFERROR(__xludf.DUMMYFUNCTION("""COMPUTED_VALUE"""),-0.612998504350266)</f>
        <v>-0.61299850435026604</v>
      </c>
      <c r="EP52" s="3">
        <f ca="1">IFERROR(__xludf.DUMMYFUNCTION("""COMPUTED_VALUE"""),-0.605976856058134)</f>
        <v>-0.60597685605813401</v>
      </c>
      <c r="EQ52" s="3">
        <f ca="1">IFERROR(__xludf.DUMMYFUNCTION("""COMPUTED_VALUE"""),-0.567281265364005)</f>
        <v>-0.56728126536400503</v>
      </c>
      <c r="ER52" s="3">
        <f ca="1">IFERROR(__xludf.DUMMYFUNCTION("""COMPUTED_VALUE"""),-0.502540982009648)</f>
        <v>-0.50254098200964803</v>
      </c>
      <c r="ES52" s="3">
        <f ca="1">IFERROR(__xludf.DUMMYFUNCTION("""COMPUTED_VALUE"""),-0.495208647308872)</f>
        <v>-0.49520864730887199</v>
      </c>
      <c r="ET52" s="3">
        <f ca="1">IFERROR(__xludf.DUMMYFUNCTION("""COMPUTED_VALUE"""),-0.592541921226932)</f>
        <v>-0.59254192122693194</v>
      </c>
      <c r="EU52" s="3">
        <f ca="1">IFERROR(__xludf.DUMMYFUNCTION("""COMPUTED_VALUE"""),-0.612232678689062)</f>
        <v>-0.61223267868906195</v>
      </c>
      <c r="EV52" s="3">
        <f ca="1">IFERROR(__xludf.DUMMYFUNCTION("""COMPUTED_VALUE"""),-0.619761238359632)</f>
        <v>-0.61976123835963204</v>
      </c>
      <c r="EW52" s="3">
        <f ca="1">IFERROR(__xludf.DUMMYFUNCTION("""COMPUTED_VALUE"""),-0.561513411745277)</f>
        <v>-0.56151341174527702</v>
      </c>
      <c r="EX52" s="3">
        <f ca="1">IFERROR(__xludf.DUMMYFUNCTION("""COMPUTED_VALUE"""),-0.539524441870566)</f>
        <v>-0.53952444187056603</v>
      </c>
      <c r="EY52" s="3">
        <f ca="1">IFERROR(__xludf.DUMMYFUNCTION("""COMPUTED_VALUE"""),-0.471469354001663)</f>
        <v>-0.47146935400166301</v>
      </c>
      <c r="EZ52" s="3">
        <f ca="1">IFERROR(__xludf.DUMMYFUNCTION("""COMPUTED_VALUE"""),-0.488106221286065)</f>
        <v>-0.48810622128606501</v>
      </c>
      <c r="FA52" s="3">
        <f ca="1">IFERROR(__xludf.DUMMYFUNCTION("""COMPUTED_VALUE"""),-0.58115844147731)</f>
        <v>-0.58115844147730999</v>
      </c>
      <c r="FB52" s="3">
        <f ca="1">IFERROR(__xludf.DUMMYFUNCTION("""COMPUTED_VALUE"""),-0.580545555984601)</f>
        <v>-0.580545555984601</v>
      </c>
      <c r="FC52" s="3">
        <f ca="1">IFERROR(__xludf.DUMMYFUNCTION("""COMPUTED_VALUE"""),-0.603365117666377)</f>
        <v>-0.60336511766637702</v>
      </c>
      <c r="FD52" s="3">
        <f ca="1">IFERROR(__xludf.DUMMYFUNCTION("""COMPUTED_VALUE"""),-0.584174679557575)</f>
        <v>-0.58417467955757496</v>
      </c>
      <c r="FE52" s="3">
        <f ca="1">IFERROR(__xludf.DUMMYFUNCTION("""COMPUTED_VALUE"""),-0.565191870879923)</f>
        <v>-0.56519187087992295</v>
      </c>
      <c r="FF52" s="3">
        <f ca="1">IFERROR(__xludf.DUMMYFUNCTION("""COMPUTED_VALUE"""),-0.50219545174084)</f>
        <v>-0.50219545174084002</v>
      </c>
      <c r="FG52" s="3">
        <f ca="1">IFERROR(__xludf.DUMMYFUNCTION("""COMPUTED_VALUE"""),-0.505092880276149)</f>
        <v>-0.50509288027614896</v>
      </c>
      <c r="FH52" s="3">
        <f ca="1">IFERROR(__xludf.DUMMYFUNCTION("""COMPUTED_VALUE"""),-0.622273708919304)</f>
        <v>-0.622273708919304</v>
      </c>
      <c r="FI52" s="3">
        <f ca="1">IFERROR(__xludf.DUMMYFUNCTION("""COMPUTED_VALUE"""),-0.644566537955845)</f>
        <v>-0.64456653795584495</v>
      </c>
      <c r="FJ52" s="3">
        <f ca="1">IFERROR(__xludf.DUMMYFUNCTION("""COMPUTED_VALUE"""),-0.609511113295676)</f>
        <v>-0.60951111329567598</v>
      </c>
      <c r="FK52" s="3">
        <f ca="1">IFERROR(__xludf.DUMMYFUNCTION("""COMPUTED_VALUE"""),-0.580868636770181)</f>
        <v>-0.58086863677018097</v>
      </c>
      <c r="FL52" s="3">
        <f ca="1">IFERROR(__xludf.DUMMYFUNCTION("""COMPUTED_VALUE"""),-0.585753437822883)</f>
        <v>-0.58575343782288303</v>
      </c>
      <c r="FM52" s="3">
        <f ca="1">IFERROR(__xludf.DUMMYFUNCTION("""COMPUTED_VALUE"""),-0.476015785372373)</f>
        <v>-0.47601578537237299</v>
      </c>
      <c r="FN52" s="3">
        <f ca="1">IFERROR(__xludf.DUMMYFUNCTION("""COMPUTED_VALUE"""),-0.500340557480279)</f>
        <v>-0.50034055748027895</v>
      </c>
      <c r="FO52" s="3">
        <f ca="1">IFERROR(__xludf.DUMMYFUNCTION("""COMPUTED_VALUE"""),-0.589759424856214)</f>
        <v>-0.58975942485621402</v>
      </c>
      <c r="FP52" s="3">
        <f ca="1">IFERROR(__xludf.DUMMYFUNCTION("""COMPUTED_VALUE"""),-0.583901774783163)</f>
        <v>-0.58390177478316296</v>
      </c>
      <c r="FQ52" s="3">
        <f ca="1">IFERROR(__xludf.DUMMYFUNCTION("""COMPUTED_VALUE"""),-0.583138144797537)</f>
        <v>-0.58313814479753701</v>
      </c>
      <c r="FR52" s="3">
        <f ca="1">IFERROR(__xludf.DUMMYFUNCTION("""COMPUTED_VALUE"""),-0.58331090336822)</f>
        <v>-0.58331090336822</v>
      </c>
      <c r="FS52" s="3">
        <f ca="1">IFERROR(__xludf.DUMMYFUNCTION("""COMPUTED_VALUE"""),-0.547402603365654)</f>
        <v>-0.54740260336565405</v>
      </c>
      <c r="FT52" s="3">
        <f ca="1">IFERROR(__xludf.DUMMYFUNCTION("""COMPUTED_VALUE"""),-0.46093448571577)</f>
        <v>-0.46093448571577</v>
      </c>
      <c r="FU52" s="3">
        <f ca="1">IFERROR(__xludf.DUMMYFUNCTION("""COMPUTED_VALUE"""),-0.50173503829041)</f>
        <v>-0.50173503829041</v>
      </c>
      <c r="FV52" s="3">
        <f ca="1">IFERROR(__xludf.DUMMYFUNCTION("""COMPUTED_VALUE"""),-0.637418482817084)</f>
        <v>-0.63741848281708402</v>
      </c>
      <c r="FW52" s="3">
        <f ca="1">IFERROR(__xludf.DUMMYFUNCTION("""COMPUTED_VALUE"""),-0.582464979343203)</f>
        <v>-0.58246497934320296</v>
      </c>
      <c r="FX52" s="3">
        <f ca="1">IFERROR(__xludf.DUMMYFUNCTION("""COMPUTED_VALUE"""),-0.560394241781339)</f>
        <v>-0.56039424178133901</v>
      </c>
      <c r="FY52" s="3">
        <f ca="1">IFERROR(__xludf.DUMMYFUNCTION("""COMPUTED_VALUE"""),-0.594206233095462)</f>
        <v>-0.59420623309546206</v>
      </c>
      <c r="FZ52" s="3">
        <f ca="1">IFERROR(__xludf.DUMMYFUNCTION("""COMPUTED_VALUE"""),-0.593470735718613)</f>
        <v>-0.59347073571861297</v>
      </c>
      <c r="GA52" s="3">
        <f ca="1">IFERROR(__xludf.DUMMYFUNCTION("""COMPUTED_VALUE"""),-0.483517983321534)</f>
        <v>-0.48351798332153401</v>
      </c>
      <c r="GB52" s="3">
        <f ca="1">IFERROR(__xludf.DUMMYFUNCTION("""COMPUTED_VALUE"""),-0.499243435547537)</f>
        <v>-0.49924343554753697</v>
      </c>
      <c r="GC52" s="3">
        <f ca="1">IFERROR(__xludf.DUMMYFUNCTION("""COMPUTED_VALUE"""),-0.581608513214364)</f>
        <v>-0.58160851321436402</v>
      </c>
      <c r="GD52" s="3">
        <f ca="1">IFERROR(__xludf.DUMMYFUNCTION("""COMPUTED_VALUE"""),-0.585189534564877)</f>
        <v>-0.58518953456487699</v>
      </c>
      <c r="GE52" s="3">
        <f ca="1">IFERROR(__xludf.DUMMYFUNCTION("""COMPUTED_VALUE"""),-0.578897396762027)</f>
        <v>-0.57889739676202701</v>
      </c>
      <c r="GF52" s="3">
        <f ca="1">IFERROR(__xludf.DUMMYFUNCTION("""COMPUTED_VALUE"""),-0.578391699439241)</f>
        <v>-0.57839169943924096</v>
      </c>
      <c r="GG52" s="3">
        <f ca="1">IFERROR(__xludf.DUMMYFUNCTION("""COMPUTED_VALUE"""),-0.54736377788723)</f>
        <v>-0.54736377788723001</v>
      </c>
      <c r="GH52" s="3">
        <f ca="1">IFERROR(__xludf.DUMMYFUNCTION("""COMPUTED_VALUE"""),-0.491419022131318)</f>
        <v>-0.491419022131318</v>
      </c>
      <c r="GI52" s="3">
        <f ca="1">IFERROR(__xludf.DUMMYFUNCTION("""COMPUTED_VALUE"""),-0.492708501011135)</f>
        <v>-0.492708501011135</v>
      </c>
      <c r="GJ52" s="3">
        <f ca="1">IFERROR(__xludf.DUMMYFUNCTION("""COMPUTED_VALUE"""),-0.571458429569821)</f>
        <v>-0.57145842956982096</v>
      </c>
      <c r="GK52" s="3">
        <f ca="1">IFERROR(__xludf.DUMMYFUNCTION("""COMPUTED_VALUE"""),-0.580948338775456)</f>
        <v>-0.58094833877545604</v>
      </c>
      <c r="GL52" s="3">
        <f ca="1">IFERROR(__xludf.DUMMYFUNCTION("""COMPUTED_VALUE"""),-0.577920747207702)</f>
        <v>-0.57792074720770203</v>
      </c>
      <c r="GM52" s="3">
        <f ca="1">IFERROR(__xludf.DUMMYFUNCTION("""COMPUTED_VALUE"""),-0.604224700790838)</f>
        <v>-0.60422470079083801</v>
      </c>
      <c r="GN52" s="3">
        <f ca="1">IFERROR(__xludf.DUMMYFUNCTION("""COMPUTED_VALUE"""),-0.560606914809189)</f>
        <v>-0.56060691480918901</v>
      </c>
      <c r="GO52" s="3">
        <f ca="1">IFERROR(__xludf.DUMMYFUNCTION("""COMPUTED_VALUE"""),-0.473007497663982)</f>
        <v>-0.47300749766398198</v>
      </c>
      <c r="GP52" s="3">
        <f ca="1">IFERROR(__xludf.DUMMYFUNCTION("""COMPUTED_VALUE"""),-0.497452178550259)</f>
        <v>-0.49745217855025903</v>
      </c>
      <c r="GQ52" s="3">
        <f ca="1">IFERROR(__xludf.DUMMYFUNCTION("""COMPUTED_VALUE"""),-0.573452698774241)</f>
        <v>-0.57345269877424099</v>
      </c>
      <c r="GR52" s="3">
        <f ca="1">IFERROR(__xludf.DUMMYFUNCTION("""COMPUTED_VALUE"""),-0.585646178647687)</f>
        <v>-0.58564617864768698</v>
      </c>
      <c r="GS52" s="3">
        <f ca="1">IFERROR(__xludf.DUMMYFUNCTION("""COMPUTED_VALUE"""),-0.578734152738221)</f>
        <v>-0.57873415273822104</v>
      </c>
      <c r="GT52" s="3">
        <f ca="1">IFERROR(__xludf.DUMMYFUNCTION("""COMPUTED_VALUE"""),-0.579822220974187)</f>
        <v>-0.57982222097418701</v>
      </c>
      <c r="GU52" s="3">
        <f ca="1">IFERROR(__xludf.DUMMYFUNCTION("""COMPUTED_VALUE"""),-0.560497399966238)</f>
        <v>-0.56049739996623804</v>
      </c>
      <c r="GV52" s="3">
        <f ca="1">IFERROR(__xludf.DUMMYFUNCTION("""COMPUTED_VALUE"""),-0.483586137820913)</f>
        <v>-0.48358613782091298</v>
      </c>
      <c r="GW52" s="3">
        <f ca="1">IFERROR(__xludf.DUMMYFUNCTION("""COMPUTED_VALUE"""),-0.484573038500848)</f>
        <v>-0.48457303850084799</v>
      </c>
      <c r="GX52" s="3">
        <f ca="1">IFERROR(__xludf.DUMMYFUNCTION("""COMPUTED_VALUE"""),-0.571573090973811)</f>
        <v>-0.57157309097381104</v>
      </c>
      <c r="GY52" s="3">
        <f ca="1">IFERROR(__xludf.DUMMYFUNCTION("""COMPUTED_VALUE"""),-0.588501423844751)</f>
        <v>-0.58850142384475101</v>
      </c>
      <c r="GZ52" s="3">
        <f ca="1">IFERROR(__xludf.DUMMYFUNCTION("""COMPUTED_VALUE"""),-0.591582688155308)</f>
        <v>-0.59158268815530801</v>
      </c>
      <c r="HA52" s="3">
        <f ca="1">IFERROR(__xludf.DUMMYFUNCTION("""COMPUTED_VALUE"""),-0.594299466911494)</f>
        <v>-0.59429946691149405</v>
      </c>
      <c r="HB52" s="3">
        <f ca="1">IFERROR(__xludf.DUMMYFUNCTION("""COMPUTED_VALUE"""),-0.568755712123786)</f>
        <v>-0.56875571212378595</v>
      </c>
      <c r="HC52" s="3">
        <f ca="1">IFERROR(__xludf.DUMMYFUNCTION("""COMPUTED_VALUE"""),-0.484816245671821)</f>
        <v>-0.48481624567182102</v>
      </c>
      <c r="HD52" s="3">
        <f ca="1">IFERROR(__xludf.DUMMYFUNCTION("""COMPUTED_VALUE"""),-0.482382180374143)</f>
        <v>-0.48238218037414299</v>
      </c>
      <c r="HE52" s="3">
        <f ca="1">IFERROR(__xludf.DUMMYFUNCTION("""COMPUTED_VALUE"""),-0.564184400399681)</f>
        <v>-0.56418440039968099</v>
      </c>
      <c r="HF52" s="3">
        <f ca="1">IFERROR(__xludf.DUMMYFUNCTION("""COMPUTED_VALUE"""),-0.595279376445712)</f>
        <v>-0.59527937644571205</v>
      </c>
      <c r="HG52" s="3">
        <f ca="1">IFERROR(__xludf.DUMMYFUNCTION("""COMPUTED_VALUE"""),-0.573258075857067)</f>
        <v>-0.57325807585706701</v>
      </c>
      <c r="HH52" s="3">
        <f ca="1">IFERROR(__xludf.DUMMYFUNCTION("""COMPUTED_VALUE"""),-0.5260651618432)</f>
        <v>-0.52606516184319996</v>
      </c>
      <c r="HI52" s="3">
        <f ca="1">IFERROR(__xludf.DUMMYFUNCTION("""COMPUTED_VALUE"""),-0.454033364841471)</f>
        <v>-0.454033364841471</v>
      </c>
      <c r="HJ52" s="3">
        <f ca="1">IFERROR(__xludf.DUMMYFUNCTION("""COMPUTED_VALUE"""),-0.458275610834276)</f>
        <v>-0.45827561083427598</v>
      </c>
      <c r="HK52" s="3">
        <f ca="1">IFERROR(__xludf.DUMMYFUNCTION("""COMPUTED_VALUE"""),-0.462352762825321)</f>
        <v>-0.46235276282532101</v>
      </c>
      <c r="HL52" s="3">
        <f ca="1">IFERROR(__xludf.DUMMYFUNCTION("""COMPUTED_VALUE"""),-0.535937563657268)</f>
        <v>-0.53593756365726797</v>
      </c>
      <c r="HM52" s="3">
        <f ca="1">IFERROR(__xludf.DUMMYFUNCTION("""COMPUTED_VALUE"""),-0.557633268130472)</f>
        <v>-0.55763326813047198</v>
      </c>
      <c r="HN52" s="3">
        <f ca="1">IFERROR(__xludf.DUMMYFUNCTION("""COMPUTED_VALUE"""),-0.581563352287008)</f>
        <v>-0.58156335228700795</v>
      </c>
      <c r="HO52" s="3">
        <f ca="1">IFERROR(__xludf.DUMMYFUNCTION("""COMPUTED_VALUE"""),-0.572114212368945)</f>
        <v>-0.572114212368945</v>
      </c>
      <c r="HP52" s="3">
        <f ca="1">IFERROR(__xludf.DUMMYFUNCTION("""COMPUTED_VALUE"""),-0.500151954473635)</f>
        <v>-0.50015195447363503</v>
      </c>
      <c r="HQ52" s="3">
        <f ca="1">IFERROR(__xludf.DUMMYFUNCTION("""COMPUTED_VALUE"""),-0.464962231217903)</f>
        <v>-0.46496223121790298</v>
      </c>
      <c r="HR52" s="3">
        <f ca="1">IFERROR(__xludf.DUMMYFUNCTION("""COMPUTED_VALUE"""),-0.511143139097979)</f>
        <v>-0.51114313909797904</v>
      </c>
      <c r="HS52" s="3">
        <f ca="1">IFERROR(__xludf.DUMMYFUNCTION("""COMPUTED_VALUE"""),-0.531448400750504)</f>
        <v>-0.53144840075050404</v>
      </c>
      <c r="HT52" s="3">
        <f ca="1">IFERROR(__xludf.DUMMYFUNCTION("""COMPUTED_VALUE"""),-0.554716327267755)</f>
        <v>-0.55471632726775499</v>
      </c>
      <c r="HU52" s="3">
        <f ca="1">IFERROR(__xludf.DUMMYFUNCTION("""COMPUTED_VALUE"""),-0.540425063569796)</f>
        <v>-0.54042506356979603</v>
      </c>
      <c r="HV52" s="3">
        <f ca="1">IFERROR(__xludf.DUMMYFUNCTION("""COMPUTED_VALUE"""),-0.529543065745975)</f>
        <v>-0.52954306574597498</v>
      </c>
      <c r="HW52" s="3">
        <f ca="1">IFERROR(__xludf.DUMMYFUNCTION("""COMPUTED_VALUE"""),-0.454113595726478)</f>
        <v>-0.45411359572647803</v>
      </c>
      <c r="HX52" s="3">
        <f ca="1">IFERROR(__xludf.DUMMYFUNCTION("""COMPUTED_VALUE"""),-0.469139563558698)</f>
        <v>-0.46913956355869801</v>
      </c>
      <c r="HY52" s="3">
        <f ca="1">IFERROR(__xludf.DUMMYFUNCTION("""COMPUTED_VALUE"""),-0.470176498038922)</f>
        <v>-0.47017649803892198</v>
      </c>
      <c r="HZ52" s="3">
        <f ca="1">IFERROR(__xludf.DUMMYFUNCTION("""COMPUTED_VALUE"""),-0.492803430761504)</f>
        <v>-0.49280343076150401</v>
      </c>
      <c r="IA52" s="3">
        <f ca="1">IFERROR(__xludf.DUMMYFUNCTION("""COMPUTED_VALUE"""),-0.515505280262945)</f>
        <v>-0.51550528026294495</v>
      </c>
      <c r="IB52" s="3">
        <f ca="1">IFERROR(__xludf.DUMMYFUNCTION("""COMPUTED_VALUE"""),-0.507481013137201)</f>
        <v>-0.50748101313720095</v>
      </c>
      <c r="IC52" s="3">
        <f ca="1">IFERROR(__xludf.DUMMYFUNCTION("""COMPUTED_VALUE"""),-0.496827141150876)</f>
        <v>-0.49682714115087601</v>
      </c>
      <c r="ID52" s="3">
        <f ca="1">IFERROR(__xludf.DUMMYFUNCTION("""COMPUTED_VALUE"""),-0.494683802434411)</f>
        <v>-0.49468380243441101</v>
      </c>
      <c r="IE52" s="3">
        <f ca="1">IFERROR(__xludf.DUMMYFUNCTION("""COMPUTED_VALUE"""),-0.529960969144914)</f>
        <v>-0.52996096914491397</v>
      </c>
      <c r="IF52" s="3">
        <f ca="1">IFERROR(__xludf.DUMMYFUNCTION("""COMPUTED_VALUE"""),-0.471011336841661)</f>
        <v>-0.47101133684166102</v>
      </c>
      <c r="IG52" s="3">
        <f ca="1">IFERROR(__xludf.DUMMYFUNCTION("""COMPUTED_VALUE"""),-0.492033573088517)</f>
        <v>-0.49203357308851697</v>
      </c>
      <c r="IH52" s="3">
        <f ca="1">IFERROR(__xludf.DUMMYFUNCTION("""COMPUTED_VALUE"""),-0.541465233997062)</f>
        <v>-0.54146523399706203</v>
      </c>
      <c r="II52" s="3">
        <f ca="1">IFERROR(__xludf.DUMMYFUNCTION("""COMPUTED_VALUE"""),-0.499818893091114)</f>
        <v>-0.49981889309111399</v>
      </c>
      <c r="IJ52" s="3">
        <f ca="1">IFERROR(__xludf.DUMMYFUNCTION("""COMPUTED_VALUE"""),-0.477053072696848)</f>
        <v>-0.47705307269684799</v>
      </c>
      <c r="IK52" s="3">
        <f ca="1">IFERROR(__xludf.DUMMYFUNCTION("""COMPUTED_VALUE"""),-0.470264202148737)</f>
        <v>-0.47026420214873699</v>
      </c>
      <c r="IL52" s="3">
        <f ca="1">IFERROR(__xludf.DUMMYFUNCTION("""COMPUTED_VALUE"""),-0.448324985378836)</f>
        <v>-0.44832498537883603</v>
      </c>
      <c r="IM52" s="3">
        <f ca="1">IFERROR(__xludf.DUMMYFUNCTION("""COMPUTED_VALUE"""),-0.470848014713411)</f>
        <v>-0.47084801471341098</v>
      </c>
      <c r="IN52" s="3">
        <f ca="1">IFERROR(__xludf.DUMMYFUNCTION("""COMPUTED_VALUE"""),-0.498770887224547)</f>
        <v>-0.49877088722454699</v>
      </c>
      <c r="IO52" s="3">
        <f ca="1">IFERROR(__xludf.DUMMYFUNCTION("""COMPUTED_VALUE"""),-0.492328331168656)</f>
        <v>-0.49232833116865599</v>
      </c>
      <c r="IP52" s="3">
        <f ca="1">IFERROR(__xludf.DUMMYFUNCTION("""COMPUTED_VALUE"""),-0.420510226594028)</f>
        <v>-0.42051022659402798</v>
      </c>
      <c r="IQ52" s="3">
        <f ca="1">IFERROR(__xludf.DUMMYFUNCTION("""COMPUTED_VALUE"""),-0.548873244611394)</f>
        <v>-0.54887324461139397</v>
      </c>
      <c r="IR52" s="3">
        <f ca="1">IFERROR(__xludf.DUMMYFUNCTION("""COMPUTED_VALUE"""),-0.45313076742722)</f>
        <v>-0.45313076742722003</v>
      </c>
      <c r="IS52" s="3">
        <f ca="1">IFERROR(__xludf.DUMMYFUNCTION("""COMPUTED_VALUE"""),-0.432665126966234)</f>
        <v>-0.43266512696623399</v>
      </c>
      <c r="IT52" s="3">
        <f ca="1">IFERROR(__xludf.DUMMYFUNCTION("""COMPUTED_VALUE"""),-0.413733607659593)</f>
        <v>-0.41373360765959299</v>
      </c>
      <c r="IU52" s="3">
        <f ca="1">IFERROR(__xludf.DUMMYFUNCTION("""COMPUTED_VALUE"""),-0.468679023954384)</f>
        <v>-0.46867902395438399</v>
      </c>
      <c r="IV52" s="3">
        <f ca="1">IFERROR(__xludf.DUMMYFUNCTION("""COMPUTED_VALUE"""),-0.497043406171145)</f>
        <v>-0.49704340617114501</v>
      </c>
      <c r="IW52" s="3">
        <f ca="1">IFERROR(__xludf.DUMMYFUNCTION("""COMPUTED_VALUE"""),-0.46859575508902)</f>
        <v>-0.46859575508902002</v>
      </c>
      <c r="IX52" s="3">
        <f ca="1">IFERROR(__xludf.DUMMYFUNCTION("""COMPUTED_VALUE"""),-0.471146082031033)</f>
        <v>-0.47114608203103298</v>
      </c>
      <c r="IY52" s="3">
        <f ca="1">IFERROR(__xludf.DUMMYFUNCTION("""COMPUTED_VALUE"""),-0.452237006793661)</f>
        <v>-0.45223700679366102</v>
      </c>
      <c r="IZ52" s="3">
        <f ca="1">IFERROR(__xludf.DUMMYFUNCTION("""COMPUTED_VALUE"""),-0.421250933727909)</f>
        <v>-0.421250933727909</v>
      </c>
      <c r="JA52" s="3">
        <f ca="1">IFERROR(__xludf.DUMMYFUNCTION("""COMPUTED_VALUE"""),-0.42683955865105)</f>
        <v>-0.42683955865105</v>
      </c>
      <c r="JB52" s="3">
        <f ca="1">IFERROR(__xludf.DUMMYFUNCTION("""COMPUTED_VALUE"""),-0.513158877203136)</f>
        <v>-0.51315887720313602</v>
      </c>
      <c r="JC52" s="3">
        <f ca="1">IFERROR(__xludf.DUMMYFUNCTION("""COMPUTED_VALUE"""),-0.50396523118747)</f>
        <v>-0.50396523118747005</v>
      </c>
      <c r="JD52" s="3">
        <f ca="1">IFERROR(__xludf.DUMMYFUNCTION("""COMPUTED_VALUE"""),-0.494105676413352)</f>
        <v>-0.49410567641335201</v>
      </c>
      <c r="JE52" s="3">
        <f ca="1">IFERROR(__xludf.DUMMYFUNCTION("""COMPUTED_VALUE"""),-0.479713201166715)</f>
        <v>-0.47971320116671501</v>
      </c>
      <c r="JF52" s="3">
        <f ca="1">IFERROR(__xludf.DUMMYFUNCTION("""COMPUTED_VALUE"""),-0.457720203006455)</f>
        <v>-0.457720203006455</v>
      </c>
      <c r="JG52" s="3">
        <f ca="1">IFERROR(__xludf.DUMMYFUNCTION("""COMPUTED_VALUE"""),-0.426552722999961)</f>
        <v>-0.426552722999961</v>
      </c>
      <c r="JH52" s="3">
        <f ca="1">IFERROR(__xludf.DUMMYFUNCTION("""COMPUTED_VALUE"""),-0.437334987984456)</f>
        <v>-0.43733498798445603</v>
      </c>
      <c r="JI52" s="3">
        <f ca="1">IFERROR(__xludf.DUMMYFUNCTION("""COMPUTED_VALUE"""),-0.506636347381363)</f>
        <v>-0.50663634738136298</v>
      </c>
      <c r="JJ52" s="3">
        <f ca="1">IFERROR(__xludf.DUMMYFUNCTION("""COMPUTED_VALUE"""),-0.498059087438388)</f>
        <v>-0.498059087438388</v>
      </c>
      <c r="JK52" s="3">
        <f ca="1">IFERROR(__xludf.DUMMYFUNCTION("""COMPUTED_VALUE"""),-0.50180943609479)</f>
        <v>-0.50180943609479001</v>
      </c>
      <c r="JL52" s="3">
        <f ca="1">IFERROR(__xludf.DUMMYFUNCTION("""COMPUTED_VALUE"""),-0.49105943226066)</f>
        <v>-0.49105943226066001</v>
      </c>
      <c r="JM52" s="3">
        <f ca="1">IFERROR(__xludf.DUMMYFUNCTION("""COMPUTED_VALUE"""),-0.453855979517307)</f>
        <v>-0.453855979517307</v>
      </c>
      <c r="JN52" s="3">
        <f ca="1">IFERROR(__xludf.DUMMYFUNCTION("""COMPUTED_VALUE"""),-0.410510329671001)</f>
        <v>-0.41051032967100098</v>
      </c>
      <c r="JO52" s="3">
        <f ca="1">IFERROR(__xludf.DUMMYFUNCTION("""COMPUTED_VALUE"""),-0.467750807999901)</f>
        <v>-0.46775080799990099</v>
      </c>
      <c r="JP52" s="3">
        <f ca="1">IFERROR(__xludf.DUMMYFUNCTION("""COMPUTED_VALUE"""),-0.562898953365688)</f>
        <v>-0.56289895336568796</v>
      </c>
      <c r="JQ52" s="3">
        <f ca="1">IFERROR(__xludf.DUMMYFUNCTION("""COMPUTED_VALUE"""),-0.447000931894866)</f>
        <v>-0.447000931894866</v>
      </c>
      <c r="JR52" s="3">
        <f ca="1">IFERROR(__xludf.DUMMYFUNCTION("""COMPUTED_VALUE"""),-0.532494251772359)</f>
        <v>-0.53249425177235898</v>
      </c>
      <c r="JS52" s="3">
        <f ca="1">IFERROR(__xludf.DUMMYFUNCTION("""COMPUTED_VALUE"""),-0.507781338614828)</f>
        <v>-0.50778133861482799</v>
      </c>
      <c r="JT52" s="3">
        <f ca="1">IFERROR(__xludf.DUMMYFUNCTION("""COMPUTED_VALUE"""),-0.487303226659269)</f>
        <v>-0.48730322665926901</v>
      </c>
      <c r="JU52" s="3">
        <f ca="1">IFERROR(__xludf.DUMMYFUNCTION("""COMPUTED_VALUE"""),-0.445027514589892)</f>
        <v>-0.44502751458989198</v>
      </c>
      <c r="JV52" s="3">
        <f ca="1">IFERROR(__xludf.DUMMYFUNCTION("""COMPUTED_VALUE"""),-0.497105829966733)</f>
        <v>-0.49710582996673303</v>
      </c>
      <c r="JW52" s="3">
        <f ca="1">IFERROR(__xludf.DUMMYFUNCTION("""COMPUTED_VALUE"""),-0.470544786190493)</f>
        <v>-0.470544786190493</v>
      </c>
      <c r="JX52" s="3">
        <f ca="1">IFERROR(__xludf.DUMMYFUNCTION("""COMPUTED_VALUE"""),-0.460948507556371)</f>
        <v>-0.46094850755637101</v>
      </c>
      <c r="JY52" s="3">
        <f ca="1">IFERROR(__xludf.DUMMYFUNCTION("""COMPUTED_VALUE"""),-0.551806365844897)</f>
        <v>-0.55180636584489695</v>
      </c>
      <c r="JZ52" s="3">
        <f ca="1">IFERROR(__xludf.DUMMYFUNCTION("""COMPUTED_VALUE"""),-0.527167673407662)</f>
        <v>-0.52716767340766202</v>
      </c>
      <c r="KA52" s="3">
        <f ca="1">IFERROR(__xludf.DUMMYFUNCTION("""COMPUTED_VALUE"""),-0.487329362350142)</f>
        <v>-0.48732936235014201</v>
      </c>
      <c r="KB52" s="3">
        <f ca="1">IFERROR(__xludf.DUMMYFUNCTION("""COMPUTED_VALUE"""),-0.462823503645985)</f>
        <v>-0.46282350364598501</v>
      </c>
      <c r="KC52" s="3">
        <f ca="1">IFERROR(__xludf.DUMMYFUNCTION("""COMPUTED_VALUE"""),-0.494333865365002)</f>
        <v>-0.49433386536500201</v>
      </c>
      <c r="KD52" s="3">
        <f ca="1">IFERROR(__xludf.DUMMYFUNCTION("""COMPUTED_VALUE"""),-0.4826999245728)</f>
        <v>-0.48269992457279998</v>
      </c>
      <c r="KE52" s="3">
        <f ca="1">IFERROR(__xludf.DUMMYFUNCTION("""COMPUTED_VALUE"""),-0.487281618094176)</f>
        <v>-0.48728161809417597</v>
      </c>
      <c r="KF52" s="3">
        <f ca="1">IFERROR(__xludf.DUMMYFUNCTION("""COMPUTED_VALUE"""),-0.530823551927329)</f>
        <v>-0.530823551927329</v>
      </c>
      <c r="KG52" s="3">
        <f ca="1">IFERROR(__xludf.DUMMYFUNCTION("""COMPUTED_VALUE"""),-0.502474791470088)</f>
        <v>-0.502474791470088</v>
      </c>
      <c r="KH52" s="3">
        <f ca="1">IFERROR(__xludf.DUMMYFUNCTION("""COMPUTED_VALUE"""),-0.497691977127226)</f>
        <v>-0.49769197712722602</v>
      </c>
      <c r="KI52" s="3">
        <f ca="1">IFERROR(__xludf.DUMMYFUNCTION("""COMPUTED_VALUE"""),-0.509940548699501)</f>
        <v>-0.50994054869950101</v>
      </c>
      <c r="KJ52" s="3">
        <f ca="1">IFERROR(__xludf.DUMMYFUNCTION("""COMPUTED_VALUE"""),-0.542088890964534)</f>
        <v>-0.54208889096453405</v>
      </c>
      <c r="KK52" s="3">
        <f ca="1">IFERROR(__xludf.DUMMYFUNCTION("""COMPUTED_VALUE"""),-0.56465157636043)</f>
        <v>-0.56465157636042995</v>
      </c>
      <c r="KL52" s="3">
        <f ca="1">IFERROR(__xludf.DUMMYFUNCTION("""COMPUTED_VALUE"""),-0.577639927589041)</f>
        <v>-0.57763992758904104</v>
      </c>
      <c r="KM52" s="3">
        <f ca="1">IFERROR(__xludf.DUMMYFUNCTION("""COMPUTED_VALUE"""),-0.575938357106913)</f>
        <v>-0.57593835710691299</v>
      </c>
      <c r="KN52" s="3">
        <f ca="1">IFERROR(__xludf.DUMMYFUNCTION("""COMPUTED_VALUE"""),-0.557199215259166)</f>
        <v>-0.55719921525916605</v>
      </c>
      <c r="KO52" s="3">
        <f ca="1">IFERROR(__xludf.DUMMYFUNCTION("""COMPUTED_VALUE"""),-0.549929812581156)</f>
        <v>-0.54992981258115603</v>
      </c>
      <c r="KP52" s="3">
        <f ca="1">IFERROR(__xludf.DUMMYFUNCTION("""COMPUTED_VALUE"""),-0.550260353647562)</f>
        <v>-0.55026035364756198</v>
      </c>
      <c r="KQ52" s="3">
        <f ca="1">IFERROR(__xludf.DUMMYFUNCTION("""COMPUTED_VALUE"""),-0.574074732185621)</f>
        <v>-0.574074732185621</v>
      </c>
      <c r="KR52" s="3">
        <f ca="1">IFERROR(__xludf.DUMMYFUNCTION("""COMPUTED_VALUE"""),-0.593624628276615)</f>
        <v>-0.593624628276615</v>
      </c>
      <c r="KS52" s="3">
        <f ca="1">IFERROR(__xludf.DUMMYFUNCTION("""COMPUTED_VALUE"""),-0.616150998632099)</f>
        <v>-0.61615099863209899</v>
      </c>
      <c r="KT52" s="3">
        <f ca="1">IFERROR(__xludf.DUMMYFUNCTION("""COMPUTED_VALUE"""),-0.59423197659322)</f>
        <v>-0.59423197659322002</v>
      </c>
      <c r="KU52" s="3">
        <f ca="1">IFERROR(__xludf.DUMMYFUNCTION("""COMPUTED_VALUE"""),-0.580361156521078)</f>
        <v>-0.580361156521078</v>
      </c>
      <c r="KV52" s="3">
        <f ca="1">IFERROR(__xludf.DUMMYFUNCTION("""COMPUTED_VALUE"""),-0.572383808754438)</f>
        <v>-0.57238380875443795</v>
      </c>
      <c r="KW52" s="3">
        <f ca="1">IFERROR(__xludf.DUMMYFUNCTION("""COMPUTED_VALUE"""),-0.554228408109116)</f>
        <v>-0.554228408109116</v>
      </c>
      <c r="KX52" s="3">
        <f ca="1">IFERROR(__xludf.DUMMYFUNCTION("""COMPUTED_VALUE"""),-0.596909004962586)</f>
        <v>-0.59690900496258603</v>
      </c>
      <c r="KY52" s="3">
        <f ca="1">IFERROR(__xludf.DUMMYFUNCTION("""COMPUTED_VALUE"""),-0.649824943240218)</f>
        <v>-0.649824943240218</v>
      </c>
      <c r="KZ52" s="3">
        <f ca="1">IFERROR(__xludf.DUMMYFUNCTION("""COMPUTED_VALUE"""),-0.615826439748402)</f>
        <v>-0.61582643974840201</v>
      </c>
      <c r="LA52" s="3">
        <f ca="1">IFERROR(__xludf.DUMMYFUNCTION("""COMPUTED_VALUE"""),-0.629537560279044)</f>
        <v>-0.62953756027904395</v>
      </c>
      <c r="LB52" s="3">
        <f ca="1">IFERROR(__xludf.DUMMYFUNCTION("""COMPUTED_VALUE"""),-0.629865291797823)</f>
        <v>-0.62986529179782302</v>
      </c>
      <c r="LC52" s="3">
        <f ca="1">IFERROR(__xludf.DUMMYFUNCTION("""COMPUTED_VALUE"""),-0.587314979888603)</f>
        <v>-0.58731497988860304</v>
      </c>
      <c r="LD52" s="3">
        <f ca="1">IFERROR(__xludf.DUMMYFUNCTION("""COMPUTED_VALUE"""),-0.609144760819432)</f>
        <v>-0.60914476081943203</v>
      </c>
      <c r="LE52" s="3">
        <f ca="1">IFERROR(__xludf.DUMMYFUNCTION("""COMPUTED_VALUE"""),-0.60304062533324)</f>
        <v>-0.60304062533323999</v>
      </c>
      <c r="LF52" s="3">
        <f ca="1">IFERROR(__xludf.DUMMYFUNCTION("""COMPUTED_VALUE"""),-0.653555963907496)</f>
        <v>-0.65355596390749604</v>
      </c>
      <c r="LG52" s="3">
        <f ca="1">IFERROR(__xludf.DUMMYFUNCTION("""COMPUTED_VALUE"""),-0.639766701926099)</f>
        <v>-0.63976670192609897</v>
      </c>
      <c r="LH52" s="3">
        <f ca="1">IFERROR(__xludf.DUMMYFUNCTION("""COMPUTED_VALUE"""),-0.630463086046937)</f>
        <v>-0.63046308604693702</v>
      </c>
      <c r="LI52" s="3">
        <f ca="1">IFERROR(__xludf.DUMMYFUNCTION("""COMPUTED_VALUE"""),-0.623815114297616)</f>
        <v>-0.62381511429761605</v>
      </c>
      <c r="LJ52" s="3">
        <f ca="1">IFERROR(__xludf.DUMMYFUNCTION("""COMPUTED_VALUE"""),-0.669800195990894)</f>
        <v>-0.66980019599089402</v>
      </c>
      <c r="LK52" s="3">
        <f ca="1">IFERROR(__xludf.DUMMYFUNCTION("""COMPUTED_VALUE"""),-0.626899630869806)</f>
        <v>-0.62689963086980605</v>
      </c>
      <c r="LL52" s="3">
        <f ca="1">IFERROR(__xludf.DUMMYFUNCTION("""COMPUTED_VALUE"""),-0.691188123092347)</f>
        <v>-0.69118812309234701</v>
      </c>
      <c r="LM52" s="3">
        <f ca="1">IFERROR(__xludf.DUMMYFUNCTION("""COMPUTED_VALUE"""),-0.676202306526331)</f>
        <v>-0.67620230652633095</v>
      </c>
      <c r="LN52" s="3">
        <f ca="1">IFERROR(__xludf.DUMMYFUNCTION("""COMPUTED_VALUE"""),-0.655794345142571)</f>
        <v>-0.65579434514257096</v>
      </c>
      <c r="LO52" s="3">
        <f ca="1">IFERROR(__xludf.DUMMYFUNCTION("""COMPUTED_VALUE"""),-0.664684036016725)</f>
        <v>-0.66468403601672499</v>
      </c>
      <c r="LP52" s="3">
        <f ca="1">IFERROR(__xludf.DUMMYFUNCTION("""COMPUTED_VALUE"""),-0.654757624780077)</f>
        <v>-0.65475762478007704</v>
      </c>
      <c r="LQ52" s="3">
        <f ca="1">IFERROR(__xludf.DUMMYFUNCTION("""COMPUTED_VALUE"""),-0.622986901433161)</f>
        <v>-0.62298690143316104</v>
      </c>
      <c r="LR52" s="3">
        <f ca="1">IFERROR(__xludf.DUMMYFUNCTION("""COMPUTED_VALUE"""),-0.60958177080312)</f>
        <v>-0.60958177080312004</v>
      </c>
      <c r="LS52" s="3">
        <f ca="1">IFERROR(__xludf.DUMMYFUNCTION("""COMPUTED_VALUE"""),-0.652288963119839)</f>
        <v>-0.65228896311983897</v>
      </c>
      <c r="LT52" s="3">
        <f ca="1">IFERROR(__xludf.DUMMYFUNCTION("""COMPUTED_VALUE"""),-0.663798934701647)</f>
        <v>-0.66379893470164697</v>
      </c>
      <c r="LU52" s="3">
        <f ca="1">IFERROR(__xludf.DUMMYFUNCTION("""COMPUTED_VALUE"""),-0.672079017314196)</f>
        <v>-0.67207901731419595</v>
      </c>
      <c r="LV52" s="3">
        <f ca="1">IFERROR(__xludf.DUMMYFUNCTION("""COMPUTED_VALUE"""),-0.673745030392379)</f>
        <v>-0.67374503039237899</v>
      </c>
      <c r="LW52" s="3">
        <f ca="1">IFERROR(__xludf.DUMMYFUNCTION("""COMPUTED_VALUE"""),-0.645186239782324)</f>
        <v>-0.64518623978232403</v>
      </c>
      <c r="LX52" s="3">
        <f ca="1">IFERROR(__xludf.DUMMYFUNCTION("""COMPUTED_VALUE"""),-0.616167942655124)</f>
        <v>-0.61616794265512398</v>
      </c>
      <c r="LY52" s="3">
        <f ca="1">IFERROR(__xludf.DUMMYFUNCTION("""COMPUTED_VALUE"""),-0.614515279491243)</f>
        <v>-0.61451527949124296</v>
      </c>
      <c r="LZ52" s="3">
        <f ca="1">IFERROR(__xludf.DUMMYFUNCTION("""COMPUTED_VALUE"""),-0.69376255924914)</f>
        <v>-0.69376255924913999</v>
      </c>
      <c r="MA52" s="3">
        <f ca="1">IFERROR(__xludf.DUMMYFUNCTION("""COMPUTED_VALUE"""),-0.706050824164117)</f>
        <v>-0.70605082416411702</v>
      </c>
      <c r="MB52" s="3">
        <f ca="1">IFERROR(__xludf.DUMMYFUNCTION("""COMPUTED_VALUE"""),-0.653441908810924)</f>
        <v>-0.65344190881092401</v>
      </c>
      <c r="MC52" s="3">
        <f ca="1">IFERROR(__xludf.DUMMYFUNCTION("""COMPUTED_VALUE"""),-0.641297141345727)</f>
        <v>-0.64129714134572702</v>
      </c>
      <c r="MD52" s="3">
        <f ca="1">IFERROR(__xludf.DUMMYFUNCTION("""COMPUTED_VALUE"""),-0.675873250824775)</f>
        <v>-0.67587325082477501</v>
      </c>
      <c r="ME52" s="3">
        <f ca="1">IFERROR(__xludf.DUMMYFUNCTION("""COMPUTED_VALUE"""),-0.651520353187413)</f>
        <v>-0.65152035318741297</v>
      </c>
      <c r="MF52" s="3">
        <f ca="1">IFERROR(__xludf.DUMMYFUNCTION("""COMPUTED_VALUE"""),-0.586282440417442)</f>
        <v>-0.58628244041744204</v>
      </c>
      <c r="MG52" s="3">
        <f ca="1">IFERROR(__xludf.DUMMYFUNCTION("""COMPUTED_VALUE"""),-0.674289951919784)</f>
        <v>-0.67428995191978403</v>
      </c>
      <c r="MH52" s="3">
        <f ca="1">IFERROR(__xludf.DUMMYFUNCTION("""COMPUTED_VALUE"""),-0.693796198945842)</f>
        <v>-0.69379619894584199</v>
      </c>
      <c r="MI52" s="3">
        <f ca="1">IFERROR(__xludf.DUMMYFUNCTION("""COMPUTED_VALUE"""),-0.70684306124922)</f>
        <v>-0.70684306124922003</v>
      </c>
      <c r="MJ52" s="3">
        <f ca="1">IFERROR(__xludf.DUMMYFUNCTION("""COMPUTED_VALUE"""),-0.613000471093243)</f>
        <v>-0.61300047109324296</v>
      </c>
      <c r="MK52" s="3">
        <f ca="1">IFERROR(__xludf.DUMMYFUNCTION("""COMPUTED_VALUE"""),-0.635218583454533)</f>
        <v>-0.63521858345453297</v>
      </c>
      <c r="ML52" s="3">
        <f ca="1">IFERROR(__xludf.DUMMYFUNCTION("""COMPUTED_VALUE"""),-0.687872601665215)</f>
        <v>-0.68787260166521502</v>
      </c>
      <c r="MM52" s="3">
        <f ca="1">IFERROR(__xludf.DUMMYFUNCTION("""COMPUTED_VALUE"""),-0.686632280422874)</f>
        <v>-0.68663228042287405</v>
      </c>
      <c r="MN52" s="3">
        <f ca="1">IFERROR(__xludf.DUMMYFUNCTION("""COMPUTED_VALUE"""),-0.690819077443561)</f>
        <v>-0.69081907744356097</v>
      </c>
      <c r="MO52" s="3">
        <f ca="1">IFERROR(__xludf.DUMMYFUNCTION("""COMPUTED_VALUE"""),-0.705611777903793)</f>
        <v>-0.70561177790379304</v>
      </c>
      <c r="MP52" s="3">
        <f ca="1">IFERROR(__xludf.DUMMYFUNCTION("""COMPUTED_VALUE"""),-0.709062967987052)</f>
        <v>-0.70906296798705204</v>
      </c>
      <c r="MQ52" s="3">
        <f ca="1">IFERROR(__xludf.DUMMYFUNCTION("""COMPUTED_VALUE"""),-0.688807983503027)</f>
        <v>-0.68880798350302697</v>
      </c>
      <c r="MR52" s="3">
        <f ca="1">IFERROR(__xludf.DUMMYFUNCTION("""COMPUTED_VALUE"""),-0.68348205028751)</f>
        <v>-0.68348205028750997</v>
      </c>
      <c r="MS52" s="3">
        <f ca="1">IFERROR(__xludf.DUMMYFUNCTION("""COMPUTED_VALUE"""),-0.648706342075223)</f>
        <v>-0.64870634207522304</v>
      </c>
      <c r="MT52" s="3">
        <f ca="1">IFERROR(__xludf.DUMMYFUNCTION("""COMPUTED_VALUE"""),-0.66047785095703)</f>
        <v>-0.66047785095703004</v>
      </c>
      <c r="MU52" s="3">
        <f ca="1">IFERROR(__xludf.DUMMYFUNCTION("""COMPUTED_VALUE"""),-0.71627605426849)</f>
        <v>-0.71627605426848995</v>
      </c>
      <c r="MV52" s="3">
        <f ca="1">IFERROR(__xludf.DUMMYFUNCTION("""COMPUTED_VALUE"""),-0.661675347770165)</f>
        <v>-0.66167534777016501</v>
      </c>
      <c r="MW52" s="3">
        <f ca="1">IFERROR(__xludf.DUMMYFUNCTION("""COMPUTED_VALUE"""),-0.696749520184553)</f>
        <v>-0.69674952018455305</v>
      </c>
      <c r="MX52" s="3">
        <f ca="1">IFERROR(__xludf.DUMMYFUNCTION("""COMPUTED_VALUE"""),-0.702205143599815)</f>
        <v>-0.70220514359981501</v>
      </c>
      <c r="MY52" s="3">
        <f ca="1">IFERROR(__xludf.DUMMYFUNCTION("""COMPUTED_VALUE"""),-0.684789522366898)</f>
        <v>-0.68478952236689805</v>
      </c>
      <c r="MZ52" s="3">
        <f ca="1">IFERROR(__xludf.DUMMYFUNCTION("""COMPUTED_VALUE"""),-0.74042661608412)</f>
        <v>-0.74042661608411997</v>
      </c>
      <c r="NA52" s="3">
        <f ca="1">IFERROR(__xludf.DUMMYFUNCTION("""COMPUTED_VALUE"""),-0.688669083872447)</f>
        <v>-0.68866908387244696</v>
      </c>
      <c r="NB52" s="3">
        <f ca="1">IFERROR(__xludf.DUMMYFUNCTION("""COMPUTED_VALUE"""),-0.700850930348309)</f>
        <v>-0.70085093034830903</v>
      </c>
      <c r="NC52" s="3">
        <f ca="1">IFERROR(__xludf.DUMMYFUNCTION("""COMPUTED_VALUE"""),-0.695046815522601)</f>
        <v>-0.69504681552260095</v>
      </c>
      <c r="ND52" s="3">
        <f ca="1">IFERROR(__xludf.DUMMYFUNCTION("""COMPUTED_VALUE"""),-0.666302198801598)</f>
        <v>-0.66630219880159802</v>
      </c>
      <c r="NE52" s="3">
        <f ca="1">IFERROR(__xludf.DUMMYFUNCTION("""COMPUTED_VALUE"""),-0.703407589949572)</f>
        <v>-0.70340758994957198</v>
      </c>
      <c r="NF52" s="3">
        <f ca="1">IFERROR(__xludf.DUMMYFUNCTION("""COMPUTED_VALUE"""),-0.692520191506793)</f>
        <v>-0.692520191506793</v>
      </c>
      <c r="NG52" s="3">
        <f ca="1">IFERROR(__xludf.DUMMYFUNCTION("""COMPUTED_VALUE"""),-0.672015857521816)</f>
        <v>-0.67201585752181603</v>
      </c>
      <c r="NH52" s="3">
        <f ca="1">IFERROR(__xludf.DUMMYFUNCTION("""COMPUTED_VALUE"""),-0.672113291913733)</f>
        <v>-0.67211329191373304</v>
      </c>
      <c r="NI52" s="3">
        <f ca="1">IFERROR(__xludf.DUMMYFUNCTION("""COMPUTED_VALUE"""),-0.700575153459664)</f>
        <v>-0.70057515345966404</v>
      </c>
      <c r="NJ52" s="3">
        <f ca="1">IFERROR(__xludf.DUMMYFUNCTION("""COMPUTED_VALUE"""),-0.672547116926781)</f>
        <v>-0.67254711692678104</v>
      </c>
      <c r="NK52" s="3">
        <f ca="1">IFERROR(__xludf.DUMMYFUNCTION("""COMPUTED_VALUE"""),-0.6341326274468)</f>
        <v>-0.63413262744679999</v>
      </c>
      <c r="NL52" s="3">
        <f ca="1">IFERROR(__xludf.DUMMYFUNCTION("""COMPUTED_VALUE"""),-0.647063700132291)</f>
        <v>-0.64706370013229098</v>
      </c>
      <c r="NM52" s="3">
        <f ca="1">IFERROR(__xludf.DUMMYFUNCTION("""COMPUTED_VALUE"""),-0.627572057286489)</f>
        <v>-0.62757205728648902</v>
      </c>
      <c r="NN52" s="3">
        <f ca="1">IFERROR(__xludf.DUMMYFUNCTION("""COMPUTED_VALUE"""),-0.601792329367357)</f>
        <v>-0.60179232936735705</v>
      </c>
      <c r="NO52" s="3">
        <f ca="1">IFERROR(__xludf.DUMMYFUNCTION("""COMPUTED_VALUE"""),-0.636835693840768)</f>
        <v>-0.63683569384076799</v>
      </c>
      <c r="NP52" s="3">
        <f ca="1">IFERROR(__xludf.DUMMYFUNCTION("""COMPUTED_VALUE"""),-0.672888156244496)</f>
        <v>-0.67288815624449605</v>
      </c>
      <c r="NQ52" s="3">
        <f ca="1">IFERROR(__xludf.DUMMYFUNCTION("""COMPUTED_VALUE"""),-0.649487144164395)</f>
        <v>-0.64948714416439501</v>
      </c>
      <c r="NR52" s="3">
        <f ca="1">IFERROR(__xludf.DUMMYFUNCTION("""COMPUTED_VALUE"""),-0.652565763082998)</f>
        <v>-0.65256576308299796</v>
      </c>
      <c r="NS52" s="3">
        <f ca="1">IFERROR(__xludf.DUMMYFUNCTION("""COMPUTED_VALUE"""),-0.674976402997283)</f>
        <v>-0.67497640299728301</v>
      </c>
      <c r="NT52" s="3">
        <f ca="1">IFERROR(__xludf.DUMMYFUNCTION("""COMPUTED_VALUE"""),-0.641900779842516)</f>
        <v>-0.64190077984251603</v>
      </c>
      <c r="NU52" s="3">
        <f ca="1">IFERROR(__xludf.DUMMYFUNCTION("""COMPUTED_VALUE"""),-0.671213048563493)</f>
        <v>-0.67121304856349295</v>
      </c>
      <c r="NV52" s="3">
        <f ca="1">IFERROR(__xludf.DUMMYFUNCTION("""COMPUTED_VALUE"""),-0.590585413999459)</f>
        <v>-0.59058541399945896</v>
      </c>
      <c r="NW52" s="3">
        <f ca="1">IFERROR(__xludf.DUMMYFUNCTION("""COMPUTED_VALUE"""),-0.601388047253292)</f>
        <v>-0.60138804725329198</v>
      </c>
      <c r="NX52" s="3">
        <f ca="1">IFERROR(__xludf.DUMMYFUNCTION("""COMPUTED_VALUE"""),-0.558736706757916)</f>
        <v>-0.55873670675791598</v>
      </c>
      <c r="NY52" s="3">
        <f ca="1">IFERROR(__xludf.DUMMYFUNCTION("""COMPUTED_VALUE"""),-0.556994088840501)</f>
        <v>-0.55699408884050094</v>
      </c>
      <c r="NZ52" s="3">
        <f ca="1">IFERROR(__xludf.DUMMYFUNCTION("""COMPUTED_VALUE"""),-0.513884846686915)</f>
        <v>-0.51388484668691503</v>
      </c>
      <c r="OA52" s="3">
        <f ca="1">IFERROR(__xludf.DUMMYFUNCTION("""COMPUTED_VALUE"""),-0.484573626844789)</f>
        <v>-0.484573626844789</v>
      </c>
      <c r="OB52" s="3">
        <f ca="1">IFERROR(__xludf.DUMMYFUNCTION("""COMPUTED_VALUE"""),-0.378889735759108)</f>
        <v>-0.378889735759108</v>
      </c>
      <c r="OC52" s="3">
        <f ca="1">IFERROR(__xludf.DUMMYFUNCTION("""COMPUTED_VALUE"""),-0.260466125609929)</f>
        <v>-0.26046612560992899</v>
      </c>
      <c r="OD52" s="3">
        <f ca="1">IFERROR(__xludf.DUMMYFUNCTION("""COMPUTED_VALUE"""),-0.228797391407564)</f>
        <v>-0.228797391407564</v>
      </c>
      <c r="OE52" s="3">
        <f ca="1">IFERROR(__xludf.DUMMYFUNCTION("""COMPUTED_VALUE"""),-0.22003240511404)</f>
        <v>-0.22003240511403999</v>
      </c>
      <c r="OF52" s="3">
        <f ca="1">IFERROR(__xludf.DUMMYFUNCTION("""COMPUTED_VALUE"""),-0.155623386788933)</f>
        <v>-0.155623386788933</v>
      </c>
      <c r="OG52" s="3">
        <f ca="1">IFERROR(__xludf.DUMMYFUNCTION("""COMPUTED_VALUE"""),-0.123479551462721)</f>
        <v>-0.12347955146272099</v>
      </c>
      <c r="OH52" s="3">
        <f ca="1">IFERROR(__xludf.DUMMYFUNCTION("""COMPUTED_VALUE"""),-0.0985999370129883)</f>
        <v>-9.8599937012988303E-2</v>
      </c>
      <c r="OI52" s="3">
        <f ca="1">IFERROR(__xludf.DUMMYFUNCTION("""COMPUTED_VALUE"""),-0.000553153742157253)</f>
        <v>-5.5315374215725299E-4</v>
      </c>
      <c r="OJ52" s="3">
        <f ca="1">IFERROR(__xludf.DUMMYFUNCTION("""COMPUTED_VALUE"""),0.0134635826504547)</f>
        <v>1.34635826504547E-2</v>
      </c>
      <c r="OK52" s="3">
        <f ca="1">IFERROR(__xludf.DUMMYFUNCTION("""COMPUTED_VALUE"""),-0.0105240679293754)</f>
        <v>-1.0524067929375399E-2</v>
      </c>
      <c r="OL52" s="3">
        <f ca="1">IFERROR(__xludf.DUMMYFUNCTION("""COMPUTED_VALUE"""),-0.0669913060485442)</f>
        <v>-6.6991306048544197E-2</v>
      </c>
      <c r="OM52" s="3">
        <f ca="1">IFERROR(__xludf.DUMMYFUNCTION("""COMPUTED_VALUE"""),-0.0263289538261349)</f>
        <v>-2.6328953826134899E-2</v>
      </c>
      <c r="ON52" s="3">
        <f ca="1">IFERROR(__xludf.DUMMYFUNCTION("""COMPUTED_VALUE"""),-0.0123056776250646)</f>
        <v>-1.23056776250646E-2</v>
      </c>
      <c r="OO52" s="3">
        <f ca="1">IFERROR(__xludf.DUMMYFUNCTION("""COMPUTED_VALUE"""),-0.018270745794703)</f>
        <v>-1.8270745794702999E-2</v>
      </c>
      <c r="OP52" s="3">
        <f ca="1">IFERROR(__xludf.DUMMYFUNCTION("""COMPUTED_VALUE"""),0.00509145572284941)</f>
        <v>5.0914557228494096E-3</v>
      </c>
      <c r="OQ52" s="3">
        <f ca="1">IFERROR(__xludf.DUMMYFUNCTION("""COMPUTED_VALUE"""),0.0458290448095348)</f>
        <v>4.58290448095348E-2</v>
      </c>
      <c r="OR52" s="3">
        <f ca="1">IFERROR(__xludf.DUMMYFUNCTION("""COMPUTED_VALUE"""),-0.0022628092878123)</f>
        <v>-2.2628092878123002E-3</v>
      </c>
      <c r="OS52" s="3">
        <f ca="1">IFERROR(__xludf.DUMMYFUNCTION("""COMPUTED_VALUE"""),-0.00639610848578808)</f>
        <v>-6.3961084857880801E-3</v>
      </c>
      <c r="OT52" s="3">
        <f ca="1">IFERROR(__xludf.DUMMYFUNCTION("""COMPUTED_VALUE"""),-0.0296776370997977)</f>
        <v>-2.9677637099797701E-2</v>
      </c>
      <c r="OU52" s="3">
        <f ca="1">IFERROR(__xludf.DUMMYFUNCTION("""COMPUTED_VALUE"""),0.0179364051381776)</f>
        <v>1.79364051381776E-2</v>
      </c>
      <c r="OV52" s="3">
        <f ca="1">IFERROR(__xludf.DUMMYFUNCTION("""COMPUTED_VALUE"""),-0.0308330586257582)</f>
        <v>-3.0833058625758199E-2</v>
      </c>
      <c r="OW52" s="3">
        <f ca="1">IFERROR(__xludf.DUMMYFUNCTION("""COMPUTED_VALUE"""),0.0635729363925088)</f>
        <v>6.35729363925088E-2</v>
      </c>
      <c r="OX52" s="3">
        <f ca="1">IFERROR(__xludf.DUMMYFUNCTION("""COMPUTED_VALUE"""),0.060194022362388)</f>
        <v>6.0194022362388001E-2</v>
      </c>
      <c r="OY52" s="3">
        <f ca="1">IFERROR(__xludf.DUMMYFUNCTION("""COMPUTED_VALUE"""),0.0243841394518185)</f>
        <v>2.4384139451818498E-2</v>
      </c>
      <c r="OZ52" s="3">
        <f ca="1">IFERROR(__xludf.DUMMYFUNCTION("""COMPUTED_VALUE"""),-0.0128848013301666)</f>
        <v>-1.28848013301666E-2</v>
      </c>
      <c r="PA52" s="3">
        <f ca="1">IFERROR(__xludf.DUMMYFUNCTION("""COMPUTED_VALUE"""),-0.0230355442503754)</f>
        <v>-2.3035544250375399E-2</v>
      </c>
      <c r="PB52" s="3">
        <f ca="1">IFERROR(__xludf.DUMMYFUNCTION("""COMPUTED_VALUE"""),0.0311393513348228)</f>
        <v>3.1139351334822801E-2</v>
      </c>
      <c r="PC52" s="3">
        <f ca="1">IFERROR(__xludf.DUMMYFUNCTION("""COMPUTED_VALUE"""),0.0593638002516134)</f>
        <v>5.9363800251613398E-2</v>
      </c>
      <c r="PD52" s="3">
        <f ca="1">IFERROR(__xludf.DUMMYFUNCTION("""COMPUTED_VALUE"""),-0.0283933499470135)</f>
        <v>-2.8393349947013501E-2</v>
      </c>
      <c r="PE52" s="3">
        <f ca="1">IFERROR(__xludf.DUMMYFUNCTION("""COMPUTED_VALUE"""),0.0140860904793191)</f>
        <v>1.4086090479319101E-2</v>
      </c>
      <c r="PF52" s="3">
        <f ca="1">IFERROR(__xludf.DUMMYFUNCTION("""COMPUTED_VALUE"""),-0.0402257979728094)</f>
        <v>-4.0225797972809403E-2</v>
      </c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</row>
    <row r="53" spans="1:594" ht="13">
      <c r="A53" s="1" t="str">
        <f ca="1">IFERROR(__xludf.DUMMYFUNCTION("""COMPUTED_VALUE"""),"New South Wales, AU")</f>
        <v>New South Wales, AU</v>
      </c>
      <c r="B53" s="3">
        <f ca="1">IFERROR(__xludf.DUMMYFUNCTION("""COMPUTED_VALUE"""),-0.180390140698558)</f>
        <v>-0.18039014069855799</v>
      </c>
      <c r="C53" s="3">
        <f ca="1">IFERROR(__xludf.DUMMYFUNCTION("""COMPUTED_VALUE"""),-0.227524762534124)</f>
        <v>-0.22752476253412399</v>
      </c>
      <c r="D53" s="3">
        <f ca="1">IFERROR(__xludf.DUMMYFUNCTION("""COMPUTED_VALUE"""),-0.272507063588107)</f>
        <v>-0.272507063588107</v>
      </c>
      <c r="E53" s="3">
        <f ca="1">IFERROR(__xludf.DUMMYFUNCTION("""COMPUTED_VALUE"""),-0.354579208128285)</f>
        <v>-0.35457920812828497</v>
      </c>
      <c r="F53" s="3">
        <f ca="1">IFERROR(__xludf.DUMMYFUNCTION("""COMPUTED_VALUE"""),-0.328827510108463)</f>
        <v>-0.32882751010846301</v>
      </c>
      <c r="G53" s="3">
        <f ca="1">IFERROR(__xludf.DUMMYFUNCTION("""COMPUTED_VALUE"""),-0.391409601763362)</f>
        <v>-0.39140960176336198</v>
      </c>
      <c r="H53" s="3">
        <f ca="1">IFERROR(__xludf.DUMMYFUNCTION("""COMPUTED_VALUE"""),-0.431840067800683)</f>
        <v>-0.43184006780068301</v>
      </c>
      <c r="I53" s="3">
        <f ca="1">IFERROR(__xludf.DUMMYFUNCTION("""COMPUTED_VALUE"""),-0.303488977503698)</f>
        <v>-0.30348897750369802</v>
      </c>
      <c r="J53" s="3">
        <f ca="1">IFERROR(__xludf.DUMMYFUNCTION("""COMPUTED_VALUE"""),-0.489367306149951)</f>
        <v>-0.489367306149951</v>
      </c>
      <c r="K53" s="3">
        <f ca="1">IFERROR(__xludf.DUMMYFUNCTION("""COMPUTED_VALUE"""),-0.394859780498229)</f>
        <v>-0.39485978049822901</v>
      </c>
      <c r="L53" s="3">
        <f ca="1">IFERROR(__xludf.DUMMYFUNCTION("""COMPUTED_VALUE"""),-0.106780412459298)</f>
        <v>-0.10678041245929799</v>
      </c>
      <c r="M53" s="3">
        <f ca="1">IFERROR(__xludf.DUMMYFUNCTION("""COMPUTED_VALUE"""),-0.124938416048954)</f>
        <v>-0.124938416048954</v>
      </c>
      <c r="N53" s="3">
        <f ca="1">IFERROR(__xludf.DUMMYFUNCTION("""COMPUTED_VALUE"""),-0.130751994278967)</f>
        <v>-0.130751994278967</v>
      </c>
      <c r="O53" s="3">
        <f ca="1">IFERROR(__xludf.DUMMYFUNCTION("""COMPUTED_VALUE"""),-0.183252138606208)</f>
        <v>-0.18325213860620801</v>
      </c>
      <c r="P53" s="3">
        <f ca="1">IFERROR(__xludf.DUMMYFUNCTION("""COMPUTED_VALUE"""),-0.178862386235306)</f>
        <v>-0.17886238623530601</v>
      </c>
      <c r="Q53" s="3">
        <f ca="1">IFERROR(__xludf.DUMMYFUNCTION("""COMPUTED_VALUE"""),-0.162409174665483)</f>
        <v>-0.16240917466548299</v>
      </c>
      <c r="R53" s="3">
        <f ca="1">IFERROR(__xludf.DUMMYFUNCTION("""COMPUTED_VALUE"""),-0.0402293765511099)</f>
        <v>-4.0229376551109898E-2</v>
      </c>
      <c r="S53" s="3">
        <f ca="1">IFERROR(__xludf.DUMMYFUNCTION("""COMPUTED_VALUE"""),-0.0254289268171149)</f>
        <v>-2.5428926817114901E-2</v>
      </c>
      <c r="T53" s="3">
        <f ca="1">IFERROR(__xludf.DUMMYFUNCTION("""COMPUTED_VALUE"""),-0.0814420608189288)</f>
        <v>-8.1442060818928796E-2</v>
      </c>
      <c r="U53" s="3">
        <f ca="1">IFERROR(__xludf.DUMMYFUNCTION("""COMPUTED_VALUE"""),-0.191479810303131)</f>
        <v>-0.19147981030313099</v>
      </c>
      <c r="V53" s="3">
        <f ca="1">IFERROR(__xludf.DUMMYFUNCTION("""COMPUTED_VALUE"""),-0.17619698239349)</f>
        <v>-0.17619698239348999</v>
      </c>
      <c r="W53" s="3">
        <f ca="1">IFERROR(__xludf.DUMMYFUNCTION("""COMPUTED_VALUE"""),-0.394175250620175)</f>
        <v>-0.394175250620175</v>
      </c>
      <c r="X53" s="3">
        <f ca="1">IFERROR(__xludf.DUMMYFUNCTION("""COMPUTED_VALUE"""),-0.200571516826728)</f>
        <v>-0.200571516826728</v>
      </c>
      <c r="Y53" s="3">
        <f ca="1">IFERROR(__xludf.DUMMYFUNCTION("""COMPUTED_VALUE"""),-0.0956660354191062)</f>
        <v>-9.5666035419106205E-2</v>
      </c>
      <c r="Z53" s="3">
        <f ca="1">IFERROR(__xludf.DUMMYFUNCTION("""COMPUTED_VALUE"""),-0.0632313318283097)</f>
        <v>-6.32313318283097E-2</v>
      </c>
      <c r="AA53" s="3">
        <f ca="1">IFERROR(__xludf.DUMMYFUNCTION("""COMPUTED_VALUE"""),-0.095260406633636)</f>
        <v>-9.5260406633635997E-2</v>
      </c>
      <c r="AB53" s="3">
        <f ca="1">IFERROR(__xludf.DUMMYFUNCTION("""COMPUTED_VALUE"""),-0.103891368521564)</f>
        <v>-0.103891368521564</v>
      </c>
      <c r="AC53" s="3">
        <f ca="1">IFERROR(__xludf.DUMMYFUNCTION("""COMPUTED_VALUE"""),-0.139793642146868)</f>
        <v>-0.13979364214686801</v>
      </c>
      <c r="AD53" s="3">
        <f ca="1">IFERROR(__xludf.DUMMYFUNCTION("""COMPUTED_VALUE"""),-0.170715904207297)</f>
        <v>-0.17071590420729699</v>
      </c>
      <c r="AE53" s="3">
        <f ca="1">IFERROR(__xludf.DUMMYFUNCTION("""COMPUTED_VALUE"""),-0.176535477426523)</f>
        <v>-0.17653547742652301</v>
      </c>
      <c r="AF53" s="3">
        <f ca="1">IFERROR(__xludf.DUMMYFUNCTION("""COMPUTED_VALUE"""),-0.0621704467184428)</f>
        <v>-6.2170446718442803E-2</v>
      </c>
      <c r="AG53" s="3">
        <f ca="1">IFERROR(__xludf.DUMMYFUNCTION("""COMPUTED_VALUE"""),-0.0530999606419136)</f>
        <v>-5.30999606419136E-2</v>
      </c>
      <c r="AH53" s="3">
        <f ca="1">IFERROR(__xludf.DUMMYFUNCTION("""COMPUTED_VALUE"""),-0.107578823643463)</f>
        <v>-0.107578823643463</v>
      </c>
      <c r="AI53" s="3">
        <f ca="1">IFERROR(__xludf.DUMMYFUNCTION("""COMPUTED_VALUE"""),-0.11689402499105)</f>
        <v>-0.11689402499105001</v>
      </c>
      <c r="AJ53" s="3">
        <f ca="1">IFERROR(__xludf.DUMMYFUNCTION("""COMPUTED_VALUE"""),0.00637488940568276)</f>
        <v>6.3748894056827599E-3</v>
      </c>
      <c r="AK53" s="3">
        <f ca="1">IFERROR(__xludf.DUMMYFUNCTION("""COMPUTED_VALUE"""),-0.165275220711985)</f>
        <v>-0.165275220711985</v>
      </c>
      <c r="AL53" s="3">
        <f ca="1">IFERROR(__xludf.DUMMYFUNCTION("""COMPUTED_VALUE"""),-0.245947612088453)</f>
        <v>-0.245947612088453</v>
      </c>
      <c r="AM53" s="3">
        <f ca="1">IFERROR(__xludf.DUMMYFUNCTION("""COMPUTED_VALUE"""),-0.105498176357545)</f>
        <v>-0.10549817635754501</v>
      </c>
      <c r="AN53" s="3">
        <f ca="1">IFERROR(__xludf.DUMMYFUNCTION("""COMPUTED_VALUE"""),-0.0358633222590141)</f>
        <v>-3.5863322259014098E-2</v>
      </c>
      <c r="AO53" s="3">
        <f ca="1">IFERROR(__xludf.DUMMYFUNCTION("""COMPUTED_VALUE"""),-0.0512384882909422)</f>
        <v>-5.12384882909422E-2</v>
      </c>
      <c r="AP53" s="3">
        <f ca="1">IFERROR(__xludf.DUMMYFUNCTION("""COMPUTED_VALUE"""),-0.0692074128424607)</f>
        <v>-6.9207412842460694E-2</v>
      </c>
      <c r="AQ53" s="3">
        <f ca="1">IFERROR(__xludf.DUMMYFUNCTION("""COMPUTED_VALUE"""),-0.0495025113704779)</f>
        <v>-4.9502511370477897E-2</v>
      </c>
      <c r="AR53" s="3">
        <f ca="1">IFERROR(__xludf.DUMMYFUNCTION("""COMPUTED_VALUE"""),-0.106946155127987)</f>
        <v>-0.106946155127987</v>
      </c>
      <c r="AS53" s="3">
        <f ca="1">IFERROR(__xludf.DUMMYFUNCTION("""COMPUTED_VALUE"""),-0.210298383242105)</f>
        <v>-0.21029838324210501</v>
      </c>
      <c r="AT53" s="3">
        <f ca="1">IFERROR(__xludf.DUMMYFUNCTION("""COMPUTED_VALUE"""),-0.0731646016200849)</f>
        <v>-7.3164601620084896E-2</v>
      </c>
      <c r="AU53" s="3">
        <f ca="1">IFERROR(__xludf.DUMMYFUNCTION("""COMPUTED_VALUE"""),-0.162780199042859)</f>
        <v>-0.16278019904285901</v>
      </c>
      <c r="AV53" s="3">
        <f ca="1">IFERROR(__xludf.DUMMYFUNCTION("""COMPUTED_VALUE"""),-0.134410513285029)</f>
        <v>-0.13441051328502901</v>
      </c>
      <c r="AW53" s="3">
        <f ca="1">IFERROR(__xludf.DUMMYFUNCTION("""COMPUTED_VALUE"""),-0.082683294882209)</f>
        <v>-8.2683294882209005E-2</v>
      </c>
      <c r="AX53" s="3">
        <f ca="1">IFERROR(__xludf.DUMMYFUNCTION("""COMPUTED_VALUE"""),-0.123008379768322)</f>
        <v>-0.123008379768322</v>
      </c>
      <c r="AY53" s="3">
        <f ca="1">IFERROR(__xludf.DUMMYFUNCTION("""COMPUTED_VALUE"""),-0.164256878481728)</f>
        <v>-0.16425687848172801</v>
      </c>
      <c r="AZ53" s="3">
        <f ca="1">IFERROR(__xludf.DUMMYFUNCTION("""COMPUTED_VALUE"""),-0.246977694805578)</f>
        <v>-0.24697769480557799</v>
      </c>
      <c r="BA53" s="3">
        <f ca="1">IFERROR(__xludf.DUMMYFUNCTION("""COMPUTED_VALUE"""),-0.160081299482675)</f>
        <v>-0.16008129948267499</v>
      </c>
      <c r="BB53" s="3">
        <f ca="1">IFERROR(__xludf.DUMMYFUNCTION("""COMPUTED_VALUE"""),-0.166281772322912)</f>
        <v>-0.166281772322912</v>
      </c>
      <c r="BC53" s="3">
        <f ca="1">IFERROR(__xludf.DUMMYFUNCTION("""COMPUTED_VALUE"""),-0.109448315874016)</f>
        <v>-0.109448315874016</v>
      </c>
      <c r="BD53" s="3">
        <f ca="1">IFERROR(__xludf.DUMMYFUNCTION("""COMPUTED_VALUE"""),-0.0958950107057502)</f>
        <v>-9.5895010705750197E-2</v>
      </c>
      <c r="BE53" s="3">
        <f ca="1">IFERROR(__xludf.DUMMYFUNCTION("""COMPUTED_VALUE"""),-0.074517554657673)</f>
        <v>-7.4517554657672999E-2</v>
      </c>
      <c r="BF53" s="3">
        <f ca="1">IFERROR(__xludf.DUMMYFUNCTION("""COMPUTED_VALUE"""),-0.101893665946695)</f>
        <v>-0.10189366594669499</v>
      </c>
      <c r="BG53" s="3">
        <f ca="1">IFERROR(__xludf.DUMMYFUNCTION("""COMPUTED_VALUE"""),-0.243693477432951)</f>
        <v>-0.243693477432951</v>
      </c>
      <c r="BH53" s="3">
        <f ca="1">IFERROR(__xludf.DUMMYFUNCTION("""COMPUTED_VALUE"""),-0.103845284538036)</f>
        <v>-0.103845284538036</v>
      </c>
      <c r="BI53" s="3">
        <f ca="1">IFERROR(__xludf.DUMMYFUNCTION("""COMPUTED_VALUE"""),-0.13369385031421)</f>
        <v>-0.13369385031420999</v>
      </c>
      <c r="BJ53" s="3">
        <f ca="1">IFERROR(__xludf.DUMMYFUNCTION("""COMPUTED_VALUE"""),-0.137470392353477)</f>
        <v>-0.13747039235347699</v>
      </c>
      <c r="BK53" s="3">
        <f ca="1">IFERROR(__xludf.DUMMYFUNCTION("""COMPUTED_VALUE"""),-0.112675800019001)</f>
        <v>-0.112675800019001</v>
      </c>
      <c r="BL53" s="3">
        <f ca="1">IFERROR(__xludf.DUMMYFUNCTION("""COMPUTED_VALUE"""),-0.115481599306459)</f>
        <v>-0.115481599306459</v>
      </c>
      <c r="BM53" s="3">
        <f ca="1">IFERROR(__xludf.DUMMYFUNCTION("""COMPUTED_VALUE"""),-0.111608842234131)</f>
        <v>-0.11160884223413101</v>
      </c>
      <c r="BN53" s="3">
        <f ca="1">IFERROR(__xludf.DUMMYFUNCTION("""COMPUTED_VALUE"""),-0.205135744914565)</f>
        <v>-0.20513574491456499</v>
      </c>
      <c r="BO53" s="3">
        <f ca="1">IFERROR(__xludf.DUMMYFUNCTION("""COMPUTED_VALUE"""),-0.102876059591022)</f>
        <v>-0.102876059591022</v>
      </c>
      <c r="BP53" s="3">
        <f ca="1">IFERROR(__xludf.DUMMYFUNCTION("""COMPUTED_VALUE"""),-0.183019249856692)</f>
        <v>-0.18301924985669199</v>
      </c>
      <c r="BQ53" s="3">
        <f ca="1">IFERROR(__xludf.DUMMYFUNCTION("""COMPUTED_VALUE"""),-0.14006418041799)</f>
        <v>-0.14006418041798999</v>
      </c>
      <c r="BR53" s="3">
        <f ca="1">IFERROR(__xludf.DUMMYFUNCTION("""COMPUTED_VALUE"""),-0.157960339526865)</f>
        <v>-0.157960339526865</v>
      </c>
      <c r="BS53" s="3">
        <f ca="1">IFERROR(__xludf.DUMMYFUNCTION("""COMPUTED_VALUE"""),-0.0780675793512298)</f>
        <v>-7.8067579351229793E-2</v>
      </c>
      <c r="BT53" s="3">
        <f ca="1">IFERROR(__xludf.DUMMYFUNCTION("""COMPUTED_VALUE"""),-0.196552872036668)</f>
        <v>-0.19655287203666799</v>
      </c>
      <c r="BU53" s="3">
        <f ca="1">IFERROR(__xludf.DUMMYFUNCTION("""COMPUTED_VALUE"""),-0.298725886664322)</f>
        <v>-0.29872588666432198</v>
      </c>
      <c r="BV53" s="3">
        <f ca="1">IFERROR(__xludf.DUMMYFUNCTION("""COMPUTED_VALUE"""),-0.155017606743652)</f>
        <v>-0.155017606743652</v>
      </c>
      <c r="BW53" s="3">
        <f ca="1">IFERROR(__xludf.DUMMYFUNCTION("""COMPUTED_VALUE"""),-0.373570791243157)</f>
        <v>-0.37357079124315701</v>
      </c>
      <c r="BX53" s="3">
        <f ca="1">IFERROR(__xludf.DUMMYFUNCTION("""COMPUTED_VALUE"""),-0.430016332616529)</f>
        <v>-0.430016332616529</v>
      </c>
      <c r="BY53" s="3">
        <f ca="1">IFERROR(__xludf.DUMMYFUNCTION("""COMPUTED_VALUE"""),-0.469580374514219)</f>
        <v>-0.46958037451421902</v>
      </c>
      <c r="BZ53" s="3">
        <f ca="1">IFERROR(__xludf.DUMMYFUNCTION("""COMPUTED_VALUE"""),-0.314558409949606)</f>
        <v>-0.31455840994960599</v>
      </c>
      <c r="CA53" s="3">
        <f ca="1">IFERROR(__xludf.DUMMYFUNCTION("""COMPUTED_VALUE"""),-0.26892908691153)</f>
        <v>-0.26892908691153</v>
      </c>
      <c r="CB53" s="3">
        <f ca="1">IFERROR(__xludf.DUMMYFUNCTION("""COMPUTED_VALUE"""),-0.223156289575969)</f>
        <v>-0.223156289575969</v>
      </c>
      <c r="CC53" s="3">
        <f ca="1">IFERROR(__xludf.DUMMYFUNCTION("""COMPUTED_VALUE"""),-0.367616555426882)</f>
        <v>-0.36761655542688199</v>
      </c>
      <c r="CD53" s="3">
        <f ca="1">IFERROR(__xludf.DUMMYFUNCTION("""COMPUTED_VALUE"""),-0.402565207700164)</f>
        <v>-0.40256520770016402</v>
      </c>
      <c r="CE53" s="3">
        <f ca="1">IFERROR(__xludf.DUMMYFUNCTION("""COMPUTED_VALUE"""),-0.421873594293361)</f>
        <v>-0.42187359429336102</v>
      </c>
      <c r="CF53" s="3">
        <f ca="1">IFERROR(__xludf.DUMMYFUNCTION("""COMPUTED_VALUE"""),-0.350443524227809)</f>
        <v>-0.350443524227809</v>
      </c>
      <c r="CG53" s="3">
        <f ca="1">IFERROR(__xludf.DUMMYFUNCTION("""COMPUTED_VALUE"""),-0.289690642331518)</f>
        <v>-0.28969064233151798</v>
      </c>
      <c r="CH53" s="3">
        <f ca="1">IFERROR(__xludf.DUMMYFUNCTION("""COMPUTED_VALUE"""),-0.326008444328635)</f>
        <v>-0.32600844432863502</v>
      </c>
      <c r="CI53" s="3">
        <f ca="1">IFERROR(__xludf.DUMMYFUNCTION("""COMPUTED_VALUE"""),-0.283168811443655)</f>
        <v>-0.28316881144365502</v>
      </c>
      <c r="CJ53" s="3">
        <f ca="1">IFERROR(__xludf.DUMMYFUNCTION("""COMPUTED_VALUE"""),-0.379650383135629)</f>
        <v>-0.37965038313562899</v>
      </c>
      <c r="CK53" s="3">
        <f ca="1">IFERROR(__xludf.DUMMYFUNCTION("""COMPUTED_VALUE"""),-0.410457232993718)</f>
        <v>-0.410457232993718</v>
      </c>
      <c r="CL53" s="3">
        <f ca="1">IFERROR(__xludf.DUMMYFUNCTION("""COMPUTED_VALUE"""),-0.335923650958028)</f>
        <v>-0.33592365095802801</v>
      </c>
      <c r="CM53" s="3">
        <f ca="1">IFERROR(__xludf.DUMMYFUNCTION("""COMPUTED_VALUE"""),-0.354274274753059)</f>
        <v>-0.354274274753059</v>
      </c>
      <c r="CN53" s="3">
        <f ca="1">IFERROR(__xludf.DUMMYFUNCTION("""COMPUTED_VALUE"""),-0.344974940133734)</f>
        <v>-0.34497494013373398</v>
      </c>
      <c r="CO53" s="3">
        <f ca="1">IFERROR(__xludf.DUMMYFUNCTION("""COMPUTED_VALUE"""),-0.408861437749597)</f>
        <v>-0.40886143774959699</v>
      </c>
      <c r="CP53" s="3">
        <f ca="1">IFERROR(__xludf.DUMMYFUNCTION("""COMPUTED_VALUE"""),-0.402242197062548)</f>
        <v>-0.40224219706254799</v>
      </c>
      <c r="CQ53" s="3">
        <f ca="1">IFERROR(__xludf.DUMMYFUNCTION("""COMPUTED_VALUE"""),-0.453902718320387)</f>
        <v>-0.45390271832038698</v>
      </c>
      <c r="CR53" s="3">
        <f ca="1">IFERROR(__xludf.DUMMYFUNCTION("""COMPUTED_VALUE"""),-0.4592641222868)</f>
        <v>-0.45926412228680003</v>
      </c>
      <c r="CS53" s="3">
        <f ca="1">IFERROR(__xludf.DUMMYFUNCTION("""COMPUTED_VALUE"""),-0.396106772759769)</f>
        <v>-0.39610677275976902</v>
      </c>
      <c r="CT53" s="3">
        <f ca="1">IFERROR(__xludf.DUMMYFUNCTION("""COMPUTED_VALUE"""),-0.50891588707501)</f>
        <v>-0.50891588707501001</v>
      </c>
      <c r="CU53" s="3">
        <f ca="1">IFERROR(__xludf.DUMMYFUNCTION("""COMPUTED_VALUE"""),-0.457176432363653)</f>
        <v>-0.45717643236365302</v>
      </c>
      <c r="CV53" s="3">
        <f ca="1">IFERROR(__xludf.DUMMYFUNCTION("""COMPUTED_VALUE"""),-0.513095950532947)</f>
        <v>-0.51309595053294699</v>
      </c>
      <c r="CW53" s="3">
        <f ca="1">IFERROR(__xludf.DUMMYFUNCTION("""COMPUTED_VALUE"""),-0.603729901918096)</f>
        <v>-0.60372990191809595</v>
      </c>
      <c r="CX53" s="3">
        <f ca="1">IFERROR(__xludf.DUMMYFUNCTION("""COMPUTED_VALUE"""),-0.595697375394441)</f>
        <v>-0.59569737539444101</v>
      </c>
      <c r="CY53" s="3">
        <f ca="1">IFERROR(__xludf.DUMMYFUNCTION("""COMPUTED_VALUE"""),-0.540337305245011)</f>
        <v>-0.540337305245011</v>
      </c>
      <c r="CZ53" s="3">
        <f ca="1">IFERROR(__xludf.DUMMYFUNCTION("""COMPUTED_VALUE"""),-0.43160324040909)</f>
        <v>-0.43160324040908998</v>
      </c>
      <c r="DA53" s="3">
        <f ca="1">IFERROR(__xludf.DUMMYFUNCTION("""COMPUTED_VALUE"""),-0.513593749557261)</f>
        <v>-0.513593749557261</v>
      </c>
      <c r="DB53" s="3">
        <f ca="1">IFERROR(__xludf.DUMMYFUNCTION("""COMPUTED_VALUE"""),-0.482619374042339)</f>
        <v>-0.48261937404233901</v>
      </c>
      <c r="DC53" s="3">
        <f ca="1">IFERROR(__xludf.DUMMYFUNCTION("""COMPUTED_VALUE"""),-0.384717859960724)</f>
        <v>-0.384717859960724</v>
      </c>
      <c r="DD53" s="3">
        <f ca="1">IFERROR(__xludf.DUMMYFUNCTION("""COMPUTED_VALUE"""),-0.585100348571067)</f>
        <v>-0.58510034857106696</v>
      </c>
      <c r="DE53" s="3">
        <f ca="1">IFERROR(__xludf.DUMMYFUNCTION("""COMPUTED_VALUE"""),-0.722080719833184)</f>
        <v>-0.722080719833184</v>
      </c>
      <c r="DF53" s="3">
        <f ca="1">IFERROR(__xludf.DUMMYFUNCTION("""COMPUTED_VALUE"""),-0.41892636532047)</f>
        <v>-0.41892636532047001</v>
      </c>
      <c r="DG53" s="3">
        <f ca="1">IFERROR(__xludf.DUMMYFUNCTION("""COMPUTED_VALUE"""),-0.416971536398196)</f>
        <v>-0.41697153639819601</v>
      </c>
      <c r="DH53" s="3">
        <f ca="1">IFERROR(__xludf.DUMMYFUNCTION("""COMPUTED_VALUE"""),-0.559557597416311)</f>
        <v>-0.55955759741631095</v>
      </c>
      <c r="DI53" s="3">
        <f ca="1">IFERROR(__xludf.DUMMYFUNCTION("""COMPUTED_VALUE"""),-0.510289217119528)</f>
        <v>-0.51028921711952802</v>
      </c>
      <c r="DJ53" s="3">
        <f ca="1">IFERROR(__xludf.DUMMYFUNCTION("""COMPUTED_VALUE"""),-0.551973688905017)</f>
        <v>-0.55197368890501697</v>
      </c>
      <c r="DK53" s="3">
        <f ca="1">IFERROR(__xludf.DUMMYFUNCTION("""COMPUTED_VALUE"""),-0.483779516013276)</f>
        <v>-0.48377951601327601</v>
      </c>
      <c r="DL53" s="3">
        <f ca="1">IFERROR(__xludf.DUMMYFUNCTION("""COMPUTED_VALUE"""),-0.393333630283175)</f>
        <v>-0.39333363028317497</v>
      </c>
      <c r="DM53" s="3">
        <f ca="1">IFERROR(__xludf.DUMMYFUNCTION("""COMPUTED_VALUE"""),-0.317946098781737)</f>
        <v>-0.31794609878173702</v>
      </c>
      <c r="DN53" s="3">
        <f ca="1">IFERROR(__xludf.DUMMYFUNCTION("""COMPUTED_VALUE"""),-0.270035600673634)</f>
        <v>-0.27003560067363402</v>
      </c>
      <c r="DO53" s="3">
        <f ca="1">IFERROR(__xludf.DUMMYFUNCTION("""COMPUTED_VALUE"""),-0.445375788894213)</f>
        <v>-0.44537578889421298</v>
      </c>
      <c r="DP53" s="3">
        <f ca="1">IFERROR(__xludf.DUMMYFUNCTION("""COMPUTED_VALUE"""),-0.450932730137514)</f>
        <v>-0.450932730137514</v>
      </c>
      <c r="DQ53" s="3">
        <f ca="1">IFERROR(__xludf.DUMMYFUNCTION("""COMPUTED_VALUE"""),-0.333819403483033)</f>
        <v>-0.33381940348303302</v>
      </c>
      <c r="DR53" s="3">
        <f ca="1">IFERROR(__xludf.DUMMYFUNCTION("""COMPUTED_VALUE"""),-0.287079296260266)</f>
        <v>-0.28707929626026601</v>
      </c>
      <c r="DS53" s="3">
        <f ca="1">IFERROR(__xludf.DUMMYFUNCTION("""COMPUTED_VALUE"""),-0.341186234505168)</f>
        <v>-0.341186234505168</v>
      </c>
      <c r="DT53" s="3">
        <f ca="1">IFERROR(__xludf.DUMMYFUNCTION("""COMPUTED_VALUE"""),-0.36458771958239)</f>
        <v>-0.36458771958239</v>
      </c>
      <c r="DU53" s="3">
        <f ca="1">IFERROR(__xludf.DUMMYFUNCTION("""COMPUTED_VALUE"""),-0.384751465262113)</f>
        <v>-0.38475146526211301</v>
      </c>
      <c r="DV53" s="3">
        <f ca="1">IFERROR(__xludf.DUMMYFUNCTION("""COMPUTED_VALUE"""),-0.478272554891977)</f>
        <v>-0.47827255489197701</v>
      </c>
      <c r="DW53" s="3">
        <f ca="1">IFERROR(__xludf.DUMMYFUNCTION("""COMPUTED_VALUE"""),-0.541627812848226)</f>
        <v>-0.54162781284822603</v>
      </c>
      <c r="DX53" s="3">
        <f ca="1">IFERROR(__xludf.DUMMYFUNCTION("""COMPUTED_VALUE"""),-0.300712278132554)</f>
        <v>-0.30071227813255402</v>
      </c>
      <c r="DY53" s="3">
        <f ca="1">IFERROR(__xludf.DUMMYFUNCTION("""COMPUTED_VALUE"""),-0.452190123081305)</f>
        <v>-0.45219012308130502</v>
      </c>
      <c r="DZ53" s="3">
        <f ca="1">IFERROR(__xludf.DUMMYFUNCTION("""COMPUTED_VALUE"""),-0.396051467191643)</f>
        <v>-0.39605146719164303</v>
      </c>
      <c r="EA53" s="3">
        <f ca="1">IFERROR(__xludf.DUMMYFUNCTION("""COMPUTED_VALUE"""),-0.440549295559931)</f>
        <v>-0.440549295559931</v>
      </c>
      <c r="EB53" s="3">
        <f ca="1">IFERROR(__xludf.DUMMYFUNCTION("""COMPUTED_VALUE"""),-0.441555862119017)</f>
        <v>-0.44155586211901698</v>
      </c>
      <c r="EC53" s="3">
        <f ca="1">IFERROR(__xludf.DUMMYFUNCTION("""COMPUTED_VALUE"""),-0.493418520879342)</f>
        <v>-0.49341852087934202</v>
      </c>
      <c r="ED53" s="3">
        <f ca="1">IFERROR(__xludf.DUMMYFUNCTION("""COMPUTED_VALUE"""),-0.602165454474777)</f>
        <v>-0.60216545447477698</v>
      </c>
      <c r="EE53" s="3">
        <f ca="1">IFERROR(__xludf.DUMMYFUNCTION("""COMPUTED_VALUE"""),-0.329382617723835)</f>
        <v>-0.32938261772383498</v>
      </c>
      <c r="EF53" s="3">
        <f ca="1">IFERROR(__xludf.DUMMYFUNCTION("""COMPUTED_VALUE"""),-0.42408895305306)</f>
        <v>-0.42408895305305999</v>
      </c>
      <c r="EG53" s="3">
        <f ca="1">IFERROR(__xludf.DUMMYFUNCTION("""COMPUTED_VALUE"""),-0.40298959993434)</f>
        <v>-0.40298959993434003</v>
      </c>
      <c r="EH53" s="3">
        <f ca="1">IFERROR(__xludf.DUMMYFUNCTION("""COMPUTED_VALUE"""),-0.397347110011856)</f>
        <v>-0.39734711001185602</v>
      </c>
      <c r="EI53" s="3">
        <f ca="1">IFERROR(__xludf.DUMMYFUNCTION("""COMPUTED_VALUE"""),-0.371201241520315)</f>
        <v>-0.37120124152031497</v>
      </c>
      <c r="EJ53" s="3">
        <f ca="1">IFERROR(__xludf.DUMMYFUNCTION("""COMPUTED_VALUE"""),-0.425774758287091)</f>
        <v>-0.42577475828709099</v>
      </c>
      <c r="EK53" s="3">
        <f ca="1">IFERROR(__xludf.DUMMYFUNCTION("""COMPUTED_VALUE"""),-0.505046660502845)</f>
        <v>-0.50504666050284497</v>
      </c>
      <c r="EL53" s="3">
        <f ca="1">IFERROR(__xludf.DUMMYFUNCTION("""COMPUTED_VALUE"""),-0.382673642236226)</f>
        <v>-0.38267364223622602</v>
      </c>
      <c r="EM53" s="3">
        <f ca="1">IFERROR(__xludf.DUMMYFUNCTION("""COMPUTED_VALUE"""),-0.446061710374416)</f>
        <v>-0.446061710374416</v>
      </c>
      <c r="EN53" s="3">
        <f ca="1">IFERROR(__xludf.DUMMYFUNCTION("""COMPUTED_VALUE"""),-0.415393316237523)</f>
        <v>-0.41539331623752301</v>
      </c>
      <c r="EO53" s="3">
        <f ca="1">IFERROR(__xludf.DUMMYFUNCTION("""COMPUTED_VALUE"""),-0.417904434096034)</f>
        <v>-0.41790443409603401</v>
      </c>
      <c r="EP53" s="3">
        <f ca="1">IFERROR(__xludf.DUMMYFUNCTION("""COMPUTED_VALUE"""),-0.399292633348808)</f>
        <v>-0.39929263334880799</v>
      </c>
      <c r="EQ53" s="3">
        <f ca="1">IFERROR(__xludf.DUMMYFUNCTION("""COMPUTED_VALUE"""),-0.402843285549145)</f>
        <v>-0.402843285549145</v>
      </c>
      <c r="ER53" s="3">
        <f ca="1">IFERROR(__xludf.DUMMYFUNCTION("""COMPUTED_VALUE"""),-0.404784862202726)</f>
        <v>-0.40478486220272603</v>
      </c>
      <c r="ES53" s="3">
        <f ca="1">IFERROR(__xludf.DUMMYFUNCTION("""COMPUTED_VALUE"""),-0.310189094556775)</f>
        <v>-0.31018909455677501</v>
      </c>
      <c r="ET53" s="3">
        <f ca="1">IFERROR(__xludf.DUMMYFUNCTION("""COMPUTED_VALUE"""),-0.419633627329271)</f>
        <v>-0.41963362732927101</v>
      </c>
      <c r="EU53" s="3">
        <f ca="1">IFERROR(__xludf.DUMMYFUNCTION("""COMPUTED_VALUE"""),-0.39490890242567)</f>
        <v>-0.39490890242567001</v>
      </c>
      <c r="EV53" s="3">
        <f ca="1">IFERROR(__xludf.DUMMYFUNCTION("""COMPUTED_VALUE"""),-0.422083082535627)</f>
        <v>-0.42208308253562699</v>
      </c>
      <c r="EW53" s="3">
        <f ca="1">IFERROR(__xludf.DUMMYFUNCTION("""COMPUTED_VALUE"""),-0.327713079120263)</f>
        <v>-0.32771307912026298</v>
      </c>
      <c r="EX53" s="3">
        <f ca="1">IFERROR(__xludf.DUMMYFUNCTION("""COMPUTED_VALUE"""),-0.341382386014997)</f>
        <v>-0.34138238601499699</v>
      </c>
      <c r="EY53" s="3">
        <f ca="1">IFERROR(__xludf.DUMMYFUNCTION("""COMPUTED_VALUE"""),-0.382957851114363)</f>
        <v>-0.38295785111436298</v>
      </c>
      <c r="EZ53" s="3">
        <f ca="1">IFERROR(__xludf.DUMMYFUNCTION("""COMPUTED_VALUE"""),-0.431828322168086)</f>
        <v>-0.43182832216808598</v>
      </c>
      <c r="FA53" s="3">
        <f ca="1">IFERROR(__xludf.DUMMYFUNCTION("""COMPUTED_VALUE"""),-0.466019637730887)</f>
        <v>-0.466019637730887</v>
      </c>
      <c r="FB53" s="3">
        <f ca="1">IFERROR(__xludf.DUMMYFUNCTION("""COMPUTED_VALUE"""),-0.431911385473831)</f>
        <v>-0.43191138547383101</v>
      </c>
      <c r="FC53" s="3">
        <f ca="1">IFERROR(__xludf.DUMMYFUNCTION("""COMPUTED_VALUE"""),-0.435901498055789)</f>
        <v>-0.43590149805578898</v>
      </c>
      <c r="FD53" s="3">
        <f ca="1">IFERROR(__xludf.DUMMYFUNCTION("""COMPUTED_VALUE"""),-0.385717357198546)</f>
        <v>-0.385717357198546</v>
      </c>
      <c r="FE53" s="3">
        <f ca="1">IFERROR(__xludf.DUMMYFUNCTION("""COMPUTED_VALUE"""),-0.299015842660008)</f>
        <v>-0.29901584266000802</v>
      </c>
      <c r="FF53" s="3">
        <f ca="1">IFERROR(__xludf.DUMMYFUNCTION("""COMPUTED_VALUE"""),-0.339268256896988)</f>
        <v>-0.33926825689698797</v>
      </c>
      <c r="FG53" s="3">
        <f ca="1">IFERROR(__xludf.DUMMYFUNCTION("""COMPUTED_VALUE"""),-0.501528146523833)</f>
        <v>-0.50152814652383304</v>
      </c>
      <c r="FH53" s="3">
        <f ca="1">IFERROR(__xludf.DUMMYFUNCTION("""COMPUTED_VALUE"""),-0.422770545133357)</f>
        <v>-0.42277054513335699</v>
      </c>
      <c r="FI53" s="3">
        <f ca="1">IFERROR(__xludf.DUMMYFUNCTION("""COMPUTED_VALUE"""),-0.407917740392669)</f>
        <v>-0.40791774039266898</v>
      </c>
      <c r="FJ53" s="3">
        <f ca="1">IFERROR(__xludf.DUMMYFUNCTION("""COMPUTED_VALUE"""),-0.437824743019101)</f>
        <v>-0.43782474301910101</v>
      </c>
      <c r="FK53" s="3">
        <f ca="1">IFERROR(__xludf.DUMMYFUNCTION("""COMPUTED_VALUE"""),-0.408332540811359)</f>
        <v>-0.408332540811359</v>
      </c>
      <c r="FL53" s="3">
        <f ca="1">IFERROR(__xludf.DUMMYFUNCTION("""COMPUTED_VALUE"""),-0.473625116989746)</f>
        <v>-0.47362511698974602</v>
      </c>
      <c r="FM53" s="3">
        <f ca="1">IFERROR(__xludf.DUMMYFUNCTION("""COMPUTED_VALUE"""),-0.471975434288613)</f>
        <v>-0.47197543428861299</v>
      </c>
      <c r="FN53" s="3">
        <f ca="1">IFERROR(__xludf.DUMMYFUNCTION("""COMPUTED_VALUE"""),-0.466535418171629)</f>
        <v>-0.46653541817162902</v>
      </c>
      <c r="FO53" s="3">
        <f ca="1">IFERROR(__xludf.DUMMYFUNCTION("""COMPUTED_VALUE"""),-0.400641237412298)</f>
        <v>-0.40064123741229801</v>
      </c>
      <c r="FP53" s="3">
        <f ca="1">IFERROR(__xludf.DUMMYFUNCTION("""COMPUTED_VALUE"""),-0.454688203162522)</f>
        <v>-0.45468820316252201</v>
      </c>
      <c r="FQ53" s="3">
        <f ca="1">IFERROR(__xludf.DUMMYFUNCTION("""COMPUTED_VALUE"""),-0.418523208455709)</f>
        <v>-0.41852320845570901</v>
      </c>
      <c r="FR53" s="3">
        <f ca="1">IFERROR(__xludf.DUMMYFUNCTION("""COMPUTED_VALUE"""),-0.382211293876917)</f>
        <v>-0.38221129387691699</v>
      </c>
      <c r="FS53" s="3">
        <f ca="1">IFERROR(__xludf.DUMMYFUNCTION("""COMPUTED_VALUE"""),-0.401111192944828)</f>
        <v>-0.401111192944828</v>
      </c>
      <c r="FT53" s="3">
        <f ca="1">IFERROR(__xludf.DUMMYFUNCTION("""COMPUTED_VALUE"""),-0.477064696010563)</f>
        <v>-0.47706469601056301</v>
      </c>
      <c r="FU53" s="3">
        <f ca="1">IFERROR(__xludf.DUMMYFUNCTION("""COMPUTED_VALUE"""),-0.543821210025242)</f>
        <v>-0.54382121002524197</v>
      </c>
      <c r="FV53" s="3">
        <f ca="1">IFERROR(__xludf.DUMMYFUNCTION("""COMPUTED_VALUE"""),-0.467647360581581)</f>
        <v>-0.46764736058158102</v>
      </c>
      <c r="FW53" s="3">
        <f ca="1">IFERROR(__xludf.DUMMYFUNCTION("""COMPUTED_VALUE"""),-0.465074454476942)</f>
        <v>-0.46507445447694201</v>
      </c>
      <c r="FX53" s="3">
        <f ca="1">IFERROR(__xludf.DUMMYFUNCTION("""COMPUTED_VALUE"""),-0.449965261200417)</f>
        <v>-0.44996526120041702</v>
      </c>
      <c r="FY53" s="3">
        <f ca="1">IFERROR(__xludf.DUMMYFUNCTION("""COMPUTED_VALUE"""),-0.389581300437875)</f>
        <v>-0.38958130043787498</v>
      </c>
      <c r="FZ53" s="3">
        <f ca="1">IFERROR(__xludf.DUMMYFUNCTION("""COMPUTED_VALUE"""),-0.39449278101745)</f>
        <v>-0.39449278101745</v>
      </c>
      <c r="GA53" s="3">
        <f ca="1">IFERROR(__xludf.DUMMYFUNCTION("""COMPUTED_VALUE"""),-0.428288676685943)</f>
        <v>-0.428288676685943</v>
      </c>
      <c r="GB53" s="3">
        <f ca="1">IFERROR(__xludf.DUMMYFUNCTION("""COMPUTED_VALUE"""),-0.471366079129378)</f>
        <v>-0.471366079129378</v>
      </c>
      <c r="GC53" s="3">
        <f ca="1">IFERROR(__xludf.DUMMYFUNCTION("""COMPUTED_VALUE"""),-0.46700871829478)</f>
        <v>-0.46700871829478002</v>
      </c>
      <c r="GD53" s="3">
        <f ca="1">IFERROR(__xludf.DUMMYFUNCTION("""COMPUTED_VALUE"""),-0.432808920433837)</f>
        <v>-0.43280892043383701</v>
      </c>
      <c r="GE53" s="3">
        <f ca="1">IFERROR(__xludf.DUMMYFUNCTION("""COMPUTED_VALUE"""),-0.54995888903871)</f>
        <v>-0.54995888903871004</v>
      </c>
      <c r="GF53" s="3">
        <f ca="1">IFERROR(__xludf.DUMMYFUNCTION("""COMPUTED_VALUE"""),-0.499007902753202)</f>
        <v>-0.499007902753202</v>
      </c>
      <c r="GG53" s="3">
        <f ca="1">IFERROR(__xludf.DUMMYFUNCTION("""COMPUTED_VALUE"""),-0.414697552393584)</f>
        <v>-0.41469755239358402</v>
      </c>
      <c r="GH53" s="3">
        <f ca="1">IFERROR(__xludf.DUMMYFUNCTION("""COMPUTED_VALUE"""),-0.454272435010491)</f>
        <v>-0.45427243501049103</v>
      </c>
      <c r="GI53" s="3">
        <f ca="1">IFERROR(__xludf.DUMMYFUNCTION("""COMPUTED_VALUE"""),-0.359944822765341)</f>
        <v>-0.35994482276534101</v>
      </c>
      <c r="GJ53" s="3">
        <f ca="1">IFERROR(__xludf.DUMMYFUNCTION("""COMPUTED_VALUE"""),-0.33794170757613)</f>
        <v>-0.33794170757613001</v>
      </c>
      <c r="GK53" s="3">
        <f ca="1">IFERROR(__xludf.DUMMYFUNCTION("""COMPUTED_VALUE"""),-0.449131224282268)</f>
        <v>-0.44913122428226798</v>
      </c>
      <c r="GL53" s="3">
        <f ca="1">IFERROR(__xludf.DUMMYFUNCTION("""COMPUTED_VALUE"""),-0.503896422352364)</f>
        <v>-0.50389642235236398</v>
      </c>
      <c r="GM53" s="3">
        <f ca="1">IFERROR(__xludf.DUMMYFUNCTION("""COMPUTED_VALUE"""),-0.443335337454763)</f>
        <v>-0.443335337454763</v>
      </c>
      <c r="GN53" s="3">
        <f ca="1">IFERROR(__xludf.DUMMYFUNCTION("""COMPUTED_VALUE"""),-0.417561775152439)</f>
        <v>-0.41756177515243897</v>
      </c>
      <c r="GO53" s="3">
        <f ca="1">IFERROR(__xludf.DUMMYFUNCTION("""COMPUTED_VALUE"""),-0.447399219108207)</f>
        <v>-0.44739921910820701</v>
      </c>
      <c r="GP53" s="3">
        <f ca="1">IFERROR(__xludf.DUMMYFUNCTION("""COMPUTED_VALUE"""),-0.494188518526921)</f>
        <v>-0.49418851852692097</v>
      </c>
      <c r="GQ53" s="3">
        <f ca="1">IFERROR(__xludf.DUMMYFUNCTION("""COMPUTED_VALUE"""),-0.342589709094479)</f>
        <v>-0.342589709094479</v>
      </c>
      <c r="GR53" s="3">
        <f ca="1">IFERROR(__xludf.DUMMYFUNCTION("""COMPUTED_VALUE"""),-0.387496294396491)</f>
        <v>-0.38749629439649103</v>
      </c>
      <c r="GS53" s="3">
        <f ca="1">IFERROR(__xludf.DUMMYFUNCTION("""COMPUTED_VALUE"""),-0.360859015392511)</f>
        <v>-0.36085901539251097</v>
      </c>
      <c r="GT53" s="3">
        <f ca="1">IFERROR(__xludf.DUMMYFUNCTION("""COMPUTED_VALUE"""),-0.319867753863743)</f>
        <v>-0.319867753863743</v>
      </c>
      <c r="GU53" s="3">
        <f ca="1">IFERROR(__xludf.DUMMYFUNCTION("""COMPUTED_VALUE"""),-0.377841447462915)</f>
        <v>-0.37784144746291498</v>
      </c>
      <c r="GV53" s="3">
        <f ca="1">IFERROR(__xludf.DUMMYFUNCTION("""COMPUTED_VALUE"""),-0.414881930763006)</f>
        <v>-0.414881930763006</v>
      </c>
      <c r="GW53" s="3">
        <f ca="1">IFERROR(__xludf.DUMMYFUNCTION("""COMPUTED_VALUE"""),-0.34179021299959)</f>
        <v>-0.34179021299959</v>
      </c>
      <c r="GX53" s="3">
        <f ca="1">IFERROR(__xludf.DUMMYFUNCTION("""COMPUTED_VALUE"""),-0.394751916692643)</f>
        <v>-0.39475191669264298</v>
      </c>
      <c r="GY53" s="3">
        <f ca="1">IFERROR(__xludf.DUMMYFUNCTION("""COMPUTED_VALUE"""),-0.311195217969616)</f>
        <v>-0.31119521796961602</v>
      </c>
      <c r="GZ53" s="3">
        <f ca="1">IFERROR(__xludf.DUMMYFUNCTION("""COMPUTED_VALUE"""),-0.313593130616074)</f>
        <v>-0.31359313061607402</v>
      </c>
      <c r="HA53" s="3">
        <f ca="1">IFERROR(__xludf.DUMMYFUNCTION("""COMPUTED_VALUE"""),-0.303938900792763)</f>
        <v>-0.30393890079276298</v>
      </c>
      <c r="HB53" s="3">
        <f ca="1">IFERROR(__xludf.DUMMYFUNCTION("""COMPUTED_VALUE"""),-0.39378387827843)</f>
        <v>-0.39378387827842998</v>
      </c>
      <c r="HC53" s="3">
        <f ca="1">IFERROR(__xludf.DUMMYFUNCTION("""COMPUTED_VALUE"""),-0.358917617693188)</f>
        <v>-0.35891761769318797</v>
      </c>
      <c r="HD53" s="3">
        <f ca="1">IFERROR(__xludf.DUMMYFUNCTION("""COMPUTED_VALUE"""),-0.324446799996394)</f>
        <v>-0.32444679999639398</v>
      </c>
      <c r="HE53" s="3">
        <f ca="1">IFERROR(__xludf.DUMMYFUNCTION("""COMPUTED_VALUE"""),-0.350706520952833)</f>
        <v>-0.350706520952833</v>
      </c>
      <c r="HF53" s="3">
        <f ca="1">IFERROR(__xludf.DUMMYFUNCTION("""COMPUTED_VALUE"""),-0.386743511039752)</f>
        <v>-0.38674351103975202</v>
      </c>
      <c r="HG53" s="3">
        <f ca="1">IFERROR(__xludf.DUMMYFUNCTION("""COMPUTED_VALUE"""),-0.404406381363857)</f>
        <v>-0.40440638136385698</v>
      </c>
      <c r="HH53" s="3">
        <f ca="1">IFERROR(__xludf.DUMMYFUNCTION("""COMPUTED_VALUE"""),-0.320820457576092)</f>
        <v>-0.32082045757609201</v>
      </c>
      <c r="HI53" s="3">
        <f ca="1">IFERROR(__xludf.DUMMYFUNCTION("""COMPUTED_VALUE"""),-0.34898357003024)</f>
        <v>-0.34898357003024</v>
      </c>
      <c r="HJ53" s="3">
        <f ca="1">IFERROR(__xludf.DUMMYFUNCTION("""COMPUTED_VALUE"""),-0.424887544180475)</f>
        <v>-0.42488754418047497</v>
      </c>
      <c r="HK53" s="3">
        <f ca="1">IFERROR(__xludf.DUMMYFUNCTION("""COMPUTED_VALUE"""),-0.425899297137772)</f>
        <v>-0.42589929713777203</v>
      </c>
      <c r="HL53" s="3">
        <f ca="1">IFERROR(__xludf.DUMMYFUNCTION("""COMPUTED_VALUE"""),-0.423266397231078)</f>
        <v>-0.42326639723107801</v>
      </c>
      <c r="HM53" s="3">
        <f ca="1">IFERROR(__xludf.DUMMYFUNCTION("""COMPUTED_VALUE"""),-0.337376707626819)</f>
        <v>-0.33737670762681898</v>
      </c>
      <c r="HN53" s="3">
        <f ca="1">IFERROR(__xludf.DUMMYFUNCTION("""COMPUTED_VALUE"""),-0.379782581512152)</f>
        <v>-0.379782581512152</v>
      </c>
      <c r="HO53" s="3">
        <f ca="1">IFERROR(__xludf.DUMMYFUNCTION("""COMPUTED_VALUE"""),-0.350626412201699)</f>
        <v>-0.35062641220169899</v>
      </c>
      <c r="HP53" s="3">
        <f ca="1">IFERROR(__xludf.DUMMYFUNCTION("""COMPUTED_VALUE"""),-0.397746085451418)</f>
        <v>-0.39774608545141799</v>
      </c>
      <c r="HQ53" s="3">
        <f ca="1">IFERROR(__xludf.DUMMYFUNCTION("""COMPUTED_VALUE"""),-0.401792083751407)</f>
        <v>-0.40179208375140701</v>
      </c>
      <c r="HR53" s="3">
        <f ca="1">IFERROR(__xludf.DUMMYFUNCTION("""COMPUTED_VALUE"""),-0.440031101626032)</f>
        <v>-0.44003110162603198</v>
      </c>
      <c r="HS53" s="3">
        <f ca="1">IFERROR(__xludf.DUMMYFUNCTION("""COMPUTED_VALUE"""),-0.433592266720079)</f>
        <v>-0.433592266720079</v>
      </c>
      <c r="HT53" s="3">
        <f ca="1">IFERROR(__xludf.DUMMYFUNCTION("""COMPUTED_VALUE"""),-0.423917398811834)</f>
        <v>-0.42391739881183399</v>
      </c>
      <c r="HU53" s="3">
        <f ca="1">IFERROR(__xludf.DUMMYFUNCTION("""COMPUTED_VALUE"""),-0.432696980616413)</f>
        <v>-0.43269698061641299</v>
      </c>
      <c r="HV53" s="3">
        <f ca="1">IFERROR(__xludf.DUMMYFUNCTION("""COMPUTED_VALUE"""),-0.453876019589024)</f>
        <v>-0.45387601958902402</v>
      </c>
      <c r="HW53" s="3">
        <f ca="1">IFERROR(__xludf.DUMMYFUNCTION("""COMPUTED_VALUE"""),-0.418488908866826)</f>
        <v>-0.41848890886682599</v>
      </c>
      <c r="HX53" s="3">
        <f ca="1">IFERROR(__xludf.DUMMYFUNCTION("""COMPUTED_VALUE"""),-0.368681935851469)</f>
        <v>-0.36868193585146902</v>
      </c>
      <c r="HY53" s="3">
        <f ca="1">IFERROR(__xludf.DUMMYFUNCTION("""COMPUTED_VALUE"""),-0.449288887874333)</f>
        <v>-0.44928888787433302</v>
      </c>
      <c r="HZ53" s="3">
        <f ca="1">IFERROR(__xludf.DUMMYFUNCTION("""COMPUTED_VALUE"""),-0.490127732581599)</f>
        <v>-0.49012773258159897</v>
      </c>
      <c r="IA53" s="3">
        <f ca="1">IFERROR(__xludf.DUMMYFUNCTION("""COMPUTED_VALUE"""),-0.440061495720981)</f>
        <v>-0.44006149572098102</v>
      </c>
      <c r="IB53" s="3">
        <f ca="1">IFERROR(__xludf.DUMMYFUNCTION("""COMPUTED_VALUE"""),-0.43106424026104)</f>
        <v>-0.43106424026104001</v>
      </c>
      <c r="IC53" s="3">
        <f ca="1">IFERROR(__xludf.DUMMYFUNCTION("""COMPUTED_VALUE"""),-0.402817860055733)</f>
        <v>-0.402817860055733</v>
      </c>
      <c r="ID53" s="3">
        <f ca="1">IFERROR(__xludf.DUMMYFUNCTION("""COMPUTED_VALUE"""),-0.403127583446795)</f>
        <v>-0.403127583446795</v>
      </c>
      <c r="IE53" s="3">
        <f ca="1">IFERROR(__xludf.DUMMYFUNCTION("""COMPUTED_VALUE"""),-0.381184104426317)</f>
        <v>-0.38118410442631701</v>
      </c>
      <c r="IF53" s="3">
        <f ca="1">IFERROR(__xludf.DUMMYFUNCTION("""COMPUTED_VALUE"""),-0.413837726392301)</f>
        <v>-0.41383772639230099</v>
      </c>
      <c r="IG53" s="3">
        <f ca="1">IFERROR(__xludf.DUMMYFUNCTION("""COMPUTED_VALUE"""),-0.499659788148664)</f>
        <v>-0.49965978814866402</v>
      </c>
      <c r="IH53" s="3">
        <f ca="1">IFERROR(__xludf.DUMMYFUNCTION("""COMPUTED_VALUE"""),-0.42417426198177)</f>
        <v>-0.42417426198177</v>
      </c>
      <c r="II53" s="3">
        <f ca="1">IFERROR(__xludf.DUMMYFUNCTION("""COMPUTED_VALUE"""),-0.449887978019094)</f>
        <v>-0.44988797801909403</v>
      </c>
      <c r="IJ53" s="3">
        <f ca="1">IFERROR(__xludf.DUMMYFUNCTION("""COMPUTED_VALUE"""),-0.454379159923388)</f>
        <v>-0.45437915992338801</v>
      </c>
      <c r="IK53" s="3">
        <f ca="1">IFERROR(__xludf.DUMMYFUNCTION("""COMPUTED_VALUE"""),-0.45651816109687)</f>
        <v>-0.45651816109686999</v>
      </c>
      <c r="IL53" s="3">
        <f ca="1">IFERROR(__xludf.DUMMYFUNCTION("""COMPUTED_VALUE"""),-0.523755378469073)</f>
        <v>-0.52375537846907305</v>
      </c>
      <c r="IM53" s="3">
        <f ca="1">IFERROR(__xludf.DUMMYFUNCTION("""COMPUTED_VALUE"""),-0.544030135963474)</f>
        <v>-0.54403013596347405</v>
      </c>
      <c r="IN53" s="3">
        <f ca="1">IFERROR(__xludf.DUMMYFUNCTION("""COMPUTED_VALUE"""),-0.538061899134195)</f>
        <v>-0.538061899134195</v>
      </c>
      <c r="IO53" s="3">
        <f ca="1">IFERROR(__xludf.DUMMYFUNCTION("""COMPUTED_VALUE"""),-0.475045341272683)</f>
        <v>-0.475045341272683</v>
      </c>
      <c r="IP53" s="3">
        <f ca="1">IFERROR(__xludf.DUMMYFUNCTION("""COMPUTED_VALUE"""),-0.466474724590596)</f>
        <v>-0.46647472459059602</v>
      </c>
      <c r="IQ53" s="3">
        <f ca="1">IFERROR(__xludf.DUMMYFUNCTION("""COMPUTED_VALUE"""),-0.432482440913581)</f>
        <v>-0.43248244091358101</v>
      </c>
      <c r="IR53" s="3">
        <f ca="1">IFERROR(__xludf.DUMMYFUNCTION("""COMPUTED_VALUE"""),-0.397110778293867)</f>
        <v>-0.39711077829386698</v>
      </c>
      <c r="IS53" s="3">
        <f ca="1">IFERROR(__xludf.DUMMYFUNCTION("""COMPUTED_VALUE"""),-0.504925748889137)</f>
        <v>-0.50492574888913699</v>
      </c>
      <c r="IT53" s="3">
        <f ca="1">IFERROR(__xludf.DUMMYFUNCTION("""COMPUTED_VALUE"""),-0.456886304496055)</f>
        <v>-0.456886304496055</v>
      </c>
      <c r="IU53" s="3">
        <f ca="1">IFERROR(__xludf.DUMMYFUNCTION("""COMPUTED_VALUE"""),-0.425107416787713)</f>
        <v>-0.42510741678771302</v>
      </c>
      <c r="IV53" s="3">
        <f ca="1">IFERROR(__xludf.DUMMYFUNCTION("""COMPUTED_VALUE"""),-0.422785048046544)</f>
        <v>-0.42278504804654399</v>
      </c>
      <c r="IW53" s="3">
        <f ca="1">IFERROR(__xludf.DUMMYFUNCTION("""COMPUTED_VALUE"""),-0.41421438220545)</f>
        <v>-0.41421438220544998</v>
      </c>
      <c r="IX53" s="3">
        <f ca="1">IFERROR(__xludf.DUMMYFUNCTION("""COMPUTED_VALUE"""),-0.422006827586499)</f>
        <v>-0.42200682758649899</v>
      </c>
      <c r="IY53" s="3">
        <f ca="1">IFERROR(__xludf.DUMMYFUNCTION("""COMPUTED_VALUE"""),-0.438323713168157)</f>
        <v>-0.43832371316815699</v>
      </c>
      <c r="IZ53" s="3">
        <f ca="1">IFERROR(__xludf.DUMMYFUNCTION("""COMPUTED_VALUE"""),-0.536710586417274)</f>
        <v>-0.53671058641727398</v>
      </c>
      <c r="JA53" s="3">
        <f ca="1">IFERROR(__xludf.DUMMYFUNCTION("""COMPUTED_VALUE"""),-0.538837301315262)</f>
        <v>-0.53883730131526197</v>
      </c>
      <c r="JB53" s="3">
        <f ca="1">IFERROR(__xludf.DUMMYFUNCTION("""COMPUTED_VALUE"""),-0.390569182035366)</f>
        <v>-0.390569182035366</v>
      </c>
      <c r="JC53" s="3">
        <f ca="1">IFERROR(__xludf.DUMMYFUNCTION("""COMPUTED_VALUE"""),-0.349370184453409)</f>
        <v>-0.34937018445340901</v>
      </c>
      <c r="JD53" s="3">
        <f ca="1">IFERROR(__xludf.DUMMYFUNCTION("""COMPUTED_VALUE"""),-0.395986640073545)</f>
        <v>-0.395986640073545</v>
      </c>
      <c r="JE53" s="3">
        <f ca="1">IFERROR(__xludf.DUMMYFUNCTION("""COMPUTED_VALUE"""),-0.412534743721344)</f>
        <v>-0.41253474372134402</v>
      </c>
      <c r="JF53" s="3">
        <f ca="1">IFERROR(__xludf.DUMMYFUNCTION("""COMPUTED_VALUE"""),-0.400753832251341)</f>
        <v>-0.40075383225134098</v>
      </c>
      <c r="JG53" s="3">
        <f ca="1">IFERROR(__xludf.DUMMYFUNCTION("""COMPUTED_VALUE"""),-0.503033835957721)</f>
        <v>-0.503033835957721</v>
      </c>
      <c r="JH53" s="3">
        <f ca="1">IFERROR(__xludf.DUMMYFUNCTION("""COMPUTED_VALUE"""),-0.382444447931577)</f>
        <v>-0.382444447931577</v>
      </c>
      <c r="JI53" s="3">
        <f ca="1">IFERROR(__xludf.DUMMYFUNCTION("""COMPUTED_VALUE"""),-0.427772569285481)</f>
        <v>-0.42777256928548102</v>
      </c>
      <c r="JJ53" s="3">
        <f ca="1">IFERROR(__xludf.DUMMYFUNCTION("""COMPUTED_VALUE"""),-0.491329607051138)</f>
        <v>-0.49132960705113798</v>
      </c>
      <c r="JK53" s="3">
        <f ca="1">IFERROR(__xludf.DUMMYFUNCTION("""COMPUTED_VALUE"""),-0.485909087144107)</f>
        <v>-0.48590908714410702</v>
      </c>
      <c r="JL53" s="3">
        <f ca="1">IFERROR(__xludf.DUMMYFUNCTION("""COMPUTED_VALUE"""),-0.489501901480244)</f>
        <v>-0.48950190148024397</v>
      </c>
      <c r="JM53" s="3">
        <f ca="1">IFERROR(__xludf.DUMMYFUNCTION("""COMPUTED_VALUE"""),-0.518289714721484)</f>
        <v>-0.518289714721484</v>
      </c>
      <c r="JN53" s="3">
        <f ca="1">IFERROR(__xludf.DUMMYFUNCTION("""COMPUTED_VALUE"""),-0.477315456702119)</f>
        <v>-0.477315456702119</v>
      </c>
      <c r="JO53" s="3">
        <f ca="1">IFERROR(__xludf.DUMMYFUNCTION("""COMPUTED_VALUE"""),-0.33241986047636)</f>
        <v>-0.33241986047636002</v>
      </c>
      <c r="JP53" s="3">
        <f ca="1">IFERROR(__xludf.DUMMYFUNCTION("""COMPUTED_VALUE"""),-0.403357595981463)</f>
        <v>-0.40335759598146298</v>
      </c>
      <c r="JQ53" s="3">
        <f ca="1">IFERROR(__xludf.DUMMYFUNCTION("""COMPUTED_VALUE"""),-0.409357068497769)</f>
        <v>-0.40935706849776898</v>
      </c>
      <c r="JR53" s="3">
        <f ca="1">IFERROR(__xludf.DUMMYFUNCTION("""COMPUTED_VALUE"""),-0.480107203382561)</f>
        <v>-0.48010720338256102</v>
      </c>
      <c r="JS53" s="3">
        <f ca="1">IFERROR(__xludf.DUMMYFUNCTION("""COMPUTED_VALUE"""),-0.407600891351832)</f>
        <v>-0.40760089135183197</v>
      </c>
      <c r="JT53" s="3">
        <f ca="1">IFERROR(__xludf.DUMMYFUNCTION("""COMPUTED_VALUE"""),-0.435083390430864)</f>
        <v>-0.43508339043086403</v>
      </c>
      <c r="JU53" s="3">
        <f ca="1">IFERROR(__xludf.DUMMYFUNCTION("""COMPUTED_VALUE"""),-0.422445820134367)</f>
        <v>-0.42244582013436699</v>
      </c>
      <c r="JV53" s="3">
        <f ca="1">IFERROR(__xludf.DUMMYFUNCTION("""COMPUTED_VALUE"""),-0.330765698986935)</f>
        <v>-0.33076569898693498</v>
      </c>
      <c r="JW53" s="3">
        <f ca="1">IFERROR(__xludf.DUMMYFUNCTION("""COMPUTED_VALUE"""),-0.301218191223597)</f>
        <v>-0.301218191223597</v>
      </c>
      <c r="JX53" s="3">
        <f ca="1">IFERROR(__xludf.DUMMYFUNCTION("""COMPUTED_VALUE"""),-0.316103212122632)</f>
        <v>-0.31610321212263198</v>
      </c>
      <c r="JY53" s="3">
        <f ca="1">IFERROR(__xludf.DUMMYFUNCTION("""COMPUTED_VALUE"""),-0.347685658979865)</f>
        <v>-0.34768565897986498</v>
      </c>
      <c r="JZ53" s="3">
        <f ca="1">IFERROR(__xludf.DUMMYFUNCTION("""COMPUTED_VALUE"""),-0.26378479112745)</f>
        <v>-0.26378479112745001</v>
      </c>
      <c r="KA53" s="3">
        <f ca="1">IFERROR(__xludf.DUMMYFUNCTION("""COMPUTED_VALUE"""),-0.306910161557206)</f>
        <v>-0.30691016155720602</v>
      </c>
      <c r="KB53" s="3">
        <f ca="1">IFERROR(__xludf.DUMMYFUNCTION("""COMPUTED_VALUE"""),-0.357847301858354)</f>
        <v>-0.35784730185835401</v>
      </c>
      <c r="KC53" s="3">
        <f ca="1">IFERROR(__xludf.DUMMYFUNCTION("""COMPUTED_VALUE"""),-0.337894158258613)</f>
        <v>-0.33789415825861302</v>
      </c>
      <c r="KD53" s="3">
        <f ca="1">IFERROR(__xludf.DUMMYFUNCTION("""COMPUTED_VALUE"""),-0.241287204814785)</f>
        <v>-0.24128720481478499</v>
      </c>
      <c r="KE53" s="3">
        <f ca="1">IFERROR(__xludf.DUMMYFUNCTION("""COMPUTED_VALUE"""),-0.26998724438996)</f>
        <v>-0.26998724438996002</v>
      </c>
      <c r="KF53" s="3">
        <f ca="1">IFERROR(__xludf.DUMMYFUNCTION("""COMPUTED_VALUE"""),-0.353395473358866)</f>
        <v>-0.35339547335886601</v>
      </c>
      <c r="KG53" s="3">
        <f ca="1">IFERROR(__xludf.DUMMYFUNCTION("""COMPUTED_VALUE"""),-0.273759827251108)</f>
        <v>-0.27375982725110798</v>
      </c>
      <c r="KH53" s="3">
        <f ca="1">IFERROR(__xludf.DUMMYFUNCTION("""COMPUTED_VALUE"""),-0.310948231476743)</f>
        <v>-0.310948231476743</v>
      </c>
      <c r="KI53" s="3">
        <f ca="1">IFERROR(__xludf.DUMMYFUNCTION("""COMPUTED_VALUE"""),-0.330591569183826)</f>
        <v>-0.33059156918382598</v>
      </c>
      <c r="KJ53" s="3">
        <f ca="1">IFERROR(__xludf.DUMMYFUNCTION("""COMPUTED_VALUE"""),-0.317823205939256)</f>
        <v>-0.317823205939256</v>
      </c>
      <c r="KK53" s="3">
        <f ca="1">IFERROR(__xludf.DUMMYFUNCTION("""COMPUTED_VALUE"""),-0.299965511088238)</f>
        <v>-0.29996551108823799</v>
      </c>
      <c r="KL53" s="3">
        <f ca="1">IFERROR(__xludf.DUMMYFUNCTION("""COMPUTED_VALUE"""),-0.334508358321035)</f>
        <v>-0.33450835832103498</v>
      </c>
      <c r="KM53" s="3">
        <f ca="1">IFERROR(__xludf.DUMMYFUNCTION("""COMPUTED_VALUE"""),-0.393447156712733)</f>
        <v>-0.393447156712733</v>
      </c>
      <c r="KN53" s="3">
        <f ca="1">IFERROR(__xludf.DUMMYFUNCTION("""COMPUTED_VALUE"""),-0.366206597750682)</f>
        <v>-0.36620659775068198</v>
      </c>
      <c r="KO53" s="3">
        <f ca="1">IFERROR(__xludf.DUMMYFUNCTION("""COMPUTED_VALUE"""),-0.287040771841434)</f>
        <v>-0.28704077184143401</v>
      </c>
      <c r="KP53" s="3">
        <f ca="1">IFERROR(__xludf.DUMMYFUNCTION("""COMPUTED_VALUE"""),-0.303415844215792)</f>
        <v>-0.30341584421579199</v>
      </c>
      <c r="KQ53" s="3">
        <f ca="1">IFERROR(__xludf.DUMMYFUNCTION("""COMPUTED_VALUE"""),-0.330752548607841)</f>
        <v>-0.33075254860784098</v>
      </c>
      <c r="KR53" s="3">
        <f ca="1">IFERROR(__xludf.DUMMYFUNCTION("""COMPUTED_VALUE"""),-0.269854647873445)</f>
        <v>-0.26985464787344499</v>
      </c>
      <c r="KS53" s="3">
        <f ca="1">IFERROR(__xludf.DUMMYFUNCTION("""COMPUTED_VALUE"""),-0.300292986555361)</f>
        <v>-0.30029298655536102</v>
      </c>
      <c r="KT53" s="3">
        <f ca="1">IFERROR(__xludf.DUMMYFUNCTION("""COMPUTED_VALUE"""),-0.304657434771946)</f>
        <v>-0.30465743477194601</v>
      </c>
      <c r="KU53" s="3">
        <f ca="1">IFERROR(__xludf.DUMMYFUNCTION("""COMPUTED_VALUE"""),-0.292020716427669)</f>
        <v>-0.29202071642766902</v>
      </c>
      <c r="KV53" s="3">
        <f ca="1">IFERROR(__xludf.DUMMYFUNCTION("""COMPUTED_VALUE"""),-0.416337750546645)</f>
        <v>-0.41633775054664501</v>
      </c>
      <c r="KW53" s="3">
        <f ca="1">IFERROR(__xludf.DUMMYFUNCTION("""COMPUTED_VALUE"""),-0.539434598842616)</f>
        <v>-0.53943459884261602</v>
      </c>
      <c r="KX53" s="3">
        <f ca="1">IFERROR(__xludf.DUMMYFUNCTION("""COMPUTED_VALUE"""),-0.333833648393172)</f>
        <v>-0.33383364839317198</v>
      </c>
      <c r="KY53" s="3">
        <f ca="1">IFERROR(__xludf.DUMMYFUNCTION("""COMPUTED_VALUE"""),-0.421404892797111)</f>
        <v>-0.42140489279711102</v>
      </c>
      <c r="KZ53" s="3">
        <f ca="1">IFERROR(__xludf.DUMMYFUNCTION("""COMPUTED_VALUE"""),-0.407620257270678)</f>
        <v>-0.40762025727067802</v>
      </c>
      <c r="LA53" s="3">
        <f ca="1">IFERROR(__xludf.DUMMYFUNCTION("""COMPUTED_VALUE"""),-0.440499260278127)</f>
        <v>-0.44049926027812703</v>
      </c>
      <c r="LB53" s="3">
        <f ca="1">IFERROR(__xludf.DUMMYFUNCTION("""COMPUTED_VALUE"""),-0.380486292507594)</f>
        <v>-0.38048629250759403</v>
      </c>
      <c r="LC53" s="3">
        <f ca="1">IFERROR(__xludf.DUMMYFUNCTION("""COMPUTED_VALUE"""),-0.293199166929905)</f>
        <v>-0.293199166929905</v>
      </c>
      <c r="LD53" s="3">
        <f ca="1">IFERROR(__xludf.DUMMYFUNCTION("""COMPUTED_VALUE"""),-0.410263595948942)</f>
        <v>-0.41026359594894202</v>
      </c>
      <c r="LE53" s="3">
        <f ca="1">IFERROR(__xludf.DUMMYFUNCTION("""COMPUTED_VALUE"""),-0.404436252257627)</f>
        <v>-0.40443625225762703</v>
      </c>
      <c r="LF53" s="3">
        <f ca="1">IFERROR(__xludf.DUMMYFUNCTION("""COMPUTED_VALUE"""),-0.44794732659829)</f>
        <v>-0.44794732659829001</v>
      </c>
      <c r="LG53" s="3">
        <f ca="1">IFERROR(__xludf.DUMMYFUNCTION("""COMPUTED_VALUE"""),-0.460321135274936)</f>
        <v>-0.46032113527493601</v>
      </c>
      <c r="LH53" s="3">
        <f ca="1">IFERROR(__xludf.DUMMYFUNCTION("""COMPUTED_VALUE"""),-0.434234883960543)</f>
        <v>-0.43423488396054299</v>
      </c>
      <c r="LI53" s="3">
        <f ca="1">IFERROR(__xludf.DUMMYFUNCTION("""COMPUTED_VALUE"""),-0.454552589758393)</f>
        <v>-0.45455258975839302</v>
      </c>
      <c r="LJ53" s="3">
        <f ca="1">IFERROR(__xludf.DUMMYFUNCTION("""COMPUTED_VALUE"""),-0.478376402055179)</f>
        <v>-0.47837640205517901</v>
      </c>
      <c r="LK53" s="3">
        <f ca="1">IFERROR(__xludf.DUMMYFUNCTION("""COMPUTED_VALUE"""),-0.488499861722257)</f>
        <v>-0.48849986172225701</v>
      </c>
      <c r="LL53" s="3">
        <f ca="1">IFERROR(__xludf.DUMMYFUNCTION("""COMPUTED_VALUE"""),-0.60219700650429)</f>
        <v>-0.60219700650428998</v>
      </c>
      <c r="LM53" s="3">
        <f ca="1">IFERROR(__xludf.DUMMYFUNCTION("""COMPUTED_VALUE"""),-0.709828193397401)</f>
        <v>-0.709828193397401</v>
      </c>
      <c r="LN53" s="3">
        <f ca="1">IFERROR(__xludf.DUMMYFUNCTION("""COMPUTED_VALUE"""),-0.677839993571922)</f>
        <v>-0.67783999357192204</v>
      </c>
      <c r="LO53" s="3">
        <f ca="1">IFERROR(__xludf.DUMMYFUNCTION("""COMPUTED_VALUE"""),-0.650732428137106)</f>
        <v>-0.65073242813710597</v>
      </c>
      <c r="LP53" s="3">
        <f ca="1">IFERROR(__xludf.DUMMYFUNCTION("""COMPUTED_VALUE"""),-0.674334227730438)</f>
        <v>-0.67433422773043805</v>
      </c>
      <c r="LQ53" s="3">
        <f ca="1">IFERROR(__xludf.DUMMYFUNCTION("""COMPUTED_VALUE"""),-0.667850684946863)</f>
        <v>-0.66785068494686295</v>
      </c>
      <c r="LR53" s="3">
        <f ca="1">IFERROR(__xludf.DUMMYFUNCTION("""COMPUTED_VALUE"""),-0.626126508376656)</f>
        <v>-0.62612650837665595</v>
      </c>
      <c r="LS53" s="3">
        <f ca="1">IFERROR(__xludf.DUMMYFUNCTION("""COMPUTED_VALUE"""),-0.674139527526296)</f>
        <v>-0.67413952752629602</v>
      </c>
      <c r="LT53" s="3">
        <f ca="1">IFERROR(__xludf.DUMMYFUNCTION("""COMPUTED_VALUE"""),-0.691257992648086)</f>
        <v>-0.69125799264808596</v>
      </c>
      <c r="LU53" s="3">
        <f ca="1">IFERROR(__xludf.DUMMYFUNCTION("""COMPUTED_VALUE"""),-0.689310620969721)</f>
        <v>-0.68931062096972096</v>
      </c>
      <c r="LV53" s="3">
        <f ca="1">IFERROR(__xludf.DUMMYFUNCTION("""COMPUTED_VALUE"""),-0.677973581719129)</f>
        <v>-0.67797358171912903</v>
      </c>
      <c r="LW53" s="3">
        <f ca="1">IFERROR(__xludf.DUMMYFUNCTION("""COMPUTED_VALUE"""),-0.686455960433145)</f>
        <v>-0.68645596043314505</v>
      </c>
      <c r="LX53" s="3">
        <f ca="1">IFERROR(__xludf.DUMMYFUNCTION("""COMPUTED_VALUE"""),-0.720108287991629)</f>
        <v>-0.72010828799162896</v>
      </c>
      <c r="LY53" s="3">
        <f ca="1">IFERROR(__xludf.DUMMYFUNCTION("""COMPUTED_VALUE"""),-0.647960907313181)</f>
        <v>-0.64796090731318101</v>
      </c>
      <c r="LZ53" s="3">
        <f ca="1">IFERROR(__xludf.DUMMYFUNCTION("""COMPUTED_VALUE"""),-0.680417070680929)</f>
        <v>-0.68041707068092905</v>
      </c>
      <c r="MA53" s="3">
        <f ca="1">IFERROR(__xludf.DUMMYFUNCTION("""COMPUTED_VALUE"""),-0.723850360779353)</f>
        <v>-0.72385036077935305</v>
      </c>
      <c r="MB53" s="3">
        <f ca="1">IFERROR(__xludf.DUMMYFUNCTION("""COMPUTED_VALUE"""),-0.777759521405774)</f>
        <v>-0.77775952140577398</v>
      </c>
      <c r="MC53" s="3">
        <f ca="1">IFERROR(__xludf.DUMMYFUNCTION("""COMPUTED_VALUE"""),-0.77402644359457)</f>
        <v>-0.77402644359456996</v>
      </c>
      <c r="MD53" s="3">
        <f ca="1">IFERROR(__xludf.DUMMYFUNCTION("""COMPUTED_VALUE"""),-0.764556561141386)</f>
        <v>-0.76455656114138604</v>
      </c>
      <c r="ME53" s="3">
        <f ca="1">IFERROR(__xludf.DUMMYFUNCTION("""COMPUTED_VALUE"""),-0.753186813486681)</f>
        <v>-0.75318681348668104</v>
      </c>
      <c r="MF53" s="3">
        <f ca="1">IFERROR(__xludf.DUMMYFUNCTION("""COMPUTED_VALUE"""),-0.710264521298411)</f>
        <v>-0.710264521298411</v>
      </c>
      <c r="MG53" s="3">
        <f ca="1">IFERROR(__xludf.DUMMYFUNCTION("""COMPUTED_VALUE"""),-0.742082213006213)</f>
        <v>-0.74208221300621302</v>
      </c>
      <c r="MH53" s="3">
        <f ca="1">IFERROR(__xludf.DUMMYFUNCTION("""COMPUTED_VALUE"""),-0.791679737082545)</f>
        <v>-0.79167973708254502</v>
      </c>
      <c r="MI53" s="3">
        <f ca="1">IFERROR(__xludf.DUMMYFUNCTION("""COMPUTED_VALUE"""),-0.794488009692043)</f>
        <v>-0.79448800969204303</v>
      </c>
      <c r="MJ53" s="3">
        <f ca="1">IFERROR(__xludf.DUMMYFUNCTION("""COMPUTED_VALUE"""),-0.766887481231617)</f>
        <v>-0.76688748123161699</v>
      </c>
      <c r="MK53" s="3">
        <f ca="1">IFERROR(__xludf.DUMMYFUNCTION("""COMPUTED_VALUE"""),-0.786285591300872)</f>
        <v>-0.78628559130087206</v>
      </c>
      <c r="ML53" s="3">
        <f ca="1">IFERROR(__xludf.DUMMYFUNCTION("""COMPUTED_VALUE"""),-0.772621519448203)</f>
        <v>-0.77262151944820301</v>
      </c>
      <c r="MM53" s="3">
        <f ca="1">IFERROR(__xludf.DUMMYFUNCTION("""COMPUTED_VALUE"""),-0.765831583710615)</f>
        <v>-0.76583158371061499</v>
      </c>
      <c r="MN53" s="3">
        <f ca="1">IFERROR(__xludf.DUMMYFUNCTION("""COMPUTED_VALUE"""),-0.767598769987079)</f>
        <v>-0.76759876998707899</v>
      </c>
      <c r="MO53" s="3">
        <f ca="1">IFERROR(__xludf.DUMMYFUNCTION("""COMPUTED_VALUE"""),-0.721920381522182)</f>
        <v>-0.72192038152218196</v>
      </c>
      <c r="MP53" s="3">
        <f ca="1">IFERROR(__xludf.DUMMYFUNCTION("""COMPUTED_VALUE"""),-0.750019737124371)</f>
        <v>-0.75001973712437098</v>
      </c>
      <c r="MQ53" s="3">
        <f ca="1">IFERROR(__xludf.DUMMYFUNCTION("""COMPUTED_VALUE"""),-0.776026486722221)</f>
        <v>-0.77602648672222097</v>
      </c>
      <c r="MR53" s="3">
        <f ca="1">IFERROR(__xludf.DUMMYFUNCTION("""COMPUTED_VALUE"""),-0.80002524840713)</f>
        <v>-0.80002524840712996</v>
      </c>
      <c r="MS53" s="3">
        <f ca="1">IFERROR(__xludf.DUMMYFUNCTION("""COMPUTED_VALUE"""),-0.78043533887748)</f>
        <v>-0.78043533887747996</v>
      </c>
      <c r="MT53" s="3">
        <f ca="1">IFERROR(__xludf.DUMMYFUNCTION("""COMPUTED_VALUE"""),-0.745886770301147)</f>
        <v>-0.74588677030114703</v>
      </c>
      <c r="MU53" s="3">
        <f ca="1">IFERROR(__xludf.DUMMYFUNCTION("""COMPUTED_VALUE"""),-0.753954272994928)</f>
        <v>-0.75395427299492801</v>
      </c>
      <c r="MV53" s="3">
        <f ca="1">IFERROR(__xludf.DUMMYFUNCTION("""COMPUTED_VALUE"""),-0.771341588490596)</f>
        <v>-0.77134158849059598</v>
      </c>
      <c r="MW53" s="3">
        <f ca="1">IFERROR(__xludf.DUMMYFUNCTION("""COMPUTED_VALUE"""),-0.78622213022791)</f>
        <v>-0.78622213022790999</v>
      </c>
      <c r="MX53" s="3">
        <f ca="1">IFERROR(__xludf.DUMMYFUNCTION("""COMPUTED_VALUE"""),-0.811732314564701)</f>
        <v>-0.81173231456470096</v>
      </c>
      <c r="MY53" s="3">
        <f ca="1">IFERROR(__xludf.DUMMYFUNCTION("""COMPUTED_VALUE"""),-0.791326058023165)</f>
        <v>-0.79132605802316502</v>
      </c>
      <c r="MZ53" s="3">
        <f ca="1">IFERROR(__xludf.DUMMYFUNCTION("""COMPUTED_VALUE"""),-0.822803368700759)</f>
        <v>-0.82280336870075899</v>
      </c>
      <c r="NA53" s="3">
        <f ca="1">IFERROR(__xludf.DUMMYFUNCTION("""COMPUTED_VALUE"""),-0.852467133202022)</f>
        <v>-0.85246713320202205</v>
      </c>
      <c r="NB53" s="3">
        <f ca="1">IFERROR(__xludf.DUMMYFUNCTION("""COMPUTED_VALUE"""),-0.837098019042324)</f>
        <v>-0.83709801904232395</v>
      </c>
      <c r="NC53" s="3">
        <f ca="1">IFERROR(__xludf.DUMMYFUNCTION("""COMPUTED_VALUE"""),-0.863262104005552)</f>
        <v>-0.86326210400555203</v>
      </c>
      <c r="ND53" s="3">
        <f ca="1">IFERROR(__xludf.DUMMYFUNCTION("""COMPUTED_VALUE"""),-0.847817060545691)</f>
        <v>-0.84781706054569095</v>
      </c>
      <c r="NE53" s="3">
        <f ca="1">IFERROR(__xludf.DUMMYFUNCTION("""COMPUTED_VALUE"""),-0.83849784829986)</f>
        <v>-0.83849784829985996</v>
      </c>
      <c r="NF53" s="3">
        <f ca="1">IFERROR(__xludf.DUMMYFUNCTION("""COMPUTED_VALUE"""),-0.831607479734592)</f>
        <v>-0.83160747973459204</v>
      </c>
      <c r="NG53" s="3">
        <f ca="1">IFERROR(__xludf.DUMMYFUNCTION("""COMPUTED_VALUE"""),-0.846658475231062)</f>
        <v>-0.84665847523106197</v>
      </c>
      <c r="NH53" s="3">
        <f ca="1">IFERROR(__xludf.DUMMYFUNCTION("""COMPUTED_VALUE"""),-0.80527230385757)</f>
        <v>-0.80527230385756998</v>
      </c>
      <c r="NI53" s="3">
        <f ca="1">IFERROR(__xludf.DUMMYFUNCTION("""COMPUTED_VALUE"""),-0.843882675500307)</f>
        <v>-0.84388267550030704</v>
      </c>
      <c r="NJ53" s="3">
        <f ca="1">IFERROR(__xludf.DUMMYFUNCTION("""COMPUTED_VALUE"""),-0.813105008839693)</f>
        <v>-0.81310500883969306</v>
      </c>
      <c r="NK53" s="3">
        <f ca="1">IFERROR(__xludf.DUMMYFUNCTION("""COMPUTED_VALUE"""),-0.851432363751457)</f>
        <v>-0.85143236375145703</v>
      </c>
      <c r="NL53" s="3">
        <f ca="1">IFERROR(__xludf.DUMMYFUNCTION("""COMPUTED_VALUE"""),-0.868100056775018)</f>
        <v>-0.868100056775018</v>
      </c>
      <c r="NM53" s="3">
        <f ca="1">IFERROR(__xludf.DUMMYFUNCTION("""COMPUTED_VALUE"""),-0.858875330617089)</f>
        <v>-0.85887533061708898</v>
      </c>
      <c r="NN53" s="3">
        <f ca="1">IFERROR(__xludf.DUMMYFUNCTION("""COMPUTED_VALUE"""),-0.848109509459371)</f>
        <v>-0.84810950945937102</v>
      </c>
      <c r="NO53" s="3">
        <f ca="1">IFERROR(__xludf.DUMMYFUNCTION("""COMPUTED_VALUE"""),-0.802390373300643)</f>
        <v>-0.802390373300643</v>
      </c>
      <c r="NP53" s="3">
        <f ca="1">IFERROR(__xludf.DUMMYFUNCTION("""COMPUTED_VALUE"""),-0.834929964779964)</f>
        <v>-0.83492996477996395</v>
      </c>
      <c r="NQ53" s="3">
        <f ca="1">IFERROR(__xludf.DUMMYFUNCTION("""COMPUTED_VALUE"""),-0.831182802838842)</f>
        <v>-0.83118280283884205</v>
      </c>
      <c r="NR53" s="3">
        <f ca="1">IFERROR(__xludf.DUMMYFUNCTION("""COMPUTED_VALUE"""),-0.8084909218245)</f>
        <v>-0.8084909218245</v>
      </c>
      <c r="NS53" s="3">
        <f ca="1">IFERROR(__xludf.DUMMYFUNCTION("""COMPUTED_VALUE"""),-0.790624612110113)</f>
        <v>-0.79062461211011303</v>
      </c>
      <c r="NT53" s="3">
        <f ca="1">IFERROR(__xludf.DUMMYFUNCTION("""COMPUTED_VALUE"""),-0.749687729496728)</f>
        <v>-0.74968772949672802</v>
      </c>
      <c r="NU53" s="3">
        <f ca="1">IFERROR(__xludf.DUMMYFUNCTION("""COMPUTED_VALUE"""),-0.634623089879055)</f>
        <v>-0.63462308987905502</v>
      </c>
      <c r="NV53" s="3">
        <f ca="1">IFERROR(__xludf.DUMMYFUNCTION("""COMPUTED_VALUE"""),-0.50222389271092)</f>
        <v>-0.50222389271092005</v>
      </c>
      <c r="NW53" s="3">
        <f ca="1">IFERROR(__xludf.DUMMYFUNCTION("""COMPUTED_VALUE"""),-0.521957495310458)</f>
        <v>-0.52195749531045799</v>
      </c>
      <c r="NX53" s="3">
        <f ca="1">IFERROR(__xludf.DUMMYFUNCTION("""COMPUTED_VALUE"""),-0.357093830176338)</f>
        <v>-0.357093830176338</v>
      </c>
      <c r="NY53" s="3">
        <f ca="1">IFERROR(__xludf.DUMMYFUNCTION("""COMPUTED_VALUE"""),-0.395119200552907)</f>
        <v>-0.395119200552907</v>
      </c>
      <c r="NZ53" s="3">
        <f ca="1">IFERROR(__xludf.DUMMYFUNCTION("""COMPUTED_VALUE"""),-0.370229704174386)</f>
        <v>-0.370229704174386</v>
      </c>
      <c r="OA53" s="3">
        <f ca="1">IFERROR(__xludf.DUMMYFUNCTION("""COMPUTED_VALUE"""),-0.339175481524418)</f>
        <v>-0.33917548152441801</v>
      </c>
      <c r="OB53" s="3">
        <f ca="1">IFERROR(__xludf.DUMMYFUNCTION("""COMPUTED_VALUE"""),-0.273623421235341)</f>
        <v>-0.273623421235341</v>
      </c>
      <c r="OC53" s="3">
        <f ca="1">IFERROR(__xludf.DUMMYFUNCTION("""COMPUTED_VALUE"""),-0.251442458831092)</f>
        <v>-0.25144245883109201</v>
      </c>
      <c r="OD53" s="3">
        <f ca="1">IFERROR(__xludf.DUMMYFUNCTION("""COMPUTED_VALUE"""),-0.217917698950948)</f>
        <v>-0.21791769895094801</v>
      </c>
      <c r="OE53" s="3">
        <f ca="1">IFERROR(__xludf.DUMMYFUNCTION("""COMPUTED_VALUE"""),-0.166487440366318)</f>
        <v>-0.16648744036631799</v>
      </c>
      <c r="OF53" s="3">
        <f ca="1">IFERROR(__xludf.DUMMYFUNCTION("""COMPUTED_VALUE"""),-0.131696202345011)</f>
        <v>-0.131696202345011</v>
      </c>
      <c r="OG53" s="3">
        <f ca="1">IFERROR(__xludf.DUMMYFUNCTION("""COMPUTED_VALUE"""),-0.114190296879994)</f>
        <v>-0.114190296879994</v>
      </c>
      <c r="OH53" s="3">
        <f ca="1">IFERROR(__xludf.DUMMYFUNCTION("""COMPUTED_VALUE"""),-0.108554482679923)</f>
        <v>-0.108554482679923</v>
      </c>
      <c r="OI53" s="3">
        <f ca="1">IFERROR(__xludf.DUMMYFUNCTION("""COMPUTED_VALUE"""),-0.103312143521099)</f>
        <v>-0.10331214352109901</v>
      </c>
      <c r="OJ53" s="3">
        <f ca="1">IFERROR(__xludf.DUMMYFUNCTION("""COMPUTED_VALUE"""),-0.252915490338624)</f>
        <v>-0.25291549033862398</v>
      </c>
      <c r="OK53" s="3">
        <f ca="1">IFERROR(__xludf.DUMMYFUNCTION("""COMPUTED_VALUE"""),-0.157650824343994)</f>
        <v>-0.15765082434399399</v>
      </c>
      <c r="OL53" s="3">
        <f ca="1">IFERROR(__xludf.DUMMYFUNCTION("""COMPUTED_VALUE"""),-0.168399367268751)</f>
        <v>-0.16839936726875099</v>
      </c>
      <c r="OM53" s="3">
        <f ca="1">IFERROR(__xludf.DUMMYFUNCTION("""COMPUTED_VALUE"""),-0.0707082774574647)</f>
        <v>-7.0708277457464705E-2</v>
      </c>
      <c r="ON53" s="3">
        <f ca="1">IFERROR(__xludf.DUMMYFUNCTION("""COMPUTED_VALUE"""),-0.0915439088470532)</f>
        <v>-9.1543908847053199E-2</v>
      </c>
      <c r="OO53" s="3">
        <f ca="1">IFERROR(__xludf.DUMMYFUNCTION("""COMPUTED_VALUE"""),-0.151498915317771)</f>
        <v>-0.15149891531777099</v>
      </c>
      <c r="OP53" s="3">
        <f ca="1">IFERROR(__xludf.DUMMYFUNCTION("""COMPUTED_VALUE"""),-0.0667866852739172)</f>
        <v>-6.6786685273917207E-2</v>
      </c>
      <c r="OQ53" s="3">
        <f ca="1">IFERROR(__xludf.DUMMYFUNCTION("""COMPUTED_VALUE"""),-0.0469138005884423)</f>
        <v>-4.69138005884423E-2</v>
      </c>
      <c r="OR53" s="3">
        <f ca="1">IFERROR(__xludf.DUMMYFUNCTION("""COMPUTED_VALUE"""),-0.0767916577968549)</f>
        <v>-7.6791657796854901E-2</v>
      </c>
      <c r="OS53" s="3">
        <f ca="1">IFERROR(__xludf.DUMMYFUNCTION("""COMPUTED_VALUE"""),-0.182945654424993)</f>
        <v>-0.182945654424993</v>
      </c>
      <c r="OT53" s="3">
        <f ca="1">IFERROR(__xludf.DUMMYFUNCTION("""COMPUTED_VALUE"""),0.00556892637736217)</f>
        <v>5.5689263773621702E-3</v>
      </c>
      <c r="OU53" s="3">
        <f ca="1">IFERROR(__xludf.DUMMYFUNCTION("""COMPUTED_VALUE"""),0.0467817315976168)</f>
        <v>4.6781731597616803E-2</v>
      </c>
      <c r="OV53" s="3">
        <f ca="1">IFERROR(__xludf.DUMMYFUNCTION("""COMPUTED_VALUE"""),0.0171169013932694)</f>
        <v>1.71169013932694E-2</v>
      </c>
      <c r="OW53" s="3">
        <f ca="1">IFERROR(__xludf.DUMMYFUNCTION("""COMPUTED_VALUE"""),0.0609641414090298)</f>
        <v>6.0964141409029803E-2</v>
      </c>
      <c r="OX53" s="3">
        <f ca="1">IFERROR(__xludf.DUMMYFUNCTION("""COMPUTED_VALUE"""),-0.0945046855750124)</f>
        <v>-9.4504685575012404E-2</v>
      </c>
      <c r="OY53" s="3">
        <f ca="1">IFERROR(__xludf.DUMMYFUNCTION("""COMPUTED_VALUE"""),0.0157044064801437)</f>
        <v>1.57044064801437E-2</v>
      </c>
      <c r="OZ53" s="3">
        <f ca="1">IFERROR(__xludf.DUMMYFUNCTION("""COMPUTED_VALUE"""),-0.0268417840276453)</f>
        <v>-2.68417840276453E-2</v>
      </c>
      <c r="PA53" s="3">
        <f ca="1">IFERROR(__xludf.DUMMYFUNCTION("""COMPUTED_VALUE"""),0.00307494517020745)</f>
        <v>3.0749451702074501E-3</v>
      </c>
      <c r="PB53" s="3">
        <f ca="1">IFERROR(__xludf.DUMMYFUNCTION("""COMPUTED_VALUE"""),0.0413214494966109)</f>
        <v>4.1321449496610901E-2</v>
      </c>
      <c r="PC53" s="3">
        <f ca="1">IFERROR(__xludf.DUMMYFUNCTION("""COMPUTED_VALUE"""),0.0484990884309393)</f>
        <v>4.8499088430939301E-2</v>
      </c>
      <c r="PD53" s="3">
        <f ca="1">IFERROR(__xludf.DUMMYFUNCTION("""COMPUTED_VALUE"""),0.0236346390416577)</f>
        <v>2.3634639041657701E-2</v>
      </c>
      <c r="PE53" s="3">
        <f ca="1">IFERROR(__xludf.DUMMYFUNCTION("""COMPUTED_VALUE"""),-0.0368684100838152)</f>
        <v>-3.6868410083815202E-2</v>
      </c>
      <c r="PF53" s="3">
        <f ca="1">IFERROR(__xludf.DUMMYFUNCTION("""COMPUTED_VALUE"""),0.0428390771629698)</f>
        <v>4.2839077162969801E-2</v>
      </c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</row>
    <row r="54" spans="1:594" ht="13">
      <c r="A54" s="1" t="str">
        <f ca="1">IFERROR(__xludf.DUMMYFUNCTION("""COMPUTED_VALUE"""),"New York City")</f>
        <v>New York City</v>
      </c>
      <c r="B54" s="3">
        <f ca="1">IFERROR(__xludf.DUMMYFUNCTION("""COMPUTED_VALUE"""),-0.442281892177063)</f>
        <v>-0.44228189217706299</v>
      </c>
      <c r="C54" s="3">
        <f ca="1">IFERROR(__xludf.DUMMYFUNCTION("""COMPUTED_VALUE"""),-0.460181474181375)</f>
        <v>-0.46018147418137501</v>
      </c>
      <c r="D54" s="3">
        <f ca="1">IFERROR(__xludf.DUMMYFUNCTION("""COMPUTED_VALUE"""),-0.499142001153948)</f>
        <v>-0.49914200115394802</v>
      </c>
      <c r="E54" s="3">
        <f ca="1">IFERROR(__xludf.DUMMYFUNCTION("""COMPUTED_VALUE"""),-0.507742229148289)</f>
        <v>-0.50774222914828904</v>
      </c>
      <c r="F54" s="3">
        <f ca="1">IFERROR(__xludf.DUMMYFUNCTION("""COMPUTED_VALUE"""),-0.517556499914609)</f>
        <v>-0.51755649991460895</v>
      </c>
      <c r="G54" s="3">
        <f ca="1">IFERROR(__xludf.DUMMYFUNCTION("""COMPUTED_VALUE"""),-0.5051884101141)</f>
        <v>-0.50518841011409998</v>
      </c>
      <c r="H54" s="3">
        <f ca="1">IFERROR(__xludf.DUMMYFUNCTION("""COMPUTED_VALUE"""),-0.464513596149803)</f>
        <v>-0.46451359614980298</v>
      </c>
      <c r="I54" s="3">
        <f ca="1">IFERROR(__xludf.DUMMYFUNCTION("""COMPUTED_VALUE"""),-0.489073624347477)</f>
        <v>-0.48907362434747698</v>
      </c>
      <c r="J54" s="3">
        <f ca="1">IFERROR(__xludf.DUMMYFUNCTION("""COMPUTED_VALUE"""),-0.547355625161451)</f>
        <v>-0.54735562516145098</v>
      </c>
      <c r="K54" s="3">
        <f ca="1">IFERROR(__xludf.DUMMYFUNCTION("""COMPUTED_VALUE"""),-0.544599297205205)</f>
        <v>-0.54459929720520495</v>
      </c>
      <c r="L54" s="3">
        <f ca="1">IFERROR(__xludf.DUMMYFUNCTION("""COMPUTED_VALUE"""),-0.555006249479869)</f>
        <v>-0.55500624947986898</v>
      </c>
      <c r="M54" s="3">
        <f ca="1">IFERROR(__xludf.DUMMYFUNCTION("""COMPUTED_VALUE"""),-0.526811652160851)</f>
        <v>-0.52681165216085102</v>
      </c>
      <c r="N54" s="3">
        <f ca="1">IFERROR(__xludf.DUMMYFUNCTION("""COMPUTED_VALUE"""),-0.526970499454946)</f>
        <v>-0.52697049945494601</v>
      </c>
      <c r="O54" s="3">
        <f ca="1">IFERROR(__xludf.DUMMYFUNCTION("""COMPUTED_VALUE"""),-0.483873439878266)</f>
        <v>-0.48387343987826598</v>
      </c>
      <c r="P54" s="3">
        <f ca="1">IFERROR(__xludf.DUMMYFUNCTION("""COMPUTED_VALUE"""),-0.4225702228294)</f>
        <v>-0.42257022282939999</v>
      </c>
      <c r="Q54" s="3">
        <f ca="1">IFERROR(__xludf.DUMMYFUNCTION("""COMPUTED_VALUE"""),-0.480139776652411)</f>
        <v>-0.48013977665241098</v>
      </c>
      <c r="R54" s="3">
        <f ca="1">IFERROR(__xludf.DUMMYFUNCTION("""COMPUTED_VALUE"""),-0.519647516581684)</f>
        <v>-0.51964751658168395</v>
      </c>
      <c r="S54" s="3">
        <f ca="1">IFERROR(__xludf.DUMMYFUNCTION("""COMPUTED_VALUE"""),-0.548033187105719)</f>
        <v>-0.54803318710571902</v>
      </c>
      <c r="T54" s="3">
        <f ca="1">IFERROR(__xludf.DUMMYFUNCTION("""COMPUTED_VALUE"""),-0.520450742974049)</f>
        <v>-0.52045074297404903</v>
      </c>
      <c r="U54" s="3">
        <f ca="1">IFERROR(__xludf.DUMMYFUNCTION("""COMPUTED_VALUE"""),-0.496917883919132)</f>
        <v>-0.496917883919132</v>
      </c>
      <c r="V54" s="3">
        <f ca="1">IFERROR(__xludf.DUMMYFUNCTION("""COMPUTED_VALUE"""),-0.404720687106922)</f>
        <v>-0.40472068710692199</v>
      </c>
      <c r="W54" s="3">
        <f ca="1">IFERROR(__xludf.DUMMYFUNCTION("""COMPUTED_VALUE"""),-0.454151028586059)</f>
        <v>-0.45415102858605899</v>
      </c>
      <c r="X54" s="3">
        <f ca="1">IFERROR(__xludf.DUMMYFUNCTION("""COMPUTED_VALUE"""),-0.517228839210335)</f>
        <v>-0.51722883921033502</v>
      </c>
      <c r="Y54" s="3">
        <f ca="1">IFERROR(__xludf.DUMMYFUNCTION("""COMPUTED_VALUE"""),-0.562738468443486)</f>
        <v>-0.56273846844348596</v>
      </c>
      <c r="Z54" s="3">
        <f ca="1">IFERROR(__xludf.DUMMYFUNCTION("""COMPUTED_VALUE"""),-0.54805109857617)</f>
        <v>-0.54805109857616996</v>
      </c>
      <c r="AA54" s="3">
        <f ca="1">IFERROR(__xludf.DUMMYFUNCTION("""COMPUTED_VALUE"""),-0.556475316240644)</f>
        <v>-0.55647531624064395</v>
      </c>
      <c r="AB54" s="3">
        <f ca="1">IFERROR(__xludf.DUMMYFUNCTION("""COMPUTED_VALUE"""),-0.532833573678397)</f>
        <v>-0.53283357367839701</v>
      </c>
      <c r="AC54" s="3">
        <f ca="1">IFERROR(__xludf.DUMMYFUNCTION("""COMPUTED_VALUE"""),-0.433918501024625)</f>
        <v>-0.43391850102462498</v>
      </c>
      <c r="AD54" s="3">
        <f ca="1">IFERROR(__xludf.DUMMYFUNCTION("""COMPUTED_VALUE"""),-0.476652647581373)</f>
        <v>-0.47665264758137299</v>
      </c>
      <c r="AE54" s="3">
        <f ca="1">IFERROR(__xludf.DUMMYFUNCTION("""COMPUTED_VALUE"""),-0.512275243070141)</f>
        <v>-0.51227524307014105</v>
      </c>
      <c r="AF54" s="3">
        <f ca="1">IFERROR(__xludf.DUMMYFUNCTION("""COMPUTED_VALUE"""),-0.524990018820473)</f>
        <v>-0.52499001882047303</v>
      </c>
      <c r="AG54" s="3">
        <f ca="1">IFERROR(__xludf.DUMMYFUNCTION("""COMPUTED_VALUE"""),-0.536331109491598)</f>
        <v>-0.53633110949159801</v>
      </c>
      <c r="AH54" s="3">
        <f ca="1">IFERROR(__xludf.DUMMYFUNCTION("""COMPUTED_VALUE"""),-0.525136628960583)</f>
        <v>-0.525136628960583</v>
      </c>
      <c r="AI54" s="3">
        <f ca="1">IFERROR(__xludf.DUMMYFUNCTION("""COMPUTED_VALUE"""),-0.499006810159838)</f>
        <v>-0.499006810159838</v>
      </c>
      <c r="AJ54" s="3">
        <f ca="1">IFERROR(__xludf.DUMMYFUNCTION("""COMPUTED_VALUE"""),-0.439798413537934)</f>
        <v>-0.43979841353793397</v>
      </c>
      <c r="AK54" s="3">
        <f ca="1">IFERROR(__xludf.DUMMYFUNCTION("""COMPUTED_VALUE"""),-0.485156170471229)</f>
        <v>-0.485156170471229</v>
      </c>
      <c r="AL54" s="3">
        <f ca="1">IFERROR(__xludf.DUMMYFUNCTION("""COMPUTED_VALUE"""),-0.532570092185812)</f>
        <v>-0.53257009218581197</v>
      </c>
      <c r="AM54" s="3">
        <f ca="1">IFERROR(__xludf.DUMMYFUNCTION("""COMPUTED_VALUE"""),-0.549425932681935)</f>
        <v>-0.54942593268193496</v>
      </c>
      <c r="AN54" s="3">
        <f ca="1">IFERROR(__xludf.DUMMYFUNCTION("""COMPUTED_VALUE"""),-0.53549565222173)</f>
        <v>-0.53549565222173001</v>
      </c>
      <c r="AO54" s="3">
        <f ca="1">IFERROR(__xludf.DUMMYFUNCTION("""COMPUTED_VALUE"""),-0.56219000623903)</f>
        <v>-0.56219000623903004</v>
      </c>
      <c r="AP54" s="3">
        <f ca="1">IFERROR(__xludf.DUMMYFUNCTION("""COMPUTED_VALUE"""),-0.498964696323592)</f>
        <v>-0.49896469632359203</v>
      </c>
      <c r="AQ54" s="3">
        <f ca="1">IFERROR(__xludf.DUMMYFUNCTION("""COMPUTED_VALUE"""),-0.432758220282172)</f>
        <v>-0.43275822028217198</v>
      </c>
      <c r="AR54" s="3">
        <f ca="1">IFERROR(__xludf.DUMMYFUNCTION("""COMPUTED_VALUE"""),-0.49241568982053)</f>
        <v>-0.49241568982053002</v>
      </c>
      <c r="AS54" s="3">
        <f ca="1">IFERROR(__xludf.DUMMYFUNCTION("""COMPUTED_VALUE"""),-0.507335710005568)</f>
        <v>-0.50733571000556799</v>
      </c>
      <c r="AT54" s="3">
        <f ca="1">IFERROR(__xludf.DUMMYFUNCTION("""COMPUTED_VALUE"""),-0.510444335315073)</f>
        <v>-0.51044433531507305</v>
      </c>
      <c r="AU54" s="3">
        <f ca="1">IFERROR(__xludf.DUMMYFUNCTION("""COMPUTED_VALUE"""),-0.481664491284239)</f>
        <v>-0.48166449128423899</v>
      </c>
      <c r="AV54" s="3">
        <f ca="1">IFERROR(__xludf.DUMMYFUNCTION("""COMPUTED_VALUE"""),-0.532470720112028)</f>
        <v>-0.53247072011202801</v>
      </c>
      <c r="AW54" s="3">
        <f ca="1">IFERROR(__xludf.DUMMYFUNCTION("""COMPUTED_VALUE"""),-0.486230303070205)</f>
        <v>-0.48623030307020498</v>
      </c>
      <c r="AX54" s="3">
        <f ca="1">IFERROR(__xludf.DUMMYFUNCTION("""COMPUTED_VALUE"""),-0.41306975259726)</f>
        <v>-0.41306975259725998</v>
      </c>
      <c r="AY54" s="3">
        <f ca="1">IFERROR(__xludf.DUMMYFUNCTION("""COMPUTED_VALUE"""),-0.448507261712221)</f>
        <v>-0.44850726171222099</v>
      </c>
      <c r="AZ54" s="3">
        <f ca="1">IFERROR(__xludf.DUMMYFUNCTION("""COMPUTED_VALUE"""),-0.489901650756006)</f>
        <v>-0.489901650756006</v>
      </c>
      <c r="BA54" s="3">
        <f ca="1">IFERROR(__xludf.DUMMYFUNCTION("""COMPUTED_VALUE"""),-0.521296859551827)</f>
        <v>-0.52129685955182703</v>
      </c>
      <c r="BB54" s="3">
        <f ca="1">IFERROR(__xludf.DUMMYFUNCTION("""COMPUTED_VALUE"""),-0.516187843960307)</f>
        <v>-0.51618784396030704</v>
      </c>
      <c r="BC54" s="3">
        <f ca="1">IFERROR(__xludf.DUMMYFUNCTION("""COMPUTED_VALUE"""),-0.511918244983066)</f>
        <v>-0.51191824498306604</v>
      </c>
      <c r="BD54" s="3">
        <f ca="1">IFERROR(__xludf.DUMMYFUNCTION("""COMPUTED_VALUE"""),-0.472991353508679)</f>
        <v>-0.47299135350867899</v>
      </c>
      <c r="BE54" s="3">
        <f ca="1">IFERROR(__xludf.DUMMYFUNCTION("""COMPUTED_VALUE"""),-0.415577422906388)</f>
        <v>-0.41557742290638799</v>
      </c>
      <c r="BF54" s="3">
        <f ca="1">IFERROR(__xludf.DUMMYFUNCTION("""COMPUTED_VALUE"""),-0.484473654212475)</f>
        <v>-0.48447365421247501</v>
      </c>
      <c r="BG54" s="3">
        <f ca="1">IFERROR(__xludf.DUMMYFUNCTION("""COMPUTED_VALUE"""),-0.545013231064274)</f>
        <v>-0.54501323106427402</v>
      </c>
      <c r="BH54" s="3">
        <f ca="1">IFERROR(__xludf.DUMMYFUNCTION("""COMPUTED_VALUE"""),-0.549492071050716)</f>
        <v>-0.54949207105071596</v>
      </c>
      <c r="BI54" s="3">
        <f ca="1">IFERROR(__xludf.DUMMYFUNCTION("""COMPUTED_VALUE"""),-0.546603809903858)</f>
        <v>-0.54660380990385804</v>
      </c>
      <c r="BJ54" s="3">
        <f ca="1">IFERROR(__xludf.DUMMYFUNCTION("""COMPUTED_VALUE"""),-0.554776786650359)</f>
        <v>-0.55477678665035901</v>
      </c>
      <c r="BK54" s="3">
        <f ca="1">IFERROR(__xludf.DUMMYFUNCTION("""COMPUTED_VALUE"""),-0.521232094076517)</f>
        <v>-0.52123209407651705</v>
      </c>
      <c r="BL54" s="3">
        <f ca="1">IFERROR(__xludf.DUMMYFUNCTION("""COMPUTED_VALUE"""),-0.468506946141156)</f>
        <v>-0.46850694614115601</v>
      </c>
      <c r="BM54" s="3">
        <f ca="1">IFERROR(__xludf.DUMMYFUNCTION("""COMPUTED_VALUE"""),-0.434584277564104)</f>
        <v>-0.434584277564104</v>
      </c>
      <c r="BN54" s="3">
        <f ca="1">IFERROR(__xludf.DUMMYFUNCTION("""COMPUTED_VALUE"""),-0.543139829790437)</f>
        <v>-0.54313982979043696</v>
      </c>
      <c r="BO54" s="3">
        <f ca="1">IFERROR(__xludf.DUMMYFUNCTION("""COMPUTED_VALUE"""),-0.529276366955984)</f>
        <v>-0.52927636695598401</v>
      </c>
      <c r="BP54" s="3">
        <f ca="1">IFERROR(__xludf.DUMMYFUNCTION("""COMPUTED_VALUE"""),-0.527713258984706)</f>
        <v>-0.527713258984706</v>
      </c>
      <c r="BQ54" s="3">
        <f ca="1">IFERROR(__xludf.DUMMYFUNCTION("""COMPUTED_VALUE"""),-0.551060718076064)</f>
        <v>-0.55106071807606405</v>
      </c>
      <c r="BR54" s="3">
        <f ca="1">IFERROR(__xludf.DUMMYFUNCTION("""COMPUTED_VALUE"""),-0.536013086032739)</f>
        <v>-0.53601308603273901</v>
      </c>
      <c r="BS54" s="3">
        <f ca="1">IFERROR(__xludf.DUMMYFUNCTION("""COMPUTED_VALUE"""),-0.494871650407771)</f>
        <v>-0.49487165040777098</v>
      </c>
      <c r="BT54" s="3">
        <f ca="1">IFERROR(__xludf.DUMMYFUNCTION("""COMPUTED_VALUE"""),-0.53469111754499)</f>
        <v>-0.53469111754498999</v>
      </c>
      <c r="BU54" s="3">
        <f ca="1">IFERROR(__xludf.DUMMYFUNCTION("""COMPUTED_VALUE"""),-0.62286455110874)</f>
        <v>-0.62286455110873995</v>
      </c>
      <c r="BV54" s="3">
        <f ca="1">IFERROR(__xludf.DUMMYFUNCTION("""COMPUTED_VALUE"""),-0.604116654874336)</f>
        <v>-0.60411665487433597</v>
      </c>
      <c r="BW54" s="3">
        <f ca="1">IFERROR(__xludf.DUMMYFUNCTION("""COMPUTED_VALUE"""),-0.600270644084096)</f>
        <v>-0.60027064408409603</v>
      </c>
      <c r="BX54" s="3">
        <f ca="1">IFERROR(__xludf.DUMMYFUNCTION("""COMPUTED_VALUE"""),-0.611477675447734)</f>
        <v>-0.61147767544773401</v>
      </c>
      <c r="BY54" s="3">
        <f ca="1">IFERROR(__xludf.DUMMYFUNCTION("""COMPUTED_VALUE"""),-0.540622718315833)</f>
        <v>-0.54062271831583297</v>
      </c>
      <c r="BZ54" s="3">
        <f ca="1">IFERROR(__xludf.DUMMYFUNCTION("""COMPUTED_VALUE"""),-0.510263586609475)</f>
        <v>-0.51026358660947502</v>
      </c>
      <c r="CA54" s="3">
        <f ca="1">IFERROR(__xludf.DUMMYFUNCTION("""COMPUTED_VALUE"""),-0.498143076131068)</f>
        <v>-0.49814307613106801</v>
      </c>
      <c r="CB54" s="3">
        <f ca="1">IFERROR(__xludf.DUMMYFUNCTION("""COMPUTED_VALUE"""),-0.585820688789593)</f>
        <v>-0.58582068878959304</v>
      </c>
      <c r="CC54" s="3">
        <f ca="1">IFERROR(__xludf.DUMMYFUNCTION("""COMPUTED_VALUE"""),-0.605870505736724)</f>
        <v>-0.60587050573672396</v>
      </c>
      <c r="CD54" s="3">
        <f ca="1">IFERROR(__xludf.DUMMYFUNCTION("""COMPUTED_VALUE"""),-0.607208084018978)</f>
        <v>-0.60720808401897797</v>
      </c>
      <c r="CE54" s="3">
        <f ca="1">IFERROR(__xludf.DUMMYFUNCTION("""COMPUTED_VALUE"""),-0.593968528262049)</f>
        <v>-0.59396852826204904</v>
      </c>
      <c r="CF54" s="3">
        <f ca="1">IFERROR(__xludf.DUMMYFUNCTION("""COMPUTED_VALUE"""),-0.566525126789104)</f>
        <v>-0.56652512678910405</v>
      </c>
      <c r="CG54" s="3">
        <f ca="1">IFERROR(__xludf.DUMMYFUNCTION("""COMPUTED_VALUE"""),-0.500249440464591)</f>
        <v>-0.50024944046459097</v>
      </c>
      <c r="CH54" s="3">
        <f ca="1">IFERROR(__xludf.DUMMYFUNCTION("""COMPUTED_VALUE"""),-0.508899653133821)</f>
        <v>-0.50889965313382102</v>
      </c>
      <c r="CI54" s="3">
        <f ca="1">IFERROR(__xludf.DUMMYFUNCTION("""COMPUTED_VALUE"""),-0.58836926782895)</f>
        <v>-0.58836926782895005</v>
      </c>
      <c r="CJ54" s="3">
        <f ca="1">IFERROR(__xludf.DUMMYFUNCTION("""COMPUTED_VALUE"""),-0.588170819752748)</f>
        <v>-0.58817081975274799</v>
      </c>
      <c r="CK54" s="3">
        <f ca="1">IFERROR(__xludf.DUMMYFUNCTION("""COMPUTED_VALUE"""),-0.590845968315875)</f>
        <v>-0.59084596831587499</v>
      </c>
      <c r="CL54" s="3">
        <f ca="1">IFERROR(__xludf.DUMMYFUNCTION("""COMPUTED_VALUE"""),-0.564964805371685)</f>
        <v>-0.56496480537168503</v>
      </c>
      <c r="CM54" s="3">
        <f ca="1">IFERROR(__xludf.DUMMYFUNCTION("""COMPUTED_VALUE"""),-0.562045491410426)</f>
        <v>-0.56204549141042603</v>
      </c>
      <c r="CN54" s="3">
        <f ca="1">IFERROR(__xludf.DUMMYFUNCTION("""COMPUTED_VALUE"""),-0.514204995154537)</f>
        <v>-0.51420499515453699</v>
      </c>
      <c r="CO54" s="3">
        <f ca="1">IFERROR(__xludf.DUMMYFUNCTION("""COMPUTED_VALUE"""),-0.516119462799753)</f>
        <v>-0.51611946279975296</v>
      </c>
      <c r="CP54" s="3">
        <f ca="1">IFERROR(__xludf.DUMMYFUNCTION("""COMPUTED_VALUE"""),-0.57742889673872)</f>
        <v>-0.57742889673872</v>
      </c>
      <c r="CQ54" s="3">
        <f ca="1">IFERROR(__xludf.DUMMYFUNCTION("""COMPUTED_VALUE"""),-0.574930740329252)</f>
        <v>-0.57493074032925195</v>
      </c>
      <c r="CR54" s="3">
        <f ca="1">IFERROR(__xludf.DUMMYFUNCTION("""COMPUTED_VALUE"""),-0.534281590672679)</f>
        <v>-0.534281590672679</v>
      </c>
      <c r="CS54" s="3">
        <f ca="1">IFERROR(__xludf.DUMMYFUNCTION("""COMPUTED_VALUE"""),-0.565117323178992)</f>
        <v>-0.56511732317899199</v>
      </c>
      <c r="CT54" s="3">
        <f ca="1">IFERROR(__xludf.DUMMYFUNCTION("""COMPUTED_VALUE"""),-0.564161947642066)</f>
        <v>-0.56416194764206595</v>
      </c>
      <c r="CU54" s="3">
        <f ca="1">IFERROR(__xludf.DUMMYFUNCTION("""COMPUTED_VALUE"""),-0.557753409029911)</f>
        <v>-0.557753409029911</v>
      </c>
      <c r="CV54" s="3">
        <f ca="1">IFERROR(__xludf.DUMMYFUNCTION("""COMPUTED_VALUE"""),-0.571509649361795)</f>
        <v>-0.57150964936179505</v>
      </c>
      <c r="CW54" s="3">
        <f ca="1">IFERROR(__xludf.DUMMYFUNCTION("""COMPUTED_VALUE"""),-0.679420984479676)</f>
        <v>-0.67942098447967603</v>
      </c>
      <c r="CX54" s="3">
        <f ca="1">IFERROR(__xludf.DUMMYFUNCTION("""COMPUTED_VALUE"""),-0.529975241278188)</f>
        <v>-0.52997524127818796</v>
      </c>
      <c r="CY54" s="3">
        <f ca="1">IFERROR(__xludf.DUMMYFUNCTION("""COMPUTED_VALUE"""),-0.359471635143754)</f>
        <v>-0.35947163514375402</v>
      </c>
      <c r="CZ54" s="3">
        <f ca="1">IFERROR(__xludf.DUMMYFUNCTION("""COMPUTED_VALUE"""),-0.494611146741599)</f>
        <v>-0.49461114674159901</v>
      </c>
      <c r="DA54" s="3">
        <f ca="1">IFERROR(__xludf.DUMMYFUNCTION("""COMPUTED_VALUE"""),-0.499292624392499)</f>
        <v>-0.499292624392499</v>
      </c>
      <c r="DB54" s="3">
        <f ca="1">IFERROR(__xludf.DUMMYFUNCTION("""COMPUTED_VALUE"""),-0.504969358583473)</f>
        <v>-0.50496935858347303</v>
      </c>
      <c r="DC54" s="3">
        <f ca="1">IFERROR(__xludf.DUMMYFUNCTION("""COMPUTED_VALUE"""),-0.561209243851748)</f>
        <v>-0.56120924385174797</v>
      </c>
      <c r="DD54" s="3">
        <f ca="1">IFERROR(__xludf.DUMMYFUNCTION("""COMPUTED_VALUE"""),-0.725798463101876)</f>
        <v>-0.72579846310187601</v>
      </c>
      <c r="DE54" s="3">
        <f ca="1">IFERROR(__xludf.DUMMYFUNCTION("""COMPUTED_VALUE"""),-0.515684600451352)</f>
        <v>-0.515684600451352</v>
      </c>
      <c r="DF54" s="3">
        <f ca="1">IFERROR(__xludf.DUMMYFUNCTION("""COMPUTED_VALUE"""),-0.317023790908702)</f>
        <v>-0.31702379090870197</v>
      </c>
      <c r="DG54" s="3">
        <f ca="1">IFERROR(__xludf.DUMMYFUNCTION("""COMPUTED_VALUE"""),-0.455532720123849)</f>
        <v>-0.45553272012384899</v>
      </c>
      <c r="DH54" s="3">
        <f ca="1">IFERROR(__xludf.DUMMYFUNCTION("""COMPUTED_VALUE"""),-0.481186692480644)</f>
        <v>-0.481186692480644</v>
      </c>
      <c r="DI54" s="3">
        <f ca="1">IFERROR(__xludf.DUMMYFUNCTION("""COMPUTED_VALUE"""),-0.47002120446208)</f>
        <v>-0.47002120446208001</v>
      </c>
      <c r="DJ54" s="3">
        <f ca="1">IFERROR(__xludf.DUMMYFUNCTION("""COMPUTED_VALUE"""),-0.463396895131104)</f>
        <v>-0.46339689513110399</v>
      </c>
      <c r="DK54" s="3">
        <f ca="1">IFERROR(__xludf.DUMMYFUNCTION("""COMPUTED_VALUE"""),-0.526594211493223)</f>
        <v>-0.52659421149322305</v>
      </c>
      <c r="DL54" s="3">
        <f ca="1">IFERROR(__xludf.DUMMYFUNCTION("""COMPUTED_VALUE"""),-0.541004065749499)</f>
        <v>-0.541004065749499</v>
      </c>
      <c r="DM54" s="3">
        <f ca="1">IFERROR(__xludf.DUMMYFUNCTION("""COMPUTED_VALUE"""),-0.439269417946955)</f>
        <v>-0.43926941794695501</v>
      </c>
      <c r="DN54" s="3">
        <f ca="1">IFERROR(__xludf.DUMMYFUNCTION("""COMPUTED_VALUE"""),-0.544675110857718)</f>
        <v>-0.54467511085771803</v>
      </c>
      <c r="DO54" s="3">
        <f ca="1">IFERROR(__xludf.DUMMYFUNCTION("""COMPUTED_VALUE"""),-0.59051113478668)</f>
        <v>-0.59051113478668005</v>
      </c>
      <c r="DP54" s="3">
        <f ca="1">IFERROR(__xludf.DUMMYFUNCTION("""COMPUTED_VALUE"""),-0.487855388492423)</f>
        <v>-0.48785538849242299</v>
      </c>
      <c r="DQ54" s="3">
        <f ca="1">IFERROR(__xludf.DUMMYFUNCTION("""COMPUTED_VALUE"""),-0.524797749704715)</f>
        <v>-0.52479774970471504</v>
      </c>
      <c r="DR54" s="3">
        <f ca="1">IFERROR(__xludf.DUMMYFUNCTION("""COMPUTED_VALUE"""),-0.599397970333202)</f>
        <v>-0.59939797033320197</v>
      </c>
      <c r="DS54" s="3">
        <f ca="1">IFERROR(__xludf.DUMMYFUNCTION("""COMPUTED_VALUE"""),-0.609434692888452)</f>
        <v>-0.60943469288845198</v>
      </c>
      <c r="DT54" s="3">
        <f ca="1">IFERROR(__xludf.DUMMYFUNCTION("""COMPUTED_VALUE"""),-0.622272925054779)</f>
        <v>-0.62227292505477905</v>
      </c>
      <c r="DU54" s="3">
        <f ca="1">IFERROR(__xludf.DUMMYFUNCTION("""COMPUTED_VALUE"""),-0.608282046762249)</f>
        <v>-0.60828204676224895</v>
      </c>
      <c r="DV54" s="3">
        <f ca="1">IFERROR(__xludf.DUMMYFUNCTION("""COMPUTED_VALUE"""),-0.584803393829309)</f>
        <v>-0.58480339382930902</v>
      </c>
      <c r="DW54" s="3">
        <f ca="1">IFERROR(__xludf.DUMMYFUNCTION("""COMPUTED_VALUE"""),-0.466279505772582)</f>
        <v>-0.46627950577258198</v>
      </c>
      <c r="DX54" s="3">
        <f ca="1">IFERROR(__xludf.DUMMYFUNCTION("""COMPUTED_VALUE"""),-0.55951512243865)</f>
        <v>-0.55951512243864998</v>
      </c>
      <c r="DY54" s="3">
        <f ca="1">IFERROR(__xludf.DUMMYFUNCTION("""COMPUTED_VALUE"""),-0.576266453303096)</f>
        <v>-0.576266453303096</v>
      </c>
      <c r="DZ54" s="3">
        <f ca="1">IFERROR(__xludf.DUMMYFUNCTION("""COMPUTED_VALUE"""),-0.565981135190786)</f>
        <v>-0.56598113519078597</v>
      </c>
      <c r="EA54" s="3">
        <f ca="1">IFERROR(__xludf.DUMMYFUNCTION("""COMPUTED_VALUE"""),-0.62344818816054)</f>
        <v>-0.62344818816054004</v>
      </c>
      <c r="EB54" s="3">
        <f ca="1">IFERROR(__xludf.DUMMYFUNCTION("""COMPUTED_VALUE"""),-0.607306734327772)</f>
        <v>-0.60730673432777205</v>
      </c>
      <c r="EC54" s="3">
        <f ca="1">IFERROR(__xludf.DUMMYFUNCTION("""COMPUTED_VALUE"""),-0.627072792304267)</f>
        <v>-0.62707279230426705</v>
      </c>
      <c r="ED54" s="3">
        <f ca="1">IFERROR(__xludf.DUMMYFUNCTION("""COMPUTED_VALUE"""),-0.466661483869502)</f>
        <v>-0.46666148386950201</v>
      </c>
      <c r="EE54" s="3">
        <f ca="1">IFERROR(__xludf.DUMMYFUNCTION("""COMPUTED_VALUE"""),-0.543300898465167)</f>
        <v>-0.54330089846516705</v>
      </c>
      <c r="EF54" s="3">
        <f ca="1">IFERROR(__xludf.DUMMYFUNCTION("""COMPUTED_VALUE"""),-0.616756922689865)</f>
        <v>-0.61675692268986504</v>
      </c>
      <c r="EG54" s="3">
        <f ca="1">IFERROR(__xludf.DUMMYFUNCTION("""COMPUTED_VALUE"""),-0.682279089648573)</f>
        <v>-0.68227908964857298</v>
      </c>
      <c r="EH54" s="3">
        <f ca="1">IFERROR(__xludf.DUMMYFUNCTION("""COMPUTED_VALUE"""),-0.600990106092565)</f>
        <v>-0.60099010609256498</v>
      </c>
      <c r="EI54" s="3">
        <f ca="1">IFERROR(__xludf.DUMMYFUNCTION("""COMPUTED_VALUE"""),-0.59234005214145)</f>
        <v>-0.59234005214145002</v>
      </c>
      <c r="EJ54" s="3">
        <f ca="1">IFERROR(__xludf.DUMMYFUNCTION("""COMPUTED_VALUE"""),-0.568064791783785)</f>
        <v>-0.56806479178378499</v>
      </c>
      <c r="EK54" s="3">
        <f ca="1">IFERROR(__xludf.DUMMYFUNCTION("""COMPUTED_VALUE"""),-0.458068892407895)</f>
        <v>-0.458068892407895</v>
      </c>
      <c r="EL54" s="3">
        <f ca="1">IFERROR(__xludf.DUMMYFUNCTION("""COMPUTED_VALUE"""),-0.488647975278489)</f>
        <v>-0.48864797527848902</v>
      </c>
      <c r="EM54" s="3">
        <f ca="1">IFERROR(__xludf.DUMMYFUNCTION("""COMPUTED_VALUE"""),-0.523971679855989)</f>
        <v>-0.52397167985598903</v>
      </c>
      <c r="EN54" s="3">
        <f ca="1">IFERROR(__xludf.DUMMYFUNCTION("""COMPUTED_VALUE"""),-0.547142155488777)</f>
        <v>-0.54714215548877698</v>
      </c>
      <c r="EO54" s="3">
        <f ca="1">IFERROR(__xludf.DUMMYFUNCTION("""COMPUTED_VALUE"""),-0.597965556634235)</f>
        <v>-0.59796555663423501</v>
      </c>
      <c r="EP54" s="3">
        <f ca="1">IFERROR(__xludf.DUMMYFUNCTION("""COMPUTED_VALUE"""),-0.587235984467527)</f>
        <v>-0.58723598446752701</v>
      </c>
      <c r="EQ54" s="3">
        <f ca="1">IFERROR(__xludf.DUMMYFUNCTION("""COMPUTED_VALUE"""),-0.554774160053652)</f>
        <v>-0.55477416005365199</v>
      </c>
      <c r="ER54" s="3">
        <f ca="1">IFERROR(__xludf.DUMMYFUNCTION("""COMPUTED_VALUE"""),-0.487810934390054)</f>
        <v>-0.48781093439005402</v>
      </c>
      <c r="ES54" s="3">
        <f ca="1">IFERROR(__xludf.DUMMYFUNCTION("""COMPUTED_VALUE"""),-0.504087544372772)</f>
        <v>-0.50408754437277203</v>
      </c>
      <c r="ET54" s="3">
        <f ca="1">IFERROR(__xludf.DUMMYFUNCTION("""COMPUTED_VALUE"""),-0.598397489485475)</f>
        <v>-0.598397489485475</v>
      </c>
      <c r="EU54" s="3">
        <f ca="1">IFERROR(__xludf.DUMMYFUNCTION("""COMPUTED_VALUE"""),-0.61395327279891)</f>
        <v>-0.61395327279890999</v>
      </c>
      <c r="EV54" s="3">
        <f ca="1">IFERROR(__xludf.DUMMYFUNCTION("""COMPUTED_VALUE"""),-0.630896262119934)</f>
        <v>-0.63089626211993399</v>
      </c>
      <c r="EW54" s="3">
        <f ca="1">IFERROR(__xludf.DUMMYFUNCTION("""COMPUTED_VALUE"""),-0.544534896571754)</f>
        <v>-0.54453489657175402</v>
      </c>
      <c r="EX54" s="3">
        <f ca="1">IFERROR(__xludf.DUMMYFUNCTION("""COMPUTED_VALUE"""),-0.518239818372386)</f>
        <v>-0.51823981837238597</v>
      </c>
      <c r="EY54" s="3">
        <f ca="1">IFERROR(__xludf.DUMMYFUNCTION("""COMPUTED_VALUE"""),-0.450973385957229)</f>
        <v>-0.45097338595722902</v>
      </c>
      <c r="EZ54" s="3">
        <f ca="1">IFERROR(__xludf.DUMMYFUNCTION("""COMPUTED_VALUE"""),-0.504389807060246)</f>
        <v>-0.50438980706024605</v>
      </c>
      <c r="FA54" s="3">
        <f ca="1">IFERROR(__xludf.DUMMYFUNCTION("""COMPUTED_VALUE"""),-0.566993822531236)</f>
        <v>-0.56699382253123598</v>
      </c>
      <c r="FB54" s="3">
        <f ca="1">IFERROR(__xludf.DUMMYFUNCTION("""COMPUTED_VALUE"""),-0.569995089565016)</f>
        <v>-0.56999508956501599</v>
      </c>
      <c r="FC54" s="3">
        <f ca="1">IFERROR(__xludf.DUMMYFUNCTION("""COMPUTED_VALUE"""),-0.601469093619823)</f>
        <v>-0.60146909361982304</v>
      </c>
      <c r="FD54" s="3">
        <f ca="1">IFERROR(__xludf.DUMMYFUNCTION("""COMPUTED_VALUE"""),-0.591038465024398)</f>
        <v>-0.59103846502439805</v>
      </c>
      <c r="FE54" s="3">
        <f ca="1">IFERROR(__xludf.DUMMYFUNCTION("""COMPUTED_VALUE"""),-0.540839248560508)</f>
        <v>-0.54083924856050802</v>
      </c>
      <c r="FF54" s="3">
        <f ca="1">IFERROR(__xludf.DUMMYFUNCTION("""COMPUTED_VALUE"""),-0.465691322310907)</f>
        <v>-0.46569132231090699</v>
      </c>
      <c r="FG54" s="3">
        <f ca="1">IFERROR(__xludf.DUMMYFUNCTION("""COMPUTED_VALUE"""),-0.500809856350638)</f>
        <v>-0.50080985635063802</v>
      </c>
      <c r="FH54" s="3">
        <f ca="1">IFERROR(__xludf.DUMMYFUNCTION("""COMPUTED_VALUE"""),-0.61320315114445)</f>
        <v>-0.61320315114445001</v>
      </c>
      <c r="FI54" s="3">
        <f ca="1">IFERROR(__xludf.DUMMYFUNCTION("""COMPUTED_VALUE"""),-0.627824877642452)</f>
        <v>-0.62782487764245198</v>
      </c>
      <c r="FJ54" s="3">
        <f ca="1">IFERROR(__xludf.DUMMYFUNCTION("""COMPUTED_VALUE"""),-0.595239854331427)</f>
        <v>-0.59523985433142701</v>
      </c>
      <c r="FK54" s="3">
        <f ca="1">IFERROR(__xludf.DUMMYFUNCTION("""COMPUTED_VALUE"""),-0.560761608110211)</f>
        <v>-0.56076160811021103</v>
      </c>
      <c r="FL54" s="3">
        <f ca="1">IFERROR(__xludf.DUMMYFUNCTION("""COMPUTED_VALUE"""),-0.583895759156015)</f>
        <v>-0.58389575915601499</v>
      </c>
      <c r="FM54" s="3">
        <f ca="1">IFERROR(__xludf.DUMMYFUNCTION("""COMPUTED_VALUE"""),-0.455837626166517)</f>
        <v>-0.45583762616651702</v>
      </c>
      <c r="FN54" s="3">
        <f ca="1">IFERROR(__xludf.DUMMYFUNCTION("""COMPUTED_VALUE"""),-0.513219336711489)</f>
        <v>-0.513219336711489</v>
      </c>
      <c r="FO54" s="3">
        <f ca="1">IFERROR(__xludf.DUMMYFUNCTION("""COMPUTED_VALUE"""),-0.584797814238632)</f>
        <v>-0.58479781423863197</v>
      </c>
      <c r="FP54" s="3">
        <f ca="1">IFERROR(__xludf.DUMMYFUNCTION("""COMPUTED_VALUE"""),-0.580119967985128)</f>
        <v>-0.58011996798512799</v>
      </c>
      <c r="FQ54" s="3">
        <f ca="1">IFERROR(__xludf.DUMMYFUNCTION("""COMPUTED_VALUE"""),-0.587228873069237)</f>
        <v>-0.58722887306923699</v>
      </c>
      <c r="FR54" s="3">
        <f ca="1">IFERROR(__xludf.DUMMYFUNCTION("""COMPUTED_VALUE"""),-0.57156486297933)</f>
        <v>-0.57156486297932996</v>
      </c>
      <c r="FS54" s="3">
        <f ca="1">IFERROR(__xludf.DUMMYFUNCTION("""COMPUTED_VALUE"""),-0.522152308563001)</f>
        <v>-0.52215230856300099</v>
      </c>
      <c r="FT54" s="3">
        <f ca="1">IFERROR(__xludf.DUMMYFUNCTION("""COMPUTED_VALUE"""),-0.441487554241651)</f>
        <v>-0.44148755424165098</v>
      </c>
      <c r="FU54" s="3">
        <f ca="1">IFERROR(__xludf.DUMMYFUNCTION("""COMPUTED_VALUE"""),-0.513093822456647)</f>
        <v>-0.51309382245664703</v>
      </c>
      <c r="FV54" s="3">
        <f ca="1">IFERROR(__xludf.DUMMYFUNCTION("""COMPUTED_VALUE"""),-0.621359273991108)</f>
        <v>-0.62135927399110802</v>
      </c>
      <c r="FW54" s="3">
        <f ca="1">IFERROR(__xludf.DUMMYFUNCTION("""COMPUTED_VALUE"""),-0.569819961297528)</f>
        <v>-0.56981996129752799</v>
      </c>
      <c r="FX54" s="3">
        <f ca="1">IFERROR(__xludf.DUMMYFUNCTION("""COMPUTED_VALUE"""),-0.54552312275021)</f>
        <v>-0.54552312275020998</v>
      </c>
      <c r="FY54" s="3">
        <f ca="1">IFERROR(__xludf.DUMMYFUNCTION("""COMPUTED_VALUE"""),-0.594999599429367)</f>
        <v>-0.59499959942936698</v>
      </c>
      <c r="FZ54" s="3">
        <f ca="1">IFERROR(__xludf.DUMMYFUNCTION("""COMPUTED_VALUE"""),-0.600266277340416)</f>
        <v>-0.60026627734041604</v>
      </c>
      <c r="GA54" s="3">
        <f ca="1">IFERROR(__xludf.DUMMYFUNCTION("""COMPUTED_VALUE"""),-0.463071957739854)</f>
        <v>-0.46307195773985399</v>
      </c>
      <c r="GB54" s="3">
        <f ca="1">IFERROR(__xludf.DUMMYFUNCTION("""COMPUTED_VALUE"""),-0.482136003510793)</f>
        <v>-0.482136003510793</v>
      </c>
      <c r="GC54" s="3">
        <f ca="1">IFERROR(__xludf.DUMMYFUNCTION("""COMPUTED_VALUE"""),-0.572960994115321)</f>
        <v>-0.57296099411532098</v>
      </c>
      <c r="GD54" s="3">
        <f ca="1">IFERROR(__xludf.DUMMYFUNCTION("""COMPUTED_VALUE"""),-0.564389948802382)</f>
        <v>-0.56438994880238202</v>
      </c>
      <c r="GE54" s="3">
        <f ca="1">IFERROR(__xludf.DUMMYFUNCTION("""COMPUTED_VALUE"""),-0.553903070296287)</f>
        <v>-0.55390307029628705</v>
      </c>
      <c r="GF54" s="3">
        <f ca="1">IFERROR(__xludf.DUMMYFUNCTION("""COMPUTED_VALUE"""),-0.542993112957487)</f>
        <v>-0.54299311295748698</v>
      </c>
      <c r="GG54" s="3">
        <f ca="1">IFERROR(__xludf.DUMMYFUNCTION("""COMPUTED_VALUE"""),-0.495805533882925)</f>
        <v>-0.49580553388292498</v>
      </c>
      <c r="GH54" s="3">
        <f ca="1">IFERROR(__xludf.DUMMYFUNCTION("""COMPUTED_VALUE"""),-0.494592766002736)</f>
        <v>-0.494592766002736</v>
      </c>
      <c r="GI54" s="3">
        <f ca="1">IFERROR(__xludf.DUMMYFUNCTION("""COMPUTED_VALUE"""),-0.504569151369565)</f>
        <v>-0.50456915136956504</v>
      </c>
      <c r="GJ54" s="3">
        <f ca="1">IFERROR(__xludf.DUMMYFUNCTION("""COMPUTED_VALUE"""),-0.57297511594018)</f>
        <v>-0.57297511594018002</v>
      </c>
      <c r="GK54" s="3">
        <f ca="1">IFERROR(__xludf.DUMMYFUNCTION("""COMPUTED_VALUE"""),-0.563405767590972)</f>
        <v>-0.56340576759097205</v>
      </c>
      <c r="GL54" s="3">
        <f ca="1">IFERROR(__xludf.DUMMYFUNCTION("""COMPUTED_VALUE"""),-0.551204197520704)</f>
        <v>-0.55120419752070404</v>
      </c>
      <c r="GM54" s="3">
        <f ca="1">IFERROR(__xludf.DUMMYFUNCTION("""COMPUTED_VALUE"""),-0.573502874581752)</f>
        <v>-0.57350287458175198</v>
      </c>
      <c r="GN54" s="3">
        <f ca="1">IFERROR(__xludf.DUMMYFUNCTION("""COMPUTED_VALUE"""),-0.561930688612602)</f>
        <v>-0.56193068861260198</v>
      </c>
      <c r="GO54" s="3">
        <f ca="1">IFERROR(__xludf.DUMMYFUNCTION("""COMPUTED_VALUE"""),-0.479501430724172)</f>
        <v>-0.47950143072417201</v>
      </c>
      <c r="GP54" s="3">
        <f ca="1">IFERROR(__xludf.DUMMYFUNCTION("""COMPUTED_VALUE"""),-0.517360987978506)</f>
        <v>-0.51736098797850605</v>
      </c>
      <c r="GQ54" s="3">
        <f ca="1">IFERROR(__xludf.DUMMYFUNCTION("""COMPUTED_VALUE"""),-0.583233293068413)</f>
        <v>-0.58323329306841298</v>
      </c>
      <c r="GR54" s="3">
        <f ca="1">IFERROR(__xludf.DUMMYFUNCTION("""COMPUTED_VALUE"""),-0.593765086942467)</f>
        <v>-0.59376508694246699</v>
      </c>
      <c r="GS54" s="3">
        <f ca="1">IFERROR(__xludf.DUMMYFUNCTION("""COMPUTED_VALUE"""),-0.594608938976052)</f>
        <v>-0.59460893897605205</v>
      </c>
      <c r="GT54" s="3">
        <f ca="1">IFERROR(__xludf.DUMMYFUNCTION("""COMPUTED_VALUE"""),-0.56796420359807)</f>
        <v>-0.56796420359806998</v>
      </c>
      <c r="GU54" s="3">
        <f ca="1">IFERROR(__xludf.DUMMYFUNCTION("""COMPUTED_VALUE"""),-0.53721344071821)</f>
        <v>-0.53721344071820998</v>
      </c>
      <c r="GV54" s="3">
        <f ca="1">IFERROR(__xludf.DUMMYFUNCTION("""COMPUTED_VALUE"""),-0.441500835306175)</f>
        <v>-0.44150083530617501</v>
      </c>
      <c r="GW54" s="3">
        <f ca="1">IFERROR(__xludf.DUMMYFUNCTION("""COMPUTED_VALUE"""),-0.499156623696316)</f>
        <v>-0.49915662369631603</v>
      </c>
      <c r="GX54" s="3">
        <f ca="1">IFERROR(__xludf.DUMMYFUNCTION("""COMPUTED_VALUE"""),-0.582573740487833)</f>
        <v>-0.58257374048783295</v>
      </c>
      <c r="GY54" s="3">
        <f ca="1">IFERROR(__xludf.DUMMYFUNCTION("""COMPUTED_VALUE"""),-0.603622553898153)</f>
        <v>-0.603622553898153</v>
      </c>
      <c r="GZ54" s="3">
        <f ca="1">IFERROR(__xludf.DUMMYFUNCTION("""COMPUTED_VALUE"""),-0.605287381407804)</f>
        <v>-0.60528738140780403</v>
      </c>
      <c r="HA54" s="3">
        <f ca="1">IFERROR(__xludf.DUMMYFUNCTION("""COMPUTED_VALUE"""),-0.595278859540903)</f>
        <v>-0.59527885954090298</v>
      </c>
      <c r="HB54" s="3">
        <f ca="1">IFERROR(__xludf.DUMMYFUNCTION("""COMPUTED_VALUE"""),-0.580464461016694)</f>
        <v>-0.58046446101669402</v>
      </c>
      <c r="HC54" s="3">
        <f ca="1">IFERROR(__xludf.DUMMYFUNCTION("""COMPUTED_VALUE"""),-0.485438029871257)</f>
        <v>-0.485438029871257</v>
      </c>
      <c r="HD54" s="3">
        <f ca="1">IFERROR(__xludf.DUMMYFUNCTION("""COMPUTED_VALUE"""),-0.485297168860038)</f>
        <v>-0.48529716886003799</v>
      </c>
      <c r="HE54" s="3">
        <f ca="1">IFERROR(__xludf.DUMMYFUNCTION("""COMPUTED_VALUE"""),-0.573165279760145)</f>
        <v>-0.57316527976014497</v>
      </c>
      <c r="HF54" s="3">
        <f ca="1">IFERROR(__xludf.DUMMYFUNCTION("""COMPUTED_VALUE"""),-0.612471886648082)</f>
        <v>-0.61247188664808205</v>
      </c>
      <c r="HG54" s="3">
        <f ca="1">IFERROR(__xludf.DUMMYFUNCTION("""COMPUTED_VALUE"""),-0.574746216645723)</f>
        <v>-0.57474621664572301</v>
      </c>
      <c r="HH54" s="3">
        <f ca="1">IFERROR(__xludf.DUMMYFUNCTION("""COMPUTED_VALUE"""),-0.555150301336373)</f>
        <v>-0.555150301336373</v>
      </c>
      <c r="HI54" s="3">
        <f ca="1">IFERROR(__xludf.DUMMYFUNCTION("""COMPUTED_VALUE"""),-0.474339078310163)</f>
        <v>-0.47433907831016298</v>
      </c>
      <c r="HJ54" s="3">
        <f ca="1">IFERROR(__xludf.DUMMYFUNCTION("""COMPUTED_VALUE"""),-0.455917157341663)</f>
        <v>-0.45591715734166299</v>
      </c>
      <c r="HK54" s="3">
        <f ca="1">IFERROR(__xludf.DUMMYFUNCTION("""COMPUTED_VALUE"""),-0.475582212975932)</f>
        <v>-0.47558221297593201</v>
      </c>
      <c r="HL54" s="3">
        <f ca="1">IFERROR(__xludf.DUMMYFUNCTION("""COMPUTED_VALUE"""),-0.534791834521211)</f>
        <v>-0.53479183452121104</v>
      </c>
      <c r="HM54" s="3">
        <f ca="1">IFERROR(__xludf.DUMMYFUNCTION("""COMPUTED_VALUE"""),-0.575614529061233)</f>
        <v>-0.575614529061233</v>
      </c>
      <c r="HN54" s="3">
        <f ca="1">IFERROR(__xludf.DUMMYFUNCTION("""COMPUTED_VALUE"""),-0.579795928258838)</f>
        <v>-0.57979592825883797</v>
      </c>
      <c r="HO54" s="3">
        <f ca="1">IFERROR(__xludf.DUMMYFUNCTION("""COMPUTED_VALUE"""),-0.562578826260632)</f>
        <v>-0.56257882626063205</v>
      </c>
      <c r="HP54" s="3">
        <f ca="1">IFERROR(__xludf.DUMMYFUNCTION("""COMPUTED_VALUE"""),-0.478086870499509)</f>
        <v>-0.47808687049950899</v>
      </c>
      <c r="HQ54" s="3">
        <f ca="1">IFERROR(__xludf.DUMMYFUNCTION("""COMPUTED_VALUE"""),-0.357303648888994)</f>
        <v>-0.35730364888899402</v>
      </c>
      <c r="HR54" s="3">
        <f ca="1">IFERROR(__xludf.DUMMYFUNCTION("""COMPUTED_VALUE"""),-0.47114610156947)</f>
        <v>-0.47114610156947001</v>
      </c>
      <c r="HS54" s="3">
        <f ca="1">IFERROR(__xludf.DUMMYFUNCTION("""COMPUTED_VALUE"""),-0.434567059540874)</f>
        <v>-0.43456705954087399</v>
      </c>
      <c r="HT54" s="3">
        <f ca="1">IFERROR(__xludf.DUMMYFUNCTION("""COMPUTED_VALUE"""),-0.478039187508285)</f>
        <v>-0.478039187508285</v>
      </c>
      <c r="HU54" s="3">
        <f ca="1">IFERROR(__xludf.DUMMYFUNCTION("""COMPUTED_VALUE"""),-0.450321151176504)</f>
        <v>-0.45032115117650401</v>
      </c>
      <c r="HV54" s="3">
        <f ca="1">IFERROR(__xludf.DUMMYFUNCTION("""COMPUTED_VALUE"""),-0.42440627541682)</f>
        <v>-0.42440627541682002</v>
      </c>
      <c r="HW54" s="3">
        <f ca="1">IFERROR(__xludf.DUMMYFUNCTION("""COMPUTED_VALUE"""),-0.349733237496571)</f>
        <v>-0.34973323749657098</v>
      </c>
      <c r="HX54" s="3">
        <f ca="1">IFERROR(__xludf.DUMMYFUNCTION("""COMPUTED_VALUE"""),-0.386305057647822)</f>
        <v>-0.38630505764782203</v>
      </c>
      <c r="HY54" s="3">
        <f ca="1">IFERROR(__xludf.DUMMYFUNCTION("""COMPUTED_VALUE"""),-0.397164482012972)</f>
        <v>-0.397164482012972</v>
      </c>
      <c r="HZ54" s="3">
        <f ca="1">IFERROR(__xludf.DUMMYFUNCTION("""COMPUTED_VALUE"""),-0.387512249089641)</f>
        <v>-0.38751224908964099</v>
      </c>
      <c r="IA54" s="3">
        <f ca="1">IFERROR(__xludf.DUMMYFUNCTION("""COMPUTED_VALUE"""),-0.425297857581484)</f>
        <v>-0.42529785758148397</v>
      </c>
      <c r="IB54" s="3">
        <f ca="1">IFERROR(__xludf.DUMMYFUNCTION("""COMPUTED_VALUE"""),-0.449748084001345)</f>
        <v>-0.44974808400134503</v>
      </c>
      <c r="IC54" s="3">
        <f ca="1">IFERROR(__xludf.DUMMYFUNCTION("""COMPUTED_VALUE"""),-0.406336195100846)</f>
        <v>-0.40633619510084601</v>
      </c>
      <c r="ID54" s="3">
        <f ca="1">IFERROR(__xludf.DUMMYFUNCTION("""COMPUTED_VALUE"""),-0.419660037184635)</f>
        <v>-0.41966003718463502</v>
      </c>
      <c r="IE54" s="3">
        <f ca="1">IFERROR(__xludf.DUMMYFUNCTION("""COMPUTED_VALUE"""),-0.4839571652688)</f>
        <v>-0.4839571652688</v>
      </c>
      <c r="IF54" s="3">
        <f ca="1">IFERROR(__xludf.DUMMYFUNCTION("""COMPUTED_VALUE"""),-0.401758615174943)</f>
        <v>-0.40175861517494299</v>
      </c>
      <c r="IG54" s="3">
        <f ca="1">IFERROR(__xludf.DUMMYFUNCTION("""COMPUTED_VALUE"""),-0.398970184666349)</f>
        <v>-0.39897018466634898</v>
      </c>
      <c r="IH54" s="3">
        <f ca="1">IFERROR(__xludf.DUMMYFUNCTION("""COMPUTED_VALUE"""),-0.488328710062109)</f>
        <v>-0.48832871006210898</v>
      </c>
      <c r="II54" s="3">
        <f ca="1">IFERROR(__xludf.DUMMYFUNCTION("""COMPUTED_VALUE"""),-0.440328990219064)</f>
        <v>-0.44032899021906402</v>
      </c>
      <c r="IJ54" s="3">
        <f ca="1">IFERROR(__xludf.DUMMYFUNCTION("""COMPUTED_VALUE"""),-0.417380921115298)</f>
        <v>-0.41738092111529801</v>
      </c>
      <c r="IK54" s="3">
        <f ca="1">IFERROR(__xludf.DUMMYFUNCTION("""COMPUTED_VALUE"""),-0.398986386395902)</f>
        <v>-0.398986386395902</v>
      </c>
      <c r="IL54" s="3">
        <f ca="1">IFERROR(__xludf.DUMMYFUNCTION("""COMPUTED_VALUE"""),-0.391844231277891)</f>
        <v>-0.39184423127789098</v>
      </c>
      <c r="IM54" s="3">
        <f ca="1">IFERROR(__xludf.DUMMYFUNCTION("""COMPUTED_VALUE"""),-0.449011979643664)</f>
        <v>-0.44901197964366402</v>
      </c>
      <c r="IN54" s="3">
        <f ca="1">IFERROR(__xludf.DUMMYFUNCTION("""COMPUTED_VALUE"""),-0.447884044426896)</f>
        <v>-0.447884044426896</v>
      </c>
      <c r="IO54" s="3">
        <f ca="1">IFERROR(__xludf.DUMMYFUNCTION("""COMPUTED_VALUE"""),-0.454301671928936)</f>
        <v>-0.454301671928936</v>
      </c>
      <c r="IP54" s="3">
        <f ca="1">IFERROR(__xludf.DUMMYFUNCTION("""COMPUTED_VALUE"""),-0.388553231821021)</f>
        <v>-0.38855323182102097</v>
      </c>
      <c r="IQ54" s="3">
        <f ca="1">IFERROR(__xludf.DUMMYFUNCTION("""COMPUTED_VALUE"""),-0.496382311728372)</f>
        <v>-0.49638231172837199</v>
      </c>
      <c r="IR54" s="3">
        <f ca="1">IFERROR(__xludf.DUMMYFUNCTION("""COMPUTED_VALUE"""),-0.442273059158532)</f>
        <v>-0.44227305915853199</v>
      </c>
      <c r="IS54" s="3">
        <f ca="1">IFERROR(__xludf.DUMMYFUNCTION("""COMPUTED_VALUE"""),-0.456782882009197)</f>
        <v>-0.45678288200919698</v>
      </c>
      <c r="IT54" s="3">
        <f ca="1">IFERROR(__xludf.DUMMYFUNCTION("""COMPUTED_VALUE"""),-0.43424366707737)</f>
        <v>-0.43424366707737</v>
      </c>
      <c r="IU54" s="3">
        <f ca="1">IFERROR(__xludf.DUMMYFUNCTION("""COMPUTED_VALUE"""),-0.492405054156601)</f>
        <v>-0.49240505415660102</v>
      </c>
      <c r="IV54" s="3">
        <f ca="1">IFERROR(__xludf.DUMMYFUNCTION("""COMPUTED_VALUE"""),-0.50137806661265)</f>
        <v>-0.50137806661265005</v>
      </c>
      <c r="IW54" s="3">
        <f ca="1">IFERROR(__xludf.DUMMYFUNCTION("""COMPUTED_VALUE"""),-0.481682042146483)</f>
        <v>-0.48168204214648302</v>
      </c>
      <c r="IX54" s="3">
        <f ca="1">IFERROR(__xludf.DUMMYFUNCTION("""COMPUTED_VALUE"""),-0.503943618178205)</f>
        <v>-0.50394361817820499</v>
      </c>
      <c r="IY54" s="3">
        <f ca="1">IFERROR(__xludf.DUMMYFUNCTION("""COMPUTED_VALUE"""),-0.484347638952821)</f>
        <v>-0.48434763895282101</v>
      </c>
      <c r="IZ54" s="3">
        <f ca="1">IFERROR(__xludf.DUMMYFUNCTION("""COMPUTED_VALUE"""),-0.430642607643816)</f>
        <v>-0.43064260764381601</v>
      </c>
      <c r="JA54" s="3">
        <f ca="1">IFERROR(__xludf.DUMMYFUNCTION("""COMPUTED_VALUE"""),-0.446454126465981)</f>
        <v>-0.44645412646598098</v>
      </c>
      <c r="JB54" s="3">
        <f ca="1">IFERROR(__xludf.DUMMYFUNCTION("""COMPUTED_VALUE"""),-0.549815473010197)</f>
        <v>-0.54981547301019695</v>
      </c>
      <c r="JC54" s="3">
        <f ca="1">IFERROR(__xludf.DUMMYFUNCTION("""COMPUTED_VALUE"""),-0.530094099118144)</f>
        <v>-0.53009409911814398</v>
      </c>
      <c r="JD54" s="3">
        <f ca="1">IFERROR(__xludf.DUMMYFUNCTION("""COMPUTED_VALUE"""),-0.527849073062296)</f>
        <v>-0.527849073062296</v>
      </c>
      <c r="JE54" s="3">
        <f ca="1">IFERROR(__xludf.DUMMYFUNCTION("""COMPUTED_VALUE"""),-0.514392719389833)</f>
        <v>-0.514392719389833</v>
      </c>
      <c r="JF54" s="3">
        <f ca="1">IFERROR(__xludf.DUMMYFUNCTION("""COMPUTED_VALUE"""),-0.505973651749538)</f>
        <v>-0.50597365174953801</v>
      </c>
      <c r="JG54" s="3">
        <f ca="1">IFERROR(__xludf.DUMMYFUNCTION("""COMPUTED_VALUE"""),-0.441513972409414)</f>
        <v>-0.44151397240941398</v>
      </c>
      <c r="JH54" s="3">
        <f ca="1">IFERROR(__xludf.DUMMYFUNCTION("""COMPUTED_VALUE"""),-0.494950217858429)</f>
        <v>-0.49495021785842902</v>
      </c>
      <c r="JI54" s="3">
        <f ca="1">IFERROR(__xludf.DUMMYFUNCTION("""COMPUTED_VALUE"""),-0.548894254757864)</f>
        <v>-0.54889425475786402</v>
      </c>
      <c r="JJ54" s="3">
        <f ca="1">IFERROR(__xludf.DUMMYFUNCTION("""COMPUTED_VALUE"""),-0.52485955493821)</f>
        <v>-0.52485955493821002</v>
      </c>
      <c r="JK54" s="3">
        <f ca="1">IFERROR(__xludf.DUMMYFUNCTION("""COMPUTED_VALUE"""),-0.539693797801681)</f>
        <v>-0.53969379780168103</v>
      </c>
      <c r="JL54" s="3">
        <f ca="1">IFERROR(__xludf.DUMMYFUNCTION("""COMPUTED_VALUE"""),-0.524062783211758)</f>
        <v>-0.52406278321175803</v>
      </c>
      <c r="JM54" s="3">
        <f ca="1">IFERROR(__xludf.DUMMYFUNCTION("""COMPUTED_VALUE"""),-0.507382301108433)</f>
        <v>-0.50738230110843296</v>
      </c>
      <c r="JN54" s="3">
        <f ca="1">IFERROR(__xludf.DUMMYFUNCTION("""COMPUTED_VALUE"""),-0.458322074760683)</f>
        <v>-0.45832207476068298</v>
      </c>
      <c r="JO54" s="3">
        <f ca="1">IFERROR(__xludf.DUMMYFUNCTION("""COMPUTED_VALUE"""),-0.563137570918483)</f>
        <v>-0.56313757091848304</v>
      </c>
      <c r="JP54" s="3">
        <f ca="1">IFERROR(__xludf.DUMMYFUNCTION("""COMPUTED_VALUE"""),-0.585356605635845)</f>
        <v>-0.58535660563584502</v>
      </c>
      <c r="JQ54" s="3">
        <f ca="1">IFERROR(__xludf.DUMMYFUNCTION("""COMPUTED_VALUE"""),-0.464884116998595)</f>
        <v>-0.464884116998595</v>
      </c>
      <c r="JR54" s="3">
        <f ca="1">IFERROR(__xludf.DUMMYFUNCTION("""COMPUTED_VALUE"""),-0.562442493652172)</f>
        <v>-0.56244249365217203</v>
      </c>
      <c r="JS54" s="3">
        <f ca="1">IFERROR(__xludf.DUMMYFUNCTION("""COMPUTED_VALUE"""),-0.567348454355314)</f>
        <v>-0.567348454355314</v>
      </c>
      <c r="JT54" s="3">
        <f ca="1">IFERROR(__xludf.DUMMYFUNCTION("""COMPUTED_VALUE"""),-0.537839571819373)</f>
        <v>-0.53783957181937303</v>
      </c>
      <c r="JU54" s="3">
        <f ca="1">IFERROR(__xludf.DUMMYFUNCTION("""COMPUTED_VALUE"""),-0.496130276001586)</f>
        <v>-0.49613027600158599</v>
      </c>
      <c r="JV54" s="3">
        <f ca="1">IFERROR(__xludf.DUMMYFUNCTION("""COMPUTED_VALUE"""),-0.575241509277653)</f>
        <v>-0.57524150927765305</v>
      </c>
      <c r="JW54" s="3">
        <f ca="1">IFERROR(__xludf.DUMMYFUNCTION("""COMPUTED_VALUE"""),-0.486221607613681)</f>
        <v>-0.486221607613681</v>
      </c>
      <c r="JX54" s="3">
        <f ca="1">IFERROR(__xludf.DUMMYFUNCTION("""COMPUTED_VALUE"""),-0.492568911200658)</f>
        <v>-0.49256891120065799</v>
      </c>
      <c r="JY54" s="3">
        <f ca="1">IFERROR(__xludf.DUMMYFUNCTION("""COMPUTED_VALUE"""),-0.597388219867819)</f>
        <v>-0.59738821986781898</v>
      </c>
      <c r="JZ54" s="3">
        <f ca="1">IFERROR(__xludf.DUMMYFUNCTION("""COMPUTED_VALUE"""),-0.563593825809845)</f>
        <v>-0.56359382580984496</v>
      </c>
      <c r="KA54" s="3">
        <f ca="1">IFERROR(__xludf.DUMMYFUNCTION("""COMPUTED_VALUE"""),-0.527031253386735)</f>
        <v>-0.52703125338673495</v>
      </c>
      <c r="KB54" s="3">
        <f ca="1">IFERROR(__xludf.DUMMYFUNCTION("""COMPUTED_VALUE"""),-0.527219630163007)</f>
        <v>-0.52721963016300699</v>
      </c>
      <c r="KC54" s="3">
        <f ca="1">IFERROR(__xludf.DUMMYFUNCTION("""COMPUTED_VALUE"""),-0.555123060591654)</f>
        <v>-0.55512306059165395</v>
      </c>
      <c r="KD54" s="3">
        <f ca="1">IFERROR(__xludf.DUMMYFUNCTION("""COMPUTED_VALUE"""),-0.512616531201946)</f>
        <v>-0.51261653120194595</v>
      </c>
      <c r="KE54" s="3">
        <f ca="1">IFERROR(__xludf.DUMMYFUNCTION("""COMPUTED_VALUE"""),-0.529472346769073)</f>
        <v>-0.52947234676907295</v>
      </c>
      <c r="KF54" s="3">
        <f ca="1">IFERROR(__xludf.DUMMYFUNCTION("""COMPUTED_VALUE"""),-0.574217106091087)</f>
        <v>-0.574217106091087</v>
      </c>
      <c r="KG54" s="3">
        <f ca="1">IFERROR(__xludf.DUMMYFUNCTION("""COMPUTED_VALUE"""),-0.543057775955839)</f>
        <v>-0.54305777595583904</v>
      </c>
      <c r="KH54" s="3">
        <f ca="1">IFERROR(__xludf.DUMMYFUNCTION("""COMPUTED_VALUE"""),-0.551331970080075)</f>
        <v>-0.55133197008007495</v>
      </c>
      <c r="KI54" s="3">
        <f ca="1">IFERROR(__xludf.DUMMYFUNCTION("""COMPUTED_VALUE"""),-0.563471387637686)</f>
        <v>-0.56347138763768601</v>
      </c>
      <c r="KJ54" s="3">
        <f ca="1">IFERROR(__xludf.DUMMYFUNCTION("""COMPUTED_VALUE"""),-0.601245237570801)</f>
        <v>-0.60124523757080095</v>
      </c>
      <c r="KK54" s="3">
        <f ca="1">IFERROR(__xludf.DUMMYFUNCTION("""COMPUTED_VALUE"""),-0.606463232862497)</f>
        <v>-0.60646323286249704</v>
      </c>
      <c r="KL54" s="3">
        <f ca="1">IFERROR(__xludf.DUMMYFUNCTION("""COMPUTED_VALUE"""),-0.624627816234649)</f>
        <v>-0.62462781623464902</v>
      </c>
      <c r="KM54" s="3">
        <f ca="1">IFERROR(__xludf.DUMMYFUNCTION("""COMPUTED_VALUE"""),-0.633231767108805)</f>
        <v>-0.63323176710880502</v>
      </c>
      <c r="KN54" s="3">
        <f ca="1">IFERROR(__xludf.DUMMYFUNCTION("""COMPUTED_VALUE"""),-0.600586595130735)</f>
        <v>-0.60058659513073498</v>
      </c>
      <c r="KO54" s="3">
        <f ca="1">IFERROR(__xludf.DUMMYFUNCTION("""COMPUTED_VALUE"""),-0.596776952894762)</f>
        <v>-0.59677695289476196</v>
      </c>
      <c r="KP54" s="3">
        <f ca="1">IFERROR(__xludf.DUMMYFUNCTION("""COMPUTED_VALUE"""),-0.580458630409317)</f>
        <v>-0.580458630409317</v>
      </c>
      <c r="KQ54" s="3">
        <f ca="1">IFERROR(__xludf.DUMMYFUNCTION("""COMPUTED_VALUE"""),-0.620780024856216)</f>
        <v>-0.62078002485621597</v>
      </c>
      <c r="KR54" s="3">
        <f ca="1">IFERROR(__xludf.DUMMYFUNCTION("""COMPUTED_VALUE"""),-0.622151968573157)</f>
        <v>-0.62215196857315702</v>
      </c>
      <c r="KS54" s="3">
        <f ca="1">IFERROR(__xludf.DUMMYFUNCTION("""COMPUTED_VALUE"""),-0.654168677002351)</f>
        <v>-0.65416867700235104</v>
      </c>
      <c r="KT54" s="3">
        <f ca="1">IFERROR(__xludf.DUMMYFUNCTION("""COMPUTED_VALUE"""),-0.625571247589471)</f>
        <v>-0.62557124758947102</v>
      </c>
      <c r="KU54" s="3">
        <f ca="1">IFERROR(__xludf.DUMMYFUNCTION("""COMPUTED_VALUE"""),-0.599622650030015)</f>
        <v>-0.59962265003001503</v>
      </c>
      <c r="KV54" s="3">
        <f ca="1">IFERROR(__xludf.DUMMYFUNCTION("""COMPUTED_VALUE"""),-0.599820501780776)</f>
        <v>-0.59982050178077595</v>
      </c>
      <c r="KW54" s="3">
        <f ca="1">IFERROR(__xludf.DUMMYFUNCTION("""COMPUTED_VALUE"""),-0.604749049057806)</f>
        <v>-0.60474904905780602</v>
      </c>
      <c r="KX54" s="3">
        <f ca="1">IFERROR(__xludf.DUMMYFUNCTION("""COMPUTED_VALUE"""),-0.658269365754246)</f>
        <v>-0.65826936575424599</v>
      </c>
      <c r="KY54" s="3">
        <f ca="1">IFERROR(__xludf.DUMMYFUNCTION("""COMPUTED_VALUE"""),-0.683901375687399)</f>
        <v>-0.68390137568739895</v>
      </c>
      <c r="KZ54" s="3">
        <f ca="1">IFERROR(__xludf.DUMMYFUNCTION("""COMPUTED_VALUE"""),-0.640599533769294)</f>
        <v>-0.64059953376929402</v>
      </c>
      <c r="LA54" s="3">
        <f ca="1">IFERROR(__xludf.DUMMYFUNCTION("""COMPUTED_VALUE"""),-0.668613274293494)</f>
        <v>-0.66861327429349404</v>
      </c>
      <c r="LB54" s="3">
        <f ca="1">IFERROR(__xludf.DUMMYFUNCTION("""COMPUTED_VALUE"""),-0.639470399196283)</f>
        <v>-0.63947039919628301</v>
      </c>
      <c r="LC54" s="3">
        <f ca="1">IFERROR(__xludf.DUMMYFUNCTION("""COMPUTED_VALUE"""),-0.604391284223161)</f>
        <v>-0.60439128422316102</v>
      </c>
      <c r="LD54" s="3">
        <f ca="1">IFERROR(__xludf.DUMMYFUNCTION("""COMPUTED_VALUE"""),-0.644072341066461)</f>
        <v>-0.64407234106646105</v>
      </c>
      <c r="LE54" s="3">
        <f ca="1">IFERROR(__xludf.DUMMYFUNCTION("""COMPUTED_VALUE"""),-0.658456475942879)</f>
        <v>-0.65845647594287904</v>
      </c>
      <c r="LF54" s="3">
        <f ca="1">IFERROR(__xludf.DUMMYFUNCTION("""COMPUTED_VALUE"""),-0.688662861770663)</f>
        <v>-0.68866286177066305</v>
      </c>
      <c r="LG54" s="3">
        <f ca="1">IFERROR(__xludf.DUMMYFUNCTION("""COMPUTED_VALUE"""),-0.674799347320751)</f>
        <v>-0.67479934732075098</v>
      </c>
      <c r="LH54" s="3">
        <f ca="1">IFERROR(__xludf.DUMMYFUNCTION("""COMPUTED_VALUE"""),-0.666805766670318)</f>
        <v>-0.66680576667031799</v>
      </c>
      <c r="LI54" s="3">
        <f ca="1">IFERROR(__xludf.DUMMYFUNCTION("""COMPUTED_VALUE"""),-0.650905113769114)</f>
        <v>-0.65090511376911397</v>
      </c>
      <c r="LJ54" s="3">
        <f ca="1">IFERROR(__xludf.DUMMYFUNCTION("""COMPUTED_VALUE"""),-0.687366366866762)</f>
        <v>-0.687366366866762</v>
      </c>
      <c r="LK54" s="3">
        <f ca="1">IFERROR(__xludf.DUMMYFUNCTION("""COMPUTED_VALUE"""),-0.681767646259293)</f>
        <v>-0.68176764625929298</v>
      </c>
      <c r="LL54" s="3">
        <f ca="1">IFERROR(__xludf.DUMMYFUNCTION("""COMPUTED_VALUE"""),-0.735438839723872)</f>
        <v>-0.73543883972387203</v>
      </c>
      <c r="LM54" s="3">
        <f ca="1">IFERROR(__xludf.DUMMYFUNCTION("""COMPUTED_VALUE"""),-0.702041583160877)</f>
        <v>-0.70204158316087695</v>
      </c>
      <c r="LN54" s="3">
        <f ca="1">IFERROR(__xludf.DUMMYFUNCTION("""COMPUTED_VALUE"""),-0.692651318960735)</f>
        <v>-0.69265131896073495</v>
      </c>
      <c r="LO54" s="3">
        <f ca="1">IFERROR(__xludf.DUMMYFUNCTION("""COMPUTED_VALUE"""),-0.701650502201755)</f>
        <v>-0.70165050220175496</v>
      </c>
      <c r="LP54" s="3">
        <f ca="1">IFERROR(__xludf.DUMMYFUNCTION("""COMPUTED_VALUE"""),-0.693412888922698)</f>
        <v>-0.69341288892269803</v>
      </c>
      <c r="LQ54" s="3">
        <f ca="1">IFERROR(__xludf.DUMMYFUNCTION("""COMPUTED_VALUE"""),-0.673225845445848)</f>
        <v>-0.67322584544584796</v>
      </c>
      <c r="LR54" s="3">
        <f ca="1">IFERROR(__xludf.DUMMYFUNCTION("""COMPUTED_VALUE"""),-0.675641366932074)</f>
        <v>-0.67564136693207399</v>
      </c>
      <c r="LS54" s="3">
        <f ca="1">IFERROR(__xludf.DUMMYFUNCTION("""COMPUTED_VALUE"""),-0.709680416474697)</f>
        <v>-0.70968041647469704</v>
      </c>
      <c r="LT54" s="3">
        <f ca="1">IFERROR(__xludf.DUMMYFUNCTION("""COMPUTED_VALUE"""),-0.70729795364047)</f>
        <v>-0.70729795364046999</v>
      </c>
      <c r="LU54" s="3">
        <f ca="1">IFERROR(__xludf.DUMMYFUNCTION("""COMPUTED_VALUE"""),-0.717227177126675)</f>
        <v>-0.71722717712667505</v>
      </c>
      <c r="LV54" s="3">
        <f ca="1">IFERROR(__xludf.DUMMYFUNCTION("""COMPUTED_VALUE"""),-0.719612346590211)</f>
        <v>-0.71961234659021101</v>
      </c>
      <c r="LW54" s="3">
        <f ca="1">IFERROR(__xludf.DUMMYFUNCTION("""COMPUTED_VALUE"""),-0.720871098331916)</f>
        <v>-0.72087109833191598</v>
      </c>
      <c r="LX54" s="3">
        <f ca="1">IFERROR(__xludf.DUMMYFUNCTION("""COMPUTED_VALUE"""),-0.71140349857957)</f>
        <v>-0.71140349857956997</v>
      </c>
      <c r="LY54" s="3">
        <f ca="1">IFERROR(__xludf.DUMMYFUNCTION("""COMPUTED_VALUE"""),-0.681060434675843)</f>
        <v>-0.68106043467584299</v>
      </c>
      <c r="LZ54" s="3">
        <f ca="1">IFERROR(__xludf.DUMMYFUNCTION("""COMPUTED_VALUE"""),-0.746192800395054)</f>
        <v>-0.74619280039505398</v>
      </c>
      <c r="MA54" s="3">
        <f ca="1">IFERROR(__xludf.DUMMYFUNCTION("""COMPUTED_VALUE"""),-0.736702398320206)</f>
        <v>-0.73670239832020601</v>
      </c>
      <c r="MB54" s="3">
        <f ca="1">IFERROR(__xludf.DUMMYFUNCTION("""COMPUTED_VALUE"""),-0.725184817582577)</f>
        <v>-0.72518481758257702</v>
      </c>
      <c r="MC54" s="3">
        <f ca="1">IFERROR(__xludf.DUMMYFUNCTION("""COMPUTED_VALUE"""),-0.725093756938007)</f>
        <v>-0.72509375693800704</v>
      </c>
      <c r="MD54" s="3">
        <f ca="1">IFERROR(__xludf.DUMMYFUNCTION("""COMPUTED_VALUE"""),-0.715811670595876)</f>
        <v>-0.71581167059587603</v>
      </c>
      <c r="ME54" s="3">
        <f ca="1">IFERROR(__xludf.DUMMYFUNCTION("""COMPUTED_VALUE"""),-0.694446273835643)</f>
        <v>-0.69444627383564295</v>
      </c>
      <c r="MF54" s="3">
        <f ca="1">IFERROR(__xludf.DUMMYFUNCTION("""COMPUTED_VALUE"""),-0.660539940194651)</f>
        <v>-0.66053994019465101</v>
      </c>
      <c r="MG54" s="3">
        <f ca="1">IFERROR(__xludf.DUMMYFUNCTION("""COMPUTED_VALUE"""),-0.725262707002242)</f>
        <v>-0.72526270700224205</v>
      </c>
      <c r="MH54" s="3">
        <f ca="1">IFERROR(__xludf.DUMMYFUNCTION("""COMPUTED_VALUE"""),-0.7175631053474)</f>
        <v>-0.71756310534739998</v>
      </c>
      <c r="MI54" s="3">
        <f ca="1">IFERROR(__xludf.DUMMYFUNCTION("""COMPUTED_VALUE"""),-0.742788823899106)</f>
        <v>-0.74278882389910605</v>
      </c>
      <c r="MJ54" s="3">
        <f ca="1">IFERROR(__xludf.DUMMYFUNCTION("""COMPUTED_VALUE"""),-0.727968193907131)</f>
        <v>-0.72796819390713097</v>
      </c>
      <c r="MK54" s="3">
        <f ca="1">IFERROR(__xludf.DUMMYFUNCTION("""COMPUTED_VALUE"""),-0.724703946910619)</f>
        <v>-0.72470394691061901</v>
      </c>
      <c r="ML54" s="3">
        <f ca="1">IFERROR(__xludf.DUMMYFUNCTION("""COMPUTED_VALUE"""),-0.710453833770441)</f>
        <v>-0.71045383377044102</v>
      </c>
      <c r="MM54" s="3">
        <f ca="1">IFERROR(__xludf.DUMMYFUNCTION("""COMPUTED_VALUE"""),-0.719963921294682)</f>
        <v>-0.71996392129468201</v>
      </c>
      <c r="MN54" s="3">
        <f ca="1">IFERROR(__xludf.DUMMYFUNCTION("""COMPUTED_VALUE"""),-0.729592652289414)</f>
        <v>-0.72959265228941395</v>
      </c>
      <c r="MO54" s="3">
        <f ca="1">IFERROR(__xludf.DUMMYFUNCTION("""COMPUTED_VALUE"""),-0.73622564388099)</f>
        <v>-0.73622564388098999</v>
      </c>
      <c r="MP54" s="3">
        <f ca="1">IFERROR(__xludf.DUMMYFUNCTION("""COMPUTED_VALUE"""),-0.742156959808638)</f>
        <v>-0.74215695980863805</v>
      </c>
      <c r="MQ54" s="3">
        <f ca="1">IFERROR(__xludf.DUMMYFUNCTION("""COMPUTED_VALUE"""),-0.737308478020587)</f>
        <v>-0.73730847802058697</v>
      </c>
      <c r="MR54" s="3">
        <f ca="1">IFERROR(__xludf.DUMMYFUNCTION("""COMPUTED_VALUE"""),-0.746203485270727)</f>
        <v>-0.746203485270727</v>
      </c>
      <c r="MS54" s="3">
        <f ca="1">IFERROR(__xludf.DUMMYFUNCTION("""COMPUTED_VALUE"""),-0.709287622761473)</f>
        <v>-0.70928762276147295</v>
      </c>
      <c r="MT54" s="3">
        <f ca="1">IFERROR(__xludf.DUMMYFUNCTION("""COMPUTED_VALUE"""),-0.711418907568871)</f>
        <v>-0.71141890756887105</v>
      </c>
      <c r="MU54" s="3">
        <f ca="1">IFERROR(__xludf.DUMMYFUNCTION("""COMPUTED_VALUE"""),-0.753810854066572)</f>
        <v>-0.753810854066572</v>
      </c>
      <c r="MV54" s="3">
        <f ca="1">IFERROR(__xludf.DUMMYFUNCTION("""COMPUTED_VALUE"""),-0.71735021789753)</f>
        <v>-0.71735021789752995</v>
      </c>
      <c r="MW54" s="3">
        <f ca="1">IFERROR(__xludf.DUMMYFUNCTION("""COMPUTED_VALUE"""),-0.7277672912152)</f>
        <v>-0.72776729121520001</v>
      </c>
      <c r="MX54" s="3">
        <f ca="1">IFERROR(__xludf.DUMMYFUNCTION("""COMPUTED_VALUE"""),-0.737239635378664)</f>
        <v>-0.73723963537866399</v>
      </c>
      <c r="MY54" s="3">
        <f ca="1">IFERROR(__xludf.DUMMYFUNCTION("""COMPUTED_VALUE"""),-0.73146721397467)</f>
        <v>-0.73146721397466996</v>
      </c>
      <c r="MZ54" s="3">
        <f ca="1">IFERROR(__xludf.DUMMYFUNCTION("""COMPUTED_VALUE"""),-0.744262898591038)</f>
        <v>-0.744262898591038</v>
      </c>
      <c r="NA54" s="3">
        <f ca="1">IFERROR(__xludf.DUMMYFUNCTION("""COMPUTED_VALUE"""),-0.703835342198602)</f>
        <v>-0.703835342198602</v>
      </c>
      <c r="NB54" s="3">
        <f ca="1">IFERROR(__xludf.DUMMYFUNCTION("""COMPUTED_VALUE"""),-0.729084266069643)</f>
        <v>-0.72908426606964305</v>
      </c>
      <c r="NC54" s="3">
        <f ca="1">IFERROR(__xludf.DUMMYFUNCTION("""COMPUTED_VALUE"""),-0.732467030860618)</f>
        <v>-0.73246703086061804</v>
      </c>
      <c r="ND54" s="3">
        <f ca="1">IFERROR(__xludf.DUMMYFUNCTION("""COMPUTED_VALUE"""),-0.73783832629816)</f>
        <v>-0.73783832629816004</v>
      </c>
      <c r="NE54" s="3">
        <f ca="1">IFERROR(__xludf.DUMMYFUNCTION("""COMPUTED_VALUE"""),-0.744704121983548)</f>
        <v>-0.74470412198354796</v>
      </c>
      <c r="NF54" s="3">
        <f ca="1">IFERROR(__xludf.DUMMYFUNCTION("""COMPUTED_VALUE"""),-0.739387056591372)</f>
        <v>-0.73938705659137205</v>
      </c>
      <c r="NG54" s="3">
        <f ca="1">IFERROR(__xludf.DUMMYFUNCTION("""COMPUTED_VALUE"""),-0.716533181494355)</f>
        <v>-0.71653318149435496</v>
      </c>
      <c r="NH54" s="3">
        <f ca="1">IFERROR(__xludf.DUMMYFUNCTION("""COMPUTED_VALUE"""),-0.687349424288308)</f>
        <v>-0.68734942428830803</v>
      </c>
      <c r="NI54" s="3">
        <f ca="1">IFERROR(__xludf.DUMMYFUNCTION("""COMPUTED_VALUE"""),-0.737219903916118)</f>
        <v>-0.73721990391611802</v>
      </c>
      <c r="NJ54" s="3">
        <f ca="1">IFERROR(__xludf.DUMMYFUNCTION("""COMPUTED_VALUE"""),-0.728658299153802)</f>
        <v>-0.72865829915380198</v>
      </c>
      <c r="NK54" s="3">
        <f ca="1">IFERROR(__xludf.DUMMYFUNCTION("""COMPUTED_VALUE"""),-0.726203590507313)</f>
        <v>-0.72620359050731298</v>
      </c>
      <c r="NL54" s="3">
        <f ca="1">IFERROR(__xludf.DUMMYFUNCTION("""COMPUTED_VALUE"""),-0.698111997363489)</f>
        <v>-0.69811199736348895</v>
      </c>
      <c r="NM54" s="3">
        <f ca="1">IFERROR(__xludf.DUMMYFUNCTION("""COMPUTED_VALUE"""),-0.714785102476259)</f>
        <v>-0.71478510247625904</v>
      </c>
      <c r="NN54" s="3">
        <f ca="1">IFERROR(__xludf.DUMMYFUNCTION("""COMPUTED_VALUE"""),-0.692316270197647)</f>
        <v>-0.69231627019764697</v>
      </c>
      <c r="NO54" s="3">
        <f ca="1">IFERROR(__xludf.DUMMYFUNCTION("""COMPUTED_VALUE"""),-0.672875077682735)</f>
        <v>-0.67287507768273502</v>
      </c>
      <c r="NP54" s="3">
        <f ca="1">IFERROR(__xludf.DUMMYFUNCTION("""COMPUTED_VALUE"""),-0.724960608408456)</f>
        <v>-0.724960608408456</v>
      </c>
      <c r="NQ54" s="3">
        <f ca="1">IFERROR(__xludf.DUMMYFUNCTION("""COMPUTED_VALUE"""),-0.701110589537924)</f>
        <v>-0.70111058953792404</v>
      </c>
      <c r="NR54" s="3">
        <f ca="1">IFERROR(__xludf.DUMMYFUNCTION("""COMPUTED_VALUE"""),-0.724441555594834)</f>
        <v>-0.72444155559483403</v>
      </c>
      <c r="NS54" s="3">
        <f ca="1">IFERROR(__xludf.DUMMYFUNCTION("""COMPUTED_VALUE"""),-0.732349918375127)</f>
        <v>-0.73234991837512697</v>
      </c>
      <c r="NT54" s="3">
        <f ca="1">IFERROR(__xludf.DUMMYFUNCTION("""COMPUTED_VALUE"""),-0.692340810081774)</f>
        <v>-0.69234081008177395</v>
      </c>
      <c r="NU54" s="3">
        <f ca="1">IFERROR(__xludf.DUMMYFUNCTION("""COMPUTED_VALUE"""),-0.731575668100639)</f>
        <v>-0.73157566810063901</v>
      </c>
      <c r="NV54" s="3">
        <f ca="1">IFERROR(__xludf.DUMMYFUNCTION("""COMPUTED_VALUE"""),-0.638754467799143)</f>
        <v>-0.63875446779914302</v>
      </c>
      <c r="NW54" s="3">
        <f ca="1">IFERROR(__xludf.DUMMYFUNCTION("""COMPUTED_VALUE"""),-0.650944264292579)</f>
        <v>-0.65094426429257901</v>
      </c>
      <c r="NX54" s="3">
        <f ca="1">IFERROR(__xludf.DUMMYFUNCTION("""COMPUTED_VALUE"""),-0.646952709474956)</f>
        <v>-0.64695270947495598</v>
      </c>
      <c r="NY54" s="3">
        <f ca="1">IFERROR(__xludf.DUMMYFUNCTION("""COMPUTED_VALUE"""),-0.621469061625434)</f>
        <v>-0.62146906162543403</v>
      </c>
      <c r="NZ54" s="3">
        <f ca="1">IFERROR(__xludf.DUMMYFUNCTION("""COMPUTED_VALUE"""),-0.593504136062074)</f>
        <v>-0.59350413606207397</v>
      </c>
      <c r="OA54" s="3">
        <f ca="1">IFERROR(__xludf.DUMMYFUNCTION("""COMPUTED_VALUE"""),-0.572705897373091)</f>
        <v>-0.57270589737309097</v>
      </c>
      <c r="OB54" s="3">
        <f ca="1">IFERROR(__xludf.DUMMYFUNCTION("""COMPUTED_VALUE"""),-0.487842064569507)</f>
        <v>-0.48784206456950702</v>
      </c>
      <c r="OC54" s="3">
        <f ca="1">IFERROR(__xludf.DUMMYFUNCTION("""COMPUTED_VALUE"""),-0.313039624669314)</f>
        <v>-0.31303962466931401</v>
      </c>
      <c r="OD54" s="3">
        <f ca="1">IFERROR(__xludf.DUMMYFUNCTION("""COMPUTED_VALUE"""),-0.322736264036407)</f>
        <v>-0.32273626403640698</v>
      </c>
      <c r="OE54" s="3">
        <f ca="1">IFERROR(__xludf.DUMMYFUNCTION("""COMPUTED_VALUE"""),-0.267432751141926)</f>
        <v>-0.267432751141926</v>
      </c>
      <c r="OF54" s="3">
        <f ca="1">IFERROR(__xludf.DUMMYFUNCTION("""COMPUTED_VALUE"""),-0.199079914068177)</f>
        <v>-0.19907991406817699</v>
      </c>
      <c r="OG54" s="3">
        <f ca="1">IFERROR(__xludf.DUMMYFUNCTION("""COMPUTED_VALUE"""),-0.118086089655245)</f>
        <v>-0.118086089655245</v>
      </c>
      <c r="OH54" s="3">
        <f ca="1">IFERROR(__xludf.DUMMYFUNCTION("""COMPUTED_VALUE"""),-0.0862761816915528)</f>
        <v>-8.6276181691552795E-2</v>
      </c>
      <c r="OI54" s="3">
        <f ca="1">IFERROR(__xludf.DUMMYFUNCTION("""COMPUTED_VALUE"""),0.0539258075037905)</f>
        <v>5.3925807503790502E-2</v>
      </c>
      <c r="OJ54" s="3">
        <f ca="1">IFERROR(__xludf.DUMMYFUNCTION("""COMPUTED_VALUE"""),-0.0379707314833552)</f>
        <v>-3.7970731483355197E-2</v>
      </c>
      <c r="OK54" s="3">
        <f ca="1">IFERROR(__xludf.DUMMYFUNCTION("""COMPUTED_VALUE"""),-0.0135973248014863)</f>
        <v>-1.35973248014863E-2</v>
      </c>
      <c r="OL54" s="3">
        <f ca="1">IFERROR(__xludf.DUMMYFUNCTION("""COMPUTED_VALUE"""),-0.0180392489161843)</f>
        <v>-1.8039248916184299E-2</v>
      </c>
      <c r="OM54" s="3">
        <f ca="1">IFERROR(__xludf.DUMMYFUNCTION("""COMPUTED_VALUE"""),-0.0208879443501748)</f>
        <v>-2.0887944350174801E-2</v>
      </c>
      <c r="ON54" s="3">
        <f ca="1">IFERROR(__xludf.DUMMYFUNCTION("""COMPUTED_VALUE"""),-0.00197852972641621)</f>
        <v>-1.9785297264162099E-3</v>
      </c>
      <c r="OO54" s="3">
        <f ca="1">IFERROR(__xludf.DUMMYFUNCTION("""COMPUTED_VALUE"""),-0.00986902511492471)</f>
        <v>-9.8690251149247104E-3</v>
      </c>
      <c r="OP54" s="3">
        <f ca="1">IFERROR(__xludf.DUMMYFUNCTION("""COMPUTED_VALUE"""),0.0610318883082541)</f>
        <v>6.1031888308254102E-2</v>
      </c>
      <c r="OQ54" s="3">
        <f ca="1">IFERROR(__xludf.DUMMYFUNCTION("""COMPUTED_VALUE"""),0.00489053716608323)</f>
        <v>4.89053716608323E-3</v>
      </c>
      <c r="OR54" s="3">
        <f ca="1">IFERROR(__xludf.DUMMYFUNCTION("""COMPUTED_VALUE"""),0.000120946186642711)</f>
        <v>1.20946186642711E-4</v>
      </c>
      <c r="OS54" s="3">
        <f ca="1">IFERROR(__xludf.DUMMYFUNCTION("""COMPUTED_VALUE"""),0.0416318640301633)</f>
        <v>4.16318640301633E-2</v>
      </c>
      <c r="OT54" s="3">
        <f ca="1">IFERROR(__xludf.DUMMYFUNCTION("""COMPUTED_VALUE"""),0.0385652680822801)</f>
        <v>3.8565268082280099E-2</v>
      </c>
      <c r="OU54" s="3">
        <f ca="1">IFERROR(__xludf.DUMMYFUNCTION("""COMPUTED_VALUE"""),0.0513658174556856)</f>
        <v>5.1365817455685601E-2</v>
      </c>
      <c r="OV54" s="3">
        <f ca="1">IFERROR(__xludf.DUMMYFUNCTION("""COMPUTED_VALUE"""),0.0259350783393921)</f>
        <v>2.5935078339392102E-2</v>
      </c>
      <c r="OW54" s="3">
        <f ca="1">IFERROR(__xludf.DUMMYFUNCTION("""COMPUTED_VALUE"""),0.133789204521828)</f>
        <v>0.13378920452182799</v>
      </c>
      <c r="OX54" s="3">
        <f ca="1">IFERROR(__xludf.DUMMYFUNCTION("""COMPUTED_VALUE"""),0.00262975281335053)</f>
        <v>2.6297528133505301E-3</v>
      </c>
      <c r="OY54" s="3">
        <f ca="1">IFERROR(__xludf.DUMMYFUNCTION("""COMPUTED_VALUE"""),-0.0194818709463749)</f>
        <v>-1.94818709463749E-2</v>
      </c>
      <c r="OZ54" s="3">
        <f ca="1">IFERROR(__xludf.DUMMYFUNCTION("""COMPUTED_VALUE"""),-0.090094450701668)</f>
        <v>-9.0094450701667994E-2</v>
      </c>
      <c r="PA54" s="3">
        <f ca="1">IFERROR(__xludf.DUMMYFUNCTION("""COMPUTED_VALUE"""),-0.0566164981019828)</f>
        <v>-5.6616498101982798E-2</v>
      </c>
      <c r="PB54" s="3">
        <f ca="1">IFERROR(__xludf.DUMMYFUNCTION("""COMPUTED_VALUE"""),-0.0277608128093342)</f>
        <v>-2.77608128093342E-2</v>
      </c>
      <c r="PC54" s="3">
        <f ca="1">IFERROR(__xludf.DUMMYFUNCTION("""COMPUTED_VALUE"""),-0.0620532067940966)</f>
        <v>-6.2053206794096601E-2</v>
      </c>
      <c r="PD54" s="3">
        <f ca="1">IFERROR(__xludf.DUMMYFUNCTION("""COMPUTED_VALUE"""),-0.0789038970654775)</f>
        <v>-7.8903897065477499E-2</v>
      </c>
      <c r="PE54" s="3">
        <f ca="1">IFERROR(__xludf.DUMMYFUNCTION("""COMPUTED_VALUE"""),-0.0105414467121975)</f>
        <v>-1.05414467121975E-2</v>
      </c>
      <c r="PF54" s="3">
        <f ca="1">IFERROR(__xludf.DUMMYFUNCTION("""COMPUTED_VALUE"""),-0.0628432651958209)</f>
        <v>-6.2843265195820897E-2</v>
      </c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</row>
    <row r="55" spans="1:594" ht="13">
      <c r="A55" s="1" t="str">
        <f ca="1">IFERROR(__xludf.DUMMYFUNCTION("""COMPUTED_VALUE"""),"Niagara")</f>
        <v>Niagara</v>
      </c>
      <c r="B55" s="3">
        <f ca="1">IFERROR(__xludf.DUMMYFUNCTION("""COMPUTED_VALUE"""),-0.985010861899433)</f>
        <v>-0.98501086189943299</v>
      </c>
      <c r="C55" s="3">
        <f ca="1">IFERROR(__xludf.DUMMYFUNCTION("""COMPUTED_VALUE"""),-0.991195373190252)</f>
        <v>-0.99119537319025197</v>
      </c>
      <c r="D55" s="3">
        <f ca="1">IFERROR(__xludf.DUMMYFUNCTION("""COMPUTED_VALUE"""),-0.989926801024852)</f>
        <v>-0.98992680102485198</v>
      </c>
      <c r="E55" s="3">
        <f ca="1">IFERROR(__xludf.DUMMYFUNCTION("""COMPUTED_VALUE"""),-0.988846074394908)</f>
        <v>-0.98884607439490801</v>
      </c>
      <c r="F55" s="3">
        <f ca="1">IFERROR(__xludf.DUMMYFUNCTION("""COMPUTED_VALUE"""),-0.991440310593053)</f>
        <v>-0.99144031059305304</v>
      </c>
      <c r="G55" s="3">
        <f ca="1">IFERROR(__xludf.DUMMYFUNCTION("""COMPUTED_VALUE"""),-0.994624535548767)</f>
        <v>-0.99462453554876695</v>
      </c>
      <c r="H55" s="3">
        <f ca="1">IFERROR(__xludf.DUMMYFUNCTION("""COMPUTED_VALUE"""),-0.992235959802044)</f>
        <v>-0.99223595980204404</v>
      </c>
      <c r="I55" s="3">
        <f ca="1">IFERROR(__xludf.DUMMYFUNCTION("""COMPUTED_VALUE"""),-0.989804034631253)</f>
        <v>-0.98980403463125299</v>
      </c>
      <c r="J55" s="3">
        <f ca="1">IFERROR(__xludf.DUMMYFUNCTION("""COMPUTED_VALUE"""),-0.99176761703219)</f>
        <v>-0.99176761703218996</v>
      </c>
      <c r="K55" s="3">
        <f ca="1">IFERROR(__xludf.DUMMYFUNCTION("""COMPUTED_VALUE"""),-0.987846431665416)</f>
        <v>-0.98784643166541597</v>
      </c>
      <c r="L55" s="3">
        <f ca="1">IFERROR(__xludf.DUMMYFUNCTION("""COMPUTED_VALUE"""),-0.989821643273899)</f>
        <v>-0.98982164327389899</v>
      </c>
      <c r="M55" s="3">
        <f ca="1">IFERROR(__xludf.DUMMYFUNCTION("""COMPUTED_VALUE"""),-0.989707022162995)</f>
        <v>-0.989707022162995</v>
      </c>
      <c r="N55" s="3">
        <f ca="1">IFERROR(__xludf.DUMMYFUNCTION("""COMPUTED_VALUE"""),-0.992470997711221)</f>
        <v>-0.99247099771122105</v>
      </c>
      <c r="O55" s="3">
        <f ca="1">IFERROR(__xludf.DUMMYFUNCTION("""COMPUTED_VALUE"""),-0.993310054317777)</f>
        <v>-0.99331005431777697</v>
      </c>
      <c r="P55" s="3">
        <f ca="1">IFERROR(__xludf.DUMMYFUNCTION("""COMPUTED_VALUE"""),-0.98743785960535)</f>
        <v>-0.98743785960535002</v>
      </c>
      <c r="Q55" s="3">
        <f ca="1">IFERROR(__xludf.DUMMYFUNCTION("""COMPUTED_VALUE"""),-0.993282059347568)</f>
        <v>-0.99328205934756797</v>
      </c>
      <c r="R55" s="3">
        <f ca="1">IFERROR(__xludf.DUMMYFUNCTION("""COMPUTED_VALUE"""),-0.98920417064923)</f>
        <v>-0.98920417064923005</v>
      </c>
      <c r="S55" s="3">
        <f ca="1">IFERROR(__xludf.DUMMYFUNCTION("""COMPUTED_VALUE"""),-0.98841879959039)</f>
        <v>-0.98841879959039003</v>
      </c>
      <c r="T55" s="3">
        <f ca="1">IFERROR(__xludf.DUMMYFUNCTION("""COMPUTED_VALUE"""),-0.989650542535586)</f>
        <v>-0.98965054253558604</v>
      </c>
      <c r="U55" s="3">
        <f ca="1">IFERROR(__xludf.DUMMYFUNCTION("""COMPUTED_VALUE"""),-0.992237689727587)</f>
        <v>-0.99223768972758697</v>
      </c>
      <c r="V55" s="3">
        <f ca="1">IFERROR(__xludf.DUMMYFUNCTION("""COMPUTED_VALUE"""),-0.993555460145817)</f>
        <v>-0.99355546014581697</v>
      </c>
      <c r="W55" s="3">
        <f ca="1">IFERROR(__xludf.DUMMYFUNCTION("""COMPUTED_VALUE"""),-0.989912380129286)</f>
        <v>-0.98991238012928595</v>
      </c>
      <c r="X55" s="3">
        <f ca="1">IFERROR(__xludf.DUMMYFUNCTION("""COMPUTED_VALUE"""),-0.992901039059483)</f>
        <v>-0.99290103905948301</v>
      </c>
      <c r="Y55" s="3">
        <f ca="1">IFERROR(__xludf.DUMMYFUNCTION("""COMPUTED_VALUE"""),-0.990636636493702)</f>
        <v>-0.99063663649370204</v>
      </c>
      <c r="Z55" s="3">
        <f ca="1">IFERROR(__xludf.DUMMYFUNCTION("""COMPUTED_VALUE"""),-0.989457363181261)</f>
        <v>-0.98945736318126098</v>
      </c>
      <c r="AA55" s="3">
        <f ca="1">IFERROR(__xludf.DUMMYFUNCTION("""COMPUTED_VALUE"""),-0.993556397195932)</f>
        <v>-0.99355639719593203</v>
      </c>
      <c r="AB55" s="3">
        <f ca="1">IFERROR(__xludf.DUMMYFUNCTION("""COMPUTED_VALUE"""),-0.993131482201844)</f>
        <v>-0.993131482201844</v>
      </c>
      <c r="AC55" s="3">
        <f ca="1">IFERROR(__xludf.DUMMYFUNCTION("""COMPUTED_VALUE"""),-0.993344979894536)</f>
        <v>-0.99334497989453596</v>
      </c>
      <c r="AD55" s="3">
        <f ca="1">IFERROR(__xludf.DUMMYFUNCTION("""COMPUTED_VALUE"""),-0.986638272871018)</f>
        <v>-0.98663827287101802</v>
      </c>
      <c r="AE55" s="3">
        <f ca="1">IFERROR(__xludf.DUMMYFUNCTION("""COMPUTED_VALUE"""),-0.992029774407582)</f>
        <v>-0.992029774407582</v>
      </c>
      <c r="AF55" s="3">
        <f ca="1">IFERROR(__xludf.DUMMYFUNCTION("""COMPUTED_VALUE"""),-0.99171875506317)</f>
        <v>-0.99171875506316998</v>
      </c>
      <c r="AG55" s="3">
        <f ca="1">IFERROR(__xludf.DUMMYFUNCTION("""COMPUTED_VALUE"""),-0.988991398625782)</f>
        <v>-0.988991398625782</v>
      </c>
      <c r="AH55" s="3">
        <f ca="1">IFERROR(__xludf.DUMMYFUNCTION("""COMPUTED_VALUE"""),-0.991249866860651)</f>
        <v>-0.99124986686065097</v>
      </c>
      <c r="AI55" s="3">
        <f ca="1">IFERROR(__xludf.DUMMYFUNCTION("""COMPUTED_VALUE"""),-0.992929489652584)</f>
        <v>-0.99292948965258399</v>
      </c>
      <c r="AJ55" s="3">
        <f ca="1">IFERROR(__xludf.DUMMYFUNCTION("""COMPUTED_VALUE"""),-0.992619812068425)</f>
        <v>-0.99261981206842498</v>
      </c>
      <c r="AK55" s="3">
        <f ca="1">IFERROR(__xludf.DUMMYFUNCTION("""COMPUTED_VALUE"""),-0.991332061654224)</f>
        <v>-0.99133206165422405</v>
      </c>
      <c r="AL55" s="3">
        <f ca="1">IFERROR(__xludf.DUMMYFUNCTION("""COMPUTED_VALUE"""),-0.990810335765743)</f>
        <v>-0.99081033576574296</v>
      </c>
      <c r="AM55" s="3">
        <f ca="1">IFERROR(__xludf.DUMMYFUNCTION("""COMPUTED_VALUE"""),-0.990515452752163)</f>
        <v>-0.99051545275216302</v>
      </c>
      <c r="AN55" s="3">
        <f ca="1">IFERROR(__xludf.DUMMYFUNCTION("""COMPUTED_VALUE"""),-0.990688120212536)</f>
        <v>-0.99068812021253605</v>
      </c>
      <c r="AO55" s="3">
        <f ca="1">IFERROR(__xludf.DUMMYFUNCTION("""COMPUTED_VALUE"""),-0.991900993195688)</f>
        <v>-0.99190099319568803</v>
      </c>
      <c r="AP55" s="3">
        <f ca="1">IFERROR(__xludf.DUMMYFUNCTION("""COMPUTED_VALUE"""),-0.994922662597439)</f>
        <v>-0.994922662597439</v>
      </c>
      <c r="AQ55" s="3">
        <f ca="1">IFERROR(__xludf.DUMMYFUNCTION("""COMPUTED_VALUE"""),-0.989675288764404)</f>
        <v>-0.98967528876440403</v>
      </c>
      <c r="AR55" s="3">
        <f ca="1">IFERROR(__xludf.DUMMYFUNCTION("""COMPUTED_VALUE"""),-0.988123994283075)</f>
        <v>-0.98812399428307496</v>
      </c>
      <c r="AS55" s="3">
        <f ca="1">IFERROR(__xludf.DUMMYFUNCTION("""COMPUTED_VALUE"""),-0.989688716156372)</f>
        <v>-0.98968871615637199</v>
      </c>
      <c r="AT55" s="3">
        <f ca="1">IFERROR(__xludf.DUMMYFUNCTION("""COMPUTED_VALUE"""),-0.991879743030921)</f>
        <v>-0.99187974303092097</v>
      </c>
      <c r="AU55" s="3">
        <f ca="1">IFERROR(__xludf.DUMMYFUNCTION("""COMPUTED_VALUE"""),-0.991297230839663)</f>
        <v>-0.99129723083966303</v>
      </c>
      <c r="AV55" s="3">
        <f ca="1">IFERROR(__xludf.DUMMYFUNCTION("""COMPUTED_VALUE"""),-0.993014605484369)</f>
        <v>-0.99301460548436904</v>
      </c>
      <c r="AW55" s="3">
        <f ca="1">IFERROR(__xludf.DUMMYFUNCTION("""COMPUTED_VALUE"""),-0.9927612538147)</f>
        <v>-0.99276125381470004</v>
      </c>
      <c r="AX55" s="3">
        <f ca="1">IFERROR(__xludf.DUMMYFUNCTION("""COMPUTED_VALUE"""),-0.992451134575631)</f>
        <v>-0.99245113457563106</v>
      </c>
      <c r="AY55" s="3">
        <f ca="1">IFERROR(__xludf.DUMMYFUNCTION("""COMPUTED_VALUE"""),-0.992139172494986)</f>
        <v>-0.99213917249498595</v>
      </c>
      <c r="AZ55" s="3">
        <f ca="1">IFERROR(__xludf.DUMMYFUNCTION("""COMPUTED_VALUE"""),-0.991845567889106)</f>
        <v>-0.99184556788910605</v>
      </c>
      <c r="BA55" s="3">
        <f ca="1">IFERROR(__xludf.DUMMYFUNCTION("""COMPUTED_VALUE"""),-0.99299969453911)</f>
        <v>-0.99299969453910997</v>
      </c>
      <c r="BB55" s="3">
        <f ca="1">IFERROR(__xludf.DUMMYFUNCTION("""COMPUTED_VALUE"""),-0.992712240459538)</f>
        <v>-0.99271224045953799</v>
      </c>
      <c r="BC55" s="3">
        <f ca="1">IFERROR(__xludf.DUMMYFUNCTION("""COMPUTED_VALUE"""),-0.994220019825)</f>
        <v>-0.99422001982499997</v>
      </c>
      <c r="BD55" s="3">
        <f ca="1">IFERROR(__xludf.DUMMYFUNCTION("""COMPUTED_VALUE"""),-0.992293883728455)</f>
        <v>-0.99229388372845495</v>
      </c>
      <c r="BE55" s="3">
        <f ca="1">IFERROR(__xludf.DUMMYFUNCTION("""COMPUTED_VALUE"""),-0.993666820777629)</f>
        <v>-0.99366682077762902</v>
      </c>
      <c r="BF55" s="3">
        <f ca="1">IFERROR(__xludf.DUMMYFUNCTION("""COMPUTED_VALUE"""),-0.991137308095789)</f>
        <v>-0.99113730809578904</v>
      </c>
      <c r="BG55" s="3">
        <f ca="1">IFERROR(__xludf.DUMMYFUNCTION("""COMPUTED_VALUE"""),-0.991026867934529)</f>
        <v>-0.99102686793452899</v>
      </c>
      <c r="BH55" s="3">
        <f ca="1">IFERROR(__xludf.DUMMYFUNCTION("""COMPUTED_VALUE"""),-0.990765021851573)</f>
        <v>-0.990765021851573</v>
      </c>
      <c r="BI55" s="3">
        <f ca="1">IFERROR(__xludf.DUMMYFUNCTION("""COMPUTED_VALUE"""),-0.992178360923733)</f>
        <v>-0.99217836092373302</v>
      </c>
      <c r="BJ55" s="3">
        <f ca="1">IFERROR(__xludf.DUMMYFUNCTION("""COMPUTED_VALUE"""),-0.990335962700296)</f>
        <v>-0.990335962700296</v>
      </c>
      <c r="BK55" s="3">
        <f ca="1">IFERROR(__xludf.DUMMYFUNCTION("""COMPUTED_VALUE"""),-0.990914163733923)</f>
        <v>-0.99091416373392305</v>
      </c>
      <c r="BL55" s="3">
        <f ca="1">IFERROR(__xludf.DUMMYFUNCTION("""COMPUTED_VALUE"""),-0.99281738547118)</f>
        <v>-0.99281738547118004</v>
      </c>
      <c r="BM55" s="3">
        <f ca="1">IFERROR(__xludf.DUMMYFUNCTION("""COMPUTED_VALUE"""),-0.993957354059418)</f>
        <v>-0.99395735405941799</v>
      </c>
      <c r="BN55" s="3">
        <f ca="1">IFERROR(__xludf.DUMMYFUNCTION("""COMPUTED_VALUE"""),-0.989925617731896)</f>
        <v>-0.98992561773189602</v>
      </c>
      <c r="BO55" s="3">
        <f ca="1">IFERROR(__xludf.DUMMYFUNCTION("""COMPUTED_VALUE"""),-0.992169584808797)</f>
        <v>-0.99216958480879702</v>
      </c>
      <c r="BP55" s="3">
        <f ca="1">IFERROR(__xludf.DUMMYFUNCTION("""COMPUTED_VALUE"""),-0.993318282162787)</f>
        <v>-0.99331828216278695</v>
      </c>
      <c r="BQ55" s="3">
        <f ca="1">IFERROR(__xludf.DUMMYFUNCTION("""COMPUTED_VALUE"""),-0.991529637136992)</f>
        <v>-0.99152963713699205</v>
      </c>
      <c r="BR55" s="3">
        <f ca="1">IFERROR(__xludf.DUMMYFUNCTION("""COMPUTED_VALUE"""),-0.993391640860562)</f>
        <v>-0.99339164086056198</v>
      </c>
      <c r="BS55" s="3">
        <f ca="1">IFERROR(__xludf.DUMMYFUNCTION("""COMPUTED_VALUE"""),-0.993843394027875)</f>
        <v>-0.99384339402787503</v>
      </c>
      <c r="BT55" s="3">
        <f ca="1">IFERROR(__xludf.DUMMYFUNCTION("""COMPUTED_VALUE"""),-0.991626449861478)</f>
        <v>-0.99162644986147797</v>
      </c>
      <c r="BU55" s="3">
        <f ca="1">IFERROR(__xludf.DUMMYFUNCTION("""COMPUTED_VALUE"""),-0.99339912149441)</f>
        <v>-0.99339912149441001</v>
      </c>
      <c r="BV55" s="3">
        <f ca="1">IFERROR(__xludf.DUMMYFUNCTION("""COMPUTED_VALUE"""),-0.996300316229941)</f>
        <v>-0.99630031622994097</v>
      </c>
      <c r="BW55" s="3">
        <f ca="1">IFERROR(__xludf.DUMMYFUNCTION("""COMPUTED_VALUE"""),-0.994477277978651)</f>
        <v>-0.99447727797865104</v>
      </c>
      <c r="BX55" s="3">
        <f ca="1">IFERROR(__xludf.DUMMYFUNCTION("""COMPUTED_VALUE"""),-0.994448270082728)</f>
        <v>-0.99444827008272796</v>
      </c>
      <c r="BY55" s="3">
        <f ca="1">IFERROR(__xludf.DUMMYFUNCTION("""COMPUTED_VALUE"""),-0.995185103612881)</f>
        <v>-0.99518510361288104</v>
      </c>
      <c r="BZ55" s="3">
        <f ca="1">IFERROR(__xludf.DUMMYFUNCTION("""COMPUTED_VALUE"""),-0.992659145641512)</f>
        <v>-0.99265914564151203</v>
      </c>
      <c r="CA55" s="3">
        <f ca="1">IFERROR(__xludf.DUMMYFUNCTION("""COMPUTED_VALUE"""),-0.991451030428896)</f>
        <v>-0.99145103042889604</v>
      </c>
      <c r="CB55" s="3">
        <f ca="1">IFERROR(__xludf.DUMMYFUNCTION("""COMPUTED_VALUE"""),-0.994527783105266)</f>
        <v>-0.99452778310526602</v>
      </c>
      <c r="CC55" s="3">
        <f ca="1">IFERROR(__xludf.DUMMYFUNCTION("""COMPUTED_VALUE"""),-0.994064080790876)</f>
        <v>-0.99406408079087605</v>
      </c>
      <c r="CD55" s="3">
        <f ca="1">IFERROR(__xludf.DUMMYFUNCTION("""COMPUTED_VALUE"""),-0.995118565204979)</f>
        <v>-0.99511856520497899</v>
      </c>
      <c r="CE55" s="3">
        <f ca="1">IFERROR(__xludf.DUMMYFUNCTION("""COMPUTED_VALUE"""),-0.994142118630902)</f>
        <v>-0.99414211863090196</v>
      </c>
      <c r="CF55" s="3">
        <f ca="1">IFERROR(__xludf.DUMMYFUNCTION("""COMPUTED_VALUE"""),-0.994075074249403)</f>
        <v>-0.994075074249403</v>
      </c>
      <c r="CG55" s="3">
        <f ca="1">IFERROR(__xludf.DUMMYFUNCTION("""COMPUTED_VALUE"""),-0.991237499191388)</f>
        <v>-0.99123749919138804</v>
      </c>
      <c r="CH55" s="3">
        <f ca="1">IFERROR(__xludf.DUMMYFUNCTION("""COMPUTED_VALUE"""),-0.990295310986278)</f>
        <v>-0.99029531098627799</v>
      </c>
      <c r="CI55" s="3">
        <f ca="1">IFERROR(__xludf.DUMMYFUNCTION("""COMPUTED_VALUE"""),-0.994368722412503)</f>
        <v>-0.99436872241250296</v>
      </c>
      <c r="CJ55" s="3">
        <f ca="1">IFERROR(__xludf.DUMMYFUNCTION("""COMPUTED_VALUE"""),-0.994855929179867)</f>
        <v>-0.99485592917986698</v>
      </c>
      <c r="CK55" s="3">
        <f ca="1">IFERROR(__xludf.DUMMYFUNCTION("""COMPUTED_VALUE"""),-0.995591067443664)</f>
        <v>-0.99559106744366399</v>
      </c>
      <c r="CL55" s="3">
        <f ca="1">IFERROR(__xludf.DUMMYFUNCTION("""COMPUTED_VALUE"""),-0.99554081823041)</f>
        <v>-0.99554081823040996</v>
      </c>
      <c r="CM55" s="3">
        <f ca="1">IFERROR(__xludf.DUMMYFUNCTION("""COMPUTED_VALUE"""),-0.995968769747197)</f>
        <v>-0.99596876974719695</v>
      </c>
      <c r="CN55" s="3">
        <f ca="1">IFERROR(__xludf.DUMMYFUNCTION("""COMPUTED_VALUE"""),-0.996555266361291)</f>
        <v>-0.99655526636129099</v>
      </c>
      <c r="CO55" s="3">
        <f ca="1">IFERROR(__xludf.DUMMYFUNCTION("""COMPUTED_VALUE"""),-0.991671203725981)</f>
        <v>-0.99167120372598105</v>
      </c>
      <c r="CP55" s="3">
        <f ca="1">IFERROR(__xludf.DUMMYFUNCTION("""COMPUTED_VALUE"""),-0.9937777630066)</f>
        <v>-0.99377776300660003</v>
      </c>
      <c r="CQ55" s="3">
        <f ca="1">IFERROR(__xludf.DUMMYFUNCTION("""COMPUTED_VALUE"""),-0.994542215237178)</f>
        <v>-0.99454221523717801</v>
      </c>
      <c r="CR55" s="3">
        <f ca="1">IFERROR(__xludf.DUMMYFUNCTION("""COMPUTED_VALUE"""),-0.993193004954966)</f>
        <v>-0.99319300495496599</v>
      </c>
      <c r="CS55" s="3">
        <f ca="1">IFERROR(__xludf.DUMMYFUNCTION("""COMPUTED_VALUE"""),-0.993270235538819)</f>
        <v>-0.99327023553881899</v>
      </c>
      <c r="CT55" s="3">
        <f ca="1">IFERROR(__xludf.DUMMYFUNCTION("""COMPUTED_VALUE"""),-0.995010723371588)</f>
        <v>-0.99501072337158802</v>
      </c>
      <c r="CU55" s="3">
        <f ca="1">IFERROR(__xludf.DUMMYFUNCTION("""COMPUTED_VALUE"""),-0.992967423057169)</f>
        <v>-0.99296742305716901</v>
      </c>
      <c r="CV55" s="3">
        <f ca="1">IFERROR(__xludf.DUMMYFUNCTION("""COMPUTED_VALUE"""),-0.990786982666138)</f>
        <v>-0.99078698266613796</v>
      </c>
      <c r="CW55" s="3">
        <f ca="1">IFERROR(__xludf.DUMMYFUNCTION("""COMPUTED_VALUE"""),-0.993303915200796)</f>
        <v>-0.99330391520079597</v>
      </c>
      <c r="CX55" s="3">
        <f ca="1">IFERROR(__xludf.DUMMYFUNCTION("""COMPUTED_VALUE"""),-0.987508468472959)</f>
        <v>-0.98750846847295903</v>
      </c>
      <c r="CY55" s="3">
        <f ca="1">IFERROR(__xludf.DUMMYFUNCTION("""COMPUTED_VALUE"""),-0.986140021307755)</f>
        <v>-0.98614002130775502</v>
      </c>
      <c r="CZ55" s="3">
        <f ca="1">IFERROR(__xludf.DUMMYFUNCTION("""COMPUTED_VALUE"""),-0.993313613291254)</f>
        <v>-0.99331361329125401</v>
      </c>
      <c r="DA55" s="3">
        <f ca="1">IFERROR(__xludf.DUMMYFUNCTION("""COMPUTED_VALUE"""),-0.998344851610512)</f>
        <v>-0.99834485161051201</v>
      </c>
      <c r="DB55" s="3">
        <f ca="1">IFERROR(__xludf.DUMMYFUNCTION("""COMPUTED_VALUE"""),-0.992158511581336)</f>
        <v>-0.99215851158133594</v>
      </c>
      <c r="DC55" s="3">
        <f ca="1">IFERROR(__xludf.DUMMYFUNCTION("""COMPUTED_VALUE"""),-0.991154026433572)</f>
        <v>-0.99115402643357198</v>
      </c>
      <c r="DD55" s="3">
        <f ca="1">IFERROR(__xludf.DUMMYFUNCTION("""COMPUTED_VALUE"""),-0.997330245285356)</f>
        <v>-0.99733024528535597</v>
      </c>
      <c r="DE55" s="3">
        <f ca="1">IFERROR(__xludf.DUMMYFUNCTION("""COMPUTED_VALUE"""),-0.988682085680982)</f>
        <v>-0.98868208568098204</v>
      </c>
      <c r="DF55" s="3">
        <f ca="1">IFERROR(__xludf.DUMMYFUNCTION("""COMPUTED_VALUE"""),-0.972268582850541)</f>
        <v>-0.97226858285054096</v>
      </c>
      <c r="DG55" s="3">
        <f ca="1">IFERROR(__xludf.DUMMYFUNCTION("""COMPUTED_VALUE"""),-0.986163598724316)</f>
        <v>-0.98616359872431603</v>
      </c>
      <c r="DH55" s="3">
        <f ca="1">IFERROR(__xludf.DUMMYFUNCTION("""COMPUTED_VALUE"""),-0.988863602282406)</f>
        <v>-0.988863602282406</v>
      </c>
      <c r="DI55" s="3">
        <f ca="1">IFERROR(__xludf.DUMMYFUNCTION("""COMPUTED_VALUE"""),-0.989731562383219)</f>
        <v>-0.98973156238321902</v>
      </c>
      <c r="DJ55" s="3">
        <f ca="1">IFERROR(__xludf.DUMMYFUNCTION("""COMPUTED_VALUE"""),-0.983895198965589)</f>
        <v>-0.98389519896558897</v>
      </c>
      <c r="DK55" s="3">
        <f ca="1">IFERROR(__xludf.DUMMYFUNCTION("""COMPUTED_VALUE"""),-0.990145713144913)</f>
        <v>-0.99014571314491295</v>
      </c>
      <c r="DL55" s="3">
        <f ca="1">IFERROR(__xludf.DUMMYFUNCTION("""COMPUTED_VALUE"""),-0.990737237818835)</f>
        <v>-0.99073723781883505</v>
      </c>
      <c r="DM55" s="3">
        <f ca="1">IFERROR(__xludf.DUMMYFUNCTION("""COMPUTED_VALUE"""),-0.987770696719101)</f>
        <v>-0.987770696719101</v>
      </c>
      <c r="DN55" s="3">
        <f ca="1">IFERROR(__xludf.DUMMYFUNCTION("""COMPUTED_VALUE"""),-0.991690165847608)</f>
        <v>-0.99169016584760805</v>
      </c>
      <c r="DO55" s="3">
        <f ca="1">IFERROR(__xludf.DUMMYFUNCTION("""COMPUTED_VALUE"""),-0.993271002841278)</f>
        <v>-0.99327100284127801</v>
      </c>
      <c r="DP55" s="3">
        <f ca="1">IFERROR(__xludf.DUMMYFUNCTION("""COMPUTED_VALUE"""),-0.992158789511402)</f>
        <v>-0.99215878951140202</v>
      </c>
      <c r="DQ55" s="3">
        <f ca="1">IFERROR(__xludf.DUMMYFUNCTION("""COMPUTED_VALUE"""),-0.987459126161561)</f>
        <v>-0.98745912616156095</v>
      </c>
      <c r="DR55" s="3">
        <f ca="1">IFERROR(__xludf.DUMMYFUNCTION("""COMPUTED_VALUE"""),-0.990150211106533)</f>
        <v>-0.99015021110653301</v>
      </c>
      <c r="DS55" s="3">
        <f ca="1">IFERROR(__xludf.DUMMYFUNCTION("""COMPUTED_VALUE"""),-0.992457516547546)</f>
        <v>-0.99245751654754599</v>
      </c>
      <c r="DT55" s="3">
        <f ca="1">IFERROR(__xludf.DUMMYFUNCTION("""COMPUTED_VALUE"""),-0.992364296808119)</f>
        <v>-0.992364296808119</v>
      </c>
      <c r="DU55" s="3">
        <f ca="1">IFERROR(__xludf.DUMMYFUNCTION("""COMPUTED_VALUE"""),-0.99161164074214)</f>
        <v>-0.99161164074214003</v>
      </c>
      <c r="DV55" s="3">
        <f ca="1">IFERROR(__xludf.DUMMYFUNCTION("""COMPUTED_VALUE"""),-0.993417005660264)</f>
        <v>-0.99341700566026403</v>
      </c>
      <c r="DW55" s="3">
        <f ca="1">IFERROR(__xludf.DUMMYFUNCTION("""COMPUTED_VALUE"""),-0.993773233953927)</f>
        <v>-0.99377323395392703</v>
      </c>
      <c r="DX55" s="3">
        <f ca="1">IFERROR(__xludf.DUMMYFUNCTION("""COMPUTED_VALUE"""),-0.989604999069157)</f>
        <v>-0.989604999069157</v>
      </c>
      <c r="DY55" s="3">
        <f ca="1">IFERROR(__xludf.DUMMYFUNCTION("""COMPUTED_VALUE"""),-0.993172883553137)</f>
        <v>-0.99317288355313704</v>
      </c>
      <c r="DZ55" s="3">
        <f ca="1">IFERROR(__xludf.DUMMYFUNCTION("""COMPUTED_VALUE"""),-0.993452681626274)</f>
        <v>-0.99345268162627398</v>
      </c>
      <c r="EA55" s="3">
        <f ca="1">IFERROR(__xludf.DUMMYFUNCTION("""COMPUTED_VALUE"""),-0.993959780547238)</f>
        <v>-0.99395978054723799</v>
      </c>
      <c r="EB55" s="3">
        <f ca="1">IFERROR(__xludf.DUMMYFUNCTION("""COMPUTED_VALUE"""),-0.993427267499518)</f>
        <v>-0.99342726749951804</v>
      </c>
      <c r="EC55" s="3">
        <f ca="1">IFERROR(__xludf.DUMMYFUNCTION("""COMPUTED_VALUE"""),-0.99509855507769)</f>
        <v>-0.99509855507768996</v>
      </c>
      <c r="ED55" s="3">
        <f ca="1">IFERROR(__xludf.DUMMYFUNCTION("""COMPUTED_VALUE"""),-0.992541274425104)</f>
        <v>-0.99254127442510398</v>
      </c>
      <c r="EE55" s="3">
        <f ca="1">IFERROR(__xludf.DUMMYFUNCTION("""COMPUTED_VALUE"""),-0.991091346242789)</f>
        <v>-0.99109134624278905</v>
      </c>
      <c r="EF55" s="3">
        <f ca="1">IFERROR(__xludf.DUMMYFUNCTION("""COMPUTED_VALUE"""),-0.993917738611658)</f>
        <v>-0.993917738611658</v>
      </c>
      <c r="EG55" s="3">
        <f ca="1">IFERROR(__xludf.DUMMYFUNCTION("""COMPUTED_VALUE"""),-0.995276161614041)</f>
        <v>-0.99527616161404098</v>
      </c>
      <c r="EH55" s="3">
        <f ca="1">IFERROR(__xludf.DUMMYFUNCTION("""COMPUTED_VALUE"""),-0.993049213196965)</f>
        <v>-0.99304921319696504</v>
      </c>
      <c r="EI55" s="3">
        <f ca="1">IFERROR(__xludf.DUMMYFUNCTION("""COMPUTED_VALUE"""),-0.994995586065053)</f>
        <v>-0.99499558606505301</v>
      </c>
      <c r="EJ55" s="3">
        <f ca="1">IFERROR(__xludf.DUMMYFUNCTION("""COMPUTED_VALUE"""),-0.994696493344959)</f>
        <v>-0.99469649334495902</v>
      </c>
      <c r="EK55" s="3">
        <f ca="1">IFERROR(__xludf.DUMMYFUNCTION("""COMPUTED_VALUE"""),-0.989829769894066)</f>
        <v>-0.98982976989406601</v>
      </c>
      <c r="EL55" s="3">
        <f ca="1">IFERROR(__xludf.DUMMYFUNCTION("""COMPUTED_VALUE"""),-0.990190481066273)</f>
        <v>-0.99019048106627305</v>
      </c>
      <c r="EM55" s="3">
        <f ca="1">IFERROR(__xludf.DUMMYFUNCTION("""COMPUTED_VALUE"""),-0.992342889402306)</f>
        <v>-0.99234288940230597</v>
      </c>
      <c r="EN55" s="3">
        <f ca="1">IFERROR(__xludf.DUMMYFUNCTION("""COMPUTED_VALUE"""),-0.993976002726487)</f>
        <v>-0.99397600272648701</v>
      </c>
      <c r="EO55" s="3">
        <f ca="1">IFERROR(__xludf.DUMMYFUNCTION("""COMPUTED_VALUE"""),-0.994028333099691)</f>
        <v>-0.99402833309969096</v>
      </c>
      <c r="EP55" s="3">
        <f ca="1">IFERROR(__xludf.DUMMYFUNCTION("""COMPUTED_VALUE"""),-0.992433228590018)</f>
        <v>-0.99243322859001804</v>
      </c>
      <c r="EQ55" s="3">
        <f ca="1">IFERROR(__xludf.DUMMYFUNCTION("""COMPUTED_VALUE"""),-0.995160415349351)</f>
        <v>-0.99516041534935096</v>
      </c>
      <c r="ER55" s="3">
        <f ca="1">IFERROR(__xludf.DUMMYFUNCTION("""COMPUTED_VALUE"""),-0.99456147577482)</f>
        <v>-0.99456147577482001</v>
      </c>
      <c r="ES55" s="3">
        <f ca="1">IFERROR(__xludf.DUMMYFUNCTION("""COMPUTED_VALUE"""),-0.990860502609011)</f>
        <v>-0.99086050260901104</v>
      </c>
      <c r="ET55" s="3">
        <f ca="1">IFERROR(__xludf.DUMMYFUNCTION("""COMPUTED_VALUE"""),-0.99261424684305)</f>
        <v>-0.99261424684305</v>
      </c>
      <c r="EU55" s="3">
        <f ca="1">IFERROR(__xludf.DUMMYFUNCTION("""COMPUTED_VALUE"""),-0.99263680221627)</f>
        <v>-0.99263680221627004</v>
      </c>
      <c r="EV55" s="3">
        <f ca="1">IFERROR(__xludf.DUMMYFUNCTION("""COMPUTED_VALUE"""),-0.993768762918389)</f>
        <v>-0.993768762918389</v>
      </c>
      <c r="EW55" s="3">
        <f ca="1">IFERROR(__xludf.DUMMYFUNCTION("""COMPUTED_VALUE"""),-0.99239294956659)</f>
        <v>-0.99239294956658997</v>
      </c>
      <c r="EX55" s="3">
        <f ca="1">IFERROR(__xludf.DUMMYFUNCTION("""COMPUTED_VALUE"""),-0.994254028882696)</f>
        <v>-0.99425402888269598</v>
      </c>
      <c r="EY55" s="3">
        <f ca="1">IFERROR(__xludf.DUMMYFUNCTION("""COMPUTED_VALUE"""),-0.990078614813624)</f>
        <v>-0.99007861481362403</v>
      </c>
      <c r="EZ55" s="3">
        <f ca="1">IFERROR(__xludf.DUMMYFUNCTION("""COMPUTED_VALUE"""),-0.990996860184369)</f>
        <v>-0.99099686018436905</v>
      </c>
      <c r="FA55" s="3">
        <f ca="1">IFERROR(__xludf.DUMMYFUNCTION("""COMPUTED_VALUE"""),-0.992351324280462)</f>
        <v>-0.99235132428046202</v>
      </c>
      <c r="FB55" s="3">
        <f ca="1">IFERROR(__xludf.DUMMYFUNCTION("""COMPUTED_VALUE"""),-0.993439809519388)</f>
        <v>-0.99343980951938804</v>
      </c>
      <c r="FC55" s="3">
        <f ca="1">IFERROR(__xludf.DUMMYFUNCTION("""COMPUTED_VALUE"""),-0.993000979635031)</f>
        <v>-0.99300097963503098</v>
      </c>
      <c r="FD55" s="3">
        <f ca="1">IFERROR(__xludf.DUMMYFUNCTION("""COMPUTED_VALUE"""),-0.994284203121653)</f>
        <v>-0.994284203121653</v>
      </c>
      <c r="FE55" s="3">
        <f ca="1">IFERROR(__xludf.DUMMYFUNCTION("""COMPUTED_VALUE"""),-0.993914209017279)</f>
        <v>-0.993914209017279</v>
      </c>
      <c r="FF55" s="3">
        <f ca="1">IFERROR(__xludf.DUMMYFUNCTION("""COMPUTED_VALUE"""),-0.992948610106509)</f>
        <v>-0.99294861010650903</v>
      </c>
      <c r="FG55" s="3">
        <f ca="1">IFERROR(__xludf.DUMMYFUNCTION("""COMPUTED_VALUE"""),-0.989239847811208)</f>
        <v>-0.989239847811208</v>
      </c>
      <c r="FH55" s="3">
        <f ca="1">IFERROR(__xludf.DUMMYFUNCTION("""COMPUTED_VALUE"""),-0.990840354287865)</f>
        <v>-0.99084035428786499</v>
      </c>
      <c r="FI55" s="3">
        <f ca="1">IFERROR(__xludf.DUMMYFUNCTION("""COMPUTED_VALUE"""),-0.994498651681216)</f>
        <v>-0.99449865168121598</v>
      </c>
      <c r="FJ55" s="3">
        <f ca="1">IFERROR(__xludf.DUMMYFUNCTION("""COMPUTED_VALUE"""),-0.994497674869094)</f>
        <v>-0.99449767486909402</v>
      </c>
      <c r="FK55" s="3">
        <f ca="1">IFERROR(__xludf.DUMMYFUNCTION("""COMPUTED_VALUE"""),-0.993112458181046)</f>
        <v>-0.99311245818104599</v>
      </c>
      <c r="FL55" s="3">
        <f ca="1">IFERROR(__xludf.DUMMYFUNCTION("""COMPUTED_VALUE"""),-0.994560676455915)</f>
        <v>-0.99456067645591495</v>
      </c>
      <c r="FM55" s="3">
        <f ca="1">IFERROR(__xludf.DUMMYFUNCTION("""COMPUTED_VALUE"""),-0.993501295594122)</f>
        <v>-0.99350129559412204</v>
      </c>
      <c r="FN55" s="3">
        <f ca="1">IFERROR(__xludf.DUMMYFUNCTION("""COMPUTED_VALUE"""),-0.988518759192285)</f>
        <v>-0.98851875919228505</v>
      </c>
      <c r="FO55" s="3">
        <f ca="1">IFERROR(__xludf.DUMMYFUNCTION("""COMPUTED_VALUE"""),-0.991408395956365)</f>
        <v>-0.99140839595636499</v>
      </c>
      <c r="FP55" s="3">
        <f ca="1">IFERROR(__xludf.DUMMYFUNCTION("""COMPUTED_VALUE"""),-0.99196899284407)</f>
        <v>-0.99196899284407003</v>
      </c>
      <c r="FQ55" s="3">
        <f ca="1">IFERROR(__xludf.DUMMYFUNCTION("""COMPUTED_VALUE"""),-0.993357741639993)</f>
        <v>-0.99335774163999302</v>
      </c>
      <c r="FR55" s="3">
        <f ca="1">IFERROR(__xludf.DUMMYFUNCTION("""COMPUTED_VALUE"""),-0.991811128057074)</f>
        <v>-0.99181112805707405</v>
      </c>
      <c r="FS55" s="3">
        <f ca="1">IFERROR(__xludf.DUMMYFUNCTION("""COMPUTED_VALUE"""),-0.991568404775935)</f>
        <v>-0.991568404775935</v>
      </c>
      <c r="FT55" s="3">
        <f ca="1">IFERROR(__xludf.DUMMYFUNCTION("""COMPUTED_VALUE"""),-0.991480836631309)</f>
        <v>-0.99148083663130904</v>
      </c>
      <c r="FU55" s="3">
        <f ca="1">IFERROR(__xludf.DUMMYFUNCTION("""COMPUTED_VALUE"""),-0.989397237323132)</f>
        <v>-0.98939723732313201</v>
      </c>
      <c r="FV55" s="3">
        <f ca="1">IFERROR(__xludf.DUMMYFUNCTION("""COMPUTED_VALUE"""),-0.990874201531329)</f>
        <v>-0.99087420153132899</v>
      </c>
      <c r="FW55" s="3">
        <f ca="1">IFERROR(__xludf.DUMMYFUNCTION("""COMPUTED_VALUE"""),-0.994043803828957)</f>
        <v>-0.99404380382895696</v>
      </c>
      <c r="FX55" s="3">
        <f ca="1">IFERROR(__xludf.DUMMYFUNCTION("""COMPUTED_VALUE"""),-0.992505569614653)</f>
        <v>-0.99250556961465297</v>
      </c>
      <c r="FY55" s="3">
        <f ca="1">IFERROR(__xludf.DUMMYFUNCTION("""COMPUTED_VALUE"""),-0.992831640905041)</f>
        <v>-0.99283164090504095</v>
      </c>
      <c r="FZ55" s="3">
        <f ca="1">IFERROR(__xludf.DUMMYFUNCTION("""COMPUTED_VALUE"""),-0.997531838237428)</f>
        <v>-0.99753183823742797</v>
      </c>
      <c r="GA55" s="3">
        <f ca="1">IFERROR(__xludf.DUMMYFUNCTION("""COMPUTED_VALUE"""),-0.993907346316672)</f>
        <v>-0.99390734631667199</v>
      </c>
      <c r="GB55" s="3">
        <f ca="1">IFERROR(__xludf.DUMMYFUNCTION("""COMPUTED_VALUE"""),-0.988139879700929)</f>
        <v>-0.98813987970092898</v>
      </c>
      <c r="GC55" s="3">
        <f ca="1">IFERROR(__xludf.DUMMYFUNCTION("""COMPUTED_VALUE"""),-0.99222096443653)</f>
        <v>-0.99222096443652996</v>
      </c>
      <c r="GD55" s="3">
        <f ca="1">IFERROR(__xludf.DUMMYFUNCTION("""COMPUTED_VALUE"""),-0.991923066199999)</f>
        <v>-0.99192306619999904</v>
      </c>
      <c r="GE55" s="3">
        <f ca="1">IFERROR(__xludf.DUMMYFUNCTION("""COMPUTED_VALUE"""),-0.990829542491955)</f>
        <v>-0.99082954249195498</v>
      </c>
      <c r="GF55" s="3">
        <f ca="1">IFERROR(__xludf.DUMMYFUNCTION("""COMPUTED_VALUE"""),-0.99035558932547)</f>
        <v>-0.99035558932546996</v>
      </c>
      <c r="GG55" s="3">
        <f ca="1">IFERROR(__xludf.DUMMYFUNCTION("""COMPUTED_VALUE"""),-0.991701328701218)</f>
        <v>-0.99170132870121797</v>
      </c>
      <c r="GH55" s="3">
        <f ca="1">IFERROR(__xludf.DUMMYFUNCTION("""COMPUTED_VALUE"""),-0.99044847009544)</f>
        <v>-0.99044847009544001</v>
      </c>
      <c r="GI55" s="3">
        <f ca="1">IFERROR(__xludf.DUMMYFUNCTION("""COMPUTED_VALUE"""),-0.986953697097432)</f>
        <v>-0.98695369709743197</v>
      </c>
      <c r="GJ55" s="3">
        <f ca="1">IFERROR(__xludf.DUMMYFUNCTION("""COMPUTED_VALUE"""),-0.991559472500668)</f>
        <v>-0.991559472500668</v>
      </c>
      <c r="GK55" s="3">
        <f ca="1">IFERROR(__xludf.DUMMYFUNCTION("""COMPUTED_VALUE"""),-0.993196603944587)</f>
        <v>-0.99319660394458698</v>
      </c>
      <c r="GL55" s="3">
        <f ca="1">IFERROR(__xludf.DUMMYFUNCTION("""COMPUTED_VALUE"""),-0.994766450747228)</f>
        <v>-0.99476645074722803</v>
      </c>
      <c r="GM55" s="3">
        <f ca="1">IFERROR(__xludf.DUMMYFUNCTION("""COMPUTED_VALUE"""),-0.993795954888481)</f>
        <v>-0.99379595488848105</v>
      </c>
      <c r="GN55" s="3">
        <f ca="1">IFERROR(__xludf.DUMMYFUNCTION("""COMPUTED_VALUE"""),-0.993385140359402)</f>
        <v>-0.99338514035940195</v>
      </c>
      <c r="GO55" s="3">
        <f ca="1">IFERROR(__xludf.DUMMYFUNCTION("""COMPUTED_VALUE"""),-0.989179890693973)</f>
        <v>-0.98917989069397305</v>
      </c>
      <c r="GP55" s="3">
        <f ca="1">IFERROR(__xludf.DUMMYFUNCTION("""COMPUTED_VALUE"""),-0.98650694178708)</f>
        <v>-0.98650694178707998</v>
      </c>
      <c r="GQ55" s="3">
        <f ca="1">IFERROR(__xludf.DUMMYFUNCTION("""COMPUTED_VALUE"""),-0.991219705916768)</f>
        <v>-0.991219705916768</v>
      </c>
      <c r="GR55" s="3">
        <f ca="1">IFERROR(__xludf.DUMMYFUNCTION("""COMPUTED_VALUE"""),-0.991808951518901)</f>
        <v>-0.99180895151890103</v>
      </c>
      <c r="GS55" s="3">
        <f ca="1">IFERROR(__xludf.DUMMYFUNCTION("""COMPUTED_VALUE"""),-0.990847333303863)</f>
        <v>-0.99084733330386299</v>
      </c>
      <c r="GT55" s="3">
        <f ca="1">IFERROR(__xludf.DUMMYFUNCTION("""COMPUTED_VALUE"""),-0.992594942809791)</f>
        <v>-0.99259494280979099</v>
      </c>
      <c r="GU55" s="3">
        <f ca="1">IFERROR(__xludf.DUMMYFUNCTION("""COMPUTED_VALUE"""),-0.992515158443169)</f>
        <v>-0.99251515844316895</v>
      </c>
      <c r="GV55" s="3">
        <f ca="1">IFERROR(__xludf.DUMMYFUNCTION("""COMPUTED_VALUE"""),-0.990011222062566)</f>
        <v>-0.99001122206256598</v>
      </c>
      <c r="GW55" s="3">
        <f ca="1">IFERROR(__xludf.DUMMYFUNCTION("""COMPUTED_VALUE"""),-0.988338169327906)</f>
        <v>-0.98833816932790597</v>
      </c>
      <c r="GX55" s="3">
        <f ca="1">IFERROR(__xludf.DUMMYFUNCTION("""COMPUTED_VALUE"""),-0.993212532667752)</f>
        <v>-0.993212532667752</v>
      </c>
      <c r="GY55" s="3">
        <f ca="1">IFERROR(__xludf.DUMMYFUNCTION("""COMPUTED_VALUE"""),-0.991761415217683)</f>
        <v>-0.99176141521768302</v>
      </c>
      <c r="GZ55" s="3">
        <f ca="1">IFERROR(__xludf.DUMMYFUNCTION("""COMPUTED_VALUE"""),-0.994559900904136)</f>
        <v>-0.99455990090413604</v>
      </c>
      <c r="HA55" s="3">
        <f ca="1">IFERROR(__xludf.DUMMYFUNCTION("""COMPUTED_VALUE"""),-0.992786350081365)</f>
        <v>-0.99278635008136495</v>
      </c>
      <c r="HB55" s="3">
        <f ca="1">IFERROR(__xludf.DUMMYFUNCTION("""COMPUTED_VALUE"""),-0.993887570340237)</f>
        <v>-0.993887570340237</v>
      </c>
      <c r="HC55" s="3">
        <f ca="1">IFERROR(__xludf.DUMMYFUNCTION("""COMPUTED_VALUE"""),-0.990850806940201)</f>
        <v>-0.990850806940201</v>
      </c>
      <c r="HD55" s="3">
        <f ca="1">IFERROR(__xludf.DUMMYFUNCTION("""COMPUTED_VALUE"""),-0.985083022092397)</f>
        <v>-0.98508302209239695</v>
      </c>
      <c r="HE55" s="3">
        <f ca="1">IFERROR(__xludf.DUMMYFUNCTION("""COMPUTED_VALUE"""),-0.990667838033875)</f>
        <v>-0.99066783803387504</v>
      </c>
      <c r="HF55" s="3">
        <f ca="1">IFERROR(__xludf.DUMMYFUNCTION("""COMPUTED_VALUE"""),-0.991652648557413)</f>
        <v>-0.99165264855741297</v>
      </c>
      <c r="HG55" s="3">
        <f ca="1">IFERROR(__xludf.DUMMYFUNCTION("""COMPUTED_VALUE"""),-0.989028645201386)</f>
        <v>-0.989028645201386</v>
      </c>
      <c r="HH55" s="3">
        <f ca="1">IFERROR(__xludf.DUMMYFUNCTION("""COMPUTED_VALUE"""),-0.988263284647863)</f>
        <v>-0.98826328464786295</v>
      </c>
      <c r="HI55" s="3">
        <f ca="1">IFERROR(__xludf.DUMMYFUNCTION("""COMPUTED_VALUE"""),-0.993306718216865)</f>
        <v>-0.993306718216865</v>
      </c>
      <c r="HJ55" s="3">
        <f ca="1">IFERROR(__xludf.DUMMYFUNCTION("""COMPUTED_VALUE"""),-0.986063590874563)</f>
        <v>-0.98606359087456297</v>
      </c>
      <c r="HK55" s="3">
        <f ca="1">IFERROR(__xludf.DUMMYFUNCTION("""COMPUTED_VALUE"""),-0.980836010016014)</f>
        <v>-0.98083601001601395</v>
      </c>
      <c r="HL55" s="3">
        <f ca="1">IFERROR(__xludf.DUMMYFUNCTION("""COMPUTED_VALUE"""),-0.984496123244945)</f>
        <v>-0.98449612324494495</v>
      </c>
      <c r="HM55" s="3">
        <f ca="1">IFERROR(__xludf.DUMMYFUNCTION("""COMPUTED_VALUE"""),-0.985779209413963)</f>
        <v>-0.98577920941396302</v>
      </c>
      <c r="HN55" s="3">
        <f ca="1">IFERROR(__xludf.DUMMYFUNCTION("""COMPUTED_VALUE"""),-0.982935373490401)</f>
        <v>-0.98293537349040105</v>
      </c>
      <c r="HO55" s="3">
        <f ca="1">IFERROR(__xludf.DUMMYFUNCTION("""COMPUTED_VALUE"""),-0.977608046043613)</f>
        <v>-0.97760804604361295</v>
      </c>
      <c r="HP55" s="3">
        <f ca="1">IFERROR(__xludf.DUMMYFUNCTION("""COMPUTED_VALUE"""),-0.988498202661422)</f>
        <v>-0.98849820266142197</v>
      </c>
      <c r="HQ55" s="3">
        <f ca="1">IFERROR(__xludf.DUMMYFUNCTION("""COMPUTED_VALUE"""),-0.987897786724971)</f>
        <v>-0.98789778672497097</v>
      </c>
      <c r="HR55" s="3">
        <f ca="1">IFERROR(__xludf.DUMMYFUNCTION("""COMPUTED_VALUE"""),-0.986694693150305)</f>
        <v>-0.986694693150305</v>
      </c>
      <c r="HS55" s="3">
        <f ca="1">IFERROR(__xludf.DUMMYFUNCTION("""COMPUTED_VALUE"""),-0.986038331367358)</f>
        <v>-0.98603833136735797</v>
      </c>
      <c r="HT55" s="3">
        <f ca="1">IFERROR(__xludf.DUMMYFUNCTION("""COMPUTED_VALUE"""),-0.988691067495841)</f>
        <v>-0.98869106749584101</v>
      </c>
      <c r="HU55" s="3">
        <f ca="1">IFERROR(__xludf.DUMMYFUNCTION("""COMPUTED_VALUE"""),-0.989002495902289)</f>
        <v>-0.98900249590228895</v>
      </c>
      <c r="HV55" s="3">
        <f ca="1">IFERROR(__xludf.DUMMYFUNCTION("""COMPUTED_VALUE"""),-0.984504571558686)</f>
        <v>-0.98450457155868598</v>
      </c>
      <c r="HW55" s="3">
        <f ca="1">IFERROR(__xludf.DUMMYFUNCTION("""COMPUTED_VALUE"""),-0.98521482288127)</f>
        <v>-0.98521482288127005</v>
      </c>
      <c r="HX55" s="3">
        <f ca="1">IFERROR(__xludf.DUMMYFUNCTION("""COMPUTED_VALUE"""),-0.985965158177298)</f>
        <v>-0.98596515817729802</v>
      </c>
      <c r="HY55" s="3">
        <f ca="1">IFERROR(__xludf.DUMMYFUNCTION("""COMPUTED_VALUE"""),-0.977907739924807)</f>
        <v>-0.97790773992480695</v>
      </c>
      <c r="HZ55" s="3">
        <f ca="1">IFERROR(__xludf.DUMMYFUNCTION("""COMPUTED_VALUE"""),-0.97528927607816)</f>
        <v>-0.97528927607815996</v>
      </c>
      <c r="IA55" s="3">
        <f ca="1">IFERROR(__xludf.DUMMYFUNCTION("""COMPUTED_VALUE"""),-0.977905840990348)</f>
        <v>-0.97790584099034805</v>
      </c>
      <c r="IB55" s="3">
        <f ca="1">IFERROR(__xludf.DUMMYFUNCTION("""COMPUTED_VALUE"""),-0.977237800098276)</f>
        <v>-0.97723780009827599</v>
      </c>
      <c r="IC55" s="3">
        <f ca="1">IFERROR(__xludf.DUMMYFUNCTION("""COMPUTED_VALUE"""),-0.974574871251573)</f>
        <v>-0.97457487125157305</v>
      </c>
      <c r="ID55" s="3">
        <f ca="1">IFERROR(__xludf.DUMMYFUNCTION("""COMPUTED_VALUE"""),-0.982219690312793)</f>
        <v>-0.98221969031279299</v>
      </c>
      <c r="IE55" s="3">
        <f ca="1">IFERROR(__xludf.DUMMYFUNCTION("""COMPUTED_VALUE"""),-0.984313698433398)</f>
        <v>-0.984313698433398</v>
      </c>
      <c r="IF55" s="3">
        <f ca="1">IFERROR(__xludf.DUMMYFUNCTION("""COMPUTED_VALUE"""),-0.9797981560802)</f>
        <v>-0.97979815608020004</v>
      </c>
      <c r="IG55" s="3">
        <f ca="1">IFERROR(__xludf.DUMMYFUNCTION("""COMPUTED_VALUE"""),-0.976091169180579)</f>
        <v>-0.97609116918057903</v>
      </c>
      <c r="IH55" s="3">
        <f ca="1">IFERROR(__xludf.DUMMYFUNCTION("""COMPUTED_VALUE"""),-0.974805658709541)</f>
        <v>-0.97480565870954095</v>
      </c>
      <c r="II55" s="3">
        <f ca="1">IFERROR(__xludf.DUMMYFUNCTION("""COMPUTED_VALUE"""),-0.975645616764267)</f>
        <v>-0.97564561676426698</v>
      </c>
      <c r="IJ55" s="3">
        <f ca="1">IFERROR(__xludf.DUMMYFUNCTION("""COMPUTED_VALUE"""),-0.973499445989514)</f>
        <v>-0.97349944598951399</v>
      </c>
      <c r="IK55" s="3">
        <f ca="1">IFERROR(__xludf.DUMMYFUNCTION("""COMPUTED_VALUE"""),-0.968601754991428)</f>
        <v>-0.96860175499142798</v>
      </c>
      <c r="IL55" s="3">
        <f ca="1">IFERROR(__xludf.DUMMYFUNCTION("""COMPUTED_VALUE"""),-0.974106413855418)</f>
        <v>-0.97410641385541796</v>
      </c>
      <c r="IM55" s="3">
        <f ca="1">IFERROR(__xludf.DUMMYFUNCTION("""COMPUTED_VALUE"""),-0.971903607908505)</f>
        <v>-0.97190360790850505</v>
      </c>
      <c r="IN55" s="3">
        <f ca="1">IFERROR(__xludf.DUMMYFUNCTION("""COMPUTED_VALUE"""),-0.972523837046756)</f>
        <v>-0.97252383704675605</v>
      </c>
      <c r="IO55" s="3">
        <f ca="1">IFERROR(__xludf.DUMMYFUNCTION("""COMPUTED_VALUE"""),-0.969961761437257)</f>
        <v>-0.96996176143725699</v>
      </c>
      <c r="IP55" s="3">
        <f ca="1">IFERROR(__xludf.DUMMYFUNCTION("""COMPUTED_VALUE"""),-0.971801445861838)</f>
        <v>-0.97180144586183803</v>
      </c>
      <c r="IQ55" s="3">
        <f ca="1">IFERROR(__xludf.DUMMYFUNCTION("""COMPUTED_VALUE"""),-0.980523613668539)</f>
        <v>-0.98052361366853902</v>
      </c>
      <c r="IR55" s="3">
        <f ca="1">IFERROR(__xludf.DUMMYFUNCTION("""COMPUTED_VALUE"""),-0.988154970242044)</f>
        <v>-0.98815497024204402</v>
      </c>
      <c r="IS55" s="3">
        <f ca="1">IFERROR(__xludf.DUMMYFUNCTION("""COMPUTED_VALUE"""),-0.978574767364227)</f>
        <v>-0.97857476736422699</v>
      </c>
      <c r="IT55" s="3">
        <f ca="1">IFERROR(__xludf.DUMMYFUNCTION("""COMPUTED_VALUE"""),-0.969101689915229)</f>
        <v>-0.96910168991522905</v>
      </c>
      <c r="IU55" s="3">
        <f ca="1">IFERROR(__xludf.DUMMYFUNCTION("""COMPUTED_VALUE"""),-0.97085248334057)</f>
        <v>-0.97085248334056995</v>
      </c>
      <c r="IV55" s="3">
        <f ca="1">IFERROR(__xludf.DUMMYFUNCTION("""COMPUTED_VALUE"""),-0.970582315033528)</f>
        <v>-0.97058231503352799</v>
      </c>
      <c r="IW55" s="3">
        <f ca="1">IFERROR(__xludf.DUMMYFUNCTION("""COMPUTED_VALUE"""),-0.971191482144534)</f>
        <v>-0.97119148214453399</v>
      </c>
      <c r="IX55" s="3">
        <f ca="1">IFERROR(__xludf.DUMMYFUNCTION("""COMPUTED_VALUE"""),-0.978176259445137)</f>
        <v>-0.97817625944513698</v>
      </c>
      <c r="IY55" s="3">
        <f ca="1">IFERROR(__xludf.DUMMYFUNCTION("""COMPUTED_VALUE"""),-0.981956774556871)</f>
        <v>-0.98195677455687103</v>
      </c>
      <c r="IZ55" s="3">
        <f ca="1">IFERROR(__xludf.DUMMYFUNCTION("""COMPUTED_VALUE"""),-0.985108274727799)</f>
        <v>-0.98510827472779905</v>
      </c>
      <c r="JA55" s="3">
        <f ca="1">IFERROR(__xludf.DUMMYFUNCTION("""COMPUTED_VALUE"""),-0.973304670825448)</f>
        <v>-0.97330467082544803</v>
      </c>
      <c r="JB55" s="3">
        <f ca="1">IFERROR(__xludf.DUMMYFUNCTION("""COMPUTED_VALUE"""),-0.978335436319071)</f>
        <v>-0.97833543631907105</v>
      </c>
      <c r="JC55" s="3">
        <f ca="1">IFERROR(__xludf.DUMMYFUNCTION("""COMPUTED_VALUE"""),-0.983136456989822)</f>
        <v>-0.98313645698982199</v>
      </c>
      <c r="JD55" s="3">
        <f ca="1">IFERROR(__xludf.DUMMYFUNCTION("""COMPUTED_VALUE"""),-0.984307070186285)</f>
        <v>-0.98430707018628505</v>
      </c>
      <c r="JE55" s="3">
        <f ca="1">IFERROR(__xludf.DUMMYFUNCTION("""COMPUTED_VALUE"""),-0.979655291234738)</f>
        <v>-0.97965529123473805</v>
      </c>
      <c r="JF55" s="3">
        <f ca="1">IFERROR(__xludf.DUMMYFUNCTION("""COMPUTED_VALUE"""),-0.979014158805801)</f>
        <v>-0.979014158805801</v>
      </c>
      <c r="JG55" s="3">
        <f ca="1">IFERROR(__xludf.DUMMYFUNCTION("""COMPUTED_VALUE"""),-0.980506401851008)</f>
        <v>-0.98050640185100801</v>
      </c>
      <c r="JH55" s="3">
        <f ca="1">IFERROR(__xludf.DUMMYFUNCTION("""COMPUTED_VALUE"""),-0.976375691841031)</f>
        <v>-0.97637569184103101</v>
      </c>
      <c r="JI55" s="3">
        <f ca="1">IFERROR(__xludf.DUMMYFUNCTION("""COMPUTED_VALUE"""),-0.979561013477855)</f>
        <v>-0.97956101347785496</v>
      </c>
      <c r="JJ55" s="3">
        <f ca="1">IFERROR(__xludf.DUMMYFUNCTION("""COMPUTED_VALUE"""),-0.985176871861064)</f>
        <v>-0.98517687186106395</v>
      </c>
      <c r="JK55" s="3">
        <f ca="1">IFERROR(__xludf.DUMMYFUNCTION("""COMPUTED_VALUE"""),-0.982477089478938)</f>
        <v>-0.98247708947893797</v>
      </c>
      <c r="JL55" s="3">
        <f ca="1">IFERROR(__xludf.DUMMYFUNCTION("""COMPUTED_VALUE"""),-0.980826593010432)</f>
        <v>-0.98082659301043196</v>
      </c>
      <c r="JM55" s="3">
        <f ca="1">IFERROR(__xludf.DUMMYFUNCTION("""COMPUTED_VALUE"""),-0.980749559555129)</f>
        <v>-0.98074955955512899</v>
      </c>
      <c r="JN55" s="3">
        <f ca="1">IFERROR(__xludf.DUMMYFUNCTION("""COMPUTED_VALUE"""),-0.978821659776347)</f>
        <v>-0.97882165977634705</v>
      </c>
      <c r="JO55" s="3">
        <f ca="1">IFERROR(__xludf.DUMMYFUNCTION("""COMPUTED_VALUE"""),-0.985146335520289)</f>
        <v>-0.98514633552028896</v>
      </c>
      <c r="JP55" s="3">
        <f ca="1">IFERROR(__xludf.DUMMYFUNCTION("""COMPUTED_VALUE"""),-0.975886626518116)</f>
        <v>-0.97588662651811597</v>
      </c>
      <c r="JQ55" s="3">
        <f ca="1">IFERROR(__xludf.DUMMYFUNCTION("""COMPUTED_VALUE"""),-0.980926162547708)</f>
        <v>-0.98092616254770804</v>
      </c>
      <c r="JR55" s="3">
        <f ca="1">IFERROR(__xludf.DUMMYFUNCTION("""COMPUTED_VALUE"""),-0.979141799996926)</f>
        <v>-0.97914179999692597</v>
      </c>
      <c r="JS55" s="3">
        <f ca="1">IFERROR(__xludf.DUMMYFUNCTION("""COMPUTED_VALUE"""),-0.976772335834197)</f>
        <v>-0.97677233583419698</v>
      </c>
      <c r="JT55" s="3">
        <f ca="1">IFERROR(__xludf.DUMMYFUNCTION("""COMPUTED_VALUE"""),-0.973346420011763)</f>
        <v>-0.97334642001176297</v>
      </c>
      <c r="JU55" s="3">
        <f ca="1">IFERROR(__xludf.DUMMYFUNCTION("""COMPUTED_VALUE"""),-0.974009667376015)</f>
        <v>-0.97400966737601502</v>
      </c>
      <c r="JV55" s="3">
        <f ca="1">IFERROR(__xludf.DUMMYFUNCTION("""COMPUTED_VALUE"""),-0.967536013307634)</f>
        <v>-0.96753601330763395</v>
      </c>
      <c r="JW55" s="3">
        <f ca="1">IFERROR(__xludf.DUMMYFUNCTION("""COMPUTED_VALUE"""),-0.96134157357481)</f>
        <v>-0.96134157357480998</v>
      </c>
      <c r="JX55" s="3">
        <f ca="1">IFERROR(__xludf.DUMMYFUNCTION("""COMPUTED_VALUE"""),-0.960202817111025)</f>
        <v>-0.96020281711102495</v>
      </c>
      <c r="JY55" s="3">
        <f ca="1">IFERROR(__xludf.DUMMYFUNCTION("""COMPUTED_VALUE"""),-0.960679216407027)</f>
        <v>-0.96067921640702703</v>
      </c>
      <c r="JZ55" s="3">
        <f ca="1">IFERROR(__xludf.DUMMYFUNCTION("""COMPUTED_VALUE"""),-0.779001256778783)</f>
        <v>-0.77900125677878296</v>
      </c>
      <c r="KA55" s="3">
        <f ca="1">IFERROR(__xludf.DUMMYFUNCTION("""COMPUTED_VALUE"""),-0.446562414189905)</f>
        <v>-0.446562414189905</v>
      </c>
      <c r="KB55" s="3">
        <f ca="1">IFERROR(__xludf.DUMMYFUNCTION("""COMPUTED_VALUE"""),-0.538559233123137)</f>
        <v>-0.53855923312313703</v>
      </c>
      <c r="KC55" s="3">
        <f ca="1">IFERROR(__xludf.DUMMYFUNCTION("""COMPUTED_VALUE"""),-0.56714869226163)</f>
        <v>-0.56714869226163001</v>
      </c>
      <c r="KD55" s="3">
        <f ca="1">IFERROR(__xludf.DUMMYFUNCTION("""COMPUTED_VALUE"""),-0.623879833675457)</f>
        <v>-0.62387983367545696</v>
      </c>
      <c r="KE55" s="3">
        <f ca="1">IFERROR(__xludf.DUMMYFUNCTION("""COMPUTED_VALUE"""),-0.67081445579413)</f>
        <v>-0.67081445579413002</v>
      </c>
      <c r="KF55" s="3">
        <f ca="1">IFERROR(__xludf.DUMMYFUNCTION("""COMPUTED_VALUE"""),-0.637025267281737)</f>
        <v>-0.63702526728173703</v>
      </c>
      <c r="KG55" s="3">
        <f ca="1">IFERROR(__xludf.DUMMYFUNCTION("""COMPUTED_VALUE"""),-0.696282711298416)</f>
        <v>-0.69628271129841601</v>
      </c>
      <c r="KH55" s="3">
        <f ca="1">IFERROR(__xludf.DUMMYFUNCTION("""COMPUTED_VALUE"""),-0.546574282633631)</f>
        <v>-0.54657428263363095</v>
      </c>
      <c r="KI55" s="3">
        <f ca="1">IFERROR(__xludf.DUMMYFUNCTION("""COMPUTED_VALUE"""),-0.562048340957801)</f>
        <v>-0.56204834095780098</v>
      </c>
      <c r="KJ55" s="3">
        <f ca="1">IFERROR(__xludf.DUMMYFUNCTION("""COMPUTED_VALUE"""),-0.571340515712696)</f>
        <v>-0.57134051571269595</v>
      </c>
      <c r="KK55" s="3">
        <f ca="1">IFERROR(__xludf.DUMMYFUNCTION("""COMPUTED_VALUE"""),-0.64997213913535)</f>
        <v>-0.64997213913535001</v>
      </c>
      <c r="KL55" s="3">
        <f ca="1">IFERROR(__xludf.DUMMYFUNCTION("""COMPUTED_VALUE"""),-0.659260692909708)</f>
        <v>-0.65926069290970801</v>
      </c>
      <c r="KM55" s="3">
        <f ca="1">IFERROR(__xludf.DUMMYFUNCTION("""COMPUTED_VALUE"""),-0.682421208729599)</f>
        <v>-0.68242120872959899</v>
      </c>
      <c r="KN55" s="3">
        <f ca="1">IFERROR(__xludf.DUMMYFUNCTION("""COMPUTED_VALUE"""),-0.718852241257002)</f>
        <v>-0.71885224125700198</v>
      </c>
      <c r="KO55" s="3">
        <f ca="1">IFERROR(__xludf.DUMMYFUNCTION("""COMPUTED_VALUE"""),-0.701133605462084)</f>
        <v>-0.70113360546208403</v>
      </c>
      <c r="KP55" s="3">
        <f ca="1">IFERROR(__xludf.DUMMYFUNCTION("""COMPUTED_VALUE"""),-0.665239875568653)</f>
        <v>-0.66523987556865305</v>
      </c>
      <c r="KQ55" s="3">
        <f ca="1">IFERROR(__xludf.DUMMYFUNCTION("""COMPUTED_VALUE"""),-0.675411242239268)</f>
        <v>-0.67541124223926796</v>
      </c>
      <c r="KR55" s="3">
        <f ca="1">IFERROR(__xludf.DUMMYFUNCTION("""COMPUTED_VALUE"""),-0.720187374068051)</f>
        <v>-0.720187374068051</v>
      </c>
      <c r="KS55" s="3">
        <f ca="1">IFERROR(__xludf.DUMMYFUNCTION("""COMPUTED_VALUE"""),-0.739516868359155)</f>
        <v>-0.73951686835915498</v>
      </c>
      <c r="KT55" s="3">
        <f ca="1">IFERROR(__xludf.DUMMYFUNCTION("""COMPUTED_VALUE"""),-0.741406576856184)</f>
        <v>-0.74140657685618405</v>
      </c>
      <c r="KU55" s="3">
        <f ca="1">IFERROR(__xludf.DUMMYFUNCTION("""COMPUTED_VALUE"""),-0.752029838058695)</f>
        <v>-0.75202983805869505</v>
      </c>
      <c r="KV55" s="3">
        <f ca="1">IFERROR(__xludf.DUMMYFUNCTION("""COMPUTED_VALUE"""),-0.709661486164739)</f>
        <v>-0.70966148616473901</v>
      </c>
      <c r="KW55" s="3">
        <f ca="1">IFERROR(__xludf.DUMMYFUNCTION("""COMPUTED_VALUE"""),-0.632872120580418)</f>
        <v>-0.63287212058041797</v>
      </c>
      <c r="KX55" s="3">
        <f ca="1">IFERROR(__xludf.DUMMYFUNCTION("""COMPUTED_VALUE"""),-0.643249874882152)</f>
        <v>-0.64324987488215202</v>
      </c>
      <c r="KY55" s="3">
        <f ca="1">IFERROR(__xludf.DUMMYFUNCTION("""COMPUTED_VALUE"""),-0.720432085202258)</f>
        <v>-0.72043208520225799</v>
      </c>
      <c r="KZ55" s="3">
        <f ca="1">IFERROR(__xludf.DUMMYFUNCTION("""COMPUTED_VALUE"""),-0.7142160175558)</f>
        <v>-0.7142160175558</v>
      </c>
      <c r="LA55" s="3">
        <f ca="1">IFERROR(__xludf.DUMMYFUNCTION("""COMPUTED_VALUE"""),-0.778806218730238)</f>
        <v>-0.77880621873023803</v>
      </c>
      <c r="LB55" s="3">
        <f ca="1">IFERROR(__xludf.DUMMYFUNCTION("""COMPUTED_VALUE"""),-0.738905528852046)</f>
        <v>-0.73890552885204597</v>
      </c>
      <c r="LC55" s="3">
        <f ca="1">IFERROR(__xludf.DUMMYFUNCTION("""COMPUTED_VALUE"""),-0.735614140914556)</f>
        <v>-0.73561414091455601</v>
      </c>
      <c r="LD55" s="3">
        <f ca="1">IFERROR(__xludf.DUMMYFUNCTION("""COMPUTED_VALUE"""),-0.706485885834864)</f>
        <v>-0.70648588583486405</v>
      </c>
      <c r="LE55" s="3">
        <f ca="1">IFERROR(__xludf.DUMMYFUNCTION("""COMPUTED_VALUE"""),-0.701787959663711)</f>
        <v>-0.70178795966371099</v>
      </c>
      <c r="LF55" s="3">
        <f ca="1">IFERROR(__xludf.DUMMYFUNCTION("""COMPUTED_VALUE"""),-0.775548044801077)</f>
        <v>-0.77554804480107697</v>
      </c>
      <c r="LG55" s="3">
        <f ca="1">IFERROR(__xludf.DUMMYFUNCTION("""COMPUTED_VALUE"""),-0.807330205966461)</f>
        <v>-0.80733020596646099</v>
      </c>
      <c r="LH55" s="3">
        <f ca="1">IFERROR(__xludf.DUMMYFUNCTION("""COMPUTED_VALUE"""),-0.789387686559001)</f>
        <v>-0.78938768655900104</v>
      </c>
      <c r="LI55" s="3">
        <f ca="1">IFERROR(__xludf.DUMMYFUNCTION("""COMPUTED_VALUE"""),-0.773535643346431)</f>
        <v>-0.77353564334643099</v>
      </c>
      <c r="LJ55" s="3">
        <f ca="1">IFERROR(__xludf.DUMMYFUNCTION("""COMPUTED_VALUE"""),-0.689379170213084)</f>
        <v>-0.68937917021308404</v>
      </c>
      <c r="LK55" s="3">
        <f ca="1">IFERROR(__xludf.DUMMYFUNCTION("""COMPUTED_VALUE"""),-0.725579627510182)</f>
        <v>-0.72557962751018201</v>
      </c>
      <c r="LL55" s="3">
        <f ca="1">IFERROR(__xludf.DUMMYFUNCTION("""COMPUTED_VALUE"""),-0.741845004752195)</f>
        <v>-0.74184500475219495</v>
      </c>
      <c r="LM55" s="3">
        <f ca="1">IFERROR(__xludf.DUMMYFUNCTION("""COMPUTED_VALUE"""),-0.796012308752866)</f>
        <v>-0.79601230875286599</v>
      </c>
      <c r="LN55" s="3">
        <f ca="1">IFERROR(__xludf.DUMMYFUNCTION("""COMPUTED_VALUE"""),-0.787534878463017)</f>
        <v>-0.78753487846301695</v>
      </c>
      <c r="LO55" s="3">
        <f ca="1">IFERROR(__xludf.DUMMYFUNCTION("""COMPUTED_VALUE"""),-0.764091634084057)</f>
        <v>-0.764091634084057</v>
      </c>
      <c r="LP55" s="3">
        <f ca="1">IFERROR(__xludf.DUMMYFUNCTION("""COMPUTED_VALUE"""),-0.818585795946885)</f>
        <v>-0.81858579594688496</v>
      </c>
      <c r="LQ55" s="3">
        <f ca="1">IFERROR(__xludf.DUMMYFUNCTION("""COMPUTED_VALUE"""),-0.893966221942229)</f>
        <v>-0.89396622194222897</v>
      </c>
      <c r="LR55" s="3">
        <f ca="1">IFERROR(__xludf.DUMMYFUNCTION("""COMPUTED_VALUE"""),-0.768688324190995)</f>
        <v>-0.76868832419099498</v>
      </c>
      <c r="LS55" s="3">
        <f ca="1">IFERROR(__xludf.DUMMYFUNCTION("""COMPUTED_VALUE"""),-0.781127087627295)</f>
        <v>-0.78112708762729499</v>
      </c>
      <c r="LT55" s="3">
        <f ca="1">IFERROR(__xludf.DUMMYFUNCTION("""COMPUTED_VALUE"""),-0.834176201323573)</f>
        <v>-0.83417620132357295</v>
      </c>
      <c r="LU55" s="3">
        <f ca="1">IFERROR(__xludf.DUMMYFUNCTION("""COMPUTED_VALUE"""),-0.847967763792413)</f>
        <v>-0.84796776379241301</v>
      </c>
      <c r="LV55" s="3">
        <f ca="1">IFERROR(__xludf.DUMMYFUNCTION("""COMPUTED_VALUE"""),-0.838715022456512)</f>
        <v>-0.83871502245651197</v>
      </c>
      <c r="LW55" s="3">
        <f ca="1">IFERROR(__xludf.DUMMYFUNCTION("""COMPUTED_VALUE"""),-0.841776151906841)</f>
        <v>-0.84177615190684096</v>
      </c>
      <c r="LX55" s="3">
        <f ca="1">IFERROR(__xludf.DUMMYFUNCTION("""COMPUTED_VALUE"""),-0.800526317790156)</f>
        <v>-0.80052631779015604</v>
      </c>
      <c r="LY55" s="3">
        <f ca="1">IFERROR(__xludf.DUMMYFUNCTION("""COMPUTED_VALUE"""),-0.788279114750221)</f>
        <v>-0.78827911475022105</v>
      </c>
      <c r="LZ55" s="3">
        <f ca="1">IFERROR(__xludf.DUMMYFUNCTION("""COMPUTED_VALUE"""),-0.809592457142341)</f>
        <v>-0.80959245714234096</v>
      </c>
      <c r="MA55" s="3">
        <f ca="1">IFERROR(__xludf.DUMMYFUNCTION("""COMPUTED_VALUE"""),-0.842370733548109)</f>
        <v>-0.84237073354810899</v>
      </c>
      <c r="MB55" s="3">
        <f ca="1">IFERROR(__xludf.DUMMYFUNCTION("""COMPUTED_VALUE"""),-0.821092028340256)</f>
        <v>-0.82109202834025596</v>
      </c>
      <c r="MC55" s="3">
        <f ca="1">IFERROR(__xludf.DUMMYFUNCTION("""COMPUTED_VALUE"""),-0.824394984353417)</f>
        <v>-0.82439498435341696</v>
      </c>
      <c r="MD55" s="3">
        <f ca="1">IFERROR(__xludf.DUMMYFUNCTION("""COMPUTED_VALUE"""),-0.839505609754582)</f>
        <v>-0.83950560975458199</v>
      </c>
      <c r="ME55" s="3">
        <f ca="1">IFERROR(__xludf.DUMMYFUNCTION("""COMPUTED_VALUE"""),-0.829680773782065)</f>
        <v>-0.82968077378206495</v>
      </c>
      <c r="MF55" s="3">
        <f ca="1">IFERROR(__xludf.DUMMYFUNCTION("""COMPUTED_VALUE"""),-0.753452334565897)</f>
        <v>-0.753452334565897</v>
      </c>
      <c r="MG55" s="3">
        <f ca="1">IFERROR(__xludf.DUMMYFUNCTION("""COMPUTED_VALUE"""),-0.764674259992538)</f>
        <v>-0.76467425999253802</v>
      </c>
      <c r="MH55" s="3">
        <f ca="1">IFERROR(__xludf.DUMMYFUNCTION("""COMPUTED_VALUE"""),-0.793453632001776)</f>
        <v>-0.79345363200177599</v>
      </c>
      <c r="MI55" s="3">
        <f ca="1">IFERROR(__xludf.DUMMYFUNCTION("""COMPUTED_VALUE"""),-0.815192940936878)</f>
        <v>-0.815192940936878</v>
      </c>
      <c r="MJ55" s="3">
        <f ca="1">IFERROR(__xludf.DUMMYFUNCTION("""COMPUTED_VALUE"""),-0.8405088039138)</f>
        <v>-0.84050880391380001</v>
      </c>
      <c r="MK55" s="3">
        <f ca="1">IFERROR(__xludf.DUMMYFUNCTION("""COMPUTED_VALUE"""),-0.853395378200483)</f>
        <v>-0.85339537820048295</v>
      </c>
      <c r="ML55" s="3">
        <f ca="1">IFERROR(__xludf.DUMMYFUNCTION("""COMPUTED_VALUE"""),-0.8041934270105)</f>
        <v>-0.80419342701050001</v>
      </c>
      <c r="MM55" s="3">
        <f ca="1">IFERROR(__xludf.DUMMYFUNCTION("""COMPUTED_VALUE"""),-0.813549669820159)</f>
        <v>-0.81354966982015897</v>
      </c>
      <c r="MN55" s="3">
        <f ca="1">IFERROR(__xludf.DUMMYFUNCTION("""COMPUTED_VALUE"""),-0.786361345701395)</f>
        <v>-0.78636134570139504</v>
      </c>
      <c r="MO55" s="3">
        <f ca="1">IFERROR(__xludf.DUMMYFUNCTION("""COMPUTED_VALUE"""),-0.803168985175089)</f>
        <v>-0.80316898517508895</v>
      </c>
      <c r="MP55" s="3">
        <f ca="1">IFERROR(__xludf.DUMMYFUNCTION("""COMPUTED_VALUE"""),-0.881222888762689)</f>
        <v>-0.88122288876268895</v>
      </c>
      <c r="MQ55" s="3">
        <f ca="1">IFERROR(__xludf.DUMMYFUNCTION("""COMPUTED_VALUE"""),-0.851902891020313)</f>
        <v>-0.85190289102031302</v>
      </c>
      <c r="MR55" s="3">
        <f ca="1">IFERROR(__xludf.DUMMYFUNCTION("""COMPUTED_VALUE"""),-0.857845291924954)</f>
        <v>-0.85784529192495396</v>
      </c>
      <c r="MS55" s="3">
        <f ca="1">IFERROR(__xludf.DUMMYFUNCTION("""COMPUTED_VALUE"""),-0.805956824912402)</f>
        <v>-0.80595682491240195</v>
      </c>
      <c r="MT55" s="3">
        <f ca="1">IFERROR(__xludf.DUMMYFUNCTION("""COMPUTED_VALUE"""),-0.794842248740689)</f>
        <v>-0.79484224874068898</v>
      </c>
      <c r="MU55" s="3">
        <f ca="1">IFERROR(__xludf.DUMMYFUNCTION("""COMPUTED_VALUE"""),-0.799134585433141)</f>
        <v>-0.79913458543314098</v>
      </c>
      <c r="MV55" s="3">
        <f ca="1">IFERROR(__xludf.DUMMYFUNCTION("""COMPUTED_VALUE"""),-0.822187367009126)</f>
        <v>-0.82218736700912598</v>
      </c>
      <c r="MW55" s="3">
        <f ca="1">IFERROR(__xludf.DUMMYFUNCTION("""COMPUTED_VALUE"""),-0.871004710881494)</f>
        <v>-0.871004710881494</v>
      </c>
      <c r="MX55" s="3">
        <f ca="1">IFERROR(__xludf.DUMMYFUNCTION("""COMPUTED_VALUE"""),-0.877408269604219)</f>
        <v>-0.87740826960421903</v>
      </c>
      <c r="MY55" s="3">
        <f ca="1">IFERROR(__xludf.DUMMYFUNCTION("""COMPUTED_VALUE"""),-0.859940554287568)</f>
        <v>-0.85994055428756799</v>
      </c>
      <c r="MZ55" s="3">
        <f ca="1">IFERROR(__xludf.DUMMYFUNCTION("""COMPUTED_VALUE"""),-0.870820005408824)</f>
        <v>-0.87082000540882398</v>
      </c>
      <c r="NA55" s="3">
        <f ca="1">IFERROR(__xludf.DUMMYFUNCTION("""COMPUTED_VALUE"""),-0.869458091965137)</f>
        <v>-0.86945809196513701</v>
      </c>
      <c r="NB55" s="3">
        <f ca="1">IFERROR(__xludf.DUMMYFUNCTION("""COMPUTED_VALUE"""),-0.814484154314866)</f>
        <v>-0.81448415431486598</v>
      </c>
      <c r="NC55" s="3">
        <f ca="1">IFERROR(__xludf.DUMMYFUNCTION("""COMPUTED_VALUE"""),-0.925066982887673)</f>
        <v>-0.92506698288767297</v>
      </c>
      <c r="ND55" s="3">
        <f ca="1">IFERROR(__xludf.DUMMYFUNCTION("""COMPUTED_VALUE"""),-0.853561010767874)</f>
        <v>-0.85356101076787405</v>
      </c>
      <c r="NE55" s="3">
        <f ca="1">IFERROR(__xludf.DUMMYFUNCTION("""COMPUTED_VALUE"""),-0.856645458801476)</f>
        <v>-0.85664545880147602</v>
      </c>
      <c r="NF55" s="3">
        <f ca="1">IFERROR(__xludf.DUMMYFUNCTION("""COMPUTED_VALUE"""),-0.856766180602351)</f>
        <v>-0.85676618060235099</v>
      </c>
      <c r="NG55" s="3">
        <f ca="1">IFERROR(__xludf.DUMMYFUNCTION("""COMPUTED_VALUE"""),-0.838477354270167)</f>
        <v>-0.83847735427016701</v>
      </c>
      <c r="NH55" s="3">
        <f ca="1">IFERROR(__xludf.DUMMYFUNCTION("""COMPUTED_VALUE"""),-0.824091206887502)</f>
        <v>-0.82409120688750204</v>
      </c>
      <c r="NI55" s="3">
        <f ca="1">IFERROR(__xludf.DUMMYFUNCTION("""COMPUTED_VALUE"""),-0.834744600904565)</f>
        <v>-0.83474460090456504</v>
      </c>
      <c r="NJ55" s="3">
        <f ca="1">IFERROR(__xludf.DUMMYFUNCTION("""COMPUTED_VALUE"""),-0.86502196904056)</f>
        <v>-0.86502196904055995</v>
      </c>
      <c r="NK55" s="3">
        <f ca="1">IFERROR(__xludf.DUMMYFUNCTION("""COMPUTED_VALUE"""),-0.862433107271649)</f>
        <v>-0.86243310727164901</v>
      </c>
      <c r="NL55" s="3">
        <f ca="1">IFERROR(__xludf.DUMMYFUNCTION("""COMPUTED_VALUE"""),-0.853135281875496)</f>
        <v>-0.85313528187549603</v>
      </c>
      <c r="NM55" s="3">
        <f ca="1">IFERROR(__xludf.DUMMYFUNCTION("""COMPUTED_VALUE"""),-0.839917107850804)</f>
        <v>-0.83991710785080398</v>
      </c>
      <c r="NN55" s="3">
        <f ca="1">IFERROR(__xludf.DUMMYFUNCTION("""COMPUTED_VALUE"""),-0.839147625814344)</f>
        <v>-0.83914762581434399</v>
      </c>
      <c r="NO55" s="3">
        <f ca="1">IFERROR(__xludf.DUMMYFUNCTION("""COMPUTED_VALUE"""),-0.811743512640733)</f>
        <v>-0.81174351264073297</v>
      </c>
      <c r="NP55" s="3">
        <f ca="1">IFERROR(__xludf.DUMMYFUNCTION("""COMPUTED_VALUE"""),-0.834105275443507)</f>
        <v>-0.83410527544350699</v>
      </c>
      <c r="NQ55" s="3">
        <f ca="1">IFERROR(__xludf.DUMMYFUNCTION("""COMPUTED_VALUE"""),-0.868730458930228)</f>
        <v>-0.86873045893022804</v>
      </c>
      <c r="NR55" s="3">
        <f ca="1">IFERROR(__xludf.DUMMYFUNCTION("""COMPUTED_VALUE"""),-0.870563987942222)</f>
        <v>-0.87056398794222201</v>
      </c>
      <c r="NS55" s="3">
        <f ca="1">IFERROR(__xludf.DUMMYFUNCTION("""COMPUTED_VALUE"""),-0.864539641564106)</f>
        <v>-0.86453964156410601</v>
      </c>
      <c r="NT55" s="3">
        <f ca="1">IFERROR(__xludf.DUMMYFUNCTION("""COMPUTED_VALUE"""),-0.827099822332447)</f>
        <v>-0.82709982233244705</v>
      </c>
      <c r="NU55" s="3">
        <f ca="1">IFERROR(__xludf.DUMMYFUNCTION("""COMPUTED_VALUE"""),-0.808864990628997)</f>
        <v>-0.80886499062899697</v>
      </c>
      <c r="NV55" s="3">
        <f ca="1">IFERROR(__xludf.DUMMYFUNCTION("""COMPUTED_VALUE"""),-0.77890994660832)</f>
        <v>-0.77890994660832003</v>
      </c>
      <c r="NW55" s="3">
        <f ca="1">IFERROR(__xludf.DUMMYFUNCTION("""COMPUTED_VALUE"""),-0.750317627298383)</f>
        <v>-0.75031762729838303</v>
      </c>
      <c r="NX55" s="3">
        <f ca="1">IFERROR(__xludf.DUMMYFUNCTION("""COMPUTED_VALUE"""),-0.761548774420004)</f>
        <v>-0.76154877442000402</v>
      </c>
      <c r="NY55" s="3">
        <f ca="1">IFERROR(__xludf.DUMMYFUNCTION("""COMPUTED_VALUE"""),-0.724297878551784)</f>
        <v>-0.72429787855178396</v>
      </c>
      <c r="NZ55" s="3">
        <f ca="1">IFERROR(__xludf.DUMMYFUNCTION("""COMPUTED_VALUE"""),-0.720330801606273)</f>
        <v>-0.72033080160627305</v>
      </c>
      <c r="OA55" s="3">
        <f ca="1">IFERROR(__xludf.DUMMYFUNCTION("""COMPUTED_VALUE"""),-0.624517486709005)</f>
        <v>-0.62451748670900498</v>
      </c>
      <c r="OB55" s="3">
        <f ca="1">IFERROR(__xludf.DUMMYFUNCTION("""COMPUTED_VALUE"""),-0.488658775661542)</f>
        <v>-0.48865877566154198</v>
      </c>
      <c r="OC55" s="3">
        <f ca="1">IFERROR(__xludf.DUMMYFUNCTION("""COMPUTED_VALUE"""),-0.420781637595927)</f>
        <v>-0.42078163759592702</v>
      </c>
      <c r="OD55" s="3">
        <f ca="1">IFERROR(__xludf.DUMMYFUNCTION("""COMPUTED_VALUE"""),-0.326801330562467)</f>
        <v>-0.32680133056246702</v>
      </c>
      <c r="OE55" s="3">
        <f ca="1">IFERROR(__xludf.DUMMYFUNCTION("""COMPUTED_VALUE"""),-0.185161534090176)</f>
        <v>-0.18516153409017599</v>
      </c>
      <c r="OF55" s="3">
        <f ca="1">IFERROR(__xludf.DUMMYFUNCTION("""COMPUTED_VALUE"""),-0.101045171954447)</f>
        <v>-0.101045171954447</v>
      </c>
      <c r="OG55" s="3">
        <f ca="1">IFERROR(__xludf.DUMMYFUNCTION("""COMPUTED_VALUE"""),-0.0816063404034701)</f>
        <v>-8.1606340403470104E-2</v>
      </c>
      <c r="OH55" s="3">
        <f ca="1">IFERROR(__xludf.DUMMYFUNCTION("""COMPUTED_VALUE"""),-0.0631178457973637)</f>
        <v>-6.3117845797363695E-2</v>
      </c>
      <c r="OI55" s="3">
        <f ca="1">IFERROR(__xludf.DUMMYFUNCTION("""COMPUTED_VALUE"""),-0.100885539593407)</f>
        <v>-0.100885539593407</v>
      </c>
      <c r="OJ55" s="3">
        <f ca="1">IFERROR(__xludf.DUMMYFUNCTION("""COMPUTED_VALUE"""),-0.203025205655417)</f>
        <v>-0.20302520565541701</v>
      </c>
      <c r="OK55" s="3">
        <f ca="1">IFERROR(__xludf.DUMMYFUNCTION("""COMPUTED_VALUE"""),0.0125546828519536)</f>
        <v>1.2554682851953601E-2</v>
      </c>
      <c r="OL55" s="3">
        <f ca="1">IFERROR(__xludf.DUMMYFUNCTION("""COMPUTED_VALUE"""),-0.013812618585797)</f>
        <v>-1.3812618585797E-2</v>
      </c>
      <c r="OM55" s="3">
        <f ca="1">IFERROR(__xludf.DUMMYFUNCTION("""COMPUTED_VALUE"""),0.0463378748368101)</f>
        <v>4.6337874836810101E-2</v>
      </c>
      <c r="ON55" s="3">
        <f ca="1">IFERROR(__xludf.DUMMYFUNCTION("""COMPUTED_VALUE"""),0.0299604179204653)</f>
        <v>2.9960417920465301E-2</v>
      </c>
      <c r="OO55" s="3">
        <f ca="1">IFERROR(__xludf.DUMMYFUNCTION("""COMPUTED_VALUE"""),0.0314704840188588)</f>
        <v>3.1470484018858803E-2</v>
      </c>
      <c r="OP55" s="3">
        <f ca="1">IFERROR(__xludf.DUMMYFUNCTION("""COMPUTED_VALUE"""),0.0866337129868004)</f>
        <v>8.6633712986800407E-2</v>
      </c>
      <c r="OQ55" s="3">
        <f ca="1">IFERROR(__xludf.DUMMYFUNCTION("""COMPUTED_VALUE"""),0.0772673481637546)</f>
        <v>7.7267348163754607E-2</v>
      </c>
      <c r="OR55" s="3">
        <f ca="1">IFERROR(__xludf.DUMMYFUNCTION("""COMPUTED_VALUE"""),-0.0148637421696756)</f>
        <v>-1.4863742169675599E-2</v>
      </c>
      <c r="OS55" s="3">
        <f ca="1">IFERROR(__xludf.DUMMYFUNCTION("""COMPUTED_VALUE"""),-0.0280262297716651)</f>
        <v>-2.80262297716651E-2</v>
      </c>
      <c r="OT55" s="3">
        <f ca="1">IFERROR(__xludf.DUMMYFUNCTION("""COMPUTED_VALUE"""),-0.116332035941325)</f>
        <v>-0.116332035941325</v>
      </c>
      <c r="OU55" s="3">
        <f ca="1">IFERROR(__xludf.DUMMYFUNCTION("""COMPUTED_VALUE"""),-0.035878093334038)</f>
        <v>-3.5878093334037998E-2</v>
      </c>
      <c r="OV55" s="3">
        <f ca="1">IFERROR(__xludf.DUMMYFUNCTION("""COMPUTED_VALUE"""),0.0114014823062815)</f>
        <v>1.1401482306281499E-2</v>
      </c>
      <c r="OW55" s="3">
        <f ca="1">IFERROR(__xludf.DUMMYFUNCTION("""COMPUTED_VALUE"""),0.268233603152709)</f>
        <v>0.268233603152709</v>
      </c>
      <c r="OX55" s="3">
        <f ca="1">IFERROR(__xludf.DUMMYFUNCTION("""COMPUTED_VALUE"""),-0.0737100777263474)</f>
        <v>-7.3710077726347398E-2</v>
      </c>
      <c r="OY55" s="3">
        <f ca="1">IFERROR(__xludf.DUMMYFUNCTION("""COMPUTED_VALUE"""),-0.136829783377483)</f>
        <v>-0.136829783377483</v>
      </c>
      <c r="OZ55" s="3">
        <f ca="1">IFERROR(__xludf.DUMMYFUNCTION("""COMPUTED_VALUE"""),-0.144749415917214)</f>
        <v>-0.14474941591721399</v>
      </c>
      <c r="PA55" s="3">
        <f ca="1">IFERROR(__xludf.DUMMYFUNCTION("""COMPUTED_VALUE"""),-0.138302791989779)</f>
        <v>-0.13830279198977899</v>
      </c>
      <c r="PB55" s="3">
        <f ca="1">IFERROR(__xludf.DUMMYFUNCTION("""COMPUTED_VALUE"""),-0.125430737162115)</f>
        <v>-0.125430737162115</v>
      </c>
      <c r="PC55" s="3">
        <f ca="1">IFERROR(__xludf.DUMMYFUNCTION("""COMPUTED_VALUE"""),0.0121981550858241)</f>
        <v>1.21981550858241E-2</v>
      </c>
      <c r="PD55" s="3">
        <f ca="1">IFERROR(__xludf.DUMMYFUNCTION("""COMPUTED_VALUE"""),-0.64206815168586)</f>
        <v>-0.64206815168585996</v>
      </c>
      <c r="PE55" s="3">
        <f ca="1">IFERROR(__xludf.DUMMYFUNCTION("""COMPUTED_VALUE"""),-0.0109007251178679)</f>
        <v>-1.0900725117867899E-2</v>
      </c>
      <c r="PF55" s="3">
        <f ca="1">IFERROR(__xludf.DUMMYFUNCTION("""COMPUTED_VALUE"""),-0.0778706797494708)</f>
        <v>-7.7870679749470803E-2</v>
      </c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</row>
    <row r="56" spans="1:594" ht="13">
      <c r="A56" s="1" t="str">
        <f ca="1">IFERROR(__xludf.DUMMYFUNCTION("""COMPUTED_VALUE"""),"Nice")</f>
        <v>Nice</v>
      </c>
      <c r="B56" s="3">
        <f ca="1">IFERROR(__xludf.DUMMYFUNCTION("""COMPUTED_VALUE"""),-0.537851841723607)</f>
        <v>-0.537851841723607</v>
      </c>
      <c r="C56" s="3">
        <f ca="1">IFERROR(__xludf.DUMMYFUNCTION("""COMPUTED_VALUE"""),-0.541117155326714)</f>
        <v>-0.54111715532671401</v>
      </c>
      <c r="D56" s="3">
        <f ca="1">IFERROR(__xludf.DUMMYFUNCTION("""COMPUTED_VALUE"""),-0.54960799862819)</f>
        <v>-0.54960799862818999</v>
      </c>
      <c r="E56" s="3">
        <f ca="1">IFERROR(__xludf.DUMMYFUNCTION("""COMPUTED_VALUE"""),-0.594454197225851)</f>
        <v>-0.59445419722585102</v>
      </c>
      <c r="F56" s="3">
        <f ca="1">IFERROR(__xludf.DUMMYFUNCTION("""COMPUTED_VALUE"""),-0.587484030945302)</f>
        <v>-0.58748403094530199</v>
      </c>
      <c r="G56" s="3">
        <f ca="1">IFERROR(__xludf.DUMMYFUNCTION("""COMPUTED_VALUE"""),-0.578626386240093)</f>
        <v>-0.57862638624009299</v>
      </c>
      <c r="H56" s="3">
        <f ca="1">IFERROR(__xludf.DUMMYFUNCTION("""COMPUTED_VALUE"""),-0.526589299726594)</f>
        <v>-0.52658929972659396</v>
      </c>
      <c r="I56" s="3">
        <f ca="1">IFERROR(__xludf.DUMMYFUNCTION("""COMPUTED_VALUE"""),-0.528522042251944)</f>
        <v>-0.52852204225194399</v>
      </c>
      <c r="J56" s="3">
        <f ca="1">IFERROR(__xludf.DUMMYFUNCTION("""COMPUTED_VALUE"""),-0.753903951378701)</f>
        <v>-0.75390395137870103</v>
      </c>
      <c r="K56" s="3">
        <f ca="1">IFERROR(__xludf.DUMMYFUNCTION("""COMPUTED_VALUE"""),-0.473261333210036)</f>
        <v>-0.47326133321003599</v>
      </c>
      <c r="L56" s="3">
        <f ca="1">IFERROR(__xludf.DUMMYFUNCTION("""COMPUTED_VALUE"""),-0.470439591608401)</f>
        <v>-0.47043959160840099</v>
      </c>
      <c r="M56" s="3">
        <f ca="1">IFERROR(__xludf.DUMMYFUNCTION("""COMPUTED_VALUE"""),-0.457776564358628)</f>
        <v>-0.45777656435862801</v>
      </c>
      <c r="N56" s="3">
        <f ca="1">IFERROR(__xludf.DUMMYFUNCTION("""COMPUTED_VALUE"""),-0.451207881726225)</f>
        <v>-0.451207881726225</v>
      </c>
      <c r="O56" s="3">
        <f ca="1">IFERROR(__xludf.DUMMYFUNCTION("""COMPUTED_VALUE"""),-0.414250647500575)</f>
        <v>-0.414250647500575</v>
      </c>
      <c r="P56" s="3">
        <f ca="1">IFERROR(__xludf.DUMMYFUNCTION("""COMPUTED_VALUE"""),-0.506528531996897)</f>
        <v>-0.50652853199689696</v>
      </c>
      <c r="Q56" s="3">
        <f ca="1">IFERROR(__xludf.DUMMYFUNCTION("""COMPUTED_VALUE"""),-0.521151960151185)</f>
        <v>-0.52115196015118503</v>
      </c>
      <c r="R56" s="3">
        <f ca="1">IFERROR(__xludf.DUMMYFUNCTION("""COMPUTED_VALUE"""),-0.517250754970973)</f>
        <v>-0.51725075497097295</v>
      </c>
      <c r="S56" s="3">
        <f ca="1">IFERROR(__xludf.DUMMYFUNCTION("""COMPUTED_VALUE"""),-0.501582132195788)</f>
        <v>-0.50158213219578796</v>
      </c>
      <c r="T56" s="3">
        <f ca="1">IFERROR(__xludf.DUMMYFUNCTION("""COMPUTED_VALUE"""),-0.407949761129523)</f>
        <v>-0.40794976112952303</v>
      </c>
      <c r="U56" s="3">
        <f ca="1">IFERROR(__xludf.DUMMYFUNCTION("""COMPUTED_VALUE"""),-0.494757020687894)</f>
        <v>-0.49475702068789401</v>
      </c>
      <c r="V56" s="3">
        <f ca="1">IFERROR(__xludf.DUMMYFUNCTION("""COMPUTED_VALUE"""),-0.518538439808815)</f>
        <v>-0.51853843980881498</v>
      </c>
      <c r="W56" s="3">
        <f ca="1">IFERROR(__xludf.DUMMYFUNCTION("""COMPUTED_VALUE"""),-0.644601056987584)</f>
        <v>-0.64460105698758396</v>
      </c>
      <c r="X56" s="3">
        <f ca="1">IFERROR(__xludf.DUMMYFUNCTION("""COMPUTED_VALUE"""),-0.446359083454153)</f>
        <v>-0.44635908345415298</v>
      </c>
      <c r="Y56" s="3">
        <f ca="1">IFERROR(__xludf.DUMMYFUNCTION("""COMPUTED_VALUE"""),-0.511484114861383)</f>
        <v>-0.51148411486138301</v>
      </c>
      <c r="Z56" s="3">
        <f ca="1">IFERROR(__xludf.DUMMYFUNCTION("""COMPUTED_VALUE"""),-0.515063721618626)</f>
        <v>-0.51506372161862601</v>
      </c>
      <c r="AA56" s="3">
        <f ca="1">IFERROR(__xludf.DUMMYFUNCTION("""COMPUTED_VALUE"""),-0.371967719045931)</f>
        <v>-0.37196771904593101</v>
      </c>
      <c r="AB56" s="3">
        <f ca="1">IFERROR(__xludf.DUMMYFUNCTION("""COMPUTED_VALUE"""),-0.470020375017685)</f>
        <v>-0.47002037501768501</v>
      </c>
      <c r="AC56" s="3">
        <f ca="1">IFERROR(__xludf.DUMMYFUNCTION("""COMPUTED_VALUE"""),-0.619021429657857)</f>
        <v>-0.619021429657857</v>
      </c>
      <c r="AD56" s="3">
        <f ca="1">IFERROR(__xludf.DUMMYFUNCTION("""COMPUTED_VALUE"""),-0.689987139007834)</f>
        <v>-0.68998713900783404</v>
      </c>
      <c r="AE56" s="3">
        <f ca="1">IFERROR(__xludf.DUMMYFUNCTION("""COMPUTED_VALUE"""),-0.531363270779084)</f>
        <v>-0.53136327077908396</v>
      </c>
      <c r="AF56" s="3">
        <f ca="1">IFERROR(__xludf.DUMMYFUNCTION("""COMPUTED_VALUE"""),-0.524754632279228)</f>
        <v>-0.52475463227922803</v>
      </c>
      <c r="AG56" s="3">
        <f ca="1">IFERROR(__xludf.DUMMYFUNCTION("""COMPUTED_VALUE"""),-0.555663178093482)</f>
        <v>-0.55566317809348198</v>
      </c>
      <c r="AH56" s="3">
        <f ca="1">IFERROR(__xludf.DUMMYFUNCTION("""COMPUTED_VALUE"""),-0.376897100662082)</f>
        <v>-0.37689710066208199</v>
      </c>
      <c r="AI56" s="3">
        <f ca="1">IFERROR(__xludf.DUMMYFUNCTION("""COMPUTED_VALUE"""),-0.491516136351885)</f>
        <v>-0.49151613635188501</v>
      </c>
      <c r="AJ56" s="3">
        <f ca="1">IFERROR(__xludf.DUMMYFUNCTION("""COMPUTED_VALUE"""),-0.638513250388568)</f>
        <v>-0.63851325038856799</v>
      </c>
      <c r="AK56" s="3">
        <f ca="1">IFERROR(__xludf.DUMMYFUNCTION("""COMPUTED_VALUE"""),-0.733215281434682)</f>
        <v>-0.73321528143468195</v>
      </c>
      <c r="AL56" s="3">
        <f ca="1">IFERROR(__xludf.DUMMYFUNCTION("""COMPUTED_VALUE"""),-0.624706169080172)</f>
        <v>-0.62470616908017196</v>
      </c>
      <c r="AM56" s="3">
        <f ca="1">IFERROR(__xludf.DUMMYFUNCTION("""COMPUTED_VALUE"""),-0.554595536719684)</f>
        <v>-0.55459553671968398</v>
      </c>
      <c r="AN56" s="3">
        <f ca="1">IFERROR(__xludf.DUMMYFUNCTION("""COMPUTED_VALUE"""),-0.602031244214851)</f>
        <v>-0.60203124421485099</v>
      </c>
      <c r="AO56" s="3">
        <f ca="1">IFERROR(__xludf.DUMMYFUNCTION("""COMPUTED_VALUE"""),-0.551777221475503)</f>
        <v>-0.55177722147550301</v>
      </c>
      <c r="AP56" s="3">
        <f ca="1">IFERROR(__xludf.DUMMYFUNCTION("""COMPUTED_VALUE"""),-0.506411020825301)</f>
        <v>-0.50641102082530098</v>
      </c>
      <c r="AQ56" s="3">
        <f ca="1">IFERROR(__xludf.DUMMYFUNCTION("""COMPUTED_VALUE"""),-0.677441477597027)</f>
        <v>-0.677441477597027</v>
      </c>
      <c r="AR56" s="3">
        <f ca="1">IFERROR(__xludf.DUMMYFUNCTION("""COMPUTED_VALUE"""),-0.741550044983681)</f>
        <v>-0.74155004498368104</v>
      </c>
      <c r="AS56" s="3">
        <f ca="1">IFERROR(__xludf.DUMMYFUNCTION("""COMPUTED_VALUE"""),-0.487425834097616)</f>
        <v>-0.48742583409761597</v>
      </c>
      <c r="AT56" s="3">
        <f ca="1">IFERROR(__xludf.DUMMYFUNCTION("""COMPUTED_VALUE"""),-0.470614195783056)</f>
        <v>-0.47061419578305602</v>
      </c>
      <c r="AU56" s="3">
        <f ca="1">IFERROR(__xludf.DUMMYFUNCTION("""COMPUTED_VALUE"""),-0.543952057083245)</f>
        <v>-0.54395205708324501</v>
      </c>
      <c r="AV56" s="3">
        <f ca="1">IFERROR(__xludf.DUMMYFUNCTION("""COMPUTED_VALUE"""),-0.512655089297066)</f>
        <v>-0.51265508929706605</v>
      </c>
      <c r="AW56" s="3">
        <f ca="1">IFERROR(__xludf.DUMMYFUNCTION("""COMPUTED_VALUE"""),-0.506288839673672)</f>
        <v>-0.506288839673672</v>
      </c>
      <c r="AX56" s="3">
        <f ca="1">IFERROR(__xludf.DUMMYFUNCTION("""COMPUTED_VALUE"""),-0.365043793654078)</f>
        <v>-0.36504379365407802</v>
      </c>
      <c r="AY56" s="3">
        <f ca="1">IFERROR(__xludf.DUMMYFUNCTION("""COMPUTED_VALUE"""),-0.377446838634016)</f>
        <v>-0.37744683863401601</v>
      </c>
      <c r="AZ56" s="3">
        <f ca="1">IFERROR(__xludf.DUMMYFUNCTION("""COMPUTED_VALUE"""),-0.373851752127357)</f>
        <v>-0.373851752127357</v>
      </c>
      <c r="BA56" s="3">
        <f ca="1">IFERROR(__xludf.DUMMYFUNCTION("""COMPUTED_VALUE"""),-0.372928898511855)</f>
        <v>-0.37292889851185501</v>
      </c>
      <c r="BB56" s="3">
        <f ca="1">IFERROR(__xludf.DUMMYFUNCTION("""COMPUTED_VALUE"""),-0.425701444295868)</f>
        <v>-0.42570144429586798</v>
      </c>
      <c r="BC56" s="3">
        <f ca="1">IFERROR(__xludf.DUMMYFUNCTION("""COMPUTED_VALUE"""),-0.389924859513623)</f>
        <v>-0.38992485951362299</v>
      </c>
      <c r="BD56" s="3">
        <f ca="1">IFERROR(__xludf.DUMMYFUNCTION("""COMPUTED_VALUE"""),-0.399800534799823)</f>
        <v>-0.39980053479982303</v>
      </c>
      <c r="BE56" s="3">
        <f ca="1">IFERROR(__xludf.DUMMYFUNCTION("""COMPUTED_VALUE"""),-0.302113522024558)</f>
        <v>-0.30211352202455799</v>
      </c>
      <c r="BF56" s="3">
        <f ca="1">IFERROR(__xludf.DUMMYFUNCTION("""COMPUTED_VALUE"""),-0.399228149019218)</f>
        <v>-0.39922814901921799</v>
      </c>
      <c r="BG56" s="3">
        <f ca="1">IFERROR(__xludf.DUMMYFUNCTION("""COMPUTED_VALUE"""),-0.495284619942192)</f>
        <v>-0.49528461994219197</v>
      </c>
      <c r="BH56" s="3">
        <f ca="1">IFERROR(__xludf.DUMMYFUNCTION("""COMPUTED_VALUE"""),-0.0819982324194131)</f>
        <v>-8.1998232419413106E-2</v>
      </c>
      <c r="BI56" s="3">
        <f ca="1">IFERROR(__xludf.DUMMYFUNCTION("""COMPUTED_VALUE"""),-0.474533653016695)</f>
        <v>-0.47453365301669498</v>
      </c>
      <c r="BJ56" s="3">
        <f ca="1">IFERROR(__xludf.DUMMYFUNCTION("""COMPUTED_VALUE"""),-0.449280358672412)</f>
        <v>-0.44928035867241201</v>
      </c>
      <c r="BK56" s="3">
        <f ca="1">IFERROR(__xludf.DUMMYFUNCTION("""COMPUTED_VALUE"""),-0.44406073174484)</f>
        <v>-0.44406073174484001</v>
      </c>
      <c r="BL56" s="3">
        <f ca="1">IFERROR(__xludf.DUMMYFUNCTION("""COMPUTED_VALUE"""),-0.526986256168026)</f>
        <v>-0.52698625616802597</v>
      </c>
      <c r="BM56" s="3">
        <f ca="1">IFERROR(__xludf.DUMMYFUNCTION("""COMPUTED_VALUE"""),-0.488922489219494)</f>
        <v>-0.48892248921949399</v>
      </c>
      <c r="BN56" s="3">
        <f ca="1">IFERROR(__xludf.DUMMYFUNCTION("""COMPUTED_VALUE"""),-0.445826949706459)</f>
        <v>-0.44582694970645897</v>
      </c>
      <c r="BO56" s="3">
        <f ca="1">IFERROR(__xludf.DUMMYFUNCTION("""COMPUTED_VALUE"""),-0.701075079348636)</f>
        <v>-0.701075079348636</v>
      </c>
      <c r="BP56" s="3">
        <f ca="1">IFERROR(__xludf.DUMMYFUNCTION("""COMPUTED_VALUE"""),-0.354488549881172)</f>
        <v>-0.35448854988117201</v>
      </c>
      <c r="BQ56" s="3">
        <f ca="1">IFERROR(__xludf.DUMMYFUNCTION("""COMPUTED_VALUE"""),-0.479371879299422)</f>
        <v>-0.47937187929942199</v>
      </c>
      <c r="BR56" s="3">
        <f ca="1">IFERROR(__xludf.DUMMYFUNCTION("""COMPUTED_VALUE"""),-0.466588640344069)</f>
        <v>-0.46658864034406899</v>
      </c>
      <c r="BS56" s="3">
        <f ca="1">IFERROR(__xludf.DUMMYFUNCTION("""COMPUTED_VALUE"""),-0.463124766075079)</f>
        <v>-0.46312476607507902</v>
      </c>
      <c r="BT56" s="3">
        <f ca="1">IFERROR(__xludf.DUMMYFUNCTION("""COMPUTED_VALUE"""),-0.48709799777162)</f>
        <v>-0.48709799777161999</v>
      </c>
      <c r="BU56" s="3">
        <f ca="1">IFERROR(__xludf.DUMMYFUNCTION("""COMPUTED_VALUE"""),-0.351846042683093)</f>
        <v>-0.351846042683093</v>
      </c>
      <c r="BV56" s="3">
        <f ca="1">IFERROR(__xludf.DUMMYFUNCTION("""COMPUTED_VALUE"""),-0.351057414896154)</f>
        <v>-0.351057414896154</v>
      </c>
      <c r="BW56" s="3">
        <f ca="1">IFERROR(__xludf.DUMMYFUNCTION("""COMPUTED_VALUE"""),-0.345145955981483)</f>
        <v>-0.34514595598148301</v>
      </c>
      <c r="BX56" s="3">
        <f ca="1">IFERROR(__xludf.DUMMYFUNCTION("""COMPUTED_VALUE"""),-0.455859019402752)</f>
        <v>-0.45585901940275197</v>
      </c>
      <c r="BY56" s="3">
        <f ca="1">IFERROR(__xludf.DUMMYFUNCTION("""COMPUTED_VALUE"""),-0.441212821923139)</f>
        <v>-0.44121282192313899</v>
      </c>
      <c r="BZ56" s="3">
        <f ca="1">IFERROR(__xludf.DUMMYFUNCTION("""COMPUTED_VALUE"""),-0.460944859559379)</f>
        <v>-0.46094485955937903</v>
      </c>
      <c r="CA56" s="3">
        <f ca="1">IFERROR(__xludf.DUMMYFUNCTION("""COMPUTED_VALUE"""),-0.522481200978257)</f>
        <v>-0.52248120097825701</v>
      </c>
      <c r="CB56" s="3">
        <f ca="1">IFERROR(__xludf.DUMMYFUNCTION("""COMPUTED_VALUE"""),-0.43886383390996)</f>
        <v>-0.43886383390995998</v>
      </c>
      <c r="CC56" s="3">
        <f ca="1">IFERROR(__xludf.DUMMYFUNCTION("""COMPUTED_VALUE"""),-0.485450373505981)</f>
        <v>-0.48545037350598103</v>
      </c>
      <c r="CD56" s="3">
        <f ca="1">IFERROR(__xludf.DUMMYFUNCTION("""COMPUTED_VALUE"""),-0.371484344066399)</f>
        <v>-0.37148434406639902</v>
      </c>
      <c r="CE56" s="3">
        <f ca="1">IFERROR(__xludf.DUMMYFUNCTION("""COMPUTED_VALUE"""),-0.389452730796203)</f>
        <v>-0.38945273079620302</v>
      </c>
      <c r="CF56" s="3">
        <f ca="1">IFERROR(__xludf.DUMMYFUNCTION("""COMPUTED_VALUE"""),-0.499710107426826)</f>
        <v>-0.49971010742682598</v>
      </c>
      <c r="CG56" s="3">
        <f ca="1">IFERROR(__xludf.DUMMYFUNCTION("""COMPUTED_VALUE"""),-0.485116575939828)</f>
        <v>-0.48511657593982799</v>
      </c>
      <c r="CH56" s="3">
        <f ca="1">IFERROR(__xludf.DUMMYFUNCTION("""COMPUTED_VALUE"""),-0.518289227413022)</f>
        <v>-0.51828922741302197</v>
      </c>
      <c r="CI56" s="3">
        <f ca="1">IFERROR(__xludf.DUMMYFUNCTION("""COMPUTED_VALUE"""),-0.315455572967226)</f>
        <v>-0.31545557296722598</v>
      </c>
      <c r="CJ56" s="3">
        <f ca="1">IFERROR(__xludf.DUMMYFUNCTION("""COMPUTED_VALUE"""),-0.343621426306829)</f>
        <v>-0.34362142630682901</v>
      </c>
      <c r="CK56" s="3">
        <f ca="1">IFERROR(__xludf.DUMMYFUNCTION("""COMPUTED_VALUE"""),-0.536279026484932)</f>
        <v>-0.53627902648493198</v>
      </c>
      <c r="CL56" s="3">
        <f ca="1">IFERROR(__xludf.DUMMYFUNCTION("""COMPUTED_VALUE"""),-0.393391447540655)</f>
        <v>-0.39339144754065503</v>
      </c>
      <c r="CM56" s="3">
        <f ca="1">IFERROR(__xludf.DUMMYFUNCTION("""COMPUTED_VALUE"""),-0.485187037859303)</f>
        <v>-0.48518703785930301</v>
      </c>
      <c r="CN56" s="3">
        <f ca="1">IFERROR(__xludf.DUMMYFUNCTION("""COMPUTED_VALUE"""),-0.52593681284321)</f>
        <v>-0.52593681284321003</v>
      </c>
      <c r="CO56" s="3">
        <f ca="1">IFERROR(__xludf.DUMMYFUNCTION("""COMPUTED_VALUE"""),-0.558406829916387)</f>
        <v>-0.55840682991638702</v>
      </c>
      <c r="CP56" s="3">
        <f ca="1">IFERROR(__xludf.DUMMYFUNCTION("""COMPUTED_VALUE"""),-0.439302753736445)</f>
        <v>-0.43930275373644501</v>
      </c>
      <c r="CQ56" s="3">
        <f ca="1">IFERROR(__xludf.DUMMYFUNCTION("""COMPUTED_VALUE"""),-0.345715732482133)</f>
        <v>-0.345715732482133</v>
      </c>
      <c r="CR56" s="3">
        <f ca="1">IFERROR(__xludf.DUMMYFUNCTION("""COMPUTED_VALUE"""),-0.443364366213932)</f>
        <v>-0.44336436621393199</v>
      </c>
      <c r="CS56" s="3">
        <f ca="1">IFERROR(__xludf.DUMMYFUNCTION("""COMPUTED_VALUE"""),-0.346822972329254)</f>
        <v>-0.34682297232925402</v>
      </c>
      <c r="CT56" s="3">
        <f ca="1">IFERROR(__xludf.DUMMYFUNCTION("""COMPUTED_VALUE"""),-0.503754053528544)</f>
        <v>-0.50375405352854397</v>
      </c>
      <c r="CU56" s="3">
        <f ca="1">IFERROR(__xludf.DUMMYFUNCTION("""COMPUTED_VALUE"""),-0.598803392824919)</f>
        <v>-0.59880339282491901</v>
      </c>
      <c r="CV56" s="3">
        <f ca="1">IFERROR(__xludf.DUMMYFUNCTION("""COMPUTED_VALUE"""),-0.662836109527623)</f>
        <v>-0.66283610952762295</v>
      </c>
      <c r="CW56" s="3">
        <f ca="1">IFERROR(__xludf.DUMMYFUNCTION("""COMPUTED_VALUE"""),-0.695599074598983)</f>
        <v>-0.69559907459898296</v>
      </c>
      <c r="CX56" s="3">
        <f ca="1">IFERROR(__xludf.DUMMYFUNCTION("""COMPUTED_VALUE"""),-0.416381956219055)</f>
        <v>-0.41638195621905499</v>
      </c>
      <c r="CY56" s="3">
        <f ca="1">IFERROR(__xludf.DUMMYFUNCTION("""COMPUTED_VALUE"""),-0.446181803723856)</f>
        <v>-0.44618180372385602</v>
      </c>
      <c r="CZ56" s="3">
        <f ca="1">IFERROR(__xludf.DUMMYFUNCTION("""COMPUTED_VALUE"""),-0.562923405389077)</f>
        <v>-0.56292340538907704</v>
      </c>
      <c r="DA56" s="3">
        <f ca="1">IFERROR(__xludf.DUMMYFUNCTION("""COMPUTED_VALUE"""),-0.564232264799898)</f>
        <v>-0.56423226479989796</v>
      </c>
      <c r="DB56" s="3">
        <f ca="1">IFERROR(__xludf.DUMMYFUNCTION("""COMPUTED_VALUE"""),-0.511739216272405)</f>
        <v>-0.51173921627240504</v>
      </c>
      <c r="DC56" s="3">
        <f ca="1">IFERROR(__xludf.DUMMYFUNCTION("""COMPUTED_VALUE"""),-0.591167843674323)</f>
        <v>-0.59116784367432296</v>
      </c>
      <c r="DD56" s="3">
        <f ca="1">IFERROR(__xludf.DUMMYFUNCTION("""COMPUTED_VALUE"""),-0.700729057939406)</f>
        <v>-0.70072905793940599</v>
      </c>
      <c r="DE56" s="3">
        <f ca="1">IFERROR(__xludf.DUMMYFUNCTION("""COMPUTED_VALUE"""),-0.579218174154777)</f>
        <v>-0.57921817415477705</v>
      </c>
      <c r="DF56" s="3">
        <f ca="1">IFERROR(__xludf.DUMMYFUNCTION("""COMPUTED_VALUE"""),-0.420027770992376)</f>
        <v>-0.42002777099237598</v>
      </c>
      <c r="DG56" s="3">
        <f ca="1">IFERROR(__xludf.DUMMYFUNCTION("""COMPUTED_VALUE"""),-0.330176697680472)</f>
        <v>-0.33017669768047198</v>
      </c>
      <c r="DH56" s="3">
        <f ca="1">IFERROR(__xludf.DUMMYFUNCTION("""COMPUTED_VALUE"""),-0.511399992798982)</f>
        <v>-0.51139999279898196</v>
      </c>
      <c r="DI56" s="3">
        <f ca="1">IFERROR(__xludf.DUMMYFUNCTION("""COMPUTED_VALUE"""),-0.548230037489428)</f>
        <v>-0.548230037489428</v>
      </c>
      <c r="DJ56" s="3">
        <f ca="1">IFERROR(__xludf.DUMMYFUNCTION("""COMPUTED_VALUE"""),-0.573042635116961)</f>
        <v>-0.57304263511696096</v>
      </c>
      <c r="DK56" s="3">
        <f ca="1">IFERROR(__xludf.DUMMYFUNCTION("""COMPUTED_VALUE"""),-0.369392959707965)</f>
        <v>-0.36939295970796499</v>
      </c>
      <c r="DL56" s="3">
        <f ca="1">IFERROR(__xludf.DUMMYFUNCTION("""COMPUTED_VALUE"""),-0.497546442829941)</f>
        <v>-0.49754644282994098</v>
      </c>
      <c r="DM56" s="3">
        <f ca="1">IFERROR(__xludf.DUMMYFUNCTION("""COMPUTED_VALUE"""),-0.418631873462215)</f>
        <v>-0.41863187346221498</v>
      </c>
      <c r="DN56" s="3">
        <f ca="1">IFERROR(__xludf.DUMMYFUNCTION("""COMPUTED_VALUE"""),-0.287038983582025)</f>
        <v>-0.28703898358202501</v>
      </c>
      <c r="DO56" s="3">
        <f ca="1">IFERROR(__xludf.DUMMYFUNCTION("""COMPUTED_VALUE"""),-0.468668944322989)</f>
        <v>-0.468668944322989</v>
      </c>
      <c r="DP56" s="3">
        <f ca="1">IFERROR(__xludf.DUMMYFUNCTION("""COMPUTED_VALUE"""),-0.541058654260777)</f>
        <v>-0.54105865426077704</v>
      </c>
      <c r="DQ56" s="3">
        <f ca="1">IFERROR(__xludf.DUMMYFUNCTION("""COMPUTED_VALUE"""),-0.50282506554634)</f>
        <v>-0.50282506554633999</v>
      </c>
      <c r="DR56" s="3">
        <f ca="1">IFERROR(__xludf.DUMMYFUNCTION("""COMPUTED_VALUE"""),-0.488257121212664)</f>
        <v>-0.48825712121266401</v>
      </c>
      <c r="DS56" s="3">
        <f ca="1">IFERROR(__xludf.DUMMYFUNCTION("""COMPUTED_VALUE"""),-0.36072410576962)</f>
        <v>-0.36072410576962</v>
      </c>
      <c r="DT56" s="3">
        <f ca="1">IFERROR(__xludf.DUMMYFUNCTION("""COMPUTED_VALUE"""),-0.577327989544508)</f>
        <v>-0.57732798954450804</v>
      </c>
      <c r="DU56" s="3">
        <f ca="1">IFERROR(__xludf.DUMMYFUNCTION("""COMPUTED_VALUE"""),-0.46781709256615)</f>
        <v>-0.46781709256615001</v>
      </c>
      <c r="DV56" s="3">
        <f ca="1">IFERROR(__xludf.DUMMYFUNCTION("""COMPUTED_VALUE"""),-0.553409440185253)</f>
        <v>-0.55340944018525295</v>
      </c>
      <c r="DW56" s="3">
        <f ca="1">IFERROR(__xludf.DUMMYFUNCTION("""COMPUTED_VALUE"""),-0.448757047468443)</f>
        <v>-0.44875704746844303</v>
      </c>
      <c r="DX56" s="3">
        <f ca="1">IFERROR(__xludf.DUMMYFUNCTION("""COMPUTED_VALUE"""),-0.576053947737697)</f>
        <v>-0.57605394773769703</v>
      </c>
      <c r="DY56" s="3">
        <f ca="1">IFERROR(__xludf.DUMMYFUNCTION("""COMPUTED_VALUE"""),-0.596903359328786)</f>
        <v>-0.59690335932878602</v>
      </c>
      <c r="DZ56" s="3">
        <f ca="1">IFERROR(__xludf.DUMMYFUNCTION("""COMPUTED_VALUE"""),-0.364940689900624)</f>
        <v>-0.364940689900624</v>
      </c>
      <c r="EA56" s="3">
        <f ca="1">IFERROR(__xludf.DUMMYFUNCTION("""COMPUTED_VALUE"""),-0.530179949099947)</f>
        <v>-0.53017994909994703</v>
      </c>
      <c r="EB56" s="3">
        <f ca="1">IFERROR(__xludf.DUMMYFUNCTION("""COMPUTED_VALUE"""),-0.545304879787347)</f>
        <v>-0.54530487978734699</v>
      </c>
      <c r="EC56" s="3">
        <f ca="1">IFERROR(__xludf.DUMMYFUNCTION("""COMPUTED_VALUE"""),-0.561993700194666)</f>
        <v>-0.56199370019466599</v>
      </c>
      <c r="ED56" s="3">
        <f ca="1">IFERROR(__xludf.DUMMYFUNCTION("""COMPUTED_VALUE"""),-0.509542664774264)</f>
        <v>-0.50954266477426402</v>
      </c>
      <c r="EE56" s="3">
        <f ca="1">IFERROR(__xludf.DUMMYFUNCTION("""COMPUTED_VALUE"""),-0.576214413543385)</f>
        <v>-0.57621441354338498</v>
      </c>
      <c r="EF56" s="3">
        <f ca="1">IFERROR(__xludf.DUMMYFUNCTION("""COMPUTED_VALUE"""),-0.604873878779286)</f>
        <v>-0.604873878779286</v>
      </c>
      <c r="EG56" s="3">
        <f ca="1">IFERROR(__xludf.DUMMYFUNCTION("""COMPUTED_VALUE"""),-0.449738650923176)</f>
        <v>-0.449738650923176</v>
      </c>
      <c r="EH56" s="3">
        <f ca="1">IFERROR(__xludf.DUMMYFUNCTION("""COMPUTED_VALUE"""),-0.572377576980632)</f>
        <v>-0.57237757698063196</v>
      </c>
      <c r="EI56" s="3">
        <f ca="1">IFERROR(__xludf.DUMMYFUNCTION("""COMPUTED_VALUE"""),-0.617944013663173)</f>
        <v>-0.61794401366317298</v>
      </c>
      <c r="EJ56" s="3">
        <f ca="1">IFERROR(__xludf.DUMMYFUNCTION("""COMPUTED_VALUE"""),-0.615739715923026)</f>
        <v>-0.61573971592302601</v>
      </c>
      <c r="EK56" s="3">
        <f ca="1">IFERROR(__xludf.DUMMYFUNCTION("""COMPUTED_VALUE"""),-0.681257902201562)</f>
        <v>-0.68125790220156202</v>
      </c>
      <c r="EL56" s="3">
        <f ca="1">IFERROR(__xludf.DUMMYFUNCTION("""COMPUTED_VALUE"""),-0.701320239604505)</f>
        <v>-0.70132023960450496</v>
      </c>
      <c r="EM56" s="3">
        <f ca="1">IFERROR(__xludf.DUMMYFUNCTION("""COMPUTED_VALUE"""),-0.656095096790325)</f>
        <v>-0.65609509679032496</v>
      </c>
      <c r="EN56" s="3">
        <f ca="1">IFERROR(__xludf.DUMMYFUNCTION("""COMPUTED_VALUE"""),-0.614573084604488)</f>
        <v>-0.61457308460448801</v>
      </c>
      <c r="EO56" s="3">
        <f ca="1">IFERROR(__xludf.DUMMYFUNCTION("""COMPUTED_VALUE"""),-0.629244329979739)</f>
        <v>-0.629244329979739</v>
      </c>
      <c r="EP56" s="3">
        <f ca="1">IFERROR(__xludf.DUMMYFUNCTION("""COMPUTED_VALUE"""),-0.638394911954109)</f>
        <v>-0.63839491195410902</v>
      </c>
      <c r="EQ56" s="3">
        <f ca="1">IFERROR(__xludf.DUMMYFUNCTION("""COMPUTED_VALUE"""),-0.60891973114243)</f>
        <v>-0.60891973114243003</v>
      </c>
      <c r="ER56" s="3">
        <f ca="1">IFERROR(__xludf.DUMMYFUNCTION("""COMPUTED_VALUE"""),-0.745853972523449)</f>
        <v>-0.74585397252344898</v>
      </c>
      <c r="ES56" s="3">
        <f ca="1">IFERROR(__xludf.DUMMYFUNCTION("""COMPUTED_VALUE"""),-0.697043390481852)</f>
        <v>-0.69704339048185204</v>
      </c>
      <c r="ET56" s="3">
        <f ca="1">IFERROR(__xludf.DUMMYFUNCTION("""COMPUTED_VALUE"""),-0.6083244209165)</f>
        <v>-0.60832442091649996</v>
      </c>
      <c r="EU56" s="3">
        <f ca="1">IFERROR(__xludf.DUMMYFUNCTION("""COMPUTED_VALUE"""),-0.603478695114138)</f>
        <v>-0.60347869511413799</v>
      </c>
      <c r="EV56" s="3">
        <f ca="1">IFERROR(__xludf.DUMMYFUNCTION("""COMPUTED_VALUE"""),-0.75604528897886)</f>
        <v>-0.75604528897886003</v>
      </c>
      <c r="EW56" s="3">
        <f ca="1">IFERROR(__xludf.DUMMYFUNCTION("""COMPUTED_VALUE"""),-0.5926379173596)</f>
        <v>-0.59263791735960003</v>
      </c>
      <c r="EX56" s="3">
        <f ca="1">IFERROR(__xludf.DUMMYFUNCTION("""COMPUTED_VALUE"""),-0.500652127445531)</f>
        <v>-0.500652127445531</v>
      </c>
      <c r="EY56" s="3">
        <f ca="1">IFERROR(__xludf.DUMMYFUNCTION("""COMPUTED_VALUE"""),-0.710396874588111)</f>
        <v>-0.71039687458811096</v>
      </c>
      <c r="EZ56" s="3">
        <f ca="1">IFERROR(__xludf.DUMMYFUNCTION("""COMPUTED_VALUE"""),-0.705957072640715)</f>
        <v>-0.70595707264071506</v>
      </c>
      <c r="FA56" s="3">
        <f ca="1">IFERROR(__xludf.DUMMYFUNCTION("""COMPUTED_VALUE"""),-0.564233784653282)</f>
        <v>-0.564233784653282</v>
      </c>
      <c r="FB56" s="3">
        <f ca="1">IFERROR(__xludf.DUMMYFUNCTION("""COMPUTED_VALUE"""),-0.566379410034068)</f>
        <v>-0.566379410034068</v>
      </c>
      <c r="FC56" s="3">
        <f ca="1">IFERROR(__xludf.DUMMYFUNCTION("""COMPUTED_VALUE"""),-0.624332676359979)</f>
        <v>-0.62433267635997902</v>
      </c>
      <c r="FD56" s="3">
        <f ca="1">IFERROR(__xludf.DUMMYFUNCTION("""COMPUTED_VALUE"""),-0.590253157626017)</f>
        <v>-0.59025315762601704</v>
      </c>
      <c r="FE56" s="3">
        <f ca="1">IFERROR(__xludf.DUMMYFUNCTION("""COMPUTED_VALUE"""),-0.480765060091694)</f>
        <v>-0.48076506009169401</v>
      </c>
      <c r="FF56" s="3">
        <f ca="1">IFERROR(__xludf.DUMMYFUNCTION("""COMPUTED_VALUE"""),-0.707709204963317)</f>
        <v>-0.70770920496331702</v>
      </c>
      <c r="FG56" s="3">
        <f ca="1">IFERROR(__xludf.DUMMYFUNCTION("""COMPUTED_VALUE"""),-0.762224131347274)</f>
        <v>-0.76222413134727396</v>
      </c>
      <c r="FH56" s="3">
        <f ca="1">IFERROR(__xludf.DUMMYFUNCTION("""COMPUTED_VALUE"""),-0.703295792729147)</f>
        <v>-0.703295792729147</v>
      </c>
      <c r="FI56" s="3">
        <f ca="1">IFERROR(__xludf.DUMMYFUNCTION("""COMPUTED_VALUE"""),-0.398164008563202)</f>
        <v>-0.398164008563202</v>
      </c>
      <c r="FJ56" s="3">
        <f ca="1">IFERROR(__xludf.DUMMYFUNCTION("""COMPUTED_VALUE"""),-0.398077569692446)</f>
        <v>-0.39807756969244601</v>
      </c>
      <c r="FK56" s="3">
        <f ca="1">IFERROR(__xludf.DUMMYFUNCTION("""COMPUTED_VALUE"""),-0.451745229459864)</f>
        <v>-0.45174522945986401</v>
      </c>
      <c r="FL56" s="3">
        <f ca="1">IFERROR(__xludf.DUMMYFUNCTION("""COMPUTED_VALUE"""),-0.487298926374556)</f>
        <v>-0.48729892637455602</v>
      </c>
      <c r="FM56" s="3">
        <f ca="1">IFERROR(__xludf.DUMMYFUNCTION("""COMPUTED_VALUE"""),-0.385332568001353)</f>
        <v>-0.38533256800135302</v>
      </c>
      <c r="FN56" s="3">
        <f ca="1">IFERROR(__xludf.DUMMYFUNCTION("""COMPUTED_VALUE"""),-0.332392963590425)</f>
        <v>-0.33239296359042497</v>
      </c>
      <c r="FO56" s="3">
        <f ca="1">IFERROR(__xludf.DUMMYFUNCTION("""COMPUTED_VALUE"""),-0.386211403934146)</f>
        <v>-0.38621140393414599</v>
      </c>
      <c r="FP56" s="3">
        <f ca="1">IFERROR(__xludf.DUMMYFUNCTION("""COMPUTED_VALUE"""),-0.407004772586337)</f>
        <v>-0.40700477258633699</v>
      </c>
      <c r="FQ56" s="3">
        <f ca="1">IFERROR(__xludf.DUMMYFUNCTION("""COMPUTED_VALUE"""),-0.329256472307476)</f>
        <v>-0.32925647230747601</v>
      </c>
      <c r="FR56" s="3">
        <f ca="1">IFERROR(__xludf.DUMMYFUNCTION("""COMPUTED_VALUE"""),-0.349100982901007)</f>
        <v>-0.349100982901007</v>
      </c>
      <c r="FS56" s="3">
        <f ca="1">IFERROR(__xludf.DUMMYFUNCTION("""COMPUTED_VALUE"""),-0.293332438504536)</f>
        <v>-0.293332438504536</v>
      </c>
      <c r="FT56" s="3">
        <f ca="1">IFERROR(__xludf.DUMMYFUNCTION("""COMPUTED_VALUE"""),-0.301276044178582)</f>
        <v>-0.301276044178582</v>
      </c>
      <c r="FU56" s="3">
        <f ca="1">IFERROR(__xludf.DUMMYFUNCTION("""COMPUTED_VALUE"""),-0.303992056565213)</f>
        <v>-0.303992056565213</v>
      </c>
      <c r="FV56" s="3">
        <f ca="1">IFERROR(__xludf.DUMMYFUNCTION("""COMPUTED_VALUE"""),-0.268401228536642)</f>
        <v>-0.268401228536642</v>
      </c>
      <c r="FW56" s="3">
        <f ca="1">IFERROR(__xludf.DUMMYFUNCTION("""COMPUTED_VALUE"""),-0.263566899172719)</f>
        <v>-0.26356689917271903</v>
      </c>
      <c r="FX56" s="3">
        <f ca="1">IFERROR(__xludf.DUMMYFUNCTION("""COMPUTED_VALUE"""),-0.393644739039558)</f>
        <v>-0.39364473903955799</v>
      </c>
      <c r="FY56" s="3">
        <f ca="1">IFERROR(__xludf.DUMMYFUNCTION("""COMPUTED_VALUE"""),-0.317742524269561)</f>
        <v>-0.31774252426956101</v>
      </c>
      <c r="FZ56" s="3">
        <f ca="1">IFERROR(__xludf.DUMMYFUNCTION("""COMPUTED_VALUE"""),-0.287175684364558)</f>
        <v>-0.28717568436455798</v>
      </c>
      <c r="GA56" s="3">
        <f ca="1">IFERROR(__xludf.DUMMYFUNCTION("""COMPUTED_VALUE"""),-0.483297203530589)</f>
        <v>-0.48329720353058903</v>
      </c>
      <c r="GB56" s="3">
        <f ca="1">IFERROR(__xludf.DUMMYFUNCTION("""COMPUTED_VALUE"""),-0.371043708950476)</f>
        <v>-0.371043708950476</v>
      </c>
      <c r="GC56" s="3">
        <f ca="1">IFERROR(__xludf.DUMMYFUNCTION("""COMPUTED_VALUE"""),-0.294869398370588)</f>
        <v>-0.29486939837058801</v>
      </c>
      <c r="GD56" s="3">
        <f ca="1">IFERROR(__xludf.DUMMYFUNCTION("""COMPUTED_VALUE"""),-0.326395395217231)</f>
        <v>-0.32639539521723099</v>
      </c>
      <c r="GE56" s="3">
        <f ca="1">IFERROR(__xludf.DUMMYFUNCTION("""COMPUTED_VALUE"""),-0.333878265191547)</f>
        <v>-0.33387826519154701</v>
      </c>
      <c r="GF56" s="3">
        <f ca="1">IFERROR(__xludf.DUMMYFUNCTION("""COMPUTED_VALUE"""),-0.322203675736015)</f>
        <v>-0.32220367573601499</v>
      </c>
      <c r="GG56" s="3">
        <f ca="1">IFERROR(__xludf.DUMMYFUNCTION("""COMPUTED_VALUE"""),-0.264413439250289)</f>
        <v>-0.26441343925028898</v>
      </c>
      <c r="GH56" s="3">
        <f ca="1">IFERROR(__xludf.DUMMYFUNCTION("""COMPUTED_VALUE"""),-0.463548395441817)</f>
        <v>-0.46354839544181697</v>
      </c>
      <c r="GI56" s="3">
        <f ca="1">IFERROR(__xludf.DUMMYFUNCTION("""COMPUTED_VALUE"""),-0.361807359615469)</f>
        <v>-0.361807359615469</v>
      </c>
      <c r="GJ56" s="3">
        <f ca="1">IFERROR(__xludf.DUMMYFUNCTION("""COMPUTED_VALUE"""),-0.6909384605919)</f>
        <v>-0.69093846059190001</v>
      </c>
      <c r="GK56" s="3">
        <f ca="1">IFERROR(__xludf.DUMMYFUNCTION("""COMPUTED_VALUE"""),-0.266298581695963)</f>
        <v>-0.26629858169596299</v>
      </c>
      <c r="GL56" s="3">
        <f ca="1">IFERROR(__xludf.DUMMYFUNCTION("""COMPUTED_VALUE"""),-0.305364633375506)</f>
        <v>-0.30536463337550601</v>
      </c>
      <c r="GM56" s="3">
        <f ca="1">IFERROR(__xludf.DUMMYFUNCTION("""COMPUTED_VALUE"""),-0.0508084334886261)</f>
        <v>-5.0808433488626098E-2</v>
      </c>
      <c r="GN56" s="3">
        <f ca="1">IFERROR(__xludf.DUMMYFUNCTION("""COMPUTED_VALUE"""),-0.199971239241551)</f>
        <v>-0.199971239241551</v>
      </c>
      <c r="GO56" s="3">
        <f ca="1">IFERROR(__xludf.DUMMYFUNCTION("""COMPUTED_VALUE"""),-0.324064581741878)</f>
        <v>-0.32406458174187802</v>
      </c>
      <c r="GP56" s="3">
        <f ca="1">IFERROR(__xludf.DUMMYFUNCTION("""COMPUTED_VALUE"""),-0.296463628527815)</f>
        <v>-0.29646362852781499</v>
      </c>
      <c r="GQ56" s="3">
        <f ca="1">IFERROR(__xludf.DUMMYFUNCTION("""COMPUTED_VALUE"""),-0.251373109183784)</f>
        <v>-0.25137310918378403</v>
      </c>
      <c r="GR56" s="3">
        <f ca="1">IFERROR(__xludf.DUMMYFUNCTION("""COMPUTED_VALUE"""),-0.167277207217387)</f>
        <v>-0.16727720721738701</v>
      </c>
      <c r="GS56" s="3">
        <f ca="1">IFERROR(__xludf.DUMMYFUNCTION("""COMPUTED_VALUE"""),-0.251470049425969)</f>
        <v>-0.25147004942596901</v>
      </c>
      <c r="GT56" s="3">
        <f ca="1">IFERROR(__xludf.DUMMYFUNCTION("""COMPUTED_VALUE"""),-0.0658724633768306)</f>
        <v>-6.5872463376830601E-2</v>
      </c>
      <c r="GU56" s="3">
        <f ca="1">IFERROR(__xludf.DUMMYFUNCTION("""COMPUTED_VALUE"""),-0.200660580518292)</f>
        <v>-0.200660580518292</v>
      </c>
      <c r="GV56" s="3">
        <f ca="1">IFERROR(__xludf.DUMMYFUNCTION("""COMPUTED_VALUE"""),-0.446750877275086)</f>
        <v>-0.446750877275086</v>
      </c>
      <c r="GW56" s="3">
        <f ca="1">IFERROR(__xludf.DUMMYFUNCTION("""COMPUTED_VALUE"""),-0.331726465786231)</f>
        <v>-0.331726465786231</v>
      </c>
      <c r="GX56" s="3">
        <f ca="1">IFERROR(__xludf.DUMMYFUNCTION("""COMPUTED_VALUE"""),-0.205237303938308)</f>
        <v>-0.205237303938308</v>
      </c>
      <c r="GY56" s="3">
        <f ca="1">IFERROR(__xludf.DUMMYFUNCTION("""COMPUTED_VALUE"""),-0.688773216981699)</f>
        <v>-0.68877321698169902</v>
      </c>
      <c r="GZ56" s="3">
        <f ca="1">IFERROR(__xludf.DUMMYFUNCTION("""COMPUTED_VALUE"""),-0.213264458275709)</f>
        <v>-0.213264458275709</v>
      </c>
      <c r="HA56" s="3">
        <f ca="1">IFERROR(__xludf.DUMMYFUNCTION("""COMPUTED_VALUE"""),0.0286089535407176)</f>
        <v>2.8608953540717599E-2</v>
      </c>
      <c r="HB56" s="3">
        <f ca="1">IFERROR(__xludf.DUMMYFUNCTION("""COMPUTED_VALUE"""),-0.172559848583453)</f>
        <v>-0.172559848583453</v>
      </c>
      <c r="HC56" s="3">
        <f ca="1">IFERROR(__xludf.DUMMYFUNCTION("""COMPUTED_VALUE"""),-0.299285122390167)</f>
        <v>-0.29928512239016702</v>
      </c>
      <c r="HD56" s="3">
        <f ca="1">IFERROR(__xludf.DUMMYFUNCTION("""COMPUTED_VALUE"""),-0.286709552102736)</f>
        <v>-0.28670955210273602</v>
      </c>
      <c r="HE56" s="3">
        <f ca="1">IFERROR(__xludf.DUMMYFUNCTION("""COMPUTED_VALUE"""),-0.205312962917367)</f>
        <v>-0.205312962917367</v>
      </c>
      <c r="HF56" s="3">
        <f ca="1">IFERROR(__xludf.DUMMYFUNCTION("""COMPUTED_VALUE"""),-0.186225553353393)</f>
        <v>-0.186225553353393</v>
      </c>
      <c r="HG56" s="3">
        <f ca="1">IFERROR(__xludf.DUMMYFUNCTION("""COMPUTED_VALUE"""),-0.239351681182602)</f>
        <v>-0.239351681182602</v>
      </c>
      <c r="HH56" s="3">
        <f ca="1">IFERROR(__xludf.DUMMYFUNCTION("""COMPUTED_VALUE"""),-0.0877171834442669)</f>
        <v>-8.7717183444266905E-2</v>
      </c>
      <c r="HI56" s="3">
        <f ca="1">IFERROR(__xludf.DUMMYFUNCTION("""COMPUTED_VALUE"""),-0.167213703357912)</f>
        <v>-0.167213703357912</v>
      </c>
      <c r="HJ56" s="3">
        <f ca="1">IFERROR(__xludf.DUMMYFUNCTION("""COMPUTED_VALUE"""),-0.377820739807477)</f>
        <v>-0.37782073980747699</v>
      </c>
      <c r="HK56" s="3">
        <f ca="1">IFERROR(__xludf.DUMMYFUNCTION("""COMPUTED_VALUE"""),-0.247003996083266)</f>
        <v>-0.24700399608326601</v>
      </c>
      <c r="HL56" s="3">
        <f ca="1">IFERROR(__xludf.DUMMYFUNCTION("""COMPUTED_VALUE"""),-0.184262002619427)</f>
        <v>-0.18426200261942699</v>
      </c>
      <c r="HM56" s="3">
        <f ca="1">IFERROR(__xludf.DUMMYFUNCTION("""COMPUTED_VALUE"""),-0.119015624808151)</f>
        <v>-0.119015624808151</v>
      </c>
      <c r="HN56" s="3">
        <f ca="1">IFERROR(__xludf.DUMMYFUNCTION("""COMPUTED_VALUE"""),-0.187688812466069)</f>
        <v>-0.187688812466069</v>
      </c>
      <c r="HO56" s="3">
        <f ca="1">IFERROR(__xludf.DUMMYFUNCTION("""COMPUTED_VALUE"""),-0.0533033100201105)</f>
        <v>-5.3303310020110503E-2</v>
      </c>
      <c r="HP56" s="3">
        <f ca="1">IFERROR(__xludf.DUMMYFUNCTION("""COMPUTED_VALUE"""),-0.363509493391278)</f>
        <v>-0.36350949339127803</v>
      </c>
      <c r="HQ56" s="3">
        <f ca="1">IFERROR(__xludf.DUMMYFUNCTION("""COMPUTED_VALUE"""),-0.202409525978894)</f>
        <v>-0.202409525978894</v>
      </c>
      <c r="HR56" s="3">
        <f ca="1">IFERROR(__xludf.DUMMYFUNCTION("""COMPUTED_VALUE"""),-0.385860696259743)</f>
        <v>-0.38586069625974301</v>
      </c>
      <c r="HS56" s="3">
        <f ca="1">IFERROR(__xludf.DUMMYFUNCTION("""COMPUTED_VALUE"""),-0.308516378649729)</f>
        <v>-0.30851637864972897</v>
      </c>
      <c r="HT56" s="3">
        <f ca="1">IFERROR(__xludf.DUMMYFUNCTION("""COMPUTED_VALUE"""),-0.224898524298927)</f>
        <v>-0.22489852429892701</v>
      </c>
      <c r="HU56" s="3">
        <f ca="1">IFERROR(__xludf.DUMMYFUNCTION("""COMPUTED_VALUE"""),-0.26370770356396)</f>
        <v>-0.26370770356396001</v>
      </c>
      <c r="HV56" s="3">
        <f ca="1">IFERROR(__xludf.DUMMYFUNCTION("""COMPUTED_VALUE"""),-0.231920589830664)</f>
        <v>-0.23192058983066399</v>
      </c>
      <c r="HW56" s="3">
        <f ca="1">IFERROR(__xludf.DUMMYFUNCTION("""COMPUTED_VALUE"""),-0.336314238715482)</f>
        <v>-0.33631423871548199</v>
      </c>
      <c r="HX56" s="3">
        <f ca="1">IFERROR(__xludf.DUMMYFUNCTION("""COMPUTED_VALUE"""),-0.294726169494941)</f>
        <v>-0.29472616949494101</v>
      </c>
      <c r="HY56" s="3">
        <f ca="1">IFERROR(__xludf.DUMMYFUNCTION("""COMPUTED_VALUE"""),-0.26449686508043)</f>
        <v>-0.26449686508043002</v>
      </c>
      <c r="HZ56" s="3">
        <f ca="1">IFERROR(__xludf.DUMMYFUNCTION("""COMPUTED_VALUE"""),-0.297216567818307)</f>
        <v>-0.29721656781830702</v>
      </c>
      <c r="IA56" s="3">
        <f ca="1">IFERROR(__xludf.DUMMYFUNCTION("""COMPUTED_VALUE"""),-0.252776262375136)</f>
        <v>-0.25277626237513601</v>
      </c>
      <c r="IB56" s="3">
        <f ca="1">IFERROR(__xludf.DUMMYFUNCTION("""COMPUTED_VALUE"""),-0.221480145562234)</f>
        <v>-0.221480145562234</v>
      </c>
      <c r="IC56" s="3">
        <f ca="1">IFERROR(__xludf.DUMMYFUNCTION("""COMPUTED_VALUE"""),-0.250548885561851)</f>
        <v>-0.25054888556185101</v>
      </c>
      <c r="ID56" s="3">
        <f ca="1">IFERROR(__xludf.DUMMYFUNCTION("""COMPUTED_VALUE"""),-0.205434872653106)</f>
        <v>-0.205434872653106</v>
      </c>
      <c r="IE56" s="3">
        <f ca="1">IFERROR(__xludf.DUMMYFUNCTION("""COMPUTED_VALUE"""),-0.265478822875044)</f>
        <v>-0.26547882287504398</v>
      </c>
      <c r="IF56" s="3">
        <f ca="1">IFERROR(__xludf.DUMMYFUNCTION("""COMPUTED_VALUE"""),-0.16109526484532)</f>
        <v>-0.16109526484532</v>
      </c>
      <c r="IG56" s="3">
        <f ca="1">IFERROR(__xludf.DUMMYFUNCTION("""COMPUTED_VALUE"""),-0.185654665740925)</f>
        <v>-0.18565466574092501</v>
      </c>
      <c r="IH56" s="3">
        <f ca="1">IFERROR(__xludf.DUMMYFUNCTION("""COMPUTED_VALUE"""),-0.237849439072229)</f>
        <v>-0.237849439072229</v>
      </c>
      <c r="II56" s="3">
        <f ca="1">IFERROR(__xludf.DUMMYFUNCTION("""COMPUTED_VALUE"""),-0.181239455473435)</f>
        <v>-0.18123945547343501</v>
      </c>
      <c r="IJ56" s="3">
        <f ca="1">IFERROR(__xludf.DUMMYFUNCTION("""COMPUTED_VALUE"""),-0.239444193417672)</f>
        <v>-0.23944419341767201</v>
      </c>
      <c r="IK56" s="3">
        <f ca="1">IFERROR(__xludf.DUMMYFUNCTION("""COMPUTED_VALUE"""),-0.156045327982095)</f>
        <v>-0.156045327982095</v>
      </c>
      <c r="IL56" s="3">
        <f ca="1">IFERROR(__xludf.DUMMYFUNCTION("""COMPUTED_VALUE"""),-0.250360904338315)</f>
        <v>-0.25036090433831498</v>
      </c>
      <c r="IM56" s="3">
        <f ca="1">IFERROR(__xludf.DUMMYFUNCTION("""COMPUTED_VALUE"""),-0.162913766726564)</f>
        <v>-0.16291376672656399</v>
      </c>
      <c r="IN56" s="3">
        <f ca="1">IFERROR(__xludf.DUMMYFUNCTION("""COMPUTED_VALUE"""),-0.213097235448976)</f>
        <v>-0.21309723544897599</v>
      </c>
      <c r="IO56" s="3">
        <f ca="1">IFERROR(__xludf.DUMMYFUNCTION("""COMPUTED_VALUE"""),-0.208511936934288)</f>
        <v>-0.20851193693428799</v>
      </c>
      <c r="IP56" s="3">
        <f ca="1">IFERROR(__xludf.DUMMYFUNCTION("""COMPUTED_VALUE"""),-0.0997097243529054)</f>
        <v>-9.9709724352905399E-2</v>
      </c>
      <c r="IQ56" s="3">
        <f ca="1">IFERROR(__xludf.DUMMYFUNCTION("""COMPUTED_VALUE"""),-0.125585408893288)</f>
        <v>-0.12558540889328801</v>
      </c>
      <c r="IR56" s="3">
        <f ca="1">IFERROR(__xludf.DUMMYFUNCTION("""COMPUTED_VALUE"""),-0.0618577494907592)</f>
        <v>-6.1857749490759201E-2</v>
      </c>
      <c r="IS56" s="3">
        <f ca="1">IFERROR(__xludf.DUMMYFUNCTION("""COMPUTED_VALUE"""),-0.217929468279077)</f>
        <v>-0.217929468279077</v>
      </c>
      <c r="IT56" s="3">
        <f ca="1">IFERROR(__xludf.DUMMYFUNCTION("""COMPUTED_VALUE"""),-0.0801330603372566)</f>
        <v>-8.0133060337256604E-2</v>
      </c>
      <c r="IU56" s="3">
        <f ca="1">IFERROR(__xludf.DUMMYFUNCTION("""COMPUTED_VALUE"""),-0.101805752331943)</f>
        <v>-0.101805752331943</v>
      </c>
      <c r="IV56" s="3">
        <f ca="1">IFERROR(__xludf.DUMMYFUNCTION("""COMPUTED_VALUE"""),-0.156780815132153)</f>
        <v>-0.156780815132153</v>
      </c>
      <c r="IW56" s="3">
        <f ca="1">IFERROR(__xludf.DUMMYFUNCTION("""COMPUTED_VALUE"""),-0.130163572983696)</f>
        <v>-0.13016357298369599</v>
      </c>
      <c r="IX56" s="3">
        <f ca="1">IFERROR(__xludf.DUMMYFUNCTION("""COMPUTED_VALUE"""),-0.0756922441027719)</f>
        <v>-7.5692244102771894E-2</v>
      </c>
      <c r="IY56" s="3">
        <f ca="1">IFERROR(__xludf.DUMMYFUNCTION("""COMPUTED_VALUE"""),-0.130554663040314)</f>
        <v>-0.13055466304031399</v>
      </c>
      <c r="IZ56" s="3">
        <f ca="1">IFERROR(__xludf.DUMMYFUNCTION("""COMPUTED_VALUE"""),-0.177173879899665)</f>
        <v>-0.17717387989966499</v>
      </c>
      <c r="JA56" s="3">
        <f ca="1">IFERROR(__xludf.DUMMYFUNCTION("""COMPUTED_VALUE"""),-0.00429462813519931)</f>
        <v>-4.2946281351993101E-3</v>
      </c>
      <c r="JB56" s="3">
        <f ca="1">IFERROR(__xludf.DUMMYFUNCTION("""COMPUTED_VALUE"""),-0.163859583171186)</f>
        <v>-0.16385958317118601</v>
      </c>
      <c r="JC56" s="3">
        <f ca="1">IFERROR(__xludf.DUMMYFUNCTION("""COMPUTED_VALUE"""),-0.122375876839705)</f>
        <v>-0.12237587683970499</v>
      </c>
      <c r="JD56" s="3">
        <f ca="1">IFERROR(__xludf.DUMMYFUNCTION("""COMPUTED_VALUE"""),-0.176837583882044)</f>
        <v>-0.17683758388204401</v>
      </c>
      <c r="JE56" s="3">
        <f ca="1">IFERROR(__xludf.DUMMYFUNCTION("""COMPUTED_VALUE"""),-0.14738508256081)</f>
        <v>-0.14738508256081001</v>
      </c>
      <c r="JF56" s="3">
        <f ca="1">IFERROR(__xludf.DUMMYFUNCTION("""COMPUTED_VALUE"""),-0.167971261239455)</f>
        <v>-0.16797126123945499</v>
      </c>
      <c r="JG56" s="3">
        <f ca="1">IFERROR(__xludf.DUMMYFUNCTION("""COMPUTED_VALUE"""),-0.114240248404287)</f>
        <v>-0.114240248404287</v>
      </c>
      <c r="JH56" s="3">
        <f ca="1">IFERROR(__xludf.DUMMYFUNCTION("""COMPUTED_VALUE"""),-0.132138324307575)</f>
        <v>-0.13213832430757499</v>
      </c>
      <c r="JI56" s="3">
        <f ca="1">IFERROR(__xludf.DUMMYFUNCTION("""COMPUTED_VALUE"""),-0.0794083055531089)</f>
        <v>-7.9408305553108904E-2</v>
      </c>
      <c r="JJ56" s="3">
        <f ca="1">IFERROR(__xludf.DUMMYFUNCTION("""COMPUTED_VALUE"""),-0.124922643061272)</f>
        <v>-0.124922643061272</v>
      </c>
      <c r="JK56" s="3">
        <f ca="1">IFERROR(__xludf.DUMMYFUNCTION("""COMPUTED_VALUE"""),-0.182033365977423)</f>
        <v>-0.18203336597742301</v>
      </c>
      <c r="JL56" s="3">
        <f ca="1">IFERROR(__xludf.DUMMYFUNCTION("""COMPUTED_VALUE"""),-0.248619235309778)</f>
        <v>-0.248619235309778</v>
      </c>
      <c r="JM56" s="3">
        <f ca="1">IFERROR(__xludf.DUMMYFUNCTION("""COMPUTED_VALUE"""),-0.249779305000728)</f>
        <v>-0.24977930500072801</v>
      </c>
      <c r="JN56" s="3">
        <f ca="1">IFERROR(__xludf.DUMMYFUNCTION("""COMPUTED_VALUE"""),-0.164999386830704)</f>
        <v>-0.164999386830704</v>
      </c>
      <c r="JO56" s="3">
        <f ca="1">IFERROR(__xludf.DUMMYFUNCTION("""COMPUTED_VALUE"""),-0.152880336754031)</f>
        <v>-0.15288033675403101</v>
      </c>
      <c r="JP56" s="3">
        <f ca="1">IFERROR(__xludf.DUMMYFUNCTION("""COMPUTED_VALUE"""),-0.188166414596258)</f>
        <v>-0.18816641459625799</v>
      </c>
      <c r="JQ56" s="3">
        <f ca="1">IFERROR(__xludf.DUMMYFUNCTION("""COMPUTED_VALUE"""),-0.238835771542364)</f>
        <v>-0.23883577154236399</v>
      </c>
      <c r="JR56" s="3">
        <f ca="1">IFERROR(__xludf.DUMMYFUNCTION("""COMPUTED_VALUE"""),-0.238083061751548)</f>
        <v>-0.238083061751548</v>
      </c>
      <c r="JS56" s="3">
        <f ca="1">IFERROR(__xludf.DUMMYFUNCTION("""COMPUTED_VALUE"""),-0.132688900632642)</f>
        <v>-0.13268890063264199</v>
      </c>
      <c r="JT56" s="3">
        <f ca="1">IFERROR(__xludf.DUMMYFUNCTION("""COMPUTED_VALUE"""),-0.181330881030496)</f>
        <v>-0.18133088103049599</v>
      </c>
      <c r="JU56" s="3">
        <f ca="1">IFERROR(__xludf.DUMMYFUNCTION("""COMPUTED_VALUE"""),-0.149393027167727)</f>
        <v>-0.14939302716772701</v>
      </c>
      <c r="JV56" s="3">
        <f ca="1">IFERROR(__xludf.DUMMYFUNCTION("""COMPUTED_VALUE"""),-0.191512704440169)</f>
        <v>-0.19151270444016899</v>
      </c>
      <c r="JW56" s="3">
        <f ca="1">IFERROR(__xludf.DUMMYFUNCTION("""COMPUTED_VALUE"""),-0.262743792610164)</f>
        <v>-0.26274379261016401</v>
      </c>
      <c r="JX56" s="3">
        <f ca="1">IFERROR(__xludf.DUMMYFUNCTION("""COMPUTED_VALUE"""),-0.259472479289889)</f>
        <v>-0.25947247928988898</v>
      </c>
      <c r="JY56" s="3">
        <f ca="1">IFERROR(__xludf.DUMMYFUNCTION("""COMPUTED_VALUE"""),-0.268603278330016)</f>
        <v>-0.26860327833001602</v>
      </c>
      <c r="JZ56" s="3">
        <f ca="1">IFERROR(__xludf.DUMMYFUNCTION("""COMPUTED_VALUE"""),-0.224196631612768)</f>
        <v>-0.22419663161276801</v>
      </c>
      <c r="KA56" s="3">
        <f ca="1">IFERROR(__xludf.DUMMYFUNCTION("""COMPUTED_VALUE"""),-0.269161911797827)</f>
        <v>-0.269161911797827</v>
      </c>
      <c r="KB56" s="3">
        <f ca="1">IFERROR(__xludf.DUMMYFUNCTION("""COMPUTED_VALUE"""),-0.300542924815289)</f>
        <v>-0.30054292481528899</v>
      </c>
      <c r="KC56" s="3">
        <f ca="1">IFERROR(__xludf.DUMMYFUNCTION("""COMPUTED_VALUE"""),-0.23204814845028)</f>
        <v>-0.23204814845027999</v>
      </c>
      <c r="KD56" s="3">
        <f ca="1">IFERROR(__xludf.DUMMYFUNCTION("""COMPUTED_VALUE"""),-0.346397452880456)</f>
        <v>-0.34639745288045598</v>
      </c>
      <c r="KE56" s="3">
        <f ca="1">IFERROR(__xludf.DUMMYFUNCTION("""COMPUTED_VALUE"""),-0.272967135832645)</f>
        <v>-0.27296713583264498</v>
      </c>
      <c r="KF56" s="3">
        <f ca="1">IFERROR(__xludf.DUMMYFUNCTION("""COMPUTED_VALUE"""),-0.341710488730663)</f>
        <v>-0.34171048873066301</v>
      </c>
      <c r="KG56" s="3">
        <f ca="1">IFERROR(__xludf.DUMMYFUNCTION("""COMPUTED_VALUE"""),-0.287455636561702)</f>
        <v>-0.28745563656170198</v>
      </c>
      <c r="KH56" s="3">
        <f ca="1">IFERROR(__xludf.DUMMYFUNCTION("""COMPUTED_VALUE"""),-0.30702026653048)</f>
        <v>-0.30702026653047998</v>
      </c>
      <c r="KI56" s="3">
        <f ca="1">IFERROR(__xludf.DUMMYFUNCTION("""COMPUTED_VALUE"""),-0.337374529699279)</f>
        <v>-0.337374529699279</v>
      </c>
      <c r="KJ56" s="3">
        <f ca="1">IFERROR(__xludf.DUMMYFUNCTION("""COMPUTED_VALUE"""),-0.336064778085485)</f>
        <v>-0.33606477808548502</v>
      </c>
      <c r="KK56" s="3">
        <f ca="1">IFERROR(__xludf.DUMMYFUNCTION("""COMPUTED_VALUE"""),-0.429685931844387)</f>
        <v>-0.42968593184438703</v>
      </c>
      <c r="KL56" s="3">
        <f ca="1">IFERROR(__xludf.DUMMYFUNCTION("""COMPUTED_VALUE"""),-0.360916217371756)</f>
        <v>-0.360916217371756</v>
      </c>
      <c r="KM56" s="3">
        <f ca="1">IFERROR(__xludf.DUMMYFUNCTION("""COMPUTED_VALUE"""),-0.443696849010385)</f>
        <v>-0.44369684901038497</v>
      </c>
      <c r="KN56" s="3">
        <f ca="1">IFERROR(__xludf.DUMMYFUNCTION("""COMPUTED_VALUE"""),-0.391461128703064)</f>
        <v>-0.39146112870306399</v>
      </c>
      <c r="KO56" s="3">
        <f ca="1">IFERROR(__xludf.DUMMYFUNCTION("""COMPUTED_VALUE"""),-0.343030187537292)</f>
        <v>-0.34303018753729198</v>
      </c>
      <c r="KP56" s="3">
        <f ca="1">IFERROR(__xludf.DUMMYFUNCTION("""COMPUTED_VALUE"""),-0.323282552613623)</f>
        <v>-0.32328255261362299</v>
      </c>
      <c r="KQ56" s="3">
        <f ca="1">IFERROR(__xludf.DUMMYFUNCTION("""COMPUTED_VALUE"""),-0.479699125993636)</f>
        <v>-0.47969912599363601</v>
      </c>
      <c r="KR56" s="3">
        <f ca="1">IFERROR(__xludf.DUMMYFUNCTION("""COMPUTED_VALUE"""),-0.516960847063054)</f>
        <v>-0.51696084706305401</v>
      </c>
      <c r="KS56" s="3">
        <f ca="1">IFERROR(__xludf.DUMMYFUNCTION("""COMPUTED_VALUE"""),-0.49237560434396)</f>
        <v>-0.49237560434395999</v>
      </c>
      <c r="KT56" s="3">
        <f ca="1">IFERROR(__xludf.DUMMYFUNCTION("""COMPUTED_VALUE"""),-0.487484566117065)</f>
        <v>-0.48748456611706498</v>
      </c>
      <c r="KU56" s="3">
        <f ca="1">IFERROR(__xludf.DUMMYFUNCTION("""COMPUTED_VALUE"""),-0.461208220633325)</f>
        <v>-0.46120822063332501</v>
      </c>
      <c r="KV56" s="3">
        <f ca="1">IFERROR(__xludf.DUMMYFUNCTION("""COMPUTED_VALUE"""),-0.421482584437085)</f>
        <v>-0.42148258443708497</v>
      </c>
      <c r="KW56" s="3">
        <f ca="1">IFERROR(__xludf.DUMMYFUNCTION("""COMPUTED_VALUE"""),-0.525767491231272)</f>
        <v>-0.52576749123127198</v>
      </c>
      <c r="KX56" s="3">
        <f ca="1">IFERROR(__xludf.DUMMYFUNCTION("""COMPUTED_VALUE"""),-0.295475839849969)</f>
        <v>-0.295475839849969</v>
      </c>
      <c r="KY56" s="3">
        <f ca="1">IFERROR(__xludf.DUMMYFUNCTION("""COMPUTED_VALUE"""),-0.35550624371432)</f>
        <v>-0.35550624371431999</v>
      </c>
      <c r="KZ56" s="3">
        <f ca="1">IFERROR(__xludf.DUMMYFUNCTION("""COMPUTED_VALUE"""),-0.577106966347416)</f>
        <v>-0.57710696634741598</v>
      </c>
      <c r="LA56" s="3">
        <f ca="1">IFERROR(__xludf.DUMMYFUNCTION("""COMPUTED_VALUE"""),-0.531777105881324)</f>
        <v>-0.53177710588132399</v>
      </c>
      <c r="LB56" s="3">
        <f ca="1">IFERROR(__xludf.DUMMYFUNCTION("""COMPUTED_VALUE"""),-0.478588114931684)</f>
        <v>-0.47858811493168402</v>
      </c>
      <c r="LC56" s="3">
        <f ca="1">IFERROR(__xludf.DUMMYFUNCTION("""COMPUTED_VALUE"""),-0.514175271498552)</f>
        <v>-0.51417527149855202</v>
      </c>
      <c r="LD56" s="3">
        <f ca="1">IFERROR(__xludf.DUMMYFUNCTION("""COMPUTED_VALUE"""),-0.464400393469714)</f>
        <v>-0.46440039346971401</v>
      </c>
      <c r="LE56" s="3">
        <f ca="1">IFERROR(__xludf.DUMMYFUNCTION("""COMPUTED_VALUE"""),-0.438963197019542)</f>
        <v>-0.43896319701954201</v>
      </c>
      <c r="LF56" s="3">
        <f ca="1">IFERROR(__xludf.DUMMYFUNCTION("""COMPUTED_VALUE"""),-0.652102917777651)</f>
        <v>-0.65210291777765095</v>
      </c>
      <c r="LG56" s="3">
        <f ca="1">IFERROR(__xludf.DUMMYFUNCTION("""COMPUTED_VALUE"""),-0.53364206753431)</f>
        <v>-0.53364206753430998</v>
      </c>
      <c r="LH56" s="3">
        <f ca="1">IFERROR(__xludf.DUMMYFUNCTION("""COMPUTED_VALUE"""),-0.651367275458764)</f>
        <v>-0.65136727545876405</v>
      </c>
      <c r="LI56" s="3">
        <f ca="1">IFERROR(__xludf.DUMMYFUNCTION("""COMPUTED_VALUE"""),-0.537160393793475)</f>
        <v>-0.53716039379347502</v>
      </c>
      <c r="LJ56" s="3">
        <f ca="1">IFERROR(__xludf.DUMMYFUNCTION("""COMPUTED_VALUE"""),-0.551883904545917)</f>
        <v>-0.55188390454591696</v>
      </c>
      <c r="LK56" s="3">
        <f ca="1">IFERROR(__xludf.DUMMYFUNCTION("""COMPUTED_VALUE"""),-0.425054670272318)</f>
        <v>-0.42505467027231802</v>
      </c>
      <c r="LL56" s="3">
        <f ca="1">IFERROR(__xludf.DUMMYFUNCTION("""COMPUTED_VALUE"""),-0.58288556784251)</f>
        <v>-0.58288556784251</v>
      </c>
      <c r="LM56" s="3">
        <f ca="1">IFERROR(__xludf.DUMMYFUNCTION("""COMPUTED_VALUE"""),-0.674076805504543)</f>
        <v>-0.67407680550454296</v>
      </c>
      <c r="LN56" s="3">
        <f ca="1">IFERROR(__xludf.DUMMYFUNCTION("""COMPUTED_VALUE"""),-0.688493377113882)</f>
        <v>-0.68849337711388203</v>
      </c>
      <c r="LO56" s="3">
        <f ca="1">IFERROR(__xludf.DUMMYFUNCTION("""COMPUTED_VALUE"""),-0.675941846753366)</f>
        <v>-0.67594184675336599</v>
      </c>
      <c r="LP56" s="3">
        <f ca="1">IFERROR(__xludf.DUMMYFUNCTION("""COMPUTED_VALUE"""),-0.677790010831613)</f>
        <v>-0.67779001083161305</v>
      </c>
      <c r="LQ56" s="3">
        <f ca="1">IFERROR(__xludf.DUMMYFUNCTION("""COMPUTED_VALUE"""),-0.667727608454525)</f>
        <v>-0.66772760845452495</v>
      </c>
      <c r="LR56" s="3">
        <f ca="1">IFERROR(__xludf.DUMMYFUNCTION("""COMPUTED_VALUE"""),-0.639994898367514)</f>
        <v>-0.639994898367514</v>
      </c>
      <c r="LS56" s="3">
        <f ca="1">IFERROR(__xludf.DUMMYFUNCTION("""COMPUTED_VALUE"""),-0.617645510983165)</f>
        <v>-0.617645510983165</v>
      </c>
      <c r="LT56" s="3">
        <f ca="1">IFERROR(__xludf.DUMMYFUNCTION("""COMPUTED_VALUE"""),-0.752990983027632)</f>
        <v>-0.75299098302763201</v>
      </c>
      <c r="LU56" s="3">
        <f ca="1">IFERROR(__xludf.DUMMYFUNCTION("""COMPUTED_VALUE"""),-0.718918018151943)</f>
        <v>-0.71891801815194301</v>
      </c>
      <c r="LV56" s="3">
        <f ca="1">IFERROR(__xludf.DUMMYFUNCTION("""COMPUTED_VALUE"""),-0.751866330978962)</f>
        <v>-0.75186633097896205</v>
      </c>
      <c r="LW56" s="3">
        <f ca="1">IFERROR(__xludf.DUMMYFUNCTION("""COMPUTED_VALUE"""),-0.73138980178866)</f>
        <v>-0.73138980178865998</v>
      </c>
      <c r="LX56" s="3">
        <f ca="1">IFERROR(__xludf.DUMMYFUNCTION("""COMPUTED_VALUE"""),-0.803354407990098)</f>
        <v>-0.80335440799009805</v>
      </c>
      <c r="LY56" s="3">
        <f ca="1">IFERROR(__xludf.DUMMYFUNCTION("""COMPUTED_VALUE"""),-0.899683933633181)</f>
        <v>-0.899683933633181</v>
      </c>
      <c r="LZ56" s="3">
        <f ca="1">IFERROR(__xludf.DUMMYFUNCTION("""COMPUTED_VALUE"""),-0.875522788961568)</f>
        <v>-0.87552278896156799</v>
      </c>
      <c r="MA56" s="3">
        <f ca="1">IFERROR(__xludf.DUMMYFUNCTION("""COMPUTED_VALUE"""),-0.907623536989376)</f>
        <v>-0.90762353698937603</v>
      </c>
      <c r="MB56" s="3">
        <f ca="1">IFERROR(__xludf.DUMMYFUNCTION("""COMPUTED_VALUE"""),-0.934582810575851)</f>
        <v>-0.93458281057585102</v>
      </c>
      <c r="MC56" s="3">
        <f ca="1">IFERROR(__xludf.DUMMYFUNCTION("""COMPUTED_VALUE"""),-0.919571169170589)</f>
        <v>-0.91957116917058901</v>
      </c>
      <c r="MD56" s="3">
        <f ca="1">IFERROR(__xludf.DUMMYFUNCTION("""COMPUTED_VALUE"""),-0.953031826070328)</f>
        <v>-0.95303182607032799</v>
      </c>
      <c r="ME56" s="3">
        <f ca="1">IFERROR(__xludf.DUMMYFUNCTION("""COMPUTED_VALUE"""),-0.919792469835933)</f>
        <v>-0.91979246983593299</v>
      </c>
      <c r="MF56" s="3">
        <f ca="1">IFERROR(__xludf.DUMMYFUNCTION("""COMPUTED_VALUE"""),-0.880228704285613)</f>
        <v>-0.88022870428561295</v>
      </c>
      <c r="MG56" s="3">
        <f ca="1">IFERROR(__xludf.DUMMYFUNCTION("""COMPUTED_VALUE"""),-0.89013724645171)</f>
        <v>-0.89013724645171</v>
      </c>
      <c r="MH56" s="3">
        <f ca="1">IFERROR(__xludf.DUMMYFUNCTION("""COMPUTED_VALUE"""),-0.958144563643612)</f>
        <v>-0.958144563643612</v>
      </c>
      <c r="MI56" s="3">
        <f ca="1">IFERROR(__xludf.DUMMYFUNCTION("""COMPUTED_VALUE"""),-0.943762725437929)</f>
        <v>-0.94376272543792905</v>
      </c>
      <c r="MJ56" s="3">
        <f ca="1">IFERROR(__xludf.DUMMYFUNCTION("""COMPUTED_VALUE"""),-0.9115133389863)</f>
        <v>-0.91151333898630005</v>
      </c>
      <c r="MK56" s="3">
        <f ca="1">IFERROR(__xludf.DUMMYFUNCTION("""COMPUTED_VALUE"""),-0.942003884137514)</f>
        <v>-0.94200388413751401</v>
      </c>
      <c r="ML56" s="3">
        <f ca="1">IFERROR(__xludf.DUMMYFUNCTION("""COMPUTED_VALUE"""),-0.892632702338256)</f>
        <v>-0.89263270233825598</v>
      </c>
      <c r="MM56" s="3">
        <f ca="1">IFERROR(__xludf.DUMMYFUNCTION("""COMPUTED_VALUE"""),-0.844426799261742)</f>
        <v>-0.84442679926174202</v>
      </c>
      <c r="MN56" s="3">
        <f ca="1">IFERROR(__xludf.DUMMYFUNCTION("""COMPUTED_VALUE"""),-0.882290435343841)</f>
        <v>-0.882290435343841</v>
      </c>
      <c r="MO56" s="3">
        <f ca="1">IFERROR(__xludf.DUMMYFUNCTION("""COMPUTED_VALUE"""),-0.874754192743546)</f>
        <v>-0.87475419274354604</v>
      </c>
      <c r="MP56" s="3">
        <f ca="1">IFERROR(__xludf.DUMMYFUNCTION("""COMPUTED_VALUE"""),-0.854097532029317)</f>
        <v>-0.85409753202931704</v>
      </c>
      <c r="MQ56" s="3">
        <f ca="1">IFERROR(__xludf.DUMMYFUNCTION("""COMPUTED_VALUE"""),-0.841772213847729)</f>
        <v>-0.84177221384772904</v>
      </c>
      <c r="MR56" s="3">
        <f ca="1">IFERROR(__xludf.DUMMYFUNCTION("""COMPUTED_VALUE"""),-0.885804157462888)</f>
        <v>-0.88580415746288799</v>
      </c>
      <c r="MS56" s="3">
        <f ca="1">IFERROR(__xludf.DUMMYFUNCTION("""COMPUTED_VALUE"""),-0.850809534211234)</f>
        <v>-0.85080953421123395</v>
      </c>
      <c r="MT56" s="3">
        <f ca="1">IFERROR(__xludf.DUMMYFUNCTION("""COMPUTED_VALUE"""),-0.838965259715467)</f>
        <v>-0.83896525971546698</v>
      </c>
      <c r="MU56" s="3">
        <f ca="1">IFERROR(__xludf.DUMMYFUNCTION("""COMPUTED_VALUE"""),-0.854726126904842)</f>
        <v>-0.85472612690484195</v>
      </c>
      <c r="MV56" s="3">
        <f ca="1">IFERROR(__xludf.DUMMYFUNCTION("""COMPUTED_VALUE"""),-0.869884000832464)</f>
        <v>-0.86988400083246398</v>
      </c>
      <c r="MW56" s="3">
        <f ca="1">IFERROR(__xludf.DUMMYFUNCTION("""COMPUTED_VALUE"""),-0.874265813768385)</f>
        <v>-0.87426581376838497</v>
      </c>
      <c r="MX56" s="3">
        <f ca="1">IFERROR(__xludf.DUMMYFUNCTION("""COMPUTED_VALUE"""),-0.860081800539219)</f>
        <v>-0.86008180053921901</v>
      </c>
      <c r="MY56" s="3">
        <f ca="1">IFERROR(__xludf.DUMMYFUNCTION("""COMPUTED_VALUE"""),-0.856439337030334)</f>
        <v>-0.85643933703033404</v>
      </c>
      <c r="MZ56" s="3">
        <f ca="1">IFERROR(__xludf.DUMMYFUNCTION("""COMPUTED_VALUE"""),-0.861328126653359)</f>
        <v>-0.86132812665335901</v>
      </c>
      <c r="NA56" s="3">
        <f ca="1">IFERROR(__xludf.DUMMYFUNCTION("""COMPUTED_VALUE"""),-0.806807728411544)</f>
        <v>-0.80680772841154402</v>
      </c>
      <c r="NB56" s="3">
        <f ca="1">IFERROR(__xludf.DUMMYFUNCTION("""COMPUTED_VALUE"""),-0.867230779160423)</f>
        <v>-0.86723077916042302</v>
      </c>
      <c r="NC56" s="3">
        <f ca="1">IFERROR(__xludf.DUMMYFUNCTION("""COMPUTED_VALUE"""),-0.873346468524423)</f>
        <v>-0.87334646852442299</v>
      </c>
      <c r="ND56" s="3">
        <f ca="1">IFERROR(__xludf.DUMMYFUNCTION("""COMPUTED_VALUE"""),-0.874398115251754)</f>
        <v>-0.87439811525175404</v>
      </c>
      <c r="NE56" s="3">
        <f ca="1">IFERROR(__xludf.DUMMYFUNCTION("""COMPUTED_VALUE"""),-0.869274043643902)</f>
        <v>-0.86927404364390204</v>
      </c>
      <c r="NF56" s="3">
        <f ca="1">IFERROR(__xludf.DUMMYFUNCTION("""COMPUTED_VALUE"""),-0.844140240093905)</f>
        <v>-0.84414024009390498</v>
      </c>
      <c r="NG56" s="3">
        <f ca="1">IFERROR(__xludf.DUMMYFUNCTION("""COMPUTED_VALUE"""),-0.84045533686008)</f>
        <v>-0.84045533686008</v>
      </c>
      <c r="NH56" s="3">
        <f ca="1">IFERROR(__xludf.DUMMYFUNCTION("""COMPUTED_VALUE"""),-0.810902680811844)</f>
        <v>-0.81090268081184402</v>
      </c>
      <c r="NI56" s="3">
        <f ca="1">IFERROR(__xludf.DUMMYFUNCTION("""COMPUTED_VALUE"""),-0.879203920145154)</f>
        <v>-0.87920392014515403</v>
      </c>
      <c r="NJ56" s="3">
        <f ca="1">IFERROR(__xludf.DUMMYFUNCTION("""COMPUTED_VALUE"""),-0.864674762501404)</f>
        <v>-0.86467476250140396</v>
      </c>
      <c r="NK56" s="3">
        <f ca="1">IFERROR(__xludf.DUMMYFUNCTION("""COMPUTED_VALUE"""),-0.842505693675814)</f>
        <v>-0.84250569367581396</v>
      </c>
      <c r="NL56" s="3">
        <f ca="1">IFERROR(__xludf.DUMMYFUNCTION("""COMPUTED_VALUE"""),-0.832863483686035)</f>
        <v>-0.83286348368603502</v>
      </c>
      <c r="NM56" s="3">
        <f ca="1">IFERROR(__xludf.DUMMYFUNCTION("""COMPUTED_VALUE"""),-0.86523267332023)</f>
        <v>-0.86523267332023002</v>
      </c>
      <c r="NN56" s="3">
        <f ca="1">IFERROR(__xludf.DUMMYFUNCTION("""COMPUTED_VALUE"""),-0.864988974090989)</f>
        <v>-0.86498897409098896</v>
      </c>
      <c r="NO56" s="3">
        <f ca="1">IFERROR(__xludf.DUMMYFUNCTION("""COMPUTED_VALUE"""),-0.831437478538215)</f>
        <v>-0.83143747853821504</v>
      </c>
      <c r="NP56" s="3">
        <f ca="1">IFERROR(__xludf.DUMMYFUNCTION("""COMPUTED_VALUE"""),-0.847858171077644)</f>
        <v>-0.84785817107764405</v>
      </c>
      <c r="NQ56" s="3">
        <f ca="1">IFERROR(__xludf.DUMMYFUNCTION("""COMPUTED_VALUE"""),-0.85510729799296)</f>
        <v>-0.85510729799296004</v>
      </c>
      <c r="NR56" s="3">
        <f ca="1">IFERROR(__xludf.DUMMYFUNCTION("""COMPUTED_VALUE"""),-0.852751654976221)</f>
        <v>-0.85275165497622096</v>
      </c>
      <c r="NS56" s="3">
        <f ca="1">IFERROR(__xludf.DUMMYFUNCTION("""COMPUTED_VALUE"""),-0.856865320157029)</f>
        <v>-0.85686532015702899</v>
      </c>
      <c r="NT56" s="3">
        <f ca="1">IFERROR(__xludf.DUMMYFUNCTION("""COMPUTED_VALUE"""),-0.768408313014718)</f>
        <v>-0.76840831301471801</v>
      </c>
      <c r="NU56" s="3">
        <f ca="1">IFERROR(__xludf.DUMMYFUNCTION("""COMPUTED_VALUE"""),-0.84259041449609)</f>
        <v>-0.84259041449608996</v>
      </c>
      <c r="NV56" s="3">
        <f ca="1">IFERROR(__xludf.DUMMYFUNCTION("""COMPUTED_VALUE"""),-0.807006491371346)</f>
        <v>-0.80700649137134595</v>
      </c>
      <c r="NW56" s="3">
        <f ca="1">IFERROR(__xludf.DUMMYFUNCTION("""COMPUTED_VALUE"""),-0.813151078633456)</f>
        <v>-0.81315107863345604</v>
      </c>
      <c r="NX56" s="3">
        <f ca="1">IFERROR(__xludf.DUMMYFUNCTION("""COMPUTED_VALUE"""),-0.849944306217773)</f>
        <v>-0.84994430621777295</v>
      </c>
      <c r="NY56" s="3">
        <f ca="1">IFERROR(__xludf.DUMMYFUNCTION("""COMPUTED_VALUE"""),-0.83846049685375)</f>
        <v>-0.83846049685375001</v>
      </c>
      <c r="NZ56" s="3">
        <f ca="1">IFERROR(__xludf.DUMMYFUNCTION("""COMPUTED_VALUE"""),-0.834374011987518)</f>
        <v>-0.83437401198751804</v>
      </c>
      <c r="OA56" s="3">
        <f ca="1">IFERROR(__xludf.DUMMYFUNCTION("""COMPUTED_VALUE"""),-0.752654488545265)</f>
        <v>-0.75265448854526495</v>
      </c>
      <c r="OB56" s="3">
        <f ca="1">IFERROR(__xludf.DUMMYFUNCTION("""COMPUTED_VALUE"""),-0.5874077362523)</f>
        <v>-0.58740773625230003</v>
      </c>
      <c r="OC56" s="3">
        <f ca="1">IFERROR(__xludf.DUMMYFUNCTION("""COMPUTED_VALUE"""),-0.330636152107649)</f>
        <v>-0.33063615210764902</v>
      </c>
      <c r="OD56" s="3">
        <f ca="1">IFERROR(__xludf.DUMMYFUNCTION("""COMPUTED_VALUE"""),-0.167064866243539)</f>
        <v>-0.167064866243539</v>
      </c>
      <c r="OE56" s="3">
        <f ca="1">IFERROR(__xludf.DUMMYFUNCTION("""COMPUTED_VALUE"""),-0.167098758778917)</f>
        <v>-0.167098758778917</v>
      </c>
      <c r="OF56" s="3">
        <f ca="1">IFERROR(__xludf.DUMMYFUNCTION("""COMPUTED_VALUE"""),-0.123083854146286)</f>
        <v>-0.123083854146286</v>
      </c>
      <c r="OG56" s="3">
        <f ca="1">IFERROR(__xludf.DUMMYFUNCTION("""COMPUTED_VALUE"""),-0.0305945342094083)</f>
        <v>-3.0594534209408299E-2</v>
      </c>
      <c r="OH56" s="3">
        <f ca="1">IFERROR(__xludf.DUMMYFUNCTION("""COMPUTED_VALUE"""),0.148604769956235)</f>
        <v>0.14860476995623501</v>
      </c>
      <c r="OI56" s="3">
        <f ca="1">IFERROR(__xludf.DUMMYFUNCTION("""COMPUTED_VALUE"""),0.0265457395566783)</f>
        <v>2.6545739556678299E-2</v>
      </c>
      <c r="OJ56" s="3">
        <f ca="1">IFERROR(__xludf.DUMMYFUNCTION("""COMPUTED_VALUE"""),0.0137553805665178)</f>
        <v>1.3755380566517801E-2</v>
      </c>
      <c r="OK56" s="3">
        <f ca="1">IFERROR(__xludf.DUMMYFUNCTION("""COMPUTED_VALUE"""),-0.0362383422012242)</f>
        <v>-3.6238342201224197E-2</v>
      </c>
      <c r="OL56" s="3">
        <f ca="1">IFERROR(__xludf.DUMMYFUNCTION("""COMPUTED_VALUE"""),-0.0408045301765658)</f>
        <v>-4.0804530176565802E-2</v>
      </c>
      <c r="OM56" s="3">
        <f ca="1">IFERROR(__xludf.DUMMYFUNCTION("""COMPUTED_VALUE"""),-0.0599643547377666)</f>
        <v>-5.9964354737766602E-2</v>
      </c>
      <c r="ON56" s="3">
        <f ca="1">IFERROR(__xludf.DUMMYFUNCTION("""COMPUTED_VALUE"""),-0.0475297808364246)</f>
        <v>-4.7529780836424597E-2</v>
      </c>
      <c r="OO56" s="3">
        <f ca="1">IFERROR(__xludf.DUMMYFUNCTION("""COMPUTED_VALUE"""),-0.0748518613823679)</f>
        <v>-7.4851861382367907E-2</v>
      </c>
      <c r="OP56" s="3">
        <f ca="1">IFERROR(__xludf.DUMMYFUNCTION("""COMPUTED_VALUE"""),-0.0691313843167878)</f>
        <v>-6.9131384316787794E-2</v>
      </c>
      <c r="OQ56" s="3">
        <f ca="1">IFERROR(__xludf.DUMMYFUNCTION("""COMPUTED_VALUE"""),-0.0668993332316627)</f>
        <v>-6.6899333231662694E-2</v>
      </c>
      <c r="OR56" s="3">
        <f ca="1">IFERROR(__xludf.DUMMYFUNCTION("""COMPUTED_VALUE"""),-0.0435393710191535)</f>
        <v>-4.3539371019153499E-2</v>
      </c>
      <c r="OS56" s="3">
        <f ca="1">IFERROR(__xludf.DUMMYFUNCTION("""COMPUTED_VALUE"""),-0.045699916084371)</f>
        <v>-4.5699916084371003E-2</v>
      </c>
      <c r="OT56" s="3">
        <f ca="1">IFERROR(__xludf.DUMMYFUNCTION("""COMPUTED_VALUE"""),-0.0708121057238778)</f>
        <v>-7.0812105723877805E-2</v>
      </c>
      <c r="OU56" s="3">
        <f ca="1">IFERROR(__xludf.DUMMYFUNCTION("""COMPUTED_VALUE"""),-0.166035754371448)</f>
        <v>-0.16603575437144799</v>
      </c>
      <c r="OV56" s="3">
        <f ca="1">IFERROR(__xludf.DUMMYFUNCTION("""COMPUTED_VALUE"""),-0.0726114290501882)</f>
        <v>-7.2611429050188206E-2</v>
      </c>
      <c r="OW56" s="3">
        <f ca="1">IFERROR(__xludf.DUMMYFUNCTION("""COMPUTED_VALUE"""),-0.00157032864963069)</f>
        <v>-1.5703286496306899E-3</v>
      </c>
      <c r="OX56" s="3">
        <f ca="1">IFERROR(__xludf.DUMMYFUNCTION("""COMPUTED_VALUE"""),0.229074346107299)</f>
        <v>0.22907434610729899</v>
      </c>
      <c r="OY56" s="3">
        <f ca="1">IFERROR(__xludf.DUMMYFUNCTION("""COMPUTED_VALUE"""),0.00860277492451011)</f>
        <v>8.6027749245101096E-3</v>
      </c>
      <c r="OZ56" s="3">
        <f ca="1">IFERROR(__xludf.DUMMYFUNCTION("""COMPUTED_VALUE"""),0.0935657940658283)</f>
        <v>9.3565794065828295E-2</v>
      </c>
      <c r="PA56" s="3">
        <f ca="1">IFERROR(__xludf.DUMMYFUNCTION("""COMPUTED_VALUE"""),-0.643835371332617)</f>
        <v>-0.64383537133261703</v>
      </c>
      <c r="PB56" s="3">
        <f ca="1">IFERROR(__xludf.DUMMYFUNCTION("""COMPUTED_VALUE"""),0.0237612583069368)</f>
        <v>2.3761258306936799E-2</v>
      </c>
      <c r="PC56" s="3">
        <f ca="1">IFERROR(__xludf.DUMMYFUNCTION("""COMPUTED_VALUE"""),0.152501664334742)</f>
        <v>0.15250166433474199</v>
      </c>
      <c r="PD56" s="3">
        <f ca="1">IFERROR(__xludf.DUMMYFUNCTION("""COMPUTED_VALUE"""),0.155582198363579)</f>
        <v>0.15558219836357901</v>
      </c>
      <c r="PE56" s="3">
        <f ca="1">IFERROR(__xludf.DUMMYFUNCTION("""COMPUTED_VALUE"""),0.369084241261449)</f>
        <v>0.36908424126144901</v>
      </c>
      <c r="PF56" s="3">
        <f ca="1">IFERROR(__xludf.DUMMYFUNCTION("""COMPUTED_VALUE"""),0.227291067003597)</f>
        <v>0.227291067003597</v>
      </c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</row>
    <row r="57" spans="1:594" ht="13">
      <c r="A57" s="1" t="str">
        <f ca="1">IFERROR(__xludf.DUMMYFUNCTION("""COMPUTED_VALUE"""),"Oahu")</f>
        <v>Oahu</v>
      </c>
      <c r="B57" s="3">
        <f ca="1">IFERROR(__xludf.DUMMYFUNCTION("""COMPUTED_VALUE"""),-0.466768468813725)</f>
        <v>-0.46676846881372502</v>
      </c>
      <c r="C57" s="3">
        <f ca="1">IFERROR(__xludf.DUMMYFUNCTION("""COMPUTED_VALUE"""),-0.536166344838125)</f>
        <v>-0.53616634483812498</v>
      </c>
      <c r="D57" s="3">
        <f ca="1">IFERROR(__xludf.DUMMYFUNCTION("""COMPUTED_VALUE"""),-0.536859518310695)</f>
        <v>-0.53685951831069501</v>
      </c>
      <c r="E57" s="3">
        <f ca="1">IFERROR(__xludf.DUMMYFUNCTION("""COMPUTED_VALUE"""),-0.624667513246852)</f>
        <v>-0.62466751324685199</v>
      </c>
      <c r="F57" s="3">
        <f ca="1">IFERROR(__xludf.DUMMYFUNCTION("""COMPUTED_VALUE"""),-0.605780252915932)</f>
        <v>-0.60578025291593196</v>
      </c>
      <c r="G57" s="3">
        <f ca="1">IFERROR(__xludf.DUMMYFUNCTION("""COMPUTED_VALUE"""),-0.5834639199167)</f>
        <v>-0.58346391991669999</v>
      </c>
      <c r="H57" s="3">
        <f ca="1">IFERROR(__xludf.DUMMYFUNCTION("""COMPUTED_VALUE"""),-0.483985407930605)</f>
        <v>-0.48398540793060502</v>
      </c>
      <c r="I57" s="3">
        <f ca="1">IFERROR(__xludf.DUMMYFUNCTION("""COMPUTED_VALUE"""),-0.470490572717626)</f>
        <v>-0.47049057271762601</v>
      </c>
      <c r="J57" s="3">
        <f ca="1">IFERROR(__xludf.DUMMYFUNCTION("""COMPUTED_VALUE"""),-0.580204393852572)</f>
        <v>-0.58020439385257205</v>
      </c>
      <c r="K57" s="3">
        <f ca="1">IFERROR(__xludf.DUMMYFUNCTION("""COMPUTED_VALUE"""),-0.58836910753211)</f>
        <v>-0.58836910753211003</v>
      </c>
      <c r="L57" s="3">
        <f ca="1">IFERROR(__xludf.DUMMYFUNCTION("""COMPUTED_VALUE"""),-0.532474670911736)</f>
        <v>-0.53247467091173595</v>
      </c>
      <c r="M57" s="3">
        <f ca="1">IFERROR(__xludf.DUMMYFUNCTION("""COMPUTED_VALUE"""),-0.593806086754268)</f>
        <v>-0.59380608675426805</v>
      </c>
      <c r="N57" s="3">
        <f ca="1">IFERROR(__xludf.DUMMYFUNCTION("""COMPUTED_VALUE"""),-0.51965458433987)</f>
        <v>-0.51965458433987</v>
      </c>
      <c r="O57" s="3">
        <f ca="1">IFERROR(__xludf.DUMMYFUNCTION("""COMPUTED_VALUE"""),-0.490645412101926)</f>
        <v>-0.49064541210192603</v>
      </c>
      <c r="P57" s="3">
        <f ca="1">IFERROR(__xludf.DUMMYFUNCTION("""COMPUTED_VALUE"""),-0.48274431026328)</f>
        <v>-0.48274431026328002</v>
      </c>
      <c r="Q57" s="3">
        <f ca="1">IFERROR(__xludf.DUMMYFUNCTION("""COMPUTED_VALUE"""),-0.53523285244627)</f>
        <v>-0.53523285244626995</v>
      </c>
      <c r="R57" s="3">
        <f ca="1">IFERROR(__xludf.DUMMYFUNCTION("""COMPUTED_VALUE"""),-0.661968146894671)</f>
        <v>-0.66196814689467098</v>
      </c>
      <c r="S57" s="3">
        <f ca="1">IFERROR(__xludf.DUMMYFUNCTION("""COMPUTED_VALUE"""),-0.612689286840174)</f>
        <v>-0.61268928684017399</v>
      </c>
      <c r="T57" s="3">
        <f ca="1">IFERROR(__xludf.DUMMYFUNCTION("""COMPUTED_VALUE"""),-0.590778352682419)</f>
        <v>-0.59077835268241896</v>
      </c>
      <c r="U57" s="3">
        <f ca="1">IFERROR(__xludf.DUMMYFUNCTION("""COMPUTED_VALUE"""),-0.541602664998989)</f>
        <v>-0.54160266499898901</v>
      </c>
      <c r="V57" s="3">
        <f ca="1">IFERROR(__xludf.DUMMYFUNCTION("""COMPUTED_VALUE"""),-0.521881749991081)</f>
        <v>-0.52188174999108095</v>
      </c>
      <c r="W57" s="3">
        <f ca="1">IFERROR(__xludf.DUMMYFUNCTION("""COMPUTED_VALUE"""),-0.502069496609686)</f>
        <v>-0.50206949660968603</v>
      </c>
      <c r="X57" s="3">
        <f ca="1">IFERROR(__xludf.DUMMYFUNCTION("""COMPUTED_VALUE"""),-0.587764769508529)</f>
        <v>-0.58776476950852896</v>
      </c>
      <c r="Y57" s="3">
        <f ca="1">IFERROR(__xludf.DUMMYFUNCTION("""COMPUTED_VALUE"""),-0.622014129936864)</f>
        <v>-0.622014129936864</v>
      </c>
      <c r="Z57" s="3">
        <f ca="1">IFERROR(__xludf.DUMMYFUNCTION("""COMPUTED_VALUE"""),-0.623463030473904)</f>
        <v>-0.62346303047390395</v>
      </c>
      <c r="AA57" s="3">
        <f ca="1">IFERROR(__xludf.DUMMYFUNCTION("""COMPUTED_VALUE"""),-0.643932117997661)</f>
        <v>-0.64393211799766104</v>
      </c>
      <c r="AB57" s="3">
        <f ca="1">IFERROR(__xludf.DUMMYFUNCTION("""COMPUTED_VALUE"""),-0.566781218344839)</f>
        <v>-0.56678121834483897</v>
      </c>
      <c r="AC57" s="3">
        <f ca="1">IFERROR(__xludf.DUMMYFUNCTION("""COMPUTED_VALUE"""),-0.506889408493711)</f>
        <v>-0.506889408493711</v>
      </c>
      <c r="AD57" s="3">
        <f ca="1">IFERROR(__xludf.DUMMYFUNCTION("""COMPUTED_VALUE"""),-0.608327199388251)</f>
        <v>-0.60832719938825097</v>
      </c>
      <c r="AE57" s="3">
        <f ca="1">IFERROR(__xludf.DUMMYFUNCTION("""COMPUTED_VALUE"""),-0.546356312878497)</f>
        <v>-0.54635631287849695</v>
      </c>
      <c r="AF57" s="3">
        <f ca="1">IFERROR(__xludf.DUMMYFUNCTION("""COMPUTED_VALUE"""),-0.563572576051167)</f>
        <v>-0.56357257605116695</v>
      </c>
      <c r="AG57" s="3">
        <f ca="1">IFERROR(__xludf.DUMMYFUNCTION("""COMPUTED_VALUE"""),-0.618847513957217)</f>
        <v>-0.61884751395721704</v>
      </c>
      <c r="AH57" s="3">
        <f ca="1">IFERROR(__xludf.DUMMYFUNCTION("""COMPUTED_VALUE"""),-0.632791831518633)</f>
        <v>-0.63279183151863305</v>
      </c>
      <c r="AI57" s="3">
        <f ca="1">IFERROR(__xludf.DUMMYFUNCTION("""COMPUTED_VALUE"""),-0.618345868919058)</f>
        <v>-0.61834586891905796</v>
      </c>
      <c r="AJ57" s="3">
        <f ca="1">IFERROR(__xludf.DUMMYFUNCTION("""COMPUTED_VALUE"""),-0.579112039600308)</f>
        <v>-0.57911203960030799</v>
      </c>
      <c r="AK57" s="3">
        <f ca="1">IFERROR(__xludf.DUMMYFUNCTION("""COMPUTED_VALUE"""),-0.555768098050629)</f>
        <v>-0.55576809805062899</v>
      </c>
      <c r="AL57" s="3">
        <f ca="1">IFERROR(__xludf.DUMMYFUNCTION("""COMPUTED_VALUE"""),-0.66493337733052)</f>
        <v>-0.66493337733052005</v>
      </c>
      <c r="AM57" s="3">
        <f ca="1">IFERROR(__xludf.DUMMYFUNCTION("""COMPUTED_VALUE"""),-0.578535330288024)</f>
        <v>-0.57853533028802395</v>
      </c>
      <c r="AN57" s="3">
        <f ca="1">IFERROR(__xludf.DUMMYFUNCTION("""COMPUTED_VALUE"""),-0.684931053703545)</f>
        <v>-0.68493105370354501</v>
      </c>
      <c r="AO57" s="3">
        <f ca="1">IFERROR(__xludf.DUMMYFUNCTION("""COMPUTED_VALUE"""),-0.641637653142244)</f>
        <v>-0.64163765314224397</v>
      </c>
      <c r="AP57" s="3">
        <f ca="1">IFERROR(__xludf.DUMMYFUNCTION("""COMPUTED_VALUE"""),-0.706275103623033)</f>
        <v>-0.70627510362303303</v>
      </c>
      <c r="AQ57" s="3">
        <f ca="1">IFERROR(__xludf.DUMMYFUNCTION("""COMPUTED_VALUE"""),-0.540935304973736)</f>
        <v>-0.54093530497373599</v>
      </c>
      <c r="AR57" s="3">
        <f ca="1">IFERROR(__xludf.DUMMYFUNCTION("""COMPUTED_VALUE"""),-0.647468598566701)</f>
        <v>-0.64746859856670103</v>
      </c>
      <c r="AS57" s="3">
        <f ca="1">IFERROR(__xludf.DUMMYFUNCTION("""COMPUTED_VALUE"""),-0.613566931300451)</f>
        <v>-0.61356693130045104</v>
      </c>
      <c r="AT57" s="3">
        <f ca="1">IFERROR(__xludf.DUMMYFUNCTION("""COMPUTED_VALUE"""),-0.611528485967319)</f>
        <v>-0.61152848596731901</v>
      </c>
      <c r="AU57" s="3">
        <f ca="1">IFERROR(__xludf.DUMMYFUNCTION("""COMPUTED_VALUE"""),-0.636578499377692)</f>
        <v>-0.63657849937769195</v>
      </c>
      <c r="AV57" s="3">
        <f ca="1">IFERROR(__xludf.DUMMYFUNCTION("""COMPUTED_VALUE"""),-0.65265655250661)</f>
        <v>-0.65265655250661003</v>
      </c>
      <c r="AW57" s="3">
        <f ca="1">IFERROR(__xludf.DUMMYFUNCTION("""COMPUTED_VALUE"""),-0.63177640319823)</f>
        <v>-0.63177640319823003</v>
      </c>
      <c r="AX57" s="3">
        <f ca="1">IFERROR(__xludf.DUMMYFUNCTION("""COMPUTED_VALUE"""),-0.583592786870286)</f>
        <v>-0.58359278687028604</v>
      </c>
      <c r="AY57" s="3">
        <f ca="1">IFERROR(__xludf.DUMMYFUNCTION("""COMPUTED_VALUE"""),-0.604044700361412)</f>
        <v>-0.604044700361412</v>
      </c>
      <c r="AZ57" s="3">
        <f ca="1">IFERROR(__xludf.DUMMYFUNCTION("""COMPUTED_VALUE"""),-0.613660400032157)</f>
        <v>-0.61366040003215705</v>
      </c>
      <c r="BA57" s="3">
        <f ca="1">IFERROR(__xludf.DUMMYFUNCTION("""COMPUTED_VALUE"""),-0.593805469216667)</f>
        <v>-0.59380546921666699</v>
      </c>
      <c r="BB57" s="3">
        <f ca="1">IFERROR(__xludf.DUMMYFUNCTION("""COMPUTED_VALUE"""),-0.64344466642054)</f>
        <v>-0.64344466642053999</v>
      </c>
      <c r="BC57" s="3">
        <f ca="1">IFERROR(__xludf.DUMMYFUNCTION("""COMPUTED_VALUE"""),-0.586841241703054)</f>
        <v>-0.58684124170305396</v>
      </c>
      <c r="BD57" s="3">
        <f ca="1">IFERROR(__xludf.DUMMYFUNCTION("""COMPUTED_VALUE"""),-0.586742939806562)</f>
        <v>-0.586742939806562</v>
      </c>
      <c r="BE57" s="3">
        <f ca="1">IFERROR(__xludf.DUMMYFUNCTION("""COMPUTED_VALUE"""),-0.489237918410367)</f>
        <v>-0.48923791841036701</v>
      </c>
      <c r="BF57" s="3">
        <f ca="1">IFERROR(__xludf.DUMMYFUNCTION("""COMPUTED_VALUE"""),-0.557217227821971)</f>
        <v>-0.55721722782197103</v>
      </c>
      <c r="BG57" s="3">
        <f ca="1">IFERROR(__xludf.DUMMYFUNCTION("""COMPUTED_VALUE"""),-0.639779798758705)</f>
        <v>-0.63977979875870505</v>
      </c>
      <c r="BH57" s="3">
        <f ca="1">IFERROR(__xludf.DUMMYFUNCTION("""COMPUTED_VALUE"""),-0.655916981775925)</f>
        <v>-0.65591698177592495</v>
      </c>
      <c r="BI57" s="3">
        <f ca="1">IFERROR(__xludf.DUMMYFUNCTION("""COMPUTED_VALUE"""),-0.671797514138409)</f>
        <v>-0.67179751413840905</v>
      </c>
      <c r="BJ57" s="3">
        <f ca="1">IFERROR(__xludf.DUMMYFUNCTION("""COMPUTED_VALUE"""),-0.708063569377955)</f>
        <v>-0.708063569377955</v>
      </c>
      <c r="BK57" s="3">
        <f ca="1">IFERROR(__xludf.DUMMYFUNCTION("""COMPUTED_VALUE"""),-0.622394964295376)</f>
        <v>-0.622394964295376</v>
      </c>
      <c r="BL57" s="3">
        <f ca="1">IFERROR(__xludf.DUMMYFUNCTION("""COMPUTED_VALUE"""),-0.568112494689228)</f>
        <v>-0.56811249468922798</v>
      </c>
      <c r="BM57" s="3">
        <f ca="1">IFERROR(__xludf.DUMMYFUNCTION("""COMPUTED_VALUE"""),-0.571425102132666)</f>
        <v>-0.57142510213266595</v>
      </c>
      <c r="BN57" s="3">
        <f ca="1">IFERROR(__xludf.DUMMYFUNCTION("""COMPUTED_VALUE"""),-0.651720096266848)</f>
        <v>-0.65172009626684801</v>
      </c>
      <c r="BO57" s="3">
        <f ca="1">IFERROR(__xludf.DUMMYFUNCTION("""COMPUTED_VALUE"""),-0.641634364351607)</f>
        <v>-0.64163436435160703</v>
      </c>
      <c r="BP57" s="3">
        <f ca="1">IFERROR(__xludf.DUMMYFUNCTION("""COMPUTED_VALUE"""),-0.685035306866242)</f>
        <v>-0.68503530686624203</v>
      </c>
      <c r="BQ57" s="3">
        <f ca="1">IFERROR(__xludf.DUMMYFUNCTION("""COMPUTED_VALUE"""),-0.722537145023392)</f>
        <v>-0.72253714502339195</v>
      </c>
      <c r="BR57" s="3">
        <f ca="1">IFERROR(__xludf.DUMMYFUNCTION("""COMPUTED_VALUE"""),-0.642985312237737)</f>
        <v>-0.64298531223773703</v>
      </c>
      <c r="BS57" s="3">
        <f ca="1">IFERROR(__xludf.DUMMYFUNCTION("""COMPUTED_VALUE"""),-0.617736788125263)</f>
        <v>-0.617736788125263</v>
      </c>
      <c r="BT57" s="3">
        <f ca="1">IFERROR(__xludf.DUMMYFUNCTION("""COMPUTED_VALUE"""),-0.563211144141687)</f>
        <v>-0.56321114414168705</v>
      </c>
      <c r="BU57" s="3">
        <f ca="1">IFERROR(__xludf.DUMMYFUNCTION("""COMPUTED_VALUE"""),-0.640682788355816)</f>
        <v>-0.64068278835581605</v>
      </c>
      <c r="BV57" s="3">
        <f ca="1">IFERROR(__xludf.DUMMYFUNCTION("""COMPUTED_VALUE"""),-0.703531126508938)</f>
        <v>-0.70353112650893801</v>
      </c>
      <c r="BW57" s="3">
        <f ca="1">IFERROR(__xludf.DUMMYFUNCTION("""COMPUTED_VALUE"""),-0.67766799757736)</f>
        <v>-0.67766799757735996</v>
      </c>
      <c r="BX57" s="3">
        <f ca="1">IFERROR(__xludf.DUMMYFUNCTION("""COMPUTED_VALUE"""),-0.710466687518387)</f>
        <v>-0.71046668751838704</v>
      </c>
      <c r="BY57" s="3">
        <f ca="1">IFERROR(__xludf.DUMMYFUNCTION("""COMPUTED_VALUE"""),-0.685173169039001)</f>
        <v>-0.68517316903900105</v>
      </c>
      <c r="BZ57" s="3">
        <f ca="1">IFERROR(__xludf.DUMMYFUNCTION("""COMPUTED_VALUE"""),-0.635106028611456)</f>
        <v>-0.63510602861145604</v>
      </c>
      <c r="CA57" s="3">
        <f ca="1">IFERROR(__xludf.DUMMYFUNCTION("""COMPUTED_VALUE"""),-0.560960413410727)</f>
        <v>-0.560960413410727</v>
      </c>
      <c r="CB57" s="3">
        <f ca="1">IFERROR(__xludf.DUMMYFUNCTION("""COMPUTED_VALUE"""),-0.560992319360014)</f>
        <v>-0.56099231936001404</v>
      </c>
      <c r="CC57" s="3">
        <f ca="1">IFERROR(__xludf.DUMMYFUNCTION("""COMPUTED_VALUE"""),-0.640540443785413)</f>
        <v>-0.64054044378541297</v>
      </c>
      <c r="CD57" s="3">
        <f ca="1">IFERROR(__xludf.DUMMYFUNCTION("""COMPUTED_VALUE"""),-0.702564366026461)</f>
        <v>-0.702564366026461</v>
      </c>
      <c r="CE57" s="3">
        <f ca="1">IFERROR(__xludf.DUMMYFUNCTION("""COMPUTED_VALUE"""),-0.673019924206737)</f>
        <v>-0.67301992420673695</v>
      </c>
      <c r="CF57" s="3">
        <f ca="1">IFERROR(__xludf.DUMMYFUNCTION("""COMPUTED_VALUE"""),-0.693118372402179)</f>
        <v>-0.69311837240217899</v>
      </c>
      <c r="CG57" s="3">
        <f ca="1">IFERROR(__xludf.DUMMYFUNCTION("""COMPUTED_VALUE"""),-0.643127066129145)</f>
        <v>-0.64312706612914505</v>
      </c>
      <c r="CH57" s="3">
        <f ca="1">IFERROR(__xludf.DUMMYFUNCTION("""COMPUTED_VALUE"""),-0.578958173918262)</f>
        <v>-0.57895817391826199</v>
      </c>
      <c r="CI57" s="3">
        <f ca="1">IFERROR(__xludf.DUMMYFUNCTION("""COMPUTED_VALUE"""),-0.670955576760343)</f>
        <v>-0.67095557676034301</v>
      </c>
      <c r="CJ57" s="3">
        <f ca="1">IFERROR(__xludf.DUMMYFUNCTION("""COMPUTED_VALUE"""),-0.686410158267181)</f>
        <v>-0.68641015826718099</v>
      </c>
      <c r="CK57" s="3">
        <f ca="1">IFERROR(__xludf.DUMMYFUNCTION("""COMPUTED_VALUE"""),-0.72808392031166)</f>
        <v>-0.72808392031166003</v>
      </c>
      <c r="CL57" s="3">
        <f ca="1">IFERROR(__xludf.DUMMYFUNCTION("""COMPUTED_VALUE"""),-0.722508999685988)</f>
        <v>-0.72250899968598803</v>
      </c>
      <c r="CM57" s="3">
        <f ca="1">IFERROR(__xludf.DUMMYFUNCTION("""COMPUTED_VALUE"""),-0.64579251290433)</f>
        <v>-0.64579251290433004</v>
      </c>
      <c r="CN57" s="3">
        <f ca="1">IFERROR(__xludf.DUMMYFUNCTION("""COMPUTED_VALUE"""),-0.517530264426681)</f>
        <v>-0.51753026442668104</v>
      </c>
      <c r="CO57" s="3">
        <f ca="1">IFERROR(__xludf.DUMMYFUNCTION("""COMPUTED_VALUE"""),-0.622524913225069)</f>
        <v>-0.62252491322506898</v>
      </c>
      <c r="CP57" s="3">
        <f ca="1">IFERROR(__xludf.DUMMYFUNCTION("""COMPUTED_VALUE"""),-0.654985913971286)</f>
        <v>-0.65498591397128603</v>
      </c>
      <c r="CQ57" s="3">
        <f ca="1">IFERROR(__xludf.DUMMYFUNCTION("""COMPUTED_VALUE"""),-0.631096004388415)</f>
        <v>-0.63109600438841496</v>
      </c>
      <c r="CR57" s="3">
        <f ca="1">IFERROR(__xludf.DUMMYFUNCTION("""COMPUTED_VALUE"""),-0.709634080854911)</f>
        <v>-0.70963408085491098</v>
      </c>
      <c r="CS57" s="3">
        <f ca="1">IFERROR(__xludf.DUMMYFUNCTION("""COMPUTED_VALUE"""),-0.704624520138856)</f>
        <v>-0.70462452013885601</v>
      </c>
      <c r="CT57" s="3">
        <f ca="1">IFERROR(__xludf.DUMMYFUNCTION("""COMPUTED_VALUE"""),-0.68827256237101)</f>
        <v>-0.68827256237100998</v>
      </c>
      <c r="CU57" s="3">
        <f ca="1">IFERROR(__xludf.DUMMYFUNCTION("""COMPUTED_VALUE"""),-0.666217783080269)</f>
        <v>-0.66621778308026902</v>
      </c>
      <c r="CV57" s="3">
        <f ca="1">IFERROR(__xludf.DUMMYFUNCTION("""COMPUTED_VALUE"""),-0.720503965914991)</f>
        <v>-0.720503965914991</v>
      </c>
      <c r="CW57" s="3">
        <f ca="1">IFERROR(__xludf.DUMMYFUNCTION("""COMPUTED_VALUE"""),-0.766707084702044)</f>
        <v>-0.76670708470204396</v>
      </c>
      <c r="CX57" s="3">
        <f ca="1">IFERROR(__xludf.DUMMYFUNCTION("""COMPUTED_VALUE"""),-0.659997585747772)</f>
        <v>-0.65999758574777201</v>
      </c>
      <c r="CY57" s="3">
        <f ca="1">IFERROR(__xludf.DUMMYFUNCTION("""COMPUTED_VALUE"""),-0.513303292392912)</f>
        <v>-0.51330329239291195</v>
      </c>
      <c r="CZ57" s="3">
        <f ca="1">IFERROR(__xludf.DUMMYFUNCTION("""COMPUTED_VALUE"""),-0.680126679292648)</f>
        <v>-0.68012667929264803</v>
      </c>
      <c r="DA57" s="3">
        <f ca="1">IFERROR(__xludf.DUMMYFUNCTION("""COMPUTED_VALUE"""),-0.667415412498004)</f>
        <v>-0.66741541249800396</v>
      </c>
      <c r="DB57" s="3">
        <f ca="1">IFERROR(__xludf.DUMMYFUNCTION("""COMPUTED_VALUE"""),-0.625843686563982)</f>
        <v>-0.62584368656398204</v>
      </c>
      <c r="DC57" s="3">
        <f ca="1">IFERROR(__xludf.DUMMYFUNCTION("""COMPUTED_VALUE"""),-0.771739747944192)</f>
        <v>-0.77173974794419198</v>
      </c>
      <c r="DD57" s="3">
        <f ca="1">IFERROR(__xludf.DUMMYFUNCTION("""COMPUTED_VALUE"""),-0.862778884270921)</f>
        <v>-0.86277888427092098</v>
      </c>
      <c r="DE57" s="3">
        <f ca="1">IFERROR(__xludf.DUMMYFUNCTION("""COMPUTED_VALUE"""),-0.70752087874234)</f>
        <v>-0.70752087874234004</v>
      </c>
      <c r="DF57" s="3">
        <f ca="1">IFERROR(__xludf.DUMMYFUNCTION("""COMPUTED_VALUE"""),-0.560846811740212)</f>
        <v>-0.560846811740212</v>
      </c>
      <c r="DG57" s="3">
        <f ca="1">IFERROR(__xludf.DUMMYFUNCTION("""COMPUTED_VALUE"""),-0.588591158778819)</f>
        <v>-0.58859115877881896</v>
      </c>
      <c r="DH57" s="3">
        <f ca="1">IFERROR(__xludf.DUMMYFUNCTION("""COMPUTED_VALUE"""),-0.653543775907096)</f>
        <v>-0.653543775907096</v>
      </c>
      <c r="DI57" s="3">
        <f ca="1">IFERROR(__xludf.DUMMYFUNCTION("""COMPUTED_VALUE"""),-0.648246279072796)</f>
        <v>-0.64824627907279597</v>
      </c>
      <c r="DJ57" s="3">
        <f ca="1">IFERROR(__xludf.DUMMYFUNCTION("""COMPUTED_VALUE"""),-0.659560340445281)</f>
        <v>-0.659560340445281</v>
      </c>
      <c r="DK57" s="3">
        <f ca="1">IFERROR(__xludf.DUMMYFUNCTION("""COMPUTED_VALUE"""),-0.684130682769494)</f>
        <v>-0.68413068276949396</v>
      </c>
      <c r="DL57" s="3">
        <f ca="1">IFERROR(__xludf.DUMMYFUNCTION("""COMPUTED_VALUE"""),-0.694261960527115)</f>
        <v>-0.69426196052711497</v>
      </c>
      <c r="DM57" s="3">
        <f ca="1">IFERROR(__xludf.DUMMYFUNCTION("""COMPUTED_VALUE"""),-0.616978536403784)</f>
        <v>-0.61697853640378397</v>
      </c>
      <c r="DN57" s="3">
        <f ca="1">IFERROR(__xludf.DUMMYFUNCTION("""COMPUTED_VALUE"""),-0.710920224318762)</f>
        <v>-0.71092022431876201</v>
      </c>
      <c r="DO57" s="3">
        <f ca="1">IFERROR(__xludf.DUMMYFUNCTION("""COMPUTED_VALUE"""),-0.682217831952162)</f>
        <v>-0.68221783195216201</v>
      </c>
      <c r="DP57" s="3">
        <f ca="1">IFERROR(__xludf.DUMMYFUNCTION("""COMPUTED_VALUE"""),-0.647830358432834)</f>
        <v>-0.64783035843283399</v>
      </c>
      <c r="DQ57" s="3">
        <f ca="1">IFERROR(__xludf.DUMMYFUNCTION("""COMPUTED_VALUE"""),-0.672086669731148)</f>
        <v>-0.67208666973114795</v>
      </c>
      <c r="DR57" s="3">
        <f ca="1">IFERROR(__xludf.DUMMYFUNCTION("""COMPUTED_VALUE"""),-0.689107036268742)</f>
        <v>-0.68910703626874203</v>
      </c>
      <c r="DS57" s="3">
        <f ca="1">IFERROR(__xludf.DUMMYFUNCTION("""COMPUTED_VALUE"""),-0.687828612905445)</f>
        <v>-0.68782861290544495</v>
      </c>
      <c r="DT57" s="3">
        <f ca="1">IFERROR(__xludf.DUMMYFUNCTION("""COMPUTED_VALUE"""),-0.690509046101825)</f>
        <v>-0.69050904610182495</v>
      </c>
      <c r="DU57" s="3">
        <f ca="1">IFERROR(__xludf.DUMMYFUNCTION("""COMPUTED_VALUE"""),-0.707867983189502)</f>
        <v>-0.70786798318950195</v>
      </c>
      <c r="DV57" s="3">
        <f ca="1">IFERROR(__xludf.DUMMYFUNCTION("""COMPUTED_VALUE"""),-0.687496179177046)</f>
        <v>-0.68749617917704597</v>
      </c>
      <c r="DW57" s="3">
        <f ca="1">IFERROR(__xludf.DUMMYFUNCTION("""COMPUTED_VALUE"""),-0.625453719869962)</f>
        <v>-0.62545371986996201</v>
      </c>
      <c r="DX57" s="3">
        <f ca="1">IFERROR(__xludf.DUMMYFUNCTION("""COMPUTED_VALUE"""),-0.646599733041751)</f>
        <v>-0.646599733041751</v>
      </c>
      <c r="DY57" s="3">
        <f ca="1">IFERROR(__xludf.DUMMYFUNCTION("""COMPUTED_VALUE"""),-0.598255416916563)</f>
        <v>-0.59825541691656303</v>
      </c>
      <c r="DZ57" s="3">
        <f ca="1">IFERROR(__xludf.DUMMYFUNCTION("""COMPUTED_VALUE"""),-0.595023000651849)</f>
        <v>-0.59502300065184899</v>
      </c>
      <c r="EA57" s="3">
        <f ca="1">IFERROR(__xludf.DUMMYFUNCTION("""COMPUTED_VALUE"""),-0.670644755909402)</f>
        <v>-0.67064475590940198</v>
      </c>
      <c r="EB57" s="3">
        <f ca="1">IFERROR(__xludf.DUMMYFUNCTION("""COMPUTED_VALUE"""),-0.721810452588825)</f>
        <v>-0.72181045258882504</v>
      </c>
      <c r="EC57" s="3">
        <f ca="1">IFERROR(__xludf.DUMMYFUNCTION("""COMPUTED_VALUE"""),-0.660745657226511)</f>
        <v>-0.66074565722651102</v>
      </c>
      <c r="ED57" s="3">
        <f ca="1">IFERROR(__xludf.DUMMYFUNCTION("""COMPUTED_VALUE"""),-0.694038145665446)</f>
        <v>-0.69403814566544597</v>
      </c>
      <c r="EE57" s="3">
        <f ca="1">IFERROR(__xludf.DUMMYFUNCTION("""COMPUTED_VALUE"""),-0.620996019037376)</f>
        <v>-0.620996019037376</v>
      </c>
      <c r="EF57" s="3">
        <f ca="1">IFERROR(__xludf.DUMMYFUNCTION("""COMPUTED_VALUE"""),-0.645588947948584)</f>
        <v>-0.64558894794858401</v>
      </c>
      <c r="EG57" s="3">
        <f ca="1">IFERROR(__xludf.DUMMYFUNCTION("""COMPUTED_VALUE"""),-0.736477322188152)</f>
        <v>-0.73647732218815198</v>
      </c>
      <c r="EH57" s="3">
        <f ca="1">IFERROR(__xludf.DUMMYFUNCTION("""COMPUTED_VALUE"""),-0.66835953315018)</f>
        <v>-0.66835953315018004</v>
      </c>
      <c r="EI57" s="3">
        <f ca="1">IFERROR(__xludf.DUMMYFUNCTION("""COMPUTED_VALUE"""),-0.69997051317738)</f>
        <v>-0.69997051317738002</v>
      </c>
      <c r="EJ57" s="3">
        <f ca="1">IFERROR(__xludf.DUMMYFUNCTION("""COMPUTED_VALUE"""),-0.616650166043273)</f>
        <v>-0.61665016604327305</v>
      </c>
      <c r="EK57" s="3">
        <f ca="1">IFERROR(__xludf.DUMMYFUNCTION("""COMPUTED_VALUE"""),-0.590545066305889)</f>
        <v>-0.59054506630588899</v>
      </c>
      <c r="EL57" s="3">
        <f ca="1">IFERROR(__xludf.DUMMYFUNCTION("""COMPUTED_VALUE"""),-0.644322750388282)</f>
        <v>-0.64432275038828202</v>
      </c>
      <c r="EM57" s="3">
        <f ca="1">IFERROR(__xludf.DUMMYFUNCTION("""COMPUTED_VALUE"""),-0.640654280256196)</f>
        <v>-0.64065428025619597</v>
      </c>
      <c r="EN57" s="3">
        <f ca="1">IFERROR(__xludf.DUMMYFUNCTION("""COMPUTED_VALUE"""),-0.599599943302771)</f>
        <v>-0.599599943302771</v>
      </c>
      <c r="EO57" s="3">
        <f ca="1">IFERROR(__xludf.DUMMYFUNCTION("""COMPUTED_VALUE"""),-0.682190314460499)</f>
        <v>-0.68219031446049905</v>
      </c>
      <c r="EP57" s="3">
        <f ca="1">IFERROR(__xludf.DUMMYFUNCTION("""COMPUTED_VALUE"""),-0.710555201964256)</f>
        <v>-0.71055520196425603</v>
      </c>
      <c r="EQ57" s="3">
        <f ca="1">IFERROR(__xludf.DUMMYFUNCTION("""COMPUTED_VALUE"""),-0.671872691675872)</f>
        <v>-0.67187269167587205</v>
      </c>
      <c r="ER57" s="3">
        <f ca="1">IFERROR(__xludf.DUMMYFUNCTION("""COMPUTED_VALUE"""),-0.656589047528474)</f>
        <v>-0.65658904752847402</v>
      </c>
      <c r="ES57" s="3">
        <f ca="1">IFERROR(__xludf.DUMMYFUNCTION("""COMPUTED_VALUE"""),-0.657405340230699)</f>
        <v>-0.65740534023069896</v>
      </c>
      <c r="ET57" s="3">
        <f ca="1">IFERROR(__xludf.DUMMYFUNCTION("""COMPUTED_VALUE"""),-0.692149164496875)</f>
        <v>-0.69214916449687502</v>
      </c>
      <c r="EU57" s="3">
        <f ca="1">IFERROR(__xludf.DUMMYFUNCTION("""COMPUTED_VALUE"""),-0.713911977207462)</f>
        <v>-0.71391197720746202</v>
      </c>
      <c r="EV57" s="3">
        <f ca="1">IFERROR(__xludf.DUMMYFUNCTION("""COMPUTED_VALUE"""),-0.682938915085428)</f>
        <v>-0.68293891508542803</v>
      </c>
      <c r="EW57" s="3">
        <f ca="1">IFERROR(__xludf.DUMMYFUNCTION("""COMPUTED_VALUE"""),-0.725601033642734)</f>
        <v>-0.72560103364273398</v>
      </c>
      <c r="EX57" s="3">
        <f ca="1">IFERROR(__xludf.DUMMYFUNCTION("""COMPUTED_VALUE"""),-0.703243463922222)</f>
        <v>-0.70324346392222203</v>
      </c>
      <c r="EY57" s="3">
        <f ca="1">IFERROR(__xludf.DUMMYFUNCTION("""COMPUTED_VALUE"""),-0.669043110329151)</f>
        <v>-0.66904311032915098</v>
      </c>
      <c r="EZ57" s="3">
        <f ca="1">IFERROR(__xludf.DUMMYFUNCTION("""COMPUTED_VALUE"""),-0.665328319317043)</f>
        <v>-0.66532831931704295</v>
      </c>
      <c r="FA57" s="3">
        <f ca="1">IFERROR(__xludf.DUMMYFUNCTION("""COMPUTED_VALUE"""),-0.683229317713424)</f>
        <v>-0.68322931771342399</v>
      </c>
      <c r="FB57" s="3">
        <f ca="1">IFERROR(__xludf.DUMMYFUNCTION("""COMPUTED_VALUE"""),-0.716102991425363)</f>
        <v>-0.71610299142536304</v>
      </c>
      <c r="FC57" s="3">
        <f ca="1">IFERROR(__xludf.DUMMYFUNCTION("""COMPUTED_VALUE"""),-0.636117750839492)</f>
        <v>-0.63611775083949196</v>
      </c>
      <c r="FD57" s="3">
        <f ca="1">IFERROR(__xludf.DUMMYFUNCTION("""COMPUTED_VALUE"""),-0.711665041271759)</f>
        <v>-0.711665041271759</v>
      </c>
      <c r="FE57" s="3">
        <f ca="1">IFERROR(__xludf.DUMMYFUNCTION("""COMPUTED_VALUE"""),-0.685225459228705)</f>
        <v>-0.68522545922870504</v>
      </c>
      <c r="FF57" s="3">
        <f ca="1">IFERROR(__xludf.DUMMYFUNCTION("""COMPUTED_VALUE"""),-0.713696304599301)</f>
        <v>-0.713696304599301</v>
      </c>
      <c r="FG57" s="3">
        <f ca="1">IFERROR(__xludf.DUMMYFUNCTION("""COMPUTED_VALUE"""),-0.6984393922331)</f>
        <v>-0.69843939223310003</v>
      </c>
      <c r="FH57" s="3">
        <f ca="1">IFERROR(__xludf.DUMMYFUNCTION("""COMPUTED_VALUE"""),-0.670064944294223)</f>
        <v>-0.67006494429422303</v>
      </c>
      <c r="FI57" s="3">
        <f ca="1">IFERROR(__xludf.DUMMYFUNCTION("""COMPUTED_VALUE"""),-0.710215808993512)</f>
        <v>-0.710215808993512</v>
      </c>
      <c r="FJ57" s="3">
        <f ca="1">IFERROR(__xludf.DUMMYFUNCTION("""COMPUTED_VALUE"""),-0.652549840866499)</f>
        <v>-0.65254984086649903</v>
      </c>
      <c r="FK57" s="3">
        <f ca="1">IFERROR(__xludf.DUMMYFUNCTION("""COMPUTED_VALUE"""),-0.669690883882464)</f>
        <v>-0.66969088388246401</v>
      </c>
      <c r="FL57" s="3">
        <f ca="1">IFERROR(__xludf.DUMMYFUNCTION("""COMPUTED_VALUE"""),-0.669005298749024)</f>
        <v>-0.66900529874902404</v>
      </c>
      <c r="FM57" s="3">
        <f ca="1">IFERROR(__xludf.DUMMYFUNCTION("""COMPUTED_VALUE"""),-0.658273154624007)</f>
        <v>-0.65827315462400704</v>
      </c>
      <c r="FN57" s="3">
        <f ca="1">IFERROR(__xludf.DUMMYFUNCTION("""COMPUTED_VALUE"""),-0.669018898272507)</f>
        <v>-0.66901889827250705</v>
      </c>
      <c r="FO57" s="3">
        <f ca="1">IFERROR(__xludf.DUMMYFUNCTION("""COMPUTED_VALUE"""),-0.71558534117012)</f>
        <v>-0.71558534117011996</v>
      </c>
      <c r="FP57" s="3">
        <f ca="1">IFERROR(__xludf.DUMMYFUNCTION("""COMPUTED_VALUE"""),-0.733565624412541)</f>
        <v>-0.73356562441254103</v>
      </c>
      <c r="FQ57" s="3">
        <f ca="1">IFERROR(__xludf.DUMMYFUNCTION("""COMPUTED_VALUE"""),-0.705742696895001)</f>
        <v>-0.70574269689500102</v>
      </c>
      <c r="FR57" s="3">
        <f ca="1">IFERROR(__xludf.DUMMYFUNCTION("""COMPUTED_VALUE"""),-0.743789425749939)</f>
        <v>-0.743789425749939</v>
      </c>
      <c r="FS57" s="3">
        <f ca="1">IFERROR(__xludf.DUMMYFUNCTION("""COMPUTED_VALUE"""),-0.64775046515399)</f>
        <v>-0.64775046515399004</v>
      </c>
      <c r="FT57" s="3">
        <f ca="1">IFERROR(__xludf.DUMMYFUNCTION("""COMPUTED_VALUE"""),-0.688172492879779)</f>
        <v>-0.688172492879779</v>
      </c>
      <c r="FU57" s="3">
        <f ca="1">IFERROR(__xludf.DUMMYFUNCTION("""COMPUTED_VALUE"""),-0.658745935771209)</f>
        <v>-0.65874593577120899</v>
      </c>
      <c r="FV57" s="3">
        <f ca="1">IFERROR(__xludf.DUMMYFUNCTION("""COMPUTED_VALUE"""),-0.71234680362028)</f>
        <v>-0.71234680362028002</v>
      </c>
      <c r="FW57" s="3">
        <f ca="1">IFERROR(__xludf.DUMMYFUNCTION("""COMPUTED_VALUE"""),-0.707630264378233)</f>
        <v>-0.70763026437823295</v>
      </c>
      <c r="FX57" s="3">
        <f ca="1">IFERROR(__xludf.DUMMYFUNCTION("""COMPUTED_VALUE"""),-0.655853283756414)</f>
        <v>-0.65585328375641405</v>
      </c>
      <c r="FY57" s="3">
        <f ca="1">IFERROR(__xludf.DUMMYFUNCTION("""COMPUTED_VALUE"""),-0.735271321139715)</f>
        <v>-0.73527132113971505</v>
      </c>
      <c r="FZ57" s="3">
        <f ca="1">IFERROR(__xludf.DUMMYFUNCTION("""COMPUTED_VALUE"""),-0.676461667242871)</f>
        <v>-0.67646166724287105</v>
      </c>
      <c r="GA57" s="3">
        <f ca="1">IFERROR(__xludf.DUMMYFUNCTION("""COMPUTED_VALUE"""),-0.675258304718745)</f>
        <v>-0.67525830471874504</v>
      </c>
      <c r="GB57" s="3">
        <f ca="1">IFERROR(__xludf.DUMMYFUNCTION("""COMPUTED_VALUE"""),-0.646143479476489)</f>
        <v>-0.64614347947648898</v>
      </c>
      <c r="GC57" s="3">
        <f ca="1">IFERROR(__xludf.DUMMYFUNCTION("""COMPUTED_VALUE"""),-0.678979878762989)</f>
        <v>-0.67897987876298904</v>
      </c>
      <c r="GD57" s="3">
        <f ca="1">IFERROR(__xludf.DUMMYFUNCTION("""COMPUTED_VALUE"""),-0.717792343511862)</f>
        <v>-0.71779234351186205</v>
      </c>
      <c r="GE57" s="3">
        <f ca="1">IFERROR(__xludf.DUMMYFUNCTION("""COMPUTED_VALUE"""),-0.642984093169852)</f>
        <v>-0.64298409316985194</v>
      </c>
      <c r="GF57" s="3">
        <f ca="1">IFERROR(__xludf.DUMMYFUNCTION("""COMPUTED_VALUE"""),-0.687901079484812)</f>
        <v>-0.68790107948481205</v>
      </c>
      <c r="GG57" s="3">
        <f ca="1">IFERROR(__xludf.DUMMYFUNCTION("""COMPUTED_VALUE"""),-0.658668248124033)</f>
        <v>-0.65866824812403302</v>
      </c>
      <c r="GH57" s="3">
        <f ca="1">IFERROR(__xludf.DUMMYFUNCTION("""COMPUTED_VALUE"""),-0.546361779000088)</f>
        <v>-0.54636177900008798</v>
      </c>
      <c r="GI57" s="3">
        <f ca="1">IFERROR(__xludf.DUMMYFUNCTION("""COMPUTED_VALUE"""),-0.633933044051283)</f>
        <v>-0.63393304405128303</v>
      </c>
      <c r="GJ57" s="3">
        <f ca="1">IFERROR(__xludf.DUMMYFUNCTION("""COMPUTED_VALUE"""),-0.697989920869009)</f>
        <v>-0.69798992086900902</v>
      </c>
      <c r="GK57" s="3">
        <f ca="1">IFERROR(__xludf.DUMMYFUNCTION("""COMPUTED_VALUE"""),-0.674022579454169)</f>
        <v>-0.67402257945416899</v>
      </c>
      <c r="GL57" s="3">
        <f ca="1">IFERROR(__xludf.DUMMYFUNCTION("""COMPUTED_VALUE"""),-0.676486226622486)</f>
        <v>-0.67648622662248603</v>
      </c>
      <c r="GM57" s="3">
        <f ca="1">IFERROR(__xludf.DUMMYFUNCTION("""COMPUTED_VALUE"""),-0.638885912128376)</f>
        <v>-0.63888591212837598</v>
      </c>
      <c r="GN57" s="3">
        <f ca="1">IFERROR(__xludf.DUMMYFUNCTION("""COMPUTED_VALUE"""),-0.645876225184962)</f>
        <v>-0.64587622518496202</v>
      </c>
      <c r="GO57" s="3">
        <f ca="1">IFERROR(__xludf.DUMMYFUNCTION("""COMPUTED_VALUE"""),-0.61815001479551)</f>
        <v>-0.61815001479551002</v>
      </c>
      <c r="GP57" s="3">
        <f ca="1">IFERROR(__xludf.DUMMYFUNCTION("""COMPUTED_VALUE"""),-0.628531318889681)</f>
        <v>-0.62853131888968095</v>
      </c>
      <c r="GQ57" s="3">
        <f ca="1">IFERROR(__xludf.DUMMYFUNCTION("""COMPUTED_VALUE"""),-0.61902256940714)</f>
        <v>-0.61902256940713996</v>
      </c>
      <c r="GR57" s="3">
        <f ca="1">IFERROR(__xludf.DUMMYFUNCTION("""COMPUTED_VALUE"""),-0.686937233925523)</f>
        <v>-0.68693723392552297</v>
      </c>
      <c r="GS57" s="3">
        <f ca="1">IFERROR(__xludf.DUMMYFUNCTION("""COMPUTED_VALUE"""),-0.754315864305485)</f>
        <v>-0.75431586430548503</v>
      </c>
      <c r="GT57" s="3">
        <f ca="1">IFERROR(__xludf.DUMMYFUNCTION("""COMPUTED_VALUE"""),-0.756790255352997)</f>
        <v>-0.75679025535299704</v>
      </c>
      <c r="GU57" s="3">
        <f ca="1">IFERROR(__xludf.DUMMYFUNCTION("""COMPUTED_VALUE"""),-0.7421524144245)</f>
        <v>-0.74215241442449997</v>
      </c>
      <c r="GV57" s="3">
        <f ca="1">IFERROR(__xludf.DUMMYFUNCTION("""COMPUTED_VALUE"""),-0.647368664086079)</f>
        <v>-0.64736866408607896</v>
      </c>
      <c r="GW57" s="3">
        <f ca="1">IFERROR(__xludf.DUMMYFUNCTION("""COMPUTED_VALUE"""),-0.670488894177721)</f>
        <v>-0.67048889417772095</v>
      </c>
      <c r="GX57" s="3">
        <f ca="1">IFERROR(__xludf.DUMMYFUNCTION("""COMPUTED_VALUE"""),-0.71128724373321)</f>
        <v>-0.71128724373320995</v>
      </c>
      <c r="GY57" s="3">
        <f ca="1">IFERROR(__xludf.DUMMYFUNCTION("""COMPUTED_VALUE"""),-0.747553816811349)</f>
        <v>-0.74755381681134903</v>
      </c>
      <c r="GZ57" s="3">
        <f ca="1">IFERROR(__xludf.DUMMYFUNCTION("""COMPUTED_VALUE"""),-0.744634098739231)</f>
        <v>-0.74463409873923103</v>
      </c>
      <c r="HA57" s="3">
        <f ca="1">IFERROR(__xludf.DUMMYFUNCTION("""COMPUTED_VALUE"""),-0.758154778622285)</f>
        <v>-0.75815477862228497</v>
      </c>
      <c r="HB57" s="3">
        <f ca="1">IFERROR(__xludf.DUMMYFUNCTION("""COMPUTED_VALUE"""),-0.704396720523754)</f>
        <v>-0.70439672052375402</v>
      </c>
      <c r="HC57" s="3">
        <f ca="1">IFERROR(__xludf.DUMMYFUNCTION("""COMPUTED_VALUE"""),-0.68123852513953)</f>
        <v>-0.68123852513952998</v>
      </c>
      <c r="HD57" s="3">
        <f ca="1">IFERROR(__xludf.DUMMYFUNCTION("""COMPUTED_VALUE"""),-0.654062979525257)</f>
        <v>-0.65406297952525705</v>
      </c>
      <c r="HE57" s="3">
        <f ca="1">IFERROR(__xludf.DUMMYFUNCTION("""COMPUTED_VALUE"""),-0.687239345759428)</f>
        <v>-0.68723934575942802</v>
      </c>
      <c r="HF57" s="3">
        <f ca="1">IFERROR(__xludf.DUMMYFUNCTION("""COMPUTED_VALUE"""),-0.759291842829947)</f>
        <v>-0.75929184282994699</v>
      </c>
      <c r="HG57" s="3">
        <f ca="1">IFERROR(__xludf.DUMMYFUNCTION("""COMPUTED_VALUE"""),-0.747737474056924)</f>
        <v>-0.74773747405692403</v>
      </c>
      <c r="HH57" s="3">
        <f ca="1">IFERROR(__xludf.DUMMYFUNCTION("""COMPUTED_VALUE"""),-0.723532739276388)</f>
        <v>-0.72353273927638795</v>
      </c>
      <c r="HI57" s="3">
        <f ca="1">IFERROR(__xludf.DUMMYFUNCTION("""COMPUTED_VALUE"""),-0.716944318594982)</f>
        <v>-0.71694431859498198</v>
      </c>
      <c r="HJ57" s="3">
        <f ca="1">IFERROR(__xludf.DUMMYFUNCTION("""COMPUTED_VALUE"""),-0.631384752090103)</f>
        <v>-0.63138475209010303</v>
      </c>
      <c r="HK57" s="3">
        <f ca="1">IFERROR(__xludf.DUMMYFUNCTION("""COMPUTED_VALUE"""),-0.646990925121303)</f>
        <v>-0.64699092512130296</v>
      </c>
      <c r="HL57" s="3">
        <f ca="1">IFERROR(__xludf.DUMMYFUNCTION("""COMPUTED_VALUE"""),-0.660804460449377)</f>
        <v>-0.66080446044937702</v>
      </c>
      <c r="HM57" s="3">
        <f ca="1">IFERROR(__xludf.DUMMYFUNCTION("""COMPUTED_VALUE"""),-0.772125374174567)</f>
        <v>-0.77212537417456695</v>
      </c>
      <c r="HN57" s="3">
        <f ca="1">IFERROR(__xludf.DUMMYFUNCTION("""COMPUTED_VALUE"""),-0.734138713678733)</f>
        <v>-0.73413871367873296</v>
      </c>
      <c r="HO57" s="3">
        <f ca="1">IFERROR(__xludf.DUMMYFUNCTION("""COMPUTED_VALUE"""),-0.757785774234045)</f>
        <v>-0.75778577423404503</v>
      </c>
      <c r="HP57" s="3">
        <f ca="1">IFERROR(__xludf.DUMMYFUNCTION("""COMPUTED_VALUE"""),-0.726411993848127)</f>
        <v>-0.72641199384812705</v>
      </c>
      <c r="HQ57" s="3">
        <f ca="1">IFERROR(__xludf.DUMMYFUNCTION("""COMPUTED_VALUE"""),-0.772847580227797)</f>
        <v>-0.77284758022779698</v>
      </c>
      <c r="HR57" s="3">
        <f ca="1">IFERROR(__xludf.DUMMYFUNCTION("""COMPUTED_VALUE"""),-0.713429160887513)</f>
        <v>-0.71342916088751296</v>
      </c>
      <c r="HS57" s="3">
        <f ca="1">IFERROR(__xludf.DUMMYFUNCTION("""COMPUTED_VALUE"""),-0.714860161404494)</f>
        <v>-0.71486016140449404</v>
      </c>
      <c r="HT57" s="3">
        <f ca="1">IFERROR(__xludf.DUMMYFUNCTION("""COMPUTED_VALUE"""),-0.771207329339404)</f>
        <v>-0.77120732933940395</v>
      </c>
      <c r="HU57" s="3">
        <f ca="1">IFERROR(__xludf.DUMMYFUNCTION("""COMPUTED_VALUE"""),-0.752809027751431)</f>
        <v>-0.75280902775143099</v>
      </c>
      <c r="HV57" s="3">
        <f ca="1">IFERROR(__xludf.DUMMYFUNCTION("""COMPUTED_VALUE"""),-0.744307863581287)</f>
        <v>-0.74430786358128698</v>
      </c>
      <c r="HW57" s="3">
        <f ca="1">IFERROR(__xludf.DUMMYFUNCTION("""COMPUTED_VALUE"""),-0.70265520855218)</f>
        <v>-0.70265520855218</v>
      </c>
      <c r="HX57" s="3">
        <f ca="1">IFERROR(__xludf.DUMMYFUNCTION("""COMPUTED_VALUE"""),-0.7244372003695)</f>
        <v>-0.72443720036949999</v>
      </c>
      <c r="HY57" s="3">
        <f ca="1">IFERROR(__xludf.DUMMYFUNCTION("""COMPUTED_VALUE"""),-0.704997634160095)</f>
        <v>-0.70499763416009498</v>
      </c>
      <c r="HZ57" s="3">
        <f ca="1">IFERROR(__xludf.DUMMYFUNCTION("""COMPUTED_VALUE"""),-0.733335549205177)</f>
        <v>-0.73333554920517696</v>
      </c>
      <c r="IA57" s="3">
        <f ca="1">IFERROR(__xludf.DUMMYFUNCTION("""COMPUTED_VALUE"""),-0.733230786507141)</f>
        <v>-0.73323078650714102</v>
      </c>
      <c r="IB57" s="3">
        <f ca="1">IFERROR(__xludf.DUMMYFUNCTION("""COMPUTED_VALUE"""),-0.771095876144052)</f>
        <v>-0.77109587614405195</v>
      </c>
      <c r="IC57" s="3">
        <f ca="1">IFERROR(__xludf.DUMMYFUNCTION("""COMPUTED_VALUE"""),-0.817939200395697)</f>
        <v>-0.81793920039569701</v>
      </c>
      <c r="ID57" s="3">
        <f ca="1">IFERROR(__xludf.DUMMYFUNCTION("""COMPUTED_VALUE"""),-0.732545946133759)</f>
        <v>-0.73254594613375901</v>
      </c>
      <c r="IE57" s="3">
        <f ca="1">IFERROR(__xludf.DUMMYFUNCTION("""COMPUTED_VALUE"""),-0.739799562668751)</f>
        <v>-0.73979956266875102</v>
      </c>
      <c r="IF57" s="3">
        <f ca="1">IFERROR(__xludf.DUMMYFUNCTION("""COMPUTED_VALUE"""),-0.701067284541506)</f>
        <v>-0.70106728454150602</v>
      </c>
      <c r="IG57" s="3">
        <f ca="1">IFERROR(__xludf.DUMMYFUNCTION("""COMPUTED_VALUE"""),-0.672240331813874)</f>
        <v>-0.67224033181387399</v>
      </c>
      <c r="IH57" s="3">
        <f ca="1">IFERROR(__xludf.DUMMYFUNCTION("""COMPUTED_VALUE"""),-0.736345218802556)</f>
        <v>-0.73634521880255599</v>
      </c>
      <c r="II57" s="3">
        <f ca="1">IFERROR(__xludf.DUMMYFUNCTION("""COMPUTED_VALUE"""),-0.749708847086938)</f>
        <v>-0.74970884708693797</v>
      </c>
      <c r="IJ57" s="3">
        <f ca="1">IFERROR(__xludf.DUMMYFUNCTION("""COMPUTED_VALUE"""),-0.731208496231816)</f>
        <v>-0.73120849623181605</v>
      </c>
      <c r="IK57" s="3">
        <f ca="1">IFERROR(__xludf.DUMMYFUNCTION("""COMPUTED_VALUE"""),-0.695817236880158)</f>
        <v>-0.69581723688015795</v>
      </c>
      <c r="IL57" s="3">
        <f ca="1">IFERROR(__xludf.DUMMYFUNCTION("""COMPUTED_VALUE"""),-0.694578245306464)</f>
        <v>-0.69457824530646395</v>
      </c>
      <c r="IM57" s="3">
        <f ca="1">IFERROR(__xludf.DUMMYFUNCTION("""COMPUTED_VALUE"""),-0.613477677639091)</f>
        <v>-0.613477677639091</v>
      </c>
      <c r="IN57" s="3">
        <f ca="1">IFERROR(__xludf.DUMMYFUNCTION("""COMPUTED_VALUE"""),-0.618233892388512)</f>
        <v>-0.61823389238851201</v>
      </c>
      <c r="IO57" s="3">
        <f ca="1">IFERROR(__xludf.DUMMYFUNCTION("""COMPUTED_VALUE"""),-0.724824464721694)</f>
        <v>-0.72482446472169404</v>
      </c>
      <c r="IP57" s="3">
        <f ca="1">IFERROR(__xludf.DUMMYFUNCTION("""COMPUTED_VALUE"""),-0.693390770882123)</f>
        <v>-0.69339077088212298</v>
      </c>
      <c r="IQ57" s="3">
        <f ca="1">IFERROR(__xludf.DUMMYFUNCTION("""COMPUTED_VALUE"""),-0.629089324063747)</f>
        <v>-0.62908932406374696</v>
      </c>
      <c r="IR57" s="3">
        <f ca="1">IFERROR(__xludf.DUMMYFUNCTION("""COMPUTED_VALUE"""),-0.604722604172101)</f>
        <v>-0.604722604172101</v>
      </c>
      <c r="IS57" s="3">
        <f ca="1">IFERROR(__xludf.DUMMYFUNCTION("""COMPUTED_VALUE"""),-0.66057389054627)</f>
        <v>-0.66057389054627003</v>
      </c>
      <c r="IT57" s="3">
        <f ca="1">IFERROR(__xludf.DUMMYFUNCTION("""COMPUTED_VALUE"""),-0.697108255053619)</f>
        <v>-0.69710825505361895</v>
      </c>
      <c r="IU57" s="3">
        <f ca="1">IFERROR(__xludf.DUMMYFUNCTION("""COMPUTED_VALUE"""),-0.630004132832474)</f>
        <v>-0.63000413283247403</v>
      </c>
      <c r="IV57" s="3">
        <f ca="1">IFERROR(__xludf.DUMMYFUNCTION("""COMPUTED_VALUE"""),-0.690584059834739)</f>
        <v>-0.69058405983473903</v>
      </c>
      <c r="IW57" s="3">
        <f ca="1">IFERROR(__xludf.DUMMYFUNCTION("""COMPUTED_VALUE"""),-0.689621652784059)</f>
        <v>-0.68962165278405896</v>
      </c>
      <c r="IX57" s="3">
        <f ca="1">IFERROR(__xludf.DUMMYFUNCTION("""COMPUTED_VALUE"""),-0.690445041103747)</f>
        <v>-0.69044504110374705</v>
      </c>
      <c r="IY57" s="3">
        <f ca="1">IFERROR(__xludf.DUMMYFUNCTION("""COMPUTED_VALUE"""),-0.721579001457123)</f>
        <v>-0.72157900145712295</v>
      </c>
      <c r="IZ57" s="3">
        <f ca="1">IFERROR(__xludf.DUMMYFUNCTION("""COMPUTED_VALUE"""),-0.762722810976735)</f>
        <v>-0.762722810976735</v>
      </c>
      <c r="JA57" s="3">
        <f ca="1">IFERROR(__xludf.DUMMYFUNCTION("""COMPUTED_VALUE"""),-0.665962146228665)</f>
        <v>-0.66596214622866501</v>
      </c>
      <c r="JB57" s="3">
        <f ca="1">IFERROR(__xludf.DUMMYFUNCTION("""COMPUTED_VALUE"""),-0.610522295461189)</f>
        <v>-0.61052229546118897</v>
      </c>
      <c r="JC57" s="3">
        <f ca="1">IFERROR(__xludf.DUMMYFUNCTION("""COMPUTED_VALUE"""),-0.678425647992088)</f>
        <v>-0.67842564799208804</v>
      </c>
      <c r="JD57" s="3">
        <f ca="1">IFERROR(__xludf.DUMMYFUNCTION("""COMPUTED_VALUE"""),-0.674526815324991)</f>
        <v>-0.67452681532499104</v>
      </c>
      <c r="JE57" s="3">
        <f ca="1">IFERROR(__xludf.DUMMYFUNCTION("""COMPUTED_VALUE"""),-0.659003454093004)</f>
        <v>-0.65900345409300398</v>
      </c>
      <c r="JF57" s="3">
        <f ca="1">IFERROR(__xludf.DUMMYFUNCTION("""COMPUTED_VALUE"""),-0.578292670729455)</f>
        <v>-0.57829267072945501</v>
      </c>
      <c r="JG57" s="3">
        <f ca="1">IFERROR(__xludf.DUMMYFUNCTION("""COMPUTED_VALUE"""),-0.626166391902362)</f>
        <v>-0.62616639190236201</v>
      </c>
      <c r="JH57" s="3">
        <f ca="1">IFERROR(__xludf.DUMMYFUNCTION("""COMPUTED_VALUE"""),-0.601646120207249)</f>
        <v>-0.60164612020724895</v>
      </c>
      <c r="JI57" s="3">
        <f ca="1">IFERROR(__xludf.DUMMYFUNCTION("""COMPUTED_VALUE"""),-0.644161430759417)</f>
        <v>-0.64416143075941701</v>
      </c>
      <c r="JJ57" s="3">
        <f ca="1">IFERROR(__xludf.DUMMYFUNCTION("""COMPUTED_VALUE"""),-0.671823666013557)</f>
        <v>-0.67182366601355703</v>
      </c>
      <c r="JK57" s="3">
        <f ca="1">IFERROR(__xludf.DUMMYFUNCTION("""COMPUTED_VALUE"""),-0.691924038875619)</f>
        <v>-0.69192403887561904</v>
      </c>
      <c r="JL57" s="3">
        <f ca="1">IFERROR(__xludf.DUMMYFUNCTION("""COMPUTED_VALUE"""),-0.653242812515174)</f>
        <v>-0.65324281251517402</v>
      </c>
      <c r="JM57" s="3">
        <f ca="1">IFERROR(__xludf.DUMMYFUNCTION("""COMPUTED_VALUE"""),-0.690055338805827)</f>
        <v>-0.69005533880582703</v>
      </c>
      <c r="JN57" s="3">
        <f ca="1">IFERROR(__xludf.DUMMYFUNCTION("""COMPUTED_VALUE"""),-0.626840417192357)</f>
        <v>-0.62684041719235695</v>
      </c>
      <c r="JO57" s="3">
        <f ca="1">IFERROR(__xludf.DUMMYFUNCTION("""COMPUTED_VALUE"""),-0.607437818986739)</f>
        <v>-0.60743781898673899</v>
      </c>
      <c r="JP57" s="3">
        <f ca="1">IFERROR(__xludf.DUMMYFUNCTION("""COMPUTED_VALUE"""),-0.624667311963987)</f>
        <v>-0.62466731196398695</v>
      </c>
      <c r="JQ57" s="3">
        <f ca="1">IFERROR(__xludf.DUMMYFUNCTION("""COMPUTED_VALUE"""),-0.694819289914837)</f>
        <v>-0.69481928991483699</v>
      </c>
      <c r="JR57" s="3">
        <f ca="1">IFERROR(__xludf.DUMMYFUNCTION("""COMPUTED_VALUE"""),-0.69053485606282)</f>
        <v>-0.69053485606281995</v>
      </c>
      <c r="JS57" s="3">
        <f ca="1">IFERROR(__xludf.DUMMYFUNCTION("""COMPUTED_VALUE"""),-0.673998141855728)</f>
        <v>-0.67399814185572804</v>
      </c>
      <c r="JT57" s="3">
        <f ca="1">IFERROR(__xludf.DUMMYFUNCTION("""COMPUTED_VALUE"""),-0.605398955448576)</f>
        <v>-0.60539895544857603</v>
      </c>
      <c r="JU57" s="3">
        <f ca="1">IFERROR(__xludf.DUMMYFUNCTION("""COMPUTED_VALUE"""),-0.63914611619021)</f>
        <v>-0.63914611619021</v>
      </c>
      <c r="JV57" s="3">
        <f ca="1">IFERROR(__xludf.DUMMYFUNCTION("""COMPUTED_VALUE"""),-0.737371486293255)</f>
        <v>-0.737371486293255</v>
      </c>
      <c r="JW57" s="3">
        <f ca="1">IFERROR(__xludf.DUMMYFUNCTION("""COMPUTED_VALUE"""),-0.690728683174666)</f>
        <v>-0.69072868317466596</v>
      </c>
      <c r="JX57" s="3">
        <f ca="1">IFERROR(__xludf.DUMMYFUNCTION("""COMPUTED_VALUE"""),-0.644891272269369)</f>
        <v>-0.64489127226936904</v>
      </c>
      <c r="JY57" s="3">
        <f ca="1">IFERROR(__xludf.DUMMYFUNCTION("""COMPUTED_VALUE"""),-0.667474470439501)</f>
        <v>-0.66747447043950103</v>
      </c>
      <c r="JZ57" s="3">
        <f ca="1">IFERROR(__xludf.DUMMYFUNCTION("""COMPUTED_VALUE"""),-0.600529996364739)</f>
        <v>-0.60052999636473903</v>
      </c>
      <c r="KA57" s="3">
        <f ca="1">IFERROR(__xludf.DUMMYFUNCTION("""COMPUTED_VALUE"""),-0.636694965108432)</f>
        <v>-0.63669496510843204</v>
      </c>
      <c r="KB57" s="3">
        <f ca="1">IFERROR(__xludf.DUMMYFUNCTION("""COMPUTED_VALUE"""),-0.615531606273321)</f>
        <v>-0.61553160627332104</v>
      </c>
      <c r="KC57" s="3">
        <f ca="1">IFERROR(__xludf.DUMMYFUNCTION("""COMPUTED_VALUE"""),-0.654522886937702)</f>
        <v>-0.654522886937702</v>
      </c>
      <c r="KD57" s="3">
        <f ca="1">IFERROR(__xludf.DUMMYFUNCTION("""COMPUTED_VALUE"""),-0.70079927859234)</f>
        <v>-0.70079927859234004</v>
      </c>
      <c r="KE57" s="3">
        <f ca="1">IFERROR(__xludf.DUMMYFUNCTION("""COMPUTED_VALUE"""),-0.687424056098824)</f>
        <v>-0.68742405609882395</v>
      </c>
      <c r="KF57" s="3">
        <f ca="1">IFERROR(__xludf.DUMMYFUNCTION("""COMPUTED_VALUE"""),-0.624992992825722)</f>
        <v>-0.62499299282572196</v>
      </c>
      <c r="KG57" s="3">
        <f ca="1">IFERROR(__xludf.DUMMYFUNCTION("""COMPUTED_VALUE"""),-0.609080544406629)</f>
        <v>-0.60908054440662895</v>
      </c>
      <c r="KH57" s="3">
        <f ca="1">IFERROR(__xludf.DUMMYFUNCTION("""COMPUTED_VALUE"""),-0.619867041692896)</f>
        <v>-0.61986704169289597</v>
      </c>
      <c r="KI57" s="3">
        <f ca="1">IFERROR(__xludf.DUMMYFUNCTION("""COMPUTED_VALUE"""),-0.560119693494682)</f>
        <v>-0.56011969349468205</v>
      </c>
      <c r="KJ57" s="3">
        <f ca="1">IFERROR(__xludf.DUMMYFUNCTION("""COMPUTED_VALUE"""),-0.595901188702463)</f>
        <v>-0.595901188702463</v>
      </c>
      <c r="KK57" s="3">
        <f ca="1">IFERROR(__xludf.DUMMYFUNCTION("""COMPUTED_VALUE"""),-0.639340567688313)</f>
        <v>-0.63934056768831304</v>
      </c>
      <c r="KL57" s="3">
        <f ca="1">IFERROR(__xludf.DUMMYFUNCTION("""COMPUTED_VALUE"""),-0.694373590113301)</f>
        <v>-0.69437359011330102</v>
      </c>
      <c r="KM57" s="3">
        <f ca="1">IFERROR(__xludf.DUMMYFUNCTION("""COMPUTED_VALUE"""),-0.696751806605372)</f>
        <v>-0.69675180660537195</v>
      </c>
      <c r="KN57" s="3">
        <f ca="1">IFERROR(__xludf.DUMMYFUNCTION("""COMPUTED_VALUE"""),-0.605086449116125)</f>
        <v>-0.60508644911612497</v>
      </c>
      <c r="KO57" s="3">
        <f ca="1">IFERROR(__xludf.DUMMYFUNCTION("""COMPUTED_VALUE"""),-0.6542899951971)</f>
        <v>-0.65428999519709996</v>
      </c>
      <c r="KP57" s="3">
        <f ca="1">IFERROR(__xludf.DUMMYFUNCTION("""COMPUTED_VALUE"""),-0.689727078910457)</f>
        <v>-0.68972707891045704</v>
      </c>
      <c r="KQ57" s="3">
        <f ca="1">IFERROR(__xludf.DUMMYFUNCTION("""COMPUTED_VALUE"""),-0.681331238135816)</f>
        <v>-0.68133123813581598</v>
      </c>
      <c r="KR57" s="3">
        <f ca="1">IFERROR(__xludf.DUMMYFUNCTION("""COMPUTED_VALUE"""),-0.639484504888344)</f>
        <v>-0.63948450488834396</v>
      </c>
      <c r="KS57" s="3">
        <f ca="1">IFERROR(__xludf.DUMMYFUNCTION("""COMPUTED_VALUE"""),-0.746886282136068)</f>
        <v>-0.746886282136068</v>
      </c>
      <c r="KT57" s="3">
        <f ca="1">IFERROR(__xludf.DUMMYFUNCTION("""COMPUTED_VALUE"""),-0.669226128256727)</f>
        <v>-0.669226128256727</v>
      </c>
      <c r="KU57" s="3">
        <f ca="1">IFERROR(__xludf.DUMMYFUNCTION("""COMPUTED_VALUE"""),-0.667583429390647)</f>
        <v>-0.66758342939064697</v>
      </c>
      <c r="KV57" s="3">
        <f ca="1">IFERROR(__xludf.DUMMYFUNCTION("""COMPUTED_VALUE"""),-0.671840258933659)</f>
        <v>-0.67184025893365895</v>
      </c>
      <c r="KW57" s="3">
        <f ca="1">IFERROR(__xludf.DUMMYFUNCTION("""COMPUTED_VALUE"""),-0.63595323794267)</f>
        <v>-0.63595323794267</v>
      </c>
      <c r="KX57" s="3">
        <f ca="1">IFERROR(__xludf.DUMMYFUNCTION("""COMPUTED_VALUE"""),-0.752211023695985)</f>
        <v>-0.75221102369598503</v>
      </c>
      <c r="KY57" s="3">
        <f ca="1">IFERROR(__xludf.DUMMYFUNCTION("""COMPUTED_VALUE"""),-0.655662963707411)</f>
        <v>-0.65566296370741095</v>
      </c>
      <c r="KZ57" s="3">
        <f ca="1">IFERROR(__xludf.DUMMYFUNCTION("""COMPUTED_VALUE"""),-0.696858653556892)</f>
        <v>-0.69685865355689203</v>
      </c>
      <c r="LA57" s="3">
        <f ca="1">IFERROR(__xludf.DUMMYFUNCTION("""COMPUTED_VALUE"""),-0.66907432636015)</f>
        <v>-0.66907432636014996</v>
      </c>
      <c r="LB57" s="3">
        <f ca="1">IFERROR(__xludf.DUMMYFUNCTION("""COMPUTED_VALUE"""),-0.664583349097714)</f>
        <v>-0.66458334909771399</v>
      </c>
      <c r="LC57" s="3">
        <f ca="1">IFERROR(__xludf.DUMMYFUNCTION("""COMPUTED_VALUE"""),-0.643275613199479)</f>
        <v>-0.64327561319947901</v>
      </c>
      <c r="LD57" s="3">
        <f ca="1">IFERROR(__xludf.DUMMYFUNCTION("""COMPUTED_VALUE"""),-0.732032549634633)</f>
        <v>-0.73203254963463305</v>
      </c>
      <c r="LE57" s="3">
        <f ca="1">IFERROR(__xludf.DUMMYFUNCTION("""COMPUTED_VALUE"""),-0.700798000603013)</f>
        <v>-0.700798000603013</v>
      </c>
      <c r="LF57" s="3">
        <f ca="1">IFERROR(__xludf.DUMMYFUNCTION("""COMPUTED_VALUE"""),-0.70773404126004)</f>
        <v>-0.70773404126004003</v>
      </c>
      <c r="LG57" s="3">
        <f ca="1">IFERROR(__xludf.DUMMYFUNCTION("""COMPUTED_VALUE"""),-0.737645844258779)</f>
        <v>-0.73764584425877899</v>
      </c>
      <c r="LH57" s="3">
        <f ca="1">IFERROR(__xludf.DUMMYFUNCTION("""COMPUTED_VALUE"""),-0.686184292415198)</f>
        <v>-0.68618429241519796</v>
      </c>
      <c r="LI57" s="3">
        <f ca="1">IFERROR(__xludf.DUMMYFUNCTION("""COMPUTED_VALUE"""),-0.674395367194159)</f>
        <v>-0.67439536719415905</v>
      </c>
      <c r="LJ57" s="3">
        <f ca="1">IFERROR(__xludf.DUMMYFUNCTION("""COMPUTED_VALUE"""),-0.718777591243603)</f>
        <v>-0.71877759124360296</v>
      </c>
      <c r="LK57" s="3">
        <f ca="1">IFERROR(__xludf.DUMMYFUNCTION("""COMPUTED_VALUE"""),-0.75823576526524)</f>
        <v>-0.75823576526523995</v>
      </c>
      <c r="LL57" s="3">
        <f ca="1">IFERROR(__xludf.DUMMYFUNCTION("""COMPUTED_VALUE"""),-0.716857716572212)</f>
        <v>-0.71685771657221198</v>
      </c>
      <c r="LM57" s="3">
        <f ca="1">IFERROR(__xludf.DUMMYFUNCTION("""COMPUTED_VALUE"""),-0.651872671958641)</f>
        <v>-0.65187267195864096</v>
      </c>
      <c r="LN57" s="3">
        <f ca="1">IFERROR(__xludf.DUMMYFUNCTION("""COMPUTED_VALUE"""),-0.732431034976364)</f>
        <v>-0.73243103497636397</v>
      </c>
      <c r="LO57" s="3">
        <f ca="1">IFERROR(__xludf.DUMMYFUNCTION("""COMPUTED_VALUE"""),-0.740300996293413)</f>
        <v>-0.74030099629341295</v>
      </c>
      <c r="LP57" s="3">
        <f ca="1">IFERROR(__xludf.DUMMYFUNCTION("""COMPUTED_VALUE"""),-0.743187109233964)</f>
        <v>-0.74318710923396403</v>
      </c>
      <c r="LQ57" s="3">
        <f ca="1">IFERROR(__xludf.DUMMYFUNCTION("""COMPUTED_VALUE"""),-0.717886015179903)</f>
        <v>-0.71788601517990303</v>
      </c>
      <c r="LR57" s="3">
        <f ca="1">IFERROR(__xludf.DUMMYFUNCTION("""COMPUTED_VALUE"""),-0.763298802568238)</f>
        <v>-0.76329880256823801</v>
      </c>
      <c r="LS57" s="3">
        <f ca="1">IFERROR(__xludf.DUMMYFUNCTION("""COMPUTED_VALUE"""),-0.758099206065111)</f>
        <v>-0.75809920606511105</v>
      </c>
      <c r="LT57" s="3">
        <f ca="1">IFERROR(__xludf.DUMMYFUNCTION("""COMPUTED_VALUE"""),-0.750896279152531)</f>
        <v>-0.75089627915253099</v>
      </c>
      <c r="LU57" s="3">
        <f ca="1">IFERROR(__xludf.DUMMYFUNCTION("""COMPUTED_VALUE"""),-0.77983417855566)</f>
        <v>-0.77983417855565995</v>
      </c>
      <c r="LV57" s="3">
        <f ca="1">IFERROR(__xludf.DUMMYFUNCTION("""COMPUTED_VALUE"""),-0.748929644709047)</f>
        <v>-0.74892964470904699</v>
      </c>
      <c r="LW57" s="3">
        <f ca="1">IFERROR(__xludf.DUMMYFUNCTION("""COMPUTED_VALUE"""),-0.759684782224571)</f>
        <v>-0.75968478222457103</v>
      </c>
      <c r="LX57" s="3">
        <f ca="1">IFERROR(__xludf.DUMMYFUNCTION("""COMPUTED_VALUE"""),-0.742311261838096)</f>
        <v>-0.74231126183809604</v>
      </c>
      <c r="LY57" s="3">
        <f ca="1">IFERROR(__xludf.DUMMYFUNCTION("""COMPUTED_VALUE"""),-0.788076704736683)</f>
        <v>-0.78807670473668301</v>
      </c>
      <c r="LZ57" s="3">
        <f ca="1">IFERROR(__xludf.DUMMYFUNCTION("""COMPUTED_VALUE"""),-0.766670275081857)</f>
        <v>-0.76667027508185703</v>
      </c>
      <c r="MA57" s="3">
        <f ca="1">IFERROR(__xludf.DUMMYFUNCTION("""COMPUTED_VALUE"""),-0.798560525509926)</f>
        <v>-0.79856052550992596</v>
      </c>
      <c r="MB57" s="3">
        <f ca="1">IFERROR(__xludf.DUMMYFUNCTION("""COMPUTED_VALUE"""),-0.79411809033865)</f>
        <v>-0.79411809033865</v>
      </c>
      <c r="MC57" s="3">
        <f ca="1">IFERROR(__xludf.DUMMYFUNCTION("""COMPUTED_VALUE"""),-0.789889990512041)</f>
        <v>-0.78988999051204101</v>
      </c>
      <c r="MD57" s="3">
        <f ca="1">IFERROR(__xludf.DUMMYFUNCTION("""COMPUTED_VALUE"""),-0.794937150714855)</f>
        <v>-0.79493715071485505</v>
      </c>
      <c r="ME57" s="3">
        <f ca="1">IFERROR(__xludf.DUMMYFUNCTION("""COMPUTED_VALUE"""),-0.782612007400382)</f>
        <v>-0.78261200740038195</v>
      </c>
      <c r="MF57" s="3">
        <f ca="1">IFERROR(__xludf.DUMMYFUNCTION("""COMPUTED_VALUE"""),-0.803195070615361)</f>
        <v>-0.803195070615361</v>
      </c>
      <c r="MG57" s="3">
        <f ca="1">IFERROR(__xludf.DUMMYFUNCTION("""COMPUTED_VALUE"""),-0.790121467842084)</f>
        <v>-0.79012146784208404</v>
      </c>
      <c r="MH57" s="3">
        <f ca="1">IFERROR(__xludf.DUMMYFUNCTION("""COMPUTED_VALUE"""),-0.766031233709491)</f>
        <v>-0.766031233709491</v>
      </c>
      <c r="MI57" s="3">
        <f ca="1">IFERROR(__xludf.DUMMYFUNCTION("""COMPUTED_VALUE"""),-0.835677016489354)</f>
        <v>-0.835677016489354</v>
      </c>
      <c r="MJ57" s="3">
        <f ca="1">IFERROR(__xludf.DUMMYFUNCTION("""COMPUTED_VALUE"""),-0.833862162164265)</f>
        <v>-0.83386216216426501</v>
      </c>
      <c r="MK57" s="3">
        <f ca="1">IFERROR(__xludf.DUMMYFUNCTION("""COMPUTED_VALUE"""),-0.809293247557562)</f>
        <v>-0.80929324755756205</v>
      </c>
      <c r="ML57" s="3">
        <f ca="1">IFERROR(__xludf.DUMMYFUNCTION("""COMPUTED_VALUE"""),-0.752421494387126)</f>
        <v>-0.75242149438712602</v>
      </c>
      <c r="MM57" s="3">
        <f ca="1">IFERROR(__xludf.DUMMYFUNCTION("""COMPUTED_VALUE"""),-0.717817123845523)</f>
        <v>-0.71781712384552299</v>
      </c>
      <c r="MN57" s="3">
        <f ca="1">IFERROR(__xludf.DUMMYFUNCTION("""COMPUTED_VALUE"""),-0.786290818259282)</f>
        <v>-0.78629081825928204</v>
      </c>
      <c r="MO57" s="3">
        <f ca="1">IFERROR(__xludf.DUMMYFUNCTION("""COMPUTED_VALUE"""),-0.746288466991562)</f>
        <v>-0.74628846699156204</v>
      </c>
      <c r="MP57" s="3">
        <f ca="1">IFERROR(__xludf.DUMMYFUNCTION("""COMPUTED_VALUE"""),-0.799045144302505)</f>
        <v>-0.79904514430250495</v>
      </c>
      <c r="MQ57" s="3">
        <f ca="1">IFERROR(__xludf.DUMMYFUNCTION("""COMPUTED_VALUE"""),-0.860961978338484)</f>
        <v>-0.86096197833848398</v>
      </c>
      <c r="MR57" s="3">
        <f ca="1">IFERROR(__xludf.DUMMYFUNCTION("""COMPUTED_VALUE"""),-0.845413072180892)</f>
        <v>-0.84541307218089201</v>
      </c>
      <c r="MS57" s="3">
        <f ca="1">IFERROR(__xludf.DUMMYFUNCTION("""COMPUTED_VALUE"""),-0.753982815913792)</f>
        <v>-0.75398281591379201</v>
      </c>
      <c r="MT57" s="3">
        <f ca="1">IFERROR(__xludf.DUMMYFUNCTION("""COMPUTED_VALUE"""),-0.770773347481287)</f>
        <v>-0.77077334748128701</v>
      </c>
      <c r="MU57" s="3">
        <f ca="1">IFERROR(__xludf.DUMMYFUNCTION("""COMPUTED_VALUE"""),-0.807080893361779)</f>
        <v>-0.80708089336177902</v>
      </c>
      <c r="MV57" s="3">
        <f ca="1">IFERROR(__xludf.DUMMYFUNCTION("""COMPUTED_VALUE"""),-0.826705199704313)</f>
        <v>-0.826705199704313</v>
      </c>
      <c r="MW57" s="3">
        <f ca="1">IFERROR(__xludf.DUMMYFUNCTION("""COMPUTED_VALUE"""),-0.844714399347616)</f>
        <v>-0.84471439934761605</v>
      </c>
      <c r="MX57" s="3">
        <f ca="1">IFERROR(__xludf.DUMMYFUNCTION("""COMPUTED_VALUE"""),-0.820803554428899)</f>
        <v>-0.82080355442889896</v>
      </c>
      <c r="MY57" s="3">
        <f ca="1">IFERROR(__xludf.DUMMYFUNCTION("""COMPUTED_VALUE"""),-0.836479856708628)</f>
        <v>-0.83647985670862801</v>
      </c>
      <c r="MZ57" s="3">
        <f ca="1">IFERROR(__xludf.DUMMYFUNCTION("""COMPUTED_VALUE"""),-0.873983718885197)</f>
        <v>-0.87398371888519699</v>
      </c>
      <c r="NA57" s="3">
        <f ca="1">IFERROR(__xludf.DUMMYFUNCTION("""COMPUTED_VALUE"""),-0.82079027182449)</f>
        <v>-0.82079027182449005</v>
      </c>
      <c r="NB57" s="3">
        <f ca="1">IFERROR(__xludf.DUMMYFUNCTION("""COMPUTED_VALUE"""),-0.839913182867679)</f>
        <v>-0.83991318286767902</v>
      </c>
      <c r="NC57" s="3">
        <f ca="1">IFERROR(__xludf.DUMMYFUNCTION("""COMPUTED_VALUE"""),-0.81524630546883)</f>
        <v>-0.81524630546883003</v>
      </c>
      <c r="ND57" s="3">
        <f ca="1">IFERROR(__xludf.DUMMYFUNCTION("""COMPUTED_VALUE"""),-0.808267623150133)</f>
        <v>-0.80826762315013301</v>
      </c>
      <c r="NE57" s="3">
        <f ca="1">IFERROR(__xludf.DUMMYFUNCTION("""COMPUTED_VALUE"""),-0.798837836302856)</f>
        <v>-0.79883783630285599</v>
      </c>
      <c r="NF57" s="3">
        <f ca="1">IFERROR(__xludf.DUMMYFUNCTION("""COMPUTED_VALUE"""),-0.810023282669519)</f>
        <v>-0.81002328266951895</v>
      </c>
      <c r="NG57" s="3">
        <f ca="1">IFERROR(__xludf.DUMMYFUNCTION("""COMPUTED_VALUE"""),-0.75599126081654)</f>
        <v>-0.75599126081654</v>
      </c>
      <c r="NH57" s="3">
        <f ca="1">IFERROR(__xludf.DUMMYFUNCTION("""COMPUTED_VALUE"""),-0.824465878507711)</f>
        <v>-0.82446587850771103</v>
      </c>
      <c r="NI57" s="3">
        <f ca="1">IFERROR(__xludf.DUMMYFUNCTION("""COMPUTED_VALUE"""),-0.810294752571593)</f>
        <v>-0.810294752571593</v>
      </c>
      <c r="NJ57" s="3">
        <f ca="1">IFERROR(__xludf.DUMMYFUNCTION("""COMPUTED_VALUE"""),-0.78016673588527)</f>
        <v>-0.78016673588526997</v>
      </c>
      <c r="NK57" s="3">
        <f ca="1">IFERROR(__xludf.DUMMYFUNCTION("""COMPUTED_VALUE"""),-0.762321136347298)</f>
        <v>-0.76232113634729803</v>
      </c>
      <c r="NL57" s="3">
        <f ca="1">IFERROR(__xludf.DUMMYFUNCTION("""COMPUTED_VALUE"""),-0.782248476863)</f>
        <v>-0.78224847686300003</v>
      </c>
      <c r="NM57" s="3">
        <f ca="1">IFERROR(__xludf.DUMMYFUNCTION("""COMPUTED_VALUE"""),-0.822439973465438)</f>
        <v>-0.82243997346543796</v>
      </c>
      <c r="NN57" s="3">
        <f ca="1">IFERROR(__xludf.DUMMYFUNCTION("""COMPUTED_VALUE"""),-0.781808514269945)</f>
        <v>-0.78180851426994502</v>
      </c>
      <c r="NO57" s="3">
        <f ca="1">IFERROR(__xludf.DUMMYFUNCTION("""COMPUTED_VALUE"""),-0.822169776229485)</f>
        <v>-0.82216977622948495</v>
      </c>
      <c r="NP57" s="3">
        <f ca="1">IFERROR(__xludf.DUMMYFUNCTION("""COMPUTED_VALUE"""),-0.825097440504278)</f>
        <v>-0.82509744050427802</v>
      </c>
      <c r="NQ57" s="3">
        <f ca="1">IFERROR(__xludf.DUMMYFUNCTION("""COMPUTED_VALUE"""),-0.750474127092455)</f>
        <v>-0.75047412709245498</v>
      </c>
      <c r="NR57" s="3">
        <f ca="1">IFERROR(__xludf.DUMMYFUNCTION("""COMPUTED_VALUE"""),-0.797710244506319)</f>
        <v>-0.797710244506319</v>
      </c>
      <c r="NS57" s="3">
        <f ca="1">IFERROR(__xludf.DUMMYFUNCTION("""COMPUTED_VALUE"""),-0.782631742614383)</f>
        <v>-0.78263174261438295</v>
      </c>
      <c r="NT57" s="3">
        <f ca="1">IFERROR(__xludf.DUMMYFUNCTION("""COMPUTED_VALUE"""),-0.775843979988016)</f>
        <v>-0.77584397998801602</v>
      </c>
      <c r="NU57" s="3">
        <f ca="1">IFERROR(__xludf.DUMMYFUNCTION("""COMPUTED_VALUE"""),-0.646618068702512)</f>
        <v>-0.64661806870251204</v>
      </c>
      <c r="NV57" s="3">
        <f ca="1">IFERROR(__xludf.DUMMYFUNCTION("""COMPUTED_VALUE"""),-0.698676172610107)</f>
        <v>-0.69867617261010695</v>
      </c>
      <c r="NW57" s="3">
        <f ca="1">IFERROR(__xludf.DUMMYFUNCTION("""COMPUTED_VALUE"""),-0.601798066673555)</f>
        <v>-0.60179806667355495</v>
      </c>
      <c r="NX57" s="3">
        <f ca="1">IFERROR(__xludf.DUMMYFUNCTION("""COMPUTED_VALUE"""),-0.594632263217752)</f>
        <v>-0.59463226321775198</v>
      </c>
      <c r="NY57" s="3">
        <f ca="1">IFERROR(__xludf.DUMMYFUNCTION("""COMPUTED_VALUE"""),-0.545474935064266)</f>
        <v>-0.54547493506426603</v>
      </c>
      <c r="NZ57" s="3">
        <f ca="1">IFERROR(__xludf.DUMMYFUNCTION("""COMPUTED_VALUE"""),-0.577170489205933)</f>
        <v>-0.57717048920593295</v>
      </c>
      <c r="OA57" s="3">
        <f ca="1">IFERROR(__xludf.DUMMYFUNCTION("""COMPUTED_VALUE"""),-0.508400436701278)</f>
        <v>-0.50840043670127799</v>
      </c>
      <c r="OB57" s="3">
        <f ca="1">IFERROR(__xludf.DUMMYFUNCTION("""COMPUTED_VALUE"""),-0.37034773767945)</f>
        <v>-0.37034773767945001</v>
      </c>
      <c r="OC57" s="3">
        <f ca="1">IFERROR(__xludf.DUMMYFUNCTION("""COMPUTED_VALUE"""),-0.330088603378017)</f>
        <v>-0.33008860337801699</v>
      </c>
      <c r="OD57" s="3">
        <f ca="1">IFERROR(__xludf.DUMMYFUNCTION("""COMPUTED_VALUE"""),-0.20477832841229)</f>
        <v>-0.20477832841228999</v>
      </c>
      <c r="OE57" s="3">
        <f ca="1">IFERROR(__xludf.DUMMYFUNCTION("""COMPUTED_VALUE"""),-0.147011517915274)</f>
        <v>-0.147011517915274</v>
      </c>
      <c r="OF57" s="3">
        <f ca="1">IFERROR(__xludf.DUMMYFUNCTION("""COMPUTED_VALUE"""),-0.115944946707957)</f>
        <v>-0.11594494670795701</v>
      </c>
      <c r="OG57" s="3">
        <f ca="1">IFERROR(__xludf.DUMMYFUNCTION("""COMPUTED_VALUE"""),-0.113951925399838)</f>
        <v>-0.11395192539983801</v>
      </c>
      <c r="OH57" s="3">
        <f ca="1">IFERROR(__xludf.DUMMYFUNCTION("""COMPUTED_VALUE"""),-0.02956123612888)</f>
        <v>-2.9561236128880002E-2</v>
      </c>
      <c r="OI57" s="3">
        <f ca="1">IFERROR(__xludf.DUMMYFUNCTION("""COMPUTED_VALUE"""),0.000432020154523593)</f>
        <v>4.32020154523593E-4</v>
      </c>
      <c r="OJ57" s="3">
        <f ca="1">IFERROR(__xludf.DUMMYFUNCTION("""COMPUTED_VALUE"""),-0.087115727265314)</f>
        <v>-8.7115727265313997E-2</v>
      </c>
      <c r="OK57" s="3">
        <f ca="1">IFERROR(__xludf.DUMMYFUNCTION("""COMPUTED_VALUE"""),-0.0671130059063214)</f>
        <v>-6.7113005906321396E-2</v>
      </c>
      <c r="OL57" s="3">
        <f ca="1">IFERROR(__xludf.DUMMYFUNCTION("""COMPUTED_VALUE"""),0.00942494055306597)</f>
        <v>9.4249405530659695E-3</v>
      </c>
      <c r="OM57" s="3">
        <f ca="1">IFERROR(__xludf.DUMMYFUNCTION("""COMPUTED_VALUE"""),0.0146445032586703)</f>
        <v>1.46445032586703E-2</v>
      </c>
      <c r="ON57" s="3">
        <f ca="1">IFERROR(__xludf.DUMMYFUNCTION("""COMPUTED_VALUE"""),-0.0431608687895637)</f>
        <v>-4.3160868789563697E-2</v>
      </c>
      <c r="OO57" s="3">
        <f ca="1">IFERROR(__xludf.DUMMYFUNCTION("""COMPUTED_VALUE"""),-0.040864955451604)</f>
        <v>-4.0864955451603999E-2</v>
      </c>
      <c r="OP57" s="3">
        <f ca="1">IFERROR(__xludf.DUMMYFUNCTION("""COMPUTED_VALUE"""),-0.0305111910819905)</f>
        <v>-3.0511191081990501E-2</v>
      </c>
      <c r="OQ57" s="3">
        <f ca="1">IFERROR(__xludf.DUMMYFUNCTION("""COMPUTED_VALUE"""),-0.0670528792576129)</f>
        <v>-6.7052879257612899E-2</v>
      </c>
      <c r="OR57" s="3">
        <f ca="1">IFERROR(__xludf.DUMMYFUNCTION("""COMPUTED_VALUE"""),-0.159181112169871)</f>
        <v>-0.15918111216987099</v>
      </c>
      <c r="OS57" s="3">
        <f ca="1">IFERROR(__xludf.DUMMYFUNCTION("""COMPUTED_VALUE"""),-0.0715861191379431)</f>
        <v>-7.1586119137943105E-2</v>
      </c>
      <c r="OT57" s="3">
        <f ca="1">IFERROR(__xludf.DUMMYFUNCTION("""COMPUTED_VALUE"""),0.0656182338455191)</f>
        <v>6.5618233845519097E-2</v>
      </c>
      <c r="OU57" s="3">
        <f ca="1">IFERROR(__xludf.DUMMYFUNCTION("""COMPUTED_VALUE"""),-0.0788047528002474)</f>
        <v>-7.8804752800247402E-2</v>
      </c>
      <c r="OV57" s="3">
        <f ca="1">IFERROR(__xludf.DUMMYFUNCTION("""COMPUTED_VALUE"""),0.0449442104610915)</f>
        <v>4.4944210461091497E-2</v>
      </c>
      <c r="OW57" s="3">
        <f ca="1">IFERROR(__xludf.DUMMYFUNCTION("""COMPUTED_VALUE"""),-0.0451072960233076)</f>
        <v>-4.5107296023307597E-2</v>
      </c>
      <c r="OX57" s="3">
        <f ca="1">IFERROR(__xludf.DUMMYFUNCTION("""COMPUTED_VALUE"""),0.135339140016198)</f>
        <v>0.13533914001619801</v>
      </c>
      <c r="OY57" s="3">
        <f ca="1">IFERROR(__xludf.DUMMYFUNCTION("""COMPUTED_VALUE"""),-0.00629978113928575)</f>
        <v>-6.2997811392857504E-3</v>
      </c>
      <c r="OZ57" s="3">
        <f ca="1">IFERROR(__xludf.DUMMYFUNCTION("""COMPUTED_VALUE"""),0.0739679963498982)</f>
        <v>7.3967996349898202E-2</v>
      </c>
      <c r="PA57" s="3">
        <f ca="1">IFERROR(__xludf.DUMMYFUNCTION("""COMPUTED_VALUE"""),0.0171978606128804)</f>
        <v>1.7197860612880402E-2</v>
      </c>
      <c r="PB57" s="3">
        <f ca="1">IFERROR(__xludf.DUMMYFUNCTION("""COMPUTED_VALUE"""),-0.00989528037981557)</f>
        <v>-9.8952803798155707E-3</v>
      </c>
      <c r="PC57" s="3">
        <f ca="1">IFERROR(__xludf.DUMMYFUNCTION("""COMPUTED_VALUE"""),0.0762310504400762)</f>
        <v>7.6231050440076206E-2</v>
      </c>
      <c r="PD57" s="3">
        <f ca="1">IFERROR(__xludf.DUMMYFUNCTION("""COMPUTED_VALUE"""),-0.158225888368457)</f>
        <v>-0.158225888368457</v>
      </c>
      <c r="PE57" s="3">
        <f ca="1">IFERROR(__xludf.DUMMYFUNCTION("""COMPUTED_VALUE"""),0.108214444139107)</f>
        <v>0.108214444139107</v>
      </c>
      <c r="PF57" s="3">
        <f ca="1">IFERROR(__xludf.DUMMYFUNCTION("""COMPUTED_VALUE"""),0.202653670748359)</f>
        <v>0.20265367074835899</v>
      </c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</row>
    <row r="58" spans="1:594" ht="13">
      <c r="A58" s="1" t="str">
        <f ca="1">IFERROR(__xludf.DUMMYFUNCTION("""COMPUTED_VALUE"""),"Orlando")</f>
        <v>Orlando</v>
      </c>
      <c r="B58" s="3">
        <f ca="1">IFERROR(__xludf.DUMMYFUNCTION("""COMPUTED_VALUE"""),-0.42885516462265)</f>
        <v>-0.42885516462265</v>
      </c>
      <c r="C58" s="3">
        <f ca="1">IFERROR(__xludf.DUMMYFUNCTION("""COMPUTED_VALUE"""),-0.337993951297932)</f>
        <v>-0.33799395129793203</v>
      </c>
      <c r="D58" s="3">
        <f ca="1">IFERROR(__xludf.DUMMYFUNCTION("""COMPUTED_VALUE"""),-0.387921620131337)</f>
        <v>-0.38792162013133702</v>
      </c>
      <c r="E58" s="3">
        <f ca="1">IFERROR(__xludf.DUMMYFUNCTION("""COMPUTED_VALUE"""),-0.372719477410002)</f>
        <v>-0.372719477410002</v>
      </c>
      <c r="F58" s="3">
        <f ca="1">IFERROR(__xludf.DUMMYFUNCTION("""COMPUTED_VALUE"""),-0.44780198681172)</f>
        <v>-0.44780198681172001</v>
      </c>
      <c r="G58" s="3">
        <f ca="1">IFERROR(__xludf.DUMMYFUNCTION("""COMPUTED_VALUE"""),-0.44636311330323)</f>
        <v>-0.44636311330322997</v>
      </c>
      <c r="H58" s="3">
        <f ca="1">IFERROR(__xludf.DUMMYFUNCTION("""COMPUTED_VALUE"""),-0.42850746084606)</f>
        <v>-0.42850746084606001</v>
      </c>
      <c r="I58" s="3">
        <f ca="1">IFERROR(__xludf.DUMMYFUNCTION("""COMPUTED_VALUE"""),-0.472091269072375)</f>
        <v>-0.47209126907237497</v>
      </c>
      <c r="J58" s="3">
        <f ca="1">IFERROR(__xludf.DUMMYFUNCTION("""COMPUTED_VALUE"""),-0.371530153708401)</f>
        <v>-0.37153015370840098</v>
      </c>
      <c r="K58" s="3">
        <f ca="1">IFERROR(__xludf.DUMMYFUNCTION("""COMPUTED_VALUE"""),-0.387223309890636)</f>
        <v>-0.38722330989063602</v>
      </c>
      <c r="L58" s="3">
        <f ca="1">IFERROR(__xludf.DUMMYFUNCTION("""COMPUTED_VALUE"""),-0.390580163222527)</f>
        <v>-0.39058016322252698</v>
      </c>
      <c r="M58" s="3">
        <f ca="1">IFERROR(__xludf.DUMMYFUNCTION("""COMPUTED_VALUE"""),-0.449336591095486)</f>
        <v>-0.44933659109548602</v>
      </c>
      <c r="N58" s="3">
        <f ca="1">IFERROR(__xludf.DUMMYFUNCTION("""COMPUTED_VALUE"""),-0.422136077206656)</f>
        <v>-0.42213607720665602</v>
      </c>
      <c r="O58" s="3">
        <f ca="1">IFERROR(__xludf.DUMMYFUNCTION("""COMPUTED_VALUE"""),-0.456674404627875)</f>
        <v>-0.45667440462787501</v>
      </c>
      <c r="P58" s="3">
        <f ca="1">IFERROR(__xludf.DUMMYFUNCTION("""COMPUTED_VALUE"""),-0.47574783295054)</f>
        <v>-0.47574783295054002</v>
      </c>
      <c r="Q58" s="3">
        <f ca="1">IFERROR(__xludf.DUMMYFUNCTION("""COMPUTED_VALUE"""),-0.490351719998148)</f>
        <v>-0.49035171999814797</v>
      </c>
      <c r="R58" s="3">
        <f ca="1">IFERROR(__xludf.DUMMYFUNCTION("""COMPUTED_VALUE"""),-0.501539962326653)</f>
        <v>-0.50153996232665299</v>
      </c>
      <c r="S58" s="3">
        <f ca="1">IFERROR(__xludf.DUMMYFUNCTION("""COMPUTED_VALUE"""),-0.381832893316429)</f>
        <v>-0.381832893316429</v>
      </c>
      <c r="T58" s="3">
        <f ca="1">IFERROR(__xludf.DUMMYFUNCTION("""COMPUTED_VALUE"""),-0.363178353944557)</f>
        <v>-0.363178353944557</v>
      </c>
      <c r="U58" s="3">
        <f ca="1">IFERROR(__xludf.DUMMYFUNCTION("""COMPUTED_VALUE"""),-0.423413928554762)</f>
        <v>-0.42341392855476201</v>
      </c>
      <c r="V58" s="3">
        <f ca="1">IFERROR(__xludf.DUMMYFUNCTION("""COMPUTED_VALUE"""),-0.351643024154676)</f>
        <v>-0.35164302415467602</v>
      </c>
      <c r="W58" s="3">
        <f ca="1">IFERROR(__xludf.DUMMYFUNCTION("""COMPUTED_VALUE"""),-0.416137422833759)</f>
        <v>-0.41613742283375899</v>
      </c>
      <c r="X58" s="3">
        <f ca="1">IFERROR(__xludf.DUMMYFUNCTION("""COMPUTED_VALUE"""),-0.457023516589382)</f>
        <v>-0.45702351658938201</v>
      </c>
      <c r="Y58" s="3">
        <f ca="1">IFERROR(__xludf.DUMMYFUNCTION("""COMPUTED_VALUE"""),-0.389661305609283)</f>
        <v>-0.38966130560928303</v>
      </c>
      <c r="Z58" s="3">
        <f ca="1">IFERROR(__xludf.DUMMYFUNCTION("""COMPUTED_VALUE"""),-0.381316452599553)</f>
        <v>-0.38131645259955299</v>
      </c>
      <c r="AA58" s="3">
        <f ca="1">IFERROR(__xludf.DUMMYFUNCTION("""COMPUTED_VALUE"""),-0.341820385901317)</f>
        <v>-0.34182038590131703</v>
      </c>
      <c r="AB58" s="3">
        <f ca="1">IFERROR(__xludf.DUMMYFUNCTION("""COMPUTED_VALUE"""),-0.36651054516986)</f>
        <v>-0.36651054516985998</v>
      </c>
      <c r="AC58" s="3">
        <f ca="1">IFERROR(__xludf.DUMMYFUNCTION("""COMPUTED_VALUE"""),-0.28234452740156)</f>
        <v>-0.28234452740156002</v>
      </c>
      <c r="AD58" s="3">
        <f ca="1">IFERROR(__xludf.DUMMYFUNCTION("""COMPUTED_VALUE"""),-0.330957608673033)</f>
        <v>-0.33095760867303298</v>
      </c>
      <c r="AE58" s="3">
        <f ca="1">IFERROR(__xludf.DUMMYFUNCTION("""COMPUTED_VALUE"""),-0.463170212727299)</f>
        <v>-0.46317021272729902</v>
      </c>
      <c r="AF58" s="3">
        <f ca="1">IFERROR(__xludf.DUMMYFUNCTION("""COMPUTED_VALUE"""),-0.430610219868327)</f>
        <v>-0.43061021986832698</v>
      </c>
      <c r="AG58" s="3">
        <f ca="1">IFERROR(__xludf.DUMMYFUNCTION("""COMPUTED_VALUE"""),-0.438391127402083)</f>
        <v>-0.43839112740208303</v>
      </c>
      <c r="AH58" s="3">
        <f ca="1">IFERROR(__xludf.DUMMYFUNCTION("""COMPUTED_VALUE"""),-0.411302820206175)</f>
        <v>-0.41130282020617498</v>
      </c>
      <c r="AI58" s="3">
        <f ca="1">IFERROR(__xludf.DUMMYFUNCTION("""COMPUTED_VALUE"""),-0.465562380785548)</f>
        <v>-0.46556238078554801</v>
      </c>
      <c r="AJ58" s="3">
        <f ca="1">IFERROR(__xludf.DUMMYFUNCTION("""COMPUTED_VALUE"""),-0.412298290654728)</f>
        <v>-0.41229829065472801</v>
      </c>
      <c r="AK58" s="3">
        <f ca="1">IFERROR(__xludf.DUMMYFUNCTION("""COMPUTED_VALUE"""),-0.469644945779057)</f>
        <v>-0.46964494577905702</v>
      </c>
      <c r="AL58" s="3">
        <f ca="1">IFERROR(__xludf.DUMMYFUNCTION("""COMPUTED_VALUE"""),-0.433656314953928)</f>
        <v>-0.43365631495392798</v>
      </c>
      <c r="AM58" s="3">
        <f ca="1">IFERROR(__xludf.DUMMYFUNCTION("""COMPUTED_VALUE"""),-0.439742255892036)</f>
        <v>-0.43974225589203603</v>
      </c>
      <c r="AN58" s="3">
        <f ca="1">IFERROR(__xludf.DUMMYFUNCTION("""COMPUTED_VALUE"""),-0.472688988757815)</f>
        <v>-0.47268898875781501</v>
      </c>
      <c r="AO58" s="3">
        <f ca="1">IFERROR(__xludf.DUMMYFUNCTION("""COMPUTED_VALUE"""),-0.422391455410886)</f>
        <v>-0.42239145541088602</v>
      </c>
      <c r="AP58" s="3">
        <f ca="1">IFERROR(__xludf.DUMMYFUNCTION("""COMPUTED_VALUE"""),-0.441712018002478)</f>
        <v>-0.441712018002478</v>
      </c>
      <c r="AQ58" s="3">
        <f ca="1">IFERROR(__xludf.DUMMYFUNCTION("""COMPUTED_VALUE"""),-0.353555896411922)</f>
        <v>-0.35355589641192198</v>
      </c>
      <c r="AR58" s="3">
        <f ca="1">IFERROR(__xludf.DUMMYFUNCTION("""COMPUTED_VALUE"""),-0.442086504614152)</f>
        <v>-0.442086504614152</v>
      </c>
      <c r="AS58" s="3">
        <f ca="1">IFERROR(__xludf.DUMMYFUNCTION("""COMPUTED_VALUE"""),-0.469048994451104)</f>
        <v>-0.46904899445110398</v>
      </c>
      <c r="AT58" s="3">
        <f ca="1">IFERROR(__xludf.DUMMYFUNCTION("""COMPUTED_VALUE"""),-0.478029352972181)</f>
        <v>-0.47802935297218102</v>
      </c>
      <c r="AU58" s="3">
        <f ca="1">IFERROR(__xludf.DUMMYFUNCTION("""COMPUTED_VALUE"""),-0.45930264981477)</f>
        <v>-0.45930264981476998</v>
      </c>
      <c r="AV58" s="3">
        <f ca="1">IFERROR(__xludf.DUMMYFUNCTION("""COMPUTED_VALUE"""),-0.479594299973228)</f>
        <v>-0.479594299973228</v>
      </c>
      <c r="AW58" s="3">
        <f ca="1">IFERROR(__xludf.DUMMYFUNCTION("""COMPUTED_VALUE"""),-0.461395690898902)</f>
        <v>-0.46139569089890198</v>
      </c>
      <c r="AX58" s="3">
        <f ca="1">IFERROR(__xludf.DUMMYFUNCTION("""COMPUTED_VALUE"""),-0.431037495529302)</f>
        <v>-0.43103749552930198</v>
      </c>
      <c r="AY58" s="3">
        <f ca="1">IFERROR(__xludf.DUMMYFUNCTION("""COMPUTED_VALUE"""),-0.447523797638988)</f>
        <v>-0.44752379763898797</v>
      </c>
      <c r="AZ58" s="3">
        <f ca="1">IFERROR(__xludf.DUMMYFUNCTION("""COMPUTED_VALUE"""),-0.526912425214921)</f>
        <v>-0.52691242521492099</v>
      </c>
      <c r="BA58" s="3">
        <f ca="1">IFERROR(__xludf.DUMMYFUNCTION("""COMPUTED_VALUE"""),-0.515778290174499)</f>
        <v>-0.51577829017449905</v>
      </c>
      <c r="BB58" s="3">
        <f ca="1">IFERROR(__xludf.DUMMYFUNCTION("""COMPUTED_VALUE"""),-0.554151639072506)</f>
        <v>-0.55415163907250597</v>
      </c>
      <c r="BC58" s="3">
        <f ca="1">IFERROR(__xludf.DUMMYFUNCTION("""COMPUTED_VALUE"""),-0.486678216954103)</f>
        <v>-0.48667821695410302</v>
      </c>
      <c r="BD58" s="3">
        <f ca="1">IFERROR(__xludf.DUMMYFUNCTION("""COMPUTED_VALUE"""),-0.509474385234433)</f>
        <v>-0.509474385234433</v>
      </c>
      <c r="BE58" s="3">
        <f ca="1">IFERROR(__xludf.DUMMYFUNCTION("""COMPUTED_VALUE"""),-0.400540744079197)</f>
        <v>-0.40054074407919699</v>
      </c>
      <c r="BF58" s="3">
        <f ca="1">IFERROR(__xludf.DUMMYFUNCTION("""COMPUTED_VALUE"""),-0.473923488094335)</f>
        <v>-0.47392348809433499</v>
      </c>
      <c r="BG58" s="3">
        <f ca="1">IFERROR(__xludf.DUMMYFUNCTION("""COMPUTED_VALUE"""),-0.473654219010867)</f>
        <v>-0.47365421901086702</v>
      </c>
      <c r="BH58" s="3">
        <f ca="1">IFERROR(__xludf.DUMMYFUNCTION("""COMPUTED_VALUE"""),-0.495646825810359)</f>
        <v>-0.49564682581035902</v>
      </c>
      <c r="BI58" s="3">
        <f ca="1">IFERROR(__xludf.DUMMYFUNCTION("""COMPUTED_VALUE"""),-0.530394729564537)</f>
        <v>-0.53039472956453704</v>
      </c>
      <c r="BJ58" s="3">
        <f ca="1">IFERROR(__xludf.DUMMYFUNCTION("""COMPUTED_VALUE"""),-0.520163950368216)</f>
        <v>-0.52016395036821605</v>
      </c>
      <c r="BK58" s="3">
        <f ca="1">IFERROR(__xludf.DUMMYFUNCTION("""COMPUTED_VALUE"""),-0.55047662952345)</f>
        <v>-0.55047662952345</v>
      </c>
      <c r="BL58" s="3">
        <f ca="1">IFERROR(__xludf.DUMMYFUNCTION("""COMPUTED_VALUE"""),-0.567431278793941)</f>
        <v>-0.56743127879394095</v>
      </c>
      <c r="BM58" s="3">
        <f ca="1">IFERROR(__xludf.DUMMYFUNCTION("""COMPUTED_VALUE"""),-0.532018554597183)</f>
        <v>-0.53201855459718295</v>
      </c>
      <c r="BN58" s="3">
        <f ca="1">IFERROR(__xludf.DUMMYFUNCTION("""COMPUTED_VALUE"""),-0.522190166391469)</f>
        <v>-0.52219016639146898</v>
      </c>
      <c r="BO58" s="3">
        <f ca="1">IFERROR(__xludf.DUMMYFUNCTION("""COMPUTED_VALUE"""),-0.542113381044466)</f>
        <v>-0.54211338104446605</v>
      </c>
      <c r="BP58" s="3">
        <f ca="1">IFERROR(__xludf.DUMMYFUNCTION("""COMPUTED_VALUE"""),-0.588584505729664)</f>
        <v>-0.58858450572966403</v>
      </c>
      <c r="BQ58" s="3">
        <f ca="1">IFERROR(__xludf.DUMMYFUNCTION("""COMPUTED_VALUE"""),-0.577621454765309)</f>
        <v>-0.57762145476530902</v>
      </c>
      <c r="BR58" s="3">
        <f ca="1">IFERROR(__xludf.DUMMYFUNCTION("""COMPUTED_VALUE"""),-0.525056416896059)</f>
        <v>-0.52505641689605898</v>
      </c>
      <c r="BS58" s="3">
        <f ca="1">IFERROR(__xludf.DUMMYFUNCTION("""COMPUTED_VALUE"""),-0.547828616619199)</f>
        <v>-0.54782861661919902</v>
      </c>
      <c r="BT58" s="3">
        <f ca="1">IFERROR(__xludf.DUMMYFUNCTION("""COMPUTED_VALUE"""),-0.522913128479033)</f>
        <v>-0.52291312847903304</v>
      </c>
      <c r="BU58" s="3">
        <f ca="1">IFERROR(__xludf.DUMMYFUNCTION("""COMPUTED_VALUE"""),-0.602754782627424)</f>
        <v>-0.60275478262742399</v>
      </c>
      <c r="BV58" s="3">
        <f ca="1">IFERROR(__xludf.DUMMYFUNCTION("""COMPUTED_VALUE"""),-0.597283068854014)</f>
        <v>-0.59728306885401405</v>
      </c>
      <c r="BW58" s="3">
        <f ca="1">IFERROR(__xludf.DUMMYFUNCTION("""COMPUTED_VALUE"""),-0.484843363349826)</f>
        <v>-0.48484336334982597</v>
      </c>
      <c r="BX58" s="3">
        <f ca="1">IFERROR(__xludf.DUMMYFUNCTION("""COMPUTED_VALUE"""),-0.555996636253479)</f>
        <v>-0.55599663625347895</v>
      </c>
      <c r="BY58" s="3">
        <f ca="1">IFERROR(__xludf.DUMMYFUNCTION("""COMPUTED_VALUE"""),-0.558970020079549)</f>
        <v>-0.55897002007954899</v>
      </c>
      <c r="BZ58" s="3">
        <f ca="1">IFERROR(__xludf.DUMMYFUNCTION("""COMPUTED_VALUE"""),-0.486331151587512)</f>
        <v>-0.486331151587512</v>
      </c>
      <c r="CA58" s="3">
        <f ca="1">IFERROR(__xludf.DUMMYFUNCTION("""COMPUTED_VALUE"""),-0.575056027710881)</f>
        <v>-0.57505602771088105</v>
      </c>
      <c r="CB58" s="3">
        <f ca="1">IFERROR(__xludf.DUMMYFUNCTION("""COMPUTED_VALUE"""),-0.555215775082974)</f>
        <v>-0.55521577508297404</v>
      </c>
      <c r="CC58" s="3">
        <f ca="1">IFERROR(__xludf.DUMMYFUNCTION("""COMPUTED_VALUE"""),-0.591482762564328)</f>
        <v>-0.59148276256432797</v>
      </c>
      <c r="CD58" s="3">
        <f ca="1">IFERROR(__xludf.DUMMYFUNCTION("""COMPUTED_VALUE"""),-0.473458184504011)</f>
        <v>-0.473458184504011</v>
      </c>
      <c r="CE58" s="3">
        <f ca="1">IFERROR(__xludf.DUMMYFUNCTION("""COMPUTED_VALUE"""),-0.589365526150669)</f>
        <v>-0.58936552615066895</v>
      </c>
      <c r="CF58" s="3">
        <f ca="1">IFERROR(__xludf.DUMMYFUNCTION("""COMPUTED_VALUE"""),-0.615696855579559)</f>
        <v>-0.615696855579559</v>
      </c>
      <c r="CG58" s="3">
        <f ca="1">IFERROR(__xludf.DUMMYFUNCTION("""COMPUTED_VALUE"""),-0.484868774154919)</f>
        <v>-0.48486877415491902</v>
      </c>
      <c r="CH58" s="3">
        <f ca="1">IFERROR(__xludf.DUMMYFUNCTION("""COMPUTED_VALUE"""),-0.54068861696989)</f>
        <v>-0.54068861696989001</v>
      </c>
      <c r="CI58" s="3">
        <f ca="1">IFERROR(__xludf.DUMMYFUNCTION("""COMPUTED_VALUE"""),-0.540247772976412)</f>
        <v>-0.54024777297641202</v>
      </c>
      <c r="CJ58" s="3">
        <f ca="1">IFERROR(__xludf.DUMMYFUNCTION("""COMPUTED_VALUE"""),-0.628846121975938)</f>
        <v>-0.62884612197593803</v>
      </c>
      <c r="CK58" s="3">
        <f ca="1">IFERROR(__xludf.DUMMYFUNCTION("""COMPUTED_VALUE"""),-0.57269015980083)</f>
        <v>-0.57269015980083005</v>
      </c>
      <c r="CL58" s="3">
        <f ca="1">IFERROR(__xludf.DUMMYFUNCTION("""COMPUTED_VALUE"""),-0.579506120518213)</f>
        <v>-0.57950612051821304</v>
      </c>
      <c r="CM58" s="3">
        <f ca="1">IFERROR(__xludf.DUMMYFUNCTION("""COMPUTED_VALUE"""),-0.563330844821648)</f>
        <v>-0.56333084482164797</v>
      </c>
      <c r="CN58" s="3">
        <f ca="1">IFERROR(__xludf.DUMMYFUNCTION("""COMPUTED_VALUE"""),-0.449355732270001)</f>
        <v>-0.44935573227000097</v>
      </c>
      <c r="CO58" s="3">
        <f ca="1">IFERROR(__xludf.DUMMYFUNCTION("""COMPUTED_VALUE"""),-0.496155034988313)</f>
        <v>-0.49615503498831298</v>
      </c>
      <c r="CP58" s="3">
        <f ca="1">IFERROR(__xludf.DUMMYFUNCTION("""COMPUTED_VALUE"""),-0.590887344660667)</f>
        <v>-0.59088734466066695</v>
      </c>
      <c r="CQ58" s="3">
        <f ca="1">IFERROR(__xludf.DUMMYFUNCTION("""COMPUTED_VALUE"""),-0.552586324512176)</f>
        <v>-0.55258632451217604</v>
      </c>
      <c r="CR58" s="3">
        <f ca="1">IFERROR(__xludf.DUMMYFUNCTION("""COMPUTED_VALUE"""),-0.574136049320488)</f>
        <v>-0.57413604932048801</v>
      </c>
      <c r="CS58" s="3">
        <f ca="1">IFERROR(__xludf.DUMMYFUNCTION("""COMPUTED_VALUE"""),-0.576281820769954)</f>
        <v>-0.57628182076995405</v>
      </c>
      <c r="CT58" s="3">
        <f ca="1">IFERROR(__xludf.DUMMYFUNCTION("""COMPUTED_VALUE"""),-0.575559185256583)</f>
        <v>-0.57555918525658301</v>
      </c>
      <c r="CU58" s="3">
        <f ca="1">IFERROR(__xludf.DUMMYFUNCTION("""COMPUTED_VALUE"""),-0.472838084528417)</f>
        <v>-0.47283808452841702</v>
      </c>
      <c r="CV58" s="3">
        <f ca="1">IFERROR(__xludf.DUMMYFUNCTION("""COMPUTED_VALUE"""),-0.502700916329673)</f>
        <v>-0.50270091632967295</v>
      </c>
      <c r="CW58" s="3">
        <f ca="1">IFERROR(__xludf.DUMMYFUNCTION("""COMPUTED_VALUE"""),-0.563031394150699)</f>
        <v>-0.56303139415069903</v>
      </c>
      <c r="CX58" s="3">
        <f ca="1">IFERROR(__xludf.DUMMYFUNCTION("""COMPUTED_VALUE"""),-0.5038475348398)</f>
        <v>-0.50384753483980005</v>
      </c>
      <c r="CY58" s="3">
        <f ca="1">IFERROR(__xludf.DUMMYFUNCTION("""COMPUTED_VALUE"""),-0.39017857002084)</f>
        <v>-0.39017857002084</v>
      </c>
      <c r="CZ58" s="3">
        <f ca="1">IFERROR(__xludf.DUMMYFUNCTION("""COMPUTED_VALUE"""),-0.468544553826715)</f>
        <v>-0.468544553826715</v>
      </c>
      <c r="DA58" s="3">
        <f ca="1">IFERROR(__xludf.DUMMYFUNCTION("""COMPUTED_VALUE"""),-0.535176218147235)</f>
        <v>-0.53517621814723504</v>
      </c>
      <c r="DB58" s="3">
        <f ca="1">IFERROR(__xludf.DUMMYFUNCTION("""COMPUTED_VALUE"""),-0.526077368365715)</f>
        <v>-0.52607736836571495</v>
      </c>
      <c r="DC58" s="3">
        <f ca="1">IFERROR(__xludf.DUMMYFUNCTION("""COMPUTED_VALUE"""),-0.57993647851926)</f>
        <v>-0.57993647851926</v>
      </c>
      <c r="DD58" s="3">
        <f ca="1">IFERROR(__xludf.DUMMYFUNCTION("""COMPUTED_VALUE"""),-0.718283589470817)</f>
        <v>-0.71828358947081705</v>
      </c>
      <c r="DE58" s="3">
        <f ca="1">IFERROR(__xludf.DUMMYFUNCTION("""COMPUTED_VALUE"""),-0.505985919052467)</f>
        <v>-0.50598591905246704</v>
      </c>
      <c r="DF58" s="3">
        <f ca="1">IFERROR(__xludf.DUMMYFUNCTION("""COMPUTED_VALUE"""),-0.391457260609674)</f>
        <v>-0.39145726060967401</v>
      </c>
      <c r="DG58" s="3">
        <f ca="1">IFERROR(__xludf.DUMMYFUNCTION("""COMPUTED_VALUE"""),-0.516758256402313)</f>
        <v>-0.51675825640231299</v>
      </c>
      <c r="DH58" s="3">
        <f ca="1">IFERROR(__xludf.DUMMYFUNCTION("""COMPUTED_VALUE"""),-0.570023144293696)</f>
        <v>-0.57002314429369605</v>
      </c>
      <c r="DI58" s="3">
        <f ca="1">IFERROR(__xludf.DUMMYFUNCTION("""COMPUTED_VALUE"""),-0.445684139797451)</f>
        <v>-0.44568413979745097</v>
      </c>
      <c r="DJ58" s="3">
        <f ca="1">IFERROR(__xludf.DUMMYFUNCTION("""COMPUTED_VALUE"""),-0.476236572376796)</f>
        <v>-0.47623657237679601</v>
      </c>
      <c r="DK58" s="3">
        <f ca="1">IFERROR(__xludf.DUMMYFUNCTION("""COMPUTED_VALUE"""),-0.485211122526688)</f>
        <v>-0.48521112252668802</v>
      </c>
      <c r="DL58" s="3">
        <f ca="1">IFERROR(__xludf.DUMMYFUNCTION("""COMPUTED_VALUE"""),-0.549761774880019)</f>
        <v>-0.54976177488001898</v>
      </c>
      <c r="DM58" s="3">
        <f ca="1">IFERROR(__xludf.DUMMYFUNCTION("""COMPUTED_VALUE"""),-0.403564304326642)</f>
        <v>-0.40356430432664198</v>
      </c>
      <c r="DN58" s="3">
        <f ca="1">IFERROR(__xludf.DUMMYFUNCTION("""COMPUTED_VALUE"""),-0.471708613817381)</f>
        <v>-0.471708613817381</v>
      </c>
      <c r="DO58" s="3">
        <f ca="1">IFERROR(__xludf.DUMMYFUNCTION("""COMPUTED_VALUE"""),-0.494213931147519)</f>
        <v>-0.49421393114751899</v>
      </c>
      <c r="DP58" s="3">
        <f ca="1">IFERROR(__xludf.DUMMYFUNCTION("""COMPUTED_VALUE"""),-0.456316876668102)</f>
        <v>-0.456316876668102</v>
      </c>
      <c r="DQ58" s="3">
        <f ca="1">IFERROR(__xludf.DUMMYFUNCTION("""COMPUTED_VALUE"""),-0.470085665805173)</f>
        <v>-0.47008566580517303</v>
      </c>
      <c r="DR58" s="3">
        <f ca="1">IFERROR(__xludf.DUMMYFUNCTION("""COMPUTED_VALUE"""),-0.494938985211941)</f>
        <v>-0.49493898521194102</v>
      </c>
      <c r="DS58" s="3">
        <f ca="1">IFERROR(__xludf.DUMMYFUNCTION("""COMPUTED_VALUE"""),-0.541264580816066)</f>
        <v>-0.54126458081606599</v>
      </c>
      <c r="DT58" s="3">
        <f ca="1">IFERROR(__xludf.DUMMYFUNCTION("""COMPUTED_VALUE"""),-0.570105928424)</f>
        <v>-0.57010592842399999</v>
      </c>
      <c r="DU58" s="3">
        <f ca="1">IFERROR(__xludf.DUMMYFUNCTION("""COMPUTED_VALUE"""),-0.583273968649794)</f>
        <v>-0.58327396864979397</v>
      </c>
      <c r="DV58" s="3">
        <f ca="1">IFERROR(__xludf.DUMMYFUNCTION("""COMPUTED_VALUE"""),-0.642322426049589)</f>
        <v>-0.642322426049589</v>
      </c>
      <c r="DW58" s="3">
        <f ca="1">IFERROR(__xludf.DUMMYFUNCTION("""COMPUTED_VALUE"""),-0.530835737383772)</f>
        <v>-0.53083573738377199</v>
      </c>
      <c r="DX58" s="3">
        <f ca="1">IFERROR(__xludf.DUMMYFUNCTION("""COMPUTED_VALUE"""),-0.483566830603801)</f>
        <v>-0.48356683060380101</v>
      </c>
      <c r="DY58" s="3">
        <f ca="1">IFERROR(__xludf.DUMMYFUNCTION("""COMPUTED_VALUE"""),-0.57044161059627)</f>
        <v>-0.57044161059626997</v>
      </c>
      <c r="DZ58" s="3">
        <f ca="1">IFERROR(__xludf.DUMMYFUNCTION("""COMPUTED_VALUE"""),-0.490246765579311)</f>
        <v>-0.49024676557931102</v>
      </c>
      <c r="EA58" s="3">
        <f ca="1">IFERROR(__xludf.DUMMYFUNCTION("""COMPUTED_VALUE"""),-0.596020574852762)</f>
        <v>-0.59602057485276205</v>
      </c>
      <c r="EB58" s="3">
        <f ca="1">IFERROR(__xludf.DUMMYFUNCTION("""COMPUTED_VALUE"""),-0.591508594391559)</f>
        <v>-0.59150859439155901</v>
      </c>
      <c r="EC58" s="3">
        <f ca="1">IFERROR(__xludf.DUMMYFUNCTION("""COMPUTED_VALUE"""),-0.620012524141021)</f>
        <v>-0.62001252414102104</v>
      </c>
      <c r="ED58" s="3">
        <f ca="1">IFERROR(__xludf.DUMMYFUNCTION("""COMPUTED_VALUE"""),-0.528062015780011)</f>
        <v>-0.528062015780011</v>
      </c>
      <c r="EE58" s="3">
        <f ca="1">IFERROR(__xludf.DUMMYFUNCTION("""COMPUTED_VALUE"""),-0.618580194935969)</f>
        <v>-0.61858019493596905</v>
      </c>
      <c r="EF58" s="3">
        <f ca="1">IFERROR(__xludf.DUMMYFUNCTION("""COMPUTED_VALUE"""),-0.60636082804892)</f>
        <v>-0.60636082804892</v>
      </c>
      <c r="EG58" s="3">
        <f ca="1">IFERROR(__xludf.DUMMYFUNCTION("""COMPUTED_VALUE"""),-0.708196618473255)</f>
        <v>-0.70819661847325499</v>
      </c>
      <c r="EH58" s="3">
        <f ca="1">IFERROR(__xludf.DUMMYFUNCTION("""COMPUTED_VALUE"""),-0.566694458171197)</f>
        <v>-0.56669445817119701</v>
      </c>
      <c r="EI58" s="3">
        <f ca="1">IFERROR(__xludf.DUMMYFUNCTION("""COMPUTED_VALUE"""),-0.585291310045242)</f>
        <v>-0.58529131004524204</v>
      </c>
      <c r="EJ58" s="3">
        <f ca="1">IFERROR(__xludf.DUMMYFUNCTION("""COMPUTED_VALUE"""),-0.596691849157137)</f>
        <v>-0.59669184915713702</v>
      </c>
      <c r="EK58" s="3">
        <f ca="1">IFERROR(__xludf.DUMMYFUNCTION("""COMPUTED_VALUE"""),-0.531061265058944)</f>
        <v>-0.53106126505894402</v>
      </c>
      <c r="EL58" s="3">
        <f ca="1">IFERROR(__xludf.DUMMYFUNCTION("""COMPUTED_VALUE"""),-0.533585341555195)</f>
        <v>-0.53358534155519499</v>
      </c>
      <c r="EM58" s="3">
        <f ca="1">IFERROR(__xludf.DUMMYFUNCTION("""COMPUTED_VALUE"""),-0.526499117785254)</f>
        <v>-0.52649911778525404</v>
      </c>
      <c r="EN58" s="3">
        <f ca="1">IFERROR(__xludf.DUMMYFUNCTION("""COMPUTED_VALUE"""),-0.566155675979723)</f>
        <v>-0.56615567597972305</v>
      </c>
      <c r="EO58" s="3">
        <f ca="1">IFERROR(__xludf.DUMMYFUNCTION("""COMPUTED_VALUE"""),-0.582330106424751)</f>
        <v>-0.58233010642475103</v>
      </c>
      <c r="EP58" s="3">
        <f ca="1">IFERROR(__xludf.DUMMYFUNCTION("""COMPUTED_VALUE"""),-0.604112439226651)</f>
        <v>-0.60411243922665103</v>
      </c>
      <c r="EQ58" s="3">
        <f ca="1">IFERROR(__xludf.DUMMYFUNCTION("""COMPUTED_VALUE"""),-0.61025158048992)</f>
        <v>-0.61025158048992001</v>
      </c>
      <c r="ER58" s="3">
        <f ca="1">IFERROR(__xludf.DUMMYFUNCTION("""COMPUTED_VALUE"""),-0.552500809734138)</f>
        <v>-0.55250080973413795</v>
      </c>
      <c r="ES58" s="3">
        <f ca="1">IFERROR(__xludf.DUMMYFUNCTION("""COMPUTED_VALUE"""),-0.573420213256316)</f>
        <v>-0.57342021325631598</v>
      </c>
      <c r="ET58" s="3">
        <f ca="1">IFERROR(__xludf.DUMMYFUNCTION("""COMPUTED_VALUE"""),-0.608977066550834)</f>
        <v>-0.60897706655083395</v>
      </c>
      <c r="EU58" s="3">
        <f ca="1">IFERROR(__xludf.DUMMYFUNCTION("""COMPUTED_VALUE"""),-0.623914056005478)</f>
        <v>-0.623914056005478</v>
      </c>
      <c r="EV58" s="3">
        <f ca="1">IFERROR(__xludf.DUMMYFUNCTION("""COMPUTED_VALUE"""),-0.674213377818549)</f>
        <v>-0.67421337781854895</v>
      </c>
      <c r="EW58" s="3">
        <f ca="1">IFERROR(__xludf.DUMMYFUNCTION("""COMPUTED_VALUE"""),-0.648552913919531)</f>
        <v>-0.64855291391953096</v>
      </c>
      <c r="EX58" s="3">
        <f ca="1">IFERROR(__xludf.DUMMYFUNCTION("""COMPUTED_VALUE"""),-0.601139526716938)</f>
        <v>-0.60113952671693804</v>
      </c>
      <c r="EY58" s="3">
        <f ca="1">IFERROR(__xludf.DUMMYFUNCTION("""COMPUTED_VALUE"""),-0.571354224912227)</f>
        <v>-0.57135422491222698</v>
      </c>
      <c r="EZ58" s="3">
        <f ca="1">IFERROR(__xludf.DUMMYFUNCTION("""COMPUTED_VALUE"""),-0.571084709151715)</f>
        <v>-0.57108470915171505</v>
      </c>
      <c r="FA58" s="3">
        <f ca="1">IFERROR(__xludf.DUMMYFUNCTION("""COMPUTED_VALUE"""),-0.568781264154148)</f>
        <v>-0.56878126415414798</v>
      </c>
      <c r="FB58" s="3">
        <f ca="1">IFERROR(__xludf.DUMMYFUNCTION("""COMPUTED_VALUE"""),-0.585154616163527)</f>
        <v>-0.58515461616352704</v>
      </c>
      <c r="FC58" s="3">
        <f ca="1">IFERROR(__xludf.DUMMYFUNCTION("""COMPUTED_VALUE"""),-0.62556256191147)</f>
        <v>-0.62556256191146997</v>
      </c>
      <c r="FD58" s="3">
        <f ca="1">IFERROR(__xludf.DUMMYFUNCTION("""COMPUTED_VALUE"""),-0.590068737037925)</f>
        <v>-0.59006873703792495</v>
      </c>
      <c r="FE58" s="3">
        <f ca="1">IFERROR(__xludf.DUMMYFUNCTION("""COMPUTED_VALUE"""),-0.608087922851195)</f>
        <v>-0.60808792285119495</v>
      </c>
      <c r="FF58" s="3">
        <f ca="1">IFERROR(__xludf.DUMMYFUNCTION("""COMPUTED_VALUE"""),-0.560410491644849)</f>
        <v>-0.56041049164484902</v>
      </c>
      <c r="FG58" s="3">
        <f ca="1">IFERROR(__xludf.DUMMYFUNCTION("""COMPUTED_VALUE"""),-0.578611453549906)</f>
        <v>-0.57861145354990595</v>
      </c>
      <c r="FH58" s="3">
        <f ca="1">IFERROR(__xludf.DUMMYFUNCTION("""COMPUTED_VALUE"""),-0.545785644339676)</f>
        <v>-0.54578564433967602</v>
      </c>
      <c r="FI58" s="3">
        <f ca="1">IFERROR(__xludf.DUMMYFUNCTION("""COMPUTED_VALUE"""),-0.605818456548295)</f>
        <v>-0.60581845654829503</v>
      </c>
      <c r="FJ58" s="3">
        <f ca="1">IFERROR(__xludf.DUMMYFUNCTION("""COMPUTED_VALUE"""),-0.636204515907256)</f>
        <v>-0.63620451590725602</v>
      </c>
      <c r="FK58" s="3">
        <f ca="1">IFERROR(__xludf.DUMMYFUNCTION("""COMPUTED_VALUE"""),-0.636340636338373)</f>
        <v>-0.63634063633837301</v>
      </c>
      <c r="FL58" s="3">
        <f ca="1">IFERROR(__xludf.DUMMYFUNCTION("""COMPUTED_VALUE"""),-0.595846495590811)</f>
        <v>-0.59584649559081104</v>
      </c>
      <c r="FM58" s="3">
        <f ca="1">IFERROR(__xludf.DUMMYFUNCTION("""COMPUTED_VALUE"""),-0.541606796063067)</f>
        <v>-0.54160679606306705</v>
      </c>
      <c r="FN58" s="3">
        <f ca="1">IFERROR(__xludf.DUMMYFUNCTION("""COMPUTED_VALUE"""),-0.561312817057116)</f>
        <v>-0.561312817057116</v>
      </c>
      <c r="FO58" s="3">
        <f ca="1">IFERROR(__xludf.DUMMYFUNCTION("""COMPUTED_VALUE"""),-0.593177719774016)</f>
        <v>-0.59317771977401601</v>
      </c>
      <c r="FP58" s="3">
        <f ca="1">IFERROR(__xludf.DUMMYFUNCTION("""COMPUTED_VALUE"""),-0.560803050999714)</f>
        <v>-0.56080305099971395</v>
      </c>
      <c r="FQ58" s="3">
        <f ca="1">IFERROR(__xludf.DUMMYFUNCTION("""COMPUTED_VALUE"""),-0.617603693991677)</f>
        <v>-0.61760369399167703</v>
      </c>
      <c r="FR58" s="3">
        <f ca="1">IFERROR(__xludf.DUMMYFUNCTION("""COMPUTED_VALUE"""),-0.629272181716811)</f>
        <v>-0.62927218171681099</v>
      </c>
      <c r="FS58" s="3">
        <f ca="1">IFERROR(__xludf.DUMMYFUNCTION("""COMPUTED_VALUE"""),-0.583789796202334)</f>
        <v>-0.58378979620233395</v>
      </c>
      <c r="FT58" s="3">
        <f ca="1">IFERROR(__xludf.DUMMYFUNCTION("""COMPUTED_VALUE"""),-0.575673375278896)</f>
        <v>-0.57567337527889595</v>
      </c>
      <c r="FU58" s="3">
        <f ca="1">IFERROR(__xludf.DUMMYFUNCTION("""COMPUTED_VALUE"""),-0.548457279922167)</f>
        <v>-0.54845727992216697</v>
      </c>
      <c r="FV58" s="3">
        <f ca="1">IFERROR(__xludf.DUMMYFUNCTION("""COMPUTED_VALUE"""),-0.532080611651775)</f>
        <v>-0.532080611651775</v>
      </c>
      <c r="FW58" s="3">
        <f ca="1">IFERROR(__xludf.DUMMYFUNCTION("""COMPUTED_VALUE"""),-0.568710224859142)</f>
        <v>-0.56871022485914202</v>
      </c>
      <c r="FX58" s="3">
        <f ca="1">IFERROR(__xludf.DUMMYFUNCTION("""COMPUTED_VALUE"""),-0.583374945565121)</f>
        <v>-0.58337494556512104</v>
      </c>
      <c r="FY58" s="3">
        <f ca="1">IFERROR(__xludf.DUMMYFUNCTION("""COMPUTED_VALUE"""),-0.534036169106563)</f>
        <v>-0.53403616910656304</v>
      </c>
      <c r="FZ58" s="3">
        <f ca="1">IFERROR(__xludf.DUMMYFUNCTION("""COMPUTED_VALUE"""),-0.534447894464034)</f>
        <v>-0.53444789446403396</v>
      </c>
      <c r="GA58" s="3">
        <f ca="1">IFERROR(__xludf.DUMMYFUNCTION("""COMPUTED_VALUE"""),-0.576566714830647)</f>
        <v>-0.57656671483064703</v>
      </c>
      <c r="GB58" s="3">
        <f ca="1">IFERROR(__xludf.DUMMYFUNCTION("""COMPUTED_VALUE"""),-0.504062798732779)</f>
        <v>-0.50406279873277904</v>
      </c>
      <c r="GC58" s="3">
        <f ca="1">IFERROR(__xludf.DUMMYFUNCTION("""COMPUTED_VALUE"""),-0.572472454842187)</f>
        <v>-0.57247245484218701</v>
      </c>
      <c r="GD58" s="3">
        <f ca="1">IFERROR(__xludf.DUMMYFUNCTION("""COMPUTED_VALUE"""),-0.576784712795131)</f>
        <v>-0.57678471279513099</v>
      </c>
      <c r="GE58" s="3">
        <f ca="1">IFERROR(__xludf.DUMMYFUNCTION("""COMPUTED_VALUE"""),-0.58537072088294)</f>
        <v>-0.58537072088293995</v>
      </c>
      <c r="GF58" s="3">
        <f ca="1">IFERROR(__xludf.DUMMYFUNCTION("""COMPUTED_VALUE"""),-0.632773534658191)</f>
        <v>-0.63277353465819097</v>
      </c>
      <c r="GG58" s="3">
        <f ca="1">IFERROR(__xludf.DUMMYFUNCTION("""COMPUTED_VALUE"""),-0.557107114159193)</f>
        <v>-0.55710711415919301</v>
      </c>
      <c r="GH58" s="3">
        <f ca="1">IFERROR(__xludf.DUMMYFUNCTION("""COMPUTED_VALUE"""),-0.562136244395262)</f>
        <v>-0.562136244395262</v>
      </c>
      <c r="GI58" s="3">
        <f ca="1">IFERROR(__xludf.DUMMYFUNCTION("""COMPUTED_VALUE"""),-0.555474473793473)</f>
        <v>-0.55547447379347303</v>
      </c>
      <c r="GJ58" s="3">
        <f ca="1">IFERROR(__xludf.DUMMYFUNCTION("""COMPUTED_VALUE"""),-0.59299334851826)</f>
        <v>-0.59299334851826002</v>
      </c>
      <c r="GK58" s="3">
        <f ca="1">IFERROR(__xludf.DUMMYFUNCTION("""COMPUTED_VALUE"""),-0.593552658869655)</f>
        <v>-0.59355265886965503</v>
      </c>
      <c r="GL58" s="3">
        <f ca="1">IFERROR(__xludf.DUMMYFUNCTION("""COMPUTED_VALUE"""),-0.588619810841233)</f>
        <v>-0.58861981084123305</v>
      </c>
      <c r="GM58" s="3">
        <f ca="1">IFERROR(__xludf.DUMMYFUNCTION("""COMPUTED_VALUE"""),-0.601948592525909)</f>
        <v>-0.60194859252590904</v>
      </c>
      <c r="GN58" s="3">
        <f ca="1">IFERROR(__xludf.DUMMYFUNCTION("""COMPUTED_VALUE"""),-0.550154321540225)</f>
        <v>-0.55015432154022503</v>
      </c>
      <c r="GO58" s="3">
        <f ca="1">IFERROR(__xludf.DUMMYFUNCTION("""COMPUTED_VALUE"""),-0.549807031959398)</f>
        <v>-0.54980703195939795</v>
      </c>
      <c r="GP58" s="3">
        <f ca="1">IFERROR(__xludf.DUMMYFUNCTION("""COMPUTED_VALUE"""),-0.544261717545754)</f>
        <v>-0.54426171754575403</v>
      </c>
      <c r="GQ58" s="3">
        <f ca="1">IFERROR(__xludf.DUMMYFUNCTION("""COMPUTED_VALUE"""),-0.559366994770898)</f>
        <v>-0.55936699477089802</v>
      </c>
      <c r="GR58" s="3">
        <f ca="1">IFERROR(__xludf.DUMMYFUNCTION("""COMPUTED_VALUE"""),-0.59889402155988)</f>
        <v>-0.59889402155988003</v>
      </c>
      <c r="GS58" s="3">
        <f ca="1">IFERROR(__xludf.DUMMYFUNCTION("""COMPUTED_VALUE"""),-0.603216378885968)</f>
        <v>-0.60321637888596802</v>
      </c>
      <c r="GT58" s="3">
        <f ca="1">IFERROR(__xludf.DUMMYFUNCTION("""COMPUTED_VALUE"""),-0.651265258494117)</f>
        <v>-0.65126525849411698</v>
      </c>
      <c r="GU58" s="3">
        <f ca="1">IFERROR(__xludf.DUMMYFUNCTION("""COMPUTED_VALUE"""),-0.555775643055139)</f>
        <v>-0.55577564305513905</v>
      </c>
      <c r="GV58" s="3">
        <f ca="1">IFERROR(__xludf.DUMMYFUNCTION("""COMPUTED_VALUE"""),-0.539035128580144)</f>
        <v>-0.53903512858014402</v>
      </c>
      <c r="GW58" s="3">
        <f ca="1">IFERROR(__xludf.DUMMYFUNCTION("""COMPUTED_VALUE"""),-0.488959548002053)</f>
        <v>-0.48895954800205299</v>
      </c>
      <c r="GX58" s="3">
        <f ca="1">IFERROR(__xludf.DUMMYFUNCTION("""COMPUTED_VALUE"""),-0.569508389291339)</f>
        <v>-0.56950838929133896</v>
      </c>
      <c r="GY58" s="3">
        <f ca="1">IFERROR(__xludf.DUMMYFUNCTION("""COMPUTED_VALUE"""),-0.589603283314473)</f>
        <v>-0.58960328331447298</v>
      </c>
      <c r="GZ58" s="3">
        <f ca="1">IFERROR(__xludf.DUMMYFUNCTION("""COMPUTED_VALUE"""),-0.637370191681148)</f>
        <v>-0.63737019168114795</v>
      </c>
      <c r="HA58" s="3">
        <f ca="1">IFERROR(__xludf.DUMMYFUNCTION("""COMPUTED_VALUE"""),-0.630476188184034)</f>
        <v>-0.63047618818403395</v>
      </c>
      <c r="HB58" s="3">
        <f ca="1">IFERROR(__xludf.DUMMYFUNCTION("""COMPUTED_VALUE"""),-0.584212494105495)</f>
        <v>-0.58421249410549503</v>
      </c>
      <c r="HC58" s="3">
        <f ca="1">IFERROR(__xludf.DUMMYFUNCTION("""COMPUTED_VALUE"""),-0.450840156272726)</f>
        <v>-0.450840156272726</v>
      </c>
      <c r="HD58" s="3">
        <f ca="1">IFERROR(__xludf.DUMMYFUNCTION("""COMPUTED_VALUE"""),-0.486095536666314)</f>
        <v>-0.486095536666314</v>
      </c>
      <c r="HE58" s="3">
        <f ca="1">IFERROR(__xludf.DUMMYFUNCTION("""COMPUTED_VALUE"""),-0.513086143547226)</f>
        <v>-0.51308614354722604</v>
      </c>
      <c r="HF58" s="3">
        <f ca="1">IFERROR(__xludf.DUMMYFUNCTION("""COMPUTED_VALUE"""),-0.520959703638682)</f>
        <v>-0.52095970363868205</v>
      </c>
      <c r="HG58" s="3">
        <f ca="1">IFERROR(__xludf.DUMMYFUNCTION("""COMPUTED_VALUE"""),-0.510870819140109)</f>
        <v>-0.51087081914010901</v>
      </c>
      <c r="HH58" s="3">
        <f ca="1">IFERROR(__xludf.DUMMYFUNCTION("""COMPUTED_VALUE"""),-0.481730952246004)</f>
        <v>-0.48173095224600399</v>
      </c>
      <c r="HI58" s="3">
        <f ca="1">IFERROR(__xludf.DUMMYFUNCTION("""COMPUTED_VALUE"""),-0.487624629793965)</f>
        <v>-0.48762462979396498</v>
      </c>
      <c r="HJ58" s="3">
        <f ca="1">IFERROR(__xludf.DUMMYFUNCTION("""COMPUTED_VALUE"""),-0.4978939130325)</f>
        <v>-0.49789391303250002</v>
      </c>
      <c r="HK58" s="3">
        <f ca="1">IFERROR(__xludf.DUMMYFUNCTION("""COMPUTED_VALUE"""),-0.434739347009598)</f>
        <v>-0.43473934700959799</v>
      </c>
      <c r="HL58" s="3">
        <f ca="1">IFERROR(__xludf.DUMMYFUNCTION("""COMPUTED_VALUE"""),-0.456042349014194)</f>
        <v>-0.45604234901419399</v>
      </c>
      <c r="HM58" s="3">
        <f ca="1">IFERROR(__xludf.DUMMYFUNCTION("""COMPUTED_VALUE"""),-0.476330439385595)</f>
        <v>-0.47633043938559499</v>
      </c>
      <c r="HN58" s="3">
        <f ca="1">IFERROR(__xludf.DUMMYFUNCTION("""COMPUTED_VALUE"""),-0.472496836515432)</f>
        <v>-0.47249683651543201</v>
      </c>
      <c r="HO58" s="3">
        <f ca="1">IFERROR(__xludf.DUMMYFUNCTION("""COMPUTED_VALUE"""),-0.415513620651154)</f>
        <v>-0.41551362065115399</v>
      </c>
      <c r="HP58" s="3">
        <f ca="1">IFERROR(__xludf.DUMMYFUNCTION("""COMPUTED_VALUE"""),-0.335927812245284)</f>
        <v>-0.33592781224528401</v>
      </c>
      <c r="HQ58" s="3">
        <f ca="1">IFERROR(__xludf.DUMMYFUNCTION("""COMPUTED_VALUE"""),-0.393911054038353)</f>
        <v>-0.39391105403835303</v>
      </c>
      <c r="HR58" s="3">
        <f ca="1">IFERROR(__xludf.DUMMYFUNCTION("""COMPUTED_VALUE"""),-0.358081396974056)</f>
        <v>-0.358081396974056</v>
      </c>
      <c r="HS58" s="3">
        <f ca="1">IFERROR(__xludf.DUMMYFUNCTION("""COMPUTED_VALUE"""),-0.4402120128008)</f>
        <v>-0.44021201280080002</v>
      </c>
      <c r="HT58" s="3">
        <f ca="1">IFERROR(__xludf.DUMMYFUNCTION("""COMPUTED_VALUE"""),-0.378300625079103)</f>
        <v>-0.378300625079103</v>
      </c>
      <c r="HU58" s="3">
        <f ca="1">IFERROR(__xludf.DUMMYFUNCTION("""COMPUTED_VALUE"""),-0.382945143040448)</f>
        <v>-0.38294514304044802</v>
      </c>
      <c r="HV58" s="3">
        <f ca="1">IFERROR(__xludf.DUMMYFUNCTION("""COMPUTED_VALUE"""),-0.313640870698439)</f>
        <v>-0.31364087069843899</v>
      </c>
      <c r="HW58" s="3">
        <f ca="1">IFERROR(__xludf.DUMMYFUNCTION("""COMPUTED_VALUE"""),-0.324783781006976)</f>
        <v>-0.32478378100697602</v>
      </c>
      <c r="HX58" s="3">
        <f ca="1">IFERROR(__xludf.DUMMYFUNCTION("""COMPUTED_VALUE"""),-0.397177473891059)</f>
        <v>-0.39717747389105901</v>
      </c>
      <c r="HY58" s="3">
        <f ca="1">IFERROR(__xludf.DUMMYFUNCTION("""COMPUTED_VALUE"""),-0.465732125088835)</f>
        <v>-0.46573212508883499</v>
      </c>
      <c r="HZ58" s="3">
        <f ca="1">IFERROR(__xludf.DUMMYFUNCTION("""COMPUTED_VALUE"""),-0.500518511702552)</f>
        <v>-0.50051851170255202</v>
      </c>
      <c r="IA58" s="3">
        <f ca="1">IFERROR(__xludf.DUMMYFUNCTION("""COMPUTED_VALUE"""),-0.466827694931797)</f>
        <v>-0.46682769493179699</v>
      </c>
      <c r="IB58" s="3">
        <f ca="1">IFERROR(__xludf.DUMMYFUNCTION("""COMPUTED_VALUE"""),-0.45536495001491)</f>
        <v>-0.45536495001491001</v>
      </c>
      <c r="IC58" s="3">
        <f ca="1">IFERROR(__xludf.DUMMYFUNCTION("""COMPUTED_VALUE"""),-0.503760310797355)</f>
        <v>-0.50376031079735495</v>
      </c>
      <c r="ID58" s="3">
        <f ca="1">IFERROR(__xludf.DUMMYFUNCTION("""COMPUTED_VALUE"""),-0.485832613743669)</f>
        <v>-0.48583261374366898</v>
      </c>
      <c r="IE58" s="3">
        <f ca="1">IFERROR(__xludf.DUMMYFUNCTION("""COMPUTED_VALUE"""),-0.454516673190944)</f>
        <v>-0.45451667319094402</v>
      </c>
      <c r="IF58" s="3">
        <f ca="1">IFERROR(__xludf.DUMMYFUNCTION("""COMPUTED_VALUE"""),-0.45961700143757)</f>
        <v>-0.45961700143757001</v>
      </c>
      <c r="IG58" s="3">
        <f ca="1">IFERROR(__xludf.DUMMYFUNCTION("""COMPUTED_VALUE"""),-0.503755455550153)</f>
        <v>-0.503755455550153</v>
      </c>
      <c r="IH58" s="3">
        <f ca="1">IFERROR(__xludf.DUMMYFUNCTION("""COMPUTED_VALUE"""),-0.424314266404951)</f>
        <v>-0.42431426640495101</v>
      </c>
      <c r="II58" s="3">
        <f ca="1">IFERROR(__xludf.DUMMYFUNCTION("""COMPUTED_VALUE"""),-0.446131218266152)</f>
        <v>-0.44613121826615199</v>
      </c>
      <c r="IJ58" s="3">
        <f ca="1">IFERROR(__xludf.DUMMYFUNCTION("""COMPUTED_VALUE"""),-0.502786900948943)</f>
        <v>-0.50278690094894296</v>
      </c>
      <c r="IK58" s="3">
        <f ca="1">IFERROR(__xludf.DUMMYFUNCTION("""COMPUTED_VALUE"""),-0.445547788038708)</f>
        <v>-0.44554778803870798</v>
      </c>
      <c r="IL58" s="3">
        <f ca="1">IFERROR(__xludf.DUMMYFUNCTION("""COMPUTED_VALUE"""),-0.419594574622237)</f>
        <v>-0.41959457462223698</v>
      </c>
      <c r="IM58" s="3">
        <f ca="1">IFERROR(__xludf.DUMMYFUNCTION("""COMPUTED_VALUE"""),-0.44942102567166)</f>
        <v>-0.44942102567165998</v>
      </c>
      <c r="IN58" s="3">
        <f ca="1">IFERROR(__xludf.DUMMYFUNCTION("""COMPUTED_VALUE"""),-0.460593505201474)</f>
        <v>-0.46059350520147402</v>
      </c>
      <c r="IO58" s="3">
        <f ca="1">IFERROR(__xludf.DUMMYFUNCTION("""COMPUTED_VALUE"""),-0.441488357576409)</f>
        <v>-0.44148835757640897</v>
      </c>
      <c r="IP58" s="3">
        <f ca="1">IFERROR(__xludf.DUMMYFUNCTION("""COMPUTED_VALUE"""),-0.464636953175864)</f>
        <v>-0.46463695317586401</v>
      </c>
      <c r="IQ58" s="3">
        <f ca="1">IFERROR(__xludf.DUMMYFUNCTION("""COMPUTED_VALUE"""),-0.516094736754372)</f>
        <v>-0.51609473675437201</v>
      </c>
      <c r="IR58" s="3">
        <f ca="1">IFERROR(__xludf.DUMMYFUNCTION("""COMPUTED_VALUE"""),-0.414388488521605)</f>
        <v>-0.41438848852160498</v>
      </c>
      <c r="IS58" s="3">
        <f ca="1">IFERROR(__xludf.DUMMYFUNCTION("""COMPUTED_VALUE"""),-0.458252493348126)</f>
        <v>-0.45825249334812601</v>
      </c>
      <c r="IT58" s="3">
        <f ca="1">IFERROR(__xludf.DUMMYFUNCTION("""COMPUTED_VALUE"""),-0.415108841392677)</f>
        <v>-0.41510884139267701</v>
      </c>
      <c r="IU58" s="3">
        <f ca="1">IFERROR(__xludf.DUMMYFUNCTION("""COMPUTED_VALUE"""),-0.469862163753159)</f>
        <v>-0.46986216375315898</v>
      </c>
      <c r="IV58" s="3">
        <f ca="1">IFERROR(__xludf.DUMMYFUNCTION("""COMPUTED_VALUE"""),-0.413899542629728)</f>
        <v>-0.413899542629728</v>
      </c>
      <c r="IW58" s="3">
        <f ca="1">IFERROR(__xludf.DUMMYFUNCTION("""COMPUTED_VALUE"""),-0.448978842232081)</f>
        <v>-0.44897884223208101</v>
      </c>
      <c r="IX58" s="3">
        <f ca="1">IFERROR(__xludf.DUMMYFUNCTION("""COMPUTED_VALUE"""),-0.456239990744577)</f>
        <v>-0.456239990744577</v>
      </c>
      <c r="IY58" s="3">
        <f ca="1">IFERROR(__xludf.DUMMYFUNCTION("""COMPUTED_VALUE"""),-0.516678257545276)</f>
        <v>-0.51667825754527597</v>
      </c>
      <c r="IZ58" s="3">
        <f ca="1">IFERROR(__xludf.DUMMYFUNCTION("""COMPUTED_VALUE"""),-0.41556450473945)</f>
        <v>-0.41556450473945</v>
      </c>
      <c r="JA58" s="3">
        <f ca="1">IFERROR(__xludf.DUMMYFUNCTION("""COMPUTED_VALUE"""),-0.429668338891354)</f>
        <v>-0.42966833889135397</v>
      </c>
      <c r="JB58" s="3">
        <f ca="1">IFERROR(__xludf.DUMMYFUNCTION("""COMPUTED_VALUE"""),-0.457564275426347)</f>
        <v>-0.45756427542634698</v>
      </c>
      <c r="JC58" s="3">
        <f ca="1">IFERROR(__xludf.DUMMYFUNCTION("""COMPUTED_VALUE"""),-0.515686809276516)</f>
        <v>-0.515686809276516</v>
      </c>
      <c r="JD58" s="3">
        <f ca="1">IFERROR(__xludf.DUMMYFUNCTION("""COMPUTED_VALUE"""),-0.468051273645852)</f>
        <v>-0.46805127364585197</v>
      </c>
      <c r="JE58" s="3">
        <f ca="1">IFERROR(__xludf.DUMMYFUNCTION("""COMPUTED_VALUE"""),-0.461703590390021)</f>
        <v>-0.46170359039002101</v>
      </c>
      <c r="JF58" s="3">
        <f ca="1">IFERROR(__xludf.DUMMYFUNCTION("""COMPUTED_VALUE"""),-0.424883053445976)</f>
        <v>-0.42488305344597599</v>
      </c>
      <c r="JG58" s="3">
        <f ca="1">IFERROR(__xludf.DUMMYFUNCTION("""COMPUTED_VALUE"""),-0.449140342631595)</f>
        <v>-0.44914034263159502</v>
      </c>
      <c r="JH58" s="3">
        <f ca="1">IFERROR(__xludf.DUMMYFUNCTION("""COMPUTED_VALUE"""),-0.457243889540092)</f>
        <v>-0.45724388954009199</v>
      </c>
      <c r="JI58" s="3">
        <f ca="1">IFERROR(__xludf.DUMMYFUNCTION("""COMPUTED_VALUE"""),-0.510259187367056)</f>
        <v>-0.510259187367056</v>
      </c>
      <c r="JJ58" s="3">
        <f ca="1">IFERROR(__xludf.DUMMYFUNCTION("""COMPUTED_VALUE"""),-0.50690730639068)</f>
        <v>-0.50690730639068005</v>
      </c>
      <c r="JK58" s="3">
        <f ca="1">IFERROR(__xludf.DUMMYFUNCTION("""COMPUTED_VALUE"""),-0.488072068874621)</f>
        <v>-0.48807206887462101</v>
      </c>
      <c r="JL58" s="3">
        <f ca="1">IFERROR(__xludf.DUMMYFUNCTION("""COMPUTED_VALUE"""),-0.486028549885605)</f>
        <v>-0.48602854988560501</v>
      </c>
      <c r="JM58" s="3">
        <f ca="1">IFERROR(__xludf.DUMMYFUNCTION("""COMPUTED_VALUE"""),-0.459614501547727)</f>
        <v>-0.45961450154772698</v>
      </c>
      <c r="JN58" s="3">
        <f ca="1">IFERROR(__xludf.DUMMYFUNCTION("""COMPUTED_VALUE"""),-0.495296469291497)</f>
        <v>-0.49529646929149701</v>
      </c>
      <c r="JO58" s="3">
        <f ca="1">IFERROR(__xludf.DUMMYFUNCTION("""COMPUTED_VALUE"""),-0.539473267525708)</f>
        <v>-0.53947326752570801</v>
      </c>
      <c r="JP58" s="3">
        <f ca="1">IFERROR(__xludf.DUMMYFUNCTION("""COMPUTED_VALUE"""),-0.494709173523025)</f>
        <v>-0.49470917352302501</v>
      </c>
      <c r="JQ58" s="3">
        <f ca="1">IFERROR(__xludf.DUMMYFUNCTION("""COMPUTED_VALUE"""),-0.559700538276306)</f>
        <v>-0.55970053827630595</v>
      </c>
      <c r="JR58" s="3">
        <f ca="1">IFERROR(__xludf.DUMMYFUNCTION("""COMPUTED_VALUE"""),-0.572295230623624)</f>
        <v>-0.57229523062362397</v>
      </c>
      <c r="JS58" s="3">
        <f ca="1">IFERROR(__xludf.DUMMYFUNCTION("""COMPUTED_VALUE"""),-0.573062030115174)</f>
        <v>-0.57306203011517398</v>
      </c>
      <c r="JT58" s="3">
        <f ca="1">IFERROR(__xludf.DUMMYFUNCTION("""COMPUTED_VALUE"""),-0.540185352547687)</f>
        <v>-0.54018535254768696</v>
      </c>
      <c r="JU58" s="3">
        <f ca="1">IFERROR(__xludf.DUMMYFUNCTION("""COMPUTED_VALUE"""),-0.484373477622396)</f>
        <v>-0.48437347762239602</v>
      </c>
      <c r="JV58" s="3">
        <f ca="1">IFERROR(__xludf.DUMMYFUNCTION("""COMPUTED_VALUE"""),-0.453357842803023)</f>
        <v>-0.45335784280302299</v>
      </c>
      <c r="JW58" s="3">
        <f ca="1">IFERROR(__xludf.DUMMYFUNCTION("""COMPUTED_VALUE"""),-0.527874739728572)</f>
        <v>-0.52787473972857202</v>
      </c>
      <c r="JX58" s="3">
        <f ca="1">IFERROR(__xludf.DUMMYFUNCTION("""COMPUTED_VALUE"""),-0.517734501193112)</f>
        <v>-0.51773450119311204</v>
      </c>
      <c r="JY58" s="3">
        <f ca="1">IFERROR(__xludf.DUMMYFUNCTION("""COMPUTED_VALUE"""),-0.553919528470218)</f>
        <v>-0.55391952847021797</v>
      </c>
      <c r="JZ58" s="3">
        <f ca="1">IFERROR(__xludf.DUMMYFUNCTION("""COMPUTED_VALUE"""),-0.567908583626849)</f>
        <v>-0.56790858362684904</v>
      </c>
      <c r="KA58" s="3">
        <f ca="1">IFERROR(__xludf.DUMMYFUNCTION("""COMPUTED_VALUE"""),-0.52221760289042)</f>
        <v>-0.52221760289041996</v>
      </c>
      <c r="KB58" s="3">
        <f ca="1">IFERROR(__xludf.DUMMYFUNCTION("""COMPUTED_VALUE"""),-0.508043538624399)</f>
        <v>-0.50804353862439899</v>
      </c>
      <c r="KC58" s="3">
        <f ca="1">IFERROR(__xludf.DUMMYFUNCTION("""COMPUTED_VALUE"""),-0.442825101652269)</f>
        <v>-0.44282510165226902</v>
      </c>
      <c r="KD58" s="3">
        <f ca="1">IFERROR(__xludf.DUMMYFUNCTION("""COMPUTED_VALUE"""),-0.530538833686496)</f>
        <v>-0.53053883368649601</v>
      </c>
      <c r="KE58" s="3">
        <f ca="1">IFERROR(__xludf.DUMMYFUNCTION("""COMPUTED_VALUE"""),-0.45006366398336)</f>
        <v>-0.45006366398336001</v>
      </c>
      <c r="KF58" s="3">
        <f ca="1">IFERROR(__xludf.DUMMYFUNCTION("""COMPUTED_VALUE"""),-0.457084635397091)</f>
        <v>-0.45708463539709099</v>
      </c>
      <c r="KG58" s="3">
        <f ca="1">IFERROR(__xludf.DUMMYFUNCTION("""COMPUTED_VALUE"""),-0.466659051704112)</f>
        <v>-0.46665905170411198</v>
      </c>
      <c r="KH58" s="3">
        <f ca="1">IFERROR(__xludf.DUMMYFUNCTION("""COMPUTED_VALUE"""),-0.466847325096126)</f>
        <v>-0.46684732509612598</v>
      </c>
      <c r="KI58" s="3">
        <f ca="1">IFERROR(__xludf.DUMMYFUNCTION("""COMPUTED_VALUE"""),-0.512674378475088)</f>
        <v>-0.51267437847508801</v>
      </c>
      <c r="KJ58" s="3">
        <f ca="1">IFERROR(__xludf.DUMMYFUNCTION("""COMPUTED_VALUE"""),-0.462533858845289)</f>
        <v>-0.46253385884528903</v>
      </c>
      <c r="KK58" s="3">
        <f ca="1">IFERROR(__xludf.DUMMYFUNCTION("""COMPUTED_VALUE"""),-0.397490827613597)</f>
        <v>-0.397490827613597</v>
      </c>
      <c r="KL58" s="3">
        <f ca="1">IFERROR(__xludf.DUMMYFUNCTION("""COMPUTED_VALUE"""),-0.438125703114032)</f>
        <v>-0.43812570311403198</v>
      </c>
      <c r="KM58" s="3">
        <f ca="1">IFERROR(__xludf.DUMMYFUNCTION("""COMPUTED_VALUE"""),-0.417456984090155)</f>
        <v>-0.41745698409015503</v>
      </c>
      <c r="KN58" s="3">
        <f ca="1">IFERROR(__xludf.DUMMYFUNCTION("""COMPUTED_VALUE"""),-0.507394087095642)</f>
        <v>-0.50739408709564204</v>
      </c>
      <c r="KO58" s="3">
        <f ca="1">IFERROR(__xludf.DUMMYFUNCTION("""COMPUTED_VALUE"""),-0.444110207767927)</f>
        <v>-0.44411020776792698</v>
      </c>
      <c r="KP58" s="3">
        <f ca="1">IFERROR(__xludf.DUMMYFUNCTION("""COMPUTED_VALUE"""),-0.328114007758616)</f>
        <v>-0.32811400775861599</v>
      </c>
      <c r="KQ58" s="3">
        <f ca="1">IFERROR(__xludf.DUMMYFUNCTION("""COMPUTED_VALUE"""),-0.438313103689371)</f>
        <v>-0.43831310368937099</v>
      </c>
      <c r="KR58" s="3">
        <f ca="1">IFERROR(__xludf.DUMMYFUNCTION("""COMPUTED_VALUE"""),-0.446293917735051)</f>
        <v>-0.446293917735051</v>
      </c>
      <c r="KS58" s="3">
        <f ca="1">IFERROR(__xludf.DUMMYFUNCTION("""COMPUTED_VALUE"""),-0.404173424767862)</f>
        <v>-0.404173424767862</v>
      </c>
      <c r="KT58" s="3">
        <f ca="1">IFERROR(__xludf.DUMMYFUNCTION("""COMPUTED_VALUE"""),-0.429367447114551)</f>
        <v>-0.42936744711455099</v>
      </c>
      <c r="KU58" s="3">
        <f ca="1">IFERROR(__xludf.DUMMYFUNCTION("""COMPUTED_VALUE"""),-0.435653241439042)</f>
        <v>-0.43565324143904199</v>
      </c>
      <c r="KV58" s="3">
        <f ca="1">IFERROR(__xludf.DUMMYFUNCTION("""COMPUTED_VALUE"""),-0.432272115856216)</f>
        <v>-0.432272115856216</v>
      </c>
      <c r="KW58" s="3">
        <f ca="1">IFERROR(__xludf.DUMMYFUNCTION("""COMPUTED_VALUE"""),-0.511586666837145)</f>
        <v>-0.51158666683714504</v>
      </c>
      <c r="KX58" s="3">
        <f ca="1">IFERROR(__xludf.DUMMYFUNCTION("""COMPUTED_VALUE"""),-0.570824856634249)</f>
        <v>-0.57082485663424898</v>
      </c>
      <c r="KY58" s="3">
        <f ca="1">IFERROR(__xludf.DUMMYFUNCTION("""COMPUTED_VALUE"""),-0.504481683159846)</f>
        <v>-0.50448168315984598</v>
      </c>
      <c r="KZ58" s="3">
        <f ca="1">IFERROR(__xludf.DUMMYFUNCTION("""COMPUTED_VALUE"""),-0.651037554870367)</f>
        <v>-0.65103755487036696</v>
      </c>
      <c r="LA58" s="3">
        <f ca="1">IFERROR(__xludf.DUMMYFUNCTION("""COMPUTED_VALUE"""),-0.508164564415052)</f>
        <v>-0.50816456441505198</v>
      </c>
      <c r="LB58" s="3">
        <f ca="1">IFERROR(__xludf.DUMMYFUNCTION("""COMPUTED_VALUE"""),-0.592837379190071)</f>
        <v>-0.59283737919007096</v>
      </c>
      <c r="LC58" s="3">
        <f ca="1">IFERROR(__xludf.DUMMYFUNCTION("""COMPUTED_VALUE"""),-0.478301309617504)</f>
        <v>-0.478301309617504</v>
      </c>
      <c r="LD58" s="3">
        <f ca="1">IFERROR(__xludf.DUMMYFUNCTION("""COMPUTED_VALUE"""),-0.468613315334116)</f>
        <v>-0.46861331533411599</v>
      </c>
      <c r="LE58" s="3">
        <f ca="1">IFERROR(__xludf.DUMMYFUNCTION("""COMPUTED_VALUE"""),-0.478486861295318)</f>
        <v>-0.47848686129531798</v>
      </c>
      <c r="LF58" s="3">
        <f ca="1">IFERROR(__xludf.DUMMYFUNCTION("""COMPUTED_VALUE"""),-0.536100013019236)</f>
        <v>-0.53610001301923604</v>
      </c>
      <c r="LG58" s="3">
        <f ca="1">IFERROR(__xludf.DUMMYFUNCTION("""COMPUTED_VALUE"""),-0.588472734600359)</f>
        <v>-0.58847273460035898</v>
      </c>
      <c r="LH58" s="3">
        <f ca="1">IFERROR(__xludf.DUMMYFUNCTION("""COMPUTED_VALUE"""),-0.597966066927193)</f>
        <v>-0.59796606692719301</v>
      </c>
      <c r="LI58" s="3">
        <f ca="1">IFERROR(__xludf.DUMMYFUNCTION("""COMPUTED_VALUE"""),-0.57196941306711)</f>
        <v>-0.57196941306711002</v>
      </c>
      <c r="LJ58" s="3">
        <f ca="1">IFERROR(__xludf.DUMMYFUNCTION("""COMPUTED_VALUE"""),-0.689080961253854)</f>
        <v>-0.68908096125385399</v>
      </c>
      <c r="LK58" s="3">
        <f ca="1">IFERROR(__xludf.DUMMYFUNCTION("""COMPUTED_VALUE"""),-0.547855959636137)</f>
        <v>-0.54785595963613698</v>
      </c>
      <c r="LL58" s="3">
        <f ca="1">IFERROR(__xludf.DUMMYFUNCTION("""COMPUTED_VALUE"""),-0.445246883201103)</f>
        <v>-0.44524688320110301</v>
      </c>
      <c r="LM58" s="3">
        <f ca="1">IFERROR(__xludf.DUMMYFUNCTION("""COMPUTED_VALUE"""),-0.618567532521913)</f>
        <v>-0.61856753252191299</v>
      </c>
      <c r="LN58" s="3">
        <f ca="1">IFERROR(__xludf.DUMMYFUNCTION("""COMPUTED_VALUE"""),-0.599030544853644)</f>
        <v>-0.59903054485364404</v>
      </c>
      <c r="LO58" s="3">
        <f ca="1">IFERROR(__xludf.DUMMYFUNCTION("""COMPUTED_VALUE"""),-0.529761700871403)</f>
        <v>-0.52976170087140295</v>
      </c>
      <c r="LP58" s="3">
        <f ca="1">IFERROR(__xludf.DUMMYFUNCTION("""COMPUTED_VALUE"""),-0.606010774303238)</f>
        <v>-0.60601077430323802</v>
      </c>
      <c r="LQ58" s="3">
        <f ca="1">IFERROR(__xludf.DUMMYFUNCTION("""COMPUTED_VALUE"""),-0.510098298912179)</f>
        <v>-0.51009829891217895</v>
      </c>
      <c r="LR58" s="3">
        <f ca="1">IFERROR(__xludf.DUMMYFUNCTION("""COMPUTED_VALUE"""),-0.62913562265058)</f>
        <v>-0.62913562265057998</v>
      </c>
      <c r="LS58" s="3">
        <f ca="1">IFERROR(__xludf.DUMMYFUNCTION("""COMPUTED_VALUE"""),-0.570707772299693)</f>
        <v>-0.57070777229969305</v>
      </c>
      <c r="LT58" s="3">
        <f ca="1">IFERROR(__xludf.DUMMYFUNCTION("""COMPUTED_VALUE"""),-0.526857148121132)</f>
        <v>-0.52685714812113205</v>
      </c>
      <c r="LU58" s="3">
        <f ca="1">IFERROR(__xludf.DUMMYFUNCTION("""COMPUTED_VALUE"""),-0.565251207093229)</f>
        <v>-0.56525120709322896</v>
      </c>
      <c r="LV58" s="3">
        <f ca="1">IFERROR(__xludf.DUMMYFUNCTION("""COMPUTED_VALUE"""),-0.480598251823234)</f>
        <v>-0.48059825182323401</v>
      </c>
      <c r="LW58" s="3">
        <f ca="1">IFERROR(__xludf.DUMMYFUNCTION("""COMPUTED_VALUE"""),-0.596226192632493)</f>
        <v>-0.59622619263249299</v>
      </c>
      <c r="LX58" s="3">
        <f ca="1">IFERROR(__xludf.DUMMYFUNCTION("""COMPUTED_VALUE"""),-0.503193209019798)</f>
        <v>-0.50319320901979803</v>
      </c>
      <c r="LY58" s="3">
        <f ca="1">IFERROR(__xludf.DUMMYFUNCTION("""COMPUTED_VALUE"""),-0.538004868970457)</f>
        <v>-0.53800486897045696</v>
      </c>
      <c r="LZ58" s="3">
        <f ca="1">IFERROR(__xludf.DUMMYFUNCTION("""COMPUTED_VALUE"""),-0.552771831852078)</f>
        <v>-0.55277183185207801</v>
      </c>
      <c r="MA58" s="3">
        <f ca="1">IFERROR(__xludf.DUMMYFUNCTION("""COMPUTED_VALUE"""),-0.561533186164807)</f>
        <v>-0.56153318616480696</v>
      </c>
      <c r="MB58" s="3">
        <f ca="1">IFERROR(__xludf.DUMMYFUNCTION("""COMPUTED_VALUE"""),-0.580573724802449)</f>
        <v>-0.58057372480244895</v>
      </c>
      <c r="MC58" s="3">
        <f ca="1">IFERROR(__xludf.DUMMYFUNCTION("""COMPUTED_VALUE"""),-0.582157397465783)</f>
        <v>-0.58215739746578299</v>
      </c>
      <c r="MD58" s="3">
        <f ca="1">IFERROR(__xludf.DUMMYFUNCTION("""COMPUTED_VALUE"""),-0.665578092710583)</f>
        <v>-0.66557809271058299</v>
      </c>
      <c r="ME58" s="3">
        <f ca="1">IFERROR(__xludf.DUMMYFUNCTION("""COMPUTED_VALUE"""),-0.620530536006633)</f>
        <v>-0.62053053600663299</v>
      </c>
      <c r="MF58" s="3">
        <f ca="1">IFERROR(__xludf.DUMMYFUNCTION("""COMPUTED_VALUE"""),-0.695328266954788)</f>
        <v>-0.695328266954788</v>
      </c>
      <c r="MG58" s="3">
        <f ca="1">IFERROR(__xludf.DUMMYFUNCTION("""COMPUTED_VALUE"""),-0.667869135825459)</f>
        <v>-0.66786913582545904</v>
      </c>
      <c r="MH58" s="3">
        <f ca="1">IFERROR(__xludf.DUMMYFUNCTION("""COMPUTED_VALUE"""),-0.618225976733367)</f>
        <v>-0.61822597673336699</v>
      </c>
      <c r="MI58" s="3">
        <f ca="1">IFERROR(__xludf.DUMMYFUNCTION("""COMPUTED_VALUE"""),-0.7335639599293)</f>
        <v>-0.73356395992930001</v>
      </c>
      <c r="MJ58" s="3">
        <f ca="1">IFERROR(__xludf.DUMMYFUNCTION("""COMPUTED_VALUE"""),-0.649024942819064)</f>
        <v>-0.64902494281906398</v>
      </c>
      <c r="MK58" s="3">
        <f ca="1">IFERROR(__xludf.DUMMYFUNCTION("""COMPUTED_VALUE"""),-0.658527809396049)</f>
        <v>-0.65852780939604905</v>
      </c>
      <c r="ML58" s="3">
        <f ca="1">IFERROR(__xludf.DUMMYFUNCTION("""COMPUTED_VALUE"""),-0.629268153644701)</f>
        <v>-0.62926815364470101</v>
      </c>
      <c r="MM58" s="3">
        <f ca="1">IFERROR(__xludf.DUMMYFUNCTION("""COMPUTED_VALUE"""),-0.696787134393735)</f>
        <v>-0.69678713439373496</v>
      </c>
      <c r="MN58" s="3">
        <f ca="1">IFERROR(__xludf.DUMMYFUNCTION("""COMPUTED_VALUE"""),-0.685211816037567)</f>
        <v>-0.68521181603756698</v>
      </c>
      <c r="MO58" s="3">
        <f ca="1">IFERROR(__xludf.DUMMYFUNCTION("""COMPUTED_VALUE"""),-0.686912117685422)</f>
        <v>-0.68691211768542204</v>
      </c>
      <c r="MP58" s="3">
        <f ca="1">IFERROR(__xludf.DUMMYFUNCTION("""COMPUTED_VALUE"""),-0.651921912064969)</f>
        <v>-0.65192191206496897</v>
      </c>
      <c r="MQ58" s="3">
        <f ca="1">IFERROR(__xludf.DUMMYFUNCTION("""COMPUTED_VALUE"""),-0.656247452423649)</f>
        <v>-0.65624745242364901</v>
      </c>
      <c r="MR58" s="3">
        <f ca="1">IFERROR(__xludf.DUMMYFUNCTION("""COMPUTED_VALUE"""),-0.699552941291201)</f>
        <v>-0.69955294129120105</v>
      </c>
      <c r="MS58" s="3">
        <f ca="1">IFERROR(__xludf.DUMMYFUNCTION("""COMPUTED_VALUE"""),-0.710180331242142)</f>
        <v>-0.71018033124214197</v>
      </c>
      <c r="MT58" s="3">
        <f ca="1">IFERROR(__xludf.DUMMYFUNCTION("""COMPUTED_VALUE"""),-0.626741209558786)</f>
        <v>-0.62674120955878598</v>
      </c>
      <c r="MU58" s="3">
        <f ca="1">IFERROR(__xludf.DUMMYFUNCTION("""COMPUTED_VALUE"""),-0.658143042114843)</f>
        <v>-0.65814304211484298</v>
      </c>
      <c r="MV58" s="3">
        <f ca="1">IFERROR(__xludf.DUMMYFUNCTION("""COMPUTED_VALUE"""),-0.657684503785137)</f>
        <v>-0.65768450378513699</v>
      </c>
      <c r="MW58" s="3">
        <f ca="1">IFERROR(__xludf.DUMMYFUNCTION("""COMPUTED_VALUE"""),-0.723553435391535)</f>
        <v>-0.72355343539153505</v>
      </c>
      <c r="MX58" s="3">
        <f ca="1">IFERROR(__xludf.DUMMYFUNCTION("""COMPUTED_VALUE"""),-0.703024405982063)</f>
        <v>-0.70302440598206295</v>
      </c>
      <c r="MY58" s="3">
        <f ca="1">IFERROR(__xludf.DUMMYFUNCTION("""COMPUTED_VALUE"""),-0.717206230101475)</f>
        <v>-0.717206230101475</v>
      </c>
      <c r="MZ58" s="3">
        <f ca="1">IFERROR(__xludf.DUMMYFUNCTION("""COMPUTED_VALUE"""),-0.689164841629106)</f>
        <v>-0.68916484162910596</v>
      </c>
      <c r="NA58" s="3">
        <f ca="1">IFERROR(__xludf.DUMMYFUNCTION("""COMPUTED_VALUE"""),-0.662787923749796)</f>
        <v>-0.662787923749796</v>
      </c>
      <c r="NB58" s="3">
        <f ca="1">IFERROR(__xludf.DUMMYFUNCTION("""COMPUTED_VALUE"""),-0.646525947327978)</f>
        <v>-0.64652594732797797</v>
      </c>
      <c r="NC58" s="3">
        <f ca="1">IFERROR(__xludf.DUMMYFUNCTION("""COMPUTED_VALUE"""),-0.602682439557587)</f>
        <v>-0.60268243955758705</v>
      </c>
      <c r="ND58" s="3">
        <f ca="1">IFERROR(__xludf.DUMMYFUNCTION("""COMPUTED_VALUE"""),-0.630265958673672)</f>
        <v>-0.63026595867367197</v>
      </c>
      <c r="NE58" s="3">
        <f ca="1">IFERROR(__xludf.DUMMYFUNCTION("""COMPUTED_VALUE"""),-0.59270076539539)</f>
        <v>-0.59270076539538996</v>
      </c>
      <c r="NF58" s="3">
        <f ca="1">IFERROR(__xludf.DUMMYFUNCTION("""COMPUTED_VALUE"""),-0.656058566592293)</f>
        <v>-0.656058566592293</v>
      </c>
      <c r="NG58" s="3">
        <f ca="1">IFERROR(__xludf.DUMMYFUNCTION("""COMPUTED_VALUE"""),-0.528823818610531)</f>
        <v>-0.52882381861053096</v>
      </c>
      <c r="NH58" s="3">
        <f ca="1">IFERROR(__xludf.DUMMYFUNCTION("""COMPUTED_VALUE"""),-0.722937572547049)</f>
        <v>-0.72293757254704905</v>
      </c>
      <c r="NI58" s="3">
        <f ca="1">IFERROR(__xludf.DUMMYFUNCTION("""COMPUTED_VALUE"""),-0.616562541473002)</f>
        <v>-0.61656254147300205</v>
      </c>
      <c r="NJ58" s="3">
        <f ca="1">IFERROR(__xludf.DUMMYFUNCTION("""COMPUTED_VALUE"""),-0.555487425688651)</f>
        <v>-0.55548742568865095</v>
      </c>
      <c r="NK58" s="3">
        <f ca="1">IFERROR(__xludf.DUMMYFUNCTION("""COMPUTED_VALUE"""),-0.526935683325388)</f>
        <v>-0.52693568332538798</v>
      </c>
      <c r="NL58" s="3">
        <f ca="1">IFERROR(__xludf.DUMMYFUNCTION("""COMPUTED_VALUE"""),-0.500108977170717)</f>
        <v>-0.50010897717071701</v>
      </c>
      <c r="NM58" s="3">
        <f ca="1">IFERROR(__xludf.DUMMYFUNCTION("""COMPUTED_VALUE"""),-0.623421863522014)</f>
        <v>-0.62342186352201401</v>
      </c>
      <c r="NN58" s="3">
        <f ca="1">IFERROR(__xludf.DUMMYFUNCTION("""COMPUTED_VALUE"""),-0.531078454909704)</f>
        <v>-0.53107845490970396</v>
      </c>
      <c r="NO58" s="3">
        <f ca="1">IFERROR(__xludf.DUMMYFUNCTION("""COMPUTED_VALUE"""),-0.640723744454156)</f>
        <v>-0.64072374445415603</v>
      </c>
      <c r="NP58" s="3">
        <f ca="1">IFERROR(__xludf.DUMMYFUNCTION("""COMPUTED_VALUE"""),-0.744914282284225)</f>
        <v>-0.74491428228422496</v>
      </c>
      <c r="NQ58" s="3">
        <f ca="1">IFERROR(__xludf.DUMMYFUNCTION("""COMPUTED_VALUE"""),-0.728127923679433)</f>
        <v>-0.72812792367943302</v>
      </c>
      <c r="NR58" s="3">
        <f ca="1">IFERROR(__xludf.DUMMYFUNCTION("""COMPUTED_VALUE"""),-0.630666974698919)</f>
        <v>-0.63066697469891897</v>
      </c>
      <c r="NS58" s="3">
        <f ca="1">IFERROR(__xludf.DUMMYFUNCTION("""COMPUTED_VALUE"""),-0.635222026976886)</f>
        <v>-0.63522202697688601</v>
      </c>
      <c r="NT58" s="3">
        <f ca="1">IFERROR(__xludf.DUMMYFUNCTION("""COMPUTED_VALUE"""),-0.548096848857654)</f>
        <v>-0.54809684885765397</v>
      </c>
      <c r="NU58" s="3">
        <f ca="1">IFERROR(__xludf.DUMMYFUNCTION("""COMPUTED_VALUE"""),-0.541868194778188)</f>
        <v>-0.54186819477818804</v>
      </c>
      <c r="NV58" s="3">
        <f ca="1">IFERROR(__xludf.DUMMYFUNCTION("""COMPUTED_VALUE"""),-0.661518513560167)</f>
        <v>-0.661518513560167</v>
      </c>
      <c r="NW58" s="3">
        <f ca="1">IFERROR(__xludf.DUMMYFUNCTION("""COMPUTED_VALUE"""),-0.594554334451327)</f>
        <v>-0.59455433445132699</v>
      </c>
      <c r="NX58" s="3">
        <f ca="1">IFERROR(__xludf.DUMMYFUNCTION("""COMPUTED_VALUE"""),-0.433324340788345)</f>
        <v>-0.43332434078834497</v>
      </c>
      <c r="NY58" s="3">
        <f ca="1">IFERROR(__xludf.DUMMYFUNCTION("""COMPUTED_VALUE"""),-0.410243165142786)</f>
        <v>-0.41024316514278603</v>
      </c>
      <c r="NZ58" s="3">
        <f ca="1">IFERROR(__xludf.DUMMYFUNCTION("""COMPUTED_VALUE"""),-0.380710494178984)</f>
        <v>-0.380710494178984</v>
      </c>
      <c r="OA58" s="3">
        <f ca="1">IFERROR(__xludf.DUMMYFUNCTION("""COMPUTED_VALUE"""),-0.269190774522544)</f>
        <v>-0.26919077452254397</v>
      </c>
      <c r="OB58" s="3">
        <f ca="1">IFERROR(__xludf.DUMMYFUNCTION("""COMPUTED_VALUE"""),-0.285930686515466)</f>
        <v>-0.28593068651546599</v>
      </c>
      <c r="OC58" s="3">
        <f ca="1">IFERROR(__xludf.DUMMYFUNCTION("""COMPUTED_VALUE"""),-0.163782815168936)</f>
        <v>-0.163782815168936</v>
      </c>
      <c r="OD58" s="3">
        <f ca="1">IFERROR(__xludf.DUMMYFUNCTION("""COMPUTED_VALUE"""),-0.0535850757225268)</f>
        <v>-5.3585075722526798E-2</v>
      </c>
      <c r="OE58" s="3">
        <f ca="1">IFERROR(__xludf.DUMMYFUNCTION("""COMPUTED_VALUE"""),-0.0584257526559786)</f>
        <v>-5.8425752655978602E-2</v>
      </c>
      <c r="OF58" s="3">
        <f ca="1">IFERROR(__xludf.DUMMYFUNCTION("""COMPUTED_VALUE"""),-0.0580940107178119)</f>
        <v>-5.8094010717811902E-2</v>
      </c>
      <c r="OG58" s="3">
        <f ca="1">IFERROR(__xludf.DUMMYFUNCTION("""COMPUTED_VALUE"""),0.0586727254438523)</f>
        <v>5.8672725443852297E-2</v>
      </c>
      <c r="OH58" s="3">
        <f ca="1">IFERROR(__xludf.DUMMYFUNCTION("""COMPUTED_VALUE"""),0.0867558069943112)</f>
        <v>8.6755806994311194E-2</v>
      </c>
      <c r="OI58" s="3">
        <f ca="1">IFERROR(__xludf.DUMMYFUNCTION("""COMPUTED_VALUE"""),0.135483034602396)</f>
        <v>0.135483034602396</v>
      </c>
      <c r="OJ58" s="3">
        <f ca="1">IFERROR(__xludf.DUMMYFUNCTION("""COMPUTED_VALUE"""),0.0800302568953454)</f>
        <v>8.0030256895345403E-2</v>
      </c>
      <c r="OK58" s="3">
        <f ca="1">IFERROR(__xludf.DUMMYFUNCTION("""COMPUTED_VALUE"""),-0.0170738826800811)</f>
        <v>-1.7073882680081101E-2</v>
      </c>
      <c r="OL58" s="3">
        <f ca="1">IFERROR(__xludf.DUMMYFUNCTION("""COMPUTED_VALUE"""),-0.140563368684538)</f>
        <v>-0.140563368684538</v>
      </c>
      <c r="OM58" s="3">
        <f ca="1">IFERROR(__xludf.DUMMYFUNCTION("""COMPUTED_VALUE"""),0.0097983157401329)</f>
        <v>9.7983157401328996E-3</v>
      </c>
      <c r="ON58" s="3">
        <f ca="1">IFERROR(__xludf.DUMMYFUNCTION("""COMPUTED_VALUE"""),0.104006781808804)</f>
        <v>0.104006781808804</v>
      </c>
      <c r="OO58" s="3">
        <f ca="1">IFERROR(__xludf.DUMMYFUNCTION("""COMPUTED_VALUE"""),0.0615482207197879)</f>
        <v>6.1548220719787897E-2</v>
      </c>
      <c r="OP58" s="3">
        <f ca="1">IFERROR(__xludf.DUMMYFUNCTION("""COMPUTED_VALUE"""),0.0829128668518754)</f>
        <v>8.2912866851875405E-2</v>
      </c>
      <c r="OQ58" s="3">
        <f ca="1">IFERROR(__xludf.DUMMYFUNCTION("""COMPUTED_VALUE"""),0.107181398723952)</f>
        <v>0.10718139872395201</v>
      </c>
      <c r="OR58" s="3">
        <f ca="1">IFERROR(__xludf.DUMMYFUNCTION("""COMPUTED_VALUE"""),0.11056972898825)</f>
        <v>0.11056972898825</v>
      </c>
      <c r="OS58" s="3">
        <f ca="1">IFERROR(__xludf.DUMMYFUNCTION("""COMPUTED_VALUE"""),-0.0318761381602352)</f>
        <v>-3.1876138160235198E-2</v>
      </c>
      <c r="OT58" s="3">
        <f ca="1">IFERROR(__xludf.DUMMYFUNCTION("""COMPUTED_VALUE"""),-0.0178546167320297)</f>
        <v>-1.7854616732029701E-2</v>
      </c>
      <c r="OU58" s="3">
        <f ca="1">IFERROR(__xludf.DUMMYFUNCTION("""COMPUTED_VALUE"""),0.055981355956282)</f>
        <v>5.5981355956282002E-2</v>
      </c>
      <c r="OV58" s="3">
        <f ca="1">IFERROR(__xludf.DUMMYFUNCTION("""COMPUTED_VALUE"""),-0.0130580928962175)</f>
        <v>-1.30580928962175E-2</v>
      </c>
      <c r="OW58" s="3">
        <f ca="1">IFERROR(__xludf.DUMMYFUNCTION("""COMPUTED_VALUE"""),0.0352566360979218)</f>
        <v>3.5256636097921797E-2</v>
      </c>
      <c r="OX58" s="3">
        <f ca="1">IFERROR(__xludf.DUMMYFUNCTION("""COMPUTED_VALUE"""),-0.0832955430391764)</f>
        <v>-8.3295543039176398E-2</v>
      </c>
      <c r="OY58" s="3">
        <f ca="1">IFERROR(__xludf.DUMMYFUNCTION("""COMPUTED_VALUE"""),-0.0367214417419027)</f>
        <v>-3.6721441741902699E-2</v>
      </c>
      <c r="OZ58" s="3">
        <f ca="1">IFERROR(__xludf.DUMMYFUNCTION("""COMPUTED_VALUE"""),-0.159273767072514)</f>
        <v>-0.15927376707251401</v>
      </c>
      <c r="PA58" s="3">
        <f ca="1">IFERROR(__xludf.DUMMYFUNCTION("""COMPUTED_VALUE"""),0.065178053043736)</f>
        <v>6.5178053043736001E-2</v>
      </c>
      <c r="PB58" s="3">
        <f ca="1">IFERROR(__xludf.DUMMYFUNCTION("""COMPUTED_VALUE"""),0.0499976527313286)</f>
        <v>4.9997652731328598E-2</v>
      </c>
      <c r="PC58" s="3">
        <f ca="1">IFERROR(__xludf.DUMMYFUNCTION("""COMPUTED_VALUE"""),0.0947946060107645)</f>
        <v>9.4794606010764504E-2</v>
      </c>
      <c r="PD58" s="3">
        <f ca="1">IFERROR(__xludf.DUMMYFUNCTION("""COMPUTED_VALUE"""),-0.0093579745882748)</f>
        <v>-9.3579745882748002E-3</v>
      </c>
      <c r="PE58" s="3">
        <f ca="1">IFERROR(__xludf.DUMMYFUNCTION("""COMPUTED_VALUE"""),-0.0214360763031959)</f>
        <v>-2.1436076303195901E-2</v>
      </c>
      <c r="PF58" s="3">
        <f ca="1">IFERROR(__xludf.DUMMYFUNCTION("""COMPUTED_VALUE"""),0.00898220901989521)</f>
        <v>8.9822090198952102E-3</v>
      </c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</row>
    <row r="59" spans="1:594" ht="13">
      <c r="A59" s="1" t="str">
        <f ca="1">IFERROR(__xludf.DUMMYFUNCTION("""COMPUTED_VALUE"""),"Ottawa")</f>
        <v>Ottawa</v>
      </c>
      <c r="B59" s="3">
        <f ca="1">IFERROR(__xludf.DUMMYFUNCTION("""COMPUTED_VALUE"""),-0.661319400167897)</f>
        <v>-0.66131940016789703</v>
      </c>
      <c r="C59" s="3">
        <f ca="1">IFERROR(__xludf.DUMMYFUNCTION("""COMPUTED_VALUE"""),-0.698334626357177)</f>
        <v>-0.69833462635717702</v>
      </c>
      <c r="D59" s="3">
        <f ca="1">IFERROR(__xludf.DUMMYFUNCTION("""COMPUTED_VALUE"""),-0.739742180723198)</f>
        <v>-0.73974218072319797</v>
      </c>
      <c r="E59" s="3">
        <f ca="1">IFERROR(__xludf.DUMMYFUNCTION("""COMPUTED_VALUE"""),-0.712484443349155)</f>
        <v>-0.71248444334915495</v>
      </c>
      <c r="F59" s="3">
        <f ca="1">IFERROR(__xludf.DUMMYFUNCTION("""COMPUTED_VALUE"""),-0.709464009425416)</f>
        <v>-0.70946400942541599</v>
      </c>
      <c r="G59" s="3">
        <f ca="1">IFERROR(__xludf.DUMMYFUNCTION("""COMPUTED_VALUE"""),-0.735986895142472)</f>
        <v>-0.73598689514247195</v>
      </c>
      <c r="H59" s="3">
        <f ca="1">IFERROR(__xludf.DUMMYFUNCTION("""COMPUTED_VALUE"""),-0.69708490494478)</f>
        <v>-0.69708490494478004</v>
      </c>
      <c r="I59" s="3">
        <f ca="1">IFERROR(__xludf.DUMMYFUNCTION("""COMPUTED_VALUE"""),-0.635063541726248)</f>
        <v>-0.63506354172624802</v>
      </c>
      <c r="J59" s="3">
        <f ca="1">IFERROR(__xludf.DUMMYFUNCTION("""COMPUTED_VALUE"""),-0.775965010385988)</f>
        <v>-0.77596501038598797</v>
      </c>
      <c r="K59" s="3">
        <f ca="1">IFERROR(__xludf.DUMMYFUNCTION("""COMPUTED_VALUE"""),-0.677382075324248)</f>
        <v>-0.67738207532424799</v>
      </c>
      <c r="L59" s="3">
        <f ca="1">IFERROR(__xludf.DUMMYFUNCTION("""COMPUTED_VALUE"""),-0.688057405120399)</f>
        <v>-0.68805740512039903</v>
      </c>
      <c r="M59" s="3">
        <f ca="1">IFERROR(__xludf.DUMMYFUNCTION("""COMPUTED_VALUE"""),-0.673386410709986)</f>
        <v>-0.67338641070998595</v>
      </c>
      <c r="N59" s="3">
        <f ca="1">IFERROR(__xludf.DUMMYFUNCTION("""COMPUTED_VALUE"""),-0.681156333462837)</f>
        <v>-0.68115633346283699</v>
      </c>
      <c r="O59" s="3">
        <f ca="1">IFERROR(__xludf.DUMMYFUNCTION("""COMPUTED_VALUE"""),-0.592855594976391)</f>
        <v>-0.59285559497639095</v>
      </c>
      <c r="P59" s="3">
        <f ca="1">IFERROR(__xludf.DUMMYFUNCTION("""COMPUTED_VALUE"""),-0.579983473686053)</f>
        <v>-0.57998347368605296</v>
      </c>
      <c r="Q59" s="3">
        <f ca="1">IFERROR(__xludf.DUMMYFUNCTION("""COMPUTED_VALUE"""),-0.707231771524584)</f>
        <v>-0.70723177152458405</v>
      </c>
      <c r="R59" s="3">
        <f ca="1">IFERROR(__xludf.DUMMYFUNCTION("""COMPUTED_VALUE"""),-0.692867527988842)</f>
        <v>-0.69286752798884199</v>
      </c>
      <c r="S59" s="3">
        <f ca="1">IFERROR(__xludf.DUMMYFUNCTION("""COMPUTED_VALUE"""),-0.706686853414351)</f>
        <v>-0.706686853414351</v>
      </c>
      <c r="T59" s="3">
        <f ca="1">IFERROR(__xludf.DUMMYFUNCTION("""COMPUTED_VALUE"""),-0.696142618944823)</f>
        <v>-0.69614261894482299</v>
      </c>
      <c r="U59" s="3">
        <f ca="1">IFERROR(__xludf.DUMMYFUNCTION("""COMPUTED_VALUE"""),-0.689375183875951)</f>
        <v>-0.68937518387595098</v>
      </c>
      <c r="V59" s="3">
        <f ca="1">IFERROR(__xludf.DUMMYFUNCTION("""COMPUTED_VALUE"""),-0.52693646475498)</f>
        <v>-0.52693646475498002</v>
      </c>
      <c r="W59" s="3">
        <f ca="1">IFERROR(__xludf.DUMMYFUNCTION("""COMPUTED_VALUE"""),-0.570952636795994)</f>
        <v>-0.57095263679599395</v>
      </c>
      <c r="X59" s="3">
        <f ca="1">IFERROR(__xludf.DUMMYFUNCTION("""COMPUTED_VALUE"""),-0.660321599901402)</f>
        <v>-0.66032159990140205</v>
      </c>
      <c r="Y59" s="3">
        <f ca="1">IFERROR(__xludf.DUMMYFUNCTION("""COMPUTED_VALUE"""),-0.682909232656014)</f>
        <v>-0.682909232656014</v>
      </c>
      <c r="Z59" s="3">
        <f ca="1">IFERROR(__xludf.DUMMYFUNCTION("""COMPUTED_VALUE"""),-0.689040620049722)</f>
        <v>-0.689040620049722</v>
      </c>
      <c r="AA59" s="3">
        <f ca="1">IFERROR(__xludf.DUMMYFUNCTION("""COMPUTED_VALUE"""),-0.698218332633942)</f>
        <v>-0.69821833263394195</v>
      </c>
      <c r="AB59" s="3">
        <f ca="1">IFERROR(__xludf.DUMMYFUNCTION("""COMPUTED_VALUE"""),-0.689245296027216)</f>
        <v>-0.68924529602721596</v>
      </c>
      <c r="AC59" s="3">
        <f ca="1">IFERROR(__xludf.DUMMYFUNCTION("""COMPUTED_VALUE"""),-0.543705716258408)</f>
        <v>-0.54370571625840802</v>
      </c>
      <c r="AD59" s="3">
        <f ca="1">IFERROR(__xludf.DUMMYFUNCTION("""COMPUTED_VALUE"""),-0.564008729839253)</f>
        <v>-0.56400872983925299</v>
      </c>
      <c r="AE59" s="3">
        <f ca="1">IFERROR(__xludf.DUMMYFUNCTION("""COMPUTED_VALUE"""),-0.669245639037966)</f>
        <v>-0.66924563903796597</v>
      </c>
      <c r="AF59" s="3">
        <f ca="1">IFERROR(__xludf.DUMMYFUNCTION("""COMPUTED_VALUE"""),-0.682666808182261)</f>
        <v>-0.682666808182261</v>
      </c>
      <c r="AG59" s="3">
        <f ca="1">IFERROR(__xludf.DUMMYFUNCTION("""COMPUTED_VALUE"""),-0.685095086656911)</f>
        <v>-0.68509508665691099</v>
      </c>
      <c r="AH59" s="3">
        <f ca="1">IFERROR(__xludf.DUMMYFUNCTION("""COMPUTED_VALUE"""),-0.697765429075945)</f>
        <v>-0.69776542907594497</v>
      </c>
      <c r="AI59" s="3">
        <f ca="1">IFERROR(__xludf.DUMMYFUNCTION("""COMPUTED_VALUE"""),-0.687711574490254)</f>
        <v>-0.687711574490254</v>
      </c>
      <c r="AJ59" s="3">
        <f ca="1">IFERROR(__xludf.DUMMYFUNCTION("""COMPUTED_VALUE"""),-0.517413744485262)</f>
        <v>-0.51741374448526201</v>
      </c>
      <c r="AK59" s="3">
        <f ca="1">IFERROR(__xludf.DUMMYFUNCTION("""COMPUTED_VALUE"""),-0.570929240756713)</f>
        <v>-0.57092924075671303</v>
      </c>
      <c r="AL59" s="3">
        <f ca="1">IFERROR(__xludf.DUMMYFUNCTION("""COMPUTED_VALUE"""),-0.666749277189657)</f>
        <v>-0.66674927718965704</v>
      </c>
      <c r="AM59" s="3">
        <f ca="1">IFERROR(__xludf.DUMMYFUNCTION("""COMPUTED_VALUE"""),-0.687206260357935)</f>
        <v>-0.68720626035793497</v>
      </c>
      <c r="AN59" s="3">
        <f ca="1">IFERROR(__xludf.DUMMYFUNCTION("""COMPUTED_VALUE"""),-0.684433230780738)</f>
        <v>-0.68443323078073803</v>
      </c>
      <c r="AO59" s="3">
        <f ca="1">IFERROR(__xludf.DUMMYFUNCTION("""COMPUTED_VALUE"""),-0.699225574036832)</f>
        <v>-0.69922557403683205</v>
      </c>
      <c r="AP59" s="3">
        <f ca="1">IFERROR(__xludf.DUMMYFUNCTION("""COMPUTED_VALUE"""),-0.679442731981693)</f>
        <v>-0.67944273198169303</v>
      </c>
      <c r="AQ59" s="3">
        <f ca="1">IFERROR(__xludf.DUMMYFUNCTION("""COMPUTED_VALUE"""),-0.477190470306355)</f>
        <v>-0.47719047030635497</v>
      </c>
      <c r="AR59" s="3">
        <f ca="1">IFERROR(__xludf.DUMMYFUNCTION("""COMPUTED_VALUE"""),-0.541806884026389)</f>
        <v>-0.54180688402638899</v>
      </c>
      <c r="AS59" s="3">
        <f ca="1">IFERROR(__xludf.DUMMYFUNCTION("""COMPUTED_VALUE"""),-0.646715691662264)</f>
        <v>-0.64671569166226395</v>
      </c>
      <c r="AT59" s="3">
        <f ca="1">IFERROR(__xludf.DUMMYFUNCTION("""COMPUTED_VALUE"""),-0.678962739699222)</f>
        <v>-0.67896273969922205</v>
      </c>
      <c r="AU59" s="3">
        <f ca="1">IFERROR(__xludf.DUMMYFUNCTION("""COMPUTED_VALUE"""),-0.667870689860083)</f>
        <v>-0.66787068986008302</v>
      </c>
      <c r="AV59" s="3">
        <f ca="1">IFERROR(__xludf.DUMMYFUNCTION("""COMPUTED_VALUE"""),-0.689501391372416)</f>
        <v>-0.68950139137241595</v>
      </c>
      <c r="AW59" s="3">
        <f ca="1">IFERROR(__xludf.DUMMYFUNCTION("""COMPUTED_VALUE"""),-0.651745711008552)</f>
        <v>-0.65174571100855205</v>
      </c>
      <c r="AX59" s="3">
        <f ca="1">IFERROR(__xludf.DUMMYFUNCTION("""COMPUTED_VALUE"""),-0.538949410301207)</f>
        <v>-0.53894941030120702</v>
      </c>
      <c r="AY59" s="3">
        <f ca="1">IFERROR(__xludf.DUMMYFUNCTION("""COMPUTED_VALUE"""),-0.566909531448899)</f>
        <v>-0.566909531448899</v>
      </c>
      <c r="AZ59" s="3">
        <f ca="1">IFERROR(__xludf.DUMMYFUNCTION("""COMPUTED_VALUE"""),-0.664456577579827)</f>
        <v>-0.66445657757982701</v>
      </c>
      <c r="BA59" s="3">
        <f ca="1">IFERROR(__xludf.DUMMYFUNCTION("""COMPUTED_VALUE"""),-0.708676375597153)</f>
        <v>-0.70867637559715302</v>
      </c>
      <c r="BB59" s="3">
        <f ca="1">IFERROR(__xludf.DUMMYFUNCTION("""COMPUTED_VALUE"""),-0.623135348376635)</f>
        <v>-0.62313534837663498</v>
      </c>
      <c r="BC59" s="3">
        <f ca="1">IFERROR(__xludf.DUMMYFUNCTION("""COMPUTED_VALUE"""),-0.660987839309525)</f>
        <v>-0.66098783930952498</v>
      </c>
      <c r="BD59" s="3">
        <f ca="1">IFERROR(__xludf.DUMMYFUNCTION("""COMPUTED_VALUE"""),-0.804292674236555)</f>
        <v>-0.80429267423655504</v>
      </c>
      <c r="BE59" s="3">
        <f ca="1">IFERROR(__xludf.DUMMYFUNCTION("""COMPUTED_VALUE"""),-0.602446616792824)</f>
        <v>-0.60244661679282396</v>
      </c>
      <c r="BF59" s="3">
        <f ca="1">IFERROR(__xludf.DUMMYFUNCTION("""COMPUTED_VALUE"""),-0.67156187944472)</f>
        <v>-0.67156187944472001</v>
      </c>
      <c r="BG59" s="3">
        <f ca="1">IFERROR(__xludf.DUMMYFUNCTION("""COMPUTED_VALUE"""),-0.755864298836335)</f>
        <v>-0.75586429883633499</v>
      </c>
      <c r="BH59" s="3">
        <f ca="1">IFERROR(__xludf.DUMMYFUNCTION("""COMPUTED_VALUE"""),-0.76735117196482)</f>
        <v>-0.76735117196481994</v>
      </c>
      <c r="BI59" s="3">
        <f ca="1">IFERROR(__xludf.DUMMYFUNCTION("""COMPUTED_VALUE"""),-0.766903039790975)</f>
        <v>-0.76690303979097496</v>
      </c>
      <c r="BJ59" s="3">
        <f ca="1">IFERROR(__xludf.DUMMYFUNCTION("""COMPUTED_VALUE"""),-0.762138238334154)</f>
        <v>-0.76213823833415395</v>
      </c>
      <c r="BK59" s="3">
        <f ca="1">IFERROR(__xludf.DUMMYFUNCTION("""COMPUTED_VALUE"""),-0.738727076047541)</f>
        <v>-0.73872707604754095</v>
      </c>
      <c r="BL59" s="3">
        <f ca="1">IFERROR(__xludf.DUMMYFUNCTION("""COMPUTED_VALUE"""),-0.657234795514286)</f>
        <v>-0.65723479551428599</v>
      </c>
      <c r="BM59" s="3">
        <f ca="1">IFERROR(__xludf.DUMMYFUNCTION("""COMPUTED_VALUE"""),-0.668522734130128)</f>
        <v>-0.66852273413012797</v>
      </c>
      <c r="BN59" s="3">
        <f ca="1">IFERROR(__xludf.DUMMYFUNCTION("""COMPUTED_VALUE"""),-0.769915591473216)</f>
        <v>-0.76991559147321598</v>
      </c>
      <c r="BO59" s="3">
        <f ca="1">IFERROR(__xludf.DUMMYFUNCTION("""COMPUTED_VALUE"""),-0.776719590001795)</f>
        <v>-0.77671959000179502</v>
      </c>
      <c r="BP59" s="3">
        <f ca="1">IFERROR(__xludf.DUMMYFUNCTION("""COMPUTED_VALUE"""),-0.774888979104092)</f>
        <v>-0.77488897910409205</v>
      </c>
      <c r="BQ59" s="3">
        <f ca="1">IFERROR(__xludf.DUMMYFUNCTION("""COMPUTED_VALUE"""),-0.789480955546083)</f>
        <v>-0.789480955546083</v>
      </c>
      <c r="BR59" s="3">
        <f ca="1">IFERROR(__xludf.DUMMYFUNCTION("""COMPUTED_VALUE"""),-0.790460514297666)</f>
        <v>-0.79046051429766595</v>
      </c>
      <c r="BS59" s="3">
        <f ca="1">IFERROR(__xludf.DUMMYFUNCTION("""COMPUTED_VALUE"""),-0.671253260142979)</f>
        <v>-0.67125326014297904</v>
      </c>
      <c r="BT59" s="3">
        <f ca="1">IFERROR(__xludf.DUMMYFUNCTION("""COMPUTED_VALUE"""),-0.711554188665482)</f>
        <v>-0.71155418866548203</v>
      </c>
      <c r="BU59" s="3">
        <f ca="1">IFERROR(__xludf.DUMMYFUNCTION("""COMPUTED_VALUE"""),-0.816017264328214)</f>
        <v>-0.81601726432821398</v>
      </c>
      <c r="BV59" s="3">
        <f ca="1">IFERROR(__xludf.DUMMYFUNCTION("""COMPUTED_VALUE"""),-0.818100688137204)</f>
        <v>-0.81810068813720405</v>
      </c>
      <c r="BW59" s="3">
        <f ca="1">IFERROR(__xludf.DUMMYFUNCTION("""COMPUTED_VALUE"""),-0.820220689671162)</f>
        <v>-0.82022068967116202</v>
      </c>
      <c r="BX59" s="3">
        <f ca="1">IFERROR(__xludf.DUMMYFUNCTION("""COMPUTED_VALUE"""),-0.823920092242632)</f>
        <v>-0.82392009224263196</v>
      </c>
      <c r="BY59" s="3">
        <f ca="1">IFERROR(__xludf.DUMMYFUNCTION("""COMPUTED_VALUE"""),-0.817544590588728)</f>
        <v>-0.81754459058872797</v>
      </c>
      <c r="BZ59" s="3">
        <f ca="1">IFERROR(__xludf.DUMMYFUNCTION("""COMPUTED_VALUE"""),-0.68570147930458)</f>
        <v>-0.68570147930458003</v>
      </c>
      <c r="CA59" s="3">
        <f ca="1">IFERROR(__xludf.DUMMYFUNCTION("""COMPUTED_VALUE"""),-0.717405513249639)</f>
        <v>-0.71740551324963897</v>
      </c>
      <c r="CB59" s="3">
        <f ca="1">IFERROR(__xludf.DUMMYFUNCTION("""COMPUTED_VALUE"""),-0.798214593621538)</f>
        <v>-0.79821459362153802</v>
      </c>
      <c r="CC59" s="3">
        <f ca="1">IFERROR(__xludf.DUMMYFUNCTION("""COMPUTED_VALUE"""),-0.81942259053663)</f>
        <v>-0.81942259053663002</v>
      </c>
      <c r="CD59" s="3">
        <f ca="1">IFERROR(__xludf.DUMMYFUNCTION("""COMPUTED_VALUE"""),-0.82291707917096)</f>
        <v>-0.82291707917096002</v>
      </c>
      <c r="CE59" s="3">
        <f ca="1">IFERROR(__xludf.DUMMYFUNCTION("""COMPUTED_VALUE"""),-0.827383270343714)</f>
        <v>-0.82738327034371395</v>
      </c>
      <c r="CF59" s="3">
        <f ca="1">IFERROR(__xludf.DUMMYFUNCTION("""COMPUTED_VALUE"""),-0.819105012192538)</f>
        <v>-0.81910501219253795</v>
      </c>
      <c r="CG59" s="3">
        <f ca="1">IFERROR(__xludf.DUMMYFUNCTION("""COMPUTED_VALUE"""),-0.66888360572878)</f>
        <v>-0.66888360572878003</v>
      </c>
      <c r="CH59" s="3">
        <f ca="1">IFERROR(__xludf.DUMMYFUNCTION("""COMPUTED_VALUE"""),-0.705842392603462)</f>
        <v>-0.70584239260346204</v>
      </c>
      <c r="CI59" s="3">
        <f ca="1">IFERROR(__xludf.DUMMYFUNCTION("""COMPUTED_VALUE"""),-0.808999894176518)</f>
        <v>-0.80899989417651796</v>
      </c>
      <c r="CJ59" s="3">
        <f ca="1">IFERROR(__xludf.DUMMYFUNCTION("""COMPUTED_VALUE"""),-0.823932311073721)</f>
        <v>-0.823932311073721</v>
      </c>
      <c r="CK59" s="3">
        <f ca="1">IFERROR(__xludf.DUMMYFUNCTION("""COMPUTED_VALUE"""),-0.80678305963232)</f>
        <v>-0.80678305963232</v>
      </c>
      <c r="CL59" s="3">
        <f ca="1">IFERROR(__xludf.DUMMYFUNCTION("""COMPUTED_VALUE"""),-0.811862954360275)</f>
        <v>-0.811862954360275</v>
      </c>
      <c r="CM59" s="3">
        <f ca="1">IFERROR(__xludf.DUMMYFUNCTION("""COMPUTED_VALUE"""),-0.809406802209459)</f>
        <v>-0.80940680220945904</v>
      </c>
      <c r="CN59" s="3">
        <f ca="1">IFERROR(__xludf.DUMMYFUNCTION("""COMPUTED_VALUE"""),-0.666225924622167)</f>
        <v>-0.66622592462216701</v>
      </c>
      <c r="CO59" s="3">
        <f ca="1">IFERROR(__xludf.DUMMYFUNCTION("""COMPUTED_VALUE"""),-0.656835094552828)</f>
        <v>-0.65683509455282796</v>
      </c>
      <c r="CP59" s="3">
        <f ca="1">IFERROR(__xludf.DUMMYFUNCTION("""COMPUTED_VALUE"""),-0.749839275633655)</f>
        <v>-0.74983927563365504</v>
      </c>
      <c r="CQ59" s="3">
        <f ca="1">IFERROR(__xludf.DUMMYFUNCTION("""COMPUTED_VALUE"""),-0.758745987023922)</f>
        <v>-0.75874598702392204</v>
      </c>
      <c r="CR59" s="3">
        <f ca="1">IFERROR(__xludf.DUMMYFUNCTION("""COMPUTED_VALUE"""),-0.723077173384659)</f>
        <v>-0.72307717338465904</v>
      </c>
      <c r="CS59" s="3">
        <f ca="1">IFERROR(__xludf.DUMMYFUNCTION("""COMPUTED_VALUE"""),-0.763655484717416)</f>
        <v>-0.76365548471741596</v>
      </c>
      <c r="CT59" s="3">
        <f ca="1">IFERROR(__xludf.DUMMYFUNCTION("""COMPUTED_VALUE"""),-0.750689471603449)</f>
        <v>-0.75068947160344901</v>
      </c>
      <c r="CU59" s="3">
        <f ca="1">IFERROR(__xludf.DUMMYFUNCTION("""COMPUTED_VALUE"""),-0.641893221834513)</f>
        <v>-0.64189322183451303</v>
      </c>
      <c r="CV59" s="3">
        <f ca="1">IFERROR(__xludf.DUMMYFUNCTION("""COMPUTED_VALUE"""),-0.644398437327509)</f>
        <v>-0.64439843732750901</v>
      </c>
      <c r="CW59" s="3">
        <f ca="1">IFERROR(__xludf.DUMMYFUNCTION("""COMPUTED_VALUE"""),-0.831712012267191)</f>
        <v>-0.83171201226719105</v>
      </c>
      <c r="CX59" s="3">
        <f ca="1">IFERROR(__xludf.DUMMYFUNCTION("""COMPUTED_VALUE"""),-0.714391149863834)</f>
        <v>-0.71439114986383401</v>
      </c>
      <c r="CY59" s="3">
        <f ca="1">IFERROR(__xludf.DUMMYFUNCTION("""COMPUTED_VALUE"""),-0.610410800844125)</f>
        <v>-0.61041080084412502</v>
      </c>
      <c r="CZ59" s="3">
        <f ca="1">IFERROR(__xludf.DUMMYFUNCTION("""COMPUTED_VALUE"""),-0.708346641159801)</f>
        <v>-0.70834664115980095</v>
      </c>
      <c r="DA59" s="3">
        <f ca="1">IFERROR(__xludf.DUMMYFUNCTION("""COMPUTED_VALUE"""),-0.734705518356192)</f>
        <v>-0.73470551835619202</v>
      </c>
      <c r="DB59" s="3">
        <f ca="1">IFERROR(__xludf.DUMMYFUNCTION("""COMPUTED_VALUE"""),-0.621461710130763)</f>
        <v>-0.62146171013076301</v>
      </c>
      <c r="DC59" s="3">
        <f ca="1">IFERROR(__xludf.DUMMYFUNCTION("""COMPUTED_VALUE"""),-0.675317462556181)</f>
        <v>-0.67531746255618097</v>
      </c>
      <c r="DD59" s="3">
        <f ca="1">IFERROR(__xludf.DUMMYFUNCTION("""COMPUTED_VALUE"""),-0.819981587443171)</f>
        <v>-0.81998158744317096</v>
      </c>
      <c r="DE59" s="3">
        <f ca="1">IFERROR(__xludf.DUMMYFUNCTION("""COMPUTED_VALUE"""),-0.591125415890259)</f>
        <v>-0.59112541589025902</v>
      </c>
      <c r="DF59" s="3">
        <f ca="1">IFERROR(__xludf.DUMMYFUNCTION("""COMPUTED_VALUE"""),-0.337081388573391)</f>
        <v>-0.33708138857339098</v>
      </c>
      <c r="DG59" s="3">
        <f ca="1">IFERROR(__xludf.DUMMYFUNCTION("""COMPUTED_VALUE"""),-0.538478945828156)</f>
        <v>-0.53847894582815603</v>
      </c>
      <c r="DH59" s="3">
        <f ca="1">IFERROR(__xludf.DUMMYFUNCTION("""COMPUTED_VALUE"""),-0.553193641254075)</f>
        <v>-0.553193641254075</v>
      </c>
      <c r="DI59" s="3">
        <f ca="1">IFERROR(__xludf.DUMMYFUNCTION("""COMPUTED_VALUE"""),-0.511760212731085)</f>
        <v>-0.51176021273108496</v>
      </c>
      <c r="DJ59" s="3">
        <f ca="1">IFERROR(__xludf.DUMMYFUNCTION("""COMPUTED_VALUE"""),-0.528224120690323)</f>
        <v>-0.52822412069032298</v>
      </c>
      <c r="DK59" s="3">
        <f ca="1">IFERROR(__xludf.DUMMYFUNCTION("""COMPUTED_VALUE"""),-0.596124817434889)</f>
        <v>-0.59612481743488899</v>
      </c>
      <c r="DL59" s="3">
        <f ca="1">IFERROR(__xludf.DUMMYFUNCTION("""COMPUTED_VALUE"""),-0.597707594981073)</f>
        <v>-0.59770759498107295</v>
      </c>
      <c r="DM59" s="3">
        <f ca="1">IFERROR(__xludf.DUMMYFUNCTION("""COMPUTED_VALUE"""),-0.585797228621683)</f>
        <v>-0.58579722862168304</v>
      </c>
      <c r="DN59" s="3">
        <f ca="1">IFERROR(__xludf.DUMMYFUNCTION("""COMPUTED_VALUE"""),-0.648540189235167)</f>
        <v>-0.64854018923516699</v>
      </c>
      <c r="DO59" s="3">
        <f ca="1">IFERROR(__xludf.DUMMYFUNCTION("""COMPUTED_VALUE"""),-0.650828502167868)</f>
        <v>-0.65082850216786803</v>
      </c>
      <c r="DP59" s="3">
        <f ca="1">IFERROR(__xludf.DUMMYFUNCTION("""COMPUTED_VALUE"""),-0.577084490523382)</f>
        <v>-0.57708449052338195</v>
      </c>
      <c r="DQ59" s="3">
        <f ca="1">IFERROR(__xludf.DUMMYFUNCTION("""COMPUTED_VALUE"""),-0.598308597197151)</f>
        <v>-0.59830859719715102</v>
      </c>
      <c r="DR59" s="3">
        <f ca="1">IFERROR(__xludf.DUMMYFUNCTION("""COMPUTED_VALUE"""),-0.646598028347793)</f>
        <v>-0.64659802834779301</v>
      </c>
      <c r="DS59" s="3">
        <f ca="1">IFERROR(__xludf.DUMMYFUNCTION("""COMPUTED_VALUE"""),-0.669732810535094)</f>
        <v>-0.66973281053509404</v>
      </c>
      <c r="DT59" s="3">
        <f ca="1">IFERROR(__xludf.DUMMYFUNCTION("""COMPUTED_VALUE"""),-0.677543240350948)</f>
        <v>-0.67754324035094804</v>
      </c>
      <c r="DU59" s="3">
        <f ca="1">IFERROR(__xludf.DUMMYFUNCTION("""COMPUTED_VALUE"""),-0.686693159611936)</f>
        <v>-0.686693159611936</v>
      </c>
      <c r="DV59" s="3">
        <f ca="1">IFERROR(__xludf.DUMMYFUNCTION("""COMPUTED_VALUE"""),-0.684961989935972)</f>
        <v>-0.68496198993597202</v>
      </c>
      <c r="DW59" s="3">
        <f ca="1">IFERROR(__xludf.DUMMYFUNCTION("""COMPUTED_VALUE"""),-0.566572954682605)</f>
        <v>-0.56657295468260505</v>
      </c>
      <c r="DX59" s="3">
        <f ca="1">IFERROR(__xludf.DUMMYFUNCTION("""COMPUTED_VALUE"""),-0.58316151887987)</f>
        <v>-0.58316151887987</v>
      </c>
      <c r="DY59" s="3">
        <f ca="1">IFERROR(__xludf.DUMMYFUNCTION("""COMPUTED_VALUE"""),-0.665458251608293)</f>
        <v>-0.66545825160829297</v>
      </c>
      <c r="DZ59" s="3">
        <f ca="1">IFERROR(__xludf.DUMMYFUNCTION("""COMPUTED_VALUE"""),-0.698146831136546)</f>
        <v>-0.69814683113654596</v>
      </c>
      <c r="EA59" s="3">
        <f ca="1">IFERROR(__xludf.DUMMYFUNCTION("""COMPUTED_VALUE"""),-0.695738425072546)</f>
        <v>-0.69573842507254602</v>
      </c>
      <c r="EB59" s="3">
        <f ca="1">IFERROR(__xludf.DUMMYFUNCTION("""COMPUTED_VALUE"""),-0.695847658142978)</f>
        <v>-0.695847658142978</v>
      </c>
      <c r="EC59" s="3">
        <f ca="1">IFERROR(__xludf.DUMMYFUNCTION("""COMPUTED_VALUE"""),-0.677181952005792)</f>
        <v>-0.67718195200579201</v>
      </c>
      <c r="ED59" s="3">
        <f ca="1">IFERROR(__xludf.DUMMYFUNCTION("""COMPUTED_VALUE"""),-0.506094495667135)</f>
        <v>-0.50609449566713505</v>
      </c>
      <c r="EE59" s="3">
        <f ca="1">IFERROR(__xludf.DUMMYFUNCTION("""COMPUTED_VALUE"""),-0.567203529228832)</f>
        <v>-0.56720352922883199</v>
      </c>
      <c r="EF59" s="3">
        <f ca="1">IFERROR(__xludf.DUMMYFUNCTION("""COMPUTED_VALUE"""),-0.637104137766984)</f>
        <v>-0.63710413776698405</v>
      </c>
      <c r="EG59" s="3">
        <f ca="1">IFERROR(__xludf.DUMMYFUNCTION("""COMPUTED_VALUE"""),-0.693215782821535)</f>
        <v>-0.69321578282153495</v>
      </c>
      <c r="EH59" s="3">
        <f ca="1">IFERROR(__xludf.DUMMYFUNCTION("""COMPUTED_VALUE"""),-0.691960537301988)</f>
        <v>-0.69196053730198803</v>
      </c>
      <c r="EI59" s="3">
        <f ca="1">IFERROR(__xludf.DUMMYFUNCTION("""COMPUTED_VALUE"""),-0.71497232355844)</f>
        <v>-0.71497232355843998</v>
      </c>
      <c r="EJ59" s="3">
        <f ca="1">IFERROR(__xludf.DUMMYFUNCTION("""COMPUTED_VALUE"""),-0.694090151604643)</f>
        <v>-0.69409015160464305</v>
      </c>
      <c r="EK59" s="3">
        <f ca="1">IFERROR(__xludf.DUMMYFUNCTION("""COMPUTED_VALUE"""),-0.530534330628396)</f>
        <v>-0.53053433062839594</v>
      </c>
      <c r="EL59" s="3">
        <f ca="1">IFERROR(__xludf.DUMMYFUNCTION("""COMPUTED_VALUE"""),-0.578233409637784)</f>
        <v>-0.57823340963778402</v>
      </c>
      <c r="EM59" s="3">
        <f ca="1">IFERROR(__xludf.DUMMYFUNCTION("""COMPUTED_VALUE"""),-0.694675178789295)</f>
        <v>-0.69467517878929497</v>
      </c>
      <c r="EN59" s="3">
        <f ca="1">IFERROR(__xludf.DUMMYFUNCTION("""COMPUTED_VALUE"""),-0.726597482721131)</f>
        <v>-0.726597482721131</v>
      </c>
      <c r="EO59" s="3">
        <f ca="1">IFERROR(__xludf.DUMMYFUNCTION("""COMPUTED_VALUE"""),-0.721867976731329)</f>
        <v>-0.72186797673132896</v>
      </c>
      <c r="EP59" s="3">
        <f ca="1">IFERROR(__xludf.DUMMYFUNCTION("""COMPUTED_VALUE"""),-0.720287944676746)</f>
        <v>-0.72028794467674595</v>
      </c>
      <c r="EQ59" s="3">
        <f ca="1">IFERROR(__xludf.DUMMYFUNCTION("""COMPUTED_VALUE"""),-0.710495009812468)</f>
        <v>-0.71049500981246805</v>
      </c>
      <c r="ER59" s="3">
        <f ca="1">IFERROR(__xludf.DUMMYFUNCTION("""COMPUTED_VALUE"""),-0.586952218362078)</f>
        <v>-0.586952218362078</v>
      </c>
      <c r="ES59" s="3">
        <f ca="1">IFERROR(__xludf.DUMMYFUNCTION("""COMPUTED_VALUE"""),-0.578954912993771)</f>
        <v>-0.578954912993771</v>
      </c>
      <c r="ET59" s="3">
        <f ca="1">IFERROR(__xludf.DUMMYFUNCTION("""COMPUTED_VALUE"""),-0.701079764448656)</f>
        <v>-0.70107976444865605</v>
      </c>
      <c r="EU59" s="3">
        <f ca="1">IFERROR(__xludf.DUMMYFUNCTION("""COMPUTED_VALUE"""),-0.722066121254617)</f>
        <v>-0.722066121254617</v>
      </c>
      <c r="EV59" s="3">
        <f ca="1">IFERROR(__xludf.DUMMYFUNCTION("""COMPUTED_VALUE"""),-0.716219023752482)</f>
        <v>-0.71621902375248203</v>
      </c>
      <c r="EW59" s="3">
        <f ca="1">IFERROR(__xludf.DUMMYFUNCTION("""COMPUTED_VALUE"""),-0.705495113170266)</f>
        <v>-0.70549511317026603</v>
      </c>
      <c r="EX59" s="3">
        <f ca="1">IFERROR(__xludf.DUMMYFUNCTION("""COMPUTED_VALUE"""),-0.686846239332342)</f>
        <v>-0.68684623933234201</v>
      </c>
      <c r="EY59" s="3">
        <f ca="1">IFERROR(__xludf.DUMMYFUNCTION("""COMPUTED_VALUE"""),-0.537049758789051)</f>
        <v>-0.53704975878905103</v>
      </c>
      <c r="EZ59" s="3">
        <f ca="1">IFERROR(__xludf.DUMMYFUNCTION("""COMPUTED_VALUE"""),-0.560399336044363)</f>
        <v>-0.56039933604436298</v>
      </c>
      <c r="FA59" s="3">
        <f ca="1">IFERROR(__xludf.DUMMYFUNCTION("""COMPUTED_VALUE"""),-0.689157859665237)</f>
        <v>-0.68915785966523702</v>
      </c>
      <c r="FB59" s="3">
        <f ca="1">IFERROR(__xludf.DUMMYFUNCTION("""COMPUTED_VALUE"""),-0.72032359982405)</f>
        <v>-0.72032359982405003</v>
      </c>
      <c r="FC59" s="3">
        <f ca="1">IFERROR(__xludf.DUMMYFUNCTION("""COMPUTED_VALUE"""),-0.725031424814822)</f>
        <v>-0.72503142481482197</v>
      </c>
      <c r="FD59" s="3">
        <f ca="1">IFERROR(__xludf.DUMMYFUNCTION("""COMPUTED_VALUE"""),-0.727257868556519)</f>
        <v>-0.72725786855651897</v>
      </c>
      <c r="FE59" s="3">
        <f ca="1">IFERROR(__xludf.DUMMYFUNCTION("""COMPUTED_VALUE"""),-0.714053283655827)</f>
        <v>-0.71405328365582699</v>
      </c>
      <c r="FF59" s="3">
        <f ca="1">IFERROR(__xludf.DUMMYFUNCTION("""COMPUTED_VALUE"""),-0.587929914037216)</f>
        <v>-0.58792991403721595</v>
      </c>
      <c r="FG59" s="3">
        <f ca="1">IFERROR(__xludf.DUMMYFUNCTION("""COMPUTED_VALUE"""),-0.575705337419013)</f>
        <v>-0.57570533741901297</v>
      </c>
      <c r="FH59" s="3">
        <f ca="1">IFERROR(__xludf.DUMMYFUNCTION("""COMPUTED_VALUE"""),-0.684615309910474)</f>
        <v>-0.68461530991047403</v>
      </c>
      <c r="FI59" s="3">
        <f ca="1">IFERROR(__xludf.DUMMYFUNCTION("""COMPUTED_VALUE"""),-0.711072738740202)</f>
        <v>-0.71107273874020205</v>
      </c>
      <c r="FJ59" s="3">
        <f ca="1">IFERROR(__xludf.DUMMYFUNCTION("""COMPUTED_VALUE"""),-0.706563158330773)</f>
        <v>-0.70656315833077299</v>
      </c>
      <c r="FK59" s="3">
        <f ca="1">IFERROR(__xludf.DUMMYFUNCTION("""COMPUTED_VALUE"""),-0.704249141540729)</f>
        <v>-0.70424914154072904</v>
      </c>
      <c r="FL59" s="3">
        <f ca="1">IFERROR(__xludf.DUMMYFUNCTION("""COMPUTED_VALUE"""),-0.702572808731866)</f>
        <v>-0.70257280873186601</v>
      </c>
      <c r="FM59" s="3">
        <f ca="1">IFERROR(__xludf.DUMMYFUNCTION("""COMPUTED_VALUE"""),-0.552397931686551)</f>
        <v>-0.55239793168655105</v>
      </c>
      <c r="FN59" s="3">
        <f ca="1">IFERROR(__xludf.DUMMYFUNCTION("""COMPUTED_VALUE"""),-0.595579880767554)</f>
        <v>-0.59557988076755397</v>
      </c>
      <c r="FO59" s="3">
        <f ca="1">IFERROR(__xludf.DUMMYFUNCTION("""COMPUTED_VALUE"""),-0.668034882613321)</f>
        <v>-0.668034882613321</v>
      </c>
      <c r="FP59" s="3">
        <f ca="1">IFERROR(__xludf.DUMMYFUNCTION("""COMPUTED_VALUE"""),-0.716938968917871)</f>
        <v>-0.71693896891787101</v>
      </c>
      <c r="FQ59" s="3">
        <f ca="1">IFERROR(__xludf.DUMMYFUNCTION("""COMPUTED_VALUE"""),-0.727259780488752)</f>
        <v>-0.72725978048875195</v>
      </c>
      <c r="FR59" s="3">
        <f ca="1">IFERROR(__xludf.DUMMYFUNCTION("""COMPUTED_VALUE"""),-0.707207391085498)</f>
        <v>-0.70720739108549802</v>
      </c>
      <c r="FS59" s="3">
        <f ca="1">IFERROR(__xludf.DUMMYFUNCTION("""COMPUTED_VALUE"""),-0.643306664229712)</f>
        <v>-0.64330666422971206</v>
      </c>
      <c r="FT59" s="3">
        <f ca="1">IFERROR(__xludf.DUMMYFUNCTION("""COMPUTED_VALUE"""),-0.568688553420861)</f>
        <v>-0.568688553420861</v>
      </c>
      <c r="FU59" s="3">
        <f ca="1">IFERROR(__xludf.DUMMYFUNCTION("""COMPUTED_VALUE"""),-0.571900552169332)</f>
        <v>-0.571900552169332</v>
      </c>
      <c r="FV59" s="3">
        <f ca="1">IFERROR(__xludf.DUMMYFUNCTION("""COMPUTED_VALUE"""),-0.685577314583865)</f>
        <v>-0.68557731458386495</v>
      </c>
      <c r="FW59" s="3">
        <f ca="1">IFERROR(__xludf.DUMMYFUNCTION("""COMPUTED_VALUE"""),-0.716790990065159)</f>
        <v>-0.71679099006515901</v>
      </c>
      <c r="FX59" s="3">
        <f ca="1">IFERROR(__xludf.DUMMYFUNCTION("""COMPUTED_VALUE"""),-0.71828595359522)</f>
        <v>-0.71828595359521996</v>
      </c>
      <c r="FY59" s="3">
        <f ca="1">IFERROR(__xludf.DUMMYFUNCTION("""COMPUTED_VALUE"""),-0.716079053462973)</f>
        <v>-0.71607905346297296</v>
      </c>
      <c r="FZ59" s="3">
        <f ca="1">IFERROR(__xludf.DUMMYFUNCTION("""COMPUTED_VALUE"""),-0.78676588105812)</f>
        <v>-0.78676588105811995</v>
      </c>
      <c r="GA59" s="3">
        <f ca="1">IFERROR(__xludf.DUMMYFUNCTION("""COMPUTED_VALUE"""),-0.572122062660729)</f>
        <v>-0.57212206266072896</v>
      </c>
      <c r="GB59" s="3">
        <f ca="1">IFERROR(__xludf.DUMMYFUNCTION("""COMPUTED_VALUE"""),-0.598253969145108)</f>
        <v>-0.59825396914510798</v>
      </c>
      <c r="GC59" s="3">
        <f ca="1">IFERROR(__xludf.DUMMYFUNCTION("""COMPUTED_VALUE"""),-0.688441628625346)</f>
        <v>-0.68844162862534597</v>
      </c>
      <c r="GD59" s="3">
        <f ca="1">IFERROR(__xludf.DUMMYFUNCTION("""COMPUTED_VALUE"""),-0.709116444845003)</f>
        <v>-0.70911644484500302</v>
      </c>
      <c r="GE59" s="3">
        <f ca="1">IFERROR(__xludf.DUMMYFUNCTION("""COMPUTED_VALUE"""),-0.719138122531065)</f>
        <v>-0.71913812253106502</v>
      </c>
      <c r="GF59" s="3">
        <f ca="1">IFERROR(__xludf.DUMMYFUNCTION("""COMPUTED_VALUE"""),-0.705699099396139)</f>
        <v>-0.70569909939613895</v>
      </c>
      <c r="GG59" s="3">
        <f ca="1">IFERROR(__xludf.DUMMYFUNCTION("""COMPUTED_VALUE"""),-0.648329338903676)</f>
        <v>-0.64832933890367594</v>
      </c>
      <c r="GH59" s="3">
        <f ca="1">IFERROR(__xludf.DUMMYFUNCTION("""COMPUTED_VALUE"""),-0.566196145558868)</f>
        <v>-0.56619614555886799</v>
      </c>
      <c r="GI59" s="3">
        <f ca="1">IFERROR(__xludf.DUMMYFUNCTION("""COMPUTED_VALUE"""),-0.570340901390234)</f>
        <v>-0.57034090139023397</v>
      </c>
      <c r="GJ59" s="3">
        <f ca="1">IFERROR(__xludf.DUMMYFUNCTION("""COMPUTED_VALUE"""),-0.706915157933033)</f>
        <v>-0.70691515793303294</v>
      </c>
      <c r="GK59" s="3">
        <f ca="1">IFERROR(__xludf.DUMMYFUNCTION("""COMPUTED_VALUE"""),-0.711152189093137)</f>
        <v>-0.71115218909313704</v>
      </c>
      <c r="GL59" s="3">
        <f ca="1">IFERROR(__xludf.DUMMYFUNCTION("""COMPUTED_VALUE"""),-0.708442808400786)</f>
        <v>-0.70844280840078599</v>
      </c>
      <c r="GM59" s="3">
        <f ca="1">IFERROR(__xludf.DUMMYFUNCTION("""COMPUTED_VALUE"""),-0.716724973647677)</f>
        <v>-0.71672497364767696</v>
      </c>
      <c r="GN59" s="3">
        <f ca="1">IFERROR(__xludf.DUMMYFUNCTION("""COMPUTED_VALUE"""),-0.709455198470337)</f>
        <v>-0.709455198470337</v>
      </c>
      <c r="GO59" s="3">
        <f ca="1">IFERROR(__xludf.DUMMYFUNCTION("""COMPUTED_VALUE"""),-0.542091915429899)</f>
        <v>-0.54209191542989899</v>
      </c>
      <c r="GP59" s="3">
        <f ca="1">IFERROR(__xludf.DUMMYFUNCTION("""COMPUTED_VALUE"""),-0.559256430211133)</f>
        <v>-0.55925643021113303</v>
      </c>
      <c r="GQ59" s="3">
        <f ca="1">IFERROR(__xludf.DUMMYFUNCTION("""COMPUTED_VALUE"""),-0.690413841075545)</f>
        <v>-0.69041384107554504</v>
      </c>
      <c r="GR59" s="3">
        <f ca="1">IFERROR(__xludf.DUMMYFUNCTION("""COMPUTED_VALUE"""),-0.706107695056138)</f>
        <v>-0.70610769505613802</v>
      </c>
      <c r="GS59" s="3">
        <f ca="1">IFERROR(__xludf.DUMMYFUNCTION("""COMPUTED_VALUE"""),-0.697712275269504)</f>
        <v>-0.69771227526950397</v>
      </c>
      <c r="GT59" s="3">
        <f ca="1">IFERROR(__xludf.DUMMYFUNCTION("""COMPUTED_VALUE"""),-0.694338245943854)</f>
        <v>-0.69433824594385396</v>
      </c>
      <c r="GU59" s="3">
        <f ca="1">IFERROR(__xludf.DUMMYFUNCTION("""COMPUTED_VALUE"""),-0.68577078756305)</f>
        <v>-0.68577078756304999</v>
      </c>
      <c r="GV59" s="3">
        <f ca="1">IFERROR(__xludf.DUMMYFUNCTION("""COMPUTED_VALUE"""),-0.516240452896465)</f>
        <v>-0.51624045289646503</v>
      </c>
      <c r="GW59" s="3">
        <f ca="1">IFERROR(__xludf.DUMMYFUNCTION("""COMPUTED_VALUE"""),-0.539376512084427)</f>
        <v>-0.53937651208442705</v>
      </c>
      <c r="GX59" s="3">
        <f ca="1">IFERROR(__xludf.DUMMYFUNCTION("""COMPUTED_VALUE"""),-0.674458510020389)</f>
        <v>-0.67445851002038903</v>
      </c>
      <c r="GY59" s="3">
        <f ca="1">IFERROR(__xludf.DUMMYFUNCTION("""COMPUTED_VALUE"""),-0.678962429154883)</f>
        <v>-0.67896242915488303</v>
      </c>
      <c r="GZ59" s="3">
        <f ca="1">IFERROR(__xludf.DUMMYFUNCTION("""COMPUTED_VALUE"""),-0.686980878442831)</f>
        <v>-0.68698087844283096</v>
      </c>
      <c r="HA59" s="3">
        <f ca="1">IFERROR(__xludf.DUMMYFUNCTION("""COMPUTED_VALUE"""),-0.695495887769466)</f>
        <v>-0.69549588776946603</v>
      </c>
      <c r="HB59" s="3">
        <f ca="1">IFERROR(__xludf.DUMMYFUNCTION("""COMPUTED_VALUE"""),-0.69225711660013)</f>
        <v>-0.69225711660013001</v>
      </c>
      <c r="HC59" s="3">
        <f ca="1">IFERROR(__xludf.DUMMYFUNCTION("""COMPUTED_VALUE"""),-0.534376195671488)</f>
        <v>-0.53437619567148797</v>
      </c>
      <c r="HD59" s="3">
        <f ca="1">IFERROR(__xludf.DUMMYFUNCTION("""COMPUTED_VALUE"""),-0.511879698260756)</f>
        <v>-0.51187969826075597</v>
      </c>
      <c r="HE59" s="3">
        <f ca="1">IFERROR(__xludf.DUMMYFUNCTION("""COMPUTED_VALUE"""),-0.663695531294182)</f>
        <v>-0.66369553129418202</v>
      </c>
      <c r="HF59" s="3">
        <f ca="1">IFERROR(__xludf.DUMMYFUNCTION("""COMPUTED_VALUE"""),-0.701346606988136)</f>
        <v>-0.701346606988136</v>
      </c>
      <c r="HG59" s="3">
        <f ca="1">IFERROR(__xludf.DUMMYFUNCTION("""COMPUTED_VALUE"""),-0.714693326727622)</f>
        <v>-0.71469332672762198</v>
      </c>
      <c r="HH59" s="3">
        <f ca="1">IFERROR(__xludf.DUMMYFUNCTION("""COMPUTED_VALUE"""),-0.683308841253212)</f>
        <v>-0.68330884125321201</v>
      </c>
      <c r="HI59" s="3">
        <f ca="1">IFERROR(__xludf.DUMMYFUNCTION("""COMPUTED_VALUE"""),-0.762130441953066)</f>
        <v>-0.76213044195306601</v>
      </c>
      <c r="HJ59" s="3">
        <f ca="1">IFERROR(__xludf.DUMMYFUNCTION("""COMPUTED_VALUE"""),-0.483060002694263)</f>
        <v>-0.48306000269426302</v>
      </c>
      <c r="HK59" s="3">
        <f ca="1">IFERROR(__xludf.DUMMYFUNCTION("""COMPUTED_VALUE"""),-0.518347230848282)</f>
        <v>-0.51834723084828205</v>
      </c>
      <c r="HL59" s="3">
        <f ca="1">IFERROR(__xludf.DUMMYFUNCTION("""COMPUTED_VALUE"""),-0.659974281408813)</f>
        <v>-0.65997428140881298</v>
      </c>
      <c r="HM59" s="3">
        <f ca="1">IFERROR(__xludf.DUMMYFUNCTION("""COMPUTED_VALUE"""),-0.664835011518004)</f>
        <v>-0.66483501151800395</v>
      </c>
      <c r="HN59" s="3">
        <f ca="1">IFERROR(__xludf.DUMMYFUNCTION("""COMPUTED_VALUE"""),-0.708968099692852)</f>
        <v>-0.70896809969285202</v>
      </c>
      <c r="HO59" s="3">
        <f ca="1">IFERROR(__xludf.DUMMYFUNCTION("""COMPUTED_VALUE"""),-0.688455328507605)</f>
        <v>-0.68845532850760505</v>
      </c>
      <c r="HP59" s="3">
        <f ca="1">IFERROR(__xludf.DUMMYFUNCTION("""COMPUTED_VALUE"""),-0.588786410281474)</f>
        <v>-0.58878641028147405</v>
      </c>
      <c r="HQ59" s="3">
        <f ca="1">IFERROR(__xludf.DUMMYFUNCTION("""COMPUTED_VALUE"""),-0.511982734471061)</f>
        <v>-0.51198273447106102</v>
      </c>
      <c r="HR59" s="3">
        <f ca="1">IFERROR(__xludf.DUMMYFUNCTION("""COMPUTED_VALUE"""),-0.552408655647753)</f>
        <v>-0.55240865564775299</v>
      </c>
      <c r="HS59" s="3">
        <f ca="1">IFERROR(__xludf.DUMMYFUNCTION("""COMPUTED_VALUE"""),-0.641499496496771)</f>
        <v>-0.64149949649677096</v>
      </c>
      <c r="HT59" s="3">
        <f ca="1">IFERROR(__xludf.DUMMYFUNCTION("""COMPUTED_VALUE"""),-0.671841932964372)</f>
        <v>-0.671841932964372</v>
      </c>
      <c r="HU59" s="3">
        <f ca="1">IFERROR(__xludf.DUMMYFUNCTION("""COMPUTED_VALUE"""),-0.652436044526561)</f>
        <v>-0.65243604452656101</v>
      </c>
      <c r="HV59" s="3">
        <f ca="1">IFERROR(__xludf.DUMMYFUNCTION("""COMPUTED_VALUE"""),-0.628602641511591)</f>
        <v>-0.62860264151159095</v>
      </c>
      <c r="HW59" s="3">
        <f ca="1">IFERROR(__xludf.DUMMYFUNCTION("""COMPUTED_VALUE"""),-0.517413918236351)</f>
        <v>-0.51741391823635097</v>
      </c>
      <c r="HX59" s="3">
        <f ca="1">IFERROR(__xludf.DUMMYFUNCTION("""COMPUTED_VALUE"""),-0.49002580838756)</f>
        <v>-0.49002580838755999</v>
      </c>
      <c r="HY59" s="3">
        <f ca="1">IFERROR(__xludf.DUMMYFUNCTION("""COMPUTED_VALUE"""),-0.442394419978928)</f>
        <v>-0.44239441997892798</v>
      </c>
      <c r="HZ59" s="3">
        <f ca="1">IFERROR(__xludf.DUMMYFUNCTION("""COMPUTED_VALUE"""),-0.581045070205595)</f>
        <v>-0.58104507020559504</v>
      </c>
      <c r="IA59" s="3">
        <f ca="1">IFERROR(__xludf.DUMMYFUNCTION("""COMPUTED_VALUE"""),-0.604594918366665)</f>
        <v>-0.60459491836666501</v>
      </c>
      <c r="IB59" s="3">
        <f ca="1">IFERROR(__xludf.DUMMYFUNCTION("""COMPUTED_VALUE"""),-0.58310516368167)</f>
        <v>-0.58310516368166998</v>
      </c>
      <c r="IC59" s="3">
        <f ca="1">IFERROR(__xludf.DUMMYFUNCTION("""COMPUTED_VALUE"""),-0.590183558983566)</f>
        <v>-0.590183558983566</v>
      </c>
      <c r="ID59" s="3">
        <f ca="1">IFERROR(__xludf.DUMMYFUNCTION("""COMPUTED_VALUE"""),-0.569862419196485)</f>
        <v>-0.56986241919648495</v>
      </c>
      <c r="IE59" s="3">
        <f ca="1">IFERROR(__xludf.DUMMYFUNCTION("""COMPUTED_VALUE"""),-0.496448924768695)</f>
        <v>-0.49644892476869501</v>
      </c>
      <c r="IF59" s="3">
        <f ca="1">IFERROR(__xludf.DUMMYFUNCTION("""COMPUTED_VALUE"""),-0.424065328537737)</f>
        <v>-0.42406532853773699</v>
      </c>
      <c r="IG59" s="3">
        <f ca="1">IFERROR(__xludf.DUMMYFUNCTION("""COMPUTED_VALUE"""),-0.564213015666818)</f>
        <v>-0.56421301566681803</v>
      </c>
      <c r="IH59" s="3">
        <f ca="1">IFERROR(__xludf.DUMMYFUNCTION("""COMPUTED_VALUE"""),-0.580058359479574)</f>
        <v>-0.58005835947957396</v>
      </c>
      <c r="II59" s="3">
        <f ca="1">IFERROR(__xludf.DUMMYFUNCTION("""COMPUTED_VALUE"""),-0.590288605568257)</f>
        <v>-0.59028860556825702</v>
      </c>
      <c r="IJ59" s="3">
        <f ca="1">IFERROR(__xludf.DUMMYFUNCTION("""COMPUTED_VALUE"""),-0.605844742708668)</f>
        <v>-0.60584474270866795</v>
      </c>
      <c r="IK59" s="3">
        <f ca="1">IFERROR(__xludf.DUMMYFUNCTION("""COMPUTED_VALUE"""),-0.530942318535564)</f>
        <v>-0.53094231853556395</v>
      </c>
      <c r="IL59" s="3">
        <f ca="1">IFERROR(__xludf.DUMMYFUNCTION("""COMPUTED_VALUE"""),-0.479519270140652)</f>
        <v>-0.47951927014065199</v>
      </c>
      <c r="IM59" s="3">
        <f ca="1">IFERROR(__xludf.DUMMYFUNCTION("""COMPUTED_VALUE"""),-0.418965863703316)</f>
        <v>-0.41896586370331601</v>
      </c>
      <c r="IN59" s="3">
        <f ca="1">IFERROR(__xludf.DUMMYFUNCTION("""COMPUTED_VALUE"""),-0.556815872839707)</f>
        <v>-0.55681587283970702</v>
      </c>
      <c r="IO59" s="3">
        <f ca="1">IFERROR(__xludf.DUMMYFUNCTION("""COMPUTED_VALUE"""),-0.570398288996671)</f>
        <v>-0.570398288996671</v>
      </c>
      <c r="IP59" s="3">
        <f ca="1">IFERROR(__xludf.DUMMYFUNCTION("""COMPUTED_VALUE"""),-0.605690968769897)</f>
        <v>-0.60569096876989703</v>
      </c>
      <c r="IQ59" s="3">
        <f ca="1">IFERROR(__xludf.DUMMYFUNCTION("""COMPUTED_VALUE"""),-0.621786518546648)</f>
        <v>-0.62178651854664801</v>
      </c>
      <c r="IR59" s="3">
        <f ca="1">IFERROR(__xludf.DUMMYFUNCTION("""COMPUTED_VALUE"""),-0.579537955162629)</f>
        <v>-0.57953795516262896</v>
      </c>
      <c r="IS59" s="3">
        <f ca="1">IFERROR(__xludf.DUMMYFUNCTION("""COMPUTED_VALUE"""),-0.524263091475311)</f>
        <v>-0.52426309147531103</v>
      </c>
      <c r="IT59" s="3">
        <f ca="1">IFERROR(__xludf.DUMMYFUNCTION("""COMPUTED_VALUE"""),-0.46132481312546)</f>
        <v>-0.46132481312545998</v>
      </c>
      <c r="IU59" s="3">
        <f ca="1">IFERROR(__xludf.DUMMYFUNCTION("""COMPUTED_VALUE"""),-0.554693772540239)</f>
        <v>-0.55469377254023899</v>
      </c>
      <c r="IV59" s="3">
        <f ca="1">IFERROR(__xludf.DUMMYFUNCTION("""COMPUTED_VALUE"""),-0.615085942354148)</f>
        <v>-0.61508594235414804</v>
      </c>
      <c r="IW59" s="3">
        <f ca="1">IFERROR(__xludf.DUMMYFUNCTION("""COMPUTED_VALUE"""),-0.632594283094271)</f>
        <v>-0.63259428309427101</v>
      </c>
      <c r="IX59" s="3">
        <f ca="1">IFERROR(__xludf.DUMMYFUNCTION("""COMPUTED_VALUE"""),-0.615650057487464)</f>
        <v>-0.61565005748746404</v>
      </c>
      <c r="IY59" s="3">
        <f ca="1">IFERROR(__xludf.DUMMYFUNCTION("""COMPUTED_VALUE"""),-0.571794700737817)</f>
        <v>-0.57179470073781702</v>
      </c>
      <c r="IZ59" s="3">
        <f ca="1">IFERROR(__xludf.DUMMYFUNCTION("""COMPUTED_VALUE"""),-0.484150507441766)</f>
        <v>-0.48415050744176602</v>
      </c>
      <c r="JA59" s="3">
        <f ca="1">IFERROR(__xludf.DUMMYFUNCTION("""COMPUTED_VALUE"""),-0.485395473568602)</f>
        <v>-0.48539547356860202</v>
      </c>
      <c r="JB59" s="3">
        <f ca="1">IFERROR(__xludf.DUMMYFUNCTION("""COMPUTED_VALUE"""),-0.59979876674839)</f>
        <v>-0.59979876674839006</v>
      </c>
      <c r="JC59" s="3">
        <f ca="1">IFERROR(__xludf.DUMMYFUNCTION("""COMPUTED_VALUE"""),-0.647443312529713)</f>
        <v>-0.64744331252971299</v>
      </c>
      <c r="JD59" s="3">
        <f ca="1">IFERROR(__xludf.DUMMYFUNCTION("""COMPUTED_VALUE"""),-0.659379240133808)</f>
        <v>-0.659379240133808</v>
      </c>
      <c r="JE59" s="3">
        <f ca="1">IFERROR(__xludf.DUMMYFUNCTION("""COMPUTED_VALUE"""),-0.635697467767602)</f>
        <v>-0.63569746776760205</v>
      </c>
      <c r="JF59" s="3">
        <f ca="1">IFERROR(__xludf.DUMMYFUNCTION("""COMPUTED_VALUE"""),-0.617008485103266)</f>
        <v>-0.617008485103266</v>
      </c>
      <c r="JG59" s="3">
        <f ca="1">IFERROR(__xludf.DUMMYFUNCTION("""COMPUTED_VALUE"""),-0.503422267489141)</f>
        <v>-0.50342226748914098</v>
      </c>
      <c r="JH59" s="3">
        <f ca="1">IFERROR(__xludf.DUMMYFUNCTION("""COMPUTED_VALUE"""),-0.491749805915337)</f>
        <v>-0.49174980591533701</v>
      </c>
      <c r="JI59" s="3">
        <f ca="1">IFERROR(__xludf.DUMMYFUNCTION("""COMPUTED_VALUE"""),-0.611153893561132)</f>
        <v>-0.61115389356113203</v>
      </c>
      <c r="JJ59" s="3">
        <f ca="1">IFERROR(__xludf.DUMMYFUNCTION("""COMPUTED_VALUE"""),-0.661826108107739)</f>
        <v>-0.66182610810773901</v>
      </c>
      <c r="JK59" s="3">
        <f ca="1">IFERROR(__xludf.DUMMYFUNCTION("""COMPUTED_VALUE"""),-0.647208770773189)</f>
        <v>-0.64720877077318895</v>
      </c>
      <c r="JL59" s="3">
        <f ca="1">IFERROR(__xludf.DUMMYFUNCTION("""COMPUTED_VALUE"""),-0.644702110185954)</f>
        <v>-0.64470211018595402</v>
      </c>
      <c r="JM59" s="3">
        <f ca="1">IFERROR(__xludf.DUMMYFUNCTION("""COMPUTED_VALUE"""),-0.638014242984376)</f>
        <v>-0.63801424298437603</v>
      </c>
      <c r="JN59" s="3">
        <f ca="1">IFERROR(__xludf.DUMMYFUNCTION("""COMPUTED_VALUE"""),-0.52639053960053)</f>
        <v>-0.52639053960052995</v>
      </c>
      <c r="JO59" s="3">
        <f ca="1">IFERROR(__xludf.DUMMYFUNCTION("""COMPUTED_VALUE"""),-0.551652500575738)</f>
        <v>-0.551652500575738</v>
      </c>
      <c r="JP59" s="3">
        <f ca="1">IFERROR(__xludf.DUMMYFUNCTION("""COMPUTED_VALUE"""),-0.61796667115639)</f>
        <v>-0.61796667115639003</v>
      </c>
      <c r="JQ59" s="3">
        <f ca="1">IFERROR(__xludf.DUMMYFUNCTION("""COMPUTED_VALUE"""),-0.654421143650225)</f>
        <v>-0.65442114365022497</v>
      </c>
      <c r="JR59" s="3">
        <f ca="1">IFERROR(__xludf.DUMMYFUNCTION("""COMPUTED_VALUE"""),-0.659422191884639)</f>
        <v>-0.65942219188463902</v>
      </c>
      <c r="JS59" s="3">
        <f ca="1">IFERROR(__xludf.DUMMYFUNCTION("""COMPUTED_VALUE"""),-0.665124133857078)</f>
        <v>-0.66512413385707803</v>
      </c>
      <c r="JT59" s="3">
        <f ca="1">IFERROR(__xludf.DUMMYFUNCTION("""COMPUTED_VALUE"""),-0.628254199825449)</f>
        <v>-0.62825419982544894</v>
      </c>
      <c r="JU59" s="3">
        <f ca="1">IFERROR(__xludf.DUMMYFUNCTION("""COMPUTED_VALUE"""),-0.522903166167272)</f>
        <v>-0.52290316616727195</v>
      </c>
      <c r="JV59" s="3">
        <f ca="1">IFERROR(__xludf.DUMMYFUNCTION("""COMPUTED_VALUE"""),-0.506935121653643)</f>
        <v>-0.50693512165364296</v>
      </c>
      <c r="JW59" s="3">
        <f ca="1">IFERROR(__xludf.DUMMYFUNCTION("""COMPUTED_VALUE"""),-0.633071916162262)</f>
        <v>-0.63307191616226199</v>
      </c>
      <c r="JX59" s="3">
        <f ca="1">IFERROR(__xludf.DUMMYFUNCTION("""COMPUTED_VALUE"""),-0.682702737242819)</f>
        <v>-0.68270273724281905</v>
      </c>
      <c r="JY59" s="3">
        <f ca="1">IFERROR(__xludf.DUMMYFUNCTION("""COMPUTED_VALUE"""),-0.694446552555167)</f>
        <v>-0.69444655255516696</v>
      </c>
      <c r="JZ59" s="3">
        <f ca="1">IFERROR(__xludf.DUMMYFUNCTION("""COMPUTED_VALUE"""),-0.666309489693885)</f>
        <v>-0.66630948969388504</v>
      </c>
      <c r="KA59" s="3">
        <f ca="1">IFERROR(__xludf.DUMMYFUNCTION("""COMPUTED_VALUE"""),-0.654594839849388)</f>
        <v>-0.65459483984938804</v>
      </c>
      <c r="KB59" s="3">
        <f ca="1">IFERROR(__xludf.DUMMYFUNCTION("""COMPUTED_VALUE"""),-0.580590074613515)</f>
        <v>-0.58059007461351497</v>
      </c>
      <c r="KC59" s="3">
        <f ca="1">IFERROR(__xludf.DUMMYFUNCTION("""COMPUTED_VALUE"""),-0.596094980723475)</f>
        <v>-0.596094980723475</v>
      </c>
      <c r="KD59" s="3">
        <f ca="1">IFERROR(__xludf.DUMMYFUNCTION("""COMPUTED_VALUE"""),-0.674838609044426)</f>
        <v>-0.67483860904442605</v>
      </c>
      <c r="KE59" s="3">
        <f ca="1">IFERROR(__xludf.DUMMYFUNCTION("""COMPUTED_VALUE"""),-0.692673623602769)</f>
        <v>-0.69267362360276896</v>
      </c>
      <c r="KF59" s="3">
        <f ca="1">IFERROR(__xludf.DUMMYFUNCTION("""COMPUTED_VALUE"""),-0.704890610176267)</f>
        <v>-0.70489061017626697</v>
      </c>
      <c r="KG59" s="3">
        <f ca="1">IFERROR(__xludf.DUMMYFUNCTION("""COMPUTED_VALUE"""),-0.711252590895943)</f>
        <v>-0.71125259089594295</v>
      </c>
      <c r="KH59" s="3">
        <f ca="1">IFERROR(__xludf.DUMMYFUNCTION("""COMPUTED_VALUE"""),-0.689814099308076)</f>
        <v>-0.68981409930807602</v>
      </c>
      <c r="KI59" s="3">
        <f ca="1">IFERROR(__xludf.DUMMYFUNCTION("""COMPUTED_VALUE"""),-0.569293473267363)</f>
        <v>-0.56929347326736301</v>
      </c>
      <c r="KJ59" s="3">
        <f ca="1">IFERROR(__xludf.DUMMYFUNCTION("""COMPUTED_VALUE"""),-0.571618681865019)</f>
        <v>-0.57161868186501896</v>
      </c>
      <c r="KK59" s="3">
        <f ca="1">IFERROR(__xludf.DUMMYFUNCTION("""COMPUTED_VALUE"""),-0.682232877866843)</f>
        <v>-0.68223287786684295</v>
      </c>
      <c r="KL59" s="3">
        <f ca="1">IFERROR(__xludf.DUMMYFUNCTION("""COMPUTED_VALUE"""),-0.715606982041075)</f>
        <v>-0.71560698204107498</v>
      </c>
      <c r="KM59" s="3">
        <f ca="1">IFERROR(__xludf.DUMMYFUNCTION("""COMPUTED_VALUE"""),-0.70614424594211)</f>
        <v>-0.70614424594211</v>
      </c>
      <c r="KN59" s="3">
        <f ca="1">IFERROR(__xludf.DUMMYFUNCTION("""COMPUTED_VALUE"""),-0.712884364026339)</f>
        <v>-0.71288436402633903</v>
      </c>
      <c r="KO59" s="3">
        <f ca="1">IFERROR(__xludf.DUMMYFUNCTION("""COMPUTED_VALUE"""),-0.703665308477319)</f>
        <v>-0.70366530847731901</v>
      </c>
      <c r="KP59" s="3">
        <f ca="1">IFERROR(__xludf.DUMMYFUNCTION("""COMPUTED_VALUE"""),-0.581142129926742)</f>
        <v>-0.58114212992674197</v>
      </c>
      <c r="KQ59" s="3">
        <f ca="1">IFERROR(__xludf.DUMMYFUNCTION("""COMPUTED_VALUE"""),-0.606265487453283)</f>
        <v>-0.60626548745328301</v>
      </c>
      <c r="KR59" s="3">
        <f ca="1">IFERROR(__xludf.DUMMYFUNCTION("""COMPUTED_VALUE"""),-0.697799415037456)</f>
        <v>-0.69779941503745602</v>
      </c>
      <c r="KS59" s="3">
        <f ca="1">IFERROR(__xludf.DUMMYFUNCTION("""COMPUTED_VALUE"""),-0.72699182472984)</f>
        <v>-0.72699182472984003</v>
      </c>
      <c r="KT59" s="3">
        <f ca="1">IFERROR(__xludf.DUMMYFUNCTION("""COMPUTED_VALUE"""),-0.730605252668989)</f>
        <v>-0.73060525266898901</v>
      </c>
      <c r="KU59" s="3">
        <f ca="1">IFERROR(__xludf.DUMMYFUNCTION("""COMPUTED_VALUE"""),-0.728522041013886)</f>
        <v>-0.72852204101388596</v>
      </c>
      <c r="KV59" s="3">
        <f ca="1">IFERROR(__xludf.DUMMYFUNCTION("""COMPUTED_VALUE"""),-0.72576464888009)</f>
        <v>-0.72576464888008996</v>
      </c>
      <c r="KW59" s="3">
        <f ca="1">IFERROR(__xludf.DUMMYFUNCTION("""COMPUTED_VALUE"""),-0.595855040743628)</f>
        <v>-0.59585504074362805</v>
      </c>
      <c r="KX59" s="3">
        <f ca="1">IFERROR(__xludf.DUMMYFUNCTION("""COMPUTED_VALUE"""),-0.653119531392095)</f>
        <v>-0.653119531392095</v>
      </c>
      <c r="KY59" s="3">
        <f ca="1">IFERROR(__xludf.DUMMYFUNCTION("""COMPUTED_VALUE"""),-0.695688894205648)</f>
        <v>-0.69568889420564795</v>
      </c>
      <c r="KZ59" s="3">
        <f ca="1">IFERROR(__xludf.DUMMYFUNCTION("""COMPUTED_VALUE"""),-0.724910346426914)</f>
        <v>-0.72491034642691399</v>
      </c>
      <c r="LA59" s="3">
        <f ca="1">IFERROR(__xludf.DUMMYFUNCTION("""COMPUTED_VALUE"""),-0.745372295891952)</f>
        <v>-0.74537229589195197</v>
      </c>
      <c r="LB59" s="3">
        <f ca="1">IFERROR(__xludf.DUMMYFUNCTION("""COMPUTED_VALUE"""),-0.748063965099274)</f>
        <v>-0.74806396509927398</v>
      </c>
      <c r="LC59" s="3">
        <f ca="1">IFERROR(__xludf.DUMMYFUNCTION("""COMPUTED_VALUE"""),-0.728556917653137)</f>
        <v>-0.72855691765313702</v>
      </c>
      <c r="LD59" s="3">
        <f ca="1">IFERROR(__xludf.DUMMYFUNCTION("""COMPUTED_VALUE"""),-0.610383738974257)</f>
        <v>-0.61038373897425702</v>
      </c>
      <c r="LE59" s="3">
        <f ca="1">IFERROR(__xludf.DUMMYFUNCTION("""COMPUTED_VALUE"""),-0.660853666852691)</f>
        <v>-0.66085366685269098</v>
      </c>
      <c r="LF59" s="3">
        <f ca="1">IFERROR(__xludf.DUMMYFUNCTION("""COMPUTED_VALUE"""),-0.7369724361221)</f>
        <v>-0.73697243612209995</v>
      </c>
      <c r="LG59" s="3">
        <f ca="1">IFERROR(__xludf.DUMMYFUNCTION("""COMPUTED_VALUE"""),-0.755816289007274)</f>
        <v>-0.75581628900727404</v>
      </c>
      <c r="LH59" s="3">
        <f ca="1">IFERROR(__xludf.DUMMYFUNCTION("""COMPUTED_VALUE"""),-0.747639455350584)</f>
        <v>-0.74763945535058396</v>
      </c>
      <c r="LI59" s="3">
        <f ca="1">IFERROR(__xludf.DUMMYFUNCTION("""COMPUTED_VALUE"""),-0.749111394477374)</f>
        <v>-0.74911139447737396</v>
      </c>
      <c r="LJ59" s="3">
        <f ca="1">IFERROR(__xludf.DUMMYFUNCTION("""COMPUTED_VALUE"""),-0.712604007662984)</f>
        <v>-0.71260400766298404</v>
      </c>
      <c r="LK59" s="3">
        <f ca="1">IFERROR(__xludf.DUMMYFUNCTION("""COMPUTED_VALUE"""),-0.631939903369137)</f>
        <v>-0.63193990336913697</v>
      </c>
      <c r="LL59" s="3">
        <f ca="1">IFERROR(__xludf.DUMMYFUNCTION("""COMPUTED_VALUE"""),-0.652980928651128)</f>
        <v>-0.652980928651128</v>
      </c>
      <c r="LM59" s="3">
        <f ca="1">IFERROR(__xludf.DUMMYFUNCTION("""COMPUTED_VALUE"""),-0.747246779220578)</f>
        <v>-0.74724677922057803</v>
      </c>
      <c r="LN59" s="3">
        <f ca="1">IFERROR(__xludf.DUMMYFUNCTION("""COMPUTED_VALUE"""),-0.78298314888992)</f>
        <v>-0.78298314888992004</v>
      </c>
      <c r="LO59" s="3">
        <f ca="1">IFERROR(__xludf.DUMMYFUNCTION("""COMPUTED_VALUE"""),-0.784737466890771)</f>
        <v>-0.78473746689077095</v>
      </c>
      <c r="LP59" s="3">
        <f ca="1">IFERROR(__xludf.DUMMYFUNCTION("""COMPUTED_VALUE"""),-0.780174108207394)</f>
        <v>-0.78017410820739397</v>
      </c>
      <c r="LQ59" s="3">
        <f ca="1">IFERROR(__xludf.DUMMYFUNCTION("""COMPUTED_VALUE"""),-0.783038007120468)</f>
        <v>-0.783038007120468</v>
      </c>
      <c r="LR59" s="3">
        <f ca="1">IFERROR(__xludf.DUMMYFUNCTION("""COMPUTED_VALUE"""),-0.697593658737229)</f>
        <v>-0.69759365873722901</v>
      </c>
      <c r="LS59" s="3">
        <f ca="1">IFERROR(__xludf.DUMMYFUNCTION("""COMPUTED_VALUE"""),-0.712303077246365)</f>
        <v>-0.71230307724636499</v>
      </c>
      <c r="LT59" s="3">
        <f ca="1">IFERROR(__xludf.DUMMYFUNCTION("""COMPUTED_VALUE"""),-0.80728312994055)</f>
        <v>-0.80728312994054996</v>
      </c>
      <c r="LU59" s="3">
        <f ca="1">IFERROR(__xludf.DUMMYFUNCTION("""COMPUTED_VALUE"""),-0.814521147377441)</f>
        <v>-0.81452114737744097</v>
      </c>
      <c r="LV59" s="3">
        <f ca="1">IFERROR(__xludf.DUMMYFUNCTION("""COMPUTED_VALUE"""),-0.807771489999028)</f>
        <v>-0.80777148999902804</v>
      </c>
      <c r="LW59" s="3">
        <f ca="1">IFERROR(__xludf.DUMMYFUNCTION("""COMPUTED_VALUE"""),-0.806639959903191)</f>
        <v>-0.80663995990319104</v>
      </c>
      <c r="LX59" s="3">
        <f ca="1">IFERROR(__xludf.DUMMYFUNCTION("""COMPUTED_VALUE"""),-0.760971857411826)</f>
        <v>-0.76097185741182605</v>
      </c>
      <c r="LY59" s="3">
        <f ca="1">IFERROR(__xludf.DUMMYFUNCTION("""COMPUTED_VALUE"""),-0.725490490033382)</f>
        <v>-0.72549049003338195</v>
      </c>
      <c r="LZ59" s="3">
        <f ca="1">IFERROR(__xludf.DUMMYFUNCTION("""COMPUTED_VALUE"""),-0.746646596424205)</f>
        <v>-0.74664659642420494</v>
      </c>
      <c r="MA59" s="3">
        <f ca="1">IFERROR(__xludf.DUMMYFUNCTION("""COMPUTED_VALUE"""),-0.812623432985918)</f>
        <v>-0.81262343298591799</v>
      </c>
      <c r="MB59" s="3">
        <f ca="1">IFERROR(__xludf.DUMMYFUNCTION("""COMPUTED_VALUE"""),-0.82676368302188)</f>
        <v>-0.82676368302187997</v>
      </c>
      <c r="MC59" s="3">
        <f ca="1">IFERROR(__xludf.DUMMYFUNCTION("""COMPUTED_VALUE"""),-0.815416174481018)</f>
        <v>-0.815416174481018</v>
      </c>
      <c r="MD59" s="3">
        <f ca="1">IFERROR(__xludf.DUMMYFUNCTION("""COMPUTED_VALUE"""),-0.822697091688139)</f>
        <v>-0.82269709168813898</v>
      </c>
      <c r="ME59" s="3">
        <f ca="1">IFERROR(__xludf.DUMMYFUNCTION("""COMPUTED_VALUE"""),-0.808173705225277)</f>
        <v>-0.80817370522527698</v>
      </c>
      <c r="MF59" s="3">
        <f ca="1">IFERROR(__xludf.DUMMYFUNCTION("""COMPUTED_VALUE"""),-0.731805454178334)</f>
        <v>-0.73180545417833398</v>
      </c>
      <c r="MG59" s="3">
        <f ca="1">IFERROR(__xludf.DUMMYFUNCTION("""COMPUTED_VALUE"""),-0.761206537852569)</f>
        <v>-0.76120653785256898</v>
      </c>
      <c r="MH59" s="3">
        <f ca="1">IFERROR(__xludf.DUMMYFUNCTION("""COMPUTED_VALUE"""),-0.820373608414589)</f>
        <v>-0.82037360841458895</v>
      </c>
      <c r="MI59" s="3">
        <f ca="1">IFERROR(__xludf.DUMMYFUNCTION("""COMPUTED_VALUE"""),-0.839864254277065)</f>
        <v>-0.83986425427706501</v>
      </c>
      <c r="MJ59" s="3">
        <f ca="1">IFERROR(__xludf.DUMMYFUNCTION("""COMPUTED_VALUE"""),-0.837890367213429)</f>
        <v>-0.83789036721342902</v>
      </c>
      <c r="MK59" s="3">
        <f ca="1">IFERROR(__xludf.DUMMYFUNCTION("""COMPUTED_VALUE"""),-0.835433347047272)</f>
        <v>-0.83543334704727201</v>
      </c>
      <c r="ML59" s="3">
        <f ca="1">IFERROR(__xludf.DUMMYFUNCTION("""COMPUTED_VALUE"""),-0.81034640671309)</f>
        <v>-0.81034640671309</v>
      </c>
      <c r="MM59" s="3">
        <f ca="1">IFERROR(__xludf.DUMMYFUNCTION("""COMPUTED_VALUE"""),-0.75783148418682)</f>
        <v>-0.75783148418682</v>
      </c>
      <c r="MN59" s="3">
        <f ca="1">IFERROR(__xludf.DUMMYFUNCTION("""COMPUTED_VALUE"""),-0.786399327263859)</f>
        <v>-0.78639932726385897</v>
      </c>
      <c r="MO59" s="3">
        <f ca="1">IFERROR(__xludf.DUMMYFUNCTION("""COMPUTED_VALUE"""),-0.816981347585174)</f>
        <v>-0.81698134758517404</v>
      </c>
      <c r="MP59" s="3">
        <f ca="1">IFERROR(__xludf.DUMMYFUNCTION("""COMPUTED_VALUE"""),-0.846283685844075)</f>
        <v>-0.84628368584407498</v>
      </c>
      <c r="MQ59" s="3">
        <f ca="1">IFERROR(__xludf.DUMMYFUNCTION("""COMPUTED_VALUE"""),-0.848660687125767)</f>
        <v>-0.84866068712576703</v>
      </c>
      <c r="MR59" s="3">
        <f ca="1">IFERROR(__xludf.DUMMYFUNCTION("""COMPUTED_VALUE"""),-0.850209125028946)</f>
        <v>-0.85020912502894597</v>
      </c>
      <c r="MS59" s="3">
        <f ca="1">IFERROR(__xludf.DUMMYFUNCTION("""COMPUTED_VALUE"""),-0.822130763947617)</f>
        <v>-0.82213076394761697</v>
      </c>
      <c r="MT59" s="3">
        <f ca="1">IFERROR(__xludf.DUMMYFUNCTION("""COMPUTED_VALUE"""),-0.781397643146079)</f>
        <v>-0.78139764314607896</v>
      </c>
      <c r="MU59" s="3">
        <f ca="1">IFERROR(__xludf.DUMMYFUNCTION("""COMPUTED_VALUE"""),-0.810581999634318)</f>
        <v>-0.81058199963431798</v>
      </c>
      <c r="MV59" s="3">
        <f ca="1">IFERROR(__xludf.DUMMYFUNCTION("""COMPUTED_VALUE"""),-0.830336087054656)</f>
        <v>-0.830336087054656</v>
      </c>
      <c r="MW59" s="3">
        <f ca="1">IFERROR(__xludf.DUMMYFUNCTION("""COMPUTED_VALUE"""),-0.861795035991219)</f>
        <v>-0.86179503599121898</v>
      </c>
      <c r="MX59" s="3">
        <f ca="1">IFERROR(__xludf.DUMMYFUNCTION("""COMPUTED_VALUE"""),-0.860318711002099)</f>
        <v>-0.860318711002099</v>
      </c>
      <c r="MY59" s="3">
        <f ca="1">IFERROR(__xludf.DUMMYFUNCTION("""COMPUTED_VALUE"""),-0.853076966116518)</f>
        <v>-0.85307696611651795</v>
      </c>
      <c r="MZ59" s="3">
        <f ca="1">IFERROR(__xludf.DUMMYFUNCTION("""COMPUTED_VALUE"""),-0.857625815896455)</f>
        <v>-0.85762581589645503</v>
      </c>
      <c r="NA59" s="3">
        <f ca="1">IFERROR(__xludf.DUMMYFUNCTION("""COMPUTED_VALUE"""),-0.832212566194856)</f>
        <v>-0.83221256619485595</v>
      </c>
      <c r="NB59" s="3">
        <f ca="1">IFERROR(__xludf.DUMMYFUNCTION("""COMPUTED_VALUE"""),-0.809353303175259)</f>
        <v>-0.809353303175259</v>
      </c>
      <c r="NC59" s="3">
        <f ca="1">IFERROR(__xludf.DUMMYFUNCTION("""COMPUTED_VALUE"""),-0.877612066765663)</f>
        <v>-0.87761206676566295</v>
      </c>
      <c r="ND59" s="3">
        <f ca="1">IFERROR(__xludf.DUMMYFUNCTION("""COMPUTED_VALUE"""),-0.863156713627731)</f>
        <v>-0.86315671362773105</v>
      </c>
      <c r="NE59" s="3">
        <f ca="1">IFERROR(__xludf.DUMMYFUNCTION("""COMPUTED_VALUE"""),-0.855818122999751)</f>
        <v>-0.85581812299975102</v>
      </c>
      <c r="NF59" s="3">
        <f ca="1">IFERROR(__xludf.DUMMYFUNCTION("""COMPUTED_VALUE"""),-0.846844992086669)</f>
        <v>-0.84684499208666897</v>
      </c>
      <c r="NG59" s="3">
        <f ca="1">IFERROR(__xludf.DUMMYFUNCTION("""COMPUTED_VALUE"""),-0.845316620301967)</f>
        <v>-0.84531662030196697</v>
      </c>
      <c r="NH59" s="3">
        <f ca="1">IFERROR(__xludf.DUMMYFUNCTION("""COMPUTED_VALUE"""),-0.790022397240457)</f>
        <v>-0.79002239724045697</v>
      </c>
      <c r="NI59" s="3">
        <f ca="1">IFERROR(__xludf.DUMMYFUNCTION("""COMPUTED_VALUE"""),-0.801502710201224)</f>
        <v>-0.80150271020122399</v>
      </c>
      <c r="NJ59" s="3">
        <f ca="1">IFERROR(__xludf.DUMMYFUNCTION("""COMPUTED_VALUE"""),-0.859040035235663)</f>
        <v>-0.85904003523566297</v>
      </c>
      <c r="NK59" s="3">
        <f ca="1">IFERROR(__xludf.DUMMYFUNCTION("""COMPUTED_VALUE"""),-0.85852205973593)</f>
        <v>-0.85852205973592999</v>
      </c>
      <c r="NL59" s="3">
        <f ca="1">IFERROR(__xludf.DUMMYFUNCTION("""COMPUTED_VALUE"""),-0.854037799165393)</f>
        <v>-0.85403779916539302</v>
      </c>
      <c r="NM59" s="3">
        <f ca="1">IFERROR(__xludf.DUMMYFUNCTION("""COMPUTED_VALUE"""),-0.846908535069855)</f>
        <v>-0.84690853506985497</v>
      </c>
      <c r="NN59" s="3">
        <f ca="1">IFERROR(__xludf.DUMMYFUNCTION("""COMPUTED_VALUE"""),-0.841780758454993)</f>
        <v>-0.84178075845499301</v>
      </c>
      <c r="NO59" s="3">
        <f ca="1">IFERROR(__xludf.DUMMYFUNCTION("""COMPUTED_VALUE"""),-0.790453107827606)</f>
        <v>-0.79045310782760603</v>
      </c>
      <c r="NP59" s="3">
        <f ca="1">IFERROR(__xludf.DUMMYFUNCTION("""COMPUTED_VALUE"""),-0.802663450338859)</f>
        <v>-0.802663450338859</v>
      </c>
      <c r="NQ59" s="3">
        <f ca="1">IFERROR(__xludf.DUMMYFUNCTION("""COMPUTED_VALUE"""),-0.852445811692109)</f>
        <v>-0.85244581169210898</v>
      </c>
      <c r="NR59" s="3">
        <f ca="1">IFERROR(__xludf.DUMMYFUNCTION("""COMPUTED_VALUE"""),-0.862208781981674)</f>
        <v>-0.86220878198167406</v>
      </c>
      <c r="NS59" s="3">
        <f ca="1">IFERROR(__xludf.DUMMYFUNCTION("""COMPUTED_VALUE"""),-0.859258839349199)</f>
        <v>-0.859258839349199</v>
      </c>
      <c r="NT59" s="3">
        <f ca="1">IFERROR(__xludf.DUMMYFUNCTION("""COMPUTED_VALUE"""),-0.843851119282281)</f>
        <v>-0.84385111928228096</v>
      </c>
      <c r="NU59" s="3">
        <f ca="1">IFERROR(__xludf.DUMMYFUNCTION("""COMPUTED_VALUE"""),-0.829442764377537)</f>
        <v>-0.82944276437753695</v>
      </c>
      <c r="NV59" s="3">
        <f ca="1">IFERROR(__xludf.DUMMYFUNCTION("""COMPUTED_VALUE"""),-0.701394194001596)</f>
        <v>-0.70139419400159597</v>
      </c>
      <c r="NW59" s="3">
        <f ca="1">IFERROR(__xludf.DUMMYFUNCTION("""COMPUTED_VALUE"""),-0.708897717425992)</f>
        <v>-0.70889771742599195</v>
      </c>
      <c r="NX59" s="3">
        <f ca="1">IFERROR(__xludf.DUMMYFUNCTION("""COMPUTED_VALUE"""),-0.778861698540069)</f>
        <v>-0.77886169854006904</v>
      </c>
      <c r="NY59" s="3">
        <f ca="1">IFERROR(__xludf.DUMMYFUNCTION("""COMPUTED_VALUE"""),-0.77567803408351)</f>
        <v>-0.77567803408350999</v>
      </c>
      <c r="NZ59" s="3">
        <f ca="1">IFERROR(__xludf.DUMMYFUNCTION("""COMPUTED_VALUE"""),-0.750979948279369)</f>
        <v>-0.75097994827936898</v>
      </c>
      <c r="OA59" s="3">
        <f ca="1">IFERROR(__xludf.DUMMYFUNCTION("""COMPUTED_VALUE"""),-0.708994147035308)</f>
        <v>-0.70899414703530805</v>
      </c>
      <c r="OB59" s="3">
        <f ca="1">IFERROR(__xludf.DUMMYFUNCTION("""COMPUTED_VALUE"""),-0.61289202877047)</f>
        <v>-0.61289202877047</v>
      </c>
      <c r="OC59" s="3">
        <f ca="1">IFERROR(__xludf.DUMMYFUNCTION("""COMPUTED_VALUE"""),-0.306025734843421)</f>
        <v>-0.30602573484342099</v>
      </c>
      <c r="OD59" s="3">
        <f ca="1">IFERROR(__xludf.DUMMYFUNCTION("""COMPUTED_VALUE"""),-0.278251214897664)</f>
        <v>-0.27825121489766402</v>
      </c>
      <c r="OE59" s="3">
        <f ca="1">IFERROR(__xludf.DUMMYFUNCTION("""COMPUTED_VALUE"""),-0.183147533399924)</f>
        <v>-0.18314753339992401</v>
      </c>
      <c r="OF59" s="3">
        <f ca="1">IFERROR(__xludf.DUMMYFUNCTION("""COMPUTED_VALUE"""),-0.0571853396794989)</f>
        <v>-5.7185339679498903E-2</v>
      </c>
      <c r="OG59" s="3">
        <f ca="1">IFERROR(__xludf.DUMMYFUNCTION("""COMPUTED_VALUE"""),-0.0122045622265665)</f>
        <v>-1.22045622265665E-2</v>
      </c>
      <c r="OH59" s="3">
        <f ca="1">IFERROR(__xludf.DUMMYFUNCTION("""COMPUTED_VALUE"""),-0.00324190191145135)</f>
        <v>-3.2419019114513499E-3</v>
      </c>
      <c r="OI59" s="3">
        <f ca="1">IFERROR(__xludf.DUMMYFUNCTION("""COMPUTED_VALUE"""),-0.00549391090740503)</f>
        <v>-5.4939109074050299E-3</v>
      </c>
      <c r="OJ59" s="3">
        <f ca="1">IFERROR(__xludf.DUMMYFUNCTION("""COMPUTED_VALUE"""),-0.000427291564240817)</f>
        <v>-4.2729156424081699E-4</v>
      </c>
      <c r="OK59" s="3">
        <f ca="1">IFERROR(__xludf.DUMMYFUNCTION("""COMPUTED_VALUE"""),0.0408190556659204)</f>
        <v>4.0819055665920402E-2</v>
      </c>
      <c r="OL59" s="3">
        <f ca="1">IFERROR(__xludf.DUMMYFUNCTION("""COMPUTED_VALUE"""),0.04101246985893)</f>
        <v>4.1012469858929999E-2</v>
      </c>
      <c r="OM59" s="3">
        <f ca="1">IFERROR(__xludf.DUMMYFUNCTION("""COMPUTED_VALUE"""),0.0351648018933636)</f>
        <v>3.5164801893363601E-2</v>
      </c>
      <c r="ON59" s="3">
        <f ca="1">IFERROR(__xludf.DUMMYFUNCTION("""COMPUTED_VALUE"""),0.034857431059706)</f>
        <v>3.4857431059705998E-2</v>
      </c>
      <c r="OO59" s="3">
        <f ca="1">IFERROR(__xludf.DUMMYFUNCTION("""COMPUTED_VALUE"""),0.0730035941096023)</f>
        <v>7.3003594109602304E-2</v>
      </c>
      <c r="OP59" s="3">
        <f ca="1">IFERROR(__xludf.DUMMYFUNCTION("""COMPUTED_VALUE"""),0.0367600438691932)</f>
        <v>3.6760043869193203E-2</v>
      </c>
      <c r="OQ59" s="3">
        <f ca="1">IFERROR(__xludf.DUMMYFUNCTION("""COMPUTED_VALUE"""),0.0595901216607099)</f>
        <v>5.9590121660709899E-2</v>
      </c>
      <c r="OR59" s="3">
        <f ca="1">IFERROR(__xludf.DUMMYFUNCTION("""COMPUTED_VALUE"""),0.0387648760394239)</f>
        <v>3.8764876039423898E-2</v>
      </c>
      <c r="OS59" s="3">
        <f ca="1">IFERROR(__xludf.DUMMYFUNCTION("""COMPUTED_VALUE"""),0.0224539425791299)</f>
        <v>2.2453942579129901E-2</v>
      </c>
      <c r="OT59" s="3">
        <f ca="1">IFERROR(__xludf.DUMMYFUNCTION("""COMPUTED_VALUE"""),-0.0836365189118698)</f>
        <v>-8.3636518911869795E-2</v>
      </c>
      <c r="OU59" s="3">
        <f ca="1">IFERROR(__xludf.DUMMYFUNCTION("""COMPUTED_VALUE"""),0.0341024914884255)</f>
        <v>3.41024914884255E-2</v>
      </c>
      <c r="OV59" s="3">
        <f ca="1">IFERROR(__xludf.DUMMYFUNCTION("""COMPUTED_VALUE"""),0.0351790897738766)</f>
        <v>3.5179089773876598E-2</v>
      </c>
      <c r="OW59" s="3">
        <f ca="1">IFERROR(__xludf.DUMMYFUNCTION("""COMPUTED_VALUE"""),0.14902929664523)</f>
        <v>0.14902929664523001</v>
      </c>
      <c r="OX59" s="3">
        <f ca="1">IFERROR(__xludf.DUMMYFUNCTION("""COMPUTED_VALUE"""),0.00842716578417968)</f>
        <v>8.4271657841796799E-3</v>
      </c>
      <c r="OY59" s="3">
        <f ca="1">IFERROR(__xludf.DUMMYFUNCTION("""COMPUTED_VALUE"""),-0.0268632030248107)</f>
        <v>-2.6863203024810701E-2</v>
      </c>
      <c r="OZ59" s="3">
        <f ca="1">IFERROR(__xludf.DUMMYFUNCTION("""COMPUTED_VALUE"""),-0.129773387372072)</f>
        <v>-0.129773387372072</v>
      </c>
      <c r="PA59" s="3">
        <f ca="1">IFERROR(__xludf.DUMMYFUNCTION("""COMPUTED_VALUE"""),-0.108605031121356)</f>
        <v>-0.108605031121356</v>
      </c>
      <c r="PB59" s="3">
        <f ca="1">IFERROR(__xludf.DUMMYFUNCTION("""COMPUTED_VALUE"""),0.140200315011046)</f>
        <v>0.14020031501104599</v>
      </c>
      <c r="PC59" s="3">
        <f ca="1">IFERROR(__xludf.DUMMYFUNCTION("""COMPUTED_VALUE"""),0.00722072055543798)</f>
        <v>7.2207205554379802E-3</v>
      </c>
      <c r="PD59" s="3">
        <f ca="1">IFERROR(__xludf.DUMMYFUNCTION("""COMPUTED_VALUE"""),-0.339316392899997)</f>
        <v>-0.33931639289999699</v>
      </c>
      <c r="PE59" s="3">
        <f ca="1">IFERROR(__xludf.DUMMYFUNCTION("""COMPUTED_VALUE"""),0.0456139416969323)</f>
        <v>4.5613941696932302E-2</v>
      </c>
      <c r="PF59" s="3">
        <f ca="1">IFERROR(__xludf.DUMMYFUNCTION("""COMPUTED_VALUE"""),-0.0440291048998638)</f>
        <v>-4.4029104899863801E-2</v>
      </c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</row>
    <row r="60" spans="1:594" ht="13">
      <c r="A60" s="1" t="str">
        <f ca="1">IFERROR(__xludf.DUMMYFUNCTION("""COMPUTED_VALUE"""),"Paris")</f>
        <v>Paris</v>
      </c>
      <c r="B60" s="3">
        <f ca="1">IFERROR(__xludf.DUMMYFUNCTION("""COMPUTED_VALUE"""),-0.360255824031051)</f>
        <v>-0.360255824031051</v>
      </c>
      <c r="C60" s="3">
        <f ca="1">IFERROR(__xludf.DUMMYFUNCTION("""COMPUTED_VALUE"""),-0.326317377918578)</f>
        <v>-0.32631737791857801</v>
      </c>
      <c r="D60" s="3">
        <f ca="1">IFERROR(__xludf.DUMMYFUNCTION("""COMPUTED_VALUE"""),-0.297119303812851)</f>
        <v>-0.29711930381285101</v>
      </c>
      <c r="E60" s="3">
        <f ca="1">IFERROR(__xludf.DUMMYFUNCTION("""COMPUTED_VALUE"""),-0.298314293476909)</f>
        <v>-0.29831429347690902</v>
      </c>
      <c r="F60" s="3">
        <f ca="1">IFERROR(__xludf.DUMMYFUNCTION("""COMPUTED_VALUE"""),-0.298741934299488)</f>
        <v>-0.29874193429948798</v>
      </c>
      <c r="G60" s="3">
        <f ca="1">IFERROR(__xludf.DUMMYFUNCTION("""COMPUTED_VALUE"""),-0.366093079878167)</f>
        <v>-0.36609307987816703</v>
      </c>
      <c r="H60" s="3">
        <f ca="1">IFERROR(__xludf.DUMMYFUNCTION("""COMPUTED_VALUE"""),-0.215315403566014)</f>
        <v>-0.215315403566014</v>
      </c>
      <c r="I60" s="3">
        <f ca="1">IFERROR(__xludf.DUMMYFUNCTION("""COMPUTED_VALUE"""),-0.311853014354242)</f>
        <v>-0.31185301435424201</v>
      </c>
      <c r="J60" s="3">
        <f ca="1">IFERROR(__xludf.DUMMYFUNCTION("""COMPUTED_VALUE"""),-0.175874333838517)</f>
        <v>-0.175874333838517</v>
      </c>
      <c r="K60" s="3">
        <f ca="1">IFERROR(__xludf.DUMMYFUNCTION("""COMPUTED_VALUE"""),-0.155107310383626)</f>
        <v>-0.15510731038362599</v>
      </c>
      <c r="L60" s="3">
        <f ca="1">IFERROR(__xludf.DUMMYFUNCTION("""COMPUTED_VALUE"""),-0.136854718101554)</f>
        <v>-0.136854718101554</v>
      </c>
      <c r="M60" s="3">
        <f ca="1">IFERROR(__xludf.DUMMYFUNCTION("""COMPUTED_VALUE"""),-0.0945110956970246)</f>
        <v>-9.4511095697024594E-2</v>
      </c>
      <c r="N60" s="3">
        <f ca="1">IFERROR(__xludf.DUMMYFUNCTION("""COMPUTED_VALUE"""),-0.128599153925205)</f>
        <v>-0.12859915392520499</v>
      </c>
      <c r="O60" s="3">
        <f ca="1">IFERROR(__xludf.DUMMYFUNCTION("""COMPUTED_VALUE"""),-0.300730537559775)</f>
        <v>-0.30073053755977502</v>
      </c>
      <c r="P60" s="3">
        <f ca="1">IFERROR(__xludf.DUMMYFUNCTION("""COMPUTED_VALUE"""),-0.345351074732956)</f>
        <v>-0.34535107473295601</v>
      </c>
      <c r="Q60" s="3">
        <f ca="1">IFERROR(__xludf.DUMMYFUNCTION("""COMPUTED_VALUE"""),-0.258030134135428)</f>
        <v>-0.25803013413542802</v>
      </c>
      <c r="R60" s="3">
        <f ca="1">IFERROR(__xludf.DUMMYFUNCTION("""COMPUTED_VALUE"""),-0.23279370909839)</f>
        <v>-0.23279370909839001</v>
      </c>
      <c r="S60" s="3">
        <f ca="1">IFERROR(__xludf.DUMMYFUNCTION("""COMPUTED_VALUE"""),-0.237196829833328)</f>
        <v>-0.23719682983332799</v>
      </c>
      <c r="T60" s="3">
        <f ca="1">IFERROR(__xludf.DUMMYFUNCTION("""COMPUTED_VALUE"""),-0.209199521929433)</f>
        <v>-0.209199521929433</v>
      </c>
      <c r="U60" s="3">
        <f ca="1">IFERROR(__xludf.DUMMYFUNCTION("""COMPUTED_VALUE"""),-0.225203093192486)</f>
        <v>-0.22520309319248599</v>
      </c>
      <c r="V60" s="3">
        <f ca="1">IFERROR(__xludf.DUMMYFUNCTION("""COMPUTED_VALUE"""),-0.39992493144516)</f>
        <v>-0.39992493144516</v>
      </c>
      <c r="W60" s="3">
        <f ca="1">IFERROR(__xludf.DUMMYFUNCTION("""COMPUTED_VALUE"""),-0.437487108475919)</f>
        <v>-0.43748710847591898</v>
      </c>
      <c r="X60" s="3">
        <f ca="1">IFERROR(__xludf.DUMMYFUNCTION("""COMPUTED_VALUE"""),-0.171109878751987)</f>
        <v>-0.17110987875198699</v>
      </c>
      <c r="Y60" s="3">
        <f ca="1">IFERROR(__xludf.DUMMYFUNCTION("""COMPUTED_VALUE"""),-0.204279488734843)</f>
        <v>-0.204279488734843</v>
      </c>
      <c r="Z60" s="3">
        <f ca="1">IFERROR(__xludf.DUMMYFUNCTION("""COMPUTED_VALUE"""),-0.190156427277248)</f>
        <v>-0.19015642727724799</v>
      </c>
      <c r="AA60" s="3">
        <f ca="1">IFERROR(__xludf.DUMMYFUNCTION("""COMPUTED_VALUE"""),-0.163531443004007)</f>
        <v>-0.16353144300400699</v>
      </c>
      <c r="AB60" s="3">
        <f ca="1">IFERROR(__xludf.DUMMYFUNCTION("""COMPUTED_VALUE"""),-0.16300002727862)</f>
        <v>-0.16300002727862001</v>
      </c>
      <c r="AC60" s="3">
        <f ca="1">IFERROR(__xludf.DUMMYFUNCTION("""COMPUTED_VALUE"""),-0.218449390568319)</f>
        <v>-0.218449390568319</v>
      </c>
      <c r="AD60" s="3">
        <f ca="1">IFERROR(__xludf.DUMMYFUNCTION("""COMPUTED_VALUE"""),-0.243979238110961)</f>
        <v>-0.24397923811096101</v>
      </c>
      <c r="AE60" s="3">
        <f ca="1">IFERROR(__xludf.DUMMYFUNCTION("""COMPUTED_VALUE"""),-0.207308881309296)</f>
        <v>-0.20730888130929601</v>
      </c>
      <c r="AF60" s="3">
        <f ca="1">IFERROR(__xludf.DUMMYFUNCTION("""COMPUTED_VALUE"""),-0.191624285996321)</f>
        <v>-0.191624285996321</v>
      </c>
      <c r="AG60" s="3">
        <f ca="1">IFERROR(__xludf.DUMMYFUNCTION("""COMPUTED_VALUE"""),-0.159582938505649)</f>
        <v>-0.159582938505649</v>
      </c>
      <c r="AH60" s="3">
        <f ca="1">IFERROR(__xludf.DUMMYFUNCTION("""COMPUTED_VALUE"""),-0.155099260340598)</f>
        <v>-0.15509926034059801</v>
      </c>
      <c r="AI60" s="3">
        <f ca="1">IFERROR(__xludf.DUMMYFUNCTION("""COMPUTED_VALUE"""),-0.141016322980992)</f>
        <v>-0.14101632298099201</v>
      </c>
      <c r="AJ60" s="3">
        <f ca="1">IFERROR(__xludf.DUMMYFUNCTION("""COMPUTED_VALUE"""),-0.1995476974903)</f>
        <v>-0.19954769749029999</v>
      </c>
      <c r="AK60" s="3">
        <f ca="1">IFERROR(__xludf.DUMMYFUNCTION("""COMPUTED_VALUE"""),-0.207294196140957)</f>
        <v>-0.20729419614095701</v>
      </c>
      <c r="AL60" s="3">
        <f ca="1">IFERROR(__xludf.DUMMYFUNCTION("""COMPUTED_VALUE"""),-0.139974451224057)</f>
        <v>-0.13997445122405699</v>
      </c>
      <c r="AM60" s="3">
        <f ca="1">IFERROR(__xludf.DUMMYFUNCTION("""COMPUTED_VALUE"""),-0.131173526426662)</f>
        <v>-0.131173526426662</v>
      </c>
      <c r="AN60" s="3">
        <f ca="1">IFERROR(__xludf.DUMMYFUNCTION("""COMPUTED_VALUE"""),-0.116787520640608)</f>
        <v>-0.116787520640608</v>
      </c>
      <c r="AO60" s="3">
        <f ca="1">IFERROR(__xludf.DUMMYFUNCTION("""COMPUTED_VALUE"""),-0.0762648222896118)</f>
        <v>-7.6264822289611803E-2</v>
      </c>
      <c r="AP60" s="3">
        <f ca="1">IFERROR(__xludf.DUMMYFUNCTION("""COMPUTED_VALUE"""),-0.0537506136515593)</f>
        <v>-5.3750613651559302E-2</v>
      </c>
      <c r="AQ60" s="3">
        <f ca="1">IFERROR(__xludf.DUMMYFUNCTION("""COMPUTED_VALUE"""),-0.103929711367447)</f>
        <v>-0.103929711367447</v>
      </c>
      <c r="AR60" s="3">
        <f ca="1">IFERROR(__xludf.DUMMYFUNCTION("""COMPUTED_VALUE"""),-0.112767107194563)</f>
        <v>-0.112767107194563</v>
      </c>
      <c r="AS60" s="3">
        <f ca="1">IFERROR(__xludf.DUMMYFUNCTION("""COMPUTED_VALUE"""),-0.176410356714678)</f>
        <v>-0.176410356714678</v>
      </c>
      <c r="AT60" s="3">
        <f ca="1">IFERROR(__xludf.DUMMYFUNCTION("""COMPUTED_VALUE"""),-0.143291244862034)</f>
        <v>-0.14329124486203401</v>
      </c>
      <c r="AU60" s="3">
        <f ca="1">IFERROR(__xludf.DUMMYFUNCTION("""COMPUTED_VALUE"""),-0.116230727944559)</f>
        <v>-0.11623072794455901</v>
      </c>
      <c r="AV60" s="3">
        <f ca="1">IFERROR(__xludf.DUMMYFUNCTION("""COMPUTED_VALUE"""),-0.166329350655398)</f>
        <v>-0.166329350655398</v>
      </c>
      <c r="AW60" s="3">
        <f ca="1">IFERROR(__xludf.DUMMYFUNCTION("""COMPUTED_VALUE"""),-0.157217393010334)</f>
        <v>-0.15721739301033399</v>
      </c>
      <c r="AX60" s="3">
        <f ca="1">IFERROR(__xludf.DUMMYFUNCTION("""COMPUTED_VALUE"""),-0.119782427421492)</f>
        <v>-0.119782427421492</v>
      </c>
      <c r="AY60" s="3">
        <f ca="1">IFERROR(__xludf.DUMMYFUNCTION("""COMPUTED_VALUE"""),-0.135784917368549)</f>
        <v>-0.135784917368549</v>
      </c>
      <c r="AZ60" s="3">
        <f ca="1">IFERROR(__xludf.DUMMYFUNCTION("""COMPUTED_VALUE"""),-0.223561074598539)</f>
        <v>-0.22356107459853899</v>
      </c>
      <c r="BA60" s="3">
        <f ca="1">IFERROR(__xludf.DUMMYFUNCTION("""COMPUTED_VALUE"""),-0.218875264237737)</f>
        <v>-0.21887526423773701</v>
      </c>
      <c r="BB60" s="3">
        <f ca="1">IFERROR(__xludf.DUMMYFUNCTION("""COMPUTED_VALUE"""),-0.212612690227073)</f>
        <v>-0.21261269022707299</v>
      </c>
      <c r="BC60" s="3">
        <f ca="1">IFERROR(__xludf.DUMMYFUNCTION("""COMPUTED_VALUE"""),-0.138581366003154)</f>
        <v>-0.13858136600315399</v>
      </c>
      <c r="BD60" s="3">
        <f ca="1">IFERROR(__xludf.DUMMYFUNCTION("""COMPUTED_VALUE"""),-0.139923857031874)</f>
        <v>-0.13992385703187399</v>
      </c>
      <c r="BE60" s="3">
        <f ca="1">IFERROR(__xludf.DUMMYFUNCTION("""COMPUTED_VALUE"""),-0.168452703106158)</f>
        <v>-0.16845270310615801</v>
      </c>
      <c r="BF60" s="3">
        <f ca="1">IFERROR(__xludf.DUMMYFUNCTION("""COMPUTED_VALUE"""),-0.229223448619802)</f>
        <v>-0.22922344861980201</v>
      </c>
      <c r="BG60" s="3">
        <f ca="1">IFERROR(__xludf.DUMMYFUNCTION("""COMPUTED_VALUE"""),-0.207804236246958)</f>
        <v>-0.20780423624695801</v>
      </c>
      <c r="BH60" s="3">
        <f ca="1">IFERROR(__xludf.DUMMYFUNCTION("""COMPUTED_VALUE"""),-0.202580979251692)</f>
        <v>-0.20258097925169199</v>
      </c>
      <c r="BI60" s="3">
        <f ca="1">IFERROR(__xludf.DUMMYFUNCTION("""COMPUTED_VALUE"""),-0.195808438191531)</f>
        <v>-0.19580843819153099</v>
      </c>
      <c r="BJ60" s="3">
        <f ca="1">IFERROR(__xludf.DUMMYFUNCTION("""COMPUTED_VALUE"""),-0.157533572995661)</f>
        <v>-0.15753357299566101</v>
      </c>
      <c r="BK60" s="3">
        <f ca="1">IFERROR(__xludf.DUMMYFUNCTION("""COMPUTED_VALUE"""),-0.180604214862862)</f>
        <v>-0.18060421486286199</v>
      </c>
      <c r="BL60" s="3">
        <f ca="1">IFERROR(__xludf.DUMMYFUNCTION("""COMPUTED_VALUE"""),-0.217134282829599)</f>
        <v>-0.21713428282959901</v>
      </c>
      <c r="BM60" s="3">
        <f ca="1">IFERROR(__xludf.DUMMYFUNCTION("""COMPUTED_VALUE"""),-0.177650831173662)</f>
        <v>-0.17765083117366201</v>
      </c>
      <c r="BN60" s="3">
        <f ca="1">IFERROR(__xludf.DUMMYFUNCTION("""COMPUTED_VALUE"""),-0.132736973718833)</f>
        <v>-0.132736973718833</v>
      </c>
      <c r="BO60" s="3">
        <f ca="1">IFERROR(__xludf.DUMMYFUNCTION("""COMPUTED_VALUE"""),-0.226079199365769)</f>
        <v>-0.22607919936576901</v>
      </c>
      <c r="BP60" s="3">
        <f ca="1">IFERROR(__xludf.DUMMYFUNCTION("""COMPUTED_VALUE"""),-0.26103990688384)</f>
        <v>-0.26103990688383999</v>
      </c>
      <c r="BQ60" s="3">
        <f ca="1">IFERROR(__xludf.DUMMYFUNCTION("""COMPUTED_VALUE"""),-0.255102334054319)</f>
        <v>-0.25510233405431898</v>
      </c>
      <c r="BR60" s="3">
        <f ca="1">IFERROR(__xludf.DUMMYFUNCTION("""COMPUTED_VALUE"""),-0.281515224623291)</f>
        <v>-0.28151522462329098</v>
      </c>
      <c r="BS60" s="3">
        <f ca="1">IFERROR(__xludf.DUMMYFUNCTION("""COMPUTED_VALUE"""),-0.18168314645142)</f>
        <v>-0.18168314645142</v>
      </c>
      <c r="BT60" s="3">
        <f ca="1">IFERROR(__xludf.DUMMYFUNCTION("""COMPUTED_VALUE"""),-0.204764234878795)</f>
        <v>-0.204764234878795</v>
      </c>
      <c r="BU60" s="3">
        <f ca="1">IFERROR(__xludf.DUMMYFUNCTION("""COMPUTED_VALUE"""),-0.32932639675589)</f>
        <v>-0.32932639675588998</v>
      </c>
      <c r="BV60" s="3">
        <f ca="1">IFERROR(__xludf.DUMMYFUNCTION("""COMPUTED_VALUE"""),-0.274572448851458)</f>
        <v>-0.27457244885145798</v>
      </c>
      <c r="BW60" s="3">
        <f ca="1">IFERROR(__xludf.DUMMYFUNCTION("""COMPUTED_VALUE"""),-0.306819687842283)</f>
        <v>-0.30681968784228297</v>
      </c>
      <c r="BX60" s="3">
        <f ca="1">IFERROR(__xludf.DUMMYFUNCTION("""COMPUTED_VALUE"""),-0.291845651260268)</f>
        <v>-0.29184565126026801</v>
      </c>
      <c r="BY60" s="3">
        <f ca="1">IFERROR(__xludf.DUMMYFUNCTION("""COMPUTED_VALUE"""),-0.319433370874522)</f>
        <v>-0.319433370874522</v>
      </c>
      <c r="BZ60" s="3">
        <f ca="1">IFERROR(__xludf.DUMMYFUNCTION("""COMPUTED_VALUE"""),-0.317484262511738)</f>
        <v>-0.317484262511738</v>
      </c>
      <c r="CA60" s="3">
        <f ca="1">IFERROR(__xludf.DUMMYFUNCTION("""COMPUTED_VALUE"""),-0.372181046287553)</f>
        <v>-0.372181046287553</v>
      </c>
      <c r="CB60" s="3">
        <f ca="1">IFERROR(__xludf.DUMMYFUNCTION("""COMPUTED_VALUE"""),-0.38331351897799)</f>
        <v>-0.38331351897798999</v>
      </c>
      <c r="CC60" s="3">
        <f ca="1">IFERROR(__xludf.DUMMYFUNCTION("""COMPUTED_VALUE"""),-0.321539284088892)</f>
        <v>-0.32153928408889199</v>
      </c>
      <c r="CD60" s="3">
        <f ca="1">IFERROR(__xludf.DUMMYFUNCTION("""COMPUTED_VALUE"""),-0.37098221915872)</f>
        <v>-0.37098221915871998</v>
      </c>
      <c r="CE60" s="3">
        <f ca="1">IFERROR(__xludf.DUMMYFUNCTION("""COMPUTED_VALUE"""),-0.362988130514891)</f>
        <v>-0.36298813051489098</v>
      </c>
      <c r="CF60" s="3">
        <f ca="1">IFERROR(__xludf.DUMMYFUNCTION("""COMPUTED_VALUE"""),-0.378380431699085)</f>
        <v>-0.37838043169908497</v>
      </c>
      <c r="CG60" s="3">
        <f ca="1">IFERROR(__xludf.DUMMYFUNCTION("""COMPUTED_VALUE"""),-0.409787384253147)</f>
        <v>-0.40978738425314698</v>
      </c>
      <c r="CH60" s="3">
        <f ca="1">IFERROR(__xludf.DUMMYFUNCTION("""COMPUTED_VALUE"""),-0.443899003657384)</f>
        <v>-0.44389900365738399</v>
      </c>
      <c r="CI60" s="3">
        <f ca="1">IFERROR(__xludf.DUMMYFUNCTION("""COMPUTED_VALUE"""),-0.435068446864374)</f>
        <v>-0.43506844686437401</v>
      </c>
      <c r="CJ60" s="3">
        <f ca="1">IFERROR(__xludf.DUMMYFUNCTION("""COMPUTED_VALUE"""),-0.424602748674517)</f>
        <v>-0.42460274867451703</v>
      </c>
      <c r="CK60" s="3">
        <f ca="1">IFERROR(__xludf.DUMMYFUNCTION("""COMPUTED_VALUE"""),-0.435476413567068)</f>
        <v>-0.43547641356706801</v>
      </c>
      <c r="CL60" s="3">
        <f ca="1">IFERROR(__xludf.DUMMYFUNCTION("""COMPUTED_VALUE"""),-0.433072941753627)</f>
        <v>-0.43307294175362698</v>
      </c>
      <c r="CM60" s="3">
        <f ca="1">IFERROR(__xludf.DUMMYFUNCTION("""COMPUTED_VALUE"""),-0.454387018440271)</f>
        <v>-0.45438701844027102</v>
      </c>
      <c r="CN60" s="3">
        <f ca="1">IFERROR(__xludf.DUMMYFUNCTION("""COMPUTED_VALUE"""),-0.429263155121408)</f>
        <v>-0.429263155121408</v>
      </c>
      <c r="CO60" s="3">
        <f ca="1">IFERROR(__xludf.DUMMYFUNCTION("""COMPUTED_VALUE"""),-0.449887310769261)</f>
        <v>-0.44988731076926097</v>
      </c>
      <c r="CP60" s="3">
        <f ca="1">IFERROR(__xludf.DUMMYFUNCTION("""COMPUTED_VALUE"""),-0.432674682261257)</f>
        <v>-0.43267468226125699</v>
      </c>
      <c r="CQ60" s="3">
        <f ca="1">IFERROR(__xludf.DUMMYFUNCTION("""COMPUTED_VALUE"""),-0.451189590151792)</f>
        <v>-0.451189590151792</v>
      </c>
      <c r="CR60" s="3">
        <f ca="1">IFERROR(__xludf.DUMMYFUNCTION("""COMPUTED_VALUE"""),-0.408402416560357)</f>
        <v>-0.40840241656035697</v>
      </c>
      <c r="CS60" s="3">
        <f ca="1">IFERROR(__xludf.DUMMYFUNCTION("""COMPUTED_VALUE"""),-0.482753253662461)</f>
        <v>-0.48275325366246102</v>
      </c>
      <c r="CT60" s="3">
        <f ca="1">IFERROR(__xludf.DUMMYFUNCTION("""COMPUTED_VALUE"""),-0.493996039576876)</f>
        <v>-0.49399603957687599</v>
      </c>
      <c r="CU60" s="3">
        <f ca="1">IFERROR(__xludf.DUMMYFUNCTION("""COMPUTED_VALUE"""),-0.525221650212481)</f>
        <v>-0.52522165021248102</v>
      </c>
      <c r="CV60" s="3">
        <f ca="1">IFERROR(__xludf.DUMMYFUNCTION("""COMPUTED_VALUE"""),-0.562931929097723)</f>
        <v>-0.56293192909772305</v>
      </c>
      <c r="CW60" s="3">
        <f ca="1">IFERROR(__xludf.DUMMYFUNCTION("""COMPUTED_VALUE"""),-0.658873332698866)</f>
        <v>-0.65887333269886605</v>
      </c>
      <c r="CX60" s="3">
        <f ca="1">IFERROR(__xludf.DUMMYFUNCTION("""COMPUTED_VALUE"""),-0.473197444070951)</f>
        <v>-0.47319744407095099</v>
      </c>
      <c r="CY60" s="3">
        <f ca="1">IFERROR(__xludf.DUMMYFUNCTION("""COMPUTED_VALUE"""),-0.412143582359991)</f>
        <v>-0.41214358235999099</v>
      </c>
      <c r="CZ60" s="3">
        <f ca="1">IFERROR(__xludf.DUMMYFUNCTION("""COMPUTED_VALUE"""),-0.550904185526702)</f>
        <v>-0.55090418552670195</v>
      </c>
      <c r="DA60" s="3">
        <f ca="1">IFERROR(__xludf.DUMMYFUNCTION("""COMPUTED_VALUE"""),-0.584479907493744)</f>
        <v>-0.58447990749374401</v>
      </c>
      <c r="DB60" s="3">
        <f ca="1">IFERROR(__xludf.DUMMYFUNCTION("""COMPUTED_VALUE"""),-0.558773593878502)</f>
        <v>-0.55877359387850201</v>
      </c>
      <c r="DC60" s="3">
        <f ca="1">IFERROR(__xludf.DUMMYFUNCTION("""COMPUTED_VALUE"""),-0.570292387753224)</f>
        <v>-0.57029238775322399</v>
      </c>
      <c r="DD60" s="3">
        <f ca="1">IFERROR(__xludf.DUMMYFUNCTION("""COMPUTED_VALUE"""),-0.687208861375823)</f>
        <v>-0.68720886137582304</v>
      </c>
      <c r="DE60" s="3">
        <f ca="1">IFERROR(__xludf.DUMMYFUNCTION("""COMPUTED_VALUE"""),-0.540443269649345)</f>
        <v>-0.54044326964934497</v>
      </c>
      <c r="DF60" s="3">
        <f ca="1">IFERROR(__xludf.DUMMYFUNCTION("""COMPUTED_VALUE"""),-0.408367534107439)</f>
        <v>-0.40836753410743898</v>
      </c>
      <c r="DG60" s="3">
        <f ca="1">IFERROR(__xludf.DUMMYFUNCTION("""COMPUTED_VALUE"""),-0.540466622188527)</f>
        <v>-0.54046662218852703</v>
      </c>
      <c r="DH60" s="3">
        <f ca="1">IFERROR(__xludf.DUMMYFUNCTION("""COMPUTED_VALUE"""),-0.58270771723959)</f>
        <v>-0.58270771723959003</v>
      </c>
      <c r="DI60" s="3">
        <f ca="1">IFERROR(__xludf.DUMMYFUNCTION("""COMPUTED_VALUE"""),-0.527539930804874)</f>
        <v>-0.52753993080487405</v>
      </c>
      <c r="DJ60" s="3">
        <f ca="1">IFERROR(__xludf.DUMMYFUNCTION("""COMPUTED_VALUE"""),-0.550146881324801)</f>
        <v>-0.55014688132480105</v>
      </c>
      <c r="DK60" s="3">
        <f ca="1">IFERROR(__xludf.DUMMYFUNCTION("""COMPUTED_VALUE"""),-0.530909625039439)</f>
        <v>-0.53090962503943895</v>
      </c>
      <c r="DL60" s="3">
        <f ca="1">IFERROR(__xludf.DUMMYFUNCTION("""COMPUTED_VALUE"""),-0.494945449886647)</f>
        <v>-0.49494544988664702</v>
      </c>
      <c r="DM60" s="3">
        <f ca="1">IFERROR(__xludf.DUMMYFUNCTION("""COMPUTED_VALUE"""),-0.505723075261853)</f>
        <v>-0.50572307526185301</v>
      </c>
      <c r="DN60" s="3">
        <f ca="1">IFERROR(__xludf.DUMMYFUNCTION("""COMPUTED_VALUE"""),-0.530493930575368)</f>
        <v>-0.53049393057536798</v>
      </c>
      <c r="DO60" s="3">
        <f ca="1">IFERROR(__xludf.DUMMYFUNCTION("""COMPUTED_VALUE"""),-0.597676664271062)</f>
        <v>-0.59767666427106203</v>
      </c>
      <c r="DP60" s="3">
        <f ca="1">IFERROR(__xludf.DUMMYFUNCTION("""COMPUTED_VALUE"""),-0.573052943851003)</f>
        <v>-0.57305294385100303</v>
      </c>
      <c r="DQ60" s="3">
        <f ca="1">IFERROR(__xludf.DUMMYFUNCTION("""COMPUTED_VALUE"""),-0.578608390801739)</f>
        <v>-0.57860839080173898</v>
      </c>
      <c r="DR60" s="3">
        <f ca="1">IFERROR(__xludf.DUMMYFUNCTION("""COMPUTED_VALUE"""),-0.578308660627274)</f>
        <v>-0.57830866062727404</v>
      </c>
      <c r="DS60" s="3">
        <f ca="1">IFERROR(__xludf.DUMMYFUNCTION("""COMPUTED_VALUE"""),-0.546996625386271)</f>
        <v>-0.54699662538627103</v>
      </c>
      <c r="DT60" s="3">
        <f ca="1">IFERROR(__xludf.DUMMYFUNCTION("""COMPUTED_VALUE"""),-0.579052888519886)</f>
        <v>-0.57905288851988601</v>
      </c>
      <c r="DU60" s="3">
        <f ca="1">IFERROR(__xludf.DUMMYFUNCTION("""COMPUTED_VALUE"""),-0.530686377139455)</f>
        <v>-0.53068637713945499</v>
      </c>
      <c r="DV60" s="3">
        <f ca="1">IFERROR(__xludf.DUMMYFUNCTION("""COMPUTED_VALUE"""),-0.590972181323032)</f>
        <v>-0.59097218132303198</v>
      </c>
      <c r="DW60" s="3">
        <f ca="1">IFERROR(__xludf.DUMMYFUNCTION("""COMPUTED_VALUE"""),-0.545400414236613)</f>
        <v>-0.54540041423661301</v>
      </c>
      <c r="DX60" s="3">
        <f ca="1">IFERROR(__xludf.DUMMYFUNCTION("""COMPUTED_VALUE"""),-0.537977053420549)</f>
        <v>-0.53797705342054902</v>
      </c>
      <c r="DY60" s="3">
        <f ca="1">IFERROR(__xludf.DUMMYFUNCTION("""COMPUTED_VALUE"""),-0.544414815401602)</f>
        <v>-0.54441481540160197</v>
      </c>
      <c r="DZ60" s="3">
        <f ca="1">IFERROR(__xludf.DUMMYFUNCTION("""COMPUTED_VALUE"""),-0.507792001725611)</f>
        <v>-0.50779200172561101</v>
      </c>
      <c r="EA60" s="3">
        <f ca="1">IFERROR(__xludf.DUMMYFUNCTION("""COMPUTED_VALUE"""),-0.533485582488368)</f>
        <v>-0.53348558248836797</v>
      </c>
      <c r="EB60" s="3">
        <f ca="1">IFERROR(__xludf.DUMMYFUNCTION("""COMPUTED_VALUE"""),-0.461314566746935)</f>
        <v>-0.461314566746935</v>
      </c>
      <c r="EC60" s="3">
        <f ca="1">IFERROR(__xludf.DUMMYFUNCTION("""COMPUTED_VALUE"""),-0.532660876002107)</f>
        <v>-0.53266087600210699</v>
      </c>
      <c r="ED60" s="3">
        <f ca="1">IFERROR(__xludf.DUMMYFUNCTION("""COMPUTED_VALUE"""),-0.521798640361808)</f>
        <v>-0.52179864036180801</v>
      </c>
      <c r="EE60" s="3">
        <f ca="1">IFERROR(__xludf.DUMMYFUNCTION("""COMPUTED_VALUE"""),-0.533632293074845)</f>
        <v>-0.53363229307484505</v>
      </c>
      <c r="EF60" s="3">
        <f ca="1">IFERROR(__xludf.DUMMYFUNCTION("""COMPUTED_VALUE"""),-0.568896768745222)</f>
        <v>-0.56889676874522199</v>
      </c>
      <c r="EG60" s="3">
        <f ca="1">IFERROR(__xludf.DUMMYFUNCTION("""COMPUTED_VALUE"""),-0.497911208455247)</f>
        <v>-0.497911208455247</v>
      </c>
      <c r="EH60" s="3">
        <f ca="1">IFERROR(__xludf.DUMMYFUNCTION("""COMPUTED_VALUE"""),-0.530468448428339)</f>
        <v>-0.53046844842833896</v>
      </c>
      <c r="EI60" s="3">
        <f ca="1">IFERROR(__xludf.DUMMYFUNCTION("""COMPUTED_VALUE"""),-0.429208647603181)</f>
        <v>-0.429208647603181</v>
      </c>
      <c r="EJ60" s="3">
        <f ca="1">IFERROR(__xludf.DUMMYFUNCTION("""COMPUTED_VALUE"""),-0.457464173291278)</f>
        <v>-0.45746417329127798</v>
      </c>
      <c r="EK60" s="3">
        <f ca="1">IFERROR(__xludf.DUMMYFUNCTION("""COMPUTED_VALUE"""),-0.570432442841429)</f>
        <v>-0.57043244284142902</v>
      </c>
      <c r="EL60" s="3">
        <f ca="1">IFERROR(__xludf.DUMMYFUNCTION("""COMPUTED_VALUE"""),-0.584205648450196)</f>
        <v>-0.58420564845019596</v>
      </c>
      <c r="EM60" s="3">
        <f ca="1">IFERROR(__xludf.DUMMYFUNCTION("""COMPUTED_VALUE"""),-0.502699791232264)</f>
        <v>-0.50269979123226405</v>
      </c>
      <c r="EN60" s="3">
        <f ca="1">IFERROR(__xludf.DUMMYFUNCTION("""COMPUTED_VALUE"""),-0.482313072752517)</f>
        <v>-0.482313072752517</v>
      </c>
      <c r="EO60" s="3">
        <f ca="1">IFERROR(__xludf.DUMMYFUNCTION("""COMPUTED_VALUE"""),-0.485162078263847)</f>
        <v>-0.485162078263847</v>
      </c>
      <c r="EP60" s="3">
        <f ca="1">IFERROR(__xludf.DUMMYFUNCTION("""COMPUTED_VALUE"""),-0.439127194734396)</f>
        <v>-0.43912719473439599</v>
      </c>
      <c r="EQ60" s="3">
        <f ca="1">IFERROR(__xludf.DUMMYFUNCTION("""COMPUTED_VALUE"""),-0.439490015382355)</f>
        <v>-0.43949001538235499</v>
      </c>
      <c r="ER60" s="3">
        <f ca="1">IFERROR(__xludf.DUMMYFUNCTION("""COMPUTED_VALUE"""),-0.600029918669397)</f>
        <v>-0.60002991866939703</v>
      </c>
      <c r="ES60" s="3">
        <f ca="1">IFERROR(__xludf.DUMMYFUNCTION("""COMPUTED_VALUE"""),-0.59319163732988)</f>
        <v>-0.59319163732988001</v>
      </c>
      <c r="ET60" s="3">
        <f ca="1">IFERROR(__xludf.DUMMYFUNCTION("""COMPUTED_VALUE"""),-0.512781661694317)</f>
        <v>-0.51278166169431705</v>
      </c>
      <c r="EU60" s="3">
        <f ca="1">IFERROR(__xludf.DUMMYFUNCTION("""COMPUTED_VALUE"""),-0.507600122807658)</f>
        <v>-0.50760012280765798</v>
      </c>
      <c r="EV60" s="3">
        <f ca="1">IFERROR(__xludf.DUMMYFUNCTION("""COMPUTED_VALUE"""),-0.641941975422117)</f>
        <v>-0.64194197542211695</v>
      </c>
      <c r="EW60" s="3">
        <f ca="1">IFERROR(__xludf.DUMMYFUNCTION("""COMPUTED_VALUE"""),-0.463935295042782)</f>
        <v>-0.46393529504278203</v>
      </c>
      <c r="EX60" s="3">
        <f ca="1">IFERROR(__xludf.DUMMYFUNCTION("""COMPUTED_VALUE"""),-0.446717686722058)</f>
        <v>-0.44671768672205803</v>
      </c>
      <c r="EY60" s="3">
        <f ca="1">IFERROR(__xludf.DUMMYFUNCTION("""COMPUTED_VALUE"""),-0.60003223398997)</f>
        <v>-0.60003223398996997</v>
      </c>
      <c r="EZ60" s="3">
        <f ca="1">IFERROR(__xludf.DUMMYFUNCTION("""COMPUTED_VALUE"""),-0.594956564429799)</f>
        <v>-0.59495656442979905</v>
      </c>
      <c r="FA60" s="3">
        <f ca="1">IFERROR(__xludf.DUMMYFUNCTION("""COMPUTED_VALUE"""),-0.482974841193096)</f>
        <v>-0.48297484119309603</v>
      </c>
      <c r="FB60" s="3">
        <f ca="1">IFERROR(__xludf.DUMMYFUNCTION("""COMPUTED_VALUE"""),-0.500507536484112)</f>
        <v>-0.50050753648411195</v>
      </c>
      <c r="FC60" s="3">
        <f ca="1">IFERROR(__xludf.DUMMYFUNCTION("""COMPUTED_VALUE"""),-0.50886750581502)</f>
        <v>-0.50886750581502005</v>
      </c>
      <c r="FD60" s="3">
        <f ca="1">IFERROR(__xludf.DUMMYFUNCTION("""COMPUTED_VALUE"""),-0.474712563154416)</f>
        <v>-0.47471256315441601</v>
      </c>
      <c r="FE60" s="3">
        <f ca="1">IFERROR(__xludf.DUMMYFUNCTION("""COMPUTED_VALUE"""),-0.409374678142297)</f>
        <v>-0.409374678142297</v>
      </c>
      <c r="FF60" s="3">
        <f ca="1">IFERROR(__xludf.DUMMYFUNCTION("""COMPUTED_VALUE"""),-0.610898279486326)</f>
        <v>-0.61089827948632602</v>
      </c>
      <c r="FG60" s="3">
        <f ca="1">IFERROR(__xludf.DUMMYFUNCTION("""COMPUTED_VALUE"""),-0.625359664735327)</f>
        <v>-0.625359664735327</v>
      </c>
      <c r="FH60" s="3">
        <f ca="1">IFERROR(__xludf.DUMMYFUNCTION("""COMPUTED_VALUE"""),-0.594303958219157)</f>
        <v>-0.59430395821915705</v>
      </c>
      <c r="FI60" s="3">
        <f ca="1">IFERROR(__xludf.DUMMYFUNCTION("""COMPUTED_VALUE"""),-0.252178707348836)</f>
        <v>-0.25217870734883602</v>
      </c>
      <c r="FJ60" s="3">
        <f ca="1">IFERROR(__xludf.DUMMYFUNCTION("""COMPUTED_VALUE"""),-0.364385230173349)</f>
        <v>-0.36438523017334901</v>
      </c>
      <c r="FK60" s="3">
        <f ca="1">IFERROR(__xludf.DUMMYFUNCTION("""COMPUTED_VALUE"""),-0.364850995874803)</f>
        <v>-0.36485099587480302</v>
      </c>
      <c r="FL60" s="3">
        <f ca="1">IFERROR(__xludf.DUMMYFUNCTION("""COMPUTED_VALUE"""),-0.347711313904765)</f>
        <v>-0.34771131390476501</v>
      </c>
      <c r="FM60" s="3">
        <f ca="1">IFERROR(__xludf.DUMMYFUNCTION("""COMPUTED_VALUE"""),-0.291045202108282)</f>
        <v>-0.291045202108282</v>
      </c>
      <c r="FN60" s="3">
        <f ca="1">IFERROR(__xludf.DUMMYFUNCTION("""COMPUTED_VALUE"""),-0.345821691497259)</f>
        <v>-0.345821691497259</v>
      </c>
      <c r="FO60" s="3">
        <f ca="1">IFERROR(__xludf.DUMMYFUNCTION("""COMPUTED_VALUE"""),-0.416220206278683)</f>
        <v>-0.416220206278683</v>
      </c>
      <c r="FP60" s="3">
        <f ca="1">IFERROR(__xludf.DUMMYFUNCTION("""COMPUTED_VALUE"""),-0.375433016230085)</f>
        <v>-0.37543301623008501</v>
      </c>
      <c r="FQ60" s="3">
        <f ca="1">IFERROR(__xludf.DUMMYFUNCTION("""COMPUTED_VALUE"""),-0.342999951990273)</f>
        <v>-0.342999951990273</v>
      </c>
      <c r="FR60" s="3">
        <f ca="1">IFERROR(__xludf.DUMMYFUNCTION("""COMPUTED_VALUE"""),-0.331309269279329)</f>
        <v>-0.33130926927932902</v>
      </c>
      <c r="FS60" s="3">
        <f ca="1">IFERROR(__xludf.DUMMYFUNCTION("""COMPUTED_VALUE"""),-0.29828985589219)</f>
        <v>-0.29828985589218998</v>
      </c>
      <c r="FT60" s="3">
        <f ca="1">IFERROR(__xludf.DUMMYFUNCTION("""COMPUTED_VALUE"""),-0.295329532995031)</f>
        <v>-0.29532953299503101</v>
      </c>
      <c r="FU60" s="3">
        <f ca="1">IFERROR(__xludf.DUMMYFUNCTION("""COMPUTED_VALUE"""),-0.349173599224487)</f>
        <v>-0.34917359922448699</v>
      </c>
      <c r="FV60" s="3">
        <f ca="1">IFERROR(__xludf.DUMMYFUNCTION("""COMPUTED_VALUE"""),-0.326763884821164)</f>
        <v>-0.32676388482116397</v>
      </c>
      <c r="FW60" s="3">
        <f ca="1">IFERROR(__xludf.DUMMYFUNCTION("""COMPUTED_VALUE"""),-0.265478675297427)</f>
        <v>-0.26547867529742702</v>
      </c>
      <c r="FX60" s="3">
        <f ca="1">IFERROR(__xludf.DUMMYFUNCTION("""COMPUTED_VALUE"""),-0.33765495247929)</f>
        <v>-0.33765495247929</v>
      </c>
      <c r="FY60" s="3">
        <f ca="1">IFERROR(__xludf.DUMMYFUNCTION("""COMPUTED_VALUE"""),-0.29164814079359)</f>
        <v>-0.29164814079359003</v>
      </c>
      <c r="FZ60" s="3">
        <f ca="1">IFERROR(__xludf.DUMMYFUNCTION("""COMPUTED_VALUE"""),-0.289913117882074)</f>
        <v>-0.28991311788207402</v>
      </c>
      <c r="GA60" s="3">
        <f ca="1">IFERROR(__xludf.DUMMYFUNCTION("""COMPUTED_VALUE"""),-0.297740137194796)</f>
        <v>-0.29774013719479597</v>
      </c>
      <c r="GB60" s="3">
        <f ca="1">IFERROR(__xludf.DUMMYFUNCTION("""COMPUTED_VALUE"""),-0.303108613992507)</f>
        <v>-0.30310861399250699</v>
      </c>
      <c r="GC60" s="3">
        <f ca="1">IFERROR(__xludf.DUMMYFUNCTION("""COMPUTED_VALUE"""),-0.346980743092348)</f>
        <v>-0.346980743092348</v>
      </c>
      <c r="GD60" s="3">
        <f ca="1">IFERROR(__xludf.DUMMYFUNCTION("""COMPUTED_VALUE"""),-0.316264693835472)</f>
        <v>-0.31626469383547201</v>
      </c>
      <c r="GE60" s="3">
        <f ca="1">IFERROR(__xludf.DUMMYFUNCTION("""COMPUTED_VALUE"""),-0.301247446073083)</f>
        <v>-0.30124744607308301</v>
      </c>
      <c r="GF60" s="3">
        <f ca="1">IFERROR(__xludf.DUMMYFUNCTION("""COMPUTED_VALUE"""),-0.291650783263117)</f>
        <v>-0.291650783263117</v>
      </c>
      <c r="GG60" s="3">
        <f ca="1">IFERROR(__xludf.DUMMYFUNCTION("""COMPUTED_VALUE"""),-0.279517408404338)</f>
        <v>-0.27951740840433797</v>
      </c>
      <c r="GH60" s="3">
        <f ca="1">IFERROR(__xludf.DUMMYFUNCTION("""COMPUTED_VALUE"""),-0.302476486046734)</f>
        <v>-0.30247648604673399</v>
      </c>
      <c r="GI60" s="3">
        <f ca="1">IFERROR(__xludf.DUMMYFUNCTION("""COMPUTED_VALUE"""),-0.314787757245773)</f>
        <v>-0.31478775724577301</v>
      </c>
      <c r="GJ60" s="3">
        <f ca="1">IFERROR(__xludf.DUMMYFUNCTION("""COMPUTED_VALUE"""),-0.312040746972163)</f>
        <v>-0.312040746972163</v>
      </c>
      <c r="GK60" s="3">
        <f ca="1">IFERROR(__xludf.DUMMYFUNCTION("""COMPUTED_VALUE"""),-0.308217671738506)</f>
        <v>-0.308217671738506</v>
      </c>
      <c r="GL60" s="3">
        <f ca="1">IFERROR(__xludf.DUMMYFUNCTION("""COMPUTED_VALUE"""),-0.294731972335241)</f>
        <v>-0.29473197233524101</v>
      </c>
      <c r="GM60" s="3">
        <f ca="1">IFERROR(__xludf.DUMMYFUNCTION("""COMPUTED_VALUE"""),-0.324130770640404)</f>
        <v>-0.32413077064040402</v>
      </c>
      <c r="GN60" s="3">
        <f ca="1">IFERROR(__xludf.DUMMYFUNCTION("""COMPUTED_VALUE"""),-0.324337504340369)</f>
        <v>-0.32433750434036901</v>
      </c>
      <c r="GO60" s="3">
        <f ca="1">IFERROR(__xludf.DUMMYFUNCTION("""COMPUTED_VALUE"""),-0.330631917358247)</f>
        <v>-0.33063191735824699</v>
      </c>
      <c r="GP60" s="3">
        <f ca="1">IFERROR(__xludf.DUMMYFUNCTION("""COMPUTED_VALUE"""),-0.344481413005052)</f>
        <v>-0.34448141300505197</v>
      </c>
      <c r="GQ60" s="3">
        <f ca="1">IFERROR(__xludf.DUMMYFUNCTION("""COMPUTED_VALUE"""),-0.345344494020285)</f>
        <v>-0.345344494020285</v>
      </c>
      <c r="GR60" s="3">
        <f ca="1">IFERROR(__xludf.DUMMYFUNCTION("""COMPUTED_VALUE"""),-0.331161701575752)</f>
        <v>-0.33116170157575198</v>
      </c>
      <c r="GS60" s="3">
        <f ca="1">IFERROR(__xludf.DUMMYFUNCTION("""COMPUTED_VALUE"""),-0.305769369510068)</f>
        <v>-0.305769369510068</v>
      </c>
      <c r="GT60" s="3">
        <f ca="1">IFERROR(__xludf.DUMMYFUNCTION("""COMPUTED_VALUE"""),-0.309820393156581)</f>
        <v>-0.309820393156581</v>
      </c>
      <c r="GU60" s="3">
        <f ca="1">IFERROR(__xludf.DUMMYFUNCTION("""COMPUTED_VALUE"""),-0.275228165380868)</f>
        <v>-0.27522816538086797</v>
      </c>
      <c r="GV60" s="3">
        <f ca="1">IFERROR(__xludf.DUMMYFUNCTION("""COMPUTED_VALUE"""),-0.239743648932153)</f>
        <v>-0.239743648932153</v>
      </c>
      <c r="GW60" s="3">
        <f ca="1">IFERROR(__xludf.DUMMYFUNCTION("""COMPUTED_VALUE"""),-0.301115474079436)</f>
        <v>-0.30111547407943601</v>
      </c>
      <c r="GX60" s="3">
        <f ca="1">IFERROR(__xludf.DUMMYFUNCTION("""COMPUTED_VALUE"""),-0.378358241871089)</f>
        <v>-0.37835824187108902</v>
      </c>
      <c r="GY60" s="3">
        <f ca="1">IFERROR(__xludf.DUMMYFUNCTION("""COMPUTED_VALUE"""),-0.2715896736835)</f>
        <v>-0.27158967368350001</v>
      </c>
      <c r="GZ60" s="3">
        <f ca="1">IFERROR(__xludf.DUMMYFUNCTION("""COMPUTED_VALUE"""),-0.262958805057261)</f>
        <v>-0.26295880505726099</v>
      </c>
      <c r="HA60" s="3">
        <f ca="1">IFERROR(__xludf.DUMMYFUNCTION("""COMPUTED_VALUE"""),-0.281032446654222)</f>
        <v>-0.281032446654222</v>
      </c>
      <c r="HB60" s="3">
        <f ca="1">IFERROR(__xludf.DUMMYFUNCTION("""COMPUTED_VALUE"""),-0.271287222426713)</f>
        <v>-0.27128722242671299</v>
      </c>
      <c r="HC60" s="3">
        <f ca="1">IFERROR(__xludf.DUMMYFUNCTION("""COMPUTED_VALUE"""),-0.220684098152447)</f>
        <v>-0.22068409815244699</v>
      </c>
      <c r="HD60" s="3">
        <f ca="1">IFERROR(__xludf.DUMMYFUNCTION("""COMPUTED_VALUE"""),-0.281297246282257)</f>
        <v>-0.281297246282257</v>
      </c>
      <c r="HE60" s="3">
        <f ca="1">IFERROR(__xludf.DUMMYFUNCTION("""COMPUTED_VALUE"""),-0.357346278949211)</f>
        <v>-0.357346278949211</v>
      </c>
      <c r="HF60" s="3">
        <f ca="1">IFERROR(__xludf.DUMMYFUNCTION("""COMPUTED_VALUE"""),-0.256590291224723)</f>
        <v>-0.25659029122472299</v>
      </c>
      <c r="HG60" s="3">
        <f ca="1">IFERROR(__xludf.DUMMYFUNCTION("""COMPUTED_VALUE"""),-0.231263245694023)</f>
        <v>-0.23126324569402301</v>
      </c>
      <c r="HH60" s="3">
        <f ca="1">IFERROR(__xludf.DUMMYFUNCTION("""COMPUTED_VALUE"""),-0.241019918113648)</f>
        <v>-0.24101991811364801</v>
      </c>
      <c r="HI60" s="3">
        <f ca="1">IFERROR(__xludf.DUMMYFUNCTION("""COMPUTED_VALUE"""),-0.235049812836523)</f>
        <v>-0.23504981283652299</v>
      </c>
      <c r="HJ60" s="3">
        <f ca="1">IFERROR(__xludf.DUMMYFUNCTION("""COMPUTED_VALUE"""),-0.264037962547297)</f>
        <v>-0.264037962547297</v>
      </c>
      <c r="HK60" s="3">
        <f ca="1">IFERROR(__xludf.DUMMYFUNCTION("""COMPUTED_VALUE"""),-0.277474970015047)</f>
        <v>-0.27747497001504701</v>
      </c>
      <c r="HL60" s="3">
        <f ca="1">IFERROR(__xludf.DUMMYFUNCTION("""COMPUTED_VALUE"""),-0.32062260117861)</f>
        <v>-0.32062260117861002</v>
      </c>
      <c r="HM60" s="3">
        <f ca="1">IFERROR(__xludf.DUMMYFUNCTION("""COMPUTED_VALUE"""),-0.195490759103605)</f>
        <v>-0.195490759103605</v>
      </c>
      <c r="HN60" s="3">
        <f ca="1">IFERROR(__xludf.DUMMYFUNCTION("""COMPUTED_VALUE"""),-0.229552684559639)</f>
        <v>-0.22955268455963901</v>
      </c>
      <c r="HO60" s="3">
        <f ca="1">IFERROR(__xludf.DUMMYFUNCTION("""COMPUTED_VALUE"""),-0.240546629462306)</f>
        <v>-0.24054662946230601</v>
      </c>
      <c r="HP60" s="3">
        <f ca="1">IFERROR(__xludf.DUMMYFUNCTION("""COMPUTED_VALUE"""),-0.278948696200829)</f>
        <v>-0.27894869620082902</v>
      </c>
      <c r="HQ60" s="3">
        <f ca="1">IFERROR(__xludf.DUMMYFUNCTION("""COMPUTED_VALUE"""),-0.257466754104769)</f>
        <v>-0.25746675410476899</v>
      </c>
      <c r="HR60" s="3">
        <f ca="1">IFERROR(__xludf.DUMMYFUNCTION("""COMPUTED_VALUE"""),-0.245291284400517)</f>
        <v>-0.24529128440051701</v>
      </c>
      <c r="HS60" s="3">
        <f ca="1">IFERROR(__xludf.DUMMYFUNCTION("""COMPUTED_VALUE"""),-0.287555694266417)</f>
        <v>-0.28755569426641697</v>
      </c>
      <c r="HT60" s="3">
        <f ca="1">IFERROR(__xludf.DUMMYFUNCTION("""COMPUTED_VALUE"""),-0.269398353073596)</f>
        <v>-0.269398353073596</v>
      </c>
      <c r="HU60" s="3">
        <f ca="1">IFERROR(__xludf.DUMMYFUNCTION("""COMPUTED_VALUE"""),-0.255853945223694)</f>
        <v>-0.25585394522369398</v>
      </c>
      <c r="HV60" s="3">
        <f ca="1">IFERROR(__xludf.DUMMYFUNCTION("""COMPUTED_VALUE"""),-0.27617635493466)</f>
        <v>-0.27617635493465997</v>
      </c>
      <c r="HW60" s="3">
        <f ca="1">IFERROR(__xludf.DUMMYFUNCTION("""COMPUTED_VALUE"""),-0.302041858146595)</f>
        <v>-0.30204185814659501</v>
      </c>
      <c r="HX60" s="3">
        <f ca="1">IFERROR(__xludf.DUMMYFUNCTION("""COMPUTED_VALUE"""),-0.223191348413642)</f>
        <v>-0.22319134841364199</v>
      </c>
      <c r="HY60" s="3">
        <f ca="1">IFERROR(__xludf.DUMMYFUNCTION("""COMPUTED_VALUE"""),-0.201305514250804)</f>
        <v>-0.20130551425080401</v>
      </c>
      <c r="HZ60" s="3">
        <f ca="1">IFERROR(__xludf.DUMMYFUNCTION("""COMPUTED_VALUE"""),-0.234274475025059)</f>
        <v>-0.23427447502505899</v>
      </c>
      <c r="IA60" s="3">
        <f ca="1">IFERROR(__xludf.DUMMYFUNCTION("""COMPUTED_VALUE"""),-0.193302938139674)</f>
        <v>-0.193302938139674</v>
      </c>
      <c r="IB60" s="3">
        <f ca="1">IFERROR(__xludf.DUMMYFUNCTION("""COMPUTED_VALUE"""),-0.216199469798781)</f>
        <v>-0.21619946979878099</v>
      </c>
      <c r="IC60" s="3">
        <f ca="1">IFERROR(__xludf.DUMMYFUNCTION("""COMPUTED_VALUE"""),-0.168550904688754)</f>
        <v>-0.168550904688754</v>
      </c>
      <c r="ID60" s="3">
        <f ca="1">IFERROR(__xludf.DUMMYFUNCTION("""COMPUTED_VALUE"""),-0.209702042597517)</f>
        <v>-0.20970204259751701</v>
      </c>
      <c r="IE60" s="3">
        <f ca="1">IFERROR(__xludf.DUMMYFUNCTION("""COMPUTED_VALUE"""),-0.19674351082896)</f>
        <v>-0.19674351082895999</v>
      </c>
      <c r="IF60" s="3">
        <f ca="1">IFERROR(__xludf.DUMMYFUNCTION("""COMPUTED_VALUE"""),-0.0530673182535024)</f>
        <v>-5.3067318253502402E-2</v>
      </c>
      <c r="IG60" s="3">
        <f ca="1">IFERROR(__xludf.DUMMYFUNCTION("""COMPUTED_VALUE"""),-0.15160190913835)</f>
        <v>-0.15160190913835001</v>
      </c>
      <c r="IH60" s="3">
        <f ca="1">IFERROR(__xludf.DUMMYFUNCTION("""COMPUTED_VALUE"""),-0.117193342401392)</f>
        <v>-0.11719334240139199</v>
      </c>
      <c r="II60" s="3">
        <f ca="1">IFERROR(__xludf.DUMMYFUNCTION("""COMPUTED_VALUE"""),-0.09286763191382)</f>
        <v>-9.2867631913819998E-2</v>
      </c>
      <c r="IJ60" s="3">
        <f ca="1">IFERROR(__xludf.DUMMYFUNCTION("""COMPUTED_VALUE"""),-0.101062933012582)</f>
        <v>-0.101062933012582</v>
      </c>
      <c r="IK60" s="3">
        <f ca="1">IFERROR(__xludf.DUMMYFUNCTION("""COMPUTED_VALUE"""),-0.113870540893507)</f>
        <v>-0.113870540893507</v>
      </c>
      <c r="IL60" s="3">
        <f ca="1">IFERROR(__xludf.DUMMYFUNCTION("""COMPUTED_VALUE"""),-0.13356788412793)</f>
        <v>-0.13356788412793</v>
      </c>
      <c r="IM60" s="3">
        <f ca="1">IFERROR(__xludf.DUMMYFUNCTION("""COMPUTED_VALUE"""),-0.0541731157616032)</f>
        <v>-5.4173115761603198E-2</v>
      </c>
      <c r="IN60" s="3">
        <f ca="1">IFERROR(__xludf.DUMMYFUNCTION("""COMPUTED_VALUE"""),-0.109863466455706)</f>
        <v>-0.10986346645570599</v>
      </c>
      <c r="IO60" s="3">
        <f ca="1">IFERROR(__xludf.DUMMYFUNCTION("""COMPUTED_VALUE"""),-0.103307713207702)</f>
        <v>-0.103307713207702</v>
      </c>
      <c r="IP60" s="3">
        <f ca="1">IFERROR(__xludf.DUMMYFUNCTION("""COMPUTED_VALUE"""),-0.13429215770066)</f>
        <v>-0.13429215770066</v>
      </c>
      <c r="IQ60" s="3">
        <f ca="1">IFERROR(__xludf.DUMMYFUNCTION("""COMPUTED_VALUE"""),-0.131725569626381)</f>
        <v>-0.13172556962638099</v>
      </c>
      <c r="IR60" s="3">
        <f ca="1">IFERROR(__xludf.DUMMYFUNCTION("""COMPUTED_VALUE"""),-0.174321747988636)</f>
        <v>-0.17432174798863601</v>
      </c>
      <c r="IS60" s="3">
        <f ca="1">IFERROR(__xludf.DUMMYFUNCTION("""COMPUTED_VALUE"""),-0.165278086764987)</f>
        <v>-0.16527808676498701</v>
      </c>
      <c r="IT60" s="3">
        <f ca="1">IFERROR(__xludf.DUMMYFUNCTION("""COMPUTED_VALUE"""),-0.143949496478549)</f>
        <v>-0.14394949647854899</v>
      </c>
      <c r="IU60" s="3">
        <f ca="1">IFERROR(__xludf.DUMMYFUNCTION("""COMPUTED_VALUE"""),-0.139110282869127)</f>
        <v>-0.13911028286912699</v>
      </c>
      <c r="IV60" s="3">
        <f ca="1">IFERROR(__xludf.DUMMYFUNCTION("""COMPUTED_VALUE"""),-0.123740491388191)</f>
        <v>-0.123740491388191</v>
      </c>
      <c r="IW60" s="3">
        <f ca="1">IFERROR(__xludf.DUMMYFUNCTION("""COMPUTED_VALUE"""),-0.148707012967169)</f>
        <v>-0.14870701296716901</v>
      </c>
      <c r="IX60" s="3">
        <f ca="1">IFERROR(__xludf.DUMMYFUNCTION("""COMPUTED_VALUE"""),-0.194620282204851)</f>
        <v>-0.194620282204851</v>
      </c>
      <c r="IY60" s="3">
        <f ca="1">IFERROR(__xludf.DUMMYFUNCTION("""COMPUTED_VALUE"""),-0.169364488816871)</f>
        <v>-0.16936448881687099</v>
      </c>
      <c r="IZ60" s="3">
        <f ca="1">IFERROR(__xludf.DUMMYFUNCTION("""COMPUTED_VALUE"""),-0.223643647040627)</f>
        <v>-0.223643647040627</v>
      </c>
      <c r="JA60" s="3">
        <f ca="1">IFERROR(__xludf.DUMMYFUNCTION("""COMPUTED_VALUE"""),-0.169184753751912)</f>
        <v>-0.169184753751912</v>
      </c>
      <c r="JB60" s="3">
        <f ca="1">IFERROR(__xludf.DUMMYFUNCTION("""COMPUTED_VALUE"""),-0.218983337145337)</f>
        <v>-0.21898333714533699</v>
      </c>
      <c r="JC60" s="3">
        <f ca="1">IFERROR(__xludf.DUMMYFUNCTION("""COMPUTED_VALUE"""),-0.207113024108287)</f>
        <v>-0.207113024108287</v>
      </c>
      <c r="JD60" s="3">
        <f ca="1">IFERROR(__xludf.DUMMYFUNCTION("""COMPUTED_VALUE"""),-0.224020900241479)</f>
        <v>-0.224020900241479</v>
      </c>
      <c r="JE60" s="3">
        <f ca="1">IFERROR(__xludf.DUMMYFUNCTION("""COMPUTED_VALUE"""),-0.198188792848604)</f>
        <v>-0.198188792848604</v>
      </c>
      <c r="JF60" s="3">
        <f ca="1">IFERROR(__xludf.DUMMYFUNCTION("""COMPUTED_VALUE"""),-0.204915164940563)</f>
        <v>-0.204915164940563</v>
      </c>
      <c r="JG60" s="3">
        <f ca="1">IFERROR(__xludf.DUMMYFUNCTION("""COMPUTED_VALUE"""),-0.190645690439042)</f>
        <v>-0.190645690439042</v>
      </c>
      <c r="JH60" s="3">
        <f ca="1">IFERROR(__xludf.DUMMYFUNCTION("""COMPUTED_VALUE"""),-0.125489812588942)</f>
        <v>-0.12548981258894201</v>
      </c>
      <c r="JI60" s="3">
        <f ca="1">IFERROR(__xludf.DUMMYFUNCTION("""COMPUTED_VALUE"""),-0.194676992031199)</f>
        <v>-0.19467699203119901</v>
      </c>
      <c r="JJ60" s="3">
        <f ca="1">IFERROR(__xludf.DUMMYFUNCTION("""COMPUTED_VALUE"""),-0.212374585141268)</f>
        <v>-0.212374585141268</v>
      </c>
      <c r="JK60" s="3">
        <f ca="1">IFERROR(__xludf.DUMMYFUNCTION("""COMPUTED_VALUE"""),-0.225804260178956)</f>
        <v>-0.225804260178956</v>
      </c>
      <c r="JL60" s="3">
        <f ca="1">IFERROR(__xludf.DUMMYFUNCTION("""COMPUTED_VALUE"""),-0.310951111503242)</f>
        <v>-0.31095111150324201</v>
      </c>
      <c r="JM60" s="3">
        <f ca="1">IFERROR(__xludf.DUMMYFUNCTION("""COMPUTED_VALUE"""),-0.200614886761066)</f>
        <v>-0.20061488676106601</v>
      </c>
      <c r="JN60" s="3">
        <f ca="1">IFERROR(__xludf.DUMMYFUNCTION("""COMPUTED_VALUE"""),-0.258894963818309)</f>
        <v>-0.25889496381830901</v>
      </c>
      <c r="JO60" s="3">
        <f ca="1">IFERROR(__xludf.DUMMYFUNCTION("""COMPUTED_VALUE"""),-0.203883473657568)</f>
        <v>-0.20388347365756801</v>
      </c>
      <c r="JP60" s="3">
        <f ca="1">IFERROR(__xludf.DUMMYFUNCTION("""COMPUTED_VALUE"""),-0.29299140646754)</f>
        <v>-0.29299140646754002</v>
      </c>
      <c r="JQ60" s="3">
        <f ca="1">IFERROR(__xludf.DUMMYFUNCTION("""COMPUTED_VALUE"""),-0.24996585737859)</f>
        <v>-0.24996585737859001</v>
      </c>
      <c r="JR60" s="3">
        <f ca="1">IFERROR(__xludf.DUMMYFUNCTION("""COMPUTED_VALUE"""),-0.260210265987433)</f>
        <v>-0.26021026598743302</v>
      </c>
      <c r="JS60" s="3">
        <f ca="1">IFERROR(__xludf.DUMMYFUNCTION("""COMPUTED_VALUE"""),-0.198955163828881)</f>
        <v>-0.19895516382888101</v>
      </c>
      <c r="JT60" s="3">
        <f ca="1">IFERROR(__xludf.DUMMYFUNCTION("""COMPUTED_VALUE"""),-0.230390680902925)</f>
        <v>-0.230390680902925</v>
      </c>
      <c r="JU60" s="3">
        <f ca="1">IFERROR(__xludf.DUMMYFUNCTION("""COMPUTED_VALUE"""),-0.246162597704338)</f>
        <v>-0.24616259770433799</v>
      </c>
      <c r="JV60" s="3">
        <f ca="1">IFERROR(__xludf.DUMMYFUNCTION("""COMPUTED_VALUE"""),-0.257333999529239)</f>
        <v>-0.25733399952923902</v>
      </c>
      <c r="JW60" s="3">
        <f ca="1">IFERROR(__xludf.DUMMYFUNCTION("""COMPUTED_VALUE"""),-0.306054530961768)</f>
        <v>-0.30605453096176799</v>
      </c>
      <c r="JX60" s="3">
        <f ca="1">IFERROR(__xludf.DUMMYFUNCTION("""COMPUTED_VALUE"""),-0.29677505182964)</f>
        <v>-0.29677505182963998</v>
      </c>
      <c r="JY60" s="3">
        <f ca="1">IFERROR(__xludf.DUMMYFUNCTION("""COMPUTED_VALUE"""),-0.307331738191612)</f>
        <v>-0.30733173819161203</v>
      </c>
      <c r="JZ60" s="3">
        <f ca="1">IFERROR(__xludf.DUMMYFUNCTION("""COMPUTED_VALUE"""),-0.236092429429804)</f>
        <v>-0.23609242942980399</v>
      </c>
      <c r="KA60" s="3">
        <f ca="1">IFERROR(__xludf.DUMMYFUNCTION("""COMPUTED_VALUE"""),-0.258540555829206)</f>
        <v>-0.25854055582920599</v>
      </c>
      <c r="KB60" s="3">
        <f ca="1">IFERROR(__xludf.DUMMYFUNCTION("""COMPUTED_VALUE"""),-0.296197877276292)</f>
        <v>-0.29619787727629199</v>
      </c>
      <c r="KC60" s="3">
        <f ca="1">IFERROR(__xludf.DUMMYFUNCTION("""COMPUTED_VALUE"""),-0.265115903268152)</f>
        <v>-0.26511590326815199</v>
      </c>
      <c r="KD60" s="3">
        <f ca="1">IFERROR(__xludf.DUMMYFUNCTION("""COMPUTED_VALUE"""),-0.304740542015696)</f>
        <v>-0.304740542015696</v>
      </c>
      <c r="KE60" s="3">
        <f ca="1">IFERROR(__xludf.DUMMYFUNCTION("""COMPUTED_VALUE"""),-0.238899447366567)</f>
        <v>-0.23889944736656701</v>
      </c>
      <c r="KF60" s="3">
        <f ca="1">IFERROR(__xludf.DUMMYFUNCTION("""COMPUTED_VALUE"""),-0.247505312755327)</f>
        <v>-0.247505312755327</v>
      </c>
      <c r="KG60" s="3">
        <f ca="1">IFERROR(__xludf.DUMMYFUNCTION("""COMPUTED_VALUE"""),-0.190642803532393)</f>
        <v>-0.19064280353239299</v>
      </c>
      <c r="KH60" s="3">
        <f ca="1">IFERROR(__xludf.DUMMYFUNCTION("""COMPUTED_VALUE"""),-0.228136477850407)</f>
        <v>-0.228136477850407</v>
      </c>
      <c r="KI60" s="3">
        <f ca="1">IFERROR(__xludf.DUMMYFUNCTION("""COMPUTED_VALUE"""),-0.275439069775277)</f>
        <v>-0.27543906977527699</v>
      </c>
      <c r="KJ60" s="3">
        <f ca="1">IFERROR(__xludf.DUMMYFUNCTION("""COMPUTED_VALUE"""),-0.288891672047491)</f>
        <v>-0.288891672047491</v>
      </c>
      <c r="KK60" s="3">
        <f ca="1">IFERROR(__xludf.DUMMYFUNCTION("""COMPUTED_VALUE"""),-0.346606632386862)</f>
        <v>-0.34660663238686201</v>
      </c>
      <c r="KL60" s="3">
        <f ca="1">IFERROR(__xludf.DUMMYFUNCTION("""COMPUTED_VALUE"""),-0.321450540058167)</f>
        <v>-0.32145054005816698</v>
      </c>
      <c r="KM60" s="3">
        <f ca="1">IFERROR(__xludf.DUMMYFUNCTION("""COMPUTED_VALUE"""),-0.322847525804326)</f>
        <v>-0.32284752580432602</v>
      </c>
      <c r="KN60" s="3">
        <f ca="1">IFERROR(__xludf.DUMMYFUNCTION("""COMPUTED_VALUE"""),-0.284883640110678)</f>
        <v>-0.28488364011067802</v>
      </c>
      <c r="KO60" s="3">
        <f ca="1">IFERROR(__xludf.DUMMYFUNCTION("""COMPUTED_VALUE"""),-0.266978446563499)</f>
        <v>-0.26697844656349901</v>
      </c>
      <c r="KP60" s="3">
        <f ca="1">IFERROR(__xludf.DUMMYFUNCTION("""COMPUTED_VALUE"""),-0.31884788620871)</f>
        <v>-0.31884788620871002</v>
      </c>
      <c r="KQ60" s="3">
        <f ca="1">IFERROR(__xludf.DUMMYFUNCTION("""COMPUTED_VALUE"""),-0.312142526632517)</f>
        <v>-0.31214252663251701</v>
      </c>
      <c r="KR60" s="3">
        <f ca="1">IFERROR(__xludf.DUMMYFUNCTION("""COMPUTED_VALUE"""),-0.44448247855685)</f>
        <v>-0.44448247855685002</v>
      </c>
      <c r="KS60" s="3">
        <f ca="1">IFERROR(__xludf.DUMMYFUNCTION("""COMPUTED_VALUE"""),-0.382520674032991)</f>
        <v>-0.382520674032991</v>
      </c>
      <c r="KT60" s="3">
        <f ca="1">IFERROR(__xludf.DUMMYFUNCTION("""COMPUTED_VALUE"""),-0.358721448146696)</f>
        <v>-0.35872144814669599</v>
      </c>
      <c r="KU60" s="3">
        <f ca="1">IFERROR(__xludf.DUMMYFUNCTION("""COMPUTED_VALUE"""),-0.399662480252804)</f>
        <v>-0.39966248025280399</v>
      </c>
      <c r="KV60" s="3">
        <f ca="1">IFERROR(__xludf.DUMMYFUNCTION("""COMPUTED_VALUE"""),-0.353844344472818)</f>
        <v>-0.35384434447281798</v>
      </c>
      <c r="KW60" s="3">
        <f ca="1">IFERROR(__xludf.DUMMYFUNCTION("""COMPUTED_VALUE"""),-0.402601903589911)</f>
        <v>-0.40260190358991099</v>
      </c>
      <c r="KX60" s="3">
        <f ca="1">IFERROR(__xludf.DUMMYFUNCTION("""COMPUTED_VALUE"""),-0.369360606958019)</f>
        <v>-0.36936060695801898</v>
      </c>
      <c r="KY60" s="3">
        <f ca="1">IFERROR(__xludf.DUMMYFUNCTION("""COMPUTED_VALUE"""),-0.433064779361164)</f>
        <v>-0.433064779361164</v>
      </c>
      <c r="KZ60" s="3">
        <f ca="1">IFERROR(__xludf.DUMMYFUNCTION("""COMPUTED_VALUE"""),-0.390148357524936)</f>
        <v>-0.39014835752493598</v>
      </c>
      <c r="LA60" s="3">
        <f ca="1">IFERROR(__xludf.DUMMYFUNCTION("""COMPUTED_VALUE"""),-0.409922897596747)</f>
        <v>-0.40992289759674699</v>
      </c>
      <c r="LB60" s="3">
        <f ca="1">IFERROR(__xludf.DUMMYFUNCTION("""COMPUTED_VALUE"""),-0.349870381617645)</f>
        <v>-0.349870381617645</v>
      </c>
      <c r="LC60" s="3">
        <f ca="1">IFERROR(__xludf.DUMMYFUNCTION("""COMPUTED_VALUE"""),-0.412922869650862)</f>
        <v>-0.412922869650862</v>
      </c>
      <c r="LD60" s="3">
        <f ca="1">IFERROR(__xludf.DUMMYFUNCTION("""COMPUTED_VALUE"""),-0.402783924189419)</f>
        <v>-0.402783924189419</v>
      </c>
      <c r="LE60" s="3">
        <f ca="1">IFERROR(__xludf.DUMMYFUNCTION("""COMPUTED_VALUE"""),-0.424345203597702)</f>
        <v>-0.424345203597702</v>
      </c>
      <c r="LF60" s="3">
        <f ca="1">IFERROR(__xludf.DUMMYFUNCTION("""COMPUTED_VALUE"""),-0.494172500377451)</f>
        <v>-0.49417250037745097</v>
      </c>
      <c r="LG60" s="3">
        <f ca="1">IFERROR(__xludf.DUMMYFUNCTION("""COMPUTED_VALUE"""),-0.466002190189486)</f>
        <v>-0.46600219018948602</v>
      </c>
      <c r="LH60" s="3">
        <f ca="1">IFERROR(__xludf.DUMMYFUNCTION("""COMPUTED_VALUE"""),-0.49612261515939)</f>
        <v>-0.49612261515938999</v>
      </c>
      <c r="LI60" s="3">
        <f ca="1">IFERROR(__xludf.DUMMYFUNCTION("""COMPUTED_VALUE"""),-0.472721462340241)</f>
        <v>-0.47272146234024098</v>
      </c>
      <c r="LJ60" s="3">
        <f ca="1">IFERROR(__xludf.DUMMYFUNCTION("""COMPUTED_VALUE"""),-0.480814972448447)</f>
        <v>-0.48081497244844701</v>
      </c>
      <c r="LK60" s="3">
        <f ca="1">IFERROR(__xludf.DUMMYFUNCTION("""COMPUTED_VALUE"""),-0.447898154717222)</f>
        <v>-0.447898154717222</v>
      </c>
      <c r="LL60" s="3">
        <f ca="1">IFERROR(__xludf.DUMMYFUNCTION("""COMPUTED_VALUE"""),-0.5343881990507)</f>
        <v>-0.53438819905070001</v>
      </c>
      <c r="LM60" s="3">
        <f ca="1">IFERROR(__xludf.DUMMYFUNCTION("""COMPUTED_VALUE"""),-0.540946617089843)</f>
        <v>-0.54094661708984304</v>
      </c>
      <c r="LN60" s="3">
        <f ca="1">IFERROR(__xludf.DUMMYFUNCTION("""COMPUTED_VALUE"""),-0.522941501406797)</f>
        <v>-0.52294150140679696</v>
      </c>
      <c r="LO60" s="3">
        <f ca="1">IFERROR(__xludf.DUMMYFUNCTION("""COMPUTED_VALUE"""),-0.546369437612305)</f>
        <v>-0.54636943761230505</v>
      </c>
      <c r="LP60" s="3">
        <f ca="1">IFERROR(__xludf.DUMMYFUNCTION("""COMPUTED_VALUE"""),-0.526760325612037)</f>
        <v>-0.52676032561203701</v>
      </c>
      <c r="LQ60" s="3">
        <f ca="1">IFERROR(__xludf.DUMMYFUNCTION("""COMPUTED_VALUE"""),-0.530569057331988)</f>
        <v>-0.530569057331988</v>
      </c>
      <c r="LR60" s="3">
        <f ca="1">IFERROR(__xludf.DUMMYFUNCTION("""COMPUTED_VALUE"""),-0.529573488009896)</f>
        <v>-0.52957348800989601</v>
      </c>
      <c r="LS60" s="3">
        <f ca="1">IFERROR(__xludf.DUMMYFUNCTION("""COMPUTED_VALUE"""),-0.553043881140476)</f>
        <v>-0.55304388114047598</v>
      </c>
      <c r="LT60" s="3">
        <f ca="1">IFERROR(__xludf.DUMMYFUNCTION("""COMPUTED_VALUE"""),-0.620544553703918)</f>
        <v>-0.62054455370391803</v>
      </c>
      <c r="LU60" s="3">
        <f ca="1">IFERROR(__xludf.DUMMYFUNCTION("""COMPUTED_VALUE"""),-0.595359566745547)</f>
        <v>-0.59535956674554702</v>
      </c>
      <c r="LV60" s="3">
        <f ca="1">IFERROR(__xludf.DUMMYFUNCTION("""COMPUTED_VALUE"""),-0.581821959623834)</f>
        <v>-0.58182195962383398</v>
      </c>
      <c r="LW60" s="3">
        <f ca="1">IFERROR(__xludf.DUMMYFUNCTION("""COMPUTED_VALUE"""),-0.595774458388114)</f>
        <v>-0.59577445838811405</v>
      </c>
      <c r="LX60" s="3">
        <f ca="1">IFERROR(__xludf.DUMMYFUNCTION("""COMPUTED_VALUE"""),-0.566386873553217)</f>
        <v>-0.56638687355321704</v>
      </c>
      <c r="LY60" s="3">
        <f ca="1">IFERROR(__xludf.DUMMYFUNCTION("""COMPUTED_VALUE"""),-0.671947127876892)</f>
        <v>-0.67194712787689204</v>
      </c>
      <c r="LZ60" s="3">
        <f ca="1">IFERROR(__xludf.DUMMYFUNCTION("""COMPUTED_VALUE"""),-0.707678064483506)</f>
        <v>-0.70767806448350601</v>
      </c>
      <c r="MA60" s="3">
        <f ca="1">IFERROR(__xludf.DUMMYFUNCTION("""COMPUTED_VALUE"""),-0.744021965128838)</f>
        <v>-0.744021965128838</v>
      </c>
      <c r="MB60" s="3">
        <f ca="1">IFERROR(__xludf.DUMMYFUNCTION("""COMPUTED_VALUE"""),-0.697897211938112)</f>
        <v>-0.69789721193811205</v>
      </c>
      <c r="MC60" s="3">
        <f ca="1">IFERROR(__xludf.DUMMYFUNCTION("""COMPUTED_VALUE"""),-0.661298952060433)</f>
        <v>-0.66129895206043299</v>
      </c>
      <c r="MD60" s="3">
        <f ca="1">IFERROR(__xludf.DUMMYFUNCTION("""COMPUTED_VALUE"""),-0.716440156867853)</f>
        <v>-0.71644015686785301</v>
      </c>
      <c r="ME60" s="3">
        <f ca="1">IFERROR(__xludf.DUMMYFUNCTION("""COMPUTED_VALUE"""),-0.709361706941467)</f>
        <v>-0.70936170694146705</v>
      </c>
      <c r="MF60" s="3">
        <f ca="1">IFERROR(__xludf.DUMMYFUNCTION("""COMPUTED_VALUE"""),-0.755179293655164)</f>
        <v>-0.75517929365516401</v>
      </c>
      <c r="MG60" s="3">
        <f ca="1">IFERROR(__xludf.DUMMYFUNCTION("""COMPUTED_VALUE"""),-0.744434660047653)</f>
        <v>-0.74443466004765302</v>
      </c>
      <c r="MH60" s="3">
        <f ca="1">IFERROR(__xludf.DUMMYFUNCTION("""COMPUTED_VALUE"""),-0.813997321201741)</f>
        <v>-0.81399732120174095</v>
      </c>
      <c r="MI60" s="3">
        <f ca="1">IFERROR(__xludf.DUMMYFUNCTION("""COMPUTED_VALUE"""),-0.749204850940886)</f>
        <v>-0.74920485094088596</v>
      </c>
      <c r="MJ60" s="3">
        <f ca="1">IFERROR(__xludf.DUMMYFUNCTION("""COMPUTED_VALUE"""),-0.724689545667525)</f>
        <v>-0.72468954566752497</v>
      </c>
      <c r="MK60" s="3">
        <f ca="1">IFERROR(__xludf.DUMMYFUNCTION("""COMPUTED_VALUE"""),-0.760288599372146)</f>
        <v>-0.76028859937214599</v>
      </c>
      <c r="ML60" s="3">
        <f ca="1">IFERROR(__xludf.DUMMYFUNCTION("""COMPUTED_VALUE"""),-0.734517281194212)</f>
        <v>-0.734517281194212</v>
      </c>
      <c r="MM60" s="3">
        <f ca="1">IFERROR(__xludf.DUMMYFUNCTION("""COMPUTED_VALUE"""),-0.79314622170762)</f>
        <v>-0.79314622170761995</v>
      </c>
      <c r="MN60" s="3">
        <f ca="1">IFERROR(__xludf.DUMMYFUNCTION("""COMPUTED_VALUE"""),-0.792621808618703)</f>
        <v>-0.79262180861870302</v>
      </c>
      <c r="MO60" s="3">
        <f ca="1">IFERROR(__xludf.DUMMYFUNCTION("""COMPUTED_VALUE"""),-0.767874606646127)</f>
        <v>-0.76787460664612694</v>
      </c>
      <c r="MP60" s="3">
        <f ca="1">IFERROR(__xludf.DUMMYFUNCTION("""COMPUTED_VALUE"""),-0.731632022109143)</f>
        <v>-0.73163202210914302</v>
      </c>
      <c r="MQ60" s="3">
        <f ca="1">IFERROR(__xludf.DUMMYFUNCTION("""COMPUTED_VALUE"""),-0.734476958332532)</f>
        <v>-0.73447695833253202</v>
      </c>
      <c r="MR60" s="3">
        <f ca="1">IFERROR(__xludf.DUMMYFUNCTION("""COMPUTED_VALUE"""),-0.754823182181332)</f>
        <v>-0.75482318218133204</v>
      </c>
      <c r="MS60" s="3">
        <f ca="1">IFERROR(__xludf.DUMMYFUNCTION("""COMPUTED_VALUE"""),-0.734048621848024)</f>
        <v>-0.734048621848024</v>
      </c>
      <c r="MT60" s="3">
        <f ca="1">IFERROR(__xludf.DUMMYFUNCTION("""COMPUTED_VALUE"""),-0.79645647394477)</f>
        <v>-0.79645647394477004</v>
      </c>
      <c r="MU60" s="3">
        <f ca="1">IFERROR(__xludf.DUMMYFUNCTION("""COMPUTED_VALUE"""),-0.788267925520166)</f>
        <v>-0.788267925520166</v>
      </c>
      <c r="MV60" s="3">
        <f ca="1">IFERROR(__xludf.DUMMYFUNCTION("""COMPUTED_VALUE"""),-0.76815684405707)</f>
        <v>-0.76815684405706997</v>
      </c>
      <c r="MW60" s="3">
        <f ca="1">IFERROR(__xludf.DUMMYFUNCTION("""COMPUTED_VALUE"""),-0.743983231242919)</f>
        <v>-0.74398323124291899</v>
      </c>
      <c r="MX60" s="3">
        <f ca="1">IFERROR(__xludf.DUMMYFUNCTION("""COMPUTED_VALUE"""),-0.751392757399629)</f>
        <v>-0.75139275739962896</v>
      </c>
      <c r="MY60" s="3">
        <f ca="1">IFERROR(__xludf.DUMMYFUNCTION("""COMPUTED_VALUE"""),-0.745824722024423)</f>
        <v>-0.74582472202442296</v>
      </c>
      <c r="MZ60" s="3">
        <f ca="1">IFERROR(__xludf.DUMMYFUNCTION("""COMPUTED_VALUE"""),-0.782929981340804)</f>
        <v>-0.78292998134080405</v>
      </c>
      <c r="NA60" s="3">
        <f ca="1">IFERROR(__xludf.DUMMYFUNCTION("""COMPUTED_VALUE"""),-0.798374327637087)</f>
        <v>-0.79837432763708704</v>
      </c>
      <c r="NB60" s="3">
        <f ca="1">IFERROR(__xludf.DUMMYFUNCTION("""COMPUTED_VALUE"""),-0.794171185639618)</f>
        <v>-0.79417118563961797</v>
      </c>
      <c r="NC60" s="3">
        <f ca="1">IFERROR(__xludf.DUMMYFUNCTION("""COMPUTED_VALUE"""),-0.762891025937747)</f>
        <v>-0.76289102593774705</v>
      </c>
      <c r="ND60" s="3">
        <f ca="1">IFERROR(__xludf.DUMMYFUNCTION("""COMPUTED_VALUE"""),-0.773212991291913)</f>
        <v>-0.77321299129191301</v>
      </c>
      <c r="NE60" s="3">
        <f ca="1">IFERROR(__xludf.DUMMYFUNCTION("""COMPUTED_VALUE"""),-0.777853934736925)</f>
        <v>-0.77785393473692499</v>
      </c>
      <c r="NF60" s="3">
        <f ca="1">IFERROR(__xludf.DUMMYFUNCTION("""COMPUTED_VALUE"""),-0.755697726827606)</f>
        <v>-0.75569772682760605</v>
      </c>
      <c r="NG60" s="3">
        <f ca="1">IFERROR(__xludf.DUMMYFUNCTION("""COMPUTED_VALUE"""),-0.75879695087944)</f>
        <v>-0.75879695087943999</v>
      </c>
      <c r="NH60" s="3">
        <f ca="1">IFERROR(__xludf.DUMMYFUNCTION("""COMPUTED_VALUE"""),-0.811636087189072)</f>
        <v>-0.81163608718907199</v>
      </c>
      <c r="NI60" s="3">
        <f ca="1">IFERROR(__xludf.DUMMYFUNCTION("""COMPUTED_VALUE"""),-0.824441912569085)</f>
        <v>-0.82444191256908494</v>
      </c>
      <c r="NJ60" s="3">
        <f ca="1">IFERROR(__xludf.DUMMYFUNCTION("""COMPUTED_VALUE"""),-0.80395531619718)</f>
        <v>-0.80395531619717997</v>
      </c>
      <c r="NK60" s="3">
        <f ca="1">IFERROR(__xludf.DUMMYFUNCTION("""COMPUTED_VALUE"""),-0.799518478317513)</f>
        <v>-0.79951847831751299</v>
      </c>
      <c r="NL60" s="3">
        <f ca="1">IFERROR(__xludf.DUMMYFUNCTION("""COMPUTED_VALUE"""),-0.790812750586414)</f>
        <v>-0.79081275058641398</v>
      </c>
      <c r="NM60" s="3">
        <f ca="1">IFERROR(__xludf.DUMMYFUNCTION("""COMPUTED_VALUE"""),-0.76913418551874)</f>
        <v>-0.76913418551874002</v>
      </c>
      <c r="NN60" s="3">
        <f ca="1">IFERROR(__xludf.DUMMYFUNCTION("""COMPUTED_VALUE"""),-0.729284848715345)</f>
        <v>-0.72928484871534505</v>
      </c>
      <c r="NO60" s="3">
        <f ca="1">IFERROR(__xludf.DUMMYFUNCTION("""COMPUTED_VALUE"""),-0.83278780211804)</f>
        <v>-0.83278780211804004</v>
      </c>
      <c r="NP60" s="3">
        <f ca="1">IFERROR(__xludf.DUMMYFUNCTION("""COMPUTED_VALUE"""),-0.825276541660348)</f>
        <v>-0.82527654166034803</v>
      </c>
      <c r="NQ60" s="3">
        <f ca="1">IFERROR(__xludf.DUMMYFUNCTION("""COMPUTED_VALUE"""),-0.802966889925745)</f>
        <v>-0.80296688992574505</v>
      </c>
      <c r="NR60" s="3">
        <f ca="1">IFERROR(__xludf.DUMMYFUNCTION("""COMPUTED_VALUE"""),-0.783762529859105)</f>
        <v>-0.78376252985910499</v>
      </c>
      <c r="NS60" s="3">
        <f ca="1">IFERROR(__xludf.DUMMYFUNCTION("""COMPUTED_VALUE"""),-0.79036949250017)</f>
        <v>-0.79036949250016997</v>
      </c>
      <c r="NT60" s="3">
        <f ca="1">IFERROR(__xludf.DUMMYFUNCTION("""COMPUTED_VALUE"""),-0.728559731030997)</f>
        <v>-0.72855973103099703</v>
      </c>
      <c r="NU60" s="3">
        <f ca="1">IFERROR(__xludf.DUMMYFUNCTION("""COMPUTED_VALUE"""),-0.741748357485929)</f>
        <v>-0.74174835748592904</v>
      </c>
      <c r="NV60" s="3">
        <f ca="1">IFERROR(__xludf.DUMMYFUNCTION("""COMPUTED_VALUE"""),-0.797984474667665)</f>
        <v>-0.79798447466766498</v>
      </c>
      <c r="NW60" s="3">
        <f ca="1">IFERROR(__xludf.DUMMYFUNCTION("""COMPUTED_VALUE"""),-0.790038896340745)</f>
        <v>-0.79003889634074498</v>
      </c>
      <c r="NX60" s="3">
        <f ca="1">IFERROR(__xludf.DUMMYFUNCTION("""COMPUTED_VALUE"""),-0.769386965000539)</f>
        <v>-0.76938696500053905</v>
      </c>
      <c r="NY60" s="3">
        <f ca="1">IFERROR(__xludf.DUMMYFUNCTION("""COMPUTED_VALUE"""),-0.744846610692914)</f>
        <v>-0.74484661069291402</v>
      </c>
      <c r="NZ60" s="3">
        <f ca="1">IFERROR(__xludf.DUMMYFUNCTION("""COMPUTED_VALUE"""),-0.756201599067325)</f>
        <v>-0.75620159906732498</v>
      </c>
      <c r="OA60" s="3">
        <f ca="1">IFERROR(__xludf.DUMMYFUNCTION("""COMPUTED_VALUE"""),-0.635968117588537)</f>
        <v>-0.635968117588537</v>
      </c>
      <c r="OB60" s="3">
        <f ca="1">IFERROR(__xludf.DUMMYFUNCTION("""COMPUTED_VALUE"""),-0.393921443223685)</f>
        <v>-0.393921443223685</v>
      </c>
      <c r="OC60" s="3">
        <f ca="1">IFERROR(__xludf.DUMMYFUNCTION("""COMPUTED_VALUE"""),-0.298742908809242)</f>
        <v>-0.29874290880924198</v>
      </c>
      <c r="OD60" s="3">
        <f ca="1">IFERROR(__xludf.DUMMYFUNCTION("""COMPUTED_VALUE"""),-0.2202945186868)</f>
        <v>-0.2202945186868</v>
      </c>
      <c r="OE60" s="3">
        <f ca="1">IFERROR(__xludf.DUMMYFUNCTION("""COMPUTED_VALUE"""),-0.0322556056076516)</f>
        <v>-3.2255605607651602E-2</v>
      </c>
      <c r="OF60" s="3">
        <f ca="1">IFERROR(__xludf.DUMMYFUNCTION("""COMPUTED_VALUE"""),-0.0211948123146679)</f>
        <v>-2.11948123146679E-2</v>
      </c>
      <c r="OG60" s="3">
        <f ca="1">IFERROR(__xludf.DUMMYFUNCTION("""COMPUTED_VALUE"""),0.0186972213495439)</f>
        <v>1.8697221349543901E-2</v>
      </c>
      <c r="OH60" s="3">
        <f ca="1">IFERROR(__xludf.DUMMYFUNCTION("""COMPUTED_VALUE"""),0.0113436025907101)</f>
        <v>1.13436025907101E-2</v>
      </c>
      <c r="OI60" s="3">
        <f ca="1">IFERROR(__xludf.DUMMYFUNCTION("""COMPUTED_VALUE"""),0.0121590034222145)</f>
        <v>1.2159003422214499E-2</v>
      </c>
      <c r="OJ60" s="3">
        <f ca="1">IFERROR(__xludf.DUMMYFUNCTION("""COMPUTED_VALUE"""),-0.0765981353840815)</f>
        <v>-7.65981353840815E-2</v>
      </c>
      <c r="OK60" s="3">
        <f ca="1">IFERROR(__xludf.DUMMYFUNCTION("""COMPUTED_VALUE"""),0.0325849937392841)</f>
        <v>3.2584993739284099E-2</v>
      </c>
      <c r="OL60" s="3">
        <f ca="1">IFERROR(__xludf.DUMMYFUNCTION("""COMPUTED_VALUE"""),0.108683575529588)</f>
        <v>0.108683575529588</v>
      </c>
      <c r="OM60" s="3">
        <f ca="1">IFERROR(__xludf.DUMMYFUNCTION("""COMPUTED_VALUE"""),0.0469999622218413)</f>
        <v>4.6999962221841302E-2</v>
      </c>
      <c r="ON60" s="3">
        <f ca="1">IFERROR(__xludf.DUMMYFUNCTION("""COMPUTED_VALUE"""),0.082631680857238)</f>
        <v>8.2631680857238002E-2</v>
      </c>
      <c r="OO60" s="3">
        <f ca="1">IFERROR(__xludf.DUMMYFUNCTION("""COMPUTED_VALUE"""),0.13668932665527)</f>
        <v>0.13668932665527</v>
      </c>
      <c r="OP60" s="3">
        <f ca="1">IFERROR(__xludf.DUMMYFUNCTION("""COMPUTED_VALUE"""),0.110480144144995)</f>
        <v>0.110480144144995</v>
      </c>
      <c r="OQ60" s="3">
        <f ca="1">IFERROR(__xludf.DUMMYFUNCTION("""COMPUTED_VALUE"""),-0.0771056991192301)</f>
        <v>-7.7105699119230098E-2</v>
      </c>
      <c r="OR60" s="3">
        <f ca="1">IFERROR(__xludf.DUMMYFUNCTION("""COMPUTED_VALUE"""),0.0825783986504502)</f>
        <v>8.2578398650450205E-2</v>
      </c>
      <c r="OS60" s="3">
        <f ca="1">IFERROR(__xludf.DUMMYFUNCTION("""COMPUTED_VALUE"""),0.16030338612305)</f>
        <v>0.16030338612305001</v>
      </c>
      <c r="OT60" s="3">
        <f ca="1">IFERROR(__xludf.DUMMYFUNCTION("""COMPUTED_VALUE"""),0.0956296801875464)</f>
        <v>9.5629680187546404E-2</v>
      </c>
      <c r="OU60" s="3">
        <f ca="1">IFERROR(__xludf.DUMMYFUNCTION("""COMPUTED_VALUE"""),0.0991008751683144)</f>
        <v>9.9100875168314395E-2</v>
      </c>
      <c r="OV60" s="3">
        <f ca="1">IFERROR(__xludf.DUMMYFUNCTION("""COMPUTED_VALUE"""),0.106351886796228)</f>
        <v>0.10635188679622801</v>
      </c>
      <c r="OW60" s="3">
        <f ca="1">IFERROR(__xludf.DUMMYFUNCTION("""COMPUTED_VALUE"""),0.0781644229262938)</f>
        <v>7.8164422926293803E-2</v>
      </c>
      <c r="OX60" s="3">
        <f ca="1">IFERROR(__xludf.DUMMYFUNCTION("""COMPUTED_VALUE"""),-0.055305294716794)</f>
        <v>-5.5305294716793997E-2</v>
      </c>
      <c r="OY60" s="3">
        <f ca="1">IFERROR(__xludf.DUMMYFUNCTION("""COMPUTED_VALUE"""),-0.0611767281643664)</f>
        <v>-6.1176728164366402E-2</v>
      </c>
      <c r="OZ60" s="3">
        <f ca="1">IFERROR(__xludf.DUMMYFUNCTION("""COMPUTED_VALUE"""),-0.0670927667146522)</f>
        <v>-6.7092766714652197E-2</v>
      </c>
      <c r="PA60" s="3">
        <f ca="1">IFERROR(__xludf.DUMMYFUNCTION("""COMPUTED_VALUE"""),-0.0409542283515648)</f>
        <v>-4.09542283515648E-2</v>
      </c>
      <c r="PB60" s="3">
        <f ca="1">IFERROR(__xludf.DUMMYFUNCTION("""COMPUTED_VALUE"""),-0.0741384447785701)</f>
        <v>-7.4138444778570095E-2</v>
      </c>
      <c r="PC60" s="3">
        <f ca="1">IFERROR(__xludf.DUMMYFUNCTION("""COMPUTED_VALUE"""),-0.00887853432053753)</f>
        <v>-8.8785343205375292E-3</v>
      </c>
      <c r="PD60" s="3">
        <f ca="1">IFERROR(__xludf.DUMMYFUNCTION("""COMPUTED_VALUE"""),-0.000759825456976281)</f>
        <v>-7.5982545697628103E-4</v>
      </c>
      <c r="PE60" s="3">
        <f ca="1">IFERROR(__xludf.DUMMYFUNCTION("""COMPUTED_VALUE"""),-0.00483457664011544)</f>
        <v>-4.83457664011544E-3</v>
      </c>
      <c r="PF60" s="3">
        <f ca="1">IFERROR(__xludf.DUMMYFUNCTION("""COMPUTED_VALUE"""),-0.0889466088788838)</f>
        <v>-8.8946608878883796E-2</v>
      </c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</row>
    <row r="61" spans="1:594" ht="13">
      <c r="A61" s="1" t="str">
        <f ca="1">IFERROR(__xludf.DUMMYFUNCTION("""COMPUTED_VALUE"""),"Perpignan")</f>
        <v>Perpignan</v>
      </c>
      <c r="B61" s="3">
        <f ca="1">IFERROR(__xludf.DUMMYFUNCTION("""COMPUTED_VALUE"""),-0.213192826968999)</f>
        <v>-0.21319282696899899</v>
      </c>
      <c r="C61" s="3">
        <f ca="1">IFERROR(__xludf.DUMMYFUNCTION("""COMPUTED_VALUE"""),-0.357630533175654)</f>
        <v>-0.35763053317565402</v>
      </c>
      <c r="D61" s="3">
        <f ca="1">IFERROR(__xludf.DUMMYFUNCTION("""COMPUTED_VALUE"""),-0.234111569310157)</f>
        <v>-0.234111569310157</v>
      </c>
      <c r="E61" s="3">
        <f ca="1">IFERROR(__xludf.DUMMYFUNCTION("""COMPUTED_VALUE"""),-0.238649275300992)</f>
        <v>-0.238649275300992</v>
      </c>
      <c r="F61" s="3">
        <f ca="1">IFERROR(__xludf.DUMMYFUNCTION("""COMPUTED_VALUE"""),-0.194187768382057)</f>
        <v>-0.19418776838205701</v>
      </c>
      <c r="G61" s="3">
        <f ca="1">IFERROR(__xludf.DUMMYFUNCTION("""COMPUTED_VALUE"""),-0.451567086420806)</f>
        <v>-0.45156708642080601</v>
      </c>
      <c r="H61" s="3">
        <f ca="1">IFERROR(__xludf.DUMMYFUNCTION("""COMPUTED_VALUE"""),-0.0607048930611188)</f>
        <v>-6.07048930611188E-2</v>
      </c>
      <c r="I61" s="3">
        <f ca="1">IFERROR(__xludf.DUMMYFUNCTION("""COMPUTED_VALUE"""),0.0408333088534942)</f>
        <v>4.0833308853494198E-2</v>
      </c>
      <c r="J61" s="3">
        <f ca="1">IFERROR(__xludf.DUMMYFUNCTION("""COMPUTED_VALUE"""),0.128023604270505)</f>
        <v>0.12802360427050499</v>
      </c>
      <c r="K61" s="3">
        <f ca="1">IFERROR(__xludf.DUMMYFUNCTION("""COMPUTED_VALUE"""),0.118871252980088)</f>
        <v>0.11887125298008799</v>
      </c>
      <c r="L61" s="3">
        <f ca="1">IFERROR(__xludf.DUMMYFUNCTION("""COMPUTED_VALUE"""),0.0702742426943017)</f>
        <v>7.02742426943017E-2</v>
      </c>
      <c r="M61" s="3">
        <f ca="1">IFERROR(__xludf.DUMMYFUNCTION("""COMPUTED_VALUE"""),0.185760782375836)</f>
        <v>0.18576078237583599</v>
      </c>
      <c r="N61" s="3">
        <f ca="1">IFERROR(__xludf.DUMMYFUNCTION("""COMPUTED_VALUE"""),0.135186543727448)</f>
        <v>0.13518654372744801</v>
      </c>
      <c r="O61" s="3">
        <f ca="1">IFERROR(__xludf.DUMMYFUNCTION("""COMPUTED_VALUE"""),0.16924901104198)</f>
        <v>0.16924901104198001</v>
      </c>
      <c r="P61" s="3">
        <f ca="1">IFERROR(__xludf.DUMMYFUNCTION("""COMPUTED_VALUE"""),0.0229663540065452)</f>
        <v>2.29663540065452E-2</v>
      </c>
      <c r="Q61" s="3">
        <f ca="1">IFERROR(__xludf.DUMMYFUNCTION("""COMPUTED_VALUE"""),0.0281969875831318)</f>
        <v>2.81969875831318E-2</v>
      </c>
      <c r="R61" s="3">
        <f ca="1">IFERROR(__xludf.DUMMYFUNCTION("""COMPUTED_VALUE"""),-0.00723580900828124)</f>
        <v>-7.2358090082812396E-3</v>
      </c>
      <c r="S61" s="3">
        <f ca="1">IFERROR(__xludf.DUMMYFUNCTION("""COMPUTED_VALUE"""),0.133596076989313)</f>
        <v>0.133596076989313</v>
      </c>
      <c r="T61" s="3">
        <f ca="1">IFERROR(__xludf.DUMMYFUNCTION("""COMPUTED_VALUE"""),0.0905052017620522)</f>
        <v>9.0505201762052206E-2</v>
      </c>
      <c r="U61" s="3">
        <f ca="1">IFERROR(__xludf.DUMMYFUNCTION("""COMPUTED_VALUE"""),0.135036697901504)</f>
        <v>0.13503669790150399</v>
      </c>
      <c r="V61" s="3">
        <f ca="1">IFERROR(__xludf.DUMMYFUNCTION("""COMPUTED_VALUE"""),0.199612658374911)</f>
        <v>0.19961265837491099</v>
      </c>
      <c r="W61" s="3">
        <f ca="1">IFERROR(__xludf.DUMMYFUNCTION("""COMPUTED_VALUE"""),0.0270052585680014)</f>
        <v>2.70052585680014E-2</v>
      </c>
      <c r="X61" s="3">
        <f ca="1">IFERROR(__xludf.DUMMYFUNCTION("""COMPUTED_VALUE"""),0.0349007084398251)</f>
        <v>3.4900708439825102E-2</v>
      </c>
      <c r="Y61" s="3">
        <f ca="1">IFERROR(__xludf.DUMMYFUNCTION("""COMPUTED_VALUE"""),-0.0726950260533897)</f>
        <v>-7.2695026053389705E-2</v>
      </c>
      <c r="Z61" s="3">
        <f ca="1">IFERROR(__xludf.DUMMYFUNCTION("""COMPUTED_VALUE"""),0.0658623287914428)</f>
        <v>6.5862328791442798E-2</v>
      </c>
      <c r="AA61" s="3">
        <f ca="1">IFERROR(__xludf.DUMMYFUNCTION("""COMPUTED_VALUE"""),0.00571845382035629)</f>
        <v>5.7184538203562899E-3</v>
      </c>
      <c r="AB61" s="3">
        <f ca="1">IFERROR(__xludf.DUMMYFUNCTION("""COMPUTED_VALUE"""),0.159561098831212)</f>
        <v>0.159561098831212</v>
      </c>
      <c r="AC61" s="3">
        <f ca="1">IFERROR(__xludf.DUMMYFUNCTION("""COMPUTED_VALUE"""),0.198843688661124)</f>
        <v>0.19884368866112401</v>
      </c>
      <c r="AD61" s="3">
        <f ca="1">IFERROR(__xludf.DUMMYFUNCTION("""COMPUTED_VALUE"""),0.22304441276063)</f>
        <v>0.22304441276063</v>
      </c>
      <c r="AE61" s="3">
        <f ca="1">IFERROR(__xludf.DUMMYFUNCTION("""COMPUTED_VALUE"""),0.0041959946559964)</f>
        <v>4.1959946559964002E-3</v>
      </c>
      <c r="AF61" s="3">
        <f ca="1">IFERROR(__xludf.DUMMYFUNCTION("""COMPUTED_VALUE"""),0.0293602783332276)</f>
        <v>2.9360278333227598E-2</v>
      </c>
      <c r="AG61" s="3">
        <f ca="1">IFERROR(__xludf.DUMMYFUNCTION("""COMPUTED_VALUE"""),0.133386936004355)</f>
        <v>0.133386936004355</v>
      </c>
      <c r="AH61" s="3">
        <f ca="1">IFERROR(__xludf.DUMMYFUNCTION("""COMPUTED_VALUE"""),0.102576184749789)</f>
        <v>0.102576184749789</v>
      </c>
      <c r="AI61" s="3">
        <f ca="1">IFERROR(__xludf.DUMMYFUNCTION("""COMPUTED_VALUE"""),0.213678874045472)</f>
        <v>0.21367887404547201</v>
      </c>
      <c r="AJ61" s="3">
        <f ca="1">IFERROR(__xludf.DUMMYFUNCTION("""COMPUTED_VALUE"""),0.164031125239133)</f>
        <v>0.16403112523913299</v>
      </c>
      <c r="AK61" s="3">
        <f ca="1">IFERROR(__xludf.DUMMYFUNCTION("""COMPUTED_VALUE"""),0.286606807472098)</f>
        <v>0.28660680747209799</v>
      </c>
      <c r="AL61" s="3">
        <f ca="1">IFERROR(__xludf.DUMMYFUNCTION("""COMPUTED_VALUE"""),0.3104217792408)</f>
        <v>0.3104217792408</v>
      </c>
      <c r="AM61" s="3">
        <f ca="1">IFERROR(__xludf.DUMMYFUNCTION("""COMPUTED_VALUE"""),0.12055978798904)</f>
        <v>0.12055978798904</v>
      </c>
      <c r="AN61" s="3">
        <f ca="1">IFERROR(__xludf.DUMMYFUNCTION("""COMPUTED_VALUE"""),0.162749060152538)</f>
        <v>0.16274906015253801</v>
      </c>
      <c r="AO61" s="3">
        <f ca="1">IFERROR(__xludf.DUMMYFUNCTION("""COMPUTED_VALUE"""),0.179369181410355)</f>
        <v>0.17936918141035499</v>
      </c>
      <c r="AP61" s="3">
        <f ca="1">IFERROR(__xludf.DUMMYFUNCTION("""COMPUTED_VALUE"""),0.253277635243093)</f>
        <v>0.25327763524309299</v>
      </c>
      <c r="AQ61" s="3">
        <f ca="1">IFERROR(__xludf.DUMMYFUNCTION("""COMPUTED_VALUE"""),0.100739948001027)</f>
        <v>0.10073994800102699</v>
      </c>
      <c r="AR61" s="3">
        <f ca="1">IFERROR(__xludf.DUMMYFUNCTION("""COMPUTED_VALUE"""),0.19621097338121)</f>
        <v>0.19621097338120999</v>
      </c>
      <c r="AS61" s="3">
        <f ca="1">IFERROR(__xludf.DUMMYFUNCTION("""COMPUTED_VALUE"""),-0.0177488437526064)</f>
        <v>-1.7748843752606401E-2</v>
      </c>
      <c r="AT61" s="3">
        <f ca="1">IFERROR(__xludf.DUMMYFUNCTION("""COMPUTED_VALUE"""),0.0477174501608368)</f>
        <v>4.7717450160836797E-2</v>
      </c>
      <c r="AU61" s="3">
        <f ca="1">IFERROR(__xludf.DUMMYFUNCTION("""COMPUTED_VALUE"""),0.027000373267173)</f>
        <v>2.7000373267173E-2</v>
      </c>
      <c r="AV61" s="3">
        <f ca="1">IFERROR(__xludf.DUMMYFUNCTION("""COMPUTED_VALUE"""),-0.100287781990364)</f>
        <v>-0.10028778199036401</v>
      </c>
      <c r="AW61" s="3">
        <f ca="1">IFERROR(__xludf.DUMMYFUNCTION("""COMPUTED_VALUE"""),-0.130349092116857)</f>
        <v>-0.130349092116857</v>
      </c>
      <c r="AX61" s="3">
        <f ca="1">IFERROR(__xludf.DUMMYFUNCTION("""COMPUTED_VALUE"""),0.0698602808625379)</f>
        <v>6.9860280862537899E-2</v>
      </c>
      <c r="AY61" s="3">
        <f ca="1">IFERROR(__xludf.DUMMYFUNCTION("""COMPUTED_VALUE"""),0.0181285737984258)</f>
        <v>1.81285737984258E-2</v>
      </c>
      <c r="AZ61" s="3">
        <f ca="1">IFERROR(__xludf.DUMMYFUNCTION("""COMPUTED_VALUE"""),-0.0203578500264974)</f>
        <v>-2.0357850026497398E-2</v>
      </c>
      <c r="BA61" s="3">
        <f ca="1">IFERROR(__xludf.DUMMYFUNCTION("""COMPUTED_VALUE"""),-0.0774251206350099)</f>
        <v>-7.7425120635009906E-2</v>
      </c>
      <c r="BB61" s="3">
        <f ca="1">IFERROR(__xludf.DUMMYFUNCTION("""COMPUTED_VALUE"""),0.0466279818120694)</f>
        <v>4.6627981812069397E-2</v>
      </c>
      <c r="BC61" s="3">
        <f ca="1">IFERROR(__xludf.DUMMYFUNCTION("""COMPUTED_VALUE"""),-0.0180767848353275)</f>
        <v>-1.80767848353275E-2</v>
      </c>
      <c r="BD61" s="3">
        <f ca="1">IFERROR(__xludf.DUMMYFUNCTION("""COMPUTED_VALUE"""),0.180596881774091)</f>
        <v>0.180596881774091</v>
      </c>
      <c r="BE61" s="3">
        <f ca="1">IFERROR(__xludf.DUMMYFUNCTION("""COMPUTED_VALUE"""),0.196230839690183)</f>
        <v>0.19623083969018301</v>
      </c>
      <c r="BF61" s="3">
        <f ca="1">IFERROR(__xludf.DUMMYFUNCTION("""COMPUTED_VALUE"""),0.178878150874353)</f>
        <v>0.17887815087435299</v>
      </c>
      <c r="BG61" s="3">
        <f ca="1">IFERROR(__xludf.DUMMYFUNCTION("""COMPUTED_VALUE"""),0.299637350548775)</f>
        <v>0.29963735054877499</v>
      </c>
      <c r="BH61" s="3">
        <f ca="1">IFERROR(__xludf.DUMMYFUNCTION("""COMPUTED_VALUE"""),-0.0401454558808925)</f>
        <v>-4.0145455880892501E-2</v>
      </c>
      <c r="BI61" s="3">
        <f ca="1">IFERROR(__xludf.DUMMYFUNCTION("""COMPUTED_VALUE"""),0.184658321131205)</f>
        <v>0.18465832113120501</v>
      </c>
      <c r="BJ61" s="3">
        <f ca="1">IFERROR(__xludf.DUMMYFUNCTION("""COMPUTED_VALUE"""),0.138929874007724)</f>
        <v>0.138929874007724</v>
      </c>
      <c r="BK61" s="3">
        <f ca="1">IFERROR(__xludf.DUMMYFUNCTION("""COMPUTED_VALUE"""),0.111353649461693)</f>
        <v>0.111353649461693</v>
      </c>
      <c r="BL61" s="3">
        <f ca="1">IFERROR(__xludf.DUMMYFUNCTION("""COMPUTED_VALUE"""),-0.00198428685629326)</f>
        <v>-1.9842868562932599E-3</v>
      </c>
      <c r="BM61" s="3">
        <f ca="1">IFERROR(__xludf.DUMMYFUNCTION("""COMPUTED_VALUE"""),0.0542170057871476)</f>
        <v>5.4217005787147603E-2</v>
      </c>
      <c r="BN61" s="3">
        <f ca="1">IFERROR(__xludf.DUMMYFUNCTION("""COMPUTED_VALUE"""),0.0094194133881944)</f>
        <v>9.4194133881944E-3</v>
      </c>
      <c r="BO61" s="3">
        <f ca="1">IFERROR(__xludf.DUMMYFUNCTION("""COMPUTED_VALUE"""),-0.105955983271823)</f>
        <v>-0.105955983271823</v>
      </c>
      <c r="BP61" s="3">
        <f ca="1">IFERROR(__xludf.DUMMYFUNCTION("""COMPUTED_VALUE"""),0.0262313465963528)</f>
        <v>2.62313465963528E-2</v>
      </c>
      <c r="BQ61" s="3">
        <f ca="1">IFERROR(__xludf.DUMMYFUNCTION("""COMPUTED_VALUE"""),-0.0557126743573744)</f>
        <v>-5.5712674357374398E-2</v>
      </c>
      <c r="BR61" s="3">
        <f ca="1">IFERROR(__xludf.DUMMYFUNCTION("""COMPUTED_VALUE"""),-0.0115723970110124)</f>
        <v>-1.1572397011012399E-2</v>
      </c>
      <c r="BS61" s="3">
        <f ca="1">IFERROR(__xludf.DUMMYFUNCTION("""COMPUTED_VALUE"""),0.0208422041737559)</f>
        <v>2.0842204173755902E-2</v>
      </c>
      <c r="BT61" s="3">
        <f ca="1">IFERROR(__xludf.DUMMYFUNCTION("""COMPUTED_VALUE"""),-0.0999854437041819)</f>
        <v>-9.9985443704181901E-2</v>
      </c>
      <c r="BU61" s="3">
        <f ca="1">IFERROR(__xludf.DUMMYFUNCTION("""COMPUTED_VALUE"""),-0.139794423735598)</f>
        <v>-0.139794423735598</v>
      </c>
      <c r="BV61" s="3">
        <f ca="1">IFERROR(__xludf.DUMMYFUNCTION("""COMPUTED_VALUE"""),0.196916385294623)</f>
        <v>0.19691638529462299</v>
      </c>
      <c r="BW61" s="3">
        <f ca="1">IFERROR(__xludf.DUMMYFUNCTION("""COMPUTED_VALUE"""),0.00337462047536196)</f>
        <v>3.3746204753619599E-3</v>
      </c>
      <c r="BX61" s="3">
        <f ca="1">IFERROR(__xludf.DUMMYFUNCTION("""COMPUTED_VALUE"""),0.0829998501759439)</f>
        <v>8.2999850175943898E-2</v>
      </c>
      <c r="BY61" s="3">
        <f ca="1">IFERROR(__xludf.DUMMYFUNCTION("""COMPUTED_VALUE"""),0.0608542091410078)</f>
        <v>6.0854209141007802E-2</v>
      </c>
      <c r="BZ61" s="3">
        <f ca="1">IFERROR(__xludf.DUMMYFUNCTION("""COMPUTED_VALUE"""),0.149885229617687)</f>
        <v>0.14988522961768699</v>
      </c>
      <c r="CA61" s="3">
        <f ca="1">IFERROR(__xludf.DUMMYFUNCTION("""COMPUTED_VALUE"""),0.0740908367156367)</f>
        <v>7.4090836715636696E-2</v>
      </c>
      <c r="CB61" s="3">
        <f ca="1">IFERROR(__xludf.DUMMYFUNCTION("""COMPUTED_VALUE"""),-0.0822791431827275)</f>
        <v>-8.2279143182727499E-2</v>
      </c>
      <c r="CC61" s="3">
        <f ca="1">IFERROR(__xludf.DUMMYFUNCTION("""COMPUTED_VALUE"""),0.336636671832992)</f>
        <v>0.33663667183299201</v>
      </c>
      <c r="CD61" s="3">
        <f ca="1">IFERROR(__xludf.DUMMYFUNCTION("""COMPUTED_VALUE"""),0.117223355532626)</f>
        <v>0.117223355532626</v>
      </c>
      <c r="CE61" s="3">
        <f ca="1">IFERROR(__xludf.DUMMYFUNCTION("""COMPUTED_VALUE"""),0.0217518428727805)</f>
        <v>2.1751842872780501E-2</v>
      </c>
      <c r="CF61" s="3">
        <f ca="1">IFERROR(__xludf.DUMMYFUNCTION("""COMPUTED_VALUE"""),0.0175084683994877)</f>
        <v>1.7508468399487699E-2</v>
      </c>
      <c r="CG61" s="3">
        <f ca="1">IFERROR(__xludf.DUMMYFUNCTION("""COMPUTED_VALUE"""),0.0450318530009861)</f>
        <v>4.5031853000986097E-2</v>
      </c>
      <c r="CH61" s="3">
        <f ca="1">IFERROR(__xludf.DUMMYFUNCTION("""COMPUTED_VALUE"""),-0.133066955958862)</f>
        <v>-0.133066955958862</v>
      </c>
      <c r="CI61" s="3">
        <f ca="1">IFERROR(__xludf.DUMMYFUNCTION("""COMPUTED_VALUE"""),-0.109942939391461)</f>
        <v>-0.10994293939146101</v>
      </c>
      <c r="CJ61" s="3">
        <f ca="1">IFERROR(__xludf.DUMMYFUNCTION("""COMPUTED_VALUE"""),0.295149597099436)</f>
        <v>0.295149597099436</v>
      </c>
      <c r="CK61" s="3">
        <f ca="1">IFERROR(__xludf.DUMMYFUNCTION("""COMPUTED_VALUE"""),0.0332550175733092)</f>
        <v>3.3255017573309197E-2</v>
      </c>
      <c r="CL61" s="3">
        <f ca="1">IFERROR(__xludf.DUMMYFUNCTION("""COMPUTED_VALUE"""),0.0171722910373899)</f>
        <v>1.7172291037389899E-2</v>
      </c>
      <c r="CM61" s="3">
        <f ca="1">IFERROR(__xludf.DUMMYFUNCTION("""COMPUTED_VALUE"""),0.0254009645100072)</f>
        <v>2.5400964510007201E-2</v>
      </c>
      <c r="CN61" s="3">
        <f ca="1">IFERROR(__xludf.DUMMYFUNCTION("""COMPUTED_VALUE"""),-0.11031268932845)</f>
        <v>-0.11031268932844999</v>
      </c>
      <c r="CO61" s="3">
        <f ca="1">IFERROR(__xludf.DUMMYFUNCTION("""COMPUTED_VALUE"""),-0.175304192903244)</f>
        <v>-0.175304192903244</v>
      </c>
      <c r="CP61" s="3">
        <f ca="1">IFERROR(__xludf.DUMMYFUNCTION("""COMPUTED_VALUE"""),0.0687488806547973)</f>
        <v>6.8748880654797298E-2</v>
      </c>
      <c r="CQ61" s="3">
        <f ca="1">IFERROR(__xludf.DUMMYFUNCTION("""COMPUTED_VALUE"""),0.0262560662315671)</f>
        <v>2.62560662315671E-2</v>
      </c>
      <c r="CR61" s="3">
        <f ca="1">IFERROR(__xludf.DUMMYFUNCTION("""COMPUTED_VALUE"""),0.184583990610932)</f>
        <v>0.184583990610932</v>
      </c>
      <c r="CS61" s="3">
        <f ca="1">IFERROR(__xludf.DUMMYFUNCTION("""COMPUTED_VALUE"""),0.0673601140447208)</f>
        <v>6.7360114044720795E-2</v>
      </c>
      <c r="CT61" s="3">
        <f ca="1">IFERROR(__xludf.DUMMYFUNCTION("""COMPUTED_VALUE"""),0.0690984985201734)</f>
        <v>6.9098498520173399E-2</v>
      </c>
      <c r="CU61" s="3">
        <f ca="1">IFERROR(__xludf.DUMMYFUNCTION("""COMPUTED_VALUE"""),-0.0775306068373414)</f>
        <v>-7.7530606837341406E-2</v>
      </c>
      <c r="CV61" s="3">
        <f ca="1">IFERROR(__xludf.DUMMYFUNCTION("""COMPUTED_VALUE"""),-0.265511895828649)</f>
        <v>-0.26551189582864898</v>
      </c>
      <c r="CW61" s="3">
        <f ca="1">IFERROR(__xludf.DUMMYFUNCTION("""COMPUTED_VALUE"""),-0.572565963204018)</f>
        <v>-0.57256596320401798</v>
      </c>
      <c r="CX61" s="3">
        <f ca="1">IFERROR(__xludf.DUMMYFUNCTION("""COMPUTED_VALUE"""),-0.0904821838034708)</f>
        <v>-9.0482183803470798E-2</v>
      </c>
      <c r="CY61" s="3">
        <f ca="1">IFERROR(__xludf.DUMMYFUNCTION("""COMPUTED_VALUE"""),0.339950673186669)</f>
        <v>0.33995067318666899</v>
      </c>
      <c r="CZ61" s="3">
        <f ca="1">IFERROR(__xludf.DUMMYFUNCTION("""COMPUTED_VALUE"""),-0.00509640589237514)</f>
        <v>-5.09640589237514E-3</v>
      </c>
      <c r="DA61" s="3">
        <f ca="1">IFERROR(__xludf.DUMMYFUNCTION("""COMPUTED_VALUE"""),-0.0878466222847365)</f>
        <v>-8.7846622284736497E-2</v>
      </c>
      <c r="DB61" s="3">
        <f ca="1">IFERROR(__xludf.DUMMYFUNCTION("""COMPUTED_VALUE"""),-0.0592981355386164)</f>
        <v>-5.9298135538616403E-2</v>
      </c>
      <c r="DC61" s="3">
        <f ca="1">IFERROR(__xludf.DUMMYFUNCTION("""COMPUTED_VALUE"""),-0.185458680569835)</f>
        <v>-0.185458680569835</v>
      </c>
      <c r="DD61" s="3">
        <f ca="1">IFERROR(__xludf.DUMMYFUNCTION("""COMPUTED_VALUE"""),-0.693764931358037)</f>
        <v>-0.69376493135803696</v>
      </c>
      <c r="DE61" s="3">
        <f ca="1">IFERROR(__xludf.DUMMYFUNCTION("""COMPUTED_VALUE"""),-0.311950235838409)</f>
        <v>-0.31195023583840897</v>
      </c>
      <c r="DF61" s="3">
        <f ca="1">IFERROR(__xludf.DUMMYFUNCTION("""COMPUTED_VALUE"""),0.399375854420757)</f>
        <v>0.39937585442075701</v>
      </c>
      <c r="DG61" s="3">
        <f ca="1">IFERROR(__xludf.DUMMYFUNCTION("""COMPUTED_VALUE"""),0.211495745573873)</f>
        <v>0.21149574557387299</v>
      </c>
      <c r="DH61" s="3">
        <f ca="1">IFERROR(__xludf.DUMMYFUNCTION("""COMPUTED_VALUE"""),0.141296966436746)</f>
        <v>0.141296966436746</v>
      </c>
      <c r="DI61" s="3">
        <f ca="1">IFERROR(__xludf.DUMMYFUNCTION("""COMPUTED_VALUE"""),0.054944478120978)</f>
        <v>5.4944478120978003E-2</v>
      </c>
      <c r="DJ61" s="3">
        <f ca="1">IFERROR(__xludf.DUMMYFUNCTION("""COMPUTED_VALUE"""),-0.019469537134836)</f>
        <v>-1.9469537134835999E-2</v>
      </c>
      <c r="DK61" s="3">
        <f ca="1">IFERROR(__xludf.DUMMYFUNCTION("""COMPUTED_VALUE"""),0.0922311170846057)</f>
        <v>9.2231117084605699E-2</v>
      </c>
      <c r="DL61" s="3">
        <f ca="1">IFERROR(__xludf.DUMMYFUNCTION("""COMPUTED_VALUE"""),0.0746138020059643)</f>
        <v>7.4613802005964305E-2</v>
      </c>
      <c r="DM61" s="3">
        <f ca="1">IFERROR(__xludf.DUMMYFUNCTION("""COMPUTED_VALUE"""),0.230846657620148)</f>
        <v>0.230846657620148</v>
      </c>
      <c r="DN61" s="3">
        <f ca="1">IFERROR(__xludf.DUMMYFUNCTION("""COMPUTED_VALUE"""),0.0951150498290145)</f>
        <v>9.5115049829014503E-2</v>
      </c>
      <c r="DO61" s="3">
        <f ca="1">IFERROR(__xludf.DUMMYFUNCTION("""COMPUTED_VALUE"""),-0.0259839679156727)</f>
        <v>-2.5983967915672701E-2</v>
      </c>
      <c r="DP61" s="3">
        <f ca="1">IFERROR(__xludf.DUMMYFUNCTION("""COMPUTED_VALUE"""),-0.113087310963332)</f>
        <v>-0.11308731096333199</v>
      </c>
      <c r="DQ61" s="3">
        <f ca="1">IFERROR(__xludf.DUMMYFUNCTION("""COMPUTED_VALUE"""),-0.12622188257411)</f>
        <v>-0.12622188257410999</v>
      </c>
      <c r="DR61" s="3">
        <f ca="1">IFERROR(__xludf.DUMMYFUNCTION("""COMPUTED_VALUE"""),-0.225738957012816)</f>
        <v>-0.22573895701281599</v>
      </c>
      <c r="DS61" s="3">
        <f ca="1">IFERROR(__xludf.DUMMYFUNCTION("""COMPUTED_VALUE"""),-0.0328914539762995)</f>
        <v>-3.2891453976299501E-2</v>
      </c>
      <c r="DT61" s="3">
        <f ca="1">IFERROR(__xludf.DUMMYFUNCTION("""COMPUTED_VALUE"""),-0.18716239892896)</f>
        <v>-0.18716239892896</v>
      </c>
      <c r="DU61" s="3">
        <f ca="1">IFERROR(__xludf.DUMMYFUNCTION("""COMPUTED_VALUE"""),-0.13597838999404)</f>
        <v>-0.13597838999403999</v>
      </c>
      <c r="DV61" s="3">
        <f ca="1">IFERROR(__xludf.DUMMYFUNCTION("""COMPUTED_VALUE"""),-0.0863642565573746)</f>
        <v>-8.6364256557374605E-2</v>
      </c>
      <c r="DW61" s="3">
        <f ca="1">IFERROR(__xludf.DUMMYFUNCTION("""COMPUTED_VALUE"""),-0.063481533752582)</f>
        <v>-6.3481533752582003E-2</v>
      </c>
      <c r="DX61" s="3">
        <f ca="1">IFERROR(__xludf.DUMMYFUNCTION("""COMPUTED_VALUE"""),-0.153808910811285)</f>
        <v>-0.153808910811285</v>
      </c>
      <c r="DY61" s="3">
        <f ca="1">IFERROR(__xludf.DUMMYFUNCTION("""COMPUTED_VALUE"""),-0.190103166141078)</f>
        <v>-0.190103166141078</v>
      </c>
      <c r="DZ61" s="3">
        <f ca="1">IFERROR(__xludf.DUMMYFUNCTION("""COMPUTED_VALUE"""),-0.0497846689203123)</f>
        <v>-4.9784668920312303E-2</v>
      </c>
      <c r="EA61" s="3">
        <f ca="1">IFERROR(__xludf.DUMMYFUNCTION("""COMPUTED_VALUE"""),-0.273321688891252)</f>
        <v>-0.27332168889125202</v>
      </c>
      <c r="EB61" s="3">
        <f ca="1">IFERROR(__xludf.DUMMYFUNCTION("""COMPUTED_VALUE"""),-0.209637752481454)</f>
        <v>-0.209637752481454</v>
      </c>
      <c r="EC61" s="3">
        <f ca="1">IFERROR(__xludf.DUMMYFUNCTION("""COMPUTED_VALUE"""),-0.132036553393793)</f>
        <v>-0.132036553393793</v>
      </c>
      <c r="ED61" s="3">
        <f ca="1">IFERROR(__xludf.DUMMYFUNCTION("""COMPUTED_VALUE"""),-0.157978108669001)</f>
        <v>-0.157978108669001</v>
      </c>
      <c r="EE61" s="3">
        <f ca="1">IFERROR(__xludf.DUMMYFUNCTION("""COMPUTED_VALUE"""),-0.379382602267812)</f>
        <v>-0.37938260226781201</v>
      </c>
      <c r="EF61" s="3">
        <f ca="1">IFERROR(__xludf.DUMMYFUNCTION("""COMPUTED_VALUE"""),-0.362024917141833)</f>
        <v>-0.36202491714183299</v>
      </c>
      <c r="EG61" s="3">
        <f ca="1">IFERROR(__xludf.DUMMYFUNCTION("""COMPUTED_VALUE"""),-0.161565215376926)</f>
        <v>-0.161565215376926</v>
      </c>
      <c r="EH61" s="3">
        <f ca="1">IFERROR(__xludf.DUMMYFUNCTION("""COMPUTED_VALUE"""),-0.318807349544635)</f>
        <v>-0.31880734954463502</v>
      </c>
      <c r="EI61" s="3">
        <f ca="1">IFERROR(__xludf.DUMMYFUNCTION("""COMPUTED_VALUE"""),-0.222526171351809)</f>
        <v>-0.22252617135180899</v>
      </c>
      <c r="EJ61" s="3">
        <f ca="1">IFERROR(__xludf.DUMMYFUNCTION("""COMPUTED_VALUE"""),-0.263518947361059)</f>
        <v>-0.26351894736105902</v>
      </c>
      <c r="EK61" s="3">
        <f ca="1">IFERROR(__xludf.DUMMYFUNCTION("""COMPUTED_VALUE"""),-0.384212520581013)</f>
        <v>-0.38421252058101302</v>
      </c>
      <c r="EL61" s="3">
        <f ca="1">IFERROR(__xludf.DUMMYFUNCTION("""COMPUTED_VALUE"""),-0.568809446114547)</f>
        <v>-0.56880944611454698</v>
      </c>
      <c r="EM61" s="3">
        <f ca="1">IFERROR(__xludf.DUMMYFUNCTION("""COMPUTED_VALUE"""),-0.32173737555445)</f>
        <v>-0.32173737555444998</v>
      </c>
      <c r="EN61" s="3">
        <f ca="1">IFERROR(__xludf.DUMMYFUNCTION("""COMPUTED_VALUE"""),-0.34384731801095)</f>
        <v>-0.34384731801094998</v>
      </c>
      <c r="EO61" s="3">
        <f ca="1">IFERROR(__xludf.DUMMYFUNCTION("""COMPUTED_VALUE"""),-0.41925955446274)</f>
        <v>-0.41925955446273999</v>
      </c>
      <c r="EP61" s="3">
        <f ca="1">IFERROR(__xludf.DUMMYFUNCTION("""COMPUTED_VALUE"""),-0.270762815497437)</f>
        <v>-0.27076281549743703</v>
      </c>
      <c r="EQ61" s="3">
        <f ca="1">IFERROR(__xludf.DUMMYFUNCTION("""COMPUTED_VALUE"""),-0.0950059411863241)</f>
        <v>-9.5005941186324105E-2</v>
      </c>
      <c r="ER61" s="3">
        <f ca="1">IFERROR(__xludf.DUMMYFUNCTION("""COMPUTED_VALUE"""),-0.343746190823118)</f>
        <v>-0.34374619082311803</v>
      </c>
      <c r="ES61" s="3">
        <f ca="1">IFERROR(__xludf.DUMMYFUNCTION("""COMPUTED_VALUE"""),-0.601343709875263)</f>
        <v>-0.60134370987526298</v>
      </c>
      <c r="ET61" s="3">
        <f ca="1">IFERROR(__xludf.DUMMYFUNCTION("""COMPUTED_VALUE"""),-0.40982615855057)</f>
        <v>-0.40982615855056997</v>
      </c>
      <c r="EU61" s="3">
        <f ca="1">IFERROR(__xludf.DUMMYFUNCTION("""COMPUTED_VALUE"""),-0.272060411176182)</f>
        <v>-0.27206041117618202</v>
      </c>
      <c r="EV61" s="3">
        <f ca="1">IFERROR(__xludf.DUMMYFUNCTION("""COMPUTED_VALUE"""),-0.745978182366998)</f>
        <v>-0.74597818236699798</v>
      </c>
      <c r="EW61" s="3">
        <f ca="1">IFERROR(__xludf.DUMMYFUNCTION("""COMPUTED_VALUE"""),-0.256947105153582)</f>
        <v>-0.25694710515358199</v>
      </c>
      <c r="EX61" s="3">
        <f ca="1">IFERROR(__xludf.DUMMYFUNCTION("""COMPUTED_VALUE"""),-0.03385331619007)</f>
        <v>-3.3853316190070003E-2</v>
      </c>
      <c r="EY61" s="3">
        <f ca="1">IFERROR(__xludf.DUMMYFUNCTION("""COMPUTED_VALUE"""),-0.412028130627591)</f>
        <v>-0.41202813062759103</v>
      </c>
      <c r="EZ61" s="3">
        <f ca="1">IFERROR(__xludf.DUMMYFUNCTION("""COMPUTED_VALUE"""),-0.652029403222515)</f>
        <v>-0.65202940322251501</v>
      </c>
      <c r="FA61" s="3">
        <f ca="1">IFERROR(__xludf.DUMMYFUNCTION("""COMPUTED_VALUE"""),-0.177796250798237)</f>
        <v>-0.17779625079823699</v>
      </c>
      <c r="FB61" s="3">
        <f ca="1">IFERROR(__xludf.DUMMYFUNCTION("""COMPUTED_VALUE"""),-0.205040063806969)</f>
        <v>-0.20504006380696899</v>
      </c>
      <c r="FC61" s="3">
        <f ca="1">IFERROR(__xludf.DUMMYFUNCTION("""COMPUTED_VALUE"""),-0.314182147056552)</f>
        <v>-0.31418214705655201</v>
      </c>
      <c r="FD61" s="3">
        <f ca="1">IFERROR(__xludf.DUMMYFUNCTION("""COMPUTED_VALUE"""),-0.190091521326927)</f>
        <v>-0.190091521326927</v>
      </c>
      <c r="FE61" s="3">
        <f ca="1">IFERROR(__xludf.DUMMYFUNCTION("""COMPUTED_VALUE"""),0.0803008591766243)</f>
        <v>8.0300859176624301E-2</v>
      </c>
      <c r="FF61" s="3">
        <f ca="1">IFERROR(__xludf.DUMMYFUNCTION("""COMPUTED_VALUE"""),-0.330609925961129)</f>
        <v>-0.33060992596112898</v>
      </c>
      <c r="FG61" s="3">
        <f ca="1">IFERROR(__xludf.DUMMYFUNCTION("""COMPUTED_VALUE"""),-0.667958208971849)</f>
        <v>-0.66795820897184899</v>
      </c>
      <c r="FH61" s="3">
        <f ca="1">IFERROR(__xludf.DUMMYFUNCTION("""COMPUTED_VALUE"""),-0.58915469922449)</f>
        <v>-0.58915469922449004</v>
      </c>
      <c r="FI61" s="3">
        <f ca="1">IFERROR(__xludf.DUMMYFUNCTION("""COMPUTED_VALUE"""),0.115938931261768)</f>
        <v>0.11593893126176801</v>
      </c>
      <c r="FJ61" s="3">
        <f ca="1">IFERROR(__xludf.DUMMYFUNCTION("""COMPUTED_VALUE"""),0.00224706881328762)</f>
        <v>2.24706881328762E-3</v>
      </c>
      <c r="FK61" s="3">
        <f ca="1">IFERROR(__xludf.DUMMYFUNCTION("""COMPUTED_VALUE"""),0.0238245201971125)</f>
        <v>2.3824520197112498E-2</v>
      </c>
      <c r="FL61" s="3">
        <f ca="1">IFERROR(__xludf.DUMMYFUNCTION("""COMPUTED_VALUE"""),-0.0987003280257248)</f>
        <v>-9.8700328025724801E-2</v>
      </c>
      <c r="FM61" s="3">
        <f ca="1">IFERROR(__xludf.DUMMYFUNCTION("""COMPUTED_VALUE"""),0.01114256149137)</f>
        <v>1.1142561491370001E-2</v>
      </c>
      <c r="FN61" s="3">
        <f ca="1">IFERROR(__xludf.DUMMYFUNCTION("""COMPUTED_VALUE"""),-0.0155701004536717)</f>
        <v>-1.5570100453671701E-2</v>
      </c>
      <c r="FO61" s="3">
        <f ca="1">IFERROR(__xludf.DUMMYFUNCTION("""COMPUTED_VALUE"""),0.11367728267952)</f>
        <v>0.11367728267952</v>
      </c>
      <c r="FP61" s="3">
        <f ca="1">IFERROR(__xludf.DUMMYFUNCTION("""COMPUTED_VALUE"""),-0.00784916361317245)</f>
        <v>-7.8491636131724496E-3</v>
      </c>
      <c r="FQ61" s="3">
        <f ca="1">IFERROR(__xludf.DUMMYFUNCTION("""COMPUTED_VALUE"""),0.0707516654050208)</f>
        <v>7.07516654050208E-2</v>
      </c>
      <c r="FR61" s="3">
        <f ca="1">IFERROR(__xludf.DUMMYFUNCTION("""COMPUTED_VALUE"""),0.263592044116588)</f>
        <v>0.26359204411658799</v>
      </c>
      <c r="FS61" s="3">
        <f ca="1">IFERROR(__xludf.DUMMYFUNCTION("""COMPUTED_VALUE"""),0.209725746581909)</f>
        <v>0.20972574658190901</v>
      </c>
      <c r="FT61" s="3">
        <f ca="1">IFERROR(__xludf.DUMMYFUNCTION("""COMPUTED_VALUE"""),0.0946160070109585)</f>
        <v>9.46160070109585E-2</v>
      </c>
      <c r="FU61" s="3">
        <f ca="1">IFERROR(__xludf.DUMMYFUNCTION("""COMPUTED_VALUE"""),-0.00859315568229124)</f>
        <v>-8.5931556822912408E-3</v>
      </c>
      <c r="FV61" s="3">
        <f ca="1">IFERROR(__xludf.DUMMYFUNCTION("""COMPUTED_VALUE"""),0.167313150586071)</f>
        <v>0.16731315058607099</v>
      </c>
      <c r="FW61" s="3">
        <f ca="1">IFERROR(__xludf.DUMMYFUNCTION("""COMPUTED_VALUE"""),0.0934259035260873)</f>
        <v>9.3425903526087303E-2</v>
      </c>
      <c r="FX61" s="3">
        <f ca="1">IFERROR(__xludf.DUMMYFUNCTION("""COMPUTED_VALUE"""),0.175206228608597)</f>
        <v>0.175206228608597</v>
      </c>
      <c r="FY61" s="3">
        <f ca="1">IFERROR(__xludf.DUMMYFUNCTION("""COMPUTED_VALUE"""),0.137873304195919)</f>
        <v>0.13787330419591901</v>
      </c>
      <c r="FZ61" s="3">
        <f ca="1">IFERROR(__xludf.DUMMYFUNCTION("""COMPUTED_VALUE"""),0.185054467586889)</f>
        <v>0.18505446758688901</v>
      </c>
      <c r="GA61" s="3">
        <f ca="1">IFERROR(__xludf.DUMMYFUNCTION("""COMPUTED_VALUE"""),-0.0863872554187225)</f>
        <v>-8.6387255418722497E-2</v>
      </c>
      <c r="GB61" s="3">
        <f ca="1">IFERROR(__xludf.DUMMYFUNCTION("""COMPUTED_VALUE"""),0.00499381945703936)</f>
        <v>4.9938194570393604E-3</v>
      </c>
      <c r="GC61" s="3">
        <f ca="1">IFERROR(__xludf.DUMMYFUNCTION("""COMPUTED_VALUE"""),0.0908309705606458)</f>
        <v>9.0830970560645805E-2</v>
      </c>
      <c r="GD61" s="3">
        <f ca="1">IFERROR(__xludf.DUMMYFUNCTION("""COMPUTED_VALUE"""),0.149240598865317)</f>
        <v>0.14924059886531699</v>
      </c>
      <c r="GE61" s="3">
        <f ca="1">IFERROR(__xludf.DUMMYFUNCTION("""COMPUTED_VALUE"""),0.127229335497955)</f>
        <v>0.12722933549795501</v>
      </c>
      <c r="GF61" s="3">
        <f ca="1">IFERROR(__xludf.DUMMYFUNCTION("""COMPUTED_VALUE"""),0.0634637128001658)</f>
        <v>6.34637128001658E-2</v>
      </c>
      <c r="GG61" s="3">
        <f ca="1">IFERROR(__xludf.DUMMYFUNCTION("""COMPUTED_VALUE"""),0.150770092818385)</f>
        <v>0.15077009281838499</v>
      </c>
      <c r="GH61" s="3">
        <f ca="1">IFERROR(__xludf.DUMMYFUNCTION("""COMPUTED_VALUE"""),-0.052293319794189)</f>
        <v>-5.2293319794188997E-2</v>
      </c>
      <c r="GI61" s="3">
        <f ca="1">IFERROR(__xludf.DUMMYFUNCTION("""COMPUTED_VALUE"""),0.0352237687820793)</f>
        <v>3.52237687820793E-2</v>
      </c>
      <c r="GJ61" s="3">
        <f ca="1">IFERROR(__xludf.DUMMYFUNCTION("""COMPUTED_VALUE"""),0.0486400776926383)</f>
        <v>4.8640077692638298E-2</v>
      </c>
      <c r="GK61" s="3">
        <f ca="1">IFERROR(__xludf.DUMMYFUNCTION("""COMPUTED_VALUE"""),0.063833740434136)</f>
        <v>6.3833740434136005E-2</v>
      </c>
      <c r="GL61" s="3">
        <f ca="1">IFERROR(__xludf.DUMMYFUNCTION("""COMPUTED_VALUE"""),0.114078301190088)</f>
        <v>0.11407830119008799</v>
      </c>
      <c r="GM61" s="3">
        <f ca="1">IFERROR(__xludf.DUMMYFUNCTION("""COMPUTED_VALUE"""),0.124140847314089)</f>
        <v>0.124140847314089</v>
      </c>
      <c r="GN61" s="3">
        <f ca="1">IFERROR(__xludf.DUMMYFUNCTION("""COMPUTED_VALUE"""),0.0607854210453546)</f>
        <v>6.0785421045354601E-2</v>
      </c>
      <c r="GO61" s="3">
        <f ca="1">IFERROR(__xludf.DUMMYFUNCTION("""COMPUTED_VALUE"""),-0.0934211185877642)</f>
        <v>-9.3421118587764196E-2</v>
      </c>
      <c r="GP61" s="3">
        <f ca="1">IFERROR(__xludf.DUMMYFUNCTION("""COMPUTED_VALUE"""),0.134232071627672)</f>
        <v>0.13423207162767201</v>
      </c>
      <c r="GQ61" s="3">
        <f ca="1">IFERROR(__xludf.DUMMYFUNCTION("""COMPUTED_VALUE"""),0.0928913673881914)</f>
        <v>9.2891367388191398E-2</v>
      </c>
      <c r="GR61" s="3">
        <f ca="1">IFERROR(__xludf.DUMMYFUNCTION("""COMPUTED_VALUE"""),0.0959918281913487)</f>
        <v>9.5991828191348702E-2</v>
      </c>
      <c r="GS61" s="3">
        <f ca="1">IFERROR(__xludf.DUMMYFUNCTION("""COMPUTED_VALUE"""),0.0959428504541852)</f>
        <v>9.59428504541852E-2</v>
      </c>
      <c r="GT61" s="3">
        <f ca="1">IFERROR(__xludf.DUMMYFUNCTION("""COMPUTED_VALUE"""),0.188394350063751)</f>
        <v>0.18839435006375099</v>
      </c>
      <c r="GU61" s="3">
        <f ca="1">IFERROR(__xludf.DUMMYFUNCTION("""COMPUTED_VALUE"""),0.132875237073456)</f>
        <v>0.132875237073456</v>
      </c>
      <c r="GV61" s="3">
        <f ca="1">IFERROR(__xludf.DUMMYFUNCTION("""COMPUTED_VALUE"""),0.12512978070079)</f>
        <v>0.12512978070079001</v>
      </c>
      <c r="GW61" s="3">
        <f ca="1">IFERROR(__xludf.DUMMYFUNCTION("""COMPUTED_VALUE"""),0.129197233574056)</f>
        <v>0.12919723357405599</v>
      </c>
      <c r="GX61" s="3">
        <f ca="1">IFERROR(__xludf.DUMMYFUNCTION("""COMPUTED_VALUE"""),0.0963080466455268)</f>
        <v>9.6308046645526807E-2</v>
      </c>
      <c r="GY61" s="3">
        <f ca="1">IFERROR(__xludf.DUMMYFUNCTION("""COMPUTED_VALUE"""),0.229733422199066)</f>
        <v>0.22973342219906601</v>
      </c>
      <c r="GZ61" s="3">
        <f ca="1">IFERROR(__xludf.DUMMYFUNCTION("""COMPUTED_VALUE"""),0.130800488591705)</f>
        <v>0.13080048859170501</v>
      </c>
      <c r="HA61" s="3">
        <f ca="1">IFERROR(__xludf.DUMMYFUNCTION("""COMPUTED_VALUE"""),0.175984753636472)</f>
        <v>0.17598475363647201</v>
      </c>
      <c r="HB61" s="3">
        <f ca="1">IFERROR(__xludf.DUMMYFUNCTION("""COMPUTED_VALUE"""),0.055483814992189)</f>
        <v>5.5483814992188997E-2</v>
      </c>
      <c r="HC61" s="3">
        <f ca="1">IFERROR(__xludf.DUMMYFUNCTION("""COMPUTED_VALUE"""),-0.00395033639676789)</f>
        <v>-3.9503363967678898E-3</v>
      </c>
      <c r="HD61" s="3">
        <f ca="1">IFERROR(__xludf.DUMMYFUNCTION("""COMPUTED_VALUE"""),0.148114934836563)</f>
        <v>0.14811493483656299</v>
      </c>
      <c r="HE61" s="3">
        <f ca="1">IFERROR(__xludf.DUMMYFUNCTION("""COMPUTED_VALUE"""),0.168513894209047)</f>
        <v>0.168513894209047</v>
      </c>
      <c r="HF61" s="3">
        <f ca="1">IFERROR(__xludf.DUMMYFUNCTION("""COMPUTED_VALUE"""),0.151105895150124)</f>
        <v>0.15110589515012399</v>
      </c>
      <c r="HG61" s="3">
        <f ca="1">IFERROR(__xludf.DUMMYFUNCTION("""COMPUTED_VALUE"""),0.00700360937520994)</f>
        <v>7.0036093752099404E-3</v>
      </c>
      <c r="HH61" s="3">
        <f ca="1">IFERROR(__xludf.DUMMYFUNCTION("""COMPUTED_VALUE"""),0.0983766077980052)</f>
        <v>9.8376607798005195E-2</v>
      </c>
      <c r="HI61" s="3">
        <f ca="1">IFERROR(__xludf.DUMMYFUNCTION("""COMPUTED_VALUE"""),0.183188593836168)</f>
        <v>0.18318859383616801</v>
      </c>
      <c r="HJ61" s="3">
        <f ca="1">IFERROR(__xludf.DUMMYFUNCTION("""COMPUTED_VALUE"""),0.00565023648847651)</f>
        <v>5.6502364884765104E-3</v>
      </c>
      <c r="HK61" s="3">
        <f ca="1">IFERROR(__xludf.DUMMYFUNCTION("""COMPUTED_VALUE"""),0.0547000013129574)</f>
        <v>5.4700001312957401E-2</v>
      </c>
      <c r="HL61" s="3">
        <f ca="1">IFERROR(__xludf.DUMMYFUNCTION("""COMPUTED_VALUE"""),0.316997814105144)</f>
        <v>0.31699781410514399</v>
      </c>
      <c r="HM61" s="3">
        <f ca="1">IFERROR(__xludf.DUMMYFUNCTION("""COMPUTED_VALUE"""),0.338890952384628)</f>
        <v>0.33889095238462802</v>
      </c>
      <c r="HN61" s="3">
        <f ca="1">IFERROR(__xludf.DUMMYFUNCTION("""COMPUTED_VALUE"""),0.219024620271607)</f>
        <v>0.21902462027160699</v>
      </c>
      <c r="HO61" s="3">
        <f ca="1">IFERROR(__xludf.DUMMYFUNCTION("""COMPUTED_VALUE"""),0.256337988806351)</f>
        <v>0.256337988806351</v>
      </c>
      <c r="HP61" s="3">
        <f ca="1">IFERROR(__xludf.DUMMYFUNCTION("""COMPUTED_VALUE"""),0.0837091911465799)</f>
        <v>8.3709191146579903E-2</v>
      </c>
      <c r="HQ61" s="3">
        <f ca="1">IFERROR(__xludf.DUMMYFUNCTION("""COMPUTED_VALUE"""),-0.0122422622866776)</f>
        <v>-1.22422622866776E-2</v>
      </c>
      <c r="HR61" s="3">
        <f ca="1">IFERROR(__xludf.DUMMYFUNCTION("""COMPUTED_VALUE"""),-0.0816981092777017)</f>
        <v>-8.16981092777017E-2</v>
      </c>
      <c r="HS61" s="3">
        <f ca="1">IFERROR(__xludf.DUMMYFUNCTION("""COMPUTED_VALUE"""),-0.117095531752285)</f>
        <v>-0.117095531752285</v>
      </c>
      <c r="HT61" s="3">
        <f ca="1">IFERROR(__xludf.DUMMYFUNCTION("""COMPUTED_VALUE"""),0.0196897525232739)</f>
        <v>1.9689752523273901E-2</v>
      </c>
      <c r="HU61" s="3">
        <f ca="1">IFERROR(__xludf.DUMMYFUNCTION("""COMPUTED_VALUE"""),-0.144829367374019)</f>
        <v>-0.144829367374019</v>
      </c>
      <c r="HV61" s="3">
        <f ca="1">IFERROR(__xludf.DUMMYFUNCTION("""COMPUTED_VALUE"""),-0.102520967315105)</f>
        <v>-0.102520967315105</v>
      </c>
      <c r="HW61" s="3">
        <f ca="1">IFERROR(__xludf.DUMMYFUNCTION("""COMPUTED_VALUE"""),-0.0598119188739276)</f>
        <v>-5.9811918873927603E-2</v>
      </c>
      <c r="HX61" s="3">
        <f ca="1">IFERROR(__xludf.DUMMYFUNCTION("""COMPUTED_VALUE"""),-0.0487776209278288)</f>
        <v>-4.8777620927828801E-2</v>
      </c>
      <c r="HY61" s="3">
        <f ca="1">IFERROR(__xludf.DUMMYFUNCTION("""COMPUTED_VALUE"""),0.0392005540696585)</f>
        <v>3.92005540696585E-2</v>
      </c>
      <c r="HZ61" s="3">
        <f ca="1">IFERROR(__xludf.DUMMYFUNCTION("""COMPUTED_VALUE"""),0.00603381071652409)</f>
        <v>6.0338107165240898E-3</v>
      </c>
      <c r="IA61" s="3">
        <f ca="1">IFERROR(__xludf.DUMMYFUNCTION("""COMPUTED_VALUE"""),0.155820760477744)</f>
        <v>0.15582076047774401</v>
      </c>
      <c r="IB61" s="3">
        <f ca="1">IFERROR(__xludf.DUMMYFUNCTION("""COMPUTED_VALUE"""),0.162737251126656)</f>
        <v>0.16273725112665599</v>
      </c>
      <c r="IC61" s="3">
        <f ca="1">IFERROR(__xludf.DUMMYFUNCTION("""COMPUTED_VALUE"""),0.132304997432219)</f>
        <v>0.13230499743221899</v>
      </c>
      <c r="ID61" s="3">
        <f ca="1">IFERROR(__xludf.DUMMYFUNCTION("""COMPUTED_VALUE"""),0.177449375082964)</f>
        <v>0.17744937508296399</v>
      </c>
      <c r="IE61" s="3">
        <f ca="1">IFERROR(__xludf.DUMMYFUNCTION("""COMPUTED_VALUE"""),-0.0517700160202289)</f>
        <v>-5.1770016020228897E-2</v>
      </c>
      <c r="IF61" s="3">
        <f ca="1">IFERROR(__xludf.DUMMYFUNCTION("""COMPUTED_VALUE"""),0.0194022130602771)</f>
        <v>1.9402213060277101E-2</v>
      </c>
      <c r="IG61" s="3">
        <f ca="1">IFERROR(__xludf.DUMMYFUNCTION("""COMPUTED_VALUE"""),0.150384004851891)</f>
        <v>0.15038400485189099</v>
      </c>
      <c r="IH61" s="3">
        <f ca="1">IFERROR(__xludf.DUMMYFUNCTION("""COMPUTED_VALUE"""),0.225131687194076)</f>
        <v>0.225131687194076</v>
      </c>
      <c r="II61" s="3">
        <f ca="1">IFERROR(__xludf.DUMMYFUNCTION("""COMPUTED_VALUE"""),0.124400273566097)</f>
        <v>0.12440027356609699</v>
      </c>
      <c r="IJ61" s="3">
        <f ca="1">IFERROR(__xludf.DUMMYFUNCTION("""COMPUTED_VALUE"""),0.217195818057885)</f>
        <v>0.21719581805788499</v>
      </c>
      <c r="IK61" s="3">
        <f ca="1">IFERROR(__xludf.DUMMYFUNCTION("""COMPUTED_VALUE"""),0.287523782131438)</f>
        <v>0.28752378213143798</v>
      </c>
      <c r="IL61" s="3">
        <f ca="1">IFERROR(__xludf.DUMMYFUNCTION("""COMPUTED_VALUE"""),0.0680584992005992)</f>
        <v>6.8058499200599198E-2</v>
      </c>
      <c r="IM61" s="3">
        <f ca="1">IFERROR(__xludf.DUMMYFUNCTION("""COMPUTED_VALUE"""),0.104634984538931)</f>
        <v>0.104634984538931</v>
      </c>
      <c r="IN61" s="3">
        <f ca="1">IFERROR(__xludf.DUMMYFUNCTION("""COMPUTED_VALUE"""),0.203179857683908)</f>
        <v>0.20317985768390801</v>
      </c>
      <c r="IO61" s="3">
        <f ca="1">IFERROR(__xludf.DUMMYFUNCTION("""COMPUTED_VALUE"""),0.302463943550438)</f>
        <v>0.30246394355043799</v>
      </c>
      <c r="IP61" s="3">
        <f ca="1">IFERROR(__xludf.DUMMYFUNCTION("""COMPUTED_VALUE"""),0.146740355442877)</f>
        <v>0.146740355442877</v>
      </c>
      <c r="IQ61" s="3">
        <f ca="1">IFERROR(__xludf.DUMMYFUNCTION("""COMPUTED_VALUE"""),-0.00902244854618883)</f>
        <v>-9.0224485461888292E-3</v>
      </c>
      <c r="IR61" s="3">
        <f ca="1">IFERROR(__xludf.DUMMYFUNCTION("""COMPUTED_VALUE"""),0.0896443309671914)</f>
        <v>8.9644330967191405E-2</v>
      </c>
      <c r="IS61" s="3">
        <f ca="1">IFERROR(__xludf.DUMMYFUNCTION("""COMPUTED_VALUE"""),0.0231953876032275)</f>
        <v>2.3195387603227501E-2</v>
      </c>
      <c r="IT61" s="3">
        <f ca="1">IFERROR(__xludf.DUMMYFUNCTION("""COMPUTED_VALUE"""),0.16215789492392)</f>
        <v>0.16215789492391999</v>
      </c>
      <c r="IU61" s="3">
        <f ca="1">IFERROR(__xludf.DUMMYFUNCTION("""COMPUTED_VALUE"""),0.113387058211907)</f>
        <v>0.113387058211907</v>
      </c>
      <c r="IV61" s="3">
        <f ca="1">IFERROR(__xludf.DUMMYFUNCTION("""COMPUTED_VALUE"""),0.132059123439311)</f>
        <v>0.132059123439311</v>
      </c>
      <c r="IW61" s="3">
        <f ca="1">IFERROR(__xludf.DUMMYFUNCTION("""COMPUTED_VALUE"""),0.184834805405127)</f>
        <v>0.18483480540512701</v>
      </c>
      <c r="IX61" s="3">
        <f ca="1">IFERROR(__xludf.DUMMYFUNCTION("""COMPUTED_VALUE"""),0.145769632781292)</f>
        <v>0.14576963278129201</v>
      </c>
      <c r="IY61" s="3">
        <f ca="1">IFERROR(__xludf.DUMMYFUNCTION("""COMPUTED_VALUE"""),0.0894835230779103)</f>
        <v>8.9483523077910299E-2</v>
      </c>
      <c r="IZ61" s="3">
        <f ca="1">IFERROR(__xludf.DUMMYFUNCTION("""COMPUTED_VALUE"""),0.0586167471697769)</f>
        <v>5.8616747169776898E-2</v>
      </c>
      <c r="JA61" s="3">
        <f ca="1">IFERROR(__xludf.DUMMYFUNCTION("""COMPUTED_VALUE"""),0.223981595015191)</f>
        <v>0.22398159501519099</v>
      </c>
      <c r="JB61" s="3">
        <f ca="1">IFERROR(__xludf.DUMMYFUNCTION("""COMPUTED_VALUE"""),0.132308634024672)</f>
        <v>0.13230863402467199</v>
      </c>
      <c r="JC61" s="3">
        <f ca="1">IFERROR(__xludf.DUMMYFUNCTION("""COMPUTED_VALUE"""),-0.0349599709755246)</f>
        <v>-3.4959970975524599E-2</v>
      </c>
      <c r="JD61" s="3">
        <f ca="1">IFERROR(__xludf.DUMMYFUNCTION("""COMPUTED_VALUE"""),0.0387332411584042)</f>
        <v>3.8733241158404201E-2</v>
      </c>
      <c r="JE61" s="3">
        <f ca="1">IFERROR(__xludf.DUMMYFUNCTION("""COMPUTED_VALUE"""),0.0810512094312583)</f>
        <v>8.1051209431258306E-2</v>
      </c>
      <c r="JF61" s="3">
        <f ca="1">IFERROR(__xludf.DUMMYFUNCTION("""COMPUTED_VALUE"""),0.0507610169667167)</f>
        <v>5.0761016966716699E-2</v>
      </c>
      <c r="JG61" s="3">
        <f ca="1">IFERROR(__xludf.DUMMYFUNCTION("""COMPUTED_VALUE"""),0.152141394145303)</f>
        <v>0.152141394145303</v>
      </c>
      <c r="JH61" s="3">
        <f ca="1">IFERROR(__xludf.DUMMYFUNCTION("""COMPUTED_VALUE"""),0.190381655103507)</f>
        <v>0.19038165510350699</v>
      </c>
      <c r="JI61" s="3">
        <f ca="1">IFERROR(__xludf.DUMMYFUNCTION("""COMPUTED_VALUE"""),-0.0380088944611898)</f>
        <v>-3.8008894461189803E-2</v>
      </c>
      <c r="JJ61" s="3">
        <f ca="1">IFERROR(__xludf.DUMMYFUNCTION("""COMPUTED_VALUE"""),-0.00703282734841703)</f>
        <v>-7.0328273484170298E-3</v>
      </c>
      <c r="JK61" s="3">
        <f ca="1">IFERROR(__xludf.DUMMYFUNCTION("""COMPUTED_VALUE"""),0.0371541533012587)</f>
        <v>3.7154153301258701E-2</v>
      </c>
      <c r="JL61" s="3">
        <f ca="1">IFERROR(__xludf.DUMMYFUNCTION("""COMPUTED_VALUE"""),-0.329874440280231)</f>
        <v>-0.329874440280231</v>
      </c>
      <c r="JM61" s="3">
        <f ca="1">IFERROR(__xludf.DUMMYFUNCTION("""COMPUTED_VALUE"""),-0.00841574341150852)</f>
        <v>-8.4157434115085198E-3</v>
      </c>
      <c r="JN61" s="3">
        <f ca="1">IFERROR(__xludf.DUMMYFUNCTION("""COMPUTED_VALUE"""),-0.144556895069054)</f>
        <v>-0.144556895069054</v>
      </c>
      <c r="JO61" s="3">
        <f ca="1">IFERROR(__xludf.DUMMYFUNCTION("""COMPUTED_VALUE"""),-0.109751848618691)</f>
        <v>-0.109751848618691</v>
      </c>
      <c r="JP61" s="3">
        <f ca="1">IFERROR(__xludf.DUMMYFUNCTION("""COMPUTED_VALUE"""),-0.136706669136077)</f>
        <v>-0.13670666913607701</v>
      </c>
      <c r="JQ61" s="3">
        <f ca="1">IFERROR(__xludf.DUMMYFUNCTION("""COMPUTED_VALUE"""),-0.0337234740220044)</f>
        <v>-3.3723474022004402E-2</v>
      </c>
      <c r="JR61" s="3">
        <f ca="1">IFERROR(__xludf.DUMMYFUNCTION("""COMPUTED_VALUE"""),-0.0571288362673627)</f>
        <v>-5.7128836267362697E-2</v>
      </c>
      <c r="JS61" s="3">
        <f ca="1">IFERROR(__xludf.DUMMYFUNCTION("""COMPUTED_VALUE"""),0.0865463736325502)</f>
        <v>8.6546373632550203E-2</v>
      </c>
      <c r="JT61" s="3">
        <f ca="1">IFERROR(__xludf.DUMMYFUNCTION("""COMPUTED_VALUE"""),-0.00471799044348875)</f>
        <v>-4.7179904434887501E-3</v>
      </c>
      <c r="JU61" s="3">
        <f ca="1">IFERROR(__xludf.DUMMYFUNCTION("""COMPUTED_VALUE"""),-0.0718342372502711)</f>
        <v>-7.1834237250271105E-2</v>
      </c>
      <c r="JV61" s="3">
        <f ca="1">IFERROR(__xludf.DUMMYFUNCTION("""COMPUTED_VALUE"""),-0.0580487844057056)</f>
        <v>-5.80487844057056E-2</v>
      </c>
      <c r="JW61" s="3">
        <f ca="1">IFERROR(__xludf.DUMMYFUNCTION("""COMPUTED_VALUE"""),-0.157561757465536)</f>
        <v>-0.157561757465536</v>
      </c>
      <c r="JX61" s="3">
        <f ca="1">IFERROR(__xludf.DUMMYFUNCTION("""COMPUTED_VALUE"""),-0.30013397878104)</f>
        <v>-0.30013397878103998</v>
      </c>
      <c r="JY61" s="3">
        <f ca="1">IFERROR(__xludf.DUMMYFUNCTION("""COMPUTED_VALUE"""),-0.21089270777396)</f>
        <v>-0.21089270777395999</v>
      </c>
      <c r="JZ61" s="3">
        <f ca="1">IFERROR(__xludf.DUMMYFUNCTION("""COMPUTED_VALUE"""),-0.00606277367380392)</f>
        <v>-6.0627736738039202E-3</v>
      </c>
      <c r="KA61" s="3">
        <f ca="1">IFERROR(__xludf.DUMMYFUNCTION("""COMPUTED_VALUE"""),-0.132160937424126)</f>
        <v>-0.13216093742412599</v>
      </c>
      <c r="KB61" s="3">
        <f ca="1">IFERROR(__xludf.DUMMYFUNCTION("""COMPUTED_VALUE"""),-0.232423169636194)</f>
        <v>-0.232423169636194</v>
      </c>
      <c r="KC61" s="3">
        <f ca="1">IFERROR(__xludf.DUMMYFUNCTION("""COMPUTED_VALUE"""),-0.20306342825114)</f>
        <v>-0.20306342825113999</v>
      </c>
      <c r="KD61" s="3">
        <f ca="1">IFERROR(__xludf.DUMMYFUNCTION("""COMPUTED_VALUE"""),-0.183468594472675)</f>
        <v>-0.183468594472675</v>
      </c>
      <c r="KE61" s="3">
        <f ca="1">IFERROR(__xludf.DUMMYFUNCTION("""COMPUTED_VALUE"""),-0.176779974410798)</f>
        <v>-0.17677997441079801</v>
      </c>
      <c r="KF61" s="3">
        <f ca="1">IFERROR(__xludf.DUMMYFUNCTION("""COMPUTED_VALUE"""),-0.208998220727502)</f>
        <v>-0.20899822072750199</v>
      </c>
      <c r="KG61" s="3">
        <f ca="1">IFERROR(__xludf.DUMMYFUNCTION("""COMPUTED_VALUE"""),-0.0984716615737304)</f>
        <v>-9.8471661573730399E-2</v>
      </c>
      <c r="KH61" s="3">
        <f ca="1">IFERROR(__xludf.DUMMYFUNCTION("""COMPUTED_VALUE"""),-0.177986928686252)</f>
        <v>-0.17798692868625199</v>
      </c>
      <c r="KI61" s="3">
        <f ca="1">IFERROR(__xludf.DUMMYFUNCTION("""COMPUTED_VALUE"""),-0.333826547713203)</f>
        <v>-0.33382654771320303</v>
      </c>
      <c r="KJ61" s="3">
        <f ca="1">IFERROR(__xludf.DUMMYFUNCTION("""COMPUTED_VALUE"""),-0.134354452196754)</f>
        <v>-0.13435445219675399</v>
      </c>
      <c r="KK61" s="3">
        <f ca="1">IFERROR(__xludf.DUMMYFUNCTION("""COMPUTED_VALUE"""),-0.137022950441566)</f>
        <v>-0.13702295044156601</v>
      </c>
      <c r="KL61" s="3">
        <f ca="1">IFERROR(__xludf.DUMMYFUNCTION("""COMPUTED_VALUE"""),-0.262762445717236)</f>
        <v>-0.262762445717236</v>
      </c>
      <c r="KM61" s="3">
        <f ca="1">IFERROR(__xludf.DUMMYFUNCTION("""COMPUTED_VALUE"""),-0.276718508534869)</f>
        <v>-0.27671850853486901</v>
      </c>
      <c r="KN61" s="3">
        <f ca="1">IFERROR(__xludf.DUMMYFUNCTION("""COMPUTED_VALUE"""),-0.324053147127166)</f>
        <v>-0.32405314712716599</v>
      </c>
      <c r="KO61" s="3">
        <f ca="1">IFERROR(__xludf.DUMMYFUNCTION("""COMPUTED_VALUE"""),-0.0405721167019851)</f>
        <v>-4.05721167019851E-2</v>
      </c>
      <c r="KP61" s="3">
        <f ca="1">IFERROR(__xludf.DUMMYFUNCTION("""COMPUTED_VALUE"""),-0.18078953367234)</f>
        <v>-0.18078953367233999</v>
      </c>
      <c r="KQ61" s="3">
        <f ca="1">IFERROR(__xludf.DUMMYFUNCTION("""COMPUTED_VALUE"""),-0.270053607326904)</f>
        <v>-0.27005360732690398</v>
      </c>
      <c r="KR61" s="3">
        <f ca="1">IFERROR(__xludf.DUMMYFUNCTION("""COMPUTED_VALUE"""),-0.31521807139238)</f>
        <v>-0.31521807139238001</v>
      </c>
      <c r="KS61" s="3">
        <f ca="1">IFERROR(__xludf.DUMMYFUNCTION("""COMPUTED_VALUE"""),-0.355315351301295)</f>
        <v>-0.35531535130129499</v>
      </c>
      <c r="KT61" s="3">
        <f ca="1">IFERROR(__xludf.DUMMYFUNCTION("""COMPUTED_VALUE"""),-0.345802631004186)</f>
        <v>-0.34580263100418601</v>
      </c>
      <c r="KU61" s="3">
        <f ca="1">IFERROR(__xludf.DUMMYFUNCTION("""COMPUTED_VALUE"""),-0.325706423757452)</f>
        <v>-0.32570642375745201</v>
      </c>
      <c r="KV61" s="3">
        <f ca="1">IFERROR(__xludf.DUMMYFUNCTION("""COMPUTED_VALUE"""),-0.0454401366674239)</f>
        <v>-4.54401366674239E-2</v>
      </c>
      <c r="KW61" s="3">
        <f ca="1">IFERROR(__xludf.DUMMYFUNCTION("""COMPUTED_VALUE"""),-0.494641919784912)</f>
        <v>-0.49464191978491201</v>
      </c>
      <c r="KX61" s="3">
        <f ca="1">IFERROR(__xludf.DUMMYFUNCTION("""COMPUTED_VALUE"""),-0.187686074610816)</f>
        <v>-0.18768607461081599</v>
      </c>
      <c r="KY61" s="3">
        <f ca="1">IFERROR(__xludf.DUMMYFUNCTION("""COMPUTED_VALUE"""),-0.219325180263634)</f>
        <v>-0.21932518026363401</v>
      </c>
      <c r="KZ61" s="3">
        <f ca="1">IFERROR(__xludf.DUMMYFUNCTION("""COMPUTED_VALUE"""),-0.279529816058043)</f>
        <v>-0.279529816058043</v>
      </c>
      <c r="LA61" s="3">
        <f ca="1">IFERROR(__xludf.DUMMYFUNCTION("""COMPUTED_VALUE"""),-0.327915750493806)</f>
        <v>-0.327915750493806</v>
      </c>
      <c r="LB61" s="3">
        <f ca="1">IFERROR(__xludf.DUMMYFUNCTION("""COMPUTED_VALUE"""),-0.291924981621334)</f>
        <v>-0.29192498162133401</v>
      </c>
      <c r="LC61" s="3">
        <f ca="1">IFERROR(__xludf.DUMMYFUNCTION("""COMPUTED_VALUE"""),-0.656185351570766)</f>
        <v>-0.65618535157076596</v>
      </c>
      <c r="LD61" s="3">
        <f ca="1">IFERROR(__xludf.DUMMYFUNCTION("""COMPUTED_VALUE"""),-0.272193916296632)</f>
        <v>-0.27219391629663198</v>
      </c>
      <c r="LE61" s="3">
        <f ca="1">IFERROR(__xludf.DUMMYFUNCTION("""COMPUTED_VALUE"""),-0.259443922184526)</f>
        <v>-0.259443922184526</v>
      </c>
      <c r="LF61" s="3">
        <f ca="1">IFERROR(__xludf.DUMMYFUNCTION("""COMPUTED_VALUE"""),-0.336549358590494)</f>
        <v>-0.33654935859049401</v>
      </c>
      <c r="LG61" s="3">
        <f ca="1">IFERROR(__xludf.DUMMYFUNCTION("""COMPUTED_VALUE"""),-0.121509586133139)</f>
        <v>-0.121509586133139</v>
      </c>
      <c r="LH61" s="3">
        <f ca="1">IFERROR(__xludf.DUMMYFUNCTION("""COMPUTED_VALUE"""),-0.00816970098661518)</f>
        <v>-8.1697009866151804E-3</v>
      </c>
      <c r="LI61" s="3">
        <f ca="1">IFERROR(__xludf.DUMMYFUNCTION("""COMPUTED_VALUE"""),-0.084823292321939)</f>
        <v>-8.4823292321938998E-2</v>
      </c>
      <c r="LJ61" s="3">
        <f ca="1">IFERROR(__xludf.DUMMYFUNCTION("""COMPUTED_VALUE"""),-0.277874629306736)</f>
        <v>-0.27787462930673601</v>
      </c>
      <c r="LK61" s="3">
        <f ca="1">IFERROR(__xludf.DUMMYFUNCTION("""COMPUTED_VALUE"""),-0.188609820453631)</f>
        <v>-0.18860982045363101</v>
      </c>
      <c r="LL61" s="3">
        <f ca="1">IFERROR(__xludf.DUMMYFUNCTION("""COMPUTED_VALUE"""),-0.330827251065871)</f>
        <v>-0.33082725106587102</v>
      </c>
      <c r="LM61" s="3">
        <f ca="1">IFERROR(__xludf.DUMMYFUNCTION("""COMPUTED_VALUE"""),-0.440900021515533)</f>
        <v>-0.44090002151553298</v>
      </c>
      <c r="LN61" s="3">
        <f ca="1">IFERROR(__xludf.DUMMYFUNCTION("""COMPUTED_VALUE"""),-0.489722703403833)</f>
        <v>-0.489722703403833</v>
      </c>
      <c r="LO61" s="3">
        <f ca="1">IFERROR(__xludf.DUMMYFUNCTION("""COMPUTED_VALUE"""),-0.298379501254629)</f>
        <v>-0.29837950125462898</v>
      </c>
      <c r="LP61" s="3">
        <f ca="1">IFERROR(__xludf.DUMMYFUNCTION("""COMPUTED_VALUE"""),-0.3484844318381)</f>
        <v>-0.34848443183810002</v>
      </c>
      <c r="LQ61" s="3">
        <f ca="1">IFERROR(__xludf.DUMMYFUNCTION("""COMPUTED_VALUE"""),-0.446684241578868)</f>
        <v>-0.44668424157886799</v>
      </c>
      <c r="LR61" s="3">
        <f ca="1">IFERROR(__xludf.DUMMYFUNCTION("""COMPUTED_VALUE"""),-0.410638660195697)</f>
        <v>-0.410638660195697</v>
      </c>
      <c r="LS61" s="3">
        <f ca="1">IFERROR(__xludf.DUMMYFUNCTION("""COMPUTED_VALUE"""),-0.608296173755492)</f>
        <v>-0.60829617375549205</v>
      </c>
      <c r="LT61" s="3">
        <f ca="1">IFERROR(__xludf.DUMMYFUNCTION("""COMPUTED_VALUE"""),-0.682808262592127)</f>
        <v>-0.68280826259212701</v>
      </c>
      <c r="LU61" s="3">
        <f ca="1">IFERROR(__xludf.DUMMYFUNCTION("""COMPUTED_VALUE"""),-0.674312580431218)</f>
        <v>-0.674312580431218</v>
      </c>
      <c r="LV61" s="3">
        <f ca="1">IFERROR(__xludf.DUMMYFUNCTION("""COMPUTED_VALUE"""),-0.514236220145142)</f>
        <v>-0.51423622014514203</v>
      </c>
      <c r="LW61" s="3">
        <f ca="1">IFERROR(__xludf.DUMMYFUNCTION("""COMPUTED_VALUE"""),-0.576021162247536)</f>
        <v>-0.57602116224753597</v>
      </c>
      <c r="LX61" s="3">
        <f ca="1">IFERROR(__xludf.DUMMYFUNCTION("""COMPUTED_VALUE"""),-0.690977696415874)</f>
        <v>-0.69097769641587403</v>
      </c>
      <c r="LY61" s="3">
        <f ca="1">IFERROR(__xludf.DUMMYFUNCTION("""COMPUTED_VALUE"""),-0.815286003643821)</f>
        <v>-0.81528600364382098</v>
      </c>
      <c r="LZ61" s="3">
        <f ca="1">IFERROR(__xludf.DUMMYFUNCTION("""COMPUTED_VALUE"""),-0.89288167592681)</f>
        <v>-0.89288167592681</v>
      </c>
      <c r="MA61" s="3">
        <f ca="1">IFERROR(__xludf.DUMMYFUNCTION("""COMPUTED_VALUE"""),-0.944020758095367)</f>
        <v>-0.94402075809536701</v>
      </c>
      <c r="MB61" s="3">
        <f ca="1">IFERROR(__xludf.DUMMYFUNCTION("""COMPUTED_VALUE"""),-0.895720816188523)</f>
        <v>-0.89572081618852295</v>
      </c>
      <c r="MC61" s="3">
        <f ca="1">IFERROR(__xludf.DUMMYFUNCTION("""COMPUTED_VALUE"""),-0.818439764752651)</f>
        <v>-0.81843976475265101</v>
      </c>
      <c r="MD61" s="3">
        <f ca="1">IFERROR(__xludf.DUMMYFUNCTION("""COMPUTED_VALUE"""),-0.90644583549238)</f>
        <v>-0.90644583549238</v>
      </c>
      <c r="ME61" s="3">
        <f ca="1">IFERROR(__xludf.DUMMYFUNCTION("""COMPUTED_VALUE"""),-0.917174431039955)</f>
        <v>-0.917174431039955</v>
      </c>
      <c r="MF61" s="3">
        <f ca="1">IFERROR(__xludf.DUMMYFUNCTION("""COMPUTED_VALUE"""),-0.877255659617502)</f>
        <v>-0.87725565961750196</v>
      </c>
      <c r="MG61" s="3">
        <f ca="1">IFERROR(__xludf.DUMMYFUNCTION("""COMPUTED_VALUE"""),-0.900067892298835)</f>
        <v>-0.90006789229883499</v>
      </c>
      <c r="MH61" s="3">
        <f ca="1">IFERROR(__xludf.DUMMYFUNCTION("""COMPUTED_VALUE"""),-0.969400526732057)</f>
        <v>-0.96940052673205701</v>
      </c>
      <c r="MI61" s="3">
        <f ca="1">IFERROR(__xludf.DUMMYFUNCTION("""COMPUTED_VALUE"""),-0.915737946532287)</f>
        <v>-0.91573794653228702</v>
      </c>
      <c r="MJ61" s="3">
        <f ca="1">IFERROR(__xludf.DUMMYFUNCTION("""COMPUTED_VALUE"""),-0.856291406822084)</f>
        <v>-0.85629140682208404</v>
      </c>
      <c r="MK61" s="3">
        <f ca="1">IFERROR(__xludf.DUMMYFUNCTION("""COMPUTED_VALUE"""),-0.917420710657555)</f>
        <v>-0.91742071065755504</v>
      </c>
      <c r="ML61" s="3">
        <f ca="1">IFERROR(__xludf.DUMMYFUNCTION("""COMPUTED_VALUE"""),-0.895504136321979)</f>
        <v>-0.89550413632197901</v>
      </c>
      <c r="MM61" s="3">
        <f ca="1">IFERROR(__xludf.DUMMYFUNCTION("""COMPUTED_VALUE"""),-0.928711656535405)</f>
        <v>-0.92871165653540499</v>
      </c>
      <c r="MN61" s="3">
        <f ca="1">IFERROR(__xludf.DUMMYFUNCTION("""COMPUTED_VALUE"""),-0.913458472337667)</f>
        <v>-0.91345847233766697</v>
      </c>
      <c r="MO61" s="3">
        <f ca="1">IFERROR(__xludf.DUMMYFUNCTION("""COMPUTED_VALUE"""),-0.914739484555456)</f>
        <v>-0.91473948455545595</v>
      </c>
      <c r="MP61" s="3">
        <f ca="1">IFERROR(__xludf.DUMMYFUNCTION("""COMPUTED_VALUE"""),-0.921505548532032)</f>
        <v>-0.92150554853203204</v>
      </c>
      <c r="MQ61" s="3">
        <f ca="1">IFERROR(__xludf.DUMMYFUNCTION("""COMPUTED_VALUE"""),-0.904386376730065)</f>
        <v>-0.90438637673006494</v>
      </c>
      <c r="MR61" s="3">
        <f ca="1">IFERROR(__xludf.DUMMYFUNCTION("""COMPUTED_VALUE"""),-0.935760712956302)</f>
        <v>-0.93576071295630203</v>
      </c>
      <c r="MS61" s="3">
        <f ca="1">IFERROR(__xludf.DUMMYFUNCTION("""COMPUTED_VALUE"""),-0.915503212153171)</f>
        <v>-0.91550321215317099</v>
      </c>
      <c r="MT61" s="3">
        <f ca="1">IFERROR(__xludf.DUMMYFUNCTION("""COMPUTED_VALUE"""),-0.927313722872424)</f>
        <v>-0.92731372287242397</v>
      </c>
      <c r="MU61" s="3">
        <f ca="1">IFERROR(__xludf.DUMMYFUNCTION("""COMPUTED_VALUE"""),-0.919951728282423)</f>
        <v>-0.919951728282423</v>
      </c>
      <c r="MV61" s="3">
        <f ca="1">IFERROR(__xludf.DUMMYFUNCTION("""COMPUTED_VALUE"""),-0.94120765479156)</f>
        <v>-0.94120765479155999</v>
      </c>
      <c r="MW61" s="3">
        <f ca="1">IFERROR(__xludf.DUMMYFUNCTION("""COMPUTED_VALUE"""),-0.936876541800176)</f>
        <v>-0.93687654180017599</v>
      </c>
      <c r="MX61" s="3">
        <f ca="1">IFERROR(__xludf.DUMMYFUNCTION("""COMPUTED_VALUE"""),-0.948325866387426)</f>
        <v>-0.948325866387426</v>
      </c>
      <c r="MY61" s="3">
        <f ca="1">IFERROR(__xludf.DUMMYFUNCTION("""COMPUTED_VALUE"""),-0.918245797879182)</f>
        <v>-0.91824579787918204</v>
      </c>
      <c r="MZ61" s="3">
        <f ca="1">IFERROR(__xludf.DUMMYFUNCTION("""COMPUTED_VALUE"""),-0.950372744294395)</f>
        <v>-0.950372744294395</v>
      </c>
      <c r="NA61" s="3">
        <f ca="1">IFERROR(__xludf.DUMMYFUNCTION("""COMPUTED_VALUE"""),-0.940486994656455)</f>
        <v>-0.94048699465645502</v>
      </c>
      <c r="NB61" s="3">
        <f ca="1">IFERROR(__xludf.DUMMYFUNCTION("""COMPUTED_VALUE"""),-0.939251742827625)</f>
        <v>-0.93925174282762502</v>
      </c>
      <c r="NC61" s="3">
        <f ca="1">IFERROR(__xludf.DUMMYFUNCTION("""COMPUTED_VALUE"""),-0.951805095551358)</f>
        <v>-0.95180509555135795</v>
      </c>
      <c r="ND61" s="3">
        <f ca="1">IFERROR(__xludf.DUMMYFUNCTION("""COMPUTED_VALUE"""),-0.960437812395494)</f>
        <v>-0.96043781239549397</v>
      </c>
      <c r="NE61" s="3">
        <f ca="1">IFERROR(__xludf.DUMMYFUNCTION("""COMPUTED_VALUE"""),-0.952544908625392)</f>
        <v>-0.95254490862539198</v>
      </c>
      <c r="NF61" s="3">
        <f ca="1">IFERROR(__xludf.DUMMYFUNCTION("""COMPUTED_VALUE"""),-0.936927182926924)</f>
        <v>-0.93692718292692401</v>
      </c>
      <c r="NG61" s="3">
        <f ca="1">IFERROR(__xludf.DUMMYFUNCTION("""COMPUTED_VALUE"""),-0.950648773079897)</f>
        <v>-0.95064877307989704</v>
      </c>
      <c r="NH61" s="3">
        <f ca="1">IFERROR(__xludf.DUMMYFUNCTION("""COMPUTED_VALUE"""),-0.940580829012245)</f>
        <v>-0.94058082901224505</v>
      </c>
      <c r="NI61" s="3">
        <f ca="1">IFERROR(__xludf.DUMMYFUNCTION("""COMPUTED_VALUE"""),-0.948236920575063)</f>
        <v>-0.94823692057506304</v>
      </c>
      <c r="NJ61" s="3">
        <f ca="1">IFERROR(__xludf.DUMMYFUNCTION("""COMPUTED_VALUE"""),-0.952157595541573)</f>
        <v>-0.95215759554157298</v>
      </c>
      <c r="NK61" s="3">
        <f ca="1">IFERROR(__xludf.DUMMYFUNCTION("""COMPUTED_VALUE"""),-0.965858079169472)</f>
        <v>-0.96585807916947197</v>
      </c>
      <c r="NL61" s="3">
        <f ca="1">IFERROR(__xludf.DUMMYFUNCTION("""COMPUTED_VALUE"""),-0.968663452458196)</f>
        <v>-0.96866345245819596</v>
      </c>
      <c r="NM61" s="3">
        <f ca="1">IFERROR(__xludf.DUMMYFUNCTION("""COMPUTED_VALUE"""),-0.967574452425958)</f>
        <v>-0.96757445242595796</v>
      </c>
      <c r="NN61" s="3">
        <f ca="1">IFERROR(__xludf.DUMMYFUNCTION("""COMPUTED_VALUE"""),-0.959344629077765)</f>
        <v>-0.95934462907776497</v>
      </c>
      <c r="NO61" s="3">
        <f ca="1">IFERROR(__xludf.DUMMYFUNCTION("""COMPUTED_VALUE"""),-0.944097948742153)</f>
        <v>-0.94409794874215303</v>
      </c>
      <c r="NP61" s="3">
        <f ca="1">IFERROR(__xludf.DUMMYFUNCTION("""COMPUTED_VALUE"""),-0.945989104857099)</f>
        <v>-0.94598910485709897</v>
      </c>
      <c r="NQ61" s="3">
        <f ca="1">IFERROR(__xludf.DUMMYFUNCTION("""COMPUTED_VALUE"""),-0.966612556400547)</f>
        <v>-0.966612556400547</v>
      </c>
      <c r="NR61" s="3">
        <f ca="1">IFERROR(__xludf.DUMMYFUNCTION("""COMPUTED_VALUE"""),-0.964337597022627)</f>
        <v>-0.964337597022627</v>
      </c>
      <c r="NS61" s="3">
        <f ca="1">IFERROR(__xludf.DUMMYFUNCTION("""COMPUTED_VALUE"""),-0.953677473269625)</f>
        <v>-0.95367747326962504</v>
      </c>
      <c r="NT61" s="3">
        <f ca="1">IFERROR(__xludf.DUMMYFUNCTION("""COMPUTED_VALUE"""),-0.953763796187494)</f>
        <v>-0.95376379618749396</v>
      </c>
      <c r="NU61" s="3">
        <f ca="1">IFERROR(__xludf.DUMMYFUNCTION("""COMPUTED_VALUE"""),-0.927473693424824)</f>
        <v>-0.927473693424824</v>
      </c>
      <c r="NV61" s="3">
        <f ca="1">IFERROR(__xludf.DUMMYFUNCTION("""COMPUTED_VALUE"""),-0.902397106289926)</f>
        <v>-0.90239710628992598</v>
      </c>
      <c r="NW61" s="3">
        <f ca="1">IFERROR(__xludf.DUMMYFUNCTION("""COMPUTED_VALUE"""),-0.935599146231281)</f>
        <v>-0.93559914623128104</v>
      </c>
      <c r="NX61" s="3">
        <f ca="1">IFERROR(__xludf.DUMMYFUNCTION("""COMPUTED_VALUE"""),-0.940093160234058)</f>
        <v>-0.94009316023405798</v>
      </c>
      <c r="NY61" s="3">
        <f ca="1">IFERROR(__xludf.DUMMYFUNCTION("""COMPUTED_VALUE"""),-0.928022373751549)</f>
        <v>-0.92802237375154895</v>
      </c>
      <c r="NZ61" s="3">
        <f ca="1">IFERROR(__xludf.DUMMYFUNCTION("""COMPUTED_VALUE"""),-0.900531910756941)</f>
        <v>-0.90053191075694095</v>
      </c>
      <c r="OA61" s="3">
        <f ca="1">IFERROR(__xludf.DUMMYFUNCTION("""COMPUTED_VALUE"""),-0.852341004820466)</f>
        <v>-0.85234100482046604</v>
      </c>
      <c r="OB61" s="3">
        <f ca="1">IFERROR(__xludf.DUMMYFUNCTION("""COMPUTED_VALUE"""),-0.716838083053736)</f>
        <v>-0.71683808305373597</v>
      </c>
      <c r="OC61" s="3">
        <f ca="1">IFERROR(__xludf.DUMMYFUNCTION("""COMPUTED_VALUE"""),-0.281144479919363)</f>
        <v>-0.28114447991936298</v>
      </c>
      <c r="OD61" s="3">
        <f ca="1">IFERROR(__xludf.DUMMYFUNCTION("""COMPUTED_VALUE"""),-0.0747114508185456)</f>
        <v>-7.4711450818545605E-2</v>
      </c>
      <c r="OE61" s="3">
        <f ca="1">IFERROR(__xludf.DUMMYFUNCTION("""COMPUTED_VALUE"""),-0.0471545417263092)</f>
        <v>-4.7154541726309201E-2</v>
      </c>
      <c r="OF61" s="3">
        <f ca="1">IFERROR(__xludf.DUMMYFUNCTION("""COMPUTED_VALUE"""),-0.0682963298160721)</f>
        <v>-6.8296329816072102E-2</v>
      </c>
      <c r="OG61" s="3">
        <f ca="1">IFERROR(__xludf.DUMMYFUNCTION("""COMPUTED_VALUE"""),0.0980413873344807)</f>
        <v>9.8041387334480701E-2</v>
      </c>
      <c r="OH61" s="3">
        <f ca="1">IFERROR(__xludf.DUMMYFUNCTION("""COMPUTED_VALUE"""),0.0545401948556045)</f>
        <v>5.4540194855604497E-2</v>
      </c>
      <c r="OI61" s="3">
        <f ca="1">IFERROR(__xludf.DUMMYFUNCTION("""COMPUTED_VALUE"""),0.0946274217396849)</f>
        <v>9.46274217396849E-2</v>
      </c>
      <c r="OJ61" s="3">
        <f ca="1">IFERROR(__xludf.DUMMYFUNCTION("""COMPUTED_VALUE"""),0.0834503072433539)</f>
        <v>8.3450307243353894E-2</v>
      </c>
      <c r="OK61" s="3">
        <f ca="1">IFERROR(__xludf.DUMMYFUNCTION("""COMPUTED_VALUE"""),0.332989184543976)</f>
        <v>0.33298918454397602</v>
      </c>
      <c r="OL61" s="3">
        <f ca="1">IFERROR(__xludf.DUMMYFUNCTION("""COMPUTED_VALUE"""),0.257947314146064)</f>
        <v>0.25794731414606398</v>
      </c>
      <c r="OM61" s="3">
        <f ca="1">IFERROR(__xludf.DUMMYFUNCTION("""COMPUTED_VALUE"""),0.131587249945026)</f>
        <v>0.13158724994502599</v>
      </c>
      <c r="ON61" s="3">
        <f ca="1">IFERROR(__xludf.DUMMYFUNCTION("""COMPUTED_VALUE"""),0.152673526717254)</f>
        <v>0.15267352671725401</v>
      </c>
      <c r="OO61" s="3">
        <f ca="1">IFERROR(__xludf.DUMMYFUNCTION("""COMPUTED_VALUE"""),0.0193288172567602)</f>
        <v>1.9328817256760202E-2</v>
      </c>
      <c r="OP61" s="3">
        <f ca="1">IFERROR(__xludf.DUMMYFUNCTION("""COMPUTED_VALUE"""),0.0578007883826336)</f>
        <v>5.7800788382633597E-2</v>
      </c>
      <c r="OQ61" s="3">
        <f ca="1">IFERROR(__xludf.DUMMYFUNCTION("""COMPUTED_VALUE"""),0.0743671527032807)</f>
        <v>7.4367152703280703E-2</v>
      </c>
      <c r="OR61" s="3">
        <f ca="1">IFERROR(__xludf.DUMMYFUNCTION("""COMPUTED_VALUE"""),0.0812401199130421)</f>
        <v>8.12401199130421E-2</v>
      </c>
      <c r="OS61" s="3">
        <f ca="1">IFERROR(__xludf.DUMMYFUNCTION("""COMPUTED_VALUE"""),0.253327510032308)</f>
        <v>0.25332751003230802</v>
      </c>
      <c r="OT61" s="3">
        <f ca="1">IFERROR(__xludf.DUMMYFUNCTION("""COMPUTED_VALUE"""),0.173310233404627)</f>
        <v>0.17331023340462701</v>
      </c>
      <c r="OU61" s="3">
        <f ca="1">IFERROR(__xludf.DUMMYFUNCTION("""COMPUTED_VALUE"""),0.176882408261846)</f>
        <v>0.17688240826184601</v>
      </c>
      <c r="OV61" s="3">
        <f ca="1">IFERROR(__xludf.DUMMYFUNCTION("""COMPUTED_VALUE"""),0.0945027300277359)</f>
        <v>9.4502730027735904E-2</v>
      </c>
      <c r="OW61" s="3">
        <f ca="1">IFERROR(__xludf.DUMMYFUNCTION("""COMPUTED_VALUE"""),0.182640846393542)</f>
        <v>0.182640846393542</v>
      </c>
      <c r="OX61" s="3">
        <f ca="1">IFERROR(__xludf.DUMMYFUNCTION("""COMPUTED_VALUE"""),-0.0314519562668093)</f>
        <v>-3.14519562668093E-2</v>
      </c>
      <c r="OY61" s="3">
        <f ca="1">IFERROR(__xludf.DUMMYFUNCTION("""COMPUTED_VALUE"""),-0.0743605232933742)</f>
        <v>-7.4360523293374198E-2</v>
      </c>
      <c r="OZ61" s="3">
        <f ca="1">IFERROR(__xludf.DUMMYFUNCTION("""COMPUTED_VALUE"""),-0.198635187715787)</f>
        <v>-0.198635187715787</v>
      </c>
      <c r="PA61" s="3">
        <f ca="1">IFERROR(__xludf.DUMMYFUNCTION("""COMPUTED_VALUE"""),-0.064972908358029)</f>
        <v>-6.4972908358029005E-2</v>
      </c>
      <c r="PB61" s="3">
        <f ca="1">IFERROR(__xludf.DUMMYFUNCTION("""COMPUTED_VALUE"""),-0.201614425155131)</f>
        <v>-0.20161442515513101</v>
      </c>
      <c r="PC61" s="3">
        <f ca="1">IFERROR(__xludf.DUMMYFUNCTION("""COMPUTED_VALUE"""),-0.110971014060279)</f>
        <v>-0.110971014060279</v>
      </c>
      <c r="PD61" s="3">
        <f ca="1">IFERROR(__xludf.DUMMYFUNCTION("""COMPUTED_VALUE"""),-0.10625497102644)</f>
        <v>-0.10625497102644001</v>
      </c>
      <c r="PE61" s="3">
        <f ca="1">IFERROR(__xludf.DUMMYFUNCTION("""COMPUTED_VALUE"""),0.00965485716410641)</f>
        <v>9.6548571641064101E-3</v>
      </c>
      <c r="PF61" s="3">
        <f ca="1">IFERROR(__xludf.DUMMYFUNCTION("""COMPUTED_VALUE"""),-0.139816587333247)</f>
        <v>-0.13981658733324701</v>
      </c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</row>
    <row r="62" spans="1:594" ht="13">
      <c r="A62" s="1" t="str">
        <f ca="1">IFERROR(__xludf.DUMMYFUNCTION("""COMPUTED_VALUE"""),"Philadelphia")</f>
        <v>Philadelphia</v>
      </c>
      <c r="B62" s="3">
        <f ca="1">IFERROR(__xludf.DUMMYFUNCTION("""COMPUTED_VALUE"""),-0.411163771294897)</f>
        <v>-0.41116377129489701</v>
      </c>
      <c r="C62" s="3">
        <f ca="1">IFERROR(__xludf.DUMMYFUNCTION("""COMPUTED_VALUE"""),-0.544461637656549)</f>
        <v>-0.54446163765654898</v>
      </c>
      <c r="D62" s="3">
        <f ca="1">IFERROR(__xludf.DUMMYFUNCTION("""COMPUTED_VALUE"""),-0.528027194621741)</f>
        <v>-0.52802719462174097</v>
      </c>
      <c r="E62" s="3">
        <f ca="1">IFERROR(__xludf.DUMMYFUNCTION("""COMPUTED_VALUE"""),-0.587484459123332)</f>
        <v>-0.58748445912333203</v>
      </c>
      <c r="F62" s="3">
        <f ca="1">IFERROR(__xludf.DUMMYFUNCTION("""COMPUTED_VALUE"""),-0.559156897818283)</f>
        <v>-0.55915689781828304</v>
      </c>
      <c r="G62" s="3">
        <f ca="1">IFERROR(__xludf.DUMMYFUNCTION("""COMPUTED_VALUE"""),-0.570946053694225)</f>
        <v>-0.57094605369422502</v>
      </c>
      <c r="H62" s="3">
        <f ca="1">IFERROR(__xludf.DUMMYFUNCTION("""COMPUTED_VALUE"""),-0.493185195760371)</f>
        <v>-0.49318519576037101</v>
      </c>
      <c r="I62" s="3">
        <f ca="1">IFERROR(__xludf.DUMMYFUNCTION("""COMPUTED_VALUE"""),-0.466892941122574)</f>
        <v>-0.46689294112257401</v>
      </c>
      <c r="J62" s="3">
        <f ca="1">IFERROR(__xludf.DUMMYFUNCTION("""COMPUTED_VALUE"""),-0.621630852310518)</f>
        <v>-0.62163085231051796</v>
      </c>
      <c r="K62" s="3">
        <f ca="1">IFERROR(__xludf.DUMMYFUNCTION("""COMPUTED_VALUE"""),-0.600464371489347)</f>
        <v>-0.60046437148934695</v>
      </c>
      <c r="L62" s="3">
        <f ca="1">IFERROR(__xludf.DUMMYFUNCTION("""COMPUTED_VALUE"""),-0.632498580646109)</f>
        <v>-0.63249858064610898</v>
      </c>
      <c r="M62" s="3">
        <f ca="1">IFERROR(__xludf.DUMMYFUNCTION("""COMPUTED_VALUE"""),-0.573777978630664)</f>
        <v>-0.57377797863066404</v>
      </c>
      <c r="N62" s="3">
        <f ca="1">IFERROR(__xludf.DUMMYFUNCTION("""COMPUTED_VALUE"""),-0.588693471197596)</f>
        <v>-0.58869347119759596</v>
      </c>
      <c r="O62" s="3">
        <f ca="1">IFERROR(__xludf.DUMMYFUNCTION("""COMPUTED_VALUE"""),-0.536107210754642)</f>
        <v>-0.53610721075464196</v>
      </c>
      <c r="P62" s="3">
        <f ca="1">IFERROR(__xludf.DUMMYFUNCTION("""COMPUTED_VALUE"""),-0.452689738539761)</f>
        <v>-0.45268973853976102</v>
      </c>
      <c r="Q62" s="3">
        <f ca="1">IFERROR(__xludf.DUMMYFUNCTION("""COMPUTED_VALUE"""),-0.580371072779059)</f>
        <v>-0.58037107277905897</v>
      </c>
      <c r="R62" s="3">
        <f ca="1">IFERROR(__xludf.DUMMYFUNCTION("""COMPUTED_VALUE"""),-0.624460342651186)</f>
        <v>-0.624460342651186</v>
      </c>
      <c r="S62" s="3">
        <f ca="1">IFERROR(__xludf.DUMMYFUNCTION("""COMPUTED_VALUE"""),-0.675394654925547)</f>
        <v>-0.67539465492554696</v>
      </c>
      <c r="T62" s="3">
        <f ca="1">IFERROR(__xludf.DUMMYFUNCTION("""COMPUTED_VALUE"""),-0.602853265532577)</f>
        <v>-0.60285326553257701</v>
      </c>
      <c r="U62" s="3">
        <f ca="1">IFERROR(__xludf.DUMMYFUNCTION("""COMPUTED_VALUE"""),-0.601448146747088)</f>
        <v>-0.60144814674708802</v>
      </c>
      <c r="V62" s="3">
        <f ca="1">IFERROR(__xludf.DUMMYFUNCTION("""COMPUTED_VALUE"""),-0.477865016916576)</f>
        <v>-0.47786501691657601</v>
      </c>
      <c r="W62" s="3">
        <f ca="1">IFERROR(__xludf.DUMMYFUNCTION("""COMPUTED_VALUE"""),-0.490036764299765)</f>
        <v>-0.490036764299765</v>
      </c>
      <c r="X62" s="3">
        <f ca="1">IFERROR(__xludf.DUMMYFUNCTION("""COMPUTED_VALUE"""),-0.615535410343587)</f>
        <v>-0.61553541034358705</v>
      </c>
      <c r="Y62" s="3">
        <f ca="1">IFERROR(__xludf.DUMMYFUNCTION("""COMPUTED_VALUE"""),-0.661900941243455)</f>
        <v>-0.661900941243455</v>
      </c>
      <c r="Z62" s="3">
        <f ca="1">IFERROR(__xludf.DUMMYFUNCTION("""COMPUTED_VALUE"""),-0.640975577468125)</f>
        <v>-0.64097557746812495</v>
      </c>
      <c r="AA62" s="3">
        <f ca="1">IFERROR(__xludf.DUMMYFUNCTION("""COMPUTED_VALUE"""),-0.638888922378549)</f>
        <v>-0.638888922378549</v>
      </c>
      <c r="AB62" s="3">
        <f ca="1">IFERROR(__xludf.DUMMYFUNCTION("""COMPUTED_VALUE"""),-0.617077736905056)</f>
        <v>-0.61707773690505596</v>
      </c>
      <c r="AC62" s="3">
        <f ca="1">IFERROR(__xludf.DUMMYFUNCTION("""COMPUTED_VALUE"""),-0.497339194906153)</f>
        <v>-0.49733919490615303</v>
      </c>
      <c r="AD62" s="3">
        <f ca="1">IFERROR(__xludf.DUMMYFUNCTION("""COMPUTED_VALUE"""),-0.497764563157841)</f>
        <v>-0.49776456315784101</v>
      </c>
      <c r="AE62" s="3">
        <f ca="1">IFERROR(__xludf.DUMMYFUNCTION("""COMPUTED_VALUE"""),-0.602356788837441)</f>
        <v>-0.60235678883744104</v>
      </c>
      <c r="AF62" s="3">
        <f ca="1">IFERROR(__xludf.DUMMYFUNCTION("""COMPUTED_VALUE"""),-0.582355811900269)</f>
        <v>-0.58235581190026897</v>
      </c>
      <c r="AG62" s="3">
        <f ca="1">IFERROR(__xludf.DUMMYFUNCTION("""COMPUTED_VALUE"""),-0.617354173904543)</f>
        <v>-0.61735417390454295</v>
      </c>
      <c r="AH62" s="3">
        <f ca="1">IFERROR(__xludf.DUMMYFUNCTION("""COMPUTED_VALUE"""),-0.613444100684081)</f>
        <v>-0.61344410068408095</v>
      </c>
      <c r="AI62" s="3">
        <f ca="1">IFERROR(__xludf.DUMMYFUNCTION("""COMPUTED_VALUE"""),-0.619361488349221)</f>
        <v>-0.619361488349221</v>
      </c>
      <c r="AJ62" s="3">
        <f ca="1">IFERROR(__xludf.DUMMYFUNCTION("""COMPUTED_VALUE"""),-0.499547686004841)</f>
        <v>-0.49954768600484101</v>
      </c>
      <c r="AK62" s="3">
        <f ca="1">IFERROR(__xludf.DUMMYFUNCTION("""COMPUTED_VALUE"""),-0.526675597208147)</f>
        <v>-0.52667559720814705</v>
      </c>
      <c r="AL62" s="3">
        <f ca="1">IFERROR(__xludf.DUMMYFUNCTION("""COMPUTED_VALUE"""),-0.63166463347718)</f>
        <v>-0.63166463347718005</v>
      </c>
      <c r="AM62" s="3">
        <f ca="1">IFERROR(__xludf.DUMMYFUNCTION("""COMPUTED_VALUE"""),-0.628553066927726)</f>
        <v>-0.62855306692772595</v>
      </c>
      <c r="AN62" s="3">
        <f ca="1">IFERROR(__xludf.DUMMYFUNCTION("""COMPUTED_VALUE"""),-0.622712918878227)</f>
        <v>-0.622712918878227</v>
      </c>
      <c r="AO62" s="3">
        <f ca="1">IFERROR(__xludf.DUMMYFUNCTION("""COMPUTED_VALUE"""),-0.640664580869581)</f>
        <v>-0.640664580869581</v>
      </c>
      <c r="AP62" s="3">
        <f ca="1">IFERROR(__xludf.DUMMYFUNCTION("""COMPUTED_VALUE"""),-0.631351074546846)</f>
        <v>-0.63135107454684603</v>
      </c>
      <c r="AQ62" s="3">
        <f ca="1">IFERROR(__xludf.DUMMYFUNCTION("""COMPUTED_VALUE"""),-0.531141681386279)</f>
        <v>-0.53114168138627904</v>
      </c>
      <c r="AR62" s="3">
        <f ca="1">IFERROR(__xludf.DUMMYFUNCTION("""COMPUTED_VALUE"""),-0.521968451274659)</f>
        <v>-0.52196845127465896</v>
      </c>
      <c r="AS62" s="3">
        <f ca="1">IFERROR(__xludf.DUMMYFUNCTION("""COMPUTED_VALUE"""),-0.625595927192292)</f>
        <v>-0.62559592719229196</v>
      </c>
      <c r="AT62" s="3">
        <f ca="1">IFERROR(__xludf.DUMMYFUNCTION("""COMPUTED_VALUE"""),-0.610028543299796)</f>
        <v>-0.61002854329979606</v>
      </c>
      <c r="AU62" s="3">
        <f ca="1">IFERROR(__xludf.DUMMYFUNCTION("""COMPUTED_VALUE"""),-0.548473442223495)</f>
        <v>-0.54847344222349503</v>
      </c>
      <c r="AV62" s="3">
        <f ca="1">IFERROR(__xludf.DUMMYFUNCTION("""COMPUTED_VALUE"""),-0.635786878096625)</f>
        <v>-0.63578687809662504</v>
      </c>
      <c r="AW62" s="3">
        <f ca="1">IFERROR(__xludf.DUMMYFUNCTION("""COMPUTED_VALUE"""),-0.622981676644103)</f>
        <v>-0.62298167664410298</v>
      </c>
      <c r="AX62" s="3">
        <f ca="1">IFERROR(__xludf.DUMMYFUNCTION("""COMPUTED_VALUE"""),-0.491517373450238)</f>
        <v>-0.49151737345023799</v>
      </c>
      <c r="AY62" s="3">
        <f ca="1">IFERROR(__xludf.DUMMYFUNCTION("""COMPUTED_VALUE"""),-0.500115179571476)</f>
        <v>-0.500115179571476</v>
      </c>
      <c r="AZ62" s="3">
        <f ca="1">IFERROR(__xludf.DUMMYFUNCTION("""COMPUTED_VALUE"""),-0.652291456773698)</f>
        <v>-0.65229145677369804</v>
      </c>
      <c r="BA62" s="3">
        <f ca="1">IFERROR(__xludf.DUMMYFUNCTION("""COMPUTED_VALUE"""),-0.733016491597431)</f>
        <v>-0.73301649159743099</v>
      </c>
      <c r="BB62" s="3">
        <f ca="1">IFERROR(__xludf.DUMMYFUNCTION("""COMPUTED_VALUE"""),-0.597534219691717)</f>
        <v>-0.59753421969171705</v>
      </c>
      <c r="BC62" s="3">
        <f ca="1">IFERROR(__xludf.DUMMYFUNCTION("""COMPUTED_VALUE"""),-0.639412680218883)</f>
        <v>-0.63941268021888298</v>
      </c>
      <c r="BD62" s="3">
        <f ca="1">IFERROR(__xludf.DUMMYFUNCTION("""COMPUTED_VALUE"""),-0.62104230066503)</f>
        <v>-0.62104230066502997</v>
      </c>
      <c r="BE62" s="3">
        <f ca="1">IFERROR(__xludf.DUMMYFUNCTION("""COMPUTED_VALUE"""),-0.462675893760836)</f>
        <v>-0.46267589376083601</v>
      </c>
      <c r="BF62" s="3">
        <f ca="1">IFERROR(__xludf.DUMMYFUNCTION("""COMPUTED_VALUE"""),-0.485736399462358)</f>
        <v>-0.48573639946235803</v>
      </c>
      <c r="BG62" s="3">
        <f ca="1">IFERROR(__xludf.DUMMYFUNCTION("""COMPUTED_VALUE"""),-0.634442064487296)</f>
        <v>-0.63444206448729601</v>
      </c>
      <c r="BH62" s="3">
        <f ca="1">IFERROR(__xludf.DUMMYFUNCTION("""COMPUTED_VALUE"""),-0.635902407287665)</f>
        <v>-0.63590240728766501</v>
      </c>
      <c r="BI62" s="3">
        <f ca="1">IFERROR(__xludf.DUMMYFUNCTION("""COMPUTED_VALUE"""),-0.640842306716413)</f>
        <v>-0.64084230671641296</v>
      </c>
      <c r="BJ62" s="3">
        <f ca="1">IFERROR(__xludf.DUMMYFUNCTION("""COMPUTED_VALUE"""),-0.638691141890377)</f>
        <v>-0.63869114189037701</v>
      </c>
      <c r="BK62" s="3">
        <f ca="1">IFERROR(__xludf.DUMMYFUNCTION("""COMPUTED_VALUE"""),-0.592938391016797)</f>
        <v>-0.59293839101679702</v>
      </c>
      <c r="BL62" s="3">
        <f ca="1">IFERROR(__xludf.DUMMYFUNCTION("""COMPUTED_VALUE"""),-0.562302003505335)</f>
        <v>-0.56230200350533499</v>
      </c>
      <c r="BM62" s="3">
        <f ca="1">IFERROR(__xludf.DUMMYFUNCTION("""COMPUTED_VALUE"""),-0.492865010263502)</f>
        <v>-0.49286501026350199</v>
      </c>
      <c r="BN62" s="3">
        <f ca="1">IFERROR(__xludf.DUMMYFUNCTION("""COMPUTED_VALUE"""),-0.636320302223602)</f>
        <v>-0.63632030222360203</v>
      </c>
      <c r="BO62" s="3">
        <f ca="1">IFERROR(__xludf.DUMMYFUNCTION("""COMPUTED_VALUE"""),-0.620966110864963)</f>
        <v>-0.62096611086496301</v>
      </c>
      <c r="BP62" s="3">
        <f ca="1">IFERROR(__xludf.DUMMYFUNCTION("""COMPUTED_VALUE"""),-0.623765041294381)</f>
        <v>-0.62376504129438104</v>
      </c>
      <c r="BQ62" s="3">
        <f ca="1">IFERROR(__xludf.DUMMYFUNCTION("""COMPUTED_VALUE"""),-0.691687691561821)</f>
        <v>-0.69168769156182097</v>
      </c>
      <c r="BR62" s="3">
        <f ca="1">IFERROR(__xludf.DUMMYFUNCTION("""COMPUTED_VALUE"""),-0.731469163447131)</f>
        <v>-0.73146916344713098</v>
      </c>
      <c r="BS62" s="3">
        <f ca="1">IFERROR(__xludf.DUMMYFUNCTION("""COMPUTED_VALUE"""),-0.550422430813188)</f>
        <v>-0.55042243081318798</v>
      </c>
      <c r="BT62" s="3">
        <f ca="1">IFERROR(__xludf.DUMMYFUNCTION("""COMPUTED_VALUE"""),-0.537458632685607)</f>
        <v>-0.53745863268560701</v>
      </c>
      <c r="BU62" s="3">
        <f ca="1">IFERROR(__xludf.DUMMYFUNCTION("""COMPUTED_VALUE"""),-0.693341237028249)</f>
        <v>-0.69334123702824901</v>
      </c>
      <c r="BV62" s="3">
        <f ca="1">IFERROR(__xludf.DUMMYFUNCTION("""COMPUTED_VALUE"""),-0.67255446494064)</f>
        <v>-0.67255446494063997</v>
      </c>
      <c r="BW62" s="3">
        <f ca="1">IFERROR(__xludf.DUMMYFUNCTION("""COMPUTED_VALUE"""),-0.66177518383366)</f>
        <v>-0.66177518383365996</v>
      </c>
      <c r="BX62" s="3">
        <f ca="1">IFERROR(__xludf.DUMMYFUNCTION("""COMPUTED_VALUE"""),-0.676093788953842)</f>
        <v>-0.67609378895384198</v>
      </c>
      <c r="BY62" s="3">
        <f ca="1">IFERROR(__xludf.DUMMYFUNCTION("""COMPUTED_VALUE"""),-0.610542322565085)</f>
        <v>-0.610542322565085</v>
      </c>
      <c r="BZ62" s="3">
        <f ca="1">IFERROR(__xludf.DUMMYFUNCTION("""COMPUTED_VALUE"""),-0.538141985456618)</f>
        <v>-0.53814198545661796</v>
      </c>
      <c r="CA62" s="3">
        <f ca="1">IFERROR(__xludf.DUMMYFUNCTION("""COMPUTED_VALUE"""),-0.513601235220447)</f>
        <v>-0.51360123522044698</v>
      </c>
      <c r="CB62" s="3">
        <f ca="1">IFERROR(__xludf.DUMMYFUNCTION("""COMPUTED_VALUE"""),-0.661412013221502)</f>
        <v>-0.661412013221502</v>
      </c>
      <c r="CC62" s="3">
        <f ca="1">IFERROR(__xludf.DUMMYFUNCTION("""COMPUTED_VALUE"""),-0.662385510030654)</f>
        <v>-0.66238551003065405</v>
      </c>
      <c r="CD62" s="3">
        <f ca="1">IFERROR(__xludf.DUMMYFUNCTION("""COMPUTED_VALUE"""),-0.671048346238168)</f>
        <v>-0.671048346238168</v>
      </c>
      <c r="CE62" s="3">
        <f ca="1">IFERROR(__xludf.DUMMYFUNCTION("""COMPUTED_VALUE"""),-0.652340587598704)</f>
        <v>-0.65234058759870395</v>
      </c>
      <c r="CF62" s="3">
        <f ca="1">IFERROR(__xludf.DUMMYFUNCTION("""COMPUTED_VALUE"""),-0.62439873140097)</f>
        <v>-0.62439873140097002</v>
      </c>
      <c r="CG62" s="3">
        <f ca="1">IFERROR(__xludf.DUMMYFUNCTION("""COMPUTED_VALUE"""),-0.530577213970779)</f>
        <v>-0.53057721397077895</v>
      </c>
      <c r="CH62" s="3">
        <f ca="1">IFERROR(__xludf.DUMMYFUNCTION("""COMPUTED_VALUE"""),-0.517582859836185)</f>
        <v>-0.51758285983618502</v>
      </c>
      <c r="CI62" s="3">
        <f ca="1">IFERROR(__xludf.DUMMYFUNCTION("""COMPUTED_VALUE"""),-0.663345955113937)</f>
        <v>-0.66334595511393701</v>
      </c>
      <c r="CJ62" s="3">
        <f ca="1">IFERROR(__xludf.DUMMYFUNCTION("""COMPUTED_VALUE"""),-0.659752848687538)</f>
        <v>-0.65975284868753803</v>
      </c>
      <c r="CK62" s="3">
        <f ca="1">IFERROR(__xludf.DUMMYFUNCTION("""COMPUTED_VALUE"""),-0.658746308858458)</f>
        <v>-0.65874630885845797</v>
      </c>
      <c r="CL62" s="3">
        <f ca="1">IFERROR(__xludf.DUMMYFUNCTION("""COMPUTED_VALUE"""),-0.659727674814297)</f>
        <v>-0.65972767481429695</v>
      </c>
      <c r="CM62" s="3">
        <f ca="1">IFERROR(__xludf.DUMMYFUNCTION("""COMPUTED_VALUE"""),-0.621018376984892)</f>
        <v>-0.62101837698489204</v>
      </c>
      <c r="CN62" s="3">
        <f ca="1">IFERROR(__xludf.DUMMYFUNCTION("""COMPUTED_VALUE"""),-0.55523459709069)</f>
        <v>-0.55523459709069001</v>
      </c>
      <c r="CO62" s="3">
        <f ca="1">IFERROR(__xludf.DUMMYFUNCTION("""COMPUTED_VALUE"""),-0.539892767321357)</f>
        <v>-0.53989276732135705</v>
      </c>
      <c r="CP62" s="3">
        <f ca="1">IFERROR(__xludf.DUMMYFUNCTION("""COMPUTED_VALUE"""),-0.657364035749157)</f>
        <v>-0.65736403574915703</v>
      </c>
      <c r="CQ62" s="3">
        <f ca="1">IFERROR(__xludf.DUMMYFUNCTION("""COMPUTED_VALUE"""),-0.649608466488751)</f>
        <v>-0.64960846648875104</v>
      </c>
      <c r="CR62" s="3">
        <f ca="1">IFERROR(__xludf.DUMMYFUNCTION("""COMPUTED_VALUE"""),-0.632124703267639)</f>
        <v>-0.63212470326763903</v>
      </c>
      <c r="CS62" s="3">
        <f ca="1">IFERROR(__xludf.DUMMYFUNCTION("""COMPUTED_VALUE"""),-0.652883191608838)</f>
        <v>-0.65288319160883801</v>
      </c>
      <c r="CT62" s="3">
        <f ca="1">IFERROR(__xludf.DUMMYFUNCTION("""COMPUTED_VALUE"""),-0.626967786992346)</f>
        <v>-0.62696778699234601</v>
      </c>
      <c r="CU62" s="3">
        <f ca="1">IFERROR(__xludf.DUMMYFUNCTION("""COMPUTED_VALUE"""),-0.583395132167707)</f>
        <v>-0.583395132167707</v>
      </c>
      <c r="CV62" s="3">
        <f ca="1">IFERROR(__xludf.DUMMYFUNCTION("""COMPUTED_VALUE"""),-0.573239924102958)</f>
        <v>-0.57323992410295799</v>
      </c>
      <c r="CW62" s="3">
        <f ca="1">IFERROR(__xludf.DUMMYFUNCTION("""COMPUTED_VALUE"""),-0.720337870329267)</f>
        <v>-0.72033787032926699</v>
      </c>
      <c r="CX62" s="3">
        <f ca="1">IFERROR(__xludf.DUMMYFUNCTION("""COMPUTED_VALUE"""),-0.610659968927346)</f>
        <v>-0.61065996892734598</v>
      </c>
      <c r="CY62" s="3">
        <f ca="1">IFERROR(__xludf.DUMMYFUNCTION("""COMPUTED_VALUE"""),-0.519996413000467)</f>
        <v>-0.51999641300046695</v>
      </c>
      <c r="CZ62" s="3">
        <f ca="1">IFERROR(__xludf.DUMMYFUNCTION("""COMPUTED_VALUE"""),-0.612573005981219)</f>
        <v>-0.612573005981219</v>
      </c>
      <c r="DA62" s="3">
        <f ca="1">IFERROR(__xludf.DUMMYFUNCTION("""COMPUTED_VALUE"""),-0.61000631298395)</f>
        <v>-0.61000631298395003</v>
      </c>
      <c r="DB62" s="3">
        <f ca="1">IFERROR(__xludf.DUMMYFUNCTION("""COMPUTED_VALUE"""),-0.579385538790754)</f>
        <v>-0.57938553879075405</v>
      </c>
      <c r="DC62" s="3">
        <f ca="1">IFERROR(__xludf.DUMMYFUNCTION("""COMPUTED_VALUE"""),-0.623134462143267)</f>
        <v>-0.62313446214326695</v>
      </c>
      <c r="DD62" s="3">
        <f ca="1">IFERROR(__xludf.DUMMYFUNCTION("""COMPUTED_VALUE"""),-0.809466386024113)</f>
        <v>-0.80946638602411303</v>
      </c>
      <c r="DE62" s="3">
        <f ca="1">IFERROR(__xludf.DUMMYFUNCTION("""COMPUTED_VALUE"""),-0.627882815810998)</f>
        <v>-0.62788281581099803</v>
      </c>
      <c r="DF62" s="3">
        <f ca="1">IFERROR(__xludf.DUMMYFUNCTION("""COMPUTED_VALUE"""),-0.476835440448834)</f>
        <v>-0.47683544044883402</v>
      </c>
      <c r="DG62" s="3">
        <f ca="1">IFERROR(__xludf.DUMMYFUNCTION("""COMPUTED_VALUE"""),-0.585432605286522)</f>
        <v>-0.58543260528652197</v>
      </c>
      <c r="DH62" s="3">
        <f ca="1">IFERROR(__xludf.DUMMYFUNCTION("""COMPUTED_VALUE"""),-0.582597299980576)</f>
        <v>-0.58259729998057597</v>
      </c>
      <c r="DI62" s="3">
        <f ca="1">IFERROR(__xludf.DUMMYFUNCTION("""COMPUTED_VALUE"""),-0.547492746939106)</f>
        <v>-0.54749274693910599</v>
      </c>
      <c r="DJ62" s="3">
        <f ca="1">IFERROR(__xludf.DUMMYFUNCTION("""COMPUTED_VALUE"""),-0.538906416343861)</f>
        <v>-0.53890641634386105</v>
      </c>
      <c r="DK62" s="3">
        <f ca="1">IFERROR(__xludf.DUMMYFUNCTION("""COMPUTED_VALUE"""),-0.613246140705934)</f>
        <v>-0.61324614070593397</v>
      </c>
      <c r="DL62" s="3">
        <f ca="1">IFERROR(__xludf.DUMMYFUNCTION("""COMPUTED_VALUE"""),-0.638761623491119)</f>
        <v>-0.63876162349111898</v>
      </c>
      <c r="DM62" s="3">
        <f ca="1">IFERROR(__xludf.DUMMYFUNCTION("""COMPUTED_VALUE"""),-0.601235831633366)</f>
        <v>-0.60123583163336602</v>
      </c>
      <c r="DN62" s="3">
        <f ca="1">IFERROR(__xludf.DUMMYFUNCTION("""COMPUTED_VALUE"""),-0.625976475073228)</f>
        <v>-0.62597647507322796</v>
      </c>
      <c r="DO62" s="3">
        <f ca="1">IFERROR(__xludf.DUMMYFUNCTION("""COMPUTED_VALUE"""),-0.667773977490984)</f>
        <v>-0.66777397749098399</v>
      </c>
      <c r="DP62" s="3">
        <f ca="1">IFERROR(__xludf.DUMMYFUNCTION("""COMPUTED_VALUE"""),-0.557266051631061)</f>
        <v>-0.55726605163106102</v>
      </c>
      <c r="DQ62" s="3">
        <f ca="1">IFERROR(__xludf.DUMMYFUNCTION("""COMPUTED_VALUE"""),-0.577829450770798)</f>
        <v>-0.57782945077079795</v>
      </c>
      <c r="DR62" s="3">
        <f ca="1">IFERROR(__xludf.DUMMYFUNCTION("""COMPUTED_VALUE"""),-0.681887424414796)</f>
        <v>-0.681887424414796</v>
      </c>
      <c r="DS62" s="3">
        <f ca="1">IFERROR(__xludf.DUMMYFUNCTION("""COMPUTED_VALUE"""),-0.677605381010055)</f>
        <v>-0.67760538101005496</v>
      </c>
      <c r="DT62" s="3">
        <f ca="1">IFERROR(__xludf.DUMMYFUNCTION("""COMPUTED_VALUE"""),-0.695629852387547)</f>
        <v>-0.69562985238754704</v>
      </c>
      <c r="DU62" s="3">
        <f ca="1">IFERROR(__xludf.DUMMYFUNCTION("""COMPUTED_VALUE"""),-0.680044435372587)</f>
        <v>-0.68004443537258696</v>
      </c>
      <c r="DV62" s="3">
        <f ca="1">IFERROR(__xludf.DUMMYFUNCTION("""COMPUTED_VALUE"""),-0.656307726084728)</f>
        <v>-0.65630772608472798</v>
      </c>
      <c r="DW62" s="3">
        <f ca="1">IFERROR(__xludf.DUMMYFUNCTION("""COMPUTED_VALUE"""),-0.553085899872736)</f>
        <v>-0.55308589987273604</v>
      </c>
      <c r="DX62" s="3">
        <f ca="1">IFERROR(__xludf.DUMMYFUNCTION("""COMPUTED_VALUE"""),-0.59907025061796)</f>
        <v>-0.59907025061796004</v>
      </c>
      <c r="DY62" s="3">
        <f ca="1">IFERROR(__xludf.DUMMYFUNCTION("""COMPUTED_VALUE"""),-0.669465639009485)</f>
        <v>-0.66946563900948497</v>
      </c>
      <c r="DZ62" s="3">
        <f ca="1">IFERROR(__xludf.DUMMYFUNCTION("""COMPUTED_VALUE"""),-0.620695530652853)</f>
        <v>-0.62069553065285299</v>
      </c>
      <c r="EA62" s="3">
        <f ca="1">IFERROR(__xludf.DUMMYFUNCTION("""COMPUTED_VALUE"""),-0.687413304760244)</f>
        <v>-0.68741330476024398</v>
      </c>
      <c r="EB62" s="3">
        <f ca="1">IFERROR(__xludf.DUMMYFUNCTION("""COMPUTED_VALUE"""),-0.674363998109404)</f>
        <v>-0.67436399810940395</v>
      </c>
      <c r="EC62" s="3">
        <f ca="1">IFERROR(__xludf.DUMMYFUNCTION("""COMPUTED_VALUE"""),-0.692618330851496)</f>
        <v>-0.69261833085149604</v>
      </c>
      <c r="ED62" s="3">
        <f ca="1">IFERROR(__xludf.DUMMYFUNCTION("""COMPUTED_VALUE"""),-0.546804432794316)</f>
        <v>-0.54680443279431601</v>
      </c>
      <c r="EE62" s="3">
        <f ca="1">IFERROR(__xludf.DUMMYFUNCTION("""COMPUTED_VALUE"""),-0.580274691285699)</f>
        <v>-0.58027469128569897</v>
      </c>
      <c r="EF62" s="3">
        <f ca="1">IFERROR(__xludf.DUMMYFUNCTION("""COMPUTED_VALUE"""),-0.6889046331552)</f>
        <v>-0.68890463315520001</v>
      </c>
      <c r="EG62" s="3">
        <f ca="1">IFERROR(__xludf.DUMMYFUNCTION("""COMPUTED_VALUE"""),-0.74913144248169)</f>
        <v>-0.74913144248168995</v>
      </c>
      <c r="EH62" s="3">
        <f ca="1">IFERROR(__xludf.DUMMYFUNCTION("""COMPUTED_VALUE"""),-0.670894089616752)</f>
        <v>-0.67089408961675201</v>
      </c>
      <c r="EI62" s="3">
        <f ca="1">IFERROR(__xludf.DUMMYFUNCTION("""COMPUTED_VALUE"""),-0.671973119223333)</f>
        <v>-0.67197311922333303</v>
      </c>
      <c r="EJ62" s="3">
        <f ca="1">IFERROR(__xludf.DUMMYFUNCTION("""COMPUTED_VALUE"""),-0.669656905787014)</f>
        <v>-0.66965690578701398</v>
      </c>
      <c r="EK62" s="3">
        <f ca="1">IFERROR(__xludf.DUMMYFUNCTION("""COMPUTED_VALUE"""),-0.564427612242994)</f>
        <v>-0.56442761224299398</v>
      </c>
      <c r="EL62" s="3">
        <f ca="1">IFERROR(__xludf.DUMMYFUNCTION("""COMPUTED_VALUE"""),-0.569102670472504)</f>
        <v>-0.56910267047250396</v>
      </c>
      <c r="EM62" s="3">
        <f ca="1">IFERROR(__xludf.DUMMYFUNCTION("""COMPUTED_VALUE"""),-0.651466389363628)</f>
        <v>-0.651466389363628</v>
      </c>
      <c r="EN62" s="3">
        <f ca="1">IFERROR(__xludf.DUMMYFUNCTION("""COMPUTED_VALUE"""),-0.623895339543756)</f>
        <v>-0.62389533954375598</v>
      </c>
      <c r="EO62" s="3">
        <f ca="1">IFERROR(__xludf.DUMMYFUNCTION("""COMPUTED_VALUE"""),-0.676419231113103)</f>
        <v>-0.67641923111310298</v>
      </c>
      <c r="EP62" s="3">
        <f ca="1">IFERROR(__xludf.DUMMYFUNCTION("""COMPUTED_VALUE"""),-0.664837984565873)</f>
        <v>-0.66483798456587295</v>
      </c>
      <c r="EQ62" s="3">
        <f ca="1">IFERROR(__xludf.DUMMYFUNCTION("""COMPUTED_VALUE"""),-0.639629372024489)</f>
        <v>-0.639629372024489</v>
      </c>
      <c r="ER62" s="3">
        <f ca="1">IFERROR(__xludf.DUMMYFUNCTION("""COMPUTED_VALUE"""),-0.562245957935389)</f>
        <v>-0.56224595793538901</v>
      </c>
      <c r="ES62" s="3">
        <f ca="1">IFERROR(__xludf.DUMMYFUNCTION("""COMPUTED_VALUE"""),-0.536906996293479)</f>
        <v>-0.53690699629347904</v>
      </c>
      <c r="ET62" s="3">
        <f ca="1">IFERROR(__xludf.DUMMYFUNCTION("""COMPUTED_VALUE"""),-0.677987794973855)</f>
        <v>-0.67798779497385497</v>
      </c>
      <c r="EU62" s="3">
        <f ca="1">IFERROR(__xludf.DUMMYFUNCTION("""COMPUTED_VALUE"""),-0.695118550635549)</f>
        <v>-0.69511855063554895</v>
      </c>
      <c r="EV62" s="3">
        <f ca="1">IFERROR(__xludf.DUMMYFUNCTION("""COMPUTED_VALUE"""),-0.694056473071611)</f>
        <v>-0.694056473071611</v>
      </c>
      <c r="EW62" s="3">
        <f ca="1">IFERROR(__xludf.DUMMYFUNCTION("""COMPUTED_VALUE"""),-0.62732486407248)</f>
        <v>-0.62732486407248</v>
      </c>
      <c r="EX62" s="3">
        <f ca="1">IFERROR(__xludf.DUMMYFUNCTION("""COMPUTED_VALUE"""),-0.613655257595452)</f>
        <v>-0.61365525759545203</v>
      </c>
      <c r="EY62" s="3">
        <f ca="1">IFERROR(__xludf.DUMMYFUNCTION("""COMPUTED_VALUE"""),-0.521333654860267)</f>
        <v>-0.52133365486026695</v>
      </c>
      <c r="EZ62" s="3">
        <f ca="1">IFERROR(__xludf.DUMMYFUNCTION("""COMPUTED_VALUE"""),-0.524354653344975)</f>
        <v>-0.524354653344975</v>
      </c>
      <c r="FA62" s="3">
        <f ca="1">IFERROR(__xludf.DUMMYFUNCTION("""COMPUTED_VALUE"""),-0.67299667283485)</f>
        <v>-0.67299667283484998</v>
      </c>
      <c r="FB62" s="3">
        <f ca="1">IFERROR(__xludf.DUMMYFUNCTION("""COMPUTED_VALUE"""),-0.659202354188659)</f>
        <v>-0.65920235418865902</v>
      </c>
      <c r="FC62" s="3">
        <f ca="1">IFERROR(__xludf.DUMMYFUNCTION("""COMPUTED_VALUE"""),-0.660985079608718)</f>
        <v>-0.660985079608718</v>
      </c>
      <c r="FD62" s="3">
        <f ca="1">IFERROR(__xludf.DUMMYFUNCTION("""COMPUTED_VALUE"""),-0.647701581217407)</f>
        <v>-0.64770158121740695</v>
      </c>
      <c r="FE62" s="3">
        <f ca="1">IFERROR(__xludf.DUMMYFUNCTION("""COMPUTED_VALUE"""),-0.625960138769368)</f>
        <v>-0.62596013876936796</v>
      </c>
      <c r="FF62" s="3">
        <f ca="1">IFERROR(__xludf.DUMMYFUNCTION("""COMPUTED_VALUE"""),-0.561296464653264)</f>
        <v>-0.56129646465326399</v>
      </c>
      <c r="FG62" s="3">
        <f ca="1">IFERROR(__xludf.DUMMYFUNCTION("""COMPUTED_VALUE"""),-0.55407379648379)</f>
        <v>-0.55407379648378996</v>
      </c>
      <c r="FH62" s="3">
        <f ca="1">IFERROR(__xludf.DUMMYFUNCTION("""COMPUTED_VALUE"""),-0.690361886523557)</f>
        <v>-0.69036188652355701</v>
      </c>
      <c r="FI62" s="3">
        <f ca="1">IFERROR(__xludf.DUMMYFUNCTION("""COMPUTED_VALUE"""),-0.717660085169968)</f>
        <v>-0.71766008516996804</v>
      </c>
      <c r="FJ62" s="3">
        <f ca="1">IFERROR(__xludf.DUMMYFUNCTION("""COMPUTED_VALUE"""),-0.682502525818531)</f>
        <v>-0.68250252581853099</v>
      </c>
      <c r="FK62" s="3">
        <f ca="1">IFERROR(__xludf.DUMMYFUNCTION("""COMPUTED_VALUE"""),-0.651177686208263)</f>
        <v>-0.651177686208263</v>
      </c>
      <c r="FL62" s="3">
        <f ca="1">IFERROR(__xludf.DUMMYFUNCTION("""COMPUTED_VALUE"""),-0.655523663191354)</f>
        <v>-0.65552366319135402</v>
      </c>
      <c r="FM62" s="3">
        <f ca="1">IFERROR(__xludf.DUMMYFUNCTION("""COMPUTED_VALUE"""),-0.544838298060788)</f>
        <v>-0.54483829806078798</v>
      </c>
      <c r="FN62" s="3">
        <f ca="1">IFERROR(__xludf.DUMMYFUNCTION("""COMPUTED_VALUE"""),-0.535697526197519)</f>
        <v>-0.53569752619751898</v>
      </c>
      <c r="FO62" s="3">
        <f ca="1">IFERROR(__xludf.DUMMYFUNCTION("""COMPUTED_VALUE"""),-0.664389301034773)</f>
        <v>-0.66438930103477301</v>
      </c>
      <c r="FP62" s="3">
        <f ca="1">IFERROR(__xludf.DUMMYFUNCTION("""COMPUTED_VALUE"""),-0.661098029848385)</f>
        <v>-0.66109802984838495</v>
      </c>
      <c r="FQ62" s="3">
        <f ca="1">IFERROR(__xludf.DUMMYFUNCTION("""COMPUTED_VALUE"""),-0.660626048666194)</f>
        <v>-0.66062604866619401</v>
      </c>
      <c r="FR62" s="3">
        <f ca="1">IFERROR(__xludf.DUMMYFUNCTION("""COMPUTED_VALUE"""),-0.656782451459802)</f>
        <v>-0.65678245145980196</v>
      </c>
      <c r="FS62" s="3">
        <f ca="1">IFERROR(__xludf.DUMMYFUNCTION("""COMPUTED_VALUE"""),-0.631871245678257)</f>
        <v>-0.63187124567825703</v>
      </c>
      <c r="FT62" s="3">
        <f ca="1">IFERROR(__xludf.DUMMYFUNCTION("""COMPUTED_VALUE"""),-0.495244789205943)</f>
        <v>-0.495244789205943</v>
      </c>
      <c r="FU62" s="3">
        <f ca="1">IFERROR(__xludf.DUMMYFUNCTION("""COMPUTED_VALUE"""),-0.528384901644838)</f>
        <v>-0.52838490164483798</v>
      </c>
      <c r="FV62" s="3">
        <f ca="1">IFERROR(__xludf.DUMMYFUNCTION("""COMPUTED_VALUE"""),-0.704606011729494)</f>
        <v>-0.704606011729494</v>
      </c>
      <c r="FW62" s="3">
        <f ca="1">IFERROR(__xludf.DUMMYFUNCTION("""COMPUTED_VALUE"""),-0.661721059434928)</f>
        <v>-0.66172105943492798</v>
      </c>
      <c r="FX62" s="3">
        <f ca="1">IFERROR(__xludf.DUMMYFUNCTION("""COMPUTED_VALUE"""),-0.647536559228095)</f>
        <v>-0.64753655922809505</v>
      </c>
      <c r="FY62" s="3">
        <f ca="1">IFERROR(__xludf.DUMMYFUNCTION("""COMPUTED_VALUE"""),-0.665527227814003)</f>
        <v>-0.66552722781400298</v>
      </c>
      <c r="FZ62" s="3">
        <f ca="1">IFERROR(__xludf.DUMMYFUNCTION("""COMPUTED_VALUE"""),-0.68219104003784)</f>
        <v>-0.68219104003784004</v>
      </c>
      <c r="GA62" s="3">
        <f ca="1">IFERROR(__xludf.DUMMYFUNCTION("""COMPUTED_VALUE"""),-0.537348859891569)</f>
        <v>-0.537348859891569</v>
      </c>
      <c r="GB62" s="3">
        <f ca="1">IFERROR(__xludf.DUMMYFUNCTION("""COMPUTED_VALUE"""),-0.546817796142218)</f>
        <v>-0.54681779614221804</v>
      </c>
      <c r="GC62" s="3">
        <f ca="1">IFERROR(__xludf.DUMMYFUNCTION("""COMPUTED_VALUE"""),-0.663733105108363)</f>
        <v>-0.66373310510836303</v>
      </c>
      <c r="GD62" s="3">
        <f ca="1">IFERROR(__xludf.DUMMYFUNCTION("""COMPUTED_VALUE"""),-0.67490346249593)</f>
        <v>-0.67490346249593003</v>
      </c>
      <c r="GE62" s="3">
        <f ca="1">IFERROR(__xludf.DUMMYFUNCTION("""COMPUTED_VALUE"""),-0.657661701153162)</f>
        <v>-0.65766170115316203</v>
      </c>
      <c r="GF62" s="3">
        <f ca="1">IFERROR(__xludf.DUMMYFUNCTION("""COMPUTED_VALUE"""),-0.670145516947359)</f>
        <v>-0.67014551694735902</v>
      </c>
      <c r="GG62" s="3">
        <f ca="1">IFERROR(__xludf.DUMMYFUNCTION("""COMPUTED_VALUE"""),-0.630246078773288)</f>
        <v>-0.63024607877328798</v>
      </c>
      <c r="GH62" s="3">
        <f ca="1">IFERROR(__xludf.DUMMYFUNCTION("""COMPUTED_VALUE"""),-0.536279396107513)</f>
        <v>-0.53627939610751296</v>
      </c>
      <c r="GI62" s="3">
        <f ca="1">IFERROR(__xludf.DUMMYFUNCTION("""COMPUTED_VALUE"""),-0.535204799815451)</f>
        <v>-0.53520479981545099</v>
      </c>
      <c r="GJ62" s="3">
        <f ca="1">IFERROR(__xludf.DUMMYFUNCTION("""COMPUTED_VALUE"""),-0.650728927629976)</f>
        <v>-0.65072892762997603</v>
      </c>
      <c r="GK62" s="3">
        <f ca="1">IFERROR(__xludf.DUMMYFUNCTION("""COMPUTED_VALUE"""),-0.669127604476654)</f>
        <v>-0.66912760447665398</v>
      </c>
      <c r="GL62" s="3">
        <f ca="1">IFERROR(__xludf.DUMMYFUNCTION("""COMPUTED_VALUE"""),-0.66632616976217)</f>
        <v>-0.66632616976216996</v>
      </c>
      <c r="GM62" s="3">
        <f ca="1">IFERROR(__xludf.DUMMYFUNCTION("""COMPUTED_VALUE"""),-0.69367264201041)</f>
        <v>-0.69367264201041001</v>
      </c>
      <c r="GN62" s="3">
        <f ca="1">IFERROR(__xludf.DUMMYFUNCTION("""COMPUTED_VALUE"""),-0.629722271674451)</f>
        <v>-0.62972227167445105</v>
      </c>
      <c r="GO62" s="3">
        <f ca="1">IFERROR(__xludf.DUMMYFUNCTION("""COMPUTED_VALUE"""),-0.541692399163329)</f>
        <v>-0.54169239916332901</v>
      </c>
      <c r="GP62" s="3">
        <f ca="1">IFERROR(__xludf.DUMMYFUNCTION("""COMPUTED_VALUE"""),-0.554801242343234)</f>
        <v>-0.55480124234323402</v>
      </c>
      <c r="GQ62" s="3">
        <f ca="1">IFERROR(__xludf.DUMMYFUNCTION("""COMPUTED_VALUE"""),-0.64583911130073)</f>
        <v>-0.64583911130073002</v>
      </c>
      <c r="GR62" s="3">
        <f ca="1">IFERROR(__xludf.DUMMYFUNCTION("""COMPUTED_VALUE"""),-0.667420484885686)</f>
        <v>-0.66742048488568595</v>
      </c>
      <c r="GS62" s="3">
        <f ca="1">IFERROR(__xludf.DUMMYFUNCTION("""COMPUTED_VALUE"""),-0.65842931602935)</f>
        <v>-0.65842931602934995</v>
      </c>
      <c r="GT62" s="3">
        <f ca="1">IFERROR(__xludf.DUMMYFUNCTION("""COMPUTED_VALUE"""),-0.653959480118908)</f>
        <v>-0.65395948011890803</v>
      </c>
      <c r="GU62" s="3">
        <f ca="1">IFERROR(__xludf.DUMMYFUNCTION("""COMPUTED_VALUE"""),-0.618685882846018)</f>
        <v>-0.618685882846018</v>
      </c>
      <c r="GV62" s="3">
        <f ca="1">IFERROR(__xludf.DUMMYFUNCTION("""COMPUTED_VALUE"""),-0.52858187015628)</f>
        <v>-0.52858187015628</v>
      </c>
      <c r="GW62" s="3">
        <f ca="1">IFERROR(__xludf.DUMMYFUNCTION("""COMPUTED_VALUE"""),-0.516127706835005)</f>
        <v>-0.51612770683500497</v>
      </c>
      <c r="GX62" s="3">
        <f ca="1">IFERROR(__xludf.DUMMYFUNCTION("""COMPUTED_VALUE"""),-0.642737501509278)</f>
        <v>-0.642737501509278</v>
      </c>
      <c r="GY62" s="3">
        <f ca="1">IFERROR(__xludf.DUMMYFUNCTION("""COMPUTED_VALUE"""),-0.676512165523236)</f>
        <v>-0.67651216552323601</v>
      </c>
      <c r="GZ62" s="3">
        <f ca="1">IFERROR(__xludf.DUMMYFUNCTION("""COMPUTED_VALUE"""),-0.67112375991608)</f>
        <v>-0.67112375991607998</v>
      </c>
      <c r="HA62" s="3">
        <f ca="1">IFERROR(__xludf.DUMMYFUNCTION("""COMPUTED_VALUE"""),-0.667283633984687)</f>
        <v>-0.66728363398468704</v>
      </c>
      <c r="HB62" s="3">
        <f ca="1">IFERROR(__xludf.DUMMYFUNCTION("""COMPUTED_VALUE"""),-0.642605932024812)</f>
        <v>-0.64260593202481198</v>
      </c>
      <c r="HC62" s="3">
        <f ca="1">IFERROR(__xludf.DUMMYFUNCTION("""COMPUTED_VALUE"""),-0.549426436217448)</f>
        <v>-0.54942643621744802</v>
      </c>
      <c r="HD62" s="3">
        <f ca="1">IFERROR(__xludf.DUMMYFUNCTION("""COMPUTED_VALUE"""),-0.535553922124237)</f>
        <v>-0.53555392212423703</v>
      </c>
      <c r="HE62" s="3">
        <f ca="1">IFERROR(__xludf.DUMMYFUNCTION("""COMPUTED_VALUE"""),-0.657711871682069)</f>
        <v>-0.65771187168206902</v>
      </c>
      <c r="HF62" s="3">
        <f ca="1">IFERROR(__xludf.DUMMYFUNCTION("""COMPUTED_VALUE"""),-0.687114131072297)</f>
        <v>-0.68711413107229702</v>
      </c>
      <c r="HG62" s="3">
        <f ca="1">IFERROR(__xludf.DUMMYFUNCTION("""COMPUTED_VALUE"""),-0.67273289891176)</f>
        <v>-0.67273289891176002</v>
      </c>
      <c r="HH62" s="3">
        <f ca="1">IFERROR(__xludf.DUMMYFUNCTION("""COMPUTED_VALUE"""),-0.658453622393583)</f>
        <v>-0.65845362239358296</v>
      </c>
      <c r="HI62" s="3">
        <f ca="1">IFERROR(__xludf.DUMMYFUNCTION("""COMPUTED_VALUE"""),-0.561463036698555)</f>
        <v>-0.56146303669855502</v>
      </c>
      <c r="HJ62" s="3">
        <f ca="1">IFERROR(__xludf.DUMMYFUNCTION("""COMPUTED_VALUE"""),-0.546299068596345)</f>
        <v>-0.54629906859634503</v>
      </c>
      <c r="HK62" s="3">
        <f ca="1">IFERROR(__xludf.DUMMYFUNCTION("""COMPUTED_VALUE"""),-0.527812059265433)</f>
        <v>-0.52781205926543295</v>
      </c>
      <c r="HL62" s="3">
        <f ca="1">IFERROR(__xludf.DUMMYFUNCTION("""COMPUTED_VALUE"""),-0.644363655534787)</f>
        <v>-0.64436365553478703</v>
      </c>
      <c r="HM62" s="3">
        <f ca="1">IFERROR(__xludf.DUMMYFUNCTION("""COMPUTED_VALUE"""),-0.66427673404428)</f>
        <v>-0.66427673404428</v>
      </c>
      <c r="HN62" s="3">
        <f ca="1">IFERROR(__xludf.DUMMYFUNCTION("""COMPUTED_VALUE"""),-0.669206956678297)</f>
        <v>-0.66920695667829699</v>
      </c>
      <c r="HO62" s="3">
        <f ca="1">IFERROR(__xludf.DUMMYFUNCTION("""COMPUTED_VALUE"""),-0.659397387632947)</f>
        <v>-0.65939738763294697</v>
      </c>
      <c r="HP62" s="3">
        <f ca="1">IFERROR(__xludf.DUMMYFUNCTION("""COMPUTED_VALUE"""),-0.601206191797834)</f>
        <v>-0.60120619179783397</v>
      </c>
      <c r="HQ62" s="3">
        <f ca="1">IFERROR(__xludf.DUMMYFUNCTION("""COMPUTED_VALUE"""),-0.535800477418098)</f>
        <v>-0.535800477418098</v>
      </c>
      <c r="HR62" s="3">
        <f ca="1">IFERROR(__xludf.DUMMYFUNCTION("""COMPUTED_VALUE"""),-0.576638909734759)</f>
        <v>-0.57663890973475895</v>
      </c>
      <c r="HS62" s="3">
        <f ca="1">IFERROR(__xludf.DUMMYFUNCTION("""COMPUTED_VALUE"""),-0.635840851389193)</f>
        <v>-0.635840851389193</v>
      </c>
      <c r="HT62" s="3">
        <f ca="1">IFERROR(__xludf.DUMMYFUNCTION("""COMPUTED_VALUE"""),-0.633961316049832)</f>
        <v>-0.63396131604983197</v>
      </c>
      <c r="HU62" s="3">
        <f ca="1">IFERROR(__xludf.DUMMYFUNCTION("""COMPUTED_VALUE"""),-0.627250097870998)</f>
        <v>-0.62725009787099795</v>
      </c>
      <c r="HV62" s="3">
        <f ca="1">IFERROR(__xludf.DUMMYFUNCTION("""COMPUTED_VALUE"""),-0.632091507196404)</f>
        <v>-0.63209150719640395</v>
      </c>
      <c r="HW62" s="3">
        <f ca="1">IFERROR(__xludf.DUMMYFUNCTION("""COMPUTED_VALUE"""),-0.550388958638583)</f>
        <v>-0.55038895863858295</v>
      </c>
      <c r="HX62" s="3">
        <f ca="1">IFERROR(__xludf.DUMMYFUNCTION("""COMPUTED_VALUE"""),-0.566657585558996)</f>
        <v>-0.56665758555899604</v>
      </c>
      <c r="HY62" s="3">
        <f ca="1">IFERROR(__xludf.DUMMYFUNCTION("""COMPUTED_VALUE"""),-0.550874122754003)</f>
        <v>-0.55087412275400305</v>
      </c>
      <c r="HZ62" s="3">
        <f ca="1">IFERROR(__xludf.DUMMYFUNCTION("""COMPUTED_VALUE"""),-0.601508938186527)</f>
        <v>-0.60150893818652695</v>
      </c>
      <c r="IA62" s="3">
        <f ca="1">IFERROR(__xludf.DUMMYFUNCTION("""COMPUTED_VALUE"""),-0.610213001981816)</f>
        <v>-0.61021300198181605</v>
      </c>
      <c r="IB62" s="3">
        <f ca="1">IFERROR(__xludf.DUMMYFUNCTION("""COMPUTED_VALUE"""),-0.608786635105308)</f>
        <v>-0.60878663510530795</v>
      </c>
      <c r="IC62" s="3">
        <f ca="1">IFERROR(__xludf.DUMMYFUNCTION("""COMPUTED_VALUE"""),-0.588152345233221)</f>
        <v>-0.58815234523322102</v>
      </c>
      <c r="ID62" s="3">
        <f ca="1">IFERROR(__xludf.DUMMYFUNCTION("""COMPUTED_VALUE"""),-0.580163282552358)</f>
        <v>-0.58016328255235805</v>
      </c>
      <c r="IE62" s="3">
        <f ca="1">IFERROR(__xludf.DUMMYFUNCTION("""COMPUTED_VALUE"""),-0.584148991700717)</f>
        <v>-0.58414899170071699</v>
      </c>
      <c r="IF62" s="3">
        <f ca="1">IFERROR(__xludf.DUMMYFUNCTION("""COMPUTED_VALUE"""),-0.544157065980453)</f>
        <v>-0.54415706598045299</v>
      </c>
      <c r="IG62" s="3">
        <f ca="1">IFERROR(__xludf.DUMMYFUNCTION("""COMPUTED_VALUE"""),-0.566851503838042)</f>
        <v>-0.56685150383804195</v>
      </c>
      <c r="IH62" s="3">
        <f ca="1">IFERROR(__xludf.DUMMYFUNCTION("""COMPUTED_VALUE"""),-0.609354442010977)</f>
        <v>-0.60935444201097699</v>
      </c>
      <c r="II62" s="3">
        <f ca="1">IFERROR(__xludf.DUMMYFUNCTION("""COMPUTED_VALUE"""),-0.591242104208538)</f>
        <v>-0.59124210420853796</v>
      </c>
      <c r="IJ62" s="3">
        <f ca="1">IFERROR(__xludf.DUMMYFUNCTION("""COMPUTED_VALUE"""),-0.559006865097086)</f>
        <v>-0.55900686509708597</v>
      </c>
      <c r="IK62" s="3">
        <f ca="1">IFERROR(__xludf.DUMMYFUNCTION("""COMPUTED_VALUE"""),-0.538306162579802)</f>
        <v>-0.53830616257980202</v>
      </c>
      <c r="IL62" s="3">
        <f ca="1">IFERROR(__xludf.DUMMYFUNCTION("""COMPUTED_VALUE"""),-0.53086735892641)</f>
        <v>-0.53086735892641002</v>
      </c>
      <c r="IM62" s="3">
        <f ca="1">IFERROR(__xludf.DUMMYFUNCTION("""COMPUTED_VALUE"""),-0.550223942991805)</f>
        <v>-0.55022394299180499</v>
      </c>
      <c r="IN62" s="3">
        <f ca="1">IFERROR(__xludf.DUMMYFUNCTION("""COMPUTED_VALUE"""),-0.598249776948642)</f>
        <v>-0.59824977694864201</v>
      </c>
      <c r="IO62" s="3">
        <f ca="1">IFERROR(__xludf.DUMMYFUNCTION("""COMPUTED_VALUE"""),-0.593268819598485)</f>
        <v>-0.59326881959848499</v>
      </c>
      <c r="IP62" s="3">
        <f ca="1">IFERROR(__xludf.DUMMYFUNCTION("""COMPUTED_VALUE"""),-0.519556485050823)</f>
        <v>-0.51955648505082297</v>
      </c>
      <c r="IQ62" s="3">
        <f ca="1">IFERROR(__xludf.DUMMYFUNCTION("""COMPUTED_VALUE"""),-0.62395191733363)</f>
        <v>-0.62395191733362998</v>
      </c>
      <c r="IR62" s="3">
        <f ca="1">IFERROR(__xludf.DUMMYFUNCTION("""COMPUTED_VALUE"""),-0.560990052073581)</f>
        <v>-0.56099005207358099</v>
      </c>
      <c r="IS62" s="3">
        <f ca="1">IFERROR(__xludf.DUMMYFUNCTION("""COMPUTED_VALUE"""),-0.540134358394319)</f>
        <v>-0.540134358394319</v>
      </c>
      <c r="IT62" s="3">
        <f ca="1">IFERROR(__xludf.DUMMYFUNCTION("""COMPUTED_VALUE"""),-0.531514835946601)</f>
        <v>-0.53151483594660098</v>
      </c>
      <c r="IU62" s="3">
        <f ca="1">IFERROR(__xludf.DUMMYFUNCTION("""COMPUTED_VALUE"""),-0.580729902353955)</f>
        <v>-0.58072990235395505</v>
      </c>
      <c r="IV62" s="3">
        <f ca="1">IFERROR(__xludf.DUMMYFUNCTION("""COMPUTED_VALUE"""),-0.588478961766725)</f>
        <v>-0.58847896176672498</v>
      </c>
      <c r="IW62" s="3">
        <f ca="1">IFERROR(__xludf.DUMMYFUNCTION("""COMPUTED_VALUE"""),-0.572516365189995)</f>
        <v>-0.57251636518999505</v>
      </c>
      <c r="IX62" s="3">
        <f ca="1">IFERROR(__xludf.DUMMYFUNCTION("""COMPUTED_VALUE"""),-0.574527495599148)</f>
        <v>-0.57452749559914795</v>
      </c>
      <c r="IY62" s="3">
        <f ca="1">IFERROR(__xludf.DUMMYFUNCTION("""COMPUTED_VALUE"""),-0.558076849587336)</f>
        <v>-0.55807684958733605</v>
      </c>
      <c r="IZ62" s="3">
        <f ca="1">IFERROR(__xludf.DUMMYFUNCTION("""COMPUTED_VALUE"""),-0.542819123104725)</f>
        <v>-0.54281912310472502</v>
      </c>
      <c r="JA62" s="3">
        <f ca="1">IFERROR(__xludf.DUMMYFUNCTION("""COMPUTED_VALUE"""),-0.525043646328305)</f>
        <v>-0.52504364632830502</v>
      </c>
      <c r="JB62" s="3">
        <f ca="1">IFERROR(__xludf.DUMMYFUNCTION("""COMPUTED_VALUE"""),-0.612921838230889)</f>
        <v>-0.61292183823088897</v>
      </c>
      <c r="JC62" s="3">
        <f ca="1">IFERROR(__xludf.DUMMYFUNCTION("""COMPUTED_VALUE"""),-0.598876325257181)</f>
        <v>-0.59887632525718104</v>
      </c>
      <c r="JD62" s="3">
        <f ca="1">IFERROR(__xludf.DUMMYFUNCTION("""COMPUTED_VALUE"""),-0.591704101116678)</f>
        <v>-0.59170410111667804</v>
      </c>
      <c r="JE62" s="3">
        <f ca="1">IFERROR(__xludf.DUMMYFUNCTION("""COMPUTED_VALUE"""),-0.567143311303713)</f>
        <v>-0.56714331130371298</v>
      </c>
      <c r="JF62" s="3">
        <f ca="1">IFERROR(__xludf.DUMMYFUNCTION("""COMPUTED_VALUE"""),-0.555427128264423)</f>
        <v>-0.55542712826442298</v>
      </c>
      <c r="JG62" s="3">
        <f ca="1">IFERROR(__xludf.DUMMYFUNCTION("""COMPUTED_VALUE"""),-0.517545241765926)</f>
        <v>-0.51754524176592598</v>
      </c>
      <c r="JH62" s="3">
        <f ca="1">IFERROR(__xludf.DUMMYFUNCTION("""COMPUTED_VALUE"""),-0.504627572721561)</f>
        <v>-0.504627572721561</v>
      </c>
      <c r="JI62" s="3">
        <f ca="1">IFERROR(__xludf.DUMMYFUNCTION("""COMPUTED_VALUE"""),-0.566113289446894)</f>
        <v>-0.56611328944689399</v>
      </c>
      <c r="JJ62" s="3">
        <f ca="1">IFERROR(__xludf.DUMMYFUNCTION("""COMPUTED_VALUE"""),-0.563424992457088)</f>
        <v>-0.56342499245708799</v>
      </c>
      <c r="JK62" s="3">
        <f ca="1">IFERROR(__xludf.DUMMYFUNCTION("""COMPUTED_VALUE"""),-0.574960959269209)</f>
        <v>-0.57496095926920898</v>
      </c>
      <c r="JL62" s="3">
        <f ca="1">IFERROR(__xludf.DUMMYFUNCTION("""COMPUTED_VALUE"""),-0.553819149308861)</f>
        <v>-0.553819149308861</v>
      </c>
      <c r="JM62" s="3">
        <f ca="1">IFERROR(__xludf.DUMMYFUNCTION("""COMPUTED_VALUE"""),-0.535828950793452)</f>
        <v>-0.53582895079345205</v>
      </c>
      <c r="JN62" s="3">
        <f ca="1">IFERROR(__xludf.DUMMYFUNCTION("""COMPUTED_VALUE"""),-0.489469915536281)</f>
        <v>-0.489469915536281</v>
      </c>
      <c r="JO62" s="3">
        <f ca="1">IFERROR(__xludf.DUMMYFUNCTION("""COMPUTED_VALUE"""),-0.492761404350302)</f>
        <v>-0.49276140435030202</v>
      </c>
      <c r="JP62" s="3">
        <f ca="1">IFERROR(__xludf.DUMMYFUNCTION("""COMPUTED_VALUE"""),-0.641797078629194)</f>
        <v>-0.641797078629194</v>
      </c>
      <c r="JQ62" s="3">
        <f ca="1">IFERROR(__xludf.DUMMYFUNCTION("""COMPUTED_VALUE"""),-0.547259565214549)</f>
        <v>-0.54725956521454899</v>
      </c>
      <c r="JR62" s="3">
        <f ca="1">IFERROR(__xludf.DUMMYFUNCTION("""COMPUTED_VALUE"""),-0.603600699255365)</f>
        <v>-0.60360069925536497</v>
      </c>
      <c r="JS62" s="3">
        <f ca="1">IFERROR(__xludf.DUMMYFUNCTION("""COMPUTED_VALUE"""),-0.593937354732786)</f>
        <v>-0.59393735473278597</v>
      </c>
      <c r="JT62" s="3">
        <f ca="1">IFERROR(__xludf.DUMMYFUNCTION("""COMPUTED_VALUE"""),-0.60673755080157)</f>
        <v>-0.60673755080156999</v>
      </c>
      <c r="JU62" s="3">
        <f ca="1">IFERROR(__xludf.DUMMYFUNCTION("""COMPUTED_VALUE"""),-0.509461005659609)</f>
        <v>-0.50946100565960895</v>
      </c>
      <c r="JV62" s="3">
        <f ca="1">IFERROR(__xludf.DUMMYFUNCTION("""COMPUTED_VALUE"""),-0.496098196365736)</f>
        <v>-0.49609819636573599</v>
      </c>
      <c r="JW62" s="3">
        <f ca="1">IFERROR(__xludf.DUMMYFUNCTION("""COMPUTED_VALUE"""),-0.581668326150756)</f>
        <v>-0.58166832615075603</v>
      </c>
      <c r="JX62" s="3">
        <f ca="1">IFERROR(__xludf.DUMMYFUNCTION("""COMPUTED_VALUE"""),-0.539136361046962)</f>
        <v>-0.53913636104696205</v>
      </c>
      <c r="JY62" s="3">
        <f ca="1">IFERROR(__xludf.DUMMYFUNCTION("""COMPUTED_VALUE"""),-0.593169650053582)</f>
        <v>-0.59316965005358202</v>
      </c>
      <c r="JZ62" s="3">
        <f ca="1">IFERROR(__xludf.DUMMYFUNCTION("""COMPUTED_VALUE"""),-0.586127135516563)</f>
        <v>-0.58612713551656304</v>
      </c>
      <c r="KA62" s="3">
        <f ca="1">IFERROR(__xludf.DUMMYFUNCTION("""COMPUTED_VALUE"""),-0.547797406128977)</f>
        <v>-0.54779740612897698</v>
      </c>
      <c r="KB62" s="3">
        <f ca="1">IFERROR(__xludf.DUMMYFUNCTION("""COMPUTED_VALUE"""),-0.530456681526103)</f>
        <v>-0.53045668152610304</v>
      </c>
      <c r="KC62" s="3">
        <f ca="1">IFERROR(__xludf.DUMMYFUNCTION("""COMPUTED_VALUE"""),-0.556318986227701)</f>
        <v>-0.55631898622770104</v>
      </c>
      <c r="KD62" s="3">
        <f ca="1">IFERROR(__xludf.DUMMYFUNCTION("""COMPUTED_VALUE"""),-0.577285306509354)</f>
        <v>-0.57728530650935395</v>
      </c>
      <c r="KE62" s="3">
        <f ca="1">IFERROR(__xludf.DUMMYFUNCTION("""COMPUTED_VALUE"""),-0.609358201592682)</f>
        <v>-0.60935820159268195</v>
      </c>
      <c r="KF62" s="3">
        <f ca="1">IFERROR(__xludf.DUMMYFUNCTION("""COMPUTED_VALUE"""),-0.617839205445248)</f>
        <v>-0.61783920544524795</v>
      </c>
      <c r="KG62" s="3">
        <f ca="1">IFERROR(__xludf.DUMMYFUNCTION("""COMPUTED_VALUE"""),-0.60820926570824)</f>
        <v>-0.60820926570823997</v>
      </c>
      <c r="KH62" s="3">
        <f ca="1">IFERROR(__xludf.DUMMYFUNCTION("""COMPUTED_VALUE"""),-0.58026963189351)</f>
        <v>-0.58026963189351</v>
      </c>
      <c r="KI62" s="3">
        <f ca="1">IFERROR(__xludf.DUMMYFUNCTION("""COMPUTED_VALUE"""),-0.559483956552149)</f>
        <v>-0.559483956552149</v>
      </c>
      <c r="KJ62" s="3">
        <f ca="1">IFERROR(__xludf.DUMMYFUNCTION("""COMPUTED_VALUE"""),-0.613997593538331)</f>
        <v>-0.61399759353833105</v>
      </c>
      <c r="KK62" s="3">
        <f ca="1">IFERROR(__xludf.DUMMYFUNCTION("""COMPUTED_VALUE"""),-0.636232897047179)</f>
        <v>-0.636232897047179</v>
      </c>
      <c r="KL62" s="3">
        <f ca="1">IFERROR(__xludf.DUMMYFUNCTION("""COMPUTED_VALUE"""),-0.656164047867923)</f>
        <v>-0.65616404786792304</v>
      </c>
      <c r="KM62" s="3">
        <f ca="1">IFERROR(__xludf.DUMMYFUNCTION("""COMPUTED_VALUE"""),-0.650204406772567)</f>
        <v>-0.65020440677256697</v>
      </c>
      <c r="KN62" s="3">
        <f ca="1">IFERROR(__xludf.DUMMYFUNCTION("""COMPUTED_VALUE"""),-0.648089959203888)</f>
        <v>-0.64808995920388801</v>
      </c>
      <c r="KO62" s="3">
        <f ca="1">IFERROR(__xludf.DUMMYFUNCTION("""COMPUTED_VALUE"""),-0.600786863010756)</f>
        <v>-0.60078686301075601</v>
      </c>
      <c r="KP62" s="3">
        <f ca="1">IFERROR(__xludf.DUMMYFUNCTION("""COMPUTED_VALUE"""),-0.587837941861535)</f>
        <v>-0.58783794186153504</v>
      </c>
      <c r="KQ62" s="3">
        <f ca="1">IFERROR(__xludf.DUMMYFUNCTION("""COMPUTED_VALUE"""),-0.579633991854205)</f>
        <v>-0.57963399185420506</v>
      </c>
      <c r="KR62" s="3">
        <f ca="1">IFERROR(__xludf.DUMMYFUNCTION("""COMPUTED_VALUE"""),-0.633252357919957)</f>
        <v>-0.63325235791995704</v>
      </c>
      <c r="KS62" s="3">
        <f ca="1">IFERROR(__xludf.DUMMYFUNCTION("""COMPUTED_VALUE"""),-0.675321032831765)</f>
        <v>-0.67532103283176503</v>
      </c>
      <c r="KT62" s="3">
        <f ca="1">IFERROR(__xludf.DUMMYFUNCTION("""COMPUTED_VALUE"""),-0.666932695789687)</f>
        <v>-0.66693269578968695</v>
      </c>
      <c r="KU62" s="3">
        <f ca="1">IFERROR(__xludf.DUMMYFUNCTION("""COMPUTED_VALUE"""),-0.675546513882445)</f>
        <v>-0.67554651388244502</v>
      </c>
      <c r="KV62" s="3">
        <f ca="1">IFERROR(__xludf.DUMMYFUNCTION("""COMPUTED_VALUE"""),-0.648243090156933)</f>
        <v>-0.64824309015693304</v>
      </c>
      <c r="KW62" s="3">
        <f ca="1">IFERROR(__xludf.DUMMYFUNCTION("""COMPUTED_VALUE"""),-0.626920086636856)</f>
        <v>-0.62692008663685606</v>
      </c>
      <c r="KX62" s="3">
        <f ca="1">IFERROR(__xludf.DUMMYFUNCTION("""COMPUTED_VALUE"""),-0.649870874889199)</f>
        <v>-0.64987087488919903</v>
      </c>
      <c r="KY62" s="3">
        <f ca="1">IFERROR(__xludf.DUMMYFUNCTION("""COMPUTED_VALUE"""),-0.738556195545121)</f>
        <v>-0.73855619554512097</v>
      </c>
      <c r="KZ62" s="3">
        <f ca="1">IFERROR(__xludf.DUMMYFUNCTION("""COMPUTED_VALUE"""),-0.738746405167996)</f>
        <v>-0.73874640516799595</v>
      </c>
      <c r="LA62" s="3">
        <f ca="1">IFERROR(__xludf.DUMMYFUNCTION("""COMPUTED_VALUE"""),-0.760014412354537)</f>
        <v>-0.76001441235453704</v>
      </c>
      <c r="LB62" s="3">
        <f ca="1">IFERROR(__xludf.DUMMYFUNCTION("""COMPUTED_VALUE"""),-0.769514506374597)</f>
        <v>-0.76951450637459695</v>
      </c>
      <c r="LC62" s="3">
        <f ca="1">IFERROR(__xludf.DUMMYFUNCTION("""COMPUTED_VALUE"""),-0.727858090024597)</f>
        <v>-0.727858090024597</v>
      </c>
      <c r="LD62" s="3">
        <f ca="1">IFERROR(__xludf.DUMMYFUNCTION("""COMPUTED_VALUE"""),-0.706068132150561)</f>
        <v>-0.70606813215056097</v>
      </c>
      <c r="LE62" s="3">
        <f ca="1">IFERROR(__xludf.DUMMYFUNCTION("""COMPUTED_VALUE"""),-0.644228032499278)</f>
        <v>-0.64422803249927796</v>
      </c>
      <c r="LF62" s="3">
        <f ca="1">IFERROR(__xludf.DUMMYFUNCTION("""COMPUTED_VALUE"""),-0.741819163702203)</f>
        <v>-0.74181916370220302</v>
      </c>
      <c r="LG62" s="3">
        <f ca="1">IFERROR(__xludf.DUMMYFUNCTION("""COMPUTED_VALUE"""),-0.755960030291745)</f>
        <v>-0.75596003029174497</v>
      </c>
      <c r="LH62" s="3">
        <f ca="1">IFERROR(__xludf.DUMMYFUNCTION("""COMPUTED_VALUE"""),-0.732740520649734)</f>
        <v>-0.73274052064973405</v>
      </c>
      <c r="LI62" s="3">
        <f ca="1">IFERROR(__xludf.DUMMYFUNCTION("""COMPUTED_VALUE"""),-0.710047400030066)</f>
        <v>-0.71004740003006594</v>
      </c>
      <c r="LJ62" s="3">
        <f ca="1">IFERROR(__xludf.DUMMYFUNCTION("""COMPUTED_VALUE"""),-0.694786450564237)</f>
        <v>-0.69478645056423705</v>
      </c>
      <c r="LK62" s="3">
        <f ca="1">IFERROR(__xludf.DUMMYFUNCTION("""COMPUTED_VALUE"""),-0.644927260121322)</f>
        <v>-0.64492726012132195</v>
      </c>
      <c r="LL62" s="3">
        <f ca="1">IFERROR(__xludf.DUMMYFUNCTION("""COMPUTED_VALUE"""),-0.696953945015103)</f>
        <v>-0.69695394501510299</v>
      </c>
      <c r="LM62" s="3">
        <f ca="1">IFERROR(__xludf.DUMMYFUNCTION("""COMPUTED_VALUE"""),-0.779480463659137)</f>
        <v>-0.77948046365913704</v>
      </c>
      <c r="LN62" s="3">
        <f ca="1">IFERROR(__xludf.DUMMYFUNCTION("""COMPUTED_VALUE"""),-0.754413097249704)</f>
        <v>-0.75441309724970396</v>
      </c>
      <c r="LO62" s="3">
        <f ca="1">IFERROR(__xludf.DUMMYFUNCTION("""COMPUTED_VALUE"""),-0.754190857845081)</f>
        <v>-0.754190857845081</v>
      </c>
      <c r="LP62" s="3">
        <f ca="1">IFERROR(__xludf.DUMMYFUNCTION("""COMPUTED_VALUE"""),-0.704030586036696)</f>
        <v>-0.70403058603669599</v>
      </c>
      <c r="LQ62" s="3">
        <f ca="1">IFERROR(__xludf.DUMMYFUNCTION("""COMPUTED_VALUE"""),-0.656411920958194)</f>
        <v>-0.65641192095819401</v>
      </c>
      <c r="LR62" s="3">
        <f ca="1">IFERROR(__xludf.DUMMYFUNCTION("""COMPUTED_VALUE"""),-0.572611980177623)</f>
        <v>-0.57261198017762305</v>
      </c>
      <c r="LS62" s="3">
        <f ca="1">IFERROR(__xludf.DUMMYFUNCTION("""COMPUTED_VALUE"""),-0.623098864983571)</f>
        <v>-0.62309886498357103</v>
      </c>
      <c r="LT62" s="3">
        <f ca="1">IFERROR(__xludf.DUMMYFUNCTION("""COMPUTED_VALUE"""),-0.690833969196409)</f>
        <v>-0.69083396919640905</v>
      </c>
      <c r="LU62" s="3">
        <f ca="1">IFERROR(__xludf.DUMMYFUNCTION("""COMPUTED_VALUE"""),-0.714507526457164)</f>
        <v>-0.71450752645716398</v>
      </c>
      <c r="LV62" s="3">
        <f ca="1">IFERROR(__xludf.DUMMYFUNCTION("""COMPUTED_VALUE"""),-0.698698663146279)</f>
        <v>-0.69869866314627904</v>
      </c>
      <c r="LW62" s="3">
        <f ca="1">IFERROR(__xludf.DUMMYFUNCTION("""COMPUTED_VALUE"""),-0.668509405100656)</f>
        <v>-0.66850940510065604</v>
      </c>
      <c r="LX62" s="3">
        <f ca="1">IFERROR(__xludf.DUMMYFUNCTION("""COMPUTED_VALUE"""),-0.62985334777892)</f>
        <v>-0.62985334777891999</v>
      </c>
      <c r="LY62" s="3">
        <f ca="1">IFERROR(__xludf.DUMMYFUNCTION("""COMPUTED_VALUE"""),-0.572548114853906)</f>
        <v>-0.572548114853906</v>
      </c>
      <c r="LZ62" s="3">
        <f ca="1">IFERROR(__xludf.DUMMYFUNCTION("""COMPUTED_VALUE"""),-0.665615712321022)</f>
        <v>-0.66561571232102201</v>
      </c>
      <c r="MA62" s="3">
        <f ca="1">IFERROR(__xludf.DUMMYFUNCTION("""COMPUTED_VALUE"""),-0.722132046167593)</f>
        <v>-0.72213204616759297</v>
      </c>
      <c r="MB62" s="3">
        <f ca="1">IFERROR(__xludf.DUMMYFUNCTION("""COMPUTED_VALUE"""),-0.661657006820305)</f>
        <v>-0.66165700682030504</v>
      </c>
      <c r="MC62" s="3">
        <f ca="1">IFERROR(__xludf.DUMMYFUNCTION("""COMPUTED_VALUE"""),-0.666013567705991)</f>
        <v>-0.66601356770599096</v>
      </c>
      <c r="MD62" s="3">
        <f ca="1">IFERROR(__xludf.DUMMYFUNCTION("""COMPUTED_VALUE"""),-0.670832934410984)</f>
        <v>-0.67083293441098402</v>
      </c>
      <c r="ME62" s="3">
        <f ca="1">IFERROR(__xludf.DUMMYFUNCTION("""COMPUTED_VALUE"""),-0.613580150735146)</f>
        <v>-0.61358015073514605</v>
      </c>
      <c r="MF62" s="3">
        <f ca="1">IFERROR(__xludf.DUMMYFUNCTION("""COMPUTED_VALUE"""),-0.523111854056288)</f>
        <v>-0.52311185405628802</v>
      </c>
      <c r="MG62" s="3">
        <f ca="1">IFERROR(__xludf.DUMMYFUNCTION("""COMPUTED_VALUE"""),-0.575363928590533)</f>
        <v>-0.57536392859053298</v>
      </c>
      <c r="MH62" s="3">
        <f ca="1">IFERROR(__xludf.DUMMYFUNCTION("""COMPUTED_VALUE"""),-0.652053198854364)</f>
        <v>-0.65205319885436397</v>
      </c>
      <c r="MI62" s="3">
        <f ca="1">IFERROR(__xludf.DUMMYFUNCTION("""COMPUTED_VALUE"""),-0.665848952663137)</f>
        <v>-0.66584895266313704</v>
      </c>
      <c r="MJ62" s="3">
        <f ca="1">IFERROR(__xludf.DUMMYFUNCTION("""COMPUTED_VALUE"""),-0.575232314394499)</f>
        <v>-0.57523231439449896</v>
      </c>
      <c r="MK62" s="3">
        <f ca="1">IFERROR(__xludf.DUMMYFUNCTION("""COMPUTED_VALUE"""),-0.580970460420419)</f>
        <v>-0.580970460420419</v>
      </c>
      <c r="ML62" s="3">
        <f ca="1">IFERROR(__xludf.DUMMYFUNCTION("""COMPUTED_VALUE"""),-0.573241058590108)</f>
        <v>-0.57324105859010799</v>
      </c>
      <c r="MM62" s="3">
        <f ca="1">IFERROR(__xludf.DUMMYFUNCTION("""COMPUTED_VALUE"""),-0.537813412639892)</f>
        <v>-0.53781341263989202</v>
      </c>
      <c r="MN62" s="3">
        <f ca="1">IFERROR(__xludf.DUMMYFUNCTION("""COMPUTED_VALUE"""),-0.610361207861772)</f>
        <v>-0.61036120786177195</v>
      </c>
      <c r="MO62" s="3">
        <f ca="1">IFERROR(__xludf.DUMMYFUNCTION("""COMPUTED_VALUE"""),-0.683548981208231)</f>
        <v>-0.68354898120823104</v>
      </c>
      <c r="MP62" s="3">
        <f ca="1">IFERROR(__xludf.DUMMYFUNCTION("""COMPUTED_VALUE"""),-0.672399155996507)</f>
        <v>-0.67239915599650701</v>
      </c>
      <c r="MQ62" s="3">
        <f ca="1">IFERROR(__xludf.DUMMYFUNCTION("""COMPUTED_VALUE"""),-0.6842494259873)</f>
        <v>-0.68424942598729999</v>
      </c>
      <c r="MR62" s="3">
        <f ca="1">IFERROR(__xludf.DUMMYFUNCTION("""COMPUTED_VALUE"""),-0.675845237251071)</f>
        <v>-0.67584523725107104</v>
      </c>
      <c r="MS62" s="3">
        <f ca="1">IFERROR(__xludf.DUMMYFUNCTION("""COMPUTED_VALUE"""),-0.612870567495406)</f>
        <v>-0.61287056749540603</v>
      </c>
      <c r="MT62" s="3">
        <f ca="1">IFERROR(__xludf.DUMMYFUNCTION("""COMPUTED_VALUE"""),-0.56998937624177)</f>
        <v>-0.56998937624177004</v>
      </c>
      <c r="MU62" s="3">
        <f ca="1">IFERROR(__xludf.DUMMYFUNCTION("""COMPUTED_VALUE"""),-0.638825461481973)</f>
        <v>-0.63882546148197294</v>
      </c>
      <c r="MV62" s="3">
        <f ca="1">IFERROR(__xludf.DUMMYFUNCTION("""COMPUTED_VALUE"""),-0.664738696278626)</f>
        <v>-0.66473869627862603</v>
      </c>
      <c r="MW62" s="3">
        <f ca="1">IFERROR(__xludf.DUMMYFUNCTION("""COMPUTED_VALUE"""),-0.644308952632779)</f>
        <v>-0.64430895263277899</v>
      </c>
      <c r="MX62" s="3">
        <f ca="1">IFERROR(__xludf.DUMMYFUNCTION("""COMPUTED_VALUE"""),-0.677873160407349)</f>
        <v>-0.67787316040734902</v>
      </c>
      <c r="MY62" s="3">
        <f ca="1">IFERROR(__xludf.DUMMYFUNCTION("""COMPUTED_VALUE"""),-0.644016981277248)</f>
        <v>-0.64401698127724805</v>
      </c>
      <c r="MZ62" s="3">
        <f ca="1">IFERROR(__xludf.DUMMYFUNCTION("""COMPUTED_VALUE"""),-0.673724457423092)</f>
        <v>-0.67372445742309195</v>
      </c>
      <c r="NA62" s="3">
        <f ca="1">IFERROR(__xludf.DUMMYFUNCTION("""COMPUTED_VALUE"""),-0.59060998657941)</f>
        <v>-0.59060998657941</v>
      </c>
      <c r="NB62" s="3">
        <f ca="1">IFERROR(__xludf.DUMMYFUNCTION("""COMPUTED_VALUE"""),-0.602369348229582)</f>
        <v>-0.60236934822958199</v>
      </c>
      <c r="NC62" s="3">
        <f ca="1">IFERROR(__xludf.DUMMYFUNCTION("""COMPUTED_VALUE"""),-0.637828618628964)</f>
        <v>-0.63782861862896401</v>
      </c>
      <c r="ND62" s="3">
        <f ca="1">IFERROR(__xludf.DUMMYFUNCTION("""COMPUTED_VALUE"""),-0.558532223031499)</f>
        <v>-0.55853222303149896</v>
      </c>
      <c r="NE62" s="3">
        <f ca="1">IFERROR(__xludf.DUMMYFUNCTION("""COMPUTED_VALUE"""),-0.609914906305195)</f>
        <v>-0.60991490630519496</v>
      </c>
      <c r="NF62" s="3">
        <f ca="1">IFERROR(__xludf.DUMMYFUNCTION("""COMPUTED_VALUE"""),-0.609833461602535)</f>
        <v>-0.60983346160253504</v>
      </c>
      <c r="NG62" s="3">
        <f ca="1">IFERROR(__xludf.DUMMYFUNCTION("""COMPUTED_VALUE"""),-0.594672012398104)</f>
        <v>-0.59467201239810397</v>
      </c>
      <c r="NH62" s="3">
        <f ca="1">IFERROR(__xludf.DUMMYFUNCTION("""COMPUTED_VALUE"""),-0.515675770037233)</f>
        <v>-0.51567577003723297</v>
      </c>
      <c r="NI62" s="3">
        <f ca="1">IFERROR(__xludf.DUMMYFUNCTION("""COMPUTED_VALUE"""),-0.579980009591665)</f>
        <v>-0.57998000959166496</v>
      </c>
      <c r="NJ62" s="3">
        <f ca="1">IFERROR(__xludf.DUMMYFUNCTION("""COMPUTED_VALUE"""),-0.647584859423381)</f>
        <v>-0.64758485942338095</v>
      </c>
      <c r="NK62" s="3">
        <f ca="1">IFERROR(__xludf.DUMMYFUNCTION("""COMPUTED_VALUE"""),-0.647150788421028)</f>
        <v>-0.64715078842102802</v>
      </c>
      <c r="NL62" s="3">
        <f ca="1">IFERROR(__xludf.DUMMYFUNCTION("""COMPUTED_VALUE"""),-0.643541669798705)</f>
        <v>-0.64354166979870497</v>
      </c>
      <c r="NM62" s="3">
        <f ca="1">IFERROR(__xludf.DUMMYFUNCTION("""COMPUTED_VALUE"""),-0.660966407411364)</f>
        <v>-0.66096640741136403</v>
      </c>
      <c r="NN62" s="3">
        <f ca="1">IFERROR(__xludf.DUMMYFUNCTION("""COMPUTED_VALUE"""),-0.625811261708508)</f>
        <v>-0.62581126170850798</v>
      </c>
      <c r="NO62" s="3">
        <f ca="1">IFERROR(__xludf.DUMMYFUNCTION("""COMPUTED_VALUE"""),-0.593498464454914)</f>
        <v>-0.59349846445491405</v>
      </c>
      <c r="NP62" s="3">
        <f ca="1">IFERROR(__xludf.DUMMYFUNCTION("""COMPUTED_VALUE"""),-0.655506699973527)</f>
        <v>-0.65550669997352695</v>
      </c>
      <c r="NQ62" s="3">
        <f ca="1">IFERROR(__xludf.DUMMYFUNCTION("""COMPUTED_VALUE"""),-0.658665620957001)</f>
        <v>-0.65866562095700099</v>
      </c>
      <c r="NR62" s="3">
        <f ca="1">IFERROR(__xludf.DUMMYFUNCTION("""COMPUTED_VALUE"""),-0.65162384906887)</f>
        <v>-0.65162384906887005</v>
      </c>
      <c r="NS62" s="3">
        <f ca="1">IFERROR(__xludf.DUMMYFUNCTION("""COMPUTED_VALUE"""),-0.666815548392041)</f>
        <v>-0.66681554839204105</v>
      </c>
      <c r="NT62" s="3">
        <f ca="1">IFERROR(__xludf.DUMMYFUNCTION("""COMPUTED_VALUE"""),-0.6202736358752)</f>
        <v>-0.62027363587520001</v>
      </c>
      <c r="NU62" s="3">
        <f ca="1">IFERROR(__xludf.DUMMYFUNCTION("""COMPUTED_VALUE"""),-0.661507576087786)</f>
        <v>-0.66150757608778599</v>
      </c>
      <c r="NV62" s="3">
        <f ca="1">IFERROR(__xludf.DUMMYFUNCTION("""COMPUTED_VALUE"""),-0.477693836008747)</f>
        <v>-0.47769383600874699</v>
      </c>
      <c r="NW62" s="3">
        <f ca="1">IFERROR(__xludf.DUMMYFUNCTION("""COMPUTED_VALUE"""),-0.508260361175074)</f>
        <v>-0.508260361175074</v>
      </c>
      <c r="NX62" s="3">
        <f ca="1">IFERROR(__xludf.DUMMYFUNCTION("""COMPUTED_VALUE"""),-0.587615826023112)</f>
        <v>-0.58761582602311202</v>
      </c>
      <c r="NY62" s="3">
        <f ca="1">IFERROR(__xludf.DUMMYFUNCTION("""COMPUTED_VALUE"""),-0.594941601915788)</f>
        <v>-0.59494160191578804</v>
      </c>
      <c r="NZ62" s="3">
        <f ca="1">IFERROR(__xludf.DUMMYFUNCTION("""COMPUTED_VALUE"""),-0.588742361651565)</f>
        <v>-0.58874236165156502</v>
      </c>
      <c r="OA62" s="3">
        <f ca="1">IFERROR(__xludf.DUMMYFUNCTION("""COMPUTED_VALUE"""),-0.568947816972931)</f>
        <v>-0.56894781697293095</v>
      </c>
      <c r="OB62" s="3">
        <f ca="1">IFERROR(__xludf.DUMMYFUNCTION("""COMPUTED_VALUE"""),-0.459952669754081)</f>
        <v>-0.459952669754081</v>
      </c>
      <c r="OC62" s="3">
        <f ca="1">IFERROR(__xludf.DUMMYFUNCTION("""COMPUTED_VALUE"""),-0.245774267001484)</f>
        <v>-0.245774267001484</v>
      </c>
      <c r="OD62" s="3">
        <f ca="1">IFERROR(__xludf.DUMMYFUNCTION("""COMPUTED_VALUE"""),-0.220606381342398)</f>
        <v>-0.22060638134239799</v>
      </c>
      <c r="OE62" s="3">
        <f ca="1">IFERROR(__xludf.DUMMYFUNCTION("""COMPUTED_VALUE"""),-0.263528251617658)</f>
        <v>-0.26352825161765803</v>
      </c>
      <c r="OF62" s="3">
        <f ca="1">IFERROR(__xludf.DUMMYFUNCTION("""COMPUTED_VALUE"""),-0.11231536918965)</f>
        <v>-0.11231536918965</v>
      </c>
      <c r="OG62" s="3">
        <f ca="1">IFERROR(__xludf.DUMMYFUNCTION("""COMPUTED_VALUE"""),-0.086162927173066)</f>
        <v>-8.6162927173066006E-2</v>
      </c>
      <c r="OH62" s="3">
        <f ca="1">IFERROR(__xludf.DUMMYFUNCTION("""COMPUTED_VALUE"""),-0.0924451436173143)</f>
        <v>-9.2445143617314304E-2</v>
      </c>
      <c r="OI62" s="3">
        <f ca="1">IFERROR(__xludf.DUMMYFUNCTION("""COMPUTED_VALUE"""),-0.00675065947828212)</f>
        <v>-6.7506594782821196E-3</v>
      </c>
      <c r="OJ62" s="3">
        <f ca="1">IFERROR(__xludf.DUMMYFUNCTION("""COMPUTED_VALUE"""),-0.0089222322009258)</f>
        <v>-8.9222322009258007E-3</v>
      </c>
      <c r="OK62" s="3">
        <f ca="1">IFERROR(__xludf.DUMMYFUNCTION("""COMPUTED_VALUE"""),-0.0380238260878331)</f>
        <v>-3.8023826087833099E-2</v>
      </c>
      <c r="OL62" s="3">
        <f ca="1">IFERROR(__xludf.DUMMYFUNCTION("""COMPUTED_VALUE"""),-0.082767889334641)</f>
        <v>-8.2767889334641007E-2</v>
      </c>
      <c r="OM62" s="3">
        <f ca="1">IFERROR(__xludf.DUMMYFUNCTION("""COMPUTED_VALUE"""),-0.0484926307684561)</f>
        <v>-4.8492630768456099E-2</v>
      </c>
      <c r="ON62" s="3">
        <f ca="1">IFERROR(__xludf.DUMMYFUNCTION("""COMPUTED_VALUE"""),-0.0405032297219369)</f>
        <v>-4.0503229721936901E-2</v>
      </c>
      <c r="OO62" s="3">
        <f ca="1">IFERROR(__xludf.DUMMYFUNCTION("""COMPUTED_VALUE"""),-0.0902812239457013)</f>
        <v>-9.0281223945701303E-2</v>
      </c>
      <c r="OP62" s="3">
        <f ca="1">IFERROR(__xludf.DUMMYFUNCTION("""COMPUTED_VALUE"""),-0.0680014736075206)</f>
        <v>-6.8001473607520596E-2</v>
      </c>
      <c r="OQ62" s="3">
        <f ca="1">IFERROR(__xludf.DUMMYFUNCTION("""COMPUTED_VALUE"""),-0.0245745361781246)</f>
        <v>-2.4574536178124599E-2</v>
      </c>
      <c r="OR62" s="3">
        <f ca="1">IFERROR(__xludf.DUMMYFUNCTION("""COMPUTED_VALUE"""),-0.0459554125020311)</f>
        <v>-4.5955412502031098E-2</v>
      </c>
      <c r="OS62" s="3">
        <f ca="1">IFERROR(__xludf.DUMMYFUNCTION("""COMPUTED_VALUE"""),0.0316104302498565)</f>
        <v>3.1610430249856498E-2</v>
      </c>
      <c r="OT62" s="3">
        <f ca="1">IFERROR(__xludf.DUMMYFUNCTION("""COMPUTED_VALUE"""),-0.00869962972219595)</f>
        <v>-8.6996297221959493E-3</v>
      </c>
      <c r="OU62" s="3">
        <f ca="1">IFERROR(__xludf.DUMMYFUNCTION("""COMPUTED_VALUE"""),0.123091256877986)</f>
        <v>0.123091256877986</v>
      </c>
      <c r="OV62" s="3">
        <f ca="1">IFERROR(__xludf.DUMMYFUNCTION("""COMPUTED_VALUE"""),-0.0597292777961894)</f>
        <v>-5.9729277796189403E-2</v>
      </c>
      <c r="OW62" s="3">
        <f ca="1">IFERROR(__xludf.DUMMYFUNCTION("""COMPUTED_VALUE"""),0.0284456205963377)</f>
        <v>2.8445620596337699E-2</v>
      </c>
      <c r="OX62" s="3">
        <f ca="1">IFERROR(__xludf.DUMMYFUNCTION("""COMPUTED_VALUE"""),0.023444275482817)</f>
        <v>2.3444275482816999E-2</v>
      </c>
      <c r="OY62" s="3">
        <f ca="1">IFERROR(__xludf.DUMMYFUNCTION("""COMPUTED_VALUE"""),-0.00839318415130552)</f>
        <v>-8.3931841513055199E-3</v>
      </c>
      <c r="OZ62" s="3">
        <f ca="1">IFERROR(__xludf.DUMMYFUNCTION("""COMPUTED_VALUE"""),-0.0100108436285513)</f>
        <v>-1.00108436285513E-2</v>
      </c>
      <c r="PA62" s="3">
        <f ca="1">IFERROR(__xludf.DUMMYFUNCTION("""COMPUTED_VALUE"""),-0.0307193225126198)</f>
        <v>-3.0719322512619801E-2</v>
      </c>
      <c r="PB62" s="3">
        <f ca="1">IFERROR(__xludf.DUMMYFUNCTION("""COMPUTED_VALUE"""),0.117953131425813)</f>
        <v>0.117953131425813</v>
      </c>
      <c r="PC62" s="3">
        <f ca="1">IFERROR(__xludf.DUMMYFUNCTION("""COMPUTED_VALUE"""),-0.0432446279755724)</f>
        <v>-4.3244627975572401E-2</v>
      </c>
      <c r="PD62" s="3">
        <f ca="1">IFERROR(__xludf.DUMMYFUNCTION("""COMPUTED_VALUE"""),-0.199918129516282)</f>
        <v>-0.19991812951628199</v>
      </c>
      <c r="PE62" s="3">
        <f ca="1">IFERROR(__xludf.DUMMYFUNCTION("""COMPUTED_VALUE"""),-0.00669828999702537)</f>
        <v>-6.6982899970253699E-3</v>
      </c>
      <c r="PF62" s="3">
        <f ca="1">IFERROR(__xludf.DUMMYFUNCTION("""COMPUTED_VALUE"""),-0.0217556085216261)</f>
        <v>-2.1755608521626099E-2</v>
      </c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</row>
    <row r="63" spans="1:594" ht="13">
      <c r="A63" s="1" t="str">
        <f ca="1">IFERROR(__xludf.DUMMYFUNCTION("""COMPUTED_VALUE"""),"Phoenix")</f>
        <v>Phoenix</v>
      </c>
      <c r="B63" s="3">
        <f ca="1">IFERROR(__xludf.DUMMYFUNCTION("""COMPUTED_VALUE"""),0.188092593245675)</f>
        <v>0.18809259324567501</v>
      </c>
      <c r="C63" s="3">
        <f ca="1">IFERROR(__xludf.DUMMYFUNCTION("""COMPUTED_VALUE"""),0.119322520127028)</f>
        <v>0.119322520127028</v>
      </c>
      <c r="D63" s="3">
        <f ca="1">IFERROR(__xludf.DUMMYFUNCTION("""COMPUTED_VALUE"""),0.179427345537112)</f>
        <v>0.17942734553711201</v>
      </c>
      <c r="E63" s="3">
        <f ca="1">IFERROR(__xludf.DUMMYFUNCTION("""COMPUTED_VALUE"""),-0.04173823003397)</f>
        <v>-4.1738230033970002E-2</v>
      </c>
      <c r="F63" s="3">
        <f ca="1">IFERROR(__xludf.DUMMYFUNCTION("""COMPUTED_VALUE"""),-0.0295225658464344)</f>
        <v>-2.9522565846434399E-2</v>
      </c>
      <c r="G63" s="3">
        <f ca="1">IFERROR(__xludf.DUMMYFUNCTION("""COMPUTED_VALUE"""),0.0547447864769594)</f>
        <v>5.4744786476959399E-2</v>
      </c>
      <c r="H63" s="3">
        <f ca="1">IFERROR(__xludf.DUMMYFUNCTION("""COMPUTED_VALUE"""),0.0222898023730124)</f>
        <v>2.22898023730124E-2</v>
      </c>
      <c r="I63" s="3">
        <f ca="1">IFERROR(__xludf.DUMMYFUNCTION("""COMPUTED_VALUE"""),0.227371382680741)</f>
        <v>0.227371382680741</v>
      </c>
      <c r="J63" s="3">
        <f ca="1">IFERROR(__xludf.DUMMYFUNCTION("""COMPUTED_VALUE"""),0.059079788116956)</f>
        <v>5.9079788116956002E-2</v>
      </c>
      <c r="K63" s="3">
        <f ca="1">IFERROR(__xludf.DUMMYFUNCTION("""COMPUTED_VALUE"""),0.136347630456951)</f>
        <v>0.136347630456951</v>
      </c>
      <c r="L63" s="3">
        <f ca="1">IFERROR(__xludf.DUMMYFUNCTION("""COMPUTED_VALUE"""),-0.00342105477931153)</f>
        <v>-3.42105477931153E-3</v>
      </c>
      <c r="M63" s="3">
        <f ca="1">IFERROR(__xludf.DUMMYFUNCTION("""COMPUTED_VALUE"""),0.0635045966062795)</f>
        <v>6.3504596606279495E-2</v>
      </c>
      <c r="N63" s="3">
        <f ca="1">IFERROR(__xludf.DUMMYFUNCTION("""COMPUTED_VALUE"""),-0.0196930137525049)</f>
        <v>-1.9693013752504901E-2</v>
      </c>
      <c r="O63" s="3">
        <f ca="1">IFERROR(__xludf.DUMMYFUNCTION("""COMPUTED_VALUE"""),0.114356750806837)</f>
        <v>0.11435675080683699</v>
      </c>
      <c r="P63" s="3">
        <f ca="1">IFERROR(__xludf.DUMMYFUNCTION("""COMPUTED_VALUE"""),0.0878959638974337)</f>
        <v>8.7895963897433704E-2</v>
      </c>
      <c r="Q63" s="3">
        <f ca="1">IFERROR(__xludf.DUMMYFUNCTION("""COMPUTED_VALUE"""),-0.0243674284866338)</f>
        <v>-2.4367428486633799E-2</v>
      </c>
      <c r="R63" s="3">
        <f ca="1">IFERROR(__xludf.DUMMYFUNCTION("""COMPUTED_VALUE"""),-0.0143847787615888)</f>
        <v>-1.43847787615888E-2</v>
      </c>
      <c r="S63" s="3">
        <f ca="1">IFERROR(__xludf.DUMMYFUNCTION("""COMPUTED_VALUE"""),-0.0391496805612561)</f>
        <v>-3.9149680561256103E-2</v>
      </c>
      <c r="T63" s="3">
        <f ca="1">IFERROR(__xludf.DUMMYFUNCTION("""COMPUTED_VALUE"""),-0.0493021556526983)</f>
        <v>-4.9302155652698298E-2</v>
      </c>
      <c r="U63" s="3">
        <f ca="1">IFERROR(__xludf.DUMMYFUNCTION("""COMPUTED_VALUE"""),-0.0257213929012976)</f>
        <v>-2.5721392901297602E-2</v>
      </c>
      <c r="V63" s="3">
        <f ca="1">IFERROR(__xludf.DUMMYFUNCTION("""COMPUTED_VALUE"""),0.0648024300758007)</f>
        <v>6.4802430075800693E-2</v>
      </c>
      <c r="W63" s="3">
        <f ca="1">IFERROR(__xludf.DUMMYFUNCTION("""COMPUTED_VALUE"""),0.144717299400294)</f>
        <v>0.14471729940029401</v>
      </c>
      <c r="X63" s="3">
        <f ca="1">IFERROR(__xludf.DUMMYFUNCTION("""COMPUTED_VALUE"""),0.136375356246659)</f>
        <v>0.136375356246659</v>
      </c>
      <c r="Y63" s="3">
        <f ca="1">IFERROR(__xludf.DUMMYFUNCTION("""COMPUTED_VALUE"""),0.0266376759245166)</f>
        <v>2.6637675924516602E-2</v>
      </c>
      <c r="Z63" s="3">
        <f ca="1">IFERROR(__xludf.DUMMYFUNCTION("""COMPUTED_VALUE"""),-0.118430432860638)</f>
        <v>-0.11843043286063799</v>
      </c>
      <c r="AA63" s="3">
        <f ca="1">IFERROR(__xludf.DUMMYFUNCTION("""COMPUTED_VALUE"""),0.0355199972781588)</f>
        <v>3.5519997278158799E-2</v>
      </c>
      <c r="AB63" s="3">
        <f ca="1">IFERROR(__xludf.DUMMYFUNCTION("""COMPUTED_VALUE"""),-0.0687102041173873)</f>
        <v>-6.8710204117387305E-2</v>
      </c>
      <c r="AC63" s="3">
        <f ca="1">IFERROR(__xludf.DUMMYFUNCTION("""COMPUTED_VALUE"""),0.0778598930696918)</f>
        <v>7.7859893069691793E-2</v>
      </c>
      <c r="AD63" s="3">
        <f ca="1">IFERROR(__xludf.DUMMYFUNCTION("""COMPUTED_VALUE"""),-0.0127870512419296)</f>
        <v>-1.27870512419296E-2</v>
      </c>
      <c r="AE63" s="3">
        <f ca="1">IFERROR(__xludf.DUMMYFUNCTION("""COMPUTED_VALUE"""),-0.110940020846336)</f>
        <v>-0.110940020846336</v>
      </c>
      <c r="AF63" s="3">
        <f ca="1">IFERROR(__xludf.DUMMYFUNCTION("""COMPUTED_VALUE"""),-0.0854473896705246)</f>
        <v>-8.5447389670524607E-2</v>
      </c>
      <c r="AG63" s="3">
        <f ca="1">IFERROR(__xludf.DUMMYFUNCTION("""COMPUTED_VALUE"""),-0.118859750988554)</f>
        <v>-0.118859750988554</v>
      </c>
      <c r="AH63" s="3">
        <f ca="1">IFERROR(__xludf.DUMMYFUNCTION("""COMPUTED_VALUE"""),-0.176284808895372)</f>
        <v>-0.17628480889537201</v>
      </c>
      <c r="AI63" s="3">
        <f ca="1">IFERROR(__xludf.DUMMYFUNCTION("""COMPUTED_VALUE"""),-0.104439125319219)</f>
        <v>-0.10443912531921901</v>
      </c>
      <c r="AJ63" s="3">
        <f ca="1">IFERROR(__xludf.DUMMYFUNCTION("""COMPUTED_VALUE"""),-0.0535350927444541)</f>
        <v>-5.3535092744454102E-2</v>
      </c>
      <c r="AK63" s="3">
        <f ca="1">IFERROR(__xludf.DUMMYFUNCTION("""COMPUTED_VALUE"""),-0.0361532272928639)</f>
        <v>-3.6153227292863903E-2</v>
      </c>
      <c r="AL63" s="3">
        <f ca="1">IFERROR(__xludf.DUMMYFUNCTION("""COMPUTED_VALUE"""),-0.166708960417613)</f>
        <v>-0.16670896041761299</v>
      </c>
      <c r="AM63" s="3">
        <f ca="1">IFERROR(__xludf.DUMMYFUNCTION("""COMPUTED_VALUE"""),-0.141345344390501)</f>
        <v>-0.141345344390501</v>
      </c>
      <c r="AN63" s="3">
        <f ca="1">IFERROR(__xludf.DUMMYFUNCTION("""COMPUTED_VALUE"""),-0.158676782362756)</f>
        <v>-0.15867678236275601</v>
      </c>
      <c r="AO63" s="3">
        <f ca="1">IFERROR(__xludf.DUMMYFUNCTION("""COMPUTED_VALUE"""),-0.211237826387909)</f>
        <v>-0.211237826387909</v>
      </c>
      <c r="AP63" s="3">
        <f ca="1">IFERROR(__xludf.DUMMYFUNCTION("""COMPUTED_VALUE"""),-0.146441589580935)</f>
        <v>-0.14644158958093501</v>
      </c>
      <c r="AQ63" s="3">
        <f ca="1">IFERROR(__xludf.DUMMYFUNCTION("""COMPUTED_VALUE"""),0.0228734387134448)</f>
        <v>2.2873438713444799E-2</v>
      </c>
      <c r="AR63" s="3">
        <f ca="1">IFERROR(__xludf.DUMMYFUNCTION("""COMPUTED_VALUE"""),-0.00809388609358341)</f>
        <v>-8.0938860935834099E-3</v>
      </c>
      <c r="AS63" s="3">
        <f ca="1">IFERROR(__xludf.DUMMYFUNCTION("""COMPUTED_VALUE"""),-0.161450181018326)</f>
        <v>-0.16145018101832601</v>
      </c>
      <c r="AT63" s="3">
        <f ca="1">IFERROR(__xludf.DUMMYFUNCTION("""COMPUTED_VALUE"""),-0.0847282654508878)</f>
        <v>-8.4728265450887796E-2</v>
      </c>
      <c r="AU63" s="3">
        <f ca="1">IFERROR(__xludf.DUMMYFUNCTION("""COMPUTED_VALUE"""),-0.22382028815991)</f>
        <v>-0.22382028815991001</v>
      </c>
      <c r="AV63" s="3">
        <f ca="1">IFERROR(__xludf.DUMMYFUNCTION("""COMPUTED_VALUE"""),-0.194741033863743)</f>
        <v>-0.194741033863743</v>
      </c>
      <c r="AW63" s="3">
        <f ca="1">IFERROR(__xludf.DUMMYFUNCTION("""COMPUTED_VALUE"""),-0.0587790983232379)</f>
        <v>-5.8779098323237897E-2</v>
      </c>
      <c r="AX63" s="3">
        <f ca="1">IFERROR(__xludf.DUMMYFUNCTION("""COMPUTED_VALUE"""),-0.0473061652203472)</f>
        <v>-4.7306165220347203E-2</v>
      </c>
      <c r="AY63" s="3">
        <f ca="1">IFERROR(__xludf.DUMMYFUNCTION("""COMPUTED_VALUE"""),0.0414010529934529)</f>
        <v>4.1401052993452897E-2</v>
      </c>
      <c r="AZ63" s="3">
        <f ca="1">IFERROR(__xludf.DUMMYFUNCTION("""COMPUTED_VALUE"""),-0.148968731385303)</f>
        <v>-0.148968731385303</v>
      </c>
      <c r="BA63" s="3">
        <f ca="1">IFERROR(__xludf.DUMMYFUNCTION("""COMPUTED_VALUE"""),-0.16463432448559)</f>
        <v>-0.16463432448559001</v>
      </c>
      <c r="BB63" s="3">
        <f ca="1">IFERROR(__xludf.DUMMYFUNCTION("""COMPUTED_VALUE"""),-0.305414973571581)</f>
        <v>-0.30541497357158098</v>
      </c>
      <c r="BC63" s="3">
        <f ca="1">IFERROR(__xludf.DUMMYFUNCTION("""COMPUTED_VALUE"""),-0.22362673486258)</f>
        <v>-0.22362673486258</v>
      </c>
      <c r="BD63" s="3">
        <f ca="1">IFERROR(__xludf.DUMMYFUNCTION("""COMPUTED_VALUE"""),-0.219434776943186)</f>
        <v>-0.219434776943186</v>
      </c>
      <c r="BE63" s="3">
        <f ca="1">IFERROR(__xludf.DUMMYFUNCTION("""COMPUTED_VALUE"""),0.105052229008315)</f>
        <v>0.105052229008315</v>
      </c>
      <c r="BF63" s="3">
        <f ca="1">IFERROR(__xludf.DUMMYFUNCTION("""COMPUTED_VALUE"""),-0.0425409998603323)</f>
        <v>-4.2540999860332301E-2</v>
      </c>
      <c r="BG63" s="3">
        <f ca="1">IFERROR(__xludf.DUMMYFUNCTION("""COMPUTED_VALUE"""),-0.238058146744024)</f>
        <v>-0.23805814674402401</v>
      </c>
      <c r="BH63" s="3">
        <f ca="1">IFERROR(__xludf.DUMMYFUNCTION("""COMPUTED_VALUE"""),-0.255116323752637)</f>
        <v>-0.25511632375263699</v>
      </c>
      <c r="BI63" s="3">
        <f ca="1">IFERROR(__xludf.DUMMYFUNCTION("""COMPUTED_VALUE"""),-0.317215841387536)</f>
        <v>-0.317215841387536</v>
      </c>
      <c r="BJ63" s="3">
        <f ca="1">IFERROR(__xludf.DUMMYFUNCTION("""COMPUTED_VALUE"""),-0.314273109444407)</f>
        <v>-0.31427310944440701</v>
      </c>
      <c r="BK63" s="3">
        <f ca="1">IFERROR(__xludf.DUMMYFUNCTION("""COMPUTED_VALUE"""),-0.317654906834424)</f>
        <v>-0.31765490683442399</v>
      </c>
      <c r="BL63" s="3">
        <f ca="1">IFERROR(__xludf.DUMMYFUNCTION("""COMPUTED_VALUE"""),-0.0909549575446375)</f>
        <v>-9.0954957544637505E-2</v>
      </c>
      <c r="BM63" s="3">
        <f ca="1">IFERROR(__xludf.DUMMYFUNCTION("""COMPUTED_VALUE"""),-0.241234455267375)</f>
        <v>-0.241234455267375</v>
      </c>
      <c r="BN63" s="3">
        <f ca="1">IFERROR(__xludf.DUMMYFUNCTION("""COMPUTED_VALUE"""),-0.365908062869253)</f>
        <v>-0.36590806286925298</v>
      </c>
      <c r="BO63" s="3">
        <f ca="1">IFERROR(__xludf.DUMMYFUNCTION("""COMPUTED_VALUE"""),-0.29989761312956)</f>
        <v>-0.29989761312955998</v>
      </c>
      <c r="BP63" s="3">
        <f ca="1">IFERROR(__xludf.DUMMYFUNCTION("""COMPUTED_VALUE"""),-0.301497539904662)</f>
        <v>-0.30149753990466199</v>
      </c>
      <c r="BQ63" s="3">
        <f ca="1">IFERROR(__xludf.DUMMYFUNCTION("""COMPUTED_VALUE"""),-0.308866423536486)</f>
        <v>-0.30886642353648602</v>
      </c>
      <c r="BR63" s="3">
        <f ca="1">IFERROR(__xludf.DUMMYFUNCTION("""COMPUTED_VALUE"""),-0.350922298212503)</f>
        <v>-0.35092229821250298</v>
      </c>
      <c r="BS63" s="3">
        <f ca="1">IFERROR(__xludf.DUMMYFUNCTION("""COMPUTED_VALUE"""),-0.019231123833048)</f>
        <v>-1.9231123833048001E-2</v>
      </c>
      <c r="BT63" s="3">
        <f ca="1">IFERROR(__xludf.DUMMYFUNCTION("""COMPUTED_VALUE"""),-0.1558502159662)</f>
        <v>-0.1558502159662</v>
      </c>
      <c r="BU63" s="3">
        <f ca="1">IFERROR(__xludf.DUMMYFUNCTION("""COMPUTED_VALUE"""),-0.333469639147208)</f>
        <v>-0.33346963914720801</v>
      </c>
      <c r="BV63" s="3">
        <f ca="1">IFERROR(__xludf.DUMMYFUNCTION("""COMPUTED_VALUE"""),-0.373338693840342)</f>
        <v>-0.37333869384034202</v>
      </c>
      <c r="BW63" s="3">
        <f ca="1">IFERROR(__xludf.DUMMYFUNCTION("""COMPUTED_VALUE"""),-0.406012066179009)</f>
        <v>-0.40601206617900898</v>
      </c>
      <c r="BX63" s="3">
        <f ca="1">IFERROR(__xludf.DUMMYFUNCTION("""COMPUTED_VALUE"""),-0.407703668921421)</f>
        <v>-0.40770366892142101</v>
      </c>
      <c r="BY63" s="3">
        <f ca="1">IFERROR(__xludf.DUMMYFUNCTION("""COMPUTED_VALUE"""),-0.463002895058005)</f>
        <v>-0.46300289505800502</v>
      </c>
      <c r="BZ63" s="3">
        <f ca="1">IFERROR(__xludf.DUMMYFUNCTION("""COMPUTED_VALUE"""),-0.286050818055514)</f>
        <v>-0.28605081805551402</v>
      </c>
      <c r="CA63" s="3">
        <f ca="1">IFERROR(__xludf.DUMMYFUNCTION("""COMPUTED_VALUE"""),-0.275474664435398)</f>
        <v>-0.27547466443539798</v>
      </c>
      <c r="CB63" s="3">
        <f ca="1">IFERROR(__xludf.DUMMYFUNCTION("""COMPUTED_VALUE"""),-0.350611551711735)</f>
        <v>-0.35061155171173503</v>
      </c>
      <c r="CC63" s="3">
        <f ca="1">IFERROR(__xludf.DUMMYFUNCTION("""COMPUTED_VALUE"""),-0.373326652253298)</f>
        <v>-0.37332665225329797</v>
      </c>
      <c r="CD63" s="3">
        <f ca="1">IFERROR(__xludf.DUMMYFUNCTION("""COMPUTED_VALUE"""),-0.43098390021272)</f>
        <v>-0.43098390021271998</v>
      </c>
      <c r="CE63" s="3">
        <f ca="1">IFERROR(__xludf.DUMMYFUNCTION("""COMPUTED_VALUE"""),-0.441931673250365)</f>
        <v>-0.44193167325036498</v>
      </c>
      <c r="CF63" s="3">
        <f ca="1">IFERROR(__xludf.DUMMYFUNCTION("""COMPUTED_VALUE"""),-0.422287531802351)</f>
        <v>-0.42228753180235101</v>
      </c>
      <c r="CG63" s="3">
        <f ca="1">IFERROR(__xludf.DUMMYFUNCTION("""COMPUTED_VALUE"""),-0.196819428937425)</f>
        <v>-0.19681942893742499</v>
      </c>
      <c r="CH63" s="3">
        <f ca="1">IFERROR(__xludf.DUMMYFUNCTION("""COMPUTED_VALUE"""),-0.246181987780898)</f>
        <v>-0.246181987780898</v>
      </c>
      <c r="CI63" s="3">
        <f ca="1">IFERROR(__xludf.DUMMYFUNCTION("""COMPUTED_VALUE"""),-0.360471757641995)</f>
        <v>-0.36047175764199502</v>
      </c>
      <c r="CJ63" s="3">
        <f ca="1">IFERROR(__xludf.DUMMYFUNCTION("""COMPUTED_VALUE"""),-0.360700267325427)</f>
        <v>-0.36070026732542698</v>
      </c>
      <c r="CK63" s="3">
        <f ca="1">IFERROR(__xludf.DUMMYFUNCTION("""COMPUTED_VALUE"""),-0.452524082652398)</f>
        <v>-0.45252408265239802</v>
      </c>
      <c r="CL63" s="3">
        <f ca="1">IFERROR(__xludf.DUMMYFUNCTION("""COMPUTED_VALUE"""),-0.394016564187269)</f>
        <v>-0.39401656418726899</v>
      </c>
      <c r="CM63" s="3">
        <f ca="1">IFERROR(__xludf.DUMMYFUNCTION("""COMPUTED_VALUE"""),-0.328476738251893)</f>
        <v>-0.328476738251893</v>
      </c>
      <c r="CN63" s="3">
        <f ca="1">IFERROR(__xludf.DUMMYFUNCTION("""COMPUTED_VALUE"""),-0.136844145475029)</f>
        <v>-0.13684414547502899</v>
      </c>
      <c r="CO63" s="3">
        <f ca="1">IFERROR(__xludf.DUMMYFUNCTION("""COMPUTED_VALUE"""),-0.228915501479934)</f>
        <v>-0.228915501479934</v>
      </c>
      <c r="CP63" s="3">
        <f ca="1">IFERROR(__xludf.DUMMYFUNCTION("""COMPUTED_VALUE"""),-0.351219191346707)</f>
        <v>-0.35121919134670698</v>
      </c>
      <c r="CQ63" s="3">
        <f ca="1">IFERROR(__xludf.DUMMYFUNCTION("""COMPUTED_VALUE"""),-0.387573536701783)</f>
        <v>-0.38757353670178302</v>
      </c>
      <c r="CR63" s="3">
        <f ca="1">IFERROR(__xludf.DUMMYFUNCTION("""COMPUTED_VALUE"""),-0.351154794812333)</f>
        <v>-0.35115479481233303</v>
      </c>
      <c r="CS63" s="3">
        <f ca="1">IFERROR(__xludf.DUMMYFUNCTION("""COMPUTED_VALUE"""),-0.343900626490763)</f>
        <v>-0.34390062649076297</v>
      </c>
      <c r="CT63" s="3">
        <f ca="1">IFERROR(__xludf.DUMMYFUNCTION("""COMPUTED_VALUE"""),-0.293985026746239)</f>
        <v>-0.293985026746239</v>
      </c>
      <c r="CU63" s="3">
        <f ca="1">IFERROR(__xludf.DUMMYFUNCTION("""COMPUTED_VALUE"""),-0.163749493696488)</f>
        <v>-0.163749493696488</v>
      </c>
      <c r="CV63" s="3">
        <f ca="1">IFERROR(__xludf.DUMMYFUNCTION("""COMPUTED_VALUE"""),-0.308924175871242)</f>
        <v>-0.30892417587124199</v>
      </c>
      <c r="CW63" s="3">
        <f ca="1">IFERROR(__xludf.DUMMYFUNCTION("""COMPUTED_VALUE"""),-0.46382122934852)</f>
        <v>-0.46382122934851999</v>
      </c>
      <c r="CX63" s="3">
        <f ca="1">IFERROR(__xludf.DUMMYFUNCTION("""COMPUTED_VALUE"""),-0.322986228786584)</f>
        <v>-0.32298622878658401</v>
      </c>
      <c r="CY63" s="3">
        <f ca="1">IFERROR(__xludf.DUMMYFUNCTION("""COMPUTED_VALUE"""),-0.000380934308963354)</f>
        <v>-3.8093430896335401E-4</v>
      </c>
      <c r="CZ63" s="3">
        <f ca="1">IFERROR(__xludf.DUMMYFUNCTION("""COMPUTED_VALUE"""),-0.286765772187519)</f>
        <v>-0.28676577218751897</v>
      </c>
      <c r="DA63" s="3">
        <f ca="1">IFERROR(__xludf.DUMMYFUNCTION("""COMPUTED_VALUE"""),-0.323846565473735)</f>
        <v>-0.32384656547373503</v>
      </c>
      <c r="DB63" s="3">
        <f ca="1">IFERROR(__xludf.DUMMYFUNCTION("""COMPUTED_VALUE"""),-0.154237996544172)</f>
        <v>-0.154237996544172</v>
      </c>
      <c r="DC63" s="3">
        <f ca="1">IFERROR(__xludf.DUMMYFUNCTION("""COMPUTED_VALUE"""),-0.38338326729401)</f>
        <v>-0.38338326729401001</v>
      </c>
      <c r="DD63" s="3">
        <f ca="1">IFERROR(__xludf.DUMMYFUNCTION("""COMPUTED_VALUE"""),-0.678671278077661)</f>
        <v>-0.67867127807766103</v>
      </c>
      <c r="DE63" s="3">
        <f ca="1">IFERROR(__xludf.DUMMYFUNCTION("""COMPUTED_VALUE"""),-0.401926975301109)</f>
        <v>-0.40192697530110899</v>
      </c>
      <c r="DF63" s="3">
        <f ca="1">IFERROR(__xludf.DUMMYFUNCTION("""COMPUTED_VALUE"""),-0.110953708662473)</f>
        <v>-0.11095370866247301</v>
      </c>
      <c r="DG63" s="3">
        <f ca="1">IFERROR(__xludf.DUMMYFUNCTION("""COMPUTED_VALUE"""),-0.35612941331847)</f>
        <v>-0.35612941331846998</v>
      </c>
      <c r="DH63" s="3">
        <f ca="1">IFERROR(__xludf.DUMMYFUNCTION("""COMPUTED_VALUE"""),-0.346927516550763)</f>
        <v>-0.34692751655076298</v>
      </c>
      <c r="DI63" s="3">
        <f ca="1">IFERROR(__xludf.DUMMYFUNCTION("""COMPUTED_VALUE"""),-0.254071999327727)</f>
        <v>-0.25407199932772701</v>
      </c>
      <c r="DJ63" s="3">
        <f ca="1">IFERROR(__xludf.DUMMYFUNCTION("""COMPUTED_VALUE"""),-0.36371180319315)</f>
        <v>-0.36371180319315</v>
      </c>
      <c r="DK63" s="3">
        <f ca="1">IFERROR(__xludf.DUMMYFUNCTION("""COMPUTED_VALUE"""),-0.384706715120989)</f>
        <v>-0.38470671512098897</v>
      </c>
      <c r="DL63" s="3">
        <f ca="1">IFERROR(__xludf.DUMMYFUNCTION("""COMPUTED_VALUE"""),-0.36470156426193)</f>
        <v>-0.36470156426193001</v>
      </c>
      <c r="DM63" s="3">
        <f ca="1">IFERROR(__xludf.DUMMYFUNCTION("""COMPUTED_VALUE"""),-0.28700861490123)</f>
        <v>-0.28700861490122997</v>
      </c>
      <c r="DN63" s="3">
        <f ca="1">IFERROR(__xludf.DUMMYFUNCTION("""COMPUTED_VALUE"""),-0.463260789938105)</f>
        <v>-0.46326078993810499</v>
      </c>
      <c r="DO63" s="3">
        <f ca="1">IFERROR(__xludf.DUMMYFUNCTION("""COMPUTED_VALUE"""),-0.401205778197135)</f>
        <v>-0.40120577819713499</v>
      </c>
      <c r="DP63" s="3">
        <f ca="1">IFERROR(__xludf.DUMMYFUNCTION("""COMPUTED_VALUE"""),-0.298067739986046)</f>
        <v>-0.29806773998604602</v>
      </c>
      <c r="DQ63" s="3">
        <f ca="1">IFERROR(__xludf.DUMMYFUNCTION("""COMPUTED_VALUE"""),-0.438381505258342)</f>
        <v>-0.43838150525834202</v>
      </c>
      <c r="DR63" s="3">
        <f ca="1">IFERROR(__xludf.DUMMYFUNCTION("""COMPUTED_VALUE"""),-0.515510957865155)</f>
        <v>-0.515510957865155</v>
      </c>
      <c r="DS63" s="3">
        <f ca="1">IFERROR(__xludf.DUMMYFUNCTION("""COMPUTED_VALUE"""),-0.470013988118909)</f>
        <v>-0.47001398811890899</v>
      </c>
      <c r="DT63" s="3">
        <f ca="1">IFERROR(__xludf.DUMMYFUNCTION("""COMPUTED_VALUE"""),-0.496524497557286)</f>
        <v>-0.496524497557286</v>
      </c>
      <c r="DU63" s="3">
        <f ca="1">IFERROR(__xludf.DUMMYFUNCTION("""COMPUTED_VALUE"""),-0.555782965818182)</f>
        <v>-0.55578296581818198</v>
      </c>
      <c r="DV63" s="3">
        <f ca="1">IFERROR(__xludf.DUMMYFUNCTION("""COMPUTED_VALUE"""),-0.482802125012788)</f>
        <v>-0.48280212501278802</v>
      </c>
      <c r="DW63" s="3">
        <f ca="1">IFERROR(__xludf.DUMMYFUNCTION("""COMPUTED_VALUE"""),-0.335486682660795)</f>
        <v>-0.33548668266079501</v>
      </c>
      <c r="DX63" s="3">
        <f ca="1">IFERROR(__xludf.DUMMYFUNCTION("""COMPUTED_VALUE"""),-0.417280873173922)</f>
        <v>-0.41728087317392198</v>
      </c>
      <c r="DY63" s="3">
        <f ca="1">IFERROR(__xludf.DUMMYFUNCTION("""COMPUTED_VALUE"""),-0.40661076798747)</f>
        <v>-0.40661076798746998</v>
      </c>
      <c r="DZ63" s="3">
        <f ca="1">IFERROR(__xludf.DUMMYFUNCTION("""COMPUTED_VALUE"""),-0.338080387508865)</f>
        <v>-0.33808038750886499</v>
      </c>
      <c r="EA63" s="3">
        <f ca="1">IFERROR(__xludf.DUMMYFUNCTION("""COMPUTED_VALUE"""),-0.457424349880665)</f>
        <v>-0.45742434988066499</v>
      </c>
      <c r="EB63" s="3">
        <f ca="1">IFERROR(__xludf.DUMMYFUNCTION("""COMPUTED_VALUE"""),-0.466389135137336)</f>
        <v>-0.46638913513733599</v>
      </c>
      <c r="EC63" s="3">
        <f ca="1">IFERROR(__xludf.DUMMYFUNCTION("""COMPUTED_VALUE"""),-0.470069409255017)</f>
        <v>-0.470069409255017</v>
      </c>
      <c r="ED63" s="3">
        <f ca="1">IFERROR(__xludf.DUMMYFUNCTION("""COMPUTED_VALUE"""),-0.276945376665911)</f>
        <v>-0.27694537666591101</v>
      </c>
      <c r="EE63" s="3">
        <f ca="1">IFERROR(__xludf.DUMMYFUNCTION("""COMPUTED_VALUE"""),-0.434385073800415)</f>
        <v>-0.43438507380041502</v>
      </c>
      <c r="EF63" s="3">
        <f ca="1">IFERROR(__xludf.DUMMYFUNCTION("""COMPUTED_VALUE"""),-0.520559837668715)</f>
        <v>-0.52055983766871505</v>
      </c>
      <c r="EG63" s="3">
        <f ca="1">IFERROR(__xludf.DUMMYFUNCTION("""COMPUTED_VALUE"""),-0.558421199913188)</f>
        <v>-0.55842119991318795</v>
      </c>
      <c r="EH63" s="3">
        <f ca="1">IFERROR(__xludf.DUMMYFUNCTION("""COMPUTED_VALUE"""),-0.437947791923839)</f>
        <v>-0.43794779192383898</v>
      </c>
      <c r="EI63" s="3">
        <f ca="1">IFERROR(__xludf.DUMMYFUNCTION("""COMPUTED_VALUE"""),-0.490372999220505)</f>
        <v>-0.49037299922050498</v>
      </c>
      <c r="EJ63" s="3">
        <f ca="1">IFERROR(__xludf.DUMMYFUNCTION("""COMPUTED_VALUE"""),-0.502799736037169)</f>
        <v>-0.50279973603716899</v>
      </c>
      <c r="EK63" s="3">
        <f ca="1">IFERROR(__xludf.DUMMYFUNCTION("""COMPUTED_VALUE"""),-0.367877442941086)</f>
        <v>-0.36787744294108599</v>
      </c>
      <c r="EL63" s="3">
        <f ca="1">IFERROR(__xludf.DUMMYFUNCTION("""COMPUTED_VALUE"""),-0.346725291242544)</f>
        <v>-0.34672529124254398</v>
      </c>
      <c r="EM63" s="3">
        <f ca="1">IFERROR(__xludf.DUMMYFUNCTION("""COMPUTED_VALUE"""),-0.37975938930669)</f>
        <v>-0.37975938930669001</v>
      </c>
      <c r="EN63" s="3">
        <f ca="1">IFERROR(__xludf.DUMMYFUNCTION("""COMPUTED_VALUE"""),-0.350708290225897)</f>
        <v>-0.350708290225897</v>
      </c>
      <c r="EO63" s="3">
        <f ca="1">IFERROR(__xludf.DUMMYFUNCTION("""COMPUTED_VALUE"""),-0.377265365070847)</f>
        <v>-0.37726536507084701</v>
      </c>
      <c r="EP63" s="3">
        <f ca="1">IFERROR(__xludf.DUMMYFUNCTION("""COMPUTED_VALUE"""),-0.358967872711565)</f>
        <v>-0.35896787271156499</v>
      </c>
      <c r="EQ63" s="3">
        <f ca="1">IFERROR(__xludf.DUMMYFUNCTION("""COMPUTED_VALUE"""),-0.432149140474278)</f>
        <v>-0.43214914047427799</v>
      </c>
      <c r="ER63" s="3">
        <f ca="1">IFERROR(__xludf.DUMMYFUNCTION("""COMPUTED_VALUE"""),-0.371562894122753)</f>
        <v>-0.37156289412275301</v>
      </c>
      <c r="ES63" s="3">
        <f ca="1">IFERROR(__xludf.DUMMYFUNCTION("""COMPUTED_VALUE"""),-0.3245181783815)</f>
        <v>-0.32451817838149999</v>
      </c>
      <c r="ET63" s="3">
        <f ca="1">IFERROR(__xludf.DUMMYFUNCTION("""COMPUTED_VALUE"""),-0.445010505898622)</f>
        <v>-0.44501050589862201</v>
      </c>
      <c r="EU63" s="3">
        <f ca="1">IFERROR(__xludf.DUMMYFUNCTION("""COMPUTED_VALUE"""),-0.473962659503593)</f>
        <v>-0.47396265950359301</v>
      </c>
      <c r="EV63" s="3">
        <f ca="1">IFERROR(__xludf.DUMMYFUNCTION("""COMPUTED_VALUE"""),-0.446738826788666)</f>
        <v>-0.446738826788666</v>
      </c>
      <c r="EW63" s="3">
        <f ca="1">IFERROR(__xludf.DUMMYFUNCTION("""COMPUTED_VALUE"""),-0.435541909801512)</f>
        <v>-0.43554190980151197</v>
      </c>
      <c r="EX63" s="3">
        <f ca="1">IFERROR(__xludf.DUMMYFUNCTION("""COMPUTED_VALUE"""),-0.467809375197557)</f>
        <v>-0.467809375197557</v>
      </c>
      <c r="EY63" s="3">
        <f ca="1">IFERROR(__xludf.DUMMYFUNCTION("""COMPUTED_VALUE"""),-0.37115398259115)</f>
        <v>-0.37115398259115001</v>
      </c>
      <c r="EZ63" s="3">
        <f ca="1">IFERROR(__xludf.DUMMYFUNCTION("""COMPUTED_VALUE"""),-0.384859933105818)</f>
        <v>-0.38485993310581801</v>
      </c>
      <c r="FA63" s="3">
        <f ca="1">IFERROR(__xludf.DUMMYFUNCTION("""COMPUTED_VALUE"""),-0.438691070345046)</f>
        <v>-0.43869107034504601</v>
      </c>
      <c r="FB63" s="3">
        <f ca="1">IFERROR(__xludf.DUMMYFUNCTION("""COMPUTED_VALUE"""),-0.469014612248308)</f>
        <v>-0.46901461224830798</v>
      </c>
      <c r="FC63" s="3">
        <f ca="1">IFERROR(__xludf.DUMMYFUNCTION("""COMPUTED_VALUE"""),-0.429199750705257)</f>
        <v>-0.42919975070525701</v>
      </c>
      <c r="FD63" s="3">
        <f ca="1">IFERROR(__xludf.DUMMYFUNCTION("""COMPUTED_VALUE"""),-0.445602116756113)</f>
        <v>-0.445602116756113</v>
      </c>
      <c r="FE63" s="3">
        <f ca="1">IFERROR(__xludf.DUMMYFUNCTION("""COMPUTED_VALUE"""),-0.402318186747514)</f>
        <v>-0.40231818674751402</v>
      </c>
      <c r="FF63" s="3">
        <f ca="1">IFERROR(__xludf.DUMMYFUNCTION("""COMPUTED_VALUE"""),-0.282604599232928)</f>
        <v>-0.28260459923292802</v>
      </c>
      <c r="FG63" s="3">
        <f ca="1">IFERROR(__xludf.DUMMYFUNCTION("""COMPUTED_VALUE"""),-0.357112998509069)</f>
        <v>-0.35711299850906902</v>
      </c>
      <c r="FH63" s="3">
        <f ca="1">IFERROR(__xludf.DUMMYFUNCTION("""COMPUTED_VALUE"""),-0.453981440501767)</f>
        <v>-0.45398144050176698</v>
      </c>
      <c r="FI63" s="3">
        <f ca="1">IFERROR(__xludf.DUMMYFUNCTION("""COMPUTED_VALUE"""),-0.441069912941228)</f>
        <v>-0.44106991294122799</v>
      </c>
      <c r="FJ63" s="3">
        <f ca="1">IFERROR(__xludf.DUMMYFUNCTION("""COMPUTED_VALUE"""),-0.410480629903257)</f>
        <v>-0.41048062990325701</v>
      </c>
      <c r="FK63" s="3">
        <f ca="1">IFERROR(__xludf.DUMMYFUNCTION("""COMPUTED_VALUE"""),-0.40537609475703)</f>
        <v>-0.40537609475703001</v>
      </c>
      <c r="FL63" s="3">
        <f ca="1">IFERROR(__xludf.DUMMYFUNCTION("""COMPUTED_VALUE"""),-0.397098328841002)</f>
        <v>-0.39709832884100199</v>
      </c>
      <c r="FM63" s="3">
        <f ca="1">IFERROR(__xludf.DUMMYFUNCTION("""COMPUTED_VALUE"""),-0.360666780072755)</f>
        <v>-0.36066678007275499</v>
      </c>
      <c r="FN63" s="3">
        <f ca="1">IFERROR(__xludf.DUMMYFUNCTION("""COMPUTED_VALUE"""),-0.373900804859431)</f>
        <v>-0.373900804859431</v>
      </c>
      <c r="FO63" s="3">
        <f ca="1">IFERROR(__xludf.DUMMYFUNCTION("""COMPUTED_VALUE"""),-0.447776684031434)</f>
        <v>-0.447776684031434</v>
      </c>
      <c r="FP63" s="3">
        <f ca="1">IFERROR(__xludf.DUMMYFUNCTION("""COMPUTED_VALUE"""),-0.497575365397677)</f>
        <v>-0.49757536539767699</v>
      </c>
      <c r="FQ63" s="3">
        <f ca="1">IFERROR(__xludf.DUMMYFUNCTION("""COMPUTED_VALUE"""),-0.456615209689156)</f>
        <v>-0.45661520968915598</v>
      </c>
      <c r="FR63" s="3">
        <f ca="1">IFERROR(__xludf.DUMMYFUNCTION("""COMPUTED_VALUE"""),-0.405428650410232)</f>
        <v>-0.40542865041023202</v>
      </c>
      <c r="FS63" s="3">
        <f ca="1">IFERROR(__xludf.DUMMYFUNCTION("""COMPUTED_VALUE"""),-0.442706253110955)</f>
        <v>-0.44270625311095502</v>
      </c>
      <c r="FT63" s="3">
        <f ca="1">IFERROR(__xludf.DUMMYFUNCTION("""COMPUTED_VALUE"""),-0.274878333093797)</f>
        <v>-0.274878333093797</v>
      </c>
      <c r="FU63" s="3">
        <f ca="1">IFERROR(__xludf.DUMMYFUNCTION("""COMPUTED_VALUE"""),-0.32567513234202)</f>
        <v>-0.32567513234202</v>
      </c>
      <c r="FV63" s="3">
        <f ca="1">IFERROR(__xludf.DUMMYFUNCTION("""COMPUTED_VALUE"""),-0.398459831493978)</f>
        <v>-0.39845983149397801</v>
      </c>
      <c r="FW63" s="3">
        <f ca="1">IFERROR(__xludf.DUMMYFUNCTION("""COMPUTED_VALUE"""),-0.476390155977919)</f>
        <v>-0.47639015597791901</v>
      </c>
      <c r="FX63" s="3">
        <f ca="1">IFERROR(__xludf.DUMMYFUNCTION("""COMPUTED_VALUE"""),-0.494476221906725)</f>
        <v>-0.49447622190672502</v>
      </c>
      <c r="FY63" s="3">
        <f ca="1">IFERROR(__xludf.DUMMYFUNCTION("""COMPUTED_VALUE"""),-0.497695301664948)</f>
        <v>-0.49769530166494802</v>
      </c>
      <c r="FZ63" s="3">
        <f ca="1">IFERROR(__xludf.DUMMYFUNCTION("""COMPUTED_VALUE"""),-0.428369658442693)</f>
        <v>-0.42836965844269298</v>
      </c>
      <c r="GA63" s="3">
        <f ca="1">IFERROR(__xludf.DUMMYFUNCTION("""COMPUTED_VALUE"""),-0.317745141248977)</f>
        <v>-0.31774514124897701</v>
      </c>
      <c r="GB63" s="3">
        <f ca="1">IFERROR(__xludf.DUMMYFUNCTION("""COMPUTED_VALUE"""),-0.446867787135418)</f>
        <v>-0.44686778713541803</v>
      </c>
      <c r="GC63" s="3">
        <f ca="1">IFERROR(__xludf.DUMMYFUNCTION("""COMPUTED_VALUE"""),-0.468468951429283)</f>
        <v>-0.46846895142928302</v>
      </c>
      <c r="GD63" s="3">
        <f ca="1">IFERROR(__xludf.DUMMYFUNCTION("""COMPUTED_VALUE"""),-0.515192485828102)</f>
        <v>-0.51519248582810195</v>
      </c>
      <c r="GE63" s="3">
        <f ca="1">IFERROR(__xludf.DUMMYFUNCTION("""COMPUTED_VALUE"""),-0.471935254470308)</f>
        <v>-0.47193525447030799</v>
      </c>
      <c r="GF63" s="3">
        <f ca="1">IFERROR(__xludf.DUMMYFUNCTION("""COMPUTED_VALUE"""),-0.49982870532296)</f>
        <v>-0.49982870532295998</v>
      </c>
      <c r="GG63" s="3">
        <f ca="1">IFERROR(__xludf.DUMMYFUNCTION("""COMPUTED_VALUE"""),-0.403601129132893)</f>
        <v>-0.40360112913289298</v>
      </c>
      <c r="GH63" s="3">
        <f ca="1">IFERROR(__xludf.DUMMYFUNCTION("""COMPUTED_VALUE"""),-0.344144854199515)</f>
        <v>-0.34414485419951502</v>
      </c>
      <c r="GI63" s="3">
        <f ca="1">IFERROR(__xludf.DUMMYFUNCTION("""COMPUTED_VALUE"""),-0.400085171037782)</f>
        <v>-0.40008517103778202</v>
      </c>
      <c r="GJ63" s="3">
        <f ca="1">IFERROR(__xludf.DUMMYFUNCTION("""COMPUTED_VALUE"""),-0.523983156424012)</f>
        <v>-0.52398315642401205</v>
      </c>
      <c r="GK63" s="3">
        <f ca="1">IFERROR(__xludf.DUMMYFUNCTION("""COMPUTED_VALUE"""),-0.517904308615406)</f>
        <v>-0.51790430861540604</v>
      </c>
      <c r="GL63" s="3">
        <f ca="1">IFERROR(__xludf.DUMMYFUNCTION("""COMPUTED_VALUE"""),-0.491739309417566)</f>
        <v>-0.491739309417566</v>
      </c>
      <c r="GM63" s="3">
        <f ca="1">IFERROR(__xludf.DUMMYFUNCTION("""COMPUTED_VALUE"""),-0.49933408139747)</f>
        <v>-0.49933408139746999</v>
      </c>
      <c r="GN63" s="3">
        <f ca="1">IFERROR(__xludf.DUMMYFUNCTION("""COMPUTED_VALUE"""),-0.419066031882287)</f>
        <v>-0.41906603188228703</v>
      </c>
      <c r="GO63" s="3">
        <f ca="1">IFERROR(__xludf.DUMMYFUNCTION("""COMPUTED_VALUE"""),-0.354824980518173)</f>
        <v>-0.35482498051817302</v>
      </c>
      <c r="GP63" s="3">
        <f ca="1">IFERROR(__xludf.DUMMYFUNCTION("""COMPUTED_VALUE"""),-0.454713388582959)</f>
        <v>-0.45471338858295901</v>
      </c>
      <c r="GQ63" s="3">
        <f ca="1">IFERROR(__xludf.DUMMYFUNCTION("""COMPUTED_VALUE"""),-0.53237557483488)</f>
        <v>-0.53237557483487996</v>
      </c>
      <c r="GR63" s="3">
        <f ca="1">IFERROR(__xludf.DUMMYFUNCTION("""COMPUTED_VALUE"""),-0.538904577182986)</f>
        <v>-0.53890457718298601</v>
      </c>
      <c r="GS63" s="3">
        <f ca="1">IFERROR(__xludf.DUMMYFUNCTION("""COMPUTED_VALUE"""),-0.514046584402817)</f>
        <v>-0.51404658440281703</v>
      </c>
      <c r="GT63" s="3">
        <f ca="1">IFERROR(__xludf.DUMMYFUNCTION("""COMPUTED_VALUE"""),-0.511375242211005)</f>
        <v>-0.51137524221100505</v>
      </c>
      <c r="GU63" s="3">
        <f ca="1">IFERROR(__xludf.DUMMYFUNCTION("""COMPUTED_VALUE"""),-0.458153776446545)</f>
        <v>-0.45815377644654498</v>
      </c>
      <c r="GV63" s="3">
        <f ca="1">IFERROR(__xludf.DUMMYFUNCTION("""COMPUTED_VALUE"""),-0.326426404690545)</f>
        <v>-0.32642640469054501</v>
      </c>
      <c r="GW63" s="3">
        <f ca="1">IFERROR(__xludf.DUMMYFUNCTION("""COMPUTED_VALUE"""),-0.474194609519979)</f>
        <v>-0.47419460951997899</v>
      </c>
      <c r="GX63" s="3">
        <f ca="1">IFERROR(__xludf.DUMMYFUNCTION("""COMPUTED_VALUE"""),-0.588850751908942)</f>
        <v>-0.58885075190894198</v>
      </c>
      <c r="GY63" s="3">
        <f ca="1">IFERROR(__xludf.DUMMYFUNCTION("""COMPUTED_VALUE"""),-0.539173959194366)</f>
        <v>-0.53917395919436595</v>
      </c>
      <c r="GZ63" s="3">
        <f ca="1">IFERROR(__xludf.DUMMYFUNCTION("""COMPUTED_VALUE"""),-0.551138130013821)</f>
        <v>-0.55113813001382095</v>
      </c>
      <c r="HA63" s="3">
        <f ca="1">IFERROR(__xludf.DUMMYFUNCTION("""COMPUTED_VALUE"""),-0.57086600208893)</f>
        <v>-0.57086600208893001</v>
      </c>
      <c r="HB63" s="3">
        <f ca="1">IFERROR(__xludf.DUMMYFUNCTION("""COMPUTED_VALUE"""),-0.56205135587285)</f>
        <v>-0.56205135587285004</v>
      </c>
      <c r="HC63" s="3">
        <f ca="1">IFERROR(__xludf.DUMMYFUNCTION("""COMPUTED_VALUE"""),-0.420516844437541)</f>
        <v>-0.420516844437541</v>
      </c>
      <c r="HD63" s="3">
        <f ca="1">IFERROR(__xludf.DUMMYFUNCTION("""COMPUTED_VALUE"""),-0.43674101259581)</f>
        <v>-0.43674101259581</v>
      </c>
      <c r="HE63" s="3">
        <f ca="1">IFERROR(__xludf.DUMMYFUNCTION("""COMPUTED_VALUE"""),-0.600846027275286)</f>
        <v>-0.60084602727528602</v>
      </c>
      <c r="HF63" s="3">
        <f ca="1">IFERROR(__xludf.DUMMYFUNCTION("""COMPUTED_VALUE"""),-0.584534154480427)</f>
        <v>-0.584534154480427</v>
      </c>
      <c r="HG63" s="3">
        <f ca="1">IFERROR(__xludf.DUMMYFUNCTION("""COMPUTED_VALUE"""),-0.559468063511242)</f>
        <v>-0.55946806351124201</v>
      </c>
      <c r="HH63" s="3">
        <f ca="1">IFERROR(__xludf.DUMMYFUNCTION("""COMPUTED_VALUE"""),-0.594814090944968)</f>
        <v>-0.59481409094496795</v>
      </c>
      <c r="HI63" s="3">
        <f ca="1">IFERROR(__xludf.DUMMYFUNCTION("""COMPUTED_VALUE"""),-0.608679010934825)</f>
        <v>-0.60867901093482502</v>
      </c>
      <c r="HJ63" s="3">
        <f ca="1">IFERROR(__xludf.DUMMYFUNCTION("""COMPUTED_VALUE"""),-0.443551940802139)</f>
        <v>-0.443551940802139</v>
      </c>
      <c r="HK63" s="3">
        <f ca="1">IFERROR(__xludf.DUMMYFUNCTION("""COMPUTED_VALUE"""),-0.474580347203595)</f>
        <v>-0.47458034720359499</v>
      </c>
      <c r="HL63" s="3">
        <f ca="1">IFERROR(__xludf.DUMMYFUNCTION("""COMPUTED_VALUE"""),-0.586232632383013)</f>
        <v>-0.58623263238301304</v>
      </c>
      <c r="HM63" s="3">
        <f ca="1">IFERROR(__xludf.DUMMYFUNCTION("""COMPUTED_VALUE"""),-0.618484419789335)</f>
        <v>-0.61848441978933499</v>
      </c>
      <c r="HN63" s="3">
        <f ca="1">IFERROR(__xludf.DUMMYFUNCTION("""COMPUTED_VALUE"""),-0.639972169617372)</f>
        <v>-0.63997216961737202</v>
      </c>
      <c r="HO63" s="3">
        <f ca="1">IFERROR(__xludf.DUMMYFUNCTION("""COMPUTED_VALUE"""),-0.652592210548097)</f>
        <v>-0.65259221054809702</v>
      </c>
      <c r="HP63" s="3">
        <f ca="1">IFERROR(__xludf.DUMMYFUNCTION("""COMPUTED_VALUE"""),-0.608630175209517)</f>
        <v>-0.60863017520951701</v>
      </c>
      <c r="HQ63" s="3">
        <f ca="1">IFERROR(__xludf.DUMMYFUNCTION("""COMPUTED_VALUE"""),-0.545141158572138)</f>
        <v>-0.54514115857213796</v>
      </c>
      <c r="HR63" s="3">
        <f ca="1">IFERROR(__xludf.DUMMYFUNCTION("""COMPUTED_VALUE"""),-0.545488752098095)</f>
        <v>-0.545488752098095</v>
      </c>
      <c r="HS63" s="3">
        <f ca="1">IFERROR(__xludf.DUMMYFUNCTION("""COMPUTED_VALUE"""),-0.616345242038679)</f>
        <v>-0.61634524203867902</v>
      </c>
      <c r="HT63" s="3">
        <f ca="1">IFERROR(__xludf.DUMMYFUNCTION("""COMPUTED_VALUE"""),-0.694444173150564)</f>
        <v>-0.69444417315056395</v>
      </c>
      <c r="HU63" s="3">
        <f ca="1">IFERROR(__xludf.DUMMYFUNCTION("""COMPUTED_VALUE"""),-0.649465839309366)</f>
        <v>-0.64946583930936597</v>
      </c>
      <c r="HV63" s="3">
        <f ca="1">IFERROR(__xludf.DUMMYFUNCTION("""COMPUTED_VALUE"""),-0.684176503415134)</f>
        <v>-0.68417650341513403</v>
      </c>
      <c r="HW63" s="3">
        <f ca="1">IFERROR(__xludf.DUMMYFUNCTION("""COMPUTED_VALUE"""),-0.578490947577799)</f>
        <v>-0.57849094757779895</v>
      </c>
      <c r="HX63" s="3">
        <f ca="1">IFERROR(__xludf.DUMMYFUNCTION("""COMPUTED_VALUE"""),-0.488824306610774)</f>
        <v>-0.48882430661077397</v>
      </c>
      <c r="HY63" s="3">
        <f ca="1">IFERROR(__xludf.DUMMYFUNCTION("""COMPUTED_VALUE"""),-0.470324725823465)</f>
        <v>-0.47032472582346502</v>
      </c>
      <c r="HZ63" s="3">
        <f ca="1">IFERROR(__xludf.DUMMYFUNCTION("""COMPUTED_VALUE"""),-0.607957128822149)</f>
        <v>-0.60795712882214903</v>
      </c>
      <c r="IA63" s="3">
        <f ca="1">IFERROR(__xludf.DUMMYFUNCTION("""COMPUTED_VALUE"""),-0.660652144936598)</f>
        <v>-0.66065214493659796</v>
      </c>
      <c r="IB63" s="3">
        <f ca="1">IFERROR(__xludf.DUMMYFUNCTION("""COMPUTED_VALUE"""),-0.630778336699791)</f>
        <v>-0.630778336699791</v>
      </c>
      <c r="IC63" s="3">
        <f ca="1">IFERROR(__xludf.DUMMYFUNCTION("""COMPUTED_VALUE"""),-0.662793746731083)</f>
        <v>-0.66279374673108304</v>
      </c>
      <c r="ID63" s="3">
        <f ca="1">IFERROR(__xludf.DUMMYFUNCTION("""COMPUTED_VALUE"""),-0.628306488366646)</f>
        <v>-0.62830648836664604</v>
      </c>
      <c r="IE63" s="3">
        <f ca="1">IFERROR(__xludf.DUMMYFUNCTION("""COMPUTED_VALUE"""),-0.492527647034716)</f>
        <v>-0.49252764703471602</v>
      </c>
      <c r="IF63" s="3">
        <f ca="1">IFERROR(__xludf.DUMMYFUNCTION("""COMPUTED_VALUE"""),-0.488535189607131)</f>
        <v>-0.48853518960713099</v>
      </c>
      <c r="IG63" s="3">
        <f ca="1">IFERROR(__xludf.DUMMYFUNCTION("""COMPUTED_VALUE"""),-0.575659240628687)</f>
        <v>-0.57565924062868701</v>
      </c>
      <c r="IH63" s="3">
        <f ca="1">IFERROR(__xludf.DUMMYFUNCTION("""COMPUTED_VALUE"""),-0.673755729667932)</f>
        <v>-0.67375572966793196</v>
      </c>
      <c r="II63" s="3">
        <f ca="1">IFERROR(__xludf.DUMMYFUNCTION("""COMPUTED_VALUE"""),-0.652576089417809)</f>
        <v>-0.65257608941780898</v>
      </c>
      <c r="IJ63" s="3">
        <f ca="1">IFERROR(__xludf.DUMMYFUNCTION("""COMPUTED_VALUE"""),-0.605672050292176)</f>
        <v>-0.60567205029217597</v>
      </c>
      <c r="IK63" s="3">
        <f ca="1">IFERROR(__xludf.DUMMYFUNCTION("""COMPUTED_VALUE"""),-0.659275664696303)</f>
        <v>-0.65927566469630305</v>
      </c>
      <c r="IL63" s="3">
        <f ca="1">IFERROR(__xludf.DUMMYFUNCTION("""COMPUTED_VALUE"""),-0.490818742795291)</f>
        <v>-0.49081874279529097</v>
      </c>
      <c r="IM63" s="3">
        <f ca="1">IFERROR(__xludf.DUMMYFUNCTION("""COMPUTED_VALUE"""),-0.474228745223234)</f>
        <v>-0.47422874522323399</v>
      </c>
      <c r="IN63" s="3">
        <f ca="1">IFERROR(__xludf.DUMMYFUNCTION("""COMPUTED_VALUE"""),-0.604814521199474)</f>
        <v>-0.60481452119947399</v>
      </c>
      <c r="IO63" s="3">
        <f ca="1">IFERROR(__xludf.DUMMYFUNCTION("""COMPUTED_VALUE"""),-0.576687995118386)</f>
        <v>-0.57668799511838598</v>
      </c>
      <c r="IP63" s="3">
        <f ca="1">IFERROR(__xludf.DUMMYFUNCTION("""COMPUTED_VALUE"""),-0.628443065319612)</f>
        <v>-0.62844306531961203</v>
      </c>
      <c r="IQ63" s="3">
        <f ca="1">IFERROR(__xludf.DUMMYFUNCTION("""COMPUTED_VALUE"""),-0.561431739021662)</f>
        <v>-0.56143173902166199</v>
      </c>
      <c r="IR63" s="3">
        <f ca="1">IFERROR(__xludf.DUMMYFUNCTION("""COMPUTED_VALUE"""),-0.550314455695759)</f>
        <v>-0.55031445569575899</v>
      </c>
      <c r="IS63" s="3">
        <f ca="1">IFERROR(__xludf.DUMMYFUNCTION("""COMPUTED_VALUE"""),-0.457184821106463)</f>
        <v>-0.45718482110646302</v>
      </c>
      <c r="IT63" s="3">
        <f ca="1">IFERROR(__xludf.DUMMYFUNCTION("""COMPUTED_VALUE"""),-0.436288974149609)</f>
        <v>-0.43628897414960899</v>
      </c>
      <c r="IU63" s="3">
        <f ca="1">IFERROR(__xludf.DUMMYFUNCTION("""COMPUTED_VALUE"""),-0.481416310650691)</f>
        <v>-0.48141631065069102</v>
      </c>
      <c r="IV63" s="3">
        <f ca="1">IFERROR(__xludf.DUMMYFUNCTION("""COMPUTED_VALUE"""),-0.54375652617613)</f>
        <v>-0.54375652617613002</v>
      </c>
      <c r="IW63" s="3">
        <f ca="1">IFERROR(__xludf.DUMMYFUNCTION("""COMPUTED_VALUE"""),-0.480958821542134)</f>
        <v>-0.48095882154213399</v>
      </c>
      <c r="IX63" s="3">
        <f ca="1">IFERROR(__xludf.DUMMYFUNCTION("""COMPUTED_VALUE"""),-0.479140033534731)</f>
        <v>-0.479140033534731</v>
      </c>
      <c r="IY63" s="3">
        <f ca="1">IFERROR(__xludf.DUMMYFUNCTION("""COMPUTED_VALUE"""),-0.507532498279405)</f>
        <v>-0.50753249827940505</v>
      </c>
      <c r="IZ63" s="3">
        <f ca="1">IFERROR(__xludf.DUMMYFUNCTION("""COMPUTED_VALUE"""),-0.35003553911864)</f>
        <v>-0.35003553911863999</v>
      </c>
      <c r="JA63" s="3">
        <f ca="1">IFERROR(__xludf.DUMMYFUNCTION("""COMPUTED_VALUE"""),-0.405438112538115)</f>
        <v>-0.40543811253811501</v>
      </c>
      <c r="JB63" s="3">
        <f ca="1">IFERROR(__xludf.DUMMYFUNCTION("""COMPUTED_VALUE"""),-0.456352526157815)</f>
        <v>-0.45635252615781502</v>
      </c>
      <c r="JC63" s="3">
        <f ca="1">IFERROR(__xludf.DUMMYFUNCTION("""COMPUTED_VALUE"""),-0.454722838551863)</f>
        <v>-0.45472283855186302</v>
      </c>
      <c r="JD63" s="3">
        <f ca="1">IFERROR(__xludf.DUMMYFUNCTION("""COMPUTED_VALUE"""),-0.471602480034917)</f>
        <v>-0.471602480034917</v>
      </c>
      <c r="JE63" s="3">
        <f ca="1">IFERROR(__xludf.DUMMYFUNCTION("""COMPUTED_VALUE"""),-0.450236859818566)</f>
        <v>-0.45023685981856598</v>
      </c>
      <c r="JF63" s="3">
        <f ca="1">IFERROR(__xludf.DUMMYFUNCTION("""COMPUTED_VALUE"""),-0.47821463364417)</f>
        <v>-0.47821463364417</v>
      </c>
      <c r="JG63" s="3">
        <f ca="1">IFERROR(__xludf.DUMMYFUNCTION("""COMPUTED_VALUE"""),-0.340604024818266)</f>
        <v>-0.34060402481826602</v>
      </c>
      <c r="JH63" s="3">
        <f ca="1">IFERROR(__xludf.DUMMYFUNCTION("""COMPUTED_VALUE"""),-0.38911499976888)</f>
        <v>-0.38911499976887998</v>
      </c>
      <c r="JI63" s="3">
        <f ca="1">IFERROR(__xludf.DUMMYFUNCTION("""COMPUTED_VALUE"""),-0.49885431896953)</f>
        <v>-0.49885431896952998</v>
      </c>
      <c r="JJ63" s="3">
        <f ca="1">IFERROR(__xludf.DUMMYFUNCTION("""COMPUTED_VALUE"""),-0.44453358905549)</f>
        <v>-0.44453358905549001</v>
      </c>
      <c r="JK63" s="3">
        <f ca="1">IFERROR(__xludf.DUMMYFUNCTION("""COMPUTED_VALUE"""),-0.489222814073417)</f>
        <v>-0.489222814073417</v>
      </c>
      <c r="JL63" s="3">
        <f ca="1">IFERROR(__xludf.DUMMYFUNCTION("""COMPUTED_VALUE"""),-0.525410191518208)</f>
        <v>-0.525410191518208</v>
      </c>
      <c r="JM63" s="3">
        <f ca="1">IFERROR(__xludf.DUMMYFUNCTION("""COMPUTED_VALUE"""),-0.478753295066319)</f>
        <v>-0.47875329506631897</v>
      </c>
      <c r="JN63" s="3">
        <f ca="1">IFERROR(__xludf.DUMMYFUNCTION("""COMPUTED_VALUE"""),-0.425511506281009)</f>
        <v>-0.42551150628100898</v>
      </c>
      <c r="JO63" s="3">
        <f ca="1">IFERROR(__xludf.DUMMYFUNCTION("""COMPUTED_VALUE"""),-0.360459092688473)</f>
        <v>-0.36045909268847298</v>
      </c>
      <c r="JP63" s="3">
        <f ca="1">IFERROR(__xludf.DUMMYFUNCTION("""COMPUTED_VALUE"""),-0.459384240313226)</f>
        <v>-0.459384240313226</v>
      </c>
      <c r="JQ63" s="3">
        <f ca="1">IFERROR(__xludf.DUMMYFUNCTION("""COMPUTED_VALUE"""),-0.431114024372697)</f>
        <v>-0.43111402437269702</v>
      </c>
      <c r="JR63" s="3">
        <f ca="1">IFERROR(__xludf.DUMMYFUNCTION("""COMPUTED_VALUE"""),-0.427637625805819)</f>
        <v>-0.42763762580581899</v>
      </c>
      <c r="JS63" s="3">
        <f ca="1">IFERROR(__xludf.DUMMYFUNCTION("""COMPUTED_VALUE"""),-0.48812780608791)</f>
        <v>-0.48812780608791001</v>
      </c>
      <c r="JT63" s="3">
        <f ca="1">IFERROR(__xludf.DUMMYFUNCTION("""COMPUTED_VALUE"""),-0.449270068547814)</f>
        <v>-0.44927006854781398</v>
      </c>
      <c r="JU63" s="3">
        <f ca="1">IFERROR(__xludf.DUMMYFUNCTION("""COMPUTED_VALUE"""),-0.412100927117547)</f>
        <v>-0.41210092711754698</v>
      </c>
      <c r="JV63" s="3">
        <f ca="1">IFERROR(__xludf.DUMMYFUNCTION("""COMPUTED_VALUE"""),-0.433690255386588)</f>
        <v>-0.43369025538658801</v>
      </c>
      <c r="JW63" s="3">
        <f ca="1">IFERROR(__xludf.DUMMYFUNCTION("""COMPUTED_VALUE"""),-0.427379681445817)</f>
        <v>-0.42737968144581701</v>
      </c>
      <c r="JX63" s="3">
        <f ca="1">IFERROR(__xludf.DUMMYFUNCTION("""COMPUTED_VALUE"""),-0.425979107216982)</f>
        <v>-0.42597910721698201</v>
      </c>
      <c r="JY63" s="3">
        <f ca="1">IFERROR(__xludf.DUMMYFUNCTION("""COMPUTED_VALUE"""),-0.443210798239267)</f>
        <v>-0.44321079823926701</v>
      </c>
      <c r="JZ63" s="3">
        <f ca="1">IFERROR(__xludf.DUMMYFUNCTION("""COMPUTED_VALUE"""),-0.473793341444551)</f>
        <v>-0.47379334144455099</v>
      </c>
      <c r="KA63" s="3">
        <f ca="1">IFERROR(__xludf.DUMMYFUNCTION("""COMPUTED_VALUE"""),-0.488949804825862)</f>
        <v>-0.48894980482586198</v>
      </c>
      <c r="KB63" s="3">
        <f ca="1">IFERROR(__xludf.DUMMYFUNCTION("""COMPUTED_VALUE"""),-0.388048152971279)</f>
        <v>-0.38804815297127898</v>
      </c>
      <c r="KC63" s="3">
        <f ca="1">IFERROR(__xludf.DUMMYFUNCTION("""COMPUTED_VALUE"""),-0.404034523980243)</f>
        <v>-0.40403452398024298</v>
      </c>
      <c r="KD63" s="3">
        <f ca="1">IFERROR(__xludf.DUMMYFUNCTION("""COMPUTED_VALUE"""),-0.382921359912106)</f>
        <v>-0.38292135991210602</v>
      </c>
      <c r="KE63" s="3">
        <f ca="1">IFERROR(__xludf.DUMMYFUNCTION("""COMPUTED_VALUE"""),-0.312657504091393)</f>
        <v>-0.31265750409139298</v>
      </c>
      <c r="KF63" s="3">
        <f ca="1">IFERROR(__xludf.DUMMYFUNCTION("""COMPUTED_VALUE"""),-0.411461929687599)</f>
        <v>-0.41146192968759898</v>
      </c>
      <c r="KG63" s="3">
        <f ca="1">IFERROR(__xludf.DUMMYFUNCTION("""COMPUTED_VALUE"""),-0.398851464426445)</f>
        <v>-0.39885146442644498</v>
      </c>
      <c r="KH63" s="3">
        <f ca="1">IFERROR(__xludf.DUMMYFUNCTION("""COMPUTED_VALUE"""),-0.443540432685755)</f>
        <v>-0.44354043268575499</v>
      </c>
      <c r="KI63" s="3">
        <f ca="1">IFERROR(__xludf.DUMMYFUNCTION("""COMPUTED_VALUE"""),-0.37074856077215)</f>
        <v>-0.37074856077215002</v>
      </c>
      <c r="KJ63" s="3">
        <f ca="1">IFERROR(__xludf.DUMMYFUNCTION("""COMPUTED_VALUE"""),-0.289238169069428)</f>
        <v>-0.28923816906942801</v>
      </c>
      <c r="KK63" s="3">
        <f ca="1">IFERROR(__xludf.DUMMYFUNCTION("""COMPUTED_VALUE"""),-0.376662284182)</f>
        <v>-0.37666228418199998</v>
      </c>
      <c r="KL63" s="3">
        <f ca="1">IFERROR(__xludf.DUMMYFUNCTION("""COMPUTED_VALUE"""),-0.3916408618513)</f>
        <v>-0.39164086185129998</v>
      </c>
      <c r="KM63" s="3">
        <f ca="1">IFERROR(__xludf.DUMMYFUNCTION("""COMPUTED_VALUE"""),-0.394997232924927)</f>
        <v>-0.394997232924927</v>
      </c>
      <c r="KN63" s="3">
        <f ca="1">IFERROR(__xludf.DUMMYFUNCTION("""COMPUTED_VALUE"""),-0.458785688201144)</f>
        <v>-0.45878568820114402</v>
      </c>
      <c r="KO63" s="3">
        <f ca="1">IFERROR(__xludf.DUMMYFUNCTION("""COMPUTED_VALUE"""),-0.451069995680104)</f>
        <v>-0.45106999568010397</v>
      </c>
      <c r="KP63" s="3">
        <f ca="1">IFERROR(__xludf.DUMMYFUNCTION("""COMPUTED_VALUE"""),-0.390279099580172)</f>
        <v>-0.39027909958017198</v>
      </c>
      <c r="KQ63" s="3">
        <f ca="1">IFERROR(__xludf.DUMMYFUNCTION("""COMPUTED_VALUE"""),-0.388775651970116)</f>
        <v>-0.38877565197011599</v>
      </c>
      <c r="KR63" s="3">
        <f ca="1">IFERROR(__xludf.DUMMYFUNCTION("""COMPUTED_VALUE"""),-0.448104232908451)</f>
        <v>-0.44810423290845097</v>
      </c>
      <c r="KS63" s="3">
        <f ca="1">IFERROR(__xludf.DUMMYFUNCTION("""COMPUTED_VALUE"""),-0.44820487171312)</f>
        <v>-0.44820487171312001</v>
      </c>
      <c r="KT63" s="3">
        <f ca="1">IFERROR(__xludf.DUMMYFUNCTION("""COMPUTED_VALUE"""),-0.41093298057445)</f>
        <v>-0.41093298057444999</v>
      </c>
      <c r="KU63" s="3">
        <f ca="1">IFERROR(__xludf.DUMMYFUNCTION("""COMPUTED_VALUE"""),-0.54183986111381)</f>
        <v>-0.54183986111381</v>
      </c>
      <c r="KV63" s="3">
        <f ca="1">IFERROR(__xludf.DUMMYFUNCTION("""COMPUTED_VALUE"""),-0.561691418950412)</f>
        <v>-0.56169141895041197</v>
      </c>
      <c r="KW63" s="3">
        <f ca="1">IFERROR(__xludf.DUMMYFUNCTION("""COMPUTED_VALUE"""),-0.363194941327028)</f>
        <v>-0.36319494132702801</v>
      </c>
      <c r="KX63" s="3">
        <f ca="1">IFERROR(__xludf.DUMMYFUNCTION("""COMPUTED_VALUE"""),-0.457219916349684)</f>
        <v>-0.45721991634968401</v>
      </c>
      <c r="KY63" s="3">
        <f ca="1">IFERROR(__xludf.DUMMYFUNCTION("""COMPUTED_VALUE"""),-0.569158229897542)</f>
        <v>-0.56915822989754195</v>
      </c>
      <c r="KZ63" s="3">
        <f ca="1">IFERROR(__xludf.DUMMYFUNCTION("""COMPUTED_VALUE"""),-0.505746833336218)</f>
        <v>-0.50574683333621795</v>
      </c>
      <c r="LA63" s="3">
        <f ca="1">IFERROR(__xludf.DUMMYFUNCTION("""COMPUTED_VALUE"""),-0.50242039309589)</f>
        <v>-0.50242039309589004</v>
      </c>
      <c r="LB63" s="3">
        <f ca="1">IFERROR(__xludf.DUMMYFUNCTION("""COMPUTED_VALUE"""),-0.531946307084423)</f>
        <v>-0.53194630708442303</v>
      </c>
      <c r="LC63" s="3">
        <f ca="1">IFERROR(__xludf.DUMMYFUNCTION("""COMPUTED_VALUE"""),-0.498463761321121)</f>
        <v>-0.49846376132112102</v>
      </c>
      <c r="LD63" s="3">
        <f ca="1">IFERROR(__xludf.DUMMYFUNCTION("""COMPUTED_VALUE"""),-0.520963493815937)</f>
        <v>-0.52096349381593698</v>
      </c>
      <c r="LE63" s="3">
        <f ca="1">IFERROR(__xludf.DUMMYFUNCTION("""COMPUTED_VALUE"""),-0.427593913709088)</f>
        <v>-0.427593913709088</v>
      </c>
      <c r="LF63" s="3">
        <f ca="1">IFERROR(__xludf.DUMMYFUNCTION("""COMPUTED_VALUE"""),-0.461686183342754)</f>
        <v>-0.46168618334275402</v>
      </c>
      <c r="LG63" s="3">
        <f ca="1">IFERROR(__xludf.DUMMYFUNCTION("""COMPUTED_VALUE"""),-0.502708469717619)</f>
        <v>-0.50270846971761896</v>
      </c>
      <c r="LH63" s="3">
        <f ca="1">IFERROR(__xludf.DUMMYFUNCTION("""COMPUTED_VALUE"""),-0.559617760804476)</f>
        <v>-0.55961776080447601</v>
      </c>
      <c r="LI63" s="3">
        <f ca="1">IFERROR(__xludf.DUMMYFUNCTION("""COMPUTED_VALUE"""),-0.515475100071121)</f>
        <v>-0.51547510007112096</v>
      </c>
      <c r="LJ63" s="3">
        <f ca="1">IFERROR(__xludf.DUMMYFUNCTION("""COMPUTED_VALUE"""),-0.570937499120394)</f>
        <v>-0.57093749912039404</v>
      </c>
      <c r="LK63" s="3">
        <f ca="1">IFERROR(__xludf.DUMMYFUNCTION("""COMPUTED_VALUE"""),-0.451766298442859)</f>
        <v>-0.45176629844285898</v>
      </c>
      <c r="LL63" s="3">
        <f ca="1">IFERROR(__xludf.DUMMYFUNCTION("""COMPUTED_VALUE"""),-0.395805806082481)</f>
        <v>-0.395805806082481</v>
      </c>
      <c r="LM63" s="3">
        <f ca="1">IFERROR(__xludf.DUMMYFUNCTION("""COMPUTED_VALUE"""),-0.459103705079807)</f>
        <v>-0.45910370507980702</v>
      </c>
      <c r="LN63" s="3">
        <f ca="1">IFERROR(__xludf.DUMMYFUNCTION("""COMPUTED_VALUE"""),-0.507838308995392)</f>
        <v>-0.50783830899539195</v>
      </c>
      <c r="LO63" s="3">
        <f ca="1">IFERROR(__xludf.DUMMYFUNCTION("""COMPUTED_VALUE"""),-0.525827919440505)</f>
        <v>-0.525827919440505</v>
      </c>
      <c r="LP63" s="3">
        <f ca="1">IFERROR(__xludf.DUMMYFUNCTION("""COMPUTED_VALUE"""),-0.600805767788874)</f>
        <v>-0.60080576778887396</v>
      </c>
      <c r="LQ63" s="3">
        <f ca="1">IFERROR(__xludf.DUMMYFUNCTION("""COMPUTED_VALUE"""),-0.509019997229705)</f>
        <v>-0.50901999722970503</v>
      </c>
      <c r="LR63" s="3">
        <f ca="1">IFERROR(__xludf.DUMMYFUNCTION("""COMPUTED_VALUE"""),-0.46330414095826)</f>
        <v>-0.46330414095826</v>
      </c>
      <c r="LS63" s="3">
        <f ca="1">IFERROR(__xludf.DUMMYFUNCTION("""COMPUTED_VALUE"""),-0.439896795685219)</f>
        <v>-0.439896795685219</v>
      </c>
      <c r="LT63" s="3">
        <f ca="1">IFERROR(__xludf.DUMMYFUNCTION("""COMPUTED_VALUE"""),-0.499271510940975)</f>
        <v>-0.49927151094097499</v>
      </c>
      <c r="LU63" s="3">
        <f ca="1">IFERROR(__xludf.DUMMYFUNCTION("""COMPUTED_VALUE"""),-0.610442886492184)</f>
        <v>-0.61044288649218403</v>
      </c>
      <c r="LV63" s="3">
        <f ca="1">IFERROR(__xludf.DUMMYFUNCTION("""COMPUTED_VALUE"""),-0.603477435956921)</f>
        <v>-0.60347743595692105</v>
      </c>
      <c r="LW63" s="3">
        <f ca="1">IFERROR(__xludf.DUMMYFUNCTION("""COMPUTED_VALUE"""),-0.66386654180447)</f>
        <v>-0.66386654180447002</v>
      </c>
      <c r="LX63" s="3">
        <f ca="1">IFERROR(__xludf.DUMMYFUNCTION("""COMPUTED_VALUE"""),-0.623630398642952)</f>
        <v>-0.623630398642952</v>
      </c>
      <c r="LY63" s="3">
        <f ca="1">IFERROR(__xludf.DUMMYFUNCTION("""COMPUTED_VALUE"""),-0.471789857688741)</f>
        <v>-0.47178985768874099</v>
      </c>
      <c r="LZ63" s="3">
        <f ca="1">IFERROR(__xludf.DUMMYFUNCTION("""COMPUTED_VALUE"""),-0.535196885926291)</f>
        <v>-0.535196885926291</v>
      </c>
      <c r="MA63" s="3">
        <f ca="1">IFERROR(__xludf.DUMMYFUNCTION("""COMPUTED_VALUE"""),-0.578166840295869)</f>
        <v>-0.57816684029586896</v>
      </c>
      <c r="MB63" s="3">
        <f ca="1">IFERROR(__xludf.DUMMYFUNCTION("""COMPUTED_VALUE"""),-0.590218113619163)</f>
        <v>-0.59021811361916299</v>
      </c>
      <c r="MC63" s="3">
        <f ca="1">IFERROR(__xludf.DUMMYFUNCTION("""COMPUTED_VALUE"""),-0.55369962994714)</f>
        <v>-0.55369962994713995</v>
      </c>
      <c r="MD63" s="3">
        <f ca="1">IFERROR(__xludf.DUMMYFUNCTION("""COMPUTED_VALUE"""),-0.619549974738595)</f>
        <v>-0.61954997473859497</v>
      </c>
      <c r="ME63" s="3">
        <f ca="1">IFERROR(__xludf.DUMMYFUNCTION("""COMPUTED_VALUE"""),-0.576621774216907)</f>
        <v>-0.57662177421690697</v>
      </c>
      <c r="MF63" s="3">
        <f ca="1">IFERROR(__xludf.DUMMYFUNCTION("""COMPUTED_VALUE"""),-0.543908455922791)</f>
        <v>-0.54390845592279102</v>
      </c>
      <c r="MG63" s="3">
        <f ca="1">IFERROR(__xludf.DUMMYFUNCTION("""COMPUTED_VALUE"""),-0.526452936045006)</f>
        <v>-0.52645293604500598</v>
      </c>
      <c r="MH63" s="3">
        <f ca="1">IFERROR(__xludf.DUMMYFUNCTION("""COMPUTED_VALUE"""),-0.535808527264831)</f>
        <v>-0.53580852726483097</v>
      </c>
      <c r="MI63" s="3">
        <f ca="1">IFERROR(__xludf.DUMMYFUNCTION("""COMPUTED_VALUE"""),-0.661828744053635)</f>
        <v>-0.66182874405363501</v>
      </c>
      <c r="MJ63" s="3">
        <f ca="1">IFERROR(__xludf.DUMMYFUNCTION("""COMPUTED_VALUE"""),-0.664106268563259)</f>
        <v>-0.66410626856325905</v>
      </c>
      <c r="MK63" s="3">
        <f ca="1">IFERROR(__xludf.DUMMYFUNCTION("""COMPUTED_VALUE"""),-0.610611638923126)</f>
        <v>-0.61061163892312598</v>
      </c>
      <c r="ML63" s="3">
        <f ca="1">IFERROR(__xludf.DUMMYFUNCTION("""COMPUTED_VALUE"""),-0.656385194283213)</f>
        <v>-0.65638519428321296</v>
      </c>
      <c r="MM63" s="3">
        <f ca="1">IFERROR(__xludf.DUMMYFUNCTION("""COMPUTED_VALUE"""),-0.513977421591606)</f>
        <v>-0.51397742159160598</v>
      </c>
      <c r="MN63" s="3">
        <f ca="1">IFERROR(__xludf.DUMMYFUNCTION("""COMPUTED_VALUE"""),-0.600095806279576)</f>
        <v>-0.60009580627957604</v>
      </c>
      <c r="MO63" s="3">
        <f ca="1">IFERROR(__xludf.DUMMYFUNCTION("""COMPUTED_VALUE"""),-0.580175554130438)</f>
        <v>-0.58017555413043798</v>
      </c>
      <c r="MP63" s="3">
        <f ca="1">IFERROR(__xludf.DUMMYFUNCTION("""COMPUTED_VALUE"""),-0.557292378460747)</f>
        <v>-0.55729237846074697</v>
      </c>
      <c r="MQ63" s="3">
        <f ca="1">IFERROR(__xludf.DUMMYFUNCTION("""COMPUTED_VALUE"""),-0.587169696432274)</f>
        <v>-0.58716969643227401</v>
      </c>
      <c r="MR63" s="3">
        <f ca="1">IFERROR(__xludf.DUMMYFUNCTION("""COMPUTED_VALUE"""),-0.627287032409107)</f>
        <v>-0.62728703240910699</v>
      </c>
      <c r="MS63" s="3">
        <f ca="1">IFERROR(__xludf.DUMMYFUNCTION("""COMPUTED_VALUE"""),-0.589007729709317)</f>
        <v>-0.58900772970931703</v>
      </c>
      <c r="MT63" s="3">
        <f ca="1">IFERROR(__xludf.DUMMYFUNCTION("""COMPUTED_VALUE"""),-0.582222853628753)</f>
        <v>-0.58222285362875303</v>
      </c>
      <c r="MU63" s="3">
        <f ca="1">IFERROR(__xludf.DUMMYFUNCTION("""COMPUTED_VALUE"""),-0.563197848239724)</f>
        <v>-0.56319784823972396</v>
      </c>
      <c r="MV63" s="3">
        <f ca="1">IFERROR(__xludf.DUMMYFUNCTION("""COMPUTED_VALUE"""),-0.567866622566206)</f>
        <v>-0.56786662256620601</v>
      </c>
      <c r="MW63" s="3">
        <f ca="1">IFERROR(__xludf.DUMMYFUNCTION("""COMPUTED_VALUE"""),-0.648736514007664)</f>
        <v>-0.64873651400766397</v>
      </c>
      <c r="MX63" s="3">
        <f ca="1">IFERROR(__xludf.DUMMYFUNCTION("""COMPUTED_VALUE"""),-0.547073908849249)</f>
        <v>-0.547073908849249</v>
      </c>
      <c r="MY63" s="3">
        <f ca="1">IFERROR(__xludf.DUMMYFUNCTION("""COMPUTED_VALUE"""),-0.546246689320236)</f>
        <v>-0.54624668932023601</v>
      </c>
      <c r="MZ63" s="3">
        <f ca="1">IFERROR(__xludf.DUMMYFUNCTION("""COMPUTED_VALUE"""),-0.572389546258148)</f>
        <v>-0.57238954625814797</v>
      </c>
      <c r="NA63" s="3">
        <f ca="1">IFERROR(__xludf.DUMMYFUNCTION("""COMPUTED_VALUE"""),-0.536987561254771)</f>
        <v>-0.53698756125477098</v>
      </c>
      <c r="NB63" s="3">
        <f ca="1">IFERROR(__xludf.DUMMYFUNCTION("""COMPUTED_VALUE"""),-0.607782729668559)</f>
        <v>-0.60778272966855895</v>
      </c>
      <c r="NC63" s="3">
        <f ca="1">IFERROR(__xludf.DUMMYFUNCTION("""COMPUTED_VALUE"""),-0.6311506206984)</f>
        <v>-0.6311506206984</v>
      </c>
      <c r="ND63" s="3">
        <f ca="1">IFERROR(__xludf.DUMMYFUNCTION("""COMPUTED_VALUE"""),-0.622988106650576)</f>
        <v>-0.62298810665057602</v>
      </c>
      <c r="NE63" s="3">
        <f ca="1">IFERROR(__xludf.DUMMYFUNCTION("""COMPUTED_VALUE"""),-0.66570066903588)</f>
        <v>-0.66570066903587999</v>
      </c>
      <c r="NF63" s="3">
        <f ca="1">IFERROR(__xludf.DUMMYFUNCTION("""COMPUTED_VALUE"""),-0.597045557876026)</f>
        <v>-0.59704555787602598</v>
      </c>
      <c r="NG63" s="3">
        <f ca="1">IFERROR(__xludf.DUMMYFUNCTION("""COMPUTED_VALUE"""),-0.632793471968797)</f>
        <v>-0.63279347196879698</v>
      </c>
      <c r="NH63" s="3">
        <f ca="1">IFERROR(__xludf.DUMMYFUNCTION("""COMPUTED_VALUE"""),-0.527594329427372)</f>
        <v>-0.52759432942737206</v>
      </c>
      <c r="NI63" s="3">
        <f ca="1">IFERROR(__xludf.DUMMYFUNCTION("""COMPUTED_VALUE"""),-0.533255335517463)</f>
        <v>-0.53325533551746296</v>
      </c>
      <c r="NJ63" s="3">
        <f ca="1">IFERROR(__xludf.DUMMYFUNCTION("""COMPUTED_VALUE"""),-0.563117585137611)</f>
        <v>-0.56311758513761101</v>
      </c>
      <c r="NK63" s="3">
        <f ca="1">IFERROR(__xludf.DUMMYFUNCTION("""COMPUTED_VALUE"""),-0.575344581891312)</f>
        <v>-0.57534458189131199</v>
      </c>
      <c r="NL63" s="3">
        <f ca="1">IFERROR(__xludf.DUMMYFUNCTION("""COMPUTED_VALUE"""),-0.634614958587237)</f>
        <v>-0.63461495858723704</v>
      </c>
      <c r="NM63" s="3">
        <f ca="1">IFERROR(__xludf.DUMMYFUNCTION("""COMPUTED_VALUE"""),-0.588832266147846)</f>
        <v>-0.58883226614784601</v>
      </c>
      <c r="NN63" s="3">
        <f ca="1">IFERROR(__xludf.DUMMYFUNCTION("""COMPUTED_VALUE"""),-0.476536286881384)</f>
        <v>-0.476536286881384</v>
      </c>
      <c r="NO63" s="3">
        <f ca="1">IFERROR(__xludf.DUMMYFUNCTION("""COMPUTED_VALUE"""),-0.528629382615588)</f>
        <v>-0.52862938261558801</v>
      </c>
      <c r="NP63" s="3">
        <f ca="1">IFERROR(__xludf.DUMMYFUNCTION("""COMPUTED_VALUE"""),-0.539742096686969)</f>
        <v>-0.53974209668696904</v>
      </c>
      <c r="NQ63" s="3">
        <f ca="1">IFERROR(__xludf.DUMMYFUNCTION("""COMPUTED_VALUE"""),-0.55008075808181)</f>
        <v>-0.55008075808181001</v>
      </c>
      <c r="NR63" s="3">
        <f ca="1">IFERROR(__xludf.DUMMYFUNCTION("""COMPUTED_VALUE"""),-0.512022038461419)</f>
        <v>-0.51202203846141903</v>
      </c>
      <c r="NS63" s="3">
        <f ca="1">IFERROR(__xludf.DUMMYFUNCTION("""COMPUTED_VALUE"""),-0.507895136235586)</f>
        <v>-0.50789513623558602</v>
      </c>
      <c r="NT63" s="3">
        <f ca="1">IFERROR(__xludf.DUMMYFUNCTION("""COMPUTED_VALUE"""),-0.550761378201169)</f>
        <v>-0.55076137820116899</v>
      </c>
      <c r="NU63" s="3">
        <f ca="1">IFERROR(__xludf.DUMMYFUNCTION("""COMPUTED_VALUE"""),-0.467036828018911)</f>
        <v>-0.467036828018911</v>
      </c>
      <c r="NV63" s="3">
        <f ca="1">IFERROR(__xludf.DUMMYFUNCTION("""COMPUTED_VALUE"""),-0.469116963423111)</f>
        <v>-0.46911696342311099</v>
      </c>
      <c r="NW63" s="3">
        <f ca="1">IFERROR(__xludf.DUMMYFUNCTION("""COMPUTED_VALUE"""),-0.348334942339252)</f>
        <v>-0.348334942339252</v>
      </c>
      <c r="NX63" s="3">
        <f ca="1">IFERROR(__xludf.DUMMYFUNCTION("""COMPUTED_VALUE"""),-0.384272303787778)</f>
        <v>-0.38427230378777799</v>
      </c>
      <c r="NY63" s="3">
        <f ca="1">IFERROR(__xludf.DUMMYFUNCTION("""COMPUTED_VALUE"""),-0.479317094320139)</f>
        <v>-0.47931709432013903</v>
      </c>
      <c r="NZ63" s="3">
        <f ca="1">IFERROR(__xludf.DUMMYFUNCTION("""COMPUTED_VALUE"""),-0.44222035788767)</f>
        <v>-0.44222035788767</v>
      </c>
      <c r="OA63" s="3">
        <f ca="1">IFERROR(__xludf.DUMMYFUNCTION("""COMPUTED_VALUE"""),-0.273535174959796)</f>
        <v>-0.27353517495979601</v>
      </c>
      <c r="OB63" s="3">
        <f ca="1">IFERROR(__xludf.DUMMYFUNCTION("""COMPUTED_VALUE"""),-0.256934509085267)</f>
        <v>-0.25693450908526699</v>
      </c>
      <c r="OC63" s="3">
        <f ca="1">IFERROR(__xludf.DUMMYFUNCTION("""COMPUTED_VALUE"""),-0.135036250278286)</f>
        <v>-0.135036250278286</v>
      </c>
      <c r="OD63" s="3">
        <f ca="1">IFERROR(__xludf.DUMMYFUNCTION("""COMPUTED_VALUE"""),0.000158074594862167)</f>
        <v>1.58074594862167E-4</v>
      </c>
      <c r="OE63" s="3">
        <f ca="1">IFERROR(__xludf.DUMMYFUNCTION("""COMPUTED_VALUE"""),-0.129927528865471)</f>
        <v>-0.12992752886547099</v>
      </c>
      <c r="OF63" s="3">
        <f ca="1">IFERROR(__xludf.DUMMYFUNCTION("""COMPUTED_VALUE"""),-0.145424431990111)</f>
        <v>-0.14542443199011101</v>
      </c>
      <c r="OG63" s="3">
        <f ca="1">IFERROR(__xludf.DUMMYFUNCTION("""COMPUTED_VALUE"""),-0.195341771485979)</f>
        <v>-0.195341771485979</v>
      </c>
      <c r="OH63" s="3">
        <f ca="1">IFERROR(__xludf.DUMMYFUNCTION("""COMPUTED_VALUE"""),-0.0525304374538315)</f>
        <v>-5.2530437453831499E-2</v>
      </c>
      <c r="OI63" s="3">
        <f ca="1">IFERROR(__xludf.DUMMYFUNCTION("""COMPUTED_VALUE"""),-0.0485176802510773)</f>
        <v>-4.8517680251077298E-2</v>
      </c>
      <c r="OJ63" s="3">
        <f ca="1">IFERROR(__xludf.DUMMYFUNCTION("""COMPUTED_VALUE"""),-0.0378569040078069)</f>
        <v>-3.7856904007806898E-2</v>
      </c>
      <c r="OK63" s="3">
        <f ca="1">IFERROR(__xludf.DUMMYFUNCTION("""COMPUTED_VALUE"""),0.0844507563850474)</f>
        <v>8.4450756385047399E-2</v>
      </c>
      <c r="OL63" s="3">
        <f ca="1">IFERROR(__xludf.DUMMYFUNCTION("""COMPUTED_VALUE"""),0.171434858839018)</f>
        <v>0.17143485883901799</v>
      </c>
      <c r="OM63" s="3">
        <f ca="1">IFERROR(__xludf.DUMMYFUNCTION("""COMPUTED_VALUE"""),0.169666248749479)</f>
        <v>0.169666248749479</v>
      </c>
      <c r="ON63" s="3">
        <f ca="1">IFERROR(__xludf.DUMMYFUNCTION("""COMPUTED_VALUE"""),-0.00146763446786046)</f>
        <v>-1.46763446786046E-3</v>
      </c>
      <c r="OO63" s="3">
        <f ca="1">IFERROR(__xludf.DUMMYFUNCTION("""COMPUTED_VALUE"""),-0.00379612302818566)</f>
        <v>-3.7961230281856602E-3</v>
      </c>
      <c r="OP63" s="3">
        <f ca="1">IFERROR(__xludf.DUMMYFUNCTION("""COMPUTED_VALUE"""),0.0241074435611885)</f>
        <v>2.4107443561188501E-2</v>
      </c>
      <c r="OQ63" s="3">
        <f ca="1">IFERROR(__xludf.DUMMYFUNCTION("""COMPUTED_VALUE"""),0.101886332384004)</f>
        <v>0.10188633238400401</v>
      </c>
      <c r="OR63" s="3">
        <f ca="1">IFERROR(__xludf.DUMMYFUNCTION("""COMPUTED_VALUE"""),0.083749272601455)</f>
        <v>8.3749272601454997E-2</v>
      </c>
      <c r="OS63" s="3">
        <f ca="1">IFERROR(__xludf.DUMMYFUNCTION("""COMPUTED_VALUE"""),-0.106379973153907)</f>
        <v>-0.106379973153907</v>
      </c>
      <c r="OT63" s="3">
        <f ca="1">IFERROR(__xludf.DUMMYFUNCTION("""COMPUTED_VALUE"""),0.0255982732238002)</f>
        <v>2.5598273223800198E-2</v>
      </c>
      <c r="OU63" s="3">
        <f ca="1">IFERROR(__xludf.DUMMYFUNCTION("""COMPUTED_VALUE"""),0.0899349631974135)</f>
        <v>8.9934963197413495E-2</v>
      </c>
      <c r="OV63" s="3">
        <f ca="1">IFERROR(__xludf.DUMMYFUNCTION("""COMPUTED_VALUE"""),0.014867442453696)</f>
        <v>1.4867442453696001E-2</v>
      </c>
      <c r="OW63" s="3">
        <f ca="1">IFERROR(__xludf.DUMMYFUNCTION("""COMPUTED_VALUE"""),0.135085893816553)</f>
        <v>0.135085893816553</v>
      </c>
      <c r="OX63" s="3">
        <f ca="1">IFERROR(__xludf.DUMMYFUNCTION("""COMPUTED_VALUE"""),0.0981807317959646)</f>
        <v>9.8180731795964593E-2</v>
      </c>
      <c r="OY63" s="3">
        <f ca="1">IFERROR(__xludf.DUMMYFUNCTION("""COMPUTED_VALUE"""),-0.119193274791976)</f>
        <v>-0.119193274791976</v>
      </c>
      <c r="OZ63" s="3">
        <f ca="1">IFERROR(__xludf.DUMMYFUNCTION("""COMPUTED_VALUE"""),0.0845901054281299)</f>
        <v>8.4590105428129905E-2</v>
      </c>
      <c r="PA63" s="3">
        <f ca="1">IFERROR(__xludf.DUMMYFUNCTION("""COMPUTED_VALUE"""),0.00902797100138341)</f>
        <v>9.02797100138341E-3</v>
      </c>
      <c r="PB63" s="3">
        <f ca="1">IFERROR(__xludf.DUMMYFUNCTION("""COMPUTED_VALUE"""),-0.100845157022424)</f>
        <v>-0.100845157022424</v>
      </c>
      <c r="PC63" s="3">
        <f ca="1">IFERROR(__xludf.DUMMYFUNCTION("""COMPUTED_VALUE"""),-0.00223216016951433)</f>
        <v>-2.2321601695143301E-3</v>
      </c>
      <c r="PD63" s="3">
        <f ca="1">IFERROR(__xludf.DUMMYFUNCTION("""COMPUTED_VALUE"""),-0.0575278933576891)</f>
        <v>-5.7527893357689097E-2</v>
      </c>
      <c r="PE63" s="3">
        <f ca="1">IFERROR(__xludf.DUMMYFUNCTION("""COMPUTED_VALUE"""),0.0380793666441752)</f>
        <v>3.8079366644175203E-2</v>
      </c>
      <c r="PF63" s="3">
        <f ca="1">IFERROR(__xludf.DUMMYFUNCTION("""COMPUTED_VALUE"""),0.030802726364796)</f>
        <v>3.0802726364796001E-2</v>
      </c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</row>
    <row r="64" spans="1:594" ht="13">
      <c r="A64" s="1" t="str">
        <f ca="1">IFERROR(__xludf.DUMMYFUNCTION("""COMPUTED_VALUE"""),"Pittsburgh")</f>
        <v>Pittsburgh</v>
      </c>
      <c r="B64" s="3">
        <f ca="1">IFERROR(__xludf.DUMMYFUNCTION("""COMPUTED_VALUE"""),-0.370917868638772)</f>
        <v>-0.37091786863877202</v>
      </c>
      <c r="C64" s="3">
        <f ca="1">IFERROR(__xludf.DUMMYFUNCTION("""COMPUTED_VALUE"""),-0.482484227066102)</f>
        <v>-0.482484227066102</v>
      </c>
      <c r="D64" s="3">
        <f ca="1">IFERROR(__xludf.DUMMYFUNCTION("""COMPUTED_VALUE"""),-0.521940203994335)</f>
        <v>-0.52194020399433505</v>
      </c>
      <c r="E64" s="3">
        <f ca="1">IFERROR(__xludf.DUMMYFUNCTION("""COMPUTED_VALUE"""),-0.535017940602546)</f>
        <v>-0.53501794060254604</v>
      </c>
      <c r="F64" s="3">
        <f ca="1">IFERROR(__xludf.DUMMYFUNCTION("""COMPUTED_VALUE"""),-0.541036941541775)</f>
        <v>-0.54103694154177495</v>
      </c>
      <c r="G64" s="3">
        <f ca="1">IFERROR(__xludf.DUMMYFUNCTION("""COMPUTED_VALUE"""),-0.550791425536221)</f>
        <v>-0.55079142553622096</v>
      </c>
      <c r="H64" s="3">
        <f ca="1">IFERROR(__xludf.DUMMYFUNCTION("""COMPUTED_VALUE"""),-0.533580656465944)</f>
        <v>-0.53358065646594399</v>
      </c>
      <c r="I64" s="3">
        <f ca="1">IFERROR(__xludf.DUMMYFUNCTION("""COMPUTED_VALUE"""),-0.475959755548394)</f>
        <v>-0.47595975554839398</v>
      </c>
      <c r="J64" s="3">
        <f ca="1">IFERROR(__xludf.DUMMYFUNCTION("""COMPUTED_VALUE"""),-0.568438599628312)</f>
        <v>-0.568438599628312</v>
      </c>
      <c r="K64" s="3">
        <f ca="1">IFERROR(__xludf.DUMMYFUNCTION("""COMPUTED_VALUE"""),-0.583046921610317)</f>
        <v>-0.58304692161031701</v>
      </c>
      <c r="L64" s="3">
        <f ca="1">IFERROR(__xludf.DUMMYFUNCTION("""COMPUTED_VALUE"""),-0.603647192440807)</f>
        <v>-0.603647192440807</v>
      </c>
      <c r="M64" s="3">
        <f ca="1">IFERROR(__xludf.DUMMYFUNCTION("""COMPUTED_VALUE"""),-0.56136327757852)</f>
        <v>-0.56136327757852</v>
      </c>
      <c r="N64" s="3">
        <f ca="1">IFERROR(__xludf.DUMMYFUNCTION("""COMPUTED_VALUE"""),-0.578772368774296)</f>
        <v>-0.57877236877429605</v>
      </c>
      <c r="O64" s="3">
        <f ca="1">IFERROR(__xludf.DUMMYFUNCTION("""COMPUTED_VALUE"""),-0.517244953478009)</f>
        <v>-0.51724495347800903</v>
      </c>
      <c r="P64" s="3">
        <f ca="1">IFERROR(__xludf.DUMMYFUNCTION("""COMPUTED_VALUE"""),-0.453324665254613)</f>
        <v>-0.45332466525461301</v>
      </c>
      <c r="Q64" s="3">
        <f ca="1">IFERROR(__xludf.DUMMYFUNCTION("""COMPUTED_VALUE"""),-0.582972642641057)</f>
        <v>-0.58297264264105697</v>
      </c>
      <c r="R64" s="3">
        <f ca="1">IFERROR(__xludf.DUMMYFUNCTION("""COMPUTED_VALUE"""),-0.584284570369752)</f>
        <v>-0.58428457036975201</v>
      </c>
      <c r="S64" s="3">
        <f ca="1">IFERROR(__xludf.DUMMYFUNCTION("""COMPUTED_VALUE"""),-0.557952407700123)</f>
        <v>-0.557952407700123</v>
      </c>
      <c r="T64" s="3">
        <f ca="1">IFERROR(__xludf.DUMMYFUNCTION("""COMPUTED_VALUE"""),-0.556864737717442)</f>
        <v>-0.55686473771744205</v>
      </c>
      <c r="U64" s="3">
        <f ca="1">IFERROR(__xludf.DUMMYFUNCTION("""COMPUTED_VALUE"""),-0.571638568925773)</f>
        <v>-0.57163856892577303</v>
      </c>
      <c r="V64" s="3">
        <f ca="1">IFERROR(__xludf.DUMMYFUNCTION("""COMPUTED_VALUE"""),-0.42169162386084)</f>
        <v>-0.42169162386084003</v>
      </c>
      <c r="W64" s="3">
        <f ca="1">IFERROR(__xludf.DUMMYFUNCTION("""COMPUTED_VALUE"""),-0.451008708970119)</f>
        <v>-0.45100870897011902</v>
      </c>
      <c r="X64" s="3">
        <f ca="1">IFERROR(__xludf.DUMMYFUNCTION("""COMPUTED_VALUE"""),-0.538689067306382)</f>
        <v>-0.538689067306382</v>
      </c>
      <c r="Y64" s="3">
        <f ca="1">IFERROR(__xludf.DUMMYFUNCTION("""COMPUTED_VALUE"""),-0.594649608060402)</f>
        <v>-0.59464960806040201</v>
      </c>
      <c r="Z64" s="3">
        <f ca="1">IFERROR(__xludf.DUMMYFUNCTION("""COMPUTED_VALUE"""),-0.532330726567688)</f>
        <v>-0.53233072656768798</v>
      </c>
      <c r="AA64" s="3">
        <f ca="1">IFERROR(__xludf.DUMMYFUNCTION("""COMPUTED_VALUE"""),-0.575500833690026)</f>
        <v>-0.57550083369002603</v>
      </c>
      <c r="AB64" s="3">
        <f ca="1">IFERROR(__xludf.DUMMYFUNCTION("""COMPUTED_VALUE"""),-0.570975036186058)</f>
        <v>-0.57097503618605805</v>
      </c>
      <c r="AC64" s="3">
        <f ca="1">IFERROR(__xludf.DUMMYFUNCTION("""COMPUTED_VALUE"""),-0.44789963872124)</f>
        <v>-0.44789963872124</v>
      </c>
      <c r="AD64" s="3">
        <f ca="1">IFERROR(__xludf.DUMMYFUNCTION("""COMPUTED_VALUE"""),-0.435793580138448)</f>
        <v>-0.43579358013844799</v>
      </c>
      <c r="AE64" s="3">
        <f ca="1">IFERROR(__xludf.DUMMYFUNCTION("""COMPUTED_VALUE"""),-0.549280474856826)</f>
        <v>-0.54928047485682596</v>
      </c>
      <c r="AF64" s="3">
        <f ca="1">IFERROR(__xludf.DUMMYFUNCTION("""COMPUTED_VALUE"""),-0.592196474026377)</f>
        <v>-0.59219647402637698</v>
      </c>
      <c r="AG64" s="3">
        <f ca="1">IFERROR(__xludf.DUMMYFUNCTION("""COMPUTED_VALUE"""),-0.539606792808386)</f>
        <v>-0.53960679280838597</v>
      </c>
      <c r="AH64" s="3">
        <f ca="1">IFERROR(__xludf.DUMMYFUNCTION("""COMPUTED_VALUE"""),-0.560574665354903)</f>
        <v>-0.56057466535490297</v>
      </c>
      <c r="AI64" s="3">
        <f ca="1">IFERROR(__xludf.DUMMYFUNCTION("""COMPUTED_VALUE"""),-0.57753212860518)</f>
        <v>-0.57753212860518</v>
      </c>
      <c r="AJ64" s="3">
        <f ca="1">IFERROR(__xludf.DUMMYFUNCTION("""COMPUTED_VALUE"""),-0.474713675540694)</f>
        <v>-0.47471367554069399</v>
      </c>
      <c r="AK64" s="3">
        <f ca="1">IFERROR(__xludf.DUMMYFUNCTION("""COMPUTED_VALUE"""),-0.487136681060956)</f>
        <v>-0.48713668106095598</v>
      </c>
      <c r="AL64" s="3">
        <f ca="1">IFERROR(__xludf.DUMMYFUNCTION("""COMPUTED_VALUE"""),-0.567621918403003)</f>
        <v>-0.56762191840300302</v>
      </c>
      <c r="AM64" s="3">
        <f ca="1">IFERROR(__xludf.DUMMYFUNCTION("""COMPUTED_VALUE"""),-0.589039276542693)</f>
        <v>-0.58903927654269295</v>
      </c>
      <c r="AN64" s="3">
        <f ca="1">IFERROR(__xludf.DUMMYFUNCTION("""COMPUTED_VALUE"""),-0.555114130695938)</f>
        <v>-0.55511413069593796</v>
      </c>
      <c r="AO64" s="3">
        <f ca="1">IFERROR(__xludf.DUMMYFUNCTION("""COMPUTED_VALUE"""),-0.588489409392002)</f>
        <v>-0.58848940939200201</v>
      </c>
      <c r="AP64" s="3">
        <f ca="1">IFERROR(__xludf.DUMMYFUNCTION("""COMPUTED_VALUE"""),-0.577511792163208)</f>
        <v>-0.57751179216320803</v>
      </c>
      <c r="AQ64" s="3">
        <f ca="1">IFERROR(__xludf.DUMMYFUNCTION("""COMPUTED_VALUE"""),-0.517943480977582)</f>
        <v>-0.51794348097758203</v>
      </c>
      <c r="AR64" s="3">
        <f ca="1">IFERROR(__xludf.DUMMYFUNCTION("""COMPUTED_VALUE"""),-0.499354239375571)</f>
        <v>-0.499354239375571</v>
      </c>
      <c r="AS64" s="3">
        <f ca="1">IFERROR(__xludf.DUMMYFUNCTION("""COMPUTED_VALUE"""),-0.590422976325075)</f>
        <v>-0.59042297632507501</v>
      </c>
      <c r="AT64" s="3">
        <f ca="1">IFERROR(__xludf.DUMMYFUNCTION("""COMPUTED_VALUE"""),-0.599266089877955)</f>
        <v>-0.59926608987795504</v>
      </c>
      <c r="AU64" s="3">
        <f ca="1">IFERROR(__xludf.DUMMYFUNCTION("""COMPUTED_VALUE"""),-0.587525580454498)</f>
        <v>-0.58752558045449799</v>
      </c>
      <c r="AV64" s="3">
        <f ca="1">IFERROR(__xludf.DUMMYFUNCTION("""COMPUTED_VALUE"""),-0.5848661416837)</f>
        <v>-0.58486614168369999</v>
      </c>
      <c r="AW64" s="3">
        <f ca="1">IFERROR(__xludf.DUMMYFUNCTION("""COMPUTED_VALUE"""),-0.606487518487926)</f>
        <v>-0.60648751848792604</v>
      </c>
      <c r="AX64" s="3">
        <f ca="1">IFERROR(__xludf.DUMMYFUNCTION("""COMPUTED_VALUE"""),-0.517657233142519)</f>
        <v>-0.51765723314251899</v>
      </c>
      <c r="AY64" s="3">
        <f ca="1">IFERROR(__xludf.DUMMYFUNCTION("""COMPUTED_VALUE"""),-0.537970947087864)</f>
        <v>-0.53797094708786397</v>
      </c>
      <c r="AZ64" s="3">
        <f ca="1">IFERROR(__xludf.DUMMYFUNCTION("""COMPUTED_VALUE"""),-0.599947831312953)</f>
        <v>-0.59994783131295304</v>
      </c>
      <c r="BA64" s="3">
        <f ca="1">IFERROR(__xludf.DUMMYFUNCTION("""COMPUTED_VALUE"""),-0.607480449205271)</f>
        <v>-0.607480449205271</v>
      </c>
      <c r="BB64" s="3">
        <f ca="1">IFERROR(__xludf.DUMMYFUNCTION("""COMPUTED_VALUE"""),-0.617682709259607)</f>
        <v>-0.617682709259607</v>
      </c>
      <c r="BC64" s="3">
        <f ca="1">IFERROR(__xludf.DUMMYFUNCTION("""COMPUTED_VALUE"""),-0.626417626579443)</f>
        <v>-0.626417626579443</v>
      </c>
      <c r="BD64" s="3">
        <f ca="1">IFERROR(__xludf.DUMMYFUNCTION("""COMPUTED_VALUE"""),-0.620973922147777)</f>
        <v>-0.62097392214777702</v>
      </c>
      <c r="BE64" s="3">
        <f ca="1">IFERROR(__xludf.DUMMYFUNCTION("""COMPUTED_VALUE"""),-0.421520467654898)</f>
        <v>-0.42152046765489798</v>
      </c>
      <c r="BF64" s="3">
        <f ca="1">IFERROR(__xludf.DUMMYFUNCTION("""COMPUTED_VALUE"""),-0.505485807984777)</f>
        <v>-0.50548580798477705</v>
      </c>
      <c r="BG64" s="3">
        <f ca="1">IFERROR(__xludf.DUMMYFUNCTION("""COMPUTED_VALUE"""),-0.588850894030635)</f>
        <v>-0.58885089403063495</v>
      </c>
      <c r="BH64" s="3">
        <f ca="1">IFERROR(__xludf.DUMMYFUNCTION("""COMPUTED_VALUE"""),-0.612889184804533)</f>
        <v>-0.61288918480453303</v>
      </c>
      <c r="BI64" s="3">
        <f ca="1">IFERROR(__xludf.DUMMYFUNCTION("""COMPUTED_VALUE"""),-0.601271892800771)</f>
        <v>-0.60127189280077098</v>
      </c>
      <c r="BJ64" s="3">
        <f ca="1">IFERROR(__xludf.DUMMYFUNCTION("""COMPUTED_VALUE"""),-0.61425128545944)</f>
        <v>-0.61425128545943997</v>
      </c>
      <c r="BK64" s="3">
        <f ca="1">IFERROR(__xludf.DUMMYFUNCTION("""COMPUTED_VALUE"""),-0.617173509915588)</f>
        <v>-0.61717350991558795</v>
      </c>
      <c r="BL64" s="3">
        <f ca="1">IFERROR(__xludf.DUMMYFUNCTION("""COMPUTED_VALUE"""),-0.519952944490134)</f>
        <v>-0.51995294449013396</v>
      </c>
      <c r="BM64" s="3">
        <f ca="1">IFERROR(__xludf.DUMMYFUNCTION("""COMPUTED_VALUE"""),-0.529835345207733)</f>
        <v>-0.52983534520773301</v>
      </c>
      <c r="BN64" s="3">
        <f ca="1">IFERROR(__xludf.DUMMYFUNCTION("""COMPUTED_VALUE"""),-0.630482838672617)</f>
        <v>-0.63048283867261701</v>
      </c>
      <c r="BO64" s="3">
        <f ca="1">IFERROR(__xludf.DUMMYFUNCTION("""COMPUTED_VALUE"""),-0.619496380442105)</f>
        <v>-0.61949638044210498</v>
      </c>
      <c r="BP64" s="3">
        <f ca="1">IFERROR(__xludf.DUMMYFUNCTION("""COMPUTED_VALUE"""),-0.617915001005284)</f>
        <v>-0.61791500100528396</v>
      </c>
      <c r="BQ64" s="3">
        <f ca="1">IFERROR(__xludf.DUMMYFUNCTION("""COMPUTED_VALUE"""),-0.614705174533118)</f>
        <v>-0.61470517453311802</v>
      </c>
      <c r="BR64" s="3">
        <f ca="1">IFERROR(__xludf.DUMMYFUNCTION("""COMPUTED_VALUE"""),-0.606406239592088)</f>
        <v>-0.60640623959208795</v>
      </c>
      <c r="BS64" s="3">
        <f ca="1">IFERROR(__xludf.DUMMYFUNCTION("""COMPUTED_VALUE"""),-0.519247115053813)</f>
        <v>-0.51924711505381305</v>
      </c>
      <c r="BT64" s="3">
        <f ca="1">IFERROR(__xludf.DUMMYFUNCTION("""COMPUTED_VALUE"""),-0.538525645145886)</f>
        <v>-0.53852564514588597</v>
      </c>
      <c r="BU64" s="3">
        <f ca="1">IFERROR(__xludf.DUMMYFUNCTION("""COMPUTED_VALUE"""),-0.635335543886321)</f>
        <v>-0.63533554388632096</v>
      </c>
      <c r="BV64" s="3">
        <f ca="1">IFERROR(__xludf.DUMMYFUNCTION("""COMPUTED_VALUE"""),-0.658146505513823)</f>
        <v>-0.65814650551382303</v>
      </c>
      <c r="BW64" s="3">
        <f ca="1">IFERROR(__xludf.DUMMYFUNCTION("""COMPUTED_VALUE"""),-0.640749671757093)</f>
        <v>-0.64074967175709296</v>
      </c>
      <c r="BX64" s="3">
        <f ca="1">IFERROR(__xludf.DUMMYFUNCTION("""COMPUTED_VALUE"""),-0.635130516373097)</f>
        <v>-0.63513051637309703</v>
      </c>
      <c r="BY64" s="3">
        <f ca="1">IFERROR(__xludf.DUMMYFUNCTION("""COMPUTED_VALUE"""),-0.59551788536577)</f>
        <v>-0.59551788536576999</v>
      </c>
      <c r="BZ64" s="3">
        <f ca="1">IFERROR(__xludf.DUMMYFUNCTION("""COMPUTED_VALUE"""),-0.571598795558836)</f>
        <v>-0.57159879555883597</v>
      </c>
      <c r="CA64" s="3">
        <f ca="1">IFERROR(__xludf.DUMMYFUNCTION("""COMPUTED_VALUE"""),-0.568290205540244)</f>
        <v>-0.56829020554024401</v>
      </c>
      <c r="CB64" s="3">
        <f ca="1">IFERROR(__xludf.DUMMYFUNCTION("""COMPUTED_VALUE"""),-0.651425411756423)</f>
        <v>-0.65142541175642299</v>
      </c>
      <c r="CC64" s="3">
        <f ca="1">IFERROR(__xludf.DUMMYFUNCTION("""COMPUTED_VALUE"""),-0.651318984997213)</f>
        <v>-0.65131898499721297</v>
      </c>
      <c r="CD64" s="3">
        <f ca="1">IFERROR(__xludf.DUMMYFUNCTION("""COMPUTED_VALUE"""),-0.659645633134287)</f>
        <v>-0.65964563313428703</v>
      </c>
      <c r="CE64" s="3">
        <f ca="1">IFERROR(__xludf.DUMMYFUNCTION("""COMPUTED_VALUE"""),-0.647549907075999)</f>
        <v>-0.64754990707599902</v>
      </c>
      <c r="CF64" s="3">
        <f ca="1">IFERROR(__xludf.DUMMYFUNCTION("""COMPUTED_VALUE"""),-0.643024360128934)</f>
        <v>-0.64302436012893405</v>
      </c>
      <c r="CG64" s="3">
        <f ca="1">IFERROR(__xludf.DUMMYFUNCTION("""COMPUTED_VALUE"""),-0.567752934626324)</f>
        <v>-0.56775293462632404</v>
      </c>
      <c r="CH64" s="3">
        <f ca="1">IFERROR(__xludf.DUMMYFUNCTION("""COMPUTED_VALUE"""),-0.576288357027809)</f>
        <v>-0.57628835702780901</v>
      </c>
      <c r="CI64" s="3">
        <f ca="1">IFERROR(__xludf.DUMMYFUNCTION("""COMPUTED_VALUE"""),-0.650673400381235)</f>
        <v>-0.650673400381235</v>
      </c>
      <c r="CJ64" s="3">
        <f ca="1">IFERROR(__xludf.DUMMYFUNCTION("""COMPUTED_VALUE"""),-0.656934060973487)</f>
        <v>-0.65693406097348706</v>
      </c>
      <c r="CK64" s="3">
        <f ca="1">IFERROR(__xludf.DUMMYFUNCTION("""COMPUTED_VALUE"""),-0.651672492180441)</f>
        <v>-0.65167249218044099</v>
      </c>
      <c r="CL64" s="3">
        <f ca="1">IFERROR(__xludf.DUMMYFUNCTION("""COMPUTED_VALUE"""),-0.65522236013246)</f>
        <v>-0.65522236013246005</v>
      </c>
      <c r="CM64" s="3">
        <f ca="1">IFERROR(__xludf.DUMMYFUNCTION("""COMPUTED_VALUE"""),-0.603514320643545)</f>
        <v>-0.60351432064354504</v>
      </c>
      <c r="CN64" s="3">
        <f ca="1">IFERROR(__xludf.DUMMYFUNCTION("""COMPUTED_VALUE"""),-0.556518968840739)</f>
        <v>-0.55651896884073904</v>
      </c>
      <c r="CO64" s="3">
        <f ca="1">IFERROR(__xludf.DUMMYFUNCTION("""COMPUTED_VALUE"""),-0.551256192540936)</f>
        <v>-0.55125619254093605</v>
      </c>
      <c r="CP64" s="3">
        <f ca="1">IFERROR(__xludf.DUMMYFUNCTION("""COMPUTED_VALUE"""),-0.634601087446375)</f>
        <v>-0.634601087446375</v>
      </c>
      <c r="CQ64" s="3">
        <f ca="1">IFERROR(__xludf.DUMMYFUNCTION("""COMPUTED_VALUE"""),-0.630850037620523)</f>
        <v>-0.63085003762052305</v>
      </c>
      <c r="CR64" s="3">
        <f ca="1">IFERROR(__xludf.DUMMYFUNCTION("""COMPUTED_VALUE"""),-0.594419199200283)</f>
        <v>-0.59441919920028297</v>
      </c>
      <c r="CS64" s="3">
        <f ca="1">IFERROR(__xludf.DUMMYFUNCTION("""COMPUTED_VALUE"""),-0.62818493620547)</f>
        <v>-0.62818493620547</v>
      </c>
      <c r="CT64" s="3">
        <f ca="1">IFERROR(__xludf.DUMMYFUNCTION("""COMPUTED_VALUE"""),-0.608326175611306)</f>
        <v>-0.60832617561130597</v>
      </c>
      <c r="CU64" s="3">
        <f ca="1">IFERROR(__xludf.DUMMYFUNCTION("""COMPUTED_VALUE"""),-0.579834791569376)</f>
        <v>-0.57983479156937601</v>
      </c>
      <c r="CV64" s="3">
        <f ca="1">IFERROR(__xludf.DUMMYFUNCTION("""COMPUTED_VALUE"""),-0.575336410820464)</f>
        <v>-0.57533641082046405</v>
      </c>
      <c r="CW64" s="3">
        <f ca="1">IFERROR(__xludf.DUMMYFUNCTION("""COMPUTED_VALUE"""),-0.751700271770981)</f>
        <v>-0.75170027177098098</v>
      </c>
      <c r="CX64" s="3">
        <f ca="1">IFERROR(__xludf.DUMMYFUNCTION("""COMPUTED_VALUE"""),-0.571902662310827)</f>
        <v>-0.57190266231082698</v>
      </c>
      <c r="CY64" s="3">
        <f ca="1">IFERROR(__xludf.DUMMYFUNCTION("""COMPUTED_VALUE"""),-0.41081213187437)</f>
        <v>-0.41081213187436999</v>
      </c>
      <c r="CZ64" s="3">
        <f ca="1">IFERROR(__xludf.DUMMYFUNCTION("""COMPUTED_VALUE"""),-0.589230011058061)</f>
        <v>-0.58923001105806105</v>
      </c>
      <c r="DA64" s="3">
        <f ca="1">IFERROR(__xludf.DUMMYFUNCTION("""COMPUTED_VALUE"""),-0.61013578963889)</f>
        <v>-0.61013578963889004</v>
      </c>
      <c r="DB64" s="3">
        <f ca="1">IFERROR(__xludf.DUMMYFUNCTION("""COMPUTED_VALUE"""),-0.537634722971306)</f>
        <v>-0.53763472297130599</v>
      </c>
      <c r="DC64" s="3">
        <f ca="1">IFERROR(__xludf.DUMMYFUNCTION("""COMPUTED_VALUE"""),-0.548196216818454)</f>
        <v>-0.54819621681845399</v>
      </c>
      <c r="DD64" s="3">
        <f ca="1">IFERROR(__xludf.DUMMYFUNCTION("""COMPUTED_VALUE"""),-0.796795171026805)</f>
        <v>-0.79679517102680497</v>
      </c>
      <c r="DE64" s="3">
        <f ca="1">IFERROR(__xludf.DUMMYFUNCTION("""COMPUTED_VALUE"""),-0.61008437315659)</f>
        <v>-0.61008437315659003</v>
      </c>
      <c r="DF64" s="3">
        <f ca="1">IFERROR(__xludf.DUMMYFUNCTION("""COMPUTED_VALUE"""),-0.377518243093824)</f>
        <v>-0.37751824309382398</v>
      </c>
      <c r="DG64" s="3">
        <f ca="1">IFERROR(__xludf.DUMMYFUNCTION("""COMPUTED_VALUE"""),-0.554127928263827)</f>
        <v>-0.55412792826382695</v>
      </c>
      <c r="DH64" s="3">
        <f ca="1">IFERROR(__xludf.DUMMYFUNCTION("""COMPUTED_VALUE"""),-0.584383974783874)</f>
        <v>-0.58438397478387405</v>
      </c>
      <c r="DI64" s="3">
        <f ca="1">IFERROR(__xludf.DUMMYFUNCTION("""COMPUTED_VALUE"""),-0.548643977910794)</f>
        <v>-0.548643977910794</v>
      </c>
      <c r="DJ64" s="3">
        <f ca="1">IFERROR(__xludf.DUMMYFUNCTION("""COMPUTED_VALUE"""),-0.551819581714311)</f>
        <v>-0.551819581714311</v>
      </c>
      <c r="DK64" s="3">
        <f ca="1">IFERROR(__xludf.DUMMYFUNCTION("""COMPUTED_VALUE"""),-0.606445441484554)</f>
        <v>-0.60644544148455404</v>
      </c>
      <c r="DL64" s="3">
        <f ca="1">IFERROR(__xludf.DUMMYFUNCTION("""COMPUTED_VALUE"""),-0.576380975548868)</f>
        <v>-0.57638097554886802</v>
      </c>
      <c r="DM64" s="3">
        <f ca="1">IFERROR(__xludf.DUMMYFUNCTION("""COMPUTED_VALUE"""),-0.465392904306353)</f>
        <v>-0.46539290430635299</v>
      </c>
      <c r="DN64" s="3">
        <f ca="1">IFERROR(__xludf.DUMMYFUNCTION("""COMPUTED_VALUE"""),-0.621448893303241)</f>
        <v>-0.62144889330324105</v>
      </c>
      <c r="DO64" s="3">
        <f ca="1">IFERROR(__xludf.DUMMYFUNCTION("""COMPUTED_VALUE"""),-0.633833368854428)</f>
        <v>-0.63383336885442798</v>
      </c>
      <c r="DP64" s="3">
        <f ca="1">IFERROR(__xludf.DUMMYFUNCTION("""COMPUTED_VALUE"""),-0.587604395332913)</f>
        <v>-0.58760439533291298</v>
      </c>
      <c r="DQ64" s="3">
        <f ca="1">IFERROR(__xludf.DUMMYFUNCTION("""COMPUTED_VALUE"""),-0.589584541740939)</f>
        <v>-0.58958454174093899</v>
      </c>
      <c r="DR64" s="3">
        <f ca="1">IFERROR(__xludf.DUMMYFUNCTION("""COMPUTED_VALUE"""),-0.62948244428251)</f>
        <v>-0.62948244428250999</v>
      </c>
      <c r="DS64" s="3">
        <f ca="1">IFERROR(__xludf.DUMMYFUNCTION("""COMPUTED_VALUE"""),-0.636562478829064)</f>
        <v>-0.63656247882906403</v>
      </c>
      <c r="DT64" s="3">
        <f ca="1">IFERROR(__xludf.DUMMYFUNCTION("""COMPUTED_VALUE"""),-0.647446819097016)</f>
        <v>-0.64744681909701596</v>
      </c>
      <c r="DU64" s="3">
        <f ca="1">IFERROR(__xludf.DUMMYFUNCTION("""COMPUTED_VALUE"""),-0.65579312046788)</f>
        <v>-0.65579312046787996</v>
      </c>
      <c r="DV64" s="3">
        <f ca="1">IFERROR(__xludf.DUMMYFUNCTION("""COMPUTED_VALUE"""),-0.625825555611304)</f>
        <v>-0.62582555561130404</v>
      </c>
      <c r="DW64" s="3">
        <f ca="1">IFERROR(__xludf.DUMMYFUNCTION("""COMPUTED_VALUE"""),-0.572448351866228)</f>
        <v>-0.572448351866228</v>
      </c>
      <c r="DX64" s="3">
        <f ca="1">IFERROR(__xludf.DUMMYFUNCTION("""COMPUTED_VALUE"""),-0.5502351682548)</f>
        <v>-0.55023516825480001</v>
      </c>
      <c r="DY64" s="3">
        <f ca="1">IFERROR(__xludf.DUMMYFUNCTION("""COMPUTED_VALUE"""),-0.605716864096397)</f>
        <v>-0.60571686409639702</v>
      </c>
      <c r="DZ64" s="3">
        <f ca="1">IFERROR(__xludf.DUMMYFUNCTION("""COMPUTED_VALUE"""),-0.561789260523707)</f>
        <v>-0.56178926052370703</v>
      </c>
      <c r="EA64" s="3">
        <f ca="1">IFERROR(__xludf.DUMMYFUNCTION("""COMPUTED_VALUE"""),-0.650690116924757)</f>
        <v>-0.65069011692475698</v>
      </c>
      <c r="EB64" s="3">
        <f ca="1">IFERROR(__xludf.DUMMYFUNCTION("""COMPUTED_VALUE"""),-0.659619503546769)</f>
        <v>-0.65961950354676901</v>
      </c>
      <c r="EC64" s="3">
        <f ca="1">IFERROR(__xludf.DUMMYFUNCTION("""COMPUTED_VALUE"""),-0.64372892627531)</f>
        <v>-0.64372892627530998</v>
      </c>
      <c r="ED64" s="3">
        <f ca="1">IFERROR(__xludf.DUMMYFUNCTION("""COMPUTED_VALUE"""),-0.55796350053371)</f>
        <v>-0.55796350053371002</v>
      </c>
      <c r="EE64" s="3">
        <f ca="1">IFERROR(__xludf.DUMMYFUNCTION("""COMPUTED_VALUE"""),-0.548218155841805)</f>
        <v>-0.548218155841805</v>
      </c>
      <c r="EF64" s="3">
        <f ca="1">IFERROR(__xludf.DUMMYFUNCTION("""COMPUTED_VALUE"""),-0.670876334235359)</f>
        <v>-0.67087633423535897</v>
      </c>
      <c r="EG64" s="3">
        <f ca="1">IFERROR(__xludf.DUMMYFUNCTION("""COMPUTED_VALUE"""),-0.777275330369158)</f>
        <v>-0.77727533036915797</v>
      </c>
      <c r="EH64" s="3">
        <f ca="1">IFERROR(__xludf.DUMMYFUNCTION("""COMPUTED_VALUE"""),-0.621348655974002)</f>
        <v>-0.62134865597400202</v>
      </c>
      <c r="EI64" s="3">
        <f ca="1">IFERROR(__xludf.DUMMYFUNCTION("""COMPUTED_VALUE"""),-0.629107295522994)</f>
        <v>-0.62910729552299405</v>
      </c>
      <c r="EJ64" s="3">
        <f ca="1">IFERROR(__xludf.DUMMYFUNCTION("""COMPUTED_VALUE"""),-0.613745996123183)</f>
        <v>-0.61374599612318304</v>
      </c>
      <c r="EK64" s="3">
        <f ca="1">IFERROR(__xludf.DUMMYFUNCTION("""COMPUTED_VALUE"""),-0.557782859681305)</f>
        <v>-0.55778285968130503</v>
      </c>
      <c r="EL64" s="3">
        <f ca="1">IFERROR(__xludf.DUMMYFUNCTION("""COMPUTED_VALUE"""),-0.543227618239991)</f>
        <v>-0.54322761823999099</v>
      </c>
      <c r="EM64" s="3">
        <f ca="1">IFERROR(__xludf.DUMMYFUNCTION("""COMPUTED_VALUE"""),-0.577498603320701)</f>
        <v>-0.57749860332070102</v>
      </c>
      <c r="EN64" s="3">
        <f ca="1">IFERROR(__xludf.DUMMYFUNCTION("""COMPUTED_VALUE"""),-0.54001557995664)</f>
        <v>-0.54001557995663996</v>
      </c>
      <c r="EO64" s="3">
        <f ca="1">IFERROR(__xludf.DUMMYFUNCTION("""COMPUTED_VALUE"""),-0.613476680699391)</f>
        <v>-0.61347668069939099</v>
      </c>
      <c r="EP64" s="3">
        <f ca="1">IFERROR(__xludf.DUMMYFUNCTION("""COMPUTED_VALUE"""),-0.638298079714513)</f>
        <v>-0.63829807971451302</v>
      </c>
      <c r="EQ64" s="3">
        <f ca="1">IFERROR(__xludf.DUMMYFUNCTION("""COMPUTED_VALUE"""),-0.609105149968559)</f>
        <v>-0.60910514996855902</v>
      </c>
      <c r="ER64" s="3">
        <f ca="1">IFERROR(__xludf.DUMMYFUNCTION("""COMPUTED_VALUE"""),-0.568192548848889)</f>
        <v>-0.56819254884888903</v>
      </c>
      <c r="ES64" s="3">
        <f ca="1">IFERROR(__xludf.DUMMYFUNCTION("""COMPUTED_VALUE"""),-0.521816450565133)</f>
        <v>-0.52181645056513304</v>
      </c>
      <c r="ET64" s="3">
        <f ca="1">IFERROR(__xludf.DUMMYFUNCTION("""COMPUTED_VALUE"""),-0.632570458964423)</f>
        <v>-0.63257045896442299</v>
      </c>
      <c r="EU64" s="3">
        <f ca="1">IFERROR(__xludf.DUMMYFUNCTION("""COMPUTED_VALUE"""),-0.627420822227143)</f>
        <v>-0.62742082222714302</v>
      </c>
      <c r="EV64" s="3">
        <f ca="1">IFERROR(__xludf.DUMMYFUNCTION("""COMPUTED_VALUE"""),-0.649399017914833)</f>
        <v>-0.64939901791483301</v>
      </c>
      <c r="EW64" s="3">
        <f ca="1">IFERROR(__xludf.DUMMYFUNCTION("""COMPUTED_VALUE"""),-0.61577097435197)</f>
        <v>-0.61577097435197004</v>
      </c>
      <c r="EX64" s="3">
        <f ca="1">IFERROR(__xludf.DUMMYFUNCTION("""COMPUTED_VALUE"""),-0.604127739622367)</f>
        <v>-0.60412773962236699</v>
      </c>
      <c r="EY64" s="3">
        <f ca="1">IFERROR(__xludf.DUMMYFUNCTION("""COMPUTED_VALUE"""),-0.555159810965856)</f>
        <v>-0.55515981096585598</v>
      </c>
      <c r="EZ64" s="3">
        <f ca="1">IFERROR(__xludf.DUMMYFUNCTION("""COMPUTED_VALUE"""),-0.538824302178628)</f>
        <v>-0.53882430217862798</v>
      </c>
      <c r="FA64" s="3">
        <f ca="1">IFERROR(__xludf.DUMMYFUNCTION("""COMPUTED_VALUE"""),-0.611683466075441)</f>
        <v>-0.611683466075441</v>
      </c>
      <c r="FB64" s="3">
        <f ca="1">IFERROR(__xludf.DUMMYFUNCTION("""COMPUTED_VALUE"""),-0.63495845430543)</f>
        <v>-0.63495845430542996</v>
      </c>
      <c r="FC64" s="3">
        <f ca="1">IFERROR(__xludf.DUMMYFUNCTION("""COMPUTED_VALUE"""),-0.640167354741539)</f>
        <v>-0.64016735474153896</v>
      </c>
      <c r="FD64" s="3">
        <f ca="1">IFERROR(__xludf.DUMMYFUNCTION("""COMPUTED_VALUE"""),-0.609484343905876)</f>
        <v>-0.60948434390587602</v>
      </c>
      <c r="FE64" s="3">
        <f ca="1">IFERROR(__xludf.DUMMYFUNCTION("""COMPUTED_VALUE"""),-0.625788191607564)</f>
        <v>-0.62578819160756405</v>
      </c>
      <c r="FF64" s="3">
        <f ca="1">IFERROR(__xludf.DUMMYFUNCTION("""COMPUTED_VALUE"""),-0.570887406555615)</f>
        <v>-0.57088740655561498</v>
      </c>
      <c r="FG64" s="3">
        <f ca="1">IFERROR(__xludf.DUMMYFUNCTION("""COMPUTED_VALUE"""),-0.524899662887669)</f>
        <v>-0.52489966288766898</v>
      </c>
      <c r="FH64" s="3">
        <f ca="1">IFERROR(__xludf.DUMMYFUNCTION("""COMPUTED_VALUE"""),-0.587965516551656)</f>
        <v>-0.58796551655165596</v>
      </c>
      <c r="FI64" s="3">
        <f ca="1">IFERROR(__xludf.DUMMYFUNCTION("""COMPUTED_VALUE"""),-0.644837054442741)</f>
        <v>-0.64483705444274098</v>
      </c>
      <c r="FJ64" s="3">
        <f ca="1">IFERROR(__xludf.DUMMYFUNCTION("""COMPUTED_VALUE"""),-0.632494117711906)</f>
        <v>-0.632494117711906</v>
      </c>
      <c r="FK64" s="3">
        <f ca="1">IFERROR(__xludf.DUMMYFUNCTION("""COMPUTED_VALUE"""),-0.629637256003326)</f>
        <v>-0.62963725600332598</v>
      </c>
      <c r="FL64" s="3">
        <f ca="1">IFERROR(__xludf.DUMMYFUNCTION("""COMPUTED_VALUE"""),-0.633570626819977)</f>
        <v>-0.633570626819977</v>
      </c>
      <c r="FM64" s="3">
        <f ca="1">IFERROR(__xludf.DUMMYFUNCTION("""COMPUTED_VALUE"""),-0.566906525330122)</f>
        <v>-0.56690652533012198</v>
      </c>
      <c r="FN64" s="3">
        <f ca="1">IFERROR(__xludf.DUMMYFUNCTION("""COMPUTED_VALUE"""),-0.553441304743341)</f>
        <v>-0.55344130474334097</v>
      </c>
      <c r="FO64" s="3">
        <f ca="1">IFERROR(__xludf.DUMMYFUNCTION("""COMPUTED_VALUE"""),-0.587740879356579)</f>
        <v>-0.58774087935657904</v>
      </c>
      <c r="FP64" s="3">
        <f ca="1">IFERROR(__xludf.DUMMYFUNCTION("""COMPUTED_VALUE"""),-0.621838086354038)</f>
        <v>-0.62183808635403803</v>
      </c>
      <c r="FQ64" s="3">
        <f ca="1">IFERROR(__xludf.DUMMYFUNCTION("""COMPUTED_VALUE"""),-0.61890764571051)</f>
        <v>-0.61890764571051005</v>
      </c>
      <c r="FR64" s="3">
        <f ca="1">IFERROR(__xludf.DUMMYFUNCTION("""COMPUTED_VALUE"""),-0.634745872174776)</f>
        <v>-0.63474587217477596</v>
      </c>
      <c r="FS64" s="3">
        <f ca="1">IFERROR(__xludf.DUMMYFUNCTION("""COMPUTED_VALUE"""),-0.642926533544929)</f>
        <v>-0.64292653354492901</v>
      </c>
      <c r="FT64" s="3">
        <f ca="1">IFERROR(__xludf.DUMMYFUNCTION("""COMPUTED_VALUE"""),-0.541120577974693)</f>
        <v>-0.54112057797469304</v>
      </c>
      <c r="FU64" s="3">
        <f ca="1">IFERROR(__xludf.DUMMYFUNCTION("""COMPUTED_VALUE"""),-0.504062797730565)</f>
        <v>-0.50406279773056495</v>
      </c>
      <c r="FV64" s="3">
        <f ca="1">IFERROR(__xludf.DUMMYFUNCTION("""COMPUTED_VALUE"""),-0.607447961340096)</f>
        <v>-0.60744796134009604</v>
      </c>
      <c r="FW64" s="3">
        <f ca="1">IFERROR(__xludf.DUMMYFUNCTION("""COMPUTED_VALUE"""),-0.628239990843501)</f>
        <v>-0.62823999084350102</v>
      </c>
      <c r="FX64" s="3">
        <f ca="1">IFERROR(__xludf.DUMMYFUNCTION("""COMPUTED_VALUE"""),-0.590731837032507)</f>
        <v>-0.59073183703250698</v>
      </c>
      <c r="FY64" s="3">
        <f ca="1">IFERROR(__xludf.DUMMYFUNCTION("""COMPUTED_VALUE"""),-0.616804418764968)</f>
        <v>-0.61680441876496805</v>
      </c>
      <c r="FZ64" s="3">
        <f ca="1">IFERROR(__xludf.DUMMYFUNCTION("""COMPUTED_VALUE"""),-0.634043254059808)</f>
        <v>-0.63404325405980799</v>
      </c>
      <c r="GA64" s="3">
        <f ca="1">IFERROR(__xludf.DUMMYFUNCTION("""COMPUTED_VALUE"""),-0.561419356464439)</f>
        <v>-0.56141935646443897</v>
      </c>
      <c r="GB64" s="3">
        <f ca="1">IFERROR(__xludf.DUMMYFUNCTION("""COMPUTED_VALUE"""),-0.541086415208554)</f>
        <v>-0.54108641520855405</v>
      </c>
      <c r="GC64" s="3">
        <f ca="1">IFERROR(__xludf.DUMMYFUNCTION("""COMPUTED_VALUE"""),-0.607350133775019)</f>
        <v>-0.60735013377501901</v>
      </c>
      <c r="GD64" s="3">
        <f ca="1">IFERROR(__xludf.DUMMYFUNCTION("""COMPUTED_VALUE"""),-0.635604538072872)</f>
        <v>-0.63560453807287198</v>
      </c>
      <c r="GE64" s="3">
        <f ca="1">IFERROR(__xludf.DUMMYFUNCTION("""COMPUTED_VALUE"""),-0.611993200158074)</f>
        <v>-0.61199320015807401</v>
      </c>
      <c r="GF64" s="3">
        <f ca="1">IFERROR(__xludf.DUMMYFUNCTION("""COMPUTED_VALUE"""),-0.643537180810041)</f>
        <v>-0.64353718081004097</v>
      </c>
      <c r="GG64" s="3">
        <f ca="1">IFERROR(__xludf.DUMMYFUNCTION("""COMPUTED_VALUE"""),-0.595448062929649)</f>
        <v>-0.59544806292964902</v>
      </c>
      <c r="GH64" s="3">
        <f ca="1">IFERROR(__xludf.DUMMYFUNCTION("""COMPUTED_VALUE"""),-0.549350875054164)</f>
        <v>-0.54935087505416402</v>
      </c>
      <c r="GI64" s="3">
        <f ca="1">IFERROR(__xludf.DUMMYFUNCTION("""COMPUTED_VALUE"""),-0.542254758014437)</f>
        <v>-0.54225475801443701</v>
      </c>
      <c r="GJ64" s="3">
        <f ca="1">IFERROR(__xludf.DUMMYFUNCTION("""COMPUTED_VALUE"""),-0.606213173923868)</f>
        <v>-0.60621317392386798</v>
      </c>
      <c r="GK64" s="3">
        <f ca="1">IFERROR(__xludf.DUMMYFUNCTION("""COMPUTED_VALUE"""),-0.620053047874042)</f>
        <v>-0.62005304787404203</v>
      </c>
      <c r="GL64" s="3">
        <f ca="1">IFERROR(__xludf.DUMMYFUNCTION("""COMPUTED_VALUE"""),-0.616939202002024)</f>
        <v>-0.61693920200202401</v>
      </c>
      <c r="GM64" s="3">
        <f ca="1">IFERROR(__xludf.DUMMYFUNCTION("""COMPUTED_VALUE"""),-0.643616188925041)</f>
        <v>-0.64361618892504102</v>
      </c>
      <c r="GN64" s="3">
        <f ca="1">IFERROR(__xludf.DUMMYFUNCTION("""COMPUTED_VALUE"""),-0.59929350141318)</f>
        <v>-0.59929350141318005</v>
      </c>
      <c r="GO64" s="3">
        <f ca="1">IFERROR(__xludf.DUMMYFUNCTION("""COMPUTED_VALUE"""),-0.52706240638667)</f>
        <v>-0.52706240638667001</v>
      </c>
      <c r="GP64" s="3">
        <f ca="1">IFERROR(__xludf.DUMMYFUNCTION("""COMPUTED_VALUE"""),-0.530236770435259)</f>
        <v>-0.53023677043525896</v>
      </c>
      <c r="GQ64" s="3">
        <f ca="1">IFERROR(__xludf.DUMMYFUNCTION("""COMPUTED_VALUE"""),-0.611112394215838)</f>
        <v>-0.61111239421583796</v>
      </c>
      <c r="GR64" s="3">
        <f ca="1">IFERROR(__xludf.DUMMYFUNCTION("""COMPUTED_VALUE"""),-0.636099913794251)</f>
        <v>-0.63609991379425102</v>
      </c>
      <c r="GS64" s="3">
        <f ca="1">IFERROR(__xludf.DUMMYFUNCTION("""COMPUTED_VALUE"""),-0.612342263085718)</f>
        <v>-0.61234226308571804</v>
      </c>
      <c r="GT64" s="3">
        <f ca="1">IFERROR(__xludf.DUMMYFUNCTION("""COMPUTED_VALUE"""),-0.629199963451633)</f>
        <v>-0.62919996345163298</v>
      </c>
      <c r="GU64" s="3">
        <f ca="1">IFERROR(__xludf.DUMMYFUNCTION("""COMPUTED_VALUE"""),-0.594436051269742)</f>
        <v>-0.59443605126974197</v>
      </c>
      <c r="GV64" s="3">
        <f ca="1">IFERROR(__xludf.DUMMYFUNCTION("""COMPUTED_VALUE"""),-0.533566175940987)</f>
        <v>-0.53356617594098699</v>
      </c>
      <c r="GW64" s="3">
        <f ca="1">IFERROR(__xludf.DUMMYFUNCTION("""COMPUTED_VALUE"""),-0.523949998287774)</f>
        <v>-0.523949998287774</v>
      </c>
      <c r="GX64" s="3">
        <f ca="1">IFERROR(__xludf.DUMMYFUNCTION("""COMPUTED_VALUE"""),-0.610991225300176)</f>
        <v>-0.61099122530017602</v>
      </c>
      <c r="GY64" s="3">
        <f ca="1">IFERROR(__xludf.DUMMYFUNCTION("""COMPUTED_VALUE"""),-0.620965828576878)</f>
        <v>-0.62096582857687799</v>
      </c>
      <c r="GZ64" s="3">
        <f ca="1">IFERROR(__xludf.DUMMYFUNCTION("""COMPUTED_VALUE"""),-0.60791848664372)</f>
        <v>-0.60791848664371995</v>
      </c>
      <c r="HA64" s="3">
        <f ca="1">IFERROR(__xludf.DUMMYFUNCTION("""COMPUTED_VALUE"""),-0.615377683094337)</f>
        <v>-0.61537768309433705</v>
      </c>
      <c r="HB64" s="3">
        <f ca="1">IFERROR(__xludf.DUMMYFUNCTION("""COMPUTED_VALUE"""),-0.603390091582311)</f>
        <v>-0.60339009158231105</v>
      </c>
      <c r="HC64" s="3">
        <f ca="1">IFERROR(__xludf.DUMMYFUNCTION("""COMPUTED_VALUE"""),-0.571978217149268)</f>
        <v>-0.571978217149268</v>
      </c>
      <c r="HD64" s="3">
        <f ca="1">IFERROR(__xludf.DUMMYFUNCTION("""COMPUTED_VALUE"""),-0.529597847489456)</f>
        <v>-0.52959784748945604</v>
      </c>
      <c r="HE64" s="3">
        <f ca="1">IFERROR(__xludf.DUMMYFUNCTION("""COMPUTED_VALUE"""),-0.617798379344886)</f>
        <v>-0.61779837934488602</v>
      </c>
      <c r="HF64" s="3">
        <f ca="1">IFERROR(__xludf.DUMMYFUNCTION("""COMPUTED_VALUE"""),-0.615113830939376)</f>
        <v>-0.61511383093937599</v>
      </c>
      <c r="HG64" s="3">
        <f ca="1">IFERROR(__xludf.DUMMYFUNCTION("""COMPUTED_VALUE"""),-0.609424302335128)</f>
        <v>-0.60942430233512801</v>
      </c>
      <c r="HH64" s="3">
        <f ca="1">IFERROR(__xludf.DUMMYFUNCTION("""COMPUTED_VALUE"""),-0.613209101056191)</f>
        <v>-0.61320910105619097</v>
      </c>
      <c r="HI64" s="3">
        <f ca="1">IFERROR(__xludf.DUMMYFUNCTION("""COMPUTED_VALUE"""),-0.581725287689567)</f>
        <v>-0.58172528768956699</v>
      </c>
      <c r="HJ64" s="3">
        <f ca="1">IFERROR(__xludf.DUMMYFUNCTION("""COMPUTED_VALUE"""),-0.51751414954)</f>
        <v>-0.51751414953999997</v>
      </c>
      <c r="HK64" s="3">
        <f ca="1">IFERROR(__xludf.DUMMYFUNCTION("""COMPUTED_VALUE"""),-0.506024472789122)</f>
        <v>-0.50602447278912199</v>
      </c>
      <c r="HL64" s="3">
        <f ca="1">IFERROR(__xludf.DUMMYFUNCTION("""COMPUTED_VALUE"""),-0.596812048780779)</f>
        <v>-0.59681204878077898</v>
      </c>
      <c r="HM64" s="3">
        <f ca="1">IFERROR(__xludf.DUMMYFUNCTION("""COMPUTED_VALUE"""),-0.626579163230316)</f>
        <v>-0.62657916323031604</v>
      </c>
      <c r="HN64" s="3">
        <f ca="1">IFERROR(__xludf.DUMMYFUNCTION("""COMPUTED_VALUE"""),-0.619813477230778)</f>
        <v>-0.61981347723077795</v>
      </c>
      <c r="HO64" s="3">
        <f ca="1">IFERROR(__xludf.DUMMYFUNCTION("""COMPUTED_VALUE"""),-0.605991745309862)</f>
        <v>-0.605991745309862</v>
      </c>
      <c r="HP64" s="3">
        <f ca="1">IFERROR(__xludf.DUMMYFUNCTION("""COMPUTED_VALUE"""),-0.564325880695413)</f>
        <v>-0.56432588069541301</v>
      </c>
      <c r="HQ64" s="3">
        <f ca="1">IFERROR(__xludf.DUMMYFUNCTION("""COMPUTED_VALUE"""),-0.527862817005711)</f>
        <v>-0.52786281700571103</v>
      </c>
      <c r="HR64" s="3">
        <f ca="1">IFERROR(__xludf.DUMMYFUNCTION("""COMPUTED_VALUE"""),-0.525758650252108)</f>
        <v>-0.525758650252108</v>
      </c>
      <c r="HS64" s="3">
        <f ca="1">IFERROR(__xludf.DUMMYFUNCTION("""COMPUTED_VALUE"""),-0.63359255192739)</f>
        <v>-0.63359255192738995</v>
      </c>
      <c r="HT64" s="3">
        <f ca="1">IFERROR(__xludf.DUMMYFUNCTION("""COMPUTED_VALUE"""),-0.624142723624055)</f>
        <v>-0.62414272362405498</v>
      </c>
      <c r="HU64" s="3">
        <f ca="1">IFERROR(__xludf.DUMMYFUNCTION("""COMPUTED_VALUE"""),-0.592513157278727)</f>
        <v>-0.592513157278727</v>
      </c>
      <c r="HV64" s="3">
        <f ca="1">IFERROR(__xludf.DUMMYFUNCTION("""COMPUTED_VALUE"""),-0.628002549442756)</f>
        <v>-0.62800254944275602</v>
      </c>
      <c r="HW64" s="3">
        <f ca="1">IFERROR(__xludf.DUMMYFUNCTION("""COMPUTED_VALUE"""),-0.534061366923544)</f>
        <v>-0.534061366923544</v>
      </c>
      <c r="HX64" s="3">
        <f ca="1">IFERROR(__xludf.DUMMYFUNCTION("""COMPUTED_VALUE"""),-0.519350498343075)</f>
        <v>-0.51935049834307501</v>
      </c>
      <c r="HY64" s="3">
        <f ca="1">IFERROR(__xludf.DUMMYFUNCTION("""COMPUTED_VALUE"""),-0.49629321569504)</f>
        <v>-0.49629321569503998</v>
      </c>
      <c r="HZ64" s="3">
        <f ca="1">IFERROR(__xludf.DUMMYFUNCTION("""COMPUTED_VALUE"""),-0.54613652553712)</f>
        <v>-0.54613652553712</v>
      </c>
      <c r="IA64" s="3">
        <f ca="1">IFERROR(__xludf.DUMMYFUNCTION("""COMPUTED_VALUE"""),-0.564511372469036)</f>
        <v>-0.56451137246903604</v>
      </c>
      <c r="IB64" s="3">
        <f ca="1">IFERROR(__xludf.DUMMYFUNCTION("""COMPUTED_VALUE"""),-0.568674978680767)</f>
        <v>-0.568674978680767</v>
      </c>
      <c r="IC64" s="3">
        <f ca="1">IFERROR(__xludf.DUMMYFUNCTION("""COMPUTED_VALUE"""),-0.561655857578462)</f>
        <v>-0.56165585757846204</v>
      </c>
      <c r="ID64" s="3">
        <f ca="1">IFERROR(__xludf.DUMMYFUNCTION("""COMPUTED_VALUE"""),-0.559533686401168)</f>
        <v>-0.55953368640116796</v>
      </c>
      <c r="IE64" s="3">
        <f ca="1">IFERROR(__xludf.DUMMYFUNCTION("""COMPUTED_VALUE"""),-0.487575988840323)</f>
        <v>-0.48757598884032299</v>
      </c>
      <c r="IF64" s="3">
        <f ca="1">IFERROR(__xludf.DUMMYFUNCTION("""COMPUTED_VALUE"""),-0.516358283697058)</f>
        <v>-0.51635828369705805</v>
      </c>
      <c r="IG64" s="3">
        <f ca="1">IFERROR(__xludf.DUMMYFUNCTION("""COMPUTED_VALUE"""),-0.525706583962198)</f>
        <v>-0.52570658396219805</v>
      </c>
      <c r="IH64" s="3">
        <f ca="1">IFERROR(__xludf.DUMMYFUNCTION("""COMPUTED_VALUE"""),-0.543121873456387)</f>
        <v>-0.54312187345638696</v>
      </c>
      <c r="II64" s="3">
        <f ca="1">IFERROR(__xludf.DUMMYFUNCTION("""COMPUTED_VALUE"""),-0.537655451720596)</f>
        <v>-0.53765545172059603</v>
      </c>
      <c r="IJ64" s="3">
        <f ca="1">IFERROR(__xludf.DUMMYFUNCTION("""COMPUTED_VALUE"""),-0.556704662342793)</f>
        <v>-0.55670466234279303</v>
      </c>
      <c r="IK64" s="3">
        <f ca="1">IFERROR(__xludf.DUMMYFUNCTION("""COMPUTED_VALUE"""),-0.538993151751155)</f>
        <v>-0.53899315175115503</v>
      </c>
      <c r="IL64" s="3">
        <f ca="1">IFERROR(__xludf.DUMMYFUNCTION("""COMPUTED_VALUE"""),-0.473386168360271)</f>
        <v>-0.47338616836027098</v>
      </c>
      <c r="IM64" s="3">
        <f ca="1">IFERROR(__xludf.DUMMYFUNCTION("""COMPUTED_VALUE"""),-0.485247030716043)</f>
        <v>-0.48524703071604303</v>
      </c>
      <c r="IN64" s="3">
        <f ca="1">IFERROR(__xludf.DUMMYFUNCTION("""COMPUTED_VALUE"""),-0.527841726771606)</f>
        <v>-0.52784172677160601</v>
      </c>
      <c r="IO64" s="3">
        <f ca="1">IFERROR(__xludf.DUMMYFUNCTION("""COMPUTED_VALUE"""),-0.54005167254891)</f>
        <v>-0.54005167254890996</v>
      </c>
      <c r="IP64" s="3">
        <f ca="1">IFERROR(__xludf.DUMMYFUNCTION("""COMPUTED_VALUE"""),-0.530831356498381)</f>
        <v>-0.53083135649838098</v>
      </c>
      <c r="IQ64" s="3">
        <f ca="1">IFERROR(__xludf.DUMMYFUNCTION("""COMPUTED_VALUE"""),-0.529460790743547)</f>
        <v>-0.52946079074354702</v>
      </c>
      <c r="IR64" s="3">
        <f ca="1">IFERROR(__xludf.DUMMYFUNCTION("""COMPUTED_VALUE"""),-0.507029243962859)</f>
        <v>-0.50702924396285898</v>
      </c>
      <c r="IS64" s="3">
        <f ca="1">IFERROR(__xludf.DUMMYFUNCTION("""COMPUTED_VALUE"""),-0.483866538452872)</f>
        <v>-0.48386653845287197</v>
      </c>
      <c r="IT64" s="3">
        <f ca="1">IFERROR(__xludf.DUMMYFUNCTION("""COMPUTED_VALUE"""),-0.519867921164853)</f>
        <v>-0.51986792116485303</v>
      </c>
      <c r="IU64" s="3">
        <f ca="1">IFERROR(__xludf.DUMMYFUNCTION("""COMPUTED_VALUE"""),-0.510304133950828)</f>
        <v>-0.51030413395082797</v>
      </c>
      <c r="IV64" s="3">
        <f ca="1">IFERROR(__xludf.DUMMYFUNCTION("""COMPUTED_VALUE"""),-0.567689159950858)</f>
        <v>-0.567689159950858</v>
      </c>
      <c r="IW64" s="3">
        <f ca="1">IFERROR(__xludf.DUMMYFUNCTION("""COMPUTED_VALUE"""),-0.541474684310498)</f>
        <v>-0.54147468431049794</v>
      </c>
      <c r="IX64" s="3">
        <f ca="1">IFERROR(__xludf.DUMMYFUNCTION("""COMPUTED_VALUE"""),-0.558126809943967)</f>
        <v>-0.55812680994396702</v>
      </c>
      <c r="IY64" s="3">
        <f ca="1">IFERROR(__xludf.DUMMYFUNCTION("""COMPUTED_VALUE"""),-0.529545090074183)</f>
        <v>-0.52954509007418304</v>
      </c>
      <c r="IZ64" s="3">
        <f ca="1">IFERROR(__xludf.DUMMYFUNCTION("""COMPUTED_VALUE"""),-0.468155418314562)</f>
        <v>-0.46815541831456198</v>
      </c>
      <c r="JA64" s="3">
        <f ca="1">IFERROR(__xludf.DUMMYFUNCTION("""COMPUTED_VALUE"""),-0.492688467130574)</f>
        <v>-0.49268846713057401</v>
      </c>
      <c r="JB64" s="3">
        <f ca="1">IFERROR(__xludf.DUMMYFUNCTION("""COMPUTED_VALUE"""),-0.529414525480286)</f>
        <v>-0.529414525480286</v>
      </c>
      <c r="JC64" s="3">
        <f ca="1">IFERROR(__xludf.DUMMYFUNCTION("""COMPUTED_VALUE"""),-0.582673787620853)</f>
        <v>-0.58267378762085298</v>
      </c>
      <c r="JD64" s="3">
        <f ca="1">IFERROR(__xludf.DUMMYFUNCTION("""COMPUTED_VALUE"""),-0.556568477583717)</f>
        <v>-0.55656847758371697</v>
      </c>
      <c r="JE64" s="3">
        <f ca="1">IFERROR(__xludf.DUMMYFUNCTION("""COMPUTED_VALUE"""),-0.577768836080273)</f>
        <v>-0.57776883608027296</v>
      </c>
      <c r="JF64" s="3">
        <f ca="1">IFERROR(__xludf.DUMMYFUNCTION("""COMPUTED_VALUE"""),-0.526649742268762)</f>
        <v>-0.52664974226876204</v>
      </c>
      <c r="JG64" s="3">
        <f ca="1">IFERROR(__xludf.DUMMYFUNCTION("""COMPUTED_VALUE"""),-0.474722224403431)</f>
        <v>-0.47472222440343098</v>
      </c>
      <c r="JH64" s="3">
        <f ca="1">IFERROR(__xludf.DUMMYFUNCTION("""COMPUTED_VALUE"""),-0.492477322479353)</f>
        <v>-0.492477322479353</v>
      </c>
      <c r="JI64" s="3">
        <f ca="1">IFERROR(__xludf.DUMMYFUNCTION("""COMPUTED_VALUE"""),-0.538127900665125)</f>
        <v>-0.53812790066512495</v>
      </c>
      <c r="JJ64" s="3">
        <f ca="1">IFERROR(__xludf.DUMMYFUNCTION("""COMPUTED_VALUE"""),-0.558773835823194)</f>
        <v>-0.55877383582319395</v>
      </c>
      <c r="JK64" s="3">
        <f ca="1">IFERROR(__xludf.DUMMYFUNCTION("""COMPUTED_VALUE"""),-0.533175580609494)</f>
        <v>-0.53317558060949399</v>
      </c>
      <c r="JL64" s="3">
        <f ca="1">IFERROR(__xludf.DUMMYFUNCTION("""COMPUTED_VALUE"""),-0.55595206409391)</f>
        <v>-0.55595206409390996</v>
      </c>
      <c r="JM64" s="3">
        <f ca="1">IFERROR(__xludf.DUMMYFUNCTION("""COMPUTED_VALUE"""),-0.529471849804136)</f>
        <v>-0.52947184980413597</v>
      </c>
      <c r="JN64" s="3">
        <f ca="1">IFERROR(__xludf.DUMMYFUNCTION("""COMPUTED_VALUE"""),-0.483155759787879)</f>
        <v>-0.483155759787879</v>
      </c>
      <c r="JO64" s="3">
        <f ca="1">IFERROR(__xludf.DUMMYFUNCTION("""COMPUTED_VALUE"""),-0.51548808781239)</f>
        <v>-0.51548808781238997</v>
      </c>
      <c r="JP64" s="3">
        <f ca="1">IFERROR(__xludf.DUMMYFUNCTION("""COMPUTED_VALUE"""),-0.53572368384014)</f>
        <v>-0.53572368384014002</v>
      </c>
      <c r="JQ64" s="3">
        <f ca="1">IFERROR(__xludf.DUMMYFUNCTION("""COMPUTED_VALUE"""),-0.529034005343314)</f>
        <v>-0.52903400534331402</v>
      </c>
      <c r="JR64" s="3">
        <f ca="1">IFERROR(__xludf.DUMMYFUNCTION("""COMPUTED_VALUE"""),-0.555665576465046)</f>
        <v>-0.555665576465046</v>
      </c>
      <c r="JS64" s="3">
        <f ca="1">IFERROR(__xludf.DUMMYFUNCTION("""COMPUTED_VALUE"""),-0.58015215064384)</f>
        <v>-0.58015215064383996</v>
      </c>
      <c r="JT64" s="3">
        <f ca="1">IFERROR(__xludf.DUMMYFUNCTION("""COMPUTED_VALUE"""),-0.565157307073957)</f>
        <v>-0.56515730707395695</v>
      </c>
      <c r="JU64" s="3">
        <f ca="1">IFERROR(__xludf.DUMMYFUNCTION("""COMPUTED_VALUE"""),-0.497387536152663)</f>
        <v>-0.49738753615266301</v>
      </c>
      <c r="JV64" s="3">
        <f ca="1">IFERROR(__xludf.DUMMYFUNCTION("""COMPUTED_VALUE"""),-0.559178949603734)</f>
        <v>-0.55917894960373404</v>
      </c>
      <c r="JW64" s="3">
        <f ca="1">IFERROR(__xludf.DUMMYFUNCTION("""COMPUTED_VALUE"""),-0.538114040011242)</f>
        <v>-0.53811404001124197</v>
      </c>
      <c r="JX64" s="3">
        <f ca="1">IFERROR(__xludf.DUMMYFUNCTION("""COMPUTED_VALUE"""),-0.457876240189985)</f>
        <v>-0.45787624018998502</v>
      </c>
      <c r="JY64" s="3">
        <f ca="1">IFERROR(__xludf.DUMMYFUNCTION("""COMPUTED_VALUE"""),-0.519225854464664)</f>
        <v>-0.51922585446466396</v>
      </c>
      <c r="JZ64" s="3">
        <f ca="1">IFERROR(__xludf.DUMMYFUNCTION("""COMPUTED_VALUE"""),-0.536759535033138)</f>
        <v>-0.536759535033138</v>
      </c>
      <c r="KA64" s="3">
        <f ca="1">IFERROR(__xludf.DUMMYFUNCTION("""COMPUTED_VALUE"""),-0.530041890851471)</f>
        <v>-0.53004189085147102</v>
      </c>
      <c r="KB64" s="3">
        <f ca="1">IFERROR(__xludf.DUMMYFUNCTION("""COMPUTED_VALUE"""),-0.43724512119898)</f>
        <v>-0.43724512119898001</v>
      </c>
      <c r="KC64" s="3">
        <f ca="1">IFERROR(__xludf.DUMMYFUNCTION("""COMPUTED_VALUE"""),-0.479849647666917)</f>
        <v>-0.47984964766691701</v>
      </c>
      <c r="KD64" s="3">
        <f ca="1">IFERROR(__xludf.DUMMYFUNCTION("""COMPUTED_VALUE"""),-0.463571879702571)</f>
        <v>-0.46357187970257102</v>
      </c>
      <c r="KE64" s="3">
        <f ca="1">IFERROR(__xludf.DUMMYFUNCTION("""COMPUTED_VALUE"""),-0.463124396496785)</f>
        <v>-0.463124396496785</v>
      </c>
      <c r="KF64" s="3">
        <f ca="1">IFERROR(__xludf.DUMMYFUNCTION("""COMPUTED_VALUE"""),-0.526931868360813)</f>
        <v>-0.52693186836081296</v>
      </c>
      <c r="KG64" s="3">
        <f ca="1">IFERROR(__xludf.DUMMYFUNCTION("""COMPUTED_VALUE"""),-0.541262055728117)</f>
        <v>-0.54126205572811703</v>
      </c>
      <c r="KH64" s="3">
        <f ca="1">IFERROR(__xludf.DUMMYFUNCTION("""COMPUTED_VALUE"""),-0.528207401715731)</f>
        <v>-0.528207401715731</v>
      </c>
      <c r="KI64" s="3">
        <f ca="1">IFERROR(__xludf.DUMMYFUNCTION("""COMPUTED_VALUE"""),-0.416982236492042)</f>
        <v>-0.41698223649204202</v>
      </c>
      <c r="KJ64" s="3">
        <f ca="1">IFERROR(__xludf.DUMMYFUNCTION("""COMPUTED_VALUE"""),-0.405476859554977)</f>
        <v>-0.40547685955497698</v>
      </c>
      <c r="KK64" s="3">
        <f ca="1">IFERROR(__xludf.DUMMYFUNCTION("""COMPUTED_VALUE"""),-0.529134359745185)</f>
        <v>-0.52913435974518497</v>
      </c>
      <c r="KL64" s="3">
        <f ca="1">IFERROR(__xludf.DUMMYFUNCTION("""COMPUTED_VALUE"""),-0.52564029762869)</f>
        <v>-0.52564029762869002</v>
      </c>
      <c r="KM64" s="3">
        <f ca="1">IFERROR(__xludf.DUMMYFUNCTION("""COMPUTED_VALUE"""),-0.529050270680964)</f>
        <v>-0.529050270680964</v>
      </c>
      <c r="KN64" s="3">
        <f ca="1">IFERROR(__xludf.DUMMYFUNCTION("""COMPUTED_VALUE"""),-0.518335454326521)</f>
        <v>-0.51833545432652095</v>
      </c>
      <c r="KO64" s="3">
        <f ca="1">IFERROR(__xludf.DUMMYFUNCTION("""COMPUTED_VALUE"""),-0.533600970659278)</f>
        <v>-0.53360097065927803</v>
      </c>
      <c r="KP64" s="3">
        <f ca="1">IFERROR(__xludf.DUMMYFUNCTION("""COMPUTED_VALUE"""),-0.47186077000967)</f>
        <v>-0.47186077000967003</v>
      </c>
      <c r="KQ64" s="3">
        <f ca="1">IFERROR(__xludf.DUMMYFUNCTION("""COMPUTED_VALUE"""),-0.483199653803788)</f>
        <v>-0.48319965380378799</v>
      </c>
      <c r="KR64" s="3">
        <f ca="1">IFERROR(__xludf.DUMMYFUNCTION("""COMPUTED_VALUE"""),-0.535347120747886)</f>
        <v>-0.53534712074788604</v>
      </c>
      <c r="KS64" s="3">
        <f ca="1">IFERROR(__xludf.DUMMYFUNCTION("""COMPUTED_VALUE"""),-0.534987155330296)</f>
        <v>-0.53498715533029595</v>
      </c>
      <c r="KT64" s="3">
        <f ca="1">IFERROR(__xludf.DUMMYFUNCTION("""COMPUTED_VALUE"""),-0.523046983836561)</f>
        <v>-0.52304698383656101</v>
      </c>
      <c r="KU64" s="3">
        <f ca="1">IFERROR(__xludf.DUMMYFUNCTION("""COMPUTED_VALUE"""),-0.541986735784377)</f>
        <v>-0.54198673578437695</v>
      </c>
      <c r="KV64" s="3">
        <f ca="1">IFERROR(__xludf.DUMMYFUNCTION("""COMPUTED_VALUE"""),-0.522851410288208)</f>
        <v>-0.52285141028820803</v>
      </c>
      <c r="KW64" s="3">
        <f ca="1">IFERROR(__xludf.DUMMYFUNCTION("""COMPUTED_VALUE"""),-0.30631251436258)</f>
        <v>-0.30631251436258</v>
      </c>
      <c r="KX64" s="3">
        <f ca="1">IFERROR(__xludf.DUMMYFUNCTION("""COMPUTED_VALUE"""),-0.382440652345469)</f>
        <v>-0.38244065234546898</v>
      </c>
      <c r="KY64" s="3">
        <f ca="1">IFERROR(__xludf.DUMMYFUNCTION("""COMPUTED_VALUE"""),-0.482593072466641)</f>
        <v>-0.48259307246664102</v>
      </c>
      <c r="KZ64" s="3">
        <f ca="1">IFERROR(__xludf.DUMMYFUNCTION("""COMPUTED_VALUE"""),-0.509178554127215)</f>
        <v>-0.50917855412721502</v>
      </c>
      <c r="LA64" s="3">
        <f ca="1">IFERROR(__xludf.DUMMYFUNCTION("""COMPUTED_VALUE"""),-0.509375143983492)</f>
        <v>-0.50937514398349204</v>
      </c>
      <c r="LB64" s="3">
        <f ca="1">IFERROR(__xludf.DUMMYFUNCTION("""COMPUTED_VALUE"""),-0.526484670036638)</f>
        <v>-0.52648467003663801</v>
      </c>
      <c r="LC64" s="3">
        <f ca="1">IFERROR(__xludf.DUMMYFUNCTION("""COMPUTED_VALUE"""),-0.462334086135431)</f>
        <v>-0.46233408613543098</v>
      </c>
      <c r="LD64" s="3">
        <f ca="1">IFERROR(__xludf.DUMMYFUNCTION("""COMPUTED_VALUE"""),-0.467599364306912)</f>
        <v>-0.46759936430691201</v>
      </c>
      <c r="LE64" s="3">
        <f ca="1">IFERROR(__xludf.DUMMYFUNCTION("""COMPUTED_VALUE"""),-0.495200531298685)</f>
        <v>-0.49520053129868502</v>
      </c>
      <c r="LF64" s="3">
        <f ca="1">IFERROR(__xludf.DUMMYFUNCTION("""COMPUTED_VALUE"""),-0.559069413469867)</f>
        <v>-0.55906941346986705</v>
      </c>
      <c r="LG64" s="3">
        <f ca="1">IFERROR(__xludf.DUMMYFUNCTION("""COMPUTED_VALUE"""),-0.537995819425597)</f>
        <v>-0.53799581942559704</v>
      </c>
      <c r="LH64" s="3">
        <f ca="1">IFERROR(__xludf.DUMMYFUNCTION("""COMPUTED_VALUE"""),-0.495375696887687)</f>
        <v>-0.49537569688768701</v>
      </c>
      <c r="LI64" s="3">
        <f ca="1">IFERROR(__xludf.DUMMYFUNCTION("""COMPUTED_VALUE"""),-0.489819449438167)</f>
        <v>-0.48981944943816702</v>
      </c>
      <c r="LJ64" s="3">
        <f ca="1">IFERROR(__xludf.DUMMYFUNCTION("""COMPUTED_VALUE"""),-0.556187434581959)</f>
        <v>-0.55618743458195896</v>
      </c>
      <c r="LK64" s="3">
        <f ca="1">IFERROR(__xludf.DUMMYFUNCTION("""COMPUTED_VALUE"""),-0.381254409607143)</f>
        <v>-0.38125440960714302</v>
      </c>
      <c r="LL64" s="3">
        <f ca="1">IFERROR(__xludf.DUMMYFUNCTION("""COMPUTED_VALUE"""),-0.427806240915959)</f>
        <v>-0.42780624091595898</v>
      </c>
      <c r="LM64" s="3">
        <f ca="1">IFERROR(__xludf.DUMMYFUNCTION("""COMPUTED_VALUE"""),-0.582446095164487)</f>
        <v>-0.58244609516448698</v>
      </c>
      <c r="LN64" s="3">
        <f ca="1">IFERROR(__xludf.DUMMYFUNCTION("""COMPUTED_VALUE"""),-0.563605224871605)</f>
        <v>-0.56360522487160503</v>
      </c>
      <c r="LO64" s="3">
        <f ca="1">IFERROR(__xludf.DUMMYFUNCTION("""COMPUTED_VALUE"""),-0.554870868285053)</f>
        <v>-0.55487086828505305</v>
      </c>
      <c r="LP64" s="3">
        <f ca="1">IFERROR(__xludf.DUMMYFUNCTION("""COMPUTED_VALUE"""),-0.579551783771286)</f>
        <v>-0.57955178377128602</v>
      </c>
      <c r="LQ64" s="3">
        <f ca="1">IFERROR(__xludf.DUMMYFUNCTION("""COMPUTED_VALUE"""),-0.498436553210872)</f>
        <v>-0.49843655321087199</v>
      </c>
      <c r="LR64" s="3">
        <f ca="1">IFERROR(__xludf.DUMMYFUNCTION("""COMPUTED_VALUE"""),-0.436412209323122)</f>
        <v>-0.43641220932312202</v>
      </c>
      <c r="LS64" s="3">
        <f ca="1">IFERROR(__xludf.DUMMYFUNCTION("""COMPUTED_VALUE"""),-0.499322619687053)</f>
        <v>-0.49932261968705299</v>
      </c>
      <c r="LT64" s="3">
        <f ca="1">IFERROR(__xludf.DUMMYFUNCTION("""COMPUTED_VALUE"""),-0.566798625608163)</f>
        <v>-0.56679862560816296</v>
      </c>
      <c r="LU64" s="3">
        <f ca="1">IFERROR(__xludf.DUMMYFUNCTION("""COMPUTED_VALUE"""),-0.614745057677531)</f>
        <v>-0.61474505767753096</v>
      </c>
      <c r="LV64" s="3">
        <f ca="1">IFERROR(__xludf.DUMMYFUNCTION("""COMPUTED_VALUE"""),-0.58451804601766)</f>
        <v>-0.58451804601766</v>
      </c>
      <c r="LW64" s="3">
        <f ca="1">IFERROR(__xludf.DUMMYFUNCTION("""COMPUTED_VALUE"""),-0.605947482837469)</f>
        <v>-0.60594748283746902</v>
      </c>
      <c r="LX64" s="3">
        <f ca="1">IFERROR(__xludf.DUMMYFUNCTION("""COMPUTED_VALUE"""),-0.624301785785673)</f>
        <v>-0.62430178578567297</v>
      </c>
      <c r="LY64" s="3">
        <f ca="1">IFERROR(__xludf.DUMMYFUNCTION("""COMPUTED_VALUE"""),-0.494320580369523)</f>
        <v>-0.49432058036952298</v>
      </c>
      <c r="LZ64" s="3">
        <f ca="1">IFERROR(__xludf.DUMMYFUNCTION("""COMPUTED_VALUE"""),-0.57216129226084)</f>
        <v>-0.57216129226084</v>
      </c>
      <c r="MA64" s="3">
        <f ca="1">IFERROR(__xludf.DUMMYFUNCTION("""COMPUTED_VALUE"""),-0.636854896854297)</f>
        <v>-0.63685489685429697</v>
      </c>
      <c r="MB64" s="3">
        <f ca="1">IFERROR(__xludf.DUMMYFUNCTION("""COMPUTED_VALUE"""),-0.619274997067517)</f>
        <v>-0.61927499706751699</v>
      </c>
      <c r="MC64" s="3">
        <f ca="1">IFERROR(__xludf.DUMMYFUNCTION("""COMPUTED_VALUE"""),-0.640344011578743)</f>
        <v>-0.64034401157874299</v>
      </c>
      <c r="MD64" s="3">
        <f ca="1">IFERROR(__xludf.DUMMYFUNCTION("""COMPUTED_VALUE"""),-0.624242419644315)</f>
        <v>-0.62424241964431504</v>
      </c>
      <c r="ME64" s="3">
        <f ca="1">IFERROR(__xludf.DUMMYFUNCTION("""COMPUTED_VALUE"""),-0.60053592796689)</f>
        <v>-0.60053592796689004</v>
      </c>
      <c r="MF64" s="3">
        <f ca="1">IFERROR(__xludf.DUMMYFUNCTION("""COMPUTED_VALUE"""),-0.517503185425372)</f>
        <v>-0.51750318542537199</v>
      </c>
      <c r="MG64" s="3">
        <f ca="1">IFERROR(__xludf.DUMMYFUNCTION("""COMPUTED_VALUE"""),-0.580696681920742)</f>
        <v>-0.58069668192074197</v>
      </c>
      <c r="MH64" s="3">
        <f ca="1">IFERROR(__xludf.DUMMYFUNCTION("""COMPUTED_VALUE"""),-0.6345944372622)</f>
        <v>-0.6345944372622</v>
      </c>
      <c r="MI64" s="3">
        <f ca="1">IFERROR(__xludf.DUMMYFUNCTION("""COMPUTED_VALUE"""),-0.654941260135506)</f>
        <v>-0.65494126013550602</v>
      </c>
      <c r="MJ64" s="3">
        <f ca="1">IFERROR(__xludf.DUMMYFUNCTION("""COMPUTED_VALUE"""),-0.652449456388599)</f>
        <v>-0.65244945638859897</v>
      </c>
      <c r="MK64" s="3">
        <f ca="1">IFERROR(__xludf.DUMMYFUNCTION("""COMPUTED_VALUE"""),-0.643101522230867)</f>
        <v>-0.64310152223086703</v>
      </c>
      <c r="ML64" s="3">
        <f ca="1">IFERROR(__xludf.DUMMYFUNCTION("""COMPUTED_VALUE"""),-0.617708986658667)</f>
        <v>-0.61770898665866703</v>
      </c>
      <c r="MM64" s="3">
        <f ca="1">IFERROR(__xludf.DUMMYFUNCTION("""COMPUTED_VALUE"""),-0.569642163730312)</f>
        <v>-0.56964216373031196</v>
      </c>
      <c r="MN64" s="3">
        <f ca="1">IFERROR(__xludf.DUMMYFUNCTION("""COMPUTED_VALUE"""),-0.579007231089944)</f>
        <v>-0.57900723108994401</v>
      </c>
      <c r="MO64" s="3">
        <f ca="1">IFERROR(__xludf.DUMMYFUNCTION("""COMPUTED_VALUE"""),-0.632539035965677)</f>
        <v>-0.63253903596567695</v>
      </c>
      <c r="MP64" s="3">
        <f ca="1">IFERROR(__xludf.DUMMYFUNCTION("""COMPUTED_VALUE"""),-0.670207283006639)</f>
        <v>-0.67020728300663901</v>
      </c>
      <c r="MQ64" s="3">
        <f ca="1">IFERROR(__xludf.DUMMYFUNCTION("""COMPUTED_VALUE"""),-0.664656296031458)</f>
        <v>-0.66465629603145804</v>
      </c>
      <c r="MR64" s="3">
        <f ca="1">IFERROR(__xludf.DUMMYFUNCTION("""COMPUTED_VALUE"""),-0.647999782404561)</f>
        <v>-0.64799978240456102</v>
      </c>
      <c r="MS64" s="3">
        <f ca="1">IFERROR(__xludf.DUMMYFUNCTION("""COMPUTED_VALUE"""),-0.603849703164455)</f>
        <v>-0.60384970316445497</v>
      </c>
      <c r="MT64" s="3">
        <f ca="1">IFERROR(__xludf.DUMMYFUNCTION("""COMPUTED_VALUE"""),-0.524519564928584)</f>
        <v>-0.52451956492858398</v>
      </c>
      <c r="MU64" s="3">
        <f ca="1">IFERROR(__xludf.DUMMYFUNCTION("""COMPUTED_VALUE"""),-0.608306487392484)</f>
        <v>-0.60830648739248405</v>
      </c>
      <c r="MV64" s="3">
        <f ca="1">IFERROR(__xludf.DUMMYFUNCTION("""COMPUTED_VALUE"""),-0.671987702820868)</f>
        <v>-0.67198770282086795</v>
      </c>
      <c r="MW64" s="3">
        <f ca="1">IFERROR(__xludf.DUMMYFUNCTION("""COMPUTED_VALUE"""),-0.684971031377373)</f>
        <v>-0.68497103137737303</v>
      </c>
      <c r="MX64" s="3">
        <f ca="1">IFERROR(__xludf.DUMMYFUNCTION("""COMPUTED_VALUE"""),-0.651996949106292)</f>
        <v>-0.65199694910629202</v>
      </c>
      <c r="MY64" s="3">
        <f ca="1">IFERROR(__xludf.DUMMYFUNCTION("""COMPUTED_VALUE"""),-0.644125743339861)</f>
        <v>-0.64412574333986095</v>
      </c>
      <c r="MZ64" s="3">
        <f ca="1">IFERROR(__xludf.DUMMYFUNCTION("""COMPUTED_VALUE"""),-0.647628751020058)</f>
        <v>-0.64762875102005801</v>
      </c>
      <c r="NA64" s="3">
        <f ca="1">IFERROR(__xludf.DUMMYFUNCTION("""COMPUTED_VALUE"""),-0.608189556922419)</f>
        <v>-0.60818955692241905</v>
      </c>
      <c r="NB64" s="3">
        <f ca="1">IFERROR(__xludf.DUMMYFUNCTION("""COMPUTED_VALUE"""),-0.583310247084961)</f>
        <v>-0.58331024708496104</v>
      </c>
      <c r="NC64" s="3">
        <f ca="1">IFERROR(__xludf.DUMMYFUNCTION("""COMPUTED_VALUE"""),-0.649000530351841)</f>
        <v>-0.64900053035184102</v>
      </c>
      <c r="ND64" s="3">
        <f ca="1">IFERROR(__xludf.DUMMYFUNCTION("""COMPUTED_VALUE"""),-0.665021996823542)</f>
        <v>-0.66502199682354202</v>
      </c>
      <c r="NE64" s="3">
        <f ca="1">IFERROR(__xludf.DUMMYFUNCTION("""COMPUTED_VALUE"""),-0.638258695899788)</f>
        <v>-0.63825869589978801</v>
      </c>
      <c r="NF64" s="3">
        <f ca="1">IFERROR(__xludf.DUMMYFUNCTION("""COMPUTED_VALUE"""),-0.649969704903885)</f>
        <v>-0.64996970490388495</v>
      </c>
      <c r="NG64" s="3">
        <f ca="1">IFERROR(__xludf.DUMMYFUNCTION("""COMPUTED_VALUE"""),-0.624756926406412)</f>
        <v>-0.62475692640641201</v>
      </c>
      <c r="NH64" s="3">
        <f ca="1">IFERROR(__xludf.DUMMYFUNCTION("""COMPUTED_VALUE"""),-0.549491717415338)</f>
        <v>-0.54949171741533798</v>
      </c>
      <c r="NI64" s="3">
        <f ca="1">IFERROR(__xludf.DUMMYFUNCTION("""COMPUTED_VALUE"""),-0.603535389634275)</f>
        <v>-0.603535389634275</v>
      </c>
      <c r="NJ64" s="3">
        <f ca="1">IFERROR(__xludf.DUMMYFUNCTION("""COMPUTED_VALUE"""),-0.631528896424684)</f>
        <v>-0.63152889642468402</v>
      </c>
      <c r="NK64" s="3">
        <f ca="1">IFERROR(__xludf.DUMMYFUNCTION("""COMPUTED_VALUE"""),-0.642735106958489)</f>
        <v>-0.64273510695848901</v>
      </c>
      <c r="NL64" s="3">
        <f ca="1">IFERROR(__xludf.DUMMYFUNCTION("""COMPUTED_VALUE"""),-0.647871626981775)</f>
        <v>-0.64787162698177503</v>
      </c>
      <c r="NM64" s="3">
        <f ca="1">IFERROR(__xludf.DUMMYFUNCTION("""COMPUTED_VALUE"""),-0.658158774853964)</f>
        <v>-0.65815877485396401</v>
      </c>
      <c r="NN64" s="3">
        <f ca="1">IFERROR(__xludf.DUMMYFUNCTION("""COMPUTED_VALUE"""),-0.651809882778464)</f>
        <v>-0.65180988277846397</v>
      </c>
      <c r="NO64" s="3">
        <f ca="1">IFERROR(__xludf.DUMMYFUNCTION("""COMPUTED_VALUE"""),-0.532581163489534)</f>
        <v>-0.53258116348953399</v>
      </c>
      <c r="NP64" s="3">
        <f ca="1">IFERROR(__xludf.DUMMYFUNCTION("""COMPUTED_VALUE"""),-0.656910086884961)</f>
        <v>-0.656910086884961</v>
      </c>
      <c r="NQ64" s="3">
        <f ca="1">IFERROR(__xludf.DUMMYFUNCTION("""COMPUTED_VALUE"""),-0.667464504517479)</f>
        <v>-0.66746450451747896</v>
      </c>
      <c r="NR64" s="3">
        <f ca="1">IFERROR(__xludf.DUMMYFUNCTION("""COMPUTED_VALUE"""),-0.64818191837379)</f>
        <v>-0.64818191837379002</v>
      </c>
      <c r="NS64" s="3">
        <f ca="1">IFERROR(__xludf.DUMMYFUNCTION("""COMPUTED_VALUE"""),-0.669938226428915)</f>
        <v>-0.66993822642891498</v>
      </c>
      <c r="NT64" s="3">
        <f ca="1">IFERROR(__xludf.DUMMYFUNCTION("""COMPUTED_VALUE"""),-0.683905161179669)</f>
        <v>-0.68390516117966904</v>
      </c>
      <c r="NU64" s="3">
        <f ca="1">IFERROR(__xludf.DUMMYFUNCTION("""COMPUTED_VALUE"""),-0.723317935774452)</f>
        <v>-0.72331793577445203</v>
      </c>
      <c r="NV64" s="3">
        <f ca="1">IFERROR(__xludf.DUMMYFUNCTION("""COMPUTED_VALUE"""),-0.601399348943574)</f>
        <v>-0.60139934894357405</v>
      </c>
      <c r="NW64" s="3">
        <f ca="1">IFERROR(__xludf.DUMMYFUNCTION("""COMPUTED_VALUE"""),-0.624535759956819)</f>
        <v>-0.62453575995681898</v>
      </c>
      <c r="NX64" s="3">
        <f ca="1">IFERROR(__xludf.DUMMYFUNCTION("""COMPUTED_VALUE"""),-0.653087787802053)</f>
        <v>-0.65308778780205301</v>
      </c>
      <c r="NY64" s="3">
        <f ca="1">IFERROR(__xludf.DUMMYFUNCTION("""COMPUTED_VALUE"""),-0.610581358766153)</f>
        <v>-0.61058135876615305</v>
      </c>
      <c r="NZ64" s="3">
        <f ca="1">IFERROR(__xludf.DUMMYFUNCTION("""COMPUTED_VALUE"""),-0.597520785006848)</f>
        <v>-0.59752078500684802</v>
      </c>
      <c r="OA64" s="3">
        <f ca="1">IFERROR(__xludf.DUMMYFUNCTION("""COMPUTED_VALUE"""),-0.532811577855327)</f>
        <v>-0.53281157785532696</v>
      </c>
      <c r="OB64" s="3">
        <f ca="1">IFERROR(__xludf.DUMMYFUNCTION("""COMPUTED_VALUE"""),-0.437893005345354)</f>
        <v>-0.43789300534535402</v>
      </c>
      <c r="OC64" s="3">
        <f ca="1">IFERROR(__xludf.DUMMYFUNCTION("""COMPUTED_VALUE"""),-0.2761572632304)</f>
        <v>-0.27615726323040002</v>
      </c>
      <c r="OD64" s="3">
        <f ca="1">IFERROR(__xludf.DUMMYFUNCTION("""COMPUTED_VALUE"""),-0.236945994232428)</f>
        <v>-0.23694599423242799</v>
      </c>
      <c r="OE64" s="3">
        <f ca="1">IFERROR(__xludf.DUMMYFUNCTION("""COMPUTED_VALUE"""),-0.220878876204619)</f>
        <v>-0.22087887620461899</v>
      </c>
      <c r="OF64" s="3">
        <f ca="1">IFERROR(__xludf.DUMMYFUNCTION("""COMPUTED_VALUE"""),-0.154176908802541)</f>
        <v>-0.15417690880254101</v>
      </c>
      <c r="OG64" s="3">
        <f ca="1">IFERROR(__xludf.DUMMYFUNCTION("""COMPUTED_VALUE"""),-0.0938249711335513)</f>
        <v>-9.3824971133551302E-2</v>
      </c>
      <c r="OH64" s="3">
        <f ca="1">IFERROR(__xludf.DUMMYFUNCTION("""COMPUTED_VALUE"""),-0.0900680138070129)</f>
        <v>-9.0068013807012903E-2</v>
      </c>
      <c r="OI64" s="3">
        <f ca="1">IFERROR(__xludf.DUMMYFUNCTION("""COMPUTED_VALUE"""),-0.0605397281487635)</f>
        <v>-6.0539728148763503E-2</v>
      </c>
      <c r="OJ64" s="3">
        <f ca="1">IFERROR(__xludf.DUMMYFUNCTION("""COMPUTED_VALUE"""),-0.0176584155627654)</f>
        <v>-1.76584155627654E-2</v>
      </c>
      <c r="OK64" s="3">
        <f ca="1">IFERROR(__xludf.DUMMYFUNCTION("""COMPUTED_VALUE"""),-0.025210508139522)</f>
        <v>-2.5210508139522001E-2</v>
      </c>
      <c r="OL64" s="3">
        <f ca="1">IFERROR(__xludf.DUMMYFUNCTION("""COMPUTED_VALUE"""),-0.0252056312280805)</f>
        <v>-2.5205631228080502E-2</v>
      </c>
      <c r="OM64" s="3">
        <f ca="1">IFERROR(__xludf.DUMMYFUNCTION("""COMPUTED_VALUE"""),0.0309993614507744)</f>
        <v>3.09993614507744E-2</v>
      </c>
      <c r="ON64" s="3">
        <f ca="1">IFERROR(__xludf.DUMMYFUNCTION("""COMPUTED_VALUE"""),0.0608561145529749)</f>
        <v>6.0856114552974898E-2</v>
      </c>
      <c r="OO64" s="3">
        <f ca="1">IFERROR(__xludf.DUMMYFUNCTION("""COMPUTED_VALUE"""),0.0471891281174423)</f>
        <v>4.7189128117442303E-2</v>
      </c>
      <c r="OP64" s="3">
        <f ca="1">IFERROR(__xludf.DUMMYFUNCTION("""COMPUTED_VALUE"""),-0.000978423192676269)</f>
        <v>-9.78423192676269E-4</v>
      </c>
      <c r="OQ64" s="3">
        <f ca="1">IFERROR(__xludf.DUMMYFUNCTION("""COMPUTED_VALUE"""),0.059382486318809)</f>
        <v>5.9382486318808998E-2</v>
      </c>
      <c r="OR64" s="3">
        <f ca="1">IFERROR(__xludf.DUMMYFUNCTION("""COMPUTED_VALUE"""),-0.000549877651956132)</f>
        <v>-5.4987765195613203E-4</v>
      </c>
      <c r="OS64" s="3">
        <f ca="1">IFERROR(__xludf.DUMMYFUNCTION("""COMPUTED_VALUE"""),-0.00257775671923499)</f>
        <v>-2.5777567192349902E-3</v>
      </c>
      <c r="OT64" s="3">
        <f ca="1">IFERROR(__xludf.DUMMYFUNCTION("""COMPUTED_VALUE"""),0.0123091163664048)</f>
        <v>1.2309116366404801E-2</v>
      </c>
      <c r="OU64" s="3">
        <f ca="1">IFERROR(__xludf.DUMMYFUNCTION("""COMPUTED_VALUE"""),0.0287746899527867)</f>
        <v>2.8774689952786699E-2</v>
      </c>
      <c r="OV64" s="3">
        <f ca="1">IFERROR(__xludf.DUMMYFUNCTION("""COMPUTED_VALUE"""),0.0205203561814479)</f>
        <v>2.0520356181447898E-2</v>
      </c>
      <c r="OW64" s="3">
        <f ca="1">IFERROR(__xludf.DUMMYFUNCTION("""COMPUTED_VALUE"""),0.0230104247508546)</f>
        <v>2.3010424750854599E-2</v>
      </c>
      <c r="OX64" s="3">
        <f ca="1">IFERROR(__xludf.DUMMYFUNCTION("""COMPUTED_VALUE"""),0.0264590668191579)</f>
        <v>2.6459066819157901E-2</v>
      </c>
      <c r="OY64" s="3">
        <f ca="1">IFERROR(__xludf.DUMMYFUNCTION("""COMPUTED_VALUE"""),0.0240721025560004)</f>
        <v>2.40721025560004E-2</v>
      </c>
      <c r="OZ64" s="3">
        <f ca="1">IFERROR(__xludf.DUMMYFUNCTION("""COMPUTED_VALUE"""),0.00245448095088685)</f>
        <v>2.4544809508868499E-3</v>
      </c>
      <c r="PA64" s="3">
        <f ca="1">IFERROR(__xludf.DUMMYFUNCTION("""COMPUTED_VALUE"""),-0.0176944556295416)</f>
        <v>-1.7694455629541601E-2</v>
      </c>
      <c r="PB64" s="3">
        <f ca="1">IFERROR(__xludf.DUMMYFUNCTION("""COMPUTED_VALUE"""),0.00841731375307164)</f>
        <v>8.4173137530716407E-3</v>
      </c>
      <c r="PC64" s="3">
        <f ca="1">IFERROR(__xludf.DUMMYFUNCTION("""COMPUTED_VALUE"""),0.0210947115707658)</f>
        <v>2.1094711570765801E-2</v>
      </c>
      <c r="PD64" s="3">
        <f ca="1">IFERROR(__xludf.DUMMYFUNCTION("""COMPUTED_VALUE"""),-0.0680619894260524)</f>
        <v>-6.8061989426052405E-2</v>
      </c>
      <c r="PE64" s="3">
        <f ca="1">IFERROR(__xludf.DUMMYFUNCTION("""COMPUTED_VALUE"""),0.00694290423050647)</f>
        <v>6.9429042305064704E-3</v>
      </c>
      <c r="PF64" s="3">
        <f ca="1">IFERROR(__xludf.DUMMYFUNCTION("""COMPUTED_VALUE"""),-0.00462040895227655)</f>
        <v>-4.6204089522765496E-3</v>
      </c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</row>
    <row r="65" spans="1:594" ht="13">
      <c r="A65" s="1" t="str">
        <f ca="1">IFERROR(__xludf.DUMMYFUNCTION("""COMPUTED_VALUE"""),"Portland")</f>
        <v>Portland</v>
      </c>
      <c r="B65" s="3">
        <f ca="1">IFERROR(__xludf.DUMMYFUNCTION("""COMPUTED_VALUE"""),-0.649223022415482)</f>
        <v>-0.64922302241548202</v>
      </c>
      <c r="C65" s="3">
        <f ca="1">IFERROR(__xludf.DUMMYFUNCTION("""COMPUTED_VALUE"""),-0.695203434749319)</f>
        <v>-0.695203434749319</v>
      </c>
      <c r="D65" s="3">
        <f ca="1">IFERROR(__xludf.DUMMYFUNCTION("""COMPUTED_VALUE"""),-0.726523190841195)</f>
        <v>-0.72652319084119499</v>
      </c>
      <c r="E65" s="3">
        <f ca="1">IFERROR(__xludf.DUMMYFUNCTION("""COMPUTED_VALUE"""),-0.726448027223167)</f>
        <v>-0.72644802722316704</v>
      </c>
      <c r="F65" s="3">
        <f ca="1">IFERROR(__xludf.DUMMYFUNCTION("""COMPUTED_VALUE"""),-0.724330807689725)</f>
        <v>-0.72433080768972502</v>
      </c>
      <c r="G65" s="3">
        <f ca="1">IFERROR(__xludf.DUMMYFUNCTION("""COMPUTED_VALUE"""),-0.682721041228647)</f>
        <v>-0.68272104122864696</v>
      </c>
      <c r="H65" s="3">
        <f ca="1">IFERROR(__xludf.DUMMYFUNCTION("""COMPUTED_VALUE"""),-0.630558498656203)</f>
        <v>-0.63055849865620295</v>
      </c>
      <c r="I65" s="3">
        <f ca="1">IFERROR(__xludf.DUMMYFUNCTION("""COMPUTED_VALUE"""),-0.594163148175005)</f>
        <v>-0.59416314817500504</v>
      </c>
      <c r="J65" s="3">
        <f ca="1">IFERROR(__xludf.DUMMYFUNCTION("""COMPUTED_VALUE"""),-0.659870277537582)</f>
        <v>-0.65987027753758198</v>
      </c>
      <c r="K65" s="3">
        <f ca="1">IFERROR(__xludf.DUMMYFUNCTION("""COMPUTED_VALUE"""),-0.699276271389527)</f>
        <v>-0.69927627138952697</v>
      </c>
      <c r="L65" s="3">
        <f ca="1">IFERROR(__xludf.DUMMYFUNCTION("""COMPUTED_VALUE"""),-0.681237121144226)</f>
        <v>-0.68123712114422597</v>
      </c>
      <c r="M65" s="3">
        <f ca="1">IFERROR(__xludf.DUMMYFUNCTION("""COMPUTED_VALUE"""),-0.691399490595135)</f>
        <v>-0.69139949059513495</v>
      </c>
      <c r="N65" s="3">
        <f ca="1">IFERROR(__xludf.DUMMYFUNCTION("""COMPUTED_VALUE"""),-0.687615848894475)</f>
        <v>-0.68761584889447502</v>
      </c>
      <c r="O65" s="3">
        <f ca="1">IFERROR(__xludf.DUMMYFUNCTION("""COMPUTED_VALUE"""),-0.61012064133479)</f>
        <v>-0.61012064133479005</v>
      </c>
      <c r="P65" s="3">
        <f ca="1">IFERROR(__xludf.DUMMYFUNCTION("""COMPUTED_VALUE"""),-0.590463752846031)</f>
        <v>-0.59046375284603103</v>
      </c>
      <c r="Q65" s="3">
        <f ca="1">IFERROR(__xludf.DUMMYFUNCTION("""COMPUTED_VALUE"""),-0.695319129072179)</f>
        <v>-0.69531912907217897</v>
      </c>
      <c r="R65" s="3">
        <f ca="1">IFERROR(__xludf.DUMMYFUNCTION("""COMPUTED_VALUE"""),-0.695933888306574)</f>
        <v>-0.69593388830657399</v>
      </c>
      <c r="S65" s="3">
        <f ca="1">IFERROR(__xludf.DUMMYFUNCTION("""COMPUTED_VALUE"""),-0.7131265304844)</f>
        <v>-0.7131265304844</v>
      </c>
      <c r="T65" s="3">
        <f ca="1">IFERROR(__xludf.DUMMYFUNCTION("""COMPUTED_VALUE"""),-0.726847090883521)</f>
        <v>-0.72684709088352095</v>
      </c>
      <c r="U65" s="3">
        <f ca="1">IFERROR(__xludf.DUMMYFUNCTION("""COMPUTED_VALUE"""),-0.707395223784903)</f>
        <v>-0.70739522378490305</v>
      </c>
      <c r="V65" s="3">
        <f ca="1">IFERROR(__xludf.DUMMYFUNCTION("""COMPUTED_VALUE"""),-0.612401722732924)</f>
        <v>-0.61240172273292404</v>
      </c>
      <c r="W65" s="3">
        <f ca="1">IFERROR(__xludf.DUMMYFUNCTION("""COMPUTED_VALUE"""),-0.641401590622474)</f>
        <v>-0.64140159062247404</v>
      </c>
      <c r="X65" s="3">
        <f ca="1">IFERROR(__xludf.DUMMYFUNCTION("""COMPUTED_VALUE"""),-0.697798500521922)</f>
        <v>-0.69779850052192205</v>
      </c>
      <c r="Y65" s="3">
        <f ca="1">IFERROR(__xludf.DUMMYFUNCTION("""COMPUTED_VALUE"""),-0.706491425861065)</f>
        <v>-0.70649142586106495</v>
      </c>
      <c r="Z65" s="3">
        <f ca="1">IFERROR(__xludf.DUMMYFUNCTION("""COMPUTED_VALUE"""),-0.695217064269245)</f>
        <v>-0.69521706426924501</v>
      </c>
      <c r="AA65" s="3">
        <f ca="1">IFERROR(__xludf.DUMMYFUNCTION("""COMPUTED_VALUE"""),-0.713684314812804)</f>
        <v>-0.71368431481280403</v>
      </c>
      <c r="AB65" s="3">
        <f ca="1">IFERROR(__xludf.DUMMYFUNCTION("""COMPUTED_VALUE"""),-0.705828857858545)</f>
        <v>-0.70582885785854499</v>
      </c>
      <c r="AC65" s="3">
        <f ca="1">IFERROR(__xludf.DUMMYFUNCTION("""COMPUTED_VALUE"""),-0.652377570183966)</f>
        <v>-0.65237757018396603</v>
      </c>
      <c r="AD65" s="3">
        <f ca="1">IFERROR(__xludf.DUMMYFUNCTION("""COMPUTED_VALUE"""),-0.610858085401118)</f>
        <v>-0.61085808540111797</v>
      </c>
      <c r="AE65" s="3">
        <f ca="1">IFERROR(__xludf.DUMMYFUNCTION("""COMPUTED_VALUE"""),-0.716692001870885)</f>
        <v>-0.716692001870885</v>
      </c>
      <c r="AF65" s="3">
        <f ca="1">IFERROR(__xludf.DUMMYFUNCTION("""COMPUTED_VALUE"""),-0.724880291035081)</f>
        <v>-0.724880291035081</v>
      </c>
      <c r="AG65" s="3">
        <f ca="1">IFERROR(__xludf.DUMMYFUNCTION("""COMPUTED_VALUE"""),-0.737041313905366)</f>
        <v>-0.73704131390536598</v>
      </c>
      <c r="AH65" s="3">
        <f ca="1">IFERROR(__xludf.DUMMYFUNCTION("""COMPUTED_VALUE"""),-0.744402702128846)</f>
        <v>-0.74440270212884596</v>
      </c>
      <c r="AI65" s="3">
        <f ca="1">IFERROR(__xludf.DUMMYFUNCTION("""COMPUTED_VALUE"""),-0.70717363687103)</f>
        <v>-0.70717363687102996</v>
      </c>
      <c r="AJ65" s="3">
        <f ca="1">IFERROR(__xludf.DUMMYFUNCTION("""COMPUTED_VALUE"""),-0.657412228696113)</f>
        <v>-0.65741222869611304</v>
      </c>
      <c r="AK65" s="3">
        <f ca="1">IFERROR(__xludf.DUMMYFUNCTION("""COMPUTED_VALUE"""),-0.626894358188961)</f>
        <v>-0.626894358188961</v>
      </c>
      <c r="AL65" s="3">
        <f ca="1">IFERROR(__xludf.DUMMYFUNCTION("""COMPUTED_VALUE"""),-0.747886072178319)</f>
        <v>-0.74788607217831904</v>
      </c>
      <c r="AM65" s="3">
        <f ca="1">IFERROR(__xludf.DUMMYFUNCTION("""COMPUTED_VALUE"""),-0.731973083846463)</f>
        <v>-0.73197308384646298</v>
      </c>
      <c r="AN65" s="3">
        <f ca="1">IFERROR(__xludf.DUMMYFUNCTION("""COMPUTED_VALUE"""),-0.716568271373908)</f>
        <v>-0.71656827137390799</v>
      </c>
      <c r="AO65" s="3">
        <f ca="1">IFERROR(__xludf.DUMMYFUNCTION("""COMPUTED_VALUE"""),-0.753805569410938)</f>
        <v>-0.75380556941093801</v>
      </c>
      <c r="AP65" s="3">
        <f ca="1">IFERROR(__xludf.DUMMYFUNCTION("""COMPUTED_VALUE"""),-0.706801164575851)</f>
        <v>-0.70680116457585096</v>
      </c>
      <c r="AQ65" s="3">
        <f ca="1">IFERROR(__xludf.DUMMYFUNCTION("""COMPUTED_VALUE"""),-0.625476170643083)</f>
        <v>-0.62547617064308303</v>
      </c>
      <c r="AR65" s="3">
        <f ca="1">IFERROR(__xludf.DUMMYFUNCTION("""COMPUTED_VALUE"""),-0.673776429066992)</f>
        <v>-0.67377642906699198</v>
      </c>
      <c r="AS65" s="3">
        <f ca="1">IFERROR(__xludf.DUMMYFUNCTION("""COMPUTED_VALUE"""),-0.73228688669069)</f>
        <v>-0.73228688669068998</v>
      </c>
      <c r="AT65" s="3">
        <f ca="1">IFERROR(__xludf.DUMMYFUNCTION("""COMPUTED_VALUE"""),-0.74612397969311)</f>
        <v>-0.74612397969310995</v>
      </c>
      <c r="AU65" s="3">
        <f ca="1">IFERROR(__xludf.DUMMYFUNCTION("""COMPUTED_VALUE"""),-0.742249274702848)</f>
        <v>-0.74224927470284796</v>
      </c>
      <c r="AV65" s="3">
        <f ca="1">IFERROR(__xludf.DUMMYFUNCTION("""COMPUTED_VALUE"""),-0.732295963448748)</f>
        <v>-0.73229596344874803</v>
      </c>
      <c r="AW65" s="3">
        <f ca="1">IFERROR(__xludf.DUMMYFUNCTION("""COMPUTED_VALUE"""),-0.709339746055424)</f>
        <v>-0.70933974605542405</v>
      </c>
      <c r="AX65" s="3">
        <f ca="1">IFERROR(__xludf.DUMMYFUNCTION("""COMPUTED_VALUE"""),-0.637209560484188)</f>
        <v>-0.63720956048418798</v>
      </c>
      <c r="AY65" s="3">
        <f ca="1">IFERROR(__xludf.DUMMYFUNCTION("""COMPUTED_VALUE"""),-0.652607674848493)</f>
        <v>-0.65260767484849302</v>
      </c>
      <c r="AZ65" s="3">
        <f ca="1">IFERROR(__xludf.DUMMYFUNCTION("""COMPUTED_VALUE"""),-0.71510774684023)</f>
        <v>-0.71510774684023004</v>
      </c>
      <c r="BA65" s="3">
        <f ca="1">IFERROR(__xludf.DUMMYFUNCTION("""COMPUTED_VALUE"""),-0.722725198747109)</f>
        <v>-0.72272519874710905</v>
      </c>
      <c r="BB65" s="3">
        <f ca="1">IFERROR(__xludf.DUMMYFUNCTION("""COMPUTED_VALUE"""),-0.717336850982352)</f>
        <v>-0.717336850982352</v>
      </c>
      <c r="BC65" s="3">
        <f ca="1">IFERROR(__xludf.DUMMYFUNCTION("""COMPUTED_VALUE"""),-0.676255582369651)</f>
        <v>-0.676255582369651</v>
      </c>
      <c r="BD65" s="3">
        <f ca="1">IFERROR(__xludf.DUMMYFUNCTION("""COMPUTED_VALUE"""),-0.548765700373909)</f>
        <v>-0.54876570037390904</v>
      </c>
      <c r="BE65" s="3">
        <f ca="1">IFERROR(__xludf.DUMMYFUNCTION("""COMPUTED_VALUE"""),-0.431350900454681)</f>
        <v>-0.431350900454681</v>
      </c>
      <c r="BF65" s="3">
        <f ca="1">IFERROR(__xludf.DUMMYFUNCTION("""COMPUTED_VALUE"""),-0.689374728794425)</f>
        <v>-0.68937472879442496</v>
      </c>
      <c r="BG65" s="3">
        <f ca="1">IFERROR(__xludf.DUMMYFUNCTION("""COMPUTED_VALUE"""),-0.69070461791626)</f>
        <v>-0.69070461791626003</v>
      </c>
      <c r="BH65" s="3">
        <f ca="1">IFERROR(__xludf.DUMMYFUNCTION("""COMPUTED_VALUE"""),-0.771244466861744)</f>
        <v>-0.77124446686174397</v>
      </c>
      <c r="BI65" s="3">
        <f ca="1">IFERROR(__xludf.DUMMYFUNCTION("""COMPUTED_VALUE"""),-0.740729045116183)</f>
        <v>-0.74072904511618298</v>
      </c>
      <c r="BJ65" s="3">
        <f ca="1">IFERROR(__xludf.DUMMYFUNCTION("""COMPUTED_VALUE"""),-0.764904633927449)</f>
        <v>-0.76490463392744901</v>
      </c>
      <c r="BK65" s="3">
        <f ca="1">IFERROR(__xludf.DUMMYFUNCTION("""COMPUTED_VALUE"""),-0.742635349156123)</f>
        <v>-0.74263534915612295</v>
      </c>
      <c r="BL65" s="3">
        <f ca="1">IFERROR(__xludf.DUMMYFUNCTION("""COMPUTED_VALUE"""),-0.677884039862976)</f>
        <v>-0.67788403986297596</v>
      </c>
      <c r="BM65" s="3">
        <f ca="1">IFERROR(__xludf.DUMMYFUNCTION("""COMPUTED_VALUE"""),-0.669502946111621)</f>
        <v>-0.66950294611162098</v>
      </c>
      <c r="BN65" s="3">
        <f ca="1">IFERROR(__xludf.DUMMYFUNCTION("""COMPUTED_VALUE"""),-0.76628798289947)</f>
        <v>-0.76628798289946998</v>
      </c>
      <c r="BO65" s="3">
        <f ca="1">IFERROR(__xludf.DUMMYFUNCTION("""COMPUTED_VALUE"""),-0.786392831886589)</f>
        <v>-0.78639283188658904</v>
      </c>
      <c r="BP65" s="3">
        <f ca="1">IFERROR(__xludf.DUMMYFUNCTION("""COMPUTED_VALUE"""),-0.75812400279237)</f>
        <v>-0.75812400279237002</v>
      </c>
      <c r="BQ65" s="3">
        <f ca="1">IFERROR(__xludf.DUMMYFUNCTION("""COMPUTED_VALUE"""),-0.778352756583028)</f>
        <v>-0.77835275658302805</v>
      </c>
      <c r="BR65" s="3">
        <f ca="1">IFERROR(__xludf.DUMMYFUNCTION("""COMPUTED_VALUE"""),-0.771551720165569)</f>
        <v>-0.77155172016556905</v>
      </c>
      <c r="BS65" s="3">
        <f ca="1">IFERROR(__xludf.DUMMYFUNCTION("""COMPUTED_VALUE"""),-0.670605108328462)</f>
        <v>-0.67060510832846199</v>
      </c>
      <c r="BT65" s="3">
        <f ca="1">IFERROR(__xludf.DUMMYFUNCTION("""COMPUTED_VALUE"""),-0.705663719395294)</f>
        <v>-0.70566371939529404</v>
      </c>
      <c r="BU65" s="3">
        <f ca="1">IFERROR(__xludf.DUMMYFUNCTION("""COMPUTED_VALUE"""),-0.766485402490998)</f>
        <v>-0.76648540249099795</v>
      </c>
      <c r="BV65" s="3">
        <f ca="1">IFERROR(__xludf.DUMMYFUNCTION("""COMPUTED_VALUE"""),-0.792316249736169)</f>
        <v>-0.79231624973616899</v>
      </c>
      <c r="BW65" s="3">
        <f ca="1">IFERROR(__xludf.DUMMYFUNCTION("""COMPUTED_VALUE"""),-0.772200392986005)</f>
        <v>-0.77220039298600496</v>
      </c>
      <c r="BX65" s="3">
        <f ca="1">IFERROR(__xludf.DUMMYFUNCTION("""COMPUTED_VALUE"""),-0.78754896936099)</f>
        <v>-0.78754896936098995</v>
      </c>
      <c r="BY65" s="3">
        <f ca="1">IFERROR(__xludf.DUMMYFUNCTION("""COMPUTED_VALUE"""),-0.736857454780816)</f>
        <v>-0.73685745478081599</v>
      </c>
      <c r="BZ65" s="3">
        <f ca="1">IFERROR(__xludf.DUMMYFUNCTION("""COMPUTED_VALUE"""),-0.699378443475649)</f>
        <v>-0.69937844347564904</v>
      </c>
      <c r="CA65" s="3">
        <f ca="1">IFERROR(__xludf.DUMMYFUNCTION("""COMPUTED_VALUE"""),-0.707782886093761)</f>
        <v>-0.70778288609376105</v>
      </c>
      <c r="CB65" s="3">
        <f ca="1">IFERROR(__xludf.DUMMYFUNCTION("""COMPUTED_VALUE"""),-0.748757558357211)</f>
        <v>-0.74875755835721103</v>
      </c>
      <c r="CC65" s="3">
        <f ca="1">IFERROR(__xludf.DUMMYFUNCTION("""COMPUTED_VALUE"""),-0.774789568067784)</f>
        <v>-0.77478956806778398</v>
      </c>
      <c r="CD65" s="3">
        <f ca="1">IFERROR(__xludf.DUMMYFUNCTION("""COMPUTED_VALUE"""),-0.77914455183143)</f>
        <v>-0.77914455183143005</v>
      </c>
      <c r="CE65" s="3">
        <f ca="1">IFERROR(__xludf.DUMMYFUNCTION("""COMPUTED_VALUE"""),-0.766284013099173)</f>
        <v>-0.76628401309917304</v>
      </c>
      <c r="CF65" s="3">
        <f ca="1">IFERROR(__xludf.DUMMYFUNCTION("""COMPUTED_VALUE"""),-0.724334278736242)</f>
        <v>-0.72433427873624201</v>
      </c>
      <c r="CG65" s="3">
        <f ca="1">IFERROR(__xludf.DUMMYFUNCTION("""COMPUTED_VALUE"""),-0.669356415944213)</f>
        <v>-0.66935641594421302</v>
      </c>
      <c r="CH65" s="3">
        <f ca="1">IFERROR(__xludf.DUMMYFUNCTION("""COMPUTED_VALUE"""),-0.675221900237639)</f>
        <v>-0.67522190023763895</v>
      </c>
      <c r="CI65" s="3">
        <f ca="1">IFERROR(__xludf.DUMMYFUNCTION("""COMPUTED_VALUE"""),-0.764870512174704)</f>
        <v>-0.76487051217470403</v>
      </c>
      <c r="CJ65" s="3">
        <f ca="1">IFERROR(__xludf.DUMMYFUNCTION("""COMPUTED_VALUE"""),-0.784801759082576)</f>
        <v>-0.78480175908257599</v>
      </c>
      <c r="CK65" s="3">
        <f ca="1">IFERROR(__xludf.DUMMYFUNCTION("""COMPUTED_VALUE"""),-0.764875052251083)</f>
        <v>-0.76487505225108299</v>
      </c>
      <c r="CL65" s="3">
        <f ca="1">IFERROR(__xludf.DUMMYFUNCTION("""COMPUTED_VALUE"""),-0.79560774796643)</f>
        <v>-0.79560774796642997</v>
      </c>
      <c r="CM65" s="3">
        <f ca="1">IFERROR(__xludf.DUMMYFUNCTION("""COMPUTED_VALUE"""),-0.736531046367183)</f>
        <v>-0.73653104636718303</v>
      </c>
      <c r="CN65" s="3">
        <f ca="1">IFERROR(__xludf.DUMMYFUNCTION("""COMPUTED_VALUE"""),-0.677623511298864)</f>
        <v>-0.677623511298864</v>
      </c>
      <c r="CO65" s="3">
        <f ca="1">IFERROR(__xludf.DUMMYFUNCTION("""COMPUTED_VALUE"""),-0.662147636421335)</f>
        <v>-0.66214763642133501</v>
      </c>
      <c r="CP65" s="3">
        <f ca="1">IFERROR(__xludf.DUMMYFUNCTION("""COMPUTED_VALUE"""),-0.749278324439073)</f>
        <v>-0.74927832443907305</v>
      </c>
      <c r="CQ65" s="3">
        <f ca="1">IFERROR(__xludf.DUMMYFUNCTION("""COMPUTED_VALUE"""),-0.748203388886896)</f>
        <v>-0.74820338888689597</v>
      </c>
      <c r="CR65" s="3">
        <f ca="1">IFERROR(__xludf.DUMMYFUNCTION("""COMPUTED_VALUE"""),-0.739304932370187)</f>
        <v>-0.73930493237018702</v>
      </c>
      <c r="CS65" s="3">
        <f ca="1">IFERROR(__xludf.DUMMYFUNCTION("""COMPUTED_VALUE"""),-0.742246757317891)</f>
        <v>-0.74224675731789103</v>
      </c>
      <c r="CT65" s="3">
        <f ca="1">IFERROR(__xludf.DUMMYFUNCTION("""COMPUTED_VALUE"""),-0.744339080512068)</f>
        <v>-0.74433908051206799</v>
      </c>
      <c r="CU65" s="3">
        <f ca="1">IFERROR(__xludf.DUMMYFUNCTION("""COMPUTED_VALUE"""),-0.661256188828999)</f>
        <v>-0.66125618882899895</v>
      </c>
      <c r="CV65" s="3">
        <f ca="1">IFERROR(__xludf.DUMMYFUNCTION("""COMPUTED_VALUE"""),-0.683732234716195)</f>
        <v>-0.68373223471619504</v>
      </c>
      <c r="CW65" s="3">
        <f ca="1">IFERROR(__xludf.DUMMYFUNCTION("""COMPUTED_VALUE"""),-0.802519333265104)</f>
        <v>-0.80251933326510405</v>
      </c>
      <c r="CX65" s="3">
        <f ca="1">IFERROR(__xludf.DUMMYFUNCTION("""COMPUTED_VALUE"""),-0.689929175169894)</f>
        <v>-0.68992917516989405</v>
      </c>
      <c r="CY65" s="3">
        <f ca="1">IFERROR(__xludf.DUMMYFUNCTION("""COMPUTED_VALUE"""),-0.623015903443362)</f>
        <v>-0.623015903443362</v>
      </c>
      <c r="CZ65" s="3">
        <f ca="1">IFERROR(__xludf.DUMMYFUNCTION("""COMPUTED_VALUE"""),-0.71888949437008)</f>
        <v>-0.71888949437007998</v>
      </c>
      <c r="DA65" s="3">
        <f ca="1">IFERROR(__xludf.DUMMYFUNCTION("""COMPUTED_VALUE"""),-0.722984277903584)</f>
        <v>-0.72298427790358399</v>
      </c>
      <c r="DB65" s="3">
        <f ca="1">IFERROR(__xludf.DUMMYFUNCTION("""COMPUTED_VALUE"""),-0.678786759685256)</f>
        <v>-0.67878675968525604</v>
      </c>
      <c r="DC65" s="3">
        <f ca="1">IFERROR(__xludf.DUMMYFUNCTION("""COMPUTED_VALUE"""),-0.697311178615194)</f>
        <v>-0.69731117861519398</v>
      </c>
      <c r="DD65" s="3">
        <f ca="1">IFERROR(__xludf.DUMMYFUNCTION("""COMPUTED_VALUE"""),-0.889853412177587)</f>
        <v>-0.88985341217758696</v>
      </c>
      <c r="DE65" s="3">
        <f ca="1">IFERROR(__xludf.DUMMYFUNCTION("""COMPUTED_VALUE"""),-0.7110304568447)</f>
        <v>-0.71103045684470001</v>
      </c>
      <c r="DF65" s="3">
        <f ca="1">IFERROR(__xludf.DUMMYFUNCTION("""COMPUTED_VALUE"""),-0.550387558099099)</f>
        <v>-0.55038755809909901</v>
      </c>
      <c r="DG65" s="3">
        <f ca="1">IFERROR(__xludf.DUMMYFUNCTION("""COMPUTED_VALUE"""),-0.669055551296201)</f>
        <v>-0.66905555129620098</v>
      </c>
      <c r="DH65" s="3">
        <f ca="1">IFERROR(__xludf.DUMMYFUNCTION("""COMPUTED_VALUE"""),-0.69626501395864)</f>
        <v>-0.69626501395864004</v>
      </c>
      <c r="DI65" s="3">
        <f ca="1">IFERROR(__xludf.DUMMYFUNCTION("""COMPUTED_VALUE"""),-0.668004050610211)</f>
        <v>-0.66800405061021095</v>
      </c>
      <c r="DJ65" s="3">
        <f ca="1">IFERROR(__xludf.DUMMYFUNCTION("""COMPUTED_VALUE"""),-0.658503409463199)</f>
        <v>-0.65850340946319896</v>
      </c>
      <c r="DK65" s="3">
        <f ca="1">IFERROR(__xludf.DUMMYFUNCTION("""COMPUTED_VALUE"""),-0.706265128771677)</f>
        <v>-0.70626512877167702</v>
      </c>
      <c r="DL65" s="3">
        <f ca="1">IFERROR(__xludf.DUMMYFUNCTION("""COMPUTED_VALUE"""),-0.717249865095945)</f>
        <v>-0.71724986509594502</v>
      </c>
      <c r="DM65" s="3">
        <f ca="1">IFERROR(__xludf.DUMMYFUNCTION("""COMPUTED_VALUE"""),-0.677471129624637)</f>
        <v>-0.67747112962463696</v>
      </c>
      <c r="DN65" s="3">
        <f ca="1">IFERROR(__xludf.DUMMYFUNCTION("""COMPUTED_VALUE"""),-0.747506284742514)</f>
        <v>-0.74750628474251402</v>
      </c>
      <c r="DO65" s="3">
        <f ca="1">IFERROR(__xludf.DUMMYFUNCTION("""COMPUTED_VALUE"""),-0.735745029244015)</f>
        <v>-0.73574502924401497</v>
      </c>
      <c r="DP65" s="3">
        <f ca="1">IFERROR(__xludf.DUMMYFUNCTION("""COMPUTED_VALUE"""),-0.666509091209513)</f>
        <v>-0.66650909120951296</v>
      </c>
      <c r="DQ65" s="3">
        <f ca="1">IFERROR(__xludf.DUMMYFUNCTION("""COMPUTED_VALUE"""),-0.671406251666634)</f>
        <v>-0.67140625166663404</v>
      </c>
      <c r="DR65" s="3">
        <f ca="1">IFERROR(__xludf.DUMMYFUNCTION("""COMPUTED_VALUE"""),-0.773981499825131)</f>
        <v>-0.77398149982513098</v>
      </c>
      <c r="DS65" s="3">
        <f ca="1">IFERROR(__xludf.DUMMYFUNCTION("""COMPUTED_VALUE"""),-0.772700278306538)</f>
        <v>-0.77270027830653798</v>
      </c>
      <c r="DT65" s="3">
        <f ca="1">IFERROR(__xludf.DUMMYFUNCTION("""COMPUTED_VALUE"""),-0.754394180036317)</f>
        <v>-0.75439418003631697</v>
      </c>
      <c r="DU65" s="3">
        <f ca="1">IFERROR(__xludf.DUMMYFUNCTION("""COMPUTED_VALUE"""),-0.766338255758275)</f>
        <v>-0.76633825575827497</v>
      </c>
      <c r="DV65" s="3">
        <f ca="1">IFERROR(__xludf.DUMMYFUNCTION("""COMPUTED_VALUE"""),-0.743788903307555)</f>
        <v>-0.74378890330755498</v>
      </c>
      <c r="DW65" s="3">
        <f ca="1">IFERROR(__xludf.DUMMYFUNCTION("""COMPUTED_VALUE"""),-0.636337131420059)</f>
        <v>-0.63633713142005899</v>
      </c>
      <c r="DX65" s="3">
        <f ca="1">IFERROR(__xludf.DUMMYFUNCTION("""COMPUTED_VALUE"""),-0.6770698617773)</f>
        <v>-0.6770698617773</v>
      </c>
      <c r="DY65" s="3">
        <f ca="1">IFERROR(__xludf.DUMMYFUNCTION("""COMPUTED_VALUE"""),-0.725406560050934)</f>
        <v>-0.72540656005093396</v>
      </c>
      <c r="DZ65" s="3">
        <f ca="1">IFERROR(__xludf.DUMMYFUNCTION("""COMPUTED_VALUE"""),-0.724811698663917)</f>
        <v>-0.72481169866391704</v>
      </c>
      <c r="EA65" s="3">
        <f ca="1">IFERROR(__xludf.DUMMYFUNCTION("""COMPUTED_VALUE"""),-0.74800811384639)</f>
        <v>-0.74800811384638999</v>
      </c>
      <c r="EB65" s="3">
        <f ca="1">IFERROR(__xludf.DUMMYFUNCTION("""COMPUTED_VALUE"""),-0.753979259646585)</f>
        <v>-0.75397925964658497</v>
      </c>
      <c r="EC65" s="3">
        <f ca="1">IFERROR(__xludf.DUMMYFUNCTION("""COMPUTED_VALUE"""),-0.744536810589893)</f>
        <v>-0.74453681058989296</v>
      </c>
      <c r="ED65" s="3">
        <f ca="1">IFERROR(__xludf.DUMMYFUNCTION("""COMPUTED_VALUE"""),-0.652411466557931)</f>
        <v>-0.65241146655793103</v>
      </c>
      <c r="EE65" s="3">
        <f ca="1">IFERROR(__xludf.DUMMYFUNCTION("""COMPUTED_VALUE"""),-0.698031174523662)</f>
        <v>-0.69803117452366203</v>
      </c>
      <c r="EF65" s="3">
        <f ca="1">IFERROR(__xludf.DUMMYFUNCTION("""COMPUTED_VALUE"""),-0.77115979617687)</f>
        <v>-0.77115979617687003</v>
      </c>
      <c r="EG65" s="3">
        <f ca="1">IFERROR(__xludf.DUMMYFUNCTION("""COMPUTED_VALUE"""),-0.834284789380683)</f>
        <v>-0.83428478938068296</v>
      </c>
      <c r="EH65" s="3">
        <f ca="1">IFERROR(__xludf.DUMMYFUNCTION("""COMPUTED_VALUE"""),-0.766211124162276)</f>
        <v>-0.76621112416227599</v>
      </c>
      <c r="EI65" s="3">
        <f ca="1">IFERROR(__xludf.DUMMYFUNCTION("""COMPUTED_VALUE"""),-0.769322558421129)</f>
        <v>-0.76932255842112895</v>
      </c>
      <c r="EJ65" s="3">
        <f ca="1">IFERROR(__xludf.DUMMYFUNCTION("""COMPUTED_VALUE"""),-0.760621587249254)</f>
        <v>-0.76062158724925399</v>
      </c>
      <c r="EK65" s="3">
        <f ca="1">IFERROR(__xludf.DUMMYFUNCTION("""COMPUTED_VALUE"""),-0.648792409486816)</f>
        <v>-0.64879240948681605</v>
      </c>
      <c r="EL65" s="3">
        <f ca="1">IFERROR(__xludf.DUMMYFUNCTION("""COMPUTED_VALUE"""),-0.660607143586365)</f>
        <v>-0.66060714358636496</v>
      </c>
      <c r="EM65" s="3">
        <f ca="1">IFERROR(__xludf.DUMMYFUNCTION("""COMPUTED_VALUE"""),-0.718248995310342)</f>
        <v>-0.71824899531034203</v>
      </c>
      <c r="EN65" s="3">
        <f ca="1">IFERROR(__xludf.DUMMYFUNCTION("""COMPUTED_VALUE"""),-0.728942153498937)</f>
        <v>-0.72894215349893698</v>
      </c>
      <c r="EO65" s="3">
        <f ca="1">IFERROR(__xludf.DUMMYFUNCTION("""COMPUTED_VALUE"""),-0.755829468247047)</f>
        <v>-0.755829468247047</v>
      </c>
      <c r="EP65" s="3">
        <f ca="1">IFERROR(__xludf.DUMMYFUNCTION("""COMPUTED_VALUE"""),-0.763326550911072)</f>
        <v>-0.76332655091107204</v>
      </c>
      <c r="EQ65" s="3">
        <f ca="1">IFERROR(__xludf.DUMMYFUNCTION("""COMPUTED_VALUE"""),-0.728688170344673)</f>
        <v>-0.72868817034467304</v>
      </c>
      <c r="ER65" s="3">
        <f ca="1">IFERROR(__xludf.DUMMYFUNCTION("""COMPUTED_VALUE"""),-0.663379161638805)</f>
        <v>-0.66337916163880495</v>
      </c>
      <c r="ES65" s="3">
        <f ca="1">IFERROR(__xludf.DUMMYFUNCTION("""COMPUTED_VALUE"""),-0.684413723870882)</f>
        <v>-0.68441372387088195</v>
      </c>
      <c r="ET65" s="3">
        <f ca="1">IFERROR(__xludf.DUMMYFUNCTION("""COMPUTED_VALUE"""),-0.729760597456444)</f>
        <v>-0.72976059745644395</v>
      </c>
      <c r="EU65" s="3">
        <f ca="1">IFERROR(__xludf.DUMMYFUNCTION("""COMPUTED_VALUE"""),-0.743434430325504)</f>
        <v>-0.74343443032550405</v>
      </c>
      <c r="EV65" s="3">
        <f ca="1">IFERROR(__xludf.DUMMYFUNCTION("""COMPUTED_VALUE"""),-0.754501562861914)</f>
        <v>-0.75450156286191405</v>
      </c>
      <c r="EW65" s="3">
        <f ca="1">IFERROR(__xludf.DUMMYFUNCTION("""COMPUTED_VALUE"""),-0.762488999932906)</f>
        <v>-0.76248899993290598</v>
      </c>
      <c r="EX65" s="3">
        <f ca="1">IFERROR(__xludf.DUMMYFUNCTION("""COMPUTED_VALUE"""),-0.719046641517827)</f>
        <v>-0.71904664151782705</v>
      </c>
      <c r="EY65" s="3">
        <f ca="1">IFERROR(__xludf.DUMMYFUNCTION("""COMPUTED_VALUE"""),-0.637835526550413)</f>
        <v>-0.63783552655041298</v>
      </c>
      <c r="EZ65" s="3">
        <f ca="1">IFERROR(__xludf.DUMMYFUNCTION("""COMPUTED_VALUE"""),-0.638058310650923)</f>
        <v>-0.638058310650923</v>
      </c>
      <c r="FA65" s="3">
        <f ca="1">IFERROR(__xludf.DUMMYFUNCTION("""COMPUTED_VALUE"""),-0.715709142219288)</f>
        <v>-0.71570914221928805</v>
      </c>
      <c r="FB65" s="3">
        <f ca="1">IFERROR(__xludf.DUMMYFUNCTION("""COMPUTED_VALUE"""),-0.744822454719266)</f>
        <v>-0.744822454719266</v>
      </c>
      <c r="FC65" s="3">
        <f ca="1">IFERROR(__xludf.DUMMYFUNCTION("""COMPUTED_VALUE"""),-0.733930177105214)</f>
        <v>-0.73393017710521402</v>
      </c>
      <c r="FD65" s="3">
        <f ca="1">IFERROR(__xludf.DUMMYFUNCTION("""COMPUTED_VALUE"""),-0.769581024507757)</f>
        <v>-0.76958102450775701</v>
      </c>
      <c r="FE65" s="3">
        <f ca="1">IFERROR(__xludf.DUMMYFUNCTION("""COMPUTED_VALUE"""),-0.70989427350914)</f>
        <v>-0.70989427350914003</v>
      </c>
      <c r="FF65" s="3">
        <f ca="1">IFERROR(__xludf.DUMMYFUNCTION("""COMPUTED_VALUE"""),-0.606695639110776)</f>
        <v>-0.60669563911077595</v>
      </c>
      <c r="FG65" s="3">
        <f ca="1">IFERROR(__xludf.DUMMYFUNCTION("""COMPUTED_VALUE"""),-0.616450121902901)</f>
        <v>-0.61645012190290105</v>
      </c>
      <c r="FH65" s="3">
        <f ca="1">IFERROR(__xludf.DUMMYFUNCTION("""COMPUTED_VALUE"""),-0.709124854012835)</f>
        <v>-0.70912485401283498</v>
      </c>
      <c r="FI65" s="3">
        <f ca="1">IFERROR(__xludf.DUMMYFUNCTION("""COMPUTED_VALUE"""),-0.736625870839427)</f>
        <v>-0.73662587083942699</v>
      </c>
      <c r="FJ65" s="3">
        <f ca="1">IFERROR(__xludf.DUMMYFUNCTION("""COMPUTED_VALUE"""),-0.718114877387559)</f>
        <v>-0.71811487738755897</v>
      </c>
      <c r="FK65" s="3">
        <f ca="1">IFERROR(__xludf.DUMMYFUNCTION("""COMPUTED_VALUE"""),-0.732536224471906)</f>
        <v>-0.73253622447190603</v>
      </c>
      <c r="FL65" s="3">
        <f ca="1">IFERROR(__xludf.DUMMYFUNCTION("""COMPUTED_VALUE"""),-0.733031986348828)</f>
        <v>-0.73303198634882805</v>
      </c>
      <c r="FM65" s="3">
        <f ca="1">IFERROR(__xludf.DUMMYFUNCTION("""COMPUTED_VALUE"""),-0.64451007680582)</f>
        <v>-0.64451007680581995</v>
      </c>
      <c r="FN65" s="3">
        <f ca="1">IFERROR(__xludf.DUMMYFUNCTION("""COMPUTED_VALUE"""),-0.638808920672939)</f>
        <v>-0.63880892067293904</v>
      </c>
      <c r="FO65" s="3">
        <f ca="1">IFERROR(__xludf.DUMMYFUNCTION("""COMPUTED_VALUE"""),-0.725782861668118)</f>
        <v>-0.72578286166811801</v>
      </c>
      <c r="FP65" s="3">
        <f ca="1">IFERROR(__xludf.DUMMYFUNCTION("""COMPUTED_VALUE"""),-0.746190813579175)</f>
        <v>-0.74619081357917505</v>
      </c>
      <c r="FQ65" s="3">
        <f ca="1">IFERROR(__xludf.DUMMYFUNCTION("""COMPUTED_VALUE"""),-0.727854629684703)</f>
        <v>-0.72785462968470305</v>
      </c>
      <c r="FR65" s="3">
        <f ca="1">IFERROR(__xludf.DUMMYFUNCTION("""COMPUTED_VALUE"""),-0.737565394022059)</f>
        <v>-0.73756539402205901</v>
      </c>
      <c r="FS65" s="3">
        <f ca="1">IFERROR(__xludf.DUMMYFUNCTION("""COMPUTED_VALUE"""),-0.732207357470221)</f>
        <v>-0.73220735747022103</v>
      </c>
      <c r="FT65" s="3">
        <f ca="1">IFERROR(__xludf.DUMMYFUNCTION("""COMPUTED_VALUE"""),-0.591324526814631)</f>
        <v>-0.59132452681463099</v>
      </c>
      <c r="FU65" s="3">
        <f ca="1">IFERROR(__xludf.DUMMYFUNCTION("""COMPUTED_VALUE"""),-0.6227148166738)</f>
        <v>-0.62271481667380002</v>
      </c>
      <c r="FV65" s="3">
        <f ca="1">IFERROR(__xludf.DUMMYFUNCTION("""COMPUTED_VALUE"""),-0.707030416850429)</f>
        <v>-0.707030416850429</v>
      </c>
      <c r="FW65" s="3">
        <f ca="1">IFERROR(__xludf.DUMMYFUNCTION("""COMPUTED_VALUE"""),-0.72164785037185)</f>
        <v>-0.72164785037184997</v>
      </c>
      <c r="FX65" s="3">
        <f ca="1">IFERROR(__xludf.DUMMYFUNCTION("""COMPUTED_VALUE"""),-0.730424926125072)</f>
        <v>-0.73042492612507204</v>
      </c>
      <c r="FY65" s="3">
        <f ca="1">IFERROR(__xludf.DUMMYFUNCTION("""COMPUTED_VALUE"""),-0.750493725216729)</f>
        <v>-0.75049372521672897</v>
      </c>
      <c r="FZ65" s="3">
        <f ca="1">IFERROR(__xludf.DUMMYFUNCTION("""COMPUTED_VALUE"""),-0.722692486451109)</f>
        <v>-0.72269248645110895</v>
      </c>
      <c r="GA65" s="3">
        <f ca="1">IFERROR(__xludf.DUMMYFUNCTION("""COMPUTED_VALUE"""),-0.607862430876343)</f>
        <v>-0.60786243087634295</v>
      </c>
      <c r="GB65" s="3">
        <f ca="1">IFERROR(__xludf.DUMMYFUNCTION("""COMPUTED_VALUE"""),-0.64273323159317)</f>
        <v>-0.64273323159316997</v>
      </c>
      <c r="GC65" s="3">
        <f ca="1">IFERROR(__xludf.DUMMYFUNCTION("""COMPUTED_VALUE"""),-0.683694245257306)</f>
        <v>-0.68369424525730604</v>
      </c>
      <c r="GD65" s="3">
        <f ca="1">IFERROR(__xludf.DUMMYFUNCTION("""COMPUTED_VALUE"""),-0.741822286793148)</f>
        <v>-0.74182228679314799</v>
      </c>
      <c r="GE65" s="3">
        <f ca="1">IFERROR(__xludf.DUMMYFUNCTION("""COMPUTED_VALUE"""),-0.719512254433634)</f>
        <v>-0.71951225443363398</v>
      </c>
      <c r="GF65" s="3">
        <f ca="1">IFERROR(__xludf.DUMMYFUNCTION("""COMPUTED_VALUE"""),-0.71669171813084)</f>
        <v>-0.71669171813083998</v>
      </c>
      <c r="GG65" s="3">
        <f ca="1">IFERROR(__xludf.DUMMYFUNCTION("""COMPUTED_VALUE"""),-0.703599133219137)</f>
        <v>-0.70359913321913703</v>
      </c>
      <c r="GH65" s="3">
        <f ca="1">IFERROR(__xludf.DUMMYFUNCTION("""COMPUTED_VALUE"""),-0.598280897511135)</f>
        <v>-0.598280897511135</v>
      </c>
      <c r="GI65" s="3">
        <f ca="1">IFERROR(__xludf.DUMMYFUNCTION("""COMPUTED_VALUE"""),-0.603394167250465)</f>
        <v>-0.60339416725046502</v>
      </c>
      <c r="GJ65" s="3">
        <f ca="1">IFERROR(__xludf.DUMMYFUNCTION("""COMPUTED_VALUE"""),-0.662390182472079)</f>
        <v>-0.66239018247207904</v>
      </c>
      <c r="GK65" s="3">
        <f ca="1">IFERROR(__xludf.DUMMYFUNCTION("""COMPUTED_VALUE"""),-0.705003077106956)</f>
        <v>-0.70500307710695598</v>
      </c>
      <c r="GL65" s="3">
        <f ca="1">IFERROR(__xludf.DUMMYFUNCTION("""COMPUTED_VALUE"""),-0.733250835364516)</f>
        <v>-0.73325083536451596</v>
      </c>
      <c r="GM65" s="3">
        <f ca="1">IFERROR(__xludf.DUMMYFUNCTION("""COMPUTED_VALUE"""),-0.740119057839112)</f>
        <v>-0.74011905783911203</v>
      </c>
      <c r="GN65" s="3">
        <f ca="1">IFERROR(__xludf.DUMMYFUNCTION("""COMPUTED_VALUE"""),-0.716034234761822)</f>
        <v>-0.71603423476182204</v>
      </c>
      <c r="GO65" s="3">
        <f ca="1">IFERROR(__xludf.DUMMYFUNCTION("""COMPUTED_VALUE"""),-0.592746082897154)</f>
        <v>-0.59274608289715403</v>
      </c>
      <c r="GP65" s="3">
        <f ca="1">IFERROR(__xludf.DUMMYFUNCTION("""COMPUTED_VALUE"""),-0.642808858257236)</f>
        <v>-0.64280885825723599</v>
      </c>
      <c r="GQ65" s="3">
        <f ca="1">IFERROR(__xludf.DUMMYFUNCTION("""COMPUTED_VALUE"""),-0.732890571434017)</f>
        <v>-0.73289057143401704</v>
      </c>
      <c r="GR65" s="3">
        <f ca="1">IFERROR(__xludf.DUMMYFUNCTION("""COMPUTED_VALUE"""),-0.707704454543324)</f>
        <v>-0.70770445454332398</v>
      </c>
      <c r="GS65" s="3">
        <f ca="1">IFERROR(__xludf.DUMMYFUNCTION("""COMPUTED_VALUE"""),-0.722780245507101)</f>
        <v>-0.72278024550710096</v>
      </c>
      <c r="GT65" s="3">
        <f ca="1">IFERROR(__xludf.DUMMYFUNCTION("""COMPUTED_VALUE"""),-0.731155267965168)</f>
        <v>-0.73115526796516805</v>
      </c>
      <c r="GU65" s="3">
        <f ca="1">IFERROR(__xludf.DUMMYFUNCTION("""COMPUTED_VALUE"""),-0.727387727196045)</f>
        <v>-0.72738772719604505</v>
      </c>
      <c r="GV65" s="3">
        <f ca="1">IFERROR(__xludf.DUMMYFUNCTION("""COMPUTED_VALUE"""),-0.564702540458861)</f>
        <v>-0.56470254045886104</v>
      </c>
      <c r="GW65" s="3">
        <f ca="1">IFERROR(__xludf.DUMMYFUNCTION("""COMPUTED_VALUE"""),-0.626375228036934)</f>
        <v>-0.62637522803693402</v>
      </c>
      <c r="GX65" s="3">
        <f ca="1">IFERROR(__xludf.DUMMYFUNCTION("""COMPUTED_VALUE"""),-0.740371312890558)</f>
        <v>-0.74037131289055802</v>
      </c>
      <c r="GY65" s="3">
        <f ca="1">IFERROR(__xludf.DUMMYFUNCTION("""COMPUTED_VALUE"""),-0.748588458747685)</f>
        <v>-0.74858845874768498</v>
      </c>
      <c r="GZ65" s="3">
        <f ca="1">IFERROR(__xludf.DUMMYFUNCTION("""COMPUTED_VALUE"""),-0.743634218462989)</f>
        <v>-0.74363421846298905</v>
      </c>
      <c r="HA65" s="3">
        <f ca="1">IFERROR(__xludf.DUMMYFUNCTION("""COMPUTED_VALUE"""),-0.759809156308031)</f>
        <v>-0.75980915630803103</v>
      </c>
      <c r="HB65" s="3">
        <f ca="1">IFERROR(__xludf.DUMMYFUNCTION("""COMPUTED_VALUE"""),-0.773713781460177)</f>
        <v>-0.773713781460177</v>
      </c>
      <c r="HC65" s="3">
        <f ca="1">IFERROR(__xludf.DUMMYFUNCTION("""COMPUTED_VALUE"""),-0.670784808173646)</f>
        <v>-0.67078480817364605</v>
      </c>
      <c r="HD65" s="3">
        <f ca="1">IFERROR(__xludf.DUMMYFUNCTION("""COMPUTED_VALUE"""),-0.698723595112867)</f>
        <v>-0.69872359511286697</v>
      </c>
      <c r="HE65" s="3">
        <f ca="1">IFERROR(__xludf.DUMMYFUNCTION("""COMPUTED_VALUE"""),-0.767032623461255)</f>
        <v>-0.767032623461255</v>
      </c>
      <c r="HF65" s="3">
        <f ca="1">IFERROR(__xludf.DUMMYFUNCTION("""COMPUTED_VALUE"""),-0.730130983629066)</f>
        <v>-0.73013098362906603</v>
      </c>
      <c r="HG65" s="3">
        <f ca="1">IFERROR(__xludf.DUMMYFUNCTION("""COMPUTED_VALUE"""),-0.71169837150005)</f>
        <v>-0.71169837150005</v>
      </c>
      <c r="HH65" s="3">
        <f ca="1">IFERROR(__xludf.DUMMYFUNCTION("""COMPUTED_VALUE"""),-0.689933484197637)</f>
        <v>-0.689933484197637</v>
      </c>
      <c r="HI65" s="3">
        <f ca="1">IFERROR(__xludf.DUMMYFUNCTION("""COMPUTED_VALUE"""),-0.653726087740754)</f>
        <v>-0.65372608774075402</v>
      </c>
      <c r="HJ65" s="3">
        <f ca="1">IFERROR(__xludf.DUMMYFUNCTION("""COMPUTED_VALUE"""),-0.578308262755199)</f>
        <v>-0.57830826275519898</v>
      </c>
      <c r="HK65" s="3">
        <f ca="1">IFERROR(__xludf.DUMMYFUNCTION("""COMPUTED_VALUE"""),-0.608445444879082)</f>
        <v>-0.60844544487908203</v>
      </c>
      <c r="HL65" s="3">
        <f ca="1">IFERROR(__xludf.DUMMYFUNCTION("""COMPUTED_VALUE"""),-0.652523095525681)</f>
        <v>-0.652523095525681</v>
      </c>
      <c r="HM65" s="3">
        <f ca="1">IFERROR(__xludf.DUMMYFUNCTION("""COMPUTED_VALUE"""),-0.680034877934724)</f>
        <v>-0.68003487793472395</v>
      </c>
      <c r="HN65" s="3">
        <f ca="1">IFERROR(__xludf.DUMMYFUNCTION("""COMPUTED_VALUE"""),-0.665242974723443)</f>
        <v>-0.66524297472344296</v>
      </c>
      <c r="HO65" s="3">
        <f ca="1">IFERROR(__xludf.DUMMYFUNCTION("""COMPUTED_VALUE"""),-0.681353580846106)</f>
        <v>-0.68135358084610598</v>
      </c>
      <c r="HP65" s="3">
        <f ca="1">IFERROR(__xludf.DUMMYFUNCTION("""COMPUTED_VALUE"""),-0.62069830731926)</f>
        <v>-0.62069830731926001</v>
      </c>
      <c r="HQ65" s="3">
        <f ca="1">IFERROR(__xludf.DUMMYFUNCTION("""COMPUTED_VALUE"""),-0.563765868558448)</f>
        <v>-0.56376586855844801</v>
      </c>
      <c r="HR65" s="3">
        <f ca="1">IFERROR(__xludf.DUMMYFUNCTION("""COMPUTED_VALUE"""),-0.576845483467004)</f>
        <v>-0.57684548346700404</v>
      </c>
      <c r="HS65" s="3">
        <f ca="1">IFERROR(__xludf.DUMMYFUNCTION("""COMPUTED_VALUE"""),-0.687854907347306)</f>
        <v>-0.68785490734730603</v>
      </c>
      <c r="HT65" s="3">
        <f ca="1">IFERROR(__xludf.DUMMYFUNCTION("""COMPUTED_VALUE"""),-0.701633786879758)</f>
        <v>-0.70163378687975797</v>
      </c>
      <c r="HU65" s="3">
        <f ca="1">IFERROR(__xludf.DUMMYFUNCTION("""COMPUTED_VALUE"""),-0.678274849705975)</f>
        <v>-0.67827484970597496</v>
      </c>
      <c r="HV65" s="3">
        <f ca="1">IFERROR(__xludf.DUMMYFUNCTION("""COMPUTED_VALUE"""),-0.693903034059739)</f>
        <v>-0.69390303405973897</v>
      </c>
      <c r="HW65" s="3">
        <f ca="1">IFERROR(__xludf.DUMMYFUNCTION("""COMPUTED_VALUE"""),-0.589896754142813)</f>
        <v>-0.58989675414281295</v>
      </c>
      <c r="HX65" s="3">
        <f ca="1">IFERROR(__xludf.DUMMYFUNCTION("""COMPUTED_VALUE"""),-0.587141405404384)</f>
        <v>-0.58714140540438398</v>
      </c>
      <c r="HY65" s="3">
        <f ca="1">IFERROR(__xludf.DUMMYFUNCTION("""COMPUTED_VALUE"""),-0.572379157647681)</f>
        <v>-0.57237915764768099</v>
      </c>
      <c r="HZ65" s="3">
        <f ca="1">IFERROR(__xludf.DUMMYFUNCTION("""COMPUTED_VALUE"""),-0.67410276375497)</f>
        <v>-0.67410276375497002</v>
      </c>
      <c r="IA65" s="3">
        <f ca="1">IFERROR(__xludf.DUMMYFUNCTION("""COMPUTED_VALUE"""),-0.686741963156708)</f>
        <v>-0.68674196315670799</v>
      </c>
      <c r="IB65" s="3">
        <f ca="1">IFERROR(__xludf.DUMMYFUNCTION("""COMPUTED_VALUE"""),-0.659305399124861)</f>
        <v>-0.65930539912486097</v>
      </c>
      <c r="IC65" s="3">
        <f ca="1">IFERROR(__xludf.DUMMYFUNCTION("""COMPUTED_VALUE"""),-0.654932319663498)</f>
        <v>-0.65493231966349796</v>
      </c>
      <c r="ID65" s="3">
        <f ca="1">IFERROR(__xludf.DUMMYFUNCTION("""COMPUTED_VALUE"""),-0.648662745089477)</f>
        <v>-0.64866274508947697</v>
      </c>
      <c r="IE65" s="3">
        <f ca="1">IFERROR(__xludf.DUMMYFUNCTION("""COMPUTED_VALUE"""),-0.620665261980243)</f>
        <v>-0.62066526198024297</v>
      </c>
      <c r="IF65" s="3">
        <f ca="1">IFERROR(__xludf.DUMMYFUNCTION("""COMPUTED_VALUE"""),-0.577539394956105)</f>
        <v>-0.57753939495610496</v>
      </c>
      <c r="IG65" s="3">
        <f ca="1">IFERROR(__xludf.DUMMYFUNCTION("""COMPUTED_VALUE"""),-0.671173330569186)</f>
        <v>-0.67117333056918604</v>
      </c>
      <c r="IH65" s="3">
        <f ca="1">IFERROR(__xludf.DUMMYFUNCTION("""COMPUTED_VALUE"""),-0.692392908041282)</f>
        <v>-0.69239290804128195</v>
      </c>
      <c r="II65" s="3">
        <f ca="1">IFERROR(__xludf.DUMMYFUNCTION("""COMPUTED_VALUE"""),-0.678760870110902)</f>
        <v>-0.67876087011090203</v>
      </c>
      <c r="IJ65" s="3">
        <f ca="1">IFERROR(__xludf.DUMMYFUNCTION("""COMPUTED_VALUE"""),-0.699856303278562)</f>
        <v>-0.69985630327856196</v>
      </c>
      <c r="IK65" s="3">
        <f ca="1">IFERROR(__xludf.DUMMYFUNCTION("""COMPUTED_VALUE"""),-0.670097138127218)</f>
        <v>-0.67009713812721805</v>
      </c>
      <c r="IL65" s="3">
        <f ca="1">IFERROR(__xludf.DUMMYFUNCTION("""COMPUTED_VALUE"""),-0.620941928451865)</f>
        <v>-0.62094192845186502</v>
      </c>
      <c r="IM65" s="3">
        <f ca="1">IFERROR(__xludf.DUMMYFUNCTION("""COMPUTED_VALUE"""),-0.602730953144281)</f>
        <v>-0.60273095314428105</v>
      </c>
      <c r="IN65" s="3">
        <f ca="1">IFERROR(__xludf.DUMMYFUNCTION("""COMPUTED_VALUE"""),-0.688271653625415)</f>
        <v>-0.68827165362541498</v>
      </c>
      <c r="IO65" s="3">
        <f ca="1">IFERROR(__xludf.DUMMYFUNCTION("""COMPUTED_VALUE"""),-0.695486703693057)</f>
        <v>-0.69548670369305698</v>
      </c>
      <c r="IP65" s="3">
        <f ca="1">IFERROR(__xludf.DUMMYFUNCTION("""COMPUTED_VALUE"""),-0.669583061291053)</f>
        <v>-0.66958306129105305</v>
      </c>
      <c r="IQ65" s="3">
        <f ca="1">IFERROR(__xludf.DUMMYFUNCTION("""COMPUTED_VALUE"""),-0.689968937012902)</f>
        <v>-0.68996893701290196</v>
      </c>
      <c r="IR65" s="3">
        <f ca="1">IFERROR(__xludf.DUMMYFUNCTION("""COMPUTED_VALUE"""),-0.671342769372243)</f>
        <v>-0.67134276937224302</v>
      </c>
      <c r="IS65" s="3">
        <f ca="1">IFERROR(__xludf.DUMMYFUNCTION("""COMPUTED_VALUE"""),-0.574655585446883)</f>
        <v>-0.574655585446883</v>
      </c>
      <c r="IT65" s="3">
        <f ca="1">IFERROR(__xludf.DUMMYFUNCTION("""COMPUTED_VALUE"""),-0.612281480931434)</f>
        <v>-0.61228148093143397</v>
      </c>
      <c r="IU65" s="3">
        <f ca="1">IFERROR(__xludf.DUMMYFUNCTION("""COMPUTED_VALUE"""),-0.676618165081585)</f>
        <v>-0.67661816508158501</v>
      </c>
      <c r="IV65" s="3">
        <f ca="1">IFERROR(__xludf.DUMMYFUNCTION("""COMPUTED_VALUE"""),-0.695345529311564)</f>
        <v>-0.69534552931156401</v>
      </c>
      <c r="IW65" s="3">
        <f ca="1">IFERROR(__xludf.DUMMYFUNCTION("""COMPUTED_VALUE"""),-0.698017188503729)</f>
        <v>-0.69801718850372896</v>
      </c>
      <c r="IX65" s="3">
        <f ca="1">IFERROR(__xludf.DUMMYFUNCTION("""COMPUTED_VALUE"""),-0.70956179247451)</f>
        <v>-0.70956179247451001</v>
      </c>
      <c r="IY65" s="3">
        <f ca="1">IFERROR(__xludf.DUMMYFUNCTION("""COMPUTED_VALUE"""),-0.702092790857176)</f>
        <v>-0.70209279085717602</v>
      </c>
      <c r="IZ65" s="3">
        <f ca="1">IFERROR(__xludf.DUMMYFUNCTION("""COMPUTED_VALUE"""),-0.623110335391465)</f>
        <v>-0.62311033539146499</v>
      </c>
      <c r="JA65" s="3">
        <f ca="1">IFERROR(__xludf.DUMMYFUNCTION("""COMPUTED_VALUE"""),-0.603352003689782)</f>
        <v>-0.60335200368978203</v>
      </c>
      <c r="JB65" s="3">
        <f ca="1">IFERROR(__xludf.DUMMYFUNCTION("""COMPUTED_VALUE"""),-0.69340926206127)</f>
        <v>-0.69340926206126996</v>
      </c>
      <c r="JC65" s="3">
        <f ca="1">IFERROR(__xludf.DUMMYFUNCTION("""COMPUTED_VALUE"""),-0.724321258576182)</f>
        <v>-0.72432125857618201</v>
      </c>
      <c r="JD65" s="3">
        <f ca="1">IFERROR(__xludf.DUMMYFUNCTION("""COMPUTED_VALUE"""),-0.709221177714385)</f>
        <v>-0.70922117771438498</v>
      </c>
      <c r="JE65" s="3">
        <f ca="1">IFERROR(__xludf.DUMMYFUNCTION("""COMPUTED_VALUE"""),-0.7056036888681)</f>
        <v>-0.70560368886809999</v>
      </c>
      <c r="JF65" s="3">
        <f ca="1">IFERROR(__xludf.DUMMYFUNCTION("""COMPUTED_VALUE"""),-0.695984718476633)</f>
        <v>-0.69598471847663301</v>
      </c>
      <c r="JG65" s="3">
        <f ca="1">IFERROR(__xludf.DUMMYFUNCTION("""COMPUTED_VALUE"""),-0.616314924165259)</f>
        <v>-0.61631492416525901</v>
      </c>
      <c r="JH65" s="3">
        <f ca="1">IFERROR(__xludf.DUMMYFUNCTION("""COMPUTED_VALUE"""),-0.624307202799995)</f>
        <v>-0.62430720279999496</v>
      </c>
      <c r="JI65" s="3">
        <f ca="1">IFERROR(__xludf.DUMMYFUNCTION("""COMPUTED_VALUE"""),-0.720282818815534)</f>
        <v>-0.72028281881553402</v>
      </c>
      <c r="JJ65" s="3">
        <f ca="1">IFERROR(__xludf.DUMMYFUNCTION("""COMPUTED_VALUE"""),-0.722432903194581)</f>
        <v>-0.72243290319458098</v>
      </c>
      <c r="JK65" s="3">
        <f ca="1">IFERROR(__xludf.DUMMYFUNCTION("""COMPUTED_VALUE"""),-0.71077434572126)</f>
        <v>-0.71077434572125997</v>
      </c>
      <c r="JL65" s="3">
        <f ca="1">IFERROR(__xludf.DUMMYFUNCTION("""COMPUTED_VALUE"""),-0.716960270135064)</f>
        <v>-0.71696027013506403</v>
      </c>
      <c r="JM65" s="3">
        <f ca="1">IFERROR(__xludf.DUMMYFUNCTION("""COMPUTED_VALUE"""),-0.722051192908906)</f>
        <v>-0.72205119290890596</v>
      </c>
      <c r="JN65" s="3">
        <f ca="1">IFERROR(__xludf.DUMMYFUNCTION("""COMPUTED_VALUE"""),-0.646548298448386)</f>
        <v>-0.64654829844838602</v>
      </c>
      <c r="JO65" s="3">
        <f ca="1">IFERROR(__xludf.DUMMYFUNCTION("""COMPUTED_VALUE"""),-0.639490143932993)</f>
        <v>-0.63949014393299297</v>
      </c>
      <c r="JP65" s="3">
        <f ca="1">IFERROR(__xludf.DUMMYFUNCTION("""COMPUTED_VALUE"""),-0.689017614249105)</f>
        <v>-0.68901761424910501</v>
      </c>
      <c r="JQ65" s="3">
        <f ca="1">IFERROR(__xludf.DUMMYFUNCTION("""COMPUTED_VALUE"""),-0.663112528931456)</f>
        <v>-0.663112528931456</v>
      </c>
      <c r="JR65" s="3">
        <f ca="1">IFERROR(__xludf.DUMMYFUNCTION("""COMPUTED_VALUE"""),-0.69507142809355)</f>
        <v>-0.69507142809355005</v>
      </c>
      <c r="JS65" s="3">
        <f ca="1">IFERROR(__xludf.DUMMYFUNCTION("""COMPUTED_VALUE"""),-0.730596254779905)</f>
        <v>-0.73059625477990497</v>
      </c>
      <c r="JT65" s="3">
        <f ca="1">IFERROR(__xludf.DUMMYFUNCTION("""COMPUTED_VALUE"""),-0.72173681574801)</f>
        <v>-0.72173681574800996</v>
      </c>
      <c r="JU65" s="3">
        <f ca="1">IFERROR(__xludf.DUMMYFUNCTION("""COMPUTED_VALUE"""),-0.617208748099921)</f>
        <v>-0.61720874809992099</v>
      </c>
      <c r="JV65" s="3">
        <f ca="1">IFERROR(__xludf.DUMMYFUNCTION("""COMPUTED_VALUE"""),-0.666193338929062)</f>
        <v>-0.66619333892906196</v>
      </c>
      <c r="JW65" s="3">
        <f ca="1">IFERROR(__xludf.DUMMYFUNCTION("""COMPUTED_VALUE"""),-0.699039499032864)</f>
        <v>-0.699039499032864</v>
      </c>
      <c r="JX65" s="3">
        <f ca="1">IFERROR(__xludf.DUMMYFUNCTION("""COMPUTED_VALUE"""),-0.659378590009408)</f>
        <v>-0.65937859000940802</v>
      </c>
      <c r="JY65" s="3">
        <f ca="1">IFERROR(__xludf.DUMMYFUNCTION("""COMPUTED_VALUE"""),-0.714900099916934)</f>
        <v>-0.71490009991693404</v>
      </c>
      <c r="JZ65" s="3">
        <f ca="1">IFERROR(__xludf.DUMMYFUNCTION("""COMPUTED_VALUE"""),-0.744815554196029)</f>
        <v>-0.74481555419602896</v>
      </c>
      <c r="KA65" s="3">
        <f ca="1">IFERROR(__xludf.DUMMYFUNCTION("""COMPUTED_VALUE"""),-0.738408371822245)</f>
        <v>-0.73840837182224495</v>
      </c>
      <c r="KB65" s="3">
        <f ca="1">IFERROR(__xludf.DUMMYFUNCTION("""COMPUTED_VALUE"""),-0.634251779240008)</f>
        <v>-0.63425177924000797</v>
      </c>
      <c r="KC65" s="3">
        <f ca="1">IFERROR(__xludf.DUMMYFUNCTION("""COMPUTED_VALUE"""),-0.651773397727346)</f>
        <v>-0.65177339772734599</v>
      </c>
      <c r="KD65" s="3">
        <f ca="1">IFERROR(__xludf.DUMMYFUNCTION("""COMPUTED_VALUE"""),-0.655293884395493)</f>
        <v>-0.65529388439549296</v>
      </c>
      <c r="KE65" s="3">
        <f ca="1">IFERROR(__xludf.DUMMYFUNCTION("""COMPUTED_VALUE"""),-0.630892444520206)</f>
        <v>-0.63089244452020599</v>
      </c>
      <c r="KF65" s="3">
        <f ca="1">IFERROR(__xludf.DUMMYFUNCTION("""COMPUTED_VALUE"""),-0.687966049390981)</f>
        <v>-0.68796604939098105</v>
      </c>
      <c r="KG65" s="3">
        <f ca="1">IFERROR(__xludf.DUMMYFUNCTION("""COMPUTED_VALUE"""),-0.685802266395199)</f>
        <v>-0.68580226639519903</v>
      </c>
      <c r="KH65" s="3">
        <f ca="1">IFERROR(__xludf.DUMMYFUNCTION("""COMPUTED_VALUE"""),-0.695162339967571)</f>
        <v>-0.69516233996757104</v>
      </c>
      <c r="KI65" s="3">
        <f ca="1">IFERROR(__xludf.DUMMYFUNCTION("""COMPUTED_VALUE"""),-0.673060150780442)</f>
        <v>-0.67306015078044201</v>
      </c>
      <c r="KJ65" s="3">
        <f ca="1">IFERROR(__xludf.DUMMYFUNCTION("""COMPUTED_VALUE"""),-0.685984995061278)</f>
        <v>-0.68598499506127797</v>
      </c>
      <c r="KK65" s="3">
        <f ca="1">IFERROR(__xludf.DUMMYFUNCTION("""COMPUTED_VALUE"""),-0.692140319016977)</f>
        <v>-0.69214031901697703</v>
      </c>
      <c r="KL65" s="3">
        <f ca="1">IFERROR(__xludf.DUMMYFUNCTION("""COMPUTED_VALUE"""),-0.707552696586692)</f>
        <v>-0.70755269658669195</v>
      </c>
      <c r="KM65" s="3">
        <f ca="1">IFERROR(__xludf.DUMMYFUNCTION("""COMPUTED_VALUE"""),-0.725244988618612)</f>
        <v>-0.72524498861861197</v>
      </c>
      <c r="KN65" s="3">
        <f ca="1">IFERROR(__xludf.DUMMYFUNCTION("""COMPUTED_VALUE"""),-0.752046068672342)</f>
        <v>-0.75204606867234203</v>
      </c>
      <c r="KO65" s="3">
        <f ca="1">IFERROR(__xludf.DUMMYFUNCTION("""COMPUTED_VALUE"""),-0.728574306522282)</f>
        <v>-0.72857430652228194</v>
      </c>
      <c r="KP65" s="3">
        <f ca="1">IFERROR(__xludf.DUMMYFUNCTION("""COMPUTED_VALUE"""),-0.680681475252104)</f>
        <v>-0.68068147525210398</v>
      </c>
      <c r="KQ65" s="3">
        <f ca="1">IFERROR(__xludf.DUMMYFUNCTION("""COMPUTED_VALUE"""),-0.673802738056902)</f>
        <v>-0.67380273805690205</v>
      </c>
      <c r="KR65" s="3">
        <f ca="1">IFERROR(__xludf.DUMMYFUNCTION("""COMPUTED_VALUE"""),-0.748266457375647)</f>
        <v>-0.74826645737564701</v>
      </c>
      <c r="KS65" s="3">
        <f ca="1">IFERROR(__xludf.DUMMYFUNCTION("""COMPUTED_VALUE"""),-0.745501560493617)</f>
        <v>-0.74550156049361704</v>
      </c>
      <c r="KT65" s="3">
        <f ca="1">IFERROR(__xludf.DUMMYFUNCTION("""COMPUTED_VALUE"""),-0.749594943533765)</f>
        <v>-0.74959494353376499</v>
      </c>
      <c r="KU65" s="3">
        <f ca="1">IFERROR(__xludf.DUMMYFUNCTION("""COMPUTED_VALUE"""),-0.7646685763425)</f>
        <v>-0.76466857634249996</v>
      </c>
      <c r="KV65" s="3">
        <f ca="1">IFERROR(__xludf.DUMMYFUNCTION("""COMPUTED_VALUE"""),-0.74444601071333)</f>
        <v>-0.74444601071333005</v>
      </c>
      <c r="KW65" s="3">
        <f ca="1">IFERROR(__xludf.DUMMYFUNCTION("""COMPUTED_VALUE"""),-0.699518660331349)</f>
        <v>-0.69951866033134902</v>
      </c>
      <c r="KX65" s="3">
        <f ca="1">IFERROR(__xludf.DUMMYFUNCTION("""COMPUTED_VALUE"""),-0.72856134315114)</f>
        <v>-0.72856134315113996</v>
      </c>
      <c r="KY65" s="3">
        <f ca="1">IFERROR(__xludf.DUMMYFUNCTION("""COMPUTED_VALUE"""),-0.741233502779759)</f>
        <v>-0.74123350277975897</v>
      </c>
      <c r="KZ65" s="3">
        <f ca="1">IFERROR(__xludf.DUMMYFUNCTION("""COMPUTED_VALUE"""),-0.738773101537216)</f>
        <v>-0.73877310153721598</v>
      </c>
      <c r="LA65" s="3">
        <f ca="1">IFERROR(__xludf.DUMMYFUNCTION("""COMPUTED_VALUE"""),-0.741102367031801)</f>
        <v>-0.74110236703180099</v>
      </c>
      <c r="LB65" s="3">
        <f ca="1">IFERROR(__xludf.DUMMYFUNCTION("""COMPUTED_VALUE"""),-0.749166920811257)</f>
        <v>-0.74916692081125702</v>
      </c>
      <c r="LC65" s="3">
        <f ca="1">IFERROR(__xludf.DUMMYFUNCTION("""COMPUTED_VALUE"""),-0.715537204755718)</f>
        <v>-0.71553720475571803</v>
      </c>
      <c r="LD65" s="3">
        <f ca="1">IFERROR(__xludf.DUMMYFUNCTION("""COMPUTED_VALUE"""),-0.672993734447561)</f>
        <v>-0.67299373444756105</v>
      </c>
      <c r="LE65" s="3">
        <f ca="1">IFERROR(__xludf.DUMMYFUNCTION("""COMPUTED_VALUE"""),-0.726954207635254)</f>
        <v>-0.72695420763525398</v>
      </c>
      <c r="LF65" s="3">
        <f ca="1">IFERROR(__xludf.DUMMYFUNCTION("""COMPUTED_VALUE"""),-0.754660426318494)</f>
        <v>-0.75466042631849395</v>
      </c>
      <c r="LG65" s="3">
        <f ca="1">IFERROR(__xludf.DUMMYFUNCTION("""COMPUTED_VALUE"""),-0.744573185719786)</f>
        <v>-0.74457318571978603</v>
      </c>
      <c r="LH65" s="3">
        <f ca="1">IFERROR(__xludf.DUMMYFUNCTION("""COMPUTED_VALUE"""),-0.764081779958212)</f>
        <v>-0.76408177995821203</v>
      </c>
      <c r="LI65" s="3">
        <f ca="1">IFERROR(__xludf.DUMMYFUNCTION("""COMPUTED_VALUE"""),-0.75756288917987)</f>
        <v>-0.75756288917987002</v>
      </c>
      <c r="LJ65" s="3">
        <f ca="1">IFERROR(__xludf.DUMMYFUNCTION("""COMPUTED_VALUE"""),-0.789283691971158)</f>
        <v>-0.789283691971158</v>
      </c>
      <c r="LK65" s="3">
        <f ca="1">IFERROR(__xludf.DUMMYFUNCTION("""COMPUTED_VALUE"""),-0.704076195670972)</f>
        <v>-0.70407619567097202</v>
      </c>
      <c r="LL65" s="3">
        <f ca="1">IFERROR(__xludf.DUMMYFUNCTION("""COMPUTED_VALUE"""),-0.760331205279831)</f>
        <v>-0.760331205279831</v>
      </c>
      <c r="LM65" s="3">
        <f ca="1">IFERROR(__xludf.DUMMYFUNCTION("""COMPUTED_VALUE"""),-0.789069961561864)</f>
        <v>-0.78906996156186404</v>
      </c>
      <c r="LN65" s="3">
        <f ca="1">IFERROR(__xludf.DUMMYFUNCTION("""COMPUTED_VALUE"""),-0.800953164811584)</f>
        <v>-0.80095316481158396</v>
      </c>
      <c r="LO65" s="3">
        <f ca="1">IFERROR(__xludf.DUMMYFUNCTION("""COMPUTED_VALUE"""),-0.781017720911304)</f>
        <v>-0.78101772091130395</v>
      </c>
      <c r="LP65" s="3">
        <f ca="1">IFERROR(__xludf.DUMMYFUNCTION("""COMPUTED_VALUE"""),-0.797641837807856)</f>
        <v>-0.79764183780785602</v>
      </c>
      <c r="LQ65" s="3">
        <f ca="1">IFERROR(__xludf.DUMMYFUNCTION("""COMPUTED_VALUE"""),-0.772400447110723)</f>
        <v>-0.77240044711072298</v>
      </c>
      <c r="LR65" s="3">
        <f ca="1">IFERROR(__xludf.DUMMYFUNCTION("""COMPUTED_VALUE"""),-0.761623698575364)</f>
        <v>-0.76162369857536405</v>
      </c>
      <c r="LS65" s="3">
        <f ca="1">IFERROR(__xludf.DUMMYFUNCTION("""COMPUTED_VALUE"""),-0.73137633318604)</f>
        <v>-0.73137633318604001</v>
      </c>
      <c r="LT65" s="3">
        <f ca="1">IFERROR(__xludf.DUMMYFUNCTION("""COMPUTED_VALUE"""),-0.782959480797379)</f>
        <v>-0.78295948079737898</v>
      </c>
      <c r="LU65" s="3">
        <f ca="1">IFERROR(__xludf.DUMMYFUNCTION("""COMPUTED_VALUE"""),-0.801947982890952)</f>
        <v>-0.80194798289095204</v>
      </c>
      <c r="LV65" s="3">
        <f ca="1">IFERROR(__xludf.DUMMYFUNCTION("""COMPUTED_VALUE"""),-0.804791171660357)</f>
        <v>-0.80479117166035696</v>
      </c>
      <c r="LW65" s="3">
        <f ca="1">IFERROR(__xludf.DUMMYFUNCTION("""COMPUTED_VALUE"""),-0.798241093115075)</f>
        <v>-0.79824109311507496</v>
      </c>
      <c r="LX65" s="3">
        <f ca="1">IFERROR(__xludf.DUMMYFUNCTION("""COMPUTED_VALUE"""),-0.764956402557807)</f>
        <v>-0.76495640255780695</v>
      </c>
      <c r="LY65" s="3">
        <f ca="1">IFERROR(__xludf.DUMMYFUNCTION("""COMPUTED_VALUE"""),-0.743209525372365)</f>
        <v>-0.74320952537236495</v>
      </c>
      <c r="LZ65" s="3">
        <f ca="1">IFERROR(__xludf.DUMMYFUNCTION("""COMPUTED_VALUE"""),-0.748474347245213)</f>
        <v>-0.748474347245213</v>
      </c>
      <c r="MA65" s="3">
        <f ca="1">IFERROR(__xludf.DUMMYFUNCTION("""COMPUTED_VALUE"""),-0.741099585571945)</f>
        <v>-0.741099585571945</v>
      </c>
      <c r="MB65" s="3">
        <f ca="1">IFERROR(__xludf.DUMMYFUNCTION("""COMPUTED_VALUE"""),-0.795463407225032)</f>
        <v>-0.79546340722503195</v>
      </c>
      <c r="MC65" s="3">
        <f ca="1">IFERROR(__xludf.DUMMYFUNCTION("""COMPUTED_VALUE"""),-0.792771041858095)</f>
        <v>-0.79277104185809499</v>
      </c>
      <c r="MD65" s="3">
        <f ca="1">IFERROR(__xludf.DUMMYFUNCTION("""COMPUTED_VALUE"""),-0.779318000858491)</f>
        <v>-0.77931800085849101</v>
      </c>
      <c r="ME65" s="3">
        <f ca="1">IFERROR(__xludf.DUMMYFUNCTION("""COMPUTED_VALUE"""),-0.795889151513015)</f>
        <v>-0.79588915151301498</v>
      </c>
      <c r="MF65" s="3">
        <f ca="1">IFERROR(__xludf.DUMMYFUNCTION("""COMPUTED_VALUE"""),-0.732088261447378)</f>
        <v>-0.73208826144737804</v>
      </c>
      <c r="MG65" s="3">
        <f ca="1">IFERROR(__xludf.DUMMYFUNCTION("""COMPUTED_VALUE"""),-0.764922277402975)</f>
        <v>-0.76492227740297503</v>
      </c>
      <c r="MH65" s="3">
        <f ca="1">IFERROR(__xludf.DUMMYFUNCTION("""COMPUTED_VALUE"""),-0.800202319692735)</f>
        <v>-0.80020231969273503</v>
      </c>
      <c r="MI65" s="3">
        <f ca="1">IFERROR(__xludf.DUMMYFUNCTION("""COMPUTED_VALUE"""),-0.795881256713614)</f>
        <v>-0.79588125671361398</v>
      </c>
      <c r="MJ65" s="3">
        <f ca="1">IFERROR(__xludf.DUMMYFUNCTION("""COMPUTED_VALUE"""),-0.778753875903244)</f>
        <v>-0.77875387590324396</v>
      </c>
      <c r="MK65" s="3">
        <f ca="1">IFERROR(__xludf.DUMMYFUNCTION("""COMPUTED_VALUE"""),-0.802312288951518)</f>
        <v>-0.80231228895151796</v>
      </c>
      <c r="ML65" s="3">
        <f ca="1">IFERROR(__xludf.DUMMYFUNCTION("""COMPUTED_VALUE"""),-0.805365226886392)</f>
        <v>-0.805365226886392</v>
      </c>
      <c r="MM65" s="3">
        <f ca="1">IFERROR(__xludf.DUMMYFUNCTION("""COMPUTED_VALUE"""),-0.736570565825492)</f>
        <v>-0.73657056582549196</v>
      </c>
      <c r="MN65" s="3">
        <f ca="1">IFERROR(__xludf.DUMMYFUNCTION("""COMPUTED_VALUE"""),-0.772420450491464)</f>
        <v>-0.77242045049146402</v>
      </c>
      <c r="MO65" s="3">
        <f ca="1">IFERROR(__xludf.DUMMYFUNCTION("""COMPUTED_VALUE"""),-0.808544131049382)</f>
        <v>-0.80854413104938205</v>
      </c>
      <c r="MP65" s="3">
        <f ca="1">IFERROR(__xludf.DUMMYFUNCTION("""COMPUTED_VALUE"""),-0.815940991099103)</f>
        <v>-0.81594099109910301</v>
      </c>
      <c r="MQ65" s="3">
        <f ca="1">IFERROR(__xludf.DUMMYFUNCTION("""COMPUTED_VALUE"""),-0.821250083799599)</f>
        <v>-0.82125008379959896</v>
      </c>
      <c r="MR65" s="3">
        <f ca="1">IFERROR(__xludf.DUMMYFUNCTION("""COMPUTED_VALUE"""),-0.785455354325217)</f>
        <v>-0.78545535432521696</v>
      </c>
      <c r="MS65" s="3">
        <f ca="1">IFERROR(__xludf.DUMMYFUNCTION("""COMPUTED_VALUE"""),-0.765663347578096)</f>
        <v>-0.76566334757809595</v>
      </c>
      <c r="MT65" s="3">
        <f ca="1">IFERROR(__xludf.DUMMYFUNCTION("""COMPUTED_VALUE"""),-0.718378497628358)</f>
        <v>-0.71837849762835804</v>
      </c>
      <c r="MU65" s="3">
        <f ca="1">IFERROR(__xludf.DUMMYFUNCTION("""COMPUTED_VALUE"""),-0.763284242688303)</f>
        <v>-0.76328424268830297</v>
      </c>
      <c r="MV65" s="3">
        <f ca="1">IFERROR(__xludf.DUMMYFUNCTION("""COMPUTED_VALUE"""),-0.780367650559162)</f>
        <v>-0.78036765055916202</v>
      </c>
      <c r="MW65" s="3">
        <f ca="1">IFERROR(__xludf.DUMMYFUNCTION("""COMPUTED_VALUE"""),-0.794999506506057)</f>
        <v>-0.794999506506057</v>
      </c>
      <c r="MX65" s="3">
        <f ca="1">IFERROR(__xludf.DUMMYFUNCTION("""COMPUTED_VALUE"""),-0.808397973354106)</f>
        <v>-0.80839797335410601</v>
      </c>
      <c r="MY65" s="3">
        <f ca="1">IFERROR(__xludf.DUMMYFUNCTION("""COMPUTED_VALUE"""),-0.816586231658708)</f>
        <v>-0.81658623165870803</v>
      </c>
      <c r="MZ65" s="3">
        <f ca="1">IFERROR(__xludf.DUMMYFUNCTION("""COMPUTED_VALUE"""),-0.792836059161799)</f>
        <v>-0.792836059161799</v>
      </c>
      <c r="NA65" s="3">
        <f ca="1">IFERROR(__xludf.DUMMYFUNCTION("""COMPUTED_VALUE"""),-0.737754762937707)</f>
        <v>-0.73775476293770703</v>
      </c>
      <c r="NB65" s="3">
        <f ca="1">IFERROR(__xludf.DUMMYFUNCTION("""COMPUTED_VALUE"""),-0.731904534217808)</f>
        <v>-0.73190453421780799</v>
      </c>
      <c r="NC65" s="3">
        <f ca="1">IFERROR(__xludf.DUMMYFUNCTION("""COMPUTED_VALUE"""),-0.765582531936459)</f>
        <v>-0.76558253193645898</v>
      </c>
      <c r="ND65" s="3">
        <f ca="1">IFERROR(__xludf.DUMMYFUNCTION("""COMPUTED_VALUE"""),-0.784583945762126)</f>
        <v>-0.78458394576212598</v>
      </c>
      <c r="NE65" s="3">
        <f ca="1">IFERROR(__xludf.DUMMYFUNCTION("""COMPUTED_VALUE"""),-0.786144549320965)</f>
        <v>-0.786144549320965</v>
      </c>
      <c r="NF65" s="3">
        <f ca="1">IFERROR(__xludf.DUMMYFUNCTION("""COMPUTED_VALUE"""),-0.780107849717416)</f>
        <v>-0.78010784971741598</v>
      </c>
      <c r="NG65" s="3">
        <f ca="1">IFERROR(__xludf.DUMMYFUNCTION("""COMPUTED_VALUE"""),-0.77822262223459)</f>
        <v>-0.77822262223459004</v>
      </c>
      <c r="NH65" s="3">
        <f ca="1">IFERROR(__xludf.DUMMYFUNCTION("""COMPUTED_VALUE"""),-0.697105247419325)</f>
        <v>-0.697105247419325</v>
      </c>
      <c r="NI65" s="3">
        <f ca="1">IFERROR(__xludf.DUMMYFUNCTION("""COMPUTED_VALUE"""),-0.739506294402854)</f>
        <v>-0.73950629440285398</v>
      </c>
      <c r="NJ65" s="3">
        <f ca="1">IFERROR(__xludf.DUMMYFUNCTION("""COMPUTED_VALUE"""),-0.772405547553644)</f>
        <v>-0.77240554755364399</v>
      </c>
      <c r="NK65" s="3">
        <f ca="1">IFERROR(__xludf.DUMMYFUNCTION("""COMPUTED_VALUE"""),-0.762410084552836)</f>
        <v>-0.76241008455283599</v>
      </c>
      <c r="NL65" s="3">
        <f ca="1">IFERROR(__xludf.DUMMYFUNCTION("""COMPUTED_VALUE"""),-0.771680465319334)</f>
        <v>-0.77168046531933399</v>
      </c>
      <c r="NM65" s="3">
        <f ca="1">IFERROR(__xludf.DUMMYFUNCTION("""COMPUTED_VALUE"""),-0.793003847479865)</f>
        <v>-0.79300384747986497</v>
      </c>
      <c r="NN65" s="3">
        <f ca="1">IFERROR(__xludf.DUMMYFUNCTION("""COMPUTED_VALUE"""),-0.786012079976643)</f>
        <v>-0.78601207997664302</v>
      </c>
      <c r="NO65" s="3">
        <f ca="1">IFERROR(__xludf.DUMMYFUNCTION("""COMPUTED_VALUE"""),-0.716599726732369)</f>
        <v>-0.71659972673236905</v>
      </c>
      <c r="NP65" s="3">
        <f ca="1">IFERROR(__xludf.DUMMYFUNCTION("""COMPUTED_VALUE"""),-0.742044626009043)</f>
        <v>-0.74204462600904297</v>
      </c>
      <c r="NQ65" s="3">
        <f ca="1">IFERROR(__xludf.DUMMYFUNCTION("""COMPUTED_VALUE"""),-0.764792484462868)</f>
        <v>-0.76479248446286796</v>
      </c>
      <c r="NR65" s="3">
        <f ca="1">IFERROR(__xludf.DUMMYFUNCTION("""COMPUTED_VALUE"""),-0.769877535425482)</f>
        <v>-0.76987753542548198</v>
      </c>
      <c r="NS65" s="3">
        <f ca="1">IFERROR(__xludf.DUMMYFUNCTION("""COMPUTED_VALUE"""),-0.791491718315252)</f>
        <v>-0.791491718315252</v>
      </c>
      <c r="NT65" s="3">
        <f ca="1">IFERROR(__xludf.DUMMYFUNCTION("""COMPUTED_VALUE"""),-0.748852794209715)</f>
        <v>-0.74885279420971496</v>
      </c>
      <c r="NU65" s="3">
        <f ca="1">IFERROR(__xludf.DUMMYFUNCTION("""COMPUTED_VALUE"""),-0.718904178588169)</f>
        <v>-0.71890417858816902</v>
      </c>
      <c r="NV65" s="3">
        <f ca="1">IFERROR(__xludf.DUMMYFUNCTION("""COMPUTED_VALUE"""),-0.634384266537972)</f>
        <v>-0.63438426653797197</v>
      </c>
      <c r="NW65" s="3">
        <f ca="1">IFERROR(__xludf.DUMMYFUNCTION("""COMPUTED_VALUE"""),-0.606487568691528)</f>
        <v>-0.60648756869152798</v>
      </c>
      <c r="NX65" s="3">
        <f ca="1">IFERROR(__xludf.DUMMYFUNCTION("""COMPUTED_VALUE"""),-0.634363597371167)</f>
        <v>-0.63436359737116699</v>
      </c>
      <c r="NY65" s="3">
        <f ca="1">IFERROR(__xludf.DUMMYFUNCTION("""COMPUTED_VALUE"""),-0.633397134605309)</f>
        <v>-0.633397134605309</v>
      </c>
      <c r="NZ65" s="3">
        <f ca="1">IFERROR(__xludf.DUMMYFUNCTION("""COMPUTED_VALUE"""),-0.621807743479042)</f>
        <v>-0.621807743479042</v>
      </c>
      <c r="OA65" s="3">
        <f ca="1">IFERROR(__xludf.DUMMYFUNCTION("""COMPUTED_VALUE"""),-0.563615743174574)</f>
        <v>-0.56361574317457397</v>
      </c>
      <c r="OB65" s="3">
        <f ca="1">IFERROR(__xludf.DUMMYFUNCTION("""COMPUTED_VALUE"""),-0.463741104113374)</f>
        <v>-0.46374110411337399</v>
      </c>
      <c r="OC65" s="3">
        <f ca="1">IFERROR(__xludf.DUMMYFUNCTION("""COMPUTED_VALUE"""),-0.34151444343652)</f>
        <v>-0.34151444343651999</v>
      </c>
      <c r="OD65" s="3">
        <f ca="1">IFERROR(__xludf.DUMMYFUNCTION("""COMPUTED_VALUE"""),-0.365468920844203)</f>
        <v>-0.36546892084420302</v>
      </c>
      <c r="OE65" s="3">
        <f ca="1">IFERROR(__xludf.DUMMYFUNCTION("""COMPUTED_VALUE"""),-0.257760398377236)</f>
        <v>-0.25776039837723602</v>
      </c>
      <c r="OF65" s="3">
        <f ca="1">IFERROR(__xludf.DUMMYFUNCTION("""COMPUTED_VALUE"""),-0.141438411203941)</f>
        <v>-0.14143841120394099</v>
      </c>
      <c r="OG65" s="3">
        <f ca="1">IFERROR(__xludf.DUMMYFUNCTION("""COMPUTED_VALUE"""),-0.1146407589971)</f>
        <v>-0.1146407589971</v>
      </c>
      <c r="OH65" s="3">
        <f ca="1">IFERROR(__xludf.DUMMYFUNCTION("""COMPUTED_VALUE"""),-0.0709581462616505)</f>
        <v>-7.0958146261650507E-2</v>
      </c>
      <c r="OI65" s="3">
        <f ca="1">IFERROR(__xludf.DUMMYFUNCTION("""COMPUTED_VALUE"""),-0.0910068961622957)</f>
        <v>-9.1006896162295695E-2</v>
      </c>
      <c r="OJ65" s="3">
        <f ca="1">IFERROR(__xludf.DUMMYFUNCTION("""COMPUTED_VALUE"""),-0.109843999586624)</f>
        <v>-0.109843999586624</v>
      </c>
      <c r="OK65" s="3">
        <f ca="1">IFERROR(__xludf.DUMMYFUNCTION("""COMPUTED_VALUE"""),-0.0329817480995673)</f>
        <v>-3.2981748099567297E-2</v>
      </c>
      <c r="OL65" s="3">
        <f ca="1">IFERROR(__xludf.DUMMYFUNCTION("""COMPUTED_VALUE"""),-0.0316665302039156)</f>
        <v>-3.1666530203915598E-2</v>
      </c>
      <c r="OM65" s="3">
        <f ca="1">IFERROR(__xludf.DUMMYFUNCTION("""COMPUTED_VALUE"""),-0.0109780187165454)</f>
        <v>-1.09780187165454E-2</v>
      </c>
      <c r="ON65" s="3">
        <f ca="1">IFERROR(__xludf.DUMMYFUNCTION("""COMPUTED_VALUE"""),-0.0163499137007739)</f>
        <v>-1.6349913700773901E-2</v>
      </c>
      <c r="OO65" s="3">
        <f ca="1">IFERROR(__xludf.DUMMYFUNCTION("""COMPUTED_VALUE"""),-0.0755438255026156)</f>
        <v>-7.5543825502615597E-2</v>
      </c>
      <c r="OP65" s="3">
        <f ca="1">IFERROR(__xludf.DUMMYFUNCTION("""COMPUTED_VALUE"""),-0.0153397182831802)</f>
        <v>-1.53397182831802E-2</v>
      </c>
      <c r="OQ65" s="3">
        <f ca="1">IFERROR(__xludf.DUMMYFUNCTION("""COMPUTED_VALUE"""),-0.0428127514201258)</f>
        <v>-4.2812751420125798E-2</v>
      </c>
      <c r="OR65" s="3">
        <f ca="1">IFERROR(__xludf.DUMMYFUNCTION("""COMPUTED_VALUE"""),-0.0727019905080272)</f>
        <v>-7.2701990508027198E-2</v>
      </c>
      <c r="OS65" s="3">
        <f ca="1">IFERROR(__xludf.DUMMYFUNCTION("""COMPUTED_VALUE"""),0.0247662531323664)</f>
        <v>2.4766253132366401E-2</v>
      </c>
      <c r="OT65" s="3">
        <f ca="1">IFERROR(__xludf.DUMMYFUNCTION("""COMPUTED_VALUE"""),-0.0403040536549247)</f>
        <v>-4.0304053654924697E-2</v>
      </c>
      <c r="OU65" s="3">
        <f ca="1">IFERROR(__xludf.DUMMYFUNCTION("""COMPUTED_VALUE"""),-0.0108208014067813)</f>
        <v>-1.0820801406781299E-2</v>
      </c>
      <c r="OV65" s="3">
        <f ca="1">IFERROR(__xludf.DUMMYFUNCTION("""COMPUTED_VALUE"""),-0.0335048273323542)</f>
        <v>-3.3504827332354201E-2</v>
      </c>
      <c r="OW65" s="3">
        <f ca="1">IFERROR(__xludf.DUMMYFUNCTION("""COMPUTED_VALUE"""),0.00959443861516184)</f>
        <v>9.5944386151618401E-3</v>
      </c>
      <c r="OX65" s="3">
        <f ca="1">IFERROR(__xludf.DUMMYFUNCTION("""COMPUTED_VALUE"""),-0.00167614292875006)</f>
        <v>-1.67614292875006E-3</v>
      </c>
      <c r="OY65" s="3">
        <f ca="1">IFERROR(__xludf.DUMMYFUNCTION("""COMPUTED_VALUE"""),0.000369560444933858)</f>
        <v>3.6956044493385799E-4</v>
      </c>
      <c r="OZ65" s="3">
        <f ca="1">IFERROR(__xludf.DUMMYFUNCTION("""COMPUTED_VALUE"""),0.039335573312943)</f>
        <v>3.9335573312942997E-2</v>
      </c>
      <c r="PA65" s="3">
        <f ca="1">IFERROR(__xludf.DUMMYFUNCTION("""COMPUTED_VALUE"""),0.0205917577733032)</f>
        <v>2.0591757773303201E-2</v>
      </c>
      <c r="PB65" s="3">
        <f ca="1">IFERROR(__xludf.DUMMYFUNCTION("""COMPUTED_VALUE"""),0.0298791954548589)</f>
        <v>2.9879195454858901E-2</v>
      </c>
      <c r="PC65" s="3">
        <f ca="1">IFERROR(__xludf.DUMMYFUNCTION("""COMPUTED_VALUE"""),-0.0598687635563437)</f>
        <v>-5.9868763556343699E-2</v>
      </c>
      <c r="PD65" s="3">
        <f ca="1">IFERROR(__xludf.DUMMYFUNCTION("""COMPUTED_VALUE"""),-0.08779823050256)</f>
        <v>-8.7798230502559999E-2</v>
      </c>
      <c r="PE65" s="3">
        <f ca="1">IFERROR(__xludf.DUMMYFUNCTION("""COMPUTED_VALUE"""),0.0786089845131501)</f>
        <v>7.8608984513150099E-2</v>
      </c>
      <c r="PF65" s="3">
        <f ca="1">IFERROR(__xludf.DUMMYFUNCTION("""COMPUTED_VALUE"""),-0.0458598018744541)</f>
        <v>-4.5859801874454098E-2</v>
      </c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</row>
    <row r="66" spans="1:594" ht="13">
      <c r="A66" s="1" t="str">
        <f ca="1">IFERROR(__xludf.DUMMYFUNCTION("""COMPUTED_VALUE"""),"Portland, ME")</f>
        <v>Portland, ME</v>
      </c>
      <c r="B66" s="3">
        <f ca="1">IFERROR(__xludf.DUMMYFUNCTION("""COMPUTED_VALUE"""),-0.438425618397518)</f>
        <v>-0.43842561839751798</v>
      </c>
      <c r="C66" s="3">
        <f ca="1">IFERROR(__xludf.DUMMYFUNCTION("""COMPUTED_VALUE"""),-0.559597052588925)</f>
        <v>-0.559597052588925</v>
      </c>
      <c r="D66" s="3">
        <f ca="1">IFERROR(__xludf.DUMMYFUNCTION("""COMPUTED_VALUE"""),-0.582820004703384)</f>
        <v>-0.58282000470338402</v>
      </c>
      <c r="E66" s="3">
        <f ca="1">IFERROR(__xludf.DUMMYFUNCTION("""COMPUTED_VALUE"""),-0.683418930636525)</f>
        <v>-0.68341893063652503</v>
      </c>
      <c r="F66" s="3">
        <f ca="1">IFERROR(__xludf.DUMMYFUNCTION("""COMPUTED_VALUE"""),-0.521886155074687)</f>
        <v>-0.52188615507468705</v>
      </c>
      <c r="G66" s="3">
        <f ca="1">IFERROR(__xludf.DUMMYFUNCTION("""COMPUTED_VALUE"""),-0.531385300853674)</f>
        <v>-0.53138530085367397</v>
      </c>
      <c r="H66" s="3">
        <f ca="1">IFERROR(__xludf.DUMMYFUNCTION("""COMPUTED_VALUE"""),-0.858816297598565)</f>
        <v>-0.85881629759856504</v>
      </c>
      <c r="I66" s="3">
        <f ca="1">IFERROR(__xludf.DUMMYFUNCTION("""COMPUTED_VALUE"""),-0.559596556604337)</f>
        <v>-0.55959655660433705</v>
      </c>
      <c r="J66" s="3">
        <f ca="1">IFERROR(__xludf.DUMMYFUNCTION("""COMPUTED_VALUE"""),-0.591079917645071)</f>
        <v>-0.59107991764507095</v>
      </c>
      <c r="K66" s="3">
        <f ca="1">IFERROR(__xludf.DUMMYFUNCTION("""COMPUTED_VALUE"""),-0.690929854409096)</f>
        <v>-0.69092985440909604</v>
      </c>
      <c r="L66" s="3">
        <f ca="1">IFERROR(__xludf.DUMMYFUNCTION("""COMPUTED_VALUE"""),-0.703771195153877)</f>
        <v>-0.70377119515387698</v>
      </c>
      <c r="M66" s="3">
        <f ca="1">IFERROR(__xludf.DUMMYFUNCTION("""COMPUTED_VALUE"""),-0.638519178530635)</f>
        <v>-0.638519178530635</v>
      </c>
      <c r="N66" s="3">
        <f ca="1">IFERROR(__xludf.DUMMYFUNCTION("""COMPUTED_VALUE"""),-0.648440655810049)</f>
        <v>-0.64844065581004895</v>
      </c>
      <c r="O66" s="3">
        <f ca="1">IFERROR(__xludf.DUMMYFUNCTION("""COMPUTED_VALUE"""),-0.625655437551084)</f>
        <v>-0.62565543755108399</v>
      </c>
      <c r="P66" s="3">
        <f ca="1">IFERROR(__xludf.DUMMYFUNCTION("""COMPUTED_VALUE"""),-0.603324708578443)</f>
        <v>-0.603324708578443</v>
      </c>
      <c r="Q66" s="3">
        <f ca="1">IFERROR(__xludf.DUMMYFUNCTION("""COMPUTED_VALUE"""),-0.663131145305456)</f>
        <v>-0.66313114530545603</v>
      </c>
      <c r="R66" s="3">
        <f ca="1">IFERROR(__xludf.DUMMYFUNCTION("""COMPUTED_VALUE"""),-0.664263476962652)</f>
        <v>-0.66426347696265198</v>
      </c>
      <c r="S66" s="3">
        <f ca="1">IFERROR(__xludf.DUMMYFUNCTION("""COMPUTED_VALUE"""),-0.615573192825744)</f>
        <v>-0.61557319282574396</v>
      </c>
      <c r="T66" s="3">
        <f ca="1">IFERROR(__xludf.DUMMYFUNCTION("""COMPUTED_VALUE"""),-0.594991410900984)</f>
        <v>-0.59499141090098395</v>
      </c>
      <c r="U66" s="3">
        <f ca="1">IFERROR(__xludf.DUMMYFUNCTION("""COMPUTED_VALUE"""),-0.596905893852364)</f>
        <v>-0.59690589385236403</v>
      </c>
      <c r="V66" s="3">
        <f ca="1">IFERROR(__xludf.DUMMYFUNCTION("""COMPUTED_VALUE"""),-0.442727201082665)</f>
        <v>-0.442727201082665</v>
      </c>
      <c r="W66" s="3">
        <f ca="1">IFERROR(__xludf.DUMMYFUNCTION("""COMPUTED_VALUE"""),-0.457866279009305)</f>
        <v>-0.45786627900930499</v>
      </c>
      <c r="X66" s="3">
        <f ca="1">IFERROR(__xludf.DUMMYFUNCTION("""COMPUTED_VALUE"""),-0.604738347522217)</f>
        <v>-0.604738347522217</v>
      </c>
      <c r="Y66" s="3">
        <f ca="1">IFERROR(__xludf.DUMMYFUNCTION("""COMPUTED_VALUE"""),-0.655600286723105)</f>
        <v>-0.655600286723105</v>
      </c>
      <c r="Z66" s="3">
        <f ca="1">IFERROR(__xludf.DUMMYFUNCTION("""COMPUTED_VALUE"""),-0.648810776561754)</f>
        <v>-0.64881077656175401</v>
      </c>
      <c r="AA66" s="3">
        <f ca="1">IFERROR(__xludf.DUMMYFUNCTION("""COMPUTED_VALUE"""),-0.613316058646326)</f>
        <v>-0.61331605864632599</v>
      </c>
      <c r="AB66" s="3">
        <f ca="1">IFERROR(__xludf.DUMMYFUNCTION("""COMPUTED_VALUE"""),-0.624520888809382)</f>
        <v>-0.62452088880938195</v>
      </c>
      <c r="AC66" s="3">
        <f ca="1">IFERROR(__xludf.DUMMYFUNCTION("""COMPUTED_VALUE"""),-0.585298916387807)</f>
        <v>-0.58529891638780696</v>
      </c>
      <c r="AD66" s="3">
        <f ca="1">IFERROR(__xludf.DUMMYFUNCTION("""COMPUTED_VALUE"""),-0.518385952094526)</f>
        <v>-0.51838595209452598</v>
      </c>
      <c r="AE66" s="3">
        <f ca="1">IFERROR(__xludf.DUMMYFUNCTION("""COMPUTED_VALUE"""),-0.590301722423353)</f>
        <v>-0.59030172242335299</v>
      </c>
      <c r="AF66" s="3">
        <f ca="1">IFERROR(__xludf.DUMMYFUNCTION("""COMPUTED_VALUE"""),-0.612854641688894)</f>
        <v>-0.61285464168889403</v>
      </c>
      <c r="AG66" s="3">
        <f ca="1">IFERROR(__xludf.DUMMYFUNCTION("""COMPUTED_VALUE"""),-0.715995615863978)</f>
        <v>-0.71599561586397797</v>
      </c>
      <c r="AH66" s="3">
        <f ca="1">IFERROR(__xludf.DUMMYFUNCTION("""COMPUTED_VALUE"""),-0.611920263222838)</f>
        <v>-0.61192026322283799</v>
      </c>
      <c r="AI66" s="3">
        <f ca="1">IFERROR(__xludf.DUMMYFUNCTION("""COMPUTED_VALUE"""),-0.562733927060576)</f>
        <v>-0.56273392706057601</v>
      </c>
      <c r="AJ66" s="3">
        <f ca="1">IFERROR(__xludf.DUMMYFUNCTION("""COMPUTED_VALUE"""),-0.48676120843989)</f>
        <v>-0.48676120843989001</v>
      </c>
      <c r="AK66" s="3">
        <f ca="1">IFERROR(__xludf.DUMMYFUNCTION("""COMPUTED_VALUE"""),-0.470686488243144)</f>
        <v>-0.47068648824314402</v>
      </c>
      <c r="AL66" s="3">
        <f ca="1">IFERROR(__xludf.DUMMYFUNCTION("""COMPUTED_VALUE"""),-0.651130608388406)</f>
        <v>-0.65113060838840597</v>
      </c>
      <c r="AM66" s="3">
        <f ca="1">IFERROR(__xludf.DUMMYFUNCTION("""COMPUTED_VALUE"""),-0.595260356823127)</f>
        <v>-0.59526035682312695</v>
      </c>
      <c r="AN66" s="3">
        <f ca="1">IFERROR(__xludf.DUMMYFUNCTION("""COMPUTED_VALUE"""),-0.714512880084249)</f>
        <v>-0.71451288008424896</v>
      </c>
      <c r="AO66" s="3">
        <f ca="1">IFERROR(__xludf.DUMMYFUNCTION("""COMPUTED_VALUE"""),-0.681874039364764)</f>
        <v>-0.68187403936476398</v>
      </c>
      <c r="AP66" s="3">
        <f ca="1">IFERROR(__xludf.DUMMYFUNCTION("""COMPUTED_VALUE"""),-0.570700633380362)</f>
        <v>-0.57070063338036203</v>
      </c>
      <c r="AQ66" s="3">
        <f ca="1">IFERROR(__xludf.DUMMYFUNCTION("""COMPUTED_VALUE"""),-0.436289162068019)</f>
        <v>-0.43628916206801899</v>
      </c>
      <c r="AR66" s="3">
        <f ca="1">IFERROR(__xludf.DUMMYFUNCTION("""COMPUTED_VALUE"""),-0.544401018721206)</f>
        <v>-0.54440101872120605</v>
      </c>
      <c r="AS66" s="3">
        <f ca="1">IFERROR(__xludf.DUMMYFUNCTION("""COMPUTED_VALUE"""),-0.595367486703042)</f>
        <v>-0.59536748670304196</v>
      </c>
      <c r="AT66" s="3">
        <f ca="1">IFERROR(__xludf.DUMMYFUNCTION("""COMPUTED_VALUE"""),-0.659301643894752)</f>
        <v>-0.65930164389475199</v>
      </c>
      <c r="AU66" s="3">
        <f ca="1">IFERROR(__xludf.DUMMYFUNCTION("""COMPUTED_VALUE"""),-0.693428964141212)</f>
        <v>-0.69342896414121202</v>
      </c>
      <c r="AV66" s="3">
        <f ca="1">IFERROR(__xludf.DUMMYFUNCTION("""COMPUTED_VALUE"""),-0.613046423371649)</f>
        <v>-0.61304642337164905</v>
      </c>
      <c r="AW66" s="3">
        <f ca="1">IFERROR(__xludf.DUMMYFUNCTION("""COMPUTED_VALUE"""),-0.562718216065377)</f>
        <v>-0.56271821606537697</v>
      </c>
      <c r="AX66" s="3">
        <f ca="1">IFERROR(__xludf.DUMMYFUNCTION("""COMPUTED_VALUE"""),-0.568102372178378)</f>
        <v>-0.568102372178378</v>
      </c>
      <c r="AY66" s="3">
        <f ca="1">IFERROR(__xludf.DUMMYFUNCTION("""COMPUTED_VALUE"""),-0.583198424857799)</f>
        <v>-0.58319842485779905</v>
      </c>
      <c r="AZ66" s="3">
        <f ca="1">IFERROR(__xludf.DUMMYFUNCTION("""COMPUTED_VALUE"""),-0.72589520465089)</f>
        <v>-0.72589520465088997</v>
      </c>
      <c r="BA66" s="3">
        <f ca="1">IFERROR(__xludf.DUMMYFUNCTION("""COMPUTED_VALUE"""),-0.703905332053867)</f>
        <v>-0.70390533205386696</v>
      </c>
      <c r="BB66" s="3">
        <f ca="1">IFERROR(__xludf.DUMMYFUNCTION("""COMPUTED_VALUE"""),-0.664497712253029)</f>
        <v>-0.664497712253029</v>
      </c>
      <c r="BC66" s="3">
        <f ca="1">IFERROR(__xludf.DUMMYFUNCTION("""COMPUTED_VALUE"""),-0.752272617486712)</f>
        <v>-0.75227261748671204</v>
      </c>
      <c r="BD66" s="3">
        <f ca="1">IFERROR(__xludf.DUMMYFUNCTION("""COMPUTED_VALUE"""),-0.712754049025626)</f>
        <v>-0.712754049025626</v>
      </c>
      <c r="BE66" s="3">
        <f ca="1">IFERROR(__xludf.DUMMYFUNCTION("""COMPUTED_VALUE"""),-0.554726286160892)</f>
        <v>-0.55472628616089203</v>
      </c>
      <c r="BF66" s="3">
        <f ca="1">IFERROR(__xludf.DUMMYFUNCTION("""COMPUTED_VALUE"""),-0.542135032107127)</f>
        <v>-0.54213503210712699</v>
      </c>
      <c r="BG66" s="3">
        <f ca="1">IFERROR(__xludf.DUMMYFUNCTION("""COMPUTED_VALUE"""),-0.58165745675699)</f>
        <v>-0.58165745675698999</v>
      </c>
      <c r="BH66" s="3">
        <f ca="1">IFERROR(__xludf.DUMMYFUNCTION("""COMPUTED_VALUE"""),-0.605926254962394)</f>
        <v>-0.60592625496239405</v>
      </c>
      <c r="BI66" s="3">
        <f ca="1">IFERROR(__xludf.DUMMYFUNCTION("""COMPUTED_VALUE"""),-0.715813850533658)</f>
        <v>-0.71581385053365798</v>
      </c>
      <c r="BJ66" s="3">
        <f ca="1">IFERROR(__xludf.DUMMYFUNCTION("""COMPUTED_VALUE"""),-0.660295537256721)</f>
        <v>-0.66029553725672097</v>
      </c>
      <c r="BK66" s="3">
        <f ca="1">IFERROR(__xludf.DUMMYFUNCTION("""COMPUTED_VALUE"""),-0.593466628501666)</f>
        <v>-0.59346662850166598</v>
      </c>
      <c r="BL66" s="3">
        <f ca="1">IFERROR(__xludf.DUMMYFUNCTION("""COMPUTED_VALUE"""),-0.583153413634079)</f>
        <v>-0.58315341363407902</v>
      </c>
      <c r="BM66" s="3">
        <f ca="1">IFERROR(__xludf.DUMMYFUNCTION("""COMPUTED_VALUE"""),-0.487846279599385)</f>
        <v>-0.48784627959938498</v>
      </c>
      <c r="BN66" s="3">
        <f ca="1">IFERROR(__xludf.DUMMYFUNCTION("""COMPUTED_VALUE"""),-0.583410456798316)</f>
        <v>-0.58341045679831605</v>
      </c>
      <c r="BO66" s="3">
        <f ca="1">IFERROR(__xludf.DUMMYFUNCTION("""COMPUTED_VALUE"""),-0.636721355679784)</f>
        <v>-0.63672135567978405</v>
      </c>
      <c r="BP66" s="3">
        <f ca="1">IFERROR(__xludf.DUMMYFUNCTION("""COMPUTED_VALUE"""),-0.70626298521739)</f>
        <v>-0.70626298521738995</v>
      </c>
      <c r="BQ66" s="3">
        <f ca="1">IFERROR(__xludf.DUMMYFUNCTION("""COMPUTED_VALUE"""),-0.834947362685016)</f>
        <v>-0.83494736268501601</v>
      </c>
      <c r="BR66" s="3">
        <f ca="1">IFERROR(__xludf.DUMMYFUNCTION("""COMPUTED_VALUE"""),-0.646517461672573)</f>
        <v>-0.64651746167257296</v>
      </c>
      <c r="BS66" s="3">
        <f ca="1">IFERROR(__xludf.DUMMYFUNCTION("""COMPUTED_VALUE"""),-0.575142769079296)</f>
        <v>-0.57514276907929596</v>
      </c>
      <c r="BT66" s="3">
        <f ca="1">IFERROR(__xludf.DUMMYFUNCTION("""COMPUTED_VALUE"""),-0.617135220054618)</f>
        <v>-0.61713522005461796</v>
      </c>
      <c r="BU66" s="3">
        <f ca="1">IFERROR(__xludf.DUMMYFUNCTION("""COMPUTED_VALUE"""),-0.668173894924239)</f>
        <v>-0.66817389492423895</v>
      </c>
      <c r="BV66" s="3">
        <f ca="1">IFERROR(__xludf.DUMMYFUNCTION("""COMPUTED_VALUE"""),-0.695093319557998)</f>
        <v>-0.69509331955799802</v>
      </c>
      <c r="BW66" s="3">
        <f ca="1">IFERROR(__xludf.DUMMYFUNCTION("""COMPUTED_VALUE"""),-0.781891316079847)</f>
        <v>-0.78189131607984697</v>
      </c>
      <c r="BX66" s="3">
        <f ca="1">IFERROR(__xludf.DUMMYFUNCTION("""COMPUTED_VALUE"""),-0.69866420742467)</f>
        <v>-0.69866420742466995</v>
      </c>
      <c r="BY66" s="3">
        <f ca="1">IFERROR(__xludf.DUMMYFUNCTION("""COMPUTED_VALUE"""),-0.559540237198932)</f>
        <v>-0.55954023719893198</v>
      </c>
      <c r="BZ66" s="3">
        <f ca="1">IFERROR(__xludf.DUMMYFUNCTION("""COMPUTED_VALUE"""),-0.573446068201629)</f>
        <v>-0.57344606820162902</v>
      </c>
      <c r="CA66" s="3">
        <f ca="1">IFERROR(__xludf.DUMMYFUNCTION("""COMPUTED_VALUE"""),-0.547547006723971)</f>
        <v>-0.54754700672397105</v>
      </c>
      <c r="CB66" s="3">
        <f ca="1">IFERROR(__xludf.DUMMYFUNCTION("""COMPUTED_VALUE"""),-0.68086671785174)</f>
        <v>-0.68086671785174002</v>
      </c>
      <c r="CC66" s="3">
        <f ca="1">IFERROR(__xludf.DUMMYFUNCTION("""COMPUTED_VALUE"""),-0.632130579983488)</f>
        <v>-0.63213057998348798</v>
      </c>
      <c r="CD66" s="3">
        <f ca="1">IFERROR(__xludf.DUMMYFUNCTION("""COMPUTED_VALUE"""),-0.778873509389794)</f>
        <v>-0.77887350938979405</v>
      </c>
      <c r="CE66" s="3">
        <f ca="1">IFERROR(__xludf.DUMMYFUNCTION("""COMPUTED_VALUE"""),-0.702890876223301)</f>
        <v>-0.70289087622330104</v>
      </c>
      <c r="CF66" s="3">
        <f ca="1">IFERROR(__xludf.DUMMYFUNCTION("""COMPUTED_VALUE"""),-0.706564829172408)</f>
        <v>-0.70656482917240804</v>
      </c>
      <c r="CG66" s="3">
        <f ca="1">IFERROR(__xludf.DUMMYFUNCTION("""COMPUTED_VALUE"""),-0.529015220374345)</f>
        <v>-0.52901522037434501</v>
      </c>
      <c r="CH66" s="3">
        <f ca="1">IFERROR(__xludf.DUMMYFUNCTION("""COMPUTED_VALUE"""),-0.695572174973282)</f>
        <v>-0.69557217497328205</v>
      </c>
      <c r="CI66" s="3">
        <f ca="1">IFERROR(__xludf.DUMMYFUNCTION("""COMPUTED_VALUE"""),-0.690389479046845)</f>
        <v>-0.690389479046845</v>
      </c>
      <c r="CJ66" s="3">
        <f ca="1">IFERROR(__xludf.DUMMYFUNCTION("""COMPUTED_VALUE"""),-0.608334286408072)</f>
        <v>-0.60833428640807197</v>
      </c>
      <c r="CK66" s="3">
        <f ca="1">IFERROR(__xludf.DUMMYFUNCTION("""COMPUTED_VALUE"""),-0.761588024313791)</f>
        <v>-0.76158802431379102</v>
      </c>
      <c r="CL66" s="3">
        <f ca="1">IFERROR(__xludf.DUMMYFUNCTION("""COMPUTED_VALUE"""),-0.747851906356199)</f>
        <v>-0.74785190635619903</v>
      </c>
      <c r="CM66" s="3">
        <f ca="1">IFERROR(__xludf.DUMMYFUNCTION("""COMPUTED_VALUE"""),-0.611051174982229)</f>
        <v>-0.61105117498222905</v>
      </c>
      <c r="CN66" s="3">
        <f ca="1">IFERROR(__xludf.DUMMYFUNCTION("""COMPUTED_VALUE"""),-0.474376459180714)</f>
        <v>-0.47437645918071403</v>
      </c>
      <c r="CO66" s="3">
        <f ca="1">IFERROR(__xludf.DUMMYFUNCTION("""COMPUTED_VALUE"""),-0.584957856061083)</f>
        <v>-0.58495785606108297</v>
      </c>
      <c r="CP66" s="3">
        <f ca="1">IFERROR(__xludf.DUMMYFUNCTION("""COMPUTED_VALUE"""),-0.679583091739041)</f>
        <v>-0.67958309173904097</v>
      </c>
      <c r="CQ66" s="3">
        <f ca="1">IFERROR(__xludf.DUMMYFUNCTION("""COMPUTED_VALUE"""),-0.585904161625602)</f>
        <v>-0.58590416162560199</v>
      </c>
      <c r="CR66" s="3">
        <f ca="1">IFERROR(__xludf.DUMMYFUNCTION("""COMPUTED_VALUE"""),-0.596134503808386)</f>
        <v>-0.59613450380838595</v>
      </c>
      <c r="CS66" s="3">
        <f ca="1">IFERROR(__xludf.DUMMYFUNCTION("""COMPUTED_VALUE"""),-0.652535363943845)</f>
        <v>-0.65253536394384504</v>
      </c>
      <c r="CT66" s="3">
        <f ca="1">IFERROR(__xludf.DUMMYFUNCTION("""COMPUTED_VALUE"""),-0.566287742273157)</f>
        <v>-0.56628774227315704</v>
      </c>
      <c r="CU66" s="3">
        <f ca="1">IFERROR(__xludf.DUMMYFUNCTION("""COMPUTED_VALUE"""),-0.592603743060114)</f>
        <v>-0.59260374306011399</v>
      </c>
      <c r="CV66" s="3">
        <f ca="1">IFERROR(__xludf.DUMMYFUNCTION("""COMPUTED_VALUE"""),-0.641110522689385)</f>
        <v>-0.64111052268938495</v>
      </c>
      <c r="CW66" s="3">
        <f ca="1">IFERROR(__xludf.DUMMYFUNCTION("""COMPUTED_VALUE"""),-0.954028625078917)</f>
        <v>-0.95402862507891695</v>
      </c>
      <c r="CX66" s="3">
        <f ca="1">IFERROR(__xludf.DUMMYFUNCTION("""COMPUTED_VALUE"""),-0.635968855507316)</f>
        <v>-0.63596885550731597</v>
      </c>
      <c r="CY66" s="3">
        <f ca="1">IFERROR(__xludf.DUMMYFUNCTION("""COMPUTED_VALUE"""),-0.219525035663349)</f>
        <v>-0.21952503566334899</v>
      </c>
      <c r="CZ66" s="3">
        <f ca="1">IFERROR(__xludf.DUMMYFUNCTION("""COMPUTED_VALUE"""),-0.587570761834835)</f>
        <v>-0.58757076183483503</v>
      </c>
      <c r="DA66" s="3">
        <f ca="1">IFERROR(__xludf.DUMMYFUNCTION("""COMPUTED_VALUE"""),-0.597850328342957)</f>
        <v>-0.59785032834295704</v>
      </c>
      <c r="DB66" s="3">
        <f ca="1">IFERROR(__xludf.DUMMYFUNCTION("""COMPUTED_VALUE"""),-0.59416763367126)</f>
        <v>-0.59416763367126002</v>
      </c>
      <c r="DC66" s="3">
        <f ca="1">IFERROR(__xludf.DUMMYFUNCTION("""COMPUTED_VALUE"""),-0.661018418490212)</f>
        <v>-0.66101841849021203</v>
      </c>
      <c r="DD66" s="3">
        <f ca="1">IFERROR(__xludf.DUMMYFUNCTION("""COMPUTED_VALUE"""),-0.973303194253945)</f>
        <v>-0.97330319425394496</v>
      </c>
      <c r="DE66" s="3">
        <f ca="1">IFERROR(__xludf.DUMMYFUNCTION("""COMPUTED_VALUE"""),-0.666080736932508)</f>
        <v>-0.66608073693250802</v>
      </c>
      <c r="DF66" s="3">
        <f ca="1">IFERROR(__xludf.DUMMYFUNCTION("""COMPUTED_VALUE"""),-0.178844531636544)</f>
        <v>-0.17884453163654401</v>
      </c>
      <c r="DG66" s="3">
        <f ca="1">IFERROR(__xludf.DUMMYFUNCTION("""COMPUTED_VALUE"""),-0.457504886829099)</f>
        <v>-0.45750488682909901</v>
      </c>
      <c r="DH66" s="3">
        <f ca="1">IFERROR(__xludf.DUMMYFUNCTION("""COMPUTED_VALUE"""),-0.555829182553162)</f>
        <v>-0.55582918255316205</v>
      </c>
      <c r="DI66" s="3">
        <f ca="1">IFERROR(__xludf.DUMMYFUNCTION("""COMPUTED_VALUE"""),-0.609307265542619)</f>
        <v>-0.60930726554261905</v>
      </c>
      <c r="DJ66" s="3">
        <f ca="1">IFERROR(__xludf.DUMMYFUNCTION("""COMPUTED_VALUE"""),-0.550162421380865)</f>
        <v>-0.55016242138086502</v>
      </c>
      <c r="DK66" s="3">
        <f ca="1">IFERROR(__xludf.DUMMYFUNCTION("""COMPUTED_VALUE"""),-0.672109891901232)</f>
        <v>-0.67210989190123205</v>
      </c>
      <c r="DL66" s="3">
        <f ca="1">IFERROR(__xludf.DUMMYFUNCTION("""COMPUTED_VALUE"""),-0.751601240489669)</f>
        <v>-0.75160124048966903</v>
      </c>
      <c r="DM66" s="3">
        <f ca="1">IFERROR(__xludf.DUMMYFUNCTION("""COMPUTED_VALUE"""),-0.628225279104857)</f>
        <v>-0.62822527910485704</v>
      </c>
      <c r="DN66" s="3">
        <f ca="1">IFERROR(__xludf.DUMMYFUNCTION("""COMPUTED_VALUE"""),-0.666556702420777)</f>
        <v>-0.66655670242077703</v>
      </c>
      <c r="DO66" s="3">
        <f ca="1">IFERROR(__xludf.DUMMYFUNCTION("""COMPUTED_VALUE"""),-0.672450677532911)</f>
        <v>-0.67245067753291099</v>
      </c>
      <c r="DP66" s="3">
        <f ca="1">IFERROR(__xludf.DUMMYFUNCTION("""COMPUTED_VALUE"""),-0.652655536931717)</f>
        <v>-0.65265553693171696</v>
      </c>
      <c r="DQ66" s="3">
        <f ca="1">IFERROR(__xludf.DUMMYFUNCTION("""COMPUTED_VALUE"""),-0.648451676126216)</f>
        <v>-0.64845167612621601</v>
      </c>
      <c r="DR66" s="3">
        <f ca="1">IFERROR(__xludf.DUMMYFUNCTION("""COMPUTED_VALUE"""),-0.722092209478548)</f>
        <v>-0.72209220947854802</v>
      </c>
      <c r="DS66" s="3">
        <f ca="1">IFERROR(__xludf.DUMMYFUNCTION("""COMPUTED_VALUE"""),-0.730880814281151)</f>
        <v>-0.73088081428115104</v>
      </c>
      <c r="DT66" s="3">
        <f ca="1">IFERROR(__xludf.DUMMYFUNCTION("""COMPUTED_VALUE"""),-0.737083992894547)</f>
        <v>-0.73708399289454696</v>
      </c>
      <c r="DU66" s="3">
        <f ca="1">IFERROR(__xludf.DUMMYFUNCTION("""COMPUTED_VALUE"""),-0.62573919205884)</f>
        <v>-0.62573919205883999</v>
      </c>
      <c r="DV66" s="3">
        <f ca="1">IFERROR(__xludf.DUMMYFUNCTION("""COMPUTED_VALUE"""),-0.656535609092667)</f>
        <v>-0.65653560909266695</v>
      </c>
      <c r="DW66" s="3">
        <f ca="1">IFERROR(__xludf.DUMMYFUNCTION("""COMPUTED_VALUE"""),-0.618470441755497)</f>
        <v>-0.61847044175549704</v>
      </c>
      <c r="DX66" s="3">
        <f ca="1">IFERROR(__xludf.DUMMYFUNCTION("""COMPUTED_VALUE"""),-0.703530206854556)</f>
        <v>-0.70353020685455603</v>
      </c>
      <c r="DY66" s="3">
        <f ca="1">IFERROR(__xludf.DUMMYFUNCTION("""COMPUTED_VALUE"""),-0.597231871628899)</f>
        <v>-0.59723187162889901</v>
      </c>
      <c r="DZ66" s="3">
        <f ca="1">IFERROR(__xludf.DUMMYFUNCTION("""COMPUTED_VALUE"""),-0.538562171449671)</f>
        <v>-0.538562171449671</v>
      </c>
      <c r="EA66" s="3">
        <f ca="1">IFERROR(__xludf.DUMMYFUNCTION("""COMPUTED_VALUE"""),-0.714627453009612)</f>
        <v>-0.71462745300961195</v>
      </c>
      <c r="EB66" s="3">
        <f ca="1">IFERROR(__xludf.DUMMYFUNCTION("""COMPUTED_VALUE"""),-0.598458930902241)</f>
        <v>-0.598458930902241</v>
      </c>
      <c r="EC66" s="3">
        <f ca="1">IFERROR(__xludf.DUMMYFUNCTION("""COMPUTED_VALUE"""),-0.654903283377724)</f>
        <v>-0.65490328337772397</v>
      </c>
      <c r="ED66" s="3">
        <f ca="1">IFERROR(__xludf.DUMMYFUNCTION("""COMPUTED_VALUE"""),-0.578952542545041)</f>
        <v>-0.57895254254504103</v>
      </c>
      <c r="EE66" s="3">
        <f ca="1">IFERROR(__xludf.DUMMYFUNCTION("""COMPUTED_VALUE"""),-0.59201299023109)</f>
        <v>-0.59201299023109</v>
      </c>
      <c r="EF66" s="3">
        <f ca="1">IFERROR(__xludf.DUMMYFUNCTION("""COMPUTED_VALUE"""),-0.676982998364197)</f>
        <v>-0.67698299836419695</v>
      </c>
      <c r="EG66" s="3">
        <f ca="1">IFERROR(__xludf.DUMMYFUNCTION("""COMPUTED_VALUE"""),-0.937863518166206)</f>
        <v>-0.93786351816620595</v>
      </c>
      <c r="EH66" s="3">
        <f ca="1">IFERROR(__xludf.DUMMYFUNCTION("""COMPUTED_VALUE"""),-0.715941012392407)</f>
        <v>-0.71594101239240704</v>
      </c>
      <c r="EI66" s="3">
        <f ca="1">IFERROR(__xludf.DUMMYFUNCTION("""COMPUTED_VALUE"""),-0.538752937982809)</f>
        <v>-0.53875293798280899</v>
      </c>
      <c r="EJ66" s="3">
        <f ca="1">IFERROR(__xludf.DUMMYFUNCTION("""COMPUTED_VALUE"""),-0.678410816328789)</f>
        <v>-0.67841081632878897</v>
      </c>
      <c r="EK66" s="3">
        <f ca="1">IFERROR(__xludf.DUMMYFUNCTION("""COMPUTED_VALUE"""),-0.455473025333004)</f>
        <v>-0.45547302533300399</v>
      </c>
      <c r="EL66" s="3">
        <f ca="1">IFERROR(__xludf.DUMMYFUNCTION("""COMPUTED_VALUE"""),-0.517712776973322)</f>
        <v>-0.51771277697332196</v>
      </c>
      <c r="EM66" s="3">
        <f ca="1">IFERROR(__xludf.DUMMYFUNCTION("""COMPUTED_VALUE"""),-0.596782378445346)</f>
        <v>-0.59678237844534598</v>
      </c>
      <c r="EN66" s="3">
        <f ca="1">IFERROR(__xludf.DUMMYFUNCTION("""COMPUTED_VALUE"""),-0.503678933994984)</f>
        <v>-0.50367893399498398</v>
      </c>
      <c r="EO66" s="3">
        <f ca="1">IFERROR(__xludf.DUMMYFUNCTION("""COMPUTED_VALUE"""),-0.64181865655376)</f>
        <v>-0.64181865655376003</v>
      </c>
      <c r="EP66" s="3">
        <f ca="1">IFERROR(__xludf.DUMMYFUNCTION("""COMPUTED_VALUE"""),-0.559905505456728)</f>
        <v>-0.55990550545672801</v>
      </c>
      <c r="EQ66" s="3">
        <f ca="1">IFERROR(__xludf.DUMMYFUNCTION("""COMPUTED_VALUE"""),-0.526767295588243)</f>
        <v>-0.52676729558824298</v>
      </c>
      <c r="ER66" s="3">
        <f ca="1">IFERROR(__xludf.DUMMYFUNCTION("""COMPUTED_VALUE"""),-0.578587929198144)</f>
        <v>-0.57858792919814395</v>
      </c>
      <c r="ES66" s="3">
        <f ca="1">IFERROR(__xludf.DUMMYFUNCTION("""COMPUTED_VALUE"""),-0.478246004945847)</f>
        <v>-0.47824600494584701</v>
      </c>
      <c r="ET66" s="3">
        <f ca="1">IFERROR(__xludf.DUMMYFUNCTION("""COMPUTED_VALUE"""),-0.667443345345583)</f>
        <v>-0.66744334534558303</v>
      </c>
      <c r="EU66" s="3">
        <f ca="1">IFERROR(__xludf.DUMMYFUNCTION("""COMPUTED_VALUE"""),-0.646871278568586)</f>
        <v>-0.64687127856858595</v>
      </c>
      <c r="EV66" s="3">
        <f ca="1">IFERROR(__xludf.DUMMYFUNCTION("""COMPUTED_VALUE"""),-0.708346567542041)</f>
        <v>-0.70834656754204095</v>
      </c>
      <c r="EW66" s="3">
        <f ca="1">IFERROR(__xludf.DUMMYFUNCTION("""COMPUTED_VALUE"""),-0.449961255897118)</f>
        <v>-0.449961255897118</v>
      </c>
      <c r="EX66" s="3">
        <f ca="1">IFERROR(__xludf.DUMMYFUNCTION("""COMPUTED_VALUE"""),-0.473553296319215)</f>
        <v>-0.473553296319215</v>
      </c>
      <c r="EY66" s="3">
        <f ca="1">IFERROR(__xludf.DUMMYFUNCTION("""COMPUTED_VALUE"""),-0.358809434028375)</f>
        <v>-0.35880943402837501</v>
      </c>
      <c r="EZ66" s="3">
        <f ca="1">IFERROR(__xludf.DUMMYFUNCTION("""COMPUTED_VALUE"""),-0.322075168908257)</f>
        <v>-0.32207516890825699</v>
      </c>
      <c r="FA66" s="3">
        <f ca="1">IFERROR(__xludf.DUMMYFUNCTION("""COMPUTED_VALUE"""),-0.632451820288879)</f>
        <v>-0.63245182028887903</v>
      </c>
      <c r="FB66" s="3">
        <f ca="1">IFERROR(__xludf.DUMMYFUNCTION("""COMPUTED_VALUE"""),-0.579370801758986)</f>
        <v>-0.57937080175898603</v>
      </c>
      <c r="FC66" s="3">
        <f ca="1">IFERROR(__xludf.DUMMYFUNCTION("""COMPUTED_VALUE"""),-0.597097883510822)</f>
        <v>-0.59709788351082205</v>
      </c>
      <c r="FD66" s="3">
        <f ca="1">IFERROR(__xludf.DUMMYFUNCTION("""COMPUTED_VALUE"""),-0.455016705877683)</f>
        <v>-0.455016705877683</v>
      </c>
      <c r="FE66" s="3">
        <f ca="1">IFERROR(__xludf.DUMMYFUNCTION("""COMPUTED_VALUE"""),-0.436023395691772)</f>
        <v>-0.43602339569177201</v>
      </c>
      <c r="FF66" s="3">
        <f ca="1">IFERROR(__xludf.DUMMYFUNCTION("""COMPUTED_VALUE"""),-0.351237767579374)</f>
        <v>-0.35123776757937403</v>
      </c>
      <c r="FG66" s="3">
        <f ca="1">IFERROR(__xludf.DUMMYFUNCTION("""COMPUTED_VALUE"""),-0.420947861820707)</f>
        <v>-0.42094786182070698</v>
      </c>
      <c r="FH66" s="3">
        <f ca="1">IFERROR(__xludf.DUMMYFUNCTION("""COMPUTED_VALUE"""),-0.66023149967019)</f>
        <v>-0.66023149967019001</v>
      </c>
      <c r="FI66" s="3">
        <f ca="1">IFERROR(__xludf.DUMMYFUNCTION("""COMPUTED_VALUE"""),-0.54139354369957)</f>
        <v>-0.54139354369957005</v>
      </c>
      <c r="FJ66" s="3">
        <f ca="1">IFERROR(__xludf.DUMMYFUNCTION("""COMPUTED_VALUE"""),-0.667349413300761)</f>
        <v>-0.66734941330076103</v>
      </c>
      <c r="FK66" s="3">
        <f ca="1">IFERROR(__xludf.DUMMYFUNCTION("""COMPUTED_VALUE"""),-0.572878406626089)</f>
        <v>-0.57287840662608902</v>
      </c>
      <c r="FL66" s="3">
        <f ca="1">IFERROR(__xludf.DUMMYFUNCTION("""COMPUTED_VALUE"""),-0.569226033950444)</f>
        <v>-0.56922603395044402</v>
      </c>
      <c r="FM66" s="3">
        <f ca="1">IFERROR(__xludf.DUMMYFUNCTION("""COMPUTED_VALUE"""),-0.41366623952421)</f>
        <v>-0.41366623952421</v>
      </c>
      <c r="FN66" s="3">
        <f ca="1">IFERROR(__xludf.DUMMYFUNCTION("""COMPUTED_VALUE"""),-0.453522371427219)</f>
        <v>-0.45352237142721902</v>
      </c>
      <c r="FO66" s="3">
        <f ca="1">IFERROR(__xludf.DUMMYFUNCTION("""COMPUTED_VALUE"""),-0.604907902982947)</f>
        <v>-0.60490790298294705</v>
      </c>
      <c r="FP66" s="3">
        <f ca="1">IFERROR(__xludf.DUMMYFUNCTION("""COMPUTED_VALUE"""),-0.593359838429995)</f>
        <v>-0.59335983842999496</v>
      </c>
      <c r="FQ66" s="3">
        <f ca="1">IFERROR(__xludf.DUMMYFUNCTION("""COMPUTED_VALUE"""),-0.671334599133674)</f>
        <v>-0.67133459913367399</v>
      </c>
      <c r="FR66" s="3">
        <f ca="1">IFERROR(__xludf.DUMMYFUNCTION("""COMPUTED_VALUE"""),-0.60234545158009)</f>
        <v>-0.60234545158009001</v>
      </c>
      <c r="FS66" s="3">
        <f ca="1">IFERROR(__xludf.DUMMYFUNCTION("""COMPUTED_VALUE"""),-0.438121393209388)</f>
        <v>-0.43812139320938798</v>
      </c>
      <c r="FT66" s="3">
        <f ca="1">IFERROR(__xludf.DUMMYFUNCTION("""COMPUTED_VALUE"""),-0.424677831889821)</f>
        <v>-0.424677831889821</v>
      </c>
      <c r="FU66" s="3">
        <f ca="1">IFERROR(__xludf.DUMMYFUNCTION("""COMPUTED_VALUE"""),-0.512543143444369)</f>
        <v>-0.51254314344436902</v>
      </c>
      <c r="FV66" s="3">
        <f ca="1">IFERROR(__xludf.DUMMYFUNCTION("""COMPUTED_VALUE"""),-0.639278852118576)</f>
        <v>-0.63927885211857605</v>
      </c>
      <c r="FW66" s="3">
        <f ca="1">IFERROR(__xludf.DUMMYFUNCTION("""COMPUTED_VALUE"""),-0.62271143824018)</f>
        <v>-0.62271143824018005</v>
      </c>
      <c r="FX66" s="3">
        <f ca="1">IFERROR(__xludf.DUMMYFUNCTION("""COMPUTED_VALUE"""),-0.641068585329102)</f>
        <v>-0.64106858532910205</v>
      </c>
      <c r="FY66" s="3">
        <f ca="1">IFERROR(__xludf.DUMMYFUNCTION("""COMPUTED_VALUE"""),-0.640725616795059)</f>
        <v>-0.64072561679505902</v>
      </c>
      <c r="FZ66" s="3">
        <f ca="1">IFERROR(__xludf.DUMMYFUNCTION("""COMPUTED_VALUE"""),-0.590842531151802)</f>
        <v>-0.59084253115180196</v>
      </c>
      <c r="GA66" s="3">
        <f ca="1">IFERROR(__xludf.DUMMYFUNCTION("""COMPUTED_VALUE"""),-0.502806921836841)</f>
        <v>-0.50280692183684095</v>
      </c>
      <c r="GB66" s="3">
        <f ca="1">IFERROR(__xludf.DUMMYFUNCTION("""COMPUTED_VALUE"""),-0.445254253081318)</f>
        <v>-0.445254253081318</v>
      </c>
      <c r="GC66" s="3">
        <f ca="1">IFERROR(__xludf.DUMMYFUNCTION("""COMPUTED_VALUE"""),-0.668202935085567)</f>
        <v>-0.66820293508556705</v>
      </c>
      <c r="GD66" s="3">
        <f ca="1">IFERROR(__xludf.DUMMYFUNCTION("""COMPUTED_VALUE"""),-0.580888189632837)</f>
        <v>-0.58088818963283695</v>
      </c>
      <c r="GE66" s="3">
        <f ca="1">IFERROR(__xludf.DUMMYFUNCTION("""COMPUTED_VALUE"""),-0.673079569075144)</f>
        <v>-0.67307956907514399</v>
      </c>
      <c r="GF66" s="3">
        <f ca="1">IFERROR(__xludf.DUMMYFUNCTION("""COMPUTED_VALUE"""),-0.526071225279929)</f>
        <v>-0.526071225279929</v>
      </c>
      <c r="GG66" s="3">
        <f ca="1">IFERROR(__xludf.DUMMYFUNCTION("""COMPUTED_VALUE"""),-0.500488591050556)</f>
        <v>-0.50048859105055599</v>
      </c>
      <c r="GH66" s="3">
        <f ca="1">IFERROR(__xludf.DUMMYFUNCTION("""COMPUTED_VALUE"""),-0.502361100049383)</f>
        <v>-0.50236110004938295</v>
      </c>
      <c r="GI66" s="3">
        <f ca="1">IFERROR(__xludf.DUMMYFUNCTION("""COMPUTED_VALUE"""),-0.457034528466142)</f>
        <v>-0.45703452846614201</v>
      </c>
      <c r="GJ66" s="3">
        <f ca="1">IFERROR(__xludf.DUMMYFUNCTION("""COMPUTED_VALUE"""),-0.579366049632766)</f>
        <v>-0.57936604963276594</v>
      </c>
      <c r="GK66" s="3">
        <f ca="1">IFERROR(__xludf.DUMMYFUNCTION("""COMPUTED_VALUE"""),-0.546571889224538)</f>
        <v>-0.54657188922453803</v>
      </c>
      <c r="GL66" s="3">
        <f ca="1">IFERROR(__xludf.DUMMYFUNCTION("""COMPUTED_VALUE"""),-0.590356388882638)</f>
        <v>-0.59035638888263797</v>
      </c>
      <c r="GM66" s="3">
        <f ca="1">IFERROR(__xludf.DUMMYFUNCTION("""COMPUTED_VALUE"""),-0.466144902388253)</f>
        <v>-0.46614490238825301</v>
      </c>
      <c r="GN66" s="3">
        <f ca="1">IFERROR(__xludf.DUMMYFUNCTION("""COMPUTED_VALUE"""),-0.393898780601213)</f>
        <v>-0.39389878060121303</v>
      </c>
      <c r="GO66" s="3">
        <f ca="1">IFERROR(__xludf.DUMMYFUNCTION("""COMPUTED_VALUE"""),-0.33242769330928)</f>
        <v>-0.33242769330928001</v>
      </c>
      <c r="GP66" s="3">
        <f ca="1">IFERROR(__xludf.DUMMYFUNCTION("""COMPUTED_VALUE"""),-0.317394019404141)</f>
        <v>-0.31739401940414103</v>
      </c>
      <c r="GQ66" s="3">
        <f ca="1">IFERROR(__xludf.DUMMYFUNCTION("""COMPUTED_VALUE"""),-0.452207260779219)</f>
        <v>-0.45220726077921902</v>
      </c>
      <c r="GR66" s="3">
        <f ca="1">IFERROR(__xludf.DUMMYFUNCTION("""COMPUTED_VALUE"""),-0.460012368990853)</f>
        <v>-0.46001236899085302</v>
      </c>
      <c r="GS66" s="3">
        <f ca="1">IFERROR(__xludf.DUMMYFUNCTION("""COMPUTED_VALUE"""),-0.549501889396138)</f>
        <v>-0.54950188939613798</v>
      </c>
      <c r="GT66" s="3">
        <f ca="1">IFERROR(__xludf.DUMMYFUNCTION("""COMPUTED_VALUE"""),-0.445664022510154)</f>
        <v>-0.44566402251015402</v>
      </c>
      <c r="GU66" s="3">
        <f ca="1">IFERROR(__xludf.DUMMYFUNCTION("""COMPUTED_VALUE"""),-0.439455920883089)</f>
        <v>-0.43945592088308899</v>
      </c>
      <c r="GV66" s="3">
        <f ca="1">IFERROR(__xludf.DUMMYFUNCTION("""COMPUTED_VALUE"""),-0.23030066994235)</f>
        <v>-0.23030066994234999</v>
      </c>
      <c r="GW66" s="3">
        <f ca="1">IFERROR(__xludf.DUMMYFUNCTION("""COMPUTED_VALUE"""),-0.316104555618851)</f>
        <v>-0.31610455561885098</v>
      </c>
      <c r="GX66" s="3">
        <f ca="1">IFERROR(__xludf.DUMMYFUNCTION("""COMPUTED_VALUE"""),-0.48202620390771)</f>
        <v>-0.48202620390771</v>
      </c>
      <c r="GY66" s="3">
        <f ca="1">IFERROR(__xludf.DUMMYFUNCTION("""COMPUTED_VALUE"""),-0.514568287650127)</f>
        <v>-0.51456828765012697</v>
      </c>
      <c r="GZ66" s="3">
        <f ca="1">IFERROR(__xludf.DUMMYFUNCTION("""COMPUTED_VALUE"""),-0.591178968139414)</f>
        <v>-0.59117896813941395</v>
      </c>
      <c r="HA66" s="3">
        <f ca="1">IFERROR(__xludf.DUMMYFUNCTION("""COMPUTED_VALUE"""),-0.48731689121951)</f>
        <v>-0.48731689121951</v>
      </c>
      <c r="HB66" s="3">
        <f ca="1">IFERROR(__xludf.DUMMYFUNCTION("""COMPUTED_VALUE"""),-0.452675833576484)</f>
        <v>-0.452675833576484</v>
      </c>
      <c r="HC66" s="3">
        <f ca="1">IFERROR(__xludf.DUMMYFUNCTION("""COMPUTED_VALUE"""),-0.257484286200674)</f>
        <v>-0.25748428620067398</v>
      </c>
      <c r="HD66" s="3">
        <f ca="1">IFERROR(__xludf.DUMMYFUNCTION("""COMPUTED_VALUE"""),-0.253477888999684)</f>
        <v>-0.25347788899968399</v>
      </c>
      <c r="HE66" s="3">
        <f ca="1">IFERROR(__xludf.DUMMYFUNCTION("""COMPUTED_VALUE"""),-0.594682250632309)</f>
        <v>-0.59468225063230895</v>
      </c>
      <c r="HF66" s="3">
        <f ca="1">IFERROR(__xludf.DUMMYFUNCTION("""COMPUTED_VALUE"""),-0.591155912178696)</f>
        <v>-0.59115591217869601</v>
      </c>
      <c r="HG66" s="3">
        <f ca="1">IFERROR(__xludf.DUMMYFUNCTION("""COMPUTED_VALUE"""),-0.581629976461186)</f>
        <v>-0.58162997646118597</v>
      </c>
      <c r="HH66" s="3">
        <f ca="1">IFERROR(__xludf.DUMMYFUNCTION("""COMPUTED_VALUE"""),-0.602494342962016)</f>
        <v>-0.60249434296201598</v>
      </c>
      <c r="HI66" s="3">
        <f ca="1">IFERROR(__xludf.DUMMYFUNCTION("""COMPUTED_VALUE"""),-0.82689510723493)</f>
        <v>-0.82689510723492998</v>
      </c>
      <c r="HJ66" s="3">
        <f ca="1">IFERROR(__xludf.DUMMYFUNCTION("""COMPUTED_VALUE"""),-0.245246425370495)</f>
        <v>-0.24524642537049501</v>
      </c>
      <c r="HK66" s="3">
        <f ca="1">IFERROR(__xludf.DUMMYFUNCTION("""COMPUTED_VALUE"""),-0.280554001697161)</f>
        <v>-0.28055400169716099</v>
      </c>
      <c r="HL66" s="3">
        <f ca="1">IFERROR(__xludf.DUMMYFUNCTION("""COMPUTED_VALUE"""),-0.642289691254769)</f>
        <v>-0.64228969125476898</v>
      </c>
      <c r="HM66" s="3">
        <f ca="1">IFERROR(__xludf.DUMMYFUNCTION("""COMPUTED_VALUE"""),-0.600197959881408)</f>
        <v>-0.60019795988140801</v>
      </c>
      <c r="HN66" s="3">
        <f ca="1">IFERROR(__xludf.DUMMYFUNCTION("""COMPUTED_VALUE"""),-0.644522706690579)</f>
        <v>-0.64452270669057898</v>
      </c>
      <c r="HO66" s="3">
        <f ca="1">IFERROR(__xludf.DUMMYFUNCTION("""COMPUTED_VALUE"""),-0.580351380300572)</f>
        <v>-0.58035138030057198</v>
      </c>
      <c r="HP66" s="3">
        <f ca="1">IFERROR(__xludf.DUMMYFUNCTION("""COMPUTED_VALUE"""),-0.34675905559981)</f>
        <v>-0.34675905559981002</v>
      </c>
      <c r="HQ66" s="3">
        <f ca="1">IFERROR(__xludf.DUMMYFUNCTION("""COMPUTED_VALUE"""),-0.246703969787765)</f>
        <v>-0.24670396978776499</v>
      </c>
      <c r="HR66" s="3">
        <f ca="1">IFERROR(__xludf.DUMMYFUNCTION("""COMPUTED_VALUE"""),-0.564976953653791)</f>
        <v>-0.56497695365379097</v>
      </c>
      <c r="HS66" s="3">
        <f ca="1">IFERROR(__xludf.DUMMYFUNCTION("""COMPUTED_VALUE"""),-0.575059997256189)</f>
        <v>-0.57505999725618895</v>
      </c>
      <c r="HT66" s="3">
        <f ca="1">IFERROR(__xludf.DUMMYFUNCTION("""COMPUTED_VALUE"""),-0.642841375744247)</f>
        <v>-0.64284137574424705</v>
      </c>
      <c r="HU66" s="3">
        <f ca="1">IFERROR(__xludf.DUMMYFUNCTION("""COMPUTED_VALUE"""),-0.583723727498369)</f>
        <v>-0.58372372749836898</v>
      </c>
      <c r="HV66" s="3">
        <f ca="1">IFERROR(__xludf.DUMMYFUNCTION("""COMPUTED_VALUE"""),-0.659907944650468)</f>
        <v>-0.65990794465046798</v>
      </c>
      <c r="HW66" s="3">
        <f ca="1">IFERROR(__xludf.DUMMYFUNCTION("""COMPUTED_VALUE"""),-0.292601664498284)</f>
        <v>-0.29260166449828401</v>
      </c>
      <c r="HX66" s="3">
        <f ca="1">IFERROR(__xludf.DUMMYFUNCTION("""COMPUTED_VALUE"""),-0.268831134726078)</f>
        <v>-0.268831134726078</v>
      </c>
      <c r="HY66" s="3">
        <f ca="1">IFERROR(__xludf.DUMMYFUNCTION("""COMPUTED_VALUE"""),-0.355905648008783)</f>
        <v>-0.35590564800878299</v>
      </c>
      <c r="HZ66" s="3">
        <f ca="1">IFERROR(__xludf.DUMMYFUNCTION("""COMPUTED_VALUE"""),-0.426592058996553)</f>
        <v>-0.426592058996553</v>
      </c>
      <c r="IA66" s="3">
        <f ca="1">IFERROR(__xludf.DUMMYFUNCTION("""COMPUTED_VALUE"""),-0.525579861344604)</f>
        <v>-0.52557986134460399</v>
      </c>
      <c r="IB66" s="3">
        <f ca="1">IFERROR(__xludf.DUMMYFUNCTION("""COMPUTED_VALUE"""),-0.531101851523517)</f>
        <v>-0.53110185152351697</v>
      </c>
      <c r="IC66" s="3">
        <f ca="1">IFERROR(__xludf.DUMMYFUNCTION("""COMPUTED_VALUE"""),-0.521957349613597)</f>
        <v>-0.52195734961359697</v>
      </c>
      <c r="ID66" s="3">
        <f ca="1">IFERROR(__xludf.DUMMYFUNCTION("""COMPUTED_VALUE"""),-0.476836924475631)</f>
        <v>-0.47683692447563097</v>
      </c>
      <c r="IE66" s="3">
        <f ca="1">IFERROR(__xludf.DUMMYFUNCTION("""COMPUTED_VALUE"""),-0.369909661521793)</f>
        <v>-0.369909661521793</v>
      </c>
      <c r="IF66" s="3">
        <f ca="1">IFERROR(__xludf.DUMMYFUNCTION("""COMPUTED_VALUE"""),-0.403898825040111)</f>
        <v>-0.40389882504011099</v>
      </c>
      <c r="IG66" s="3">
        <f ca="1">IFERROR(__xludf.DUMMYFUNCTION("""COMPUTED_VALUE"""),-0.384899099947096)</f>
        <v>-0.38489909994709598</v>
      </c>
      <c r="IH66" s="3">
        <f ca="1">IFERROR(__xludf.DUMMYFUNCTION("""COMPUTED_VALUE"""),-0.445522802675018)</f>
        <v>-0.44552280267501798</v>
      </c>
      <c r="II66" s="3">
        <f ca="1">IFERROR(__xludf.DUMMYFUNCTION("""COMPUTED_VALUE"""),-0.441779990324399)</f>
        <v>-0.44177999032439902</v>
      </c>
      <c r="IJ66" s="3">
        <f ca="1">IFERROR(__xludf.DUMMYFUNCTION("""COMPUTED_VALUE"""),-0.521477321421452)</f>
        <v>-0.52147732142145198</v>
      </c>
      <c r="IK66" s="3">
        <f ca="1">IFERROR(__xludf.DUMMYFUNCTION("""COMPUTED_VALUE"""),-0.415885553954327)</f>
        <v>-0.41588555395432703</v>
      </c>
      <c r="IL66" s="3">
        <f ca="1">IFERROR(__xludf.DUMMYFUNCTION("""COMPUTED_VALUE"""),-0.220002814600706)</f>
        <v>-0.220002814600706</v>
      </c>
      <c r="IM66" s="3">
        <f ca="1">IFERROR(__xludf.DUMMYFUNCTION("""COMPUTED_VALUE"""),-0.346140544900074)</f>
        <v>-0.34614054490007401</v>
      </c>
      <c r="IN66" s="3">
        <f ca="1">IFERROR(__xludf.DUMMYFUNCTION("""COMPUTED_VALUE"""),-0.456169570702196)</f>
        <v>-0.45616957070219599</v>
      </c>
      <c r="IO66" s="3">
        <f ca="1">IFERROR(__xludf.DUMMYFUNCTION("""COMPUTED_VALUE"""),-0.47475365741559)</f>
        <v>-0.47475365741559</v>
      </c>
      <c r="IP66" s="3">
        <f ca="1">IFERROR(__xludf.DUMMYFUNCTION("""COMPUTED_VALUE"""),-0.480973684177506)</f>
        <v>-0.48097368417750602</v>
      </c>
      <c r="IQ66" s="3">
        <f ca="1">IFERROR(__xludf.DUMMYFUNCTION("""COMPUTED_VALUE"""),-0.503853589211664)</f>
        <v>-0.50385358921166401</v>
      </c>
      <c r="IR66" s="3">
        <f ca="1">IFERROR(__xludf.DUMMYFUNCTION("""COMPUTED_VALUE"""),-0.370820641355964)</f>
        <v>-0.37082064135596399</v>
      </c>
      <c r="IS66" s="3">
        <f ca="1">IFERROR(__xludf.DUMMYFUNCTION("""COMPUTED_VALUE"""),-0.411062451743306)</f>
        <v>-0.41106245174330602</v>
      </c>
      <c r="IT66" s="3">
        <f ca="1">IFERROR(__xludf.DUMMYFUNCTION("""COMPUTED_VALUE"""),-0.433319054690044)</f>
        <v>-0.433319054690044</v>
      </c>
      <c r="IU66" s="3">
        <f ca="1">IFERROR(__xludf.DUMMYFUNCTION("""COMPUTED_VALUE"""),-0.549628785348581)</f>
        <v>-0.54962878534858095</v>
      </c>
      <c r="IV66" s="3">
        <f ca="1">IFERROR(__xludf.DUMMYFUNCTION("""COMPUTED_VALUE"""),-0.6008484664777)</f>
        <v>-0.60084846647769996</v>
      </c>
      <c r="IW66" s="3">
        <f ca="1">IFERROR(__xludf.DUMMYFUNCTION("""COMPUTED_VALUE"""),-0.549316189310877)</f>
        <v>-0.549316189310877</v>
      </c>
      <c r="IX66" s="3">
        <f ca="1">IFERROR(__xludf.DUMMYFUNCTION("""COMPUTED_VALUE"""),-0.547176004922343)</f>
        <v>-0.54717600492234297</v>
      </c>
      <c r="IY66" s="3">
        <f ca="1">IFERROR(__xludf.DUMMYFUNCTION("""COMPUTED_VALUE"""),-0.551313745785393)</f>
        <v>-0.55131374578539305</v>
      </c>
      <c r="IZ66" s="3">
        <f ca="1">IFERROR(__xludf.DUMMYFUNCTION("""COMPUTED_VALUE"""),-0.369686523332622)</f>
        <v>-0.36968652333262197</v>
      </c>
      <c r="JA66" s="3">
        <f ca="1">IFERROR(__xludf.DUMMYFUNCTION("""COMPUTED_VALUE"""),-0.470902801092242)</f>
        <v>-0.47090280109224197</v>
      </c>
      <c r="JB66" s="3">
        <f ca="1">IFERROR(__xludf.DUMMYFUNCTION("""COMPUTED_VALUE"""),-0.607090965227149)</f>
        <v>-0.607090965227149</v>
      </c>
      <c r="JC66" s="3">
        <f ca="1">IFERROR(__xludf.DUMMYFUNCTION("""COMPUTED_VALUE"""),-0.614114397461985)</f>
        <v>-0.61411439746198504</v>
      </c>
      <c r="JD66" s="3">
        <f ca="1">IFERROR(__xludf.DUMMYFUNCTION("""COMPUTED_VALUE"""),-0.666991687455517)</f>
        <v>-0.66699168745551696</v>
      </c>
      <c r="JE66" s="3">
        <f ca="1">IFERROR(__xludf.DUMMYFUNCTION("""COMPUTED_VALUE"""),-0.582736289762304)</f>
        <v>-0.58273628976230396</v>
      </c>
      <c r="JF66" s="3">
        <f ca="1">IFERROR(__xludf.DUMMYFUNCTION("""COMPUTED_VALUE"""),-0.525105901986831)</f>
        <v>-0.52510590198683105</v>
      </c>
      <c r="JG66" s="3">
        <f ca="1">IFERROR(__xludf.DUMMYFUNCTION("""COMPUTED_VALUE"""),-0.409226928149676)</f>
        <v>-0.40922692814967598</v>
      </c>
      <c r="JH66" s="3">
        <f ca="1">IFERROR(__xludf.DUMMYFUNCTION("""COMPUTED_VALUE"""),-0.445929761340115)</f>
        <v>-0.44592976134011503</v>
      </c>
      <c r="JI66" s="3">
        <f ca="1">IFERROR(__xludf.DUMMYFUNCTION("""COMPUTED_VALUE"""),-0.628707418899257)</f>
        <v>-0.62870741889925696</v>
      </c>
      <c r="JJ66" s="3">
        <f ca="1">IFERROR(__xludf.DUMMYFUNCTION("""COMPUTED_VALUE"""),-0.636647411497259)</f>
        <v>-0.63664741149725901</v>
      </c>
      <c r="JK66" s="3">
        <f ca="1">IFERROR(__xludf.DUMMYFUNCTION("""COMPUTED_VALUE"""),-0.612319104859825)</f>
        <v>-0.61231910485982499</v>
      </c>
      <c r="JL66" s="3">
        <f ca="1">IFERROR(__xludf.DUMMYFUNCTION("""COMPUTED_VALUE"""),-0.646692708899037)</f>
        <v>-0.64669270889903696</v>
      </c>
      <c r="JM66" s="3">
        <f ca="1">IFERROR(__xludf.DUMMYFUNCTION("""COMPUTED_VALUE"""),-0.58333824306631)</f>
        <v>-0.58333824306630999</v>
      </c>
      <c r="JN66" s="3">
        <f ca="1">IFERROR(__xludf.DUMMYFUNCTION("""COMPUTED_VALUE"""),-0.356101949696427)</f>
        <v>-0.356101949696427</v>
      </c>
      <c r="JO66" s="3">
        <f ca="1">IFERROR(__xludf.DUMMYFUNCTION("""COMPUTED_VALUE"""),-0.478795938388699)</f>
        <v>-0.47879593838869899</v>
      </c>
      <c r="JP66" s="3">
        <f ca="1">IFERROR(__xludf.DUMMYFUNCTION("""COMPUTED_VALUE"""),-0.545579098607747)</f>
        <v>-0.545579098607747</v>
      </c>
      <c r="JQ66" s="3">
        <f ca="1">IFERROR(__xludf.DUMMYFUNCTION("""COMPUTED_VALUE"""),-0.505332909640393)</f>
        <v>-0.50533290964039301</v>
      </c>
      <c r="JR66" s="3">
        <f ca="1">IFERROR(__xludf.DUMMYFUNCTION("""COMPUTED_VALUE"""),-0.61009470877666)</f>
        <v>-0.61009470877666006</v>
      </c>
      <c r="JS66" s="3">
        <f ca="1">IFERROR(__xludf.DUMMYFUNCTION("""COMPUTED_VALUE"""),-0.667506883155532)</f>
        <v>-0.66750688315553197</v>
      </c>
      <c r="JT66" s="3">
        <f ca="1">IFERROR(__xludf.DUMMYFUNCTION("""COMPUTED_VALUE"""),-0.562963808759545)</f>
        <v>-0.56296380875954499</v>
      </c>
      <c r="JU66" s="3">
        <f ca="1">IFERROR(__xludf.DUMMYFUNCTION("""COMPUTED_VALUE"""),-0.454957198723289)</f>
        <v>-0.45495719872328899</v>
      </c>
      <c r="JV66" s="3">
        <f ca="1">IFERROR(__xludf.DUMMYFUNCTION("""COMPUTED_VALUE"""),-0.728975379808987)</f>
        <v>-0.72897537980898697</v>
      </c>
      <c r="JW66" s="3">
        <f ca="1">IFERROR(__xludf.DUMMYFUNCTION("""COMPUTED_VALUE"""),-0.615227046255158)</f>
        <v>-0.61522704625515801</v>
      </c>
      <c r="JX66" s="3">
        <f ca="1">IFERROR(__xludf.DUMMYFUNCTION("""COMPUTED_VALUE"""),-0.549979625066349)</f>
        <v>-0.54997962506634901</v>
      </c>
      <c r="JY66" s="3">
        <f ca="1">IFERROR(__xludf.DUMMYFUNCTION("""COMPUTED_VALUE"""),-0.67699556886726)</f>
        <v>-0.67699556886725998</v>
      </c>
      <c r="JZ66" s="3">
        <f ca="1">IFERROR(__xludf.DUMMYFUNCTION("""COMPUTED_VALUE"""),-0.651674199666691)</f>
        <v>-0.65167419966669105</v>
      </c>
      <c r="KA66" s="3">
        <f ca="1">IFERROR(__xludf.DUMMYFUNCTION("""COMPUTED_VALUE"""),-0.719734972138879)</f>
        <v>-0.71973497213887905</v>
      </c>
      <c r="KB66" s="3">
        <f ca="1">IFERROR(__xludf.DUMMYFUNCTION("""COMPUTED_VALUE"""),-0.475511812771778)</f>
        <v>-0.47551181277177801</v>
      </c>
      <c r="KC66" s="3">
        <f ca="1">IFERROR(__xludf.DUMMYFUNCTION("""COMPUTED_VALUE"""),-0.475844554336012)</f>
        <v>-0.47584455433601203</v>
      </c>
      <c r="KD66" s="3">
        <f ca="1">IFERROR(__xludf.DUMMYFUNCTION("""COMPUTED_VALUE"""),-0.63186892137075)</f>
        <v>-0.63186892137075001</v>
      </c>
      <c r="KE66" s="3">
        <f ca="1">IFERROR(__xludf.DUMMYFUNCTION("""COMPUTED_VALUE"""),-0.526938048830081)</f>
        <v>-0.526938048830081</v>
      </c>
      <c r="KF66" s="3">
        <f ca="1">IFERROR(__xludf.DUMMYFUNCTION("""COMPUTED_VALUE"""),-0.725642055058057)</f>
        <v>-0.72564205505805701</v>
      </c>
      <c r="KG66" s="3">
        <f ca="1">IFERROR(__xludf.DUMMYFUNCTION("""COMPUTED_VALUE"""),-0.697628383479321)</f>
        <v>-0.69762838347932099</v>
      </c>
      <c r="KH66" s="3">
        <f ca="1">IFERROR(__xludf.DUMMYFUNCTION("""COMPUTED_VALUE"""),-0.638541704366798)</f>
        <v>-0.63854170436679802</v>
      </c>
      <c r="KI66" s="3">
        <f ca="1">IFERROR(__xludf.DUMMYFUNCTION("""COMPUTED_VALUE"""),-0.572015247486363)</f>
        <v>-0.57201524748636301</v>
      </c>
      <c r="KJ66" s="3">
        <f ca="1">IFERROR(__xludf.DUMMYFUNCTION("""COMPUTED_VALUE"""),-0.668904225029346)</f>
        <v>-0.66890422502934599</v>
      </c>
      <c r="KK66" s="3">
        <f ca="1">IFERROR(__xludf.DUMMYFUNCTION("""COMPUTED_VALUE"""),-0.714272382837059)</f>
        <v>-0.71427238283705896</v>
      </c>
      <c r="KL66" s="3">
        <f ca="1">IFERROR(__xludf.DUMMYFUNCTION("""COMPUTED_VALUE"""),-0.6858037163506)</f>
        <v>-0.6858037163506</v>
      </c>
      <c r="KM66" s="3">
        <f ca="1">IFERROR(__xludf.DUMMYFUNCTION("""COMPUTED_VALUE"""),-0.751805324777457)</f>
        <v>-0.75180532477745698</v>
      </c>
      <c r="KN66" s="3">
        <f ca="1">IFERROR(__xludf.DUMMYFUNCTION("""COMPUTED_VALUE"""),-0.743998810854583)</f>
        <v>-0.74399881085458297</v>
      </c>
      <c r="KO66" s="3">
        <f ca="1">IFERROR(__xludf.DUMMYFUNCTION("""COMPUTED_VALUE"""),-0.683816416233445)</f>
        <v>-0.68381641623344502</v>
      </c>
      <c r="KP66" s="3">
        <f ca="1">IFERROR(__xludf.DUMMYFUNCTION("""COMPUTED_VALUE"""),-0.638818084143369)</f>
        <v>-0.63881808414336905</v>
      </c>
      <c r="KQ66" s="3">
        <f ca="1">IFERROR(__xludf.DUMMYFUNCTION("""COMPUTED_VALUE"""),-0.71936232262389)</f>
        <v>-0.71936232262388999</v>
      </c>
      <c r="KR66" s="3">
        <f ca="1">IFERROR(__xludf.DUMMYFUNCTION("""COMPUTED_VALUE"""),-0.796341115454983)</f>
        <v>-0.79634111545498298</v>
      </c>
      <c r="KS66" s="3">
        <f ca="1">IFERROR(__xludf.DUMMYFUNCTION("""COMPUTED_VALUE"""),-0.80944997769542)</f>
        <v>-0.80944997769542004</v>
      </c>
      <c r="KT66" s="3">
        <f ca="1">IFERROR(__xludf.DUMMYFUNCTION("""COMPUTED_VALUE"""),-0.79079278199154)</f>
        <v>-0.79079278199154002</v>
      </c>
      <c r="KU66" s="3">
        <f ca="1">IFERROR(__xludf.DUMMYFUNCTION("""COMPUTED_VALUE"""),-0.771244467075253)</f>
        <v>-0.77124446707525296</v>
      </c>
      <c r="KV66" s="3">
        <f ca="1">IFERROR(__xludf.DUMMYFUNCTION("""COMPUTED_VALUE"""),-0.689015764634242)</f>
        <v>-0.68901576463424197</v>
      </c>
      <c r="KW66" s="3">
        <f ca="1">IFERROR(__xludf.DUMMYFUNCTION("""COMPUTED_VALUE"""),-0.693370775642201)</f>
        <v>-0.69337077564220095</v>
      </c>
      <c r="KX66" s="3">
        <f ca="1">IFERROR(__xludf.DUMMYFUNCTION("""COMPUTED_VALUE"""),-0.723403815139199)</f>
        <v>-0.72340381513919905</v>
      </c>
      <c r="KY66" s="3">
        <f ca="1">IFERROR(__xludf.DUMMYFUNCTION("""COMPUTED_VALUE"""),-0.82693020708492)</f>
        <v>-0.82693020708492004</v>
      </c>
      <c r="KZ66" s="3">
        <f ca="1">IFERROR(__xludf.DUMMYFUNCTION("""COMPUTED_VALUE"""),-0.82720096704992)</f>
        <v>-0.82720096704991997</v>
      </c>
      <c r="LA66" s="3">
        <f ca="1">IFERROR(__xludf.DUMMYFUNCTION("""COMPUTED_VALUE"""),-0.783270298674651)</f>
        <v>-0.78327029867465103</v>
      </c>
      <c r="LB66" s="3">
        <f ca="1">IFERROR(__xludf.DUMMYFUNCTION("""COMPUTED_VALUE"""),-0.789575249524991)</f>
        <v>-0.78957524952499103</v>
      </c>
      <c r="LC66" s="3">
        <f ca="1">IFERROR(__xludf.DUMMYFUNCTION("""COMPUTED_VALUE"""),-0.652562993117544)</f>
        <v>-0.65256299311754395</v>
      </c>
      <c r="LD66" s="3">
        <f ca="1">IFERROR(__xludf.DUMMYFUNCTION("""COMPUTED_VALUE"""),-0.740388002112471)</f>
        <v>-0.74038800211247102</v>
      </c>
      <c r="LE66" s="3">
        <f ca="1">IFERROR(__xludf.DUMMYFUNCTION("""COMPUTED_VALUE"""),-0.733201908604262)</f>
        <v>-0.73320190860426204</v>
      </c>
      <c r="LF66" s="3">
        <f ca="1">IFERROR(__xludf.DUMMYFUNCTION("""COMPUTED_VALUE"""),-0.841023817153056)</f>
        <v>-0.84102381715305596</v>
      </c>
      <c r="LG66" s="3">
        <f ca="1">IFERROR(__xludf.DUMMYFUNCTION("""COMPUTED_VALUE"""),-0.825617526911595)</f>
        <v>-0.82561752691159496</v>
      </c>
      <c r="LH66" s="3">
        <f ca="1">IFERROR(__xludf.DUMMYFUNCTION("""COMPUTED_VALUE"""),-0.83453033122257)</f>
        <v>-0.83453033122257003</v>
      </c>
      <c r="LI66" s="3">
        <f ca="1">IFERROR(__xludf.DUMMYFUNCTION("""COMPUTED_VALUE"""),-0.754336764622576)</f>
        <v>-0.75433676462257604</v>
      </c>
      <c r="LJ66" s="3">
        <f ca="1">IFERROR(__xludf.DUMMYFUNCTION("""COMPUTED_VALUE"""),-0.866861742367791)</f>
        <v>-0.86686174236779101</v>
      </c>
      <c r="LK66" s="3">
        <f ca="1">IFERROR(__xludf.DUMMYFUNCTION("""COMPUTED_VALUE"""),-0.733916862619976)</f>
        <v>-0.73391686261997602</v>
      </c>
      <c r="LL66" s="3">
        <f ca="1">IFERROR(__xludf.DUMMYFUNCTION("""COMPUTED_VALUE"""),-0.803393134356853)</f>
        <v>-0.803393134356853</v>
      </c>
      <c r="LM66" s="3">
        <f ca="1">IFERROR(__xludf.DUMMYFUNCTION("""COMPUTED_VALUE"""),-0.799866493637835)</f>
        <v>-0.79986649363783502</v>
      </c>
      <c r="LN66" s="3">
        <f ca="1">IFERROR(__xludf.DUMMYFUNCTION("""COMPUTED_VALUE"""),-0.84045529275487)</f>
        <v>-0.84045529275486996</v>
      </c>
      <c r="LO66" s="3">
        <f ca="1">IFERROR(__xludf.DUMMYFUNCTION("""COMPUTED_VALUE"""),-0.858285209270424)</f>
        <v>-0.85828520927042395</v>
      </c>
      <c r="LP66" s="3">
        <f ca="1">IFERROR(__xludf.DUMMYFUNCTION("""COMPUTED_VALUE"""),-0.869516010800559)</f>
        <v>-0.86951601080055896</v>
      </c>
      <c r="LQ66" s="3">
        <f ca="1">IFERROR(__xludf.DUMMYFUNCTION("""COMPUTED_VALUE"""),-0.731352822242844)</f>
        <v>-0.73135282224284404</v>
      </c>
      <c r="LR66" s="3">
        <f ca="1">IFERROR(__xludf.DUMMYFUNCTION("""COMPUTED_VALUE"""),-0.792528243413441)</f>
        <v>-0.79252824341344097</v>
      </c>
      <c r="LS66" s="3">
        <f ca="1">IFERROR(__xludf.DUMMYFUNCTION("""COMPUTED_VALUE"""),-0.815060864903172)</f>
        <v>-0.81506086490317198</v>
      </c>
      <c r="LT66" s="3">
        <f ca="1">IFERROR(__xludf.DUMMYFUNCTION("""COMPUTED_VALUE"""),-0.858922441820123)</f>
        <v>-0.85892244182012301</v>
      </c>
      <c r="LU66" s="3">
        <f ca="1">IFERROR(__xludf.DUMMYFUNCTION("""COMPUTED_VALUE"""),-0.880813044308882)</f>
        <v>-0.88081304430888196</v>
      </c>
      <c r="LV66" s="3">
        <f ca="1">IFERROR(__xludf.DUMMYFUNCTION("""COMPUTED_VALUE"""),-0.865077227872528)</f>
        <v>-0.86507722787252805</v>
      </c>
      <c r="LW66" s="3">
        <f ca="1">IFERROR(__xludf.DUMMYFUNCTION("""COMPUTED_VALUE"""),-0.839502775266378)</f>
        <v>-0.83950277526637795</v>
      </c>
      <c r="LX66" s="3">
        <f ca="1">IFERROR(__xludf.DUMMYFUNCTION("""COMPUTED_VALUE"""),-0.842448144820893)</f>
        <v>-0.84244814482089303</v>
      </c>
      <c r="LY66" s="3">
        <f ca="1">IFERROR(__xludf.DUMMYFUNCTION("""COMPUTED_VALUE"""),-0.81424890813793)</f>
        <v>-0.81424890813793005</v>
      </c>
      <c r="LZ66" s="3">
        <f ca="1">IFERROR(__xludf.DUMMYFUNCTION("""COMPUTED_VALUE"""),-0.838357673685739)</f>
        <v>-0.83835767368573899</v>
      </c>
      <c r="MA66" s="3">
        <f ca="1">IFERROR(__xludf.DUMMYFUNCTION("""COMPUTED_VALUE"""),-0.814613597794139)</f>
        <v>-0.814613597794139</v>
      </c>
      <c r="MB66" s="3">
        <f ca="1">IFERROR(__xludf.DUMMYFUNCTION("""COMPUTED_VALUE"""),-0.833011392999156)</f>
        <v>-0.83301139299915605</v>
      </c>
      <c r="MC66" s="3">
        <f ca="1">IFERROR(__xludf.DUMMYFUNCTION("""COMPUTED_VALUE"""),-0.859415255884639)</f>
        <v>-0.85941525588463896</v>
      </c>
      <c r="MD66" s="3">
        <f ca="1">IFERROR(__xludf.DUMMYFUNCTION("""COMPUTED_VALUE"""),-0.867895194651799)</f>
        <v>-0.86789519465179898</v>
      </c>
      <c r="ME66" s="3">
        <f ca="1">IFERROR(__xludf.DUMMYFUNCTION("""COMPUTED_VALUE"""),-0.832178071826111)</f>
        <v>-0.83217807182611103</v>
      </c>
      <c r="MF66" s="3">
        <f ca="1">IFERROR(__xludf.DUMMYFUNCTION("""COMPUTED_VALUE"""),-0.7495442972081)</f>
        <v>-0.74954429720810001</v>
      </c>
      <c r="MG66" s="3">
        <f ca="1">IFERROR(__xludf.DUMMYFUNCTION("""COMPUTED_VALUE"""),-0.799857489463315)</f>
        <v>-0.79985748946331503</v>
      </c>
      <c r="MH66" s="3">
        <f ca="1">IFERROR(__xludf.DUMMYFUNCTION("""COMPUTED_VALUE"""),-0.892215061759598)</f>
        <v>-0.89221506175959797</v>
      </c>
      <c r="MI66" s="3">
        <f ca="1">IFERROR(__xludf.DUMMYFUNCTION("""COMPUTED_VALUE"""),-0.901347381632223)</f>
        <v>-0.90134738163222305</v>
      </c>
      <c r="MJ66" s="3">
        <f ca="1">IFERROR(__xludf.DUMMYFUNCTION("""COMPUTED_VALUE"""),-0.885782094929564)</f>
        <v>-0.88578209492956395</v>
      </c>
      <c r="MK66" s="3">
        <f ca="1">IFERROR(__xludf.DUMMYFUNCTION("""COMPUTED_VALUE"""),-0.857922652068616)</f>
        <v>-0.85792265206861595</v>
      </c>
      <c r="ML66" s="3">
        <f ca="1">IFERROR(__xludf.DUMMYFUNCTION("""COMPUTED_VALUE"""),-0.851255334317947)</f>
        <v>-0.85125533431794698</v>
      </c>
      <c r="MM66" s="3">
        <f ca="1">IFERROR(__xludf.DUMMYFUNCTION("""COMPUTED_VALUE"""),-0.776563419304616)</f>
        <v>-0.77656341930461603</v>
      </c>
      <c r="MN66" s="3">
        <f ca="1">IFERROR(__xludf.DUMMYFUNCTION("""COMPUTED_VALUE"""),-0.856651583115403)</f>
        <v>-0.85665158311540301</v>
      </c>
      <c r="MO66" s="3">
        <f ca="1">IFERROR(__xludf.DUMMYFUNCTION("""COMPUTED_VALUE"""),-0.895056475226562)</f>
        <v>-0.89505647522656195</v>
      </c>
      <c r="MP66" s="3">
        <f ca="1">IFERROR(__xludf.DUMMYFUNCTION("""COMPUTED_VALUE"""),-0.882633955004609)</f>
        <v>-0.88263395500460895</v>
      </c>
      <c r="MQ66" s="3">
        <f ca="1">IFERROR(__xludf.DUMMYFUNCTION("""COMPUTED_VALUE"""),-0.875375854475058)</f>
        <v>-0.87537585447505795</v>
      </c>
      <c r="MR66" s="3">
        <f ca="1">IFERROR(__xludf.DUMMYFUNCTION("""COMPUTED_VALUE"""),-0.890650146343794)</f>
        <v>-0.89065014634379402</v>
      </c>
      <c r="MS66" s="3">
        <f ca="1">IFERROR(__xludf.DUMMYFUNCTION("""COMPUTED_VALUE"""),-0.867891624566669)</f>
        <v>-0.86789162456666902</v>
      </c>
      <c r="MT66" s="3">
        <f ca="1">IFERROR(__xludf.DUMMYFUNCTION("""COMPUTED_VALUE"""),-0.751890005172594)</f>
        <v>-0.75189000517259397</v>
      </c>
      <c r="MU66" s="3">
        <f ca="1">IFERROR(__xludf.DUMMYFUNCTION("""COMPUTED_VALUE"""),-0.816320964315656)</f>
        <v>-0.81632096431565604</v>
      </c>
      <c r="MV66" s="3">
        <f ca="1">IFERROR(__xludf.DUMMYFUNCTION("""COMPUTED_VALUE"""),-0.866159331642276)</f>
        <v>-0.86615933164227599</v>
      </c>
      <c r="MW66" s="3">
        <f ca="1">IFERROR(__xludf.DUMMYFUNCTION("""COMPUTED_VALUE"""),-0.874676750852067)</f>
        <v>-0.87467675085206698</v>
      </c>
      <c r="MX66" s="3">
        <f ca="1">IFERROR(__xludf.DUMMYFUNCTION("""COMPUTED_VALUE"""),-0.890535308740346)</f>
        <v>-0.89053530874034603</v>
      </c>
      <c r="MY66" s="3">
        <f ca="1">IFERROR(__xludf.DUMMYFUNCTION("""COMPUTED_VALUE"""),-0.844966246864459)</f>
        <v>-0.84496624686445898</v>
      </c>
      <c r="MZ66" s="3">
        <f ca="1">IFERROR(__xludf.DUMMYFUNCTION("""COMPUTED_VALUE"""),-0.9101133205212)</f>
        <v>-0.91011332052119998</v>
      </c>
      <c r="NA66" s="3">
        <f ca="1">IFERROR(__xludf.DUMMYFUNCTION("""COMPUTED_VALUE"""),-0.884768170190893)</f>
        <v>-0.88476817019089304</v>
      </c>
      <c r="NB66" s="3">
        <f ca="1">IFERROR(__xludf.DUMMYFUNCTION("""COMPUTED_VALUE"""),-0.818691970616527)</f>
        <v>-0.81869197061652699</v>
      </c>
      <c r="NC66" s="3">
        <f ca="1">IFERROR(__xludf.DUMMYFUNCTION("""COMPUTED_VALUE"""),-0.853904093339013)</f>
        <v>-0.85390409333901296</v>
      </c>
      <c r="ND66" s="3">
        <f ca="1">IFERROR(__xludf.DUMMYFUNCTION("""COMPUTED_VALUE"""),-0.889276745674541)</f>
        <v>-0.88927674567454096</v>
      </c>
      <c r="NE66" s="3">
        <f ca="1">IFERROR(__xludf.DUMMYFUNCTION("""COMPUTED_VALUE"""),-0.907702312138928)</f>
        <v>-0.90770231213892805</v>
      </c>
      <c r="NF66" s="3">
        <f ca="1">IFERROR(__xludf.DUMMYFUNCTION("""COMPUTED_VALUE"""),-0.842603801839594)</f>
        <v>-0.84260380183959405</v>
      </c>
      <c r="NG66" s="3">
        <f ca="1">IFERROR(__xludf.DUMMYFUNCTION("""COMPUTED_VALUE"""),-0.81265025875904)</f>
        <v>-0.81265025875903996</v>
      </c>
      <c r="NH66" s="3">
        <f ca="1">IFERROR(__xludf.DUMMYFUNCTION("""COMPUTED_VALUE"""),-0.802342816637991)</f>
        <v>-0.80234281663799101</v>
      </c>
      <c r="NI66" s="3">
        <f ca="1">IFERROR(__xludf.DUMMYFUNCTION("""COMPUTED_VALUE"""),-0.853831956881978)</f>
        <v>-0.85383195688197799</v>
      </c>
      <c r="NJ66" s="3">
        <f ca="1">IFERROR(__xludf.DUMMYFUNCTION("""COMPUTED_VALUE"""),-0.882569447116068)</f>
        <v>-0.882569447116068</v>
      </c>
      <c r="NK66" s="3">
        <f ca="1">IFERROR(__xludf.DUMMYFUNCTION("""COMPUTED_VALUE"""),-0.895839529101583)</f>
        <v>-0.89583952910158304</v>
      </c>
      <c r="NL66" s="3">
        <f ca="1">IFERROR(__xludf.DUMMYFUNCTION("""COMPUTED_VALUE"""),-0.89047196106266)</f>
        <v>-0.89047196106266002</v>
      </c>
      <c r="NM66" s="3">
        <f ca="1">IFERROR(__xludf.DUMMYFUNCTION("""COMPUTED_VALUE"""),-0.863111443918467)</f>
        <v>-0.86311144391846695</v>
      </c>
      <c r="NN66" s="3">
        <f ca="1">IFERROR(__xludf.DUMMYFUNCTION("""COMPUTED_VALUE"""),-0.853847370334376)</f>
        <v>-0.85384737033437597</v>
      </c>
      <c r="NO66" s="3">
        <f ca="1">IFERROR(__xludf.DUMMYFUNCTION("""COMPUTED_VALUE"""),-0.767033281067424)</f>
        <v>-0.76703328106742397</v>
      </c>
      <c r="NP66" s="3">
        <f ca="1">IFERROR(__xludf.DUMMYFUNCTION("""COMPUTED_VALUE"""),-0.82559114985383)</f>
        <v>-0.82559114985382998</v>
      </c>
      <c r="NQ66" s="3">
        <f ca="1">IFERROR(__xludf.DUMMYFUNCTION("""COMPUTED_VALUE"""),-0.840129191187676)</f>
        <v>-0.84012919118767604</v>
      </c>
      <c r="NR66" s="3">
        <f ca="1">IFERROR(__xludf.DUMMYFUNCTION("""COMPUTED_VALUE"""),-0.80534858634358)</f>
        <v>-0.80534858634357998</v>
      </c>
      <c r="NS66" s="3">
        <f ca="1">IFERROR(__xludf.DUMMYFUNCTION("""COMPUTED_VALUE"""),-0.813297830796386)</f>
        <v>-0.81329783079638596</v>
      </c>
      <c r="NT66" s="3">
        <f ca="1">IFERROR(__xludf.DUMMYFUNCTION("""COMPUTED_VALUE"""),-0.769597437886344)</f>
        <v>-0.76959743788634405</v>
      </c>
      <c r="NU66" s="3">
        <f ca="1">IFERROR(__xludf.DUMMYFUNCTION("""COMPUTED_VALUE"""),-0.738019339020877)</f>
        <v>-0.73801933902087702</v>
      </c>
      <c r="NV66" s="3">
        <f ca="1">IFERROR(__xludf.DUMMYFUNCTION("""COMPUTED_VALUE"""),-0.64108119394435)</f>
        <v>-0.64108119394435004</v>
      </c>
      <c r="NW66" s="3">
        <f ca="1">IFERROR(__xludf.DUMMYFUNCTION("""COMPUTED_VALUE"""),-0.63329559041757)</f>
        <v>-0.63329559041757</v>
      </c>
      <c r="NX66" s="3">
        <f ca="1">IFERROR(__xludf.DUMMYFUNCTION("""COMPUTED_VALUE"""),-0.697256198043895)</f>
        <v>-0.69725619804389505</v>
      </c>
      <c r="NY66" s="3">
        <f ca="1">IFERROR(__xludf.DUMMYFUNCTION("""COMPUTED_VALUE"""),-0.711267473672756)</f>
        <v>-0.711267473672756</v>
      </c>
      <c r="NZ66" s="3">
        <f ca="1">IFERROR(__xludf.DUMMYFUNCTION("""COMPUTED_VALUE"""),-0.684848789159756)</f>
        <v>-0.684848789159756</v>
      </c>
      <c r="OA66" s="3">
        <f ca="1">IFERROR(__xludf.DUMMYFUNCTION("""COMPUTED_VALUE"""),-0.66103000052061)</f>
        <v>-0.66103000052061001</v>
      </c>
      <c r="OB66" s="3">
        <f ca="1">IFERROR(__xludf.DUMMYFUNCTION("""COMPUTED_VALUE"""),-0.572553994278127)</f>
        <v>-0.57255399427812703</v>
      </c>
      <c r="OC66" s="3">
        <f ca="1">IFERROR(__xludf.DUMMYFUNCTION("""COMPUTED_VALUE"""),-0.149405013703036)</f>
        <v>-0.14940501370303599</v>
      </c>
      <c r="OD66" s="3">
        <f ca="1">IFERROR(__xludf.DUMMYFUNCTION("""COMPUTED_VALUE"""),-0.107447633397751)</f>
        <v>-0.107447633397751</v>
      </c>
      <c r="OE66" s="3">
        <f ca="1">IFERROR(__xludf.DUMMYFUNCTION("""COMPUTED_VALUE"""),-0.303482965093753)</f>
        <v>-0.303482965093753</v>
      </c>
      <c r="OF66" s="3">
        <f ca="1">IFERROR(__xludf.DUMMYFUNCTION("""COMPUTED_VALUE"""),-0.147504125812655)</f>
        <v>-0.14750412581265501</v>
      </c>
      <c r="OG66" s="3">
        <f ca="1">IFERROR(__xludf.DUMMYFUNCTION("""COMPUTED_VALUE"""),0.0113539870734615)</f>
        <v>1.13539870734615E-2</v>
      </c>
      <c r="OH66" s="3">
        <f ca="1">IFERROR(__xludf.DUMMYFUNCTION("""COMPUTED_VALUE"""),-0.0356432329445997)</f>
        <v>-3.5643232944599701E-2</v>
      </c>
      <c r="OI66" s="3">
        <f ca="1">IFERROR(__xludf.DUMMYFUNCTION("""COMPUTED_VALUE"""),-0.0139648095771355)</f>
        <v>-1.3964809577135501E-2</v>
      </c>
      <c r="OJ66" s="3">
        <f ca="1">IFERROR(__xludf.DUMMYFUNCTION("""COMPUTED_VALUE"""),-0.0420078705113594)</f>
        <v>-4.2007870511359402E-2</v>
      </c>
      <c r="OK66" s="3">
        <f ca="1">IFERROR(__xludf.DUMMYFUNCTION("""COMPUTED_VALUE"""),0.0192061221136374)</f>
        <v>1.9206122113637401E-2</v>
      </c>
      <c r="OL66" s="3">
        <f ca="1">IFERROR(__xludf.DUMMYFUNCTION("""COMPUTED_VALUE"""),-0.0586186549359734)</f>
        <v>-5.8618654935973402E-2</v>
      </c>
      <c r="OM66" s="3">
        <f ca="1">IFERROR(__xludf.DUMMYFUNCTION("""COMPUTED_VALUE"""),-0.0075423460654167)</f>
        <v>-7.5423460654167E-3</v>
      </c>
      <c r="ON66" s="3">
        <f ca="1">IFERROR(__xludf.DUMMYFUNCTION("""COMPUTED_VALUE"""),-0.0538114239570093)</f>
        <v>-5.3811423957009302E-2</v>
      </c>
      <c r="OO66" s="3">
        <f ca="1">IFERROR(__xludf.DUMMYFUNCTION("""COMPUTED_VALUE"""),0.117969160419538)</f>
        <v>0.11796916041953801</v>
      </c>
      <c r="OP66" s="3">
        <f ca="1">IFERROR(__xludf.DUMMYFUNCTION("""COMPUTED_VALUE"""),0.178486897645817)</f>
        <v>0.17848689764581699</v>
      </c>
      <c r="OQ66" s="3">
        <f ca="1">IFERROR(__xludf.DUMMYFUNCTION("""COMPUTED_VALUE"""),0.00931691366983189)</f>
        <v>9.3169136698318892E-3</v>
      </c>
      <c r="OR66" s="3">
        <f ca="1">IFERROR(__xludf.DUMMYFUNCTION("""COMPUTED_VALUE"""),-0.0408538089960899)</f>
        <v>-4.0853808996089903E-2</v>
      </c>
      <c r="OS66" s="3">
        <f ca="1">IFERROR(__xludf.DUMMYFUNCTION("""COMPUTED_VALUE"""),0.000173165111283291)</f>
        <v>1.7316511128329101E-4</v>
      </c>
      <c r="OT66" s="3">
        <f ca="1">IFERROR(__xludf.DUMMYFUNCTION("""COMPUTED_VALUE"""),-0.096197284592794)</f>
        <v>-9.6197284592794002E-2</v>
      </c>
      <c r="OU66" s="3">
        <f ca="1">IFERROR(__xludf.DUMMYFUNCTION("""COMPUTED_VALUE"""),0.0605280243581194)</f>
        <v>6.0528024358119402E-2</v>
      </c>
      <c r="OV66" s="3">
        <f ca="1">IFERROR(__xludf.DUMMYFUNCTION("""COMPUTED_VALUE"""),0.185371165731103)</f>
        <v>0.18537116573110299</v>
      </c>
      <c r="OW66" s="3">
        <f ca="1">IFERROR(__xludf.DUMMYFUNCTION("""COMPUTED_VALUE"""),0.384087183475001)</f>
        <v>0.38408718347500098</v>
      </c>
      <c r="OX66" s="3">
        <f ca="1">IFERROR(__xludf.DUMMYFUNCTION("""COMPUTED_VALUE"""),-0.09029498297107)</f>
        <v>-9.0294982971069998E-2</v>
      </c>
      <c r="OY66" s="3">
        <f ca="1">IFERROR(__xludf.DUMMYFUNCTION("""COMPUTED_VALUE"""),0.149166340907335)</f>
        <v>0.14916634090733499</v>
      </c>
      <c r="OZ66" s="3">
        <f ca="1">IFERROR(__xludf.DUMMYFUNCTION("""COMPUTED_VALUE"""),-0.126340006477462)</f>
        <v>-0.12634000647746199</v>
      </c>
      <c r="PA66" s="3">
        <f ca="1">IFERROR(__xludf.DUMMYFUNCTION("""COMPUTED_VALUE"""),-0.0670407804978251)</f>
        <v>-6.7040780497825095E-2</v>
      </c>
      <c r="PB66" s="3">
        <f ca="1">IFERROR(__xludf.DUMMYFUNCTION("""COMPUTED_VALUE"""),0.081047123603406)</f>
        <v>8.1047123603406004E-2</v>
      </c>
      <c r="PC66" s="3">
        <f ca="1">IFERROR(__xludf.DUMMYFUNCTION("""COMPUTED_VALUE"""),-0.17000877879999)</f>
        <v>-0.17000877879998999</v>
      </c>
      <c r="PD66" s="3">
        <f ca="1">IFERROR(__xludf.DUMMYFUNCTION("""COMPUTED_VALUE"""),-0.157457729782394)</f>
        <v>-0.157457729782394</v>
      </c>
      <c r="PE66" s="3">
        <f ca="1">IFERROR(__xludf.DUMMYFUNCTION("""COMPUTED_VALUE"""),0.0979375582095034)</f>
        <v>9.7937558209503395E-2</v>
      </c>
      <c r="PF66" s="3">
        <f ca="1">IFERROR(__xludf.DUMMYFUNCTION("""COMPUTED_VALUE"""),0.0277737362296344)</f>
        <v>2.7773736229634399E-2</v>
      </c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</row>
    <row r="67" spans="1:594" ht="13">
      <c r="A67" s="1" t="str">
        <f ca="1">IFERROR(__xludf.DUMMYFUNCTION("""COMPUTED_VALUE"""),"Providence")</f>
        <v>Providence</v>
      </c>
      <c r="B67" s="3">
        <f ca="1">IFERROR(__xludf.DUMMYFUNCTION("""COMPUTED_VALUE"""),-0.42983161774997)</f>
        <v>-0.42983161774996997</v>
      </c>
      <c r="C67" s="3">
        <f ca="1">IFERROR(__xludf.DUMMYFUNCTION("""COMPUTED_VALUE"""),-0.53451589604893)</f>
        <v>-0.53451589604893002</v>
      </c>
      <c r="D67" s="3">
        <f ca="1">IFERROR(__xludf.DUMMYFUNCTION("""COMPUTED_VALUE"""),-0.564872619733126)</f>
        <v>-0.56487261973312597</v>
      </c>
      <c r="E67" s="3">
        <f ca="1">IFERROR(__xludf.DUMMYFUNCTION("""COMPUTED_VALUE"""),-0.574090662960661)</f>
        <v>-0.57409066296066102</v>
      </c>
      <c r="F67" s="3">
        <f ca="1">IFERROR(__xludf.DUMMYFUNCTION("""COMPUTED_VALUE"""),-0.58346329100286)</f>
        <v>-0.58346329100285999</v>
      </c>
      <c r="G67" s="3">
        <f ca="1">IFERROR(__xludf.DUMMYFUNCTION("""COMPUTED_VALUE"""),-0.593914131638098)</f>
        <v>-0.59391413163809803</v>
      </c>
      <c r="H67" s="3">
        <f ca="1">IFERROR(__xludf.DUMMYFUNCTION("""COMPUTED_VALUE"""),-0.540216522446725)</f>
        <v>-0.54021652244672502</v>
      </c>
      <c r="I67" s="3">
        <f ca="1">IFERROR(__xludf.DUMMYFUNCTION("""COMPUTED_VALUE"""),-0.544718749937059)</f>
        <v>-0.54471874993705904</v>
      </c>
      <c r="J67" s="3">
        <f ca="1">IFERROR(__xludf.DUMMYFUNCTION("""COMPUTED_VALUE"""),-0.651256340931969)</f>
        <v>-0.65125634093196905</v>
      </c>
      <c r="K67" s="3">
        <f ca="1">IFERROR(__xludf.DUMMYFUNCTION("""COMPUTED_VALUE"""),-0.605377895793272)</f>
        <v>-0.60537789579327195</v>
      </c>
      <c r="L67" s="3">
        <f ca="1">IFERROR(__xludf.DUMMYFUNCTION("""COMPUTED_VALUE"""),-0.58813565009767)</f>
        <v>-0.58813565009766999</v>
      </c>
      <c r="M67" s="3">
        <f ca="1">IFERROR(__xludf.DUMMYFUNCTION("""COMPUTED_VALUE"""),-0.614847702257601)</f>
        <v>-0.61484770225760099</v>
      </c>
      <c r="N67" s="3">
        <f ca="1">IFERROR(__xludf.DUMMYFUNCTION("""COMPUTED_VALUE"""),-0.603680306343637)</f>
        <v>-0.60368030634363701</v>
      </c>
      <c r="O67" s="3">
        <f ca="1">IFERROR(__xludf.DUMMYFUNCTION("""COMPUTED_VALUE"""),-0.56713816587227)</f>
        <v>-0.56713816587226995</v>
      </c>
      <c r="P67" s="3">
        <f ca="1">IFERROR(__xludf.DUMMYFUNCTION("""COMPUTED_VALUE"""),-0.520139307204787)</f>
        <v>-0.52013930720478696</v>
      </c>
      <c r="Q67" s="3">
        <f ca="1">IFERROR(__xludf.DUMMYFUNCTION("""COMPUTED_VALUE"""),-0.577099606716058)</f>
        <v>-0.57709960671605798</v>
      </c>
      <c r="R67" s="3">
        <f ca="1">IFERROR(__xludf.DUMMYFUNCTION("""COMPUTED_VALUE"""),-0.581829547059996)</f>
        <v>-0.58182954705999601</v>
      </c>
      <c r="S67" s="3">
        <f ca="1">IFERROR(__xludf.DUMMYFUNCTION("""COMPUTED_VALUE"""),-0.586929163173584)</f>
        <v>-0.58692916317358401</v>
      </c>
      <c r="T67" s="3">
        <f ca="1">IFERROR(__xludf.DUMMYFUNCTION("""COMPUTED_VALUE"""),-0.598492844084515)</f>
        <v>-0.59849284408451497</v>
      </c>
      <c r="U67" s="3">
        <f ca="1">IFERROR(__xludf.DUMMYFUNCTION("""COMPUTED_VALUE"""),-0.575072449735053)</f>
        <v>-0.575072449735053</v>
      </c>
      <c r="V67" s="3">
        <f ca="1">IFERROR(__xludf.DUMMYFUNCTION("""COMPUTED_VALUE"""),-0.445100793864386)</f>
        <v>-0.445100793864386</v>
      </c>
      <c r="W67" s="3">
        <f ca="1">IFERROR(__xludf.DUMMYFUNCTION("""COMPUTED_VALUE"""),-0.517057684032114)</f>
        <v>-0.51705768403211405</v>
      </c>
      <c r="X67" s="3">
        <f ca="1">IFERROR(__xludf.DUMMYFUNCTION("""COMPUTED_VALUE"""),-0.564679084677564)</f>
        <v>-0.564679084677564</v>
      </c>
      <c r="Y67" s="3">
        <f ca="1">IFERROR(__xludf.DUMMYFUNCTION("""COMPUTED_VALUE"""),-0.607767776435774)</f>
        <v>-0.60776777643577395</v>
      </c>
      <c r="Z67" s="3">
        <f ca="1">IFERROR(__xludf.DUMMYFUNCTION("""COMPUTED_VALUE"""),-0.574575932932087)</f>
        <v>-0.57457593293208697</v>
      </c>
      <c r="AA67" s="3">
        <f ca="1">IFERROR(__xludf.DUMMYFUNCTION("""COMPUTED_VALUE"""),-0.62325430773417)</f>
        <v>-0.62325430773417001</v>
      </c>
      <c r="AB67" s="3">
        <f ca="1">IFERROR(__xludf.DUMMYFUNCTION("""COMPUTED_VALUE"""),-0.650231269487269)</f>
        <v>-0.65023126948726895</v>
      </c>
      <c r="AC67" s="3">
        <f ca="1">IFERROR(__xludf.DUMMYFUNCTION("""COMPUTED_VALUE"""),-0.488739450567958)</f>
        <v>-0.48873945056795798</v>
      </c>
      <c r="AD67" s="3">
        <f ca="1">IFERROR(__xludf.DUMMYFUNCTION("""COMPUTED_VALUE"""),-0.551612397660668)</f>
        <v>-0.55161239766066805</v>
      </c>
      <c r="AE67" s="3">
        <f ca="1">IFERROR(__xludf.DUMMYFUNCTION("""COMPUTED_VALUE"""),-0.565471933690123)</f>
        <v>-0.56547193369012305</v>
      </c>
      <c r="AF67" s="3">
        <f ca="1">IFERROR(__xludf.DUMMYFUNCTION("""COMPUTED_VALUE"""),-0.58127678825291)</f>
        <v>-0.58127678825290996</v>
      </c>
      <c r="AG67" s="3">
        <f ca="1">IFERROR(__xludf.DUMMYFUNCTION("""COMPUTED_VALUE"""),-0.59421588401264)</f>
        <v>-0.59421588401264003</v>
      </c>
      <c r="AH67" s="3">
        <f ca="1">IFERROR(__xludf.DUMMYFUNCTION("""COMPUTED_VALUE"""),-0.611256657875852)</f>
        <v>-0.61125665787585204</v>
      </c>
      <c r="AI67" s="3">
        <f ca="1">IFERROR(__xludf.DUMMYFUNCTION("""COMPUTED_VALUE"""),-0.506799130860295)</f>
        <v>-0.50679913086029504</v>
      </c>
      <c r="AJ67" s="3">
        <f ca="1">IFERROR(__xludf.DUMMYFUNCTION("""COMPUTED_VALUE"""),-0.47572426664152)</f>
        <v>-0.47572426664152001</v>
      </c>
      <c r="AK67" s="3">
        <f ca="1">IFERROR(__xludf.DUMMYFUNCTION("""COMPUTED_VALUE"""),-0.513320949265448)</f>
        <v>-0.51332094926544802</v>
      </c>
      <c r="AL67" s="3">
        <f ca="1">IFERROR(__xludf.DUMMYFUNCTION("""COMPUTED_VALUE"""),-0.596900146725799)</f>
        <v>-0.59690014672579905</v>
      </c>
      <c r="AM67" s="3">
        <f ca="1">IFERROR(__xludf.DUMMYFUNCTION("""COMPUTED_VALUE"""),-0.580452585001383)</f>
        <v>-0.58045258500138297</v>
      </c>
      <c r="AN67" s="3">
        <f ca="1">IFERROR(__xludf.DUMMYFUNCTION("""COMPUTED_VALUE"""),-0.601182613988154)</f>
        <v>-0.60118261398815398</v>
      </c>
      <c r="AO67" s="3">
        <f ca="1">IFERROR(__xludf.DUMMYFUNCTION("""COMPUTED_VALUE"""),-0.673774307634761)</f>
        <v>-0.67377430763476098</v>
      </c>
      <c r="AP67" s="3">
        <f ca="1">IFERROR(__xludf.DUMMYFUNCTION("""COMPUTED_VALUE"""),-0.531011567102846)</f>
        <v>-0.53101156710284603</v>
      </c>
      <c r="AQ67" s="3">
        <f ca="1">IFERROR(__xludf.DUMMYFUNCTION("""COMPUTED_VALUE"""),-0.426018128133172)</f>
        <v>-0.42601812813317202</v>
      </c>
      <c r="AR67" s="3">
        <f ca="1">IFERROR(__xludf.DUMMYFUNCTION("""COMPUTED_VALUE"""),-0.522303486502623)</f>
        <v>-0.52230348650262304</v>
      </c>
      <c r="AS67" s="3">
        <f ca="1">IFERROR(__xludf.DUMMYFUNCTION("""COMPUTED_VALUE"""),-0.621986667191632)</f>
        <v>-0.62198666719163198</v>
      </c>
      <c r="AT67" s="3">
        <f ca="1">IFERROR(__xludf.DUMMYFUNCTION("""COMPUTED_VALUE"""),-0.597326669562231)</f>
        <v>-0.59732666956223102</v>
      </c>
      <c r="AU67" s="3">
        <f ca="1">IFERROR(__xludf.DUMMYFUNCTION("""COMPUTED_VALUE"""),-0.621538125145669)</f>
        <v>-0.62153812514566897</v>
      </c>
      <c r="AV67" s="3">
        <f ca="1">IFERROR(__xludf.DUMMYFUNCTION("""COMPUTED_VALUE"""),-0.632274790517086)</f>
        <v>-0.63227479051708602</v>
      </c>
      <c r="AW67" s="3">
        <f ca="1">IFERROR(__xludf.DUMMYFUNCTION("""COMPUTED_VALUE"""),-0.546052914566807)</f>
        <v>-0.54605291456680705</v>
      </c>
      <c r="AX67" s="3">
        <f ca="1">IFERROR(__xludf.DUMMYFUNCTION("""COMPUTED_VALUE"""),-0.529469218947947)</f>
        <v>-0.52946921894794696</v>
      </c>
      <c r="AY67" s="3">
        <f ca="1">IFERROR(__xludf.DUMMYFUNCTION("""COMPUTED_VALUE"""),-0.533847142407416)</f>
        <v>-0.53384714240741604</v>
      </c>
      <c r="AZ67" s="3">
        <f ca="1">IFERROR(__xludf.DUMMYFUNCTION("""COMPUTED_VALUE"""),-0.699159157319876)</f>
        <v>-0.69915915731987599</v>
      </c>
      <c r="BA67" s="3">
        <f ca="1">IFERROR(__xludf.DUMMYFUNCTION("""COMPUTED_VALUE"""),-0.699800507206005)</f>
        <v>-0.69980050720600495</v>
      </c>
      <c r="BB67" s="3">
        <f ca="1">IFERROR(__xludf.DUMMYFUNCTION("""COMPUTED_VALUE"""),-0.650999474064466)</f>
        <v>-0.65099947406446601</v>
      </c>
      <c r="BC67" s="3">
        <f ca="1">IFERROR(__xludf.DUMMYFUNCTION("""COMPUTED_VALUE"""),-0.674829097926777)</f>
        <v>-0.67482909792677703</v>
      </c>
      <c r="BD67" s="3">
        <f ca="1">IFERROR(__xludf.DUMMYFUNCTION("""COMPUTED_VALUE"""),-0.673286964145827)</f>
        <v>-0.673286964145827</v>
      </c>
      <c r="BE67" s="3">
        <f ca="1">IFERROR(__xludf.DUMMYFUNCTION("""COMPUTED_VALUE"""),-0.505995964425084)</f>
        <v>-0.50599596442508399</v>
      </c>
      <c r="BF67" s="3">
        <f ca="1">IFERROR(__xludf.DUMMYFUNCTION("""COMPUTED_VALUE"""),-0.581496501509886)</f>
        <v>-0.58149650150988597</v>
      </c>
      <c r="BG67" s="3">
        <f ca="1">IFERROR(__xludf.DUMMYFUNCTION("""COMPUTED_VALUE"""),-0.650765088924826)</f>
        <v>-0.65076508892482599</v>
      </c>
      <c r="BH67" s="3">
        <f ca="1">IFERROR(__xludf.DUMMYFUNCTION("""COMPUTED_VALUE"""),-0.633851959717558)</f>
        <v>-0.63385195971755803</v>
      </c>
      <c r="BI67" s="3">
        <f ca="1">IFERROR(__xludf.DUMMYFUNCTION("""COMPUTED_VALUE"""),-0.667072086011271)</f>
        <v>-0.66707208601127099</v>
      </c>
      <c r="BJ67" s="3">
        <f ca="1">IFERROR(__xludf.DUMMYFUNCTION("""COMPUTED_VALUE"""),-0.708066311174157)</f>
        <v>-0.70806631117415697</v>
      </c>
      <c r="BK67" s="3">
        <f ca="1">IFERROR(__xludf.DUMMYFUNCTION("""COMPUTED_VALUE"""),-0.696303938358111)</f>
        <v>-0.696303938358111</v>
      </c>
      <c r="BL67" s="3">
        <f ca="1">IFERROR(__xludf.DUMMYFUNCTION("""COMPUTED_VALUE"""),-0.633052312446287)</f>
        <v>-0.63305231244628701</v>
      </c>
      <c r="BM67" s="3">
        <f ca="1">IFERROR(__xludf.DUMMYFUNCTION("""COMPUTED_VALUE"""),-0.565215572289985)</f>
        <v>-0.56521557228998498</v>
      </c>
      <c r="BN67" s="3">
        <f ca="1">IFERROR(__xludf.DUMMYFUNCTION("""COMPUTED_VALUE"""),-0.667180444557706)</f>
        <v>-0.66718044455770598</v>
      </c>
      <c r="BO67" s="3">
        <f ca="1">IFERROR(__xludf.DUMMYFUNCTION("""COMPUTED_VALUE"""),-0.657995132852375)</f>
        <v>-0.65799513285237499</v>
      </c>
      <c r="BP67" s="3">
        <f ca="1">IFERROR(__xludf.DUMMYFUNCTION("""COMPUTED_VALUE"""),-0.652293737969169)</f>
        <v>-0.65229373796916901</v>
      </c>
      <c r="BQ67" s="3">
        <f ca="1">IFERROR(__xludf.DUMMYFUNCTION("""COMPUTED_VALUE"""),-0.752940978629883)</f>
        <v>-0.75294097862988296</v>
      </c>
      <c r="BR67" s="3">
        <f ca="1">IFERROR(__xludf.DUMMYFUNCTION("""COMPUTED_VALUE"""),-0.778238281505404)</f>
        <v>-0.77823828150540397</v>
      </c>
      <c r="BS67" s="3">
        <f ca="1">IFERROR(__xludf.DUMMYFUNCTION("""COMPUTED_VALUE"""),-0.566741492258365)</f>
        <v>-0.56674149225836501</v>
      </c>
      <c r="BT67" s="3">
        <f ca="1">IFERROR(__xludf.DUMMYFUNCTION("""COMPUTED_VALUE"""),-0.624711878812768)</f>
        <v>-0.62471187881276802</v>
      </c>
      <c r="BU67" s="3">
        <f ca="1">IFERROR(__xludf.DUMMYFUNCTION("""COMPUTED_VALUE"""),-0.716747406327585)</f>
        <v>-0.71674740632758505</v>
      </c>
      <c r="BV67" s="3">
        <f ca="1">IFERROR(__xludf.DUMMYFUNCTION("""COMPUTED_VALUE"""),-0.673095556171264)</f>
        <v>-0.67309555617126404</v>
      </c>
      <c r="BW67" s="3">
        <f ca="1">IFERROR(__xludf.DUMMYFUNCTION("""COMPUTED_VALUE"""),-0.691929584025566)</f>
        <v>-0.69192958402556604</v>
      </c>
      <c r="BX67" s="3">
        <f ca="1">IFERROR(__xludf.DUMMYFUNCTION("""COMPUTED_VALUE"""),-0.676245304378838)</f>
        <v>-0.67624530437883801</v>
      </c>
      <c r="BY67" s="3">
        <f ca="1">IFERROR(__xludf.DUMMYFUNCTION("""COMPUTED_VALUE"""),-0.663799685562393)</f>
        <v>-0.66379968556239299</v>
      </c>
      <c r="BZ67" s="3">
        <f ca="1">IFERROR(__xludf.DUMMYFUNCTION("""COMPUTED_VALUE"""),-0.537683589980684)</f>
        <v>-0.537683589980684</v>
      </c>
      <c r="CA67" s="3">
        <f ca="1">IFERROR(__xludf.DUMMYFUNCTION("""COMPUTED_VALUE"""),-0.58802176200682)</f>
        <v>-0.58802176200681999</v>
      </c>
      <c r="CB67" s="3">
        <f ca="1">IFERROR(__xludf.DUMMYFUNCTION("""COMPUTED_VALUE"""),-0.649782322567205)</f>
        <v>-0.64978232256720503</v>
      </c>
      <c r="CC67" s="3">
        <f ca="1">IFERROR(__xludf.DUMMYFUNCTION("""COMPUTED_VALUE"""),-0.658352264617107)</f>
        <v>-0.65835226461710705</v>
      </c>
      <c r="CD67" s="3">
        <f ca="1">IFERROR(__xludf.DUMMYFUNCTION("""COMPUTED_VALUE"""),-0.672911450977199)</f>
        <v>-0.67291145097719895</v>
      </c>
      <c r="CE67" s="3">
        <f ca="1">IFERROR(__xludf.DUMMYFUNCTION("""COMPUTED_VALUE"""),-0.669001760516828)</f>
        <v>-0.66900176051682803</v>
      </c>
      <c r="CF67" s="3">
        <f ca="1">IFERROR(__xludf.DUMMYFUNCTION("""COMPUTED_VALUE"""),-0.605380017103559)</f>
        <v>-0.60538001710355904</v>
      </c>
      <c r="CG67" s="3">
        <f ca="1">IFERROR(__xludf.DUMMYFUNCTION("""COMPUTED_VALUE"""),-0.528712061364823)</f>
        <v>-0.52871206136482296</v>
      </c>
      <c r="CH67" s="3">
        <f ca="1">IFERROR(__xludf.DUMMYFUNCTION("""COMPUTED_VALUE"""),-0.599453473110949)</f>
        <v>-0.59945347311094899</v>
      </c>
      <c r="CI67" s="3">
        <f ca="1">IFERROR(__xludf.DUMMYFUNCTION("""COMPUTED_VALUE"""),-0.654541522638033)</f>
        <v>-0.654541522638033</v>
      </c>
      <c r="CJ67" s="3">
        <f ca="1">IFERROR(__xludf.DUMMYFUNCTION("""COMPUTED_VALUE"""),-0.669146924749497)</f>
        <v>-0.669146924749497</v>
      </c>
      <c r="CK67" s="3">
        <f ca="1">IFERROR(__xludf.DUMMYFUNCTION("""COMPUTED_VALUE"""),-0.686431832432463)</f>
        <v>-0.68643183243246297</v>
      </c>
      <c r="CL67" s="3">
        <f ca="1">IFERROR(__xludf.DUMMYFUNCTION("""COMPUTED_VALUE"""),-0.710213632769578)</f>
        <v>-0.71021363276957805</v>
      </c>
      <c r="CM67" s="3">
        <f ca="1">IFERROR(__xludf.DUMMYFUNCTION("""COMPUTED_VALUE"""),-0.656393427622984)</f>
        <v>-0.65639342762298403</v>
      </c>
      <c r="CN67" s="3">
        <f ca="1">IFERROR(__xludf.DUMMYFUNCTION("""COMPUTED_VALUE"""),-0.583437681106087)</f>
        <v>-0.58343768110608696</v>
      </c>
      <c r="CO67" s="3">
        <f ca="1">IFERROR(__xludf.DUMMYFUNCTION("""COMPUTED_VALUE"""),-0.576587335690624)</f>
        <v>-0.57658733569062404</v>
      </c>
      <c r="CP67" s="3">
        <f ca="1">IFERROR(__xludf.DUMMYFUNCTION("""COMPUTED_VALUE"""),-0.6881532987355)</f>
        <v>-0.68815329873550002</v>
      </c>
      <c r="CQ67" s="3">
        <f ca="1">IFERROR(__xludf.DUMMYFUNCTION("""COMPUTED_VALUE"""),-0.668265202793494)</f>
        <v>-0.668265202793494</v>
      </c>
      <c r="CR67" s="3">
        <f ca="1">IFERROR(__xludf.DUMMYFUNCTION("""COMPUTED_VALUE"""),-0.641560669602031)</f>
        <v>-0.64156066960203095</v>
      </c>
      <c r="CS67" s="3">
        <f ca="1">IFERROR(__xludf.DUMMYFUNCTION("""COMPUTED_VALUE"""),-0.685467362656202)</f>
        <v>-0.68546736265620201</v>
      </c>
      <c r="CT67" s="3">
        <f ca="1">IFERROR(__xludf.DUMMYFUNCTION("""COMPUTED_VALUE"""),-0.673995400313913)</f>
        <v>-0.67399540031391303</v>
      </c>
      <c r="CU67" s="3">
        <f ca="1">IFERROR(__xludf.DUMMYFUNCTION("""COMPUTED_VALUE"""),-0.58073177860513)</f>
        <v>-0.58073177860513003</v>
      </c>
      <c r="CV67" s="3">
        <f ca="1">IFERROR(__xludf.DUMMYFUNCTION("""COMPUTED_VALUE"""),-0.586158748326729)</f>
        <v>-0.58615874832672898</v>
      </c>
      <c r="CW67" s="3">
        <f ca="1">IFERROR(__xludf.DUMMYFUNCTION("""COMPUTED_VALUE"""),-0.742961208788027)</f>
        <v>-0.74296120878802696</v>
      </c>
      <c r="CX67" s="3">
        <f ca="1">IFERROR(__xludf.DUMMYFUNCTION("""COMPUTED_VALUE"""),-0.661883324400355)</f>
        <v>-0.66188332440035502</v>
      </c>
      <c r="CY67" s="3">
        <f ca="1">IFERROR(__xludf.DUMMYFUNCTION("""COMPUTED_VALUE"""),-0.474365657043665)</f>
        <v>-0.47436565704366501</v>
      </c>
      <c r="CZ67" s="3">
        <f ca="1">IFERROR(__xludf.DUMMYFUNCTION("""COMPUTED_VALUE"""),-0.666668246267024)</f>
        <v>-0.66666824626702403</v>
      </c>
      <c r="DA67" s="3">
        <f ca="1">IFERROR(__xludf.DUMMYFUNCTION("""COMPUTED_VALUE"""),-0.640858111378511)</f>
        <v>-0.64085811137851101</v>
      </c>
      <c r="DB67" s="3">
        <f ca="1">IFERROR(__xludf.DUMMYFUNCTION("""COMPUTED_VALUE"""),-0.566221784003707)</f>
        <v>-0.56622178400370704</v>
      </c>
      <c r="DC67" s="3">
        <f ca="1">IFERROR(__xludf.DUMMYFUNCTION("""COMPUTED_VALUE"""),-0.612177481851071)</f>
        <v>-0.61217748185107101</v>
      </c>
      <c r="DD67" s="3">
        <f ca="1">IFERROR(__xludf.DUMMYFUNCTION("""COMPUTED_VALUE"""),-0.900266746993287)</f>
        <v>-0.90026674699328701</v>
      </c>
      <c r="DE67" s="3">
        <f ca="1">IFERROR(__xludf.DUMMYFUNCTION("""COMPUTED_VALUE"""),-0.685251841337281)</f>
        <v>-0.68525184133728101</v>
      </c>
      <c r="DF67" s="3">
        <f ca="1">IFERROR(__xludf.DUMMYFUNCTION("""COMPUTED_VALUE"""),-0.486659870850341)</f>
        <v>-0.48665987085034101</v>
      </c>
      <c r="DG67" s="3">
        <f ca="1">IFERROR(__xludf.DUMMYFUNCTION("""COMPUTED_VALUE"""),-0.593475494088016)</f>
        <v>-0.59347549408801603</v>
      </c>
      <c r="DH67" s="3">
        <f ca="1">IFERROR(__xludf.DUMMYFUNCTION("""COMPUTED_VALUE"""),-0.643427407983477)</f>
        <v>-0.64342740798347697</v>
      </c>
      <c r="DI67" s="3">
        <f ca="1">IFERROR(__xludf.DUMMYFUNCTION("""COMPUTED_VALUE"""),-0.597778101651752)</f>
        <v>-0.59777810165175205</v>
      </c>
      <c r="DJ67" s="3">
        <f ca="1">IFERROR(__xludf.DUMMYFUNCTION("""COMPUTED_VALUE"""),-0.601367573622996)</f>
        <v>-0.60136757362299598</v>
      </c>
      <c r="DK67" s="3">
        <f ca="1">IFERROR(__xludf.DUMMYFUNCTION("""COMPUTED_VALUE"""),-0.694083817849867)</f>
        <v>-0.69408381784986695</v>
      </c>
      <c r="DL67" s="3">
        <f ca="1">IFERROR(__xludf.DUMMYFUNCTION("""COMPUTED_VALUE"""),-0.80324656324481)</f>
        <v>-0.80324656324481003</v>
      </c>
      <c r="DM67" s="3">
        <f ca="1">IFERROR(__xludf.DUMMYFUNCTION("""COMPUTED_VALUE"""),-0.631731734001366)</f>
        <v>-0.63173173400136595</v>
      </c>
      <c r="DN67" s="3">
        <f ca="1">IFERROR(__xludf.DUMMYFUNCTION("""COMPUTED_VALUE"""),-0.656067720046016)</f>
        <v>-0.65606772004601599</v>
      </c>
      <c r="DO67" s="3">
        <f ca="1">IFERROR(__xludf.DUMMYFUNCTION("""COMPUTED_VALUE"""),-0.716797004641617)</f>
        <v>-0.716797004641617</v>
      </c>
      <c r="DP67" s="3">
        <f ca="1">IFERROR(__xludf.DUMMYFUNCTION("""COMPUTED_VALUE"""),-0.577208221097354)</f>
        <v>-0.57720822109735404</v>
      </c>
      <c r="DQ67" s="3">
        <f ca="1">IFERROR(__xludf.DUMMYFUNCTION("""COMPUTED_VALUE"""),-0.682602057086625)</f>
        <v>-0.68260205708662502</v>
      </c>
      <c r="DR67" s="3">
        <f ca="1">IFERROR(__xludf.DUMMYFUNCTION("""COMPUTED_VALUE"""),-0.729461679203797)</f>
        <v>-0.72946167920379701</v>
      </c>
      <c r="DS67" s="3">
        <f ca="1">IFERROR(__xludf.DUMMYFUNCTION("""COMPUTED_VALUE"""),-0.733323299932546)</f>
        <v>-0.73332329993254597</v>
      </c>
      <c r="DT67" s="3">
        <f ca="1">IFERROR(__xludf.DUMMYFUNCTION("""COMPUTED_VALUE"""),-0.735917630610115)</f>
        <v>-0.73591763061011495</v>
      </c>
      <c r="DU67" s="3">
        <f ca="1">IFERROR(__xludf.DUMMYFUNCTION("""COMPUTED_VALUE"""),-0.716873948339166)</f>
        <v>-0.71687394833916596</v>
      </c>
      <c r="DV67" s="3">
        <f ca="1">IFERROR(__xludf.DUMMYFUNCTION("""COMPUTED_VALUE"""),-0.733974345583354)</f>
        <v>-0.73397434558335395</v>
      </c>
      <c r="DW67" s="3">
        <f ca="1">IFERROR(__xludf.DUMMYFUNCTION("""COMPUTED_VALUE"""),-0.586066764395831)</f>
        <v>-0.58606676439583105</v>
      </c>
      <c r="DX67" s="3">
        <f ca="1">IFERROR(__xludf.DUMMYFUNCTION("""COMPUTED_VALUE"""),-0.729300036908551)</f>
        <v>-0.72930003690855105</v>
      </c>
      <c r="DY67" s="3">
        <f ca="1">IFERROR(__xludf.DUMMYFUNCTION("""COMPUTED_VALUE"""),-0.673728019540601)</f>
        <v>-0.67372801954060102</v>
      </c>
      <c r="DZ67" s="3">
        <f ca="1">IFERROR(__xludf.DUMMYFUNCTION("""COMPUTED_VALUE"""),-0.654092954014276)</f>
        <v>-0.65409295401427603</v>
      </c>
      <c r="EA67" s="3">
        <f ca="1">IFERROR(__xludf.DUMMYFUNCTION("""COMPUTED_VALUE"""),-0.719536599349871)</f>
        <v>-0.71953659934987102</v>
      </c>
      <c r="EB67" s="3">
        <f ca="1">IFERROR(__xludf.DUMMYFUNCTION("""COMPUTED_VALUE"""),-0.723815212014195)</f>
        <v>-0.72381521201419496</v>
      </c>
      <c r="EC67" s="3">
        <f ca="1">IFERROR(__xludf.DUMMYFUNCTION("""COMPUTED_VALUE"""),-0.773594040810511)</f>
        <v>-0.77359404081051097</v>
      </c>
      <c r="ED67" s="3">
        <f ca="1">IFERROR(__xludf.DUMMYFUNCTION("""COMPUTED_VALUE"""),-0.518066333652188)</f>
        <v>-0.51806633365218802</v>
      </c>
      <c r="EE67" s="3">
        <f ca="1">IFERROR(__xludf.DUMMYFUNCTION("""COMPUTED_VALUE"""),-0.621017051184841)</f>
        <v>-0.62101705118484096</v>
      </c>
      <c r="EF67" s="3">
        <f ca="1">IFERROR(__xludf.DUMMYFUNCTION("""COMPUTED_VALUE"""),-0.693312636922674)</f>
        <v>-0.69331263692267397</v>
      </c>
      <c r="EG67" s="3">
        <f ca="1">IFERROR(__xludf.DUMMYFUNCTION("""COMPUTED_VALUE"""),-0.858319746096332)</f>
        <v>-0.85831974609633199</v>
      </c>
      <c r="EH67" s="3">
        <f ca="1">IFERROR(__xludf.DUMMYFUNCTION("""COMPUTED_VALUE"""),-0.730758357642166)</f>
        <v>-0.73075835764216601</v>
      </c>
      <c r="EI67" s="3">
        <f ca="1">IFERROR(__xludf.DUMMYFUNCTION("""COMPUTED_VALUE"""),-0.668575151655748)</f>
        <v>-0.66857515165574799</v>
      </c>
      <c r="EJ67" s="3">
        <f ca="1">IFERROR(__xludf.DUMMYFUNCTION("""COMPUTED_VALUE"""),-0.725526156028855)</f>
        <v>-0.72552615602885495</v>
      </c>
      <c r="EK67" s="3">
        <f ca="1">IFERROR(__xludf.DUMMYFUNCTION("""COMPUTED_VALUE"""),-0.540348468243864)</f>
        <v>-0.54034846824386396</v>
      </c>
      <c r="EL67" s="3">
        <f ca="1">IFERROR(__xludf.DUMMYFUNCTION("""COMPUTED_VALUE"""),-0.555691926367591)</f>
        <v>-0.55569192636759102</v>
      </c>
      <c r="EM67" s="3">
        <f ca="1">IFERROR(__xludf.DUMMYFUNCTION("""COMPUTED_VALUE"""),-0.615222900017702)</f>
        <v>-0.61522290001770197</v>
      </c>
      <c r="EN67" s="3">
        <f ca="1">IFERROR(__xludf.DUMMYFUNCTION("""COMPUTED_VALUE"""),-0.581817509241505)</f>
        <v>-0.58181750924150499</v>
      </c>
      <c r="EO67" s="3">
        <f ca="1">IFERROR(__xludf.DUMMYFUNCTION("""COMPUTED_VALUE"""),-0.69040174927161)</f>
        <v>-0.69040174927161002</v>
      </c>
      <c r="EP67" s="3">
        <f ca="1">IFERROR(__xludf.DUMMYFUNCTION("""COMPUTED_VALUE"""),-0.681003983855114)</f>
        <v>-0.68100398385511396</v>
      </c>
      <c r="EQ67" s="3">
        <f ca="1">IFERROR(__xludf.DUMMYFUNCTION("""COMPUTED_VALUE"""),-0.673965946122146)</f>
        <v>-0.673965946122146</v>
      </c>
      <c r="ER67" s="3">
        <f ca="1">IFERROR(__xludf.DUMMYFUNCTION("""COMPUTED_VALUE"""),-0.489479682348089)</f>
        <v>-0.48947968234808897</v>
      </c>
      <c r="ES67" s="3">
        <f ca="1">IFERROR(__xludf.DUMMYFUNCTION("""COMPUTED_VALUE"""),-0.525113016285253)</f>
        <v>-0.52511301628525298</v>
      </c>
      <c r="ET67" s="3">
        <f ca="1">IFERROR(__xludf.DUMMYFUNCTION("""COMPUTED_VALUE"""),-0.649579100189869)</f>
        <v>-0.64957910018986897</v>
      </c>
      <c r="EU67" s="3">
        <f ca="1">IFERROR(__xludf.DUMMYFUNCTION("""COMPUTED_VALUE"""),-0.672879685125129)</f>
        <v>-0.67287968512512897</v>
      </c>
      <c r="EV67" s="3">
        <f ca="1">IFERROR(__xludf.DUMMYFUNCTION("""COMPUTED_VALUE"""),-0.682504336135245)</f>
        <v>-0.68250433613524497</v>
      </c>
      <c r="EW67" s="3">
        <f ca="1">IFERROR(__xludf.DUMMYFUNCTION("""COMPUTED_VALUE"""),-0.66237225536237)</f>
        <v>-0.66237225536236999</v>
      </c>
      <c r="EX67" s="3">
        <f ca="1">IFERROR(__xludf.DUMMYFUNCTION("""COMPUTED_VALUE"""),-0.635162830658179)</f>
        <v>-0.63516283065817902</v>
      </c>
      <c r="EY67" s="3">
        <f ca="1">IFERROR(__xludf.DUMMYFUNCTION("""COMPUTED_VALUE"""),-0.554459926693548)</f>
        <v>-0.55445992669354804</v>
      </c>
      <c r="EZ67" s="3">
        <f ca="1">IFERROR(__xludf.DUMMYFUNCTION("""COMPUTED_VALUE"""),-0.556054637731219)</f>
        <v>-0.55605463773121899</v>
      </c>
      <c r="FA67" s="3">
        <f ca="1">IFERROR(__xludf.DUMMYFUNCTION("""COMPUTED_VALUE"""),-0.638696063170158)</f>
        <v>-0.63869606317015803</v>
      </c>
      <c r="FB67" s="3">
        <f ca="1">IFERROR(__xludf.DUMMYFUNCTION("""COMPUTED_VALUE"""),-0.677387803010472)</f>
        <v>-0.67738780301047197</v>
      </c>
      <c r="FC67" s="3">
        <f ca="1">IFERROR(__xludf.DUMMYFUNCTION("""COMPUTED_VALUE"""),-0.689684334575246)</f>
        <v>-0.68968433457524603</v>
      </c>
      <c r="FD67" s="3">
        <f ca="1">IFERROR(__xludf.DUMMYFUNCTION("""COMPUTED_VALUE"""),-0.693856975532214)</f>
        <v>-0.69385697553221404</v>
      </c>
      <c r="FE67" s="3">
        <f ca="1">IFERROR(__xludf.DUMMYFUNCTION("""COMPUTED_VALUE"""),-0.62623104109833)</f>
        <v>-0.62623104109833005</v>
      </c>
      <c r="FF67" s="3">
        <f ca="1">IFERROR(__xludf.DUMMYFUNCTION("""COMPUTED_VALUE"""),-0.544249036094282)</f>
        <v>-0.54424903609428199</v>
      </c>
      <c r="FG67" s="3">
        <f ca="1">IFERROR(__xludf.DUMMYFUNCTION("""COMPUTED_VALUE"""),-0.545164402789987)</f>
        <v>-0.54516440278998701</v>
      </c>
      <c r="FH67" s="3">
        <f ca="1">IFERROR(__xludf.DUMMYFUNCTION("""COMPUTED_VALUE"""),-0.720262982809476)</f>
        <v>-0.72026298280947598</v>
      </c>
      <c r="FI67" s="3">
        <f ca="1">IFERROR(__xludf.DUMMYFUNCTION("""COMPUTED_VALUE"""),-0.710416849448006)</f>
        <v>-0.71041684944800598</v>
      </c>
      <c r="FJ67" s="3">
        <f ca="1">IFERROR(__xludf.DUMMYFUNCTION("""COMPUTED_VALUE"""),-0.691244339845767)</f>
        <v>-0.69124433984576705</v>
      </c>
      <c r="FK67" s="3">
        <f ca="1">IFERROR(__xludf.DUMMYFUNCTION("""COMPUTED_VALUE"""),-0.657001433451306)</f>
        <v>-0.65700143345130602</v>
      </c>
      <c r="FL67" s="3">
        <f ca="1">IFERROR(__xludf.DUMMYFUNCTION("""COMPUTED_VALUE"""),-0.675137741209753)</f>
        <v>-0.67513774120975301</v>
      </c>
      <c r="FM67" s="3">
        <f ca="1">IFERROR(__xludf.DUMMYFUNCTION("""COMPUTED_VALUE"""),-0.533406093847665)</f>
        <v>-0.53340609384766502</v>
      </c>
      <c r="FN67" s="3">
        <f ca="1">IFERROR(__xludf.DUMMYFUNCTION("""COMPUTED_VALUE"""),-0.575450128133029)</f>
        <v>-0.57545012813302898</v>
      </c>
      <c r="FO67" s="3">
        <f ca="1">IFERROR(__xludf.DUMMYFUNCTION("""COMPUTED_VALUE"""),-0.659066179677115)</f>
        <v>-0.659066179677115</v>
      </c>
      <c r="FP67" s="3">
        <f ca="1">IFERROR(__xludf.DUMMYFUNCTION("""COMPUTED_VALUE"""),-0.664962080994347)</f>
        <v>-0.66496208099434695</v>
      </c>
      <c r="FQ67" s="3">
        <f ca="1">IFERROR(__xludf.DUMMYFUNCTION("""COMPUTED_VALUE"""),-0.67110166523526)</f>
        <v>-0.67110166523526005</v>
      </c>
      <c r="FR67" s="3">
        <f ca="1">IFERROR(__xludf.DUMMYFUNCTION("""COMPUTED_VALUE"""),-0.676143883380147)</f>
        <v>-0.67614388338014697</v>
      </c>
      <c r="FS67" s="3">
        <f ca="1">IFERROR(__xludf.DUMMYFUNCTION("""COMPUTED_VALUE"""),-0.647333053177588)</f>
        <v>-0.64733305317758805</v>
      </c>
      <c r="FT67" s="3">
        <f ca="1">IFERROR(__xludf.DUMMYFUNCTION("""COMPUTED_VALUE"""),-0.519885904018169)</f>
        <v>-0.51988590401816903</v>
      </c>
      <c r="FU67" s="3">
        <f ca="1">IFERROR(__xludf.DUMMYFUNCTION("""COMPUTED_VALUE"""),-0.582924603865623)</f>
        <v>-0.58292460386562295</v>
      </c>
      <c r="FV67" s="3">
        <f ca="1">IFERROR(__xludf.DUMMYFUNCTION("""COMPUTED_VALUE"""),-0.667389246415408)</f>
        <v>-0.66738924641540798</v>
      </c>
      <c r="FW67" s="3">
        <f ca="1">IFERROR(__xludf.DUMMYFUNCTION("""COMPUTED_VALUE"""),-0.657926889428239)</f>
        <v>-0.65792688942823896</v>
      </c>
      <c r="FX67" s="3">
        <f ca="1">IFERROR(__xludf.DUMMYFUNCTION("""COMPUTED_VALUE"""),-0.63201303475408)</f>
        <v>-0.63201303475407999</v>
      </c>
      <c r="FY67" s="3">
        <f ca="1">IFERROR(__xludf.DUMMYFUNCTION("""COMPUTED_VALUE"""),-0.704281359661774)</f>
        <v>-0.70428135966177396</v>
      </c>
      <c r="FZ67" s="3">
        <f ca="1">IFERROR(__xludf.DUMMYFUNCTION("""COMPUTED_VALUE"""),-0.706632044137438)</f>
        <v>-0.70663204413743796</v>
      </c>
      <c r="GA67" s="3">
        <f ca="1">IFERROR(__xludf.DUMMYFUNCTION("""COMPUTED_VALUE"""),-0.503906409329598)</f>
        <v>-0.50390640932959796</v>
      </c>
      <c r="GB67" s="3">
        <f ca="1">IFERROR(__xludf.DUMMYFUNCTION("""COMPUTED_VALUE"""),-0.583689903781728)</f>
        <v>-0.58368990378172803</v>
      </c>
      <c r="GC67" s="3">
        <f ca="1">IFERROR(__xludf.DUMMYFUNCTION("""COMPUTED_VALUE"""),-0.656268793510839)</f>
        <v>-0.656268793510839</v>
      </c>
      <c r="GD67" s="3">
        <f ca="1">IFERROR(__xludf.DUMMYFUNCTION("""COMPUTED_VALUE"""),-0.677975429519301)</f>
        <v>-0.67797542951930101</v>
      </c>
      <c r="GE67" s="3">
        <f ca="1">IFERROR(__xludf.DUMMYFUNCTION("""COMPUTED_VALUE"""),-0.684504217024877)</f>
        <v>-0.68450421702487696</v>
      </c>
      <c r="GF67" s="3">
        <f ca="1">IFERROR(__xludf.DUMMYFUNCTION("""COMPUTED_VALUE"""),-0.679774013201781)</f>
        <v>-0.67977401320178099</v>
      </c>
      <c r="GG67" s="3">
        <f ca="1">IFERROR(__xludf.DUMMYFUNCTION("""COMPUTED_VALUE"""),-0.645653723257588)</f>
        <v>-0.64565372325758796</v>
      </c>
      <c r="GH67" s="3">
        <f ca="1">IFERROR(__xludf.DUMMYFUNCTION("""COMPUTED_VALUE"""),-0.507254880402591)</f>
        <v>-0.50725488040259104</v>
      </c>
      <c r="GI67" s="3">
        <f ca="1">IFERROR(__xludf.DUMMYFUNCTION("""COMPUTED_VALUE"""),-0.579673120961553)</f>
        <v>-0.57967312096155299</v>
      </c>
      <c r="GJ67" s="3">
        <f ca="1">IFERROR(__xludf.DUMMYFUNCTION("""COMPUTED_VALUE"""),-0.662395836131473)</f>
        <v>-0.66239583613147301</v>
      </c>
      <c r="GK67" s="3">
        <f ca="1">IFERROR(__xludf.DUMMYFUNCTION("""COMPUTED_VALUE"""),-0.648478343055272)</f>
        <v>-0.64847834305527197</v>
      </c>
      <c r="GL67" s="3">
        <f ca="1">IFERROR(__xludf.DUMMYFUNCTION("""COMPUTED_VALUE"""),-0.687398309097743)</f>
        <v>-0.68739830909774302</v>
      </c>
      <c r="GM67" s="3">
        <f ca="1">IFERROR(__xludf.DUMMYFUNCTION("""COMPUTED_VALUE"""),-0.686661109793346)</f>
        <v>-0.68666110979334605</v>
      </c>
      <c r="GN67" s="3">
        <f ca="1">IFERROR(__xludf.DUMMYFUNCTION("""COMPUTED_VALUE"""),-0.704203368127754)</f>
        <v>-0.70420336812775397</v>
      </c>
      <c r="GO67" s="3">
        <f ca="1">IFERROR(__xludf.DUMMYFUNCTION("""COMPUTED_VALUE"""),-0.531583493461382)</f>
        <v>-0.53158349346138201</v>
      </c>
      <c r="GP67" s="3">
        <f ca="1">IFERROR(__xludf.DUMMYFUNCTION("""COMPUTED_VALUE"""),-0.595065946689298)</f>
        <v>-0.59506594668929802</v>
      </c>
      <c r="GQ67" s="3">
        <f ca="1">IFERROR(__xludf.DUMMYFUNCTION("""COMPUTED_VALUE"""),-0.665023397522764)</f>
        <v>-0.66502339752276396</v>
      </c>
      <c r="GR67" s="3">
        <f ca="1">IFERROR(__xludf.DUMMYFUNCTION("""COMPUTED_VALUE"""),-0.673317320766229)</f>
        <v>-0.67331732076622897</v>
      </c>
      <c r="GS67" s="3">
        <f ca="1">IFERROR(__xludf.DUMMYFUNCTION("""COMPUTED_VALUE"""),-0.687877073066133)</f>
        <v>-0.68787707306613299</v>
      </c>
      <c r="GT67" s="3">
        <f ca="1">IFERROR(__xludf.DUMMYFUNCTION("""COMPUTED_VALUE"""),-0.686389010686271)</f>
        <v>-0.68638901068627101</v>
      </c>
      <c r="GU67" s="3">
        <f ca="1">IFERROR(__xludf.DUMMYFUNCTION("""COMPUTED_VALUE"""),-0.675407760996845)</f>
        <v>-0.67540776099684496</v>
      </c>
      <c r="GV67" s="3">
        <f ca="1">IFERROR(__xludf.DUMMYFUNCTION("""COMPUTED_VALUE"""),-0.540879053840783)</f>
        <v>-0.54087905384078305</v>
      </c>
      <c r="GW67" s="3">
        <f ca="1">IFERROR(__xludf.DUMMYFUNCTION("""COMPUTED_VALUE"""),-0.57859585431027)</f>
        <v>-0.57859585431027005</v>
      </c>
      <c r="GX67" s="3">
        <f ca="1">IFERROR(__xludf.DUMMYFUNCTION("""COMPUTED_VALUE"""),-0.668522691362822)</f>
        <v>-0.66852269136282205</v>
      </c>
      <c r="GY67" s="3">
        <f ca="1">IFERROR(__xludf.DUMMYFUNCTION("""COMPUTED_VALUE"""),-0.654716723501893)</f>
        <v>-0.65471672350189303</v>
      </c>
      <c r="GZ67" s="3">
        <f ca="1">IFERROR(__xludf.DUMMYFUNCTION("""COMPUTED_VALUE"""),-0.66959598403135)</f>
        <v>-0.66959598403135001</v>
      </c>
      <c r="HA67" s="3">
        <f ca="1">IFERROR(__xludf.DUMMYFUNCTION("""COMPUTED_VALUE"""),-0.678166518254742)</f>
        <v>-0.67816651825474195</v>
      </c>
      <c r="HB67" s="3">
        <f ca="1">IFERROR(__xludf.DUMMYFUNCTION("""COMPUTED_VALUE"""),-0.667434021796111)</f>
        <v>-0.667434021796111</v>
      </c>
      <c r="HC67" s="3">
        <f ca="1">IFERROR(__xludf.DUMMYFUNCTION("""COMPUTED_VALUE"""),-0.509742323684432)</f>
        <v>-0.50974232368443195</v>
      </c>
      <c r="HD67" s="3">
        <f ca="1">IFERROR(__xludf.DUMMYFUNCTION("""COMPUTED_VALUE"""),-0.528259358704603)</f>
        <v>-0.52825935870460305</v>
      </c>
      <c r="HE67" s="3">
        <f ca="1">IFERROR(__xludf.DUMMYFUNCTION("""COMPUTED_VALUE"""),-0.67029089604152)</f>
        <v>-0.67029089604152003</v>
      </c>
      <c r="HF67" s="3">
        <f ca="1">IFERROR(__xludf.DUMMYFUNCTION("""COMPUTED_VALUE"""),-0.721486281624732)</f>
        <v>-0.72148628162473205</v>
      </c>
      <c r="HG67" s="3">
        <f ca="1">IFERROR(__xludf.DUMMYFUNCTION("""COMPUTED_VALUE"""),-0.667252595649531)</f>
        <v>-0.66725259564953099</v>
      </c>
      <c r="HH67" s="3">
        <f ca="1">IFERROR(__xludf.DUMMYFUNCTION("""COMPUTED_VALUE"""),-0.687583303928997)</f>
        <v>-0.68758330392899702</v>
      </c>
      <c r="HI67" s="3">
        <f ca="1">IFERROR(__xludf.DUMMYFUNCTION("""COMPUTED_VALUE"""),-0.673470257534539)</f>
        <v>-0.67347025753453904</v>
      </c>
      <c r="HJ67" s="3">
        <f ca="1">IFERROR(__xludf.DUMMYFUNCTION("""COMPUTED_VALUE"""),-0.4678198884621)</f>
        <v>-0.46781988846209999</v>
      </c>
      <c r="HK67" s="3">
        <f ca="1">IFERROR(__xludf.DUMMYFUNCTION("""COMPUTED_VALUE"""),-0.498640727947278)</f>
        <v>-0.49864072794727798</v>
      </c>
      <c r="HL67" s="3">
        <f ca="1">IFERROR(__xludf.DUMMYFUNCTION("""COMPUTED_VALUE"""),-0.645238353829268)</f>
        <v>-0.64523835382926797</v>
      </c>
      <c r="HM67" s="3">
        <f ca="1">IFERROR(__xludf.DUMMYFUNCTION("""COMPUTED_VALUE"""),-0.681636394132585)</f>
        <v>-0.68163639413258503</v>
      </c>
      <c r="HN67" s="3">
        <f ca="1">IFERROR(__xludf.DUMMYFUNCTION("""COMPUTED_VALUE"""),-0.717397513845554)</f>
        <v>-0.71739751384555395</v>
      </c>
      <c r="HO67" s="3">
        <f ca="1">IFERROR(__xludf.DUMMYFUNCTION("""COMPUTED_VALUE"""),-0.649252918618566)</f>
        <v>-0.64925291861856604</v>
      </c>
      <c r="HP67" s="3">
        <f ca="1">IFERROR(__xludf.DUMMYFUNCTION("""COMPUTED_VALUE"""),-0.611580764221844)</f>
        <v>-0.61158076422184404</v>
      </c>
      <c r="HQ67" s="3">
        <f ca="1">IFERROR(__xludf.DUMMYFUNCTION("""COMPUTED_VALUE"""),-0.446145940572872)</f>
        <v>-0.44614594057287199</v>
      </c>
      <c r="HR67" s="3">
        <f ca="1">IFERROR(__xludf.DUMMYFUNCTION("""COMPUTED_VALUE"""),-0.568142185038479)</f>
        <v>-0.56814218503847902</v>
      </c>
      <c r="HS67" s="3">
        <f ca="1">IFERROR(__xludf.DUMMYFUNCTION("""COMPUTED_VALUE"""),-0.611134847339163)</f>
        <v>-0.61113484733916301</v>
      </c>
      <c r="HT67" s="3">
        <f ca="1">IFERROR(__xludf.DUMMYFUNCTION("""COMPUTED_VALUE"""),-0.706984132126007)</f>
        <v>-0.70698413212600697</v>
      </c>
      <c r="HU67" s="3">
        <f ca="1">IFERROR(__xludf.DUMMYFUNCTION("""COMPUTED_VALUE"""),-0.635643195778686)</f>
        <v>-0.635643195778686</v>
      </c>
      <c r="HV67" s="3">
        <f ca="1">IFERROR(__xludf.DUMMYFUNCTION("""COMPUTED_VALUE"""),-0.666940717554378)</f>
        <v>-0.666940717554378</v>
      </c>
      <c r="HW67" s="3">
        <f ca="1">IFERROR(__xludf.DUMMYFUNCTION("""COMPUTED_VALUE"""),-0.551316081819999)</f>
        <v>-0.55131608181999903</v>
      </c>
      <c r="HX67" s="3">
        <f ca="1">IFERROR(__xludf.DUMMYFUNCTION("""COMPUTED_VALUE"""),-0.451629479293255)</f>
        <v>-0.45162947929325498</v>
      </c>
      <c r="HY67" s="3">
        <f ca="1">IFERROR(__xludf.DUMMYFUNCTION("""COMPUTED_VALUE"""),-0.498954470947768)</f>
        <v>-0.49895447094776801</v>
      </c>
      <c r="HZ67" s="3">
        <f ca="1">IFERROR(__xludf.DUMMYFUNCTION("""COMPUTED_VALUE"""),-0.583013628651901)</f>
        <v>-0.58301362865190098</v>
      </c>
      <c r="IA67" s="3">
        <f ca="1">IFERROR(__xludf.DUMMYFUNCTION("""COMPUTED_VALUE"""),-0.565544163335676)</f>
        <v>-0.56554416333567603</v>
      </c>
      <c r="IB67" s="3">
        <f ca="1">IFERROR(__xludf.DUMMYFUNCTION("""COMPUTED_VALUE"""),-0.604824039092321)</f>
        <v>-0.60482403909232096</v>
      </c>
      <c r="IC67" s="3">
        <f ca="1">IFERROR(__xludf.DUMMYFUNCTION("""COMPUTED_VALUE"""),-0.547761187147972)</f>
        <v>-0.54776118714797195</v>
      </c>
      <c r="ID67" s="3">
        <f ca="1">IFERROR(__xludf.DUMMYFUNCTION("""COMPUTED_VALUE"""),-0.58177592278891)</f>
        <v>-0.58177592278890999</v>
      </c>
      <c r="IE67" s="3">
        <f ca="1">IFERROR(__xludf.DUMMYFUNCTION("""COMPUTED_VALUE"""),-0.497643114979566)</f>
        <v>-0.49764311497956598</v>
      </c>
      <c r="IF67" s="3">
        <f ca="1">IFERROR(__xludf.DUMMYFUNCTION("""COMPUTED_VALUE"""),-0.489423644476775)</f>
        <v>-0.489423644476775</v>
      </c>
      <c r="IG67" s="3">
        <f ca="1">IFERROR(__xludf.DUMMYFUNCTION("""COMPUTED_VALUE"""),-0.557609731609445)</f>
        <v>-0.55760973160944505</v>
      </c>
      <c r="IH67" s="3">
        <f ca="1">IFERROR(__xludf.DUMMYFUNCTION("""COMPUTED_VALUE"""),-0.558121152153782)</f>
        <v>-0.558121152153782</v>
      </c>
      <c r="II67" s="3">
        <f ca="1">IFERROR(__xludf.DUMMYFUNCTION("""COMPUTED_VALUE"""),-0.580730007012535)</f>
        <v>-0.58073000701253497</v>
      </c>
      <c r="IJ67" s="3">
        <f ca="1">IFERROR(__xludf.DUMMYFUNCTION("""COMPUTED_VALUE"""),-0.550866162405999)</f>
        <v>-0.55086616240599895</v>
      </c>
      <c r="IK67" s="3">
        <f ca="1">IFERROR(__xludf.DUMMYFUNCTION("""COMPUTED_VALUE"""),-0.51627966450994)</f>
        <v>-0.51627966450994001</v>
      </c>
      <c r="IL67" s="3">
        <f ca="1">IFERROR(__xludf.DUMMYFUNCTION("""COMPUTED_VALUE"""),-0.428253156424096)</f>
        <v>-0.428253156424096</v>
      </c>
      <c r="IM67" s="3">
        <f ca="1">IFERROR(__xludf.DUMMYFUNCTION("""COMPUTED_VALUE"""),-0.471092376213434)</f>
        <v>-0.47109237621343403</v>
      </c>
      <c r="IN67" s="3">
        <f ca="1">IFERROR(__xludf.DUMMYFUNCTION("""COMPUTED_VALUE"""),-0.605248902773064)</f>
        <v>-0.60524890277306398</v>
      </c>
      <c r="IO67" s="3">
        <f ca="1">IFERROR(__xludf.DUMMYFUNCTION("""COMPUTED_VALUE"""),-0.568216668392053)</f>
        <v>-0.56821666839205298</v>
      </c>
      <c r="IP67" s="3">
        <f ca="1">IFERROR(__xludf.DUMMYFUNCTION("""COMPUTED_VALUE"""),-0.559079530611805)</f>
        <v>-0.55907953061180504</v>
      </c>
      <c r="IQ67" s="3">
        <f ca="1">IFERROR(__xludf.DUMMYFUNCTION("""COMPUTED_VALUE"""),-0.59571388451802)</f>
        <v>-0.59571388451801999</v>
      </c>
      <c r="IR67" s="3">
        <f ca="1">IFERROR(__xludf.DUMMYFUNCTION("""COMPUTED_VALUE"""),-0.540958899185558)</f>
        <v>-0.54095889918555795</v>
      </c>
      <c r="IS67" s="3">
        <f ca="1">IFERROR(__xludf.DUMMYFUNCTION("""COMPUTED_VALUE"""),-0.399602445303619)</f>
        <v>-0.39960244530361899</v>
      </c>
      <c r="IT67" s="3">
        <f ca="1">IFERROR(__xludf.DUMMYFUNCTION("""COMPUTED_VALUE"""),-0.449720600734474)</f>
        <v>-0.44972060073447401</v>
      </c>
      <c r="IU67" s="3">
        <f ca="1">IFERROR(__xludf.DUMMYFUNCTION("""COMPUTED_VALUE"""),-0.568330168061373)</f>
        <v>-0.56833016806137304</v>
      </c>
      <c r="IV67" s="3">
        <f ca="1">IFERROR(__xludf.DUMMYFUNCTION("""COMPUTED_VALUE"""),-0.604296113456117)</f>
        <v>-0.604296113456117</v>
      </c>
      <c r="IW67" s="3">
        <f ca="1">IFERROR(__xludf.DUMMYFUNCTION("""COMPUTED_VALUE"""),-0.5561533775406)</f>
        <v>-0.55615337754060001</v>
      </c>
      <c r="IX67" s="3">
        <f ca="1">IFERROR(__xludf.DUMMYFUNCTION("""COMPUTED_VALUE"""),-0.588667996685332)</f>
        <v>-0.58866799668533198</v>
      </c>
      <c r="IY67" s="3">
        <f ca="1">IFERROR(__xludf.DUMMYFUNCTION("""COMPUTED_VALUE"""),-0.552651641680493)</f>
        <v>-0.55265164168049297</v>
      </c>
      <c r="IZ67" s="3">
        <f ca="1">IFERROR(__xludf.DUMMYFUNCTION("""COMPUTED_VALUE"""),-0.444402758027358)</f>
        <v>-0.44440275802735801</v>
      </c>
      <c r="JA67" s="3">
        <f ca="1">IFERROR(__xludf.DUMMYFUNCTION("""COMPUTED_VALUE"""),-0.480019632257717)</f>
        <v>-0.48001963225771699</v>
      </c>
      <c r="JB67" s="3">
        <f ca="1">IFERROR(__xludf.DUMMYFUNCTION("""COMPUTED_VALUE"""),-0.582117009800359)</f>
        <v>-0.58211700980035896</v>
      </c>
      <c r="JC67" s="3">
        <f ca="1">IFERROR(__xludf.DUMMYFUNCTION("""COMPUTED_VALUE"""),-0.628013732185606)</f>
        <v>-0.62801373218560597</v>
      </c>
      <c r="JD67" s="3">
        <f ca="1">IFERROR(__xludf.DUMMYFUNCTION("""COMPUTED_VALUE"""),-0.609821258087281)</f>
        <v>-0.60982125808728105</v>
      </c>
      <c r="JE67" s="3">
        <f ca="1">IFERROR(__xludf.DUMMYFUNCTION("""COMPUTED_VALUE"""),-0.586918605488754)</f>
        <v>-0.58691860548875396</v>
      </c>
      <c r="JF67" s="3">
        <f ca="1">IFERROR(__xludf.DUMMYFUNCTION("""COMPUTED_VALUE"""),-0.583682797276835)</f>
        <v>-0.58368279727683503</v>
      </c>
      <c r="JG67" s="3">
        <f ca="1">IFERROR(__xludf.DUMMYFUNCTION("""COMPUTED_VALUE"""),-0.474366764523279)</f>
        <v>-0.47436676452327903</v>
      </c>
      <c r="JH67" s="3">
        <f ca="1">IFERROR(__xludf.DUMMYFUNCTION("""COMPUTED_VALUE"""),-0.487152485007529)</f>
        <v>-0.487152485007529</v>
      </c>
      <c r="JI67" s="3">
        <f ca="1">IFERROR(__xludf.DUMMYFUNCTION("""COMPUTED_VALUE"""),-0.613420210182588)</f>
        <v>-0.61342021018258797</v>
      </c>
      <c r="JJ67" s="3">
        <f ca="1">IFERROR(__xludf.DUMMYFUNCTION("""COMPUTED_VALUE"""),-0.585432816382189)</f>
        <v>-0.58543281638218903</v>
      </c>
      <c r="JK67" s="3">
        <f ca="1">IFERROR(__xludf.DUMMYFUNCTION("""COMPUTED_VALUE"""),-0.609280778383464)</f>
        <v>-0.60928077838346395</v>
      </c>
      <c r="JL67" s="3">
        <f ca="1">IFERROR(__xludf.DUMMYFUNCTION("""COMPUTED_VALUE"""),-0.620148551114605)</f>
        <v>-0.62014855111460498</v>
      </c>
      <c r="JM67" s="3">
        <f ca="1">IFERROR(__xludf.DUMMYFUNCTION("""COMPUTED_VALUE"""),-0.605692524397794)</f>
        <v>-0.60569252439779397</v>
      </c>
      <c r="JN67" s="3">
        <f ca="1">IFERROR(__xludf.DUMMYFUNCTION("""COMPUTED_VALUE"""),-0.435626667586416)</f>
        <v>-0.43562666758641599</v>
      </c>
      <c r="JO67" s="3">
        <f ca="1">IFERROR(__xludf.DUMMYFUNCTION("""COMPUTED_VALUE"""),-0.482222215373591)</f>
        <v>-0.482222215373591</v>
      </c>
      <c r="JP67" s="3">
        <f ca="1">IFERROR(__xludf.DUMMYFUNCTION("""COMPUTED_VALUE"""),-0.56261214301497)</f>
        <v>-0.56261214301496998</v>
      </c>
      <c r="JQ67" s="3">
        <f ca="1">IFERROR(__xludf.DUMMYFUNCTION("""COMPUTED_VALUE"""),-0.513367426670698)</f>
        <v>-0.51336742667069801</v>
      </c>
      <c r="JR67" s="3">
        <f ca="1">IFERROR(__xludf.DUMMYFUNCTION("""COMPUTED_VALUE"""),-0.612803296495956)</f>
        <v>-0.612803296495956</v>
      </c>
      <c r="JS67" s="3">
        <f ca="1">IFERROR(__xludf.DUMMYFUNCTION("""COMPUTED_VALUE"""),-0.607081727483297)</f>
        <v>-0.60708172748329703</v>
      </c>
      <c r="JT67" s="3">
        <f ca="1">IFERROR(__xludf.DUMMYFUNCTION("""COMPUTED_VALUE"""),-0.611684026637826)</f>
        <v>-0.61168402663782595</v>
      </c>
      <c r="JU67" s="3">
        <f ca="1">IFERROR(__xludf.DUMMYFUNCTION("""COMPUTED_VALUE"""),-0.477668067385019)</f>
        <v>-0.47766806738501899</v>
      </c>
      <c r="JV67" s="3">
        <f ca="1">IFERROR(__xludf.DUMMYFUNCTION("""COMPUTED_VALUE"""),-0.511289448123014)</f>
        <v>-0.51128944812301402</v>
      </c>
      <c r="JW67" s="3">
        <f ca="1">IFERROR(__xludf.DUMMYFUNCTION("""COMPUTED_VALUE"""),-0.596096426236888)</f>
        <v>-0.59609642623688797</v>
      </c>
      <c r="JX67" s="3">
        <f ca="1">IFERROR(__xludf.DUMMYFUNCTION("""COMPUTED_VALUE"""),-0.509509371210379)</f>
        <v>-0.50950937121037898</v>
      </c>
      <c r="JY67" s="3">
        <f ca="1">IFERROR(__xludf.DUMMYFUNCTION("""COMPUTED_VALUE"""),-0.622600553946542)</f>
        <v>-0.62260055394654201</v>
      </c>
      <c r="JZ67" s="3">
        <f ca="1">IFERROR(__xludf.DUMMYFUNCTION("""COMPUTED_VALUE"""),-0.606364215325923)</f>
        <v>-0.60636421532592299</v>
      </c>
      <c r="KA67" s="3">
        <f ca="1">IFERROR(__xludf.DUMMYFUNCTION("""COMPUTED_VALUE"""),-0.652726343670655)</f>
        <v>-0.65272634367065496</v>
      </c>
      <c r="KB67" s="3">
        <f ca="1">IFERROR(__xludf.DUMMYFUNCTION("""COMPUTED_VALUE"""),-0.473643736532343)</f>
        <v>-0.47364373653234298</v>
      </c>
      <c r="KC67" s="3">
        <f ca="1">IFERROR(__xludf.DUMMYFUNCTION("""COMPUTED_VALUE"""),-0.524863460779532)</f>
        <v>-0.52486346077953205</v>
      </c>
      <c r="KD67" s="3">
        <f ca="1">IFERROR(__xludf.DUMMYFUNCTION("""COMPUTED_VALUE"""),-0.576614559916822)</f>
        <v>-0.57661455991682198</v>
      </c>
      <c r="KE67" s="3">
        <f ca="1">IFERROR(__xludf.DUMMYFUNCTION("""COMPUTED_VALUE"""),-0.565847192631686)</f>
        <v>-0.56584719263168604</v>
      </c>
      <c r="KF67" s="3">
        <f ca="1">IFERROR(__xludf.DUMMYFUNCTION("""COMPUTED_VALUE"""),-0.668974919061281)</f>
        <v>-0.66897491906128104</v>
      </c>
      <c r="KG67" s="3">
        <f ca="1">IFERROR(__xludf.DUMMYFUNCTION("""COMPUTED_VALUE"""),-0.580572713906839)</f>
        <v>-0.58057271390683896</v>
      </c>
      <c r="KH67" s="3">
        <f ca="1">IFERROR(__xludf.DUMMYFUNCTION("""COMPUTED_VALUE"""),-0.652231274256954)</f>
        <v>-0.65223127425695404</v>
      </c>
      <c r="KI67" s="3">
        <f ca="1">IFERROR(__xludf.DUMMYFUNCTION("""COMPUTED_VALUE"""),-0.487409234342612)</f>
        <v>-0.48740923434261202</v>
      </c>
      <c r="KJ67" s="3">
        <f ca="1">IFERROR(__xludf.DUMMYFUNCTION("""COMPUTED_VALUE"""),-0.577194798841968)</f>
        <v>-0.577194798841968</v>
      </c>
      <c r="KK67" s="3">
        <f ca="1">IFERROR(__xludf.DUMMYFUNCTION("""COMPUTED_VALUE"""),-0.637955464320658)</f>
        <v>-0.63795546432065797</v>
      </c>
      <c r="KL67" s="3">
        <f ca="1">IFERROR(__xludf.DUMMYFUNCTION("""COMPUTED_VALUE"""),-0.654394879173642)</f>
        <v>-0.65439487917364203</v>
      </c>
      <c r="KM67" s="3">
        <f ca="1">IFERROR(__xludf.DUMMYFUNCTION("""COMPUTED_VALUE"""),-0.658783017513631)</f>
        <v>-0.658783017513631</v>
      </c>
      <c r="KN67" s="3">
        <f ca="1">IFERROR(__xludf.DUMMYFUNCTION("""COMPUTED_VALUE"""),-0.648661015067119)</f>
        <v>-0.64866101506711904</v>
      </c>
      <c r="KO67" s="3">
        <f ca="1">IFERROR(__xludf.DUMMYFUNCTION("""COMPUTED_VALUE"""),-0.687635835251817)</f>
        <v>-0.68763583525181704</v>
      </c>
      <c r="KP67" s="3">
        <f ca="1">IFERROR(__xludf.DUMMYFUNCTION("""COMPUTED_VALUE"""),-0.547070352667148)</f>
        <v>-0.54707035266714799</v>
      </c>
      <c r="KQ67" s="3">
        <f ca="1">IFERROR(__xludf.DUMMYFUNCTION("""COMPUTED_VALUE"""),-0.666627860021952)</f>
        <v>-0.66662786002195196</v>
      </c>
      <c r="KR67" s="3">
        <f ca="1">IFERROR(__xludf.DUMMYFUNCTION("""COMPUTED_VALUE"""),-0.675977100182846)</f>
        <v>-0.67597710018284596</v>
      </c>
      <c r="KS67" s="3">
        <f ca="1">IFERROR(__xludf.DUMMYFUNCTION("""COMPUTED_VALUE"""),-0.716232748751378)</f>
        <v>-0.71623274875137799</v>
      </c>
      <c r="KT67" s="3">
        <f ca="1">IFERROR(__xludf.DUMMYFUNCTION("""COMPUTED_VALUE"""),-0.708861368938703)</f>
        <v>-0.708861368938703</v>
      </c>
      <c r="KU67" s="3">
        <f ca="1">IFERROR(__xludf.DUMMYFUNCTION("""COMPUTED_VALUE"""),-0.71374678581436)</f>
        <v>-0.71374678581436002</v>
      </c>
      <c r="KV67" s="3">
        <f ca="1">IFERROR(__xludf.DUMMYFUNCTION("""COMPUTED_VALUE"""),-0.688627945106601)</f>
        <v>-0.68862794510660097</v>
      </c>
      <c r="KW67" s="3">
        <f ca="1">IFERROR(__xludf.DUMMYFUNCTION("""COMPUTED_VALUE"""),-0.599578324518516)</f>
        <v>-0.599578324518516</v>
      </c>
      <c r="KX67" s="3">
        <f ca="1">IFERROR(__xludf.DUMMYFUNCTION("""COMPUTED_VALUE"""),-0.706956429460649)</f>
        <v>-0.70695642946064896</v>
      </c>
      <c r="KY67" s="3">
        <f ca="1">IFERROR(__xludf.DUMMYFUNCTION("""COMPUTED_VALUE"""),-0.745297648497749)</f>
        <v>-0.74529764849774904</v>
      </c>
      <c r="KZ67" s="3">
        <f ca="1">IFERROR(__xludf.DUMMYFUNCTION("""COMPUTED_VALUE"""),-0.707090144673943)</f>
        <v>-0.70709014467394304</v>
      </c>
      <c r="LA67" s="3">
        <f ca="1">IFERROR(__xludf.DUMMYFUNCTION("""COMPUTED_VALUE"""),-0.751037799848009)</f>
        <v>-0.751037799848009</v>
      </c>
      <c r="LB67" s="3">
        <f ca="1">IFERROR(__xludf.DUMMYFUNCTION("""COMPUTED_VALUE"""),-0.70967684847851)</f>
        <v>-0.70967684847850998</v>
      </c>
      <c r="LC67" s="3">
        <f ca="1">IFERROR(__xludf.DUMMYFUNCTION("""COMPUTED_VALUE"""),-0.679659284338628)</f>
        <v>-0.67965928433862799</v>
      </c>
      <c r="LD67" s="3">
        <f ca="1">IFERROR(__xludf.DUMMYFUNCTION("""COMPUTED_VALUE"""),-0.719893528009952)</f>
        <v>-0.71989352800995199</v>
      </c>
      <c r="LE67" s="3">
        <f ca="1">IFERROR(__xludf.DUMMYFUNCTION("""COMPUTED_VALUE"""),-0.67236741083105)</f>
        <v>-0.67236741083105001</v>
      </c>
      <c r="LF67" s="3">
        <f ca="1">IFERROR(__xludf.DUMMYFUNCTION("""COMPUTED_VALUE"""),-0.780616529952876)</f>
        <v>-0.780616529952876</v>
      </c>
      <c r="LG67" s="3">
        <f ca="1">IFERROR(__xludf.DUMMYFUNCTION("""COMPUTED_VALUE"""),-0.766510885262486)</f>
        <v>-0.76651088526248601</v>
      </c>
      <c r="LH67" s="3">
        <f ca="1">IFERROR(__xludf.DUMMYFUNCTION("""COMPUTED_VALUE"""),-0.750276922482477)</f>
        <v>-0.75027692248247702</v>
      </c>
      <c r="LI67" s="3">
        <f ca="1">IFERROR(__xludf.DUMMYFUNCTION("""COMPUTED_VALUE"""),-0.764259073501405)</f>
        <v>-0.76425907350140498</v>
      </c>
      <c r="LJ67" s="3">
        <f ca="1">IFERROR(__xludf.DUMMYFUNCTION("""COMPUTED_VALUE"""),-0.798530454127185)</f>
        <v>-0.79853045412718504</v>
      </c>
      <c r="LK67" s="3">
        <f ca="1">IFERROR(__xludf.DUMMYFUNCTION("""COMPUTED_VALUE"""),-0.679004897611134)</f>
        <v>-0.67900489761113403</v>
      </c>
      <c r="LL67" s="3">
        <f ca="1">IFERROR(__xludf.DUMMYFUNCTION("""COMPUTED_VALUE"""),-0.716880728700645)</f>
        <v>-0.71688072870064501</v>
      </c>
      <c r="LM67" s="3">
        <f ca="1">IFERROR(__xludf.DUMMYFUNCTION("""COMPUTED_VALUE"""),-0.740090516845851)</f>
        <v>-0.74009051684585103</v>
      </c>
      <c r="LN67" s="3">
        <f ca="1">IFERROR(__xludf.DUMMYFUNCTION("""COMPUTED_VALUE"""),-0.787266738277215)</f>
        <v>-0.78726673827721505</v>
      </c>
      <c r="LO67" s="3">
        <f ca="1">IFERROR(__xludf.DUMMYFUNCTION("""COMPUTED_VALUE"""),-0.790530213883863)</f>
        <v>-0.79053021388386302</v>
      </c>
      <c r="LP67" s="3">
        <f ca="1">IFERROR(__xludf.DUMMYFUNCTION("""COMPUTED_VALUE"""),-0.802706095676198)</f>
        <v>-0.80270609567619799</v>
      </c>
      <c r="LQ67" s="3">
        <f ca="1">IFERROR(__xludf.DUMMYFUNCTION("""COMPUTED_VALUE"""),-0.752550174046437)</f>
        <v>-0.75255017404643698</v>
      </c>
      <c r="LR67" s="3">
        <f ca="1">IFERROR(__xludf.DUMMYFUNCTION("""COMPUTED_VALUE"""),-0.688866875652566)</f>
        <v>-0.68886687565256599</v>
      </c>
      <c r="LS67" s="3">
        <f ca="1">IFERROR(__xludf.DUMMYFUNCTION("""COMPUTED_VALUE"""),-0.695540099819488)</f>
        <v>-0.69554009981948794</v>
      </c>
      <c r="LT67" s="3">
        <f ca="1">IFERROR(__xludf.DUMMYFUNCTION("""COMPUTED_VALUE"""),-0.787662212573414)</f>
        <v>-0.78766221257341396</v>
      </c>
      <c r="LU67" s="3">
        <f ca="1">IFERROR(__xludf.DUMMYFUNCTION("""COMPUTED_VALUE"""),-0.800183373658859)</f>
        <v>-0.80018337365885905</v>
      </c>
      <c r="LV67" s="3">
        <f ca="1">IFERROR(__xludf.DUMMYFUNCTION("""COMPUTED_VALUE"""),-0.810540123140015)</f>
        <v>-0.810540123140015</v>
      </c>
      <c r="LW67" s="3">
        <f ca="1">IFERROR(__xludf.DUMMYFUNCTION("""COMPUTED_VALUE"""),-0.794985500885941)</f>
        <v>-0.794985500885941</v>
      </c>
      <c r="LX67" s="3">
        <f ca="1">IFERROR(__xludf.DUMMYFUNCTION("""COMPUTED_VALUE"""),-0.805005938767052)</f>
        <v>-0.80500593876705195</v>
      </c>
      <c r="LY67" s="3">
        <f ca="1">IFERROR(__xludf.DUMMYFUNCTION("""COMPUTED_VALUE"""),-0.684997829902802)</f>
        <v>-0.684997829902802</v>
      </c>
      <c r="LZ67" s="3">
        <f ca="1">IFERROR(__xludf.DUMMYFUNCTION("""COMPUTED_VALUE"""),-0.737757340658186)</f>
        <v>-0.73775734065818599</v>
      </c>
      <c r="MA67" s="3">
        <f ca="1">IFERROR(__xludf.DUMMYFUNCTION("""COMPUTED_VALUE"""),-0.806145101571756)</f>
        <v>-0.80614510157175601</v>
      </c>
      <c r="MB67" s="3">
        <f ca="1">IFERROR(__xludf.DUMMYFUNCTION("""COMPUTED_VALUE"""),-0.823851009001864)</f>
        <v>-0.82385100900186403</v>
      </c>
      <c r="MC67" s="3">
        <f ca="1">IFERROR(__xludf.DUMMYFUNCTION("""COMPUTED_VALUE"""),-0.834168527324914)</f>
        <v>-0.83416852732491398</v>
      </c>
      <c r="MD67" s="3">
        <f ca="1">IFERROR(__xludf.DUMMYFUNCTION("""COMPUTED_VALUE"""),-0.822574798637362)</f>
        <v>-0.82257479863736205</v>
      </c>
      <c r="ME67" s="3">
        <f ca="1">IFERROR(__xludf.DUMMYFUNCTION("""COMPUTED_VALUE"""),-0.812476699310607)</f>
        <v>-0.81247669931060695</v>
      </c>
      <c r="MF67" s="3">
        <f ca="1">IFERROR(__xludf.DUMMYFUNCTION("""COMPUTED_VALUE"""),-0.664896987932675)</f>
        <v>-0.66489698793267504</v>
      </c>
      <c r="MG67" s="3">
        <f ca="1">IFERROR(__xludf.DUMMYFUNCTION("""COMPUTED_VALUE"""),-0.752521262847682)</f>
        <v>-0.75252126284768195</v>
      </c>
      <c r="MH67" s="3">
        <f ca="1">IFERROR(__xludf.DUMMYFUNCTION("""COMPUTED_VALUE"""),-0.812750852407138)</f>
        <v>-0.81275085240713796</v>
      </c>
      <c r="MI67" s="3">
        <f ca="1">IFERROR(__xludf.DUMMYFUNCTION("""COMPUTED_VALUE"""),-0.868744937799738)</f>
        <v>-0.86874493779973805</v>
      </c>
      <c r="MJ67" s="3">
        <f ca="1">IFERROR(__xludf.DUMMYFUNCTION("""COMPUTED_VALUE"""),-0.829829184164509)</f>
        <v>-0.82982918416450901</v>
      </c>
      <c r="MK67" s="3">
        <f ca="1">IFERROR(__xludf.DUMMYFUNCTION("""COMPUTED_VALUE"""),-0.844255155854207)</f>
        <v>-0.84425515585420696</v>
      </c>
      <c r="ML67" s="3">
        <f ca="1">IFERROR(__xludf.DUMMYFUNCTION("""COMPUTED_VALUE"""),-0.865454699731859)</f>
        <v>-0.86545469973185896</v>
      </c>
      <c r="MM67" s="3">
        <f ca="1">IFERROR(__xludf.DUMMYFUNCTION("""COMPUTED_VALUE"""),-0.738369140206462)</f>
        <v>-0.73836914020646205</v>
      </c>
      <c r="MN67" s="3">
        <f ca="1">IFERROR(__xludf.DUMMYFUNCTION("""COMPUTED_VALUE"""),-0.743791444796213)</f>
        <v>-0.74379144479621295</v>
      </c>
      <c r="MO67" s="3">
        <f ca="1">IFERROR(__xludf.DUMMYFUNCTION("""COMPUTED_VALUE"""),-0.836810186584321)</f>
        <v>-0.83681018658432105</v>
      </c>
      <c r="MP67" s="3">
        <f ca="1">IFERROR(__xludf.DUMMYFUNCTION("""COMPUTED_VALUE"""),-0.84045128507116)</f>
        <v>-0.84045128507115996</v>
      </c>
      <c r="MQ67" s="3">
        <f ca="1">IFERROR(__xludf.DUMMYFUNCTION("""COMPUTED_VALUE"""),-0.848130274346606)</f>
        <v>-0.84813027434660604</v>
      </c>
      <c r="MR67" s="3">
        <f ca="1">IFERROR(__xludf.DUMMYFUNCTION("""COMPUTED_VALUE"""),-0.857337389349876)</f>
        <v>-0.85733738934987602</v>
      </c>
      <c r="MS67" s="3">
        <f ca="1">IFERROR(__xludf.DUMMYFUNCTION("""COMPUTED_VALUE"""),-0.856065134235474)</f>
        <v>-0.85606513423547403</v>
      </c>
      <c r="MT67" s="3">
        <f ca="1">IFERROR(__xludf.DUMMYFUNCTION("""COMPUTED_VALUE"""),-0.73877245095876)</f>
        <v>-0.73877245095875999</v>
      </c>
      <c r="MU67" s="3">
        <f ca="1">IFERROR(__xludf.DUMMYFUNCTION("""COMPUTED_VALUE"""),-0.788243909071248)</f>
        <v>-0.78824390907124797</v>
      </c>
      <c r="MV67" s="3">
        <f ca="1">IFERROR(__xludf.DUMMYFUNCTION("""COMPUTED_VALUE"""),-0.821020940794332)</f>
        <v>-0.82102094079433197</v>
      </c>
      <c r="MW67" s="3">
        <f ca="1">IFERROR(__xludf.DUMMYFUNCTION("""COMPUTED_VALUE"""),-0.846400012443242)</f>
        <v>-0.84640001244324203</v>
      </c>
      <c r="MX67" s="3">
        <f ca="1">IFERROR(__xludf.DUMMYFUNCTION("""COMPUTED_VALUE"""),-0.86169400387284)</f>
        <v>-0.86169400387284001</v>
      </c>
      <c r="MY67" s="3">
        <f ca="1">IFERROR(__xludf.DUMMYFUNCTION("""COMPUTED_VALUE"""),-0.833564212365689)</f>
        <v>-0.83356421236568901</v>
      </c>
      <c r="MZ67" s="3">
        <f ca="1">IFERROR(__xludf.DUMMYFUNCTION("""COMPUTED_VALUE"""),-0.881434138486672)</f>
        <v>-0.88143413848667196</v>
      </c>
      <c r="NA67" s="3">
        <f ca="1">IFERROR(__xludf.DUMMYFUNCTION("""COMPUTED_VALUE"""),-0.806571370567344)</f>
        <v>-0.80657137056734396</v>
      </c>
      <c r="NB67" s="3">
        <f ca="1">IFERROR(__xludf.DUMMYFUNCTION("""COMPUTED_VALUE"""),-0.792679757888693)</f>
        <v>-0.79267975788869305</v>
      </c>
      <c r="NC67" s="3">
        <f ca="1">IFERROR(__xludf.DUMMYFUNCTION("""COMPUTED_VALUE"""),-0.804329268672263)</f>
        <v>-0.80432926867226295</v>
      </c>
      <c r="ND67" s="3">
        <f ca="1">IFERROR(__xludf.DUMMYFUNCTION("""COMPUTED_VALUE"""),-0.85436763507778)</f>
        <v>-0.85436763507778002</v>
      </c>
      <c r="NE67" s="3">
        <f ca="1">IFERROR(__xludf.DUMMYFUNCTION("""COMPUTED_VALUE"""),-0.837240289695969)</f>
        <v>-0.83724028969596898</v>
      </c>
      <c r="NF67" s="3">
        <f ca="1">IFERROR(__xludf.DUMMYFUNCTION("""COMPUTED_VALUE"""),-0.841380523914188)</f>
        <v>-0.84138052391418805</v>
      </c>
      <c r="NG67" s="3">
        <f ca="1">IFERROR(__xludf.DUMMYFUNCTION("""COMPUTED_VALUE"""),-0.809641314062463)</f>
        <v>-0.80964131406246298</v>
      </c>
      <c r="NH67" s="3">
        <f ca="1">IFERROR(__xludf.DUMMYFUNCTION("""COMPUTED_VALUE"""),-0.780273986627945)</f>
        <v>-0.780273986627945</v>
      </c>
      <c r="NI67" s="3">
        <f ca="1">IFERROR(__xludf.DUMMYFUNCTION("""COMPUTED_VALUE"""),-0.812400117676513)</f>
        <v>-0.81240011767651299</v>
      </c>
      <c r="NJ67" s="3">
        <f ca="1">IFERROR(__xludf.DUMMYFUNCTION("""COMPUTED_VALUE"""),-0.83806116577576)</f>
        <v>-0.83806116577575995</v>
      </c>
      <c r="NK67" s="3">
        <f ca="1">IFERROR(__xludf.DUMMYFUNCTION("""COMPUTED_VALUE"""),-0.835744987800406)</f>
        <v>-0.83574498780040596</v>
      </c>
      <c r="NL67" s="3">
        <f ca="1">IFERROR(__xludf.DUMMYFUNCTION("""COMPUTED_VALUE"""),-0.832812505356465)</f>
        <v>-0.832812505356465</v>
      </c>
      <c r="NM67" s="3">
        <f ca="1">IFERROR(__xludf.DUMMYFUNCTION("""COMPUTED_VALUE"""),-0.792724244171746)</f>
        <v>-0.79272424417174603</v>
      </c>
      <c r="NN67" s="3">
        <f ca="1">IFERROR(__xludf.DUMMYFUNCTION("""COMPUTED_VALUE"""),-0.81074355782056)</f>
        <v>-0.81074355782055996</v>
      </c>
      <c r="NO67" s="3">
        <f ca="1">IFERROR(__xludf.DUMMYFUNCTION("""COMPUTED_VALUE"""),-0.746909688165856)</f>
        <v>-0.74690968816585601</v>
      </c>
      <c r="NP67" s="3">
        <f ca="1">IFERROR(__xludf.DUMMYFUNCTION("""COMPUTED_VALUE"""),-0.742971873120964)</f>
        <v>-0.74297187312096402</v>
      </c>
      <c r="NQ67" s="3">
        <f ca="1">IFERROR(__xludf.DUMMYFUNCTION("""COMPUTED_VALUE"""),-0.757588253773158)</f>
        <v>-0.75758825377315797</v>
      </c>
      <c r="NR67" s="3">
        <f ca="1">IFERROR(__xludf.DUMMYFUNCTION("""COMPUTED_VALUE"""),-0.777411856414855)</f>
        <v>-0.777411856414855</v>
      </c>
      <c r="NS67" s="3">
        <f ca="1">IFERROR(__xludf.DUMMYFUNCTION("""COMPUTED_VALUE"""),-0.802851392553683)</f>
        <v>-0.80285139255368299</v>
      </c>
      <c r="NT67" s="3">
        <f ca="1">IFERROR(__xludf.DUMMYFUNCTION("""COMPUTED_VALUE"""),-0.779803723485243)</f>
        <v>-0.77980372348524296</v>
      </c>
      <c r="NU67" s="3">
        <f ca="1">IFERROR(__xludf.DUMMYFUNCTION("""COMPUTED_VALUE"""),-0.777040038620549)</f>
        <v>-0.77704003862054905</v>
      </c>
      <c r="NV67" s="3">
        <f ca="1">IFERROR(__xludf.DUMMYFUNCTION("""COMPUTED_VALUE"""),-0.64715957325741)</f>
        <v>-0.64715957325741003</v>
      </c>
      <c r="NW67" s="3">
        <f ca="1">IFERROR(__xludf.DUMMYFUNCTION("""COMPUTED_VALUE"""),-0.655181715628399)</f>
        <v>-0.655181715628399</v>
      </c>
      <c r="NX67" s="3">
        <f ca="1">IFERROR(__xludf.DUMMYFUNCTION("""COMPUTED_VALUE"""),-0.696749820624871)</f>
        <v>-0.69674982062487101</v>
      </c>
      <c r="NY67" s="3">
        <f ca="1">IFERROR(__xludf.DUMMYFUNCTION("""COMPUTED_VALUE"""),-0.741342817624907)</f>
        <v>-0.74134281762490695</v>
      </c>
      <c r="NZ67" s="3">
        <f ca="1">IFERROR(__xludf.DUMMYFUNCTION("""COMPUTED_VALUE"""),-0.680157926633905)</f>
        <v>-0.68015792663390495</v>
      </c>
      <c r="OA67" s="3">
        <f ca="1">IFERROR(__xludf.DUMMYFUNCTION("""COMPUTED_VALUE"""),-0.668566544446305)</f>
        <v>-0.66856654444630503</v>
      </c>
      <c r="OB67" s="3">
        <f ca="1">IFERROR(__xludf.DUMMYFUNCTION("""COMPUTED_VALUE"""),-0.550781181498173)</f>
        <v>-0.55078118149817301</v>
      </c>
      <c r="OC67" s="3">
        <f ca="1">IFERROR(__xludf.DUMMYFUNCTION("""COMPUTED_VALUE"""),-0.305025405629566)</f>
        <v>-0.30502540562956598</v>
      </c>
      <c r="OD67" s="3">
        <f ca="1">IFERROR(__xludf.DUMMYFUNCTION("""COMPUTED_VALUE"""),-0.341087138378085)</f>
        <v>-0.34108713837808502</v>
      </c>
      <c r="OE67" s="3">
        <f ca="1">IFERROR(__xludf.DUMMYFUNCTION("""COMPUTED_VALUE"""),-0.25168796359903)</f>
        <v>-0.25168796359903001</v>
      </c>
      <c r="OF67" s="3">
        <f ca="1">IFERROR(__xludf.DUMMYFUNCTION("""COMPUTED_VALUE"""),-0.11959220632683)</f>
        <v>-0.11959220632683</v>
      </c>
      <c r="OG67" s="3">
        <f ca="1">IFERROR(__xludf.DUMMYFUNCTION("""COMPUTED_VALUE"""),-0.207397519840522)</f>
        <v>-0.20739751984052199</v>
      </c>
      <c r="OH67" s="3">
        <f ca="1">IFERROR(__xludf.DUMMYFUNCTION("""COMPUTED_VALUE"""),-0.104711102627892)</f>
        <v>-0.104711102627892</v>
      </c>
      <c r="OI67" s="3">
        <f ca="1">IFERROR(__xludf.DUMMYFUNCTION("""COMPUTED_VALUE"""),0.126617179310834)</f>
        <v>0.12661717931083399</v>
      </c>
      <c r="OJ67" s="3">
        <f ca="1">IFERROR(__xludf.DUMMYFUNCTION("""COMPUTED_VALUE"""),-0.115293989990263)</f>
        <v>-0.115293989990263</v>
      </c>
      <c r="OK67" s="3">
        <f ca="1">IFERROR(__xludf.DUMMYFUNCTION("""COMPUTED_VALUE"""),0.0216292573164169)</f>
        <v>2.1629257316416899E-2</v>
      </c>
      <c r="OL67" s="3">
        <f ca="1">IFERROR(__xludf.DUMMYFUNCTION("""COMPUTED_VALUE"""),0.0110524662624453)</f>
        <v>1.10524662624453E-2</v>
      </c>
      <c r="OM67" s="3">
        <f ca="1">IFERROR(__xludf.DUMMYFUNCTION("""COMPUTED_VALUE"""),-0.0147840424773131)</f>
        <v>-1.4784042477313099E-2</v>
      </c>
      <c r="ON67" s="3">
        <f ca="1">IFERROR(__xludf.DUMMYFUNCTION("""COMPUTED_VALUE"""),-0.0523388297651383)</f>
        <v>-5.2338829765138303E-2</v>
      </c>
      <c r="OO67" s="3">
        <f ca="1">IFERROR(__xludf.DUMMYFUNCTION("""COMPUTED_VALUE"""),-0.0603619290500124)</f>
        <v>-6.0361929050012399E-2</v>
      </c>
      <c r="OP67" s="3">
        <f ca="1">IFERROR(__xludf.DUMMYFUNCTION("""COMPUTED_VALUE"""),0.160870115070295)</f>
        <v>0.160870115070295</v>
      </c>
      <c r="OQ67" s="3">
        <f ca="1">IFERROR(__xludf.DUMMYFUNCTION("""COMPUTED_VALUE"""),0.0185648078845841)</f>
        <v>1.85648078845841E-2</v>
      </c>
      <c r="OR67" s="3">
        <f ca="1">IFERROR(__xludf.DUMMYFUNCTION("""COMPUTED_VALUE"""),0.087237427742473)</f>
        <v>8.7237427742473006E-2</v>
      </c>
      <c r="OS67" s="3">
        <f ca="1">IFERROR(__xludf.DUMMYFUNCTION("""COMPUTED_VALUE"""),0.0115335804694982)</f>
        <v>1.1533580469498201E-2</v>
      </c>
      <c r="OT67" s="3">
        <f ca="1">IFERROR(__xludf.DUMMYFUNCTION("""COMPUTED_VALUE"""),0.00425124753970496)</f>
        <v>4.2512475397049601E-3</v>
      </c>
      <c r="OU67" s="3">
        <f ca="1">IFERROR(__xludf.DUMMYFUNCTION("""COMPUTED_VALUE"""),-0.0723652429593451)</f>
        <v>-7.23652429593451E-2</v>
      </c>
      <c r="OV67" s="3">
        <f ca="1">IFERROR(__xludf.DUMMYFUNCTION("""COMPUTED_VALUE"""),-0.0502914776418901)</f>
        <v>-5.0291477641890098E-2</v>
      </c>
      <c r="OW67" s="3">
        <f ca="1">IFERROR(__xludf.DUMMYFUNCTION("""COMPUTED_VALUE"""),0.360343765181649)</f>
        <v>0.36034376518164901</v>
      </c>
      <c r="OX67" s="3">
        <f ca="1">IFERROR(__xludf.DUMMYFUNCTION("""COMPUTED_VALUE"""),0.0110433551433903)</f>
        <v>1.1043355143390301E-2</v>
      </c>
      <c r="OY67" s="3">
        <f ca="1">IFERROR(__xludf.DUMMYFUNCTION("""COMPUTED_VALUE"""),0.0409046837985769)</f>
        <v>4.0904683798576903E-2</v>
      </c>
      <c r="OZ67" s="3">
        <f ca="1">IFERROR(__xludf.DUMMYFUNCTION("""COMPUTED_VALUE"""),-0.0120795652612121)</f>
        <v>-1.2079565261212099E-2</v>
      </c>
      <c r="PA67" s="3">
        <f ca="1">IFERROR(__xludf.DUMMYFUNCTION("""COMPUTED_VALUE"""),-0.0335142215270022)</f>
        <v>-3.3514221527002203E-2</v>
      </c>
      <c r="PB67" s="3">
        <f ca="1">IFERROR(__xludf.DUMMYFUNCTION("""COMPUTED_VALUE"""),0.00914686099618666)</f>
        <v>9.1468609961866607E-3</v>
      </c>
      <c r="PC67" s="3">
        <f ca="1">IFERROR(__xludf.DUMMYFUNCTION("""COMPUTED_VALUE"""),-0.143082217802704)</f>
        <v>-0.143082217802704</v>
      </c>
      <c r="PD67" s="3">
        <f ca="1">IFERROR(__xludf.DUMMYFUNCTION("""COMPUTED_VALUE"""),-0.129394566588609)</f>
        <v>-0.12939456658860901</v>
      </c>
      <c r="PE67" s="3">
        <f ca="1">IFERROR(__xludf.DUMMYFUNCTION("""COMPUTED_VALUE"""),-0.0171908069675053)</f>
        <v>-1.7190806967505301E-2</v>
      </c>
      <c r="PF67" s="3">
        <f ca="1">IFERROR(__xludf.DUMMYFUNCTION("""COMPUTED_VALUE"""),-0.0776743195080055)</f>
        <v>-7.7674319508005504E-2</v>
      </c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</row>
    <row r="68" spans="1:594" ht="13">
      <c r="A68" s="1" t="str">
        <f ca="1">IFERROR(__xludf.DUMMYFUNCTION("""COMPUTED_VALUE"""),"Québec")</f>
        <v>Québec</v>
      </c>
      <c r="B68" s="3">
        <f ca="1">IFERROR(__xludf.DUMMYFUNCTION("""COMPUTED_VALUE"""),-0.593927803764795)</f>
        <v>-0.59392780376479504</v>
      </c>
      <c r="C68" s="3">
        <f ca="1">IFERROR(__xludf.DUMMYFUNCTION("""COMPUTED_VALUE"""),-0.693057252374705)</f>
        <v>-0.69305725237470495</v>
      </c>
      <c r="D68" s="3">
        <f ca="1">IFERROR(__xludf.DUMMYFUNCTION("""COMPUTED_VALUE"""),-0.773057320529222)</f>
        <v>-0.77305732052922205</v>
      </c>
      <c r="E68" s="3">
        <f ca="1">IFERROR(__xludf.DUMMYFUNCTION("""COMPUTED_VALUE"""),-0.725924050248383)</f>
        <v>-0.72592405024838302</v>
      </c>
      <c r="F68" s="3">
        <f ca="1">IFERROR(__xludf.DUMMYFUNCTION("""COMPUTED_VALUE"""),-0.721232369642849)</f>
        <v>-0.72123236964284898</v>
      </c>
      <c r="G68" s="3">
        <f ca="1">IFERROR(__xludf.DUMMYFUNCTION("""COMPUTED_VALUE"""),-0.751863237253968)</f>
        <v>-0.75186323725396798</v>
      </c>
      <c r="H68" s="3">
        <f ca="1">IFERROR(__xludf.DUMMYFUNCTION("""COMPUTED_VALUE"""),-0.600513748741881)</f>
        <v>-0.60051374874188101</v>
      </c>
      <c r="I68" s="3">
        <f ca="1">IFERROR(__xludf.DUMMYFUNCTION("""COMPUTED_VALUE"""),-0.624814354287335)</f>
        <v>-0.62481435428733501</v>
      </c>
      <c r="J68" s="3">
        <f ca="1">IFERROR(__xludf.DUMMYFUNCTION("""COMPUTED_VALUE"""),-0.738732362971949)</f>
        <v>-0.738732362971949</v>
      </c>
      <c r="K68" s="3">
        <f ca="1">IFERROR(__xludf.DUMMYFUNCTION("""COMPUTED_VALUE"""),-0.545650053446442)</f>
        <v>-0.54565005344644202</v>
      </c>
      <c r="L68" s="3">
        <f ca="1">IFERROR(__xludf.DUMMYFUNCTION("""COMPUTED_VALUE"""),-0.569521030245732)</f>
        <v>-0.56952103024573197</v>
      </c>
      <c r="M68" s="3">
        <f ca="1">IFERROR(__xludf.DUMMYFUNCTION("""COMPUTED_VALUE"""),-0.577084052239669)</f>
        <v>-0.57708405223966897</v>
      </c>
      <c r="N68" s="3">
        <f ca="1">IFERROR(__xludf.DUMMYFUNCTION("""COMPUTED_VALUE"""),-0.566337100574992)</f>
        <v>-0.56633710057499198</v>
      </c>
      <c r="O68" s="3">
        <f ca="1">IFERROR(__xludf.DUMMYFUNCTION("""COMPUTED_VALUE"""),-0.401994835780917)</f>
        <v>-0.40199483578091699</v>
      </c>
      <c r="P68" s="3">
        <f ca="1">IFERROR(__xludf.DUMMYFUNCTION("""COMPUTED_VALUE"""),-0.417823919720042)</f>
        <v>-0.41782391972004201</v>
      </c>
      <c r="Q68" s="3">
        <f ca="1">IFERROR(__xludf.DUMMYFUNCTION("""COMPUTED_VALUE"""),-0.562112904405321)</f>
        <v>-0.56211290440532102</v>
      </c>
      <c r="R68" s="3">
        <f ca="1">IFERROR(__xludf.DUMMYFUNCTION("""COMPUTED_VALUE"""),-0.571856396366939)</f>
        <v>-0.57185639636693897</v>
      </c>
      <c r="S68" s="3">
        <f ca="1">IFERROR(__xludf.DUMMYFUNCTION("""COMPUTED_VALUE"""),-0.577962691000171)</f>
        <v>-0.57796269100017095</v>
      </c>
      <c r="T68" s="3">
        <f ca="1">IFERROR(__xludf.DUMMYFUNCTION("""COMPUTED_VALUE"""),-0.550180194264296)</f>
        <v>-0.55018019426429599</v>
      </c>
      <c r="U68" s="3">
        <f ca="1">IFERROR(__xludf.DUMMYFUNCTION("""COMPUTED_VALUE"""),-0.512183506854086)</f>
        <v>-0.51218350685408598</v>
      </c>
      <c r="V68" s="3">
        <f ca="1">IFERROR(__xludf.DUMMYFUNCTION("""COMPUTED_VALUE"""),-0.320982875138584)</f>
        <v>-0.32098287513858398</v>
      </c>
      <c r="W68" s="3">
        <f ca="1">IFERROR(__xludf.DUMMYFUNCTION("""COMPUTED_VALUE"""),-0.342756312046439)</f>
        <v>-0.34275631204643903</v>
      </c>
      <c r="X68" s="3">
        <f ca="1">IFERROR(__xludf.DUMMYFUNCTION("""COMPUTED_VALUE"""),-0.54039702069517)</f>
        <v>-0.54039702069517004</v>
      </c>
      <c r="Y68" s="3">
        <f ca="1">IFERROR(__xludf.DUMMYFUNCTION("""COMPUTED_VALUE"""),-0.599875726148027)</f>
        <v>-0.59987572614802698</v>
      </c>
      <c r="Z68" s="3">
        <f ca="1">IFERROR(__xludf.DUMMYFUNCTION("""COMPUTED_VALUE"""),-0.594218671570081)</f>
        <v>-0.59421867157008101</v>
      </c>
      <c r="AA68" s="3">
        <f ca="1">IFERROR(__xludf.DUMMYFUNCTION("""COMPUTED_VALUE"""),-0.585768376583453)</f>
        <v>-0.58576837658345304</v>
      </c>
      <c r="AB68" s="3">
        <f ca="1">IFERROR(__xludf.DUMMYFUNCTION("""COMPUTED_VALUE"""),-0.586580799379398)</f>
        <v>-0.586580799379398</v>
      </c>
      <c r="AC68" s="3">
        <f ca="1">IFERROR(__xludf.DUMMYFUNCTION("""COMPUTED_VALUE"""),-0.370694549324996)</f>
        <v>-0.37069454932499601</v>
      </c>
      <c r="AD68" s="3">
        <f ca="1">IFERROR(__xludf.DUMMYFUNCTION("""COMPUTED_VALUE"""),-0.400412065707616)</f>
        <v>-0.40041206570761601</v>
      </c>
      <c r="AE68" s="3">
        <f ca="1">IFERROR(__xludf.DUMMYFUNCTION("""COMPUTED_VALUE"""),-0.563170023793923)</f>
        <v>-0.563170023793923</v>
      </c>
      <c r="AF68" s="3">
        <f ca="1">IFERROR(__xludf.DUMMYFUNCTION("""COMPUTED_VALUE"""),-0.567522991461736)</f>
        <v>-0.56752299146173601</v>
      </c>
      <c r="AG68" s="3">
        <f ca="1">IFERROR(__xludf.DUMMYFUNCTION("""COMPUTED_VALUE"""),-0.598857461193011)</f>
        <v>-0.59885746119301098</v>
      </c>
      <c r="AH68" s="3">
        <f ca="1">IFERROR(__xludf.DUMMYFUNCTION("""COMPUTED_VALUE"""),-0.599522415737409)</f>
        <v>-0.59952241573740905</v>
      </c>
      <c r="AI68" s="3">
        <f ca="1">IFERROR(__xludf.DUMMYFUNCTION("""COMPUTED_VALUE"""),-0.542244804851808)</f>
        <v>-0.54224480485180804</v>
      </c>
      <c r="AJ68" s="3">
        <f ca="1">IFERROR(__xludf.DUMMYFUNCTION("""COMPUTED_VALUE"""),-0.431432668840573)</f>
        <v>-0.43143266884057302</v>
      </c>
      <c r="AK68" s="3">
        <f ca="1">IFERROR(__xludf.DUMMYFUNCTION("""COMPUTED_VALUE"""),-0.528746237809122)</f>
        <v>-0.528746237809122</v>
      </c>
      <c r="AL68" s="3">
        <f ca="1">IFERROR(__xludf.DUMMYFUNCTION("""COMPUTED_VALUE"""),-0.64532509274712)</f>
        <v>-0.64532509274712002</v>
      </c>
      <c r="AM68" s="3">
        <f ca="1">IFERROR(__xludf.DUMMYFUNCTION("""COMPUTED_VALUE"""),-0.629161030485976)</f>
        <v>-0.62916103048597605</v>
      </c>
      <c r="AN68" s="3">
        <f ca="1">IFERROR(__xludf.DUMMYFUNCTION("""COMPUTED_VALUE"""),-0.617219857819498)</f>
        <v>-0.61721985781949795</v>
      </c>
      <c r="AO68" s="3">
        <f ca="1">IFERROR(__xludf.DUMMYFUNCTION("""COMPUTED_VALUE"""),-0.665642211749787)</f>
        <v>-0.66564221174978699</v>
      </c>
      <c r="AP68" s="3">
        <f ca="1">IFERROR(__xludf.DUMMYFUNCTION("""COMPUTED_VALUE"""),-0.584733077352466)</f>
        <v>-0.58473307735246605</v>
      </c>
      <c r="AQ68" s="3">
        <f ca="1">IFERROR(__xludf.DUMMYFUNCTION("""COMPUTED_VALUE"""),-0.343332407120438)</f>
        <v>-0.343332407120438</v>
      </c>
      <c r="AR68" s="3">
        <f ca="1">IFERROR(__xludf.DUMMYFUNCTION("""COMPUTED_VALUE"""),-0.437563054052508)</f>
        <v>-0.437563054052508</v>
      </c>
      <c r="AS68" s="3">
        <f ca="1">IFERROR(__xludf.DUMMYFUNCTION("""COMPUTED_VALUE"""),-0.66782772853959)</f>
        <v>-0.66782772853959005</v>
      </c>
      <c r="AT68" s="3">
        <f ca="1">IFERROR(__xludf.DUMMYFUNCTION("""COMPUTED_VALUE"""),-0.665757906629571)</f>
        <v>-0.66575790662957102</v>
      </c>
      <c r="AU68" s="3">
        <f ca="1">IFERROR(__xludf.DUMMYFUNCTION("""COMPUTED_VALUE"""),-0.672044624076257)</f>
        <v>-0.67204462407625698</v>
      </c>
      <c r="AV68" s="3">
        <f ca="1">IFERROR(__xludf.DUMMYFUNCTION("""COMPUTED_VALUE"""),-0.671585513098761)</f>
        <v>-0.67158551309876102</v>
      </c>
      <c r="AW68" s="3">
        <f ca="1">IFERROR(__xludf.DUMMYFUNCTION("""COMPUTED_VALUE"""),-0.640283325526441)</f>
        <v>-0.64028332552644096</v>
      </c>
      <c r="AX68" s="3">
        <f ca="1">IFERROR(__xludf.DUMMYFUNCTION("""COMPUTED_VALUE"""),-0.419021906544641)</f>
        <v>-0.419021906544641</v>
      </c>
      <c r="AY68" s="3">
        <f ca="1">IFERROR(__xludf.DUMMYFUNCTION("""COMPUTED_VALUE"""),-0.480742756625355)</f>
        <v>-0.48074275662535498</v>
      </c>
      <c r="AZ68" s="3">
        <f ca="1">IFERROR(__xludf.DUMMYFUNCTION("""COMPUTED_VALUE"""),-0.662959028444283)</f>
        <v>-0.66295902844428301</v>
      </c>
      <c r="BA68" s="3">
        <f ca="1">IFERROR(__xludf.DUMMYFUNCTION("""COMPUTED_VALUE"""),-0.685328438084935)</f>
        <v>-0.68532843808493504</v>
      </c>
      <c r="BB68" s="3">
        <f ca="1">IFERROR(__xludf.DUMMYFUNCTION("""COMPUTED_VALUE"""),-0.603253341284669)</f>
        <v>-0.60325334128466901</v>
      </c>
      <c r="BC68" s="3">
        <f ca="1">IFERROR(__xludf.DUMMYFUNCTION("""COMPUTED_VALUE"""),-0.671899261446999)</f>
        <v>-0.67189926144699896</v>
      </c>
      <c r="BD68" s="3">
        <f ca="1">IFERROR(__xludf.DUMMYFUNCTION("""COMPUTED_VALUE"""),-0.665591903259385)</f>
        <v>-0.665591903259385</v>
      </c>
      <c r="BE68" s="3">
        <f ca="1">IFERROR(__xludf.DUMMYFUNCTION("""COMPUTED_VALUE"""),-0.462671109725936)</f>
        <v>-0.462671109725936</v>
      </c>
      <c r="BF68" s="3">
        <f ca="1">IFERROR(__xludf.DUMMYFUNCTION("""COMPUTED_VALUE"""),-0.526378186832935)</f>
        <v>-0.52637818683293502</v>
      </c>
      <c r="BG68" s="3">
        <f ca="1">IFERROR(__xludf.DUMMYFUNCTION("""COMPUTED_VALUE"""),-0.657859203107833)</f>
        <v>-0.65785920310783297</v>
      </c>
      <c r="BH68" s="3">
        <f ca="1">IFERROR(__xludf.DUMMYFUNCTION("""COMPUTED_VALUE"""),-0.700441047147185)</f>
        <v>-0.70044104714718503</v>
      </c>
      <c r="BI68" s="3">
        <f ca="1">IFERROR(__xludf.DUMMYFUNCTION("""COMPUTED_VALUE"""),-0.686670236047755)</f>
        <v>-0.68667023604775501</v>
      </c>
      <c r="BJ68" s="3">
        <f ca="1">IFERROR(__xludf.DUMMYFUNCTION("""COMPUTED_VALUE"""),-0.685069930236401)</f>
        <v>-0.68506993023640095</v>
      </c>
      <c r="BK68" s="3">
        <f ca="1">IFERROR(__xludf.DUMMYFUNCTION("""COMPUTED_VALUE"""),-0.691598696860413)</f>
        <v>-0.69159869686041298</v>
      </c>
      <c r="BL68" s="3">
        <f ca="1">IFERROR(__xludf.DUMMYFUNCTION("""COMPUTED_VALUE"""),-0.643158760886644)</f>
        <v>-0.64315876088664403</v>
      </c>
      <c r="BM68" s="3">
        <f ca="1">IFERROR(__xludf.DUMMYFUNCTION("""COMPUTED_VALUE"""),-0.649785179524657)</f>
        <v>-0.64978517952465698</v>
      </c>
      <c r="BN68" s="3">
        <f ca="1">IFERROR(__xludf.DUMMYFUNCTION("""COMPUTED_VALUE"""),-0.728109118167104)</f>
        <v>-0.728109118167104</v>
      </c>
      <c r="BO68" s="3">
        <f ca="1">IFERROR(__xludf.DUMMYFUNCTION("""COMPUTED_VALUE"""),-0.754327388066691)</f>
        <v>-0.75432738806669097</v>
      </c>
      <c r="BP68" s="3">
        <f ca="1">IFERROR(__xludf.DUMMYFUNCTION("""COMPUTED_VALUE"""),-0.745188236965168)</f>
        <v>-0.745188236965168</v>
      </c>
      <c r="BQ68" s="3">
        <f ca="1">IFERROR(__xludf.DUMMYFUNCTION("""COMPUTED_VALUE"""),-0.752943583418982)</f>
        <v>-0.75294358341898204</v>
      </c>
      <c r="BR68" s="3">
        <f ca="1">IFERROR(__xludf.DUMMYFUNCTION("""COMPUTED_VALUE"""),-0.728569430656008)</f>
        <v>-0.72856943065600799</v>
      </c>
      <c r="BS68" s="3">
        <f ca="1">IFERROR(__xludf.DUMMYFUNCTION("""COMPUTED_VALUE"""),-0.67088928890661)</f>
        <v>-0.67088928890661004</v>
      </c>
      <c r="BT68" s="3">
        <f ca="1">IFERROR(__xludf.DUMMYFUNCTION("""COMPUTED_VALUE"""),-0.720311615744541)</f>
        <v>-0.72031161574454095</v>
      </c>
      <c r="BU68" s="3">
        <f ca="1">IFERROR(__xludf.DUMMYFUNCTION("""COMPUTED_VALUE"""),-0.758793388818469)</f>
        <v>-0.75879338881846903</v>
      </c>
      <c r="BV68" s="3">
        <f ca="1">IFERROR(__xludf.DUMMYFUNCTION("""COMPUTED_VALUE"""),-0.764295221741646)</f>
        <v>-0.76429522174164599</v>
      </c>
      <c r="BW68" s="3">
        <f ca="1">IFERROR(__xludf.DUMMYFUNCTION("""COMPUTED_VALUE"""),-0.743462845417101)</f>
        <v>-0.74346284541710095</v>
      </c>
      <c r="BX68" s="3">
        <f ca="1">IFERROR(__xludf.DUMMYFUNCTION("""COMPUTED_VALUE"""),-0.737801024667224)</f>
        <v>-0.73780102466722397</v>
      </c>
      <c r="BY68" s="3">
        <f ca="1">IFERROR(__xludf.DUMMYFUNCTION("""COMPUTED_VALUE"""),-0.704422427975426)</f>
        <v>-0.70442242797542598</v>
      </c>
      <c r="BZ68" s="3">
        <f ca="1">IFERROR(__xludf.DUMMYFUNCTION("""COMPUTED_VALUE"""),-0.655091240283534)</f>
        <v>-0.65509124028353405</v>
      </c>
      <c r="CA68" s="3">
        <f ca="1">IFERROR(__xludf.DUMMYFUNCTION("""COMPUTED_VALUE"""),-0.665967574863202)</f>
        <v>-0.66596757486320202</v>
      </c>
      <c r="CB68" s="3">
        <f ca="1">IFERROR(__xludf.DUMMYFUNCTION("""COMPUTED_VALUE"""),-0.737332186859459)</f>
        <v>-0.737332186859459</v>
      </c>
      <c r="CC68" s="3">
        <f ca="1">IFERROR(__xludf.DUMMYFUNCTION("""COMPUTED_VALUE"""),-0.773042213173046)</f>
        <v>-0.773042213173046</v>
      </c>
      <c r="CD68" s="3">
        <f ca="1">IFERROR(__xludf.DUMMYFUNCTION("""COMPUTED_VALUE"""),-0.766811257554989)</f>
        <v>-0.76681125755498902</v>
      </c>
      <c r="CE68" s="3">
        <f ca="1">IFERROR(__xludf.DUMMYFUNCTION("""COMPUTED_VALUE"""),-0.758705470660614)</f>
        <v>-0.758705470660614</v>
      </c>
      <c r="CF68" s="3">
        <f ca="1">IFERROR(__xludf.DUMMYFUNCTION("""COMPUTED_VALUE"""),-0.74309830225478)</f>
        <v>-0.74309830225478002</v>
      </c>
      <c r="CG68" s="3">
        <f ca="1">IFERROR(__xludf.DUMMYFUNCTION("""COMPUTED_VALUE"""),-0.645863354003311)</f>
        <v>-0.64586335400331096</v>
      </c>
      <c r="CH68" s="3">
        <f ca="1">IFERROR(__xludf.DUMMYFUNCTION("""COMPUTED_VALUE"""),-0.687048925570852)</f>
        <v>-0.68704892557085195</v>
      </c>
      <c r="CI68" s="3">
        <f ca="1">IFERROR(__xludf.DUMMYFUNCTION("""COMPUTED_VALUE"""),-0.771734257729662)</f>
        <v>-0.77173425772966198</v>
      </c>
      <c r="CJ68" s="3">
        <f ca="1">IFERROR(__xludf.DUMMYFUNCTION("""COMPUTED_VALUE"""),-0.803977929656131)</f>
        <v>-0.80397792965613102</v>
      </c>
      <c r="CK68" s="3">
        <f ca="1">IFERROR(__xludf.DUMMYFUNCTION("""COMPUTED_VALUE"""),-0.793878259210166)</f>
        <v>-0.79387825921016597</v>
      </c>
      <c r="CL68" s="3">
        <f ca="1">IFERROR(__xludf.DUMMYFUNCTION("""COMPUTED_VALUE"""),-0.792822087769213)</f>
        <v>-0.79282208776921304</v>
      </c>
      <c r="CM68" s="3">
        <f ca="1">IFERROR(__xludf.DUMMYFUNCTION("""COMPUTED_VALUE"""),-0.792653597747465)</f>
        <v>-0.79265359774746502</v>
      </c>
      <c r="CN68" s="3">
        <f ca="1">IFERROR(__xludf.DUMMYFUNCTION("""COMPUTED_VALUE"""),-0.697449032464925)</f>
        <v>-0.69744903246492496</v>
      </c>
      <c r="CO68" s="3">
        <f ca="1">IFERROR(__xludf.DUMMYFUNCTION("""COMPUTED_VALUE"""),-0.688193348474131)</f>
        <v>-0.68819334847413105</v>
      </c>
      <c r="CP68" s="3">
        <f ca="1">IFERROR(__xludf.DUMMYFUNCTION("""COMPUTED_VALUE"""),-0.714086744244262)</f>
        <v>-0.714086744244262</v>
      </c>
      <c r="CQ68" s="3">
        <f ca="1">IFERROR(__xludf.DUMMYFUNCTION("""COMPUTED_VALUE"""),-0.738666461648128)</f>
        <v>-0.73866646164812799</v>
      </c>
      <c r="CR68" s="3">
        <f ca="1">IFERROR(__xludf.DUMMYFUNCTION("""COMPUTED_VALUE"""),-0.675676654976177)</f>
        <v>-0.67567665497617702</v>
      </c>
      <c r="CS68" s="3">
        <f ca="1">IFERROR(__xludf.DUMMYFUNCTION("""COMPUTED_VALUE"""),-0.706364381223657)</f>
        <v>-0.70636438122365697</v>
      </c>
      <c r="CT68" s="3">
        <f ca="1">IFERROR(__xludf.DUMMYFUNCTION("""COMPUTED_VALUE"""),-0.719906776127123)</f>
        <v>-0.71990677612712295</v>
      </c>
      <c r="CU68" s="3">
        <f ca="1">IFERROR(__xludf.DUMMYFUNCTION("""COMPUTED_VALUE"""),-0.605261520046841)</f>
        <v>-0.60526152004684097</v>
      </c>
      <c r="CV68" s="3">
        <f ca="1">IFERROR(__xludf.DUMMYFUNCTION("""COMPUTED_VALUE"""),-0.680058133550518)</f>
        <v>-0.68005813355051803</v>
      </c>
      <c r="CW68" s="3">
        <f ca="1">IFERROR(__xludf.DUMMYFUNCTION("""COMPUTED_VALUE"""),-0.849172796016713)</f>
        <v>-0.84917279601671303</v>
      </c>
      <c r="CX68" s="3">
        <f ca="1">IFERROR(__xludf.DUMMYFUNCTION("""COMPUTED_VALUE"""),-0.67426862347847)</f>
        <v>-0.67426862347847005</v>
      </c>
      <c r="CY68" s="3">
        <f ca="1">IFERROR(__xludf.DUMMYFUNCTION("""COMPUTED_VALUE"""),-0.484180242389354)</f>
        <v>-0.48418024238935398</v>
      </c>
      <c r="CZ68" s="3">
        <f ca="1">IFERROR(__xludf.DUMMYFUNCTION("""COMPUTED_VALUE"""),-0.613244463516976)</f>
        <v>-0.61324446351697603</v>
      </c>
      <c r="DA68" s="3">
        <f ca="1">IFERROR(__xludf.DUMMYFUNCTION("""COMPUTED_VALUE"""),-0.721797129620128)</f>
        <v>-0.72179712962012799</v>
      </c>
      <c r="DB68" s="3">
        <f ca="1">IFERROR(__xludf.DUMMYFUNCTION("""COMPUTED_VALUE"""),-0.626541623887948)</f>
        <v>-0.62654162388794798</v>
      </c>
      <c r="DC68" s="3">
        <f ca="1">IFERROR(__xludf.DUMMYFUNCTION("""COMPUTED_VALUE"""),-0.649285876145079)</f>
        <v>-0.64928587614507904</v>
      </c>
      <c r="DD68" s="3">
        <f ca="1">IFERROR(__xludf.DUMMYFUNCTION("""COMPUTED_VALUE"""),-0.848729063615178)</f>
        <v>-0.84872906361517797</v>
      </c>
      <c r="DE68" s="3">
        <f ca="1">IFERROR(__xludf.DUMMYFUNCTION("""COMPUTED_VALUE"""),-0.626664765674819)</f>
        <v>-0.62666476567481899</v>
      </c>
      <c r="DF68" s="3">
        <f ca="1">IFERROR(__xludf.DUMMYFUNCTION("""COMPUTED_VALUE"""),-0.336201325522952)</f>
        <v>-0.33620132552295201</v>
      </c>
      <c r="DG68" s="3">
        <f ca="1">IFERROR(__xludf.DUMMYFUNCTION("""COMPUTED_VALUE"""),-0.509377832258068)</f>
        <v>-0.50937783225806799</v>
      </c>
      <c r="DH68" s="3">
        <f ca="1">IFERROR(__xludf.DUMMYFUNCTION("""COMPUTED_VALUE"""),-0.605058354990639)</f>
        <v>-0.60505835499063898</v>
      </c>
      <c r="DI68" s="3">
        <f ca="1">IFERROR(__xludf.DUMMYFUNCTION("""COMPUTED_VALUE"""),-0.503712569694393)</f>
        <v>-0.50371256969439304</v>
      </c>
      <c r="DJ68" s="3">
        <f ca="1">IFERROR(__xludf.DUMMYFUNCTION("""COMPUTED_VALUE"""),-0.492495819334778)</f>
        <v>-0.49249581933477798</v>
      </c>
      <c r="DK68" s="3">
        <f ca="1">IFERROR(__xludf.DUMMYFUNCTION("""COMPUTED_VALUE"""),-0.62499333017177)</f>
        <v>-0.62499333017176995</v>
      </c>
      <c r="DL68" s="3">
        <f ca="1">IFERROR(__xludf.DUMMYFUNCTION("""COMPUTED_VALUE"""),-0.605297922121897)</f>
        <v>-0.60529792212189704</v>
      </c>
      <c r="DM68" s="3">
        <f ca="1">IFERROR(__xludf.DUMMYFUNCTION("""COMPUTED_VALUE"""),-0.492848276709784)</f>
        <v>-0.49284827670978398</v>
      </c>
      <c r="DN68" s="3">
        <f ca="1">IFERROR(__xludf.DUMMYFUNCTION("""COMPUTED_VALUE"""),-0.463260660733023)</f>
        <v>-0.46326066073302302</v>
      </c>
      <c r="DO68" s="3">
        <f ca="1">IFERROR(__xludf.DUMMYFUNCTION("""COMPUTED_VALUE"""),-0.519832411446083)</f>
        <v>-0.51983241144608305</v>
      </c>
      <c r="DP68" s="3">
        <f ca="1">IFERROR(__xludf.DUMMYFUNCTION("""COMPUTED_VALUE"""),-0.529846556022522)</f>
        <v>-0.52984655602252195</v>
      </c>
      <c r="DQ68" s="3">
        <f ca="1">IFERROR(__xludf.DUMMYFUNCTION("""COMPUTED_VALUE"""),-0.472408000061282)</f>
        <v>-0.47240800006128197</v>
      </c>
      <c r="DR68" s="3">
        <f ca="1">IFERROR(__xludf.DUMMYFUNCTION("""COMPUTED_VALUE"""),-0.571476094209531)</f>
        <v>-0.57147609420953105</v>
      </c>
      <c r="DS68" s="3">
        <f ca="1">IFERROR(__xludf.DUMMYFUNCTION("""COMPUTED_VALUE"""),-0.614793024657525)</f>
        <v>-0.61479302465752494</v>
      </c>
      <c r="DT68" s="3">
        <f ca="1">IFERROR(__xludf.DUMMYFUNCTION("""COMPUTED_VALUE"""),-0.670620295361916)</f>
        <v>-0.67062029536191603</v>
      </c>
      <c r="DU68" s="3">
        <f ca="1">IFERROR(__xludf.DUMMYFUNCTION("""COMPUTED_VALUE"""),-0.650031378511206)</f>
        <v>-0.65003137851120596</v>
      </c>
      <c r="DV68" s="3">
        <f ca="1">IFERROR(__xludf.DUMMYFUNCTION("""COMPUTED_VALUE"""),-0.594636691039906)</f>
        <v>-0.59463669103990602</v>
      </c>
      <c r="DW68" s="3">
        <f ca="1">IFERROR(__xludf.DUMMYFUNCTION("""COMPUTED_VALUE"""),-0.532135030674878)</f>
        <v>-0.532135030674878</v>
      </c>
      <c r="DX68" s="3">
        <f ca="1">IFERROR(__xludf.DUMMYFUNCTION("""COMPUTED_VALUE"""),-0.520003744016113)</f>
        <v>-0.52000374401611305</v>
      </c>
      <c r="DY68" s="3">
        <f ca="1">IFERROR(__xludf.DUMMYFUNCTION("""COMPUTED_VALUE"""),-0.623673902630222)</f>
        <v>-0.62367390263022204</v>
      </c>
      <c r="DZ68" s="3">
        <f ca="1">IFERROR(__xludf.DUMMYFUNCTION("""COMPUTED_VALUE"""),-0.656082865865262)</f>
        <v>-0.65608286586526199</v>
      </c>
      <c r="EA68" s="3">
        <f ca="1">IFERROR(__xludf.DUMMYFUNCTION("""COMPUTED_VALUE"""),-0.703970796902588)</f>
        <v>-0.70397079690258801</v>
      </c>
      <c r="EB68" s="3">
        <f ca="1">IFERROR(__xludf.DUMMYFUNCTION("""COMPUTED_VALUE"""),-0.654631428689835)</f>
        <v>-0.65463142868983504</v>
      </c>
      <c r="EC68" s="3">
        <f ca="1">IFERROR(__xludf.DUMMYFUNCTION("""COMPUTED_VALUE"""),-0.63733240574113)</f>
        <v>-0.63733240574113004</v>
      </c>
      <c r="ED68" s="3">
        <f ca="1">IFERROR(__xludf.DUMMYFUNCTION("""COMPUTED_VALUE"""),-0.49471392075663)</f>
        <v>-0.49471392075663001</v>
      </c>
      <c r="EE68" s="3">
        <f ca="1">IFERROR(__xludf.DUMMYFUNCTION("""COMPUTED_VALUE"""),-0.455803847863336)</f>
        <v>-0.455803847863336</v>
      </c>
      <c r="EF68" s="3">
        <f ca="1">IFERROR(__xludf.DUMMYFUNCTION("""COMPUTED_VALUE"""),-0.56489035947893)</f>
        <v>-0.56489035947892996</v>
      </c>
      <c r="EG68" s="3">
        <f ca="1">IFERROR(__xludf.DUMMYFUNCTION("""COMPUTED_VALUE"""),-0.650476900726784)</f>
        <v>-0.65047690072678399</v>
      </c>
      <c r="EH68" s="3">
        <f ca="1">IFERROR(__xludf.DUMMYFUNCTION("""COMPUTED_VALUE"""),-0.665889074899349)</f>
        <v>-0.66588907489934901</v>
      </c>
      <c r="EI68" s="3">
        <f ca="1">IFERROR(__xludf.DUMMYFUNCTION("""COMPUTED_VALUE"""),-0.652195603522571)</f>
        <v>-0.652195603522571</v>
      </c>
      <c r="EJ68" s="3">
        <f ca="1">IFERROR(__xludf.DUMMYFUNCTION("""COMPUTED_VALUE"""),-0.663948864496821)</f>
        <v>-0.663948864496821</v>
      </c>
      <c r="EK68" s="3">
        <f ca="1">IFERROR(__xludf.DUMMYFUNCTION("""COMPUTED_VALUE"""),-0.512328988608315)</f>
        <v>-0.51232898860831499</v>
      </c>
      <c r="EL68" s="3">
        <f ca="1">IFERROR(__xludf.DUMMYFUNCTION("""COMPUTED_VALUE"""),-0.485793518586544)</f>
        <v>-0.48579351858654402</v>
      </c>
      <c r="EM68" s="3">
        <f ca="1">IFERROR(__xludf.DUMMYFUNCTION("""COMPUTED_VALUE"""),-0.701756436120309)</f>
        <v>-0.70175643612030902</v>
      </c>
      <c r="EN68" s="3">
        <f ca="1">IFERROR(__xludf.DUMMYFUNCTION("""COMPUTED_VALUE"""),-0.709005575012603)</f>
        <v>-0.70900557501260297</v>
      </c>
      <c r="EO68" s="3">
        <f ca="1">IFERROR(__xludf.DUMMYFUNCTION("""COMPUTED_VALUE"""),-0.714073641068029)</f>
        <v>-0.71407364106802895</v>
      </c>
      <c r="EP68" s="3">
        <f ca="1">IFERROR(__xludf.DUMMYFUNCTION("""COMPUTED_VALUE"""),-0.718262356449368)</f>
        <v>-0.71826235644936798</v>
      </c>
      <c r="EQ68" s="3">
        <f ca="1">IFERROR(__xludf.DUMMYFUNCTION("""COMPUTED_VALUE"""),-0.659120469751626)</f>
        <v>-0.65912046975162597</v>
      </c>
      <c r="ER68" s="3">
        <f ca="1">IFERROR(__xludf.DUMMYFUNCTION("""COMPUTED_VALUE"""),-0.508469996557617)</f>
        <v>-0.50846999655761704</v>
      </c>
      <c r="ES68" s="3">
        <f ca="1">IFERROR(__xludf.DUMMYFUNCTION("""COMPUTED_VALUE"""),-0.529064012657698)</f>
        <v>-0.52906401265769798</v>
      </c>
      <c r="ET68" s="3">
        <f ca="1">IFERROR(__xludf.DUMMYFUNCTION("""COMPUTED_VALUE"""),-0.665752187937935)</f>
        <v>-0.665752187937935</v>
      </c>
      <c r="EU68" s="3">
        <f ca="1">IFERROR(__xludf.DUMMYFUNCTION("""COMPUTED_VALUE"""),-0.698782232996474)</f>
        <v>-0.69878223299647402</v>
      </c>
      <c r="EV68" s="3">
        <f ca="1">IFERROR(__xludf.DUMMYFUNCTION("""COMPUTED_VALUE"""),-0.717139124393012)</f>
        <v>-0.71713912439301197</v>
      </c>
      <c r="EW68" s="3">
        <f ca="1">IFERROR(__xludf.DUMMYFUNCTION("""COMPUTED_VALUE"""),-0.706516800544801)</f>
        <v>-0.70651680054480104</v>
      </c>
      <c r="EX68" s="3">
        <f ca="1">IFERROR(__xludf.DUMMYFUNCTION("""COMPUTED_VALUE"""),-0.682228098188879)</f>
        <v>-0.68222809818887897</v>
      </c>
      <c r="EY68" s="3">
        <f ca="1">IFERROR(__xludf.DUMMYFUNCTION("""COMPUTED_VALUE"""),-0.5265403490332)</f>
        <v>-0.52654034903320002</v>
      </c>
      <c r="EZ68" s="3">
        <f ca="1">IFERROR(__xludf.DUMMYFUNCTION("""COMPUTED_VALUE"""),-0.518602814955754)</f>
        <v>-0.518602814955754</v>
      </c>
      <c r="FA68" s="3">
        <f ca="1">IFERROR(__xludf.DUMMYFUNCTION("""COMPUTED_VALUE"""),-0.664374782207119)</f>
        <v>-0.66437478220711899</v>
      </c>
      <c r="FB68" s="3">
        <f ca="1">IFERROR(__xludf.DUMMYFUNCTION("""COMPUTED_VALUE"""),-0.691257440800694)</f>
        <v>-0.69125744080069396</v>
      </c>
      <c r="FC68" s="3">
        <f ca="1">IFERROR(__xludf.DUMMYFUNCTION("""COMPUTED_VALUE"""),-0.713324308398762)</f>
        <v>-0.71332430839876204</v>
      </c>
      <c r="FD68" s="3">
        <f ca="1">IFERROR(__xludf.DUMMYFUNCTION("""COMPUTED_VALUE"""),-0.71134663417944)</f>
        <v>-0.71134663417944</v>
      </c>
      <c r="FE68" s="3">
        <f ca="1">IFERROR(__xludf.DUMMYFUNCTION("""COMPUTED_VALUE"""),-0.641744522551356)</f>
        <v>-0.64174452255135594</v>
      </c>
      <c r="FF68" s="3">
        <f ca="1">IFERROR(__xludf.DUMMYFUNCTION("""COMPUTED_VALUE"""),-0.537355583607179)</f>
        <v>-0.53735558360717905</v>
      </c>
      <c r="FG68" s="3">
        <f ca="1">IFERROR(__xludf.DUMMYFUNCTION("""COMPUTED_VALUE"""),-0.602715739152633)</f>
        <v>-0.60271573915263299</v>
      </c>
      <c r="FH68" s="3">
        <f ca="1">IFERROR(__xludf.DUMMYFUNCTION("""COMPUTED_VALUE"""),-0.684691339987204)</f>
        <v>-0.684691339987204</v>
      </c>
      <c r="FI68" s="3">
        <f ca="1">IFERROR(__xludf.DUMMYFUNCTION("""COMPUTED_VALUE"""),-0.708645357420462)</f>
        <v>-0.70864535742046197</v>
      </c>
      <c r="FJ68" s="3">
        <f ca="1">IFERROR(__xludf.DUMMYFUNCTION("""COMPUTED_VALUE"""),-0.722212591622762)</f>
        <v>-0.72221259162276197</v>
      </c>
      <c r="FK68" s="3">
        <f ca="1">IFERROR(__xludf.DUMMYFUNCTION("""COMPUTED_VALUE"""),-0.687315280988433)</f>
        <v>-0.68731528098843298</v>
      </c>
      <c r="FL68" s="3">
        <f ca="1">IFERROR(__xludf.DUMMYFUNCTION("""COMPUTED_VALUE"""),-0.662742356741058)</f>
        <v>-0.66274235674105797</v>
      </c>
      <c r="FM68" s="3">
        <f ca="1">IFERROR(__xludf.DUMMYFUNCTION("""COMPUTED_VALUE"""),-0.526093937022825)</f>
        <v>-0.52609393702282503</v>
      </c>
      <c r="FN68" s="3">
        <f ca="1">IFERROR(__xludf.DUMMYFUNCTION("""COMPUTED_VALUE"""),-0.552975106821044)</f>
        <v>-0.552975106821044</v>
      </c>
      <c r="FO68" s="3">
        <f ca="1">IFERROR(__xludf.DUMMYFUNCTION("""COMPUTED_VALUE"""),-0.651232214873709)</f>
        <v>-0.65123221487370897</v>
      </c>
      <c r="FP68" s="3">
        <f ca="1">IFERROR(__xludf.DUMMYFUNCTION("""COMPUTED_VALUE"""),-0.667592933977354)</f>
        <v>-0.66759293397735398</v>
      </c>
      <c r="FQ68" s="3">
        <f ca="1">IFERROR(__xludf.DUMMYFUNCTION("""COMPUTED_VALUE"""),-0.683261769352453)</f>
        <v>-0.68326176935245297</v>
      </c>
      <c r="FR68" s="3">
        <f ca="1">IFERROR(__xludf.DUMMYFUNCTION("""COMPUTED_VALUE"""),-0.643457462809225)</f>
        <v>-0.643457462809225</v>
      </c>
      <c r="FS68" s="3">
        <f ca="1">IFERROR(__xludf.DUMMYFUNCTION("""COMPUTED_VALUE"""),-0.58618533555361)</f>
        <v>-0.58618533555360997</v>
      </c>
      <c r="FT68" s="3">
        <f ca="1">IFERROR(__xludf.DUMMYFUNCTION("""COMPUTED_VALUE"""),-0.573380494967883)</f>
        <v>-0.57338049496788301</v>
      </c>
      <c r="FU68" s="3">
        <f ca="1">IFERROR(__xludf.DUMMYFUNCTION("""COMPUTED_VALUE"""),-0.592401889124916)</f>
        <v>-0.59240188912491598</v>
      </c>
      <c r="FV68" s="3">
        <f ca="1">IFERROR(__xludf.DUMMYFUNCTION("""COMPUTED_VALUE"""),-0.676076935136381)</f>
        <v>-0.67607693513638101</v>
      </c>
      <c r="FW68" s="3">
        <f ca="1">IFERROR(__xludf.DUMMYFUNCTION("""COMPUTED_VALUE"""),-0.696237343788412)</f>
        <v>-0.69623734378841196</v>
      </c>
      <c r="FX68" s="3">
        <f ca="1">IFERROR(__xludf.DUMMYFUNCTION("""COMPUTED_VALUE"""),-0.722004178378325)</f>
        <v>-0.72200417837832498</v>
      </c>
      <c r="FY68" s="3">
        <f ca="1">IFERROR(__xludf.DUMMYFUNCTION("""COMPUTED_VALUE"""),-0.69600900212904)</f>
        <v>-0.69600900212904004</v>
      </c>
      <c r="FZ68" s="3">
        <f ca="1">IFERROR(__xludf.DUMMYFUNCTION("""COMPUTED_VALUE"""),-0.747362414081906)</f>
        <v>-0.74736241408190596</v>
      </c>
      <c r="GA68" s="3">
        <f ca="1">IFERROR(__xludf.DUMMYFUNCTION("""COMPUTED_VALUE"""),-0.537398222964784)</f>
        <v>-0.53739822296478401</v>
      </c>
      <c r="GB68" s="3">
        <f ca="1">IFERROR(__xludf.DUMMYFUNCTION("""COMPUTED_VALUE"""),-0.613640453848135)</f>
        <v>-0.61364045384813504</v>
      </c>
      <c r="GC68" s="3">
        <f ca="1">IFERROR(__xludf.DUMMYFUNCTION("""COMPUTED_VALUE"""),-0.663068453986783)</f>
        <v>-0.66306845398678305</v>
      </c>
      <c r="GD68" s="3">
        <f ca="1">IFERROR(__xludf.DUMMYFUNCTION("""COMPUTED_VALUE"""),-0.690742968274561)</f>
        <v>-0.69074296827456105</v>
      </c>
      <c r="GE68" s="3">
        <f ca="1">IFERROR(__xludf.DUMMYFUNCTION("""COMPUTED_VALUE"""),-0.650501081968266)</f>
        <v>-0.65050108196826595</v>
      </c>
      <c r="GF68" s="3">
        <f ca="1">IFERROR(__xludf.DUMMYFUNCTION("""COMPUTED_VALUE"""),-0.632924518433933)</f>
        <v>-0.63292451843393305</v>
      </c>
      <c r="GG68" s="3">
        <f ca="1">IFERROR(__xludf.DUMMYFUNCTION("""COMPUTED_VALUE"""),-0.578276340057035)</f>
        <v>-0.57827634005703499</v>
      </c>
      <c r="GH68" s="3">
        <f ca="1">IFERROR(__xludf.DUMMYFUNCTION("""COMPUTED_VALUE"""),-0.579114693424381)</f>
        <v>-0.57911469342438104</v>
      </c>
      <c r="GI68" s="3">
        <f ca="1">IFERROR(__xludf.DUMMYFUNCTION("""COMPUTED_VALUE"""),-0.550369059262594)</f>
        <v>-0.55036905926259405</v>
      </c>
      <c r="GJ68" s="3">
        <f ca="1">IFERROR(__xludf.DUMMYFUNCTION("""COMPUTED_VALUE"""),-0.660940421511594)</f>
        <v>-0.66094042151159405</v>
      </c>
      <c r="GK68" s="3">
        <f ca="1">IFERROR(__xludf.DUMMYFUNCTION("""COMPUTED_VALUE"""),-0.628723941378104)</f>
        <v>-0.62872394137810395</v>
      </c>
      <c r="GL68" s="3">
        <f ca="1">IFERROR(__xludf.DUMMYFUNCTION("""COMPUTED_VALUE"""),-0.612768779837653)</f>
        <v>-0.61276877983765299</v>
      </c>
      <c r="GM68" s="3">
        <f ca="1">IFERROR(__xludf.DUMMYFUNCTION("""COMPUTED_VALUE"""),-0.602488980583249)</f>
        <v>-0.60248898058324896</v>
      </c>
      <c r="GN68" s="3">
        <f ca="1">IFERROR(__xludf.DUMMYFUNCTION("""COMPUTED_VALUE"""),-0.567913912244457)</f>
        <v>-0.56791391224445698</v>
      </c>
      <c r="GO68" s="3">
        <f ca="1">IFERROR(__xludf.DUMMYFUNCTION("""COMPUTED_VALUE"""),-0.415825875752921)</f>
        <v>-0.41582587575292101</v>
      </c>
      <c r="GP68" s="3">
        <f ca="1">IFERROR(__xludf.DUMMYFUNCTION("""COMPUTED_VALUE"""),-0.390123244830279)</f>
        <v>-0.39012324483027899</v>
      </c>
      <c r="GQ68" s="3">
        <f ca="1">IFERROR(__xludf.DUMMYFUNCTION("""COMPUTED_VALUE"""),-0.508018428797505)</f>
        <v>-0.50801842879750503</v>
      </c>
      <c r="GR68" s="3">
        <f ca="1">IFERROR(__xludf.DUMMYFUNCTION("""COMPUTED_VALUE"""),-0.544965182488045)</f>
        <v>-0.54496518248804504</v>
      </c>
      <c r="GS68" s="3">
        <f ca="1">IFERROR(__xludf.DUMMYFUNCTION("""COMPUTED_VALUE"""),-0.547338652421091)</f>
        <v>-0.54733865242109103</v>
      </c>
      <c r="GT68" s="3">
        <f ca="1">IFERROR(__xludf.DUMMYFUNCTION("""COMPUTED_VALUE"""),-0.571828405987332)</f>
        <v>-0.57182840598733198</v>
      </c>
      <c r="GU68" s="3">
        <f ca="1">IFERROR(__xludf.DUMMYFUNCTION("""COMPUTED_VALUE"""),-0.528142201570827)</f>
        <v>-0.52814220157082703</v>
      </c>
      <c r="GV68" s="3">
        <f ca="1">IFERROR(__xludf.DUMMYFUNCTION("""COMPUTED_VALUE"""),-0.402684286410757)</f>
        <v>-0.40268428641075699</v>
      </c>
      <c r="GW68" s="3">
        <f ca="1">IFERROR(__xludf.DUMMYFUNCTION("""COMPUTED_VALUE"""),-0.347680873814479)</f>
        <v>-0.34768087381447899</v>
      </c>
      <c r="GX68" s="3">
        <f ca="1">IFERROR(__xludf.DUMMYFUNCTION("""COMPUTED_VALUE"""),-0.549878225479396)</f>
        <v>-0.54987822547939602</v>
      </c>
      <c r="GY68" s="3">
        <f ca="1">IFERROR(__xludf.DUMMYFUNCTION("""COMPUTED_VALUE"""),-0.540527884758434)</f>
        <v>-0.54052788475843405</v>
      </c>
      <c r="GZ68" s="3">
        <f ca="1">IFERROR(__xludf.DUMMYFUNCTION("""COMPUTED_VALUE"""),-0.567767763721739)</f>
        <v>-0.56776776372173898</v>
      </c>
      <c r="HA68" s="3">
        <f ca="1">IFERROR(__xludf.DUMMYFUNCTION("""COMPUTED_VALUE"""),-0.540953517319479)</f>
        <v>-0.54095351731947905</v>
      </c>
      <c r="HB68" s="3">
        <f ca="1">IFERROR(__xludf.DUMMYFUNCTION("""COMPUTED_VALUE"""),-0.490964204422764)</f>
        <v>-0.49096420442276401</v>
      </c>
      <c r="HC68" s="3">
        <f ca="1">IFERROR(__xludf.DUMMYFUNCTION("""COMPUTED_VALUE"""),-0.397851124422691)</f>
        <v>-0.39785112442269099</v>
      </c>
      <c r="HD68" s="3">
        <f ca="1">IFERROR(__xludf.DUMMYFUNCTION("""COMPUTED_VALUE"""),-0.280793585209192)</f>
        <v>-0.28079358520919201</v>
      </c>
      <c r="HE68" s="3">
        <f ca="1">IFERROR(__xludf.DUMMYFUNCTION("""COMPUTED_VALUE"""),-0.47174913575601)</f>
        <v>-0.47174913575601002</v>
      </c>
      <c r="HF68" s="3">
        <f ca="1">IFERROR(__xludf.DUMMYFUNCTION("""COMPUTED_VALUE"""),-0.501803234650642)</f>
        <v>-0.50180323465064203</v>
      </c>
      <c r="HG68" s="3">
        <f ca="1">IFERROR(__xludf.DUMMYFUNCTION("""COMPUTED_VALUE"""),-0.489741285622632)</f>
        <v>-0.48974128562263203</v>
      </c>
      <c r="HH68" s="3">
        <f ca="1">IFERROR(__xludf.DUMMYFUNCTION("""COMPUTED_VALUE"""),-0.501193207205275)</f>
        <v>-0.50119320720527505</v>
      </c>
      <c r="HI68" s="3">
        <f ca="1">IFERROR(__xludf.DUMMYFUNCTION("""COMPUTED_VALUE"""),-0.658653876894253)</f>
        <v>-0.65865387689425303</v>
      </c>
      <c r="HJ68" s="3">
        <f ca="1">IFERROR(__xludf.DUMMYFUNCTION("""COMPUTED_VALUE"""),-0.169763395080293)</f>
        <v>-0.16976339508029301</v>
      </c>
      <c r="HK68" s="3">
        <f ca="1">IFERROR(__xludf.DUMMYFUNCTION("""COMPUTED_VALUE"""),-0.177333523030601)</f>
        <v>-0.17733352303060099</v>
      </c>
      <c r="HL68" s="3">
        <f ca="1">IFERROR(__xludf.DUMMYFUNCTION("""COMPUTED_VALUE"""),-0.383612104874588)</f>
        <v>-0.38361210487458802</v>
      </c>
      <c r="HM68" s="3">
        <f ca="1">IFERROR(__xludf.DUMMYFUNCTION("""COMPUTED_VALUE"""),-0.406681304863462)</f>
        <v>-0.40668130486346199</v>
      </c>
      <c r="HN68" s="3">
        <f ca="1">IFERROR(__xludf.DUMMYFUNCTION("""COMPUTED_VALUE"""),-0.473745969045693)</f>
        <v>-0.47374596904569299</v>
      </c>
      <c r="HO68" s="3">
        <f ca="1">IFERROR(__xludf.DUMMYFUNCTION("""COMPUTED_VALUE"""),-0.406972591572384)</f>
        <v>-0.40697259157238402</v>
      </c>
      <c r="HP68" s="3">
        <f ca="1">IFERROR(__xludf.DUMMYFUNCTION("""COMPUTED_VALUE"""),-0.230808186745481)</f>
        <v>-0.23080818674548101</v>
      </c>
      <c r="HQ68" s="3">
        <f ca="1">IFERROR(__xludf.DUMMYFUNCTION("""COMPUTED_VALUE"""),-0.407268171267085)</f>
        <v>-0.40726817126708498</v>
      </c>
      <c r="HR68" s="3">
        <f ca="1">IFERROR(__xludf.DUMMYFUNCTION("""COMPUTED_VALUE"""),-0.349050339882542)</f>
        <v>-0.34905033988254203</v>
      </c>
      <c r="HS68" s="3">
        <f ca="1">IFERROR(__xludf.DUMMYFUNCTION("""COMPUTED_VALUE"""),-0.49788686118927)</f>
        <v>-0.49788686118927</v>
      </c>
      <c r="HT68" s="3">
        <f ca="1">IFERROR(__xludf.DUMMYFUNCTION("""COMPUTED_VALUE"""),-0.47139030680693)</f>
        <v>-0.47139030680693</v>
      </c>
      <c r="HU68" s="3">
        <f ca="1">IFERROR(__xludf.DUMMYFUNCTION("""COMPUTED_VALUE"""),-0.447213711927752)</f>
        <v>-0.447213711927752</v>
      </c>
      <c r="HV68" s="3">
        <f ca="1">IFERROR(__xludf.DUMMYFUNCTION("""COMPUTED_VALUE"""),-0.442965515221056)</f>
        <v>-0.44296551522105598</v>
      </c>
      <c r="HW68" s="3">
        <f ca="1">IFERROR(__xludf.DUMMYFUNCTION("""COMPUTED_VALUE"""),-0.336928283890852)</f>
        <v>-0.336928283890852</v>
      </c>
      <c r="HX68" s="3">
        <f ca="1">IFERROR(__xludf.DUMMYFUNCTION("""COMPUTED_VALUE"""),-0.341570769023024)</f>
        <v>-0.34157076902302402</v>
      </c>
      <c r="HY68" s="3">
        <f ca="1">IFERROR(__xludf.DUMMYFUNCTION("""COMPUTED_VALUE"""),-0.2931574711536)</f>
        <v>-0.29315747115360002</v>
      </c>
      <c r="HZ68" s="3">
        <f ca="1">IFERROR(__xludf.DUMMYFUNCTION("""COMPUTED_VALUE"""),-0.426642432763533)</f>
        <v>-0.42664243276353297</v>
      </c>
      <c r="IA68" s="3">
        <f ca="1">IFERROR(__xludf.DUMMYFUNCTION("""COMPUTED_VALUE"""),-0.467933723467613)</f>
        <v>-0.46793372346761303</v>
      </c>
      <c r="IB68" s="3">
        <f ca="1">IFERROR(__xludf.DUMMYFUNCTION("""COMPUTED_VALUE"""),-0.441162377495204)</f>
        <v>-0.44116237749520398</v>
      </c>
      <c r="IC68" s="3">
        <f ca="1">IFERROR(__xludf.DUMMYFUNCTION("""COMPUTED_VALUE"""),-0.511343176400095)</f>
        <v>-0.51134317640009497</v>
      </c>
      <c r="ID68" s="3">
        <f ca="1">IFERROR(__xludf.DUMMYFUNCTION("""COMPUTED_VALUE"""),-0.498027759249972)</f>
        <v>-0.498027759249972</v>
      </c>
      <c r="IE68" s="3">
        <f ca="1">IFERROR(__xludf.DUMMYFUNCTION("""COMPUTED_VALUE"""),-0.303055252949478)</f>
        <v>-0.30305525294947799</v>
      </c>
      <c r="IF68" s="3">
        <f ca="1">IFERROR(__xludf.DUMMYFUNCTION("""COMPUTED_VALUE"""),-0.271396576608406)</f>
        <v>-0.27139657660840599</v>
      </c>
      <c r="IG68" s="3">
        <f ca="1">IFERROR(__xludf.DUMMYFUNCTION("""COMPUTED_VALUE"""),-0.445737206711223)</f>
        <v>-0.44573720671122302</v>
      </c>
      <c r="IH68" s="3">
        <f ca="1">IFERROR(__xludf.DUMMYFUNCTION("""COMPUTED_VALUE"""),-0.40622190676745)</f>
        <v>-0.40622190676745001</v>
      </c>
      <c r="II68" s="3">
        <f ca="1">IFERROR(__xludf.DUMMYFUNCTION("""COMPUTED_VALUE"""),-0.426369908232661)</f>
        <v>-0.42636990823266102</v>
      </c>
      <c r="IJ68" s="3">
        <f ca="1">IFERROR(__xludf.DUMMYFUNCTION("""COMPUTED_VALUE"""),-0.491034768854758)</f>
        <v>-0.491034768854758</v>
      </c>
      <c r="IK68" s="3">
        <f ca="1">IFERROR(__xludf.DUMMYFUNCTION("""COMPUTED_VALUE"""),-0.438232000773109)</f>
        <v>-0.43823200077310898</v>
      </c>
      <c r="IL68" s="3">
        <f ca="1">IFERROR(__xludf.DUMMYFUNCTION("""COMPUTED_VALUE"""),-0.344912738339629)</f>
        <v>-0.34491273833962899</v>
      </c>
      <c r="IM68" s="3">
        <f ca="1">IFERROR(__xludf.DUMMYFUNCTION("""COMPUTED_VALUE"""),-0.21376818185137)</f>
        <v>-0.21376818185137</v>
      </c>
      <c r="IN68" s="3">
        <f ca="1">IFERROR(__xludf.DUMMYFUNCTION("""COMPUTED_VALUE"""),-0.346330007958912)</f>
        <v>-0.346330007958912</v>
      </c>
      <c r="IO68" s="3">
        <f ca="1">IFERROR(__xludf.DUMMYFUNCTION("""COMPUTED_VALUE"""),-0.382462434592648)</f>
        <v>-0.382462434592648</v>
      </c>
      <c r="IP68" s="3">
        <f ca="1">IFERROR(__xludf.DUMMYFUNCTION("""COMPUTED_VALUE"""),-0.413605904127629)</f>
        <v>-0.41360590412762899</v>
      </c>
      <c r="IQ68" s="3">
        <f ca="1">IFERROR(__xludf.DUMMYFUNCTION("""COMPUTED_VALUE"""),-0.410151614733565)</f>
        <v>-0.41015161473356498</v>
      </c>
      <c r="IR68" s="3">
        <f ca="1">IFERROR(__xludf.DUMMYFUNCTION("""COMPUTED_VALUE"""),-0.421699921945403)</f>
        <v>-0.42169992194540301</v>
      </c>
      <c r="IS68" s="3">
        <f ca="1">IFERROR(__xludf.DUMMYFUNCTION("""COMPUTED_VALUE"""),-0.410078891988082)</f>
        <v>-0.41007889198808201</v>
      </c>
      <c r="IT68" s="3">
        <f ca="1">IFERROR(__xludf.DUMMYFUNCTION("""COMPUTED_VALUE"""),-0.232133020843302)</f>
        <v>-0.23213302084330201</v>
      </c>
      <c r="IU68" s="3">
        <f ca="1">IFERROR(__xludf.DUMMYFUNCTION("""COMPUTED_VALUE"""),-0.428578866027606)</f>
        <v>-0.42857886602760598</v>
      </c>
      <c r="IV68" s="3">
        <f ca="1">IFERROR(__xludf.DUMMYFUNCTION("""COMPUTED_VALUE"""),-0.442465601856081)</f>
        <v>-0.44246560185608103</v>
      </c>
      <c r="IW68" s="3">
        <f ca="1">IFERROR(__xludf.DUMMYFUNCTION("""COMPUTED_VALUE"""),-0.402863717732274)</f>
        <v>-0.40286371773227397</v>
      </c>
      <c r="IX68" s="3">
        <f ca="1">IFERROR(__xludf.DUMMYFUNCTION("""COMPUTED_VALUE"""),-0.390279799250884)</f>
        <v>-0.39027979925088402</v>
      </c>
      <c r="IY68" s="3">
        <f ca="1">IFERROR(__xludf.DUMMYFUNCTION("""COMPUTED_VALUE"""),-0.405613209715976)</f>
        <v>-0.40561320971597598</v>
      </c>
      <c r="IZ68" s="3">
        <f ca="1">IFERROR(__xludf.DUMMYFUNCTION("""COMPUTED_VALUE"""),-0.456546803508353)</f>
        <v>-0.45654680350835303</v>
      </c>
      <c r="JA68" s="3">
        <f ca="1">IFERROR(__xludf.DUMMYFUNCTION("""COMPUTED_VALUE"""),-0.321495620619377)</f>
        <v>-0.32149562061937698</v>
      </c>
      <c r="JB68" s="3">
        <f ca="1">IFERROR(__xludf.DUMMYFUNCTION("""COMPUTED_VALUE"""),-0.420095509109191)</f>
        <v>-0.42009550910919102</v>
      </c>
      <c r="JC68" s="3">
        <f ca="1">IFERROR(__xludf.DUMMYFUNCTION("""COMPUTED_VALUE"""),-0.454296545423444)</f>
        <v>-0.454296545423444</v>
      </c>
      <c r="JD68" s="3">
        <f ca="1">IFERROR(__xludf.DUMMYFUNCTION("""COMPUTED_VALUE"""),-0.430026219390814)</f>
        <v>-0.43002621939081398</v>
      </c>
      <c r="JE68" s="3">
        <f ca="1">IFERROR(__xludf.DUMMYFUNCTION("""COMPUTED_VALUE"""),-0.416467268852096)</f>
        <v>-0.41646726885209601</v>
      </c>
      <c r="JF68" s="3">
        <f ca="1">IFERROR(__xludf.DUMMYFUNCTION("""COMPUTED_VALUE"""),-0.435370980144882)</f>
        <v>-0.43537098014488201</v>
      </c>
      <c r="JG68" s="3">
        <f ca="1">IFERROR(__xludf.DUMMYFUNCTION("""COMPUTED_VALUE"""),-0.442503202061588)</f>
        <v>-0.442503202061588</v>
      </c>
      <c r="JH68" s="3">
        <f ca="1">IFERROR(__xludf.DUMMYFUNCTION("""COMPUTED_VALUE"""),-0.437230807622724)</f>
        <v>-0.43723080762272398</v>
      </c>
      <c r="JI68" s="3">
        <f ca="1">IFERROR(__xludf.DUMMYFUNCTION("""COMPUTED_VALUE"""),-0.48831298595827)</f>
        <v>-0.48831298595827</v>
      </c>
      <c r="JJ68" s="3">
        <f ca="1">IFERROR(__xludf.DUMMYFUNCTION("""COMPUTED_VALUE"""),-0.444156802406379)</f>
        <v>-0.444156802406379</v>
      </c>
      <c r="JK68" s="3">
        <f ca="1">IFERROR(__xludf.DUMMYFUNCTION("""COMPUTED_VALUE"""),-0.452170360076483)</f>
        <v>-0.45217036007648298</v>
      </c>
      <c r="JL68" s="3">
        <f ca="1">IFERROR(__xludf.DUMMYFUNCTION("""COMPUTED_VALUE"""),-0.422385844743201)</f>
        <v>-0.42238584474320101</v>
      </c>
      <c r="JM68" s="3">
        <f ca="1">IFERROR(__xludf.DUMMYFUNCTION("""COMPUTED_VALUE"""),-0.430325051413269)</f>
        <v>-0.43032505141326899</v>
      </c>
      <c r="JN68" s="3">
        <f ca="1">IFERROR(__xludf.DUMMYFUNCTION("""COMPUTED_VALUE"""),-0.512672469347138)</f>
        <v>-0.51267246934713795</v>
      </c>
      <c r="JO68" s="3">
        <f ca="1">IFERROR(__xludf.DUMMYFUNCTION("""COMPUTED_VALUE"""),-0.552633089000758)</f>
        <v>-0.55263308900075803</v>
      </c>
      <c r="JP68" s="3">
        <f ca="1">IFERROR(__xludf.DUMMYFUNCTION("""COMPUTED_VALUE"""),-0.501003694790994)</f>
        <v>-0.50100369479099405</v>
      </c>
      <c r="JQ68" s="3">
        <f ca="1">IFERROR(__xludf.DUMMYFUNCTION("""COMPUTED_VALUE"""),-0.525014315965091)</f>
        <v>-0.52501431596509096</v>
      </c>
      <c r="JR68" s="3">
        <f ca="1">IFERROR(__xludf.DUMMYFUNCTION("""COMPUTED_VALUE"""),-0.511034315746475)</f>
        <v>-0.51103431574647495</v>
      </c>
      <c r="JS68" s="3">
        <f ca="1">IFERROR(__xludf.DUMMYFUNCTION("""COMPUTED_VALUE"""),-0.469129992047884)</f>
        <v>-0.46912999204788403</v>
      </c>
      <c r="JT68" s="3">
        <f ca="1">IFERROR(__xludf.DUMMYFUNCTION("""COMPUTED_VALUE"""),-0.403163462564633)</f>
        <v>-0.40316346256463298</v>
      </c>
      <c r="JU68" s="3">
        <f ca="1">IFERROR(__xludf.DUMMYFUNCTION("""COMPUTED_VALUE"""),-0.534932367759746)</f>
        <v>-0.53493236775974595</v>
      </c>
      <c r="JV68" s="3">
        <f ca="1">IFERROR(__xludf.DUMMYFUNCTION("""COMPUTED_VALUE"""),-0.450184674822216)</f>
        <v>-0.45018467482221602</v>
      </c>
      <c r="JW68" s="3">
        <f ca="1">IFERROR(__xludf.DUMMYFUNCTION("""COMPUTED_VALUE"""),-0.514106578632061)</f>
        <v>-0.514106578632061</v>
      </c>
      <c r="JX68" s="3">
        <f ca="1">IFERROR(__xludf.DUMMYFUNCTION("""COMPUTED_VALUE"""),-0.492601225367009)</f>
        <v>-0.49260122536700901</v>
      </c>
      <c r="JY68" s="3">
        <f ca="1">IFERROR(__xludf.DUMMYFUNCTION("""COMPUTED_VALUE"""),-0.687493385255409)</f>
        <v>-0.68749338525540904</v>
      </c>
      <c r="JZ68" s="3">
        <f ca="1">IFERROR(__xludf.DUMMYFUNCTION("""COMPUTED_VALUE"""),-0.537623267768689)</f>
        <v>-0.53762326776868896</v>
      </c>
      <c r="KA68" s="3">
        <f ca="1">IFERROR(__xludf.DUMMYFUNCTION("""COMPUTED_VALUE"""),-0.378479660100995)</f>
        <v>-0.37847966010099499</v>
      </c>
      <c r="KB68" s="3">
        <f ca="1">IFERROR(__xludf.DUMMYFUNCTION("""COMPUTED_VALUE"""),-0.574295899533943)</f>
        <v>-0.574295899533943</v>
      </c>
      <c r="KC68" s="3">
        <f ca="1">IFERROR(__xludf.DUMMYFUNCTION("""COMPUTED_VALUE"""),-0.500874452727647)</f>
        <v>-0.50087445272764697</v>
      </c>
      <c r="KD68" s="3">
        <f ca="1">IFERROR(__xludf.DUMMYFUNCTION("""COMPUTED_VALUE"""),-0.54489177695771)</f>
        <v>-0.54489177695770996</v>
      </c>
      <c r="KE68" s="3">
        <f ca="1">IFERROR(__xludf.DUMMYFUNCTION("""COMPUTED_VALUE"""),-0.594898986414514)</f>
        <v>-0.594898986414514</v>
      </c>
      <c r="KF68" s="3">
        <f ca="1">IFERROR(__xludf.DUMMYFUNCTION("""COMPUTED_VALUE"""),-0.798317863380989)</f>
        <v>-0.79831786338098898</v>
      </c>
      <c r="KG68" s="3">
        <f ca="1">IFERROR(__xludf.DUMMYFUNCTION("""COMPUTED_VALUE"""),-0.544720830103172)</f>
        <v>-0.54472083010317196</v>
      </c>
      <c r="KH68" s="3">
        <f ca="1">IFERROR(__xludf.DUMMYFUNCTION("""COMPUTED_VALUE"""),-0.398336894180598)</f>
        <v>-0.39833689418059798</v>
      </c>
      <c r="KI68" s="3">
        <f ca="1">IFERROR(__xludf.DUMMYFUNCTION("""COMPUTED_VALUE"""),-0.518377271025486)</f>
        <v>-0.51837727102548603</v>
      </c>
      <c r="KJ68" s="3">
        <f ca="1">IFERROR(__xludf.DUMMYFUNCTION("""COMPUTED_VALUE"""),-0.376919418944922)</f>
        <v>-0.37691941894492198</v>
      </c>
      <c r="KK68" s="3">
        <f ca="1">IFERROR(__xludf.DUMMYFUNCTION("""COMPUTED_VALUE"""),-0.549614531994881)</f>
        <v>-0.54961453199488097</v>
      </c>
      <c r="KL68" s="3">
        <f ca="1">IFERROR(__xludf.DUMMYFUNCTION("""COMPUTED_VALUE"""),-0.566933231455283)</f>
        <v>-0.56693323145528296</v>
      </c>
      <c r="KM68" s="3">
        <f ca="1">IFERROR(__xludf.DUMMYFUNCTION("""COMPUTED_VALUE"""),-0.584267279050753)</f>
        <v>-0.58426727905075304</v>
      </c>
      <c r="KN68" s="3">
        <f ca="1">IFERROR(__xludf.DUMMYFUNCTION("""COMPUTED_VALUE"""),-0.550703523205166)</f>
        <v>-0.55070352320516602</v>
      </c>
      <c r="KO68" s="3">
        <f ca="1">IFERROR(__xludf.DUMMYFUNCTION("""COMPUTED_VALUE"""),-0.440749586956316)</f>
        <v>-0.440749586956316</v>
      </c>
      <c r="KP68" s="3">
        <f ca="1">IFERROR(__xludf.DUMMYFUNCTION("""COMPUTED_VALUE"""),-0.533087681493589)</f>
        <v>-0.53308768149358898</v>
      </c>
      <c r="KQ68" s="3">
        <f ca="1">IFERROR(__xludf.DUMMYFUNCTION("""COMPUTED_VALUE"""),-0.523003472785322)</f>
        <v>-0.523003472785322</v>
      </c>
      <c r="KR68" s="3">
        <f ca="1">IFERROR(__xludf.DUMMYFUNCTION("""COMPUTED_VALUE"""),-0.648205043033425)</f>
        <v>-0.64820504303342497</v>
      </c>
      <c r="KS68" s="3">
        <f ca="1">IFERROR(__xludf.DUMMYFUNCTION("""COMPUTED_VALUE"""),-0.673326016217306)</f>
        <v>-0.67332601621730603</v>
      </c>
      <c r="KT68" s="3">
        <f ca="1">IFERROR(__xludf.DUMMYFUNCTION("""COMPUTED_VALUE"""),-0.687112191987672)</f>
        <v>-0.68711219198767204</v>
      </c>
      <c r="KU68" s="3">
        <f ca="1">IFERROR(__xludf.DUMMYFUNCTION("""COMPUTED_VALUE"""),-0.615998031951904)</f>
        <v>-0.61599803195190395</v>
      </c>
      <c r="KV68" s="3">
        <f ca="1">IFERROR(__xludf.DUMMYFUNCTION("""COMPUTED_VALUE"""),-0.645137984377351)</f>
        <v>-0.64513798437735104</v>
      </c>
      <c r="KW68" s="3">
        <f ca="1">IFERROR(__xludf.DUMMYFUNCTION("""COMPUTED_VALUE"""),-0.463707608989719)</f>
        <v>-0.46370760898971902</v>
      </c>
      <c r="KX68" s="3">
        <f ca="1">IFERROR(__xludf.DUMMYFUNCTION("""COMPUTED_VALUE"""),-0.63594276531037)</f>
        <v>-0.63594276531036997</v>
      </c>
      <c r="KY68" s="3">
        <f ca="1">IFERROR(__xludf.DUMMYFUNCTION("""COMPUTED_VALUE"""),-0.647624349242591)</f>
        <v>-0.64762434924259105</v>
      </c>
      <c r="KZ68" s="3">
        <f ca="1">IFERROR(__xludf.DUMMYFUNCTION("""COMPUTED_VALUE"""),-0.617307907950109)</f>
        <v>-0.61730790795010904</v>
      </c>
      <c r="LA68" s="3">
        <f ca="1">IFERROR(__xludf.DUMMYFUNCTION("""COMPUTED_VALUE"""),-0.623507512427486)</f>
        <v>-0.62350751242748603</v>
      </c>
      <c r="LB68" s="3">
        <f ca="1">IFERROR(__xludf.DUMMYFUNCTION("""COMPUTED_VALUE"""),-0.645712241438002)</f>
        <v>-0.64571224143800199</v>
      </c>
      <c r="LC68" s="3">
        <f ca="1">IFERROR(__xludf.DUMMYFUNCTION("""COMPUTED_VALUE"""),-0.61667925918644)</f>
        <v>-0.61667925918643995</v>
      </c>
      <c r="LD68" s="3">
        <f ca="1">IFERROR(__xludf.DUMMYFUNCTION("""COMPUTED_VALUE"""),-0.603094387231806)</f>
        <v>-0.60309438723180597</v>
      </c>
      <c r="LE68" s="3">
        <f ca="1">IFERROR(__xludf.DUMMYFUNCTION("""COMPUTED_VALUE"""),-0.667432605352422)</f>
        <v>-0.66743260535242199</v>
      </c>
      <c r="LF68" s="3">
        <f ca="1">IFERROR(__xludf.DUMMYFUNCTION("""COMPUTED_VALUE"""),-0.729308062068748)</f>
        <v>-0.72930806206874799</v>
      </c>
      <c r="LG68" s="3">
        <f ca="1">IFERROR(__xludf.DUMMYFUNCTION("""COMPUTED_VALUE"""),-0.693296145267714)</f>
        <v>-0.69329614526771399</v>
      </c>
      <c r="LH68" s="3">
        <f ca="1">IFERROR(__xludf.DUMMYFUNCTION("""COMPUTED_VALUE"""),-0.700529020521145)</f>
        <v>-0.70052902052114496</v>
      </c>
      <c r="LI68" s="3">
        <f ca="1">IFERROR(__xludf.DUMMYFUNCTION("""COMPUTED_VALUE"""),-0.7160056524577)</f>
        <v>-0.71600565245769998</v>
      </c>
      <c r="LJ68" s="3">
        <f ca="1">IFERROR(__xludf.DUMMYFUNCTION("""COMPUTED_VALUE"""),-0.620118775403188)</f>
        <v>-0.62011877540318805</v>
      </c>
      <c r="LK68" s="3">
        <f ca="1">IFERROR(__xludf.DUMMYFUNCTION("""COMPUTED_VALUE"""),-0.635686126139635)</f>
        <v>-0.63568612613963504</v>
      </c>
      <c r="LL68" s="3">
        <f ca="1">IFERROR(__xludf.DUMMYFUNCTION("""COMPUTED_VALUE"""),-0.677006164350335)</f>
        <v>-0.677006164350335</v>
      </c>
      <c r="LM68" s="3">
        <f ca="1">IFERROR(__xludf.DUMMYFUNCTION("""COMPUTED_VALUE"""),-0.77471353561486)</f>
        <v>-0.77471353561486</v>
      </c>
      <c r="LN68" s="3">
        <f ca="1">IFERROR(__xludf.DUMMYFUNCTION("""COMPUTED_VALUE"""),-0.706111647996233)</f>
        <v>-0.70611164799623305</v>
      </c>
      <c r="LO68" s="3">
        <f ca="1">IFERROR(__xludf.DUMMYFUNCTION("""COMPUTED_VALUE"""),-0.718398844498458)</f>
        <v>-0.71839884449845803</v>
      </c>
      <c r="LP68" s="3">
        <f ca="1">IFERROR(__xludf.DUMMYFUNCTION("""COMPUTED_VALUE"""),-0.747722329160591)</f>
        <v>-0.747722329160591</v>
      </c>
      <c r="LQ68" s="3">
        <f ca="1">IFERROR(__xludf.DUMMYFUNCTION("""COMPUTED_VALUE"""),-0.753366449605774)</f>
        <v>-0.75336644960577404</v>
      </c>
      <c r="LR68" s="3">
        <f ca="1">IFERROR(__xludf.DUMMYFUNCTION("""COMPUTED_VALUE"""),-0.709531178935901)</f>
        <v>-0.70953117893590101</v>
      </c>
      <c r="LS68" s="3">
        <f ca="1">IFERROR(__xludf.DUMMYFUNCTION("""COMPUTED_VALUE"""),-0.747888683242281)</f>
        <v>-0.74788868324228097</v>
      </c>
      <c r="LT68" s="3">
        <f ca="1">IFERROR(__xludf.DUMMYFUNCTION("""COMPUTED_VALUE"""),-0.838570187326733)</f>
        <v>-0.83857018732673305</v>
      </c>
      <c r="LU68" s="3">
        <f ca="1">IFERROR(__xludf.DUMMYFUNCTION("""COMPUTED_VALUE"""),-0.776358124083933)</f>
        <v>-0.77635812408393301</v>
      </c>
      <c r="LV68" s="3">
        <f ca="1">IFERROR(__xludf.DUMMYFUNCTION("""COMPUTED_VALUE"""),-0.779541207977513)</f>
        <v>-0.77954120797751303</v>
      </c>
      <c r="LW68" s="3">
        <f ca="1">IFERROR(__xludf.DUMMYFUNCTION("""COMPUTED_VALUE"""),-0.80902648315313)</f>
        <v>-0.80902648315312997</v>
      </c>
      <c r="LX68" s="3">
        <f ca="1">IFERROR(__xludf.DUMMYFUNCTION("""COMPUTED_VALUE"""),-0.761665287828569)</f>
        <v>-0.76166528782856902</v>
      </c>
      <c r="LY68" s="3">
        <f ca="1">IFERROR(__xludf.DUMMYFUNCTION("""COMPUTED_VALUE"""),-0.848208541407032)</f>
        <v>-0.84820854140703195</v>
      </c>
      <c r="LZ68" s="3">
        <f ca="1">IFERROR(__xludf.DUMMYFUNCTION("""COMPUTED_VALUE"""),-0.823613666206433)</f>
        <v>-0.82361366620643295</v>
      </c>
      <c r="MA68" s="3">
        <f ca="1">IFERROR(__xludf.DUMMYFUNCTION("""COMPUTED_VALUE"""),-0.837044647788862)</f>
        <v>-0.83704464778886201</v>
      </c>
      <c r="MB68" s="3">
        <f ca="1">IFERROR(__xludf.DUMMYFUNCTION("""COMPUTED_VALUE"""),-0.828623896932107)</f>
        <v>-0.82862389693210703</v>
      </c>
      <c r="MC68" s="3">
        <f ca="1">IFERROR(__xludf.DUMMYFUNCTION("""COMPUTED_VALUE"""),-0.809707451245564)</f>
        <v>-0.80970745124556398</v>
      </c>
      <c r="MD68" s="3">
        <f ca="1">IFERROR(__xludf.DUMMYFUNCTION("""COMPUTED_VALUE"""),-0.829331303828676)</f>
        <v>-0.82933130382867604</v>
      </c>
      <c r="ME68" s="3">
        <f ca="1">IFERROR(__xludf.DUMMYFUNCTION("""COMPUTED_VALUE"""),-0.845234405879765)</f>
        <v>-0.84523440587976495</v>
      </c>
      <c r="MF68" s="3">
        <f ca="1">IFERROR(__xludf.DUMMYFUNCTION("""COMPUTED_VALUE"""),-0.8365890167361)</f>
        <v>-0.83658901673609998</v>
      </c>
      <c r="MG68" s="3">
        <f ca="1">IFERROR(__xludf.DUMMYFUNCTION("""COMPUTED_VALUE"""),-0.831095998252663)</f>
        <v>-0.831095998252663</v>
      </c>
      <c r="MH68" s="3">
        <f ca="1">IFERROR(__xludf.DUMMYFUNCTION("""COMPUTED_VALUE"""),-0.89750877881427)</f>
        <v>-0.89750877881427005</v>
      </c>
      <c r="MI68" s="3">
        <f ca="1">IFERROR(__xludf.DUMMYFUNCTION("""COMPUTED_VALUE"""),-0.896195211555245)</f>
        <v>-0.89619521155524495</v>
      </c>
      <c r="MJ68" s="3">
        <f ca="1">IFERROR(__xludf.DUMMYFUNCTION("""COMPUTED_VALUE"""),-0.873606191396683)</f>
        <v>-0.87360619139668305</v>
      </c>
      <c r="MK68" s="3">
        <f ca="1">IFERROR(__xludf.DUMMYFUNCTION("""COMPUTED_VALUE"""),-0.868588707132011)</f>
        <v>-0.86858870713201097</v>
      </c>
      <c r="ML68" s="3">
        <f ca="1">IFERROR(__xludf.DUMMYFUNCTION("""COMPUTED_VALUE"""),-0.843105671197316)</f>
        <v>-0.84310567119731605</v>
      </c>
      <c r="MM68" s="3">
        <f ca="1">IFERROR(__xludf.DUMMYFUNCTION("""COMPUTED_VALUE"""),-0.864642778994673)</f>
        <v>-0.86464277899467301</v>
      </c>
      <c r="MN68" s="3">
        <f ca="1">IFERROR(__xludf.DUMMYFUNCTION("""COMPUTED_VALUE"""),-0.861084879239782)</f>
        <v>-0.86108487923978205</v>
      </c>
      <c r="MO68" s="3">
        <f ca="1">IFERROR(__xludf.DUMMYFUNCTION("""COMPUTED_VALUE"""),-0.872528258137303)</f>
        <v>-0.87252825813730295</v>
      </c>
      <c r="MP68" s="3">
        <f ca="1">IFERROR(__xludf.DUMMYFUNCTION("""COMPUTED_VALUE"""),-0.911742347428149)</f>
        <v>-0.91174234742814897</v>
      </c>
      <c r="MQ68" s="3">
        <f ca="1">IFERROR(__xludf.DUMMYFUNCTION("""COMPUTED_VALUE"""),-0.893866198345781)</f>
        <v>-0.89386619834578096</v>
      </c>
      <c r="MR68" s="3">
        <f ca="1">IFERROR(__xludf.DUMMYFUNCTION("""COMPUTED_VALUE"""),-0.908671629792999)</f>
        <v>-0.90867162979299898</v>
      </c>
      <c r="MS68" s="3">
        <f ca="1">IFERROR(__xludf.DUMMYFUNCTION("""COMPUTED_VALUE"""),-0.869466113506001)</f>
        <v>-0.869466113506001</v>
      </c>
      <c r="MT68" s="3">
        <f ca="1">IFERROR(__xludf.DUMMYFUNCTION("""COMPUTED_VALUE"""),-0.879571376676024)</f>
        <v>-0.87957137667602403</v>
      </c>
      <c r="MU68" s="3">
        <f ca="1">IFERROR(__xludf.DUMMYFUNCTION("""COMPUTED_VALUE"""),-0.876699246077553)</f>
        <v>-0.87669924607755301</v>
      </c>
      <c r="MV68" s="3">
        <f ca="1">IFERROR(__xludf.DUMMYFUNCTION("""COMPUTED_VALUE"""),-0.895817431522193)</f>
        <v>-0.89581743152219295</v>
      </c>
      <c r="MW68" s="3">
        <f ca="1">IFERROR(__xludf.DUMMYFUNCTION("""COMPUTED_VALUE"""),-0.917087329603251)</f>
        <v>-0.91708732960325101</v>
      </c>
      <c r="MX68" s="3">
        <f ca="1">IFERROR(__xludf.DUMMYFUNCTION("""COMPUTED_VALUE"""),-0.897986759617735)</f>
        <v>-0.897986759617735</v>
      </c>
      <c r="MY68" s="3">
        <f ca="1">IFERROR(__xludf.DUMMYFUNCTION("""COMPUTED_VALUE"""),-0.903447989718482)</f>
        <v>-0.90344798971848195</v>
      </c>
      <c r="MZ68" s="3">
        <f ca="1">IFERROR(__xludf.DUMMYFUNCTION("""COMPUTED_VALUE"""),-0.914750495817801)</f>
        <v>-0.91475049581780099</v>
      </c>
      <c r="NA68" s="3">
        <f ca="1">IFERROR(__xludf.DUMMYFUNCTION("""COMPUTED_VALUE"""),-0.8515203175199)</f>
        <v>-0.85152031751989998</v>
      </c>
      <c r="NB68" s="3">
        <f ca="1">IFERROR(__xludf.DUMMYFUNCTION("""COMPUTED_VALUE"""),-0.864392936691116)</f>
        <v>-0.86439293669111605</v>
      </c>
      <c r="NC68" s="3">
        <f ca="1">IFERROR(__xludf.DUMMYFUNCTION("""COMPUTED_VALUE"""),-0.905188677079001)</f>
        <v>-0.90518867707900097</v>
      </c>
      <c r="ND68" s="3">
        <f ca="1">IFERROR(__xludf.DUMMYFUNCTION("""COMPUTED_VALUE"""),-0.91172834292838)</f>
        <v>-0.91172834292838001</v>
      </c>
      <c r="NE68" s="3">
        <f ca="1">IFERROR(__xludf.DUMMYFUNCTION("""COMPUTED_VALUE"""),-0.889839577972517)</f>
        <v>-0.889839577972517</v>
      </c>
      <c r="NF68" s="3">
        <f ca="1">IFERROR(__xludf.DUMMYFUNCTION("""COMPUTED_VALUE"""),-0.896205903797413)</f>
        <v>-0.89620590379741305</v>
      </c>
      <c r="NG68" s="3">
        <f ca="1">IFERROR(__xludf.DUMMYFUNCTION("""COMPUTED_VALUE"""),-0.88473695157129)</f>
        <v>-0.88473695157128995</v>
      </c>
      <c r="NH68" s="3">
        <f ca="1">IFERROR(__xludf.DUMMYFUNCTION("""COMPUTED_VALUE"""),-0.863971026545119)</f>
        <v>-0.86397102654511904</v>
      </c>
      <c r="NI68" s="3">
        <f ca="1">IFERROR(__xludf.DUMMYFUNCTION("""COMPUTED_VALUE"""),-0.867376727598194)</f>
        <v>-0.86737672759819395</v>
      </c>
      <c r="NJ68" s="3">
        <f ca="1">IFERROR(__xludf.DUMMYFUNCTION("""COMPUTED_VALUE"""),-0.896558312457183)</f>
        <v>-0.89655831245718298</v>
      </c>
      <c r="NK68" s="3">
        <f ca="1">IFERROR(__xludf.DUMMYFUNCTION("""COMPUTED_VALUE"""),-0.89242915259154)</f>
        <v>-0.89242915259153999</v>
      </c>
      <c r="NL68" s="3">
        <f ca="1">IFERROR(__xludf.DUMMYFUNCTION("""COMPUTED_VALUE"""),-0.866864388064226)</f>
        <v>-0.86686438806422605</v>
      </c>
      <c r="NM68" s="3">
        <f ca="1">IFERROR(__xludf.DUMMYFUNCTION("""COMPUTED_VALUE"""),-0.881490115155416)</f>
        <v>-0.88149011515541598</v>
      </c>
      <c r="NN68" s="3">
        <f ca="1">IFERROR(__xludf.DUMMYFUNCTION("""COMPUTED_VALUE"""),-0.847092772909611)</f>
        <v>-0.84709277290961105</v>
      </c>
      <c r="NO68" s="3">
        <f ca="1">IFERROR(__xludf.DUMMYFUNCTION("""COMPUTED_VALUE"""),-0.793734368214928)</f>
        <v>-0.79373436821492804</v>
      </c>
      <c r="NP68" s="3">
        <f ca="1">IFERROR(__xludf.DUMMYFUNCTION("""COMPUTED_VALUE"""),-0.81254857133423)</f>
        <v>-0.81254857133422997</v>
      </c>
      <c r="NQ68" s="3">
        <f ca="1">IFERROR(__xludf.DUMMYFUNCTION("""COMPUTED_VALUE"""),-0.90239753781756)</f>
        <v>-0.90239753781756005</v>
      </c>
      <c r="NR68" s="3">
        <f ca="1">IFERROR(__xludf.DUMMYFUNCTION("""COMPUTED_VALUE"""),-0.903563450189294)</f>
        <v>-0.90356345018929396</v>
      </c>
      <c r="NS68" s="3">
        <f ca="1">IFERROR(__xludf.DUMMYFUNCTION("""COMPUTED_VALUE"""),-0.906509082455211)</f>
        <v>-0.906509082455211</v>
      </c>
      <c r="NT68" s="3">
        <f ca="1">IFERROR(__xludf.DUMMYFUNCTION("""COMPUTED_VALUE"""),-0.892388466580266)</f>
        <v>-0.89238846658026605</v>
      </c>
      <c r="NU68" s="3">
        <f ca="1">IFERROR(__xludf.DUMMYFUNCTION("""COMPUTED_VALUE"""),-0.875829868332466)</f>
        <v>-0.87582986833246601</v>
      </c>
      <c r="NV68" s="3">
        <f ca="1">IFERROR(__xludf.DUMMYFUNCTION("""COMPUTED_VALUE"""),-0.801224381882206)</f>
        <v>-0.80122438188220602</v>
      </c>
      <c r="NW68" s="3">
        <f ca="1">IFERROR(__xludf.DUMMYFUNCTION("""COMPUTED_VALUE"""),-0.798616337632003)</f>
        <v>-0.79861633763200301</v>
      </c>
      <c r="NX68" s="3">
        <f ca="1">IFERROR(__xludf.DUMMYFUNCTION("""COMPUTED_VALUE"""),-0.848849936875018)</f>
        <v>-0.84884993687501797</v>
      </c>
      <c r="NY68" s="3">
        <f ca="1">IFERROR(__xludf.DUMMYFUNCTION("""COMPUTED_VALUE"""),-0.813633615588859)</f>
        <v>-0.81363361558885905</v>
      </c>
      <c r="NZ68" s="3">
        <f ca="1">IFERROR(__xludf.DUMMYFUNCTION("""COMPUTED_VALUE"""),-0.765649542480384)</f>
        <v>-0.76564954248038397</v>
      </c>
      <c r="OA68" s="3">
        <f ca="1">IFERROR(__xludf.DUMMYFUNCTION("""COMPUTED_VALUE"""),-0.704283773878002)</f>
        <v>-0.70428377387800201</v>
      </c>
      <c r="OB68" s="3">
        <f ca="1">IFERROR(__xludf.DUMMYFUNCTION("""COMPUTED_VALUE"""),-0.608920784653794)</f>
        <v>-0.60892078465379396</v>
      </c>
      <c r="OC68" s="3">
        <f ca="1">IFERROR(__xludf.DUMMYFUNCTION("""COMPUTED_VALUE"""),-0.25279696508023)</f>
        <v>-0.25279696508022997</v>
      </c>
      <c r="OD68" s="3">
        <f ca="1">IFERROR(__xludf.DUMMYFUNCTION("""COMPUTED_VALUE"""),-0.153740578380803)</f>
        <v>-0.15374057838080299</v>
      </c>
      <c r="OE68" s="3">
        <f ca="1">IFERROR(__xludf.DUMMYFUNCTION("""COMPUTED_VALUE"""),-0.269117059429893)</f>
        <v>-0.269117059429893</v>
      </c>
      <c r="OF68" s="3">
        <f ca="1">IFERROR(__xludf.DUMMYFUNCTION("""COMPUTED_VALUE"""),-0.0328557817732081)</f>
        <v>-3.2855781773208102E-2</v>
      </c>
      <c r="OG68" s="3">
        <f ca="1">IFERROR(__xludf.DUMMYFUNCTION("""COMPUTED_VALUE"""),0.0139102484961601)</f>
        <v>1.3910248496160099E-2</v>
      </c>
      <c r="OH68" s="3">
        <f ca="1">IFERROR(__xludf.DUMMYFUNCTION("""COMPUTED_VALUE"""),0.0303426270457602)</f>
        <v>3.0342627045760202E-2</v>
      </c>
      <c r="OI68" s="3">
        <f ca="1">IFERROR(__xludf.DUMMYFUNCTION("""COMPUTED_VALUE"""),0.0475624364775586)</f>
        <v>4.7562436477558603E-2</v>
      </c>
      <c r="OJ68" s="3">
        <f ca="1">IFERROR(__xludf.DUMMYFUNCTION("""COMPUTED_VALUE"""),0.0372464192980843)</f>
        <v>3.7246419298084303E-2</v>
      </c>
      <c r="OK68" s="3">
        <f ca="1">IFERROR(__xludf.DUMMYFUNCTION("""COMPUTED_VALUE"""),0.132744950467898)</f>
        <v>0.132744950467898</v>
      </c>
      <c r="OL68" s="3">
        <f ca="1">IFERROR(__xludf.DUMMYFUNCTION("""COMPUTED_VALUE"""),0.0229531060572594)</f>
        <v>2.29531060572594E-2</v>
      </c>
      <c r="OM68" s="3">
        <f ca="1">IFERROR(__xludf.DUMMYFUNCTION("""COMPUTED_VALUE"""),0.056315329483338)</f>
        <v>5.6315329483337999E-2</v>
      </c>
      <c r="ON68" s="3">
        <f ca="1">IFERROR(__xludf.DUMMYFUNCTION("""COMPUTED_VALUE"""),0.0973725919652936)</f>
        <v>9.7372591965293603E-2</v>
      </c>
      <c r="OO68" s="3">
        <f ca="1">IFERROR(__xludf.DUMMYFUNCTION("""COMPUTED_VALUE"""),0.0843735692138318)</f>
        <v>8.4373569213831795E-2</v>
      </c>
      <c r="OP68" s="3">
        <f ca="1">IFERROR(__xludf.DUMMYFUNCTION("""COMPUTED_VALUE"""),-0.0369431665435566)</f>
        <v>-3.6943166543556602E-2</v>
      </c>
      <c r="OQ68" s="3">
        <f ca="1">IFERROR(__xludf.DUMMYFUNCTION("""COMPUTED_VALUE"""),0.201112805250094)</f>
        <v>0.20111280525009401</v>
      </c>
      <c r="OR68" s="3">
        <f ca="1">IFERROR(__xludf.DUMMYFUNCTION("""COMPUTED_VALUE"""),0.148470595034408)</f>
        <v>0.14847059503440799</v>
      </c>
      <c r="OS68" s="3">
        <f ca="1">IFERROR(__xludf.DUMMYFUNCTION("""COMPUTED_VALUE"""),0.19224101296222)</f>
        <v>0.19224101296221999</v>
      </c>
      <c r="OT68" s="3">
        <f ca="1">IFERROR(__xludf.DUMMYFUNCTION("""COMPUTED_VALUE"""),-0.0260990355094945)</f>
        <v>-2.6099035509494498E-2</v>
      </c>
      <c r="OU68" s="3">
        <f ca="1">IFERROR(__xludf.DUMMYFUNCTION("""COMPUTED_VALUE"""),0.00593675260292059)</f>
        <v>5.9367526029205902E-3</v>
      </c>
      <c r="OV68" s="3">
        <f ca="1">IFERROR(__xludf.DUMMYFUNCTION("""COMPUTED_VALUE"""),0.0085350204774417)</f>
        <v>8.5350204774416998E-3</v>
      </c>
      <c r="OW68" s="3">
        <f ca="1">IFERROR(__xludf.DUMMYFUNCTION("""COMPUTED_VALUE"""),-0.0904717708765181)</f>
        <v>-9.0471770876518101E-2</v>
      </c>
      <c r="OX68" s="3">
        <f ca="1">IFERROR(__xludf.DUMMYFUNCTION("""COMPUTED_VALUE"""),0.0586350892838563)</f>
        <v>5.8635089283856301E-2</v>
      </c>
      <c r="OY68" s="3">
        <f ca="1">IFERROR(__xludf.DUMMYFUNCTION("""COMPUTED_VALUE"""),0.0377976919809541)</f>
        <v>3.7797691980954097E-2</v>
      </c>
      <c r="OZ68" s="3">
        <f ca="1">IFERROR(__xludf.DUMMYFUNCTION("""COMPUTED_VALUE"""),-0.120455896513385)</f>
        <v>-0.12045589651338499</v>
      </c>
      <c r="PA68" s="3">
        <f ca="1">IFERROR(__xludf.DUMMYFUNCTION("""COMPUTED_VALUE"""),-0.0596499426153426)</f>
        <v>-5.9649942615342601E-2</v>
      </c>
      <c r="PB68" s="3">
        <f ca="1">IFERROR(__xludf.DUMMYFUNCTION("""COMPUTED_VALUE"""),0.222462042410855)</f>
        <v>0.22246204241085499</v>
      </c>
      <c r="PC68" s="3">
        <f ca="1">IFERROR(__xludf.DUMMYFUNCTION("""COMPUTED_VALUE"""),0.0371487111204185)</f>
        <v>3.7148711120418502E-2</v>
      </c>
      <c r="PD68" s="3">
        <f ca="1">IFERROR(__xludf.DUMMYFUNCTION("""COMPUTED_VALUE"""),0.0397637476170034)</f>
        <v>3.9763747617003402E-2</v>
      </c>
      <c r="PE68" s="3">
        <f ca="1">IFERROR(__xludf.DUMMYFUNCTION("""COMPUTED_VALUE"""),0.0315658650473007)</f>
        <v>3.1565865047300697E-2</v>
      </c>
      <c r="PF68" s="3">
        <f ca="1">IFERROR(__xludf.DUMMYFUNCTION("""COMPUTED_VALUE"""),0.0116746559873217)</f>
        <v>1.1674655987321699E-2</v>
      </c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</row>
    <row r="69" spans="1:594" ht="13">
      <c r="A69" s="1" t="str">
        <f ca="1">IFERROR(__xludf.DUMMYFUNCTION("""COMPUTED_VALUE"""),"Raleigh")</f>
        <v>Raleigh</v>
      </c>
      <c r="B69" s="3">
        <f ca="1">IFERROR(__xludf.DUMMYFUNCTION("""COMPUTED_VALUE"""),-0.3398827071461)</f>
        <v>-0.33988270714610003</v>
      </c>
      <c r="C69" s="3">
        <f ca="1">IFERROR(__xludf.DUMMYFUNCTION("""COMPUTED_VALUE"""),-0.428977205669766)</f>
        <v>-0.42897720566976599</v>
      </c>
      <c r="D69" s="3">
        <f ca="1">IFERROR(__xludf.DUMMYFUNCTION("""COMPUTED_VALUE"""),-0.490792741925751)</f>
        <v>-0.49079274192575101</v>
      </c>
      <c r="E69" s="3">
        <f ca="1">IFERROR(__xludf.DUMMYFUNCTION("""COMPUTED_VALUE"""),-0.551127297170534)</f>
        <v>-0.55112729717053399</v>
      </c>
      <c r="F69" s="3">
        <f ca="1">IFERROR(__xludf.DUMMYFUNCTION("""COMPUTED_VALUE"""),-0.483219056589695)</f>
        <v>-0.483219056589695</v>
      </c>
      <c r="G69" s="3">
        <f ca="1">IFERROR(__xludf.DUMMYFUNCTION("""COMPUTED_VALUE"""),-0.51672749456987)</f>
        <v>-0.51672749456986999</v>
      </c>
      <c r="H69" s="3">
        <f ca="1">IFERROR(__xludf.DUMMYFUNCTION("""COMPUTED_VALUE"""),-0.184453466852997)</f>
        <v>-0.18445346685299699</v>
      </c>
      <c r="I69" s="3">
        <f ca="1">IFERROR(__xludf.DUMMYFUNCTION("""COMPUTED_VALUE"""),-0.253529559365388)</f>
        <v>-0.25352955936538801</v>
      </c>
      <c r="J69" s="3">
        <f ca="1">IFERROR(__xludf.DUMMYFUNCTION("""COMPUTED_VALUE"""),-0.505108801926155)</f>
        <v>-0.50510880192615504</v>
      </c>
      <c r="K69" s="3">
        <f ca="1">IFERROR(__xludf.DUMMYFUNCTION("""COMPUTED_VALUE"""),-0.569093783509529)</f>
        <v>-0.56909378350952899</v>
      </c>
      <c r="L69" s="3">
        <f ca="1">IFERROR(__xludf.DUMMYFUNCTION("""COMPUTED_VALUE"""),-0.55535832549033)</f>
        <v>-0.55535832549033004</v>
      </c>
      <c r="M69" s="3">
        <f ca="1">IFERROR(__xludf.DUMMYFUNCTION("""COMPUTED_VALUE"""),-0.441940538652121)</f>
        <v>-0.44194053865212102</v>
      </c>
      <c r="N69" s="3">
        <f ca="1">IFERROR(__xludf.DUMMYFUNCTION("""COMPUTED_VALUE"""),-0.435677512584492)</f>
        <v>-0.435677512584492</v>
      </c>
      <c r="O69" s="3">
        <f ca="1">IFERROR(__xludf.DUMMYFUNCTION("""COMPUTED_VALUE"""),-0.244067354892059)</f>
        <v>-0.244067354892059</v>
      </c>
      <c r="P69" s="3">
        <f ca="1">IFERROR(__xludf.DUMMYFUNCTION("""COMPUTED_VALUE"""),-0.391611025591187)</f>
        <v>-0.39161102559118699</v>
      </c>
      <c r="Q69" s="3">
        <f ca="1">IFERROR(__xludf.DUMMYFUNCTION("""COMPUTED_VALUE"""),-0.462903059566581)</f>
        <v>-0.46290305956658101</v>
      </c>
      <c r="R69" s="3">
        <f ca="1">IFERROR(__xludf.DUMMYFUNCTION("""COMPUTED_VALUE"""),-0.478107452757258)</f>
        <v>-0.47810745275725802</v>
      </c>
      <c r="S69" s="3">
        <f ca="1">IFERROR(__xludf.DUMMYFUNCTION("""COMPUTED_VALUE"""),-0.401576110449928)</f>
        <v>-0.40157611044992803</v>
      </c>
      <c r="T69" s="3">
        <f ca="1">IFERROR(__xludf.DUMMYFUNCTION("""COMPUTED_VALUE"""),-0.485585507219493)</f>
        <v>-0.48558550721949301</v>
      </c>
      <c r="U69" s="3">
        <f ca="1">IFERROR(__xludf.DUMMYFUNCTION("""COMPUTED_VALUE"""),-0.450240253324047)</f>
        <v>-0.45024025332404699</v>
      </c>
      <c r="V69" s="3">
        <f ca="1">IFERROR(__xludf.DUMMYFUNCTION("""COMPUTED_VALUE"""),-0.348538618326373)</f>
        <v>-0.34853861832637301</v>
      </c>
      <c r="W69" s="3">
        <f ca="1">IFERROR(__xludf.DUMMYFUNCTION("""COMPUTED_VALUE"""),-0.354125205821394)</f>
        <v>-0.35412520582139401</v>
      </c>
      <c r="X69" s="3">
        <f ca="1">IFERROR(__xludf.DUMMYFUNCTION("""COMPUTED_VALUE"""),-0.44731589784951)</f>
        <v>-0.44731589784950998</v>
      </c>
      <c r="Y69" s="3">
        <f ca="1">IFERROR(__xludf.DUMMYFUNCTION("""COMPUTED_VALUE"""),-0.470820858666628)</f>
        <v>-0.47082085866662798</v>
      </c>
      <c r="Z69" s="3">
        <f ca="1">IFERROR(__xludf.DUMMYFUNCTION("""COMPUTED_VALUE"""),-0.451101760893002)</f>
        <v>-0.45110176089300202</v>
      </c>
      <c r="AA69" s="3">
        <f ca="1">IFERROR(__xludf.DUMMYFUNCTION("""COMPUTED_VALUE"""),-0.525330312524863)</f>
        <v>-0.52533031252486295</v>
      </c>
      <c r="AB69" s="3">
        <f ca="1">IFERROR(__xludf.DUMMYFUNCTION("""COMPUTED_VALUE"""),-0.404065811091285)</f>
        <v>-0.40406581109128498</v>
      </c>
      <c r="AC69" s="3">
        <f ca="1">IFERROR(__xludf.DUMMYFUNCTION("""COMPUTED_VALUE"""),-0.223764698102269)</f>
        <v>-0.22376469810226901</v>
      </c>
      <c r="AD69" s="3">
        <f ca="1">IFERROR(__xludf.DUMMYFUNCTION("""COMPUTED_VALUE"""),-0.215387941184618)</f>
        <v>-0.21538794118461799</v>
      </c>
      <c r="AE69" s="3">
        <f ca="1">IFERROR(__xludf.DUMMYFUNCTION("""COMPUTED_VALUE"""),-0.346133406917548)</f>
        <v>-0.34613340691754801</v>
      </c>
      <c r="AF69" s="3">
        <f ca="1">IFERROR(__xludf.DUMMYFUNCTION("""COMPUTED_VALUE"""),-0.384241465494831)</f>
        <v>-0.38424146549483101</v>
      </c>
      <c r="AG69" s="3">
        <f ca="1">IFERROR(__xludf.DUMMYFUNCTION("""COMPUTED_VALUE"""),-0.40659199808902)</f>
        <v>-0.40659199808902002</v>
      </c>
      <c r="AH69" s="3">
        <f ca="1">IFERROR(__xludf.DUMMYFUNCTION("""COMPUTED_VALUE"""),-0.414047013461253)</f>
        <v>-0.414047013461253</v>
      </c>
      <c r="AI69" s="3">
        <f ca="1">IFERROR(__xludf.DUMMYFUNCTION("""COMPUTED_VALUE"""),-0.441856279474841)</f>
        <v>-0.44185627947484102</v>
      </c>
      <c r="AJ69" s="3">
        <f ca="1">IFERROR(__xludf.DUMMYFUNCTION("""COMPUTED_VALUE"""),-0.317967199693806)</f>
        <v>-0.31796719969380599</v>
      </c>
      <c r="AK69" s="3">
        <f ca="1">IFERROR(__xludf.DUMMYFUNCTION("""COMPUTED_VALUE"""),-0.260850968140893)</f>
        <v>-0.26085096814089298</v>
      </c>
      <c r="AL69" s="3">
        <f ca="1">IFERROR(__xludf.DUMMYFUNCTION("""COMPUTED_VALUE"""),-0.401521826478783)</f>
        <v>-0.40152182647878298</v>
      </c>
      <c r="AM69" s="3">
        <f ca="1">IFERROR(__xludf.DUMMYFUNCTION("""COMPUTED_VALUE"""),-0.474974092342709)</f>
        <v>-0.47497409234270899</v>
      </c>
      <c r="AN69" s="3">
        <f ca="1">IFERROR(__xludf.DUMMYFUNCTION("""COMPUTED_VALUE"""),-0.390768275156722)</f>
        <v>-0.39076827515672202</v>
      </c>
      <c r="AO69" s="3">
        <f ca="1">IFERROR(__xludf.DUMMYFUNCTION("""COMPUTED_VALUE"""),-0.541436336045337)</f>
        <v>-0.54143633604533703</v>
      </c>
      <c r="AP69" s="3">
        <f ca="1">IFERROR(__xludf.DUMMYFUNCTION("""COMPUTED_VALUE"""),-0.50370949607609)</f>
        <v>-0.50370949607608995</v>
      </c>
      <c r="AQ69" s="3">
        <f ca="1">IFERROR(__xludf.DUMMYFUNCTION("""COMPUTED_VALUE"""),-0.219788228941554)</f>
        <v>-0.219788228941554</v>
      </c>
      <c r="AR69" s="3">
        <f ca="1">IFERROR(__xludf.DUMMYFUNCTION("""COMPUTED_VALUE"""),-0.274912822842396)</f>
        <v>-0.27491282284239599</v>
      </c>
      <c r="AS69" s="3">
        <f ca="1">IFERROR(__xludf.DUMMYFUNCTION("""COMPUTED_VALUE"""),-0.498396595434307)</f>
        <v>-0.49839659543430698</v>
      </c>
      <c r="AT69" s="3">
        <f ca="1">IFERROR(__xludf.DUMMYFUNCTION("""COMPUTED_VALUE"""),-0.45984486782439)</f>
        <v>-0.45984486782438999</v>
      </c>
      <c r="AU69" s="3">
        <f ca="1">IFERROR(__xludf.DUMMYFUNCTION("""COMPUTED_VALUE"""),-0.498366114990727)</f>
        <v>-0.49836611499072703</v>
      </c>
      <c r="AV69" s="3">
        <f ca="1">IFERROR(__xludf.DUMMYFUNCTION("""COMPUTED_VALUE"""),-0.480593453587499)</f>
        <v>-0.480593453587499</v>
      </c>
      <c r="AW69" s="3">
        <f ca="1">IFERROR(__xludf.DUMMYFUNCTION("""COMPUTED_VALUE"""),-0.58103250108433)</f>
        <v>-0.58103250108433002</v>
      </c>
      <c r="AX69" s="3">
        <f ca="1">IFERROR(__xludf.DUMMYFUNCTION("""COMPUTED_VALUE"""),-0.426725775663229)</f>
        <v>-0.426725775663229</v>
      </c>
      <c r="AY69" s="3">
        <f ca="1">IFERROR(__xludf.DUMMYFUNCTION("""COMPUTED_VALUE"""),-0.222765192780046)</f>
        <v>-0.222765192780046</v>
      </c>
      <c r="AZ69" s="3">
        <f ca="1">IFERROR(__xludf.DUMMYFUNCTION("""COMPUTED_VALUE"""),-0.517708962766659)</f>
        <v>-0.51770896276665901</v>
      </c>
      <c r="BA69" s="3">
        <f ca="1">IFERROR(__xludf.DUMMYFUNCTION("""COMPUTED_VALUE"""),-0.593801065605011)</f>
        <v>-0.593801065605011</v>
      </c>
      <c r="BB69" s="3">
        <f ca="1">IFERROR(__xludf.DUMMYFUNCTION("""COMPUTED_VALUE"""),-0.422254585521046)</f>
        <v>-0.422254585521046</v>
      </c>
      <c r="BC69" s="3">
        <f ca="1">IFERROR(__xludf.DUMMYFUNCTION("""COMPUTED_VALUE"""),-0.453175599766076)</f>
        <v>-0.45317559976607602</v>
      </c>
      <c r="BD69" s="3">
        <f ca="1">IFERROR(__xludf.DUMMYFUNCTION("""COMPUTED_VALUE"""),-0.570177675009786)</f>
        <v>-0.570177675009786</v>
      </c>
      <c r="BE69" s="3">
        <f ca="1">IFERROR(__xludf.DUMMYFUNCTION("""COMPUTED_VALUE"""),-0.379067937860773)</f>
        <v>-0.37906793786077297</v>
      </c>
      <c r="BF69" s="3">
        <f ca="1">IFERROR(__xludf.DUMMYFUNCTION("""COMPUTED_VALUE"""),-0.264887577777233)</f>
        <v>-0.26488757777723299</v>
      </c>
      <c r="BG69" s="3">
        <f ca="1">IFERROR(__xludf.DUMMYFUNCTION("""COMPUTED_VALUE"""),-0.512494050818284)</f>
        <v>-0.51249405081828403</v>
      </c>
      <c r="BH69" s="3">
        <f ca="1">IFERROR(__xludf.DUMMYFUNCTION("""COMPUTED_VALUE"""),-0.586916386310529)</f>
        <v>-0.586916386310529</v>
      </c>
      <c r="BI69" s="3">
        <f ca="1">IFERROR(__xludf.DUMMYFUNCTION("""COMPUTED_VALUE"""),-0.57588786596164)</f>
        <v>-0.57588786596163999</v>
      </c>
      <c r="BJ69" s="3">
        <f ca="1">IFERROR(__xludf.DUMMYFUNCTION("""COMPUTED_VALUE"""),-0.49416658112672)</f>
        <v>-0.49416658112672002</v>
      </c>
      <c r="BK69" s="3">
        <f ca="1">IFERROR(__xludf.DUMMYFUNCTION("""COMPUTED_VALUE"""),-0.618426061526995)</f>
        <v>-0.61842606152699497</v>
      </c>
      <c r="BL69" s="3">
        <f ca="1">IFERROR(__xludf.DUMMYFUNCTION("""COMPUTED_VALUE"""),-0.437482799739977)</f>
        <v>-0.437482799739977</v>
      </c>
      <c r="BM69" s="3">
        <f ca="1">IFERROR(__xludf.DUMMYFUNCTION("""COMPUTED_VALUE"""),-0.361652920139094)</f>
        <v>-0.361652920139094</v>
      </c>
      <c r="BN69" s="3">
        <f ca="1">IFERROR(__xludf.DUMMYFUNCTION("""COMPUTED_VALUE"""),-0.550934157888485)</f>
        <v>-0.55093415788848499</v>
      </c>
      <c r="BO69" s="3">
        <f ca="1">IFERROR(__xludf.DUMMYFUNCTION("""COMPUTED_VALUE"""),-0.602614865591853)</f>
        <v>-0.60261486559185296</v>
      </c>
      <c r="BP69" s="3">
        <f ca="1">IFERROR(__xludf.DUMMYFUNCTION("""COMPUTED_VALUE"""),-0.57827078590628)</f>
        <v>-0.57827078590628</v>
      </c>
      <c r="BQ69" s="3">
        <f ca="1">IFERROR(__xludf.DUMMYFUNCTION("""COMPUTED_VALUE"""),-0.579831426644885)</f>
        <v>-0.57983142664488496</v>
      </c>
      <c r="BR69" s="3">
        <f ca="1">IFERROR(__xludf.DUMMYFUNCTION("""COMPUTED_VALUE"""),-0.607148180211964)</f>
        <v>-0.60714818021196404</v>
      </c>
      <c r="BS69" s="3">
        <f ca="1">IFERROR(__xludf.DUMMYFUNCTION("""COMPUTED_VALUE"""),-0.529521114116788)</f>
        <v>-0.52952111411678804</v>
      </c>
      <c r="BT69" s="3">
        <f ca="1">IFERROR(__xludf.DUMMYFUNCTION("""COMPUTED_VALUE"""),-0.362881308436728)</f>
        <v>-0.362881308436728</v>
      </c>
      <c r="BU69" s="3">
        <f ca="1">IFERROR(__xludf.DUMMYFUNCTION("""COMPUTED_VALUE"""),-0.568055615127528)</f>
        <v>-0.568055615127528</v>
      </c>
      <c r="BV69" s="3">
        <f ca="1">IFERROR(__xludf.DUMMYFUNCTION("""COMPUTED_VALUE"""),-0.542131517065245)</f>
        <v>-0.54213151706524498</v>
      </c>
      <c r="BW69" s="3">
        <f ca="1">IFERROR(__xludf.DUMMYFUNCTION("""COMPUTED_VALUE"""),-0.570940240357398)</f>
        <v>-0.57094024035739799</v>
      </c>
      <c r="BX69" s="3">
        <f ca="1">IFERROR(__xludf.DUMMYFUNCTION("""COMPUTED_VALUE"""),-0.569661432004528)</f>
        <v>-0.56966143200452801</v>
      </c>
      <c r="BY69" s="3">
        <f ca="1">IFERROR(__xludf.DUMMYFUNCTION("""COMPUTED_VALUE"""),-0.572614840556361)</f>
        <v>-0.57261484055636103</v>
      </c>
      <c r="BZ69" s="3">
        <f ca="1">IFERROR(__xludf.DUMMYFUNCTION("""COMPUTED_VALUE"""),-0.287964727398775)</f>
        <v>-0.28796472739877499</v>
      </c>
      <c r="CA69" s="3">
        <f ca="1">IFERROR(__xludf.DUMMYFUNCTION("""COMPUTED_VALUE"""),-0.353759899805167)</f>
        <v>-0.35375989980516698</v>
      </c>
      <c r="CB69" s="3">
        <f ca="1">IFERROR(__xludf.DUMMYFUNCTION("""COMPUTED_VALUE"""),-0.486093747693449)</f>
        <v>-0.48609374769344899</v>
      </c>
      <c r="CC69" s="3">
        <f ca="1">IFERROR(__xludf.DUMMYFUNCTION("""COMPUTED_VALUE"""),-0.440874006728828)</f>
        <v>-0.44087400672882798</v>
      </c>
      <c r="CD69" s="3">
        <f ca="1">IFERROR(__xludf.DUMMYFUNCTION("""COMPUTED_VALUE"""),-0.506243164437948)</f>
        <v>-0.50624316443794803</v>
      </c>
      <c r="CE69" s="3">
        <f ca="1">IFERROR(__xludf.DUMMYFUNCTION("""COMPUTED_VALUE"""),-0.500114231790044)</f>
        <v>-0.50011423179004399</v>
      </c>
      <c r="CF69" s="3">
        <f ca="1">IFERROR(__xludf.DUMMYFUNCTION("""COMPUTED_VALUE"""),-0.425841430135698)</f>
        <v>-0.42584143013569797</v>
      </c>
      <c r="CG69" s="3">
        <f ca="1">IFERROR(__xludf.DUMMYFUNCTION("""COMPUTED_VALUE"""),-0.195562212347295)</f>
        <v>-0.19556221234729501</v>
      </c>
      <c r="CH69" s="3">
        <f ca="1">IFERROR(__xludf.DUMMYFUNCTION("""COMPUTED_VALUE"""),-0.457345145334567)</f>
        <v>-0.45734514533456699</v>
      </c>
      <c r="CI69" s="3">
        <f ca="1">IFERROR(__xludf.DUMMYFUNCTION("""COMPUTED_VALUE"""),-0.625870884978492)</f>
        <v>-0.62587088497849197</v>
      </c>
      <c r="CJ69" s="3">
        <f ca="1">IFERROR(__xludf.DUMMYFUNCTION("""COMPUTED_VALUE"""),-0.575585017946321)</f>
        <v>-0.575585017946321</v>
      </c>
      <c r="CK69" s="3">
        <f ca="1">IFERROR(__xludf.DUMMYFUNCTION("""COMPUTED_VALUE"""),-0.559107495237022)</f>
        <v>-0.55910749523702197</v>
      </c>
      <c r="CL69" s="3">
        <f ca="1">IFERROR(__xludf.DUMMYFUNCTION("""COMPUTED_VALUE"""),-0.566578934811663)</f>
        <v>-0.56657893481166299</v>
      </c>
      <c r="CM69" s="3">
        <f ca="1">IFERROR(__xludf.DUMMYFUNCTION("""COMPUTED_VALUE"""),-0.517662797440935)</f>
        <v>-0.51766279744093502</v>
      </c>
      <c r="CN69" s="3">
        <f ca="1">IFERROR(__xludf.DUMMYFUNCTION("""COMPUTED_VALUE"""),-0.221139482139871)</f>
        <v>-0.221139482139871</v>
      </c>
      <c r="CO69" s="3">
        <f ca="1">IFERROR(__xludf.DUMMYFUNCTION("""COMPUTED_VALUE"""),-0.307036055398459)</f>
        <v>-0.30703605539845902</v>
      </c>
      <c r="CP69" s="3">
        <f ca="1">IFERROR(__xludf.DUMMYFUNCTION("""COMPUTED_VALUE"""),-0.604337244401198)</f>
        <v>-0.60433724440119796</v>
      </c>
      <c r="CQ69" s="3">
        <f ca="1">IFERROR(__xludf.DUMMYFUNCTION("""COMPUTED_VALUE"""),-0.490092225679927)</f>
        <v>-0.490092225679927</v>
      </c>
      <c r="CR69" s="3">
        <f ca="1">IFERROR(__xludf.DUMMYFUNCTION("""COMPUTED_VALUE"""),-0.364523954280229)</f>
        <v>-0.36452395428022899</v>
      </c>
      <c r="CS69" s="3">
        <f ca="1">IFERROR(__xludf.DUMMYFUNCTION("""COMPUTED_VALUE"""),-0.492049406177375)</f>
        <v>-0.49204940617737503</v>
      </c>
      <c r="CT69" s="3">
        <f ca="1">IFERROR(__xludf.DUMMYFUNCTION("""COMPUTED_VALUE"""),-0.447096835475057)</f>
        <v>-0.44709683547505702</v>
      </c>
      <c r="CU69" s="3">
        <f ca="1">IFERROR(__xludf.DUMMYFUNCTION("""COMPUTED_VALUE"""),-0.202141691899868)</f>
        <v>-0.202141691899868</v>
      </c>
      <c r="CV69" s="3">
        <f ca="1">IFERROR(__xludf.DUMMYFUNCTION("""COMPUTED_VALUE"""),-0.266975022156338)</f>
        <v>-0.266975022156338</v>
      </c>
      <c r="CW69" s="3">
        <f ca="1">IFERROR(__xludf.DUMMYFUNCTION("""COMPUTED_VALUE"""),-0.61369397851393)</f>
        <v>-0.61369397851393004</v>
      </c>
      <c r="CX69" s="3">
        <f ca="1">IFERROR(__xludf.DUMMYFUNCTION("""COMPUTED_VALUE"""),-0.442427998785625)</f>
        <v>-0.442427998785625</v>
      </c>
      <c r="CY69" s="3">
        <f ca="1">IFERROR(__xludf.DUMMYFUNCTION("""COMPUTED_VALUE"""),-0.0741552332257579)</f>
        <v>-7.4155233225757899E-2</v>
      </c>
      <c r="CZ69" s="3">
        <f ca="1">IFERROR(__xludf.DUMMYFUNCTION("""COMPUTED_VALUE"""),-0.332048743608923)</f>
        <v>-0.332048743608923</v>
      </c>
      <c r="DA69" s="3">
        <f ca="1">IFERROR(__xludf.DUMMYFUNCTION("""COMPUTED_VALUE"""),-0.358572459623448)</f>
        <v>-0.35857245962344803</v>
      </c>
      <c r="DB69" s="3">
        <f ca="1">IFERROR(__xludf.DUMMYFUNCTION("""COMPUTED_VALUE"""),-0.113003064033106)</f>
        <v>-0.113003064033106</v>
      </c>
      <c r="DC69" s="3">
        <f ca="1">IFERROR(__xludf.DUMMYFUNCTION("""COMPUTED_VALUE"""),-0.308574190032636)</f>
        <v>-0.30857419003263598</v>
      </c>
      <c r="DD69" s="3">
        <f ca="1">IFERROR(__xludf.DUMMYFUNCTION("""COMPUTED_VALUE"""),-0.946401003483528)</f>
        <v>-0.94640100348352796</v>
      </c>
      <c r="DE69" s="3">
        <f ca="1">IFERROR(__xludf.DUMMYFUNCTION("""COMPUTED_VALUE"""),-0.481054187742225)</f>
        <v>-0.48105418774222503</v>
      </c>
      <c r="DF69" s="3">
        <f ca="1">IFERROR(__xludf.DUMMYFUNCTION("""COMPUTED_VALUE"""),0.120898320651318)</f>
        <v>0.120898320651318</v>
      </c>
      <c r="DG69" s="3">
        <f ca="1">IFERROR(__xludf.DUMMYFUNCTION("""COMPUTED_VALUE"""),-0.193466124003059)</f>
        <v>-0.19346612400305899</v>
      </c>
      <c r="DH69" s="3">
        <f ca="1">IFERROR(__xludf.DUMMYFUNCTION("""COMPUTED_VALUE"""),-0.283964032716689)</f>
        <v>-0.28396403271668902</v>
      </c>
      <c r="DI69" s="3">
        <f ca="1">IFERROR(__xludf.DUMMYFUNCTION("""COMPUTED_VALUE"""),-0.208787580117337)</f>
        <v>-0.208787580117337</v>
      </c>
      <c r="DJ69" s="3">
        <f ca="1">IFERROR(__xludf.DUMMYFUNCTION("""COMPUTED_VALUE"""),-0.288921689009463)</f>
        <v>-0.28892168900946302</v>
      </c>
      <c r="DK69" s="3">
        <f ca="1">IFERROR(__xludf.DUMMYFUNCTION("""COMPUTED_VALUE"""),-0.240188791959557)</f>
        <v>-0.240188791959557</v>
      </c>
      <c r="DL69" s="3">
        <f ca="1">IFERROR(__xludf.DUMMYFUNCTION("""COMPUTED_VALUE"""),-0.390260567551748)</f>
        <v>-0.39026056755174798</v>
      </c>
      <c r="DM69" s="3">
        <f ca="1">IFERROR(__xludf.DUMMYFUNCTION("""COMPUTED_VALUE"""),-0.267667789834779)</f>
        <v>-0.26766778983477901</v>
      </c>
      <c r="DN69" s="3">
        <f ca="1">IFERROR(__xludf.DUMMYFUNCTION("""COMPUTED_VALUE"""),-0.283889927214463)</f>
        <v>-0.28388992721446299</v>
      </c>
      <c r="DO69" s="3">
        <f ca="1">IFERROR(__xludf.DUMMYFUNCTION("""COMPUTED_VALUE"""),-0.4304559555357)</f>
        <v>-0.43045595553569999</v>
      </c>
      <c r="DP69" s="3">
        <f ca="1">IFERROR(__xludf.DUMMYFUNCTION("""COMPUTED_VALUE"""),-0.0186914959002763)</f>
        <v>-1.86914959002763E-2</v>
      </c>
      <c r="DQ69" s="3">
        <f ca="1">IFERROR(__xludf.DUMMYFUNCTION("""COMPUTED_VALUE"""),-0.252030475383603)</f>
        <v>-0.25203047538360301</v>
      </c>
      <c r="DR69" s="3">
        <f ca="1">IFERROR(__xludf.DUMMYFUNCTION("""COMPUTED_VALUE"""),-0.433611919209362)</f>
        <v>-0.43361191920936198</v>
      </c>
      <c r="DS69" s="3">
        <f ca="1">IFERROR(__xludf.DUMMYFUNCTION("""COMPUTED_VALUE"""),-0.485654012168655)</f>
        <v>-0.485654012168655</v>
      </c>
      <c r="DT69" s="3">
        <f ca="1">IFERROR(__xludf.DUMMYFUNCTION("""COMPUTED_VALUE"""),-0.482270421591371)</f>
        <v>-0.48227042159137101</v>
      </c>
      <c r="DU69" s="3">
        <f ca="1">IFERROR(__xludf.DUMMYFUNCTION("""COMPUTED_VALUE"""),-0.511441069522955)</f>
        <v>-0.51144106952295498</v>
      </c>
      <c r="DV69" s="3">
        <f ca="1">IFERROR(__xludf.DUMMYFUNCTION("""COMPUTED_VALUE"""),-0.522175193446621)</f>
        <v>-0.522175193446621</v>
      </c>
      <c r="DW69" s="3">
        <f ca="1">IFERROR(__xludf.DUMMYFUNCTION("""COMPUTED_VALUE"""),-0.192560471038554)</f>
        <v>-0.192560471038554</v>
      </c>
      <c r="DX69" s="3">
        <f ca="1">IFERROR(__xludf.DUMMYFUNCTION("""COMPUTED_VALUE"""),-0.209893716050325)</f>
        <v>-0.209893716050325</v>
      </c>
      <c r="DY69" s="3">
        <f ca="1">IFERROR(__xludf.DUMMYFUNCTION("""COMPUTED_VALUE"""),-0.467171652351395)</f>
        <v>-0.46717165235139502</v>
      </c>
      <c r="DZ69" s="3">
        <f ca="1">IFERROR(__xludf.DUMMYFUNCTION("""COMPUTED_VALUE"""),-0.340167735874494)</f>
        <v>-0.340167735874494</v>
      </c>
      <c r="EA69" s="3">
        <f ca="1">IFERROR(__xludf.DUMMYFUNCTION("""COMPUTED_VALUE"""),-0.466237068104232)</f>
        <v>-0.46623706810423199</v>
      </c>
      <c r="EB69" s="3">
        <f ca="1">IFERROR(__xludf.DUMMYFUNCTION("""COMPUTED_VALUE"""),-0.525407220372247)</f>
        <v>-0.52540722037224696</v>
      </c>
      <c r="EC69" s="3">
        <f ca="1">IFERROR(__xludf.DUMMYFUNCTION("""COMPUTED_VALUE"""),-0.590056156218547)</f>
        <v>-0.59005615621854701</v>
      </c>
      <c r="ED69" s="3">
        <f ca="1">IFERROR(__xludf.DUMMYFUNCTION("""COMPUTED_VALUE"""),-0.207475951953934)</f>
        <v>-0.20747595195393401</v>
      </c>
      <c r="EE69" s="3">
        <f ca="1">IFERROR(__xludf.DUMMYFUNCTION("""COMPUTED_VALUE"""),-0.231033856720604)</f>
        <v>-0.231033856720604</v>
      </c>
      <c r="EF69" s="3">
        <f ca="1">IFERROR(__xludf.DUMMYFUNCTION("""COMPUTED_VALUE"""),-0.430198283855537)</f>
        <v>-0.43019828385553699</v>
      </c>
      <c r="EG69" s="3">
        <f ca="1">IFERROR(__xludf.DUMMYFUNCTION("""COMPUTED_VALUE"""),-0.644936701475013)</f>
        <v>-0.64493670147501303</v>
      </c>
      <c r="EH69" s="3">
        <f ca="1">IFERROR(__xludf.DUMMYFUNCTION("""COMPUTED_VALUE"""),-0.402131831059075)</f>
        <v>-0.40213183105907502</v>
      </c>
      <c r="EI69" s="3">
        <f ca="1">IFERROR(__xludf.DUMMYFUNCTION("""COMPUTED_VALUE"""),-0.465712602351575)</f>
        <v>-0.46571260235157502</v>
      </c>
      <c r="EJ69" s="3">
        <f ca="1">IFERROR(__xludf.DUMMYFUNCTION("""COMPUTED_VALUE"""),-0.478398441540624)</f>
        <v>-0.478398441540624</v>
      </c>
      <c r="EK69" s="3">
        <f ca="1">IFERROR(__xludf.DUMMYFUNCTION("""COMPUTED_VALUE"""),-0.194667426841817)</f>
        <v>-0.19466742684181701</v>
      </c>
      <c r="EL69" s="3">
        <f ca="1">IFERROR(__xludf.DUMMYFUNCTION("""COMPUTED_VALUE"""),-0.234791678530071)</f>
        <v>-0.23479167853007099</v>
      </c>
      <c r="EM69" s="3">
        <f ca="1">IFERROR(__xludf.DUMMYFUNCTION("""COMPUTED_VALUE"""),-0.416795351683121)</f>
        <v>-0.41679535168312098</v>
      </c>
      <c r="EN69" s="3">
        <f ca="1">IFERROR(__xludf.DUMMYFUNCTION("""COMPUTED_VALUE"""),-0.409891623305621)</f>
        <v>-0.40989162330562101</v>
      </c>
      <c r="EO69" s="3">
        <f ca="1">IFERROR(__xludf.DUMMYFUNCTION("""COMPUTED_VALUE"""),-0.486400771032951)</f>
        <v>-0.48640077103295098</v>
      </c>
      <c r="EP69" s="3">
        <f ca="1">IFERROR(__xludf.DUMMYFUNCTION("""COMPUTED_VALUE"""),-0.553324236914129)</f>
        <v>-0.55332423691412902</v>
      </c>
      <c r="EQ69" s="3">
        <f ca="1">IFERROR(__xludf.DUMMYFUNCTION("""COMPUTED_VALUE"""),-0.574612478536884)</f>
        <v>-0.57461247853688402</v>
      </c>
      <c r="ER69" s="3">
        <f ca="1">IFERROR(__xludf.DUMMYFUNCTION("""COMPUTED_VALUE"""),-0.113986137493779)</f>
        <v>-0.11398613749377901</v>
      </c>
      <c r="ES69" s="3">
        <f ca="1">IFERROR(__xludf.DUMMYFUNCTION("""COMPUTED_VALUE"""),-0.437870684218661)</f>
        <v>-0.43787068421866099</v>
      </c>
      <c r="ET69" s="3">
        <f ca="1">IFERROR(__xludf.DUMMYFUNCTION("""COMPUTED_VALUE"""),-0.518974703334569)</f>
        <v>-0.51897470333456897</v>
      </c>
      <c r="EU69" s="3">
        <f ca="1">IFERROR(__xludf.DUMMYFUNCTION("""COMPUTED_VALUE"""),-0.623237972317347)</f>
        <v>-0.62323797231734701</v>
      </c>
      <c r="EV69" s="3">
        <f ca="1">IFERROR(__xludf.DUMMYFUNCTION("""COMPUTED_VALUE"""),-0.571756137330089)</f>
        <v>-0.57175613733008901</v>
      </c>
      <c r="EW69" s="3">
        <f ca="1">IFERROR(__xludf.DUMMYFUNCTION("""COMPUTED_VALUE"""),-0.485555300215598)</f>
        <v>-0.48555530021559801</v>
      </c>
      <c r="EX69" s="3">
        <f ca="1">IFERROR(__xludf.DUMMYFUNCTION("""COMPUTED_VALUE"""),-0.498848491294445)</f>
        <v>-0.49884849129444497</v>
      </c>
      <c r="EY69" s="3">
        <f ca="1">IFERROR(__xludf.DUMMYFUNCTION("""COMPUTED_VALUE"""),-0.177011388173155)</f>
        <v>-0.17701138817315501</v>
      </c>
      <c r="EZ69" s="3">
        <f ca="1">IFERROR(__xludf.DUMMYFUNCTION("""COMPUTED_VALUE"""),-0.245026257976339)</f>
        <v>-0.24502625797633901</v>
      </c>
      <c r="FA69" s="3">
        <f ca="1">IFERROR(__xludf.DUMMYFUNCTION("""COMPUTED_VALUE"""),-0.557483277293185)</f>
        <v>-0.55748327729318503</v>
      </c>
      <c r="FB69" s="3">
        <f ca="1">IFERROR(__xludf.DUMMYFUNCTION("""COMPUTED_VALUE"""),-0.436763597063407)</f>
        <v>-0.43676359706340701</v>
      </c>
      <c r="FC69" s="3">
        <f ca="1">IFERROR(__xludf.DUMMYFUNCTION("""COMPUTED_VALUE"""),-0.460624164653742)</f>
        <v>-0.46062416465374201</v>
      </c>
      <c r="FD69" s="3">
        <f ca="1">IFERROR(__xludf.DUMMYFUNCTION("""COMPUTED_VALUE"""),-0.543536716906377)</f>
        <v>-0.54353671690637695</v>
      </c>
      <c r="FE69" s="3">
        <f ca="1">IFERROR(__xludf.DUMMYFUNCTION("""COMPUTED_VALUE"""),-0.525861617743486)</f>
        <v>-0.52586161774348605</v>
      </c>
      <c r="FF69" s="3">
        <f ca="1">IFERROR(__xludf.DUMMYFUNCTION("""COMPUTED_VALUE"""),-0.343621837658496)</f>
        <v>-0.34362183765849602</v>
      </c>
      <c r="FG69" s="3">
        <f ca="1">IFERROR(__xludf.DUMMYFUNCTION("""COMPUTED_VALUE"""),-0.356758635327849)</f>
        <v>-0.35675863532784902</v>
      </c>
      <c r="FH69" s="3">
        <f ca="1">IFERROR(__xludf.DUMMYFUNCTION("""COMPUTED_VALUE"""),-0.484615480955055)</f>
        <v>-0.48461548095505502</v>
      </c>
      <c r="FI69" s="3">
        <f ca="1">IFERROR(__xludf.DUMMYFUNCTION("""COMPUTED_VALUE"""),-0.546458284600604)</f>
        <v>-0.54645828460060397</v>
      </c>
      <c r="FJ69" s="3">
        <f ca="1">IFERROR(__xludf.DUMMYFUNCTION("""COMPUTED_VALUE"""),-0.513427028511961)</f>
        <v>-0.51342702851196098</v>
      </c>
      <c r="FK69" s="3">
        <f ca="1">IFERROR(__xludf.DUMMYFUNCTION("""COMPUTED_VALUE"""),-0.485921769932079)</f>
        <v>-0.48592176993207897</v>
      </c>
      <c r="FL69" s="3">
        <f ca="1">IFERROR(__xludf.DUMMYFUNCTION("""COMPUTED_VALUE"""),-0.516105099724997)</f>
        <v>-0.51610509972499696</v>
      </c>
      <c r="FM69" s="3">
        <f ca="1">IFERROR(__xludf.DUMMYFUNCTION("""COMPUTED_VALUE"""),-0.203012053751035)</f>
        <v>-0.20301205375103501</v>
      </c>
      <c r="FN69" s="3">
        <f ca="1">IFERROR(__xludf.DUMMYFUNCTION("""COMPUTED_VALUE"""),-0.359482326623776)</f>
        <v>-0.35948232662377599</v>
      </c>
      <c r="FO69" s="3">
        <f ca="1">IFERROR(__xludf.DUMMYFUNCTION("""COMPUTED_VALUE"""),-0.479910403294765)</f>
        <v>-0.47991040329476498</v>
      </c>
      <c r="FP69" s="3">
        <f ca="1">IFERROR(__xludf.DUMMYFUNCTION("""COMPUTED_VALUE"""),-0.48657074613594)</f>
        <v>-0.48657074613593998</v>
      </c>
      <c r="FQ69" s="3">
        <f ca="1">IFERROR(__xludf.DUMMYFUNCTION("""COMPUTED_VALUE"""),-0.535723537842145)</f>
        <v>-0.53572353784214499</v>
      </c>
      <c r="FR69" s="3">
        <f ca="1">IFERROR(__xludf.DUMMYFUNCTION("""COMPUTED_VALUE"""),-0.581330102137262)</f>
        <v>-0.58133010213726199</v>
      </c>
      <c r="FS69" s="3">
        <f ca="1">IFERROR(__xludf.DUMMYFUNCTION("""COMPUTED_VALUE"""),-0.480874747730048)</f>
        <v>-0.48087474773004801</v>
      </c>
      <c r="FT69" s="3">
        <f ca="1">IFERROR(__xludf.DUMMYFUNCTION("""COMPUTED_VALUE"""),-0.177922607135878)</f>
        <v>-0.17792260713587801</v>
      </c>
      <c r="FU69" s="3">
        <f ca="1">IFERROR(__xludf.DUMMYFUNCTION("""COMPUTED_VALUE"""),-0.309537490245856)</f>
        <v>-0.30953749024585597</v>
      </c>
      <c r="FV69" s="3">
        <f ca="1">IFERROR(__xludf.DUMMYFUNCTION("""COMPUTED_VALUE"""),-0.573401754727494)</f>
        <v>-0.573401754727494</v>
      </c>
      <c r="FW69" s="3">
        <f ca="1">IFERROR(__xludf.DUMMYFUNCTION("""COMPUTED_VALUE"""),-0.547998273205234)</f>
        <v>-0.54799827320523398</v>
      </c>
      <c r="FX69" s="3">
        <f ca="1">IFERROR(__xludf.DUMMYFUNCTION("""COMPUTED_VALUE"""),-0.510108394018282)</f>
        <v>-0.51010839401828201</v>
      </c>
      <c r="FY69" s="3">
        <f ca="1">IFERROR(__xludf.DUMMYFUNCTION("""COMPUTED_VALUE"""),-0.513635966193108)</f>
        <v>-0.51363596619310803</v>
      </c>
      <c r="FZ69" s="3">
        <f ca="1">IFERROR(__xludf.DUMMYFUNCTION("""COMPUTED_VALUE"""),-0.509583333404209)</f>
        <v>-0.50958333340420903</v>
      </c>
      <c r="GA69" s="3">
        <f ca="1">IFERROR(__xludf.DUMMYFUNCTION("""COMPUTED_VALUE"""),-0.46639859993892)</f>
        <v>-0.46639859993892002</v>
      </c>
      <c r="GB69" s="3">
        <f ca="1">IFERROR(__xludf.DUMMYFUNCTION("""COMPUTED_VALUE"""),-0.495660812297412)</f>
        <v>-0.49566081229741199</v>
      </c>
      <c r="GC69" s="3">
        <f ca="1">IFERROR(__xludf.DUMMYFUNCTION("""COMPUTED_VALUE"""),-0.521462821843051)</f>
        <v>-0.52146282184305104</v>
      </c>
      <c r="GD69" s="3">
        <f ca="1">IFERROR(__xludf.DUMMYFUNCTION("""COMPUTED_VALUE"""),-0.567555676184818)</f>
        <v>-0.56755567618481795</v>
      </c>
      <c r="GE69" s="3">
        <f ca="1">IFERROR(__xludf.DUMMYFUNCTION("""COMPUTED_VALUE"""),-0.562262366916518)</f>
        <v>-0.56226236691651799</v>
      </c>
      <c r="GF69" s="3">
        <f ca="1">IFERROR(__xludf.DUMMYFUNCTION("""COMPUTED_VALUE"""),-0.630015162642058)</f>
        <v>-0.63001516264205804</v>
      </c>
      <c r="GG69" s="3">
        <f ca="1">IFERROR(__xludf.DUMMYFUNCTION("""COMPUTED_VALUE"""),-0.582738274762184)</f>
        <v>-0.58273827476218398</v>
      </c>
      <c r="GH69" s="3">
        <f ca="1">IFERROR(__xludf.DUMMYFUNCTION("""COMPUTED_VALUE"""),-0.258978336923927)</f>
        <v>-0.25897833692392702</v>
      </c>
      <c r="GI69" s="3">
        <f ca="1">IFERROR(__xludf.DUMMYFUNCTION("""COMPUTED_VALUE"""),-0.450249856403474)</f>
        <v>-0.45024985640347398</v>
      </c>
      <c r="GJ69" s="3">
        <f ca="1">IFERROR(__xludf.DUMMYFUNCTION("""COMPUTED_VALUE"""),-0.563973420730315)</f>
        <v>-0.56397342073031498</v>
      </c>
      <c r="GK69" s="3">
        <f ca="1">IFERROR(__xludf.DUMMYFUNCTION("""COMPUTED_VALUE"""),-0.580518054211671)</f>
        <v>-0.58051805421167102</v>
      </c>
      <c r="GL69" s="3">
        <f ca="1">IFERROR(__xludf.DUMMYFUNCTION("""COMPUTED_VALUE"""),-0.527381853243979)</f>
        <v>-0.52738185324397902</v>
      </c>
      <c r="GM69" s="3">
        <f ca="1">IFERROR(__xludf.DUMMYFUNCTION("""COMPUTED_VALUE"""),-0.621805652948739)</f>
        <v>-0.62180565294873902</v>
      </c>
      <c r="GN69" s="3">
        <f ca="1">IFERROR(__xludf.DUMMYFUNCTION("""COMPUTED_VALUE"""),-0.56418718705981)</f>
        <v>-0.56418718705980997</v>
      </c>
      <c r="GO69" s="3">
        <f ca="1">IFERROR(__xludf.DUMMYFUNCTION("""COMPUTED_VALUE"""),-0.316024171362979)</f>
        <v>-0.316024171362979</v>
      </c>
      <c r="GP69" s="3">
        <f ca="1">IFERROR(__xludf.DUMMYFUNCTION("""COMPUTED_VALUE"""),-0.498151193724104)</f>
        <v>-0.49815119372410399</v>
      </c>
      <c r="GQ69" s="3">
        <f ca="1">IFERROR(__xludf.DUMMYFUNCTION("""COMPUTED_VALUE"""),-0.643021862557518)</f>
        <v>-0.64302186255751803</v>
      </c>
      <c r="GR69" s="3">
        <f ca="1">IFERROR(__xludf.DUMMYFUNCTION("""COMPUTED_VALUE"""),-0.595430552058895)</f>
        <v>-0.59543055205889495</v>
      </c>
      <c r="GS69" s="3">
        <f ca="1">IFERROR(__xludf.DUMMYFUNCTION("""COMPUTED_VALUE"""),-0.582017853061236)</f>
        <v>-0.58201785306123599</v>
      </c>
      <c r="GT69" s="3">
        <f ca="1">IFERROR(__xludf.DUMMYFUNCTION("""COMPUTED_VALUE"""),-0.621076630432995)</f>
        <v>-0.62107663043299499</v>
      </c>
      <c r="GU69" s="3">
        <f ca="1">IFERROR(__xludf.DUMMYFUNCTION("""COMPUTED_VALUE"""),-0.542164692548583)</f>
        <v>-0.54216469254858302</v>
      </c>
      <c r="GV69" s="3">
        <f ca="1">IFERROR(__xludf.DUMMYFUNCTION("""COMPUTED_VALUE"""),-0.214521835407846)</f>
        <v>-0.214521835407846</v>
      </c>
      <c r="GW69" s="3">
        <f ca="1">IFERROR(__xludf.DUMMYFUNCTION("""COMPUTED_VALUE"""),-0.463088595781615)</f>
        <v>-0.46308859578161499</v>
      </c>
      <c r="GX69" s="3">
        <f ca="1">IFERROR(__xludf.DUMMYFUNCTION("""COMPUTED_VALUE"""),-0.632757135195785)</f>
        <v>-0.63275713519578503</v>
      </c>
      <c r="GY69" s="3">
        <f ca="1">IFERROR(__xludf.DUMMYFUNCTION("""COMPUTED_VALUE"""),-0.661151087115877)</f>
        <v>-0.661151087115877</v>
      </c>
      <c r="GZ69" s="3">
        <f ca="1">IFERROR(__xludf.DUMMYFUNCTION("""COMPUTED_VALUE"""),-0.597495191140231)</f>
        <v>-0.59749519114023097</v>
      </c>
      <c r="HA69" s="3">
        <f ca="1">IFERROR(__xludf.DUMMYFUNCTION("""COMPUTED_VALUE"""),-0.633321546024895)</f>
        <v>-0.63332154602489499</v>
      </c>
      <c r="HB69" s="3">
        <f ca="1">IFERROR(__xludf.DUMMYFUNCTION("""COMPUTED_VALUE"""),-0.635802013455728)</f>
        <v>-0.63580201345572795</v>
      </c>
      <c r="HC69" s="3">
        <f ca="1">IFERROR(__xludf.DUMMYFUNCTION("""COMPUTED_VALUE"""),-0.405943193106585)</f>
        <v>-0.405943193106585</v>
      </c>
      <c r="HD69" s="3">
        <f ca="1">IFERROR(__xludf.DUMMYFUNCTION("""COMPUTED_VALUE"""),-0.471779845962836)</f>
        <v>-0.47177984596283601</v>
      </c>
      <c r="HE69" s="3">
        <f ca="1">IFERROR(__xludf.DUMMYFUNCTION("""COMPUTED_VALUE"""),-0.530852735514384)</f>
        <v>-0.53085273551438406</v>
      </c>
      <c r="HF69" s="3">
        <f ca="1">IFERROR(__xludf.DUMMYFUNCTION("""COMPUTED_VALUE"""),-0.576619369365017)</f>
        <v>-0.57661936936501701</v>
      </c>
      <c r="HG69" s="3">
        <f ca="1">IFERROR(__xludf.DUMMYFUNCTION("""COMPUTED_VALUE"""),-0.589995678265931)</f>
        <v>-0.58999567826593102</v>
      </c>
      <c r="HH69" s="3">
        <f ca="1">IFERROR(__xludf.DUMMYFUNCTION("""COMPUTED_VALUE"""),-0.588911101356136)</f>
        <v>-0.588911101356136</v>
      </c>
      <c r="HI69" s="3">
        <f ca="1">IFERROR(__xludf.DUMMYFUNCTION("""COMPUTED_VALUE"""),-0.501422848572123)</f>
        <v>-0.50142284857212305</v>
      </c>
      <c r="HJ69" s="3">
        <f ca="1">IFERROR(__xludf.DUMMYFUNCTION("""COMPUTED_VALUE"""),-0.260621937607924)</f>
        <v>-0.26062193760792401</v>
      </c>
      <c r="HK69" s="3">
        <f ca="1">IFERROR(__xludf.DUMMYFUNCTION("""COMPUTED_VALUE"""),-0.308407336919444)</f>
        <v>-0.308407336919444</v>
      </c>
      <c r="HL69" s="3">
        <f ca="1">IFERROR(__xludf.DUMMYFUNCTION("""COMPUTED_VALUE"""),-0.497401234431474)</f>
        <v>-0.49740123443147399</v>
      </c>
      <c r="HM69" s="3">
        <f ca="1">IFERROR(__xludf.DUMMYFUNCTION("""COMPUTED_VALUE"""),-0.547700948055845)</f>
        <v>-0.54770094805584502</v>
      </c>
      <c r="HN69" s="3">
        <f ca="1">IFERROR(__xludf.DUMMYFUNCTION("""COMPUTED_VALUE"""),-0.581098594883835)</f>
        <v>-0.58109859488383497</v>
      </c>
      <c r="HO69" s="3">
        <f ca="1">IFERROR(__xludf.DUMMYFUNCTION("""COMPUTED_VALUE"""),-0.639664668830592)</f>
        <v>-0.63966466883059203</v>
      </c>
      <c r="HP69" s="3">
        <f ca="1">IFERROR(__xludf.DUMMYFUNCTION("""COMPUTED_VALUE"""),-0.557067358693001)</f>
        <v>-0.55706735869300095</v>
      </c>
      <c r="HQ69" s="3">
        <f ca="1">IFERROR(__xludf.DUMMYFUNCTION("""COMPUTED_VALUE"""),-0.256737755694392)</f>
        <v>-0.256737755694392</v>
      </c>
      <c r="HR69" s="3">
        <f ca="1">IFERROR(__xludf.DUMMYFUNCTION("""COMPUTED_VALUE"""),-0.413371641265117)</f>
        <v>-0.413371641265117</v>
      </c>
      <c r="HS69" s="3">
        <f ca="1">IFERROR(__xludf.DUMMYFUNCTION("""COMPUTED_VALUE"""),-0.525525678204343)</f>
        <v>-0.52552567820434304</v>
      </c>
      <c r="HT69" s="3">
        <f ca="1">IFERROR(__xludf.DUMMYFUNCTION("""COMPUTED_VALUE"""),-0.593164857255134)</f>
        <v>-0.59316485725513401</v>
      </c>
      <c r="HU69" s="3">
        <f ca="1">IFERROR(__xludf.DUMMYFUNCTION("""COMPUTED_VALUE"""),-0.577052309364762)</f>
        <v>-0.57705230936476204</v>
      </c>
      <c r="HV69" s="3">
        <f ca="1">IFERROR(__xludf.DUMMYFUNCTION("""COMPUTED_VALUE"""),-0.647842357138698)</f>
        <v>-0.64784235713869798</v>
      </c>
      <c r="HW69" s="3">
        <f ca="1">IFERROR(__xludf.DUMMYFUNCTION("""COMPUTED_VALUE"""),-0.554792800691898)</f>
        <v>-0.55479280069189796</v>
      </c>
      <c r="HX69" s="3">
        <f ca="1">IFERROR(__xludf.DUMMYFUNCTION("""COMPUTED_VALUE"""),-0.269729192412212)</f>
        <v>-0.26972919241221199</v>
      </c>
      <c r="HY69" s="3">
        <f ca="1">IFERROR(__xludf.DUMMYFUNCTION("""COMPUTED_VALUE"""),-0.397451174484571)</f>
        <v>-0.39745117448457101</v>
      </c>
      <c r="HZ69" s="3">
        <f ca="1">IFERROR(__xludf.DUMMYFUNCTION("""COMPUTED_VALUE"""),-0.548443756819191)</f>
        <v>-0.548443756819191</v>
      </c>
      <c r="IA69" s="3">
        <f ca="1">IFERROR(__xludf.DUMMYFUNCTION("""COMPUTED_VALUE"""),-0.558579715112978)</f>
        <v>-0.55857971511297799</v>
      </c>
      <c r="IB69" s="3">
        <f ca="1">IFERROR(__xludf.DUMMYFUNCTION("""COMPUTED_VALUE"""),-0.581829525276133)</f>
        <v>-0.58182952527613296</v>
      </c>
      <c r="IC69" s="3">
        <f ca="1">IFERROR(__xludf.DUMMYFUNCTION("""COMPUTED_VALUE"""),-0.56668369928953)</f>
        <v>-0.56668369928953</v>
      </c>
      <c r="ID69" s="3">
        <f ca="1">IFERROR(__xludf.DUMMYFUNCTION("""COMPUTED_VALUE"""),-0.514205327385517)</f>
        <v>-0.51420532738551705</v>
      </c>
      <c r="IE69" s="3">
        <f ca="1">IFERROR(__xludf.DUMMYFUNCTION("""COMPUTED_VALUE"""),-0.264068358276814)</f>
        <v>-0.26406835827681402</v>
      </c>
      <c r="IF69" s="3">
        <f ca="1">IFERROR(__xludf.DUMMYFUNCTION("""COMPUTED_VALUE"""),-0.400870293794261)</f>
        <v>-0.40087029379426098</v>
      </c>
      <c r="IG69" s="3">
        <f ca="1">IFERROR(__xludf.DUMMYFUNCTION("""COMPUTED_VALUE"""),-0.459263112731015)</f>
        <v>-0.459263112731015</v>
      </c>
      <c r="IH69" s="3">
        <f ca="1">IFERROR(__xludf.DUMMYFUNCTION("""COMPUTED_VALUE"""),-0.451272076281165)</f>
        <v>-0.451272076281165</v>
      </c>
      <c r="II69" s="3">
        <f ca="1">IFERROR(__xludf.DUMMYFUNCTION("""COMPUTED_VALUE"""),-0.453016712945875)</f>
        <v>-0.45301671294587498</v>
      </c>
      <c r="IJ69" s="3">
        <f ca="1">IFERROR(__xludf.DUMMYFUNCTION("""COMPUTED_VALUE"""),-0.403336655501692)</f>
        <v>-0.40333665550169201</v>
      </c>
      <c r="IK69" s="3">
        <f ca="1">IFERROR(__xludf.DUMMYFUNCTION("""COMPUTED_VALUE"""),-0.368115414870438)</f>
        <v>-0.36811541487043797</v>
      </c>
      <c r="IL69" s="3">
        <f ca="1">IFERROR(__xludf.DUMMYFUNCTION("""COMPUTED_VALUE"""),-0.169259742251545)</f>
        <v>-0.169259742251545</v>
      </c>
      <c r="IM69" s="3">
        <f ca="1">IFERROR(__xludf.DUMMYFUNCTION("""COMPUTED_VALUE"""),-0.257433997334976)</f>
        <v>-0.25743399733497602</v>
      </c>
      <c r="IN69" s="3">
        <f ca="1">IFERROR(__xludf.DUMMYFUNCTION("""COMPUTED_VALUE"""),-0.381236584489764)</f>
        <v>-0.381236584489764</v>
      </c>
      <c r="IO69" s="3">
        <f ca="1">IFERROR(__xludf.DUMMYFUNCTION("""COMPUTED_VALUE"""),-0.495221996409711)</f>
        <v>-0.49522199640971098</v>
      </c>
      <c r="IP69" s="3">
        <f ca="1">IFERROR(__xludf.DUMMYFUNCTION("""COMPUTED_VALUE"""),-0.179551909413032)</f>
        <v>-0.17955190941303201</v>
      </c>
      <c r="IQ69" s="3">
        <f ca="1">IFERROR(__xludf.DUMMYFUNCTION("""COMPUTED_VALUE"""),-0.369217165857908)</f>
        <v>-0.36921716585790798</v>
      </c>
      <c r="IR69" s="3">
        <f ca="1">IFERROR(__xludf.DUMMYFUNCTION("""COMPUTED_VALUE"""),-0.327799473214823)</f>
        <v>-0.327799473214823</v>
      </c>
      <c r="IS69" s="3">
        <f ca="1">IFERROR(__xludf.DUMMYFUNCTION("""COMPUTED_VALUE"""),-0.241997652909847)</f>
        <v>-0.24199765290984701</v>
      </c>
      <c r="IT69" s="3">
        <f ca="1">IFERROR(__xludf.DUMMYFUNCTION("""COMPUTED_VALUE"""),-0.300635623354266)</f>
        <v>-0.30063562335426602</v>
      </c>
      <c r="IU69" s="3">
        <f ca="1">IFERROR(__xludf.DUMMYFUNCTION("""COMPUTED_VALUE"""),-0.427719595978473)</f>
        <v>-0.42771959597847298</v>
      </c>
      <c r="IV69" s="3">
        <f ca="1">IFERROR(__xludf.DUMMYFUNCTION("""COMPUTED_VALUE"""),-0.375809354515349)</f>
        <v>-0.37580935451534903</v>
      </c>
      <c r="IW69" s="3">
        <f ca="1">IFERROR(__xludf.DUMMYFUNCTION("""COMPUTED_VALUE"""),-0.428036970138837)</f>
        <v>-0.42803697013883701</v>
      </c>
      <c r="IX69" s="3">
        <f ca="1">IFERROR(__xludf.DUMMYFUNCTION("""COMPUTED_VALUE"""),-0.389990404085917)</f>
        <v>-0.38999040408591701</v>
      </c>
      <c r="IY69" s="3">
        <f ca="1">IFERROR(__xludf.DUMMYFUNCTION("""COMPUTED_VALUE"""),-0.42025183095255)</f>
        <v>-0.42025183095254998</v>
      </c>
      <c r="IZ69" s="3">
        <f ca="1">IFERROR(__xludf.DUMMYFUNCTION("""COMPUTED_VALUE"""),-0.221830462215012)</f>
        <v>-0.22183046221501199</v>
      </c>
      <c r="JA69" s="3">
        <f ca="1">IFERROR(__xludf.DUMMYFUNCTION("""COMPUTED_VALUE"""),-0.194491721623868)</f>
        <v>-0.19449172162386799</v>
      </c>
      <c r="JB69" s="3">
        <f ca="1">IFERROR(__xludf.DUMMYFUNCTION("""COMPUTED_VALUE"""),-0.546509058664945)</f>
        <v>-0.54650905866494504</v>
      </c>
      <c r="JC69" s="3">
        <f ca="1">IFERROR(__xludf.DUMMYFUNCTION("""COMPUTED_VALUE"""),-0.550684955546763)</f>
        <v>-0.550684955546763</v>
      </c>
      <c r="JD69" s="3">
        <f ca="1">IFERROR(__xludf.DUMMYFUNCTION("""COMPUTED_VALUE"""),-0.407694899378087)</f>
        <v>-0.40769489937808701</v>
      </c>
      <c r="JE69" s="3">
        <f ca="1">IFERROR(__xludf.DUMMYFUNCTION("""COMPUTED_VALUE"""),-0.431138766173958)</f>
        <v>-0.43113876617395802</v>
      </c>
      <c r="JF69" s="3">
        <f ca="1">IFERROR(__xludf.DUMMYFUNCTION("""COMPUTED_VALUE"""),-0.481864936063779)</f>
        <v>-0.481864936063779</v>
      </c>
      <c r="JG69" s="3">
        <f ca="1">IFERROR(__xludf.DUMMYFUNCTION("""COMPUTED_VALUE"""),-0.263907643000426)</f>
        <v>-0.26390764300042602</v>
      </c>
      <c r="JH69" s="3">
        <f ca="1">IFERROR(__xludf.DUMMYFUNCTION("""COMPUTED_VALUE"""),-0.246287883226707)</f>
        <v>-0.246287883226707</v>
      </c>
      <c r="JI69" s="3">
        <f ca="1">IFERROR(__xludf.DUMMYFUNCTION("""COMPUTED_VALUE"""),-0.465449218660823)</f>
        <v>-0.46544921866082301</v>
      </c>
      <c r="JJ69" s="3">
        <f ca="1">IFERROR(__xludf.DUMMYFUNCTION("""COMPUTED_VALUE"""),-0.447988992354602)</f>
        <v>-0.44798899235460199</v>
      </c>
      <c r="JK69" s="3">
        <f ca="1">IFERROR(__xludf.DUMMYFUNCTION("""COMPUTED_VALUE"""),-0.509399211037359)</f>
        <v>-0.50939921103735897</v>
      </c>
      <c r="JL69" s="3">
        <f ca="1">IFERROR(__xludf.DUMMYFUNCTION("""COMPUTED_VALUE"""),-0.427638998840161)</f>
        <v>-0.42763899884016099</v>
      </c>
      <c r="JM69" s="3">
        <f ca="1">IFERROR(__xludf.DUMMYFUNCTION("""COMPUTED_VALUE"""),-0.468616030967547)</f>
        <v>-0.468616030967547</v>
      </c>
      <c r="JN69" s="3">
        <f ca="1">IFERROR(__xludf.DUMMYFUNCTION("""COMPUTED_VALUE"""),-0.34951094163766)</f>
        <v>-0.34951094163766</v>
      </c>
      <c r="JO69" s="3">
        <f ca="1">IFERROR(__xludf.DUMMYFUNCTION("""COMPUTED_VALUE"""),-0.337704265397628)</f>
        <v>-0.33770426539762799</v>
      </c>
      <c r="JP69" s="3">
        <f ca="1">IFERROR(__xludf.DUMMYFUNCTION("""COMPUTED_VALUE"""),-0.470294876892059)</f>
        <v>-0.47029487689205901</v>
      </c>
      <c r="JQ69" s="3">
        <f ca="1">IFERROR(__xludf.DUMMYFUNCTION("""COMPUTED_VALUE"""),-0.347809615035285)</f>
        <v>-0.34780961503528501</v>
      </c>
      <c r="JR69" s="3">
        <f ca="1">IFERROR(__xludf.DUMMYFUNCTION("""COMPUTED_VALUE"""),-0.352277865353141)</f>
        <v>-0.35227786535314098</v>
      </c>
      <c r="JS69" s="3">
        <f ca="1">IFERROR(__xludf.DUMMYFUNCTION("""COMPUTED_VALUE"""),-0.444699347994014)</f>
        <v>-0.444699347994014</v>
      </c>
      <c r="JT69" s="3">
        <f ca="1">IFERROR(__xludf.DUMMYFUNCTION("""COMPUTED_VALUE"""),-0.38300808808871)</f>
        <v>-0.38300808808871001</v>
      </c>
      <c r="JU69" s="3">
        <f ca="1">IFERROR(__xludf.DUMMYFUNCTION("""COMPUTED_VALUE"""),-0.448502791882947)</f>
        <v>-0.44850279188294701</v>
      </c>
      <c r="JV69" s="3">
        <f ca="1">IFERROR(__xludf.DUMMYFUNCTION("""COMPUTED_VALUE"""),-0.404969899684079)</f>
        <v>-0.40496989968407898</v>
      </c>
      <c r="JW69" s="3">
        <f ca="1">IFERROR(__xludf.DUMMYFUNCTION("""COMPUTED_VALUE"""),-0.519326801025141)</f>
        <v>-0.51932680102514095</v>
      </c>
      <c r="JX69" s="3">
        <f ca="1">IFERROR(__xludf.DUMMYFUNCTION("""COMPUTED_VALUE"""),-0.235448235997252)</f>
        <v>-0.23544823599725201</v>
      </c>
      <c r="JY69" s="3">
        <f ca="1">IFERROR(__xludf.DUMMYFUNCTION("""COMPUTED_VALUE"""),-0.447515881470185)</f>
        <v>-0.44751588147018501</v>
      </c>
      <c r="JZ69" s="3">
        <f ca="1">IFERROR(__xludf.DUMMYFUNCTION("""COMPUTED_VALUE"""),-0.471107055378612)</f>
        <v>-0.47110705537861203</v>
      </c>
      <c r="KA69" s="3">
        <f ca="1">IFERROR(__xludf.DUMMYFUNCTION("""COMPUTED_VALUE"""),-0.492948241660791)</f>
        <v>-0.49294824166079099</v>
      </c>
      <c r="KB69" s="3">
        <f ca="1">IFERROR(__xludf.DUMMYFUNCTION("""COMPUTED_VALUE"""),-0.422984802666013)</f>
        <v>-0.42298480266601302</v>
      </c>
      <c r="KC69" s="3">
        <f ca="1">IFERROR(__xludf.DUMMYFUNCTION("""COMPUTED_VALUE"""),-0.439465184833971)</f>
        <v>-0.43946518483397101</v>
      </c>
      <c r="KD69" s="3">
        <f ca="1">IFERROR(__xludf.DUMMYFUNCTION("""COMPUTED_VALUE"""),-0.50983387898333)</f>
        <v>-0.50983387898332999</v>
      </c>
      <c r="KE69" s="3">
        <f ca="1">IFERROR(__xludf.DUMMYFUNCTION("""COMPUTED_VALUE"""),-0.557726224251545)</f>
        <v>-0.55772622425154506</v>
      </c>
      <c r="KF69" s="3">
        <f ca="1">IFERROR(__xludf.DUMMYFUNCTION("""COMPUTED_VALUE"""),-0.51606446651092)</f>
        <v>-0.51606446651091997</v>
      </c>
      <c r="KG69" s="3">
        <f ca="1">IFERROR(__xludf.DUMMYFUNCTION("""COMPUTED_VALUE"""),-0.533962283942167)</f>
        <v>-0.53396228394216705</v>
      </c>
      <c r="KH69" s="3">
        <f ca="1">IFERROR(__xludf.DUMMYFUNCTION("""COMPUTED_VALUE"""),-0.550825197128438)</f>
        <v>-0.55082519712843803</v>
      </c>
      <c r="KI69" s="3">
        <f ca="1">IFERROR(__xludf.DUMMYFUNCTION("""COMPUTED_VALUE"""),-0.408040665565111)</f>
        <v>-0.40804066556511098</v>
      </c>
      <c r="KJ69" s="3">
        <f ca="1">IFERROR(__xludf.DUMMYFUNCTION("""COMPUTED_VALUE"""),-0.571585086374183)</f>
        <v>-0.57158508637418304</v>
      </c>
      <c r="KK69" s="3">
        <f ca="1">IFERROR(__xludf.DUMMYFUNCTION("""COMPUTED_VALUE"""),-0.584393627560755)</f>
        <v>-0.58439362756075497</v>
      </c>
      <c r="KL69" s="3">
        <f ca="1">IFERROR(__xludf.DUMMYFUNCTION("""COMPUTED_VALUE"""),-0.633544651381681)</f>
        <v>-0.63354465138168103</v>
      </c>
      <c r="KM69" s="3">
        <f ca="1">IFERROR(__xludf.DUMMYFUNCTION("""COMPUTED_VALUE"""),-0.48995499097857)</f>
        <v>-0.48995499097856998</v>
      </c>
      <c r="KN69" s="3">
        <f ca="1">IFERROR(__xludf.DUMMYFUNCTION("""COMPUTED_VALUE"""),-0.579607194776673)</f>
        <v>-0.579607194776673</v>
      </c>
      <c r="KO69" s="3">
        <f ca="1">IFERROR(__xludf.DUMMYFUNCTION("""COMPUTED_VALUE"""),-0.510256385344304)</f>
        <v>-0.51025638534430395</v>
      </c>
      <c r="KP69" s="3">
        <f ca="1">IFERROR(__xludf.DUMMYFUNCTION("""COMPUTED_VALUE"""),-0.362799092722311)</f>
        <v>-0.36279909272231098</v>
      </c>
      <c r="KQ69" s="3">
        <f ca="1">IFERROR(__xludf.DUMMYFUNCTION("""COMPUTED_VALUE"""),-0.442319660774219)</f>
        <v>-0.44231966077421903</v>
      </c>
      <c r="KR69" s="3">
        <f ca="1">IFERROR(__xludf.DUMMYFUNCTION("""COMPUTED_VALUE"""),-0.58234810039191)</f>
        <v>-0.58234810039190998</v>
      </c>
      <c r="KS69" s="3">
        <f ca="1">IFERROR(__xludf.DUMMYFUNCTION("""COMPUTED_VALUE"""),-0.639267282176194)</f>
        <v>-0.639267282176194</v>
      </c>
      <c r="KT69" s="3">
        <f ca="1">IFERROR(__xludf.DUMMYFUNCTION("""COMPUTED_VALUE"""),-0.524076878596263)</f>
        <v>-0.52407687859626295</v>
      </c>
      <c r="KU69" s="3">
        <f ca="1">IFERROR(__xludf.DUMMYFUNCTION("""COMPUTED_VALUE"""),-0.606295507877284)</f>
        <v>-0.60629550787728403</v>
      </c>
      <c r="KV69" s="3">
        <f ca="1">IFERROR(__xludf.DUMMYFUNCTION("""COMPUTED_VALUE"""),-0.556970268551025)</f>
        <v>-0.55697026855102505</v>
      </c>
      <c r="KW69" s="3">
        <f ca="1">IFERROR(__xludf.DUMMYFUNCTION("""COMPUTED_VALUE"""),-0.468661185559016)</f>
        <v>-0.46866118555901598</v>
      </c>
      <c r="KX69" s="3">
        <f ca="1">IFERROR(__xludf.DUMMYFUNCTION("""COMPUTED_VALUE"""),-0.501989576497716)</f>
        <v>-0.50198957649771603</v>
      </c>
      <c r="KY69" s="3">
        <f ca="1">IFERROR(__xludf.DUMMYFUNCTION("""COMPUTED_VALUE"""),-0.582645359577414)</f>
        <v>-0.58264535957741403</v>
      </c>
      <c r="KZ69" s="3">
        <f ca="1">IFERROR(__xludf.DUMMYFUNCTION("""COMPUTED_VALUE"""),-0.535793489243346)</f>
        <v>-0.53579348924334602</v>
      </c>
      <c r="LA69" s="3">
        <f ca="1">IFERROR(__xludf.DUMMYFUNCTION("""COMPUTED_VALUE"""),-0.569380154561412)</f>
        <v>-0.569380154561412</v>
      </c>
      <c r="LB69" s="3">
        <f ca="1">IFERROR(__xludf.DUMMYFUNCTION("""COMPUTED_VALUE"""),-0.605155023070869)</f>
        <v>-0.60515502307086899</v>
      </c>
      <c r="LC69" s="3">
        <f ca="1">IFERROR(__xludf.DUMMYFUNCTION("""COMPUTED_VALUE"""),-0.59134105081581)</f>
        <v>-0.59134105081581001</v>
      </c>
      <c r="LD69" s="3">
        <f ca="1">IFERROR(__xludf.DUMMYFUNCTION("""COMPUTED_VALUE"""),-0.329752038521853)</f>
        <v>-0.32975203852185297</v>
      </c>
      <c r="LE69" s="3">
        <f ca="1">IFERROR(__xludf.DUMMYFUNCTION("""COMPUTED_VALUE"""),-0.489475053913331)</f>
        <v>-0.48947505391333102</v>
      </c>
      <c r="LF69" s="3">
        <f ca="1">IFERROR(__xludf.DUMMYFUNCTION("""COMPUTED_VALUE"""),-0.615084673059441)</f>
        <v>-0.61508467305944103</v>
      </c>
      <c r="LG69" s="3">
        <f ca="1">IFERROR(__xludf.DUMMYFUNCTION("""COMPUTED_VALUE"""),-0.588967036049116)</f>
        <v>-0.58896703604911604</v>
      </c>
      <c r="LH69" s="3">
        <f ca="1">IFERROR(__xludf.DUMMYFUNCTION("""COMPUTED_VALUE"""),-0.699264414148157)</f>
        <v>-0.69926441414815699</v>
      </c>
      <c r="LI69" s="3">
        <f ca="1">IFERROR(__xludf.DUMMYFUNCTION("""COMPUTED_VALUE"""),-0.652726418498349)</f>
        <v>-0.652726418498349</v>
      </c>
      <c r="LJ69" s="3">
        <f ca="1">IFERROR(__xludf.DUMMYFUNCTION("""COMPUTED_VALUE"""),-0.682429686852786)</f>
        <v>-0.68242968685278604</v>
      </c>
      <c r="LK69" s="3">
        <f ca="1">IFERROR(__xludf.DUMMYFUNCTION("""COMPUTED_VALUE"""),-0.596280495125884)</f>
        <v>-0.59628049512588399</v>
      </c>
      <c r="LL69" s="3">
        <f ca="1">IFERROR(__xludf.DUMMYFUNCTION("""COMPUTED_VALUE"""),-0.579193872133502)</f>
        <v>-0.57919387213350204</v>
      </c>
      <c r="LM69" s="3">
        <f ca="1">IFERROR(__xludf.DUMMYFUNCTION("""COMPUTED_VALUE"""),-0.588190243662315)</f>
        <v>-0.58819024366231498</v>
      </c>
      <c r="LN69" s="3">
        <f ca="1">IFERROR(__xludf.DUMMYFUNCTION("""COMPUTED_VALUE"""),-0.677827885389252)</f>
        <v>-0.67782788538925198</v>
      </c>
      <c r="LO69" s="3">
        <f ca="1">IFERROR(__xludf.DUMMYFUNCTION("""COMPUTED_VALUE"""),-0.762830779666566)</f>
        <v>-0.76283077966656598</v>
      </c>
      <c r="LP69" s="3">
        <f ca="1">IFERROR(__xludf.DUMMYFUNCTION("""COMPUTED_VALUE"""),-0.742074717152906)</f>
        <v>-0.74207471715290596</v>
      </c>
      <c r="LQ69" s="3">
        <f ca="1">IFERROR(__xludf.DUMMYFUNCTION("""COMPUTED_VALUE"""),-0.576376132219451)</f>
        <v>-0.57637613221945105</v>
      </c>
      <c r="LR69" s="3">
        <f ca="1">IFERROR(__xludf.DUMMYFUNCTION("""COMPUTED_VALUE"""),-0.426335609845333)</f>
        <v>-0.42633560984533297</v>
      </c>
      <c r="LS69" s="3">
        <f ca="1">IFERROR(__xludf.DUMMYFUNCTION("""COMPUTED_VALUE"""),-0.625455235458514)</f>
        <v>-0.625455235458514</v>
      </c>
      <c r="LT69" s="3">
        <f ca="1">IFERROR(__xludf.DUMMYFUNCTION("""COMPUTED_VALUE"""),-0.672330949993692)</f>
        <v>-0.67233094999369203</v>
      </c>
      <c r="LU69" s="3">
        <f ca="1">IFERROR(__xludf.DUMMYFUNCTION("""COMPUTED_VALUE"""),-0.574339823216115)</f>
        <v>-0.57433982321611499</v>
      </c>
      <c r="LV69" s="3">
        <f ca="1">IFERROR(__xludf.DUMMYFUNCTION("""COMPUTED_VALUE"""),-0.652421925100019)</f>
        <v>-0.65242192510001895</v>
      </c>
      <c r="LW69" s="3">
        <f ca="1">IFERROR(__xludf.DUMMYFUNCTION("""COMPUTED_VALUE"""),-0.677562554021764)</f>
        <v>-0.67756255402176402</v>
      </c>
      <c r="LX69" s="3">
        <f ca="1">IFERROR(__xludf.DUMMYFUNCTION("""COMPUTED_VALUE"""),-0.629598649432447)</f>
        <v>-0.62959864943244703</v>
      </c>
      <c r="LY69" s="3">
        <f ca="1">IFERROR(__xludf.DUMMYFUNCTION("""COMPUTED_VALUE"""),-0.391835106585732)</f>
        <v>-0.39183510658573201</v>
      </c>
      <c r="LZ69" s="3">
        <f ca="1">IFERROR(__xludf.DUMMYFUNCTION("""COMPUTED_VALUE"""),-0.538506464074199)</f>
        <v>-0.538506464074199</v>
      </c>
      <c r="MA69" s="3">
        <f ca="1">IFERROR(__xludf.DUMMYFUNCTION("""COMPUTED_VALUE"""),-0.609750430996752)</f>
        <v>-0.60975043099675197</v>
      </c>
      <c r="MB69" s="3">
        <f ca="1">IFERROR(__xludf.DUMMYFUNCTION("""COMPUTED_VALUE"""),-0.57921318166561)</f>
        <v>-0.57921318166560998</v>
      </c>
      <c r="MC69" s="3">
        <f ca="1">IFERROR(__xludf.DUMMYFUNCTION("""COMPUTED_VALUE"""),-0.61532667179476)</f>
        <v>-0.61532667179475997</v>
      </c>
      <c r="MD69" s="3">
        <f ca="1">IFERROR(__xludf.DUMMYFUNCTION("""COMPUTED_VALUE"""),-0.679231608071492)</f>
        <v>-0.67923160807149197</v>
      </c>
      <c r="ME69" s="3">
        <f ca="1">IFERROR(__xludf.DUMMYFUNCTION("""COMPUTED_VALUE"""),-0.620137013519205)</f>
        <v>-0.62013701351920503</v>
      </c>
      <c r="MF69" s="3">
        <f ca="1">IFERROR(__xludf.DUMMYFUNCTION("""COMPUTED_VALUE"""),-0.437073968884574)</f>
        <v>-0.437073968884574</v>
      </c>
      <c r="MG69" s="3">
        <f ca="1">IFERROR(__xludf.DUMMYFUNCTION("""COMPUTED_VALUE"""),-0.63240809332569)</f>
        <v>-0.63240809332569003</v>
      </c>
      <c r="MH69" s="3">
        <f ca="1">IFERROR(__xludf.DUMMYFUNCTION("""COMPUTED_VALUE"""),-0.652112289370002)</f>
        <v>-0.65211228937000199</v>
      </c>
      <c r="MI69" s="3">
        <f ca="1">IFERROR(__xludf.DUMMYFUNCTION("""COMPUTED_VALUE"""),-0.757291708569404)</f>
        <v>-0.75729170856940398</v>
      </c>
      <c r="MJ69" s="3">
        <f ca="1">IFERROR(__xludf.DUMMYFUNCTION("""COMPUTED_VALUE"""),-0.7075769435514)</f>
        <v>-0.70757694355139999</v>
      </c>
      <c r="MK69" s="3">
        <f ca="1">IFERROR(__xludf.DUMMYFUNCTION("""COMPUTED_VALUE"""),-0.705591107501817)</f>
        <v>-0.70559110750181697</v>
      </c>
      <c r="ML69" s="3">
        <f ca="1">IFERROR(__xludf.DUMMYFUNCTION("""COMPUTED_VALUE"""),-0.663930248546782)</f>
        <v>-0.66393024854678195</v>
      </c>
      <c r="MM69" s="3">
        <f ca="1">IFERROR(__xludf.DUMMYFUNCTION("""COMPUTED_VALUE"""),-0.456595395295805)</f>
        <v>-0.45659539529580501</v>
      </c>
      <c r="MN69" s="3">
        <f ca="1">IFERROR(__xludf.DUMMYFUNCTION("""COMPUTED_VALUE"""),-0.637001565954072)</f>
        <v>-0.63700156595407198</v>
      </c>
      <c r="MO69" s="3">
        <f ca="1">IFERROR(__xludf.DUMMYFUNCTION("""COMPUTED_VALUE"""),-0.647895832332691)</f>
        <v>-0.64789583233269099</v>
      </c>
      <c r="MP69" s="3">
        <f ca="1">IFERROR(__xludf.DUMMYFUNCTION("""COMPUTED_VALUE"""),-0.722355952789753)</f>
        <v>-0.72235595278975295</v>
      </c>
      <c r="MQ69" s="3">
        <f ca="1">IFERROR(__xludf.DUMMYFUNCTION("""COMPUTED_VALUE"""),-0.681528285317701)</f>
        <v>-0.68152828531770104</v>
      </c>
      <c r="MR69" s="3">
        <f ca="1">IFERROR(__xludf.DUMMYFUNCTION("""COMPUTED_VALUE"""),-0.78589353608674)</f>
        <v>-0.78589353608673995</v>
      </c>
      <c r="MS69" s="3">
        <f ca="1">IFERROR(__xludf.DUMMYFUNCTION("""COMPUTED_VALUE"""),-0.736750512493282)</f>
        <v>-0.73675051249328205</v>
      </c>
      <c r="MT69" s="3">
        <f ca="1">IFERROR(__xludf.DUMMYFUNCTION("""COMPUTED_VALUE"""),-0.410910075101174)</f>
        <v>-0.410910075101174</v>
      </c>
      <c r="MU69" s="3">
        <f ca="1">IFERROR(__xludf.DUMMYFUNCTION("""COMPUTED_VALUE"""),-0.728318594281463)</f>
        <v>-0.72831859428146295</v>
      </c>
      <c r="MV69" s="3">
        <f ca="1">IFERROR(__xludf.DUMMYFUNCTION("""COMPUTED_VALUE"""),-0.645900181077)</f>
        <v>-0.64590018107699998</v>
      </c>
      <c r="MW69" s="3">
        <f ca="1">IFERROR(__xludf.DUMMYFUNCTION("""COMPUTED_VALUE"""),-0.640512031560476)</f>
        <v>-0.64051203156047598</v>
      </c>
      <c r="MX69" s="3">
        <f ca="1">IFERROR(__xludf.DUMMYFUNCTION("""COMPUTED_VALUE"""),-0.680102351047795)</f>
        <v>-0.68010235104779504</v>
      </c>
      <c r="MY69" s="3">
        <f ca="1">IFERROR(__xludf.DUMMYFUNCTION("""COMPUTED_VALUE"""),-0.684248933113518)</f>
        <v>-0.68424893311351798</v>
      </c>
      <c r="MZ69" s="3">
        <f ca="1">IFERROR(__xludf.DUMMYFUNCTION("""COMPUTED_VALUE"""),-0.594069418535249)</f>
        <v>-0.59406941853524897</v>
      </c>
      <c r="NA69" s="3">
        <f ca="1">IFERROR(__xludf.DUMMYFUNCTION("""COMPUTED_VALUE"""),-0.261535597535308)</f>
        <v>-0.26153559753530797</v>
      </c>
      <c r="NB69" s="3">
        <f ca="1">IFERROR(__xludf.DUMMYFUNCTION("""COMPUTED_VALUE"""),-0.536138775394707)</f>
        <v>-0.536138775394707</v>
      </c>
      <c r="NC69" s="3">
        <f ca="1">IFERROR(__xludf.DUMMYFUNCTION("""COMPUTED_VALUE"""),-0.673825476764108)</f>
        <v>-0.67382547676410798</v>
      </c>
      <c r="ND69" s="3">
        <f ca="1">IFERROR(__xludf.DUMMYFUNCTION("""COMPUTED_VALUE"""),-0.752053969401061)</f>
        <v>-0.75205396940106095</v>
      </c>
      <c r="NE69" s="3">
        <f ca="1">IFERROR(__xludf.DUMMYFUNCTION("""COMPUTED_VALUE"""),-0.697624975816666)</f>
        <v>-0.69762497581666605</v>
      </c>
      <c r="NF69" s="3">
        <f ca="1">IFERROR(__xludf.DUMMYFUNCTION("""COMPUTED_VALUE"""),-0.658060558737188)</f>
        <v>-0.65806055873718805</v>
      </c>
      <c r="NG69" s="3">
        <f ca="1">IFERROR(__xludf.DUMMYFUNCTION("""COMPUTED_VALUE"""),-0.646839322954905)</f>
        <v>-0.64683932295490498</v>
      </c>
      <c r="NH69" s="3">
        <f ca="1">IFERROR(__xludf.DUMMYFUNCTION("""COMPUTED_VALUE"""),-0.37545375881513)</f>
        <v>-0.37545375881512999</v>
      </c>
      <c r="NI69" s="3">
        <f ca="1">IFERROR(__xludf.DUMMYFUNCTION("""COMPUTED_VALUE"""),-0.542607358513702)</f>
        <v>-0.54260735851370201</v>
      </c>
      <c r="NJ69" s="3">
        <f ca="1">IFERROR(__xludf.DUMMYFUNCTION("""COMPUTED_VALUE"""),-0.662025523266642)</f>
        <v>-0.66202552326664199</v>
      </c>
      <c r="NK69" s="3">
        <f ca="1">IFERROR(__xludf.DUMMYFUNCTION("""COMPUTED_VALUE"""),-0.748056080367192)</f>
        <v>-0.74805608036719196</v>
      </c>
      <c r="NL69" s="3">
        <f ca="1">IFERROR(__xludf.DUMMYFUNCTION("""COMPUTED_VALUE"""),-0.704085535247027)</f>
        <v>-0.70408553524702699</v>
      </c>
      <c r="NM69" s="3">
        <f ca="1">IFERROR(__xludf.DUMMYFUNCTION("""COMPUTED_VALUE"""),-0.666045826593159)</f>
        <v>-0.66604582659315903</v>
      </c>
      <c r="NN69" s="3">
        <f ca="1">IFERROR(__xludf.DUMMYFUNCTION("""COMPUTED_VALUE"""),-0.594605550088062)</f>
        <v>-0.59460555008806204</v>
      </c>
      <c r="NO69" s="3">
        <f ca="1">IFERROR(__xludf.DUMMYFUNCTION("""COMPUTED_VALUE"""),-0.417524987338923)</f>
        <v>-0.41752498733892301</v>
      </c>
      <c r="NP69" s="3">
        <f ca="1">IFERROR(__xludf.DUMMYFUNCTION("""COMPUTED_VALUE"""),-0.477501233743019)</f>
        <v>-0.477501233743019</v>
      </c>
      <c r="NQ69" s="3">
        <f ca="1">IFERROR(__xludf.DUMMYFUNCTION("""COMPUTED_VALUE"""),-0.620599470236844)</f>
        <v>-0.62059947023684403</v>
      </c>
      <c r="NR69" s="3">
        <f ca="1">IFERROR(__xludf.DUMMYFUNCTION("""COMPUTED_VALUE"""),-0.626666573761914)</f>
        <v>-0.62666657376191404</v>
      </c>
      <c r="NS69" s="3">
        <f ca="1">IFERROR(__xludf.DUMMYFUNCTION("""COMPUTED_VALUE"""),-0.573380057463813)</f>
        <v>-0.57338005746381304</v>
      </c>
      <c r="NT69" s="3">
        <f ca="1">IFERROR(__xludf.DUMMYFUNCTION("""COMPUTED_VALUE"""),-0.482855817168792)</f>
        <v>-0.482855817168792</v>
      </c>
      <c r="NU69" s="3">
        <f ca="1">IFERROR(__xludf.DUMMYFUNCTION("""COMPUTED_VALUE"""),-0.521662327994436)</f>
        <v>-0.52166232799443601</v>
      </c>
      <c r="NV69" s="3">
        <f ca="1">IFERROR(__xludf.DUMMYFUNCTION("""COMPUTED_VALUE"""),-0.364641455454375)</f>
        <v>-0.36464145545437499</v>
      </c>
      <c r="NW69" s="3">
        <f ca="1">IFERROR(__xludf.DUMMYFUNCTION("""COMPUTED_VALUE"""),-0.468004391877384)</f>
        <v>-0.46800439187738402</v>
      </c>
      <c r="NX69" s="3">
        <f ca="1">IFERROR(__xludf.DUMMYFUNCTION("""COMPUTED_VALUE"""),-0.483461512465607)</f>
        <v>-0.48346151246560698</v>
      </c>
      <c r="NY69" s="3">
        <f ca="1">IFERROR(__xludf.DUMMYFUNCTION("""COMPUTED_VALUE"""),-0.537500019956624)</f>
        <v>-0.537500019956624</v>
      </c>
      <c r="NZ69" s="3">
        <f ca="1">IFERROR(__xludf.DUMMYFUNCTION("""COMPUTED_VALUE"""),-0.40704091250391)</f>
        <v>-0.40704091250391</v>
      </c>
      <c r="OA69" s="3">
        <f ca="1">IFERROR(__xludf.DUMMYFUNCTION("""COMPUTED_VALUE"""),-0.345810603801988)</f>
        <v>-0.34581060380198803</v>
      </c>
      <c r="OB69" s="3">
        <f ca="1">IFERROR(__xludf.DUMMYFUNCTION("""COMPUTED_VALUE"""),-0.281092288623805)</f>
        <v>-0.28109228862380498</v>
      </c>
      <c r="OC69" s="3">
        <f ca="1">IFERROR(__xludf.DUMMYFUNCTION("""COMPUTED_VALUE"""),-0.180393384672453)</f>
        <v>-0.180393384672453</v>
      </c>
      <c r="OD69" s="3">
        <f ca="1">IFERROR(__xludf.DUMMYFUNCTION("""COMPUTED_VALUE"""),-0.258276309228564)</f>
        <v>-0.25827630922856398</v>
      </c>
      <c r="OE69" s="3">
        <f ca="1">IFERROR(__xludf.DUMMYFUNCTION("""COMPUTED_VALUE"""),-0.195337083019173)</f>
        <v>-0.19533708301917299</v>
      </c>
      <c r="OF69" s="3">
        <f ca="1">IFERROR(__xludf.DUMMYFUNCTION("""COMPUTED_VALUE"""),-0.042937224731695)</f>
        <v>-4.2937224731694999E-2</v>
      </c>
      <c r="OG69" s="3">
        <f ca="1">IFERROR(__xludf.DUMMYFUNCTION("""COMPUTED_VALUE"""),-0.211273401133162)</f>
        <v>-0.21127340113316201</v>
      </c>
      <c r="OH69" s="3">
        <f ca="1">IFERROR(__xludf.DUMMYFUNCTION("""COMPUTED_VALUE"""),-0.0936096697037406)</f>
        <v>-9.36096697037406E-2</v>
      </c>
      <c r="OI69" s="3">
        <f ca="1">IFERROR(__xludf.DUMMYFUNCTION("""COMPUTED_VALUE"""),0.0137320727710559)</f>
        <v>1.3732072771055899E-2</v>
      </c>
      <c r="OJ69" s="3">
        <f ca="1">IFERROR(__xludf.DUMMYFUNCTION("""COMPUTED_VALUE"""),-0.0655725571900844)</f>
        <v>-6.5572557190084396E-2</v>
      </c>
      <c r="OK69" s="3">
        <f ca="1">IFERROR(__xludf.DUMMYFUNCTION("""COMPUTED_VALUE"""),-0.0199317798690111)</f>
        <v>-1.9931779869011099E-2</v>
      </c>
      <c r="OL69" s="3">
        <f ca="1">IFERROR(__xludf.DUMMYFUNCTION("""COMPUTED_VALUE"""),0.0556063488687523)</f>
        <v>5.5606348868752299E-2</v>
      </c>
      <c r="OM69" s="3">
        <f ca="1">IFERROR(__xludf.DUMMYFUNCTION("""COMPUTED_VALUE"""),0.101677573446526)</f>
        <v>0.101677573446526</v>
      </c>
      <c r="ON69" s="3">
        <f ca="1">IFERROR(__xludf.DUMMYFUNCTION("""COMPUTED_VALUE"""),-0.0470836172432943)</f>
        <v>-4.7083617243294303E-2</v>
      </c>
      <c r="OO69" s="3">
        <f ca="1">IFERROR(__xludf.DUMMYFUNCTION("""COMPUTED_VALUE"""),0.00422694521395183)</f>
        <v>4.2269452139518304E-3</v>
      </c>
      <c r="OP69" s="3">
        <f ca="1">IFERROR(__xludf.DUMMYFUNCTION("""COMPUTED_VALUE"""),0.00295953650388103)</f>
        <v>2.9595365038810298E-3</v>
      </c>
      <c r="OQ69" s="3">
        <f ca="1">IFERROR(__xludf.DUMMYFUNCTION("""COMPUTED_VALUE"""),0.0350977645130634)</f>
        <v>3.5097764513063401E-2</v>
      </c>
      <c r="OR69" s="3">
        <f ca="1">IFERROR(__xludf.DUMMYFUNCTION("""COMPUTED_VALUE"""),0.179764654308305)</f>
        <v>0.17976465430830499</v>
      </c>
      <c r="OS69" s="3">
        <f ca="1">IFERROR(__xludf.DUMMYFUNCTION("""COMPUTED_VALUE"""),-0.0506963628515994)</f>
        <v>-5.0696362851599397E-2</v>
      </c>
      <c r="OT69" s="3">
        <f ca="1">IFERROR(__xludf.DUMMYFUNCTION("""COMPUTED_VALUE"""),-0.0138981183466763)</f>
        <v>-1.38981183466763E-2</v>
      </c>
      <c r="OU69" s="3">
        <f ca="1">IFERROR(__xludf.DUMMYFUNCTION("""COMPUTED_VALUE"""),-0.089390718295269)</f>
        <v>-8.9390718295268998E-2</v>
      </c>
      <c r="OV69" s="3">
        <f ca="1">IFERROR(__xludf.DUMMYFUNCTION("""COMPUTED_VALUE"""),-0.0316432868075545)</f>
        <v>-3.1643286807554502E-2</v>
      </c>
      <c r="OW69" s="3">
        <f ca="1">IFERROR(__xludf.DUMMYFUNCTION("""COMPUTED_VALUE"""),-0.0483289218676102)</f>
        <v>-4.8328921867610203E-2</v>
      </c>
      <c r="OX69" s="3">
        <f ca="1">IFERROR(__xludf.DUMMYFUNCTION("""COMPUTED_VALUE"""),-0.161772371827541)</f>
        <v>-0.16177237182754101</v>
      </c>
      <c r="OY69" s="3">
        <f ca="1">IFERROR(__xludf.DUMMYFUNCTION("""COMPUTED_VALUE"""),0.0970680785535804)</f>
        <v>9.7068078553580406E-2</v>
      </c>
      <c r="OZ69" s="3">
        <f ca="1">IFERROR(__xludf.DUMMYFUNCTION("""COMPUTED_VALUE"""),0.0705349827422663)</f>
        <v>7.05349827422663E-2</v>
      </c>
      <c r="PA69" s="3">
        <f ca="1">IFERROR(__xludf.DUMMYFUNCTION("""COMPUTED_VALUE"""),-0.0856441674222993)</f>
        <v>-8.56441674222993E-2</v>
      </c>
      <c r="PB69" s="3">
        <f ca="1">IFERROR(__xludf.DUMMYFUNCTION("""COMPUTED_VALUE"""),0.0563844523108547)</f>
        <v>5.6384452310854698E-2</v>
      </c>
      <c r="PC69" s="3">
        <f ca="1">IFERROR(__xludf.DUMMYFUNCTION("""COMPUTED_VALUE"""),0.150194043217322)</f>
        <v>0.15019404321732199</v>
      </c>
      <c r="PD69" s="3">
        <f ca="1">IFERROR(__xludf.DUMMYFUNCTION("""COMPUTED_VALUE"""),0.049345559964494)</f>
        <v>4.9345559964494003E-2</v>
      </c>
      <c r="PE69" s="3">
        <f ca="1">IFERROR(__xludf.DUMMYFUNCTION("""COMPUTED_VALUE"""),0.0542474673922079)</f>
        <v>5.4247467392207899E-2</v>
      </c>
      <c r="PF69" s="3">
        <f ca="1">IFERROR(__xludf.DUMMYFUNCTION("""COMPUTED_VALUE"""),0.203486310458641)</f>
        <v>0.20348631045864099</v>
      </c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</row>
    <row r="70" spans="1:594" ht="13">
      <c r="A70" s="1" t="str">
        <f ca="1">IFERROR(__xludf.DUMMYFUNCTION("""COMPUTED_VALUE"""),"Regina")</f>
        <v>Regina</v>
      </c>
      <c r="B70" s="3">
        <f ca="1">IFERROR(__xludf.DUMMYFUNCTION("""COMPUTED_VALUE"""),-0.65456422067449)</f>
        <v>-0.65456422067449005</v>
      </c>
      <c r="C70" s="3">
        <f ca="1">IFERROR(__xludf.DUMMYFUNCTION("""COMPUTED_VALUE"""),-0.731646045037635)</f>
        <v>-0.73164604503763497</v>
      </c>
      <c r="D70" s="3">
        <f ca="1">IFERROR(__xludf.DUMMYFUNCTION("""COMPUTED_VALUE"""),-0.791437613729466)</f>
        <v>-0.79143761372946597</v>
      </c>
      <c r="E70" s="3">
        <f ca="1">IFERROR(__xludf.DUMMYFUNCTION("""COMPUTED_VALUE"""),-0.797058263005158)</f>
        <v>-0.79705826300515803</v>
      </c>
      <c r="F70" s="3">
        <f ca="1">IFERROR(__xludf.DUMMYFUNCTION("""COMPUTED_VALUE"""),-0.798798080550851)</f>
        <v>-0.798798080550851</v>
      </c>
      <c r="G70" s="3">
        <f ca="1">IFERROR(__xludf.DUMMYFUNCTION("""COMPUTED_VALUE"""),-0.776498517697911)</f>
        <v>-0.77649851769791101</v>
      </c>
      <c r="H70" s="3">
        <f ca="1">IFERROR(__xludf.DUMMYFUNCTION("""COMPUTED_VALUE"""),-0.647049836514406)</f>
        <v>-0.64704983651440595</v>
      </c>
      <c r="I70" s="3">
        <f ca="1">IFERROR(__xludf.DUMMYFUNCTION("""COMPUTED_VALUE"""),-0.67227993968859)</f>
        <v>-0.67227993968859001</v>
      </c>
      <c r="J70" s="3">
        <f ca="1">IFERROR(__xludf.DUMMYFUNCTION("""COMPUTED_VALUE"""),-0.847882006056894)</f>
        <v>-0.84788200605689401</v>
      </c>
      <c r="K70" s="3">
        <f ca="1">IFERROR(__xludf.DUMMYFUNCTION("""COMPUTED_VALUE"""),-0.786162151175092)</f>
        <v>-0.78616215117509203</v>
      </c>
      <c r="L70" s="3">
        <f ca="1">IFERROR(__xludf.DUMMYFUNCTION("""COMPUTED_VALUE"""),-0.773824621883367)</f>
        <v>-0.77382462188336698</v>
      </c>
      <c r="M70" s="3">
        <f ca="1">IFERROR(__xludf.DUMMYFUNCTION("""COMPUTED_VALUE"""),-0.817410282640142)</f>
        <v>-0.81741028264014204</v>
      </c>
      <c r="N70" s="3">
        <f ca="1">IFERROR(__xludf.DUMMYFUNCTION("""COMPUTED_VALUE"""),-0.806655760485489)</f>
        <v>-0.80665576048548904</v>
      </c>
      <c r="O70" s="3">
        <f ca="1">IFERROR(__xludf.DUMMYFUNCTION("""COMPUTED_VALUE"""),-0.697511070336331)</f>
        <v>-0.69751107033633097</v>
      </c>
      <c r="P70" s="3">
        <f ca="1">IFERROR(__xludf.DUMMYFUNCTION("""COMPUTED_VALUE"""),-0.659332150219093)</f>
        <v>-0.65933215021909297</v>
      </c>
      <c r="Q70" s="3">
        <f ca="1">IFERROR(__xludf.DUMMYFUNCTION("""COMPUTED_VALUE"""),-0.771944283748656)</f>
        <v>-0.77194428374865598</v>
      </c>
      <c r="R70" s="3">
        <f ca="1">IFERROR(__xludf.DUMMYFUNCTION("""COMPUTED_VALUE"""),-0.791186246367499)</f>
        <v>-0.79118624636749901</v>
      </c>
      <c r="S70" s="3">
        <f ca="1">IFERROR(__xludf.DUMMYFUNCTION("""COMPUTED_VALUE"""),-0.775412621312237)</f>
        <v>-0.77541262131223698</v>
      </c>
      <c r="T70" s="3">
        <f ca="1">IFERROR(__xludf.DUMMYFUNCTION("""COMPUTED_VALUE"""),-0.755852041123183)</f>
        <v>-0.75585204112318305</v>
      </c>
      <c r="U70" s="3">
        <f ca="1">IFERROR(__xludf.DUMMYFUNCTION("""COMPUTED_VALUE"""),-0.752271723535379)</f>
        <v>-0.75227172353537897</v>
      </c>
      <c r="V70" s="3">
        <f ca="1">IFERROR(__xludf.DUMMYFUNCTION("""COMPUTED_VALUE"""),-0.627889009988643)</f>
        <v>-0.62788900998864305</v>
      </c>
      <c r="W70" s="3">
        <f ca="1">IFERROR(__xludf.DUMMYFUNCTION("""COMPUTED_VALUE"""),-0.651914710117355)</f>
        <v>-0.65191471011735502</v>
      </c>
      <c r="X70" s="3">
        <f ca="1">IFERROR(__xludf.DUMMYFUNCTION("""COMPUTED_VALUE"""),-0.708755191898123)</f>
        <v>-0.70875519189812297</v>
      </c>
      <c r="Y70" s="3">
        <f ca="1">IFERROR(__xludf.DUMMYFUNCTION("""COMPUTED_VALUE"""),-0.772532345086624)</f>
        <v>-0.77253234508662405</v>
      </c>
      <c r="Z70" s="3">
        <f ca="1">IFERROR(__xludf.DUMMYFUNCTION("""COMPUTED_VALUE"""),-0.721624255529798)</f>
        <v>-0.72162425552979803</v>
      </c>
      <c r="AA70" s="3">
        <f ca="1">IFERROR(__xludf.DUMMYFUNCTION("""COMPUTED_VALUE"""),-0.762720221176579)</f>
        <v>-0.76272022117657901</v>
      </c>
      <c r="AB70" s="3">
        <f ca="1">IFERROR(__xludf.DUMMYFUNCTION("""COMPUTED_VALUE"""),-0.747563945279378)</f>
        <v>-0.74756394527937797</v>
      </c>
      <c r="AC70" s="3">
        <f ca="1">IFERROR(__xludf.DUMMYFUNCTION("""COMPUTED_VALUE"""),-0.585511081261321)</f>
        <v>-0.58551108126132101</v>
      </c>
      <c r="AD70" s="3">
        <f ca="1">IFERROR(__xludf.DUMMYFUNCTION("""COMPUTED_VALUE"""),-0.617967409757664)</f>
        <v>-0.61796740975766395</v>
      </c>
      <c r="AE70" s="3">
        <f ca="1">IFERROR(__xludf.DUMMYFUNCTION("""COMPUTED_VALUE"""),-0.723306175847028)</f>
        <v>-0.72330617584702805</v>
      </c>
      <c r="AF70" s="3">
        <f ca="1">IFERROR(__xludf.DUMMYFUNCTION("""COMPUTED_VALUE"""),-0.724014373762063)</f>
        <v>-0.72401437376206301</v>
      </c>
      <c r="AG70" s="3">
        <f ca="1">IFERROR(__xludf.DUMMYFUNCTION("""COMPUTED_VALUE"""),-0.728718369877704)</f>
        <v>-0.728718369877704</v>
      </c>
      <c r="AH70" s="3">
        <f ca="1">IFERROR(__xludf.DUMMYFUNCTION("""COMPUTED_VALUE"""),-0.776700707473264)</f>
        <v>-0.77670070747326403</v>
      </c>
      <c r="AI70" s="3">
        <f ca="1">IFERROR(__xludf.DUMMYFUNCTION("""COMPUTED_VALUE"""),-0.696656780775819)</f>
        <v>-0.69665678077581905</v>
      </c>
      <c r="AJ70" s="3">
        <f ca="1">IFERROR(__xludf.DUMMYFUNCTION("""COMPUTED_VALUE"""),-0.629021444466551)</f>
        <v>-0.62902144446655095</v>
      </c>
      <c r="AK70" s="3">
        <f ca="1">IFERROR(__xludf.DUMMYFUNCTION("""COMPUTED_VALUE"""),-0.633603014830012)</f>
        <v>-0.63360301483001202</v>
      </c>
      <c r="AL70" s="3">
        <f ca="1">IFERROR(__xludf.DUMMYFUNCTION("""COMPUTED_VALUE"""),-0.752569613618922)</f>
        <v>-0.75256961361892205</v>
      </c>
      <c r="AM70" s="3">
        <f ca="1">IFERROR(__xludf.DUMMYFUNCTION("""COMPUTED_VALUE"""),-0.73372996446496)</f>
        <v>-0.73372996446495997</v>
      </c>
      <c r="AN70" s="3">
        <f ca="1">IFERROR(__xludf.DUMMYFUNCTION("""COMPUTED_VALUE"""),-0.741481703267646)</f>
        <v>-0.74148170326764595</v>
      </c>
      <c r="AO70" s="3">
        <f ca="1">IFERROR(__xludf.DUMMYFUNCTION("""COMPUTED_VALUE"""),-0.745019417214422)</f>
        <v>-0.745019417214422</v>
      </c>
      <c r="AP70" s="3">
        <f ca="1">IFERROR(__xludf.DUMMYFUNCTION("""COMPUTED_VALUE"""),-0.730417279284726)</f>
        <v>-0.730417279284726</v>
      </c>
      <c r="AQ70" s="3">
        <f ca="1">IFERROR(__xludf.DUMMYFUNCTION("""COMPUTED_VALUE"""),-0.625029422186166)</f>
        <v>-0.62502942218616597</v>
      </c>
      <c r="AR70" s="3">
        <f ca="1">IFERROR(__xludf.DUMMYFUNCTION("""COMPUTED_VALUE"""),-0.64693958565054)</f>
        <v>-0.64693958565053999</v>
      </c>
      <c r="AS70" s="3">
        <f ca="1">IFERROR(__xludf.DUMMYFUNCTION("""COMPUTED_VALUE"""),-0.65121992892728)</f>
        <v>-0.65121992892727998</v>
      </c>
      <c r="AT70" s="3">
        <f ca="1">IFERROR(__xludf.DUMMYFUNCTION("""COMPUTED_VALUE"""),-0.692742939717244)</f>
        <v>-0.69274293971724399</v>
      </c>
      <c r="AU70" s="3">
        <f ca="1">IFERROR(__xludf.DUMMYFUNCTION("""COMPUTED_VALUE"""),-0.707576241812806)</f>
        <v>-0.70757624181280598</v>
      </c>
      <c r="AV70" s="3">
        <f ca="1">IFERROR(__xludf.DUMMYFUNCTION("""COMPUTED_VALUE"""),-0.711858492685824)</f>
        <v>-0.71185849268582402</v>
      </c>
      <c r="AW70" s="3">
        <f ca="1">IFERROR(__xludf.DUMMYFUNCTION("""COMPUTED_VALUE"""),-0.65580377958409)</f>
        <v>-0.65580377958408997</v>
      </c>
      <c r="AX70" s="3">
        <f ca="1">IFERROR(__xludf.DUMMYFUNCTION("""COMPUTED_VALUE"""),-0.621113549052979)</f>
        <v>-0.621113549052979</v>
      </c>
      <c r="AY70" s="3">
        <f ca="1">IFERROR(__xludf.DUMMYFUNCTION("""COMPUTED_VALUE"""),-0.616123046089279)</f>
        <v>-0.61612304608927904</v>
      </c>
      <c r="AZ70" s="3">
        <f ca="1">IFERROR(__xludf.DUMMYFUNCTION("""COMPUTED_VALUE"""),-0.723136999503333)</f>
        <v>-0.72313699950333299</v>
      </c>
      <c r="BA70" s="3">
        <f ca="1">IFERROR(__xludf.DUMMYFUNCTION("""COMPUTED_VALUE"""),-0.765451851686296)</f>
        <v>-0.76545185168629604</v>
      </c>
      <c r="BB70" s="3">
        <f ca="1">IFERROR(__xludf.DUMMYFUNCTION("""COMPUTED_VALUE"""),-0.765496862438098)</f>
        <v>-0.765496862438098</v>
      </c>
      <c r="BC70" s="3">
        <f ca="1">IFERROR(__xludf.DUMMYFUNCTION("""COMPUTED_VALUE"""),-0.769282584086544)</f>
        <v>-0.76928258408654404</v>
      </c>
      <c r="BD70" s="3">
        <f ca="1">IFERROR(__xludf.DUMMYFUNCTION("""COMPUTED_VALUE"""),-0.818412855015212)</f>
        <v>-0.81841285501521199</v>
      </c>
      <c r="BE70" s="3">
        <f ca="1">IFERROR(__xludf.DUMMYFUNCTION("""COMPUTED_VALUE"""),-0.622935158858448)</f>
        <v>-0.62293515885844797</v>
      </c>
      <c r="BF70" s="3">
        <f ca="1">IFERROR(__xludf.DUMMYFUNCTION("""COMPUTED_VALUE"""),-0.64233699194058)</f>
        <v>-0.64233699194058003</v>
      </c>
      <c r="BG70" s="3">
        <f ca="1">IFERROR(__xludf.DUMMYFUNCTION("""COMPUTED_VALUE"""),-0.717413505603324)</f>
        <v>-0.71741350560332395</v>
      </c>
      <c r="BH70" s="3">
        <f ca="1">IFERROR(__xludf.DUMMYFUNCTION("""COMPUTED_VALUE"""),-0.763767102733389)</f>
        <v>-0.76376710273338899</v>
      </c>
      <c r="BI70" s="3">
        <f ca="1">IFERROR(__xludf.DUMMYFUNCTION("""COMPUTED_VALUE"""),-0.749235861961858)</f>
        <v>-0.74923586196185799</v>
      </c>
      <c r="BJ70" s="3">
        <f ca="1">IFERROR(__xludf.DUMMYFUNCTION("""COMPUTED_VALUE"""),-0.779355308976469)</f>
        <v>-0.77935530897646899</v>
      </c>
      <c r="BK70" s="3">
        <f ca="1">IFERROR(__xludf.DUMMYFUNCTION("""COMPUTED_VALUE"""),-0.75657617161505)</f>
        <v>-0.75657617161504997</v>
      </c>
      <c r="BL70" s="3">
        <f ca="1">IFERROR(__xludf.DUMMYFUNCTION("""COMPUTED_VALUE"""),-0.693760261195368)</f>
        <v>-0.69376026119536804</v>
      </c>
      <c r="BM70" s="3">
        <f ca="1">IFERROR(__xludf.DUMMYFUNCTION("""COMPUTED_VALUE"""),-0.692599634404264)</f>
        <v>-0.69259963440426398</v>
      </c>
      <c r="BN70" s="3">
        <f ca="1">IFERROR(__xludf.DUMMYFUNCTION("""COMPUTED_VALUE"""),-0.749279725087153)</f>
        <v>-0.74927972508715301</v>
      </c>
      <c r="BO70" s="3">
        <f ca="1">IFERROR(__xludf.DUMMYFUNCTION("""COMPUTED_VALUE"""),-0.786847640194689)</f>
        <v>-0.786847640194689</v>
      </c>
      <c r="BP70" s="3">
        <f ca="1">IFERROR(__xludf.DUMMYFUNCTION("""COMPUTED_VALUE"""),-0.723629024853284)</f>
        <v>-0.72362902485328395</v>
      </c>
      <c r="BQ70" s="3">
        <f ca="1">IFERROR(__xludf.DUMMYFUNCTION("""COMPUTED_VALUE"""),-0.756783376302624)</f>
        <v>-0.75678337630262404</v>
      </c>
      <c r="BR70" s="3">
        <f ca="1">IFERROR(__xludf.DUMMYFUNCTION("""COMPUTED_VALUE"""),-0.724626468575343)</f>
        <v>-0.72462646857534296</v>
      </c>
      <c r="BS70" s="3">
        <f ca="1">IFERROR(__xludf.DUMMYFUNCTION("""COMPUTED_VALUE"""),-0.645586215022354)</f>
        <v>-0.64558621502235403</v>
      </c>
      <c r="BT70" s="3">
        <f ca="1">IFERROR(__xludf.DUMMYFUNCTION("""COMPUTED_VALUE"""),-0.724542444425962)</f>
        <v>-0.72454244442596205</v>
      </c>
      <c r="BU70" s="3">
        <f ca="1">IFERROR(__xludf.DUMMYFUNCTION("""COMPUTED_VALUE"""),-0.761130424793417)</f>
        <v>-0.76113042479341697</v>
      </c>
      <c r="BV70" s="3">
        <f ca="1">IFERROR(__xludf.DUMMYFUNCTION("""COMPUTED_VALUE"""),-0.742117741931139)</f>
        <v>-0.742117741931139</v>
      </c>
      <c r="BW70" s="3">
        <f ca="1">IFERROR(__xludf.DUMMYFUNCTION("""COMPUTED_VALUE"""),-0.748772435025949)</f>
        <v>-0.74877243502594903</v>
      </c>
      <c r="BX70" s="3">
        <f ca="1">IFERROR(__xludf.DUMMYFUNCTION("""COMPUTED_VALUE"""),-0.778168684879327)</f>
        <v>-0.778168684879327</v>
      </c>
      <c r="BY70" s="3">
        <f ca="1">IFERROR(__xludf.DUMMYFUNCTION("""COMPUTED_VALUE"""),-0.755830169683678)</f>
        <v>-0.755830169683678</v>
      </c>
      <c r="BZ70" s="3">
        <f ca="1">IFERROR(__xludf.DUMMYFUNCTION("""COMPUTED_VALUE"""),-0.662435969763794)</f>
        <v>-0.66243596976379404</v>
      </c>
      <c r="CA70" s="3">
        <f ca="1">IFERROR(__xludf.DUMMYFUNCTION("""COMPUTED_VALUE"""),-0.633269610670107)</f>
        <v>-0.63326961067010701</v>
      </c>
      <c r="CB70" s="3">
        <f ca="1">IFERROR(__xludf.DUMMYFUNCTION("""COMPUTED_VALUE"""),-0.727432815990676)</f>
        <v>-0.727432815990676</v>
      </c>
      <c r="CC70" s="3">
        <f ca="1">IFERROR(__xludf.DUMMYFUNCTION("""COMPUTED_VALUE"""),-0.775343786132902)</f>
        <v>-0.775343786132902</v>
      </c>
      <c r="CD70" s="3">
        <f ca="1">IFERROR(__xludf.DUMMYFUNCTION("""COMPUTED_VALUE"""),-0.754823055833384)</f>
        <v>-0.75482305583338405</v>
      </c>
      <c r="CE70" s="3">
        <f ca="1">IFERROR(__xludf.DUMMYFUNCTION("""COMPUTED_VALUE"""),-0.753419409055904)</f>
        <v>-0.75341940905590399</v>
      </c>
      <c r="CF70" s="3">
        <f ca="1">IFERROR(__xludf.DUMMYFUNCTION("""COMPUTED_VALUE"""),-0.774347005499992)</f>
        <v>-0.77434700549999202</v>
      </c>
      <c r="CG70" s="3">
        <f ca="1">IFERROR(__xludf.DUMMYFUNCTION("""COMPUTED_VALUE"""),-0.602885611825281)</f>
        <v>-0.602885611825281</v>
      </c>
      <c r="CH70" s="3">
        <f ca="1">IFERROR(__xludf.DUMMYFUNCTION("""COMPUTED_VALUE"""),-0.62656054469763)</f>
        <v>-0.62656054469763001</v>
      </c>
      <c r="CI70" s="3">
        <f ca="1">IFERROR(__xludf.DUMMYFUNCTION("""COMPUTED_VALUE"""),-0.708402970613657)</f>
        <v>-0.70840297061365698</v>
      </c>
      <c r="CJ70" s="3">
        <f ca="1">IFERROR(__xludf.DUMMYFUNCTION("""COMPUTED_VALUE"""),-0.756180363921853)</f>
        <v>-0.75618036392185295</v>
      </c>
      <c r="CK70" s="3">
        <f ca="1">IFERROR(__xludf.DUMMYFUNCTION("""COMPUTED_VALUE"""),-0.7357140511198)</f>
        <v>-0.73571405111980004</v>
      </c>
      <c r="CL70" s="3">
        <f ca="1">IFERROR(__xludf.DUMMYFUNCTION("""COMPUTED_VALUE"""),-0.764946855582519)</f>
        <v>-0.76494685558251896</v>
      </c>
      <c r="CM70" s="3">
        <f ca="1">IFERROR(__xludf.DUMMYFUNCTION("""COMPUTED_VALUE"""),-0.737021322051848)</f>
        <v>-0.737021322051848</v>
      </c>
      <c r="CN70" s="3">
        <f ca="1">IFERROR(__xludf.DUMMYFUNCTION("""COMPUTED_VALUE"""),-0.579248144608356)</f>
        <v>-0.57924814460835605</v>
      </c>
      <c r="CO70" s="3">
        <f ca="1">IFERROR(__xludf.DUMMYFUNCTION("""COMPUTED_VALUE"""),-0.612855927181767)</f>
        <v>-0.61285592718176696</v>
      </c>
      <c r="CP70" s="3">
        <f ca="1">IFERROR(__xludf.DUMMYFUNCTION("""COMPUTED_VALUE"""),-0.71967739930226)</f>
        <v>-0.71967739930226005</v>
      </c>
      <c r="CQ70" s="3">
        <f ca="1">IFERROR(__xludf.DUMMYFUNCTION("""COMPUTED_VALUE"""),-0.718239055695672)</f>
        <v>-0.71823905569567204</v>
      </c>
      <c r="CR70" s="3">
        <f ca="1">IFERROR(__xludf.DUMMYFUNCTION("""COMPUTED_VALUE"""),-0.701430461373585)</f>
        <v>-0.701430461373585</v>
      </c>
      <c r="CS70" s="3">
        <f ca="1">IFERROR(__xludf.DUMMYFUNCTION("""COMPUTED_VALUE"""),-0.752311677162329)</f>
        <v>-0.75231167716232905</v>
      </c>
      <c r="CT70" s="3">
        <f ca="1">IFERROR(__xludf.DUMMYFUNCTION("""COMPUTED_VALUE"""),-0.732349707085983)</f>
        <v>-0.73234970708598301</v>
      </c>
      <c r="CU70" s="3">
        <f ca="1">IFERROR(__xludf.DUMMYFUNCTION("""COMPUTED_VALUE"""),-0.609463722775654)</f>
        <v>-0.60946372277565397</v>
      </c>
      <c r="CV70" s="3">
        <f ca="1">IFERROR(__xludf.DUMMYFUNCTION("""COMPUTED_VALUE"""),-0.630330823269515)</f>
        <v>-0.63033082326951495</v>
      </c>
      <c r="CW70" s="3">
        <f ca="1">IFERROR(__xludf.DUMMYFUNCTION("""COMPUTED_VALUE"""),-0.933067666843157)</f>
        <v>-0.93306766684315701</v>
      </c>
      <c r="CX70" s="3">
        <f ca="1">IFERROR(__xludf.DUMMYFUNCTION("""COMPUTED_VALUE"""),-0.664067239233985)</f>
        <v>-0.66406723923398503</v>
      </c>
      <c r="CY70" s="3">
        <f ca="1">IFERROR(__xludf.DUMMYFUNCTION("""COMPUTED_VALUE"""),-0.504253845173086)</f>
        <v>-0.50425384517308602</v>
      </c>
      <c r="CZ70" s="3">
        <f ca="1">IFERROR(__xludf.DUMMYFUNCTION("""COMPUTED_VALUE"""),-0.723906978729421)</f>
        <v>-0.723906978729421</v>
      </c>
      <c r="DA70" s="3">
        <f ca="1">IFERROR(__xludf.DUMMYFUNCTION("""COMPUTED_VALUE"""),-0.725482758036642)</f>
        <v>-0.72548275803664197</v>
      </c>
      <c r="DB70" s="3">
        <f ca="1">IFERROR(__xludf.DUMMYFUNCTION("""COMPUTED_VALUE"""),-0.688924381987639)</f>
        <v>-0.68892438198763895</v>
      </c>
      <c r="DC70" s="3">
        <f ca="1">IFERROR(__xludf.DUMMYFUNCTION("""COMPUTED_VALUE"""),-0.617442386115435)</f>
        <v>-0.617442386115435</v>
      </c>
      <c r="DD70" s="3">
        <f ca="1">IFERROR(__xludf.DUMMYFUNCTION("""COMPUTED_VALUE"""),-0.961587864597484)</f>
        <v>-0.96158786459748402</v>
      </c>
      <c r="DE70" s="3">
        <f ca="1">IFERROR(__xludf.DUMMYFUNCTION("""COMPUTED_VALUE"""),-0.657674662023876)</f>
        <v>-0.65767466202387603</v>
      </c>
      <c r="DF70" s="3">
        <f ca="1">IFERROR(__xludf.DUMMYFUNCTION("""COMPUTED_VALUE"""),-0.375631853325882)</f>
        <v>-0.375631853325882</v>
      </c>
      <c r="DG70" s="3">
        <f ca="1">IFERROR(__xludf.DUMMYFUNCTION("""COMPUTED_VALUE"""),-0.687212026517951)</f>
        <v>-0.68721202651795099</v>
      </c>
      <c r="DH70" s="3">
        <f ca="1">IFERROR(__xludf.DUMMYFUNCTION("""COMPUTED_VALUE"""),-0.689368776577841)</f>
        <v>-0.68936877657784101</v>
      </c>
      <c r="DI70" s="3">
        <f ca="1">IFERROR(__xludf.DUMMYFUNCTION("""COMPUTED_VALUE"""),-0.650324036864269)</f>
        <v>-0.65032403686426898</v>
      </c>
      <c r="DJ70" s="3">
        <f ca="1">IFERROR(__xludf.DUMMYFUNCTION("""COMPUTED_VALUE"""),-0.633008782113777)</f>
        <v>-0.63300878211377698</v>
      </c>
      <c r="DK70" s="3">
        <f ca="1">IFERROR(__xludf.DUMMYFUNCTION("""COMPUTED_VALUE"""),-0.715211078401832)</f>
        <v>-0.71521107840183196</v>
      </c>
      <c r="DL70" s="3">
        <f ca="1">IFERROR(__xludf.DUMMYFUNCTION("""COMPUTED_VALUE"""),-0.727765728087017)</f>
        <v>-0.72776572808701701</v>
      </c>
      <c r="DM70" s="3">
        <f ca="1">IFERROR(__xludf.DUMMYFUNCTION("""COMPUTED_VALUE"""),-0.680624102612229)</f>
        <v>-0.68062410261222905</v>
      </c>
      <c r="DN70" s="3">
        <f ca="1">IFERROR(__xludf.DUMMYFUNCTION("""COMPUTED_VALUE"""),-0.751148626534463)</f>
        <v>-0.75114862653446302</v>
      </c>
      <c r="DO70" s="3">
        <f ca="1">IFERROR(__xludf.DUMMYFUNCTION("""COMPUTED_VALUE"""),-0.763544469735838)</f>
        <v>-0.76354446973583801</v>
      </c>
      <c r="DP70" s="3">
        <f ca="1">IFERROR(__xludf.DUMMYFUNCTION("""COMPUTED_VALUE"""),-0.651636823245439)</f>
        <v>-0.65163682324543903</v>
      </c>
      <c r="DQ70" s="3">
        <f ca="1">IFERROR(__xludf.DUMMYFUNCTION("""COMPUTED_VALUE"""),-0.706048349013877)</f>
        <v>-0.70604834901387703</v>
      </c>
      <c r="DR70" s="3">
        <f ca="1">IFERROR(__xludf.DUMMYFUNCTION("""COMPUTED_VALUE"""),-0.697603837034004)</f>
        <v>-0.69760383703400397</v>
      </c>
      <c r="DS70" s="3">
        <f ca="1">IFERROR(__xludf.DUMMYFUNCTION("""COMPUTED_VALUE"""),-0.72883055285474)</f>
        <v>-0.72883055285473997</v>
      </c>
      <c r="DT70" s="3">
        <f ca="1">IFERROR(__xludf.DUMMYFUNCTION("""COMPUTED_VALUE"""),-0.738614641382207)</f>
        <v>-0.738614641382207</v>
      </c>
      <c r="DU70" s="3">
        <f ca="1">IFERROR(__xludf.DUMMYFUNCTION("""COMPUTED_VALUE"""),-0.737282601665287)</f>
        <v>-0.73728260166528703</v>
      </c>
      <c r="DV70" s="3">
        <f ca="1">IFERROR(__xludf.DUMMYFUNCTION("""COMPUTED_VALUE"""),-0.726383117569809)</f>
        <v>-0.726383117569809</v>
      </c>
      <c r="DW70" s="3">
        <f ca="1">IFERROR(__xludf.DUMMYFUNCTION("""COMPUTED_VALUE"""),-0.657422412157196)</f>
        <v>-0.65742241215719599</v>
      </c>
      <c r="DX70" s="3">
        <f ca="1">IFERROR(__xludf.DUMMYFUNCTION("""COMPUTED_VALUE"""),-0.681807340822093)</f>
        <v>-0.68180734082209304</v>
      </c>
      <c r="DY70" s="3">
        <f ca="1">IFERROR(__xludf.DUMMYFUNCTION("""COMPUTED_VALUE"""),-0.740855882088185)</f>
        <v>-0.74085588208818498</v>
      </c>
      <c r="DZ70" s="3">
        <f ca="1">IFERROR(__xludf.DUMMYFUNCTION("""COMPUTED_VALUE"""),-0.743583220298022)</f>
        <v>-0.74358322029802204</v>
      </c>
      <c r="EA70" s="3">
        <f ca="1">IFERROR(__xludf.DUMMYFUNCTION("""COMPUTED_VALUE"""),-0.732370704920014)</f>
        <v>-0.73237070492001399</v>
      </c>
      <c r="EB70" s="3">
        <f ca="1">IFERROR(__xludf.DUMMYFUNCTION("""COMPUTED_VALUE"""),-0.767066579181277)</f>
        <v>-0.76706657918127696</v>
      </c>
      <c r="EC70" s="3">
        <f ca="1">IFERROR(__xludf.DUMMYFUNCTION("""COMPUTED_VALUE"""),-0.728289573836847)</f>
        <v>-0.728289573836847</v>
      </c>
      <c r="ED70" s="3">
        <f ca="1">IFERROR(__xludf.DUMMYFUNCTION("""COMPUTED_VALUE"""),-0.663376311530557)</f>
        <v>-0.66337631153055698</v>
      </c>
      <c r="EE70" s="3">
        <f ca="1">IFERROR(__xludf.DUMMYFUNCTION("""COMPUTED_VALUE"""),-0.649927290876381)</f>
        <v>-0.64992729087638101</v>
      </c>
      <c r="EF70" s="3">
        <f ca="1">IFERROR(__xludf.DUMMYFUNCTION("""COMPUTED_VALUE"""),-0.700251205910074)</f>
        <v>-0.70025120591007395</v>
      </c>
      <c r="EG70" s="3">
        <f ca="1">IFERROR(__xludf.DUMMYFUNCTION("""COMPUTED_VALUE"""),-0.742434197484114)</f>
        <v>-0.74243419748411399</v>
      </c>
      <c r="EH70" s="3">
        <f ca="1">IFERROR(__xludf.DUMMYFUNCTION("""COMPUTED_VALUE"""),-0.750606148359341)</f>
        <v>-0.75060614835934103</v>
      </c>
      <c r="EI70" s="3">
        <f ca="1">IFERROR(__xludf.DUMMYFUNCTION("""COMPUTED_VALUE"""),-0.779896225827291)</f>
        <v>-0.77989622582729101</v>
      </c>
      <c r="EJ70" s="3">
        <f ca="1">IFERROR(__xludf.DUMMYFUNCTION("""COMPUTED_VALUE"""),-0.755160493387402)</f>
        <v>-0.75516049338740199</v>
      </c>
      <c r="EK70" s="3">
        <f ca="1">IFERROR(__xludf.DUMMYFUNCTION("""COMPUTED_VALUE"""),-0.687575002564926)</f>
        <v>-0.68757500256492599</v>
      </c>
      <c r="EL70" s="3">
        <f ca="1">IFERROR(__xludf.DUMMYFUNCTION("""COMPUTED_VALUE"""),-0.733116377169182)</f>
        <v>-0.73311637716918199</v>
      </c>
      <c r="EM70" s="3">
        <f ca="1">IFERROR(__xludf.DUMMYFUNCTION("""COMPUTED_VALUE"""),-0.746424500231772)</f>
        <v>-0.74642450023177198</v>
      </c>
      <c r="EN70" s="3">
        <f ca="1">IFERROR(__xludf.DUMMYFUNCTION("""COMPUTED_VALUE"""),-0.748684664447094)</f>
        <v>-0.74868466444709403</v>
      </c>
      <c r="EO70" s="3">
        <f ca="1">IFERROR(__xludf.DUMMYFUNCTION("""COMPUTED_VALUE"""),-0.696857469914048)</f>
        <v>-0.69685746991404796</v>
      </c>
      <c r="EP70" s="3">
        <f ca="1">IFERROR(__xludf.DUMMYFUNCTION("""COMPUTED_VALUE"""),-0.748986699266836)</f>
        <v>-0.74898669926683603</v>
      </c>
      <c r="EQ70" s="3">
        <f ca="1">IFERROR(__xludf.DUMMYFUNCTION("""COMPUTED_VALUE"""),-0.641822988345875)</f>
        <v>-0.64182298834587503</v>
      </c>
      <c r="ER70" s="3">
        <f ca="1">IFERROR(__xludf.DUMMYFUNCTION("""COMPUTED_VALUE"""),-0.67659487524017)</f>
        <v>-0.67659487524017004</v>
      </c>
      <c r="ES70" s="3">
        <f ca="1">IFERROR(__xludf.DUMMYFUNCTION("""COMPUTED_VALUE"""),-0.657069554706456)</f>
        <v>-0.657069554706456</v>
      </c>
      <c r="ET70" s="3">
        <f ca="1">IFERROR(__xludf.DUMMYFUNCTION("""COMPUTED_VALUE"""),-0.657764470844911)</f>
        <v>-0.65776447084491096</v>
      </c>
      <c r="EU70" s="3">
        <f ca="1">IFERROR(__xludf.DUMMYFUNCTION("""COMPUTED_VALUE"""),-0.660480215104992)</f>
        <v>-0.660480215104992</v>
      </c>
      <c r="EV70" s="3">
        <f ca="1">IFERROR(__xludf.DUMMYFUNCTION("""COMPUTED_VALUE"""),-0.838408468744872)</f>
        <v>-0.83840846874487196</v>
      </c>
      <c r="EW70" s="3">
        <f ca="1">IFERROR(__xludf.DUMMYFUNCTION("""COMPUTED_VALUE"""),-0.738268231461792)</f>
        <v>-0.73826823146179199</v>
      </c>
      <c r="EX70" s="3">
        <f ca="1">IFERROR(__xludf.DUMMYFUNCTION("""COMPUTED_VALUE"""),-0.62503961712589)</f>
        <v>-0.62503961712588996</v>
      </c>
      <c r="EY70" s="3">
        <f ca="1">IFERROR(__xludf.DUMMYFUNCTION("""COMPUTED_VALUE"""),-0.706592289852357)</f>
        <v>-0.706592289852357</v>
      </c>
      <c r="EZ70" s="3">
        <f ca="1">IFERROR(__xludf.DUMMYFUNCTION("""COMPUTED_VALUE"""),-0.714168836854074)</f>
        <v>-0.71416883685407395</v>
      </c>
      <c r="FA70" s="3">
        <f ca="1">IFERROR(__xludf.DUMMYFUNCTION("""COMPUTED_VALUE"""),-0.685733413657563)</f>
        <v>-0.68573341365756302</v>
      </c>
      <c r="FB70" s="3">
        <f ca="1">IFERROR(__xludf.DUMMYFUNCTION("""COMPUTED_VALUE"""),-0.699230426234506)</f>
        <v>-0.69923042623450604</v>
      </c>
      <c r="FC70" s="3">
        <f ca="1">IFERROR(__xludf.DUMMYFUNCTION("""COMPUTED_VALUE"""),-0.712543889463604)</f>
        <v>-0.71254388946360403</v>
      </c>
      <c r="FD70" s="3">
        <f ca="1">IFERROR(__xludf.DUMMYFUNCTION("""COMPUTED_VALUE"""),-0.782041645410455)</f>
        <v>-0.78204164541045496</v>
      </c>
      <c r="FE70" s="3">
        <f ca="1">IFERROR(__xludf.DUMMYFUNCTION("""COMPUTED_VALUE"""),-0.662599843038443)</f>
        <v>-0.66259984303844299</v>
      </c>
      <c r="FF70" s="3">
        <f ca="1">IFERROR(__xludf.DUMMYFUNCTION("""COMPUTED_VALUE"""),-0.702043155402059)</f>
        <v>-0.70204315540205897</v>
      </c>
      <c r="FG70" s="3">
        <f ca="1">IFERROR(__xludf.DUMMYFUNCTION("""COMPUTED_VALUE"""),-0.703492186978194)</f>
        <v>-0.70349218697819405</v>
      </c>
      <c r="FH70" s="3">
        <f ca="1">IFERROR(__xludf.DUMMYFUNCTION("""COMPUTED_VALUE"""),-0.689397425199179)</f>
        <v>-0.68939742519917901</v>
      </c>
      <c r="FI70" s="3">
        <f ca="1">IFERROR(__xludf.DUMMYFUNCTION("""COMPUTED_VALUE"""),-0.726259532026933)</f>
        <v>-0.72625953202693305</v>
      </c>
      <c r="FJ70" s="3">
        <f ca="1">IFERROR(__xludf.DUMMYFUNCTION("""COMPUTED_VALUE"""),-0.696298478120051)</f>
        <v>-0.69629847812005097</v>
      </c>
      <c r="FK70" s="3">
        <f ca="1">IFERROR(__xludf.DUMMYFUNCTION("""COMPUTED_VALUE"""),-0.745979604929253)</f>
        <v>-0.74597960492925297</v>
      </c>
      <c r="FL70" s="3">
        <f ca="1">IFERROR(__xludf.DUMMYFUNCTION("""COMPUTED_VALUE"""),-0.781125276668484)</f>
        <v>-0.78112527666848397</v>
      </c>
      <c r="FM70" s="3">
        <f ca="1">IFERROR(__xludf.DUMMYFUNCTION("""COMPUTED_VALUE"""),-0.695710928867346)</f>
        <v>-0.69571092886734598</v>
      </c>
      <c r="FN70" s="3">
        <f ca="1">IFERROR(__xludf.DUMMYFUNCTION("""COMPUTED_VALUE"""),-0.715459231925385)</f>
        <v>-0.71545923192538496</v>
      </c>
      <c r="FO70" s="3">
        <f ca="1">IFERROR(__xludf.DUMMYFUNCTION("""COMPUTED_VALUE"""),-0.710438373401284)</f>
        <v>-0.71043837340128402</v>
      </c>
      <c r="FP70" s="3">
        <f ca="1">IFERROR(__xludf.DUMMYFUNCTION("""COMPUTED_VALUE"""),-0.719361599741098)</f>
        <v>-0.71936159974109803</v>
      </c>
      <c r="FQ70" s="3">
        <f ca="1">IFERROR(__xludf.DUMMYFUNCTION("""COMPUTED_VALUE"""),-0.677147035275643)</f>
        <v>-0.67714703527564302</v>
      </c>
      <c r="FR70" s="3">
        <f ca="1">IFERROR(__xludf.DUMMYFUNCTION("""COMPUTED_VALUE"""),-0.658747983252343)</f>
        <v>-0.65874798325234296</v>
      </c>
      <c r="FS70" s="3">
        <f ca="1">IFERROR(__xludf.DUMMYFUNCTION("""COMPUTED_VALUE"""),-0.656571600753145)</f>
        <v>-0.65657160075314502</v>
      </c>
      <c r="FT70" s="3">
        <f ca="1">IFERROR(__xludf.DUMMYFUNCTION("""COMPUTED_VALUE"""),-0.724708177645364)</f>
        <v>-0.72470817764536399</v>
      </c>
      <c r="FU70" s="3">
        <f ca="1">IFERROR(__xludf.DUMMYFUNCTION("""COMPUTED_VALUE"""),-0.70842399752878)</f>
        <v>-0.70842399752878005</v>
      </c>
      <c r="FV70" s="3">
        <f ca="1">IFERROR(__xludf.DUMMYFUNCTION("""COMPUTED_VALUE"""),-0.686789164913216)</f>
        <v>-0.68678916491321595</v>
      </c>
      <c r="FW70" s="3">
        <f ca="1">IFERROR(__xludf.DUMMYFUNCTION("""COMPUTED_VALUE"""),-0.71881366867239)</f>
        <v>-0.71881366867239005</v>
      </c>
      <c r="FX70" s="3">
        <f ca="1">IFERROR(__xludf.DUMMYFUNCTION("""COMPUTED_VALUE"""),-0.723840048136494)</f>
        <v>-0.72384004813649405</v>
      </c>
      <c r="FY70" s="3">
        <f ca="1">IFERROR(__xludf.DUMMYFUNCTION("""COMPUTED_VALUE"""),-0.727456109087552)</f>
        <v>-0.72745610908755198</v>
      </c>
      <c r="FZ70" s="3">
        <f ca="1">IFERROR(__xludf.DUMMYFUNCTION("""COMPUTED_VALUE"""),-0.830068604295756)</f>
        <v>-0.83006860429575602</v>
      </c>
      <c r="GA70" s="3">
        <f ca="1">IFERROR(__xludf.DUMMYFUNCTION("""COMPUTED_VALUE"""),-0.638189756411503)</f>
        <v>-0.638189756411503</v>
      </c>
      <c r="GB70" s="3">
        <f ca="1">IFERROR(__xludf.DUMMYFUNCTION("""COMPUTED_VALUE"""),-0.734691779032579)</f>
        <v>-0.73469177903257898</v>
      </c>
      <c r="GC70" s="3">
        <f ca="1">IFERROR(__xludf.DUMMYFUNCTION("""COMPUTED_VALUE"""),-0.684916447830856)</f>
        <v>-0.68491644783085603</v>
      </c>
      <c r="GD70" s="3">
        <f ca="1">IFERROR(__xludf.DUMMYFUNCTION("""COMPUTED_VALUE"""),-0.711791717498099)</f>
        <v>-0.711791717498099</v>
      </c>
      <c r="GE70" s="3">
        <f ca="1">IFERROR(__xludf.DUMMYFUNCTION("""COMPUTED_VALUE"""),-0.698401725274268)</f>
        <v>-0.69840172527426803</v>
      </c>
      <c r="GF70" s="3">
        <f ca="1">IFERROR(__xludf.DUMMYFUNCTION("""COMPUTED_VALUE"""),-0.712349243557298)</f>
        <v>-0.71234924355729801</v>
      </c>
      <c r="GG70" s="3">
        <f ca="1">IFERROR(__xludf.DUMMYFUNCTION("""COMPUTED_VALUE"""),-0.615591156492043)</f>
        <v>-0.61559115649204299</v>
      </c>
      <c r="GH70" s="3">
        <f ca="1">IFERROR(__xludf.DUMMYFUNCTION("""COMPUTED_VALUE"""),-0.576409868690555)</f>
        <v>-0.57640986869055499</v>
      </c>
      <c r="GI70" s="3">
        <f ca="1">IFERROR(__xludf.DUMMYFUNCTION("""COMPUTED_VALUE"""),-0.677813442209821)</f>
        <v>-0.67781344220982098</v>
      </c>
      <c r="GJ70" s="3">
        <f ca="1">IFERROR(__xludf.DUMMYFUNCTION("""COMPUTED_VALUE"""),-0.688030529273175)</f>
        <v>-0.68803052927317498</v>
      </c>
      <c r="GK70" s="3">
        <f ca="1">IFERROR(__xludf.DUMMYFUNCTION("""COMPUTED_VALUE"""),-0.723806010349509)</f>
        <v>-0.72380601034950898</v>
      </c>
      <c r="GL70" s="3">
        <f ca="1">IFERROR(__xludf.DUMMYFUNCTION("""COMPUTED_VALUE"""),-0.708431755980973)</f>
        <v>-0.70843175598097297</v>
      </c>
      <c r="GM70" s="3">
        <f ca="1">IFERROR(__xludf.DUMMYFUNCTION("""COMPUTED_VALUE"""),-0.707443569122793)</f>
        <v>-0.70744356912279305</v>
      </c>
      <c r="GN70" s="3">
        <f ca="1">IFERROR(__xludf.DUMMYFUNCTION("""COMPUTED_VALUE"""),-0.707754187214811)</f>
        <v>-0.70775418721481098</v>
      </c>
      <c r="GO70" s="3">
        <f ca="1">IFERROR(__xludf.DUMMYFUNCTION("""COMPUTED_VALUE"""),-0.663034311166243)</f>
        <v>-0.66303431116624301</v>
      </c>
      <c r="GP70" s="3">
        <f ca="1">IFERROR(__xludf.DUMMYFUNCTION("""COMPUTED_VALUE"""),-0.710226971294859)</f>
        <v>-0.71022697129485901</v>
      </c>
      <c r="GQ70" s="3">
        <f ca="1">IFERROR(__xludf.DUMMYFUNCTION("""COMPUTED_VALUE"""),-0.72514265794987)</f>
        <v>-0.72514265794986998</v>
      </c>
      <c r="GR70" s="3">
        <f ca="1">IFERROR(__xludf.DUMMYFUNCTION("""COMPUTED_VALUE"""),-0.711691522003565)</f>
        <v>-0.711691522003565</v>
      </c>
      <c r="GS70" s="3">
        <f ca="1">IFERROR(__xludf.DUMMYFUNCTION("""COMPUTED_VALUE"""),-0.711589530207314)</f>
        <v>-0.71158953020731397</v>
      </c>
      <c r="GT70" s="3">
        <f ca="1">IFERROR(__xludf.DUMMYFUNCTION("""COMPUTED_VALUE"""),-0.723048005772801)</f>
        <v>-0.72304800577280104</v>
      </c>
      <c r="GU70" s="3">
        <f ca="1">IFERROR(__xludf.DUMMYFUNCTION("""COMPUTED_VALUE"""),-0.707090203642387)</f>
        <v>-0.70709020364238695</v>
      </c>
      <c r="GV70" s="3">
        <f ca="1">IFERROR(__xludf.DUMMYFUNCTION("""COMPUTED_VALUE"""),-0.664775538200894)</f>
        <v>-0.66477553820089397</v>
      </c>
      <c r="GW70" s="3">
        <f ca="1">IFERROR(__xludf.DUMMYFUNCTION("""COMPUTED_VALUE"""),-0.675993873720027)</f>
        <v>-0.67599387372002695</v>
      </c>
      <c r="GX70" s="3">
        <f ca="1">IFERROR(__xludf.DUMMYFUNCTION("""COMPUTED_VALUE"""),-0.687022959740085)</f>
        <v>-0.68702295974008498</v>
      </c>
      <c r="GY70" s="3">
        <f ca="1">IFERROR(__xludf.DUMMYFUNCTION("""COMPUTED_VALUE"""),-0.706148858705599)</f>
        <v>-0.70614885870559896</v>
      </c>
      <c r="GZ70" s="3">
        <f ca="1">IFERROR(__xludf.DUMMYFUNCTION("""COMPUTED_VALUE"""),-0.688430846496412)</f>
        <v>-0.68843084649641195</v>
      </c>
      <c r="HA70" s="3">
        <f ca="1">IFERROR(__xludf.DUMMYFUNCTION("""COMPUTED_VALUE"""),-0.723028348617787)</f>
        <v>-0.72302834861778698</v>
      </c>
      <c r="HB70" s="3">
        <f ca="1">IFERROR(__xludf.DUMMYFUNCTION("""COMPUTED_VALUE"""),-0.708993385280732)</f>
        <v>-0.70899338528073197</v>
      </c>
      <c r="HC70" s="3">
        <f ca="1">IFERROR(__xludf.DUMMYFUNCTION("""COMPUTED_VALUE"""),-0.67780625718312)</f>
        <v>-0.67780625718312004</v>
      </c>
      <c r="HD70" s="3">
        <f ca="1">IFERROR(__xludf.DUMMYFUNCTION("""COMPUTED_VALUE"""),-0.666635759960132)</f>
        <v>-0.66663575996013202</v>
      </c>
      <c r="HE70" s="3">
        <f ca="1">IFERROR(__xludf.DUMMYFUNCTION("""COMPUTED_VALUE"""),-0.681666978209929)</f>
        <v>-0.68166697820992905</v>
      </c>
      <c r="HF70" s="3">
        <f ca="1">IFERROR(__xludf.DUMMYFUNCTION("""COMPUTED_VALUE"""),-0.686691627267368)</f>
        <v>-0.68669162726736799</v>
      </c>
      <c r="HG70" s="3">
        <f ca="1">IFERROR(__xludf.DUMMYFUNCTION("""COMPUTED_VALUE"""),-0.693725396389339)</f>
        <v>-0.69372539638933906</v>
      </c>
      <c r="HH70" s="3">
        <f ca="1">IFERROR(__xludf.DUMMYFUNCTION("""COMPUTED_VALUE"""),-0.702598159325902)</f>
        <v>-0.70259815932590197</v>
      </c>
      <c r="HI70" s="3">
        <f ca="1">IFERROR(__xludf.DUMMYFUNCTION("""COMPUTED_VALUE"""),-0.818026561782433)</f>
        <v>-0.81802656178243305</v>
      </c>
      <c r="HJ70" s="3">
        <f ca="1">IFERROR(__xludf.DUMMYFUNCTION("""COMPUTED_VALUE"""),-0.634483391326144)</f>
        <v>-0.63448339132614395</v>
      </c>
      <c r="HK70" s="3">
        <f ca="1">IFERROR(__xludf.DUMMYFUNCTION("""COMPUTED_VALUE"""),-0.612576244590341)</f>
        <v>-0.61257624459034099</v>
      </c>
      <c r="HL70" s="3">
        <f ca="1">IFERROR(__xludf.DUMMYFUNCTION("""COMPUTED_VALUE"""),-0.687856239330161)</f>
        <v>-0.68785623933016105</v>
      </c>
      <c r="HM70" s="3">
        <f ca="1">IFERROR(__xludf.DUMMYFUNCTION("""COMPUTED_VALUE"""),-0.729409797224952)</f>
        <v>-0.72940979722495203</v>
      </c>
      <c r="HN70" s="3">
        <f ca="1">IFERROR(__xludf.DUMMYFUNCTION("""COMPUTED_VALUE"""),-0.762900247619703)</f>
        <v>-0.76290024761970299</v>
      </c>
      <c r="HO70" s="3">
        <f ca="1">IFERROR(__xludf.DUMMYFUNCTION("""COMPUTED_VALUE"""),-0.697330926800254)</f>
        <v>-0.69733092680025399</v>
      </c>
      <c r="HP70" s="3">
        <f ca="1">IFERROR(__xludf.DUMMYFUNCTION("""COMPUTED_VALUE"""),-0.607200121611606)</f>
        <v>-0.60720012161160597</v>
      </c>
      <c r="HQ70" s="3">
        <f ca="1">IFERROR(__xludf.DUMMYFUNCTION("""COMPUTED_VALUE"""),-0.646033853302253)</f>
        <v>-0.64603385330225305</v>
      </c>
      <c r="HR70" s="3">
        <f ca="1">IFERROR(__xludf.DUMMYFUNCTION("""COMPUTED_VALUE"""),-0.549296146083646)</f>
        <v>-0.54929614608364596</v>
      </c>
      <c r="HS70" s="3">
        <f ca="1">IFERROR(__xludf.DUMMYFUNCTION("""COMPUTED_VALUE"""),-0.674375326295025)</f>
        <v>-0.67437532629502495</v>
      </c>
      <c r="HT70" s="3">
        <f ca="1">IFERROR(__xludf.DUMMYFUNCTION("""COMPUTED_VALUE"""),-0.686019422964078)</f>
        <v>-0.68601942296407803</v>
      </c>
      <c r="HU70" s="3">
        <f ca="1">IFERROR(__xludf.DUMMYFUNCTION("""COMPUTED_VALUE"""),-0.706829403598336)</f>
        <v>-0.70682940359833601</v>
      </c>
      <c r="HV70" s="3">
        <f ca="1">IFERROR(__xludf.DUMMYFUNCTION("""COMPUTED_VALUE"""),-0.673557511565913)</f>
        <v>-0.67355751156591304</v>
      </c>
      <c r="HW70" s="3">
        <f ca="1">IFERROR(__xludf.DUMMYFUNCTION("""COMPUTED_VALUE"""),-0.502307206759192)</f>
        <v>-0.50230720675919205</v>
      </c>
      <c r="HX70" s="3">
        <f ca="1">IFERROR(__xludf.DUMMYFUNCTION("""COMPUTED_VALUE"""),-0.550173762767062)</f>
        <v>-0.55017376276706198</v>
      </c>
      <c r="HY70" s="3">
        <f ca="1">IFERROR(__xludf.DUMMYFUNCTION("""COMPUTED_VALUE"""),-0.606930110813778)</f>
        <v>-0.60693011081377801</v>
      </c>
      <c r="HZ70" s="3">
        <f ca="1">IFERROR(__xludf.DUMMYFUNCTION("""COMPUTED_VALUE"""),-0.580540598724474)</f>
        <v>-0.58054059872447406</v>
      </c>
      <c r="IA70" s="3">
        <f ca="1">IFERROR(__xludf.DUMMYFUNCTION("""COMPUTED_VALUE"""),-0.54952049785099)</f>
        <v>-0.54952049785099</v>
      </c>
      <c r="IB70" s="3">
        <f ca="1">IFERROR(__xludf.DUMMYFUNCTION("""COMPUTED_VALUE"""),-0.59270299458893)</f>
        <v>-0.59270299458893005</v>
      </c>
      <c r="IC70" s="3">
        <f ca="1">IFERROR(__xludf.DUMMYFUNCTION("""COMPUTED_VALUE"""),-0.524771113953525)</f>
        <v>-0.52477111395352505</v>
      </c>
      <c r="ID70" s="3">
        <f ca="1">IFERROR(__xludf.DUMMYFUNCTION("""COMPUTED_VALUE"""),-0.454584920809701)</f>
        <v>-0.45458492080970098</v>
      </c>
      <c r="IE70" s="3">
        <f ca="1">IFERROR(__xludf.DUMMYFUNCTION("""COMPUTED_VALUE"""),-0.58486898672829)</f>
        <v>-0.58486898672829002</v>
      </c>
      <c r="IF70" s="3">
        <f ca="1">IFERROR(__xludf.DUMMYFUNCTION("""COMPUTED_VALUE"""),-0.590100260345428)</f>
        <v>-0.59010026034542795</v>
      </c>
      <c r="IG70" s="3">
        <f ca="1">IFERROR(__xludf.DUMMYFUNCTION("""COMPUTED_VALUE"""),-0.597403997215849)</f>
        <v>-0.59740399721584903</v>
      </c>
      <c r="IH70" s="3">
        <f ca="1">IFERROR(__xludf.DUMMYFUNCTION("""COMPUTED_VALUE"""),-0.615926894524125)</f>
        <v>-0.61592689452412497</v>
      </c>
      <c r="II70" s="3">
        <f ca="1">IFERROR(__xludf.DUMMYFUNCTION("""COMPUTED_VALUE"""),-0.580975378153416)</f>
        <v>-0.58097537815341604</v>
      </c>
      <c r="IJ70" s="3">
        <f ca="1">IFERROR(__xludf.DUMMYFUNCTION("""COMPUTED_VALUE"""),-0.521775980781752)</f>
        <v>-0.52177598078175202</v>
      </c>
      <c r="IK70" s="3">
        <f ca="1">IFERROR(__xludf.DUMMYFUNCTION("""COMPUTED_VALUE"""),-0.376776656800744)</f>
        <v>-0.37677665680074401</v>
      </c>
      <c r="IL70" s="3">
        <f ca="1">IFERROR(__xludf.DUMMYFUNCTION("""COMPUTED_VALUE"""),-0.584193740951671)</f>
        <v>-0.58419374095167098</v>
      </c>
      <c r="IM70" s="3">
        <f ca="1">IFERROR(__xludf.DUMMYFUNCTION("""COMPUTED_VALUE"""),-0.589159628080599)</f>
        <v>-0.58915962808059896</v>
      </c>
      <c r="IN70" s="3">
        <f ca="1">IFERROR(__xludf.DUMMYFUNCTION("""COMPUTED_VALUE"""),-0.579657004786572)</f>
        <v>-0.57965700478657201</v>
      </c>
      <c r="IO70" s="3">
        <f ca="1">IFERROR(__xludf.DUMMYFUNCTION("""COMPUTED_VALUE"""),-0.630954666301713)</f>
        <v>-0.63095466630171304</v>
      </c>
      <c r="IP70" s="3">
        <f ca="1">IFERROR(__xludf.DUMMYFUNCTION("""COMPUTED_VALUE"""),-0.521497080957006)</f>
        <v>-0.52149708095700598</v>
      </c>
      <c r="IQ70" s="3">
        <f ca="1">IFERROR(__xludf.DUMMYFUNCTION("""COMPUTED_VALUE"""),-0.530586076917766)</f>
        <v>-0.53058607691776605</v>
      </c>
      <c r="IR70" s="3">
        <f ca="1">IFERROR(__xludf.DUMMYFUNCTION("""COMPUTED_VALUE"""),-0.630183815550901)</f>
        <v>-0.63018381555090097</v>
      </c>
      <c r="IS70" s="3">
        <f ca="1">IFERROR(__xludf.DUMMYFUNCTION("""COMPUTED_VALUE"""),-0.542001859152198)</f>
        <v>-0.54200185915219801</v>
      </c>
      <c r="IT70" s="3">
        <f ca="1">IFERROR(__xludf.DUMMYFUNCTION("""COMPUTED_VALUE"""),-0.600657912274307)</f>
        <v>-0.60065791227430698</v>
      </c>
      <c r="IU70" s="3">
        <f ca="1">IFERROR(__xludf.DUMMYFUNCTION("""COMPUTED_VALUE"""),-0.60736442189835)</f>
        <v>-0.60736442189835005</v>
      </c>
      <c r="IV70" s="3">
        <f ca="1">IFERROR(__xludf.DUMMYFUNCTION("""COMPUTED_VALUE"""),-0.633886523707363)</f>
        <v>-0.63388652370736298</v>
      </c>
      <c r="IW70" s="3">
        <f ca="1">IFERROR(__xludf.DUMMYFUNCTION("""COMPUTED_VALUE"""),-0.623844157964259)</f>
        <v>-0.62384415796425896</v>
      </c>
      <c r="IX70" s="3">
        <f ca="1">IFERROR(__xludf.DUMMYFUNCTION("""COMPUTED_VALUE"""),-0.599801539421322)</f>
        <v>-0.59980153942132197</v>
      </c>
      <c r="IY70" s="3">
        <f ca="1">IFERROR(__xludf.DUMMYFUNCTION("""COMPUTED_VALUE"""),-0.430374186661613)</f>
        <v>-0.43037418666161298</v>
      </c>
      <c r="IZ70" s="3">
        <f ca="1">IFERROR(__xludf.DUMMYFUNCTION("""COMPUTED_VALUE"""),-0.548451036125541)</f>
        <v>-0.54845103612554102</v>
      </c>
      <c r="JA70" s="3">
        <f ca="1">IFERROR(__xludf.DUMMYFUNCTION("""COMPUTED_VALUE"""),-0.526053279072358)</f>
        <v>-0.52605327907235799</v>
      </c>
      <c r="JB70" s="3">
        <f ca="1">IFERROR(__xludf.DUMMYFUNCTION("""COMPUTED_VALUE"""),-0.591416042331271)</f>
        <v>-0.59141604233127099</v>
      </c>
      <c r="JC70" s="3">
        <f ca="1">IFERROR(__xludf.DUMMYFUNCTION("""COMPUTED_VALUE"""),-0.635937027167519)</f>
        <v>-0.63593702716751899</v>
      </c>
      <c r="JD70" s="3">
        <f ca="1">IFERROR(__xludf.DUMMYFUNCTION("""COMPUTED_VALUE"""),-0.585873112687052)</f>
        <v>-0.585873112687052</v>
      </c>
      <c r="JE70" s="3">
        <f ca="1">IFERROR(__xludf.DUMMYFUNCTION("""COMPUTED_VALUE"""),-0.616536446225659)</f>
        <v>-0.61653644622565895</v>
      </c>
      <c r="JF70" s="3">
        <f ca="1">IFERROR(__xludf.DUMMYFUNCTION("""COMPUTED_VALUE"""),-0.567880406392626)</f>
        <v>-0.56788040639262605</v>
      </c>
      <c r="JG70" s="3">
        <f ca="1">IFERROR(__xludf.DUMMYFUNCTION("""COMPUTED_VALUE"""),-0.543240655399726)</f>
        <v>-0.54324065539972599</v>
      </c>
      <c r="JH70" s="3">
        <f ca="1">IFERROR(__xludf.DUMMYFUNCTION("""COMPUTED_VALUE"""),-0.52743251105302)</f>
        <v>-0.52743251105302003</v>
      </c>
      <c r="JI70" s="3">
        <f ca="1">IFERROR(__xludf.DUMMYFUNCTION("""COMPUTED_VALUE"""),-0.638771602831284)</f>
        <v>-0.63877160283128398</v>
      </c>
      <c r="JJ70" s="3">
        <f ca="1">IFERROR(__xludf.DUMMYFUNCTION("""COMPUTED_VALUE"""),-0.640510688829349)</f>
        <v>-0.64051068882934903</v>
      </c>
      <c r="JK70" s="3">
        <f ca="1">IFERROR(__xludf.DUMMYFUNCTION("""COMPUTED_VALUE"""),-0.615880736930697)</f>
        <v>-0.615880736930697</v>
      </c>
      <c r="JL70" s="3">
        <f ca="1">IFERROR(__xludf.DUMMYFUNCTION("""COMPUTED_VALUE"""),-0.642849101904749)</f>
        <v>-0.64284910190474898</v>
      </c>
      <c r="JM70" s="3">
        <f ca="1">IFERROR(__xludf.DUMMYFUNCTION("""COMPUTED_VALUE"""),-0.580733441017018)</f>
        <v>-0.58073344101701796</v>
      </c>
      <c r="JN70" s="3">
        <f ca="1">IFERROR(__xludf.DUMMYFUNCTION("""COMPUTED_VALUE"""),-0.572506674253909)</f>
        <v>-0.572506674253909</v>
      </c>
      <c r="JO70" s="3">
        <f ca="1">IFERROR(__xludf.DUMMYFUNCTION("""COMPUTED_VALUE"""),-0.49215409268812)</f>
        <v>-0.49215409268811999</v>
      </c>
      <c r="JP70" s="3">
        <f ca="1">IFERROR(__xludf.DUMMYFUNCTION("""COMPUTED_VALUE"""),-0.628834745105019)</f>
        <v>-0.62883474510501902</v>
      </c>
      <c r="JQ70" s="3">
        <f ca="1">IFERROR(__xludf.DUMMYFUNCTION("""COMPUTED_VALUE"""),-0.62342391279388)</f>
        <v>-0.62342391279387999</v>
      </c>
      <c r="JR70" s="3">
        <f ca="1">IFERROR(__xludf.DUMMYFUNCTION("""COMPUTED_VALUE"""),-0.623925915651978)</f>
        <v>-0.62392591565197797</v>
      </c>
      <c r="JS70" s="3">
        <f ca="1">IFERROR(__xludf.DUMMYFUNCTION("""COMPUTED_VALUE"""),-0.588005179608635)</f>
        <v>-0.58800517960863496</v>
      </c>
      <c r="JT70" s="3">
        <f ca="1">IFERROR(__xludf.DUMMYFUNCTION("""COMPUTED_VALUE"""),-0.531153295206896)</f>
        <v>-0.53115329520689603</v>
      </c>
      <c r="JU70" s="3">
        <f ca="1">IFERROR(__xludf.DUMMYFUNCTION("""COMPUTED_VALUE"""),-0.611768494561736)</f>
        <v>-0.61176849456173599</v>
      </c>
      <c r="JV70" s="3">
        <f ca="1">IFERROR(__xludf.DUMMYFUNCTION("""COMPUTED_VALUE"""),-0.418274915449723)</f>
        <v>-0.41827491544972301</v>
      </c>
      <c r="JW70" s="3">
        <f ca="1">IFERROR(__xludf.DUMMYFUNCTION("""COMPUTED_VALUE"""),-0.532196134553214)</f>
        <v>-0.53219613455321402</v>
      </c>
      <c r="JX70" s="3">
        <f ca="1">IFERROR(__xludf.DUMMYFUNCTION("""COMPUTED_VALUE"""),-0.5678890773098)</f>
        <v>-0.56788907730979998</v>
      </c>
      <c r="JY70" s="3">
        <f ca="1">IFERROR(__xludf.DUMMYFUNCTION("""COMPUTED_VALUE"""),-0.659919842759541)</f>
        <v>-0.65991984275954096</v>
      </c>
      <c r="JZ70" s="3">
        <f ca="1">IFERROR(__xludf.DUMMYFUNCTION("""COMPUTED_VALUE"""),-0.558201420734424)</f>
        <v>-0.55820142073442403</v>
      </c>
      <c r="KA70" s="3">
        <f ca="1">IFERROR(__xludf.DUMMYFUNCTION("""COMPUTED_VALUE"""),-0.389707995361627)</f>
        <v>-0.38970799536162698</v>
      </c>
      <c r="KB70" s="3">
        <f ca="1">IFERROR(__xludf.DUMMYFUNCTION("""COMPUTED_VALUE"""),-0.49292470652636)</f>
        <v>-0.49292470652636</v>
      </c>
      <c r="KC70" s="3">
        <f ca="1">IFERROR(__xludf.DUMMYFUNCTION("""COMPUTED_VALUE"""),-0.314054109991994)</f>
        <v>-0.31405410999199401</v>
      </c>
      <c r="KD70" s="3">
        <f ca="1">IFERROR(__xludf.DUMMYFUNCTION("""COMPUTED_VALUE"""),-0.485790958008447)</f>
        <v>-0.48579095800844702</v>
      </c>
      <c r="KE70" s="3">
        <f ca="1">IFERROR(__xludf.DUMMYFUNCTION("""COMPUTED_VALUE"""),-0.595671554584033)</f>
        <v>-0.59567155458403298</v>
      </c>
      <c r="KF70" s="3">
        <f ca="1">IFERROR(__xludf.DUMMYFUNCTION("""COMPUTED_VALUE"""),-0.615410236288523)</f>
        <v>-0.61541023628852298</v>
      </c>
      <c r="KG70" s="3">
        <f ca="1">IFERROR(__xludf.DUMMYFUNCTION("""COMPUTED_VALUE"""),-0.564740159632303)</f>
        <v>-0.56474015963230295</v>
      </c>
      <c r="KH70" s="3">
        <f ca="1">IFERROR(__xludf.DUMMYFUNCTION("""COMPUTED_VALUE"""),-0.508640303948348)</f>
        <v>-0.50864030394834803</v>
      </c>
      <c r="KI70" s="3">
        <f ca="1">IFERROR(__xludf.DUMMYFUNCTION("""COMPUTED_VALUE"""),-0.545081068893147)</f>
        <v>-0.545081068893147</v>
      </c>
      <c r="KJ70" s="3">
        <f ca="1">IFERROR(__xludf.DUMMYFUNCTION("""COMPUTED_VALUE"""),-0.447110640609121)</f>
        <v>-0.44711064060912098</v>
      </c>
      <c r="KK70" s="3">
        <f ca="1">IFERROR(__xludf.DUMMYFUNCTION("""COMPUTED_VALUE"""),-0.600821899398281)</f>
        <v>-0.60082189939828101</v>
      </c>
      <c r="KL70" s="3">
        <f ca="1">IFERROR(__xludf.DUMMYFUNCTION("""COMPUTED_VALUE"""),-0.64448080895038)</f>
        <v>-0.64448080895037996</v>
      </c>
      <c r="KM70" s="3">
        <f ca="1">IFERROR(__xludf.DUMMYFUNCTION("""COMPUTED_VALUE"""),-0.597965262405411)</f>
        <v>-0.59796526240541104</v>
      </c>
      <c r="KN70" s="3">
        <f ca="1">IFERROR(__xludf.DUMMYFUNCTION("""COMPUTED_VALUE"""),-0.585215208538745)</f>
        <v>-0.58521520853874498</v>
      </c>
      <c r="KO70" s="3">
        <f ca="1">IFERROR(__xludf.DUMMYFUNCTION("""COMPUTED_VALUE"""),-0.601134159179423)</f>
        <v>-0.60113415917942303</v>
      </c>
      <c r="KP70" s="3">
        <f ca="1">IFERROR(__xludf.DUMMYFUNCTION("""COMPUTED_VALUE"""),-0.565223731617271)</f>
        <v>-0.56522373161727102</v>
      </c>
      <c r="KQ70" s="3">
        <f ca="1">IFERROR(__xludf.DUMMYFUNCTION("""COMPUTED_VALUE"""),-0.497364139514005)</f>
        <v>-0.49736413951400499</v>
      </c>
      <c r="KR70" s="3">
        <f ca="1">IFERROR(__xludf.DUMMYFUNCTION("""COMPUTED_VALUE"""),-0.62586344241064)</f>
        <v>-0.62586344241063996</v>
      </c>
      <c r="KS70" s="3">
        <f ca="1">IFERROR(__xludf.DUMMYFUNCTION("""COMPUTED_VALUE"""),-0.584911271151387)</f>
        <v>-0.58491127115138697</v>
      </c>
      <c r="KT70" s="3">
        <f ca="1">IFERROR(__xludf.DUMMYFUNCTION("""COMPUTED_VALUE"""),-0.631368608409683)</f>
        <v>-0.63136860840968301</v>
      </c>
      <c r="KU70" s="3">
        <f ca="1">IFERROR(__xludf.DUMMYFUNCTION("""COMPUTED_VALUE"""),-0.645062294657497)</f>
        <v>-0.64506229465749698</v>
      </c>
      <c r="KV70" s="3">
        <f ca="1">IFERROR(__xludf.DUMMYFUNCTION("""COMPUTED_VALUE"""),-0.66792032509593)</f>
        <v>-0.66792032509593002</v>
      </c>
      <c r="KW70" s="3">
        <f ca="1">IFERROR(__xludf.DUMMYFUNCTION("""COMPUTED_VALUE"""),-0.526545749090354)</f>
        <v>-0.52654574909035401</v>
      </c>
      <c r="KX70" s="3">
        <f ca="1">IFERROR(__xludf.DUMMYFUNCTION("""COMPUTED_VALUE"""),-0.641699538282136)</f>
        <v>-0.641699538282136</v>
      </c>
      <c r="KY70" s="3">
        <f ca="1">IFERROR(__xludf.DUMMYFUNCTION("""COMPUTED_VALUE"""),-0.686170808072209)</f>
        <v>-0.68617080807220898</v>
      </c>
      <c r="KZ70" s="3">
        <f ca="1">IFERROR(__xludf.DUMMYFUNCTION("""COMPUTED_VALUE"""),-0.658186712429171)</f>
        <v>-0.65818671242917104</v>
      </c>
      <c r="LA70" s="3">
        <f ca="1">IFERROR(__xludf.DUMMYFUNCTION("""COMPUTED_VALUE"""),-0.678625983938399)</f>
        <v>-0.67862598393839901</v>
      </c>
      <c r="LB70" s="3">
        <f ca="1">IFERROR(__xludf.DUMMYFUNCTION("""COMPUTED_VALUE"""),-0.690418961224606)</f>
        <v>-0.690418961224606</v>
      </c>
      <c r="LC70" s="3">
        <f ca="1">IFERROR(__xludf.DUMMYFUNCTION("""COMPUTED_VALUE"""),-0.676959806350393)</f>
        <v>-0.67695980635039299</v>
      </c>
      <c r="LD70" s="3">
        <f ca="1">IFERROR(__xludf.DUMMYFUNCTION("""COMPUTED_VALUE"""),-0.544386837760653)</f>
        <v>-0.544386837760653</v>
      </c>
      <c r="LE70" s="3">
        <f ca="1">IFERROR(__xludf.DUMMYFUNCTION("""COMPUTED_VALUE"""),-0.574416391641962)</f>
        <v>-0.57441639164196201</v>
      </c>
      <c r="LF70" s="3">
        <f ca="1">IFERROR(__xludf.DUMMYFUNCTION("""COMPUTED_VALUE"""),-0.647464731657866)</f>
        <v>-0.647464731657866</v>
      </c>
      <c r="LG70" s="3">
        <f ca="1">IFERROR(__xludf.DUMMYFUNCTION("""COMPUTED_VALUE"""),-0.685392024003141)</f>
        <v>-0.68539202400314103</v>
      </c>
      <c r="LH70" s="3">
        <f ca="1">IFERROR(__xludf.DUMMYFUNCTION("""COMPUTED_VALUE"""),-0.681414125805485)</f>
        <v>-0.68141412580548499</v>
      </c>
      <c r="LI70" s="3">
        <f ca="1">IFERROR(__xludf.DUMMYFUNCTION("""COMPUTED_VALUE"""),-0.707277135781691)</f>
        <v>-0.70727713578169105</v>
      </c>
      <c r="LJ70" s="3">
        <f ca="1">IFERROR(__xludf.DUMMYFUNCTION("""COMPUTED_VALUE"""),-0.621794999088276)</f>
        <v>-0.62179499908827596</v>
      </c>
      <c r="LK70" s="3">
        <f ca="1">IFERROR(__xludf.DUMMYFUNCTION("""COMPUTED_VALUE"""),-0.655016311551096)</f>
        <v>-0.65501631155109596</v>
      </c>
      <c r="LL70" s="3">
        <f ca="1">IFERROR(__xludf.DUMMYFUNCTION("""COMPUTED_VALUE"""),-0.576019608257034)</f>
        <v>-0.57601960825703402</v>
      </c>
      <c r="LM70" s="3">
        <f ca="1">IFERROR(__xludf.DUMMYFUNCTION("""COMPUTED_VALUE"""),-0.686364405319294)</f>
        <v>-0.68636440531929399</v>
      </c>
      <c r="LN70" s="3">
        <f ca="1">IFERROR(__xludf.DUMMYFUNCTION("""COMPUTED_VALUE"""),-0.722335168697029)</f>
        <v>-0.72233516869702896</v>
      </c>
      <c r="LO70" s="3">
        <f ca="1">IFERROR(__xludf.DUMMYFUNCTION("""COMPUTED_VALUE"""),-0.72355306426789)</f>
        <v>-0.72355306426789001</v>
      </c>
      <c r="LP70" s="3">
        <f ca="1">IFERROR(__xludf.DUMMYFUNCTION("""COMPUTED_VALUE"""),-0.692364380670278)</f>
        <v>-0.69236438067027795</v>
      </c>
      <c r="LQ70" s="3">
        <f ca="1">IFERROR(__xludf.DUMMYFUNCTION("""COMPUTED_VALUE"""),-0.797424060990158)</f>
        <v>-0.79742406099015795</v>
      </c>
      <c r="LR70" s="3">
        <f ca="1">IFERROR(__xludf.DUMMYFUNCTION("""COMPUTED_VALUE"""),-0.681819155301842)</f>
        <v>-0.68181915530184201</v>
      </c>
      <c r="LS70" s="3">
        <f ca="1">IFERROR(__xludf.DUMMYFUNCTION("""COMPUTED_VALUE"""),-0.602257914015908)</f>
        <v>-0.602257914015908</v>
      </c>
      <c r="LT70" s="3">
        <f ca="1">IFERROR(__xludf.DUMMYFUNCTION("""COMPUTED_VALUE"""),-0.741071848804004)</f>
        <v>-0.74107184880400401</v>
      </c>
      <c r="LU70" s="3">
        <f ca="1">IFERROR(__xludf.DUMMYFUNCTION("""COMPUTED_VALUE"""),-0.783444873413608)</f>
        <v>-0.78344487341360802</v>
      </c>
      <c r="LV70" s="3">
        <f ca="1">IFERROR(__xludf.DUMMYFUNCTION("""COMPUTED_VALUE"""),-0.811944661681383)</f>
        <v>-0.81194466168138302</v>
      </c>
      <c r="LW70" s="3">
        <f ca="1">IFERROR(__xludf.DUMMYFUNCTION("""COMPUTED_VALUE"""),-0.771191066763823)</f>
        <v>-0.77119106676382299</v>
      </c>
      <c r="LX70" s="3">
        <f ca="1">IFERROR(__xludf.DUMMYFUNCTION("""COMPUTED_VALUE"""),-0.750272659900724)</f>
        <v>-0.750272659900724</v>
      </c>
      <c r="LY70" s="3">
        <f ca="1">IFERROR(__xludf.DUMMYFUNCTION("""COMPUTED_VALUE"""),-0.756424088236862)</f>
        <v>-0.75642408823686202</v>
      </c>
      <c r="LZ70" s="3">
        <f ca="1">IFERROR(__xludf.DUMMYFUNCTION("""COMPUTED_VALUE"""),-0.70689970592909)</f>
        <v>-0.70689970592909002</v>
      </c>
      <c r="MA70" s="3">
        <f ca="1">IFERROR(__xludf.DUMMYFUNCTION("""COMPUTED_VALUE"""),-0.771794109514332)</f>
        <v>-0.77179410951433203</v>
      </c>
      <c r="MB70" s="3">
        <f ca="1">IFERROR(__xludf.DUMMYFUNCTION("""COMPUTED_VALUE"""),-0.798977383445747)</f>
        <v>-0.79897738344574698</v>
      </c>
      <c r="MC70" s="3">
        <f ca="1">IFERROR(__xludf.DUMMYFUNCTION("""COMPUTED_VALUE"""),-0.764748861334332)</f>
        <v>-0.76474886133433195</v>
      </c>
      <c r="MD70" s="3">
        <f ca="1">IFERROR(__xludf.DUMMYFUNCTION("""COMPUTED_VALUE"""),-0.778645276852973)</f>
        <v>-0.77864527685297302</v>
      </c>
      <c r="ME70" s="3">
        <f ca="1">IFERROR(__xludf.DUMMYFUNCTION("""COMPUTED_VALUE"""),-0.771338123395281)</f>
        <v>-0.77133812339528096</v>
      </c>
      <c r="MF70" s="3">
        <f ca="1">IFERROR(__xludf.DUMMYFUNCTION("""COMPUTED_VALUE"""),-0.720057713508642)</f>
        <v>-0.72005771350864201</v>
      </c>
      <c r="MG70" s="3">
        <f ca="1">IFERROR(__xludf.DUMMYFUNCTION("""COMPUTED_VALUE"""),-0.689434582033126)</f>
        <v>-0.68943458203312602</v>
      </c>
      <c r="MH70" s="3">
        <f ca="1">IFERROR(__xludf.DUMMYFUNCTION("""COMPUTED_VALUE"""),-0.777265546462449)</f>
        <v>-0.77726554646244905</v>
      </c>
      <c r="MI70" s="3">
        <f ca="1">IFERROR(__xludf.DUMMYFUNCTION("""COMPUTED_VALUE"""),-0.785125121288203)</f>
        <v>-0.785125121288203</v>
      </c>
      <c r="MJ70" s="3">
        <f ca="1">IFERROR(__xludf.DUMMYFUNCTION("""COMPUTED_VALUE"""),-0.776534208369731)</f>
        <v>-0.77653420836973097</v>
      </c>
      <c r="MK70" s="3">
        <f ca="1">IFERROR(__xludf.DUMMYFUNCTION("""COMPUTED_VALUE"""),-0.814090045281918)</f>
        <v>-0.81409004528191797</v>
      </c>
      <c r="ML70" s="3">
        <f ca="1">IFERROR(__xludf.DUMMYFUNCTION("""COMPUTED_VALUE"""),-0.780180134252538)</f>
        <v>-0.78018013425253796</v>
      </c>
      <c r="MM70" s="3">
        <f ca="1">IFERROR(__xludf.DUMMYFUNCTION("""COMPUTED_VALUE"""),-0.80133912676844)</f>
        <v>-0.80133912676843999</v>
      </c>
      <c r="MN70" s="3">
        <f ca="1">IFERROR(__xludf.DUMMYFUNCTION("""COMPUTED_VALUE"""),-0.686374022678124)</f>
        <v>-0.68637402267812397</v>
      </c>
      <c r="MO70" s="3">
        <f ca="1">IFERROR(__xludf.DUMMYFUNCTION("""COMPUTED_VALUE"""),-0.763441501126582)</f>
        <v>-0.76344150112658204</v>
      </c>
      <c r="MP70" s="3">
        <f ca="1">IFERROR(__xludf.DUMMYFUNCTION("""COMPUTED_VALUE"""),-0.848047963217787)</f>
        <v>-0.84804796321778697</v>
      </c>
      <c r="MQ70" s="3">
        <f ca="1">IFERROR(__xludf.DUMMYFUNCTION("""COMPUTED_VALUE"""),-0.782515504620173)</f>
        <v>-0.78251550462017305</v>
      </c>
      <c r="MR70" s="3">
        <f ca="1">IFERROR(__xludf.DUMMYFUNCTION("""COMPUTED_VALUE"""),-0.791166601165847)</f>
        <v>-0.79116660116584703</v>
      </c>
      <c r="MS70" s="3">
        <f ca="1">IFERROR(__xludf.DUMMYFUNCTION("""COMPUTED_VALUE"""),-0.802351187774009)</f>
        <v>-0.80235118777400904</v>
      </c>
      <c r="MT70" s="3">
        <f ca="1">IFERROR(__xludf.DUMMYFUNCTION("""COMPUTED_VALUE"""),-0.691627555981088)</f>
        <v>-0.69162755598108805</v>
      </c>
      <c r="MU70" s="3">
        <f ca="1">IFERROR(__xludf.DUMMYFUNCTION("""COMPUTED_VALUE"""),-0.706725290949715)</f>
        <v>-0.70672529094971503</v>
      </c>
      <c r="MV70" s="3">
        <f ca="1">IFERROR(__xludf.DUMMYFUNCTION("""COMPUTED_VALUE"""),-0.768323755646961)</f>
        <v>-0.76832375564696098</v>
      </c>
      <c r="MW70" s="3">
        <f ca="1">IFERROR(__xludf.DUMMYFUNCTION("""COMPUTED_VALUE"""),-0.78779724361534)</f>
        <v>-0.78779724361533998</v>
      </c>
      <c r="MX70" s="3">
        <f ca="1">IFERROR(__xludf.DUMMYFUNCTION("""COMPUTED_VALUE"""),-0.802992406670104)</f>
        <v>-0.80299240667010396</v>
      </c>
      <c r="MY70" s="3">
        <f ca="1">IFERROR(__xludf.DUMMYFUNCTION("""COMPUTED_VALUE"""),-0.802593840194034)</f>
        <v>-0.80259384019403401</v>
      </c>
      <c r="MZ70" s="3">
        <f ca="1">IFERROR(__xludf.DUMMYFUNCTION("""COMPUTED_VALUE"""),-0.825317920063746)</f>
        <v>-0.82531792006374605</v>
      </c>
      <c r="NA70" s="3">
        <f ca="1">IFERROR(__xludf.DUMMYFUNCTION("""COMPUTED_VALUE"""),-0.741988871201399)</f>
        <v>-0.741988871201399</v>
      </c>
      <c r="NB70" s="3">
        <f ca="1">IFERROR(__xludf.DUMMYFUNCTION("""COMPUTED_VALUE"""),-0.703549649603935)</f>
        <v>-0.70354964960393496</v>
      </c>
      <c r="NC70" s="3">
        <f ca="1">IFERROR(__xludf.DUMMYFUNCTION("""COMPUTED_VALUE"""),-0.820490441102509)</f>
        <v>-0.82049044110250902</v>
      </c>
      <c r="ND70" s="3">
        <f ca="1">IFERROR(__xludf.DUMMYFUNCTION("""COMPUTED_VALUE"""),-0.824675871051171)</f>
        <v>-0.82467587105117102</v>
      </c>
      <c r="NE70" s="3">
        <f ca="1">IFERROR(__xludf.DUMMYFUNCTION("""COMPUTED_VALUE"""),-0.844749571198946)</f>
        <v>-0.844749571198946</v>
      </c>
      <c r="NF70" s="3">
        <f ca="1">IFERROR(__xludf.DUMMYFUNCTION("""COMPUTED_VALUE"""),-0.82672917993858)</f>
        <v>-0.82672917993857997</v>
      </c>
      <c r="NG70" s="3">
        <f ca="1">IFERROR(__xludf.DUMMYFUNCTION("""COMPUTED_VALUE"""),-0.812904566514823)</f>
        <v>-0.81290456651482301</v>
      </c>
      <c r="NH70" s="3">
        <f ca="1">IFERROR(__xludf.DUMMYFUNCTION("""COMPUTED_VALUE"""),-0.775566804440076)</f>
        <v>-0.77556680444007597</v>
      </c>
      <c r="NI70" s="3">
        <f ca="1">IFERROR(__xludf.DUMMYFUNCTION("""COMPUTED_VALUE"""),-0.66424594433877)</f>
        <v>-0.66424594433877004</v>
      </c>
      <c r="NJ70" s="3">
        <f ca="1">IFERROR(__xludf.DUMMYFUNCTION("""COMPUTED_VALUE"""),-0.829675601288033)</f>
        <v>-0.82967560128803297</v>
      </c>
      <c r="NK70" s="3">
        <f ca="1">IFERROR(__xludf.DUMMYFUNCTION("""COMPUTED_VALUE"""),-0.847405161932705)</f>
        <v>-0.84740516193270499</v>
      </c>
      <c r="NL70" s="3">
        <f ca="1">IFERROR(__xludf.DUMMYFUNCTION("""COMPUTED_VALUE"""),-0.856149363875349)</f>
        <v>-0.85614936387534901</v>
      </c>
      <c r="NM70" s="3">
        <f ca="1">IFERROR(__xludf.DUMMYFUNCTION("""COMPUTED_VALUE"""),-0.830377489721574)</f>
        <v>-0.83037748972157399</v>
      </c>
      <c r="NN70" s="3">
        <f ca="1">IFERROR(__xludf.DUMMYFUNCTION("""COMPUTED_VALUE"""),-0.832230917806357)</f>
        <v>-0.83223091780635705</v>
      </c>
      <c r="NO70" s="3">
        <f ca="1">IFERROR(__xludf.DUMMYFUNCTION("""COMPUTED_VALUE"""),-0.710584744415015)</f>
        <v>-0.71058474441501496</v>
      </c>
      <c r="NP70" s="3">
        <f ca="1">IFERROR(__xludf.DUMMYFUNCTION("""COMPUTED_VALUE"""),-0.647497535090228)</f>
        <v>-0.647497535090228</v>
      </c>
      <c r="NQ70" s="3">
        <f ca="1">IFERROR(__xludf.DUMMYFUNCTION("""COMPUTED_VALUE"""),-0.798723187267784)</f>
        <v>-0.79872318726778402</v>
      </c>
      <c r="NR70" s="3">
        <f ca="1">IFERROR(__xludf.DUMMYFUNCTION("""COMPUTED_VALUE"""),-0.814286722596878)</f>
        <v>-0.81428672259687795</v>
      </c>
      <c r="NS70" s="3">
        <f ca="1">IFERROR(__xludf.DUMMYFUNCTION("""COMPUTED_VALUE"""),-0.809058317573895)</f>
        <v>-0.80905831757389501</v>
      </c>
      <c r="NT70" s="3">
        <f ca="1">IFERROR(__xludf.DUMMYFUNCTION("""COMPUTED_VALUE"""),-0.78816160990435)</f>
        <v>-0.78816160990435002</v>
      </c>
      <c r="NU70" s="3">
        <f ca="1">IFERROR(__xludf.DUMMYFUNCTION("""COMPUTED_VALUE"""),-0.760503201076134)</f>
        <v>-0.76050320107613401</v>
      </c>
      <c r="NV70" s="3">
        <f ca="1">IFERROR(__xludf.DUMMYFUNCTION("""COMPUTED_VALUE"""),-0.630645387692431)</f>
        <v>-0.63064538769243095</v>
      </c>
      <c r="NW70" s="3">
        <f ca="1">IFERROR(__xludf.DUMMYFUNCTION("""COMPUTED_VALUE"""),-0.637055483392119)</f>
        <v>-0.63705548339211904</v>
      </c>
      <c r="NX70" s="3">
        <f ca="1">IFERROR(__xludf.DUMMYFUNCTION("""COMPUTED_VALUE"""),-0.675494861280729)</f>
        <v>-0.675494861280729</v>
      </c>
      <c r="NY70" s="3">
        <f ca="1">IFERROR(__xludf.DUMMYFUNCTION("""COMPUTED_VALUE"""),-0.68032301520076)</f>
        <v>-0.68032301520076</v>
      </c>
      <c r="NZ70" s="3">
        <f ca="1">IFERROR(__xludf.DUMMYFUNCTION("""COMPUTED_VALUE"""),-0.59706545671988)</f>
        <v>-0.59706545671987998</v>
      </c>
      <c r="OA70" s="3">
        <f ca="1">IFERROR(__xludf.DUMMYFUNCTION("""COMPUTED_VALUE"""),-0.479004048138107)</f>
        <v>-0.47900404813810699</v>
      </c>
      <c r="OB70" s="3">
        <f ca="1">IFERROR(__xludf.DUMMYFUNCTION("""COMPUTED_VALUE"""),-0.302583527252244)</f>
        <v>-0.30258352725224402</v>
      </c>
      <c r="OC70" s="3">
        <f ca="1">IFERROR(__xludf.DUMMYFUNCTION("""COMPUTED_VALUE"""),-0.244005261170981)</f>
        <v>-0.24400526117098101</v>
      </c>
      <c r="OD70" s="3">
        <f ca="1">IFERROR(__xludf.DUMMYFUNCTION("""COMPUTED_VALUE"""),-0.248843534070138)</f>
        <v>-0.24884353407013801</v>
      </c>
      <c r="OE70" s="3">
        <f ca="1">IFERROR(__xludf.DUMMYFUNCTION("""COMPUTED_VALUE"""),-0.0596305868323343)</f>
        <v>-5.9630586832334298E-2</v>
      </c>
      <c r="OF70" s="3">
        <f ca="1">IFERROR(__xludf.DUMMYFUNCTION("""COMPUTED_VALUE"""),-0.0731464003181218)</f>
        <v>-7.3146400318121793E-2</v>
      </c>
      <c r="OG70" s="3">
        <f ca="1">IFERROR(__xludf.DUMMYFUNCTION("""COMPUTED_VALUE"""),-0.111405380043485)</f>
        <v>-0.11140538004348501</v>
      </c>
      <c r="OH70" s="3">
        <f ca="1">IFERROR(__xludf.DUMMYFUNCTION("""COMPUTED_VALUE"""),-0.019565818739017)</f>
        <v>-1.9565818739016999E-2</v>
      </c>
      <c r="OI70" s="3">
        <f ca="1">IFERROR(__xludf.DUMMYFUNCTION("""COMPUTED_VALUE"""),0.0117653104397665)</f>
        <v>1.17653104397665E-2</v>
      </c>
      <c r="OJ70" s="3">
        <f ca="1">IFERROR(__xludf.DUMMYFUNCTION("""COMPUTED_VALUE"""),0.0377593540628267)</f>
        <v>3.7759354062826697E-2</v>
      </c>
      <c r="OK70" s="3">
        <f ca="1">IFERROR(__xludf.DUMMYFUNCTION("""COMPUTED_VALUE"""),-0.0819398339984515)</f>
        <v>-8.1939833998451506E-2</v>
      </c>
      <c r="OL70" s="3">
        <f ca="1">IFERROR(__xludf.DUMMYFUNCTION("""COMPUTED_VALUE"""),0.0197270961115683)</f>
        <v>1.9727096111568299E-2</v>
      </c>
      <c r="OM70" s="3">
        <f ca="1">IFERROR(__xludf.DUMMYFUNCTION("""COMPUTED_VALUE"""),-0.0154450702192268)</f>
        <v>-1.54450702192268E-2</v>
      </c>
      <c r="ON70" s="3">
        <f ca="1">IFERROR(__xludf.DUMMYFUNCTION("""COMPUTED_VALUE"""),-0.0898951847217028)</f>
        <v>-8.9895184721702798E-2</v>
      </c>
      <c r="OO70" s="3">
        <f ca="1">IFERROR(__xludf.DUMMYFUNCTION("""COMPUTED_VALUE"""),0.0557644669599497)</f>
        <v>5.5764466959949702E-2</v>
      </c>
      <c r="OP70" s="3">
        <f ca="1">IFERROR(__xludf.DUMMYFUNCTION("""COMPUTED_VALUE"""),0.0704982109462322)</f>
        <v>7.0498210946232195E-2</v>
      </c>
      <c r="OQ70" s="3">
        <f ca="1">IFERROR(__xludf.DUMMYFUNCTION("""COMPUTED_VALUE"""),0.157858939023468)</f>
        <v>0.15785893902346801</v>
      </c>
      <c r="OR70" s="3">
        <f ca="1">IFERROR(__xludf.DUMMYFUNCTION("""COMPUTED_VALUE"""),0.0294029151714283)</f>
        <v>2.94029151714283E-2</v>
      </c>
      <c r="OS70" s="3">
        <f ca="1">IFERROR(__xludf.DUMMYFUNCTION("""COMPUTED_VALUE"""),0.118255730209204)</f>
        <v>0.118255730209204</v>
      </c>
      <c r="OT70" s="3">
        <f ca="1">IFERROR(__xludf.DUMMYFUNCTION("""COMPUTED_VALUE"""),0.0915292131820657)</f>
        <v>9.1529213182065694E-2</v>
      </c>
      <c r="OU70" s="3">
        <f ca="1">IFERROR(__xludf.DUMMYFUNCTION("""COMPUTED_VALUE"""),0.103056641037958)</f>
        <v>0.103056641037958</v>
      </c>
      <c r="OV70" s="3">
        <f ca="1">IFERROR(__xludf.DUMMYFUNCTION("""COMPUTED_VALUE"""),0.113033622978027)</f>
        <v>0.11303362297802701</v>
      </c>
      <c r="OW70" s="3">
        <f ca="1">IFERROR(__xludf.DUMMYFUNCTION("""COMPUTED_VALUE"""),0.257699335472128)</f>
        <v>0.25769933547212798</v>
      </c>
      <c r="OX70" s="3">
        <f ca="1">IFERROR(__xludf.DUMMYFUNCTION("""COMPUTED_VALUE"""),0.00621055304547324)</f>
        <v>6.2105530454732404E-3</v>
      </c>
      <c r="OY70" s="3">
        <f ca="1">IFERROR(__xludf.DUMMYFUNCTION("""COMPUTED_VALUE"""),0.00257557740813374)</f>
        <v>2.5755774081337398E-3</v>
      </c>
      <c r="OZ70" s="3">
        <f ca="1">IFERROR(__xludf.DUMMYFUNCTION("""COMPUTED_VALUE"""),-0.145645998780231)</f>
        <v>-0.14564599878023099</v>
      </c>
      <c r="PA70" s="3">
        <f ca="1">IFERROR(__xludf.DUMMYFUNCTION("""COMPUTED_VALUE"""),-0.149395342045048)</f>
        <v>-0.14939534204504801</v>
      </c>
      <c r="PB70" s="3">
        <f ca="1">IFERROR(__xludf.DUMMYFUNCTION("""COMPUTED_VALUE"""),-0.295869460502895)</f>
        <v>-0.29586946050289498</v>
      </c>
      <c r="PC70" s="3">
        <f ca="1">IFERROR(__xludf.DUMMYFUNCTION("""COMPUTED_VALUE"""),-0.223508856927848)</f>
        <v>-0.223508856927848</v>
      </c>
      <c r="PD70" s="3">
        <f ca="1">IFERROR(__xludf.DUMMYFUNCTION("""COMPUTED_VALUE"""),-0.523923716329212)</f>
        <v>-0.52392371632921197</v>
      </c>
      <c r="PE70" s="3">
        <f ca="1">IFERROR(__xludf.DUMMYFUNCTION("""COMPUTED_VALUE"""),-0.0892667748234307)</f>
        <v>-8.9266774823430706E-2</v>
      </c>
      <c r="PF70" s="3">
        <f ca="1">IFERROR(__xludf.DUMMYFUNCTION("""COMPUTED_VALUE"""),-0.040420795719495)</f>
        <v>-4.0420795719495001E-2</v>
      </c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</row>
    <row r="71" spans="1:594" ht="13">
      <c r="A71" s="1" t="str">
        <f ca="1">IFERROR(__xludf.DUMMYFUNCTION("""COMPUTED_VALUE"""),"Salt Lake City")</f>
        <v>Salt Lake City</v>
      </c>
      <c r="B71" s="3">
        <f ca="1">IFERROR(__xludf.DUMMYFUNCTION("""COMPUTED_VALUE"""),-0.393839354331419)</f>
        <v>-0.39383935433141898</v>
      </c>
      <c r="C71" s="3">
        <f ca="1">IFERROR(__xludf.DUMMYFUNCTION("""COMPUTED_VALUE"""),-0.465782470345384)</f>
        <v>-0.465782470345384</v>
      </c>
      <c r="D71" s="3">
        <f ca="1">IFERROR(__xludf.DUMMYFUNCTION("""COMPUTED_VALUE"""),-0.487504700283539)</f>
        <v>-0.48750470028353898</v>
      </c>
      <c r="E71" s="3">
        <f ca="1">IFERROR(__xludf.DUMMYFUNCTION("""COMPUTED_VALUE"""),-0.50080857965624)</f>
        <v>-0.50080857965624004</v>
      </c>
      <c r="F71" s="3">
        <f ca="1">IFERROR(__xludf.DUMMYFUNCTION("""COMPUTED_VALUE"""),-0.544820117802226)</f>
        <v>-0.54482011780222594</v>
      </c>
      <c r="G71" s="3">
        <f ca="1">IFERROR(__xludf.DUMMYFUNCTION("""COMPUTED_VALUE"""),-0.502861142100478)</f>
        <v>-0.50286114210047805</v>
      </c>
      <c r="H71" s="3">
        <f ca="1">IFERROR(__xludf.DUMMYFUNCTION("""COMPUTED_VALUE"""),-0.362334087977175)</f>
        <v>-0.36233408797717498</v>
      </c>
      <c r="I71" s="3">
        <f ca="1">IFERROR(__xludf.DUMMYFUNCTION("""COMPUTED_VALUE"""),-0.42176973047333)</f>
        <v>-0.42176973047333</v>
      </c>
      <c r="J71" s="3">
        <f ca="1">IFERROR(__xludf.DUMMYFUNCTION("""COMPUTED_VALUE"""),-0.515318819135254)</f>
        <v>-0.51531881913525401</v>
      </c>
      <c r="K71" s="3">
        <f ca="1">IFERROR(__xludf.DUMMYFUNCTION("""COMPUTED_VALUE"""),-0.546764007174425)</f>
        <v>-0.54676400717442497</v>
      </c>
      <c r="L71" s="3">
        <f ca="1">IFERROR(__xludf.DUMMYFUNCTION("""COMPUTED_VALUE"""),-0.558374316234632)</f>
        <v>-0.55837431623463196</v>
      </c>
      <c r="M71" s="3">
        <f ca="1">IFERROR(__xludf.DUMMYFUNCTION("""COMPUTED_VALUE"""),-0.50500969897426)</f>
        <v>-0.50500969897425996</v>
      </c>
      <c r="N71" s="3">
        <f ca="1">IFERROR(__xludf.DUMMYFUNCTION("""COMPUTED_VALUE"""),-0.537342776011763)</f>
        <v>-0.53734277601176295</v>
      </c>
      <c r="O71" s="3">
        <f ca="1">IFERROR(__xludf.DUMMYFUNCTION("""COMPUTED_VALUE"""),-0.25108462695968)</f>
        <v>-0.25108462695967998</v>
      </c>
      <c r="P71" s="3">
        <f ca="1">IFERROR(__xludf.DUMMYFUNCTION("""COMPUTED_VALUE"""),-0.385613538886407)</f>
        <v>-0.38561353888640698</v>
      </c>
      <c r="Q71" s="3">
        <f ca="1">IFERROR(__xludf.DUMMYFUNCTION("""COMPUTED_VALUE"""),-0.466538354766829)</f>
        <v>-0.46653835476682898</v>
      </c>
      <c r="R71" s="3">
        <f ca="1">IFERROR(__xludf.DUMMYFUNCTION("""COMPUTED_VALUE"""),-0.54560860488768)</f>
        <v>-0.54560860488768004</v>
      </c>
      <c r="S71" s="3">
        <f ca="1">IFERROR(__xludf.DUMMYFUNCTION("""COMPUTED_VALUE"""),-0.549154524683155)</f>
        <v>-0.54915452468315495</v>
      </c>
      <c r="T71" s="3">
        <f ca="1">IFERROR(__xludf.DUMMYFUNCTION("""COMPUTED_VALUE"""),-0.502277821430053)</f>
        <v>-0.50227782143005295</v>
      </c>
      <c r="U71" s="3">
        <f ca="1">IFERROR(__xludf.DUMMYFUNCTION("""COMPUTED_VALUE"""),-0.512721172395906)</f>
        <v>-0.51272117239590598</v>
      </c>
      <c r="V71" s="3">
        <f ca="1">IFERROR(__xludf.DUMMYFUNCTION("""COMPUTED_VALUE"""),-0.188934478928139)</f>
        <v>-0.188934478928139</v>
      </c>
      <c r="W71" s="3">
        <f ca="1">IFERROR(__xludf.DUMMYFUNCTION("""COMPUTED_VALUE"""),-0.384821785239357)</f>
        <v>-0.38482178523935701</v>
      </c>
      <c r="X71" s="3">
        <f ca="1">IFERROR(__xludf.DUMMYFUNCTION("""COMPUTED_VALUE"""),-0.458690821912864)</f>
        <v>-0.45869082191286398</v>
      </c>
      <c r="Y71" s="3">
        <f ca="1">IFERROR(__xludf.DUMMYFUNCTION("""COMPUTED_VALUE"""),-0.51021276509167)</f>
        <v>-0.51021276509167002</v>
      </c>
      <c r="Z71" s="3">
        <f ca="1">IFERROR(__xludf.DUMMYFUNCTION("""COMPUTED_VALUE"""),-0.490612328231485)</f>
        <v>-0.49061232823148498</v>
      </c>
      <c r="AA71" s="3">
        <f ca="1">IFERROR(__xludf.DUMMYFUNCTION("""COMPUTED_VALUE"""),-0.50003108239904)</f>
        <v>-0.50003108239904004</v>
      </c>
      <c r="AB71" s="3">
        <f ca="1">IFERROR(__xludf.DUMMYFUNCTION("""COMPUTED_VALUE"""),-0.519600646829448)</f>
        <v>-0.51960064682944795</v>
      </c>
      <c r="AC71" s="3">
        <f ca="1">IFERROR(__xludf.DUMMYFUNCTION("""COMPUTED_VALUE"""),-0.323781689345383)</f>
        <v>-0.32378168934538298</v>
      </c>
      <c r="AD71" s="3">
        <f ca="1">IFERROR(__xludf.DUMMYFUNCTION("""COMPUTED_VALUE"""),-0.32536346895422)</f>
        <v>-0.32536346895422003</v>
      </c>
      <c r="AE71" s="3">
        <f ca="1">IFERROR(__xludf.DUMMYFUNCTION("""COMPUTED_VALUE"""),-0.506044704892258)</f>
        <v>-0.50604470489225795</v>
      </c>
      <c r="AF71" s="3">
        <f ca="1">IFERROR(__xludf.DUMMYFUNCTION("""COMPUTED_VALUE"""),-0.556884332332518)</f>
        <v>-0.556884332332518</v>
      </c>
      <c r="AG71" s="3">
        <f ca="1">IFERROR(__xludf.DUMMYFUNCTION("""COMPUTED_VALUE"""),-0.582331729136324)</f>
        <v>-0.58233172913632403</v>
      </c>
      <c r="AH71" s="3">
        <f ca="1">IFERROR(__xludf.DUMMYFUNCTION("""COMPUTED_VALUE"""),-0.570378462627212)</f>
        <v>-0.57037846262721204</v>
      </c>
      <c r="AI71" s="3">
        <f ca="1">IFERROR(__xludf.DUMMYFUNCTION("""COMPUTED_VALUE"""),-0.558986314261719)</f>
        <v>-0.55898631426171896</v>
      </c>
      <c r="AJ71" s="3">
        <f ca="1">IFERROR(__xludf.DUMMYFUNCTION("""COMPUTED_VALUE"""),-0.390188985699906)</f>
        <v>-0.39018898569990601</v>
      </c>
      <c r="AK71" s="3">
        <f ca="1">IFERROR(__xludf.DUMMYFUNCTION("""COMPUTED_VALUE"""),-0.365049825748455)</f>
        <v>-0.36504982574845501</v>
      </c>
      <c r="AL71" s="3">
        <f ca="1">IFERROR(__xludf.DUMMYFUNCTION("""COMPUTED_VALUE"""),-0.556980019858531)</f>
        <v>-0.55698001985853096</v>
      </c>
      <c r="AM71" s="3">
        <f ca="1">IFERROR(__xludf.DUMMYFUNCTION("""COMPUTED_VALUE"""),-0.569656836825448)</f>
        <v>-0.56965683682544799</v>
      </c>
      <c r="AN71" s="3">
        <f ca="1">IFERROR(__xludf.DUMMYFUNCTION("""COMPUTED_VALUE"""),-0.588589440718921)</f>
        <v>-0.58858944071892105</v>
      </c>
      <c r="AO71" s="3">
        <f ca="1">IFERROR(__xludf.DUMMYFUNCTION("""COMPUTED_VALUE"""),-0.568170188425549)</f>
        <v>-0.56817018842554901</v>
      </c>
      <c r="AP71" s="3">
        <f ca="1">IFERROR(__xludf.DUMMYFUNCTION("""COMPUTED_VALUE"""),-0.557238686494765)</f>
        <v>-0.55723868649476505</v>
      </c>
      <c r="AQ71" s="3">
        <f ca="1">IFERROR(__xludf.DUMMYFUNCTION("""COMPUTED_VALUE"""),-0.279512625406928)</f>
        <v>-0.27951262540692801</v>
      </c>
      <c r="AR71" s="3">
        <f ca="1">IFERROR(__xludf.DUMMYFUNCTION("""COMPUTED_VALUE"""),-0.315190769748462)</f>
        <v>-0.315190769748462</v>
      </c>
      <c r="AS71" s="3">
        <f ca="1">IFERROR(__xludf.DUMMYFUNCTION("""COMPUTED_VALUE"""),-0.554834380630359)</f>
        <v>-0.55483438063035895</v>
      </c>
      <c r="AT71" s="3">
        <f ca="1">IFERROR(__xludf.DUMMYFUNCTION("""COMPUTED_VALUE"""),-0.567562204191134)</f>
        <v>-0.56756220419113401</v>
      </c>
      <c r="AU71" s="3">
        <f ca="1">IFERROR(__xludf.DUMMYFUNCTION("""COMPUTED_VALUE"""),-0.581732155199014)</f>
        <v>-0.581732155199014</v>
      </c>
      <c r="AV71" s="3">
        <f ca="1">IFERROR(__xludf.DUMMYFUNCTION("""COMPUTED_VALUE"""),-0.536725646291459)</f>
        <v>-0.53672564629145902</v>
      </c>
      <c r="AW71" s="3">
        <f ca="1">IFERROR(__xludf.DUMMYFUNCTION("""COMPUTED_VALUE"""),-0.434227356677866)</f>
        <v>-0.43422735667786599</v>
      </c>
      <c r="AX71" s="3">
        <f ca="1">IFERROR(__xludf.DUMMYFUNCTION("""COMPUTED_VALUE"""),-0.235845497990548)</f>
        <v>-0.23584549799054799</v>
      </c>
      <c r="AY71" s="3">
        <f ca="1">IFERROR(__xludf.DUMMYFUNCTION("""COMPUTED_VALUE"""),-0.310611668717848)</f>
        <v>-0.31061166871784801</v>
      </c>
      <c r="AZ71" s="3">
        <f ca="1">IFERROR(__xludf.DUMMYFUNCTION("""COMPUTED_VALUE"""),-0.511192540625151)</f>
        <v>-0.51119254062515096</v>
      </c>
      <c r="BA71" s="3">
        <f ca="1">IFERROR(__xludf.DUMMYFUNCTION("""COMPUTED_VALUE"""),-0.5636117367399)</f>
        <v>-0.56361173673989995</v>
      </c>
      <c r="BB71" s="3">
        <f ca="1">IFERROR(__xludf.DUMMYFUNCTION("""COMPUTED_VALUE"""),-0.481714380457745)</f>
        <v>-0.48171438045774501</v>
      </c>
      <c r="BC71" s="3">
        <f ca="1">IFERROR(__xludf.DUMMYFUNCTION("""COMPUTED_VALUE"""),-0.476152423552922)</f>
        <v>-0.47615242355292198</v>
      </c>
      <c r="BD71" s="3">
        <f ca="1">IFERROR(__xludf.DUMMYFUNCTION("""COMPUTED_VALUE"""),-0.519703874980265)</f>
        <v>-0.51970387498026505</v>
      </c>
      <c r="BE71" s="3">
        <f ca="1">IFERROR(__xludf.DUMMYFUNCTION("""COMPUTED_VALUE"""),-0.226654929216901)</f>
        <v>-0.226654929216901</v>
      </c>
      <c r="BF71" s="3">
        <f ca="1">IFERROR(__xludf.DUMMYFUNCTION("""COMPUTED_VALUE"""),-0.335130321229737)</f>
        <v>-0.33513032122973702</v>
      </c>
      <c r="BG71" s="3">
        <f ca="1">IFERROR(__xludf.DUMMYFUNCTION("""COMPUTED_VALUE"""),-0.522939649998013)</f>
        <v>-0.52293964999801301</v>
      </c>
      <c r="BH71" s="3">
        <f ca="1">IFERROR(__xludf.DUMMYFUNCTION("""COMPUTED_VALUE"""),-0.649939358761026)</f>
        <v>-0.64993935876102604</v>
      </c>
      <c r="BI71" s="3">
        <f ca="1">IFERROR(__xludf.DUMMYFUNCTION("""COMPUTED_VALUE"""),-0.645047372571901)</f>
        <v>-0.64504737257190103</v>
      </c>
      <c r="BJ71" s="3">
        <f ca="1">IFERROR(__xludf.DUMMYFUNCTION("""COMPUTED_VALUE"""),-0.670732433757235)</f>
        <v>-0.67073243375723501</v>
      </c>
      <c r="BK71" s="3">
        <f ca="1">IFERROR(__xludf.DUMMYFUNCTION("""COMPUTED_VALUE"""),-0.580891225043312)</f>
        <v>-0.58089122504331203</v>
      </c>
      <c r="BL71" s="3">
        <f ca="1">IFERROR(__xludf.DUMMYFUNCTION("""COMPUTED_VALUE"""),-0.328701915571225)</f>
        <v>-0.32870191557122502</v>
      </c>
      <c r="BM71" s="3">
        <f ca="1">IFERROR(__xludf.DUMMYFUNCTION("""COMPUTED_VALUE"""),-0.304957016739155)</f>
        <v>-0.30495701673915498</v>
      </c>
      <c r="BN71" s="3">
        <f ca="1">IFERROR(__xludf.DUMMYFUNCTION("""COMPUTED_VALUE"""),-0.576827961268137)</f>
        <v>-0.57682796126813696</v>
      </c>
      <c r="BO71" s="3">
        <f ca="1">IFERROR(__xludf.DUMMYFUNCTION("""COMPUTED_VALUE"""),-0.694550521847721)</f>
        <v>-0.69455052184772104</v>
      </c>
      <c r="BP71" s="3">
        <f ca="1">IFERROR(__xludf.DUMMYFUNCTION("""COMPUTED_VALUE"""),-0.650236414825649)</f>
        <v>-0.65023641482564898</v>
      </c>
      <c r="BQ71" s="3">
        <f ca="1">IFERROR(__xludf.DUMMYFUNCTION("""COMPUTED_VALUE"""),-0.650600502763493)</f>
        <v>-0.65060050276349302</v>
      </c>
      <c r="BR71" s="3">
        <f ca="1">IFERROR(__xludf.DUMMYFUNCTION("""COMPUTED_VALUE"""),-0.650456395508109)</f>
        <v>-0.65045639550810896</v>
      </c>
      <c r="BS71" s="3">
        <f ca="1">IFERROR(__xludf.DUMMYFUNCTION("""COMPUTED_VALUE"""),-0.350121287807094)</f>
        <v>-0.35012128780709401</v>
      </c>
      <c r="BT71" s="3">
        <f ca="1">IFERROR(__xludf.DUMMYFUNCTION("""COMPUTED_VALUE"""),-0.343892367262394)</f>
        <v>-0.34389236726239403</v>
      </c>
      <c r="BU71" s="3">
        <f ca="1">IFERROR(__xludf.DUMMYFUNCTION("""COMPUTED_VALUE"""),-0.611565661937487)</f>
        <v>-0.61156566193748696</v>
      </c>
      <c r="BV71" s="3">
        <f ca="1">IFERROR(__xludf.DUMMYFUNCTION("""COMPUTED_VALUE"""),-0.689930449297503)</f>
        <v>-0.68993044929750302</v>
      </c>
      <c r="BW71" s="3">
        <f ca="1">IFERROR(__xludf.DUMMYFUNCTION("""COMPUTED_VALUE"""),-0.656509938707981)</f>
        <v>-0.65650993870798102</v>
      </c>
      <c r="BX71" s="3">
        <f ca="1">IFERROR(__xludf.DUMMYFUNCTION("""COMPUTED_VALUE"""),-0.646367826293588)</f>
        <v>-0.64636782629358802</v>
      </c>
      <c r="BY71" s="3">
        <f ca="1">IFERROR(__xludf.DUMMYFUNCTION("""COMPUTED_VALUE"""),-0.56565692502914)</f>
        <v>-0.56565692502914</v>
      </c>
      <c r="BZ71" s="3">
        <f ca="1">IFERROR(__xludf.DUMMYFUNCTION("""COMPUTED_VALUE"""),-0.219367388323467)</f>
        <v>-0.219367388323467</v>
      </c>
      <c r="CA71" s="3">
        <f ca="1">IFERROR(__xludf.DUMMYFUNCTION("""COMPUTED_VALUE"""),-0.31096499849733)</f>
        <v>-0.31096499849733</v>
      </c>
      <c r="CB71" s="3">
        <f ca="1">IFERROR(__xludf.DUMMYFUNCTION("""COMPUTED_VALUE"""),-0.608080076864213)</f>
        <v>-0.60808007686421295</v>
      </c>
      <c r="CC71" s="3">
        <f ca="1">IFERROR(__xludf.DUMMYFUNCTION("""COMPUTED_VALUE"""),-0.657519934848098)</f>
        <v>-0.65751993484809801</v>
      </c>
      <c r="CD71" s="3">
        <f ca="1">IFERROR(__xludf.DUMMYFUNCTION("""COMPUTED_VALUE"""),-0.638135736174416)</f>
        <v>-0.63813573617441599</v>
      </c>
      <c r="CE71" s="3">
        <f ca="1">IFERROR(__xludf.DUMMYFUNCTION("""COMPUTED_VALUE"""),-0.619735387620196)</f>
        <v>-0.61973538762019598</v>
      </c>
      <c r="CF71" s="3">
        <f ca="1">IFERROR(__xludf.DUMMYFUNCTION("""COMPUTED_VALUE"""),-0.693867201323561)</f>
        <v>-0.69386720132356094</v>
      </c>
      <c r="CG71" s="3">
        <f ca="1">IFERROR(__xludf.DUMMYFUNCTION("""COMPUTED_VALUE"""),-0.446333862703907)</f>
        <v>-0.44633386270390701</v>
      </c>
      <c r="CH71" s="3">
        <f ca="1">IFERROR(__xludf.DUMMYFUNCTION("""COMPUTED_VALUE"""),-0.503580628054446)</f>
        <v>-0.50358062805444603</v>
      </c>
      <c r="CI71" s="3">
        <f ca="1">IFERROR(__xludf.DUMMYFUNCTION("""COMPUTED_VALUE"""),-0.686866725752156)</f>
        <v>-0.68686672575215602</v>
      </c>
      <c r="CJ71" s="3">
        <f ca="1">IFERROR(__xludf.DUMMYFUNCTION("""COMPUTED_VALUE"""),-0.659689559321925)</f>
        <v>-0.65968955932192497</v>
      </c>
      <c r="CK71" s="3">
        <f ca="1">IFERROR(__xludf.DUMMYFUNCTION("""COMPUTED_VALUE"""),-0.676365511721135)</f>
        <v>-0.67636551172113502</v>
      </c>
      <c r="CL71" s="3">
        <f ca="1">IFERROR(__xludf.DUMMYFUNCTION("""COMPUTED_VALUE"""),-0.660713542986615)</f>
        <v>-0.660713542986615</v>
      </c>
      <c r="CM71" s="3">
        <f ca="1">IFERROR(__xludf.DUMMYFUNCTION("""COMPUTED_VALUE"""),-0.577371606456726)</f>
        <v>-0.57737160645672603</v>
      </c>
      <c r="CN71" s="3">
        <f ca="1">IFERROR(__xludf.DUMMYFUNCTION("""COMPUTED_VALUE"""),-0.442827777089382)</f>
        <v>-0.44282777708938198</v>
      </c>
      <c r="CO71" s="3">
        <f ca="1">IFERROR(__xludf.DUMMYFUNCTION("""COMPUTED_VALUE"""),-0.48935371444119)</f>
        <v>-0.48935371444119002</v>
      </c>
      <c r="CP71" s="3">
        <f ca="1">IFERROR(__xludf.DUMMYFUNCTION("""COMPUTED_VALUE"""),-0.636478845388492)</f>
        <v>-0.63647884538849198</v>
      </c>
      <c r="CQ71" s="3">
        <f ca="1">IFERROR(__xludf.DUMMYFUNCTION("""COMPUTED_VALUE"""),-0.661744010853698)</f>
        <v>-0.66174401085369805</v>
      </c>
      <c r="CR71" s="3">
        <f ca="1">IFERROR(__xludf.DUMMYFUNCTION("""COMPUTED_VALUE"""),-0.625742158967703)</f>
        <v>-0.62574215896770302</v>
      </c>
      <c r="CS71" s="3">
        <f ca="1">IFERROR(__xludf.DUMMYFUNCTION("""COMPUTED_VALUE"""),-0.66735148197028)</f>
        <v>-0.66735148197028005</v>
      </c>
      <c r="CT71" s="3">
        <f ca="1">IFERROR(__xludf.DUMMYFUNCTION("""COMPUTED_VALUE"""),-0.680745398096018)</f>
        <v>-0.68074539809601797</v>
      </c>
      <c r="CU71" s="3">
        <f ca="1">IFERROR(__xludf.DUMMYFUNCTION("""COMPUTED_VALUE"""),-0.45572109158774)</f>
        <v>-0.45572109158773999</v>
      </c>
      <c r="CV71" s="3">
        <f ca="1">IFERROR(__xludf.DUMMYFUNCTION("""COMPUTED_VALUE"""),-0.535936514330317)</f>
        <v>-0.53593651433031697</v>
      </c>
      <c r="CW71" s="3">
        <f ca="1">IFERROR(__xludf.DUMMYFUNCTION("""COMPUTED_VALUE"""),-0.896615643221899)</f>
        <v>-0.89661564322189902</v>
      </c>
      <c r="CX71" s="3">
        <f ca="1">IFERROR(__xludf.DUMMYFUNCTION("""COMPUTED_VALUE"""),-0.684910066158909)</f>
        <v>-0.68491006615890904</v>
      </c>
      <c r="CY71" s="3">
        <f ca="1">IFERROR(__xludf.DUMMYFUNCTION("""COMPUTED_VALUE"""),-0.462981367716648)</f>
        <v>-0.462981367716648</v>
      </c>
      <c r="CZ71" s="3">
        <f ca="1">IFERROR(__xludf.DUMMYFUNCTION("""COMPUTED_VALUE"""),-0.636431420854823)</f>
        <v>-0.63643142085482296</v>
      </c>
      <c r="DA71" s="3">
        <f ca="1">IFERROR(__xludf.DUMMYFUNCTION("""COMPUTED_VALUE"""),-0.673587133762617)</f>
        <v>-0.67358713376261703</v>
      </c>
      <c r="DB71" s="3">
        <f ca="1">IFERROR(__xludf.DUMMYFUNCTION("""COMPUTED_VALUE"""),-0.446412117537242)</f>
        <v>-0.44641211753724203</v>
      </c>
      <c r="DC71" s="3">
        <f ca="1">IFERROR(__xludf.DUMMYFUNCTION("""COMPUTED_VALUE"""),-0.595469448406221)</f>
        <v>-0.59546944840622096</v>
      </c>
      <c r="DD71" s="3">
        <f ca="1">IFERROR(__xludf.DUMMYFUNCTION("""COMPUTED_VALUE"""),-0.940221057239208)</f>
        <v>-0.94022105723920801</v>
      </c>
      <c r="DE71" s="3">
        <f ca="1">IFERROR(__xludf.DUMMYFUNCTION("""COMPUTED_VALUE"""),-0.713476370003447)</f>
        <v>-0.71347637000344699</v>
      </c>
      <c r="DF71" s="3">
        <f ca="1">IFERROR(__xludf.DUMMYFUNCTION("""COMPUTED_VALUE"""),-0.20319061566389)</f>
        <v>-0.20319061566388999</v>
      </c>
      <c r="DG71" s="3">
        <f ca="1">IFERROR(__xludf.DUMMYFUNCTION("""COMPUTED_VALUE"""),-0.508717085765783)</f>
        <v>-0.50871708576578301</v>
      </c>
      <c r="DH71" s="3">
        <f ca="1">IFERROR(__xludf.DUMMYFUNCTION("""COMPUTED_VALUE"""),-0.596658871959094)</f>
        <v>-0.59665887195909395</v>
      </c>
      <c r="DI71" s="3">
        <f ca="1">IFERROR(__xludf.DUMMYFUNCTION("""COMPUTED_VALUE"""),-0.356158559656761)</f>
        <v>-0.35615855965676102</v>
      </c>
      <c r="DJ71" s="3">
        <f ca="1">IFERROR(__xludf.DUMMYFUNCTION("""COMPUTED_VALUE"""),-0.516656027726451)</f>
        <v>-0.51665602772645103</v>
      </c>
      <c r="DK71" s="3">
        <f ca="1">IFERROR(__xludf.DUMMYFUNCTION("""COMPUTED_VALUE"""),-0.518358269848255)</f>
        <v>-0.51835826984825495</v>
      </c>
      <c r="DL71" s="3">
        <f ca="1">IFERROR(__xludf.DUMMYFUNCTION("""COMPUTED_VALUE"""),-0.557046835008875)</f>
        <v>-0.55704683500887497</v>
      </c>
      <c r="DM71" s="3">
        <f ca="1">IFERROR(__xludf.DUMMYFUNCTION("""COMPUTED_VALUE"""),-0.517611337414514)</f>
        <v>-0.51761133741451404</v>
      </c>
      <c r="DN71" s="3">
        <f ca="1">IFERROR(__xludf.DUMMYFUNCTION("""COMPUTED_VALUE"""),-0.59927475422815)</f>
        <v>-0.59927475422815002</v>
      </c>
      <c r="DO71" s="3">
        <f ca="1">IFERROR(__xludf.DUMMYFUNCTION("""COMPUTED_VALUE"""),-0.628099203158718)</f>
        <v>-0.62809920315871803</v>
      </c>
      <c r="DP71" s="3">
        <f ca="1">IFERROR(__xludf.DUMMYFUNCTION("""COMPUTED_VALUE"""),-0.448886404187473)</f>
        <v>-0.448886404187473</v>
      </c>
      <c r="DQ71" s="3">
        <f ca="1">IFERROR(__xludf.DUMMYFUNCTION("""COMPUTED_VALUE"""),-0.506980552955041)</f>
        <v>-0.50698055295504096</v>
      </c>
      <c r="DR71" s="3">
        <f ca="1">IFERROR(__xludf.DUMMYFUNCTION("""COMPUTED_VALUE"""),-0.685353700390414)</f>
        <v>-0.68535370039041399</v>
      </c>
      <c r="DS71" s="3">
        <f ca="1">IFERROR(__xludf.DUMMYFUNCTION("""COMPUTED_VALUE"""),-0.705149176745599)</f>
        <v>-0.70514917674559896</v>
      </c>
      <c r="DT71" s="3">
        <f ca="1">IFERROR(__xludf.DUMMYFUNCTION("""COMPUTED_VALUE"""),-0.734231068506747)</f>
        <v>-0.73423106850674702</v>
      </c>
      <c r="DU71" s="3">
        <f ca="1">IFERROR(__xludf.DUMMYFUNCTION("""COMPUTED_VALUE"""),-0.711668317995851)</f>
        <v>-0.71166831799585095</v>
      </c>
      <c r="DV71" s="3">
        <f ca="1">IFERROR(__xludf.DUMMYFUNCTION("""COMPUTED_VALUE"""),-0.713885987674032)</f>
        <v>-0.713885987674032</v>
      </c>
      <c r="DW71" s="3">
        <f ca="1">IFERROR(__xludf.DUMMYFUNCTION("""COMPUTED_VALUE"""),-0.540105827366827)</f>
        <v>-0.540105827366827</v>
      </c>
      <c r="DX71" s="3">
        <f ca="1">IFERROR(__xludf.DUMMYFUNCTION("""COMPUTED_VALUE"""),-0.625323973876483)</f>
        <v>-0.62532397387648297</v>
      </c>
      <c r="DY71" s="3">
        <f ca="1">IFERROR(__xludf.DUMMYFUNCTION("""COMPUTED_VALUE"""),-0.666480513536608)</f>
        <v>-0.66648051353660798</v>
      </c>
      <c r="DZ71" s="3">
        <f ca="1">IFERROR(__xludf.DUMMYFUNCTION("""COMPUTED_VALUE"""),-0.624348679770383)</f>
        <v>-0.624348679770383</v>
      </c>
      <c r="EA71" s="3">
        <f ca="1">IFERROR(__xludf.DUMMYFUNCTION("""COMPUTED_VALUE"""),-0.728489106078474)</f>
        <v>-0.72848910607847395</v>
      </c>
      <c r="EB71" s="3">
        <f ca="1">IFERROR(__xludf.DUMMYFUNCTION("""COMPUTED_VALUE"""),-0.732808241922315)</f>
        <v>-0.73280824192231497</v>
      </c>
      <c r="EC71" s="3">
        <f ca="1">IFERROR(__xludf.DUMMYFUNCTION("""COMPUTED_VALUE"""),-0.726428178775395)</f>
        <v>-0.72642817877539501</v>
      </c>
      <c r="ED71" s="3">
        <f ca="1">IFERROR(__xludf.DUMMYFUNCTION("""COMPUTED_VALUE"""),-0.533092996877295)</f>
        <v>-0.53309299687729494</v>
      </c>
      <c r="EE71" s="3">
        <f ca="1">IFERROR(__xludf.DUMMYFUNCTION("""COMPUTED_VALUE"""),-0.682585164805749)</f>
        <v>-0.68258516480574905</v>
      </c>
      <c r="EF71" s="3">
        <f ca="1">IFERROR(__xludf.DUMMYFUNCTION("""COMPUTED_VALUE"""),-0.755187507573532)</f>
        <v>-0.75518750757353204</v>
      </c>
      <c r="EG71" s="3">
        <f ca="1">IFERROR(__xludf.DUMMYFUNCTION("""COMPUTED_VALUE"""),-0.949731374093743)</f>
        <v>-0.94973137409374297</v>
      </c>
      <c r="EH71" s="3">
        <f ca="1">IFERROR(__xludf.DUMMYFUNCTION("""COMPUTED_VALUE"""),-0.756397383851911)</f>
        <v>-0.75639738385191102</v>
      </c>
      <c r="EI71" s="3">
        <f ca="1">IFERROR(__xludf.DUMMYFUNCTION("""COMPUTED_VALUE"""),-0.757455524260586)</f>
        <v>-0.75745552426058604</v>
      </c>
      <c r="EJ71" s="3">
        <f ca="1">IFERROR(__xludf.DUMMYFUNCTION("""COMPUTED_VALUE"""),-0.743533265323057)</f>
        <v>-0.74353326532305697</v>
      </c>
      <c r="EK71" s="3">
        <f ca="1">IFERROR(__xludf.DUMMYFUNCTION("""COMPUTED_VALUE"""),-0.506247462811402)</f>
        <v>-0.50624746281140198</v>
      </c>
      <c r="EL71" s="3">
        <f ca="1">IFERROR(__xludf.DUMMYFUNCTION("""COMPUTED_VALUE"""),-0.608100945072277)</f>
        <v>-0.60810094507227697</v>
      </c>
      <c r="EM71" s="3">
        <f ca="1">IFERROR(__xludf.DUMMYFUNCTION("""COMPUTED_VALUE"""),-0.66536122858833)</f>
        <v>-0.66536122858833002</v>
      </c>
      <c r="EN71" s="3">
        <f ca="1">IFERROR(__xludf.DUMMYFUNCTION("""COMPUTED_VALUE"""),-0.622270067967197)</f>
        <v>-0.62227006796719697</v>
      </c>
      <c r="EO71" s="3">
        <f ca="1">IFERROR(__xludf.DUMMYFUNCTION("""COMPUTED_VALUE"""),-0.756290251742011)</f>
        <v>-0.75629025174201103</v>
      </c>
      <c r="EP71" s="3">
        <f ca="1">IFERROR(__xludf.DUMMYFUNCTION("""COMPUTED_VALUE"""),-0.738713102226873)</f>
        <v>-0.73871310222687303</v>
      </c>
      <c r="EQ71" s="3">
        <f ca="1">IFERROR(__xludf.DUMMYFUNCTION("""COMPUTED_VALUE"""),-0.723644031877155)</f>
        <v>-0.72364403187715498</v>
      </c>
      <c r="ER71" s="3">
        <f ca="1">IFERROR(__xludf.DUMMYFUNCTION("""COMPUTED_VALUE"""),-0.577101504756426)</f>
        <v>-0.57710150475642596</v>
      </c>
      <c r="ES71" s="3">
        <f ca="1">IFERROR(__xludf.DUMMYFUNCTION("""COMPUTED_VALUE"""),-0.629109118088873)</f>
        <v>-0.62910911808887304</v>
      </c>
      <c r="ET71" s="3">
        <f ca="1">IFERROR(__xludf.DUMMYFUNCTION("""COMPUTED_VALUE"""),-0.730108319767684)</f>
        <v>-0.73010831976768398</v>
      </c>
      <c r="EU71" s="3">
        <f ca="1">IFERROR(__xludf.DUMMYFUNCTION("""COMPUTED_VALUE"""),-0.723958006729488)</f>
        <v>-0.72395800672948796</v>
      </c>
      <c r="EV71" s="3">
        <f ca="1">IFERROR(__xludf.DUMMYFUNCTION("""COMPUTED_VALUE"""),-0.751569585159386)</f>
        <v>-0.75156958515938599</v>
      </c>
      <c r="EW71" s="3">
        <f ca="1">IFERROR(__xludf.DUMMYFUNCTION("""COMPUTED_VALUE"""),-0.739774109530461)</f>
        <v>-0.73977410953046097</v>
      </c>
      <c r="EX71" s="3">
        <f ca="1">IFERROR(__xludf.DUMMYFUNCTION("""COMPUTED_VALUE"""),-0.739531253786024)</f>
        <v>-0.73953125378602402</v>
      </c>
      <c r="EY71" s="3">
        <f ca="1">IFERROR(__xludf.DUMMYFUNCTION("""COMPUTED_VALUE"""),-0.588603261501175)</f>
        <v>-0.58860326150117503</v>
      </c>
      <c r="EZ71" s="3">
        <f ca="1">IFERROR(__xludf.DUMMYFUNCTION("""COMPUTED_VALUE"""),-0.636843947856834)</f>
        <v>-0.63684394785683396</v>
      </c>
      <c r="FA71" s="3">
        <f ca="1">IFERROR(__xludf.DUMMYFUNCTION("""COMPUTED_VALUE"""),-0.710213735698676)</f>
        <v>-0.71021373569867596</v>
      </c>
      <c r="FB71" s="3">
        <f ca="1">IFERROR(__xludf.DUMMYFUNCTION("""COMPUTED_VALUE"""),-0.714503551615406)</f>
        <v>-0.71450355161540602</v>
      </c>
      <c r="FC71" s="3">
        <f ca="1">IFERROR(__xludf.DUMMYFUNCTION("""COMPUTED_VALUE"""),-0.732991264842216)</f>
        <v>-0.73299126484221599</v>
      </c>
      <c r="FD71" s="3">
        <f ca="1">IFERROR(__xludf.DUMMYFUNCTION("""COMPUTED_VALUE"""),-0.740815007953546)</f>
        <v>-0.74081500795354605</v>
      </c>
      <c r="FE71" s="3">
        <f ca="1">IFERROR(__xludf.DUMMYFUNCTION("""COMPUTED_VALUE"""),-0.702551429295937)</f>
        <v>-0.70255142929593695</v>
      </c>
      <c r="FF71" s="3">
        <f ca="1">IFERROR(__xludf.DUMMYFUNCTION("""COMPUTED_VALUE"""),-0.539189733488618)</f>
        <v>-0.53918973348861798</v>
      </c>
      <c r="FG71" s="3">
        <f ca="1">IFERROR(__xludf.DUMMYFUNCTION("""COMPUTED_VALUE"""),-0.618996299457514)</f>
        <v>-0.618996299457514</v>
      </c>
      <c r="FH71" s="3">
        <f ca="1">IFERROR(__xludf.DUMMYFUNCTION("""COMPUTED_VALUE"""),-0.692901042003205)</f>
        <v>-0.69290104200320501</v>
      </c>
      <c r="FI71" s="3">
        <f ca="1">IFERROR(__xludf.DUMMYFUNCTION("""COMPUTED_VALUE"""),-0.709140038032541)</f>
        <v>-0.709140038032541</v>
      </c>
      <c r="FJ71" s="3">
        <f ca="1">IFERROR(__xludf.DUMMYFUNCTION("""COMPUTED_VALUE"""),-0.719203228454991)</f>
        <v>-0.71920322845499096</v>
      </c>
      <c r="FK71" s="3">
        <f ca="1">IFERROR(__xludf.DUMMYFUNCTION("""COMPUTED_VALUE"""),-0.731591456759181)</f>
        <v>-0.73159145675918102</v>
      </c>
      <c r="FL71" s="3">
        <f ca="1">IFERROR(__xludf.DUMMYFUNCTION("""COMPUTED_VALUE"""),-0.700766525732247)</f>
        <v>-0.70076652573224696</v>
      </c>
      <c r="FM71" s="3">
        <f ca="1">IFERROR(__xludf.DUMMYFUNCTION("""COMPUTED_VALUE"""),-0.531560529692809)</f>
        <v>-0.53156052969280898</v>
      </c>
      <c r="FN71" s="3">
        <f ca="1">IFERROR(__xludf.DUMMYFUNCTION("""COMPUTED_VALUE"""),-0.589224757222874)</f>
        <v>-0.58922475722287404</v>
      </c>
      <c r="FO71" s="3">
        <f ca="1">IFERROR(__xludf.DUMMYFUNCTION("""COMPUTED_VALUE"""),-0.683155137874603)</f>
        <v>-0.68315513787460302</v>
      </c>
      <c r="FP71" s="3">
        <f ca="1">IFERROR(__xludf.DUMMYFUNCTION("""COMPUTED_VALUE"""),-0.694935260887008)</f>
        <v>-0.69493526088700797</v>
      </c>
      <c r="FQ71" s="3">
        <f ca="1">IFERROR(__xludf.DUMMYFUNCTION("""COMPUTED_VALUE"""),-0.7265845847536)</f>
        <v>-0.72658458475359999</v>
      </c>
      <c r="FR71" s="3">
        <f ca="1">IFERROR(__xludf.DUMMYFUNCTION("""COMPUTED_VALUE"""),-0.718267043580024)</f>
        <v>-0.71826704358002402</v>
      </c>
      <c r="FS71" s="3">
        <f ca="1">IFERROR(__xludf.DUMMYFUNCTION("""COMPUTED_VALUE"""),-0.688396202978221)</f>
        <v>-0.68839620297822102</v>
      </c>
      <c r="FT71" s="3">
        <f ca="1">IFERROR(__xludf.DUMMYFUNCTION("""COMPUTED_VALUE"""),-0.529513854319118)</f>
        <v>-0.52951385431911802</v>
      </c>
      <c r="FU71" s="3">
        <f ca="1">IFERROR(__xludf.DUMMYFUNCTION("""COMPUTED_VALUE"""),-0.573814216236758)</f>
        <v>-0.57381421623675799</v>
      </c>
      <c r="FV71" s="3">
        <f ca="1">IFERROR(__xludf.DUMMYFUNCTION("""COMPUTED_VALUE"""),-0.673415884906536)</f>
        <v>-0.67341588490653603</v>
      </c>
      <c r="FW71" s="3">
        <f ca="1">IFERROR(__xludf.DUMMYFUNCTION("""COMPUTED_VALUE"""),-0.686426723967911)</f>
        <v>-0.68642672396791105</v>
      </c>
      <c r="FX71" s="3">
        <f ca="1">IFERROR(__xludf.DUMMYFUNCTION("""COMPUTED_VALUE"""),-0.672036408174989)</f>
        <v>-0.672036408174989</v>
      </c>
      <c r="FY71" s="3">
        <f ca="1">IFERROR(__xludf.DUMMYFUNCTION("""COMPUTED_VALUE"""),-0.679975278343818)</f>
        <v>-0.67997527834381799</v>
      </c>
      <c r="FZ71" s="3">
        <f ca="1">IFERROR(__xludf.DUMMYFUNCTION("""COMPUTED_VALUE"""),-0.664453330746319)</f>
        <v>-0.66445333074631896</v>
      </c>
      <c r="GA71" s="3">
        <f ca="1">IFERROR(__xludf.DUMMYFUNCTION("""COMPUTED_VALUE"""),-0.547995486141728)</f>
        <v>-0.54799548614172799</v>
      </c>
      <c r="GB71" s="3">
        <f ca="1">IFERROR(__xludf.DUMMYFUNCTION("""COMPUTED_VALUE"""),-0.610894082810082)</f>
        <v>-0.61089408281008195</v>
      </c>
      <c r="GC71" s="3">
        <f ca="1">IFERROR(__xludf.DUMMYFUNCTION("""COMPUTED_VALUE"""),-0.663710378380495)</f>
        <v>-0.66371037838049496</v>
      </c>
      <c r="GD71" s="3">
        <f ca="1">IFERROR(__xludf.DUMMYFUNCTION("""COMPUTED_VALUE"""),-0.691345396215839)</f>
        <v>-0.69134539621583901</v>
      </c>
      <c r="GE71" s="3">
        <f ca="1">IFERROR(__xludf.DUMMYFUNCTION("""COMPUTED_VALUE"""),-0.690081812040085)</f>
        <v>-0.69008181204008501</v>
      </c>
      <c r="GF71" s="3">
        <f ca="1">IFERROR(__xludf.DUMMYFUNCTION("""COMPUTED_VALUE"""),-0.71232856783192)</f>
        <v>-0.71232856783192</v>
      </c>
      <c r="GG71" s="3">
        <f ca="1">IFERROR(__xludf.DUMMYFUNCTION("""COMPUTED_VALUE"""),-0.673839877417308)</f>
        <v>-0.673839877417308</v>
      </c>
      <c r="GH71" s="3">
        <f ca="1">IFERROR(__xludf.DUMMYFUNCTION("""COMPUTED_VALUE"""),-0.559696004482049)</f>
        <v>-0.55969600448204904</v>
      </c>
      <c r="GI71" s="3">
        <f ca="1">IFERROR(__xludf.DUMMYFUNCTION("""COMPUTED_VALUE"""),-0.65183516851903)</f>
        <v>-0.65183516851903001</v>
      </c>
      <c r="GJ71" s="3">
        <f ca="1">IFERROR(__xludf.DUMMYFUNCTION("""COMPUTED_VALUE"""),-0.691605789987465)</f>
        <v>-0.69160578998746502</v>
      </c>
      <c r="GK71" s="3">
        <f ca="1">IFERROR(__xludf.DUMMYFUNCTION("""COMPUTED_VALUE"""),-0.740249491156972)</f>
        <v>-0.74024949115697203</v>
      </c>
      <c r="GL71" s="3">
        <f ca="1">IFERROR(__xludf.DUMMYFUNCTION("""COMPUTED_VALUE"""),-0.69766365089639)</f>
        <v>-0.69766365089639004</v>
      </c>
      <c r="GM71" s="3">
        <f ca="1">IFERROR(__xludf.DUMMYFUNCTION("""COMPUTED_VALUE"""),-0.708992352008928)</f>
        <v>-0.70899235200892796</v>
      </c>
      <c r="GN71" s="3">
        <f ca="1">IFERROR(__xludf.DUMMYFUNCTION("""COMPUTED_VALUE"""),-0.696010798207514)</f>
        <v>-0.69601079820751399</v>
      </c>
      <c r="GO71" s="3">
        <f ca="1">IFERROR(__xludf.DUMMYFUNCTION("""COMPUTED_VALUE"""),-0.528378438249994)</f>
        <v>-0.52837843824999398</v>
      </c>
      <c r="GP71" s="3">
        <f ca="1">IFERROR(__xludf.DUMMYFUNCTION("""COMPUTED_VALUE"""),-0.607386919551529)</f>
        <v>-0.60738691955152901</v>
      </c>
      <c r="GQ71" s="3">
        <f ca="1">IFERROR(__xludf.DUMMYFUNCTION("""COMPUTED_VALUE"""),-0.682097420723889)</f>
        <v>-0.68209742072388901</v>
      </c>
      <c r="GR71" s="3">
        <f ca="1">IFERROR(__xludf.DUMMYFUNCTION("""COMPUTED_VALUE"""),-0.710539024634572)</f>
        <v>-0.71053902463457197</v>
      </c>
      <c r="GS71" s="3">
        <f ca="1">IFERROR(__xludf.DUMMYFUNCTION("""COMPUTED_VALUE"""),-0.682771368508105)</f>
        <v>-0.68277136850810505</v>
      </c>
      <c r="GT71" s="3">
        <f ca="1">IFERROR(__xludf.DUMMYFUNCTION("""COMPUTED_VALUE"""),-0.707206385679935)</f>
        <v>-0.70720638567993499</v>
      </c>
      <c r="GU71" s="3">
        <f ca="1">IFERROR(__xludf.DUMMYFUNCTION("""COMPUTED_VALUE"""),-0.687778615060575)</f>
        <v>-0.68777861506057503</v>
      </c>
      <c r="GV71" s="3">
        <f ca="1">IFERROR(__xludf.DUMMYFUNCTION("""COMPUTED_VALUE"""),-0.491367388548396)</f>
        <v>-0.49136738854839601</v>
      </c>
      <c r="GW71" s="3">
        <f ca="1">IFERROR(__xludf.DUMMYFUNCTION("""COMPUTED_VALUE"""),-0.602746406409805)</f>
        <v>-0.60274640640980504</v>
      </c>
      <c r="GX71" s="3">
        <f ca="1">IFERROR(__xludf.DUMMYFUNCTION("""COMPUTED_VALUE"""),-0.672392868323737)</f>
        <v>-0.67239286832373701</v>
      </c>
      <c r="GY71" s="3">
        <f ca="1">IFERROR(__xludf.DUMMYFUNCTION("""COMPUTED_VALUE"""),-0.682933360421915)</f>
        <v>-0.68293336042191499</v>
      </c>
      <c r="GZ71" s="3">
        <f ca="1">IFERROR(__xludf.DUMMYFUNCTION("""COMPUTED_VALUE"""),-0.672671885774896)</f>
        <v>-0.67267188577489601</v>
      </c>
      <c r="HA71" s="3">
        <f ca="1">IFERROR(__xludf.DUMMYFUNCTION("""COMPUTED_VALUE"""),-0.693381404924236)</f>
        <v>-0.69338140492423594</v>
      </c>
      <c r="HB71" s="3">
        <f ca="1">IFERROR(__xludf.DUMMYFUNCTION("""COMPUTED_VALUE"""),-0.679935605588699)</f>
        <v>-0.67993560558869903</v>
      </c>
      <c r="HC71" s="3">
        <f ca="1">IFERROR(__xludf.DUMMYFUNCTION("""COMPUTED_VALUE"""),-0.483081174730269)</f>
        <v>-0.48308117473026901</v>
      </c>
      <c r="HD71" s="3">
        <f ca="1">IFERROR(__xludf.DUMMYFUNCTION("""COMPUTED_VALUE"""),-0.623851850307273)</f>
        <v>-0.62385185030727297</v>
      </c>
      <c r="HE71" s="3">
        <f ca="1">IFERROR(__xludf.DUMMYFUNCTION("""COMPUTED_VALUE"""),-0.692285210961777)</f>
        <v>-0.69228521096177698</v>
      </c>
      <c r="HF71" s="3">
        <f ca="1">IFERROR(__xludf.DUMMYFUNCTION("""COMPUTED_VALUE"""),-0.666550467599269)</f>
        <v>-0.66655046759926895</v>
      </c>
      <c r="HG71" s="3">
        <f ca="1">IFERROR(__xludf.DUMMYFUNCTION("""COMPUTED_VALUE"""),-0.625082595465931)</f>
        <v>-0.62508259546593103</v>
      </c>
      <c r="HH71" s="3">
        <f ca="1">IFERROR(__xludf.DUMMYFUNCTION("""COMPUTED_VALUE"""),-0.668437487729453)</f>
        <v>-0.66843748772945299</v>
      </c>
      <c r="HI71" s="3">
        <f ca="1">IFERROR(__xludf.DUMMYFUNCTION("""COMPUTED_VALUE"""),-0.737356008805399)</f>
        <v>-0.73735600880539898</v>
      </c>
      <c r="HJ71" s="3">
        <f ca="1">IFERROR(__xludf.DUMMYFUNCTION("""COMPUTED_VALUE"""),-0.479382304997141)</f>
        <v>-0.47938230499714102</v>
      </c>
      <c r="HK71" s="3">
        <f ca="1">IFERROR(__xludf.DUMMYFUNCTION("""COMPUTED_VALUE"""),-0.56361970570864)</f>
        <v>-0.56361970570863995</v>
      </c>
      <c r="HL71" s="3">
        <f ca="1">IFERROR(__xludf.DUMMYFUNCTION("""COMPUTED_VALUE"""),-0.685375680528748)</f>
        <v>-0.68537568052874798</v>
      </c>
      <c r="HM71" s="3">
        <f ca="1">IFERROR(__xludf.DUMMYFUNCTION("""COMPUTED_VALUE"""),-0.6633490181962)</f>
        <v>-0.66334901819619996</v>
      </c>
      <c r="HN71" s="3">
        <f ca="1">IFERROR(__xludf.DUMMYFUNCTION("""COMPUTED_VALUE"""),-0.648594511191134)</f>
        <v>-0.64859451119113398</v>
      </c>
      <c r="HO71" s="3">
        <f ca="1">IFERROR(__xludf.DUMMYFUNCTION("""COMPUTED_VALUE"""),-0.664589059889185)</f>
        <v>-0.66458905988918504</v>
      </c>
      <c r="HP71" s="3">
        <f ca="1">IFERROR(__xludf.DUMMYFUNCTION("""COMPUTED_VALUE"""),-0.515267956710738)</f>
        <v>-0.515267956710738</v>
      </c>
      <c r="HQ71" s="3">
        <f ca="1">IFERROR(__xludf.DUMMYFUNCTION("""COMPUTED_VALUE"""),-0.494617477488937)</f>
        <v>-0.49461747748893697</v>
      </c>
      <c r="HR71" s="3">
        <f ca="1">IFERROR(__xludf.DUMMYFUNCTION("""COMPUTED_VALUE"""),-0.477016760343176)</f>
        <v>-0.47701676034317603</v>
      </c>
      <c r="HS71" s="3">
        <f ca="1">IFERROR(__xludf.DUMMYFUNCTION("""COMPUTED_VALUE"""),-0.62376395406979)</f>
        <v>-0.62376395406979002</v>
      </c>
      <c r="HT71" s="3">
        <f ca="1">IFERROR(__xludf.DUMMYFUNCTION("""COMPUTED_VALUE"""),-0.665897041901127)</f>
        <v>-0.66589704190112697</v>
      </c>
      <c r="HU71" s="3">
        <f ca="1">IFERROR(__xludf.DUMMYFUNCTION("""COMPUTED_VALUE"""),-0.605068940889287)</f>
        <v>-0.60506894088928698</v>
      </c>
      <c r="HV71" s="3">
        <f ca="1">IFERROR(__xludf.DUMMYFUNCTION("""COMPUTED_VALUE"""),-0.629226024714696)</f>
        <v>-0.62922602471469602</v>
      </c>
      <c r="HW71" s="3">
        <f ca="1">IFERROR(__xludf.DUMMYFUNCTION("""COMPUTED_VALUE"""),-0.498196291192897)</f>
        <v>-0.49819629119289699</v>
      </c>
      <c r="HX71" s="3">
        <f ca="1">IFERROR(__xludf.DUMMYFUNCTION("""COMPUTED_VALUE"""),-0.435278396619896)</f>
        <v>-0.43527839661989598</v>
      </c>
      <c r="HY71" s="3">
        <f ca="1">IFERROR(__xludf.DUMMYFUNCTION("""COMPUTED_VALUE"""),-0.529619909604534)</f>
        <v>-0.52961990960453398</v>
      </c>
      <c r="HZ71" s="3">
        <f ca="1">IFERROR(__xludf.DUMMYFUNCTION("""COMPUTED_VALUE"""),-0.667431312684056)</f>
        <v>-0.66743131268405598</v>
      </c>
      <c r="IA71" s="3">
        <f ca="1">IFERROR(__xludf.DUMMYFUNCTION("""COMPUTED_VALUE"""),-0.70918501509677)</f>
        <v>-0.70918501509677001</v>
      </c>
      <c r="IB71" s="3">
        <f ca="1">IFERROR(__xludf.DUMMYFUNCTION("""COMPUTED_VALUE"""),-0.690051410498477)</f>
        <v>-0.69005141049847696</v>
      </c>
      <c r="IC71" s="3">
        <f ca="1">IFERROR(__xludf.DUMMYFUNCTION("""COMPUTED_VALUE"""),-0.729933526216445)</f>
        <v>-0.72993352621644503</v>
      </c>
      <c r="ID71" s="3">
        <f ca="1">IFERROR(__xludf.DUMMYFUNCTION("""COMPUTED_VALUE"""),-0.72497030588459)</f>
        <v>-0.72497030588458999</v>
      </c>
      <c r="IE71" s="3">
        <f ca="1">IFERROR(__xludf.DUMMYFUNCTION("""COMPUTED_VALUE"""),-0.57515885083636)</f>
        <v>-0.57515885083635998</v>
      </c>
      <c r="IF71" s="3">
        <f ca="1">IFERROR(__xludf.DUMMYFUNCTION("""COMPUTED_VALUE"""),-0.585710311694756)</f>
        <v>-0.58571031169475596</v>
      </c>
      <c r="IG71" s="3">
        <f ca="1">IFERROR(__xludf.DUMMYFUNCTION("""COMPUTED_VALUE"""),-0.681217475903557)</f>
        <v>-0.68121747590355697</v>
      </c>
      <c r="IH71" s="3">
        <f ca="1">IFERROR(__xludf.DUMMYFUNCTION("""COMPUTED_VALUE"""),-0.690280888464021)</f>
        <v>-0.69028088846402103</v>
      </c>
      <c r="II71" s="3">
        <f ca="1">IFERROR(__xludf.DUMMYFUNCTION("""COMPUTED_VALUE"""),-0.705367418731134)</f>
        <v>-0.70536741873113395</v>
      </c>
      <c r="IJ71" s="3">
        <f ca="1">IFERROR(__xludf.DUMMYFUNCTION("""COMPUTED_VALUE"""),-0.712784659074173)</f>
        <v>-0.71278465907417299</v>
      </c>
      <c r="IK71" s="3">
        <f ca="1">IFERROR(__xludf.DUMMYFUNCTION("""COMPUTED_VALUE"""),-0.710164731810651)</f>
        <v>-0.71016473181065098</v>
      </c>
      <c r="IL71" s="3">
        <f ca="1">IFERROR(__xludf.DUMMYFUNCTION("""COMPUTED_VALUE"""),-0.567067779744849)</f>
        <v>-0.56706777974484901</v>
      </c>
      <c r="IM71" s="3">
        <f ca="1">IFERROR(__xludf.DUMMYFUNCTION("""COMPUTED_VALUE"""),-0.525307235631683)</f>
        <v>-0.52530723563168302</v>
      </c>
      <c r="IN71" s="3">
        <f ca="1">IFERROR(__xludf.DUMMYFUNCTION("""COMPUTED_VALUE"""),-0.578697688822362)</f>
        <v>-0.57869768882236206</v>
      </c>
      <c r="IO71" s="3">
        <f ca="1">IFERROR(__xludf.DUMMYFUNCTION("""COMPUTED_VALUE"""),-0.542887172788875)</f>
        <v>-0.54288717278887499</v>
      </c>
      <c r="IP71" s="3">
        <f ca="1">IFERROR(__xludf.DUMMYFUNCTION("""COMPUTED_VALUE"""),-0.583580005035094)</f>
        <v>-0.583580005035094</v>
      </c>
      <c r="IQ71" s="3">
        <f ca="1">IFERROR(__xludf.DUMMYFUNCTION("""COMPUTED_VALUE"""),-0.565196261538393)</f>
        <v>-0.56519626153839297</v>
      </c>
      <c r="IR71" s="3">
        <f ca="1">IFERROR(__xludf.DUMMYFUNCTION("""COMPUTED_VALUE"""),-0.538026496953534)</f>
        <v>-0.53802649695353399</v>
      </c>
      <c r="IS71" s="3">
        <f ca="1">IFERROR(__xludf.DUMMYFUNCTION("""COMPUTED_VALUE"""),-0.464765033849251)</f>
        <v>-0.464765033849251</v>
      </c>
      <c r="IT71" s="3">
        <f ca="1">IFERROR(__xludf.DUMMYFUNCTION("""COMPUTED_VALUE"""),-0.434613988829279)</f>
        <v>-0.43461398882927899</v>
      </c>
      <c r="IU71" s="3">
        <f ca="1">IFERROR(__xludf.DUMMYFUNCTION("""COMPUTED_VALUE"""),-0.495268703769529)</f>
        <v>-0.49526870376952897</v>
      </c>
      <c r="IV71" s="3">
        <f ca="1">IFERROR(__xludf.DUMMYFUNCTION("""COMPUTED_VALUE"""),-0.550140687845548)</f>
        <v>-0.55014068784554804</v>
      </c>
      <c r="IW71" s="3">
        <f ca="1">IFERROR(__xludf.DUMMYFUNCTION("""COMPUTED_VALUE"""),-0.567692827208225)</f>
        <v>-0.567692827208225</v>
      </c>
      <c r="IX71" s="3">
        <f ca="1">IFERROR(__xludf.DUMMYFUNCTION("""COMPUTED_VALUE"""),-0.573329139270966)</f>
        <v>-0.57332913927096596</v>
      </c>
      <c r="IY71" s="3">
        <f ca="1">IFERROR(__xludf.DUMMYFUNCTION("""COMPUTED_VALUE"""),-0.548352940602308)</f>
        <v>-0.54835294060230799</v>
      </c>
      <c r="IZ71" s="3">
        <f ca="1">IFERROR(__xludf.DUMMYFUNCTION("""COMPUTED_VALUE"""),-0.420666462425285)</f>
        <v>-0.42066646242528499</v>
      </c>
      <c r="JA71" s="3">
        <f ca="1">IFERROR(__xludf.DUMMYFUNCTION("""COMPUTED_VALUE"""),-0.496946198934419)</f>
        <v>-0.49694619893441899</v>
      </c>
      <c r="JB71" s="3">
        <f ca="1">IFERROR(__xludf.DUMMYFUNCTION("""COMPUTED_VALUE"""),-0.635386270986518)</f>
        <v>-0.63538627098651801</v>
      </c>
      <c r="JC71" s="3">
        <f ca="1">IFERROR(__xludf.DUMMYFUNCTION("""COMPUTED_VALUE"""),-0.560235870044508)</f>
        <v>-0.56023587004450803</v>
      </c>
      <c r="JD71" s="3">
        <f ca="1">IFERROR(__xludf.DUMMYFUNCTION("""COMPUTED_VALUE"""),-0.544491841189748)</f>
        <v>-0.54449184118974803</v>
      </c>
      <c r="JE71" s="3">
        <f ca="1">IFERROR(__xludf.DUMMYFUNCTION("""COMPUTED_VALUE"""),-0.591914581327505)</f>
        <v>-0.59191458132750496</v>
      </c>
      <c r="JF71" s="3">
        <f ca="1">IFERROR(__xludf.DUMMYFUNCTION("""COMPUTED_VALUE"""),-0.495032526820421)</f>
        <v>-0.49503252682042098</v>
      </c>
      <c r="JG71" s="3">
        <f ca="1">IFERROR(__xludf.DUMMYFUNCTION("""COMPUTED_VALUE"""),-0.445716846045354)</f>
        <v>-0.445716846045354</v>
      </c>
      <c r="JH71" s="3">
        <f ca="1">IFERROR(__xludf.DUMMYFUNCTION("""COMPUTED_VALUE"""),-0.473006349406435)</f>
        <v>-0.47300634940643499</v>
      </c>
      <c r="JI71" s="3">
        <f ca="1">IFERROR(__xludf.DUMMYFUNCTION("""COMPUTED_VALUE"""),-0.562547276087719)</f>
        <v>-0.56254727608771904</v>
      </c>
      <c r="JJ71" s="3">
        <f ca="1">IFERROR(__xludf.DUMMYFUNCTION("""COMPUTED_VALUE"""),-0.574724836234623)</f>
        <v>-0.574724836234623</v>
      </c>
      <c r="JK71" s="3">
        <f ca="1">IFERROR(__xludf.DUMMYFUNCTION("""COMPUTED_VALUE"""),-0.5592883529436)</f>
        <v>-0.55928835294360002</v>
      </c>
      <c r="JL71" s="3">
        <f ca="1">IFERROR(__xludf.DUMMYFUNCTION("""COMPUTED_VALUE"""),-0.543347642958144)</f>
        <v>-0.54334764295814397</v>
      </c>
      <c r="JM71" s="3">
        <f ca="1">IFERROR(__xludf.DUMMYFUNCTION("""COMPUTED_VALUE"""),-0.48686089855634)</f>
        <v>-0.48686089855634002</v>
      </c>
      <c r="JN71" s="3">
        <f ca="1">IFERROR(__xludf.DUMMYFUNCTION("""COMPUTED_VALUE"""),-0.480634799990362)</f>
        <v>-0.48063479999036202</v>
      </c>
      <c r="JO71" s="3">
        <f ca="1">IFERROR(__xludf.DUMMYFUNCTION("""COMPUTED_VALUE"""),-0.458138186690687)</f>
        <v>-0.45813818669068701</v>
      </c>
      <c r="JP71" s="3">
        <f ca="1">IFERROR(__xludf.DUMMYFUNCTION("""COMPUTED_VALUE"""),-0.507700238860175)</f>
        <v>-0.50770023886017501</v>
      </c>
      <c r="JQ71" s="3">
        <f ca="1">IFERROR(__xludf.DUMMYFUNCTION("""COMPUTED_VALUE"""),-0.458349260858712)</f>
        <v>-0.45834926085871203</v>
      </c>
      <c r="JR71" s="3">
        <f ca="1">IFERROR(__xludf.DUMMYFUNCTION("""COMPUTED_VALUE"""),-0.577289207409869)</f>
        <v>-0.577289207409869</v>
      </c>
      <c r="JS71" s="3">
        <f ca="1">IFERROR(__xludf.DUMMYFUNCTION("""COMPUTED_VALUE"""),-0.529182481064506)</f>
        <v>-0.52918248106450605</v>
      </c>
      <c r="JT71" s="3">
        <f ca="1">IFERROR(__xludf.DUMMYFUNCTION("""COMPUTED_VALUE"""),-0.496423074446143)</f>
        <v>-0.49642307444614298</v>
      </c>
      <c r="JU71" s="3">
        <f ca="1">IFERROR(__xludf.DUMMYFUNCTION("""COMPUTED_VALUE"""),-0.441632990810042)</f>
        <v>-0.44163299081004198</v>
      </c>
      <c r="JV71" s="3">
        <f ca="1">IFERROR(__xludf.DUMMYFUNCTION("""COMPUTED_VALUE"""),-0.647605509321269)</f>
        <v>-0.64760550932126904</v>
      </c>
      <c r="JW71" s="3">
        <f ca="1">IFERROR(__xludf.DUMMYFUNCTION("""COMPUTED_VALUE"""),-0.548962999623617)</f>
        <v>-0.54896299962361705</v>
      </c>
      <c r="JX71" s="3">
        <f ca="1">IFERROR(__xludf.DUMMYFUNCTION("""COMPUTED_VALUE"""),-0.435920915779652)</f>
        <v>-0.43592091577965197</v>
      </c>
      <c r="JY71" s="3">
        <f ca="1">IFERROR(__xludf.DUMMYFUNCTION("""COMPUTED_VALUE"""),-0.541935071952029)</f>
        <v>-0.54193507195202895</v>
      </c>
      <c r="JZ71" s="3">
        <f ca="1">IFERROR(__xludf.DUMMYFUNCTION("""COMPUTED_VALUE"""),-0.535439914279631)</f>
        <v>-0.535439914279631</v>
      </c>
      <c r="KA71" s="3">
        <f ca="1">IFERROR(__xludf.DUMMYFUNCTION("""COMPUTED_VALUE"""),-0.536794256277966)</f>
        <v>-0.53679425627796595</v>
      </c>
      <c r="KB71" s="3">
        <f ca="1">IFERROR(__xludf.DUMMYFUNCTION("""COMPUTED_VALUE"""),-0.53308621710117)</f>
        <v>-0.53308621710116999</v>
      </c>
      <c r="KC71" s="3">
        <f ca="1">IFERROR(__xludf.DUMMYFUNCTION("""COMPUTED_VALUE"""),-0.520909434874769)</f>
        <v>-0.52090943487476904</v>
      </c>
      <c r="KD71" s="3">
        <f ca="1">IFERROR(__xludf.DUMMYFUNCTION("""COMPUTED_VALUE"""),-0.467654910183242)</f>
        <v>-0.46765491018324201</v>
      </c>
      <c r="KE71" s="3">
        <f ca="1">IFERROR(__xludf.DUMMYFUNCTION("""COMPUTED_VALUE"""),-0.452187003674869)</f>
        <v>-0.45218700367486903</v>
      </c>
      <c r="KF71" s="3">
        <f ca="1">IFERROR(__xludf.DUMMYFUNCTION("""COMPUTED_VALUE"""),-0.552534639561473)</f>
        <v>-0.55253463956147297</v>
      </c>
      <c r="KG71" s="3">
        <f ca="1">IFERROR(__xludf.DUMMYFUNCTION("""COMPUTED_VALUE"""),-0.540756616021616)</f>
        <v>-0.54075661602161595</v>
      </c>
      <c r="KH71" s="3">
        <f ca="1">IFERROR(__xludf.DUMMYFUNCTION("""COMPUTED_VALUE"""),-0.51525908472995)</f>
        <v>-0.51525908472994997</v>
      </c>
      <c r="KI71" s="3">
        <f ca="1">IFERROR(__xludf.DUMMYFUNCTION("""COMPUTED_VALUE"""),-0.418136855010728)</f>
        <v>-0.418136855010728</v>
      </c>
      <c r="KJ71" s="3">
        <f ca="1">IFERROR(__xludf.DUMMYFUNCTION("""COMPUTED_VALUE"""),-0.455386264824228)</f>
        <v>-0.455386264824228</v>
      </c>
      <c r="KK71" s="3">
        <f ca="1">IFERROR(__xludf.DUMMYFUNCTION("""COMPUTED_VALUE"""),-0.525496203892582)</f>
        <v>-0.525496203892582</v>
      </c>
      <c r="KL71" s="3">
        <f ca="1">IFERROR(__xludf.DUMMYFUNCTION("""COMPUTED_VALUE"""),-0.566170908408731)</f>
        <v>-0.56617090840873097</v>
      </c>
      <c r="KM71" s="3">
        <f ca="1">IFERROR(__xludf.DUMMYFUNCTION("""COMPUTED_VALUE"""),-0.547625491935843)</f>
        <v>-0.54762549193584298</v>
      </c>
      <c r="KN71" s="3">
        <f ca="1">IFERROR(__xludf.DUMMYFUNCTION("""COMPUTED_VALUE"""),-0.549893112351299)</f>
        <v>-0.54989311235129901</v>
      </c>
      <c r="KO71" s="3">
        <f ca="1">IFERROR(__xludf.DUMMYFUNCTION("""COMPUTED_VALUE"""),-0.535209901898332)</f>
        <v>-0.53520990189833195</v>
      </c>
      <c r="KP71" s="3">
        <f ca="1">IFERROR(__xludf.DUMMYFUNCTION("""COMPUTED_VALUE"""),-0.579204341095412)</f>
        <v>-0.57920434109541197</v>
      </c>
      <c r="KQ71" s="3">
        <f ca="1">IFERROR(__xludf.DUMMYFUNCTION("""COMPUTED_VALUE"""),-0.508130893609834)</f>
        <v>-0.50813089360983399</v>
      </c>
      <c r="KR71" s="3">
        <f ca="1">IFERROR(__xludf.DUMMYFUNCTION("""COMPUTED_VALUE"""),-0.544651564383152)</f>
        <v>-0.54465156438315199</v>
      </c>
      <c r="KS71" s="3">
        <f ca="1">IFERROR(__xludf.DUMMYFUNCTION("""COMPUTED_VALUE"""),-0.561772104074085)</f>
        <v>-0.56177210407408495</v>
      </c>
      <c r="KT71" s="3">
        <f ca="1">IFERROR(__xludf.DUMMYFUNCTION("""COMPUTED_VALUE"""),-0.538492376351866)</f>
        <v>-0.53849237635186598</v>
      </c>
      <c r="KU71" s="3">
        <f ca="1">IFERROR(__xludf.DUMMYFUNCTION("""COMPUTED_VALUE"""),-0.538441146938098)</f>
        <v>-0.53844114693809797</v>
      </c>
      <c r="KV71" s="3">
        <f ca="1">IFERROR(__xludf.DUMMYFUNCTION("""COMPUTED_VALUE"""),-0.589033266256736)</f>
        <v>-0.58903326625673602</v>
      </c>
      <c r="KW71" s="3">
        <f ca="1">IFERROR(__xludf.DUMMYFUNCTION("""COMPUTED_VALUE"""),-0.54988246432042)</f>
        <v>-0.54988246432041998</v>
      </c>
      <c r="KX71" s="3">
        <f ca="1">IFERROR(__xludf.DUMMYFUNCTION("""COMPUTED_VALUE"""),-0.57004095655246)</f>
        <v>-0.57004095655246001</v>
      </c>
      <c r="KY71" s="3">
        <f ca="1">IFERROR(__xludf.DUMMYFUNCTION("""COMPUTED_VALUE"""),-0.570548654512042)</f>
        <v>-0.57054865451204195</v>
      </c>
      <c r="KZ71" s="3">
        <f ca="1">IFERROR(__xludf.DUMMYFUNCTION("""COMPUTED_VALUE"""),-0.55713757250002)</f>
        <v>-0.55713757250002005</v>
      </c>
      <c r="LA71" s="3">
        <f ca="1">IFERROR(__xludf.DUMMYFUNCTION("""COMPUTED_VALUE"""),-0.57470656550273)</f>
        <v>-0.57470656550273003</v>
      </c>
      <c r="LB71" s="3">
        <f ca="1">IFERROR(__xludf.DUMMYFUNCTION("""COMPUTED_VALUE"""),-0.585698330220979)</f>
        <v>-0.58569833022097895</v>
      </c>
      <c r="LC71" s="3">
        <f ca="1">IFERROR(__xludf.DUMMYFUNCTION("""COMPUTED_VALUE"""),-0.472726361717972)</f>
        <v>-0.472726361717972</v>
      </c>
      <c r="LD71" s="3">
        <f ca="1">IFERROR(__xludf.DUMMYFUNCTION("""COMPUTED_VALUE"""),-0.613099429071714)</f>
        <v>-0.613099429071714</v>
      </c>
      <c r="LE71" s="3">
        <f ca="1">IFERROR(__xludf.DUMMYFUNCTION("""COMPUTED_VALUE"""),-0.576115336157832)</f>
        <v>-0.57611533615783195</v>
      </c>
      <c r="LF71" s="3">
        <f ca="1">IFERROR(__xludf.DUMMYFUNCTION("""COMPUTED_VALUE"""),-0.625739889516521)</f>
        <v>-0.62573988951652104</v>
      </c>
      <c r="LG71" s="3">
        <f ca="1">IFERROR(__xludf.DUMMYFUNCTION("""COMPUTED_VALUE"""),-0.634464596637697)</f>
        <v>-0.63446459663769705</v>
      </c>
      <c r="LH71" s="3">
        <f ca="1">IFERROR(__xludf.DUMMYFUNCTION("""COMPUTED_VALUE"""),-0.652478152093247)</f>
        <v>-0.652478152093247</v>
      </c>
      <c r="LI71" s="3">
        <f ca="1">IFERROR(__xludf.DUMMYFUNCTION("""COMPUTED_VALUE"""),-0.599487794745801)</f>
        <v>-0.59948779474580105</v>
      </c>
      <c r="LJ71" s="3">
        <f ca="1">IFERROR(__xludf.DUMMYFUNCTION("""COMPUTED_VALUE"""),-0.77193201825426)</f>
        <v>-0.77193201825426006</v>
      </c>
      <c r="LK71" s="3">
        <f ca="1">IFERROR(__xludf.DUMMYFUNCTION("""COMPUTED_VALUE"""),-0.571500282453221)</f>
        <v>-0.57150028245322104</v>
      </c>
      <c r="LL71" s="3">
        <f ca="1">IFERROR(__xludf.DUMMYFUNCTION("""COMPUTED_VALUE"""),-0.620644167170258)</f>
        <v>-0.62064416717025805</v>
      </c>
      <c r="LM71" s="3">
        <f ca="1">IFERROR(__xludf.DUMMYFUNCTION("""COMPUTED_VALUE"""),-0.664015263283522)</f>
        <v>-0.66401526328352201</v>
      </c>
      <c r="LN71" s="3">
        <f ca="1">IFERROR(__xludf.DUMMYFUNCTION("""COMPUTED_VALUE"""),-0.678956174343014)</f>
        <v>-0.67895617434301403</v>
      </c>
      <c r="LO71" s="3">
        <f ca="1">IFERROR(__xludf.DUMMYFUNCTION("""COMPUTED_VALUE"""),-0.70594813589213)</f>
        <v>-0.70594813589213001</v>
      </c>
      <c r="LP71" s="3">
        <f ca="1">IFERROR(__xludf.DUMMYFUNCTION("""COMPUTED_VALUE"""),-0.67962485834086)</f>
        <v>-0.67962485834085995</v>
      </c>
      <c r="LQ71" s="3">
        <f ca="1">IFERROR(__xludf.DUMMYFUNCTION("""COMPUTED_VALUE"""),-0.637163970108196)</f>
        <v>-0.63716397010819603</v>
      </c>
      <c r="LR71" s="3">
        <f ca="1">IFERROR(__xludf.DUMMYFUNCTION("""COMPUTED_VALUE"""),-0.66333378399121)</f>
        <v>-0.66333378399121001</v>
      </c>
      <c r="LS71" s="3">
        <f ca="1">IFERROR(__xludf.DUMMYFUNCTION("""COMPUTED_VALUE"""),-0.654798459503065)</f>
        <v>-0.65479845950306503</v>
      </c>
      <c r="LT71" s="3">
        <f ca="1">IFERROR(__xludf.DUMMYFUNCTION("""COMPUTED_VALUE"""),-0.645879334806109)</f>
        <v>-0.64587933480610904</v>
      </c>
      <c r="LU71" s="3">
        <f ca="1">IFERROR(__xludf.DUMMYFUNCTION("""COMPUTED_VALUE"""),-0.685349422216956)</f>
        <v>-0.68534942221695605</v>
      </c>
      <c r="LV71" s="3">
        <f ca="1">IFERROR(__xludf.DUMMYFUNCTION("""COMPUTED_VALUE"""),-0.698542916616401)</f>
        <v>-0.698542916616401</v>
      </c>
      <c r="LW71" s="3">
        <f ca="1">IFERROR(__xludf.DUMMYFUNCTION("""COMPUTED_VALUE"""),-0.678376189248481)</f>
        <v>-0.67837618924848098</v>
      </c>
      <c r="LX71" s="3">
        <f ca="1">IFERROR(__xludf.DUMMYFUNCTION("""COMPUTED_VALUE"""),-0.732962286244311)</f>
        <v>-0.73296228624431103</v>
      </c>
      <c r="LY71" s="3">
        <f ca="1">IFERROR(__xludf.DUMMYFUNCTION("""COMPUTED_VALUE"""),-0.674627591645001)</f>
        <v>-0.67462759164500097</v>
      </c>
      <c r="LZ71" s="3">
        <f ca="1">IFERROR(__xludf.DUMMYFUNCTION("""COMPUTED_VALUE"""),-0.705982466982832)</f>
        <v>-0.70598246698283196</v>
      </c>
      <c r="MA71" s="3">
        <f ca="1">IFERROR(__xludf.DUMMYFUNCTION("""COMPUTED_VALUE"""),-0.693550930979211)</f>
        <v>-0.69355093097921094</v>
      </c>
      <c r="MB71" s="3">
        <f ca="1">IFERROR(__xludf.DUMMYFUNCTION("""COMPUTED_VALUE"""),-0.724064574834459)</f>
        <v>-0.72406457483445896</v>
      </c>
      <c r="MC71" s="3">
        <f ca="1">IFERROR(__xludf.DUMMYFUNCTION("""COMPUTED_VALUE"""),-0.692710801684348)</f>
        <v>-0.69271080168434795</v>
      </c>
      <c r="MD71" s="3">
        <f ca="1">IFERROR(__xludf.DUMMYFUNCTION("""COMPUTED_VALUE"""),-0.707018532287505)</f>
        <v>-0.707018532287505</v>
      </c>
      <c r="ME71" s="3">
        <f ca="1">IFERROR(__xludf.DUMMYFUNCTION("""COMPUTED_VALUE"""),-0.724850705806091)</f>
        <v>-0.72485070580609101</v>
      </c>
      <c r="MF71" s="3">
        <f ca="1">IFERROR(__xludf.DUMMYFUNCTION("""COMPUTED_VALUE"""),-0.703084941672179)</f>
        <v>-0.70308494167217905</v>
      </c>
      <c r="MG71" s="3">
        <f ca="1">IFERROR(__xludf.DUMMYFUNCTION("""COMPUTED_VALUE"""),-0.732453287779571)</f>
        <v>-0.73245328777957097</v>
      </c>
      <c r="MH71" s="3">
        <f ca="1">IFERROR(__xludf.DUMMYFUNCTION("""COMPUTED_VALUE"""),-0.751233580107498)</f>
        <v>-0.75123358010749797</v>
      </c>
      <c r="MI71" s="3">
        <f ca="1">IFERROR(__xludf.DUMMYFUNCTION("""COMPUTED_VALUE"""),-0.786385861192887)</f>
        <v>-0.786385861192887</v>
      </c>
      <c r="MJ71" s="3">
        <f ca="1">IFERROR(__xludf.DUMMYFUNCTION("""COMPUTED_VALUE"""),-0.753773096361755)</f>
        <v>-0.75377309636175505</v>
      </c>
      <c r="MK71" s="3">
        <f ca="1">IFERROR(__xludf.DUMMYFUNCTION("""COMPUTED_VALUE"""),-0.783902448221558)</f>
        <v>-0.78390244822155797</v>
      </c>
      <c r="ML71" s="3">
        <f ca="1">IFERROR(__xludf.DUMMYFUNCTION("""COMPUTED_VALUE"""),-0.762503061425883)</f>
        <v>-0.76250306142588298</v>
      </c>
      <c r="MM71" s="3">
        <f ca="1">IFERROR(__xludf.DUMMYFUNCTION("""COMPUTED_VALUE"""),-0.702449298172922)</f>
        <v>-0.70244929817292201</v>
      </c>
      <c r="MN71" s="3">
        <f ca="1">IFERROR(__xludf.DUMMYFUNCTION("""COMPUTED_VALUE"""),-0.757003775968665)</f>
        <v>-0.75700377596866497</v>
      </c>
      <c r="MO71" s="3">
        <f ca="1">IFERROR(__xludf.DUMMYFUNCTION("""COMPUTED_VALUE"""),-0.771117165736691)</f>
        <v>-0.77111716573669098</v>
      </c>
      <c r="MP71" s="3">
        <f ca="1">IFERROR(__xludf.DUMMYFUNCTION("""COMPUTED_VALUE"""),-0.795363358036588)</f>
        <v>-0.79536335803658798</v>
      </c>
      <c r="MQ71" s="3">
        <f ca="1">IFERROR(__xludf.DUMMYFUNCTION("""COMPUTED_VALUE"""),-0.811797365702972)</f>
        <v>-0.81179736570297201</v>
      </c>
      <c r="MR71" s="3">
        <f ca="1">IFERROR(__xludf.DUMMYFUNCTION("""COMPUTED_VALUE"""),-0.79734523758796)</f>
        <v>-0.79734523758796005</v>
      </c>
      <c r="MS71" s="3">
        <f ca="1">IFERROR(__xludf.DUMMYFUNCTION("""COMPUTED_VALUE"""),-0.781436261806539)</f>
        <v>-0.78143626180653902</v>
      </c>
      <c r="MT71" s="3">
        <f ca="1">IFERROR(__xludf.DUMMYFUNCTION("""COMPUTED_VALUE"""),-0.724004468024016)</f>
        <v>-0.72400446802401597</v>
      </c>
      <c r="MU71" s="3">
        <f ca="1">IFERROR(__xludf.DUMMYFUNCTION("""COMPUTED_VALUE"""),-0.749231889365075)</f>
        <v>-0.74923188936507501</v>
      </c>
      <c r="MV71" s="3">
        <f ca="1">IFERROR(__xludf.DUMMYFUNCTION("""COMPUTED_VALUE"""),-0.78830169001202)</f>
        <v>-0.78830169001202</v>
      </c>
      <c r="MW71" s="3">
        <f ca="1">IFERROR(__xludf.DUMMYFUNCTION("""COMPUTED_VALUE"""),-0.804211985625332)</f>
        <v>-0.80421198562533203</v>
      </c>
      <c r="MX71" s="3">
        <f ca="1">IFERROR(__xludf.DUMMYFUNCTION("""COMPUTED_VALUE"""),-0.825034585696106)</f>
        <v>-0.82503458569610599</v>
      </c>
      <c r="MY71" s="3">
        <f ca="1">IFERROR(__xludf.DUMMYFUNCTION("""COMPUTED_VALUE"""),-0.794984998308174)</f>
        <v>-0.79498499830817404</v>
      </c>
      <c r="MZ71" s="3">
        <f ca="1">IFERROR(__xludf.DUMMYFUNCTION("""COMPUTED_VALUE"""),-0.768293324570226)</f>
        <v>-0.76829332457022603</v>
      </c>
      <c r="NA71" s="3">
        <f ca="1">IFERROR(__xludf.DUMMYFUNCTION("""COMPUTED_VALUE"""),-0.736438594596556)</f>
        <v>-0.73643859459655603</v>
      </c>
      <c r="NB71" s="3">
        <f ca="1">IFERROR(__xludf.DUMMYFUNCTION("""COMPUTED_VALUE"""),-0.725529703001649)</f>
        <v>-0.72552970300164898</v>
      </c>
      <c r="NC71" s="3">
        <f ca="1">IFERROR(__xludf.DUMMYFUNCTION("""COMPUTED_VALUE"""),-0.764547399565628)</f>
        <v>-0.76454739956562801</v>
      </c>
      <c r="ND71" s="3">
        <f ca="1">IFERROR(__xludf.DUMMYFUNCTION("""COMPUTED_VALUE"""),-0.784010791975254)</f>
        <v>-0.78401079197525403</v>
      </c>
      <c r="NE71" s="3">
        <f ca="1">IFERROR(__xludf.DUMMYFUNCTION("""COMPUTED_VALUE"""),-0.777381041365684)</f>
        <v>-0.77738104136568398</v>
      </c>
      <c r="NF71" s="3">
        <f ca="1">IFERROR(__xludf.DUMMYFUNCTION("""COMPUTED_VALUE"""),-0.729745663148314)</f>
        <v>-0.72974566314831402</v>
      </c>
      <c r="NG71" s="3">
        <f ca="1">IFERROR(__xludf.DUMMYFUNCTION("""COMPUTED_VALUE"""),-0.668644187345374)</f>
        <v>-0.66864418734537401</v>
      </c>
      <c r="NH71" s="3">
        <f ca="1">IFERROR(__xludf.DUMMYFUNCTION("""COMPUTED_VALUE"""),-0.589741012585315)</f>
        <v>-0.58974101258531497</v>
      </c>
      <c r="NI71" s="3">
        <f ca="1">IFERROR(__xludf.DUMMYFUNCTION("""COMPUTED_VALUE"""),-0.776343693147146)</f>
        <v>-0.77634369314714602</v>
      </c>
      <c r="NJ71" s="3">
        <f ca="1">IFERROR(__xludf.DUMMYFUNCTION("""COMPUTED_VALUE"""),-0.825754400299113)</f>
        <v>-0.82575440029911296</v>
      </c>
      <c r="NK71" s="3">
        <f ca="1">IFERROR(__xludf.DUMMYFUNCTION("""COMPUTED_VALUE"""),-0.835023694512874)</f>
        <v>-0.83502369451287395</v>
      </c>
      <c r="NL71" s="3">
        <f ca="1">IFERROR(__xludf.DUMMYFUNCTION("""COMPUTED_VALUE"""),-0.805277205096643)</f>
        <v>-0.80527720509664302</v>
      </c>
      <c r="NM71" s="3">
        <f ca="1">IFERROR(__xludf.DUMMYFUNCTION("""COMPUTED_VALUE"""),-0.807979333357963)</f>
        <v>-0.80797933335796301</v>
      </c>
      <c r="NN71" s="3">
        <f ca="1">IFERROR(__xludf.DUMMYFUNCTION("""COMPUTED_VALUE"""),-0.78592652139392)</f>
        <v>-0.78592652139392005</v>
      </c>
      <c r="NO71" s="3">
        <f ca="1">IFERROR(__xludf.DUMMYFUNCTION("""COMPUTED_VALUE"""),-0.68471386741605)</f>
        <v>-0.68471386741605</v>
      </c>
      <c r="NP71" s="3">
        <f ca="1">IFERROR(__xludf.DUMMYFUNCTION("""COMPUTED_VALUE"""),-0.774552131831514)</f>
        <v>-0.77455213183151395</v>
      </c>
      <c r="NQ71" s="3">
        <f ca="1">IFERROR(__xludf.DUMMYFUNCTION("""COMPUTED_VALUE"""),-0.783259528241172)</f>
        <v>-0.78325952824117195</v>
      </c>
      <c r="NR71" s="3">
        <f ca="1">IFERROR(__xludf.DUMMYFUNCTION("""COMPUTED_VALUE"""),-0.818924949802642)</f>
        <v>-0.81892494980264197</v>
      </c>
      <c r="NS71" s="3">
        <f ca="1">IFERROR(__xludf.DUMMYFUNCTION("""COMPUTED_VALUE"""),-0.788816672841916)</f>
        <v>-0.78881667284191603</v>
      </c>
      <c r="NT71" s="3">
        <f ca="1">IFERROR(__xludf.DUMMYFUNCTION("""COMPUTED_VALUE"""),-0.670340975628394)</f>
        <v>-0.67034097562839401</v>
      </c>
      <c r="NU71" s="3">
        <f ca="1">IFERROR(__xludf.DUMMYFUNCTION("""COMPUTED_VALUE"""),-0.766052343015862)</f>
        <v>-0.766052343015862</v>
      </c>
      <c r="NV71" s="3">
        <f ca="1">IFERROR(__xludf.DUMMYFUNCTION("""COMPUTED_VALUE"""),-0.670443975455075)</f>
        <v>-0.67044397545507495</v>
      </c>
      <c r="NW71" s="3">
        <f ca="1">IFERROR(__xludf.DUMMYFUNCTION("""COMPUTED_VALUE"""),-0.656307641823344)</f>
        <v>-0.656307641823344</v>
      </c>
      <c r="NX71" s="3">
        <f ca="1">IFERROR(__xludf.DUMMYFUNCTION("""COMPUTED_VALUE"""),-0.752559364563625)</f>
        <v>-0.75255936456362504</v>
      </c>
      <c r="NY71" s="3">
        <f ca="1">IFERROR(__xludf.DUMMYFUNCTION("""COMPUTED_VALUE"""),-0.745339399515488)</f>
        <v>-0.745339399515488</v>
      </c>
      <c r="NZ71" s="3">
        <f ca="1">IFERROR(__xludf.DUMMYFUNCTION("""COMPUTED_VALUE"""),-0.677954759793437)</f>
        <v>-0.677954759793437</v>
      </c>
      <c r="OA71" s="3">
        <f ca="1">IFERROR(__xludf.DUMMYFUNCTION("""COMPUTED_VALUE"""),-0.650921270978162)</f>
        <v>-0.65092127097816199</v>
      </c>
      <c r="OB71" s="3">
        <f ca="1">IFERROR(__xludf.DUMMYFUNCTION("""COMPUTED_VALUE"""),-0.590047020121598)</f>
        <v>-0.59004702012159804</v>
      </c>
      <c r="OC71" s="3">
        <f ca="1">IFERROR(__xludf.DUMMYFUNCTION("""COMPUTED_VALUE"""),-0.503550764418272)</f>
        <v>-0.50355076441827196</v>
      </c>
      <c r="OD71" s="3">
        <f ca="1">IFERROR(__xludf.DUMMYFUNCTION("""COMPUTED_VALUE"""),-0.352578957916023)</f>
        <v>-0.35257895791602301</v>
      </c>
      <c r="OE71" s="3">
        <f ca="1">IFERROR(__xludf.DUMMYFUNCTION("""COMPUTED_VALUE"""),-0.343834880870395)</f>
        <v>-0.34383488087039499</v>
      </c>
      <c r="OF71" s="3">
        <f ca="1">IFERROR(__xludf.DUMMYFUNCTION("""COMPUTED_VALUE"""),-0.260257771631757)</f>
        <v>-0.26025777163175701</v>
      </c>
      <c r="OG71" s="3">
        <f ca="1">IFERROR(__xludf.DUMMYFUNCTION("""COMPUTED_VALUE"""),-0.168241658002679)</f>
        <v>-0.16824165800267901</v>
      </c>
      <c r="OH71" s="3">
        <f ca="1">IFERROR(__xludf.DUMMYFUNCTION("""COMPUTED_VALUE"""),-0.0935459048023286)</f>
        <v>-9.3545904802328605E-2</v>
      </c>
      <c r="OI71" s="3">
        <f ca="1">IFERROR(__xludf.DUMMYFUNCTION("""COMPUTED_VALUE"""),-0.130171819730158)</f>
        <v>-0.13017181973015801</v>
      </c>
      <c r="OJ71" s="3">
        <f ca="1">IFERROR(__xludf.DUMMYFUNCTION("""COMPUTED_VALUE"""),-0.22034657038522)</f>
        <v>-0.22034657038521999</v>
      </c>
      <c r="OK71" s="3">
        <f ca="1">IFERROR(__xludf.DUMMYFUNCTION("""COMPUTED_VALUE"""),-0.00709223567340278)</f>
        <v>-7.0922356734027803E-3</v>
      </c>
      <c r="OL71" s="3">
        <f ca="1">IFERROR(__xludf.DUMMYFUNCTION("""COMPUTED_VALUE"""),-0.0746835737638583)</f>
        <v>-7.4683573763858299E-2</v>
      </c>
      <c r="OM71" s="3">
        <f ca="1">IFERROR(__xludf.DUMMYFUNCTION("""COMPUTED_VALUE"""),-0.00222678426043088)</f>
        <v>-2.2267842604308799E-3</v>
      </c>
      <c r="ON71" s="3">
        <f ca="1">IFERROR(__xludf.DUMMYFUNCTION("""COMPUTED_VALUE"""),0.0236234264005201)</f>
        <v>2.3623426400520099E-2</v>
      </c>
      <c r="OO71" s="3">
        <f ca="1">IFERROR(__xludf.DUMMYFUNCTION("""COMPUTED_VALUE"""),0.0622863032334057)</f>
        <v>6.2286303233405699E-2</v>
      </c>
      <c r="OP71" s="3">
        <f ca="1">IFERROR(__xludf.DUMMYFUNCTION("""COMPUTED_VALUE"""),0.0776983756471427)</f>
        <v>7.7698375647142701E-2</v>
      </c>
      <c r="OQ71" s="3">
        <f ca="1">IFERROR(__xludf.DUMMYFUNCTION("""COMPUTED_VALUE"""),-0.0449261511564231)</f>
        <v>-4.4926151156423101E-2</v>
      </c>
      <c r="OR71" s="3">
        <f ca="1">IFERROR(__xludf.DUMMYFUNCTION("""COMPUTED_VALUE"""),-0.0238612933838721)</f>
        <v>-2.3861293383872099E-2</v>
      </c>
      <c r="OS71" s="3">
        <f ca="1">IFERROR(__xludf.DUMMYFUNCTION("""COMPUTED_VALUE"""),-0.0371384298035891)</f>
        <v>-3.7138429803589099E-2</v>
      </c>
      <c r="OT71" s="3">
        <f ca="1">IFERROR(__xludf.DUMMYFUNCTION("""COMPUTED_VALUE"""),0.0526616085673841)</f>
        <v>5.2661608567384097E-2</v>
      </c>
      <c r="OU71" s="3">
        <f ca="1">IFERROR(__xludf.DUMMYFUNCTION("""COMPUTED_VALUE"""),0.00220338925441043)</f>
        <v>2.2033892544104298E-3</v>
      </c>
      <c r="OV71" s="3">
        <f ca="1">IFERROR(__xludf.DUMMYFUNCTION("""COMPUTED_VALUE"""),0.111021024109476)</f>
        <v>0.11102102410947599</v>
      </c>
      <c r="OW71" s="3">
        <f ca="1">IFERROR(__xludf.DUMMYFUNCTION("""COMPUTED_VALUE"""),0.215394887506705)</f>
        <v>0.21539488750670499</v>
      </c>
      <c r="OX71" s="3">
        <f ca="1">IFERROR(__xludf.DUMMYFUNCTION("""COMPUTED_VALUE"""),-0.0628894766873525)</f>
        <v>-6.2889476687352494E-2</v>
      </c>
      <c r="OY71" s="3">
        <f ca="1">IFERROR(__xludf.DUMMYFUNCTION("""COMPUTED_VALUE"""),-0.0290544800224343)</f>
        <v>-2.9054480022434302E-2</v>
      </c>
      <c r="OZ71" s="3">
        <f ca="1">IFERROR(__xludf.DUMMYFUNCTION("""COMPUTED_VALUE"""),0.0424816115171111)</f>
        <v>4.2481611517111099E-2</v>
      </c>
      <c r="PA71" s="3">
        <f ca="1">IFERROR(__xludf.DUMMYFUNCTION("""COMPUTED_VALUE"""),0.00231037245201726)</f>
        <v>2.3103724520172602E-3</v>
      </c>
      <c r="PB71" s="3">
        <f ca="1">IFERROR(__xludf.DUMMYFUNCTION("""COMPUTED_VALUE"""),0.016271047793501)</f>
        <v>1.6271047793501001E-2</v>
      </c>
      <c r="PC71" s="3">
        <f ca="1">IFERROR(__xludf.DUMMYFUNCTION("""COMPUTED_VALUE"""),0.0629032244354632)</f>
        <v>6.2903224435463201E-2</v>
      </c>
      <c r="PD71" s="3">
        <f ca="1">IFERROR(__xludf.DUMMYFUNCTION("""COMPUTED_VALUE"""),-0.262818417075923)</f>
        <v>-0.26281841707592302</v>
      </c>
      <c r="PE71" s="3">
        <f ca="1">IFERROR(__xludf.DUMMYFUNCTION("""COMPUTED_VALUE"""),-0.0796150915564862)</f>
        <v>-7.9615091556486203E-2</v>
      </c>
      <c r="PF71" s="3">
        <f ca="1">IFERROR(__xludf.DUMMYFUNCTION("""COMPUTED_VALUE"""),-0.0695088462256927)</f>
        <v>-6.95088462256927E-2</v>
      </c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</row>
    <row r="72" spans="1:594" ht="13">
      <c r="A72" s="1" t="str">
        <f ca="1">IFERROR(__xludf.DUMMYFUNCTION("""COMPUTED_VALUE"""),"San Antonio")</f>
        <v>San Antonio</v>
      </c>
      <c r="B72" s="3">
        <f ca="1">IFERROR(__xludf.DUMMYFUNCTION("""COMPUTED_VALUE"""),-0.297334185704494)</f>
        <v>-0.29733418570449399</v>
      </c>
      <c r="C72" s="3">
        <f ca="1">IFERROR(__xludf.DUMMYFUNCTION("""COMPUTED_VALUE"""),-0.438805260327834)</f>
        <v>-0.43880526032783401</v>
      </c>
      <c r="D72" s="3">
        <f ca="1">IFERROR(__xludf.DUMMYFUNCTION("""COMPUTED_VALUE"""),-0.431330066139353)</f>
        <v>-0.43133006613935299</v>
      </c>
      <c r="E72" s="3">
        <f ca="1">IFERROR(__xludf.DUMMYFUNCTION("""COMPUTED_VALUE"""),-0.397493696824113)</f>
        <v>-0.39749369682411301</v>
      </c>
      <c r="F72" s="3">
        <f ca="1">IFERROR(__xludf.DUMMYFUNCTION("""COMPUTED_VALUE"""),-0.445534558294924)</f>
        <v>-0.445534558294924</v>
      </c>
      <c r="G72" s="3">
        <f ca="1">IFERROR(__xludf.DUMMYFUNCTION("""COMPUTED_VALUE"""),-0.463370024718538)</f>
        <v>-0.463370024718538</v>
      </c>
      <c r="H72" s="3">
        <f ca="1">IFERROR(__xludf.DUMMYFUNCTION("""COMPUTED_VALUE"""),-0.410192148067505)</f>
        <v>-0.41019214806750498</v>
      </c>
      <c r="I72" s="3">
        <f ca="1">IFERROR(__xludf.DUMMYFUNCTION("""COMPUTED_VALUE"""),-0.341458135844931)</f>
        <v>-0.34145813584493101</v>
      </c>
      <c r="J72" s="3">
        <f ca="1">IFERROR(__xludf.DUMMYFUNCTION("""COMPUTED_VALUE"""),-0.480332771027184)</f>
        <v>-0.48033277102718402</v>
      </c>
      <c r="K72" s="3">
        <f ca="1">IFERROR(__xludf.DUMMYFUNCTION("""COMPUTED_VALUE"""),-0.39843826574347)</f>
        <v>-0.39843826574347002</v>
      </c>
      <c r="L72" s="3">
        <f ca="1">IFERROR(__xludf.DUMMYFUNCTION("""COMPUTED_VALUE"""),-0.478641576215892)</f>
        <v>-0.47864157621589198</v>
      </c>
      <c r="M72" s="3">
        <f ca="1">IFERROR(__xludf.DUMMYFUNCTION("""COMPUTED_VALUE"""),-0.457600262301432)</f>
        <v>-0.45760026230143203</v>
      </c>
      <c r="N72" s="3">
        <f ca="1">IFERROR(__xludf.DUMMYFUNCTION("""COMPUTED_VALUE"""),-0.460853846070707)</f>
        <v>-0.46085384607070701</v>
      </c>
      <c r="O72" s="3">
        <f ca="1">IFERROR(__xludf.DUMMYFUNCTION("""COMPUTED_VALUE"""),-0.330283954229092)</f>
        <v>-0.33028395422909201</v>
      </c>
      <c r="P72" s="3">
        <f ca="1">IFERROR(__xludf.DUMMYFUNCTION("""COMPUTED_VALUE"""),-0.238549086773166)</f>
        <v>-0.238549086773166</v>
      </c>
      <c r="Q72" s="3">
        <f ca="1">IFERROR(__xludf.DUMMYFUNCTION("""COMPUTED_VALUE"""),-0.464789752184902)</f>
        <v>-0.46478975218490198</v>
      </c>
      <c r="R72" s="3">
        <f ca="1">IFERROR(__xludf.DUMMYFUNCTION("""COMPUTED_VALUE"""),-0.489716507945145)</f>
        <v>-0.48971650794514499</v>
      </c>
      <c r="S72" s="3">
        <f ca="1">IFERROR(__xludf.DUMMYFUNCTION("""COMPUTED_VALUE"""),-0.43161295479638)</f>
        <v>-0.43161295479638001</v>
      </c>
      <c r="T72" s="3">
        <f ca="1">IFERROR(__xludf.DUMMYFUNCTION("""COMPUTED_VALUE"""),-0.488125835235401)</f>
        <v>-0.48812583523540098</v>
      </c>
      <c r="U72" s="3">
        <f ca="1">IFERROR(__xludf.DUMMYFUNCTION("""COMPUTED_VALUE"""),-0.477872859421195)</f>
        <v>-0.47787285942119501</v>
      </c>
      <c r="V72" s="3">
        <f ca="1">IFERROR(__xludf.DUMMYFUNCTION("""COMPUTED_VALUE"""),-0.280603880974559)</f>
        <v>-0.28060388097455902</v>
      </c>
      <c r="W72" s="3">
        <f ca="1">IFERROR(__xludf.DUMMYFUNCTION("""COMPUTED_VALUE"""),-0.321134642350725)</f>
        <v>-0.32113464235072497</v>
      </c>
      <c r="X72" s="3">
        <f ca="1">IFERROR(__xludf.DUMMYFUNCTION("""COMPUTED_VALUE"""),-0.478994289587813)</f>
        <v>-0.47899428958781298</v>
      </c>
      <c r="Y72" s="3">
        <f ca="1">IFERROR(__xludf.DUMMYFUNCTION("""COMPUTED_VALUE"""),-0.48107186144196)</f>
        <v>-0.48107186144196001</v>
      </c>
      <c r="Z72" s="3">
        <f ca="1">IFERROR(__xludf.DUMMYFUNCTION("""COMPUTED_VALUE"""),-0.408429802808882)</f>
        <v>-0.40842980280888203</v>
      </c>
      <c r="AA72" s="3">
        <f ca="1">IFERROR(__xludf.DUMMYFUNCTION("""COMPUTED_VALUE"""),-0.489175223778059)</f>
        <v>-0.489175223778059</v>
      </c>
      <c r="AB72" s="3">
        <f ca="1">IFERROR(__xludf.DUMMYFUNCTION("""COMPUTED_VALUE"""),-0.408009344452182)</f>
        <v>-0.40800934445218201</v>
      </c>
      <c r="AC72" s="3">
        <f ca="1">IFERROR(__xludf.DUMMYFUNCTION("""COMPUTED_VALUE"""),-0.373454304436455)</f>
        <v>-0.373454304436455</v>
      </c>
      <c r="AD72" s="3">
        <f ca="1">IFERROR(__xludf.DUMMYFUNCTION("""COMPUTED_VALUE"""),-0.387565362657303)</f>
        <v>-0.38756536265730301</v>
      </c>
      <c r="AE72" s="3">
        <f ca="1">IFERROR(__xludf.DUMMYFUNCTION("""COMPUTED_VALUE"""),-0.496782408200965)</f>
        <v>-0.49678240820096498</v>
      </c>
      <c r="AF72" s="3">
        <f ca="1">IFERROR(__xludf.DUMMYFUNCTION("""COMPUTED_VALUE"""),-0.463715435181907)</f>
        <v>-0.463715435181907</v>
      </c>
      <c r="AG72" s="3">
        <f ca="1">IFERROR(__xludf.DUMMYFUNCTION("""COMPUTED_VALUE"""),-0.393039653096863)</f>
        <v>-0.39303965309686301</v>
      </c>
      <c r="AH72" s="3">
        <f ca="1">IFERROR(__xludf.DUMMYFUNCTION("""COMPUTED_VALUE"""),-0.427625748815216)</f>
        <v>-0.42762574881521598</v>
      </c>
      <c r="AI72" s="3">
        <f ca="1">IFERROR(__xludf.DUMMYFUNCTION("""COMPUTED_VALUE"""),-0.464119686433864)</f>
        <v>-0.46411968643386398</v>
      </c>
      <c r="AJ72" s="3">
        <f ca="1">IFERROR(__xludf.DUMMYFUNCTION("""COMPUTED_VALUE"""),-0.353585162539084)</f>
        <v>-0.35358516253908401</v>
      </c>
      <c r="AK72" s="3">
        <f ca="1">IFERROR(__xludf.DUMMYFUNCTION("""COMPUTED_VALUE"""),-0.375380679585407)</f>
        <v>-0.375380679585407</v>
      </c>
      <c r="AL72" s="3">
        <f ca="1">IFERROR(__xludf.DUMMYFUNCTION("""COMPUTED_VALUE"""),-0.475344400143151)</f>
        <v>-0.47534440014315099</v>
      </c>
      <c r="AM72" s="3">
        <f ca="1">IFERROR(__xludf.DUMMYFUNCTION("""COMPUTED_VALUE"""),-0.424382561739839)</f>
        <v>-0.42438256173983901</v>
      </c>
      <c r="AN72" s="3">
        <f ca="1">IFERROR(__xludf.DUMMYFUNCTION("""COMPUTED_VALUE"""),-0.458806267579147)</f>
        <v>-0.458806267579147</v>
      </c>
      <c r="AO72" s="3">
        <f ca="1">IFERROR(__xludf.DUMMYFUNCTION("""COMPUTED_VALUE"""),-0.446250150954473)</f>
        <v>-0.44625015095447301</v>
      </c>
      <c r="AP72" s="3">
        <f ca="1">IFERROR(__xludf.DUMMYFUNCTION("""COMPUTED_VALUE"""),-0.429945990347326)</f>
        <v>-0.429945990347326</v>
      </c>
      <c r="AQ72" s="3">
        <f ca="1">IFERROR(__xludf.DUMMYFUNCTION("""COMPUTED_VALUE"""),-0.406425606461525)</f>
        <v>-0.40642560646152498</v>
      </c>
      <c r="AR72" s="3">
        <f ca="1">IFERROR(__xludf.DUMMYFUNCTION("""COMPUTED_VALUE"""),-0.406536317857929)</f>
        <v>-0.40653631785792899</v>
      </c>
      <c r="AS72" s="3">
        <f ca="1">IFERROR(__xludf.DUMMYFUNCTION("""COMPUTED_VALUE"""),-0.473508552206473)</f>
        <v>-0.47350855220647298</v>
      </c>
      <c r="AT72" s="3">
        <f ca="1">IFERROR(__xludf.DUMMYFUNCTION("""COMPUTED_VALUE"""),-0.458491602961705)</f>
        <v>-0.45849160296170499</v>
      </c>
      <c r="AU72" s="3">
        <f ca="1">IFERROR(__xludf.DUMMYFUNCTION("""COMPUTED_VALUE"""),-0.492309949003713)</f>
        <v>-0.492309949003713</v>
      </c>
      <c r="AV72" s="3">
        <f ca="1">IFERROR(__xludf.DUMMYFUNCTION("""COMPUTED_VALUE"""),-0.471418085337038)</f>
        <v>-0.471418085337038</v>
      </c>
      <c r="AW72" s="3">
        <f ca="1">IFERROR(__xludf.DUMMYFUNCTION("""COMPUTED_VALUE"""),-0.403856613393772)</f>
        <v>-0.40385661339377199</v>
      </c>
      <c r="AX72" s="3">
        <f ca="1">IFERROR(__xludf.DUMMYFUNCTION("""COMPUTED_VALUE"""),-0.357243091301322)</f>
        <v>-0.35724309130132198</v>
      </c>
      <c r="AY72" s="3">
        <f ca="1">IFERROR(__xludf.DUMMYFUNCTION("""COMPUTED_VALUE"""),-0.446475574139218)</f>
        <v>-0.44647557413921801</v>
      </c>
      <c r="AZ72" s="3">
        <f ca="1">IFERROR(__xludf.DUMMYFUNCTION("""COMPUTED_VALUE"""),-0.539064135895073)</f>
        <v>-0.53906413589507296</v>
      </c>
      <c r="BA72" s="3">
        <f ca="1">IFERROR(__xludf.DUMMYFUNCTION("""COMPUTED_VALUE"""),-0.933321070378927)</f>
        <v>-0.93332107037892698</v>
      </c>
      <c r="BB72" s="3">
        <f ca="1">IFERROR(__xludf.DUMMYFUNCTION("""COMPUTED_VALUE"""),-0.899951966743173)</f>
        <v>-0.89995196674317302</v>
      </c>
      <c r="BC72" s="3">
        <f ca="1">IFERROR(__xludf.DUMMYFUNCTION("""COMPUTED_VALUE"""),-0.886275641557337)</f>
        <v>-0.88627564155733696</v>
      </c>
      <c r="BD72" s="3">
        <f ca="1">IFERROR(__xludf.DUMMYFUNCTION("""COMPUTED_VALUE"""),-0.874399638844394)</f>
        <v>-0.87439963884439398</v>
      </c>
      <c r="BE72" s="3">
        <f ca="1">IFERROR(__xludf.DUMMYFUNCTION("""COMPUTED_VALUE"""),-0.432226423020312)</f>
        <v>-0.432226423020312</v>
      </c>
      <c r="BF72" s="3">
        <f ca="1">IFERROR(__xludf.DUMMYFUNCTION("""COMPUTED_VALUE"""),-0.581386928979196)</f>
        <v>-0.58138692897919597</v>
      </c>
      <c r="BG72" s="3">
        <f ca="1">IFERROR(__xludf.DUMMYFUNCTION("""COMPUTED_VALUE"""),-0.483284097314264)</f>
        <v>-0.48328409731426403</v>
      </c>
      <c r="BH72" s="3">
        <f ca="1">IFERROR(__xludf.DUMMYFUNCTION("""COMPUTED_VALUE"""),-0.662488627121427)</f>
        <v>-0.66248862712142698</v>
      </c>
      <c r="BI72" s="3">
        <f ca="1">IFERROR(__xludf.DUMMYFUNCTION("""COMPUTED_VALUE"""),-0.510482514532822)</f>
        <v>-0.51048251453282201</v>
      </c>
      <c r="BJ72" s="3">
        <f ca="1">IFERROR(__xludf.DUMMYFUNCTION("""COMPUTED_VALUE"""),-0.462209237517251)</f>
        <v>-0.46220923751725101</v>
      </c>
      <c r="BK72" s="3">
        <f ca="1">IFERROR(__xludf.DUMMYFUNCTION("""COMPUTED_VALUE"""),-0.431527296760349)</f>
        <v>-0.43152729676034901</v>
      </c>
      <c r="BL72" s="3">
        <f ca="1">IFERROR(__xludf.DUMMYFUNCTION("""COMPUTED_VALUE"""),-0.485411550571481)</f>
        <v>-0.485411550571481</v>
      </c>
      <c r="BM72" s="3">
        <f ca="1">IFERROR(__xludf.DUMMYFUNCTION("""COMPUTED_VALUE"""),-0.515469472236315)</f>
        <v>-0.51546947223631501</v>
      </c>
      <c r="BN72" s="3">
        <f ca="1">IFERROR(__xludf.DUMMYFUNCTION("""COMPUTED_VALUE"""),-0.508668596942851)</f>
        <v>-0.50866859694285105</v>
      </c>
      <c r="BO72" s="3">
        <f ca="1">IFERROR(__xludf.DUMMYFUNCTION("""COMPUTED_VALUE"""),-0.480881324938061)</f>
        <v>-0.48088132493806102</v>
      </c>
      <c r="BP72" s="3">
        <f ca="1">IFERROR(__xludf.DUMMYFUNCTION("""COMPUTED_VALUE"""),-0.451702020344947)</f>
        <v>-0.451702020344947</v>
      </c>
      <c r="BQ72" s="3">
        <f ca="1">IFERROR(__xludf.DUMMYFUNCTION("""COMPUTED_VALUE"""),-0.474224247668408)</f>
        <v>-0.47422424766840798</v>
      </c>
      <c r="BR72" s="3">
        <f ca="1">IFERROR(__xludf.DUMMYFUNCTION("""COMPUTED_VALUE"""),-0.524402500686155)</f>
        <v>-0.52440250068615502</v>
      </c>
      <c r="BS72" s="3">
        <f ca="1">IFERROR(__xludf.DUMMYFUNCTION("""COMPUTED_VALUE"""),-0.534504191771882)</f>
        <v>-0.53450419177188202</v>
      </c>
      <c r="BT72" s="3">
        <f ca="1">IFERROR(__xludf.DUMMYFUNCTION("""COMPUTED_VALUE"""),-0.487296418679377)</f>
        <v>-0.48729641867937701</v>
      </c>
      <c r="BU72" s="3">
        <f ca="1">IFERROR(__xludf.DUMMYFUNCTION("""COMPUTED_VALUE"""),-0.502346062106981)</f>
        <v>-0.50234606210698096</v>
      </c>
      <c r="BV72" s="3">
        <f ca="1">IFERROR(__xludf.DUMMYFUNCTION("""COMPUTED_VALUE"""),-0.520655961471586)</f>
        <v>-0.52065596147158599</v>
      </c>
      <c r="BW72" s="3">
        <f ca="1">IFERROR(__xludf.DUMMYFUNCTION("""COMPUTED_VALUE"""),-0.490620989991913)</f>
        <v>-0.490620989991913</v>
      </c>
      <c r="BX72" s="3">
        <f ca="1">IFERROR(__xludf.DUMMYFUNCTION("""COMPUTED_VALUE"""),-0.515921113886483)</f>
        <v>-0.51592111388648298</v>
      </c>
      <c r="BY72" s="3">
        <f ca="1">IFERROR(__xludf.DUMMYFUNCTION("""COMPUTED_VALUE"""),-0.534058333483583)</f>
        <v>-0.534058333483583</v>
      </c>
      <c r="BZ72" s="3">
        <f ca="1">IFERROR(__xludf.DUMMYFUNCTION("""COMPUTED_VALUE"""),-0.511430222578705)</f>
        <v>-0.51143022257870496</v>
      </c>
      <c r="CA72" s="3">
        <f ca="1">IFERROR(__xludf.DUMMYFUNCTION("""COMPUTED_VALUE"""),-0.516235740319801)</f>
        <v>-0.51623574031980102</v>
      </c>
      <c r="CB72" s="3">
        <f ca="1">IFERROR(__xludf.DUMMYFUNCTION("""COMPUTED_VALUE"""),-0.524331290143092)</f>
        <v>-0.52433129014309199</v>
      </c>
      <c r="CC72" s="3">
        <f ca="1">IFERROR(__xludf.DUMMYFUNCTION("""COMPUTED_VALUE"""),-0.558017550330363)</f>
        <v>-0.55801755033036304</v>
      </c>
      <c r="CD72" s="3">
        <f ca="1">IFERROR(__xludf.DUMMYFUNCTION("""COMPUTED_VALUE"""),-0.566855455158247)</f>
        <v>-0.56685545515824698</v>
      </c>
      <c r="CE72" s="3">
        <f ca="1">IFERROR(__xludf.DUMMYFUNCTION("""COMPUTED_VALUE"""),-0.51981615076137)</f>
        <v>-0.51981615076137</v>
      </c>
      <c r="CF72" s="3">
        <f ca="1">IFERROR(__xludf.DUMMYFUNCTION("""COMPUTED_VALUE"""),-0.582126478396175)</f>
        <v>-0.58212647839617504</v>
      </c>
      <c r="CG72" s="3">
        <f ca="1">IFERROR(__xludf.DUMMYFUNCTION("""COMPUTED_VALUE"""),-0.494711475399175)</f>
        <v>-0.49471147539917498</v>
      </c>
      <c r="CH72" s="3">
        <f ca="1">IFERROR(__xludf.DUMMYFUNCTION("""COMPUTED_VALUE"""),-0.438056420611291)</f>
        <v>-0.43805642061129102</v>
      </c>
      <c r="CI72" s="3">
        <f ca="1">IFERROR(__xludf.DUMMYFUNCTION("""COMPUTED_VALUE"""),-0.490221734899386)</f>
        <v>-0.49022173489938597</v>
      </c>
      <c r="CJ72" s="3">
        <f ca="1">IFERROR(__xludf.DUMMYFUNCTION("""COMPUTED_VALUE"""),-0.521817529662446)</f>
        <v>-0.52181752966244599</v>
      </c>
      <c r="CK72" s="3">
        <f ca="1">IFERROR(__xludf.DUMMYFUNCTION("""COMPUTED_VALUE"""),-0.539387372518727)</f>
        <v>-0.53938737251872704</v>
      </c>
      <c r="CL72" s="3">
        <f ca="1">IFERROR(__xludf.DUMMYFUNCTION("""COMPUTED_VALUE"""),-0.523656409555571)</f>
        <v>-0.52365640955557102</v>
      </c>
      <c r="CM72" s="3">
        <f ca="1">IFERROR(__xludf.DUMMYFUNCTION("""COMPUTED_VALUE"""),-0.49519978499903)</f>
        <v>-0.49519978499903</v>
      </c>
      <c r="CN72" s="3">
        <f ca="1">IFERROR(__xludf.DUMMYFUNCTION("""COMPUTED_VALUE"""),-0.582845968093091)</f>
        <v>-0.58284596809309097</v>
      </c>
      <c r="CO72" s="3">
        <f ca="1">IFERROR(__xludf.DUMMYFUNCTION("""COMPUTED_VALUE"""),-0.424065192829615)</f>
        <v>-0.42406519282961502</v>
      </c>
      <c r="CP72" s="3">
        <f ca="1">IFERROR(__xludf.DUMMYFUNCTION("""COMPUTED_VALUE"""),-0.490524347184734)</f>
        <v>-0.49052434718473398</v>
      </c>
      <c r="CQ72" s="3">
        <f ca="1">IFERROR(__xludf.DUMMYFUNCTION("""COMPUTED_VALUE"""),-0.491224971125815)</f>
        <v>-0.49122497112581498</v>
      </c>
      <c r="CR72" s="3">
        <f ca="1">IFERROR(__xludf.DUMMYFUNCTION("""COMPUTED_VALUE"""),-0.430181154786681)</f>
        <v>-0.43018115478668101</v>
      </c>
      <c r="CS72" s="3">
        <f ca="1">IFERROR(__xludf.DUMMYFUNCTION("""COMPUTED_VALUE"""),-0.560573451543052)</f>
        <v>-0.56057345154305205</v>
      </c>
      <c r="CT72" s="3">
        <f ca="1">IFERROR(__xludf.DUMMYFUNCTION("""COMPUTED_VALUE"""),-0.455359394572219)</f>
        <v>-0.45535939457221902</v>
      </c>
      <c r="CU72" s="3">
        <f ca="1">IFERROR(__xludf.DUMMYFUNCTION("""COMPUTED_VALUE"""),-0.452296500230052)</f>
        <v>-0.45229650023005202</v>
      </c>
      <c r="CV72" s="3">
        <f ca="1">IFERROR(__xludf.DUMMYFUNCTION("""COMPUTED_VALUE"""),-0.431741688134795)</f>
        <v>-0.43174168813479502</v>
      </c>
      <c r="CW72" s="3">
        <f ca="1">IFERROR(__xludf.DUMMYFUNCTION("""COMPUTED_VALUE"""),-0.60194648899838)</f>
        <v>-0.60194648899837999</v>
      </c>
      <c r="CX72" s="3">
        <f ca="1">IFERROR(__xludf.DUMMYFUNCTION("""COMPUTED_VALUE"""),-0.550766488912563)</f>
        <v>-0.55076648891256297</v>
      </c>
      <c r="CY72" s="3">
        <f ca="1">IFERROR(__xludf.DUMMYFUNCTION("""COMPUTED_VALUE"""),-0.286685101972391)</f>
        <v>-0.286685101972391</v>
      </c>
      <c r="CZ72" s="3">
        <f ca="1">IFERROR(__xludf.DUMMYFUNCTION("""COMPUTED_VALUE"""),-0.510186575953946)</f>
        <v>-0.51018657595394601</v>
      </c>
      <c r="DA72" s="3">
        <f ca="1">IFERROR(__xludf.DUMMYFUNCTION("""COMPUTED_VALUE"""),-0.5109020774018)</f>
        <v>-0.51090207740180005</v>
      </c>
      <c r="DB72" s="3">
        <f ca="1">IFERROR(__xludf.DUMMYFUNCTION("""COMPUTED_VALUE"""),-0.47656884293209)</f>
        <v>-0.47656884293209001</v>
      </c>
      <c r="DC72" s="3">
        <f ca="1">IFERROR(__xludf.DUMMYFUNCTION("""COMPUTED_VALUE"""),-0.454968722653994)</f>
        <v>-0.45496872265399402</v>
      </c>
      <c r="DD72" s="3">
        <f ca="1">IFERROR(__xludf.DUMMYFUNCTION("""COMPUTED_VALUE"""),-0.710741806427885)</f>
        <v>-0.71074180642788498</v>
      </c>
      <c r="DE72" s="3">
        <f ca="1">IFERROR(__xludf.DUMMYFUNCTION("""COMPUTED_VALUE"""),-0.496017665050628)</f>
        <v>-0.496017665050628</v>
      </c>
      <c r="DF72" s="3">
        <f ca="1">IFERROR(__xludf.DUMMYFUNCTION("""COMPUTED_VALUE"""),-0.221818253896958)</f>
        <v>-0.221818253896958</v>
      </c>
      <c r="DG72" s="3">
        <f ca="1">IFERROR(__xludf.DUMMYFUNCTION("""COMPUTED_VALUE"""),-0.512534733588705)</f>
        <v>-0.51253473358870505</v>
      </c>
      <c r="DH72" s="3">
        <f ca="1">IFERROR(__xludf.DUMMYFUNCTION("""COMPUTED_VALUE"""),-0.496999165895223)</f>
        <v>-0.49699916589522303</v>
      </c>
      <c r="DI72" s="3">
        <f ca="1">IFERROR(__xludf.DUMMYFUNCTION("""COMPUTED_VALUE"""),-0.407897611153978)</f>
        <v>-0.40789761115397799</v>
      </c>
      <c r="DJ72" s="3">
        <f ca="1">IFERROR(__xludf.DUMMYFUNCTION("""COMPUTED_VALUE"""),-0.433432271269613)</f>
        <v>-0.43343227126961298</v>
      </c>
      <c r="DK72" s="3">
        <f ca="1">IFERROR(__xludf.DUMMYFUNCTION("""COMPUTED_VALUE"""),-0.484122377129258)</f>
        <v>-0.48412237712925799</v>
      </c>
      <c r="DL72" s="3">
        <f ca="1">IFERROR(__xludf.DUMMYFUNCTION("""COMPUTED_VALUE"""),-0.509749313803683)</f>
        <v>-0.50974931380368305</v>
      </c>
      <c r="DM72" s="3">
        <f ca="1">IFERROR(__xludf.DUMMYFUNCTION("""COMPUTED_VALUE"""),-0.401115731973536)</f>
        <v>-0.401115731973536</v>
      </c>
      <c r="DN72" s="3">
        <f ca="1">IFERROR(__xludf.DUMMYFUNCTION("""COMPUTED_VALUE"""),-0.504864056208547)</f>
        <v>-0.50486405620854702</v>
      </c>
      <c r="DO72" s="3">
        <f ca="1">IFERROR(__xludf.DUMMYFUNCTION("""COMPUTED_VALUE"""),-0.526860123543791)</f>
        <v>-0.52686012354379097</v>
      </c>
      <c r="DP72" s="3">
        <f ca="1">IFERROR(__xludf.DUMMYFUNCTION("""COMPUTED_VALUE"""),-0.480761027405207)</f>
        <v>-0.48076102740520699</v>
      </c>
      <c r="DQ72" s="3">
        <f ca="1">IFERROR(__xludf.DUMMYFUNCTION("""COMPUTED_VALUE"""),-0.499667904005845)</f>
        <v>-0.49966790400584499</v>
      </c>
      <c r="DR72" s="3">
        <f ca="1">IFERROR(__xludf.DUMMYFUNCTION("""COMPUTED_VALUE"""),-0.444751680208614)</f>
        <v>-0.444751680208614</v>
      </c>
      <c r="DS72" s="3">
        <f ca="1">IFERROR(__xludf.DUMMYFUNCTION("""COMPUTED_VALUE"""),-0.518499582734327)</f>
        <v>-0.51849958273432695</v>
      </c>
      <c r="DT72" s="3">
        <f ca="1">IFERROR(__xludf.DUMMYFUNCTION("""COMPUTED_VALUE"""),-0.494660038727772)</f>
        <v>-0.49466003872777198</v>
      </c>
      <c r="DU72" s="3">
        <f ca="1">IFERROR(__xludf.DUMMYFUNCTION("""COMPUTED_VALUE"""),-0.521612792694705)</f>
        <v>-0.52161279269470495</v>
      </c>
      <c r="DV72" s="3">
        <f ca="1">IFERROR(__xludf.DUMMYFUNCTION("""COMPUTED_VALUE"""),-0.556546326474302)</f>
        <v>-0.55654632647430202</v>
      </c>
      <c r="DW72" s="3">
        <f ca="1">IFERROR(__xludf.DUMMYFUNCTION("""COMPUTED_VALUE"""),-0.4907448768273)</f>
        <v>-0.4907448768273</v>
      </c>
      <c r="DX72" s="3">
        <f ca="1">IFERROR(__xludf.DUMMYFUNCTION("""COMPUTED_VALUE"""),-0.542374661819555)</f>
        <v>-0.54237466181955496</v>
      </c>
      <c r="DY72" s="3">
        <f ca="1">IFERROR(__xludf.DUMMYFUNCTION("""COMPUTED_VALUE"""),-0.428193666996326)</f>
        <v>-0.42819366699632599</v>
      </c>
      <c r="DZ72" s="3">
        <f ca="1">IFERROR(__xludf.DUMMYFUNCTION("""COMPUTED_VALUE"""),-0.373065762876834)</f>
        <v>-0.37306576287683402</v>
      </c>
      <c r="EA72" s="3">
        <f ca="1">IFERROR(__xludf.DUMMYFUNCTION("""COMPUTED_VALUE"""),-0.482872125123935)</f>
        <v>-0.48287212512393501</v>
      </c>
      <c r="EB72" s="3">
        <f ca="1">IFERROR(__xludf.DUMMYFUNCTION("""COMPUTED_VALUE"""),-0.512909811353354)</f>
        <v>-0.51290981135335401</v>
      </c>
      <c r="EC72" s="3">
        <f ca="1">IFERROR(__xludf.DUMMYFUNCTION("""COMPUTED_VALUE"""),-0.556685547252658)</f>
        <v>-0.55668554725265795</v>
      </c>
      <c r="ED72" s="3">
        <f ca="1">IFERROR(__xludf.DUMMYFUNCTION("""COMPUTED_VALUE"""),-0.469756613559305)</f>
        <v>-0.46975661355930498</v>
      </c>
      <c r="EE72" s="3">
        <f ca="1">IFERROR(__xludf.DUMMYFUNCTION("""COMPUTED_VALUE"""),-0.598825800860643)</f>
        <v>-0.59882580086064296</v>
      </c>
      <c r="EF72" s="3">
        <f ca="1">IFERROR(__xludf.DUMMYFUNCTION("""COMPUTED_VALUE"""),-0.545794234920896)</f>
        <v>-0.54579423492089596</v>
      </c>
      <c r="EG72" s="3">
        <f ca="1">IFERROR(__xludf.DUMMYFUNCTION("""COMPUTED_VALUE"""),-0.636033458738681)</f>
        <v>-0.636033458738681</v>
      </c>
      <c r="EH72" s="3">
        <f ca="1">IFERROR(__xludf.DUMMYFUNCTION("""COMPUTED_VALUE"""),-0.508615412127316)</f>
        <v>-0.50861541212731598</v>
      </c>
      <c r="EI72" s="3">
        <f ca="1">IFERROR(__xludf.DUMMYFUNCTION("""COMPUTED_VALUE"""),-0.536246322436547)</f>
        <v>-0.53624632243654702</v>
      </c>
      <c r="EJ72" s="3">
        <f ca="1">IFERROR(__xludf.DUMMYFUNCTION("""COMPUTED_VALUE"""),-0.558123122525162)</f>
        <v>-0.55812312252516205</v>
      </c>
      <c r="EK72" s="3">
        <f ca="1">IFERROR(__xludf.DUMMYFUNCTION("""COMPUTED_VALUE"""),-0.417676264988116)</f>
        <v>-0.417676264988116</v>
      </c>
      <c r="EL72" s="3">
        <f ca="1">IFERROR(__xludf.DUMMYFUNCTION("""COMPUTED_VALUE"""),-0.44850886969866)</f>
        <v>-0.44850886969866</v>
      </c>
      <c r="EM72" s="3">
        <f ca="1">IFERROR(__xludf.DUMMYFUNCTION("""COMPUTED_VALUE"""),-0.477133499708905)</f>
        <v>-0.47713349970890501</v>
      </c>
      <c r="EN72" s="3">
        <f ca="1">IFERROR(__xludf.DUMMYFUNCTION("""COMPUTED_VALUE"""),-0.385647369879313)</f>
        <v>-0.38564736987931297</v>
      </c>
      <c r="EO72" s="3">
        <f ca="1">IFERROR(__xludf.DUMMYFUNCTION("""COMPUTED_VALUE"""),-0.43593986894723)</f>
        <v>-0.43593986894723002</v>
      </c>
      <c r="EP72" s="3">
        <f ca="1">IFERROR(__xludf.DUMMYFUNCTION("""COMPUTED_VALUE"""),-0.496141653836171)</f>
        <v>-0.49614165383617098</v>
      </c>
      <c r="EQ72" s="3">
        <f ca="1">IFERROR(__xludf.DUMMYFUNCTION("""COMPUTED_VALUE"""),-0.539158864314027)</f>
        <v>-0.53915886431402704</v>
      </c>
      <c r="ER72" s="3">
        <f ca="1">IFERROR(__xludf.DUMMYFUNCTION("""COMPUTED_VALUE"""),-0.473226305059062)</f>
        <v>-0.47322630505906199</v>
      </c>
      <c r="ES72" s="3">
        <f ca="1">IFERROR(__xludf.DUMMYFUNCTION("""COMPUTED_VALUE"""),-0.452410827207883)</f>
        <v>-0.452410827207883</v>
      </c>
      <c r="ET72" s="3">
        <f ca="1">IFERROR(__xludf.DUMMYFUNCTION("""COMPUTED_VALUE"""),-0.499875843895687)</f>
        <v>-0.49987584389568701</v>
      </c>
      <c r="EU72" s="3">
        <f ca="1">IFERROR(__xludf.DUMMYFUNCTION("""COMPUTED_VALUE"""),-0.460216773011971)</f>
        <v>-0.460216773011971</v>
      </c>
      <c r="EV72" s="3">
        <f ca="1">IFERROR(__xludf.DUMMYFUNCTION("""COMPUTED_VALUE"""),-0.541012962267569)</f>
        <v>-0.54101296226756901</v>
      </c>
      <c r="EW72" s="3">
        <f ca="1">IFERROR(__xludf.DUMMYFUNCTION("""COMPUTED_VALUE"""),-0.554670301713999)</f>
        <v>-0.554670301713999</v>
      </c>
      <c r="EX72" s="3">
        <f ca="1">IFERROR(__xludf.DUMMYFUNCTION("""COMPUTED_VALUE"""),-0.531518725637225)</f>
        <v>-0.53151872563722502</v>
      </c>
      <c r="EY72" s="3">
        <f ca="1">IFERROR(__xludf.DUMMYFUNCTION("""COMPUTED_VALUE"""),-0.507983112962188)</f>
        <v>-0.50798311296218801</v>
      </c>
      <c r="EZ72" s="3">
        <f ca="1">IFERROR(__xludf.DUMMYFUNCTION("""COMPUTED_VALUE"""),-0.475612487506788)</f>
        <v>-0.47561248750678797</v>
      </c>
      <c r="FA72" s="3">
        <f ca="1">IFERROR(__xludf.DUMMYFUNCTION("""COMPUTED_VALUE"""),-0.461993794562097)</f>
        <v>-0.46199379456209699</v>
      </c>
      <c r="FB72" s="3">
        <f ca="1">IFERROR(__xludf.DUMMYFUNCTION("""COMPUTED_VALUE"""),-0.487810981022158)</f>
        <v>-0.48781098102215797</v>
      </c>
      <c r="FC72" s="3">
        <f ca="1">IFERROR(__xludf.DUMMYFUNCTION("""COMPUTED_VALUE"""),-0.462840314088839)</f>
        <v>-0.46284031408883902</v>
      </c>
      <c r="FD72" s="3">
        <f ca="1">IFERROR(__xludf.DUMMYFUNCTION("""COMPUTED_VALUE"""),-0.456051340443151)</f>
        <v>-0.45605134044315099</v>
      </c>
      <c r="FE72" s="3">
        <f ca="1">IFERROR(__xludf.DUMMYFUNCTION("""COMPUTED_VALUE"""),-0.525763827785145)</f>
        <v>-0.52576382778514497</v>
      </c>
      <c r="FF72" s="3">
        <f ca="1">IFERROR(__xludf.DUMMYFUNCTION("""COMPUTED_VALUE"""),-0.448738702386357)</f>
        <v>-0.44873870238635699</v>
      </c>
      <c r="FG72" s="3">
        <f ca="1">IFERROR(__xludf.DUMMYFUNCTION("""COMPUTED_VALUE"""),-0.481607149294507)</f>
        <v>-0.48160714929450699</v>
      </c>
      <c r="FH72" s="3">
        <f ca="1">IFERROR(__xludf.DUMMYFUNCTION("""COMPUTED_VALUE"""),-0.421641479884377)</f>
        <v>-0.421641479884377</v>
      </c>
      <c r="FI72" s="3">
        <f ca="1">IFERROR(__xludf.DUMMYFUNCTION("""COMPUTED_VALUE"""),-0.465449394596278)</f>
        <v>-0.46544939459627799</v>
      </c>
      <c r="FJ72" s="3">
        <f ca="1">IFERROR(__xludf.DUMMYFUNCTION("""COMPUTED_VALUE"""),-0.561781039886968)</f>
        <v>-0.56178103988696804</v>
      </c>
      <c r="FK72" s="3">
        <f ca="1">IFERROR(__xludf.DUMMYFUNCTION("""COMPUTED_VALUE"""),-0.577014934756365)</f>
        <v>-0.57701493475636501</v>
      </c>
      <c r="FL72" s="3">
        <f ca="1">IFERROR(__xludf.DUMMYFUNCTION("""COMPUTED_VALUE"""),-0.552942213341605)</f>
        <v>-0.55294221334160498</v>
      </c>
      <c r="FM72" s="3">
        <f ca="1">IFERROR(__xludf.DUMMYFUNCTION("""COMPUTED_VALUE"""),-0.447951857947325)</f>
        <v>-0.44795185794732501</v>
      </c>
      <c r="FN72" s="3">
        <f ca="1">IFERROR(__xludf.DUMMYFUNCTION("""COMPUTED_VALUE"""),-0.476813150996733)</f>
        <v>-0.47681315099673299</v>
      </c>
      <c r="FO72" s="3">
        <f ca="1">IFERROR(__xludf.DUMMYFUNCTION("""COMPUTED_VALUE"""),-0.455959183545601)</f>
        <v>-0.455959183545601</v>
      </c>
      <c r="FP72" s="3">
        <f ca="1">IFERROR(__xludf.DUMMYFUNCTION("""COMPUTED_VALUE"""),-0.518917803301367)</f>
        <v>-0.51891780330136705</v>
      </c>
      <c r="FQ72" s="3">
        <f ca="1">IFERROR(__xludf.DUMMYFUNCTION("""COMPUTED_VALUE"""),-0.471775672435193)</f>
        <v>-0.47177567243519303</v>
      </c>
      <c r="FR72" s="3">
        <f ca="1">IFERROR(__xludf.DUMMYFUNCTION("""COMPUTED_VALUE"""),-0.507469084639161)</f>
        <v>-0.50746908463916096</v>
      </c>
      <c r="FS72" s="3">
        <f ca="1">IFERROR(__xludf.DUMMYFUNCTION("""COMPUTED_VALUE"""),-0.468064275664092)</f>
        <v>-0.46806427566409198</v>
      </c>
      <c r="FT72" s="3">
        <f ca="1">IFERROR(__xludf.DUMMYFUNCTION("""COMPUTED_VALUE"""),-0.387387315281247)</f>
        <v>-0.38738731528124698</v>
      </c>
      <c r="FU72" s="3">
        <f ca="1">IFERROR(__xludf.DUMMYFUNCTION("""COMPUTED_VALUE"""),-0.421268013383718)</f>
        <v>-0.421268013383718</v>
      </c>
      <c r="FV72" s="3">
        <f ca="1">IFERROR(__xludf.DUMMYFUNCTION("""COMPUTED_VALUE"""),-0.424314903655671)</f>
        <v>-0.42431490365567098</v>
      </c>
      <c r="FW72" s="3">
        <f ca="1">IFERROR(__xludf.DUMMYFUNCTION("""COMPUTED_VALUE"""),-0.499534046288391)</f>
        <v>-0.49953404628839099</v>
      </c>
      <c r="FX72" s="3">
        <f ca="1">IFERROR(__xludf.DUMMYFUNCTION("""COMPUTED_VALUE"""),-0.528968008882377)</f>
        <v>-0.52896800888237705</v>
      </c>
      <c r="FY72" s="3">
        <f ca="1">IFERROR(__xludf.DUMMYFUNCTION("""COMPUTED_VALUE"""),-0.491867114537989)</f>
        <v>-0.49186711453798898</v>
      </c>
      <c r="FZ72" s="3">
        <f ca="1">IFERROR(__xludf.DUMMYFUNCTION("""COMPUTED_VALUE"""),-0.478236905619705)</f>
        <v>-0.478236905619705</v>
      </c>
      <c r="GA72" s="3">
        <f ca="1">IFERROR(__xludf.DUMMYFUNCTION("""COMPUTED_VALUE"""),-0.378427312363833)</f>
        <v>-0.37842731236383298</v>
      </c>
      <c r="GB72" s="3">
        <f ca="1">IFERROR(__xludf.DUMMYFUNCTION("""COMPUTED_VALUE"""),-0.41665700296391)</f>
        <v>-0.41665700296391001</v>
      </c>
      <c r="GC72" s="3">
        <f ca="1">IFERROR(__xludf.DUMMYFUNCTION("""COMPUTED_VALUE"""),-0.449072873373885)</f>
        <v>-0.44907287337388502</v>
      </c>
      <c r="GD72" s="3">
        <f ca="1">IFERROR(__xludf.DUMMYFUNCTION("""COMPUTED_VALUE"""),-0.547932288258942)</f>
        <v>-0.54793228825894202</v>
      </c>
      <c r="GE72" s="3">
        <f ca="1">IFERROR(__xludf.DUMMYFUNCTION("""COMPUTED_VALUE"""),-0.522707590642042)</f>
        <v>-0.52270759064204197</v>
      </c>
      <c r="GF72" s="3">
        <f ca="1">IFERROR(__xludf.DUMMYFUNCTION("""COMPUTED_VALUE"""),-0.506022206118761)</f>
        <v>-0.50602220611876103</v>
      </c>
      <c r="GG72" s="3">
        <f ca="1">IFERROR(__xludf.DUMMYFUNCTION("""COMPUTED_VALUE"""),-0.499590040194033)</f>
        <v>-0.49959004019403302</v>
      </c>
      <c r="GH72" s="3">
        <f ca="1">IFERROR(__xludf.DUMMYFUNCTION("""COMPUTED_VALUE"""),-0.343496330089449)</f>
        <v>-0.34349633008944902</v>
      </c>
      <c r="GI72" s="3">
        <f ca="1">IFERROR(__xludf.DUMMYFUNCTION("""COMPUTED_VALUE"""),-0.417120326147527)</f>
        <v>-0.41712032614752698</v>
      </c>
      <c r="GJ72" s="3">
        <f ca="1">IFERROR(__xludf.DUMMYFUNCTION("""COMPUTED_VALUE"""),-0.455645219617226)</f>
        <v>-0.45564521961722598</v>
      </c>
      <c r="GK72" s="3">
        <f ca="1">IFERROR(__xludf.DUMMYFUNCTION("""COMPUTED_VALUE"""),-0.51702384300634)</f>
        <v>-0.51702384300633997</v>
      </c>
      <c r="GL72" s="3">
        <f ca="1">IFERROR(__xludf.DUMMYFUNCTION("""COMPUTED_VALUE"""),-0.538530398920334)</f>
        <v>-0.53853039892033405</v>
      </c>
      <c r="GM72" s="3">
        <f ca="1">IFERROR(__xludf.DUMMYFUNCTION("""COMPUTED_VALUE"""),-0.555494048963597)</f>
        <v>-0.555494048963597</v>
      </c>
      <c r="GN72" s="3">
        <f ca="1">IFERROR(__xludf.DUMMYFUNCTION("""COMPUTED_VALUE"""),-0.5493764152476)</f>
        <v>-0.54937641524759995</v>
      </c>
      <c r="GO72" s="3">
        <f ca="1">IFERROR(__xludf.DUMMYFUNCTION("""COMPUTED_VALUE"""),-0.411636899921225)</f>
        <v>-0.41163689992122499</v>
      </c>
      <c r="GP72" s="3">
        <f ca="1">IFERROR(__xludf.DUMMYFUNCTION("""COMPUTED_VALUE"""),-0.390499499820408)</f>
        <v>-0.39049949982040799</v>
      </c>
      <c r="GQ72" s="3">
        <f ca="1">IFERROR(__xludf.DUMMYFUNCTION("""COMPUTED_VALUE"""),-0.480333132924436)</f>
        <v>-0.48033313292443602</v>
      </c>
      <c r="GR72" s="3">
        <f ca="1">IFERROR(__xludf.DUMMYFUNCTION("""COMPUTED_VALUE"""),-0.525947481777567)</f>
        <v>-0.52594748177756701</v>
      </c>
      <c r="GS72" s="3">
        <f ca="1">IFERROR(__xludf.DUMMYFUNCTION("""COMPUTED_VALUE"""),-0.568645440916757)</f>
        <v>-0.56864544091675695</v>
      </c>
      <c r="GT72" s="3">
        <f ca="1">IFERROR(__xludf.DUMMYFUNCTION("""COMPUTED_VALUE"""),-0.526466937627588)</f>
        <v>-0.52646693762758801</v>
      </c>
      <c r="GU72" s="3">
        <f ca="1">IFERROR(__xludf.DUMMYFUNCTION("""COMPUTED_VALUE"""),-0.609846151068168)</f>
        <v>-0.60984615106816797</v>
      </c>
      <c r="GV72" s="3">
        <f ca="1">IFERROR(__xludf.DUMMYFUNCTION("""COMPUTED_VALUE"""),-0.388525463384645)</f>
        <v>-0.388525463384645</v>
      </c>
      <c r="GW72" s="3">
        <f ca="1">IFERROR(__xludf.DUMMYFUNCTION("""COMPUTED_VALUE"""),-0.435077678160672)</f>
        <v>-0.435077678160672</v>
      </c>
      <c r="GX72" s="3">
        <f ca="1">IFERROR(__xludf.DUMMYFUNCTION("""COMPUTED_VALUE"""),-0.48013165227911)</f>
        <v>-0.48013165227910998</v>
      </c>
      <c r="GY72" s="3">
        <f ca="1">IFERROR(__xludf.DUMMYFUNCTION("""COMPUTED_VALUE"""),-0.503934567346728)</f>
        <v>-0.50393456734672804</v>
      </c>
      <c r="GZ72" s="3">
        <f ca="1">IFERROR(__xludf.DUMMYFUNCTION("""COMPUTED_VALUE"""),-0.516345328241216)</f>
        <v>-0.51634532824121604</v>
      </c>
      <c r="HA72" s="3">
        <f ca="1">IFERROR(__xludf.DUMMYFUNCTION("""COMPUTED_VALUE"""),-0.519245992584357)</f>
        <v>-0.519245992584357</v>
      </c>
      <c r="HB72" s="3">
        <f ca="1">IFERROR(__xludf.DUMMYFUNCTION("""COMPUTED_VALUE"""),-0.54558617149854)</f>
        <v>-0.54558617149854005</v>
      </c>
      <c r="HC72" s="3">
        <f ca="1">IFERROR(__xludf.DUMMYFUNCTION("""COMPUTED_VALUE"""),-0.44059050860829)</f>
        <v>-0.44059050860829002</v>
      </c>
      <c r="HD72" s="3">
        <f ca="1">IFERROR(__xludf.DUMMYFUNCTION("""COMPUTED_VALUE"""),-0.445046710425519)</f>
        <v>-0.44504671042551902</v>
      </c>
      <c r="HE72" s="3">
        <f ca="1">IFERROR(__xludf.DUMMYFUNCTION("""COMPUTED_VALUE"""),-0.418227471197346)</f>
        <v>-0.41822747119734599</v>
      </c>
      <c r="HF72" s="3">
        <f ca="1">IFERROR(__xludf.DUMMYFUNCTION("""COMPUTED_VALUE"""),-0.505744320335104)</f>
        <v>-0.50574432033510397</v>
      </c>
      <c r="HG72" s="3">
        <f ca="1">IFERROR(__xludf.DUMMYFUNCTION("""COMPUTED_VALUE"""),-0.539325222970613)</f>
        <v>-0.53932522297061303</v>
      </c>
      <c r="HH72" s="3">
        <f ca="1">IFERROR(__xludf.DUMMYFUNCTION("""COMPUTED_VALUE"""),-0.563920271423989)</f>
        <v>-0.56392027142398904</v>
      </c>
      <c r="HI72" s="3">
        <f ca="1">IFERROR(__xludf.DUMMYFUNCTION("""COMPUTED_VALUE"""),-0.547469187448159)</f>
        <v>-0.54746918744815898</v>
      </c>
      <c r="HJ72" s="3">
        <f ca="1">IFERROR(__xludf.DUMMYFUNCTION("""COMPUTED_VALUE"""),-0.44758524874872)</f>
        <v>-0.44758524874872002</v>
      </c>
      <c r="HK72" s="3">
        <f ca="1">IFERROR(__xludf.DUMMYFUNCTION("""COMPUTED_VALUE"""),-0.470543502305932)</f>
        <v>-0.470543502305932</v>
      </c>
      <c r="HL72" s="3">
        <f ca="1">IFERROR(__xludf.DUMMYFUNCTION("""COMPUTED_VALUE"""),-0.519876892164828)</f>
        <v>-0.51987689216482802</v>
      </c>
      <c r="HM72" s="3">
        <f ca="1">IFERROR(__xludf.DUMMYFUNCTION("""COMPUTED_VALUE"""),-0.496889112706583)</f>
        <v>-0.49688911270658298</v>
      </c>
      <c r="HN72" s="3">
        <f ca="1">IFERROR(__xludf.DUMMYFUNCTION("""COMPUTED_VALUE"""),-0.563261710028015)</f>
        <v>-0.56326171002801495</v>
      </c>
      <c r="HO72" s="3">
        <f ca="1">IFERROR(__xludf.DUMMYFUNCTION("""COMPUTED_VALUE"""),-0.528318305856726)</f>
        <v>-0.52831830585672601</v>
      </c>
      <c r="HP72" s="3">
        <f ca="1">IFERROR(__xludf.DUMMYFUNCTION("""COMPUTED_VALUE"""),-0.528264650271142)</f>
        <v>-0.528264650271142</v>
      </c>
      <c r="HQ72" s="3">
        <f ca="1">IFERROR(__xludf.DUMMYFUNCTION("""COMPUTED_VALUE"""),-0.414986348292321)</f>
        <v>-0.41498634829232101</v>
      </c>
      <c r="HR72" s="3">
        <f ca="1">IFERROR(__xludf.DUMMYFUNCTION("""COMPUTED_VALUE"""),-0.444657783067052)</f>
        <v>-0.444657783067052</v>
      </c>
      <c r="HS72" s="3">
        <f ca="1">IFERROR(__xludf.DUMMYFUNCTION("""COMPUTED_VALUE"""),-0.478699067880641)</f>
        <v>-0.47869906788064098</v>
      </c>
      <c r="HT72" s="3">
        <f ca="1">IFERROR(__xludf.DUMMYFUNCTION("""COMPUTED_VALUE"""),-0.524905489159193)</f>
        <v>-0.52490548915919299</v>
      </c>
      <c r="HU72" s="3">
        <f ca="1">IFERROR(__xludf.DUMMYFUNCTION("""COMPUTED_VALUE"""),-0.572343176839077)</f>
        <v>-0.57234317683907698</v>
      </c>
      <c r="HV72" s="3">
        <f ca="1">IFERROR(__xludf.DUMMYFUNCTION("""COMPUTED_VALUE"""),-0.560766207463988)</f>
        <v>-0.56076620746398798</v>
      </c>
      <c r="HW72" s="3">
        <f ca="1">IFERROR(__xludf.DUMMYFUNCTION("""COMPUTED_VALUE"""),-0.506768624716495)</f>
        <v>-0.50676862471649498</v>
      </c>
      <c r="HX72" s="3">
        <f ca="1">IFERROR(__xludf.DUMMYFUNCTION("""COMPUTED_VALUE"""),-0.429046114511292)</f>
        <v>-0.42904611451129199</v>
      </c>
      <c r="HY72" s="3">
        <f ca="1">IFERROR(__xludf.DUMMYFUNCTION("""COMPUTED_VALUE"""),-0.464995320072316)</f>
        <v>-0.46499532007231598</v>
      </c>
      <c r="HZ72" s="3">
        <f ca="1">IFERROR(__xludf.DUMMYFUNCTION("""COMPUTED_VALUE"""),-0.533148418690662)</f>
        <v>-0.53314841869066198</v>
      </c>
      <c r="IA72" s="3">
        <f ca="1">IFERROR(__xludf.DUMMYFUNCTION("""COMPUTED_VALUE"""),-0.523852455032086)</f>
        <v>-0.523852455032086</v>
      </c>
      <c r="IB72" s="3">
        <f ca="1">IFERROR(__xludf.DUMMYFUNCTION("""COMPUTED_VALUE"""),-0.552093980386771)</f>
        <v>-0.55209398038677104</v>
      </c>
      <c r="IC72" s="3">
        <f ca="1">IFERROR(__xludf.DUMMYFUNCTION("""COMPUTED_VALUE"""),-0.527446075976338)</f>
        <v>-0.52744607597633797</v>
      </c>
      <c r="ID72" s="3">
        <f ca="1">IFERROR(__xludf.DUMMYFUNCTION("""COMPUTED_VALUE"""),-0.576936188097517)</f>
        <v>-0.57693618809751701</v>
      </c>
      <c r="IE72" s="3">
        <f ca="1">IFERROR(__xludf.DUMMYFUNCTION("""COMPUTED_VALUE"""),-0.442211370712434)</f>
        <v>-0.44221137071243399</v>
      </c>
      <c r="IF72" s="3">
        <f ca="1">IFERROR(__xludf.DUMMYFUNCTION("""COMPUTED_VALUE"""),-0.3777299097508)</f>
        <v>-0.37772990975080001</v>
      </c>
      <c r="IG72" s="3">
        <f ca="1">IFERROR(__xludf.DUMMYFUNCTION("""COMPUTED_VALUE"""),-0.487772375046946)</f>
        <v>-0.48777237504694598</v>
      </c>
      <c r="IH72" s="3">
        <f ca="1">IFERROR(__xludf.DUMMYFUNCTION("""COMPUTED_VALUE"""),-0.433445607435365)</f>
        <v>-0.43344560743536498</v>
      </c>
      <c r="II72" s="3">
        <f ca="1">IFERROR(__xludf.DUMMYFUNCTION("""COMPUTED_VALUE"""),-0.550382487841791)</f>
        <v>-0.550382487841791</v>
      </c>
      <c r="IJ72" s="3">
        <f ca="1">IFERROR(__xludf.DUMMYFUNCTION("""COMPUTED_VALUE"""),-0.533921976751271)</f>
        <v>-0.53392197675127095</v>
      </c>
      <c r="IK72" s="3">
        <f ca="1">IFERROR(__xludf.DUMMYFUNCTION("""COMPUTED_VALUE"""),-0.511753824018336)</f>
        <v>-0.51175382401833602</v>
      </c>
      <c r="IL72" s="3">
        <f ca="1">IFERROR(__xludf.DUMMYFUNCTION("""COMPUTED_VALUE"""),-0.400288316357856)</f>
        <v>-0.400288316357856</v>
      </c>
      <c r="IM72" s="3">
        <f ca="1">IFERROR(__xludf.DUMMYFUNCTION("""COMPUTED_VALUE"""),-0.459588564791857)</f>
        <v>-0.459588564791857</v>
      </c>
      <c r="IN72" s="3">
        <f ca="1">IFERROR(__xludf.DUMMYFUNCTION("""COMPUTED_VALUE"""),-0.45543052825672)</f>
        <v>-0.45543052825671998</v>
      </c>
      <c r="IO72" s="3">
        <f ca="1">IFERROR(__xludf.DUMMYFUNCTION("""COMPUTED_VALUE"""),-0.482273340045579)</f>
        <v>-0.48227334004557898</v>
      </c>
      <c r="IP72" s="3">
        <f ca="1">IFERROR(__xludf.DUMMYFUNCTION("""COMPUTED_VALUE"""),-0.519450075232867)</f>
        <v>-0.51945007523286701</v>
      </c>
      <c r="IQ72" s="3">
        <f ca="1">IFERROR(__xludf.DUMMYFUNCTION("""COMPUTED_VALUE"""),-0.499367851322487)</f>
        <v>-0.49936785132248701</v>
      </c>
      <c r="IR72" s="3">
        <f ca="1">IFERROR(__xludf.DUMMYFUNCTION("""COMPUTED_VALUE"""),-0.498568579652737)</f>
        <v>-0.49856857965273699</v>
      </c>
      <c r="IS72" s="3">
        <f ca="1">IFERROR(__xludf.DUMMYFUNCTION("""COMPUTED_VALUE"""),-0.37687722563582)</f>
        <v>-0.37687722563581999</v>
      </c>
      <c r="IT72" s="3">
        <f ca="1">IFERROR(__xludf.DUMMYFUNCTION("""COMPUTED_VALUE"""),-0.464868870117857)</f>
        <v>-0.46486887011785699</v>
      </c>
      <c r="IU72" s="3">
        <f ca="1">IFERROR(__xludf.DUMMYFUNCTION("""COMPUTED_VALUE"""),-0.499910270992053)</f>
        <v>-0.49991027099205299</v>
      </c>
      <c r="IV72" s="3">
        <f ca="1">IFERROR(__xludf.DUMMYFUNCTION("""COMPUTED_VALUE"""),-0.51438016897631)</f>
        <v>-0.51438016897631</v>
      </c>
      <c r="IW72" s="3">
        <f ca="1">IFERROR(__xludf.DUMMYFUNCTION("""COMPUTED_VALUE"""),-0.542498874999927)</f>
        <v>-0.54249887499992699</v>
      </c>
      <c r="IX72" s="3">
        <f ca="1">IFERROR(__xludf.DUMMYFUNCTION("""COMPUTED_VALUE"""),-0.516396531333476)</f>
        <v>-0.51639653133347596</v>
      </c>
      <c r="IY72" s="3">
        <f ca="1">IFERROR(__xludf.DUMMYFUNCTION("""COMPUTED_VALUE"""),-0.515555649493392)</f>
        <v>-0.51555564949339205</v>
      </c>
      <c r="IZ72" s="3">
        <f ca="1">IFERROR(__xludf.DUMMYFUNCTION("""COMPUTED_VALUE"""),-0.419265450700899)</f>
        <v>-0.41926545070089899</v>
      </c>
      <c r="JA72" s="3">
        <f ca="1">IFERROR(__xludf.DUMMYFUNCTION("""COMPUTED_VALUE"""),-0.538716104663225)</f>
        <v>-0.53871610466322495</v>
      </c>
      <c r="JB72" s="3">
        <f ca="1">IFERROR(__xludf.DUMMYFUNCTION("""COMPUTED_VALUE"""),-0.527106559910296)</f>
        <v>-0.52710655991029598</v>
      </c>
      <c r="JC72" s="3">
        <f ca="1">IFERROR(__xludf.DUMMYFUNCTION("""COMPUTED_VALUE"""),-0.535296196860066)</f>
        <v>-0.53529619686006602</v>
      </c>
      <c r="JD72" s="3">
        <f ca="1">IFERROR(__xludf.DUMMYFUNCTION("""COMPUTED_VALUE"""),-0.55949133366699)</f>
        <v>-0.55949133366699</v>
      </c>
      <c r="JE72" s="3">
        <f ca="1">IFERROR(__xludf.DUMMYFUNCTION("""COMPUTED_VALUE"""),-0.512669612606747)</f>
        <v>-0.51266961260674704</v>
      </c>
      <c r="JF72" s="3">
        <f ca="1">IFERROR(__xludf.DUMMYFUNCTION("""COMPUTED_VALUE"""),-0.517102792643156)</f>
        <v>-0.51710279264315595</v>
      </c>
      <c r="JG72" s="3">
        <f ca="1">IFERROR(__xludf.DUMMYFUNCTION("""COMPUTED_VALUE"""),-0.420908543261863)</f>
        <v>-0.420908543261863</v>
      </c>
      <c r="JH72" s="3">
        <f ca="1">IFERROR(__xludf.DUMMYFUNCTION("""COMPUTED_VALUE"""),-0.490719354691466)</f>
        <v>-0.49071935469146599</v>
      </c>
      <c r="JI72" s="3">
        <f ca="1">IFERROR(__xludf.DUMMYFUNCTION("""COMPUTED_VALUE"""),-0.498896104301917)</f>
        <v>-0.498896104301917</v>
      </c>
      <c r="JJ72" s="3">
        <f ca="1">IFERROR(__xludf.DUMMYFUNCTION("""COMPUTED_VALUE"""),-0.474801682774598)</f>
        <v>-0.474801682774598</v>
      </c>
      <c r="JK72" s="3">
        <f ca="1">IFERROR(__xludf.DUMMYFUNCTION("""COMPUTED_VALUE"""),-0.513030754206334)</f>
        <v>-0.51303075420633404</v>
      </c>
      <c r="JL72" s="3">
        <f ca="1">IFERROR(__xludf.DUMMYFUNCTION("""COMPUTED_VALUE"""),-0.511064921161683)</f>
        <v>-0.51106492116168301</v>
      </c>
      <c r="JM72" s="3">
        <f ca="1">IFERROR(__xludf.DUMMYFUNCTION("""COMPUTED_VALUE"""),-0.522990678234206)</f>
        <v>-0.52299067823420597</v>
      </c>
      <c r="JN72" s="3">
        <f ca="1">IFERROR(__xludf.DUMMYFUNCTION("""COMPUTED_VALUE"""),-0.468119592488197)</f>
        <v>-0.46811959248819701</v>
      </c>
      <c r="JO72" s="3">
        <f ca="1">IFERROR(__xludf.DUMMYFUNCTION("""COMPUTED_VALUE"""),-0.457269807122157)</f>
        <v>-0.45726980712215698</v>
      </c>
      <c r="JP72" s="3">
        <f ca="1">IFERROR(__xludf.DUMMYFUNCTION("""COMPUTED_VALUE"""),-0.507750879142645)</f>
        <v>-0.50775087914264505</v>
      </c>
      <c r="JQ72" s="3">
        <f ca="1">IFERROR(__xludf.DUMMYFUNCTION("""COMPUTED_VALUE"""),-0.467303798034113)</f>
        <v>-0.46730379803411298</v>
      </c>
      <c r="JR72" s="3">
        <f ca="1">IFERROR(__xludf.DUMMYFUNCTION("""COMPUTED_VALUE"""),-0.479829432038875)</f>
        <v>-0.47982943203887501</v>
      </c>
      <c r="JS72" s="3">
        <f ca="1">IFERROR(__xludf.DUMMYFUNCTION("""COMPUTED_VALUE"""),-0.499062807266537)</f>
        <v>-0.49906280726653701</v>
      </c>
      <c r="JT72" s="3">
        <f ca="1">IFERROR(__xludf.DUMMYFUNCTION("""COMPUTED_VALUE"""),-0.476322807578924)</f>
        <v>-0.47632280757892398</v>
      </c>
      <c r="JU72" s="3">
        <f ca="1">IFERROR(__xludf.DUMMYFUNCTION("""COMPUTED_VALUE"""),-0.396860612955808)</f>
        <v>-0.39686061295580799</v>
      </c>
      <c r="JV72" s="3">
        <f ca="1">IFERROR(__xludf.DUMMYFUNCTION("""COMPUTED_VALUE"""),-0.367041188421469)</f>
        <v>-0.36704118842146899</v>
      </c>
      <c r="JW72" s="3">
        <f ca="1">IFERROR(__xludf.DUMMYFUNCTION("""COMPUTED_VALUE"""),-0.456266262270489)</f>
        <v>-0.456266262270489</v>
      </c>
      <c r="JX72" s="3">
        <f ca="1">IFERROR(__xludf.DUMMYFUNCTION("""COMPUTED_VALUE"""),-0.383457592445862)</f>
        <v>-0.38345759244586197</v>
      </c>
      <c r="JY72" s="3">
        <f ca="1">IFERROR(__xludf.DUMMYFUNCTION("""COMPUTED_VALUE"""),-0.455217953180024)</f>
        <v>-0.455217953180024</v>
      </c>
      <c r="JZ72" s="3">
        <f ca="1">IFERROR(__xludf.DUMMYFUNCTION("""COMPUTED_VALUE"""),-0.472610239894107)</f>
        <v>-0.472610239894107</v>
      </c>
      <c r="KA72" s="3">
        <f ca="1">IFERROR(__xludf.DUMMYFUNCTION("""COMPUTED_VALUE"""),-0.505466866459548)</f>
        <v>-0.50546686645954797</v>
      </c>
      <c r="KB72" s="3">
        <f ca="1">IFERROR(__xludf.DUMMYFUNCTION("""COMPUTED_VALUE"""),-0.410928005591266)</f>
        <v>-0.41092800559126602</v>
      </c>
      <c r="KC72" s="3">
        <f ca="1">IFERROR(__xludf.DUMMYFUNCTION("""COMPUTED_VALUE"""),-0.434935972916402)</f>
        <v>-0.43493597291640201</v>
      </c>
      <c r="KD72" s="3">
        <f ca="1">IFERROR(__xludf.DUMMYFUNCTION("""COMPUTED_VALUE"""),-0.54452550408622)</f>
        <v>-0.54452550408622002</v>
      </c>
      <c r="KE72" s="3">
        <f ca="1">IFERROR(__xludf.DUMMYFUNCTION("""COMPUTED_VALUE"""),-0.410434820574765)</f>
        <v>-0.41043482057476499</v>
      </c>
      <c r="KF72" s="3">
        <f ca="1">IFERROR(__xludf.DUMMYFUNCTION("""COMPUTED_VALUE"""),-0.458758485626273)</f>
        <v>-0.45875848562627303</v>
      </c>
      <c r="KG72" s="3">
        <f ca="1">IFERROR(__xludf.DUMMYFUNCTION("""COMPUTED_VALUE"""),-0.501588754170554)</f>
        <v>-0.50158875417055404</v>
      </c>
      <c r="KH72" s="3">
        <f ca="1">IFERROR(__xludf.DUMMYFUNCTION("""COMPUTED_VALUE"""),-0.426821660733913)</f>
        <v>-0.42682166073391298</v>
      </c>
      <c r="KI72" s="3">
        <f ca="1">IFERROR(__xludf.DUMMYFUNCTION("""COMPUTED_VALUE"""),-0.33249208210485)</f>
        <v>-0.33249208210484998</v>
      </c>
      <c r="KJ72" s="3">
        <f ca="1">IFERROR(__xludf.DUMMYFUNCTION("""COMPUTED_VALUE"""),-0.460163251386148)</f>
        <v>-0.460163251386148</v>
      </c>
      <c r="KK72" s="3">
        <f ca="1">IFERROR(__xludf.DUMMYFUNCTION("""COMPUTED_VALUE"""),-0.444692887719288)</f>
        <v>-0.444692887719288</v>
      </c>
      <c r="KL72" s="3">
        <f ca="1">IFERROR(__xludf.DUMMYFUNCTION("""COMPUTED_VALUE"""),-0.380061899568798)</f>
        <v>-0.38006189956879799</v>
      </c>
      <c r="KM72" s="3">
        <f ca="1">IFERROR(__xludf.DUMMYFUNCTION("""COMPUTED_VALUE"""),-0.428066985216931)</f>
        <v>-0.42806698521693098</v>
      </c>
      <c r="KN72" s="3">
        <f ca="1">IFERROR(__xludf.DUMMYFUNCTION("""COMPUTED_VALUE"""),-0.493751966562251)</f>
        <v>-0.49375196656225101</v>
      </c>
      <c r="KO72" s="3">
        <f ca="1">IFERROR(__xludf.DUMMYFUNCTION("""COMPUTED_VALUE"""),-0.2572154590114)</f>
        <v>-0.25721545901140003</v>
      </c>
      <c r="KP72" s="3">
        <f ca="1">IFERROR(__xludf.DUMMYFUNCTION("""COMPUTED_VALUE"""),-0.36348083702653)</f>
        <v>-0.36348083702653</v>
      </c>
      <c r="KQ72" s="3">
        <f ca="1">IFERROR(__xludf.DUMMYFUNCTION("""COMPUTED_VALUE"""),-0.422880606600591)</f>
        <v>-0.42288060660059101</v>
      </c>
      <c r="KR72" s="3">
        <f ca="1">IFERROR(__xludf.DUMMYFUNCTION("""COMPUTED_VALUE"""),-0.357985650314013)</f>
        <v>-0.35798565031401303</v>
      </c>
      <c r="KS72" s="3">
        <f ca="1">IFERROR(__xludf.DUMMYFUNCTION("""COMPUTED_VALUE"""),-0.453945089933126)</f>
        <v>-0.45394508993312599</v>
      </c>
      <c r="KT72" s="3">
        <f ca="1">IFERROR(__xludf.DUMMYFUNCTION("""COMPUTED_VALUE"""),-0.400799695652699)</f>
        <v>-0.40079969565269902</v>
      </c>
      <c r="KU72" s="3">
        <f ca="1">IFERROR(__xludf.DUMMYFUNCTION("""COMPUTED_VALUE"""),-0.337241158552826)</f>
        <v>-0.33724115855282599</v>
      </c>
      <c r="KV72" s="3">
        <f ca="1">IFERROR(__xludf.DUMMYFUNCTION("""COMPUTED_VALUE"""),-0.389825729431598)</f>
        <v>-0.38982572943159799</v>
      </c>
      <c r="KW72" s="3">
        <f ca="1">IFERROR(__xludf.DUMMYFUNCTION("""COMPUTED_VALUE"""),-0.41287673509077)</f>
        <v>-0.41287673509077</v>
      </c>
      <c r="KX72" s="3">
        <f ca="1">IFERROR(__xludf.DUMMYFUNCTION("""COMPUTED_VALUE"""),-0.464991838093607)</f>
        <v>-0.464991838093607</v>
      </c>
      <c r="KY72" s="3">
        <f ca="1">IFERROR(__xludf.DUMMYFUNCTION("""COMPUTED_VALUE"""),-0.308548164364056)</f>
        <v>-0.30854816436405602</v>
      </c>
      <c r="KZ72" s="3">
        <f ca="1">IFERROR(__xludf.DUMMYFUNCTION("""COMPUTED_VALUE"""),-0.37233197078935)</f>
        <v>-0.37233197078934999</v>
      </c>
      <c r="LA72" s="3">
        <f ca="1">IFERROR(__xludf.DUMMYFUNCTION("""COMPUTED_VALUE"""),-0.307448759833122)</f>
        <v>-0.30744875983312198</v>
      </c>
      <c r="LB72" s="3">
        <f ca="1">IFERROR(__xludf.DUMMYFUNCTION("""COMPUTED_VALUE"""),-0.434798764025984)</f>
        <v>-0.434798764025984</v>
      </c>
      <c r="LC72" s="3">
        <f ca="1">IFERROR(__xludf.DUMMYFUNCTION("""COMPUTED_VALUE"""),-0.349336575777315)</f>
        <v>-0.34933657577731497</v>
      </c>
      <c r="LD72" s="3">
        <f ca="1">IFERROR(__xludf.DUMMYFUNCTION("""COMPUTED_VALUE"""),-0.414692146950053)</f>
        <v>-0.41469214695005302</v>
      </c>
      <c r="LE72" s="3">
        <f ca="1">IFERROR(__xludf.DUMMYFUNCTION("""COMPUTED_VALUE"""),-0.401827206933505)</f>
        <v>-0.40182720693350499</v>
      </c>
      <c r="LF72" s="3">
        <f ca="1">IFERROR(__xludf.DUMMYFUNCTION("""COMPUTED_VALUE"""),-0.391956357312303)</f>
        <v>-0.39195635731230299</v>
      </c>
      <c r="LG72" s="3">
        <f ca="1">IFERROR(__xludf.DUMMYFUNCTION("""COMPUTED_VALUE"""),-0.528726910768076)</f>
        <v>-0.52872691076807599</v>
      </c>
      <c r="LH72" s="3">
        <f ca="1">IFERROR(__xludf.DUMMYFUNCTION("""COMPUTED_VALUE"""),-0.389051868409413)</f>
        <v>-0.38905186840941303</v>
      </c>
      <c r="LI72" s="3">
        <f ca="1">IFERROR(__xludf.DUMMYFUNCTION("""COMPUTED_VALUE"""),-0.407835307837508)</f>
        <v>-0.40783530783750799</v>
      </c>
      <c r="LJ72" s="3">
        <f ca="1">IFERROR(__xludf.DUMMYFUNCTION("""COMPUTED_VALUE"""),-0.483566450094581)</f>
        <v>-0.48356645009458099</v>
      </c>
      <c r="LK72" s="3">
        <f ca="1">IFERROR(__xludf.DUMMYFUNCTION("""COMPUTED_VALUE"""),-0.391577153370504)</f>
        <v>-0.39157715337050403</v>
      </c>
      <c r="LL72" s="3">
        <f ca="1">IFERROR(__xludf.DUMMYFUNCTION("""COMPUTED_VALUE"""),-0.448277617488409)</f>
        <v>-0.448277617488409</v>
      </c>
      <c r="LM72" s="3">
        <f ca="1">IFERROR(__xludf.DUMMYFUNCTION("""COMPUTED_VALUE"""),-0.435283813617519)</f>
        <v>-0.435283813617519</v>
      </c>
      <c r="LN72" s="3">
        <f ca="1">IFERROR(__xludf.DUMMYFUNCTION("""COMPUTED_VALUE"""),-0.35750114341567)</f>
        <v>-0.35750114341567002</v>
      </c>
      <c r="LO72" s="3">
        <f ca="1">IFERROR(__xludf.DUMMYFUNCTION("""COMPUTED_VALUE"""),-0.35587712556987)</f>
        <v>-0.35587712556987</v>
      </c>
      <c r="LP72" s="3">
        <f ca="1">IFERROR(__xludf.DUMMYFUNCTION("""COMPUTED_VALUE"""),-0.361332488188741)</f>
        <v>-0.36133248818874097</v>
      </c>
      <c r="LQ72" s="3">
        <f ca="1">IFERROR(__xludf.DUMMYFUNCTION("""COMPUTED_VALUE"""),-0.211509760104058)</f>
        <v>-0.211509760104058</v>
      </c>
      <c r="LR72" s="3">
        <f ca="1">IFERROR(__xludf.DUMMYFUNCTION("""COMPUTED_VALUE"""),-0.362439094475284)</f>
        <v>-0.362439094475284</v>
      </c>
      <c r="LS72" s="3">
        <f ca="1">IFERROR(__xludf.DUMMYFUNCTION("""COMPUTED_VALUE"""),-0.362636356758539)</f>
        <v>-0.362636356758539</v>
      </c>
      <c r="LT72" s="3">
        <f ca="1">IFERROR(__xludf.DUMMYFUNCTION("""COMPUTED_VALUE"""),-0.408273118810423)</f>
        <v>-0.408273118810423</v>
      </c>
      <c r="LU72" s="3">
        <f ca="1">IFERROR(__xludf.DUMMYFUNCTION("""COMPUTED_VALUE"""),-0.400607953187508)</f>
        <v>-0.40060795318750803</v>
      </c>
      <c r="LV72" s="3">
        <f ca="1">IFERROR(__xludf.DUMMYFUNCTION("""COMPUTED_VALUE"""),-0.411384193755717)</f>
        <v>-0.411384193755717</v>
      </c>
      <c r="LW72" s="3">
        <f ca="1">IFERROR(__xludf.DUMMYFUNCTION("""COMPUTED_VALUE"""),-0.391446539185743)</f>
        <v>-0.39144653918574301</v>
      </c>
      <c r="LX72" s="3">
        <f ca="1">IFERROR(__xludf.DUMMYFUNCTION("""COMPUTED_VALUE"""),-0.394097412888406)</f>
        <v>-0.394097412888406</v>
      </c>
      <c r="LY72" s="3">
        <f ca="1">IFERROR(__xludf.DUMMYFUNCTION("""COMPUTED_VALUE"""),-0.435910596396875)</f>
        <v>-0.43591059639687502</v>
      </c>
      <c r="LZ72" s="3">
        <f ca="1">IFERROR(__xludf.DUMMYFUNCTION("""COMPUTED_VALUE"""),-0.393367512871743)</f>
        <v>-0.39336751287174299</v>
      </c>
      <c r="MA72" s="3">
        <f ca="1">IFERROR(__xludf.DUMMYFUNCTION("""COMPUTED_VALUE"""),-0.457774494394664)</f>
        <v>-0.457774494394664</v>
      </c>
      <c r="MB72" s="3">
        <f ca="1">IFERROR(__xludf.DUMMYFUNCTION("""COMPUTED_VALUE"""),-0.384348142831927)</f>
        <v>-0.38434814283192698</v>
      </c>
      <c r="MC72" s="3">
        <f ca="1">IFERROR(__xludf.DUMMYFUNCTION("""COMPUTED_VALUE"""),-0.302622015635522)</f>
        <v>-0.30262201563552199</v>
      </c>
      <c r="MD72" s="3">
        <f ca="1">IFERROR(__xludf.DUMMYFUNCTION("""COMPUTED_VALUE"""),-0.449394431446865)</f>
        <v>-0.44939443144686497</v>
      </c>
      <c r="ME72" s="3">
        <f ca="1">IFERROR(__xludf.DUMMYFUNCTION("""COMPUTED_VALUE"""),-0.407001946834559)</f>
        <v>-0.40700194683455898</v>
      </c>
      <c r="MF72" s="3">
        <f ca="1">IFERROR(__xludf.DUMMYFUNCTION("""COMPUTED_VALUE"""),-0.471213648657325)</f>
        <v>-0.47121364865732501</v>
      </c>
      <c r="MG72" s="3">
        <f ca="1">IFERROR(__xludf.DUMMYFUNCTION("""COMPUTED_VALUE"""),-0.486365426584929)</f>
        <v>-0.48636542658492898</v>
      </c>
      <c r="MH72" s="3">
        <f ca="1">IFERROR(__xludf.DUMMYFUNCTION("""COMPUTED_VALUE"""),-0.460483893047301)</f>
        <v>-0.46048389304730097</v>
      </c>
      <c r="MI72" s="3">
        <f ca="1">IFERROR(__xludf.DUMMYFUNCTION("""COMPUTED_VALUE"""),-0.420067157919638)</f>
        <v>-0.420067157919638</v>
      </c>
      <c r="MJ72" s="3">
        <f ca="1">IFERROR(__xludf.DUMMYFUNCTION("""COMPUTED_VALUE"""),-0.355448334733654)</f>
        <v>-0.355448334733654</v>
      </c>
      <c r="MK72" s="3">
        <f ca="1">IFERROR(__xludf.DUMMYFUNCTION("""COMPUTED_VALUE"""),-0.516977896737989)</f>
        <v>-0.516977896737989</v>
      </c>
      <c r="ML72" s="3">
        <f ca="1">IFERROR(__xludf.DUMMYFUNCTION("""COMPUTED_VALUE"""),-0.454668517487371)</f>
        <v>-0.45466851748737103</v>
      </c>
      <c r="MM72" s="3">
        <f ca="1">IFERROR(__xludf.DUMMYFUNCTION("""COMPUTED_VALUE"""),-0.487920479749671)</f>
        <v>-0.48792047974967101</v>
      </c>
      <c r="MN72" s="3">
        <f ca="1">IFERROR(__xludf.DUMMYFUNCTION("""COMPUTED_VALUE"""),-0.527512137330756)</f>
        <v>-0.52751213733075597</v>
      </c>
      <c r="MO72" s="3">
        <f ca="1">IFERROR(__xludf.DUMMYFUNCTION("""COMPUTED_VALUE"""),-0.55070072043423)</f>
        <v>-0.55070072043423002</v>
      </c>
      <c r="MP72" s="3">
        <f ca="1">IFERROR(__xludf.DUMMYFUNCTION("""COMPUTED_VALUE"""),-0.421118068040415)</f>
        <v>-0.42111806804041502</v>
      </c>
      <c r="MQ72" s="3">
        <f ca="1">IFERROR(__xludf.DUMMYFUNCTION("""COMPUTED_VALUE"""),-0.43543720932566)</f>
        <v>-0.43543720932565999</v>
      </c>
      <c r="MR72" s="3">
        <f ca="1">IFERROR(__xludf.DUMMYFUNCTION("""COMPUTED_VALUE"""),-0.465251965437395)</f>
        <v>-0.465251965437395</v>
      </c>
      <c r="MS72" s="3">
        <f ca="1">IFERROR(__xludf.DUMMYFUNCTION("""COMPUTED_VALUE"""),-0.460708926560627)</f>
        <v>-0.46070892656062701</v>
      </c>
      <c r="MT72" s="3">
        <f ca="1">IFERROR(__xludf.DUMMYFUNCTION("""COMPUTED_VALUE"""),-0.426827996978206)</f>
        <v>-0.426827996978206</v>
      </c>
      <c r="MU72" s="3">
        <f ca="1">IFERROR(__xludf.DUMMYFUNCTION("""COMPUTED_VALUE"""),-0.530255931792854)</f>
        <v>-0.53025593179285402</v>
      </c>
      <c r="MV72" s="3">
        <f ca="1">IFERROR(__xludf.DUMMYFUNCTION("""COMPUTED_VALUE"""),-0.619746482217922)</f>
        <v>-0.61974648221792195</v>
      </c>
      <c r="MW72" s="3">
        <f ca="1">IFERROR(__xludf.DUMMYFUNCTION("""COMPUTED_VALUE"""),-0.428687885673468)</f>
        <v>-0.42868788567346799</v>
      </c>
      <c r="MX72" s="3">
        <f ca="1">IFERROR(__xludf.DUMMYFUNCTION("""COMPUTED_VALUE"""),-0.421720599525956)</f>
        <v>-0.42172059952595597</v>
      </c>
      <c r="MY72" s="3">
        <f ca="1">IFERROR(__xludf.DUMMYFUNCTION("""COMPUTED_VALUE"""),-0.4665515743594)</f>
        <v>-0.46655157435939998</v>
      </c>
      <c r="MZ72" s="3">
        <f ca="1">IFERROR(__xludf.DUMMYFUNCTION("""COMPUTED_VALUE"""),-0.469396894854804)</f>
        <v>-0.46939689485480401</v>
      </c>
      <c r="NA72" s="3">
        <f ca="1">IFERROR(__xludf.DUMMYFUNCTION("""COMPUTED_VALUE"""),-0.460099460042751)</f>
        <v>-0.46009946004275099</v>
      </c>
      <c r="NB72" s="3">
        <f ca="1">IFERROR(__xludf.DUMMYFUNCTION("""COMPUTED_VALUE"""),-0.456182976423552)</f>
        <v>-0.45618297642355199</v>
      </c>
      <c r="NC72" s="3">
        <f ca="1">IFERROR(__xludf.DUMMYFUNCTION("""COMPUTED_VALUE"""),-0.496714465207187)</f>
        <v>-0.49671446520718698</v>
      </c>
      <c r="ND72" s="3">
        <f ca="1">IFERROR(__xludf.DUMMYFUNCTION("""COMPUTED_VALUE"""),-0.505824093525624)</f>
        <v>-0.50582409352562396</v>
      </c>
      <c r="NE72" s="3">
        <f ca="1">IFERROR(__xludf.DUMMYFUNCTION("""COMPUTED_VALUE"""),-0.466972494457731)</f>
        <v>-0.46697249445773098</v>
      </c>
      <c r="NF72" s="3">
        <f ca="1">IFERROR(__xludf.DUMMYFUNCTION("""COMPUTED_VALUE"""),-0.441934652815668)</f>
        <v>-0.44193465281566802</v>
      </c>
      <c r="NG72" s="3">
        <f ca="1">IFERROR(__xludf.DUMMYFUNCTION("""COMPUTED_VALUE"""),-0.461395959182629)</f>
        <v>-0.46139595918262899</v>
      </c>
      <c r="NH72" s="3">
        <f ca="1">IFERROR(__xludf.DUMMYFUNCTION("""COMPUTED_VALUE"""),-0.39093859890592)</f>
        <v>-0.39093859890591998</v>
      </c>
      <c r="NI72" s="3">
        <f ca="1">IFERROR(__xludf.DUMMYFUNCTION("""COMPUTED_VALUE"""),-0.550666271092942)</f>
        <v>-0.55066627109294197</v>
      </c>
      <c r="NJ72" s="3">
        <f ca="1">IFERROR(__xludf.DUMMYFUNCTION("""COMPUTED_VALUE"""),-0.514036568516839)</f>
        <v>-0.51403656851683899</v>
      </c>
      <c r="NK72" s="3">
        <f ca="1">IFERROR(__xludf.DUMMYFUNCTION("""COMPUTED_VALUE"""),-0.506186992383838)</f>
        <v>-0.50618699238383802</v>
      </c>
      <c r="NL72" s="3">
        <f ca="1">IFERROR(__xludf.DUMMYFUNCTION("""COMPUTED_VALUE"""),-0.476567755914443)</f>
        <v>-0.476567755914443</v>
      </c>
      <c r="NM72" s="3">
        <f ca="1">IFERROR(__xludf.DUMMYFUNCTION("""COMPUTED_VALUE"""),-0.410269333506652)</f>
        <v>-0.41026933350665201</v>
      </c>
      <c r="NN72" s="3">
        <f ca="1">IFERROR(__xludf.DUMMYFUNCTION("""COMPUTED_VALUE"""),-0.549527122412622)</f>
        <v>-0.54952712241262203</v>
      </c>
      <c r="NO72" s="3">
        <f ca="1">IFERROR(__xludf.DUMMYFUNCTION("""COMPUTED_VALUE"""),-0.400792547242598)</f>
        <v>-0.400792547242598</v>
      </c>
      <c r="NP72" s="3">
        <f ca="1">IFERROR(__xludf.DUMMYFUNCTION("""COMPUTED_VALUE"""),-0.39374660843621)</f>
        <v>-0.39374660843621001</v>
      </c>
      <c r="NQ72" s="3">
        <f ca="1">IFERROR(__xludf.DUMMYFUNCTION("""COMPUTED_VALUE"""),-0.472863731188364)</f>
        <v>-0.472863731188364</v>
      </c>
      <c r="NR72" s="3">
        <f ca="1">IFERROR(__xludf.DUMMYFUNCTION("""COMPUTED_VALUE"""),-0.524828853084198)</f>
        <v>-0.52482885308419802</v>
      </c>
      <c r="NS72" s="3">
        <f ca="1">IFERROR(__xludf.DUMMYFUNCTION("""COMPUTED_VALUE"""),-0.412028611472586)</f>
        <v>-0.41202861147258601</v>
      </c>
      <c r="NT72" s="3">
        <f ca="1">IFERROR(__xludf.DUMMYFUNCTION("""COMPUTED_VALUE"""),-0.41626882320837)</f>
        <v>-0.41626882320837</v>
      </c>
      <c r="NU72" s="3">
        <f ca="1">IFERROR(__xludf.DUMMYFUNCTION("""COMPUTED_VALUE"""),-0.453035294412807)</f>
        <v>-0.45303529441280699</v>
      </c>
      <c r="NV72" s="3">
        <f ca="1">IFERROR(__xludf.DUMMYFUNCTION("""COMPUTED_VALUE"""),-0.251671269874513)</f>
        <v>-0.25167126987451299</v>
      </c>
      <c r="NW72" s="3">
        <f ca="1">IFERROR(__xludf.DUMMYFUNCTION("""COMPUTED_VALUE"""),-0.347701879201949)</f>
        <v>-0.347701879201949</v>
      </c>
      <c r="NX72" s="3">
        <f ca="1">IFERROR(__xludf.DUMMYFUNCTION("""COMPUTED_VALUE"""),-0.445672434885498)</f>
        <v>-0.44567243488549801</v>
      </c>
      <c r="NY72" s="3">
        <f ca="1">IFERROR(__xludf.DUMMYFUNCTION("""COMPUTED_VALUE"""),-0.271253404927322)</f>
        <v>-0.27125340492732197</v>
      </c>
      <c r="NZ72" s="3">
        <f ca="1">IFERROR(__xludf.DUMMYFUNCTION("""COMPUTED_VALUE"""),-0.211414087269253)</f>
        <v>-0.21141408726925301</v>
      </c>
      <c r="OA72" s="3">
        <f ca="1">IFERROR(__xludf.DUMMYFUNCTION("""COMPUTED_VALUE"""),-0.212942037382995)</f>
        <v>-0.212942037382995</v>
      </c>
      <c r="OB72" s="3">
        <f ca="1">IFERROR(__xludf.DUMMYFUNCTION("""COMPUTED_VALUE"""),-0.252798212829226)</f>
        <v>-0.25279821282922599</v>
      </c>
      <c r="OC72" s="3">
        <f ca="1">IFERROR(__xludf.DUMMYFUNCTION("""COMPUTED_VALUE"""),-0.158424804711045)</f>
        <v>-0.158424804711045</v>
      </c>
      <c r="OD72" s="3">
        <f ca="1">IFERROR(__xludf.DUMMYFUNCTION("""COMPUTED_VALUE"""),-0.108232422064029)</f>
        <v>-0.108232422064029</v>
      </c>
      <c r="OE72" s="3">
        <f ca="1">IFERROR(__xludf.DUMMYFUNCTION("""COMPUTED_VALUE"""),-0.0881975826541245)</f>
        <v>-8.8197582654124501E-2</v>
      </c>
      <c r="OF72" s="3">
        <f ca="1">IFERROR(__xludf.DUMMYFUNCTION("""COMPUTED_VALUE"""),-0.0987565954021895)</f>
        <v>-9.8756595402189506E-2</v>
      </c>
      <c r="OG72" s="3">
        <f ca="1">IFERROR(__xludf.DUMMYFUNCTION("""COMPUTED_VALUE"""),-0.040959326560095)</f>
        <v>-4.0959326560095002E-2</v>
      </c>
      <c r="OH72" s="3">
        <f ca="1">IFERROR(__xludf.DUMMYFUNCTION("""COMPUTED_VALUE"""),-0.0719433941224827)</f>
        <v>-7.1943394122482698E-2</v>
      </c>
      <c r="OI72" s="3">
        <f ca="1">IFERROR(__xludf.DUMMYFUNCTION("""COMPUTED_VALUE"""),0.011053050665561)</f>
        <v>1.1053050665561E-2</v>
      </c>
      <c r="OJ72" s="3">
        <f ca="1">IFERROR(__xludf.DUMMYFUNCTION("""COMPUTED_VALUE"""),0.128748954367512)</f>
        <v>0.12874895436751199</v>
      </c>
      <c r="OK72" s="3">
        <f ca="1">IFERROR(__xludf.DUMMYFUNCTION("""COMPUTED_VALUE"""),0.107292643056097)</f>
        <v>0.107292643056097</v>
      </c>
      <c r="OL72" s="3">
        <f ca="1">IFERROR(__xludf.DUMMYFUNCTION("""COMPUTED_VALUE"""),0.0267960392407975)</f>
        <v>2.6796039240797501E-2</v>
      </c>
      <c r="OM72" s="3">
        <f ca="1">IFERROR(__xludf.DUMMYFUNCTION("""COMPUTED_VALUE"""),0.0434369738920961)</f>
        <v>4.3436973892096102E-2</v>
      </c>
      <c r="ON72" s="3">
        <f ca="1">IFERROR(__xludf.DUMMYFUNCTION("""COMPUTED_VALUE"""),0.00549524579192262)</f>
        <v>5.4952457919226197E-3</v>
      </c>
      <c r="OO72" s="3">
        <f ca="1">IFERROR(__xludf.DUMMYFUNCTION("""COMPUTED_VALUE"""),0.154975911563937)</f>
        <v>0.154975911563937</v>
      </c>
      <c r="OP72" s="3">
        <f ca="1">IFERROR(__xludf.DUMMYFUNCTION("""COMPUTED_VALUE"""),0.096122098350238)</f>
        <v>9.6122098350237994E-2</v>
      </c>
      <c r="OQ72" s="3">
        <f ca="1">IFERROR(__xludf.DUMMYFUNCTION("""COMPUTED_VALUE"""),0.0670070965540943)</f>
        <v>6.70070965540943E-2</v>
      </c>
      <c r="OR72" s="3">
        <f ca="1">IFERROR(__xludf.DUMMYFUNCTION("""COMPUTED_VALUE"""),0.2074699737952)</f>
        <v>0.20746997379519999</v>
      </c>
      <c r="OS72" s="3">
        <f ca="1">IFERROR(__xludf.DUMMYFUNCTION("""COMPUTED_VALUE"""),-0.028302818490018)</f>
        <v>-2.8302818490017999E-2</v>
      </c>
      <c r="OT72" s="3">
        <f ca="1">IFERROR(__xludf.DUMMYFUNCTION("""COMPUTED_VALUE"""),0.0296217742875812)</f>
        <v>2.9621774287581198E-2</v>
      </c>
      <c r="OU72" s="3">
        <f ca="1">IFERROR(__xludf.DUMMYFUNCTION("""COMPUTED_VALUE"""),0.0514179701649528)</f>
        <v>5.1417970164952802E-2</v>
      </c>
      <c r="OV72" s="3">
        <f ca="1">IFERROR(__xludf.DUMMYFUNCTION("""COMPUTED_VALUE"""),0.00380594527361033)</f>
        <v>3.80594527361033E-3</v>
      </c>
      <c r="OW72" s="3">
        <f ca="1">IFERROR(__xludf.DUMMYFUNCTION("""COMPUTED_VALUE"""),0.214358760820313)</f>
        <v>0.21435876082031299</v>
      </c>
      <c r="OX72" s="3">
        <f ca="1">IFERROR(__xludf.DUMMYFUNCTION("""COMPUTED_VALUE"""),-0.061746661216621)</f>
        <v>-6.1746661216621E-2</v>
      </c>
      <c r="OY72" s="3">
        <f ca="1">IFERROR(__xludf.DUMMYFUNCTION("""COMPUTED_VALUE"""),0.138412201364119)</f>
        <v>0.138412201364119</v>
      </c>
      <c r="OZ72" s="3">
        <f ca="1">IFERROR(__xludf.DUMMYFUNCTION("""COMPUTED_VALUE"""),-0.0230044754590846)</f>
        <v>-2.30044754590846E-2</v>
      </c>
      <c r="PA72" s="3">
        <f ca="1">IFERROR(__xludf.DUMMYFUNCTION("""COMPUTED_VALUE"""),-0.150429591901386)</f>
        <v>-0.150429591901386</v>
      </c>
      <c r="PB72" s="3">
        <f ca="1">IFERROR(__xludf.DUMMYFUNCTION("""COMPUTED_VALUE"""),-0.0214491039202096)</f>
        <v>-2.14491039202096E-2</v>
      </c>
      <c r="PC72" s="3">
        <f ca="1">IFERROR(__xludf.DUMMYFUNCTION("""COMPUTED_VALUE"""),-0.0648677706989351)</f>
        <v>-6.4867770698935096E-2</v>
      </c>
      <c r="PD72" s="3">
        <f ca="1">IFERROR(__xludf.DUMMYFUNCTION("""COMPUTED_VALUE"""),-0.00498315116421244)</f>
        <v>-4.9831511642124404E-3</v>
      </c>
      <c r="PE72" s="3">
        <f ca="1">IFERROR(__xludf.DUMMYFUNCTION("""COMPUTED_VALUE"""),0.0692777418542736)</f>
        <v>6.92777418542736E-2</v>
      </c>
      <c r="PF72" s="3">
        <f ca="1">IFERROR(__xludf.DUMMYFUNCTION("""COMPUTED_VALUE"""),0.0831348133464311)</f>
        <v>8.3134813346431094E-2</v>
      </c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</row>
    <row r="73" spans="1:594" ht="13">
      <c r="A73" s="1" t="str">
        <f ca="1">IFERROR(__xludf.DUMMYFUNCTION("""COMPUTED_VALUE"""),"San Diego")</f>
        <v>San Diego</v>
      </c>
      <c r="B73" s="3">
        <f ca="1">IFERROR(__xludf.DUMMYFUNCTION("""COMPUTED_VALUE"""),-0.543171053029749)</f>
        <v>-0.543171053029749</v>
      </c>
      <c r="C73" s="3">
        <f ca="1">IFERROR(__xludf.DUMMYFUNCTION("""COMPUTED_VALUE"""),-0.58363219483906)</f>
        <v>-0.58363219483906004</v>
      </c>
      <c r="D73" s="3">
        <f ca="1">IFERROR(__xludf.DUMMYFUNCTION("""COMPUTED_VALUE"""),-0.645758696660359)</f>
        <v>-0.64575869666035901</v>
      </c>
      <c r="E73" s="3">
        <f ca="1">IFERROR(__xludf.DUMMYFUNCTION("""COMPUTED_VALUE"""),-0.606855881488356)</f>
        <v>-0.60685588148835601</v>
      </c>
      <c r="F73" s="3">
        <f ca="1">IFERROR(__xludf.DUMMYFUNCTION("""COMPUTED_VALUE"""),-0.633548867054735)</f>
        <v>-0.63354886705473501</v>
      </c>
      <c r="G73" s="3">
        <f ca="1">IFERROR(__xludf.DUMMYFUNCTION("""COMPUTED_VALUE"""),-0.623822616766117)</f>
        <v>-0.62382261676611706</v>
      </c>
      <c r="H73" s="3">
        <f ca="1">IFERROR(__xludf.DUMMYFUNCTION("""COMPUTED_VALUE"""),-0.59719102444988)</f>
        <v>-0.59719102444988004</v>
      </c>
      <c r="I73" s="3">
        <f ca="1">IFERROR(__xludf.DUMMYFUNCTION("""COMPUTED_VALUE"""),-0.544791888866443)</f>
        <v>-0.54479188886644303</v>
      </c>
      <c r="J73" s="3">
        <f ca="1">IFERROR(__xludf.DUMMYFUNCTION("""COMPUTED_VALUE"""),-0.555699310643553)</f>
        <v>-0.55569931064355305</v>
      </c>
      <c r="K73" s="3">
        <f ca="1">IFERROR(__xludf.DUMMYFUNCTION("""COMPUTED_VALUE"""),-0.638053292564017)</f>
        <v>-0.63805329256401699</v>
      </c>
      <c r="L73" s="3">
        <f ca="1">IFERROR(__xludf.DUMMYFUNCTION("""COMPUTED_VALUE"""),-0.666062132052951)</f>
        <v>-0.66606213205295095</v>
      </c>
      <c r="M73" s="3">
        <f ca="1">IFERROR(__xludf.DUMMYFUNCTION("""COMPUTED_VALUE"""),-0.654800639408079)</f>
        <v>-0.65480063940807898</v>
      </c>
      <c r="N73" s="3">
        <f ca="1">IFERROR(__xludf.DUMMYFUNCTION("""COMPUTED_VALUE"""),-0.639478895825331)</f>
        <v>-0.63947889582533102</v>
      </c>
      <c r="O73" s="3">
        <f ca="1">IFERROR(__xludf.DUMMYFUNCTION("""COMPUTED_VALUE"""),-0.512951881772106)</f>
        <v>-0.51295188177210604</v>
      </c>
      <c r="P73" s="3">
        <f ca="1">IFERROR(__xludf.DUMMYFUNCTION("""COMPUTED_VALUE"""),-0.560811183059551)</f>
        <v>-0.56081118305955102</v>
      </c>
      <c r="Q73" s="3">
        <f ca="1">IFERROR(__xludf.DUMMYFUNCTION("""COMPUTED_VALUE"""),-0.609894517313073)</f>
        <v>-0.60989451731307298</v>
      </c>
      <c r="R73" s="3">
        <f ca="1">IFERROR(__xludf.DUMMYFUNCTION("""COMPUTED_VALUE"""),-0.694443476678453)</f>
        <v>-0.69444347667845296</v>
      </c>
      <c r="S73" s="3">
        <f ca="1">IFERROR(__xludf.DUMMYFUNCTION("""COMPUTED_VALUE"""),-0.671129796684678)</f>
        <v>-0.67112979668467798</v>
      </c>
      <c r="T73" s="3">
        <f ca="1">IFERROR(__xludf.DUMMYFUNCTION("""COMPUTED_VALUE"""),-0.696712083418839)</f>
        <v>-0.69671208341883895</v>
      </c>
      <c r="U73" s="3">
        <f ca="1">IFERROR(__xludf.DUMMYFUNCTION("""COMPUTED_VALUE"""),-0.664703270786391)</f>
        <v>-0.66470327078639102</v>
      </c>
      <c r="V73" s="3">
        <f ca="1">IFERROR(__xludf.DUMMYFUNCTION("""COMPUTED_VALUE"""),-0.593706983621741)</f>
        <v>-0.59370698362174101</v>
      </c>
      <c r="W73" s="3">
        <f ca="1">IFERROR(__xludf.DUMMYFUNCTION("""COMPUTED_VALUE"""),-0.528215461405273)</f>
        <v>-0.52821546140527298</v>
      </c>
      <c r="X73" s="3">
        <f ca="1">IFERROR(__xludf.DUMMYFUNCTION("""COMPUTED_VALUE"""),-0.627097893845106)</f>
        <v>-0.62709789384510595</v>
      </c>
      <c r="Y73" s="3">
        <f ca="1">IFERROR(__xludf.DUMMYFUNCTION("""COMPUTED_VALUE"""),-0.690733161017555)</f>
        <v>-0.690733161017555</v>
      </c>
      <c r="Z73" s="3">
        <f ca="1">IFERROR(__xludf.DUMMYFUNCTION("""COMPUTED_VALUE"""),-0.702706628013617)</f>
        <v>-0.70270662801361705</v>
      </c>
      <c r="AA73" s="3">
        <f ca="1">IFERROR(__xludf.DUMMYFUNCTION("""COMPUTED_VALUE"""),-0.688778752370541)</f>
        <v>-0.68877875237054098</v>
      </c>
      <c r="AB73" s="3">
        <f ca="1">IFERROR(__xludf.DUMMYFUNCTION("""COMPUTED_VALUE"""),-0.697781879178846)</f>
        <v>-0.69778187917884604</v>
      </c>
      <c r="AC73" s="3">
        <f ca="1">IFERROR(__xludf.DUMMYFUNCTION("""COMPUTED_VALUE"""),-0.57045433413705)</f>
        <v>-0.57045433413705005</v>
      </c>
      <c r="AD73" s="3">
        <f ca="1">IFERROR(__xludf.DUMMYFUNCTION("""COMPUTED_VALUE"""),-0.590254789617697)</f>
        <v>-0.59025478961769695</v>
      </c>
      <c r="AE73" s="3">
        <f ca="1">IFERROR(__xludf.DUMMYFUNCTION("""COMPUTED_VALUE"""),-0.640451104831708)</f>
        <v>-0.64045110483170797</v>
      </c>
      <c r="AF73" s="3">
        <f ca="1">IFERROR(__xludf.DUMMYFUNCTION("""COMPUTED_VALUE"""),-0.738270503931488)</f>
        <v>-0.73827050393148796</v>
      </c>
      <c r="AG73" s="3">
        <f ca="1">IFERROR(__xludf.DUMMYFUNCTION("""COMPUTED_VALUE"""),-0.746182781734184)</f>
        <v>-0.74618278173418395</v>
      </c>
      <c r="AH73" s="3">
        <f ca="1">IFERROR(__xludf.DUMMYFUNCTION("""COMPUTED_VALUE"""),-0.719055113790061)</f>
        <v>-0.71905511379006104</v>
      </c>
      <c r="AI73" s="3">
        <f ca="1">IFERROR(__xludf.DUMMYFUNCTION("""COMPUTED_VALUE"""),-0.684424002074923)</f>
        <v>-0.68442400207492304</v>
      </c>
      <c r="AJ73" s="3">
        <f ca="1">IFERROR(__xludf.DUMMYFUNCTION("""COMPUTED_VALUE"""),-0.613307589344537)</f>
        <v>-0.613307589344537</v>
      </c>
      <c r="AK73" s="3">
        <f ca="1">IFERROR(__xludf.DUMMYFUNCTION("""COMPUTED_VALUE"""),-0.584012382548017)</f>
        <v>-0.58401238254801702</v>
      </c>
      <c r="AL73" s="3">
        <f ca="1">IFERROR(__xludf.DUMMYFUNCTION("""COMPUTED_VALUE"""),-0.685635502356341)</f>
        <v>-0.68563550235634096</v>
      </c>
      <c r="AM73" s="3">
        <f ca="1">IFERROR(__xludf.DUMMYFUNCTION("""COMPUTED_VALUE"""),-0.731011392439106)</f>
        <v>-0.73101139243910596</v>
      </c>
      <c r="AN73" s="3">
        <f ca="1">IFERROR(__xludf.DUMMYFUNCTION("""COMPUTED_VALUE"""),-0.740140922167385)</f>
        <v>-0.74014092216738503</v>
      </c>
      <c r="AO73" s="3">
        <f ca="1">IFERROR(__xludf.DUMMYFUNCTION("""COMPUTED_VALUE"""),-0.699565672752837)</f>
        <v>-0.69956567275283699</v>
      </c>
      <c r="AP73" s="3">
        <f ca="1">IFERROR(__xludf.DUMMYFUNCTION("""COMPUTED_VALUE"""),-0.699172866900619)</f>
        <v>-0.69917286690061897</v>
      </c>
      <c r="AQ73" s="3">
        <f ca="1">IFERROR(__xludf.DUMMYFUNCTION("""COMPUTED_VALUE"""),-0.508997537107707)</f>
        <v>-0.50899753710770701</v>
      </c>
      <c r="AR73" s="3">
        <f ca="1">IFERROR(__xludf.DUMMYFUNCTION("""COMPUTED_VALUE"""),-0.571719727321264)</f>
        <v>-0.57171972732126397</v>
      </c>
      <c r="AS73" s="3">
        <f ca="1">IFERROR(__xludf.DUMMYFUNCTION("""COMPUTED_VALUE"""),-0.67755375788912)</f>
        <v>-0.67755375788911998</v>
      </c>
      <c r="AT73" s="3">
        <f ca="1">IFERROR(__xludf.DUMMYFUNCTION("""COMPUTED_VALUE"""),-0.714422042709105)</f>
        <v>-0.71442204270910503</v>
      </c>
      <c r="AU73" s="3">
        <f ca="1">IFERROR(__xludf.DUMMYFUNCTION("""COMPUTED_VALUE"""),-0.704516235802128)</f>
        <v>-0.70451623580212797</v>
      </c>
      <c r="AV73" s="3">
        <f ca="1">IFERROR(__xludf.DUMMYFUNCTION("""COMPUTED_VALUE"""),-0.733371915976243)</f>
        <v>-0.73337191597624296</v>
      </c>
      <c r="AW73" s="3">
        <f ca="1">IFERROR(__xludf.DUMMYFUNCTION("""COMPUTED_VALUE"""),-0.71198742761952)</f>
        <v>-0.71198742761952005</v>
      </c>
      <c r="AX73" s="3">
        <f ca="1">IFERROR(__xludf.DUMMYFUNCTION("""COMPUTED_VALUE"""),-0.499890556474703)</f>
        <v>-0.49989055647470299</v>
      </c>
      <c r="AY73" s="3">
        <f ca="1">IFERROR(__xludf.DUMMYFUNCTION("""COMPUTED_VALUE"""),-0.55772110061792)</f>
        <v>-0.55772110061792002</v>
      </c>
      <c r="AZ73" s="3">
        <f ca="1">IFERROR(__xludf.DUMMYFUNCTION("""COMPUTED_VALUE"""),-0.683925003523808)</f>
        <v>-0.68392500352380803</v>
      </c>
      <c r="BA73" s="3">
        <f ca="1">IFERROR(__xludf.DUMMYFUNCTION("""COMPUTED_VALUE"""),-0.669688401836167)</f>
        <v>-0.66968840183616696</v>
      </c>
      <c r="BB73" s="3">
        <f ca="1">IFERROR(__xludf.DUMMYFUNCTION("""COMPUTED_VALUE"""),-0.702479375480824)</f>
        <v>-0.70247937548082395</v>
      </c>
      <c r="BC73" s="3">
        <f ca="1">IFERROR(__xludf.DUMMYFUNCTION("""COMPUTED_VALUE"""),-0.695457312664248)</f>
        <v>-0.69545731266424804</v>
      </c>
      <c r="BD73" s="3">
        <f ca="1">IFERROR(__xludf.DUMMYFUNCTION("""COMPUTED_VALUE"""),-0.690465909829125)</f>
        <v>-0.69046590982912504</v>
      </c>
      <c r="BE73" s="3">
        <f ca="1">IFERROR(__xludf.DUMMYFUNCTION("""COMPUTED_VALUE"""),-0.528838545541346)</f>
        <v>-0.52883854554134602</v>
      </c>
      <c r="BF73" s="3">
        <f ca="1">IFERROR(__xludf.DUMMYFUNCTION("""COMPUTED_VALUE"""),-0.58435469435307)</f>
        <v>-0.58435469435306997</v>
      </c>
      <c r="BG73" s="3">
        <f ca="1">IFERROR(__xludf.DUMMYFUNCTION("""COMPUTED_VALUE"""),-0.711303773842704)</f>
        <v>-0.71130377384270405</v>
      </c>
      <c r="BH73" s="3">
        <f ca="1">IFERROR(__xludf.DUMMYFUNCTION("""COMPUTED_VALUE"""),-0.741298519424378)</f>
        <v>-0.74129851942437797</v>
      </c>
      <c r="BI73" s="3">
        <f ca="1">IFERROR(__xludf.DUMMYFUNCTION("""COMPUTED_VALUE"""),-0.731190254127754)</f>
        <v>-0.73119025412775396</v>
      </c>
      <c r="BJ73" s="3">
        <f ca="1">IFERROR(__xludf.DUMMYFUNCTION("""COMPUTED_VALUE"""),-0.734606684687266)</f>
        <v>-0.73460668468726598</v>
      </c>
      <c r="BK73" s="3">
        <f ca="1">IFERROR(__xludf.DUMMYFUNCTION("""COMPUTED_VALUE"""),-0.714083622774883)</f>
        <v>-0.71408362277488302</v>
      </c>
      <c r="BL73" s="3">
        <f ca="1">IFERROR(__xludf.DUMMYFUNCTION("""COMPUTED_VALUE"""),-0.583068481538448)</f>
        <v>-0.58306848153844804</v>
      </c>
      <c r="BM73" s="3">
        <f ca="1">IFERROR(__xludf.DUMMYFUNCTION("""COMPUTED_VALUE"""),-0.546886813455128)</f>
        <v>-0.54688681345512802</v>
      </c>
      <c r="BN73" s="3">
        <f ca="1">IFERROR(__xludf.DUMMYFUNCTION("""COMPUTED_VALUE"""),-0.694292127070443)</f>
        <v>-0.69429212707044297</v>
      </c>
      <c r="BO73" s="3">
        <f ca="1">IFERROR(__xludf.DUMMYFUNCTION("""COMPUTED_VALUE"""),-0.729276516884914)</f>
        <v>-0.72927651688491402</v>
      </c>
      <c r="BP73" s="3">
        <f ca="1">IFERROR(__xludf.DUMMYFUNCTION("""COMPUTED_VALUE"""),-0.72720861897496)</f>
        <v>-0.72720861897496003</v>
      </c>
      <c r="BQ73" s="3">
        <f ca="1">IFERROR(__xludf.DUMMYFUNCTION("""COMPUTED_VALUE"""),-0.753462208771008)</f>
        <v>-0.753462208771008</v>
      </c>
      <c r="BR73" s="3">
        <f ca="1">IFERROR(__xludf.DUMMYFUNCTION("""COMPUTED_VALUE"""),-0.73040632508693)</f>
        <v>-0.73040632508693004</v>
      </c>
      <c r="BS73" s="3">
        <f ca="1">IFERROR(__xludf.DUMMYFUNCTION("""COMPUTED_VALUE"""),-0.549038420993402)</f>
        <v>-0.54903842099340205</v>
      </c>
      <c r="BT73" s="3">
        <f ca="1">IFERROR(__xludf.DUMMYFUNCTION("""COMPUTED_VALUE"""),-0.601154777462147)</f>
        <v>-0.60115477746214696</v>
      </c>
      <c r="BU73" s="3">
        <f ca="1">IFERROR(__xludf.DUMMYFUNCTION("""COMPUTED_VALUE"""),-0.7791932676972)</f>
        <v>-0.77919326769719999</v>
      </c>
      <c r="BV73" s="3">
        <f ca="1">IFERROR(__xludf.DUMMYFUNCTION("""COMPUTED_VALUE"""),-0.744513599391197)</f>
        <v>-0.74451359939119699</v>
      </c>
      <c r="BW73" s="3">
        <f ca="1">IFERROR(__xludf.DUMMYFUNCTION("""COMPUTED_VALUE"""),-0.743082286936409)</f>
        <v>-0.74308228693640899</v>
      </c>
      <c r="BX73" s="3">
        <f ca="1">IFERROR(__xludf.DUMMYFUNCTION("""COMPUTED_VALUE"""),-0.724090838419671)</f>
        <v>-0.72409083841967103</v>
      </c>
      <c r="BY73" s="3">
        <f ca="1">IFERROR(__xludf.DUMMYFUNCTION("""COMPUTED_VALUE"""),-0.757909877642575)</f>
        <v>-0.757909877642575</v>
      </c>
      <c r="BZ73" s="3">
        <f ca="1">IFERROR(__xludf.DUMMYFUNCTION("""COMPUTED_VALUE"""),-0.623237332304751)</f>
        <v>-0.62323733230475098</v>
      </c>
      <c r="CA73" s="3">
        <f ca="1">IFERROR(__xludf.DUMMYFUNCTION("""COMPUTED_VALUE"""),-0.705849662462624)</f>
        <v>-0.70584966246262404</v>
      </c>
      <c r="CB73" s="3">
        <f ca="1">IFERROR(__xludf.DUMMYFUNCTION("""COMPUTED_VALUE"""),-0.741796969195573)</f>
        <v>-0.74179696919557303</v>
      </c>
      <c r="CC73" s="3">
        <f ca="1">IFERROR(__xludf.DUMMYFUNCTION("""COMPUTED_VALUE"""),-0.717084506466958)</f>
        <v>-0.71708450646695798</v>
      </c>
      <c r="CD73" s="3">
        <f ca="1">IFERROR(__xludf.DUMMYFUNCTION("""COMPUTED_VALUE"""),-0.751857836916055)</f>
        <v>-0.75185783691605501</v>
      </c>
      <c r="CE73" s="3">
        <f ca="1">IFERROR(__xludf.DUMMYFUNCTION("""COMPUTED_VALUE"""),-0.742080713152582)</f>
        <v>-0.74208071315258195</v>
      </c>
      <c r="CF73" s="3">
        <f ca="1">IFERROR(__xludf.DUMMYFUNCTION("""COMPUTED_VALUE"""),-0.688935200203926)</f>
        <v>-0.68893520020392596</v>
      </c>
      <c r="CG73" s="3">
        <f ca="1">IFERROR(__xludf.DUMMYFUNCTION("""COMPUTED_VALUE"""),-0.568163314412667)</f>
        <v>-0.56816331441266699</v>
      </c>
      <c r="CH73" s="3">
        <f ca="1">IFERROR(__xludf.DUMMYFUNCTION("""COMPUTED_VALUE"""),-0.572795884768809)</f>
        <v>-0.57279588476880905</v>
      </c>
      <c r="CI73" s="3">
        <f ca="1">IFERROR(__xludf.DUMMYFUNCTION("""COMPUTED_VALUE"""),-0.721887385445371)</f>
        <v>-0.72188738544537101</v>
      </c>
      <c r="CJ73" s="3">
        <f ca="1">IFERROR(__xludf.DUMMYFUNCTION("""COMPUTED_VALUE"""),-0.721580322749542)</f>
        <v>-0.72158032274954198</v>
      </c>
      <c r="CK73" s="3">
        <f ca="1">IFERROR(__xludf.DUMMYFUNCTION("""COMPUTED_VALUE"""),-0.735324053955098)</f>
        <v>-0.73532405395509803</v>
      </c>
      <c r="CL73" s="3">
        <f ca="1">IFERROR(__xludf.DUMMYFUNCTION("""COMPUTED_VALUE"""),-0.69415030865346)</f>
        <v>-0.69415030865345995</v>
      </c>
      <c r="CM73" s="3">
        <f ca="1">IFERROR(__xludf.DUMMYFUNCTION("""COMPUTED_VALUE"""),-0.676716733350041)</f>
        <v>-0.67671673335004101</v>
      </c>
      <c r="CN73" s="3">
        <f ca="1">IFERROR(__xludf.DUMMYFUNCTION("""COMPUTED_VALUE"""),-0.640315076541742)</f>
        <v>-0.64031507654174202</v>
      </c>
      <c r="CO73" s="3">
        <f ca="1">IFERROR(__xludf.DUMMYFUNCTION("""COMPUTED_VALUE"""),-0.620621822370667)</f>
        <v>-0.62062182237066699</v>
      </c>
      <c r="CP73" s="3">
        <f ca="1">IFERROR(__xludf.DUMMYFUNCTION("""COMPUTED_VALUE"""),-0.689224796816253)</f>
        <v>-0.68922479681625304</v>
      </c>
      <c r="CQ73" s="3">
        <f ca="1">IFERROR(__xludf.DUMMYFUNCTION("""COMPUTED_VALUE"""),-0.69720550724233)</f>
        <v>-0.69720550724232999</v>
      </c>
      <c r="CR73" s="3">
        <f ca="1">IFERROR(__xludf.DUMMYFUNCTION("""COMPUTED_VALUE"""),-0.672263177101162)</f>
        <v>-0.67226317710116201</v>
      </c>
      <c r="CS73" s="3">
        <f ca="1">IFERROR(__xludf.DUMMYFUNCTION("""COMPUTED_VALUE"""),-0.697294017335133)</f>
        <v>-0.69729401733513297</v>
      </c>
      <c r="CT73" s="3">
        <f ca="1">IFERROR(__xludf.DUMMYFUNCTION("""COMPUTED_VALUE"""),-0.663550306469443)</f>
        <v>-0.66355030646944302</v>
      </c>
      <c r="CU73" s="3">
        <f ca="1">IFERROR(__xludf.DUMMYFUNCTION("""COMPUTED_VALUE"""),-0.589003366695106)</f>
        <v>-0.589003366695106</v>
      </c>
      <c r="CV73" s="3">
        <f ca="1">IFERROR(__xludf.DUMMYFUNCTION("""COMPUTED_VALUE"""),-0.626455795967967)</f>
        <v>-0.62645579596796697</v>
      </c>
      <c r="CW73" s="3">
        <f ca="1">IFERROR(__xludf.DUMMYFUNCTION("""COMPUTED_VALUE"""),-0.68028454662749)</f>
        <v>-0.68028454662749005</v>
      </c>
      <c r="CX73" s="3">
        <f ca="1">IFERROR(__xludf.DUMMYFUNCTION("""COMPUTED_VALUE"""),-0.611797587940965)</f>
        <v>-0.61179758794096495</v>
      </c>
      <c r="CY73" s="3">
        <f ca="1">IFERROR(__xludf.DUMMYFUNCTION("""COMPUTED_VALUE"""),-0.540903026396658)</f>
        <v>-0.54090302639665799</v>
      </c>
      <c r="CZ73" s="3">
        <f ca="1">IFERROR(__xludf.DUMMYFUNCTION("""COMPUTED_VALUE"""),-0.638599198899598)</f>
        <v>-0.63859919889959804</v>
      </c>
      <c r="DA73" s="3">
        <f ca="1">IFERROR(__xludf.DUMMYFUNCTION("""COMPUTED_VALUE"""),-0.677534580559877)</f>
        <v>-0.67753458055987703</v>
      </c>
      <c r="DB73" s="3">
        <f ca="1">IFERROR(__xludf.DUMMYFUNCTION("""COMPUTED_VALUE"""),-0.605933537452552)</f>
        <v>-0.60593353745255196</v>
      </c>
      <c r="DC73" s="3">
        <f ca="1">IFERROR(__xludf.DUMMYFUNCTION("""COMPUTED_VALUE"""),-0.636890343389211)</f>
        <v>-0.63689034338921102</v>
      </c>
      <c r="DD73" s="3">
        <f ca="1">IFERROR(__xludf.DUMMYFUNCTION("""COMPUTED_VALUE"""),-0.789612138610073)</f>
        <v>-0.78961213861007296</v>
      </c>
      <c r="DE73" s="3">
        <f ca="1">IFERROR(__xludf.DUMMYFUNCTION("""COMPUTED_VALUE"""),-0.679979093324694)</f>
        <v>-0.67997909332469397</v>
      </c>
      <c r="DF73" s="3">
        <f ca="1">IFERROR(__xludf.DUMMYFUNCTION("""COMPUTED_VALUE"""),-0.459663425605725)</f>
        <v>-0.45966342560572498</v>
      </c>
      <c r="DG73" s="3">
        <f ca="1">IFERROR(__xludf.DUMMYFUNCTION("""COMPUTED_VALUE"""),-0.613291130800625)</f>
        <v>-0.61329113080062503</v>
      </c>
      <c r="DH73" s="3">
        <f ca="1">IFERROR(__xludf.DUMMYFUNCTION("""COMPUTED_VALUE"""),-0.613076626308976)</f>
        <v>-0.61307662630897597</v>
      </c>
      <c r="DI73" s="3">
        <f ca="1">IFERROR(__xludf.DUMMYFUNCTION("""COMPUTED_VALUE"""),-0.534529316035949)</f>
        <v>-0.534529316035949</v>
      </c>
      <c r="DJ73" s="3">
        <f ca="1">IFERROR(__xludf.DUMMYFUNCTION("""COMPUTED_VALUE"""),-0.551289522010645)</f>
        <v>-0.55128952201064496</v>
      </c>
      <c r="DK73" s="3">
        <f ca="1">IFERROR(__xludf.DUMMYFUNCTION("""COMPUTED_VALUE"""),-0.639339509013136)</f>
        <v>-0.63933950901313596</v>
      </c>
      <c r="DL73" s="3">
        <f ca="1">IFERROR(__xludf.DUMMYFUNCTION("""COMPUTED_VALUE"""),-0.638630538943512)</f>
        <v>-0.63863053894351196</v>
      </c>
      <c r="DM73" s="3">
        <f ca="1">IFERROR(__xludf.DUMMYFUNCTION("""COMPUTED_VALUE"""),-0.611524731985787)</f>
        <v>-0.61152473198578705</v>
      </c>
      <c r="DN73" s="3">
        <f ca="1">IFERROR(__xludf.DUMMYFUNCTION("""COMPUTED_VALUE"""),-0.621887564512932)</f>
        <v>-0.62188756451293203</v>
      </c>
      <c r="DO73" s="3">
        <f ca="1">IFERROR(__xludf.DUMMYFUNCTION("""COMPUTED_VALUE"""),-0.65225011405547)</f>
        <v>-0.65225011405546995</v>
      </c>
      <c r="DP73" s="3">
        <f ca="1">IFERROR(__xludf.DUMMYFUNCTION("""COMPUTED_VALUE"""),-0.570842420345728)</f>
        <v>-0.57084242034572796</v>
      </c>
      <c r="DQ73" s="3">
        <f ca="1">IFERROR(__xludf.DUMMYFUNCTION("""COMPUTED_VALUE"""),-0.632043288122293)</f>
        <v>-0.63204328812229305</v>
      </c>
      <c r="DR73" s="3">
        <f ca="1">IFERROR(__xludf.DUMMYFUNCTION("""COMPUTED_VALUE"""),-0.726546327813653)</f>
        <v>-0.72654632781365303</v>
      </c>
      <c r="DS73" s="3">
        <f ca="1">IFERROR(__xludf.DUMMYFUNCTION("""COMPUTED_VALUE"""),-0.706599045918652)</f>
        <v>-0.70659904591865197</v>
      </c>
      <c r="DT73" s="3">
        <f ca="1">IFERROR(__xludf.DUMMYFUNCTION("""COMPUTED_VALUE"""),-0.704295177454955)</f>
        <v>-0.70429517745495496</v>
      </c>
      <c r="DU73" s="3">
        <f ca="1">IFERROR(__xludf.DUMMYFUNCTION("""COMPUTED_VALUE"""),-0.718995536620824)</f>
        <v>-0.71899553662082405</v>
      </c>
      <c r="DV73" s="3">
        <f ca="1">IFERROR(__xludf.DUMMYFUNCTION("""COMPUTED_VALUE"""),-0.699522380959551)</f>
        <v>-0.69952238095955099</v>
      </c>
      <c r="DW73" s="3">
        <f ca="1">IFERROR(__xludf.DUMMYFUNCTION("""COMPUTED_VALUE"""),-0.593284648839873)</f>
        <v>-0.59328464883987297</v>
      </c>
      <c r="DX73" s="3">
        <f ca="1">IFERROR(__xludf.DUMMYFUNCTION("""COMPUTED_VALUE"""),-0.538530551149386)</f>
        <v>-0.53853055114938597</v>
      </c>
      <c r="DY73" s="3">
        <f ca="1">IFERROR(__xludf.DUMMYFUNCTION("""COMPUTED_VALUE"""),-0.65806708162679)</f>
        <v>-0.65806708162678995</v>
      </c>
      <c r="DZ73" s="3">
        <f ca="1">IFERROR(__xludf.DUMMYFUNCTION("""COMPUTED_VALUE"""),-0.6455422300168)</f>
        <v>-0.6455422300168</v>
      </c>
      <c r="EA73" s="3">
        <f ca="1">IFERROR(__xludf.DUMMYFUNCTION("""COMPUTED_VALUE"""),-0.665802385419807)</f>
        <v>-0.66580238541980696</v>
      </c>
      <c r="EB73" s="3">
        <f ca="1">IFERROR(__xludf.DUMMYFUNCTION("""COMPUTED_VALUE"""),-0.691606401579542)</f>
        <v>-0.69160640157954201</v>
      </c>
      <c r="EC73" s="3">
        <f ca="1">IFERROR(__xludf.DUMMYFUNCTION("""COMPUTED_VALUE"""),-0.720619886331631)</f>
        <v>-0.72061988633163099</v>
      </c>
      <c r="ED73" s="3">
        <f ca="1">IFERROR(__xludf.DUMMYFUNCTION("""COMPUTED_VALUE"""),-0.616452243172251)</f>
        <v>-0.616452243172251</v>
      </c>
      <c r="EE73" s="3">
        <f ca="1">IFERROR(__xludf.DUMMYFUNCTION("""COMPUTED_VALUE"""),-0.617545418135535)</f>
        <v>-0.61754541813553498</v>
      </c>
      <c r="EF73" s="3">
        <f ca="1">IFERROR(__xludf.DUMMYFUNCTION("""COMPUTED_VALUE"""),-0.719618401978023)</f>
        <v>-0.71961840197802296</v>
      </c>
      <c r="EG73" s="3">
        <f ca="1">IFERROR(__xludf.DUMMYFUNCTION("""COMPUTED_VALUE"""),-0.751639348055398)</f>
        <v>-0.751639348055398</v>
      </c>
      <c r="EH73" s="3">
        <f ca="1">IFERROR(__xludf.DUMMYFUNCTION("""COMPUTED_VALUE"""),-0.652838789219995)</f>
        <v>-0.65283878921999505</v>
      </c>
      <c r="EI73" s="3">
        <f ca="1">IFERROR(__xludf.DUMMYFUNCTION("""COMPUTED_VALUE"""),-0.718142185187207)</f>
        <v>-0.71814218518720696</v>
      </c>
      <c r="EJ73" s="3">
        <f ca="1">IFERROR(__xludf.DUMMYFUNCTION("""COMPUTED_VALUE"""),-0.71287995639321)</f>
        <v>-0.71287995639321</v>
      </c>
      <c r="EK73" s="3">
        <f ca="1">IFERROR(__xludf.DUMMYFUNCTION("""COMPUTED_VALUE"""),-0.597531094287325)</f>
        <v>-0.59753109428732498</v>
      </c>
      <c r="EL73" s="3">
        <f ca="1">IFERROR(__xludf.DUMMYFUNCTION("""COMPUTED_VALUE"""),-0.590235111887589)</f>
        <v>-0.59023511188758904</v>
      </c>
      <c r="EM73" s="3">
        <f ca="1">IFERROR(__xludf.DUMMYFUNCTION("""COMPUTED_VALUE"""),-0.625011426216765)</f>
        <v>-0.62501142621676498</v>
      </c>
      <c r="EN73" s="3">
        <f ca="1">IFERROR(__xludf.DUMMYFUNCTION("""COMPUTED_VALUE"""),-0.633044644643902)</f>
        <v>-0.63304464464390198</v>
      </c>
      <c r="EO73" s="3">
        <f ca="1">IFERROR(__xludf.DUMMYFUNCTION("""COMPUTED_VALUE"""),-0.662318041483319)</f>
        <v>-0.66231804148331896</v>
      </c>
      <c r="EP73" s="3">
        <f ca="1">IFERROR(__xludf.DUMMYFUNCTION("""COMPUTED_VALUE"""),-0.690620048766167)</f>
        <v>-0.69062004876616701</v>
      </c>
      <c r="EQ73" s="3">
        <f ca="1">IFERROR(__xludf.DUMMYFUNCTION("""COMPUTED_VALUE"""),-0.659536778450097)</f>
        <v>-0.65953677845009695</v>
      </c>
      <c r="ER73" s="3">
        <f ca="1">IFERROR(__xludf.DUMMYFUNCTION("""COMPUTED_VALUE"""),-0.608987290957395)</f>
        <v>-0.60898729095739501</v>
      </c>
      <c r="ES73" s="3">
        <f ca="1">IFERROR(__xludf.DUMMYFUNCTION("""COMPUTED_VALUE"""),-0.580706149564584)</f>
        <v>-0.580706149564584</v>
      </c>
      <c r="ET73" s="3">
        <f ca="1">IFERROR(__xludf.DUMMYFUNCTION("""COMPUTED_VALUE"""),-0.67369870502241)</f>
        <v>-0.67369870502241003</v>
      </c>
      <c r="EU73" s="3">
        <f ca="1">IFERROR(__xludf.DUMMYFUNCTION("""COMPUTED_VALUE"""),-0.718778679195317)</f>
        <v>-0.71877867919531702</v>
      </c>
      <c r="EV73" s="3">
        <f ca="1">IFERROR(__xludf.DUMMYFUNCTION("""COMPUTED_VALUE"""),-0.70437518375238)</f>
        <v>-0.70437518375237995</v>
      </c>
      <c r="EW73" s="3">
        <f ca="1">IFERROR(__xludf.DUMMYFUNCTION("""COMPUTED_VALUE"""),-0.703237862829431)</f>
        <v>-0.70323786282943102</v>
      </c>
      <c r="EX73" s="3">
        <f ca="1">IFERROR(__xludf.DUMMYFUNCTION("""COMPUTED_VALUE"""),-0.684478251523978)</f>
        <v>-0.68447825152397801</v>
      </c>
      <c r="EY73" s="3">
        <f ca="1">IFERROR(__xludf.DUMMYFUNCTION("""COMPUTED_VALUE"""),-0.650055627658932)</f>
        <v>-0.65005562765893199</v>
      </c>
      <c r="EZ73" s="3">
        <f ca="1">IFERROR(__xludf.DUMMYFUNCTION("""COMPUTED_VALUE"""),-0.671637226396698)</f>
        <v>-0.67163722639669798</v>
      </c>
      <c r="FA73" s="3">
        <f ca="1">IFERROR(__xludf.DUMMYFUNCTION("""COMPUTED_VALUE"""),-0.696080983354652)</f>
        <v>-0.69608098335465196</v>
      </c>
      <c r="FB73" s="3">
        <f ca="1">IFERROR(__xludf.DUMMYFUNCTION("""COMPUTED_VALUE"""),-0.729515404610979)</f>
        <v>-0.72951540461097897</v>
      </c>
      <c r="FC73" s="3">
        <f ca="1">IFERROR(__xludf.DUMMYFUNCTION("""COMPUTED_VALUE"""),-0.732953431316334)</f>
        <v>-0.73295343131633395</v>
      </c>
      <c r="FD73" s="3">
        <f ca="1">IFERROR(__xludf.DUMMYFUNCTION("""COMPUTED_VALUE"""),-0.69585155832531)</f>
        <v>-0.69585155832530998</v>
      </c>
      <c r="FE73" s="3">
        <f ca="1">IFERROR(__xludf.DUMMYFUNCTION("""COMPUTED_VALUE"""),-0.643938179912444)</f>
        <v>-0.64393817991244395</v>
      </c>
      <c r="FF73" s="3">
        <f ca="1">IFERROR(__xludf.DUMMYFUNCTION("""COMPUTED_VALUE"""),-0.554658698153766)</f>
        <v>-0.55465869815376601</v>
      </c>
      <c r="FG73" s="3">
        <f ca="1">IFERROR(__xludf.DUMMYFUNCTION("""COMPUTED_VALUE"""),-0.611256828983685)</f>
        <v>-0.61125682898368505</v>
      </c>
      <c r="FH73" s="3">
        <f ca="1">IFERROR(__xludf.DUMMYFUNCTION("""COMPUTED_VALUE"""),-0.704145601510447)</f>
        <v>-0.70414560151044703</v>
      </c>
      <c r="FI73" s="3">
        <f ca="1">IFERROR(__xludf.DUMMYFUNCTION("""COMPUTED_VALUE"""),-0.740502322057682)</f>
        <v>-0.74050232205768196</v>
      </c>
      <c r="FJ73" s="3">
        <f ca="1">IFERROR(__xludf.DUMMYFUNCTION("""COMPUTED_VALUE"""),-0.737624038843802)</f>
        <v>-0.73762403884380201</v>
      </c>
      <c r="FK73" s="3">
        <f ca="1">IFERROR(__xludf.DUMMYFUNCTION("""COMPUTED_VALUE"""),-0.721828953374405)</f>
        <v>-0.721828953374405</v>
      </c>
      <c r="FL73" s="3">
        <f ca="1">IFERROR(__xludf.DUMMYFUNCTION("""COMPUTED_VALUE"""),-0.705387607618069)</f>
        <v>-0.70538760761806896</v>
      </c>
      <c r="FM73" s="3">
        <f ca="1">IFERROR(__xludf.DUMMYFUNCTION("""COMPUTED_VALUE"""),-0.54718391488776)</f>
        <v>-0.54718391488775997</v>
      </c>
      <c r="FN73" s="3">
        <f ca="1">IFERROR(__xludf.DUMMYFUNCTION("""COMPUTED_VALUE"""),-0.59789947385761)</f>
        <v>-0.59789947385761</v>
      </c>
      <c r="FO73" s="3">
        <f ca="1">IFERROR(__xludf.DUMMYFUNCTION("""COMPUTED_VALUE"""),-0.692143987164628)</f>
        <v>-0.69214398716462799</v>
      </c>
      <c r="FP73" s="3">
        <f ca="1">IFERROR(__xludf.DUMMYFUNCTION("""COMPUTED_VALUE"""),-0.732869235003652)</f>
        <v>-0.73286923500365198</v>
      </c>
      <c r="FQ73" s="3">
        <f ca="1">IFERROR(__xludf.DUMMYFUNCTION("""COMPUTED_VALUE"""),-0.7103406335866)</f>
        <v>-0.71034063358660005</v>
      </c>
      <c r="FR73" s="3">
        <f ca="1">IFERROR(__xludf.DUMMYFUNCTION("""COMPUTED_VALUE"""),-0.711313084356268)</f>
        <v>-0.71131308435626805</v>
      </c>
      <c r="FS73" s="3">
        <f ca="1">IFERROR(__xludf.DUMMYFUNCTION("""COMPUTED_VALUE"""),-0.691755472479749)</f>
        <v>-0.691755472479749</v>
      </c>
      <c r="FT73" s="3">
        <f ca="1">IFERROR(__xludf.DUMMYFUNCTION("""COMPUTED_VALUE"""),-0.52656462769894)</f>
        <v>-0.52656462769893997</v>
      </c>
      <c r="FU73" s="3">
        <f ca="1">IFERROR(__xludf.DUMMYFUNCTION("""COMPUTED_VALUE"""),-0.563318012284977)</f>
        <v>-0.56331801228497702</v>
      </c>
      <c r="FV73" s="3">
        <f ca="1">IFERROR(__xludf.DUMMYFUNCTION("""COMPUTED_VALUE"""),-0.653032751166808)</f>
        <v>-0.65303275116680803</v>
      </c>
      <c r="FW73" s="3">
        <f ca="1">IFERROR(__xludf.DUMMYFUNCTION("""COMPUTED_VALUE"""),-0.72508130866177)</f>
        <v>-0.72508130866177001</v>
      </c>
      <c r="FX73" s="3">
        <f ca="1">IFERROR(__xludf.DUMMYFUNCTION("""COMPUTED_VALUE"""),-0.712589465533334)</f>
        <v>-0.71258946553333402</v>
      </c>
      <c r="FY73" s="3">
        <f ca="1">IFERROR(__xludf.DUMMYFUNCTION("""COMPUTED_VALUE"""),-0.732425610418004)</f>
        <v>-0.73242561041800402</v>
      </c>
      <c r="FZ73" s="3">
        <f ca="1">IFERROR(__xludf.DUMMYFUNCTION("""COMPUTED_VALUE"""),-0.699411315429531)</f>
        <v>-0.69941131542953106</v>
      </c>
      <c r="GA73" s="3">
        <f ca="1">IFERROR(__xludf.DUMMYFUNCTION("""COMPUTED_VALUE"""),-0.555947877443282)</f>
        <v>-0.555947877443282</v>
      </c>
      <c r="GB73" s="3">
        <f ca="1">IFERROR(__xludf.DUMMYFUNCTION("""COMPUTED_VALUE"""),-0.593561851382522)</f>
        <v>-0.59356185138252204</v>
      </c>
      <c r="GC73" s="3">
        <f ca="1">IFERROR(__xludf.DUMMYFUNCTION("""COMPUTED_VALUE"""),-0.693395803257457)</f>
        <v>-0.69339580325745698</v>
      </c>
      <c r="GD73" s="3">
        <f ca="1">IFERROR(__xludf.DUMMYFUNCTION("""COMPUTED_VALUE"""),-0.728458054061349)</f>
        <v>-0.728458054061349</v>
      </c>
      <c r="GE73" s="3">
        <f ca="1">IFERROR(__xludf.DUMMYFUNCTION("""COMPUTED_VALUE"""),-0.764768053862894)</f>
        <v>-0.76476805386289404</v>
      </c>
      <c r="GF73" s="3">
        <f ca="1">IFERROR(__xludf.DUMMYFUNCTION("""COMPUTED_VALUE"""),-0.722761379839573)</f>
        <v>-0.722761379839573</v>
      </c>
      <c r="GG73" s="3">
        <f ca="1">IFERROR(__xludf.DUMMYFUNCTION("""COMPUTED_VALUE"""),-0.732501545605967)</f>
        <v>-0.73250154560596703</v>
      </c>
      <c r="GH73" s="3">
        <f ca="1">IFERROR(__xludf.DUMMYFUNCTION("""COMPUTED_VALUE"""),-0.561430503212273)</f>
        <v>-0.56143050321227295</v>
      </c>
      <c r="GI73" s="3">
        <f ca="1">IFERROR(__xludf.DUMMYFUNCTION("""COMPUTED_VALUE"""),-0.599209021304858)</f>
        <v>-0.59920902130485798</v>
      </c>
      <c r="GJ73" s="3">
        <f ca="1">IFERROR(__xludf.DUMMYFUNCTION("""COMPUTED_VALUE"""),-0.695707310662994)</f>
        <v>-0.69570731066299396</v>
      </c>
      <c r="GK73" s="3">
        <f ca="1">IFERROR(__xludf.DUMMYFUNCTION("""COMPUTED_VALUE"""),-0.731880093403317)</f>
        <v>-0.73188009340331694</v>
      </c>
      <c r="GL73" s="3">
        <f ca="1">IFERROR(__xludf.DUMMYFUNCTION("""COMPUTED_VALUE"""),-0.730375435493652)</f>
        <v>-0.73037543549365203</v>
      </c>
      <c r="GM73" s="3">
        <f ca="1">IFERROR(__xludf.DUMMYFUNCTION("""COMPUTED_VALUE"""),-0.73349016627432)</f>
        <v>-0.73349016627431995</v>
      </c>
      <c r="GN73" s="3">
        <f ca="1">IFERROR(__xludf.DUMMYFUNCTION("""COMPUTED_VALUE"""),-0.723230131786954)</f>
        <v>-0.72323013178695394</v>
      </c>
      <c r="GO73" s="3">
        <f ca="1">IFERROR(__xludf.DUMMYFUNCTION("""COMPUTED_VALUE"""),-0.586133803247413)</f>
        <v>-0.58613380324741304</v>
      </c>
      <c r="GP73" s="3">
        <f ca="1">IFERROR(__xludf.DUMMYFUNCTION("""COMPUTED_VALUE"""),-0.628541719053568)</f>
        <v>-0.62854171905356804</v>
      </c>
      <c r="GQ73" s="3">
        <f ca="1">IFERROR(__xludf.DUMMYFUNCTION("""COMPUTED_VALUE"""),-0.713646752034183)</f>
        <v>-0.71364675203418304</v>
      </c>
      <c r="GR73" s="3">
        <f ca="1">IFERROR(__xludf.DUMMYFUNCTION("""COMPUTED_VALUE"""),-0.722777635243192)</f>
        <v>-0.72277763524319205</v>
      </c>
      <c r="GS73" s="3">
        <f ca="1">IFERROR(__xludf.DUMMYFUNCTION("""COMPUTED_VALUE"""),-0.737114481702626)</f>
        <v>-0.73711448170262595</v>
      </c>
      <c r="GT73" s="3">
        <f ca="1">IFERROR(__xludf.DUMMYFUNCTION("""COMPUTED_VALUE"""),-0.727071977186057)</f>
        <v>-0.72707197718605698</v>
      </c>
      <c r="GU73" s="3">
        <f ca="1">IFERROR(__xludf.DUMMYFUNCTION("""COMPUTED_VALUE"""),-0.75914999660969)</f>
        <v>-0.75914999660968996</v>
      </c>
      <c r="GV73" s="3">
        <f ca="1">IFERROR(__xludf.DUMMYFUNCTION("""COMPUTED_VALUE"""),-0.614749723741779)</f>
        <v>-0.61474972374177905</v>
      </c>
      <c r="GW73" s="3">
        <f ca="1">IFERROR(__xludf.DUMMYFUNCTION("""COMPUTED_VALUE"""),-0.58997058684043)</f>
        <v>-0.58997058684043002</v>
      </c>
      <c r="GX73" s="3">
        <f ca="1">IFERROR(__xludf.DUMMYFUNCTION("""COMPUTED_VALUE"""),-0.712636331076767)</f>
        <v>-0.71263633107676705</v>
      </c>
      <c r="GY73" s="3">
        <f ca="1">IFERROR(__xludf.DUMMYFUNCTION("""COMPUTED_VALUE"""),-0.717206590425416)</f>
        <v>-0.71720659042541601</v>
      </c>
      <c r="GZ73" s="3">
        <f ca="1">IFERROR(__xludf.DUMMYFUNCTION("""COMPUTED_VALUE"""),-0.712806139414611)</f>
        <v>-0.71280613941461102</v>
      </c>
      <c r="HA73" s="3">
        <f ca="1">IFERROR(__xludf.DUMMYFUNCTION("""COMPUTED_VALUE"""),-0.711963280876563)</f>
        <v>-0.71196328087656302</v>
      </c>
      <c r="HB73" s="3">
        <f ca="1">IFERROR(__xludf.DUMMYFUNCTION("""COMPUTED_VALUE"""),-0.735402798734327)</f>
        <v>-0.73540279873432701</v>
      </c>
      <c r="HC73" s="3">
        <f ca="1">IFERROR(__xludf.DUMMYFUNCTION("""COMPUTED_VALUE"""),-0.560532482121236)</f>
        <v>-0.56053248212123596</v>
      </c>
      <c r="HD73" s="3">
        <f ca="1">IFERROR(__xludf.DUMMYFUNCTION("""COMPUTED_VALUE"""),-0.592174773476378)</f>
        <v>-0.59217477347637804</v>
      </c>
      <c r="HE73" s="3">
        <f ca="1">IFERROR(__xludf.DUMMYFUNCTION("""COMPUTED_VALUE"""),-0.681848781266208)</f>
        <v>-0.68184878126620796</v>
      </c>
      <c r="HF73" s="3">
        <f ca="1">IFERROR(__xludf.DUMMYFUNCTION("""COMPUTED_VALUE"""),-0.721721294060893)</f>
        <v>-0.72172129406089303</v>
      </c>
      <c r="HG73" s="3">
        <f ca="1">IFERROR(__xludf.DUMMYFUNCTION("""COMPUTED_VALUE"""),-0.74202946307825)</f>
        <v>-0.74202946307825002</v>
      </c>
      <c r="HH73" s="3">
        <f ca="1">IFERROR(__xludf.DUMMYFUNCTION("""COMPUTED_VALUE"""),-0.715733761626547)</f>
        <v>-0.715733761626547</v>
      </c>
      <c r="HI73" s="3">
        <f ca="1">IFERROR(__xludf.DUMMYFUNCTION("""COMPUTED_VALUE"""),-0.661496520035034)</f>
        <v>-0.66149652003503401</v>
      </c>
      <c r="HJ73" s="3">
        <f ca="1">IFERROR(__xludf.DUMMYFUNCTION("""COMPUTED_VALUE"""),-0.496987020697928)</f>
        <v>-0.49698702069792799</v>
      </c>
      <c r="HK73" s="3">
        <f ca="1">IFERROR(__xludf.DUMMYFUNCTION("""COMPUTED_VALUE"""),-0.573580112152636)</f>
        <v>-0.57358011215263605</v>
      </c>
      <c r="HL73" s="3">
        <f ca="1">IFERROR(__xludf.DUMMYFUNCTION("""COMPUTED_VALUE"""),-0.692164980715193)</f>
        <v>-0.69216498071519295</v>
      </c>
      <c r="HM73" s="3">
        <f ca="1">IFERROR(__xludf.DUMMYFUNCTION("""COMPUTED_VALUE"""),-0.719701951888878)</f>
        <v>-0.71970195188887798</v>
      </c>
      <c r="HN73" s="3">
        <f ca="1">IFERROR(__xludf.DUMMYFUNCTION("""COMPUTED_VALUE"""),-0.735287881053158)</f>
        <v>-0.73528788105315801</v>
      </c>
      <c r="HO73" s="3">
        <f ca="1">IFERROR(__xludf.DUMMYFUNCTION("""COMPUTED_VALUE"""),-0.739090651497786)</f>
        <v>-0.73909065149778597</v>
      </c>
      <c r="HP73" s="3">
        <f ca="1">IFERROR(__xludf.DUMMYFUNCTION("""COMPUTED_VALUE"""),-0.694026686268495)</f>
        <v>-0.69402668626849495</v>
      </c>
      <c r="HQ73" s="3">
        <f ca="1">IFERROR(__xludf.DUMMYFUNCTION("""COMPUTED_VALUE"""),-0.635425929149561)</f>
        <v>-0.63542592914956098</v>
      </c>
      <c r="HR73" s="3">
        <f ca="1">IFERROR(__xludf.DUMMYFUNCTION("""COMPUTED_VALUE"""),-0.601827842120336)</f>
        <v>-0.60182784212033602</v>
      </c>
      <c r="HS73" s="3">
        <f ca="1">IFERROR(__xludf.DUMMYFUNCTION("""COMPUTED_VALUE"""),-0.707431076483592)</f>
        <v>-0.70743107648359205</v>
      </c>
      <c r="HT73" s="3">
        <f ca="1">IFERROR(__xludf.DUMMYFUNCTION("""COMPUTED_VALUE"""),-0.719369807520646)</f>
        <v>-0.71936980752064605</v>
      </c>
      <c r="HU73" s="3">
        <f ca="1">IFERROR(__xludf.DUMMYFUNCTION("""COMPUTED_VALUE"""),-0.725878245697703)</f>
        <v>-0.72587824569770298</v>
      </c>
      <c r="HV73" s="3">
        <f ca="1">IFERROR(__xludf.DUMMYFUNCTION("""COMPUTED_VALUE"""),-0.729606240643556)</f>
        <v>-0.72960624064355595</v>
      </c>
      <c r="HW73" s="3">
        <f ca="1">IFERROR(__xludf.DUMMYFUNCTION("""COMPUTED_VALUE"""),-0.702662358037423)</f>
        <v>-0.70266235803742305</v>
      </c>
      <c r="HX73" s="3">
        <f ca="1">IFERROR(__xludf.DUMMYFUNCTION("""COMPUTED_VALUE"""),-0.579131211260458)</f>
        <v>-0.57913121126045797</v>
      </c>
      <c r="HY73" s="3">
        <f ca="1">IFERROR(__xludf.DUMMYFUNCTION("""COMPUTED_VALUE"""),-0.554554813102182)</f>
        <v>-0.55455481310218202</v>
      </c>
      <c r="HZ73" s="3">
        <f ca="1">IFERROR(__xludf.DUMMYFUNCTION("""COMPUTED_VALUE"""),-0.683429854026447)</f>
        <v>-0.68342985402644696</v>
      </c>
      <c r="IA73" s="3">
        <f ca="1">IFERROR(__xludf.DUMMYFUNCTION("""COMPUTED_VALUE"""),-0.720542232940262)</f>
        <v>-0.72054223294026198</v>
      </c>
      <c r="IB73" s="3">
        <f ca="1">IFERROR(__xludf.DUMMYFUNCTION("""COMPUTED_VALUE"""),-0.689020775288983)</f>
        <v>-0.68902077528898298</v>
      </c>
      <c r="IC73" s="3">
        <f ca="1">IFERROR(__xludf.DUMMYFUNCTION("""COMPUTED_VALUE"""),-0.711421338519603)</f>
        <v>-0.71142133851960299</v>
      </c>
      <c r="ID73" s="3">
        <f ca="1">IFERROR(__xludf.DUMMYFUNCTION("""COMPUTED_VALUE"""),-0.692708684888318)</f>
        <v>-0.69270868488831805</v>
      </c>
      <c r="IE73" s="3">
        <f ca="1">IFERROR(__xludf.DUMMYFUNCTION("""COMPUTED_VALUE"""),-0.613822753025289)</f>
        <v>-0.61382275302528899</v>
      </c>
      <c r="IF73" s="3">
        <f ca="1">IFERROR(__xludf.DUMMYFUNCTION("""COMPUTED_VALUE"""),-0.62450545644064)</f>
        <v>-0.62450545644064004</v>
      </c>
      <c r="IG73" s="3">
        <f ca="1">IFERROR(__xludf.DUMMYFUNCTION("""COMPUTED_VALUE"""),-0.685250870965379)</f>
        <v>-0.68525087096537896</v>
      </c>
      <c r="IH73" s="3">
        <f ca="1">IFERROR(__xludf.DUMMYFUNCTION("""COMPUTED_VALUE"""),-0.666108891141211)</f>
        <v>-0.66610889114121097</v>
      </c>
      <c r="II73" s="3">
        <f ca="1">IFERROR(__xludf.DUMMYFUNCTION("""COMPUTED_VALUE"""),-0.708233117867304)</f>
        <v>-0.70823311786730403</v>
      </c>
      <c r="IJ73" s="3">
        <f ca="1">IFERROR(__xludf.DUMMYFUNCTION("""COMPUTED_VALUE"""),-0.679414568150159)</f>
        <v>-0.67941456815015899</v>
      </c>
      <c r="IK73" s="3">
        <f ca="1">IFERROR(__xludf.DUMMYFUNCTION("""COMPUTED_VALUE"""),-0.665512491898292)</f>
        <v>-0.66551249189829198</v>
      </c>
      <c r="IL73" s="3">
        <f ca="1">IFERROR(__xludf.DUMMYFUNCTION("""COMPUTED_VALUE"""),-0.590652715327185)</f>
        <v>-0.590652715327185</v>
      </c>
      <c r="IM73" s="3">
        <f ca="1">IFERROR(__xludf.DUMMYFUNCTION("""COMPUTED_VALUE"""),-0.618886606788771)</f>
        <v>-0.61888660678877105</v>
      </c>
      <c r="IN73" s="3">
        <f ca="1">IFERROR(__xludf.DUMMYFUNCTION("""COMPUTED_VALUE"""),-0.680302390501003)</f>
        <v>-0.68030239050100305</v>
      </c>
      <c r="IO73" s="3">
        <f ca="1">IFERROR(__xludf.DUMMYFUNCTION("""COMPUTED_VALUE"""),-0.699464236239885)</f>
        <v>-0.69946423623988496</v>
      </c>
      <c r="IP73" s="3">
        <f ca="1">IFERROR(__xludf.DUMMYFUNCTION("""COMPUTED_VALUE"""),-0.678870430201679)</f>
        <v>-0.67887043020167903</v>
      </c>
      <c r="IQ73" s="3">
        <f ca="1">IFERROR(__xludf.DUMMYFUNCTION("""COMPUTED_VALUE"""),-0.696957224943779)</f>
        <v>-0.69695722494377899</v>
      </c>
      <c r="IR73" s="3">
        <f ca="1">IFERROR(__xludf.DUMMYFUNCTION("""COMPUTED_VALUE"""),-0.666890337858837)</f>
        <v>-0.666890337858837</v>
      </c>
      <c r="IS73" s="3">
        <f ca="1">IFERROR(__xludf.DUMMYFUNCTION("""COMPUTED_VALUE"""),-0.603132322630194)</f>
        <v>-0.60313232263019401</v>
      </c>
      <c r="IT73" s="3">
        <f ca="1">IFERROR(__xludf.DUMMYFUNCTION("""COMPUTED_VALUE"""),-0.615078341811811)</f>
        <v>-0.61507834181181098</v>
      </c>
      <c r="IU73" s="3">
        <f ca="1">IFERROR(__xludf.DUMMYFUNCTION("""COMPUTED_VALUE"""),-0.664186348369723)</f>
        <v>-0.66418634836972301</v>
      </c>
      <c r="IV73" s="3">
        <f ca="1">IFERROR(__xludf.DUMMYFUNCTION("""COMPUTED_VALUE"""),-0.705345114654307)</f>
        <v>-0.70534511465430705</v>
      </c>
      <c r="IW73" s="3">
        <f ca="1">IFERROR(__xludf.DUMMYFUNCTION("""COMPUTED_VALUE"""),-0.708536509373119)</f>
        <v>-0.70853650937311896</v>
      </c>
      <c r="IX73" s="3">
        <f ca="1">IFERROR(__xludf.DUMMYFUNCTION("""COMPUTED_VALUE"""),-0.663245667545836)</f>
        <v>-0.66324566754583603</v>
      </c>
      <c r="IY73" s="3">
        <f ca="1">IFERROR(__xludf.DUMMYFUNCTION("""COMPUTED_VALUE"""),-0.682815903649092)</f>
        <v>-0.68281590364909195</v>
      </c>
      <c r="IZ73" s="3">
        <f ca="1">IFERROR(__xludf.DUMMYFUNCTION("""COMPUTED_VALUE"""),-0.626222640018738)</f>
        <v>-0.62622264001873795</v>
      </c>
      <c r="JA73" s="3">
        <f ca="1">IFERROR(__xludf.DUMMYFUNCTION("""COMPUTED_VALUE"""),-0.616254103843872)</f>
        <v>-0.61625410384387203</v>
      </c>
      <c r="JB73" s="3">
        <f ca="1">IFERROR(__xludf.DUMMYFUNCTION("""COMPUTED_VALUE"""),-0.675428829016203)</f>
        <v>-0.67542882901620305</v>
      </c>
      <c r="JC73" s="3">
        <f ca="1">IFERROR(__xludf.DUMMYFUNCTION("""COMPUTED_VALUE"""),-0.685658597388945)</f>
        <v>-0.68565859738894497</v>
      </c>
      <c r="JD73" s="3">
        <f ca="1">IFERROR(__xludf.DUMMYFUNCTION("""COMPUTED_VALUE"""),-0.689685324063947)</f>
        <v>-0.689685324063947</v>
      </c>
      <c r="JE73" s="3">
        <f ca="1">IFERROR(__xludf.DUMMYFUNCTION("""COMPUTED_VALUE"""),-0.711432248480584)</f>
        <v>-0.71143224848058395</v>
      </c>
      <c r="JF73" s="3">
        <f ca="1">IFERROR(__xludf.DUMMYFUNCTION("""COMPUTED_VALUE"""),-0.674194719408812)</f>
        <v>-0.67419471940881204</v>
      </c>
      <c r="JG73" s="3">
        <f ca="1">IFERROR(__xludf.DUMMYFUNCTION("""COMPUTED_VALUE"""),-0.620699956982206)</f>
        <v>-0.62069995698220604</v>
      </c>
      <c r="JH73" s="3">
        <f ca="1">IFERROR(__xludf.DUMMYFUNCTION("""COMPUTED_VALUE"""),-0.655640377836684)</f>
        <v>-0.65564037783668405</v>
      </c>
      <c r="JI73" s="3">
        <f ca="1">IFERROR(__xludf.DUMMYFUNCTION("""COMPUTED_VALUE"""),-0.679701481426702)</f>
        <v>-0.67970148142670195</v>
      </c>
      <c r="JJ73" s="3">
        <f ca="1">IFERROR(__xludf.DUMMYFUNCTION("""COMPUTED_VALUE"""),-0.704809462399938)</f>
        <v>-0.70480946239993802</v>
      </c>
      <c r="JK73" s="3">
        <f ca="1">IFERROR(__xludf.DUMMYFUNCTION("""COMPUTED_VALUE"""),-0.709480563980671)</f>
        <v>-0.70948056398067105</v>
      </c>
      <c r="JL73" s="3">
        <f ca="1">IFERROR(__xludf.DUMMYFUNCTION("""COMPUTED_VALUE"""),-0.689651714626436)</f>
        <v>-0.68965171462643604</v>
      </c>
      <c r="JM73" s="3">
        <f ca="1">IFERROR(__xludf.DUMMYFUNCTION("""COMPUTED_VALUE"""),-0.664471543584139)</f>
        <v>-0.66447154358413896</v>
      </c>
      <c r="JN73" s="3">
        <f ca="1">IFERROR(__xludf.DUMMYFUNCTION("""COMPUTED_VALUE"""),-0.610007062433647)</f>
        <v>-0.610007062433647</v>
      </c>
      <c r="JO73" s="3">
        <f ca="1">IFERROR(__xludf.DUMMYFUNCTION("""COMPUTED_VALUE"""),-0.609444625584097)</f>
        <v>-0.60944462558409696</v>
      </c>
      <c r="JP73" s="3">
        <f ca="1">IFERROR(__xludf.DUMMYFUNCTION("""COMPUTED_VALUE"""),-0.639760032880467)</f>
        <v>-0.63976003288046701</v>
      </c>
      <c r="JQ73" s="3">
        <f ca="1">IFERROR(__xludf.DUMMYFUNCTION("""COMPUTED_VALUE"""),-0.649090366244407)</f>
        <v>-0.64909036624440697</v>
      </c>
      <c r="JR73" s="3">
        <f ca="1">IFERROR(__xludf.DUMMYFUNCTION("""COMPUTED_VALUE"""),-0.685520006433584)</f>
        <v>-0.68552000643358402</v>
      </c>
      <c r="JS73" s="3">
        <f ca="1">IFERROR(__xludf.DUMMYFUNCTION("""COMPUTED_VALUE"""),-0.697748793928549)</f>
        <v>-0.69774879392854905</v>
      </c>
      <c r="JT73" s="3">
        <f ca="1">IFERROR(__xludf.DUMMYFUNCTION("""COMPUTED_VALUE"""),-0.66227225896564)</f>
        <v>-0.66227225896564001</v>
      </c>
      <c r="JU73" s="3">
        <f ca="1">IFERROR(__xludf.DUMMYFUNCTION("""COMPUTED_VALUE"""),-0.585790920928573)</f>
        <v>-0.58579092092857299</v>
      </c>
      <c r="JV73" s="3">
        <f ca="1">IFERROR(__xludf.DUMMYFUNCTION("""COMPUTED_VALUE"""),-0.622026685153654)</f>
        <v>-0.622026685153654</v>
      </c>
      <c r="JW73" s="3">
        <f ca="1">IFERROR(__xludf.DUMMYFUNCTION("""COMPUTED_VALUE"""),-0.598873406411272)</f>
        <v>-0.59887340641127196</v>
      </c>
      <c r="JX73" s="3">
        <f ca="1">IFERROR(__xludf.DUMMYFUNCTION("""COMPUTED_VALUE"""),-0.649395353754605)</f>
        <v>-0.649395353754605</v>
      </c>
      <c r="JY73" s="3">
        <f ca="1">IFERROR(__xludf.DUMMYFUNCTION("""COMPUTED_VALUE"""),-0.663871139915415)</f>
        <v>-0.66387113991541502</v>
      </c>
      <c r="JZ73" s="3">
        <f ca="1">IFERROR(__xludf.DUMMYFUNCTION("""COMPUTED_VALUE"""),-0.685117343114344)</f>
        <v>-0.68511734311434402</v>
      </c>
      <c r="KA73" s="3">
        <f ca="1">IFERROR(__xludf.DUMMYFUNCTION("""COMPUTED_VALUE"""),-0.674759359904907)</f>
        <v>-0.67475935990490699</v>
      </c>
      <c r="KB73" s="3">
        <f ca="1">IFERROR(__xludf.DUMMYFUNCTION("""COMPUTED_VALUE"""),-0.573888650561542)</f>
        <v>-0.57388865056154204</v>
      </c>
      <c r="KC73" s="3">
        <f ca="1">IFERROR(__xludf.DUMMYFUNCTION("""COMPUTED_VALUE"""),-0.550094850689229)</f>
        <v>-0.55009485068922903</v>
      </c>
      <c r="KD73" s="3">
        <f ca="1">IFERROR(__xludf.DUMMYFUNCTION("""COMPUTED_VALUE"""),-0.618699038648372)</f>
        <v>-0.61869903864837195</v>
      </c>
      <c r="KE73" s="3">
        <f ca="1">IFERROR(__xludf.DUMMYFUNCTION("""COMPUTED_VALUE"""),-0.63426260270608)</f>
        <v>-0.63426260270608004</v>
      </c>
      <c r="KF73" s="3">
        <f ca="1">IFERROR(__xludf.DUMMYFUNCTION("""COMPUTED_VALUE"""),-0.639635989187234)</f>
        <v>-0.63963598918723397</v>
      </c>
      <c r="KG73" s="3">
        <f ca="1">IFERROR(__xludf.DUMMYFUNCTION("""COMPUTED_VALUE"""),-0.6751055502067)</f>
        <v>-0.67510555020670004</v>
      </c>
      <c r="KH73" s="3">
        <f ca="1">IFERROR(__xludf.DUMMYFUNCTION("""COMPUTED_VALUE"""),-0.682883527881055)</f>
        <v>-0.682883527881055</v>
      </c>
      <c r="KI73" s="3">
        <f ca="1">IFERROR(__xludf.DUMMYFUNCTION("""COMPUTED_VALUE"""),-0.632727667481178)</f>
        <v>-0.63272766748117804</v>
      </c>
      <c r="KJ73" s="3">
        <f ca="1">IFERROR(__xludf.DUMMYFUNCTION("""COMPUTED_VALUE"""),-0.602042217517981)</f>
        <v>-0.60204221751798104</v>
      </c>
      <c r="KK73" s="3">
        <f ca="1">IFERROR(__xludf.DUMMYFUNCTION("""COMPUTED_VALUE"""),-0.66495417880843)</f>
        <v>-0.66495417880843</v>
      </c>
      <c r="KL73" s="3">
        <f ca="1">IFERROR(__xludf.DUMMYFUNCTION("""COMPUTED_VALUE"""),-0.666084419913512)</f>
        <v>-0.66608441991351197</v>
      </c>
      <c r="KM73" s="3">
        <f ca="1">IFERROR(__xludf.DUMMYFUNCTION("""COMPUTED_VALUE"""),-0.672652431136697)</f>
        <v>-0.67265243113669704</v>
      </c>
      <c r="KN73" s="3">
        <f ca="1">IFERROR(__xludf.DUMMYFUNCTION("""COMPUTED_VALUE"""),-0.637674423839144)</f>
        <v>-0.63767442383914397</v>
      </c>
      <c r="KO73" s="3">
        <f ca="1">IFERROR(__xludf.DUMMYFUNCTION("""COMPUTED_VALUE"""),-0.667549261060161)</f>
        <v>-0.66754926106016099</v>
      </c>
      <c r="KP73" s="3">
        <f ca="1">IFERROR(__xludf.DUMMYFUNCTION("""COMPUTED_VALUE"""),-0.624318450958155)</f>
        <v>-0.62431845095815497</v>
      </c>
      <c r="KQ73" s="3">
        <f ca="1">IFERROR(__xludf.DUMMYFUNCTION("""COMPUTED_VALUE"""),-0.609328569037038)</f>
        <v>-0.60932856903703803</v>
      </c>
      <c r="KR73" s="3">
        <f ca="1">IFERROR(__xludf.DUMMYFUNCTION("""COMPUTED_VALUE"""),-0.628021649099181)</f>
        <v>-0.62802164909918101</v>
      </c>
      <c r="KS73" s="3">
        <f ca="1">IFERROR(__xludf.DUMMYFUNCTION("""COMPUTED_VALUE"""),-0.692471298291415)</f>
        <v>-0.69247129829141496</v>
      </c>
      <c r="KT73" s="3">
        <f ca="1">IFERROR(__xludf.DUMMYFUNCTION("""COMPUTED_VALUE"""),-0.709967683083967)</f>
        <v>-0.70996768308396696</v>
      </c>
      <c r="KU73" s="3">
        <f ca="1">IFERROR(__xludf.DUMMYFUNCTION("""COMPUTED_VALUE"""),-0.716950097441045)</f>
        <v>-0.71695009744104499</v>
      </c>
      <c r="KV73" s="3">
        <f ca="1">IFERROR(__xludf.DUMMYFUNCTION("""COMPUTED_VALUE"""),-0.716172626850347)</f>
        <v>-0.71617262685034699</v>
      </c>
      <c r="KW73" s="3">
        <f ca="1">IFERROR(__xludf.DUMMYFUNCTION("""COMPUTED_VALUE"""),-0.666958719733211)</f>
        <v>-0.66695871973321097</v>
      </c>
      <c r="KX73" s="3">
        <f ca="1">IFERROR(__xludf.DUMMYFUNCTION("""COMPUTED_VALUE"""),-0.698586734677048)</f>
        <v>-0.69858673467704802</v>
      </c>
      <c r="KY73" s="3">
        <f ca="1">IFERROR(__xludf.DUMMYFUNCTION("""COMPUTED_VALUE"""),-0.704261789188111)</f>
        <v>-0.704261789188111</v>
      </c>
      <c r="KZ73" s="3">
        <f ca="1">IFERROR(__xludf.DUMMYFUNCTION("""COMPUTED_VALUE"""),-0.71672099049906)</f>
        <v>-0.71672099049906002</v>
      </c>
      <c r="LA73" s="3">
        <f ca="1">IFERROR(__xludf.DUMMYFUNCTION("""COMPUTED_VALUE"""),-0.702002213628709)</f>
        <v>-0.70200221362870896</v>
      </c>
      <c r="LB73" s="3">
        <f ca="1">IFERROR(__xludf.DUMMYFUNCTION("""COMPUTED_VALUE"""),-0.693633153459675)</f>
        <v>-0.69363315345967502</v>
      </c>
      <c r="LC73" s="3">
        <f ca="1">IFERROR(__xludf.DUMMYFUNCTION("""COMPUTED_VALUE"""),-0.658768264697396)</f>
        <v>-0.65876826469739602</v>
      </c>
      <c r="LD73" s="3">
        <f ca="1">IFERROR(__xludf.DUMMYFUNCTION("""COMPUTED_VALUE"""),-0.668013546780111)</f>
        <v>-0.66801354678011104</v>
      </c>
      <c r="LE73" s="3">
        <f ca="1">IFERROR(__xludf.DUMMYFUNCTION("""COMPUTED_VALUE"""),-0.704948797392521)</f>
        <v>-0.70494879739252103</v>
      </c>
      <c r="LF73" s="3">
        <f ca="1">IFERROR(__xludf.DUMMYFUNCTION("""COMPUTED_VALUE"""),-0.725035189041827)</f>
        <v>-0.72503518904182696</v>
      </c>
      <c r="LG73" s="3">
        <f ca="1">IFERROR(__xludf.DUMMYFUNCTION("""COMPUTED_VALUE"""),-0.718789550554578)</f>
        <v>-0.71878955055457805</v>
      </c>
      <c r="LH73" s="3">
        <f ca="1">IFERROR(__xludf.DUMMYFUNCTION("""COMPUTED_VALUE"""),-0.707052962180462)</f>
        <v>-0.70705296218046199</v>
      </c>
      <c r="LI73" s="3">
        <f ca="1">IFERROR(__xludf.DUMMYFUNCTION("""COMPUTED_VALUE"""),-0.729277170210327)</f>
        <v>-0.72927717021032701</v>
      </c>
      <c r="LJ73" s="3">
        <f ca="1">IFERROR(__xludf.DUMMYFUNCTION("""COMPUTED_VALUE"""),-0.754626069410643)</f>
        <v>-0.75462606941064303</v>
      </c>
      <c r="LK73" s="3">
        <f ca="1">IFERROR(__xludf.DUMMYFUNCTION("""COMPUTED_VALUE"""),-0.689529939547419)</f>
        <v>-0.68952993954741904</v>
      </c>
      <c r="LL73" s="3">
        <f ca="1">IFERROR(__xludf.DUMMYFUNCTION("""COMPUTED_VALUE"""),-0.721107071132785)</f>
        <v>-0.72110707113278505</v>
      </c>
      <c r="LM73" s="3">
        <f ca="1">IFERROR(__xludf.DUMMYFUNCTION("""COMPUTED_VALUE"""),-0.737006761633176)</f>
        <v>-0.73700676163317602</v>
      </c>
      <c r="LN73" s="3">
        <f ca="1">IFERROR(__xludf.DUMMYFUNCTION("""COMPUTED_VALUE"""),-0.744239255199861)</f>
        <v>-0.74423925519986101</v>
      </c>
      <c r="LO73" s="3">
        <f ca="1">IFERROR(__xludf.DUMMYFUNCTION("""COMPUTED_VALUE"""),-0.739250848068678)</f>
        <v>-0.73925084806867802</v>
      </c>
      <c r="LP73" s="3">
        <f ca="1">IFERROR(__xludf.DUMMYFUNCTION("""COMPUTED_VALUE"""),-0.728477308389765)</f>
        <v>-0.72847730838976499</v>
      </c>
      <c r="LQ73" s="3">
        <f ca="1">IFERROR(__xludf.DUMMYFUNCTION("""COMPUTED_VALUE"""),-0.695109137239093)</f>
        <v>-0.69510913723909296</v>
      </c>
      <c r="LR73" s="3">
        <f ca="1">IFERROR(__xludf.DUMMYFUNCTION("""COMPUTED_VALUE"""),-0.69754579496949)</f>
        <v>-0.69754579496948999</v>
      </c>
      <c r="LS73" s="3">
        <f ca="1">IFERROR(__xludf.DUMMYFUNCTION("""COMPUTED_VALUE"""),-0.736519917744954)</f>
        <v>-0.73651991774495396</v>
      </c>
      <c r="LT73" s="3">
        <f ca="1">IFERROR(__xludf.DUMMYFUNCTION("""COMPUTED_VALUE"""),-0.750613767190234)</f>
        <v>-0.75061376719023398</v>
      </c>
      <c r="LU73" s="3">
        <f ca="1">IFERROR(__xludf.DUMMYFUNCTION("""COMPUTED_VALUE"""),-0.728244483854467)</f>
        <v>-0.72824448385446705</v>
      </c>
      <c r="LV73" s="3">
        <f ca="1">IFERROR(__xludf.DUMMYFUNCTION("""COMPUTED_VALUE"""),-0.735842137906141)</f>
        <v>-0.73584213790614095</v>
      </c>
      <c r="LW73" s="3">
        <f ca="1">IFERROR(__xludf.DUMMYFUNCTION("""COMPUTED_VALUE"""),-0.741376113912213)</f>
        <v>-0.74137611391221303</v>
      </c>
      <c r="LX73" s="3">
        <f ca="1">IFERROR(__xludf.DUMMYFUNCTION("""COMPUTED_VALUE"""),-0.743032510393328)</f>
        <v>-0.74303251039332796</v>
      </c>
      <c r="LY73" s="3">
        <f ca="1">IFERROR(__xludf.DUMMYFUNCTION("""COMPUTED_VALUE"""),-0.714930240140899)</f>
        <v>-0.71493024014089901</v>
      </c>
      <c r="LZ73" s="3">
        <f ca="1">IFERROR(__xludf.DUMMYFUNCTION("""COMPUTED_VALUE"""),-0.740034923659925)</f>
        <v>-0.74003492365992496</v>
      </c>
      <c r="MA73" s="3">
        <f ca="1">IFERROR(__xludf.DUMMYFUNCTION("""COMPUTED_VALUE"""),-0.756489638392833)</f>
        <v>-0.75648963839283301</v>
      </c>
      <c r="MB73" s="3">
        <f ca="1">IFERROR(__xludf.DUMMYFUNCTION("""COMPUTED_VALUE"""),-0.741376984082233)</f>
        <v>-0.74137698408223296</v>
      </c>
      <c r="MC73" s="3">
        <f ca="1">IFERROR(__xludf.DUMMYFUNCTION("""COMPUTED_VALUE"""),-0.76884781820922)</f>
        <v>-0.76884781820921999</v>
      </c>
      <c r="MD73" s="3">
        <f ca="1">IFERROR(__xludf.DUMMYFUNCTION("""COMPUTED_VALUE"""),-0.745115702641018)</f>
        <v>-0.74511570264101801</v>
      </c>
      <c r="ME73" s="3">
        <f ca="1">IFERROR(__xludf.DUMMYFUNCTION("""COMPUTED_VALUE"""),-0.729529273420649)</f>
        <v>-0.72952927342064899</v>
      </c>
      <c r="MF73" s="3">
        <f ca="1">IFERROR(__xludf.DUMMYFUNCTION("""COMPUTED_VALUE"""),-0.742829356824705)</f>
        <v>-0.74282935682470497</v>
      </c>
      <c r="MG73" s="3">
        <f ca="1">IFERROR(__xludf.DUMMYFUNCTION("""COMPUTED_VALUE"""),-0.759032636026706)</f>
        <v>-0.75903263602670601</v>
      </c>
      <c r="MH73" s="3">
        <f ca="1">IFERROR(__xludf.DUMMYFUNCTION("""COMPUTED_VALUE"""),-0.759307941359111)</f>
        <v>-0.75930794135911095</v>
      </c>
      <c r="MI73" s="3">
        <f ca="1">IFERROR(__xludf.DUMMYFUNCTION("""COMPUTED_VALUE"""),-0.767500632491596)</f>
        <v>-0.76750063249159595</v>
      </c>
      <c r="MJ73" s="3">
        <f ca="1">IFERROR(__xludf.DUMMYFUNCTION("""COMPUTED_VALUE"""),-0.784377377760503)</f>
        <v>-0.78437737776050298</v>
      </c>
      <c r="MK73" s="3">
        <f ca="1">IFERROR(__xludf.DUMMYFUNCTION("""COMPUTED_VALUE"""),-0.789615134373892)</f>
        <v>-0.78961513437389197</v>
      </c>
      <c r="ML73" s="3">
        <f ca="1">IFERROR(__xludf.DUMMYFUNCTION("""COMPUTED_VALUE"""),-0.767863053087161)</f>
        <v>-0.76786305308716096</v>
      </c>
      <c r="MM73" s="3">
        <f ca="1">IFERROR(__xludf.DUMMYFUNCTION("""COMPUTED_VALUE"""),-0.727413060494241)</f>
        <v>-0.72741306049424104</v>
      </c>
      <c r="MN73" s="3">
        <f ca="1">IFERROR(__xludf.DUMMYFUNCTION("""COMPUTED_VALUE"""),-0.773273351391067)</f>
        <v>-0.77327335139106701</v>
      </c>
      <c r="MO73" s="3">
        <f ca="1">IFERROR(__xludf.DUMMYFUNCTION("""COMPUTED_VALUE"""),-0.7950677873645)</f>
        <v>-0.79506778736450001</v>
      </c>
      <c r="MP73" s="3">
        <f ca="1">IFERROR(__xludf.DUMMYFUNCTION("""COMPUTED_VALUE"""),-0.787912771199608)</f>
        <v>-0.78791277119960801</v>
      </c>
      <c r="MQ73" s="3">
        <f ca="1">IFERROR(__xludf.DUMMYFUNCTION("""COMPUTED_VALUE"""),-0.779467771548029)</f>
        <v>-0.77946777154802904</v>
      </c>
      <c r="MR73" s="3">
        <f ca="1">IFERROR(__xludf.DUMMYFUNCTION("""COMPUTED_VALUE"""),-0.770328559243247)</f>
        <v>-0.77032855924324695</v>
      </c>
      <c r="MS73" s="3">
        <f ca="1">IFERROR(__xludf.DUMMYFUNCTION("""COMPUTED_VALUE"""),-0.735279202356645)</f>
        <v>-0.73527920235664501</v>
      </c>
      <c r="MT73" s="3">
        <f ca="1">IFERROR(__xludf.DUMMYFUNCTION("""COMPUTED_VALUE"""),-0.760836494556355)</f>
        <v>-0.76083649455635505</v>
      </c>
      <c r="MU73" s="3">
        <f ca="1">IFERROR(__xludf.DUMMYFUNCTION("""COMPUTED_VALUE"""),-0.782511997182829)</f>
        <v>-0.78251199718282904</v>
      </c>
      <c r="MV73" s="3">
        <f ca="1">IFERROR(__xludf.DUMMYFUNCTION("""COMPUTED_VALUE"""),-0.787018340674175)</f>
        <v>-0.78701834067417498</v>
      </c>
      <c r="MW73" s="3">
        <f ca="1">IFERROR(__xludf.DUMMYFUNCTION("""COMPUTED_VALUE"""),-0.759151648148284)</f>
        <v>-0.75915164814828395</v>
      </c>
      <c r="MX73" s="3">
        <f ca="1">IFERROR(__xludf.DUMMYFUNCTION("""COMPUTED_VALUE"""),-0.796600622713803)</f>
        <v>-0.79660062271380305</v>
      </c>
      <c r="MY73" s="3">
        <f ca="1">IFERROR(__xludf.DUMMYFUNCTION("""COMPUTED_VALUE"""),-0.789285487821451)</f>
        <v>-0.78928548782145103</v>
      </c>
      <c r="MZ73" s="3">
        <f ca="1">IFERROR(__xludf.DUMMYFUNCTION("""COMPUTED_VALUE"""),-0.759285086829248)</f>
        <v>-0.759285086829248</v>
      </c>
      <c r="NA73" s="3">
        <f ca="1">IFERROR(__xludf.DUMMYFUNCTION("""COMPUTED_VALUE"""),-0.775112895868839)</f>
        <v>-0.77511289586883902</v>
      </c>
      <c r="NB73" s="3">
        <f ca="1">IFERROR(__xludf.DUMMYFUNCTION("""COMPUTED_VALUE"""),-0.792778268518439)</f>
        <v>-0.79277826851843902</v>
      </c>
      <c r="NC73" s="3">
        <f ca="1">IFERROR(__xludf.DUMMYFUNCTION("""COMPUTED_VALUE"""),-0.837731853920747)</f>
        <v>-0.837731853920747</v>
      </c>
      <c r="ND73" s="3">
        <f ca="1">IFERROR(__xludf.DUMMYFUNCTION("""COMPUTED_VALUE"""),-0.830232573878613)</f>
        <v>-0.83023257387861304</v>
      </c>
      <c r="NE73" s="3">
        <f ca="1">IFERROR(__xludf.DUMMYFUNCTION("""COMPUTED_VALUE"""),-0.839983718394294)</f>
        <v>-0.83998371839429398</v>
      </c>
      <c r="NF73" s="3">
        <f ca="1">IFERROR(__xludf.DUMMYFUNCTION("""COMPUTED_VALUE"""),-0.845698721064871)</f>
        <v>-0.84569872106487098</v>
      </c>
      <c r="NG73" s="3">
        <f ca="1">IFERROR(__xludf.DUMMYFUNCTION("""COMPUTED_VALUE"""),-0.818314071442049)</f>
        <v>-0.81831407144204904</v>
      </c>
      <c r="NH73" s="3">
        <f ca="1">IFERROR(__xludf.DUMMYFUNCTION("""COMPUTED_VALUE"""),-0.787490200342827)</f>
        <v>-0.78749020034282702</v>
      </c>
      <c r="NI73" s="3">
        <f ca="1">IFERROR(__xludf.DUMMYFUNCTION("""COMPUTED_VALUE"""),-0.764798204527975)</f>
        <v>-0.76479820452797498</v>
      </c>
      <c r="NJ73" s="3">
        <f ca="1">IFERROR(__xludf.DUMMYFUNCTION("""COMPUTED_VALUE"""),-0.757909212492684)</f>
        <v>-0.75790921249268395</v>
      </c>
      <c r="NK73" s="3">
        <f ca="1">IFERROR(__xludf.DUMMYFUNCTION("""COMPUTED_VALUE"""),-0.784024232665063)</f>
        <v>-0.78402423266506305</v>
      </c>
      <c r="NL73" s="3">
        <f ca="1">IFERROR(__xludf.DUMMYFUNCTION("""COMPUTED_VALUE"""),-0.795785547566658)</f>
        <v>-0.79578554756665798</v>
      </c>
      <c r="NM73" s="3">
        <f ca="1">IFERROR(__xludf.DUMMYFUNCTION("""COMPUTED_VALUE"""),-0.785090661532979)</f>
        <v>-0.78509066153297902</v>
      </c>
      <c r="NN73" s="3">
        <f ca="1">IFERROR(__xludf.DUMMYFUNCTION("""COMPUTED_VALUE"""),-0.752399657902933)</f>
        <v>-0.75239965790293295</v>
      </c>
      <c r="NO73" s="3">
        <f ca="1">IFERROR(__xludf.DUMMYFUNCTION("""COMPUTED_VALUE"""),-0.75947862807694)</f>
        <v>-0.75947862807694</v>
      </c>
      <c r="NP73" s="3">
        <f ca="1">IFERROR(__xludf.DUMMYFUNCTION("""COMPUTED_VALUE"""),-0.762022497974429)</f>
        <v>-0.762022497974429</v>
      </c>
      <c r="NQ73" s="3">
        <f ca="1">IFERROR(__xludf.DUMMYFUNCTION("""COMPUTED_VALUE"""),-0.770018210482035)</f>
        <v>-0.770018210482035</v>
      </c>
      <c r="NR73" s="3">
        <f ca="1">IFERROR(__xludf.DUMMYFUNCTION("""COMPUTED_VALUE"""),-0.780309230501322)</f>
        <v>-0.78030923050132195</v>
      </c>
      <c r="NS73" s="3">
        <f ca="1">IFERROR(__xludf.DUMMYFUNCTION("""COMPUTED_VALUE"""),-0.797785661832698)</f>
        <v>-0.79778566183269795</v>
      </c>
      <c r="NT73" s="3">
        <f ca="1">IFERROR(__xludf.DUMMYFUNCTION("""COMPUTED_VALUE"""),-0.761822316122097)</f>
        <v>-0.76182231612209705</v>
      </c>
      <c r="NU73" s="3">
        <f ca="1">IFERROR(__xludf.DUMMYFUNCTION("""COMPUTED_VALUE"""),-0.73130042815526)</f>
        <v>-0.73130042815525997</v>
      </c>
      <c r="NV73" s="3">
        <f ca="1">IFERROR(__xludf.DUMMYFUNCTION("""COMPUTED_VALUE"""),-0.676325956067544)</f>
        <v>-0.67632595606754398</v>
      </c>
      <c r="NW73" s="3">
        <f ca="1">IFERROR(__xludf.DUMMYFUNCTION("""COMPUTED_VALUE"""),-0.677259275961326)</f>
        <v>-0.67725927596132596</v>
      </c>
      <c r="NX73" s="3">
        <f ca="1">IFERROR(__xludf.DUMMYFUNCTION("""COMPUTED_VALUE"""),-0.691826627338826)</f>
        <v>-0.69182662733882605</v>
      </c>
      <c r="NY73" s="3">
        <f ca="1">IFERROR(__xludf.DUMMYFUNCTION("""COMPUTED_VALUE"""),-0.704114899242757)</f>
        <v>-0.70411489924275705</v>
      </c>
      <c r="NZ73" s="3">
        <f ca="1">IFERROR(__xludf.DUMMYFUNCTION("""COMPUTED_VALUE"""),-0.674908606822175)</f>
        <v>-0.67490860682217502</v>
      </c>
      <c r="OA73" s="3">
        <f ca="1">IFERROR(__xludf.DUMMYFUNCTION("""COMPUTED_VALUE"""),-0.55998936779328)</f>
        <v>-0.55998936779328001</v>
      </c>
      <c r="OB73" s="3">
        <f ca="1">IFERROR(__xludf.DUMMYFUNCTION("""COMPUTED_VALUE"""),-0.453849621450322)</f>
        <v>-0.45384962145032198</v>
      </c>
      <c r="OC73" s="3">
        <f ca="1">IFERROR(__xludf.DUMMYFUNCTION("""COMPUTED_VALUE"""),-0.283246615343408)</f>
        <v>-0.283246615343408</v>
      </c>
      <c r="OD73" s="3">
        <f ca="1">IFERROR(__xludf.DUMMYFUNCTION("""COMPUTED_VALUE"""),-0.329271229287009)</f>
        <v>-0.32927122928700903</v>
      </c>
      <c r="OE73" s="3">
        <f ca="1">IFERROR(__xludf.DUMMYFUNCTION("""COMPUTED_VALUE"""),-0.248048075030689)</f>
        <v>-0.24804807503068901</v>
      </c>
      <c r="OF73" s="3">
        <f ca="1">IFERROR(__xludf.DUMMYFUNCTION("""COMPUTED_VALUE"""),-0.266059261616597)</f>
        <v>-0.26605926161659699</v>
      </c>
      <c r="OG73" s="3">
        <f ca="1">IFERROR(__xludf.DUMMYFUNCTION("""COMPUTED_VALUE"""),-0.0972891181449964)</f>
        <v>-9.7289118144996398E-2</v>
      </c>
      <c r="OH73" s="3">
        <f ca="1">IFERROR(__xludf.DUMMYFUNCTION("""COMPUTED_VALUE"""),-0.225817625167128)</f>
        <v>-0.225817625167128</v>
      </c>
      <c r="OI73" s="3">
        <f ca="1">IFERROR(__xludf.DUMMYFUNCTION("""COMPUTED_VALUE"""),-0.0157595617101227)</f>
        <v>-1.5759561710122699E-2</v>
      </c>
      <c r="OJ73" s="3">
        <f ca="1">IFERROR(__xludf.DUMMYFUNCTION("""COMPUTED_VALUE"""),-0.0219959074295488)</f>
        <v>-2.1995907429548801E-2</v>
      </c>
      <c r="OK73" s="3">
        <f ca="1">IFERROR(__xludf.DUMMYFUNCTION("""COMPUTED_VALUE"""),0.0090273904011644)</f>
        <v>9.0273904011644E-3</v>
      </c>
      <c r="OL73" s="3">
        <f ca="1">IFERROR(__xludf.DUMMYFUNCTION("""COMPUTED_VALUE"""),-0.0220831256911976)</f>
        <v>-2.2083125691197601E-2</v>
      </c>
      <c r="OM73" s="3">
        <f ca="1">IFERROR(__xludf.DUMMYFUNCTION("""COMPUTED_VALUE"""),-0.0595691666780481)</f>
        <v>-5.9569166678048097E-2</v>
      </c>
      <c r="ON73" s="3">
        <f ca="1">IFERROR(__xludf.DUMMYFUNCTION("""COMPUTED_VALUE"""),-0.0290491917360442)</f>
        <v>-2.90491917360442E-2</v>
      </c>
      <c r="OO73" s="3">
        <f ca="1">IFERROR(__xludf.DUMMYFUNCTION("""COMPUTED_VALUE"""),0.00406988950099806)</f>
        <v>4.06988950099806E-3</v>
      </c>
      <c r="OP73" s="3">
        <f ca="1">IFERROR(__xludf.DUMMYFUNCTION("""COMPUTED_VALUE"""),-0.0127808628030369)</f>
        <v>-1.27808628030369E-2</v>
      </c>
      <c r="OQ73" s="3">
        <f ca="1">IFERROR(__xludf.DUMMYFUNCTION("""COMPUTED_VALUE"""),-0.0419413351283137)</f>
        <v>-4.1941335128313703E-2</v>
      </c>
      <c r="OR73" s="3">
        <f ca="1">IFERROR(__xludf.DUMMYFUNCTION("""COMPUTED_VALUE"""),0.0523779579970493)</f>
        <v>5.23779579970493E-2</v>
      </c>
      <c r="OS73" s="3">
        <f ca="1">IFERROR(__xludf.DUMMYFUNCTION("""COMPUTED_VALUE"""),-0.035364558646223)</f>
        <v>-3.5364558646223003E-2</v>
      </c>
      <c r="OT73" s="3">
        <f ca="1">IFERROR(__xludf.DUMMYFUNCTION("""COMPUTED_VALUE"""),-0.0280488334799799)</f>
        <v>-2.8048833479979898E-2</v>
      </c>
      <c r="OU73" s="3">
        <f ca="1">IFERROR(__xludf.DUMMYFUNCTION("""COMPUTED_VALUE"""),0.0384423881157485)</f>
        <v>3.8442388115748502E-2</v>
      </c>
      <c r="OV73" s="3">
        <f ca="1">IFERROR(__xludf.DUMMYFUNCTION("""COMPUTED_VALUE"""),0.0366819736964445)</f>
        <v>3.6681973696444499E-2</v>
      </c>
      <c r="OW73" s="3">
        <f ca="1">IFERROR(__xludf.DUMMYFUNCTION("""COMPUTED_VALUE"""),0.0122707229890621)</f>
        <v>1.2270722989062101E-2</v>
      </c>
      <c r="OX73" s="3">
        <f ca="1">IFERROR(__xludf.DUMMYFUNCTION("""COMPUTED_VALUE"""),0.0167350397636574)</f>
        <v>1.6735039763657401E-2</v>
      </c>
      <c r="OY73" s="3">
        <f ca="1">IFERROR(__xludf.DUMMYFUNCTION("""COMPUTED_VALUE"""),-0.0594501534012973)</f>
        <v>-5.94501534012973E-2</v>
      </c>
      <c r="OZ73" s="3">
        <f ca="1">IFERROR(__xludf.DUMMYFUNCTION("""COMPUTED_VALUE"""),0.0672285428074563)</f>
        <v>6.7228542807456299E-2</v>
      </c>
      <c r="PA73" s="3">
        <f ca="1">IFERROR(__xludf.DUMMYFUNCTION("""COMPUTED_VALUE"""),0.0947465933929421)</f>
        <v>9.4746593392942099E-2</v>
      </c>
      <c r="PB73" s="3">
        <f ca="1">IFERROR(__xludf.DUMMYFUNCTION("""COMPUTED_VALUE"""),-0.00468437684011702)</f>
        <v>-4.6843768401170199E-3</v>
      </c>
      <c r="PC73" s="3">
        <f ca="1">IFERROR(__xludf.DUMMYFUNCTION("""COMPUTED_VALUE"""),-0.0213027176807959)</f>
        <v>-2.1302717680795901E-2</v>
      </c>
      <c r="PD73" s="3">
        <f ca="1">IFERROR(__xludf.DUMMYFUNCTION("""COMPUTED_VALUE"""),-0.117189921614255)</f>
        <v>-0.117189921614255</v>
      </c>
      <c r="PE73" s="3">
        <f ca="1">IFERROR(__xludf.DUMMYFUNCTION("""COMPUTED_VALUE"""),0.197503451342453)</f>
        <v>0.19750345134245301</v>
      </c>
      <c r="PF73" s="3">
        <f ca="1">IFERROR(__xludf.DUMMYFUNCTION("""COMPUTED_VALUE"""),0.0573328879470611)</f>
        <v>5.7332887947061102E-2</v>
      </c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</row>
    <row r="74" spans="1:594" ht="13">
      <c r="A74" s="1" t="str">
        <f ca="1">IFERROR(__xludf.DUMMYFUNCTION("""COMPUTED_VALUE"""),"San Francisco Bay Area")</f>
        <v>San Francisco Bay Area</v>
      </c>
      <c r="B74" s="3">
        <f ca="1">IFERROR(__xludf.DUMMYFUNCTION("""COMPUTED_VALUE"""),-0.664273239765928)</f>
        <v>-0.664273239765928</v>
      </c>
      <c r="C74" s="3">
        <f ca="1">IFERROR(__xludf.DUMMYFUNCTION("""COMPUTED_VALUE"""),-0.749813095327939)</f>
        <v>-0.74981309532793905</v>
      </c>
      <c r="D74" s="3">
        <f ca="1">IFERROR(__xludf.DUMMYFUNCTION("""COMPUTED_VALUE"""),-0.771020960996643)</f>
        <v>-0.77102096099664297</v>
      </c>
      <c r="E74" s="3">
        <f ca="1">IFERROR(__xludf.DUMMYFUNCTION("""COMPUTED_VALUE"""),-0.77196117715662)</f>
        <v>-0.77196117715662005</v>
      </c>
      <c r="F74" s="3">
        <f ca="1">IFERROR(__xludf.DUMMYFUNCTION("""COMPUTED_VALUE"""),-0.761287703620886)</f>
        <v>-0.76128770362088605</v>
      </c>
      <c r="G74" s="3">
        <f ca="1">IFERROR(__xludf.DUMMYFUNCTION("""COMPUTED_VALUE"""),-0.753701986320402)</f>
        <v>-0.75370198632040197</v>
      </c>
      <c r="H74" s="3">
        <f ca="1">IFERROR(__xludf.DUMMYFUNCTION("""COMPUTED_VALUE"""),-0.680066559017407)</f>
        <v>-0.68006655901740698</v>
      </c>
      <c r="I74" s="3">
        <f ca="1">IFERROR(__xludf.DUMMYFUNCTION("""COMPUTED_VALUE"""),-0.672595084504519)</f>
        <v>-0.67259508450451899</v>
      </c>
      <c r="J74" s="3">
        <f ca="1">IFERROR(__xludf.DUMMYFUNCTION("""COMPUTED_VALUE"""),-0.720117310799158)</f>
        <v>-0.72011731079915797</v>
      </c>
      <c r="K74" s="3">
        <f ca="1">IFERROR(__xludf.DUMMYFUNCTION("""COMPUTED_VALUE"""),-0.748949300150601)</f>
        <v>-0.74894930015060102</v>
      </c>
      <c r="L74" s="3">
        <f ca="1">IFERROR(__xludf.DUMMYFUNCTION("""COMPUTED_VALUE"""),-0.760477963329871)</f>
        <v>-0.76047796332987105</v>
      </c>
      <c r="M74" s="3">
        <f ca="1">IFERROR(__xludf.DUMMYFUNCTION("""COMPUTED_VALUE"""),-0.768541988085887)</f>
        <v>-0.76854198808588703</v>
      </c>
      <c r="N74" s="3">
        <f ca="1">IFERROR(__xludf.DUMMYFUNCTION("""COMPUTED_VALUE"""),-0.753691673368363)</f>
        <v>-0.75369167336836296</v>
      </c>
      <c r="O74" s="3">
        <f ca="1">IFERROR(__xludf.DUMMYFUNCTION("""COMPUTED_VALUE"""),-0.630643300753743)</f>
        <v>-0.63064330075374297</v>
      </c>
      <c r="P74" s="3">
        <f ca="1">IFERROR(__xludf.DUMMYFUNCTION("""COMPUTED_VALUE"""),-0.648465820992712)</f>
        <v>-0.64846582099271199</v>
      </c>
      <c r="Q74" s="3">
        <f ca="1">IFERROR(__xludf.DUMMYFUNCTION("""COMPUTED_VALUE"""),-0.750822911581217)</f>
        <v>-0.75082291158121695</v>
      </c>
      <c r="R74" s="3">
        <f ca="1">IFERROR(__xludf.DUMMYFUNCTION("""COMPUTED_VALUE"""),-0.76953820919158)</f>
        <v>-0.76953820919158</v>
      </c>
      <c r="S74" s="3">
        <f ca="1">IFERROR(__xludf.DUMMYFUNCTION("""COMPUTED_VALUE"""),-0.779087035447628)</f>
        <v>-0.77908703544762803</v>
      </c>
      <c r="T74" s="3">
        <f ca="1">IFERROR(__xludf.DUMMYFUNCTION("""COMPUTED_VALUE"""),-0.78780982258574)</f>
        <v>-0.78780982258573995</v>
      </c>
      <c r="U74" s="3">
        <f ca="1">IFERROR(__xludf.DUMMYFUNCTION("""COMPUTED_VALUE"""),-0.772134223698273)</f>
        <v>-0.772134223698273</v>
      </c>
      <c r="V74" s="3">
        <f ca="1">IFERROR(__xludf.DUMMYFUNCTION("""COMPUTED_VALUE"""),-0.665365534281582)</f>
        <v>-0.66536553428158196</v>
      </c>
      <c r="W74" s="3">
        <f ca="1">IFERROR(__xludf.DUMMYFUNCTION("""COMPUTED_VALUE"""),-0.679299949027892)</f>
        <v>-0.67929994902789204</v>
      </c>
      <c r="X74" s="3">
        <f ca="1">IFERROR(__xludf.DUMMYFUNCTION("""COMPUTED_VALUE"""),-0.772398157184934)</f>
        <v>-0.77239815718493399</v>
      </c>
      <c r="Y74" s="3">
        <f ca="1">IFERROR(__xludf.DUMMYFUNCTION("""COMPUTED_VALUE"""),-0.827947184632422)</f>
        <v>-0.82794718463242201</v>
      </c>
      <c r="Z74" s="3">
        <f ca="1">IFERROR(__xludf.DUMMYFUNCTION("""COMPUTED_VALUE"""),-0.805466528394682)</f>
        <v>-0.80546652839468202</v>
      </c>
      <c r="AA74" s="3">
        <f ca="1">IFERROR(__xludf.DUMMYFUNCTION("""COMPUTED_VALUE"""),-0.810778227550919)</f>
        <v>-0.810778227550919</v>
      </c>
      <c r="AB74" s="3">
        <f ca="1">IFERROR(__xludf.DUMMYFUNCTION("""COMPUTED_VALUE"""),-0.808273470593422)</f>
        <v>-0.80827347059342203</v>
      </c>
      <c r="AC74" s="3">
        <f ca="1">IFERROR(__xludf.DUMMYFUNCTION("""COMPUTED_VALUE"""),-0.724102656001085)</f>
        <v>-0.72410265600108503</v>
      </c>
      <c r="AD74" s="3">
        <f ca="1">IFERROR(__xludf.DUMMYFUNCTION("""COMPUTED_VALUE"""),-0.710926022409682)</f>
        <v>-0.71092602240968195</v>
      </c>
      <c r="AE74" s="3">
        <f ca="1">IFERROR(__xludf.DUMMYFUNCTION("""COMPUTED_VALUE"""),-0.789499436262445)</f>
        <v>-0.78949943626244501</v>
      </c>
      <c r="AF74" s="3">
        <f ca="1">IFERROR(__xludf.DUMMYFUNCTION("""COMPUTED_VALUE"""),-0.821119090801786)</f>
        <v>-0.82111909080178602</v>
      </c>
      <c r="AG74" s="3">
        <f ca="1">IFERROR(__xludf.DUMMYFUNCTION("""COMPUTED_VALUE"""),-0.832490587195981)</f>
        <v>-0.83249058719598101</v>
      </c>
      <c r="AH74" s="3">
        <f ca="1">IFERROR(__xludf.DUMMYFUNCTION("""COMPUTED_VALUE"""),-0.826718278155446)</f>
        <v>-0.82671827815544596</v>
      </c>
      <c r="AI74" s="3">
        <f ca="1">IFERROR(__xludf.DUMMYFUNCTION("""COMPUTED_VALUE"""),-0.819563480029553)</f>
        <v>-0.81956348002955304</v>
      </c>
      <c r="AJ74" s="3">
        <f ca="1">IFERROR(__xludf.DUMMYFUNCTION("""COMPUTED_VALUE"""),-0.705452506251403)</f>
        <v>-0.70545250625140299</v>
      </c>
      <c r="AK74" s="3">
        <f ca="1">IFERROR(__xludf.DUMMYFUNCTION("""COMPUTED_VALUE"""),-0.715594899846771)</f>
        <v>-0.71559489984677105</v>
      </c>
      <c r="AL74" s="3">
        <f ca="1">IFERROR(__xludf.DUMMYFUNCTION("""COMPUTED_VALUE"""),-0.797513416404628)</f>
        <v>-0.79751341640462803</v>
      </c>
      <c r="AM74" s="3">
        <f ca="1">IFERROR(__xludf.DUMMYFUNCTION("""COMPUTED_VALUE"""),-0.822669516841712)</f>
        <v>-0.82266951684171197</v>
      </c>
      <c r="AN74" s="3">
        <f ca="1">IFERROR(__xludf.DUMMYFUNCTION("""COMPUTED_VALUE"""),-0.819344045958906)</f>
        <v>-0.81934404595890598</v>
      </c>
      <c r="AO74" s="3">
        <f ca="1">IFERROR(__xludf.DUMMYFUNCTION("""COMPUTED_VALUE"""),-0.825937098961468)</f>
        <v>-0.82593709896146805</v>
      </c>
      <c r="AP74" s="3">
        <f ca="1">IFERROR(__xludf.DUMMYFUNCTION("""COMPUTED_VALUE"""),-0.813266725833304)</f>
        <v>-0.81326672583330395</v>
      </c>
      <c r="AQ74" s="3">
        <f ca="1">IFERROR(__xludf.DUMMYFUNCTION("""COMPUTED_VALUE"""),-0.708604235092097)</f>
        <v>-0.70860423509209702</v>
      </c>
      <c r="AR74" s="3">
        <f ca="1">IFERROR(__xludf.DUMMYFUNCTION("""COMPUTED_VALUE"""),-0.711294789030069)</f>
        <v>-0.71129478903006904</v>
      </c>
      <c r="AS74" s="3">
        <f ca="1">IFERROR(__xludf.DUMMYFUNCTION("""COMPUTED_VALUE"""),-0.801114387131746)</f>
        <v>-0.80111438713174599</v>
      </c>
      <c r="AT74" s="3">
        <f ca="1">IFERROR(__xludf.DUMMYFUNCTION("""COMPUTED_VALUE"""),-0.827209870698109)</f>
        <v>-0.82720987069810903</v>
      </c>
      <c r="AU74" s="3">
        <f ca="1">IFERROR(__xludf.DUMMYFUNCTION("""COMPUTED_VALUE"""),-0.821273198626019)</f>
        <v>-0.821273198626019</v>
      </c>
      <c r="AV74" s="3">
        <f ca="1">IFERROR(__xludf.DUMMYFUNCTION("""COMPUTED_VALUE"""),-0.822038883873621)</f>
        <v>-0.82203888387362101</v>
      </c>
      <c r="AW74" s="3">
        <f ca="1">IFERROR(__xludf.DUMMYFUNCTION("""COMPUTED_VALUE"""),-0.799600881552377)</f>
        <v>-0.79960088155237696</v>
      </c>
      <c r="AX74" s="3">
        <f ca="1">IFERROR(__xludf.DUMMYFUNCTION("""COMPUTED_VALUE"""),-0.700598164999728)</f>
        <v>-0.70059816499972805</v>
      </c>
      <c r="AY74" s="3">
        <f ca="1">IFERROR(__xludf.DUMMYFUNCTION("""COMPUTED_VALUE"""),-0.719172656666231)</f>
        <v>-0.71917265666623098</v>
      </c>
      <c r="AZ74" s="3">
        <f ca="1">IFERROR(__xludf.DUMMYFUNCTION("""COMPUTED_VALUE"""),-0.802129093637466)</f>
        <v>-0.80212909363746598</v>
      </c>
      <c r="BA74" s="3">
        <f ca="1">IFERROR(__xludf.DUMMYFUNCTION("""COMPUTED_VALUE"""),-0.829175280236517)</f>
        <v>-0.82917528023651699</v>
      </c>
      <c r="BB74" s="3">
        <f ca="1">IFERROR(__xludf.DUMMYFUNCTION("""COMPUTED_VALUE"""),-0.825308971633752)</f>
        <v>-0.82530897163375205</v>
      </c>
      <c r="BC74" s="3">
        <f ca="1">IFERROR(__xludf.DUMMYFUNCTION("""COMPUTED_VALUE"""),-0.829930293316303)</f>
        <v>-0.82993029331630297</v>
      </c>
      <c r="BD74" s="3">
        <f ca="1">IFERROR(__xludf.DUMMYFUNCTION("""COMPUTED_VALUE"""),-0.808264855245144)</f>
        <v>-0.80826485524514402</v>
      </c>
      <c r="BE74" s="3">
        <f ca="1">IFERROR(__xludf.DUMMYFUNCTION("""COMPUTED_VALUE"""),-0.715067649807174)</f>
        <v>-0.71506764980717397</v>
      </c>
      <c r="BF74" s="3">
        <f ca="1">IFERROR(__xludf.DUMMYFUNCTION("""COMPUTED_VALUE"""),-0.723393236311943)</f>
        <v>-0.72339323631194297</v>
      </c>
      <c r="BG74" s="3">
        <f ca="1">IFERROR(__xludf.DUMMYFUNCTION("""COMPUTED_VALUE"""),-0.81166050571789)</f>
        <v>-0.81166050571788995</v>
      </c>
      <c r="BH74" s="3">
        <f ca="1">IFERROR(__xludf.DUMMYFUNCTION("""COMPUTED_VALUE"""),-0.840444143384226)</f>
        <v>-0.84044414338422602</v>
      </c>
      <c r="BI74" s="3">
        <f ca="1">IFERROR(__xludf.DUMMYFUNCTION("""COMPUTED_VALUE"""),-0.835000929047745)</f>
        <v>-0.83500092904774503</v>
      </c>
      <c r="BJ74" s="3">
        <f ca="1">IFERROR(__xludf.DUMMYFUNCTION("""COMPUTED_VALUE"""),-0.839778791170138)</f>
        <v>-0.83977879117013798</v>
      </c>
      <c r="BK74" s="3">
        <f ca="1">IFERROR(__xludf.DUMMYFUNCTION("""COMPUTED_VALUE"""),-0.816037314092148)</f>
        <v>-0.81603731409214797</v>
      </c>
      <c r="BL74" s="3">
        <f ca="1">IFERROR(__xludf.DUMMYFUNCTION("""COMPUTED_VALUE"""),-0.736076866695434)</f>
        <v>-0.73607686669543404</v>
      </c>
      <c r="BM74" s="3">
        <f ca="1">IFERROR(__xludf.DUMMYFUNCTION("""COMPUTED_VALUE"""),-0.730744241045105)</f>
        <v>-0.73074424104510505</v>
      </c>
      <c r="BN74" s="3">
        <f ca="1">IFERROR(__xludf.DUMMYFUNCTION("""COMPUTED_VALUE"""),-0.815792190447655)</f>
        <v>-0.81579219044765505</v>
      </c>
      <c r="BO74" s="3">
        <f ca="1">IFERROR(__xludf.DUMMYFUNCTION("""COMPUTED_VALUE"""),-0.836761658046445)</f>
        <v>-0.83676165804644498</v>
      </c>
      <c r="BP74" s="3">
        <f ca="1">IFERROR(__xludf.DUMMYFUNCTION("""COMPUTED_VALUE"""),-0.839389541582601)</f>
        <v>-0.83938954158260104</v>
      </c>
      <c r="BQ74" s="3">
        <f ca="1">IFERROR(__xludf.DUMMYFUNCTION("""COMPUTED_VALUE"""),-0.844108903125844)</f>
        <v>-0.84410890312584397</v>
      </c>
      <c r="BR74" s="3">
        <f ca="1">IFERROR(__xludf.DUMMYFUNCTION("""COMPUTED_VALUE"""),-0.834582239053682)</f>
        <v>-0.83458223905368201</v>
      </c>
      <c r="BS74" s="3">
        <f ca="1">IFERROR(__xludf.DUMMYFUNCTION("""COMPUTED_VALUE"""),-0.765172017492133)</f>
        <v>-0.76517201749213304</v>
      </c>
      <c r="BT74" s="3">
        <f ca="1">IFERROR(__xludf.DUMMYFUNCTION("""COMPUTED_VALUE"""),-0.76377297714047)</f>
        <v>-0.76377297714046999</v>
      </c>
      <c r="BU74" s="3">
        <f ca="1">IFERROR(__xludf.DUMMYFUNCTION("""COMPUTED_VALUE"""),-0.826908741748346)</f>
        <v>-0.82690874174834605</v>
      </c>
      <c r="BV74" s="3">
        <f ca="1">IFERROR(__xludf.DUMMYFUNCTION("""COMPUTED_VALUE"""),-0.864892760807471)</f>
        <v>-0.86489276080747102</v>
      </c>
      <c r="BW74" s="3">
        <f ca="1">IFERROR(__xludf.DUMMYFUNCTION("""COMPUTED_VALUE"""),-0.866651908771348)</f>
        <v>-0.86665190877134801</v>
      </c>
      <c r="BX74" s="3">
        <f ca="1">IFERROR(__xludf.DUMMYFUNCTION("""COMPUTED_VALUE"""),-0.856291836928491)</f>
        <v>-0.85629183692849098</v>
      </c>
      <c r="BY74" s="3">
        <f ca="1">IFERROR(__xludf.DUMMYFUNCTION("""COMPUTED_VALUE"""),-0.818475499815943)</f>
        <v>-0.81847549981594303</v>
      </c>
      <c r="BZ74" s="3">
        <f ca="1">IFERROR(__xludf.DUMMYFUNCTION("""COMPUTED_VALUE"""),-0.790856042261085)</f>
        <v>-0.79085604226108497</v>
      </c>
      <c r="CA74" s="3">
        <f ca="1">IFERROR(__xludf.DUMMYFUNCTION("""COMPUTED_VALUE"""),-0.751080550989481)</f>
        <v>-0.75108055098948101</v>
      </c>
      <c r="CB74" s="3">
        <f ca="1">IFERROR(__xludf.DUMMYFUNCTION("""COMPUTED_VALUE"""),-0.840605633792274)</f>
        <v>-0.84060563379227404</v>
      </c>
      <c r="CC74" s="3">
        <f ca="1">IFERROR(__xludf.DUMMYFUNCTION("""COMPUTED_VALUE"""),-0.846874895866712)</f>
        <v>-0.84687489586671205</v>
      </c>
      <c r="CD74" s="3">
        <f ca="1">IFERROR(__xludf.DUMMYFUNCTION("""COMPUTED_VALUE"""),-0.852644032920065)</f>
        <v>-0.85264403292006496</v>
      </c>
      <c r="CE74" s="3">
        <f ca="1">IFERROR(__xludf.DUMMYFUNCTION("""COMPUTED_VALUE"""),-0.849136261749741)</f>
        <v>-0.84913626174974099</v>
      </c>
      <c r="CF74" s="3">
        <f ca="1">IFERROR(__xludf.DUMMYFUNCTION("""COMPUTED_VALUE"""),-0.806364596678385)</f>
        <v>-0.806364596678385</v>
      </c>
      <c r="CG74" s="3">
        <f ca="1">IFERROR(__xludf.DUMMYFUNCTION("""COMPUTED_VALUE"""),-0.736831650002626)</f>
        <v>-0.73683165000262596</v>
      </c>
      <c r="CH74" s="3">
        <f ca="1">IFERROR(__xludf.DUMMYFUNCTION("""COMPUTED_VALUE"""),-0.738371865054434)</f>
        <v>-0.73837186505443397</v>
      </c>
      <c r="CI74" s="3">
        <f ca="1">IFERROR(__xludf.DUMMYFUNCTION("""COMPUTED_VALUE"""),-0.829127867993552)</f>
        <v>-0.82912786799355198</v>
      </c>
      <c r="CJ74" s="3">
        <f ca="1">IFERROR(__xludf.DUMMYFUNCTION("""COMPUTED_VALUE"""),-0.835751116947845)</f>
        <v>-0.83575111694784499</v>
      </c>
      <c r="CK74" s="3">
        <f ca="1">IFERROR(__xludf.DUMMYFUNCTION("""COMPUTED_VALUE"""),-0.846718591871108)</f>
        <v>-0.84671859187110798</v>
      </c>
      <c r="CL74" s="3">
        <f ca="1">IFERROR(__xludf.DUMMYFUNCTION("""COMPUTED_VALUE"""),-0.849576961619606)</f>
        <v>-0.84957696161960605</v>
      </c>
      <c r="CM74" s="3">
        <f ca="1">IFERROR(__xludf.DUMMYFUNCTION("""COMPUTED_VALUE"""),-0.815683697419361)</f>
        <v>-0.81568369741936098</v>
      </c>
      <c r="CN74" s="3">
        <f ca="1">IFERROR(__xludf.DUMMYFUNCTION("""COMPUTED_VALUE"""),-0.749863782791875)</f>
        <v>-0.74986378279187504</v>
      </c>
      <c r="CO74" s="3">
        <f ca="1">IFERROR(__xludf.DUMMYFUNCTION("""COMPUTED_VALUE"""),-0.747345132281355)</f>
        <v>-0.74734513228135502</v>
      </c>
      <c r="CP74" s="3">
        <f ca="1">IFERROR(__xludf.DUMMYFUNCTION("""COMPUTED_VALUE"""),-0.817220922008787)</f>
        <v>-0.81722092200878704</v>
      </c>
      <c r="CQ74" s="3">
        <f ca="1">IFERROR(__xludf.DUMMYFUNCTION("""COMPUTED_VALUE"""),-0.821667469062656)</f>
        <v>-0.82166746906265598</v>
      </c>
      <c r="CR74" s="3">
        <f ca="1">IFERROR(__xludf.DUMMYFUNCTION("""COMPUTED_VALUE"""),-0.82011713535712)</f>
        <v>-0.82011713535712005</v>
      </c>
      <c r="CS74" s="3">
        <f ca="1">IFERROR(__xludf.DUMMYFUNCTION("""COMPUTED_VALUE"""),-0.809621912822243)</f>
        <v>-0.80962191282224305</v>
      </c>
      <c r="CT74" s="3">
        <f ca="1">IFERROR(__xludf.DUMMYFUNCTION("""COMPUTED_VALUE"""),-0.821691486525356)</f>
        <v>-0.82169148652535595</v>
      </c>
      <c r="CU74" s="3">
        <f ca="1">IFERROR(__xludf.DUMMYFUNCTION("""COMPUTED_VALUE"""),-0.727143672592149)</f>
        <v>-0.72714367259214896</v>
      </c>
      <c r="CV74" s="3">
        <f ca="1">IFERROR(__xludf.DUMMYFUNCTION("""COMPUTED_VALUE"""),-0.777587128944247)</f>
        <v>-0.77758712894424697</v>
      </c>
      <c r="CW74" s="3">
        <f ca="1">IFERROR(__xludf.DUMMYFUNCTION("""COMPUTED_VALUE"""),-0.839242081446112)</f>
        <v>-0.83924208144611201</v>
      </c>
      <c r="CX74" s="3">
        <f ca="1">IFERROR(__xludf.DUMMYFUNCTION("""COMPUTED_VALUE"""),-0.783230738852685)</f>
        <v>-0.78323073885268502</v>
      </c>
      <c r="CY74" s="3">
        <f ca="1">IFERROR(__xludf.DUMMYFUNCTION("""COMPUTED_VALUE"""),-0.721333861180664)</f>
        <v>-0.721333861180664</v>
      </c>
      <c r="CZ74" s="3">
        <f ca="1">IFERROR(__xludf.DUMMYFUNCTION("""COMPUTED_VALUE"""),-0.76914256998007)</f>
        <v>-0.76914256998007002</v>
      </c>
      <c r="DA74" s="3">
        <f ca="1">IFERROR(__xludf.DUMMYFUNCTION("""COMPUTED_VALUE"""),-0.795523769664236)</f>
        <v>-0.79552376966423599</v>
      </c>
      <c r="DB74" s="3">
        <f ca="1">IFERROR(__xludf.DUMMYFUNCTION("""COMPUTED_VALUE"""),-0.732954363279505)</f>
        <v>-0.73295436327950503</v>
      </c>
      <c r="DC74" s="3">
        <f ca="1">IFERROR(__xludf.DUMMYFUNCTION("""COMPUTED_VALUE"""),-0.782386425988915)</f>
        <v>-0.78238642598891495</v>
      </c>
      <c r="DD74" s="3">
        <f ca="1">IFERROR(__xludf.DUMMYFUNCTION("""COMPUTED_VALUE"""),-0.908781931580489)</f>
        <v>-0.90878193158048903</v>
      </c>
      <c r="DE74" s="3">
        <f ca="1">IFERROR(__xludf.DUMMYFUNCTION("""COMPUTED_VALUE"""),-0.815063906564066)</f>
        <v>-0.81506390656406602</v>
      </c>
      <c r="DF74" s="3">
        <f ca="1">IFERROR(__xludf.DUMMYFUNCTION("""COMPUTED_VALUE"""),-0.710364039547222)</f>
        <v>-0.71036403954722205</v>
      </c>
      <c r="DG74" s="3">
        <f ca="1">IFERROR(__xludf.DUMMYFUNCTION("""COMPUTED_VALUE"""),-0.766190611403887)</f>
        <v>-0.766190611403887</v>
      </c>
      <c r="DH74" s="3">
        <f ca="1">IFERROR(__xludf.DUMMYFUNCTION("""COMPUTED_VALUE"""),-0.78257140186351)</f>
        <v>-0.78257140186351004</v>
      </c>
      <c r="DI74" s="3">
        <f ca="1">IFERROR(__xludf.DUMMYFUNCTION("""COMPUTED_VALUE"""),-0.749342384947573)</f>
        <v>-0.74934238494757299</v>
      </c>
      <c r="DJ74" s="3">
        <f ca="1">IFERROR(__xludf.DUMMYFUNCTION("""COMPUTED_VALUE"""),-0.756495036459157)</f>
        <v>-0.75649503645915706</v>
      </c>
      <c r="DK74" s="3">
        <f ca="1">IFERROR(__xludf.DUMMYFUNCTION("""COMPUTED_VALUE"""),-0.80350713454123)</f>
        <v>-0.80350713454123002</v>
      </c>
      <c r="DL74" s="3">
        <f ca="1">IFERROR(__xludf.DUMMYFUNCTION("""COMPUTED_VALUE"""),-0.809966954496208)</f>
        <v>-0.80996695449620804</v>
      </c>
      <c r="DM74" s="3">
        <f ca="1">IFERROR(__xludf.DUMMYFUNCTION("""COMPUTED_VALUE"""),-0.79853444956749)</f>
        <v>-0.79853444956748998</v>
      </c>
      <c r="DN74" s="3">
        <f ca="1">IFERROR(__xludf.DUMMYFUNCTION("""COMPUTED_VALUE"""),-0.812090311986525)</f>
        <v>-0.81209031198652504</v>
      </c>
      <c r="DO74" s="3">
        <f ca="1">IFERROR(__xludf.DUMMYFUNCTION("""COMPUTED_VALUE"""),-0.817429006549201)</f>
        <v>-0.81742900654920103</v>
      </c>
      <c r="DP74" s="3">
        <f ca="1">IFERROR(__xludf.DUMMYFUNCTION("""COMPUTED_VALUE"""),-0.804018340383272)</f>
        <v>-0.80401834038327202</v>
      </c>
      <c r="DQ74" s="3">
        <f ca="1">IFERROR(__xludf.DUMMYFUNCTION("""COMPUTED_VALUE"""),-0.796232753517576)</f>
        <v>-0.79623275351757605</v>
      </c>
      <c r="DR74" s="3">
        <f ca="1">IFERROR(__xludf.DUMMYFUNCTION("""COMPUTED_VALUE"""),-0.852397187037487)</f>
        <v>-0.85239718703748701</v>
      </c>
      <c r="DS74" s="3">
        <f ca="1">IFERROR(__xludf.DUMMYFUNCTION("""COMPUTED_VALUE"""),-0.854495635305885)</f>
        <v>-0.85449563530588502</v>
      </c>
      <c r="DT74" s="3">
        <f ca="1">IFERROR(__xludf.DUMMYFUNCTION("""COMPUTED_VALUE"""),-0.863370742220065)</f>
        <v>-0.86337074222006505</v>
      </c>
      <c r="DU74" s="3">
        <f ca="1">IFERROR(__xludf.DUMMYFUNCTION("""COMPUTED_VALUE"""),-0.856413994975737)</f>
        <v>-0.856413994975737</v>
      </c>
      <c r="DV74" s="3">
        <f ca="1">IFERROR(__xludf.DUMMYFUNCTION("""COMPUTED_VALUE"""),-0.842420901455136)</f>
        <v>-0.84242090145513604</v>
      </c>
      <c r="DW74" s="3">
        <f ca="1">IFERROR(__xludf.DUMMYFUNCTION("""COMPUTED_VALUE"""),-0.746320467871049)</f>
        <v>-0.746320467871049</v>
      </c>
      <c r="DX74" s="3">
        <f ca="1">IFERROR(__xludf.DUMMYFUNCTION("""COMPUTED_VALUE"""),-0.739403548342904)</f>
        <v>-0.739403548342904</v>
      </c>
      <c r="DY74" s="3">
        <f ca="1">IFERROR(__xludf.DUMMYFUNCTION("""COMPUTED_VALUE"""),-0.798861081871044)</f>
        <v>-0.79886108187104399</v>
      </c>
      <c r="DZ74" s="3">
        <f ca="1">IFERROR(__xludf.DUMMYFUNCTION("""COMPUTED_VALUE"""),-0.809096370482334)</f>
        <v>-0.80909637048233396</v>
      </c>
      <c r="EA74" s="3">
        <f ca="1">IFERROR(__xludf.DUMMYFUNCTION("""COMPUTED_VALUE"""),-0.840230085376562)</f>
        <v>-0.84023008537656196</v>
      </c>
      <c r="EB74" s="3">
        <f ca="1">IFERROR(__xludf.DUMMYFUNCTION("""COMPUTED_VALUE"""),-0.8460455241285)</f>
        <v>-0.84604552412849998</v>
      </c>
      <c r="EC74" s="3">
        <f ca="1">IFERROR(__xludf.DUMMYFUNCTION("""COMPUTED_VALUE"""),-0.828474078226763)</f>
        <v>-0.828474078226763</v>
      </c>
      <c r="ED74" s="3">
        <f ca="1">IFERROR(__xludf.DUMMYFUNCTION("""COMPUTED_VALUE"""),-0.746493533549733)</f>
        <v>-0.74649353354973302</v>
      </c>
      <c r="EE74" s="3">
        <f ca="1">IFERROR(__xludf.DUMMYFUNCTION("""COMPUTED_VALUE"""),-0.751834280182354)</f>
        <v>-0.75183428018235399</v>
      </c>
      <c r="EF74" s="3">
        <f ca="1">IFERROR(__xludf.DUMMYFUNCTION("""COMPUTED_VALUE"""),-0.831015897045866)</f>
        <v>-0.83101589704586598</v>
      </c>
      <c r="EG74" s="3">
        <f ca="1">IFERROR(__xludf.DUMMYFUNCTION("""COMPUTED_VALUE"""),-0.88393809629795)</f>
        <v>-0.88393809629794995</v>
      </c>
      <c r="EH74" s="3">
        <f ca="1">IFERROR(__xludf.DUMMYFUNCTION("""COMPUTED_VALUE"""),-0.8167575882883)</f>
        <v>-0.81675758828830003</v>
      </c>
      <c r="EI74" s="3">
        <f ca="1">IFERROR(__xludf.DUMMYFUNCTION("""COMPUTED_VALUE"""),-0.832275570987598)</f>
        <v>-0.83227557098759797</v>
      </c>
      <c r="EJ74" s="3">
        <f ca="1">IFERROR(__xludf.DUMMYFUNCTION("""COMPUTED_VALUE"""),-0.824436292093104)</f>
        <v>-0.82443629209310398</v>
      </c>
      <c r="EK74" s="3">
        <f ca="1">IFERROR(__xludf.DUMMYFUNCTION("""COMPUTED_VALUE"""),-0.725576005647057)</f>
        <v>-0.72557600564705704</v>
      </c>
      <c r="EL74" s="3">
        <f ca="1">IFERROR(__xludf.DUMMYFUNCTION("""COMPUTED_VALUE"""),-0.717686061240164)</f>
        <v>-0.71768606124016399</v>
      </c>
      <c r="EM74" s="3">
        <f ca="1">IFERROR(__xludf.DUMMYFUNCTION("""COMPUTED_VALUE"""),-0.782807760641426)</f>
        <v>-0.78280776064142599</v>
      </c>
      <c r="EN74" s="3">
        <f ca="1">IFERROR(__xludf.DUMMYFUNCTION("""COMPUTED_VALUE"""),-0.801799217519577)</f>
        <v>-0.80179921751957695</v>
      </c>
      <c r="EO74" s="3">
        <f ca="1">IFERROR(__xludf.DUMMYFUNCTION("""COMPUTED_VALUE"""),-0.837007677718068)</f>
        <v>-0.83700767771806805</v>
      </c>
      <c r="EP74" s="3">
        <f ca="1">IFERROR(__xludf.DUMMYFUNCTION("""COMPUTED_VALUE"""),-0.850511476790328)</f>
        <v>-0.85051147679032801</v>
      </c>
      <c r="EQ74" s="3">
        <f ca="1">IFERROR(__xludf.DUMMYFUNCTION("""COMPUTED_VALUE"""),-0.816622394429748)</f>
        <v>-0.81662239442974804</v>
      </c>
      <c r="ER74" s="3">
        <f ca="1">IFERROR(__xludf.DUMMYFUNCTION("""COMPUTED_VALUE"""),-0.741453417769522)</f>
        <v>-0.74145341776952201</v>
      </c>
      <c r="ES74" s="3">
        <f ca="1">IFERROR(__xludf.DUMMYFUNCTION("""COMPUTED_VALUE"""),-0.750825024024766)</f>
        <v>-0.75082502402476603</v>
      </c>
      <c r="ET74" s="3">
        <f ca="1">IFERROR(__xludf.DUMMYFUNCTION("""COMPUTED_VALUE"""),-0.8368657453695)</f>
        <v>-0.83686574536949998</v>
      </c>
      <c r="EU74" s="3">
        <f ca="1">IFERROR(__xludf.DUMMYFUNCTION("""COMPUTED_VALUE"""),-0.842539258435322)</f>
        <v>-0.84253925843532196</v>
      </c>
      <c r="EV74" s="3">
        <f ca="1">IFERROR(__xludf.DUMMYFUNCTION("""COMPUTED_VALUE"""),-0.841930794654763)</f>
        <v>-0.84193079465476295</v>
      </c>
      <c r="EW74" s="3">
        <f ca="1">IFERROR(__xludf.DUMMYFUNCTION("""COMPUTED_VALUE"""),-0.845156332986928)</f>
        <v>-0.84515633298692805</v>
      </c>
      <c r="EX74" s="3">
        <f ca="1">IFERROR(__xludf.DUMMYFUNCTION("""COMPUTED_VALUE"""),-0.826652990274666)</f>
        <v>-0.82665299027466599</v>
      </c>
      <c r="EY74" s="3">
        <f ca="1">IFERROR(__xludf.DUMMYFUNCTION("""COMPUTED_VALUE"""),-0.756154322183581)</f>
        <v>-0.75615432218358103</v>
      </c>
      <c r="EZ74" s="3">
        <f ca="1">IFERROR(__xludf.DUMMYFUNCTION("""COMPUTED_VALUE"""),-0.75527131116701)</f>
        <v>-0.75527131116700996</v>
      </c>
      <c r="FA74" s="3">
        <f ca="1">IFERROR(__xludf.DUMMYFUNCTION("""COMPUTED_VALUE"""),-0.834370140197311)</f>
        <v>-0.83437014019731104</v>
      </c>
      <c r="FB74" s="3">
        <f ca="1">IFERROR(__xludf.DUMMYFUNCTION("""COMPUTED_VALUE"""),-0.847603465725435)</f>
        <v>-0.84760346572543499</v>
      </c>
      <c r="FC74" s="3">
        <f ca="1">IFERROR(__xludf.DUMMYFUNCTION("""COMPUTED_VALUE"""),-0.849708448065499)</f>
        <v>-0.84970844806549894</v>
      </c>
      <c r="FD74" s="3">
        <f ca="1">IFERROR(__xludf.DUMMYFUNCTION("""COMPUTED_VALUE"""),-0.839924473177194)</f>
        <v>-0.83992447317719399</v>
      </c>
      <c r="FE74" s="3">
        <f ca="1">IFERROR(__xludf.DUMMYFUNCTION("""COMPUTED_VALUE"""),-0.807273197215799)</f>
        <v>-0.80727319721579904</v>
      </c>
      <c r="FF74" s="3">
        <f ca="1">IFERROR(__xludf.DUMMYFUNCTION("""COMPUTED_VALUE"""),-0.717570101576505)</f>
        <v>-0.71757010157650503</v>
      </c>
      <c r="FG74" s="3">
        <f ca="1">IFERROR(__xludf.DUMMYFUNCTION("""COMPUTED_VALUE"""),-0.741040489621941)</f>
        <v>-0.74104048962194102</v>
      </c>
      <c r="FH74" s="3">
        <f ca="1">IFERROR(__xludf.DUMMYFUNCTION("""COMPUTED_VALUE"""),-0.82945113327446)</f>
        <v>-0.82945113327445996</v>
      </c>
      <c r="FI74" s="3">
        <f ca="1">IFERROR(__xludf.DUMMYFUNCTION("""COMPUTED_VALUE"""),-0.845129363135566)</f>
        <v>-0.84512936313556597</v>
      </c>
      <c r="FJ74" s="3">
        <f ca="1">IFERROR(__xludf.DUMMYFUNCTION("""COMPUTED_VALUE"""),-0.844259351572823)</f>
        <v>-0.84425935157282295</v>
      </c>
      <c r="FK74" s="3">
        <f ca="1">IFERROR(__xludf.DUMMYFUNCTION("""COMPUTED_VALUE"""),-0.8446303741637)</f>
        <v>-0.84463037416370002</v>
      </c>
      <c r="FL74" s="3">
        <f ca="1">IFERROR(__xludf.DUMMYFUNCTION("""COMPUTED_VALUE"""),-0.832652854577415)</f>
        <v>-0.832652854577415</v>
      </c>
      <c r="FM74" s="3">
        <f ca="1">IFERROR(__xludf.DUMMYFUNCTION("""COMPUTED_VALUE"""),-0.745163121181387)</f>
        <v>-0.74516312118138694</v>
      </c>
      <c r="FN74" s="3">
        <f ca="1">IFERROR(__xludf.DUMMYFUNCTION("""COMPUTED_VALUE"""),-0.760937748043275)</f>
        <v>-0.76093774804327496</v>
      </c>
      <c r="FO74" s="3">
        <f ca="1">IFERROR(__xludf.DUMMYFUNCTION("""COMPUTED_VALUE"""),-0.830146602040222)</f>
        <v>-0.83014660204022195</v>
      </c>
      <c r="FP74" s="3">
        <f ca="1">IFERROR(__xludf.DUMMYFUNCTION("""COMPUTED_VALUE"""),-0.852044852076144)</f>
        <v>-0.852044852076144</v>
      </c>
      <c r="FQ74" s="3">
        <f ca="1">IFERROR(__xludf.DUMMYFUNCTION("""COMPUTED_VALUE"""),-0.84190761176775)</f>
        <v>-0.84190761176774997</v>
      </c>
      <c r="FR74" s="3">
        <f ca="1">IFERROR(__xludf.DUMMYFUNCTION("""COMPUTED_VALUE"""),-0.840406511309625)</f>
        <v>-0.84040651130962496</v>
      </c>
      <c r="FS74" s="3">
        <f ca="1">IFERROR(__xludf.DUMMYFUNCTION("""COMPUTED_VALUE"""),-0.820336012196041)</f>
        <v>-0.82033601219604102</v>
      </c>
      <c r="FT74" s="3">
        <f ca="1">IFERROR(__xludf.DUMMYFUNCTION("""COMPUTED_VALUE"""),-0.725319148036944)</f>
        <v>-0.72531914803694397</v>
      </c>
      <c r="FU74" s="3">
        <f ca="1">IFERROR(__xludf.DUMMYFUNCTION("""COMPUTED_VALUE"""),-0.741567579556871)</f>
        <v>-0.74156757955687103</v>
      </c>
      <c r="FV74" s="3">
        <f ca="1">IFERROR(__xludf.DUMMYFUNCTION("""COMPUTED_VALUE"""),-0.823069137940015)</f>
        <v>-0.82306913794001502</v>
      </c>
      <c r="FW74" s="3">
        <f ca="1">IFERROR(__xludf.DUMMYFUNCTION("""COMPUTED_VALUE"""),-0.841078433870861)</f>
        <v>-0.84107843387086101</v>
      </c>
      <c r="FX74" s="3">
        <f ca="1">IFERROR(__xludf.DUMMYFUNCTION("""COMPUTED_VALUE"""),-0.836449347131614)</f>
        <v>-0.83644934713161401</v>
      </c>
      <c r="FY74" s="3">
        <f ca="1">IFERROR(__xludf.DUMMYFUNCTION("""COMPUTED_VALUE"""),-0.842990595709012)</f>
        <v>-0.84299059570901202</v>
      </c>
      <c r="FZ74" s="3">
        <f ca="1">IFERROR(__xludf.DUMMYFUNCTION("""COMPUTED_VALUE"""),-0.822745459313566)</f>
        <v>-0.82274545931356602</v>
      </c>
      <c r="GA74" s="3">
        <f ca="1">IFERROR(__xludf.DUMMYFUNCTION("""COMPUTED_VALUE"""),-0.747755382695146)</f>
        <v>-0.74775538269514596</v>
      </c>
      <c r="GB74" s="3">
        <f ca="1">IFERROR(__xludf.DUMMYFUNCTION("""COMPUTED_VALUE"""),-0.774491827259687)</f>
        <v>-0.77449182725968702</v>
      </c>
      <c r="GC74" s="3">
        <f ca="1">IFERROR(__xludf.DUMMYFUNCTION("""COMPUTED_VALUE"""),-0.83455308516328)</f>
        <v>-0.83455308516327997</v>
      </c>
      <c r="GD74" s="3">
        <f ca="1">IFERROR(__xludf.DUMMYFUNCTION("""COMPUTED_VALUE"""),-0.854339646336002)</f>
        <v>-0.85433964633600201</v>
      </c>
      <c r="GE74" s="3">
        <f ca="1">IFERROR(__xludf.DUMMYFUNCTION("""COMPUTED_VALUE"""),-0.847891810636369)</f>
        <v>-0.84789181063636898</v>
      </c>
      <c r="GF74" s="3">
        <f ca="1">IFERROR(__xludf.DUMMYFUNCTION("""COMPUTED_VALUE"""),-0.848051974539737)</f>
        <v>-0.84805197453973702</v>
      </c>
      <c r="GG74" s="3">
        <f ca="1">IFERROR(__xludf.DUMMYFUNCTION("""COMPUTED_VALUE"""),-0.834292955739447)</f>
        <v>-0.83429295573944695</v>
      </c>
      <c r="GH74" s="3">
        <f ca="1">IFERROR(__xludf.DUMMYFUNCTION("""COMPUTED_VALUE"""),-0.766326485914264)</f>
        <v>-0.766326485914264</v>
      </c>
      <c r="GI74" s="3">
        <f ca="1">IFERROR(__xludf.DUMMYFUNCTION("""COMPUTED_VALUE"""),-0.769073556941916)</f>
        <v>-0.76907355694191604</v>
      </c>
      <c r="GJ74" s="3">
        <f ca="1">IFERROR(__xludf.DUMMYFUNCTION("""COMPUTED_VALUE"""),-0.834324182935837)</f>
        <v>-0.83432418293583699</v>
      </c>
      <c r="GK74" s="3">
        <f ca="1">IFERROR(__xludf.DUMMYFUNCTION("""COMPUTED_VALUE"""),-0.85185795614248)</f>
        <v>-0.85185795614248006</v>
      </c>
      <c r="GL74" s="3">
        <f ca="1">IFERROR(__xludf.DUMMYFUNCTION("""COMPUTED_VALUE"""),-0.853117590994051)</f>
        <v>-0.85311759099405104</v>
      </c>
      <c r="GM74" s="3">
        <f ca="1">IFERROR(__xludf.DUMMYFUNCTION("""COMPUTED_VALUE"""),-0.856447986414178)</f>
        <v>-0.85644798641417796</v>
      </c>
      <c r="GN74" s="3">
        <f ca="1">IFERROR(__xludf.DUMMYFUNCTION("""COMPUTED_VALUE"""),-0.84190810024451)</f>
        <v>-0.84190810024451002</v>
      </c>
      <c r="GO74" s="3">
        <f ca="1">IFERROR(__xludf.DUMMYFUNCTION("""COMPUTED_VALUE"""),-0.758932897954206)</f>
        <v>-0.75893289795420604</v>
      </c>
      <c r="GP74" s="3">
        <f ca="1">IFERROR(__xludf.DUMMYFUNCTION("""COMPUTED_VALUE"""),-0.76933838997795)</f>
        <v>-0.76933838997795001</v>
      </c>
      <c r="GQ74" s="3">
        <f ca="1">IFERROR(__xludf.DUMMYFUNCTION("""COMPUTED_VALUE"""),-0.838890487164878)</f>
        <v>-0.83889048716487802</v>
      </c>
      <c r="GR74" s="3">
        <f ca="1">IFERROR(__xludf.DUMMYFUNCTION("""COMPUTED_VALUE"""),-0.856952916286694)</f>
        <v>-0.85695291628669401</v>
      </c>
      <c r="GS74" s="3">
        <f ca="1">IFERROR(__xludf.DUMMYFUNCTION("""COMPUTED_VALUE"""),-0.853121447704948)</f>
        <v>-0.85312144770494802</v>
      </c>
      <c r="GT74" s="3">
        <f ca="1">IFERROR(__xludf.DUMMYFUNCTION("""COMPUTED_VALUE"""),-0.856676992012101)</f>
        <v>-0.85667699201210101</v>
      </c>
      <c r="GU74" s="3">
        <f ca="1">IFERROR(__xludf.DUMMYFUNCTION("""COMPUTED_VALUE"""),-0.839655376952403)</f>
        <v>-0.839655376952403</v>
      </c>
      <c r="GV74" s="3">
        <f ca="1">IFERROR(__xludf.DUMMYFUNCTION("""COMPUTED_VALUE"""),-0.758381989486038)</f>
        <v>-0.75838198948603797</v>
      </c>
      <c r="GW74" s="3">
        <f ca="1">IFERROR(__xludf.DUMMYFUNCTION("""COMPUTED_VALUE"""),-0.76026378199657)</f>
        <v>-0.76026378199656997</v>
      </c>
      <c r="GX74" s="3">
        <f ca="1">IFERROR(__xludf.DUMMYFUNCTION("""COMPUTED_VALUE"""),-0.843111645668753)</f>
        <v>-0.84311164566875296</v>
      </c>
      <c r="GY74" s="3">
        <f ca="1">IFERROR(__xludf.DUMMYFUNCTION("""COMPUTED_VALUE"""),-0.858669258378139)</f>
        <v>-0.85866925837813901</v>
      </c>
      <c r="GZ74" s="3">
        <f ca="1">IFERROR(__xludf.DUMMYFUNCTION("""COMPUTED_VALUE"""),-0.853408035806286)</f>
        <v>-0.85340803580628599</v>
      </c>
      <c r="HA74" s="3">
        <f ca="1">IFERROR(__xludf.DUMMYFUNCTION("""COMPUTED_VALUE"""),-0.855160994307093)</f>
        <v>-0.85516099430709303</v>
      </c>
      <c r="HB74" s="3">
        <f ca="1">IFERROR(__xludf.DUMMYFUNCTION("""COMPUTED_VALUE"""),-0.851757295526457)</f>
        <v>-0.85175729552645696</v>
      </c>
      <c r="HC74" s="3">
        <f ca="1">IFERROR(__xludf.DUMMYFUNCTION("""COMPUTED_VALUE"""),-0.774703543731141)</f>
        <v>-0.77470354373114103</v>
      </c>
      <c r="HD74" s="3">
        <f ca="1">IFERROR(__xludf.DUMMYFUNCTION("""COMPUTED_VALUE"""),-0.794586370241299)</f>
        <v>-0.79458637024129897</v>
      </c>
      <c r="HE74" s="3">
        <f ca="1">IFERROR(__xludf.DUMMYFUNCTION("""COMPUTED_VALUE"""),-0.85846748228333)</f>
        <v>-0.85846748228333003</v>
      </c>
      <c r="HF74" s="3">
        <f ca="1">IFERROR(__xludf.DUMMYFUNCTION("""COMPUTED_VALUE"""),-0.866036863471561)</f>
        <v>-0.86603686347156095</v>
      </c>
      <c r="HG74" s="3">
        <f ca="1">IFERROR(__xludf.DUMMYFUNCTION("""COMPUTED_VALUE"""),-0.863082861836511)</f>
        <v>-0.86308286183651095</v>
      </c>
      <c r="HH74" s="3">
        <f ca="1">IFERROR(__xludf.DUMMYFUNCTION("""COMPUTED_VALUE"""),-0.851548951456424)</f>
        <v>-0.85154895145642395</v>
      </c>
      <c r="HI74" s="3">
        <f ca="1">IFERROR(__xludf.DUMMYFUNCTION("""COMPUTED_VALUE"""),-0.828224878412509)</f>
        <v>-0.82822487841250902</v>
      </c>
      <c r="HJ74" s="3">
        <f ca="1">IFERROR(__xludf.DUMMYFUNCTION("""COMPUTED_VALUE"""),-0.752914171802824)</f>
        <v>-0.75291417180282405</v>
      </c>
      <c r="HK74" s="3">
        <f ca="1">IFERROR(__xludf.DUMMYFUNCTION("""COMPUTED_VALUE"""),-0.747002631061703)</f>
        <v>-0.74700263106170295</v>
      </c>
      <c r="HL74" s="3">
        <f ca="1">IFERROR(__xludf.DUMMYFUNCTION("""COMPUTED_VALUE"""),-0.835742142990223)</f>
        <v>-0.83574214299022298</v>
      </c>
      <c r="HM74" s="3">
        <f ca="1">IFERROR(__xludf.DUMMYFUNCTION("""COMPUTED_VALUE"""),-0.856595862099285)</f>
        <v>-0.85659586209928495</v>
      </c>
      <c r="HN74" s="3">
        <f ca="1">IFERROR(__xludf.DUMMYFUNCTION("""COMPUTED_VALUE"""),-0.853093468163062)</f>
        <v>-0.85309346816306197</v>
      </c>
      <c r="HO74" s="3">
        <f ca="1">IFERROR(__xludf.DUMMYFUNCTION("""COMPUTED_VALUE"""),-0.859851167580573)</f>
        <v>-0.85985116758057301</v>
      </c>
      <c r="HP74" s="3">
        <f ca="1">IFERROR(__xludf.DUMMYFUNCTION("""COMPUTED_VALUE"""),-0.828395944865406)</f>
        <v>-0.82839594486540602</v>
      </c>
      <c r="HQ74" s="3">
        <f ca="1">IFERROR(__xludf.DUMMYFUNCTION("""COMPUTED_VALUE"""),-0.783347908421573)</f>
        <v>-0.78334790842157298</v>
      </c>
      <c r="HR74" s="3">
        <f ca="1">IFERROR(__xludf.DUMMYFUNCTION("""COMPUTED_VALUE"""),-0.762750302957127)</f>
        <v>-0.76275030295712698</v>
      </c>
      <c r="HS74" s="3">
        <f ca="1">IFERROR(__xludf.DUMMYFUNCTION("""COMPUTED_VALUE"""),-0.827856678350998)</f>
        <v>-0.82785667835099797</v>
      </c>
      <c r="HT74" s="3">
        <f ca="1">IFERROR(__xludf.DUMMYFUNCTION("""COMPUTED_VALUE"""),-0.843157716082432)</f>
        <v>-0.84315771608243195</v>
      </c>
      <c r="HU74" s="3">
        <f ca="1">IFERROR(__xludf.DUMMYFUNCTION("""COMPUTED_VALUE"""),-0.852473554502528)</f>
        <v>-0.85247355450252804</v>
      </c>
      <c r="HV74" s="3">
        <f ca="1">IFERROR(__xludf.DUMMYFUNCTION("""COMPUTED_VALUE"""),-0.840871543214767)</f>
        <v>-0.84087154321476698</v>
      </c>
      <c r="HW74" s="3">
        <f ca="1">IFERROR(__xludf.DUMMYFUNCTION("""COMPUTED_VALUE"""),-0.814253539555406)</f>
        <v>-0.81425353955540603</v>
      </c>
      <c r="HX74" s="3">
        <f ca="1">IFERROR(__xludf.DUMMYFUNCTION("""COMPUTED_VALUE"""),-0.766454274394967)</f>
        <v>-0.76645427439496705</v>
      </c>
      <c r="HY74" s="3">
        <f ca="1">IFERROR(__xludf.DUMMYFUNCTION("""COMPUTED_VALUE"""),-0.754103832258054)</f>
        <v>-0.754103832258054</v>
      </c>
      <c r="HZ74" s="3">
        <f ca="1">IFERROR(__xludf.DUMMYFUNCTION("""COMPUTED_VALUE"""),-0.824773487380634)</f>
        <v>-0.82477348738063405</v>
      </c>
      <c r="IA74" s="3">
        <f ca="1">IFERROR(__xludf.DUMMYFUNCTION("""COMPUTED_VALUE"""),-0.838599729111647)</f>
        <v>-0.83859972911164704</v>
      </c>
      <c r="IB74" s="3">
        <f ca="1">IFERROR(__xludf.DUMMYFUNCTION("""COMPUTED_VALUE"""),-0.844108609912332)</f>
        <v>-0.84410860991233205</v>
      </c>
      <c r="IC74" s="3">
        <f ca="1">IFERROR(__xludf.DUMMYFUNCTION("""COMPUTED_VALUE"""),-0.838389196699437)</f>
        <v>-0.83838919669943701</v>
      </c>
      <c r="ID74" s="3">
        <f ca="1">IFERROR(__xludf.DUMMYFUNCTION("""COMPUTED_VALUE"""),-0.832933208737828)</f>
        <v>-0.83293320873782795</v>
      </c>
      <c r="IE74" s="3">
        <f ca="1">IFERROR(__xludf.DUMMYFUNCTION("""COMPUTED_VALUE"""),-0.77394299182386)</f>
        <v>-0.77394299182385995</v>
      </c>
      <c r="IF74" s="3">
        <f ca="1">IFERROR(__xludf.DUMMYFUNCTION("""COMPUTED_VALUE"""),-0.746942437857317)</f>
        <v>-0.74694243785731695</v>
      </c>
      <c r="IG74" s="3">
        <f ca="1">IFERROR(__xludf.DUMMYFUNCTION("""COMPUTED_VALUE"""),-0.810922222798885)</f>
        <v>-0.81092222279888504</v>
      </c>
      <c r="IH74" s="3">
        <f ca="1">IFERROR(__xludf.DUMMYFUNCTION("""COMPUTED_VALUE"""),-0.8229886363447)</f>
        <v>-0.82298863634469999</v>
      </c>
      <c r="II74" s="3">
        <f ca="1">IFERROR(__xludf.DUMMYFUNCTION("""COMPUTED_VALUE"""),-0.821739755993815)</f>
        <v>-0.82173975599381499</v>
      </c>
      <c r="IJ74" s="3">
        <f ca="1">IFERROR(__xludf.DUMMYFUNCTION("""COMPUTED_VALUE"""),-0.821706616315855)</f>
        <v>-0.82170661631585495</v>
      </c>
      <c r="IK74" s="3">
        <f ca="1">IFERROR(__xludf.DUMMYFUNCTION("""COMPUTED_VALUE"""),-0.804868789329707)</f>
        <v>-0.80486878932970696</v>
      </c>
      <c r="IL74" s="3">
        <f ca="1">IFERROR(__xludf.DUMMYFUNCTION("""COMPUTED_VALUE"""),-0.762354947812371)</f>
        <v>-0.76235494781237101</v>
      </c>
      <c r="IM74" s="3">
        <f ca="1">IFERROR(__xludf.DUMMYFUNCTION("""COMPUTED_VALUE"""),-0.760125338904147)</f>
        <v>-0.76012533890414702</v>
      </c>
      <c r="IN74" s="3">
        <f ca="1">IFERROR(__xludf.DUMMYFUNCTION("""COMPUTED_VALUE"""),-0.805348239885087)</f>
        <v>-0.80534823988508697</v>
      </c>
      <c r="IO74" s="3">
        <f ca="1">IFERROR(__xludf.DUMMYFUNCTION("""COMPUTED_VALUE"""),-0.828715865390671)</f>
        <v>-0.82871586539067099</v>
      </c>
      <c r="IP74" s="3">
        <f ca="1">IFERROR(__xludf.DUMMYFUNCTION("""COMPUTED_VALUE"""),-0.829739810112173)</f>
        <v>-0.82973981011217302</v>
      </c>
      <c r="IQ74" s="3">
        <f ca="1">IFERROR(__xludf.DUMMYFUNCTION("""COMPUTED_VALUE"""),-0.826377325256805)</f>
        <v>-0.82637732525680496</v>
      </c>
      <c r="IR74" s="3">
        <f ca="1">IFERROR(__xludf.DUMMYFUNCTION("""COMPUTED_VALUE"""),-0.811339815724166)</f>
        <v>-0.81133981572416602</v>
      </c>
      <c r="IS74" s="3">
        <f ca="1">IFERROR(__xludf.DUMMYFUNCTION("""COMPUTED_VALUE"""),-0.778837192927536)</f>
        <v>-0.77883719292753595</v>
      </c>
      <c r="IT74" s="3">
        <f ca="1">IFERROR(__xludf.DUMMYFUNCTION("""COMPUTED_VALUE"""),-0.776309890157145)</f>
        <v>-0.77630989015714502</v>
      </c>
      <c r="IU74" s="3">
        <f ca="1">IFERROR(__xludf.DUMMYFUNCTION("""COMPUTED_VALUE"""),-0.806683350464198)</f>
        <v>-0.80668335046419803</v>
      </c>
      <c r="IV74" s="3">
        <f ca="1">IFERROR(__xludf.DUMMYFUNCTION("""COMPUTED_VALUE"""),-0.825608959574992)</f>
        <v>-0.82560895957499203</v>
      </c>
      <c r="IW74" s="3">
        <f ca="1">IFERROR(__xludf.DUMMYFUNCTION("""COMPUTED_VALUE"""),-0.827791975621166)</f>
        <v>-0.82779197562116602</v>
      </c>
      <c r="IX74" s="3">
        <f ca="1">IFERROR(__xludf.DUMMYFUNCTION("""COMPUTED_VALUE"""),-0.818250046058389)</f>
        <v>-0.81825004605838902</v>
      </c>
      <c r="IY74" s="3">
        <f ca="1">IFERROR(__xludf.DUMMYFUNCTION("""COMPUTED_VALUE"""),-0.818283352128491)</f>
        <v>-0.81828335212849101</v>
      </c>
      <c r="IZ74" s="3">
        <f ca="1">IFERROR(__xludf.DUMMYFUNCTION("""COMPUTED_VALUE"""),-0.784491926264451)</f>
        <v>-0.78449192626445097</v>
      </c>
      <c r="JA74" s="3">
        <f ca="1">IFERROR(__xludf.DUMMYFUNCTION("""COMPUTED_VALUE"""),-0.779936862898899)</f>
        <v>-0.77993686289889896</v>
      </c>
      <c r="JB74" s="3">
        <f ca="1">IFERROR(__xludf.DUMMYFUNCTION("""COMPUTED_VALUE"""),-0.818574514317589)</f>
        <v>-0.81857451431758899</v>
      </c>
      <c r="JC74" s="3">
        <f ca="1">IFERROR(__xludf.DUMMYFUNCTION("""COMPUTED_VALUE"""),-0.829430660164227)</f>
        <v>-0.82943066016422695</v>
      </c>
      <c r="JD74" s="3">
        <f ca="1">IFERROR(__xludf.DUMMYFUNCTION("""COMPUTED_VALUE"""),-0.828275406014697)</f>
        <v>-0.82827540601469696</v>
      </c>
      <c r="JE74" s="3">
        <f ca="1">IFERROR(__xludf.DUMMYFUNCTION("""COMPUTED_VALUE"""),-0.827571050912056)</f>
        <v>-0.82757105091205596</v>
      </c>
      <c r="JF74" s="3">
        <f ca="1">IFERROR(__xludf.DUMMYFUNCTION("""COMPUTED_VALUE"""),-0.826525088170898)</f>
        <v>-0.82652508817089798</v>
      </c>
      <c r="JG74" s="3">
        <f ca="1">IFERROR(__xludf.DUMMYFUNCTION("""COMPUTED_VALUE"""),-0.79119525504984)</f>
        <v>-0.79119525504984001</v>
      </c>
      <c r="JH74" s="3">
        <f ca="1">IFERROR(__xludf.DUMMYFUNCTION("""COMPUTED_VALUE"""),-0.78596658811485)</f>
        <v>-0.78596658811484998</v>
      </c>
      <c r="JI74" s="3">
        <f ca="1">IFERROR(__xludf.DUMMYFUNCTION("""COMPUTED_VALUE"""),-0.809266322716305)</f>
        <v>-0.80926632271630505</v>
      </c>
      <c r="JJ74" s="3">
        <f ca="1">IFERROR(__xludf.DUMMYFUNCTION("""COMPUTED_VALUE"""),-0.829485447522211)</f>
        <v>-0.82948544752221098</v>
      </c>
      <c r="JK74" s="3">
        <f ca="1">IFERROR(__xludf.DUMMYFUNCTION("""COMPUTED_VALUE"""),-0.823658465684228)</f>
        <v>-0.82365846568422796</v>
      </c>
      <c r="JL74" s="3">
        <f ca="1">IFERROR(__xludf.DUMMYFUNCTION("""COMPUTED_VALUE"""),-0.824112228169619)</f>
        <v>-0.82411222816961904</v>
      </c>
      <c r="JM74" s="3">
        <f ca="1">IFERROR(__xludf.DUMMYFUNCTION("""COMPUTED_VALUE"""),-0.799499527124791)</f>
        <v>-0.799499527124791</v>
      </c>
      <c r="JN74" s="3">
        <f ca="1">IFERROR(__xludf.DUMMYFUNCTION("""COMPUTED_VALUE"""),-0.755318206129259)</f>
        <v>-0.75531820612925904</v>
      </c>
      <c r="JO74" s="3">
        <f ca="1">IFERROR(__xludf.DUMMYFUNCTION("""COMPUTED_VALUE"""),-0.764259637872812)</f>
        <v>-0.76425963787281204</v>
      </c>
      <c r="JP74" s="3">
        <f ca="1">IFERROR(__xludf.DUMMYFUNCTION("""COMPUTED_VALUE"""),-0.794360890314212)</f>
        <v>-0.79436089031421198</v>
      </c>
      <c r="JQ74" s="3">
        <f ca="1">IFERROR(__xludf.DUMMYFUNCTION("""COMPUTED_VALUE"""),-0.798181754079949)</f>
        <v>-0.79818175407994896</v>
      </c>
      <c r="JR74" s="3">
        <f ca="1">IFERROR(__xludf.DUMMYFUNCTION("""COMPUTED_VALUE"""),-0.798585690120571)</f>
        <v>-0.79858569012057101</v>
      </c>
      <c r="JS74" s="3">
        <f ca="1">IFERROR(__xludf.DUMMYFUNCTION("""COMPUTED_VALUE"""),-0.80157793418931)</f>
        <v>-0.80157793418931</v>
      </c>
      <c r="JT74" s="3">
        <f ca="1">IFERROR(__xludf.DUMMYFUNCTION("""COMPUTED_VALUE"""),-0.817711629788159)</f>
        <v>-0.81771162978815903</v>
      </c>
      <c r="JU74" s="3">
        <f ca="1">IFERROR(__xludf.DUMMYFUNCTION("""COMPUTED_VALUE"""),-0.786243351460949)</f>
        <v>-0.78624335146094904</v>
      </c>
      <c r="JV74" s="3">
        <f ca="1">IFERROR(__xludf.DUMMYFUNCTION("""COMPUTED_VALUE"""),-0.80184592599799)</f>
        <v>-0.80184592599798998</v>
      </c>
      <c r="JW74" s="3">
        <f ca="1">IFERROR(__xludf.DUMMYFUNCTION("""COMPUTED_VALUE"""),-0.810228142420499)</f>
        <v>-0.81022814242049901</v>
      </c>
      <c r="JX74" s="3">
        <f ca="1">IFERROR(__xludf.DUMMYFUNCTION("""COMPUTED_VALUE"""),-0.799696168834273)</f>
        <v>-0.79969616883427297</v>
      </c>
      <c r="JY74" s="3">
        <f ca="1">IFERROR(__xludf.DUMMYFUNCTION("""COMPUTED_VALUE"""),-0.823805198650959)</f>
        <v>-0.82380519865095903</v>
      </c>
      <c r="JZ74" s="3">
        <f ca="1">IFERROR(__xludf.DUMMYFUNCTION("""COMPUTED_VALUE"""),-0.823965564324842)</f>
        <v>-0.82396556432484203</v>
      </c>
      <c r="KA74" s="3">
        <f ca="1">IFERROR(__xludf.DUMMYFUNCTION("""COMPUTED_VALUE"""),-0.815282416996881)</f>
        <v>-0.81528241699688098</v>
      </c>
      <c r="KB74" s="3">
        <f ca="1">IFERROR(__xludf.DUMMYFUNCTION("""COMPUTED_VALUE"""),-0.772665209495798)</f>
        <v>-0.77266520949579798</v>
      </c>
      <c r="KC74" s="3">
        <f ca="1">IFERROR(__xludf.DUMMYFUNCTION("""COMPUTED_VALUE"""),-0.761383644399476)</f>
        <v>-0.76138364439947603</v>
      </c>
      <c r="KD74" s="3">
        <f ca="1">IFERROR(__xludf.DUMMYFUNCTION("""COMPUTED_VALUE"""),-0.792327777366982)</f>
        <v>-0.79232777736698201</v>
      </c>
      <c r="KE74" s="3">
        <f ca="1">IFERROR(__xludf.DUMMYFUNCTION("""COMPUTED_VALUE"""),-0.797553562089789)</f>
        <v>-0.797553562089789</v>
      </c>
      <c r="KF74" s="3">
        <f ca="1">IFERROR(__xludf.DUMMYFUNCTION("""COMPUTED_VALUE"""),-0.830293283422983)</f>
        <v>-0.83029328342298303</v>
      </c>
      <c r="KG74" s="3">
        <f ca="1">IFERROR(__xludf.DUMMYFUNCTION("""COMPUTED_VALUE"""),-0.830472618863468)</f>
        <v>-0.83047261886346802</v>
      </c>
      <c r="KH74" s="3">
        <f ca="1">IFERROR(__xludf.DUMMYFUNCTION("""COMPUTED_VALUE"""),-0.82173692722641)</f>
        <v>-0.82173692722641001</v>
      </c>
      <c r="KI74" s="3">
        <f ca="1">IFERROR(__xludf.DUMMYFUNCTION("""COMPUTED_VALUE"""),-0.792089068821815)</f>
        <v>-0.79208906882181496</v>
      </c>
      <c r="KJ74" s="3">
        <f ca="1">IFERROR(__xludf.DUMMYFUNCTION("""COMPUTED_VALUE"""),-0.767857209178122)</f>
        <v>-0.76785720917812195</v>
      </c>
      <c r="KK74" s="3">
        <f ca="1">IFERROR(__xludf.DUMMYFUNCTION("""COMPUTED_VALUE"""),-0.800655143274742)</f>
        <v>-0.80065514327474196</v>
      </c>
      <c r="KL74" s="3">
        <f ca="1">IFERROR(__xludf.DUMMYFUNCTION("""COMPUTED_VALUE"""),-0.819497003900213)</f>
        <v>-0.81949700390021296</v>
      </c>
      <c r="KM74" s="3">
        <f ca="1">IFERROR(__xludf.DUMMYFUNCTION("""COMPUTED_VALUE"""),-0.817735855918762)</f>
        <v>-0.81773585591876197</v>
      </c>
      <c r="KN74" s="3">
        <f ca="1">IFERROR(__xludf.DUMMYFUNCTION("""COMPUTED_VALUE"""),-0.837307234536503)</f>
        <v>-0.83730723453650302</v>
      </c>
      <c r="KO74" s="3">
        <f ca="1">IFERROR(__xludf.DUMMYFUNCTION("""COMPUTED_VALUE"""),-0.821619980647476)</f>
        <v>-0.82161998064747599</v>
      </c>
      <c r="KP74" s="3">
        <f ca="1">IFERROR(__xludf.DUMMYFUNCTION("""COMPUTED_VALUE"""),-0.770286916572534)</f>
        <v>-0.77028691657253401</v>
      </c>
      <c r="KQ74" s="3">
        <f ca="1">IFERROR(__xludf.DUMMYFUNCTION("""COMPUTED_VALUE"""),-0.777809186796596)</f>
        <v>-0.77780918679659605</v>
      </c>
      <c r="KR74" s="3">
        <f ca="1">IFERROR(__xludf.DUMMYFUNCTION("""COMPUTED_VALUE"""),-0.841807789653387)</f>
        <v>-0.84180778965338698</v>
      </c>
      <c r="KS74" s="3">
        <f ca="1">IFERROR(__xludf.DUMMYFUNCTION("""COMPUTED_VALUE"""),-0.853815883445513)</f>
        <v>-0.85381588344551296</v>
      </c>
      <c r="KT74" s="3">
        <f ca="1">IFERROR(__xludf.DUMMYFUNCTION("""COMPUTED_VALUE"""),-0.846231428869765)</f>
        <v>-0.84623142886976499</v>
      </c>
      <c r="KU74" s="3">
        <f ca="1">IFERROR(__xludf.DUMMYFUNCTION("""COMPUTED_VALUE"""),-0.849814759657359)</f>
        <v>-0.84981475965735898</v>
      </c>
      <c r="KV74" s="3">
        <f ca="1">IFERROR(__xludf.DUMMYFUNCTION("""COMPUTED_VALUE"""),-0.850924717946433)</f>
        <v>-0.85092471794643298</v>
      </c>
      <c r="KW74" s="3">
        <f ca="1">IFERROR(__xludf.DUMMYFUNCTION("""COMPUTED_VALUE"""),-0.80968497579193)</f>
        <v>-0.80968497579193</v>
      </c>
      <c r="KX74" s="3">
        <f ca="1">IFERROR(__xludf.DUMMYFUNCTION("""COMPUTED_VALUE"""),-0.81538150671025)</f>
        <v>-0.81538150671025</v>
      </c>
      <c r="KY74" s="3">
        <f ca="1">IFERROR(__xludf.DUMMYFUNCTION("""COMPUTED_VALUE"""),-0.844019125220973)</f>
        <v>-0.844019125220973</v>
      </c>
      <c r="KZ74" s="3">
        <f ca="1">IFERROR(__xludf.DUMMYFUNCTION("""COMPUTED_VALUE"""),-0.861348327826673)</f>
        <v>-0.86134832782667303</v>
      </c>
      <c r="LA74" s="3">
        <f ca="1">IFERROR(__xludf.DUMMYFUNCTION("""COMPUTED_VALUE"""),-0.85330579188268)</f>
        <v>-0.85330579188267996</v>
      </c>
      <c r="LB74" s="3">
        <f ca="1">IFERROR(__xludf.DUMMYFUNCTION("""COMPUTED_VALUE"""),-0.863974038759819)</f>
        <v>-0.86397403875981904</v>
      </c>
      <c r="LC74" s="3">
        <f ca="1">IFERROR(__xludf.DUMMYFUNCTION("""COMPUTED_VALUE"""),-0.81953648423534)</f>
        <v>-0.81953648423533998</v>
      </c>
      <c r="LD74" s="3">
        <f ca="1">IFERROR(__xludf.DUMMYFUNCTION("""COMPUTED_VALUE"""),-0.799388024152982)</f>
        <v>-0.79938802415298205</v>
      </c>
      <c r="LE74" s="3">
        <f ca="1">IFERROR(__xludf.DUMMYFUNCTION("""COMPUTED_VALUE"""),-0.831053772729218)</f>
        <v>-0.83105377272921799</v>
      </c>
      <c r="LF74" s="3">
        <f ca="1">IFERROR(__xludf.DUMMYFUNCTION("""COMPUTED_VALUE"""),-0.857748783374047)</f>
        <v>-0.85774878337404703</v>
      </c>
      <c r="LG74" s="3">
        <f ca="1">IFERROR(__xludf.DUMMYFUNCTION("""COMPUTED_VALUE"""),-0.870503528065938)</f>
        <v>-0.870503528065938</v>
      </c>
      <c r="LH74" s="3">
        <f ca="1">IFERROR(__xludf.DUMMYFUNCTION("""COMPUTED_VALUE"""),-0.871430321750815)</f>
        <v>-0.87143032175081503</v>
      </c>
      <c r="LI74" s="3">
        <f ca="1">IFERROR(__xludf.DUMMYFUNCTION("""COMPUTED_VALUE"""),-0.865473465912255)</f>
        <v>-0.86547346591225505</v>
      </c>
      <c r="LJ74" s="3">
        <f ca="1">IFERROR(__xludf.DUMMYFUNCTION("""COMPUTED_VALUE"""),-0.861669863132713)</f>
        <v>-0.86166986313271299</v>
      </c>
      <c r="LK74" s="3">
        <f ca="1">IFERROR(__xludf.DUMMYFUNCTION("""COMPUTED_VALUE"""),-0.825985367987289)</f>
        <v>-0.82598536798728905</v>
      </c>
      <c r="LL74" s="3">
        <f ca="1">IFERROR(__xludf.DUMMYFUNCTION("""COMPUTED_VALUE"""),-0.831523529434532)</f>
        <v>-0.831523529434532</v>
      </c>
      <c r="LM74" s="3">
        <f ca="1">IFERROR(__xludf.DUMMYFUNCTION("""COMPUTED_VALUE"""),-0.864423527360879)</f>
        <v>-0.86442352736087902</v>
      </c>
      <c r="LN74" s="3">
        <f ca="1">IFERROR(__xludf.DUMMYFUNCTION("""COMPUTED_VALUE"""),-0.879597906302388)</f>
        <v>-0.87959790630238799</v>
      </c>
      <c r="LO74" s="3">
        <f ca="1">IFERROR(__xludf.DUMMYFUNCTION("""COMPUTED_VALUE"""),-0.888496143253551)</f>
        <v>-0.88849614325355097</v>
      </c>
      <c r="LP74" s="3">
        <f ca="1">IFERROR(__xludf.DUMMYFUNCTION("""COMPUTED_VALUE"""),-0.876274358551627)</f>
        <v>-0.87627435855162705</v>
      </c>
      <c r="LQ74" s="3">
        <f ca="1">IFERROR(__xludf.DUMMYFUNCTION("""COMPUTED_VALUE"""),-0.849623651255831)</f>
        <v>-0.84962365125583095</v>
      </c>
      <c r="LR74" s="3">
        <f ca="1">IFERROR(__xludf.DUMMYFUNCTION("""COMPUTED_VALUE"""),-0.846742163177203)</f>
        <v>-0.84674216317720297</v>
      </c>
      <c r="LS74" s="3">
        <f ca="1">IFERROR(__xludf.DUMMYFUNCTION("""COMPUTED_VALUE"""),-0.834103975111819)</f>
        <v>-0.834103975111819</v>
      </c>
      <c r="LT74" s="3">
        <f ca="1">IFERROR(__xludf.DUMMYFUNCTION("""COMPUTED_VALUE"""),-0.876346472985144)</f>
        <v>-0.87634647298514401</v>
      </c>
      <c r="LU74" s="3">
        <f ca="1">IFERROR(__xludf.DUMMYFUNCTION("""COMPUTED_VALUE"""),-0.893617254736469)</f>
        <v>-0.89361725473646902</v>
      </c>
      <c r="LV74" s="3">
        <f ca="1">IFERROR(__xludf.DUMMYFUNCTION("""COMPUTED_VALUE"""),-0.899846867567377)</f>
        <v>-0.89984686756737697</v>
      </c>
      <c r="LW74" s="3">
        <f ca="1">IFERROR(__xludf.DUMMYFUNCTION("""COMPUTED_VALUE"""),-0.888297400234175)</f>
        <v>-0.88829740023417503</v>
      </c>
      <c r="LX74" s="3">
        <f ca="1">IFERROR(__xludf.DUMMYFUNCTION("""COMPUTED_VALUE"""),-0.882290589654398)</f>
        <v>-0.88229058965439799</v>
      </c>
      <c r="LY74" s="3">
        <f ca="1">IFERROR(__xludf.DUMMYFUNCTION("""COMPUTED_VALUE"""),-0.849344700541329)</f>
        <v>-0.84934470054132905</v>
      </c>
      <c r="LZ74" s="3">
        <f ca="1">IFERROR(__xludf.DUMMYFUNCTION("""COMPUTED_VALUE"""),-0.847612154289469)</f>
        <v>-0.84761215428946901</v>
      </c>
      <c r="MA74" s="3">
        <f ca="1">IFERROR(__xludf.DUMMYFUNCTION("""COMPUTED_VALUE"""),-0.885921980263678)</f>
        <v>-0.88592198026367797</v>
      </c>
      <c r="MB74" s="3">
        <f ca="1">IFERROR(__xludf.DUMMYFUNCTION("""COMPUTED_VALUE"""),-0.892825441297806)</f>
        <v>-0.89282544129780606</v>
      </c>
      <c r="MC74" s="3">
        <f ca="1">IFERROR(__xludf.DUMMYFUNCTION("""COMPUTED_VALUE"""),-0.88913440200446)</f>
        <v>-0.88913440200446003</v>
      </c>
      <c r="MD74" s="3">
        <f ca="1">IFERROR(__xludf.DUMMYFUNCTION("""COMPUTED_VALUE"""),-0.895764261476087)</f>
        <v>-0.89576426147608701</v>
      </c>
      <c r="ME74" s="3">
        <f ca="1">IFERROR(__xludf.DUMMYFUNCTION("""COMPUTED_VALUE"""),-0.885544482892591)</f>
        <v>-0.88554448289259102</v>
      </c>
      <c r="MF74" s="3">
        <f ca="1">IFERROR(__xludf.DUMMYFUNCTION("""COMPUTED_VALUE"""),-0.857460584054016)</f>
        <v>-0.85746058405401604</v>
      </c>
      <c r="MG74" s="3">
        <f ca="1">IFERROR(__xludf.DUMMYFUNCTION("""COMPUTED_VALUE"""),-0.860663635946273)</f>
        <v>-0.86066363594627304</v>
      </c>
      <c r="MH74" s="3">
        <f ca="1">IFERROR(__xludf.DUMMYFUNCTION("""COMPUTED_VALUE"""),-0.89184309981546)</f>
        <v>-0.89184309981545995</v>
      </c>
      <c r="MI74" s="3">
        <f ca="1">IFERROR(__xludf.DUMMYFUNCTION("""COMPUTED_VALUE"""),-0.898864512283583)</f>
        <v>-0.89886451228358299</v>
      </c>
      <c r="MJ74" s="3">
        <f ca="1">IFERROR(__xludf.DUMMYFUNCTION("""COMPUTED_VALUE"""),-0.90416446241609)</f>
        <v>-0.90416446241609005</v>
      </c>
      <c r="MK74" s="3">
        <f ca="1">IFERROR(__xludf.DUMMYFUNCTION("""COMPUTED_VALUE"""),-0.897747842911287)</f>
        <v>-0.89774784291128695</v>
      </c>
      <c r="ML74" s="3">
        <f ca="1">IFERROR(__xludf.DUMMYFUNCTION("""COMPUTED_VALUE"""),-0.887638281359947)</f>
        <v>-0.88763828135994705</v>
      </c>
      <c r="MM74" s="3">
        <f ca="1">IFERROR(__xludf.DUMMYFUNCTION("""COMPUTED_VALUE"""),-0.86064329986432)</f>
        <v>-0.86064329986431998</v>
      </c>
      <c r="MN74" s="3">
        <f ca="1">IFERROR(__xludf.DUMMYFUNCTION("""COMPUTED_VALUE"""),-0.870559553296766)</f>
        <v>-0.87055955329676604</v>
      </c>
      <c r="MO74" s="3">
        <f ca="1">IFERROR(__xludf.DUMMYFUNCTION("""COMPUTED_VALUE"""),-0.898053943586564)</f>
        <v>-0.89805394358656399</v>
      </c>
      <c r="MP74" s="3">
        <f ca="1">IFERROR(__xludf.DUMMYFUNCTION("""COMPUTED_VALUE"""),-0.903683826760882)</f>
        <v>-0.90368382676088199</v>
      </c>
      <c r="MQ74" s="3">
        <f ca="1">IFERROR(__xludf.DUMMYFUNCTION("""COMPUTED_VALUE"""),-0.902659390079125)</f>
        <v>-0.90265939007912499</v>
      </c>
      <c r="MR74" s="3">
        <f ca="1">IFERROR(__xludf.DUMMYFUNCTION("""COMPUTED_VALUE"""),-0.888934250019368)</f>
        <v>-0.88893425001936799</v>
      </c>
      <c r="MS74" s="3">
        <f ca="1">IFERROR(__xludf.DUMMYFUNCTION("""COMPUTED_VALUE"""),-0.883992523625461)</f>
        <v>-0.88399252362546099</v>
      </c>
      <c r="MT74" s="3">
        <f ca="1">IFERROR(__xludf.DUMMYFUNCTION("""COMPUTED_VALUE"""),-0.844963159754467)</f>
        <v>-0.84496315975446701</v>
      </c>
      <c r="MU74" s="3">
        <f ca="1">IFERROR(__xludf.DUMMYFUNCTION("""COMPUTED_VALUE"""),-0.868357032650328)</f>
        <v>-0.86835703265032804</v>
      </c>
      <c r="MV74" s="3">
        <f ca="1">IFERROR(__xludf.DUMMYFUNCTION("""COMPUTED_VALUE"""),-0.884517280225429)</f>
        <v>-0.88451728022542897</v>
      </c>
      <c r="MW74" s="3">
        <f ca="1">IFERROR(__xludf.DUMMYFUNCTION("""COMPUTED_VALUE"""),-0.896817884829214)</f>
        <v>-0.89681788482921398</v>
      </c>
      <c r="MX74" s="3">
        <f ca="1">IFERROR(__xludf.DUMMYFUNCTION("""COMPUTED_VALUE"""),-0.897169294752058)</f>
        <v>-0.89716929475205798</v>
      </c>
      <c r="MY74" s="3">
        <f ca="1">IFERROR(__xludf.DUMMYFUNCTION("""COMPUTED_VALUE"""),-0.888660334120532)</f>
        <v>-0.88866033412053203</v>
      </c>
      <c r="MZ74" s="3">
        <f ca="1">IFERROR(__xludf.DUMMYFUNCTION("""COMPUTED_VALUE"""),-0.873124336356501)</f>
        <v>-0.873124336356501</v>
      </c>
      <c r="NA74" s="3">
        <f ca="1">IFERROR(__xludf.DUMMYFUNCTION("""COMPUTED_VALUE"""),-0.85275658087241)</f>
        <v>-0.85275658087241002</v>
      </c>
      <c r="NB74" s="3">
        <f ca="1">IFERROR(__xludf.DUMMYFUNCTION("""COMPUTED_VALUE"""),-0.854287126118064)</f>
        <v>-0.85428712611806401</v>
      </c>
      <c r="NC74" s="3">
        <f ca="1">IFERROR(__xludf.DUMMYFUNCTION("""COMPUTED_VALUE"""),-0.857828276182346)</f>
        <v>-0.85782827618234603</v>
      </c>
      <c r="ND74" s="3">
        <f ca="1">IFERROR(__xludf.DUMMYFUNCTION("""COMPUTED_VALUE"""),-0.854375190704361)</f>
        <v>-0.85437519070436097</v>
      </c>
      <c r="NE74" s="3">
        <f ca="1">IFERROR(__xludf.DUMMYFUNCTION("""COMPUTED_VALUE"""),-0.858248779915916)</f>
        <v>-0.85824877991591597</v>
      </c>
      <c r="NF74" s="3">
        <f ca="1">IFERROR(__xludf.DUMMYFUNCTION("""COMPUTED_VALUE"""),-0.861110629740384)</f>
        <v>-0.86111062974038399</v>
      </c>
      <c r="NG74" s="3">
        <f ca="1">IFERROR(__xludf.DUMMYFUNCTION("""COMPUTED_VALUE"""),-0.855798399082416)</f>
        <v>-0.85579839908241595</v>
      </c>
      <c r="NH74" s="3">
        <f ca="1">IFERROR(__xludf.DUMMYFUNCTION("""COMPUTED_VALUE"""),-0.844605054681672)</f>
        <v>-0.84460505468167202</v>
      </c>
      <c r="NI74" s="3">
        <f ca="1">IFERROR(__xludf.DUMMYFUNCTION("""COMPUTED_VALUE"""),-0.826147919142818)</f>
        <v>-0.82614791914281804</v>
      </c>
      <c r="NJ74" s="3">
        <f ca="1">IFERROR(__xludf.DUMMYFUNCTION("""COMPUTED_VALUE"""),-0.842734637562789)</f>
        <v>-0.84273463756278899</v>
      </c>
      <c r="NK74" s="3">
        <f ca="1">IFERROR(__xludf.DUMMYFUNCTION("""COMPUTED_VALUE"""),-0.853182580437214)</f>
        <v>-0.85318258043721396</v>
      </c>
      <c r="NL74" s="3">
        <f ca="1">IFERROR(__xludf.DUMMYFUNCTION("""COMPUTED_VALUE"""),-0.847823759279861)</f>
        <v>-0.84782375927986098</v>
      </c>
      <c r="NM74" s="3">
        <f ca="1">IFERROR(__xludf.DUMMYFUNCTION("""COMPUTED_VALUE"""),-0.841629470444767)</f>
        <v>-0.84162947044476699</v>
      </c>
      <c r="NN74" s="3">
        <f ca="1">IFERROR(__xludf.DUMMYFUNCTION("""COMPUTED_VALUE"""),-0.823123480382674)</f>
        <v>-0.82312348038267402</v>
      </c>
      <c r="NO74" s="3">
        <f ca="1">IFERROR(__xludf.DUMMYFUNCTION("""COMPUTED_VALUE"""),-0.814703441976839)</f>
        <v>-0.81470344197683897</v>
      </c>
      <c r="NP74" s="3">
        <f ca="1">IFERROR(__xludf.DUMMYFUNCTION("""COMPUTED_VALUE"""),-0.821458571898191)</f>
        <v>-0.82145857189819105</v>
      </c>
      <c r="NQ74" s="3">
        <f ca="1">IFERROR(__xludf.DUMMYFUNCTION("""COMPUTED_VALUE"""),-0.845369928004815)</f>
        <v>-0.84536992800481503</v>
      </c>
      <c r="NR74" s="3">
        <f ca="1">IFERROR(__xludf.DUMMYFUNCTION("""COMPUTED_VALUE"""),-0.855444379929857)</f>
        <v>-0.855444379929857</v>
      </c>
      <c r="NS74" s="3">
        <f ca="1">IFERROR(__xludf.DUMMYFUNCTION("""COMPUTED_VALUE"""),-0.863681767456647)</f>
        <v>-0.86368176745664704</v>
      </c>
      <c r="NT74" s="3">
        <f ca="1">IFERROR(__xludf.DUMMYFUNCTION("""COMPUTED_VALUE"""),-0.847322195640823)</f>
        <v>-0.84732219564082301</v>
      </c>
      <c r="NU74" s="3">
        <f ca="1">IFERROR(__xludf.DUMMYFUNCTION("""COMPUTED_VALUE"""),-0.849688785236192)</f>
        <v>-0.84968878523619196</v>
      </c>
      <c r="NV74" s="3">
        <f ca="1">IFERROR(__xludf.DUMMYFUNCTION("""COMPUTED_VALUE"""),-0.820095836634891)</f>
        <v>-0.82009583663489105</v>
      </c>
      <c r="NW74" s="3">
        <f ca="1">IFERROR(__xludf.DUMMYFUNCTION("""COMPUTED_VALUE"""),-0.812470706664623)</f>
        <v>-0.81247070666462295</v>
      </c>
      <c r="NX74" s="3">
        <f ca="1">IFERROR(__xludf.DUMMYFUNCTION("""COMPUTED_VALUE"""),-0.836789889039803)</f>
        <v>-0.836789889039803</v>
      </c>
      <c r="NY74" s="3">
        <f ca="1">IFERROR(__xludf.DUMMYFUNCTION("""COMPUTED_VALUE"""),-0.850849589594783)</f>
        <v>-0.85084958959478296</v>
      </c>
      <c r="NZ74" s="3">
        <f ca="1">IFERROR(__xludf.DUMMYFUNCTION("""COMPUTED_VALUE"""),-0.850443862444793)</f>
        <v>-0.85044386244479298</v>
      </c>
      <c r="OA74" s="3">
        <f ca="1">IFERROR(__xludf.DUMMYFUNCTION("""COMPUTED_VALUE"""),-0.806296549032794)</f>
        <v>-0.80629654903279402</v>
      </c>
      <c r="OB74" s="3">
        <f ca="1">IFERROR(__xludf.DUMMYFUNCTION("""COMPUTED_VALUE"""),-0.653819827142646)</f>
        <v>-0.65381982714264597</v>
      </c>
      <c r="OC74" s="3">
        <f ca="1">IFERROR(__xludf.DUMMYFUNCTION("""COMPUTED_VALUE"""),-0.509156503604703)</f>
        <v>-0.50915650360470299</v>
      </c>
      <c r="OD74" s="3">
        <f ca="1">IFERROR(__xludf.DUMMYFUNCTION("""COMPUTED_VALUE"""),-0.494312709393219)</f>
        <v>-0.49431270939321897</v>
      </c>
      <c r="OE74" s="3">
        <f ca="1">IFERROR(__xludf.DUMMYFUNCTION("""COMPUTED_VALUE"""),-0.395180627986412)</f>
        <v>-0.39518062798641201</v>
      </c>
      <c r="OF74" s="3">
        <f ca="1">IFERROR(__xludf.DUMMYFUNCTION("""COMPUTED_VALUE"""),-0.37349298576773)</f>
        <v>-0.37349298576772999</v>
      </c>
      <c r="OG74" s="3">
        <f ca="1">IFERROR(__xludf.DUMMYFUNCTION("""COMPUTED_VALUE"""),-0.313756400074163)</f>
        <v>-0.313756400074163</v>
      </c>
      <c r="OH74" s="3">
        <f ca="1">IFERROR(__xludf.DUMMYFUNCTION("""COMPUTED_VALUE"""),-0.25793456219541)</f>
        <v>-0.25793456219541</v>
      </c>
      <c r="OI74" s="3">
        <f ca="1">IFERROR(__xludf.DUMMYFUNCTION("""COMPUTED_VALUE"""),-0.209240280815633)</f>
        <v>-0.20924028081563301</v>
      </c>
      <c r="OJ74" s="3">
        <f ca="1">IFERROR(__xludf.DUMMYFUNCTION("""COMPUTED_VALUE"""),-0.160597857650367)</f>
        <v>-0.16059785765036699</v>
      </c>
      <c r="OK74" s="3">
        <f ca="1">IFERROR(__xludf.DUMMYFUNCTION("""COMPUTED_VALUE"""),-0.162994091926567)</f>
        <v>-0.162994091926567</v>
      </c>
      <c r="OL74" s="3">
        <f ca="1">IFERROR(__xludf.DUMMYFUNCTION("""COMPUTED_VALUE"""),-0.0938337824813572)</f>
        <v>-9.3833782481357195E-2</v>
      </c>
      <c r="OM74" s="3">
        <f ca="1">IFERROR(__xludf.DUMMYFUNCTION("""COMPUTED_VALUE"""),-0.0977280062991075)</f>
        <v>-9.7728006299107495E-2</v>
      </c>
      <c r="ON74" s="3">
        <f ca="1">IFERROR(__xludf.DUMMYFUNCTION("""COMPUTED_VALUE"""),-0.0428339131380246)</f>
        <v>-4.28339131380246E-2</v>
      </c>
      <c r="OO74" s="3">
        <f ca="1">IFERROR(__xludf.DUMMYFUNCTION("""COMPUTED_VALUE"""),-0.0398096546059154)</f>
        <v>-3.9809654605915401E-2</v>
      </c>
      <c r="OP74" s="3">
        <f ca="1">IFERROR(__xludf.DUMMYFUNCTION("""COMPUTED_VALUE"""),-0.0400368537024335)</f>
        <v>-4.0036853702433498E-2</v>
      </c>
      <c r="OQ74" s="3">
        <f ca="1">IFERROR(__xludf.DUMMYFUNCTION("""COMPUTED_VALUE"""),-0.0117532523708413)</f>
        <v>-1.1753252370841301E-2</v>
      </c>
      <c r="OR74" s="3">
        <f ca="1">IFERROR(__xludf.DUMMYFUNCTION("""COMPUTED_VALUE"""),0.024831222191989)</f>
        <v>2.4831222191989001E-2</v>
      </c>
      <c r="OS74" s="3">
        <f ca="1">IFERROR(__xludf.DUMMYFUNCTION("""COMPUTED_VALUE"""),0.0627481939005756)</f>
        <v>6.2748193900575594E-2</v>
      </c>
      <c r="OT74" s="3">
        <f ca="1">IFERROR(__xludf.DUMMYFUNCTION("""COMPUTED_VALUE"""),0.016935735125823)</f>
        <v>1.6935735125823002E-2</v>
      </c>
      <c r="OU74" s="3">
        <f ca="1">IFERROR(__xludf.DUMMYFUNCTION("""COMPUTED_VALUE"""),0.0473527313096859)</f>
        <v>4.7352731309685897E-2</v>
      </c>
      <c r="OV74" s="3">
        <f ca="1">IFERROR(__xludf.DUMMYFUNCTION("""COMPUTED_VALUE"""),0.0390408761551557)</f>
        <v>3.9040876155155703E-2</v>
      </c>
      <c r="OW74" s="3">
        <f ca="1">IFERROR(__xludf.DUMMYFUNCTION("""COMPUTED_VALUE"""),0.0593388473271481)</f>
        <v>5.93388473271481E-2</v>
      </c>
      <c r="OX74" s="3">
        <f ca="1">IFERROR(__xludf.DUMMYFUNCTION("""COMPUTED_VALUE"""),-0.00506649590327479)</f>
        <v>-5.0664959032747899E-3</v>
      </c>
      <c r="OY74" s="3">
        <f ca="1">IFERROR(__xludf.DUMMYFUNCTION("""COMPUTED_VALUE"""),0.0303691631630576)</f>
        <v>3.03691631630576E-2</v>
      </c>
      <c r="OZ74" s="3">
        <f ca="1">IFERROR(__xludf.DUMMYFUNCTION("""COMPUTED_VALUE"""),0.00489011703976438)</f>
        <v>4.8901170397643804E-3</v>
      </c>
      <c r="PA74" s="3">
        <f ca="1">IFERROR(__xludf.DUMMYFUNCTION("""COMPUTED_VALUE"""),-0.0418476712213543)</f>
        <v>-4.1847671221354299E-2</v>
      </c>
      <c r="PB74" s="3">
        <f ca="1">IFERROR(__xludf.DUMMYFUNCTION("""COMPUTED_VALUE"""),-0.0136960669262715)</f>
        <v>-1.36960669262715E-2</v>
      </c>
      <c r="PC74" s="3">
        <f ca="1">IFERROR(__xludf.DUMMYFUNCTION("""COMPUTED_VALUE"""),-0.0345985388871282)</f>
        <v>-3.4598538887128202E-2</v>
      </c>
      <c r="PD74" s="3">
        <f ca="1">IFERROR(__xludf.DUMMYFUNCTION("""COMPUTED_VALUE"""),-0.211186037497158)</f>
        <v>-0.211186037497158</v>
      </c>
      <c r="PE74" s="3">
        <f ca="1">IFERROR(__xludf.DUMMYFUNCTION("""COMPUTED_VALUE"""),-0.0139706761540022)</f>
        <v>-1.3970676154002199E-2</v>
      </c>
      <c r="PF74" s="3">
        <f ca="1">IFERROR(__xludf.DUMMYFUNCTION("""COMPUTED_VALUE"""),0.0288690481671114)</f>
        <v>2.8869048167111399E-2</v>
      </c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</row>
    <row r="75" spans="1:594" ht="13">
      <c r="A75" s="1" t="str">
        <f ca="1">IFERROR(__xludf.DUMMYFUNCTION("""COMPUTED_VALUE"""),"Santa Cruz, CA")</f>
        <v>Santa Cruz, CA</v>
      </c>
      <c r="B75" s="3">
        <f ca="1">IFERROR(__xludf.DUMMYFUNCTION("""COMPUTED_VALUE"""),-0.760620161526817)</f>
        <v>-0.760620161526817</v>
      </c>
      <c r="C75" s="3">
        <f ca="1">IFERROR(__xludf.DUMMYFUNCTION("""COMPUTED_VALUE"""),-0.88638198811006)</f>
        <v>-0.88638198811005997</v>
      </c>
      <c r="D75" s="3">
        <f ca="1">IFERROR(__xludf.DUMMYFUNCTION("""COMPUTED_VALUE"""),-0.913314392132174)</f>
        <v>-0.91331439213217402</v>
      </c>
      <c r="E75" s="3">
        <f ca="1">IFERROR(__xludf.DUMMYFUNCTION("""COMPUTED_VALUE"""),-0.893078380959006)</f>
        <v>-0.89307838095900605</v>
      </c>
      <c r="F75" s="3">
        <f ca="1">IFERROR(__xludf.DUMMYFUNCTION("""COMPUTED_VALUE"""),-0.888904830772718)</f>
        <v>-0.88890483077271798</v>
      </c>
      <c r="G75" s="3">
        <f ca="1">IFERROR(__xludf.DUMMYFUNCTION("""COMPUTED_VALUE"""),-0.860099801967501)</f>
        <v>-0.86009980196750102</v>
      </c>
      <c r="H75" s="3">
        <f ca="1">IFERROR(__xludf.DUMMYFUNCTION("""COMPUTED_VALUE"""),-0.719261790894202)</f>
        <v>-0.71926179089420195</v>
      </c>
      <c r="I75" s="3">
        <f ca="1">IFERROR(__xludf.DUMMYFUNCTION("""COMPUTED_VALUE"""),-0.772204889934652)</f>
        <v>-0.77220488993465197</v>
      </c>
      <c r="J75" s="3">
        <f ca="1">IFERROR(__xludf.DUMMYFUNCTION("""COMPUTED_VALUE"""),-0.836278579601438)</f>
        <v>-0.83627857960143803</v>
      </c>
      <c r="K75" s="3">
        <f ca="1">IFERROR(__xludf.DUMMYFUNCTION("""COMPUTED_VALUE"""),-0.89140095362958)</f>
        <v>-0.89140095362958005</v>
      </c>
      <c r="L75" s="3">
        <f ca="1">IFERROR(__xludf.DUMMYFUNCTION("""COMPUTED_VALUE"""),-0.884718763138987)</f>
        <v>-0.88471876313898701</v>
      </c>
      <c r="M75" s="3">
        <f ca="1">IFERROR(__xludf.DUMMYFUNCTION("""COMPUTED_VALUE"""),-0.879923509698891)</f>
        <v>-0.87992350969889099</v>
      </c>
      <c r="N75" s="3">
        <f ca="1">IFERROR(__xludf.DUMMYFUNCTION("""COMPUTED_VALUE"""),-0.834949958588889)</f>
        <v>-0.83494995858888899</v>
      </c>
      <c r="O75" s="3">
        <f ca="1">IFERROR(__xludf.DUMMYFUNCTION("""COMPUTED_VALUE"""),-0.659361265648523)</f>
        <v>-0.65936126564852304</v>
      </c>
      <c r="P75" s="3">
        <f ca="1">IFERROR(__xludf.DUMMYFUNCTION("""COMPUTED_VALUE"""),-0.738568003494121)</f>
        <v>-0.73856800349412099</v>
      </c>
      <c r="Q75" s="3">
        <f ca="1">IFERROR(__xludf.DUMMYFUNCTION("""COMPUTED_VALUE"""),-0.881106342997813)</f>
        <v>-0.88110634299781299</v>
      </c>
      <c r="R75" s="3">
        <f ca="1">IFERROR(__xludf.DUMMYFUNCTION("""COMPUTED_VALUE"""),-0.876511522016393)</f>
        <v>-0.87651152201639304</v>
      </c>
      <c r="S75" s="3">
        <f ca="1">IFERROR(__xludf.DUMMYFUNCTION("""COMPUTED_VALUE"""),-0.881050824398368)</f>
        <v>-0.88105082439836802</v>
      </c>
      <c r="T75" s="3">
        <f ca="1">IFERROR(__xludf.DUMMYFUNCTION("""COMPUTED_VALUE"""),-0.904323027069742)</f>
        <v>-0.90432302706974199</v>
      </c>
      <c r="U75" s="3">
        <f ca="1">IFERROR(__xludf.DUMMYFUNCTION("""COMPUTED_VALUE"""),-0.831420448903427)</f>
        <v>-0.83142044890342703</v>
      </c>
      <c r="V75" s="3">
        <f ca="1">IFERROR(__xludf.DUMMYFUNCTION("""COMPUTED_VALUE"""),-0.666469723533769)</f>
        <v>-0.66646972353376899</v>
      </c>
      <c r="W75" s="3">
        <f ca="1">IFERROR(__xludf.DUMMYFUNCTION("""COMPUTED_VALUE"""),-0.733482010041791)</f>
        <v>-0.73348201004179103</v>
      </c>
      <c r="X75" s="3">
        <f ca="1">IFERROR(__xludf.DUMMYFUNCTION("""COMPUTED_VALUE"""),-0.871939544024263)</f>
        <v>-0.87193954402426299</v>
      </c>
      <c r="Y75" s="3">
        <f ca="1">IFERROR(__xludf.DUMMYFUNCTION("""COMPUTED_VALUE"""),-0.918386401568417)</f>
        <v>-0.918386401568417</v>
      </c>
      <c r="Z75" s="3">
        <f ca="1">IFERROR(__xludf.DUMMYFUNCTION("""COMPUTED_VALUE"""),-0.925401521842278)</f>
        <v>-0.92540152184227797</v>
      </c>
      <c r="AA75" s="3">
        <f ca="1">IFERROR(__xludf.DUMMYFUNCTION("""COMPUTED_VALUE"""),-0.918611236222628)</f>
        <v>-0.91861123622262797</v>
      </c>
      <c r="AB75" s="3">
        <f ca="1">IFERROR(__xludf.DUMMYFUNCTION("""COMPUTED_VALUE"""),-0.923051460282657)</f>
        <v>-0.92305146028265705</v>
      </c>
      <c r="AC75" s="3">
        <f ca="1">IFERROR(__xludf.DUMMYFUNCTION("""COMPUTED_VALUE"""),-0.75671732726369)</f>
        <v>-0.75671732726369001</v>
      </c>
      <c r="AD75" s="3">
        <f ca="1">IFERROR(__xludf.DUMMYFUNCTION("""COMPUTED_VALUE"""),-0.796820842462181)</f>
        <v>-0.79682084246218099</v>
      </c>
      <c r="AE75" s="3">
        <f ca="1">IFERROR(__xludf.DUMMYFUNCTION("""COMPUTED_VALUE"""),-0.891393492872998)</f>
        <v>-0.89139349287299796</v>
      </c>
      <c r="AF75" s="3">
        <f ca="1">IFERROR(__xludf.DUMMYFUNCTION("""COMPUTED_VALUE"""),-0.922851690356848)</f>
        <v>-0.922851690356848</v>
      </c>
      <c r="AG75" s="3">
        <f ca="1">IFERROR(__xludf.DUMMYFUNCTION("""COMPUTED_VALUE"""),-0.9203354417988)</f>
        <v>-0.9203354417988</v>
      </c>
      <c r="AH75" s="3">
        <f ca="1">IFERROR(__xludf.DUMMYFUNCTION("""COMPUTED_VALUE"""),-0.904779860096314)</f>
        <v>-0.90477986009631395</v>
      </c>
      <c r="AI75" s="3">
        <f ca="1">IFERROR(__xludf.DUMMYFUNCTION("""COMPUTED_VALUE"""),-0.923262463500272)</f>
        <v>-0.92326246350027197</v>
      </c>
      <c r="AJ75" s="3">
        <f ca="1">IFERROR(__xludf.DUMMYFUNCTION("""COMPUTED_VALUE"""),-0.814581133609723)</f>
        <v>-0.81458113360972295</v>
      </c>
      <c r="AK75" s="3">
        <f ca="1">IFERROR(__xludf.DUMMYFUNCTION("""COMPUTED_VALUE"""),-0.813250233604751)</f>
        <v>-0.81325023360475102</v>
      </c>
      <c r="AL75" s="3">
        <f ca="1">IFERROR(__xludf.DUMMYFUNCTION("""COMPUTED_VALUE"""),-0.906725369138576)</f>
        <v>-0.90672536913857604</v>
      </c>
      <c r="AM75" s="3">
        <f ca="1">IFERROR(__xludf.DUMMYFUNCTION("""COMPUTED_VALUE"""),-0.918493073692077)</f>
        <v>-0.918493073692077</v>
      </c>
      <c r="AN75" s="3">
        <f ca="1">IFERROR(__xludf.DUMMYFUNCTION("""COMPUTED_VALUE"""),-0.90936730630983)</f>
        <v>-0.90936730630982998</v>
      </c>
      <c r="AO75" s="3">
        <f ca="1">IFERROR(__xludf.DUMMYFUNCTION("""COMPUTED_VALUE"""),-0.91001334218596)</f>
        <v>-0.91001334218595997</v>
      </c>
      <c r="AP75" s="3">
        <f ca="1">IFERROR(__xludf.DUMMYFUNCTION("""COMPUTED_VALUE"""),-0.869247526873328)</f>
        <v>-0.86924752687332796</v>
      </c>
      <c r="AQ75" s="3">
        <f ca="1">IFERROR(__xludf.DUMMYFUNCTION("""COMPUTED_VALUE"""),-0.711703850480634)</f>
        <v>-0.711703850480634</v>
      </c>
      <c r="AR75" s="3">
        <f ca="1">IFERROR(__xludf.DUMMYFUNCTION("""COMPUTED_VALUE"""),-0.784820320524164)</f>
        <v>-0.78482032052416395</v>
      </c>
      <c r="AS75" s="3">
        <f ca="1">IFERROR(__xludf.DUMMYFUNCTION("""COMPUTED_VALUE"""),-0.902518026150602)</f>
        <v>-0.90251802615060195</v>
      </c>
      <c r="AT75" s="3">
        <f ca="1">IFERROR(__xludf.DUMMYFUNCTION("""COMPUTED_VALUE"""),-0.920482654820292)</f>
        <v>-0.92048265482029201</v>
      </c>
      <c r="AU75" s="3">
        <f ca="1">IFERROR(__xludf.DUMMYFUNCTION("""COMPUTED_VALUE"""),-0.900024413184433)</f>
        <v>-0.90002441318443305</v>
      </c>
      <c r="AV75" s="3">
        <f ca="1">IFERROR(__xludf.DUMMYFUNCTION("""COMPUTED_VALUE"""),-0.920999228802059)</f>
        <v>-0.92099922880205898</v>
      </c>
      <c r="AW75" s="3">
        <f ca="1">IFERROR(__xludf.DUMMYFUNCTION("""COMPUTED_VALUE"""),-0.869371297942743)</f>
        <v>-0.86937129794274304</v>
      </c>
      <c r="AX75" s="3">
        <f ca="1">IFERROR(__xludf.DUMMYFUNCTION("""COMPUTED_VALUE"""),-0.723155431477982)</f>
        <v>-0.723155431477982</v>
      </c>
      <c r="AY75" s="3">
        <f ca="1">IFERROR(__xludf.DUMMYFUNCTION("""COMPUTED_VALUE"""),-0.783950178882409)</f>
        <v>-0.78395017888240903</v>
      </c>
      <c r="AZ75" s="3">
        <f ca="1">IFERROR(__xludf.DUMMYFUNCTION("""COMPUTED_VALUE"""),-0.884776152772839)</f>
        <v>-0.88477615277283905</v>
      </c>
      <c r="BA75" s="3">
        <f ca="1">IFERROR(__xludf.DUMMYFUNCTION("""COMPUTED_VALUE"""),-0.89620872207458)</f>
        <v>-0.89620872207458002</v>
      </c>
      <c r="BB75" s="3">
        <f ca="1">IFERROR(__xludf.DUMMYFUNCTION("""COMPUTED_VALUE"""),-0.918150027814632)</f>
        <v>-0.91815002781463195</v>
      </c>
      <c r="BC75" s="3">
        <f ca="1">IFERROR(__xludf.DUMMYFUNCTION("""COMPUTED_VALUE"""),-0.915579850477313)</f>
        <v>-0.91557985047731305</v>
      </c>
      <c r="BD75" s="3">
        <f ca="1">IFERROR(__xludf.DUMMYFUNCTION("""COMPUTED_VALUE"""),-0.831925511208136)</f>
        <v>-0.83192551120813596</v>
      </c>
      <c r="BE75" s="3">
        <f ca="1">IFERROR(__xludf.DUMMYFUNCTION("""COMPUTED_VALUE"""),-0.700486732873424)</f>
        <v>-0.700486732873424</v>
      </c>
      <c r="BF75" s="3">
        <f ca="1">IFERROR(__xludf.DUMMYFUNCTION("""COMPUTED_VALUE"""),-0.749069194995323)</f>
        <v>-0.74906919499532298</v>
      </c>
      <c r="BG75" s="3">
        <f ca="1">IFERROR(__xludf.DUMMYFUNCTION("""COMPUTED_VALUE"""),-0.878597315350237)</f>
        <v>-0.878597315350237</v>
      </c>
      <c r="BH75" s="3">
        <f ca="1">IFERROR(__xludf.DUMMYFUNCTION("""COMPUTED_VALUE"""),-0.922933815237262)</f>
        <v>-0.92293381523726203</v>
      </c>
      <c r="BI75" s="3">
        <f ca="1">IFERROR(__xludf.DUMMYFUNCTION("""COMPUTED_VALUE"""),-0.899910071031929)</f>
        <v>-0.89991007103192899</v>
      </c>
      <c r="BJ75" s="3">
        <f ca="1">IFERROR(__xludf.DUMMYFUNCTION("""COMPUTED_VALUE"""),-0.903388326562988)</f>
        <v>-0.90338832656298795</v>
      </c>
      <c r="BK75" s="3">
        <f ca="1">IFERROR(__xludf.DUMMYFUNCTION("""COMPUTED_VALUE"""),-0.887703105646447)</f>
        <v>-0.88770310564644705</v>
      </c>
      <c r="BL75" s="3">
        <f ca="1">IFERROR(__xludf.DUMMYFUNCTION("""COMPUTED_VALUE"""),-0.751530782880449)</f>
        <v>-0.75153078288044906</v>
      </c>
      <c r="BM75" s="3">
        <f ca="1">IFERROR(__xludf.DUMMYFUNCTION("""COMPUTED_VALUE"""),-0.8349610696637)</f>
        <v>-0.83496106966369998</v>
      </c>
      <c r="BN75" s="3">
        <f ca="1">IFERROR(__xludf.DUMMYFUNCTION("""COMPUTED_VALUE"""),-0.908613406525231)</f>
        <v>-0.90861340652523104</v>
      </c>
      <c r="BO75" s="3">
        <f ca="1">IFERROR(__xludf.DUMMYFUNCTION("""COMPUTED_VALUE"""),-0.925759980383587)</f>
        <v>-0.92575998038358698</v>
      </c>
      <c r="BP75" s="3">
        <f ca="1">IFERROR(__xludf.DUMMYFUNCTION("""COMPUTED_VALUE"""),-0.932393386600616)</f>
        <v>-0.93239338660061599</v>
      </c>
      <c r="BQ75" s="3">
        <f ca="1">IFERROR(__xludf.DUMMYFUNCTION("""COMPUTED_VALUE"""),-0.936692136902696)</f>
        <v>-0.93669213690269604</v>
      </c>
      <c r="BR75" s="3">
        <f ca="1">IFERROR(__xludf.DUMMYFUNCTION("""COMPUTED_VALUE"""),-0.910926983546263)</f>
        <v>-0.910926983546263</v>
      </c>
      <c r="BS75" s="3">
        <f ca="1">IFERROR(__xludf.DUMMYFUNCTION("""COMPUTED_VALUE"""),-0.752074273565629)</f>
        <v>-0.75207427356562895</v>
      </c>
      <c r="BT75" s="3">
        <f ca="1">IFERROR(__xludf.DUMMYFUNCTION("""COMPUTED_VALUE"""),-0.799285257035615)</f>
        <v>-0.79928525703561504</v>
      </c>
      <c r="BU75" s="3">
        <f ca="1">IFERROR(__xludf.DUMMYFUNCTION("""COMPUTED_VALUE"""),-0.888730157555744)</f>
        <v>-0.88873015755574403</v>
      </c>
      <c r="BV75" s="3">
        <f ca="1">IFERROR(__xludf.DUMMYFUNCTION("""COMPUTED_VALUE"""),-0.91614505591583)</f>
        <v>-0.91614505591582995</v>
      </c>
      <c r="BW75" s="3">
        <f ca="1">IFERROR(__xludf.DUMMYFUNCTION("""COMPUTED_VALUE"""),-0.909510416802888)</f>
        <v>-0.90951041680288802</v>
      </c>
      <c r="BX75" s="3">
        <f ca="1">IFERROR(__xludf.DUMMYFUNCTION("""COMPUTED_VALUE"""),-0.916599305950675)</f>
        <v>-0.91659930595067496</v>
      </c>
      <c r="BY75" s="3">
        <f ca="1">IFERROR(__xludf.DUMMYFUNCTION("""COMPUTED_VALUE"""),-0.902853744708418)</f>
        <v>-0.90285374470841795</v>
      </c>
      <c r="BZ75" s="3">
        <f ca="1">IFERROR(__xludf.DUMMYFUNCTION("""COMPUTED_VALUE"""),-0.795691207524313)</f>
        <v>-0.79569120752431299</v>
      </c>
      <c r="CA75" s="3">
        <f ca="1">IFERROR(__xludf.DUMMYFUNCTION("""COMPUTED_VALUE"""),-0.833712936417563)</f>
        <v>-0.83371293641756306</v>
      </c>
      <c r="CB75" s="3">
        <f ca="1">IFERROR(__xludf.DUMMYFUNCTION("""COMPUTED_VALUE"""),-0.933094460749186)</f>
        <v>-0.93309446074918601</v>
      </c>
      <c r="CC75" s="3">
        <f ca="1">IFERROR(__xludf.DUMMYFUNCTION("""COMPUTED_VALUE"""),-0.925302735130209)</f>
        <v>-0.925302735130209</v>
      </c>
      <c r="CD75" s="3">
        <f ca="1">IFERROR(__xludf.DUMMYFUNCTION("""COMPUTED_VALUE"""),-0.929177214837209)</f>
        <v>-0.92917721483720905</v>
      </c>
      <c r="CE75" s="3">
        <f ca="1">IFERROR(__xludf.DUMMYFUNCTION("""COMPUTED_VALUE"""),-0.937471918183212)</f>
        <v>-0.93747191818321196</v>
      </c>
      <c r="CF75" s="3">
        <f ca="1">IFERROR(__xludf.DUMMYFUNCTION("""COMPUTED_VALUE"""),-0.895998750188868)</f>
        <v>-0.89599875018886799</v>
      </c>
      <c r="CG75" s="3">
        <f ca="1">IFERROR(__xludf.DUMMYFUNCTION("""COMPUTED_VALUE"""),-0.765508931376926)</f>
        <v>-0.76550893137692599</v>
      </c>
      <c r="CH75" s="3">
        <f ca="1">IFERROR(__xludf.DUMMYFUNCTION("""COMPUTED_VALUE"""),-0.831796492985413)</f>
        <v>-0.83179649298541303</v>
      </c>
      <c r="CI75" s="3">
        <f ca="1">IFERROR(__xludf.DUMMYFUNCTION("""COMPUTED_VALUE"""),-0.930612151242362)</f>
        <v>-0.93061215124236196</v>
      </c>
      <c r="CJ75" s="3">
        <f ca="1">IFERROR(__xludf.DUMMYFUNCTION("""COMPUTED_VALUE"""),-0.946109721209091)</f>
        <v>-0.94610972120909098</v>
      </c>
      <c r="CK75" s="3">
        <f ca="1">IFERROR(__xludf.DUMMYFUNCTION("""COMPUTED_VALUE"""),-0.927965141793137)</f>
        <v>-0.92796514179313705</v>
      </c>
      <c r="CL75" s="3">
        <f ca="1">IFERROR(__xludf.DUMMYFUNCTION("""COMPUTED_VALUE"""),-0.92354497342001)</f>
        <v>-0.92354497342000996</v>
      </c>
      <c r="CM75" s="3">
        <f ca="1">IFERROR(__xludf.DUMMYFUNCTION("""COMPUTED_VALUE"""),-0.894565517958255)</f>
        <v>-0.89456551795825501</v>
      </c>
      <c r="CN75" s="3">
        <f ca="1">IFERROR(__xludf.DUMMYFUNCTION("""COMPUTED_VALUE"""),-0.821093016422333)</f>
        <v>-0.82109301642233301</v>
      </c>
      <c r="CO75" s="3">
        <f ca="1">IFERROR(__xludf.DUMMYFUNCTION("""COMPUTED_VALUE"""),-0.857227200120982)</f>
        <v>-0.85722720012098197</v>
      </c>
      <c r="CP75" s="3">
        <f ca="1">IFERROR(__xludf.DUMMYFUNCTION("""COMPUTED_VALUE"""),-0.918299450868623)</f>
        <v>-0.91829945086862297</v>
      </c>
      <c r="CQ75" s="3">
        <f ca="1">IFERROR(__xludf.DUMMYFUNCTION("""COMPUTED_VALUE"""),-0.917573289206779)</f>
        <v>-0.91757328920677905</v>
      </c>
      <c r="CR75" s="3">
        <f ca="1">IFERROR(__xludf.DUMMYFUNCTION("""COMPUTED_VALUE"""),-0.902636759461439)</f>
        <v>-0.90263675946143895</v>
      </c>
      <c r="CS75" s="3">
        <f ca="1">IFERROR(__xludf.DUMMYFUNCTION("""COMPUTED_VALUE"""),-0.906965107096728)</f>
        <v>-0.90696510709672795</v>
      </c>
      <c r="CT75" s="3">
        <f ca="1">IFERROR(__xludf.DUMMYFUNCTION("""COMPUTED_VALUE"""),-0.911728477598634)</f>
        <v>-0.91172847759863396</v>
      </c>
      <c r="CU75" s="3">
        <f ca="1">IFERROR(__xludf.DUMMYFUNCTION("""COMPUTED_VALUE"""),-0.795617725541357)</f>
        <v>-0.79561772554135701</v>
      </c>
      <c r="CV75" s="3">
        <f ca="1">IFERROR(__xludf.DUMMYFUNCTION("""COMPUTED_VALUE"""),-0.834861412140895)</f>
        <v>-0.83486141214089504</v>
      </c>
      <c r="CW75" s="3">
        <f ca="1">IFERROR(__xludf.DUMMYFUNCTION("""COMPUTED_VALUE"""),-0.889510285666691)</f>
        <v>-0.88951028566669099</v>
      </c>
      <c r="CX75" s="3">
        <f ca="1">IFERROR(__xludf.DUMMYFUNCTION("""COMPUTED_VALUE"""),-0.87108938971502)</f>
        <v>-0.87108938971502003</v>
      </c>
      <c r="CY75" s="3">
        <f ca="1">IFERROR(__xludf.DUMMYFUNCTION("""COMPUTED_VALUE"""),-0.900448405947792)</f>
        <v>-0.90044840594779196</v>
      </c>
      <c r="CZ75" s="3">
        <f ca="1">IFERROR(__xludf.DUMMYFUNCTION("""COMPUTED_VALUE"""),-0.902623049393744)</f>
        <v>-0.90262304939374405</v>
      </c>
      <c r="DA75" s="3">
        <f ca="1">IFERROR(__xludf.DUMMYFUNCTION("""COMPUTED_VALUE"""),-0.903954485937833)</f>
        <v>-0.90395448593783301</v>
      </c>
      <c r="DB75" s="3">
        <f ca="1">IFERROR(__xludf.DUMMYFUNCTION("""COMPUTED_VALUE"""),-0.850540465410956)</f>
        <v>-0.85054046541095596</v>
      </c>
      <c r="DC75" s="3">
        <f ca="1">IFERROR(__xludf.DUMMYFUNCTION("""COMPUTED_VALUE"""),-0.840431785721423)</f>
        <v>-0.84043178572142296</v>
      </c>
      <c r="DD75" s="3">
        <f ca="1">IFERROR(__xludf.DUMMYFUNCTION("""COMPUTED_VALUE"""),-0.926223604666362)</f>
        <v>-0.926223604666362</v>
      </c>
      <c r="DE75" s="3">
        <f ca="1">IFERROR(__xludf.DUMMYFUNCTION("""COMPUTED_VALUE"""),-0.850441896328903)</f>
        <v>-0.85044189632890299</v>
      </c>
      <c r="DF75" s="3">
        <f ca="1">IFERROR(__xludf.DUMMYFUNCTION("""COMPUTED_VALUE"""),-0.848777756866772)</f>
        <v>-0.84877775686677204</v>
      </c>
      <c r="DG75" s="3">
        <f ca="1">IFERROR(__xludf.DUMMYFUNCTION("""COMPUTED_VALUE"""),-0.881494877791266)</f>
        <v>-0.88149487779126601</v>
      </c>
      <c r="DH75" s="3">
        <f ca="1">IFERROR(__xludf.DUMMYFUNCTION("""COMPUTED_VALUE"""),-0.842599249253855)</f>
        <v>-0.84259924925385499</v>
      </c>
      <c r="DI75" s="3">
        <f ca="1">IFERROR(__xludf.DUMMYFUNCTION("""COMPUTED_VALUE"""),-0.761652816987638)</f>
        <v>-0.76165281698763798</v>
      </c>
      <c r="DJ75" s="3">
        <f ca="1">IFERROR(__xludf.DUMMYFUNCTION("""COMPUTED_VALUE"""),-0.829786881530551)</f>
        <v>-0.82978688153055102</v>
      </c>
      <c r="DK75" s="3">
        <f ca="1">IFERROR(__xludf.DUMMYFUNCTION("""COMPUTED_VALUE"""),-0.878562078207418)</f>
        <v>-0.87856207820741805</v>
      </c>
      <c r="DL75" s="3">
        <f ca="1">IFERROR(__xludf.DUMMYFUNCTION("""COMPUTED_VALUE"""),-0.903274205528265)</f>
        <v>-0.90327420552826498</v>
      </c>
      <c r="DM75" s="3">
        <f ca="1">IFERROR(__xludf.DUMMYFUNCTION("""COMPUTED_VALUE"""),-0.888585118753823)</f>
        <v>-0.88858511875382296</v>
      </c>
      <c r="DN75" s="3">
        <f ca="1">IFERROR(__xludf.DUMMYFUNCTION("""COMPUTED_VALUE"""),-0.87448235354899)</f>
        <v>-0.87448235354898995</v>
      </c>
      <c r="DO75" s="3">
        <f ca="1">IFERROR(__xludf.DUMMYFUNCTION("""COMPUTED_VALUE"""),-0.858378259932662)</f>
        <v>-0.85837825993266204</v>
      </c>
      <c r="DP75" s="3">
        <f ca="1">IFERROR(__xludf.DUMMYFUNCTION("""COMPUTED_VALUE"""),-0.809785193849066)</f>
        <v>-0.809785193849066</v>
      </c>
      <c r="DQ75" s="3">
        <f ca="1">IFERROR(__xludf.DUMMYFUNCTION("""COMPUTED_VALUE"""),-0.808388957782802)</f>
        <v>-0.80838895778280195</v>
      </c>
      <c r="DR75" s="3">
        <f ca="1">IFERROR(__xludf.DUMMYFUNCTION("""COMPUTED_VALUE"""),-0.919718424398851)</f>
        <v>-0.91971842439885099</v>
      </c>
      <c r="DS75" s="3">
        <f ca="1">IFERROR(__xludf.DUMMYFUNCTION("""COMPUTED_VALUE"""),-0.936947350123225)</f>
        <v>-0.93694735012322505</v>
      </c>
      <c r="DT75" s="3">
        <f ca="1">IFERROR(__xludf.DUMMYFUNCTION("""COMPUTED_VALUE"""),-0.908871008411545)</f>
        <v>-0.908871008411545</v>
      </c>
      <c r="DU75" s="3">
        <f ca="1">IFERROR(__xludf.DUMMYFUNCTION("""COMPUTED_VALUE"""),-0.919803645250966)</f>
        <v>-0.91980364525096603</v>
      </c>
      <c r="DV75" s="3">
        <f ca="1">IFERROR(__xludf.DUMMYFUNCTION("""COMPUTED_VALUE"""),-0.877493679613694)</f>
        <v>-0.87749367961369396</v>
      </c>
      <c r="DW75" s="3">
        <f ca="1">IFERROR(__xludf.DUMMYFUNCTION("""COMPUTED_VALUE"""),-0.690396354988302)</f>
        <v>-0.69039635498830199</v>
      </c>
      <c r="DX75" s="3">
        <f ca="1">IFERROR(__xludf.DUMMYFUNCTION("""COMPUTED_VALUE"""),-0.758612039030456)</f>
        <v>-0.75861203903045604</v>
      </c>
      <c r="DY75" s="3">
        <f ca="1">IFERROR(__xludf.DUMMYFUNCTION("""COMPUTED_VALUE"""),-0.873949750697131)</f>
        <v>-0.87394975069713099</v>
      </c>
      <c r="DZ75" s="3">
        <f ca="1">IFERROR(__xludf.DUMMYFUNCTION("""COMPUTED_VALUE"""),-0.906619758112613)</f>
        <v>-0.90661975811261297</v>
      </c>
      <c r="EA75" s="3">
        <f ca="1">IFERROR(__xludf.DUMMYFUNCTION("""COMPUTED_VALUE"""),-0.926212633716562)</f>
        <v>-0.92621263371656204</v>
      </c>
      <c r="EB75" s="3">
        <f ca="1">IFERROR(__xludf.DUMMYFUNCTION("""COMPUTED_VALUE"""),-0.910328135196739)</f>
        <v>-0.91032813519673905</v>
      </c>
      <c r="EC75" s="3">
        <f ca="1">IFERROR(__xludf.DUMMYFUNCTION("""COMPUTED_VALUE"""),-0.901733362831099)</f>
        <v>-0.90173336283109895</v>
      </c>
      <c r="ED75" s="3">
        <f ca="1">IFERROR(__xludf.DUMMYFUNCTION("""COMPUTED_VALUE"""),-0.730203335500806)</f>
        <v>-0.73020333550080596</v>
      </c>
      <c r="EE75" s="3">
        <f ca="1">IFERROR(__xludf.DUMMYFUNCTION("""COMPUTED_VALUE"""),-0.822898607632406)</f>
        <v>-0.82289860763240597</v>
      </c>
      <c r="EF75" s="3">
        <f ca="1">IFERROR(__xludf.DUMMYFUNCTION("""COMPUTED_VALUE"""),-0.888608096059363)</f>
        <v>-0.88860809605936297</v>
      </c>
      <c r="EG75" s="3">
        <f ca="1">IFERROR(__xludf.DUMMYFUNCTION("""COMPUTED_VALUE"""),-0.948904920511915)</f>
        <v>-0.948904920511915</v>
      </c>
      <c r="EH75" s="3">
        <f ca="1">IFERROR(__xludf.DUMMYFUNCTION("""COMPUTED_VALUE"""),-0.916238090733618)</f>
        <v>-0.91623809073361795</v>
      </c>
      <c r="EI75" s="3">
        <f ca="1">IFERROR(__xludf.DUMMYFUNCTION("""COMPUTED_VALUE"""),-0.92118784966342)</f>
        <v>-0.92118784966342004</v>
      </c>
      <c r="EJ75" s="3">
        <f ca="1">IFERROR(__xludf.DUMMYFUNCTION("""COMPUTED_VALUE"""),-0.885495902375336)</f>
        <v>-0.88549590237533604</v>
      </c>
      <c r="EK75" s="3">
        <f ca="1">IFERROR(__xludf.DUMMYFUNCTION("""COMPUTED_VALUE"""),-0.739074122401611)</f>
        <v>-0.73907412240161097</v>
      </c>
      <c r="EL75" s="3">
        <f ca="1">IFERROR(__xludf.DUMMYFUNCTION("""COMPUTED_VALUE"""),-0.823911784276369)</f>
        <v>-0.82391178427636902</v>
      </c>
      <c r="EM75" s="3">
        <f ca="1">IFERROR(__xludf.DUMMYFUNCTION("""COMPUTED_VALUE"""),-0.878355041327209)</f>
        <v>-0.87835504132720899</v>
      </c>
      <c r="EN75" s="3">
        <f ca="1">IFERROR(__xludf.DUMMYFUNCTION("""COMPUTED_VALUE"""),-0.918570203393567)</f>
        <v>-0.91857020339356699</v>
      </c>
      <c r="EO75" s="3">
        <f ca="1">IFERROR(__xludf.DUMMYFUNCTION("""COMPUTED_VALUE"""),-0.94524732981617)</f>
        <v>-0.94524732981616999</v>
      </c>
      <c r="EP75" s="3">
        <f ca="1">IFERROR(__xludf.DUMMYFUNCTION("""COMPUTED_VALUE"""),-0.9242670120372)</f>
        <v>-0.92426701203719996</v>
      </c>
      <c r="EQ75" s="3">
        <f ca="1">IFERROR(__xludf.DUMMYFUNCTION("""COMPUTED_VALUE"""),-0.894976886630558)</f>
        <v>-0.89497688663055797</v>
      </c>
      <c r="ER75" s="3">
        <f ca="1">IFERROR(__xludf.DUMMYFUNCTION("""COMPUTED_VALUE"""),-0.726728301046753)</f>
        <v>-0.72672830104675301</v>
      </c>
      <c r="ES75" s="3">
        <f ca="1">IFERROR(__xludf.DUMMYFUNCTION("""COMPUTED_VALUE"""),-0.820975225700887)</f>
        <v>-0.82097522570088699</v>
      </c>
      <c r="ET75" s="3">
        <f ca="1">IFERROR(__xludf.DUMMYFUNCTION("""COMPUTED_VALUE"""),-0.908895487104678)</f>
        <v>-0.90889548710467805</v>
      </c>
      <c r="EU75" s="3">
        <f ca="1">IFERROR(__xludf.DUMMYFUNCTION("""COMPUTED_VALUE"""),-0.923993829955757)</f>
        <v>-0.92399382995575696</v>
      </c>
      <c r="EV75" s="3">
        <f ca="1">IFERROR(__xludf.DUMMYFUNCTION("""COMPUTED_VALUE"""),-0.908149035484118)</f>
        <v>-0.90814903548411796</v>
      </c>
      <c r="EW75" s="3">
        <f ca="1">IFERROR(__xludf.DUMMYFUNCTION("""COMPUTED_VALUE"""),-0.899043952869571)</f>
        <v>-0.89904395286957095</v>
      </c>
      <c r="EX75" s="3">
        <f ca="1">IFERROR(__xludf.DUMMYFUNCTION("""COMPUTED_VALUE"""),-0.866669204255854)</f>
        <v>-0.86666920425585403</v>
      </c>
      <c r="EY75" s="3">
        <f ca="1">IFERROR(__xludf.DUMMYFUNCTION("""COMPUTED_VALUE"""),-0.716651948421157)</f>
        <v>-0.71665194842115698</v>
      </c>
      <c r="EZ75" s="3">
        <f ca="1">IFERROR(__xludf.DUMMYFUNCTION("""COMPUTED_VALUE"""),-0.83854751477341)</f>
        <v>-0.83854751477341005</v>
      </c>
      <c r="FA75" s="3">
        <f ca="1">IFERROR(__xludf.DUMMYFUNCTION("""COMPUTED_VALUE"""),-0.919168081125321)</f>
        <v>-0.919168081125321</v>
      </c>
      <c r="FB75" s="3">
        <f ca="1">IFERROR(__xludf.DUMMYFUNCTION("""COMPUTED_VALUE"""),-0.923044269035982)</f>
        <v>-0.92304426903598202</v>
      </c>
      <c r="FC75" s="3">
        <f ca="1">IFERROR(__xludf.DUMMYFUNCTION("""COMPUTED_VALUE"""),-0.926546494958218)</f>
        <v>-0.92654649495821795</v>
      </c>
      <c r="FD75" s="3">
        <f ca="1">IFERROR(__xludf.DUMMYFUNCTION("""COMPUTED_VALUE"""),-0.916917686274217)</f>
        <v>-0.91691768627421699</v>
      </c>
      <c r="FE75" s="3">
        <f ca="1">IFERROR(__xludf.DUMMYFUNCTION("""COMPUTED_VALUE"""),-0.881648257231504)</f>
        <v>-0.88164825723150397</v>
      </c>
      <c r="FF75" s="3">
        <f ca="1">IFERROR(__xludf.DUMMYFUNCTION("""COMPUTED_VALUE"""),-0.770832920988734)</f>
        <v>-0.77083292098873402</v>
      </c>
      <c r="FG75" s="3">
        <f ca="1">IFERROR(__xludf.DUMMYFUNCTION("""COMPUTED_VALUE"""),-0.816920148020411)</f>
        <v>-0.81692014802041102</v>
      </c>
      <c r="FH75" s="3">
        <f ca="1">IFERROR(__xludf.DUMMYFUNCTION("""COMPUTED_VALUE"""),-0.902596430597598)</f>
        <v>-0.90259643059759798</v>
      </c>
      <c r="FI75" s="3">
        <f ca="1">IFERROR(__xludf.DUMMYFUNCTION("""COMPUTED_VALUE"""),-0.941041291071056)</f>
        <v>-0.94104129107105605</v>
      </c>
      <c r="FJ75" s="3">
        <f ca="1">IFERROR(__xludf.DUMMYFUNCTION("""COMPUTED_VALUE"""),-0.935323794820633)</f>
        <v>-0.93532379482063299</v>
      </c>
      <c r="FK75" s="3">
        <f ca="1">IFERROR(__xludf.DUMMYFUNCTION("""COMPUTED_VALUE"""),-0.931460812614386)</f>
        <v>-0.93146081261438596</v>
      </c>
      <c r="FL75" s="3">
        <f ca="1">IFERROR(__xludf.DUMMYFUNCTION("""COMPUTED_VALUE"""),-0.897137960560391)</f>
        <v>-0.89713796056039097</v>
      </c>
      <c r="FM75" s="3">
        <f ca="1">IFERROR(__xludf.DUMMYFUNCTION("""COMPUTED_VALUE"""),-0.784908003208546)</f>
        <v>-0.78490800320854603</v>
      </c>
      <c r="FN75" s="3">
        <f ca="1">IFERROR(__xludf.DUMMYFUNCTION("""COMPUTED_VALUE"""),-0.862591249871759)</f>
        <v>-0.86259124987175895</v>
      </c>
      <c r="FO75" s="3">
        <f ca="1">IFERROR(__xludf.DUMMYFUNCTION("""COMPUTED_VALUE"""),-0.923345292924089)</f>
        <v>-0.92334529292408896</v>
      </c>
      <c r="FP75" s="3">
        <f ca="1">IFERROR(__xludf.DUMMYFUNCTION("""COMPUTED_VALUE"""),-0.931828794613399)</f>
        <v>-0.93182879461339896</v>
      </c>
      <c r="FQ75" s="3">
        <f ca="1">IFERROR(__xludf.DUMMYFUNCTION("""COMPUTED_VALUE"""),-0.917579911071531)</f>
        <v>-0.91757991107153103</v>
      </c>
      <c r="FR75" s="3">
        <f ca="1">IFERROR(__xludf.DUMMYFUNCTION("""COMPUTED_VALUE"""),-0.911466645513312)</f>
        <v>-0.91146664551331202</v>
      </c>
      <c r="FS75" s="3">
        <f ca="1">IFERROR(__xludf.DUMMYFUNCTION("""COMPUTED_VALUE"""),-0.872476019911699)</f>
        <v>-0.87247601991169899</v>
      </c>
      <c r="FT75" s="3">
        <f ca="1">IFERROR(__xludf.DUMMYFUNCTION("""COMPUTED_VALUE"""),-0.763565756367749)</f>
        <v>-0.76356575636774904</v>
      </c>
      <c r="FU75" s="3">
        <f ca="1">IFERROR(__xludf.DUMMYFUNCTION("""COMPUTED_VALUE"""),-0.828852628803271)</f>
        <v>-0.82885262880327104</v>
      </c>
      <c r="FV75" s="3">
        <f ca="1">IFERROR(__xludf.DUMMYFUNCTION("""COMPUTED_VALUE"""),-0.914055043105534)</f>
        <v>-0.91405504310553398</v>
      </c>
      <c r="FW75" s="3">
        <f ca="1">IFERROR(__xludf.DUMMYFUNCTION("""COMPUTED_VALUE"""),-0.934965991073811)</f>
        <v>-0.93496599107381095</v>
      </c>
      <c r="FX75" s="3">
        <f ca="1">IFERROR(__xludf.DUMMYFUNCTION("""COMPUTED_VALUE"""),-0.921226737674025)</f>
        <v>-0.92122673767402496</v>
      </c>
      <c r="FY75" s="3">
        <f ca="1">IFERROR(__xludf.DUMMYFUNCTION("""COMPUTED_VALUE"""),-0.919325166459278)</f>
        <v>-0.91932516645927798</v>
      </c>
      <c r="FZ75" s="3">
        <f ca="1">IFERROR(__xludf.DUMMYFUNCTION("""COMPUTED_VALUE"""),-0.882719921548394)</f>
        <v>-0.88271992154839396</v>
      </c>
      <c r="GA75" s="3">
        <f ca="1">IFERROR(__xludf.DUMMYFUNCTION("""COMPUTED_VALUE"""),-0.759878830064281)</f>
        <v>-0.75987883006428103</v>
      </c>
      <c r="GB75" s="3">
        <f ca="1">IFERROR(__xludf.DUMMYFUNCTION("""COMPUTED_VALUE"""),-0.865017294426064)</f>
        <v>-0.86501729442606401</v>
      </c>
      <c r="GC75" s="3">
        <f ca="1">IFERROR(__xludf.DUMMYFUNCTION("""COMPUTED_VALUE"""),-0.933621198581459)</f>
        <v>-0.93362119858145898</v>
      </c>
      <c r="GD75" s="3">
        <f ca="1">IFERROR(__xludf.DUMMYFUNCTION("""COMPUTED_VALUE"""),-0.94085568215041)</f>
        <v>-0.94085568215041004</v>
      </c>
      <c r="GE75" s="3">
        <f ca="1">IFERROR(__xludf.DUMMYFUNCTION("""COMPUTED_VALUE"""),-0.929699672005766)</f>
        <v>-0.92969967200576598</v>
      </c>
      <c r="GF75" s="3">
        <f ca="1">IFERROR(__xludf.DUMMYFUNCTION("""COMPUTED_VALUE"""),-0.935656284328552)</f>
        <v>-0.93565628432855197</v>
      </c>
      <c r="GG75" s="3">
        <f ca="1">IFERROR(__xludf.DUMMYFUNCTION("""COMPUTED_VALUE"""),-0.895807206785609)</f>
        <v>-0.89580720678560899</v>
      </c>
      <c r="GH75" s="3">
        <f ca="1">IFERROR(__xludf.DUMMYFUNCTION("""COMPUTED_VALUE"""),-0.816949340244581)</f>
        <v>-0.81694934024458099</v>
      </c>
      <c r="GI75" s="3">
        <f ca="1">IFERROR(__xludf.DUMMYFUNCTION("""COMPUTED_VALUE"""),-0.901493617455299)</f>
        <v>-0.90149361745529899</v>
      </c>
      <c r="GJ75" s="3">
        <f ca="1">IFERROR(__xludf.DUMMYFUNCTION("""COMPUTED_VALUE"""),-0.931538358952073)</f>
        <v>-0.93153835895207304</v>
      </c>
      <c r="GK75" s="3">
        <f ca="1">IFERROR(__xludf.DUMMYFUNCTION("""COMPUTED_VALUE"""),-0.932498244953008)</f>
        <v>-0.93249824495300804</v>
      </c>
      <c r="GL75" s="3">
        <f ca="1">IFERROR(__xludf.DUMMYFUNCTION("""COMPUTED_VALUE"""),-0.932828298836563)</f>
        <v>-0.93282829883656304</v>
      </c>
      <c r="GM75" s="3">
        <f ca="1">IFERROR(__xludf.DUMMYFUNCTION("""COMPUTED_VALUE"""),-0.930837855900668)</f>
        <v>-0.93083785590066803</v>
      </c>
      <c r="GN75" s="3">
        <f ca="1">IFERROR(__xludf.DUMMYFUNCTION("""COMPUTED_VALUE"""),-0.913093506562893)</f>
        <v>-0.91309350656289301</v>
      </c>
      <c r="GO75" s="3">
        <f ca="1">IFERROR(__xludf.DUMMYFUNCTION("""COMPUTED_VALUE"""),-0.81029626778262)</f>
        <v>-0.81029626778261998</v>
      </c>
      <c r="GP75" s="3">
        <f ca="1">IFERROR(__xludf.DUMMYFUNCTION("""COMPUTED_VALUE"""),-0.889479506067832)</f>
        <v>-0.88947950606783199</v>
      </c>
      <c r="GQ75" s="3">
        <f ca="1">IFERROR(__xludf.DUMMYFUNCTION("""COMPUTED_VALUE"""),-0.933838572016524)</f>
        <v>-0.93383857201652398</v>
      </c>
      <c r="GR75" s="3">
        <f ca="1">IFERROR(__xludf.DUMMYFUNCTION("""COMPUTED_VALUE"""),-0.933937752875554)</f>
        <v>-0.93393775287555403</v>
      </c>
      <c r="GS75" s="3">
        <f ca="1">IFERROR(__xludf.DUMMYFUNCTION("""COMPUTED_VALUE"""),-0.929565214269908)</f>
        <v>-0.92956521426990801</v>
      </c>
      <c r="GT75" s="3">
        <f ca="1">IFERROR(__xludf.DUMMYFUNCTION("""COMPUTED_VALUE"""),-0.932799907071302)</f>
        <v>-0.932799907071302</v>
      </c>
      <c r="GU75" s="3">
        <f ca="1">IFERROR(__xludf.DUMMYFUNCTION("""COMPUTED_VALUE"""),-0.918732564226575)</f>
        <v>-0.91873256422657501</v>
      </c>
      <c r="GV75" s="3">
        <f ca="1">IFERROR(__xludf.DUMMYFUNCTION("""COMPUTED_VALUE"""),-0.797223153320553)</f>
        <v>-0.79722315332055305</v>
      </c>
      <c r="GW75" s="3">
        <f ca="1">IFERROR(__xludf.DUMMYFUNCTION("""COMPUTED_VALUE"""),-0.874343732048445)</f>
        <v>-0.87434373204844495</v>
      </c>
      <c r="GX75" s="3">
        <f ca="1">IFERROR(__xludf.DUMMYFUNCTION("""COMPUTED_VALUE"""),-0.927558314030222)</f>
        <v>-0.92755831403022204</v>
      </c>
      <c r="GY75" s="3">
        <f ca="1">IFERROR(__xludf.DUMMYFUNCTION("""COMPUTED_VALUE"""),-0.935294552947412)</f>
        <v>-0.93529455294741204</v>
      </c>
      <c r="GZ75" s="3">
        <f ca="1">IFERROR(__xludf.DUMMYFUNCTION("""COMPUTED_VALUE"""),-0.930720049194478)</f>
        <v>-0.93072004919447804</v>
      </c>
      <c r="HA75" s="3">
        <f ca="1">IFERROR(__xludf.DUMMYFUNCTION("""COMPUTED_VALUE"""),-0.939959797682267)</f>
        <v>-0.93995979768226701</v>
      </c>
      <c r="HB75" s="3">
        <f ca="1">IFERROR(__xludf.DUMMYFUNCTION("""COMPUTED_VALUE"""),-0.897891123016722)</f>
        <v>-0.89789112301672203</v>
      </c>
      <c r="HC75" s="3">
        <f ca="1">IFERROR(__xludf.DUMMYFUNCTION("""COMPUTED_VALUE"""),-0.750005746832606)</f>
        <v>-0.75000574683260601</v>
      </c>
      <c r="HD75" s="3">
        <f ca="1">IFERROR(__xludf.DUMMYFUNCTION("""COMPUTED_VALUE"""),-0.804226981012564)</f>
        <v>-0.80422698101256396</v>
      </c>
      <c r="HE75" s="3">
        <f ca="1">IFERROR(__xludf.DUMMYFUNCTION("""COMPUTED_VALUE"""),-0.924305714839615)</f>
        <v>-0.92430571483961499</v>
      </c>
      <c r="HF75" s="3">
        <f ca="1">IFERROR(__xludf.DUMMYFUNCTION("""COMPUTED_VALUE"""),-0.926623707516821)</f>
        <v>-0.92662370751682099</v>
      </c>
      <c r="HG75" s="3">
        <f ca="1">IFERROR(__xludf.DUMMYFUNCTION("""COMPUTED_VALUE"""),-0.924884892780742)</f>
        <v>-0.92488489278074204</v>
      </c>
      <c r="HH75" s="3">
        <f ca="1">IFERROR(__xludf.DUMMYFUNCTION("""COMPUTED_VALUE"""),-0.916490772517681)</f>
        <v>-0.91649077251768096</v>
      </c>
      <c r="HI75" s="3">
        <f ca="1">IFERROR(__xludf.DUMMYFUNCTION("""COMPUTED_VALUE"""),-0.849613972192147)</f>
        <v>-0.84961397219214696</v>
      </c>
      <c r="HJ75" s="3">
        <f ca="1">IFERROR(__xludf.DUMMYFUNCTION("""COMPUTED_VALUE"""),-0.656666435509918)</f>
        <v>-0.65666643550991799</v>
      </c>
      <c r="HK75" s="3">
        <f ca="1">IFERROR(__xludf.DUMMYFUNCTION("""COMPUTED_VALUE"""),-0.739197960920885)</f>
        <v>-0.73919796092088497</v>
      </c>
      <c r="HL75" s="3">
        <f ca="1">IFERROR(__xludf.DUMMYFUNCTION("""COMPUTED_VALUE"""),-0.938199872156268)</f>
        <v>-0.93819987215626799</v>
      </c>
      <c r="HM75" s="3">
        <f ca="1">IFERROR(__xludf.DUMMYFUNCTION("""COMPUTED_VALUE"""),-0.94685070682675)</f>
        <v>-0.94685070682674999</v>
      </c>
      <c r="HN75" s="3">
        <f ca="1">IFERROR(__xludf.DUMMYFUNCTION("""COMPUTED_VALUE"""),-0.950467006842067)</f>
        <v>-0.95046700684206697</v>
      </c>
      <c r="HO75" s="3">
        <f ca="1">IFERROR(__xludf.DUMMYFUNCTION("""COMPUTED_VALUE"""),-0.920787856018488)</f>
        <v>-0.920787856018488</v>
      </c>
      <c r="HP75" s="3">
        <f ca="1">IFERROR(__xludf.DUMMYFUNCTION("""COMPUTED_VALUE"""),-0.895378589547021)</f>
        <v>-0.89537858954702099</v>
      </c>
      <c r="HQ75" s="3">
        <f ca="1">IFERROR(__xludf.DUMMYFUNCTION("""COMPUTED_VALUE"""),-0.817527576192118)</f>
        <v>-0.81752757619211802</v>
      </c>
      <c r="HR75" s="3">
        <f ca="1">IFERROR(__xludf.DUMMYFUNCTION("""COMPUTED_VALUE"""),-0.869867096856325)</f>
        <v>-0.86986709685632502</v>
      </c>
      <c r="HS75" s="3">
        <f ca="1">IFERROR(__xludf.DUMMYFUNCTION("""COMPUTED_VALUE"""),-0.928017140964761)</f>
        <v>-0.92801714096476096</v>
      </c>
      <c r="HT75" s="3">
        <f ca="1">IFERROR(__xludf.DUMMYFUNCTION("""COMPUTED_VALUE"""),-0.934818788622383)</f>
        <v>-0.93481878862238299</v>
      </c>
      <c r="HU75" s="3">
        <f ca="1">IFERROR(__xludf.DUMMYFUNCTION("""COMPUTED_VALUE"""),-0.935961106447021)</f>
        <v>-0.93596110644702102</v>
      </c>
      <c r="HV75" s="3">
        <f ca="1">IFERROR(__xludf.DUMMYFUNCTION("""COMPUTED_VALUE"""),-0.936947719329639)</f>
        <v>-0.93694771932963905</v>
      </c>
      <c r="HW75" s="3">
        <f ca="1">IFERROR(__xludf.DUMMYFUNCTION("""COMPUTED_VALUE"""),-0.895563769205778)</f>
        <v>-0.89556376920577796</v>
      </c>
      <c r="HX75" s="3">
        <f ca="1">IFERROR(__xludf.DUMMYFUNCTION("""COMPUTED_VALUE"""),-0.777904185675279)</f>
        <v>-0.77790418567527897</v>
      </c>
      <c r="HY75" s="3">
        <f ca="1">IFERROR(__xludf.DUMMYFUNCTION("""COMPUTED_VALUE"""),-0.841871162083215)</f>
        <v>-0.841871162083215</v>
      </c>
      <c r="HZ75" s="3">
        <f ca="1">IFERROR(__xludf.DUMMYFUNCTION("""COMPUTED_VALUE"""),-0.933367035488318)</f>
        <v>-0.93336703548831801</v>
      </c>
      <c r="IA75" s="3">
        <f ca="1">IFERROR(__xludf.DUMMYFUNCTION("""COMPUTED_VALUE"""),-0.945818069485459)</f>
        <v>-0.94581806948545899</v>
      </c>
      <c r="IB75" s="3">
        <f ca="1">IFERROR(__xludf.DUMMYFUNCTION("""COMPUTED_VALUE"""),-0.932627900615081)</f>
        <v>-0.93262790061508105</v>
      </c>
      <c r="IC75" s="3">
        <f ca="1">IFERROR(__xludf.DUMMYFUNCTION("""COMPUTED_VALUE"""),-0.920943752331433)</f>
        <v>-0.920943752331433</v>
      </c>
      <c r="ID75" s="3">
        <f ca="1">IFERROR(__xludf.DUMMYFUNCTION("""COMPUTED_VALUE"""),-0.890211602270796)</f>
        <v>-0.89021160227079599</v>
      </c>
      <c r="IE75" s="3">
        <f ca="1">IFERROR(__xludf.DUMMYFUNCTION("""COMPUTED_VALUE"""),-0.732176562715283)</f>
        <v>-0.73217656271528297</v>
      </c>
      <c r="IF75" s="3">
        <f ca="1">IFERROR(__xludf.DUMMYFUNCTION("""COMPUTED_VALUE"""),-0.804897207915712)</f>
        <v>-0.80489720791571195</v>
      </c>
      <c r="IG75" s="3">
        <f ca="1">IFERROR(__xludf.DUMMYFUNCTION("""COMPUTED_VALUE"""),-0.914741449501802)</f>
        <v>-0.91474144950180203</v>
      </c>
      <c r="IH75" s="3">
        <f ca="1">IFERROR(__xludf.DUMMYFUNCTION("""COMPUTED_VALUE"""),-0.91023496892815)</f>
        <v>-0.91023496892815003</v>
      </c>
      <c r="II75" s="3">
        <f ca="1">IFERROR(__xludf.DUMMYFUNCTION("""COMPUTED_VALUE"""),-0.898747979840365)</f>
        <v>-0.89874797984036503</v>
      </c>
      <c r="IJ75" s="3">
        <f ca="1">IFERROR(__xludf.DUMMYFUNCTION("""COMPUTED_VALUE"""),-0.871081992841095)</f>
        <v>-0.871081992841095</v>
      </c>
      <c r="IK75" s="3">
        <f ca="1">IFERROR(__xludf.DUMMYFUNCTION("""COMPUTED_VALUE"""),-0.867992740352346)</f>
        <v>-0.86799274035234597</v>
      </c>
      <c r="IL75" s="3">
        <f ca="1">IFERROR(__xludf.DUMMYFUNCTION("""COMPUTED_VALUE"""),-0.848856706649689)</f>
        <v>-0.84885670664968904</v>
      </c>
      <c r="IM75" s="3">
        <f ca="1">IFERROR(__xludf.DUMMYFUNCTION("""COMPUTED_VALUE"""),-0.876976513502648)</f>
        <v>-0.87697651350264805</v>
      </c>
      <c r="IN75" s="3">
        <f ca="1">IFERROR(__xludf.DUMMYFUNCTION("""COMPUTED_VALUE"""),-0.922655132396966)</f>
        <v>-0.92265513239696595</v>
      </c>
      <c r="IO75" s="3">
        <f ca="1">IFERROR(__xludf.DUMMYFUNCTION("""COMPUTED_VALUE"""),-0.926767833572437)</f>
        <v>-0.92676783357243697</v>
      </c>
      <c r="IP75" s="3">
        <f ca="1">IFERROR(__xludf.DUMMYFUNCTION("""COMPUTED_VALUE"""),-0.895888635780591)</f>
        <v>-0.89588863578059097</v>
      </c>
      <c r="IQ75" s="3">
        <f ca="1">IFERROR(__xludf.DUMMYFUNCTION("""COMPUTED_VALUE"""),-0.914460820436249)</f>
        <v>-0.91446082043624899</v>
      </c>
      <c r="IR75" s="3">
        <f ca="1">IFERROR(__xludf.DUMMYFUNCTION("""COMPUTED_VALUE"""),-0.876320070818639)</f>
        <v>-0.87632007081863905</v>
      </c>
      <c r="IS75" s="3">
        <f ca="1">IFERROR(__xludf.DUMMYFUNCTION("""COMPUTED_VALUE"""),-0.847322352012381)</f>
        <v>-0.84732235201238104</v>
      </c>
      <c r="IT75" s="3">
        <f ca="1">IFERROR(__xludf.DUMMYFUNCTION("""COMPUTED_VALUE"""),-0.834662285498896)</f>
        <v>-0.83466228549889598</v>
      </c>
      <c r="IU75" s="3">
        <f ca="1">IFERROR(__xludf.DUMMYFUNCTION("""COMPUTED_VALUE"""),-0.884009030002891)</f>
        <v>-0.88400903000289099</v>
      </c>
      <c r="IV75" s="3">
        <f ca="1">IFERROR(__xludf.DUMMYFUNCTION("""COMPUTED_VALUE"""),-0.902132082944154)</f>
        <v>-0.90213208294415403</v>
      </c>
      <c r="IW75" s="3">
        <f ca="1">IFERROR(__xludf.DUMMYFUNCTION("""COMPUTED_VALUE"""),-0.880589405641662)</f>
        <v>-0.88058940564166199</v>
      </c>
      <c r="IX75" s="3">
        <f ca="1">IFERROR(__xludf.DUMMYFUNCTION("""COMPUTED_VALUE"""),-0.886656537843365)</f>
        <v>-0.88665653784336496</v>
      </c>
      <c r="IY75" s="3">
        <f ca="1">IFERROR(__xludf.DUMMYFUNCTION("""COMPUTED_VALUE"""),-0.882367943388882)</f>
        <v>-0.88236794338888203</v>
      </c>
      <c r="IZ75" s="3">
        <f ca="1">IFERROR(__xludf.DUMMYFUNCTION("""COMPUTED_VALUE"""),-0.818326969480196)</f>
        <v>-0.81832696948019601</v>
      </c>
      <c r="JA75" s="3">
        <f ca="1">IFERROR(__xludf.DUMMYFUNCTION("""COMPUTED_VALUE"""),-0.824458752404447)</f>
        <v>-0.82445875240444699</v>
      </c>
      <c r="JB75" s="3">
        <f ca="1">IFERROR(__xludf.DUMMYFUNCTION("""COMPUTED_VALUE"""),-0.911641864060128)</f>
        <v>-0.91164186406012804</v>
      </c>
      <c r="JC75" s="3">
        <f ca="1">IFERROR(__xludf.DUMMYFUNCTION("""COMPUTED_VALUE"""),-0.920767786589964)</f>
        <v>-0.92076778658996405</v>
      </c>
      <c r="JD75" s="3">
        <f ca="1">IFERROR(__xludf.DUMMYFUNCTION("""COMPUTED_VALUE"""),-0.901562339067191)</f>
        <v>-0.90156233906719097</v>
      </c>
      <c r="JE75" s="3">
        <f ca="1">IFERROR(__xludf.DUMMYFUNCTION("""COMPUTED_VALUE"""),-0.909429637772225)</f>
        <v>-0.90942963777222496</v>
      </c>
      <c r="JF75" s="3">
        <f ca="1">IFERROR(__xludf.DUMMYFUNCTION("""COMPUTED_VALUE"""),-0.863359849974339)</f>
        <v>-0.86335984997433901</v>
      </c>
      <c r="JG75" s="3">
        <f ca="1">IFERROR(__xludf.DUMMYFUNCTION("""COMPUTED_VALUE"""),-0.850728960303405)</f>
        <v>-0.85072896030340495</v>
      </c>
      <c r="JH75" s="3">
        <f ca="1">IFERROR(__xludf.DUMMYFUNCTION("""COMPUTED_VALUE"""),-0.865926139073251)</f>
        <v>-0.865926139073251</v>
      </c>
      <c r="JI75" s="3">
        <f ca="1">IFERROR(__xludf.DUMMYFUNCTION("""COMPUTED_VALUE"""),-0.897956341145448)</f>
        <v>-0.89795634114544798</v>
      </c>
      <c r="JJ75" s="3">
        <f ca="1">IFERROR(__xludf.DUMMYFUNCTION("""COMPUTED_VALUE"""),-0.91353704124842)</f>
        <v>-0.91353704124841995</v>
      </c>
      <c r="JK75" s="3">
        <f ca="1">IFERROR(__xludf.DUMMYFUNCTION("""COMPUTED_VALUE"""),-0.922498325922365)</f>
        <v>-0.92249832592236503</v>
      </c>
      <c r="JL75" s="3">
        <f ca="1">IFERROR(__xludf.DUMMYFUNCTION("""COMPUTED_VALUE"""),-0.910610319438349)</f>
        <v>-0.91061031943834903</v>
      </c>
      <c r="JM75" s="3">
        <f ca="1">IFERROR(__xludf.DUMMYFUNCTION("""COMPUTED_VALUE"""),-0.888349091298509)</f>
        <v>-0.88834909129850903</v>
      </c>
      <c r="JN75" s="3">
        <f ca="1">IFERROR(__xludf.DUMMYFUNCTION("""COMPUTED_VALUE"""),-0.793255125194422)</f>
        <v>-0.79325512519442198</v>
      </c>
      <c r="JO75" s="3">
        <f ca="1">IFERROR(__xludf.DUMMYFUNCTION("""COMPUTED_VALUE"""),-0.833928102630235)</f>
        <v>-0.83392810263023498</v>
      </c>
      <c r="JP75" s="3">
        <f ca="1">IFERROR(__xludf.DUMMYFUNCTION("""COMPUTED_VALUE"""),-0.878722724280938)</f>
        <v>-0.87872272428093801</v>
      </c>
      <c r="JQ75" s="3">
        <f ca="1">IFERROR(__xludf.DUMMYFUNCTION("""COMPUTED_VALUE"""),-0.893480794464505)</f>
        <v>-0.89348079446450501</v>
      </c>
      <c r="JR75" s="3">
        <f ca="1">IFERROR(__xludf.DUMMYFUNCTION("""COMPUTED_VALUE"""),-0.902920056992811)</f>
        <v>-0.90292005699281097</v>
      </c>
      <c r="JS75" s="3">
        <f ca="1">IFERROR(__xludf.DUMMYFUNCTION("""COMPUTED_VALUE"""),-0.898827796478432)</f>
        <v>-0.89882779647843203</v>
      </c>
      <c r="JT75" s="3">
        <f ca="1">IFERROR(__xludf.DUMMYFUNCTION("""COMPUTED_VALUE"""),-0.912576320969386)</f>
        <v>-0.91257632096938601</v>
      </c>
      <c r="JU75" s="3">
        <f ca="1">IFERROR(__xludf.DUMMYFUNCTION("""COMPUTED_VALUE"""),-0.917832407490843)</f>
        <v>-0.91783240749084305</v>
      </c>
      <c r="JV75" s="3">
        <f ca="1">IFERROR(__xludf.DUMMYFUNCTION("""COMPUTED_VALUE"""),-0.937683255312992)</f>
        <v>-0.93768325531299201</v>
      </c>
      <c r="JW75" s="3">
        <f ca="1">IFERROR(__xludf.DUMMYFUNCTION("""COMPUTED_VALUE"""),-0.895631709203839)</f>
        <v>-0.89563170920383905</v>
      </c>
      <c r="JX75" s="3">
        <f ca="1">IFERROR(__xludf.DUMMYFUNCTION("""COMPUTED_VALUE"""),-0.892535737998507)</f>
        <v>-0.89253573799850705</v>
      </c>
      <c r="JY75" s="3">
        <f ca="1">IFERROR(__xludf.DUMMYFUNCTION("""COMPUTED_VALUE"""),-0.897827635158889)</f>
        <v>-0.89782763515888897</v>
      </c>
      <c r="JZ75" s="3">
        <f ca="1">IFERROR(__xludf.DUMMYFUNCTION("""COMPUTED_VALUE"""),-0.921740930235861)</f>
        <v>-0.92174093023586101</v>
      </c>
      <c r="KA75" s="3">
        <f ca="1">IFERROR(__xludf.DUMMYFUNCTION("""COMPUTED_VALUE"""),-0.909647360067623)</f>
        <v>-0.90964736006762303</v>
      </c>
      <c r="KB75" s="3">
        <f ca="1">IFERROR(__xludf.DUMMYFUNCTION("""COMPUTED_VALUE"""),-0.848666108096025)</f>
        <v>-0.84866610809602505</v>
      </c>
      <c r="KC75" s="3">
        <f ca="1">IFERROR(__xludf.DUMMYFUNCTION("""COMPUTED_VALUE"""),-0.777599860397694)</f>
        <v>-0.77759986039769402</v>
      </c>
      <c r="KD75" s="3">
        <f ca="1">IFERROR(__xludf.DUMMYFUNCTION("""COMPUTED_VALUE"""),-0.878798867345707)</f>
        <v>-0.878798867345707</v>
      </c>
      <c r="KE75" s="3">
        <f ca="1">IFERROR(__xludf.DUMMYFUNCTION("""COMPUTED_VALUE"""),-0.843346021625071)</f>
        <v>-0.843346021625071</v>
      </c>
      <c r="KF75" s="3">
        <f ca="1">IFERROR(__xludf.DUMMYFUNCTION("""COMPUTED_VALUE"""),-0.865586719446635)</f>
        <v>-0.86558671944663501</v>
      </c>
      <c r="KG75" s="3">
        <f ca="1">IFERROR(__xludf.DUMMYFUNCTION("""COMPUTED_VALUE"""),-0.901631454388829)</f>
        <v>-0.90163145438882897</v>
      </c>
      <c r="KH75" s="3">
        <f ca="1">IFERROR(__xludf.DUMMYFUNCTION("""COMPUTED_VALUE"""),-0.874065306606813)</f>
        <v>-0.87406530660681303</v>
      </c>
      <c r="KI75" s="3">
        <f ca="1">IFERROR(__xludf.DUMMYFUNCTION("""COMPUTED_VALUE"""),-0.791556479136325)</f>
        <v>-0.79155647913632499</v>
      </c>
      <c r="KJ75" s="3">
        <f ca="1">IFERROR(__xludf.DUMMYFUNCTION("""COMPUTED_VALUE"""),-0.798770315098209)</f>
        <v>-0.79877031509820895</v>
      </c>
      <c r="KK75" s="3">
        <f ca="1">IFERROR(__xludf.DUMMYFUNCTION("""COMPUTED_VALUE"""),-0.90523095436084)</f>
        <v>-0.90523095436084</v>
      </c>
      <c r="KL75" s="3">
        <f ca="1">IFERROR(__xludf.DUMMYFUNCTION("""COMPUTED_VALUE"""),-0.872975234463184)</f>
        <v>-0.87297523446318404</v>
      </c>
      <c r="KM75" s="3">
        <f ca="1">IFERROR(__xludf.DUMMYFUNCTION("""COMPUTED_VALUE"""),-0.900256836114866)</f>
        <v>-0.90025683611486595</v>
      </c>
      <c r="KN75" s="3">
        <f ca="1">IFERROR(__xludf.DUMMYFUNCTION("""COMPUTED_VALUE"""),-0.913483507409207)</f>
        <v>-0.91348350740920703</v>
      </c>
      <c r="KO75" s="3">
        <f ca="1">IFERROR(__xludf.DUMMYFUNCTION("""COMPUTED_VALUE"""),-0.853013502048707)</f>
        <v>-0.85301350204870696</v>
      </c>
      <c r="KP75" s="3">
        <f ca="1">IFERROR(__xludf.DUMMYFUNCTION("""COMPUTED_VALUE"""),-0.788860224443229)</f>
        <v>-0.78886022444322901</v>
      </c>
      <c r="KQ75" s="3">
        <f ca="1">IFERROR(__xludf.DUMMYFUNCTION("""COMPUTED_VALUE"""),-0.843899362514758)</f>
        <v>-0.84389936251475794</v>
      </c>
      <c r="KR75" s="3">
        <f ca="1">IFERROR(__xludf.DUMMYFUNCTION("""COMPUTED_VALUE"""),-0.908910209858745)</f>
        <v>-0.90891020985874504</v>
      </c>
      <c r="KS75" s="3">
        <f ca="1">IFERROR(__xludf.DUMMYFUNCTION("""COMPUTED_VALUE"""),-0.893634638621429)</f>
        <v>-0.893634638621429</v>
      </c>
      <c r="KT75" s="3">
        <f ca="1">IFERROR(__xludf.DUMMYFUNCTION("""COMPUTED_VALUE"""),-0.88483510505411)</f>
        <v>-0.88483510505411</v>
      </c>
      <c r="KU75" s="3">
        <f ca="1">IFERROR(__xludf.DUMMYFUNCTION("""COMPUTED_VALUE"""),-0.871883435650401)</f>
        <v>-0.87188343565040105</v>
      </c>
      <c r="KV75" s="3">
        <f ca="1">IFERROR(__xludf.DUMMYFUNCTION("""COMPUTED_VALUE"""),-0.886044285666862)</f>
        <v>-0.886044285666862</v>
      </c>
      <c r="KW75" s="3">
        <f ca="1">IFERROR(__xludf.DUMMYFUNCTION("""COMPUTED_VALUE"""),-0.846721013651276)</f>
        <v>-0.84672101365127606</v>
      </c>
      <c r="KX75" s="3">
        <f ca="1">IFERROR(__xludf.DUMMYFUNCTION("""COMPUTED_VALUE"""),-0.887698647789275)</f>
        <v>-0.88769864778927499</v>
      </c>
      <c r="KY75" s="3">
        <f ca="1">IFERROR(__xludf.DUMMYFUNCTION("""COMPUTED_VALUE"""),-0.904040943473555)</f>
        <v>-0.90404094347355501</v>
      </c>
      <c r="KZ75" s="3">
        <f ca="1">IFERROR(__xludf.DUMMYFUNCTION("""COMPUTED_VALUE"""),-0.913981381827616)</f>
        <v>-0.91398138182761601</v>
      </c>
      <c r="LA75" s="3">
        <f ca="1">IFERROR(__xludf.DUMMYFUNCTION("""COMPUTED_VALUE"""),-0.918119677032411)</f>
        <v>-0.91811967703241104</v>
      </c>
      <c r="LB75" s="3">
        <f ca="1">IFERROR(__xludf.DUMMYFUNCTION("""COMPUTED_VALUE"""),-0.915077707705166)</f>
        <v>-0.91507770770516605</v>
      </c>
      <c r="LC75" s="3">
        <f ca="1">IFERROR(__xludf.DUMMYFUNCTION("""COMPUTED_VALUE"""),-0.863890671917792)</f>
        <v>-0.86389067191779201</v>
      </c>
      <c r="LD75" s="3">
        <f ca="1">IFERROR(__xludf.DUMMYFUNCTION("""COMPUTED_VALUE"""),-0.805504244201544)</f>
        <v>-0.80550424420154398</v>
      </c>
      <c r="LE75" s="3">
        <f ca="1">IFERROR(__xludf.DUMMYFUNCTION("""COMPUTED_VALUE"""),-0.899163372320207)</f>
        <v>-0.89916337232020704</v>
      </c>
      <c r="LF75" s="3">
        <f ca="1">IFERROR(__xludf.DUMMYFUNCTION("""COMPUTED_VALUE"""),-0.932530672433265)</f>
        <v>-0.93253067243326504</v>
      </c>
      <c r="LG75" s="3">
        <f ca="1">IFERROR(__xludf.DUMMYFUNCTION("""COMPUTED_VALUE"""),-0.920139050963635)</f>
        <v>-0.92013905096363502</v>
      </c>
      <c r="LH75" s="3">
        <f ca="1">IFERROR(__xludf.DUMMYFUNCTION("""COMPUTED_VALUE"""),-0.925505786619118)</f>
        <v>-0.92550578661911798</v>
      </c>
      <c r="LI75" s="3">
        <f ca="1">IFERROR(__xludf.DUMMYFUNCTION("""COMPUTED_VALUE"""),-0.950508942083716)</f>
        <v>-0.95050894208371595</v>
      </c>
      <c r="LJ75" s="3">
        <f ca="1">IFERROR(__xludf.DUMMYFUNCTION("""COMPUTED_VALUE"""),-0.942653425665667)</f>
        <v>-0.94265342566566701</v>
      </c>
      <c r="LK75" s="3">
        <f ca="1">IFERROR(__xludf.DUMMYFUNCTION("""COMPUTED_VALUE"""),-0.900444180699361)</f>
        <v>-0.90044418069936105</v>
      </c>
      <c r="LL75" s="3">
        <f ca="1">IFERROR(__xludf.DUMMYFUNCTION("""COMPUTED_VALUE"""),-0.892084304097086)</f>
        <v>-0.89208430409708594</v>
      </c>
      <c r="LM75" s="3">
        <f ca="1">IFERROR(__xludf.DUMMYFUNCTION("""COMPUTED_VALUE"""),-0.939144122242336)</f>
        <v>-0.93914412224233601</v>
      </c>
      <c r="LN75" s="3">
        <f ca="1">IFERROR(__xludf.DUMMYFUNCTION("""COMPUTED_VALUE"""),-0.928900549742935)</f>
        <v>-0.92890054974293501</v>
      </c>
      <c r="LO75" s="3">
        <f ca="1">IFERROR(__xludf.DUMMYFUNCTION("""COMPUTED_VALUE"""),-0.931485340806219)</f>
        <v>-0.93148534080621903</v>
      </c>
      <c r="LP75" s="3">
        <f ca="1">IFERROR(__xludf.DUMMYFUNCTION("""COMPUTED_VALUE"""),-0.929135333972288)</f>
        <v>-0.92913533397228798</v>
      </c>
      <c r="LQ75" s="3">
        <f ca="1">IFERROR(__xludf.DUMMYFUNCTION("""COMPUTED_VALUE"""),-0.892425892242028)</f>
        <v>-0.89242589224202795</v>
      </c>
      <c r="LR75" s="3">
        <f ca="1">IFERROR(__xludf.DUMMYFUNCTION("""COMPUTED_VALUE"""),-0.878187857411975)</f>
        <v>-0.87818785741197503</v>
      </c>
      <c r="LS75" s="3">
        <f ca="1">IFERROR(__xludf.DUMMYFUNCTION("""COMPUTED_VALUE"""),-0.918002273793119)</f>
        <v>-0.91800227379311905</v>
      </c>
      <c r="LT75" s="3">
        <f ca="1">IFERROR(__xludf.DUMMYFUNCTION("""COMPUTED_VALUE"""),-0.94877932544629)</f>
        <v>-0.94877932544628996</v>
      </c>
      <c r="LU75" s="3">
        <f ca="1">IFERROR(__xludf.DUMMYFUNCTION("""COMPUTED_VALUE"""),-0.91888615302208)</f>
        <v>-0.91888615302207999</v>
      </c>
      <c r="LV75" s="3">
        <f ca="1">IFERROR(__xludf.DUMMYFUNCTION("""COMPUTED_VALUE"""),-0.947647261878377)</f>
        <v>-0.947647261878377</v>
      </c>
      <c r="LW75" s="3">
        <f ca="1">IFERROR(__xludf.DUMMYFUNCTION("""COMPUTED_VALUE"""),-0.932137750952138)</f>
        <v>-0.93213775095213802</v>
      </c>
      <c r="LX75" s="3">
        <f ca="1">IFERROR(__xludf.DUMMYFUNCTION("""COMPUTED_VALUE"""),-0.918464754069484)</f>
        <v>-0.91846475406948402</v>
      </c>
      <c r="LY75" s="3">
        <f ca="1">IFERROR(__xludf.DUMMYFUNCTION("""COMPUTED_VALUE"""),-0.890690702431201)</f>
        <v>-0.89069070243120096</v>
      </c>
      <c r="LZ75" s="3">
        <f ca="1">IFERROR(__xludf.DUMMYFUNCTION("""COMPUTED_VALUE"""),-0.914832204271047)</f>
        <v>-0.91483220427104694</v>
      </c>
      <c r="MA75" s="3">
        <f ca="1">IFERROR(__xludf.DUMMYFUNCTION("""COMPUTED_VALUE"""),-0.932509801775691)</f>
        <v>-0.93250980177569098</v>
      </c>
      <c r="MB75" s="3">
        <f ca="1">IFERROR(__xludf.DUMMYFUNCTION("""COMPUTED_VALUE"""),-0.929453185391069)</f>
        <v>-0.92945318539106903</v>
      </c>
      <c r="MC75" s="3">
        <f ca="1">IFERROR(__xludf.DUMMYFUNCTION("""COMPUTED_VALUE"""),-0.930758940661299)</f>
        <v>-0.93075894066129905</v>
      </c>
      <c r="MD75" s="3">
        <f ca="1">IFERROR(__xludf.DUMMYFUNCTION("""COMPUTED_VALUE"""),-0.93240775850635)</f>
        <v>-0.93240775850635005</v>
      </c>
      <c r="ME75" s="3">
        <f ca="1">IFERROR(__xludf.DUMMYFUNCTION("""COMPUTED_VALUE"""),-0.924554101505883)</f>
        <v>-0.92455410150588302</v>
      </c>
      <c r="MF75" s="3">
        <f ca="1">IFERROR(__xludf.DUMMYFUNCTION("""COMPUTED_VALUE"""),-0.846916212950245)</f>
        <v>-0.846916212950245</v>
      </c>
      <c r="MG75" s="3">
        <f ca="1">IFERROR(__xludf.DUMMYFUNCTION("""COMPUTED_VALUE"""),-0.899963118285661)</f>
        <v>-0.899963118285661</v>
      </c>
      <c r="MH75" s="3">
        <f ca="1">IFERROR(__xludf.DUMMYFUNCTION("""COMPUTED_VALUE"""),-0.933819980597696)</f>
        <v>-0.933819980597696</v>
      </c>
      <c r="MI75" s="3">
        <f ca="1">IFERROR(__xludf.DUMMYFUNCTION("""COMPUTED_VALUE"""),-0.936084351287732)</f>
        <v>-0.93608435128773204</v>
      </c>
      <c r="MJ75" s="3">
        <f ca="1">IFERROR(__xludf.DUMMYFUNCTION("""COMPUTED_VALUE"""),-0.95243298991497)</f>
        <v>-0.95243298991497005</v>
      </c>
      <c r="MK75" s="3">
        <f ca="1">IFERROR(__xludf.DUMMYFUNCTION("""COMPUTED_VALUE"""),-0.936637908968787)</f>
        <v>-0.93663790896878696</v>
      </c>
      <c r="ML75" s="3">
        <f ca="1">IFERROR(__xludf.DUMMYFUNCTION("""COMPUTED_VALUE"""),-0.936538019789248)</f>
        <v>-0.936538019789248</v>
      </c>
      <c r="MM75" s="3">
        <f ca="1">IFERROR(__xludf.DUMMYFUNCTION("""COMPUTED_VALUE"""),-0.89422790205305)</f>
        <v>-0.89422790205305003</v>
      </c>
      <c r="MN75" s="3">
        <f ca="1">IFERROR(__xludf.DUMMYFUNCTION("""COMPUTED_VALUE"""),-0.891427884206663)</f>
        <v>-0.89142788420666297</v>
      </c>
      <c r="MO75" s="3">
        <f ca="1">IFERROR(__xludf.DUMMYFUNCTION("""COMPUTED_VALUE"""),-0.955545539616305)</f>
        <v>-0.95554553961630495</v>
      </c>
      <c r="MP75" s="3">
        <f ca="1">IFERROR(__xludf.DUMMYFUNCTION("""COMPUTED_VALUE"""),-0.969376368310388)</f>
        <v>-0.96937636831038798</v>
      </c>
      <c r="MQ75" s="3">
        <f ca="1">IFERROR(__xludf.DUMMYFUNCTION("""COMPUTED_VALUE"""),-0.951701706128081)</f>
        <v>-0.95170170612808103</v>
      </c>
      <c r="MR75" s="3">
        <f ca="1">IFERROR(__xludf.DUMMYFUNCTION("""COMPUTED_VALUE"""),-0.931629734519877)</f>
        <v>-0.93162973451987696</v>
      </c>
      <c r="MS75" s="3">
        <f ca="1">IFERROR(__xludf.DUMMYFUNCTION("""COMPUTED_VALUE"""),-0.936956010847202)</f>
        <v>-0.93695601084720204</v>
      </c>
      <c r="MT75" s="3">
        <f ca="1">IFERROR(__xludf.DUMMYFUNCTION("""COMPUTED_VALUE"""),-0.866393120499779)</f>
        <v>-0.86639312049977901</v>
      </c>
      <c r="MU75" s="3">
        <f ca="1">IFERROR(__xludf.DUMMYFUNCTION("""COMPUTED_VALUE"""),-0.909156329652194)</f>
        <v>-0.90915632965219395</v>
      </c>
      <c r="MV75" s="3">
        <f ca="1">IFERROR(__xludf.DUMMYFUNCTION("""COMPUTED_VALUE"""),-0.936073279775253)</f>
        <v>-0.93607327977525301</v>
      </c>
      <c r="MW75" s="3">
        <f ca="1">IFERROR(__xludf.DUMMYFUNCTION("""COMPUTED_VALUE"""),-0.94432159950352)</f>
        <v>-0.94432159950352001</v>
      </c>
      <c r="MX75" s="3">
        <f ca="1">IFERROR(__xludf.DUMMYFUNCTION("""COMPUTED_VALUE"""),-0.940872514484873)</f>
        <v>-0.94087251448487297</v>
      </c>
      <c r="MY75" s="3">
        <f ca="1">IFERROR(__xludf.DUMMYFUNCTION("""COMPUTED_VALUE"""),-0.927917132106996)</f>
        <v>-0.927917132106996</v>
      </c>
      <c r="MZ75" s="3">
        <f ca="1">IFERROR(__xludf.DUMMYFUNCTION("""COMPUTED_VALUE"""),-0.92848280301807)</f>
        <v>-0.92848280301806996</v>
      </c>
      <c r="NA75" s="3">
        <f ca="1">IFERROR(__xludf.DUMMYFUNCTION("""COMPUTED_VALUE"""),-0.809884443606633)</f>
        <v>-0.80988444360663303</v>
      </c>
      <c r="NB75" s="3">
        <f ca="1">IFERROR(__xludf.DUMMYFUNCTION("""COMPUTED_VALUE"""),-0.91213230151624)</f>
        <v>-0.91213230151624003</v>
      </c>
      <c r="NC75" s="3">
        <f ca="1">IFERROR(__xludf.DUMMYFUNCTION("""COMPUTED_VALUE"""),-0.916339766370747)</f>
        <v>-0.91633976637074699</v>
      </c>
      <c r="ND75" s="3">
        <f ca="1">IFERROR(__xludf.DUMMYFUNCTION("""COMPUTED_VALUE"""),-0.886262899436253)</f>
        <v>-0.88626289943625303</v>
      </c>
      <c r="NE75" s="3">
        <f ca="1">IFERROR(__xludf.DUMMYFUNCTION("""COMPUTED_VALUE"""),-0.878047865822253)</f>
        <v>-0.87804786582225303</v>
      </c>
      <c r="NF75" s="3">
        <f ca="1">IFERROR(__xludf.DUMMYFUNCTION("""COMPUTED_VALUE"""),-0.899855935488861)</f>
        <v>-0.899855935488861</v>
      </c>
      <c r="NG75" s="3">
        <f ca="1">IFERROR(__xludf.DUMMYFUNCTION("""COMPUTED_VALUE"""),-0.85818097132117)</f>
        <v>-0.85818097132116999</v>
      </c>
      <c r="NH75" s="3">
        <f ca="1">IFERROR(__xludf.DUMMYFUNCTION("""COMPUTED_VALUE"""),-0.780867323392972)</f>
        <v>-0.78086732339297205</v>
      </c>
      <c r="NI75" s="3">
        <f ca="1">IFERROR(__xludf.DUMMYFUNCTION("""COMPUTED_VALUE"""),-0.827185803934718)</f>
        <v>-0.82718580393471797</v>
      </c>
      <c r="NJ75" s="3">
        <f ca="1">IFERROR(__xludf.DUMMYFUNCTION("""COMPUTED_VALUE"""),-0.845319344811381)</f>
        <v>-0.84531934481138105</v>
      </c>
      <c r="NK75" s="3">
        <f ca="1">IFERROR(__xludf.DUMMYFUNCTION("""COMPUTED_VALUE"""),-0.84719491459033)</f>
        <v>-0.84719491459033003</v>
      </c>
      <c r="NL75" s="3">
        <f ca="1">IFERROR(__xludf.DUMMYFUNCTION("""COMPUTED_VALUE"""),-0.855864507740913)</f>
        <v>-0.85586450774091305</v>
      </c>
      <c r="NM75" s="3">
        <f ca="1">IFERROR(__xludf.DUMMYFUNCTION("""COMPUTED_VALUE"""),-0.793746164618843)</f>
        <v>-0.79374616461884295</v>
      </c>
      <c r="NN75" s="3">
        <f ca="1">IFERROR(__xludf.DUMMYFUNCTION("""COMPUTED_VALUE"""),-0.781434825074588)</f>
        <v>-0.78143482507458795</v>
      </c>
      <c r="NO75" s="3">
        <f ca="1">IFERROR(__xludf.DUMMYFUNCTION("""COMPUTED_VALUE"""),-0.747978286817951)</f>
        <v>-0.74797828681795098</v>
      </c>
      <c r="NP75" s="3">
        <f ca="1">IFERROR(__xludf.DUMMYFUNCTION("""COMPUTED_VALUE"""),-0.835128081164604)</f>
        <v>-0.83512808116460402</v>
      </c>
      <c r="NQ75" s="3">
        <f ca="1">IFERROR(__xludf.DUMMYFUNCTION("""COMPUTED_VALUE"""),-0.861019286791965)</f>
        <v>-0.86101928679196504</v>
      </c>
      <c r="NR75" s="3">
        <f ca="1">IFERROR(__xludf.DUMMYFUNCTION("""COMPUTED_VALUE"""),-0.866884732066058)</f>
        <v>-0.86688473206605798</v>
      </c>
      <c r="NS75" s="3">
        <f ca="1">IFERROR(__xludf.DUMMYFUNCTION("""COMPUTED_VALUE"""),-0.899137436004831)</f>
        <v>-0.89913743600483098</v>
      </c>
      <c r="NT75" s="3">
        <f ca="1">IFERROR(__xludf.DUMMYFUNCTION("""COMPUTED_VALUE"""),-0.845649327858238)</f>
        <v>-0.84564932785823799</v>
      </c>
      <c r="NU75" s="3">
        <f ca="1">IFERROR(__xludf.DUMMYFUNCTION("""COMPUTED_VALUE"""),-0.843201382590708)</f>
        <v>-0.84320138259070798</v>
      </c>
      <c r="NV75" s="3">
        <f ca="1">IFERROR(__xludf.DUMMYFUNCTION("""COMPUTED_VALUE"""),-0.844760746050815)</f>
        <v>-0.84476074605081497</v>
      </c>
      <c r="NW75" s="3">
        <f ca="1">IFERROR(__xludf.DUMMYFUNCTION("""COMPUTED_VALUE"""),-0.83565383977317)</f>
        <v>-0.83565383977316998</v>
      </c>
      <c r="NX75" s="3">
        <f ca="1">IFERROR(__xludf.DUMMYFUNCTION("""COMPUTED_VALUE"""),-0.806722905298832)</f>
        <v>-0.80672290529883195</v>
      </c>
      <c r="NY75" s="3">
        <f ca="1">IFERROR(__xludf.DUMMYFUNCTION("""COMPUTED_VALUE"""),-0.855634612552133)</f>
        <v>-0.85563461255213302</v>
      </c>
      <c r="NZ75" s="3">
        <f ca="1">IFERROR(__xludf.DUMMYFUNCTION("""COMPUTED_VALUE"""),-0.856470310398439)</f>
        <v>-0.85647031039843902</v>
      </c>
      <c r="OA75" s="3">
        <f ca="1">IFERROR(__xludf.DUMMYFUNCTION("""COMPUTED_VALUE"""),-0.805557728516879)</f>
        <v>-0.80555772851687901</v>
      </c>
      <c r="OB75" s="3">
        <f ca="1">IFERROR(__xludf.DUMMYFUNCTION("""COMPUTED_VALUE"""),-0.656977432058686)</f>
        <v>-0.65697743205868597</v>
      </c>
      <c r="OC75" s="3">
        <f ca="1">IFERROR(__xludf.DUMMYFUNCTION("""COMPUTED_VALUE"""),-0.564792355346076)</f>
        <v>-0.56479235534607597</v>
      </c>
      <c r="OD75" s="3">
        <f ca="1">IFERROR(__xludf.DUMMYFUNCTION("""COMPUTED_VALUE"""),-0.458886277593101)</f>
        <v>-0.45888627759310102</v>
      </c>
      <c r="OE75" s="3">
        <f ca="1">IFERROR(__xludf.DUMMYFUNCTION("""COMPUTED_VALUE"""),-0.419289867373983)</f>
        <v>-0.41928986737398299</v>
      </c>
      <c r="OF75" s="3">
        <f ca="1">IFERROR(__xludf.DUMMYFUNCTION("""COMPUTED_VALUE"""),-0.467128274805633)</f>
        <v>-0.46712827480563301</v>
      </c>
      <c r="OG75" s="3">
        <f ca="1">IFERROR(__xludf.DUMMYFUNCTION("""COMPUTED_VALUE"""),-0.444516148655296)</f>
        <v>-0.44451614865529598</v>
      </c>
      <c r="OH75" s="3">
        <f ca="1">IFERROR(__xludf.DUMMYFUNCTION("""COMPUTED_VALUE"""),-0.404741006056152)</f>
        <v>-0.40474100605615199</v>
      </c>
      <c r="OI75" s="3">
        <f ca="1">IFERROR(__xludf.DUMMYFUNCTION("""COMPUTED_VALUE"""),-0.132713445079706)</f>
        <v>-0.13271344507970601</v>
      </c>
      <c r="OJ75" s="3">
        <f ca="1">IFERROR(__xludf.DUMMYFUNCTION("""COMPUTED_VALUE"""),-0.173287072498955)</f>
        <v>-0.173287072498955</v>
      </c>
      <c r="OK75" s="3">
        <f ca="1">IFERROR(__xludf.DUMMYFUNCTION("""COMPUTED_VALUE"""),-0.216925568211028)</f>
        <v>-0.21692556821102801</v>
      </c>
      <c r="OL75" s="3">
        <f ca="1">IFERROR(__xludf.DUMMYFUNCTION("""COMPUTED_VALUE"""),-0.0605197830819778)</f>
        <v>-6.05197830819778E-2</v>
      </c>
      <c r="OM75" s="3">
        <f ca="1">IFERROR(__xludf.DUMMYFUNCTION("""COMPUTED_VALUE"""),-0.0767357019987483)</f>
        <v>-7.6735701998748296E-2</v>
      </c>
      <c r="ON75" s="3">
        <f ca="1">IFERROR(__xludf.DUMMYFUNCTION("""COMPUTED_VALUE"""),0.02597964247191)</f>
        <v>2.5979642471910001E-2</v>
      </c>
      <c r="OO75" s="3">
        <f ca="1">IFERROR(__xludf.DUMMYFUNCTION("""COMPUTED_VALUE"""),0.0938321130291455)</f>
        <v>9.38321130291455E-2</v>
      </c>
      <c r="OP75" s="3">
        <f ca="1">IFERROR(__xludf.DUMMYFUNCTION("""COMPUTED_VALUE"""),0.0956125186000824)</f>
        <v>9.5612518600082394E-2</v>
      </c>
      <c r="OQ75" s="3">
        <f ca="1">IFERROR(__xludf.DUMMYFUNCTION("""COMPUTED_VALUE"""),-0.0655851710275985)</f>
        <v>-6.5585171027598504E-2</v>
      </c>
      <c r="OR75" s="3">
        <f ca="1">IFERROR(__xludf.DUMMYFUNCTION("""COMPUTED_VALUE"""),-0.0826491366889161)</f>
        <v>-8.2649136688916103E-2</v>
      </c>
      <c r="OS75" s="3">
        <f ca="1">IFERROR(__xludf.DUMMYFUNCTION("""COMPUTED_VALUE"""),0.0543724664718943)</f>
        <v>5.4372466471894303E-2</v>
      </c>
      <c r="OT75" s="3">
        <f ca="1">IFERROR(__xludf.DUMMYFUNCTION("""COMPUTED_VALUE"""),0.0549101083538818)</f>
        <v>5.4910108353881798E-2</v>
      </c>
      <c r="OU75" s="3">
        <f ca="1">IFERROR(__xludf.DUMMYFUNCTION("""COMPUTED_VALUE"""),0.133662563223791)</f>
        <v>0.133662563223791</v>
      </c>
      <c r="OV75" s="3">
        <f ca="1">IFERROR(__xludf.DUMMYFUNCTION("""COMPUTED_VALUE"""),0.20448413808326)</f>
        <v>0.20448413808325999</v>
      </c>
      <c r="OW75" s="3">
        <f ca="1">IFERROR(__xludf.DUMMYFUNCTION("""COMPUTED_VALUE"""),0.0688326979649198)</f>
        <v>6.8832697964919795E-2</v>
      </c>
      <c r="OX75" s="3">
        <f ca="1">IFERROR(__xludf.DUMMYFUNCTION("""COMPUTED_VALUE"""),-0.094273687405927)</f>
        <v>-9.4273687405926995E-2</v>
      </c>
      <c r="OY75" s="3">
        <f ca="1">IFERROR(__xludf.DUMMYFUNCTION("""COMPUTED_VALUE"""),-0.0121335496377421)</f>
        <v>-1.2133549637742101E-2</v>
      </c>
      <c r="OZ75" s="3">
        <f ca="1">IFERROR(__xludf.DUMMYFUNCTION("""COMPUTED_VALUE"""),-0.0536109055479046)</f>
        <v>-5.3610905547904597E-2</v>
      </c>
      <c r="PA75" s="3">
        <f ca="1">IFERROR(__xludf.DUMMYFUNCTION("""COMPUTED_VALUE"""),-0.0291930319529666)</f>
        <v>-2.9193031952966599E-2</v>
      </c>
      <c r="PB75" s="3">
        <f ca="1">IFERROR(__xludf.DUMMYFUNCTION("""COMPUTED_VALUE"""),-0.00258277069525791)</f>
        <v>-2.5827706952579101E-3</v>
      </c>
      <c r="PC75" s="3">
        <f ca="1">IFERROR(__xludf.DUMMYFUNCTION("""COMPUTED_VALUE"""),-0.0505275656842495)</f>
        <v>-5.0527565684249501E-2</v>
      </c>
      <c r="PD75" s="3">
        <f ca="1">IFERROR(__xludf.DUMMYFUNCTION("""COMPUTED_VALUE"""),-0.243751169649765)</f>
        <v>-0.24375116964976501</v>
      </c>
      <c r="PE75" s="3">
        <f ca="1">IFERROR(__xludf.DUMMYFUNCTION("""COMPUTED_VALUE"""),-0.142928858906868)</f>
        <v>-0.14292885890686799</v>
      </c>
      <c r="PF75" s="3">
        <f ca="1">IFERROR(__xludf.DUMMYFUNCTION("""COMPUTED_VALUE"""),-0.0226720259495271)</f>
        <v>-2.2672025949527101E-2</v>
      </c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</row>
    <row r="76" spans="1:594" ht="13">
      <c r="A76" s="1" t="str">
        <f ca="1">IFERROR(__xludf.DUMMYFUNCTION("""COMPUTED_VALUE"""),"Saskatoon")</f>
        <v>Saskatoon</v>
      </c>
      <c r="B76" s="3">
        <f ca="1">IFERROR(__xludf.DUMMYFUNCTION("""COMPUTED_VALUE"""),-0.614518893390247)</f>
        <v>-0.61451889339024701</v>
      </c>
      <c r="C76" s="3">
        <f ca="1">IFERROR(__xludf.DUMMYFUNCTION("""COMPUTED_VALUE"""),-0.720782369055429)</f>
        <v>-0.72078236905542903</v>
      </c>
      <c r="D76" s="3">
        <f ca="1">IFERROR(__xludf.DUMMYFUNCTION("""COMPUTED_VALUE"""),-0.760199805646554)</f>
        <v>-0.76019980564655398</v>
      </c>
      <c r="E76" s="3">
        <f ca="1">IFERROR(__xludf.DUMMYFUNCTION("""COMPUTED_VALUE"""),-0.745314875574026)</f>
        <v>-0.74531487557402598</v>
      </c>
      <c r="F76" s="3">
        <f ca="1">IFERROR(__xludf.DUMMYFUNCTION("""COMPUTED_VALUE"""),-0.75741245585558)</f>
        <v>-0.75741245585558004</v>
      </c>
      <c r="G76" s="3">
        <f ca="1">IFERROR(__xludf.DUMMYFUNCTION("""COMPUTED_VALUE"""),-0.780187794304719)</f>
        <v>-0.78018779430471896</v>
      </c>
      <c r="H76" s="3">
        <f ca="1">IFERROR(__xludf.DUMMYFUNCTION("""COMPUTED_VALUE"""),-0.681837826591053)</f>
        <v>-0.68183782659105296</v>
      </c>
      <c r="I76" s="3">
        <f ca="1">IFERROR(__xludf.DUMMYFUNCTION("""COMPUTED_VALUE"""),-0.672948856656448)</f>
        <v>-0.67294885665644799</v>
      </c>
      <c r="J76" s="3">
        <f ca="1">IFERROR(__xludf.DUMMYFUNCTION("""COMPUTED_VALUE"""),-0.780244509998674)</f>
        <v>-0.78024450999867401</v>
      </c>
      <c r="K76" s="3">
        <f ca="1">IFERROR(__xludf.DUMMYFUNCTION("""COMPUTED_VALUE"""),-0.705589064661154)</f>
        <v>-0.70558906466115401</v>
      </c>
      <c r="L76" s="3">
        <f ca="1">IFERROR(__xludf.DUMMYFUNCTION("""COMPUTED_VALUE"""),-0.701743395296865)</f>
        <v>-0.70174339529686502</v>
      </c>
      <c r="M76" s="3">
        <f ca="1">IFERROR(__xludf.DUMMYFUNCTION("""COMPUTED_VALUE"""),-0.707612941481832)</f>
        <v>-0.70761294148183196</v>
      </c>
      <c r="N76" s="3">
        <f ca="1">IFERROR(__xludf.DUMMYFUNCTION("""COMPUTED_VALUE"""),-0.735574860842565)</f>
        <v>-0.73557486084256496</v>
      </c>
      <c r="O76" s="3">
        <f ca="1">IFERROR(__xludf.DUMMYFUNCTION("""COMPUTED_VALUE"""),-0.620250270826018)</f>
        <v>-0.62025027082601802</v>
      </c>
      <c r="P76" s="3">
        <f ca="1">IFERROR(__xludf.DUMMYFUNCTION("""COMPUTED_VALUE"""),-0.636833065989876)</f>
        <v>-0.63683306598987599</v>
      </c>
      <c r="Q76" s="3">
        <f ca="1">IFERROR(__xludf.DUMMYFUNCTION("""COMPUTED_VALUE"""),-0.703847373787603)</f>
        <v>-0.70384737378760298</v>
      </c>
      <c r="R76" s="3">
        <f ca="1">IFERROR(__xludf.DUMMYFUNCTION("""COMPUTED_VALUE"""),-0.740765001033977)</f>
        <v>-0.74076500103397702</v>
      </c>
      <c r="S76" s="3">
        <f ca="1">IFERROR(__xludf.DUMMYFUNCTION("""COMPUTED_VALUE"""),-0.737769396603526)</f>
        <v>-0.73776939660352603</v>
      </c>
      <c r="T76" s="3">
        <f ca="1">IFERROR(__xludf.DUMMYFUNCTION("""COMPUTED_VALUE"""),-0.751092754301388)</f>
        <v>-0.751092754301388</v>
      </c>
      <c r="U76" s="3">
        <f ca="1">IFERROR(__xludf.DUMMYFUNCTION("""COMPUTED_VALUE"""),-0.748168195584368)</f>
        <v>-0.74816819558436798</v>
      </c>
      <c r="V76" s="3">
        <f ca="1">IFERROR(__xludf.DUMMYFUNCTION("""COMPUTED_VALUE"""),-0.63131756613198)</f>
        <v>-0.63131756613197998</v>
      </c>
      <c r="W76" s="3">
        <f ca="1">IFERROR(__xludf.DUMMYFUNCTION("""COMPUTED_VALUE"""),-0.597276198503496)</f>
        <v>-0.597276198503496</v>
      </c>
      <c r="X76" s="3">
        <f ca="1">IFERROR(__xludf.DUMMYFUNCTION("""COMPUTED_VALUE"""),-0.718035164422377)</f>
        <v>-0.71803516442237703</v>
      </c>
      <c r="Y76" s="3">
        <f ca="1">IFERROR(__xludf.DUMMYFUNCTION("""COMPUTED_VALUE"""),-0.743427935780337)</f>
        <v>-0.74342793578033695</v>
      </c>
      <c r="Z76" s="3">
        <f ca="1">IFERROR(__xludf.DUMMYFUNCTION("""COMPUTED_VALUE"""),-0.734793269292306)</f>
        <v>-0.73479326929230604</v>
      </c>
      <c r="AA76" s="3">
        <f ca="1">IFERROR(__xludf.DUMMYFUNCTION("""COMPUTED_VALUE"""),-0.745760241708719)</f>
        <v>-0.74576024170871902</v>
      </c>
      <c r="AB76" s="3">
        <f ca="1">IFERROR(__xludf.DUMMYFUNCTION("""COMPUTED_VALUE"""),-0.740859711031204)</f>
        <v>-0.74085971103120396</v>
      </c>
      <c r="AC76" s="3">
        <f ca="1">IFERROR(__xludf.DUMMYFUNCTION("""COMPUTED_VALUE"""),-0.653347675775613)</f>
        <v>-0.65334767577561303</v>
      </c>
      <c r="AD76" s="3">
        <f ca="1">IFERROR(__xludf.DUMMYFUNCTION("""COMPUTED_VALUE"""),-0.607848783897338)</f>
        <v>-0.60784878389733799</v>
      </c>
      <c r="AE76" s="3">
        <f ca="1">IFERROR(__xludf.DUMMYFUNCTION("""COMPUTED_VALUE"""),-0.732191434344246)</f>
        <v>-0.73219143434424605</v>
      </c>
      <c r="AF76" s="3">
        <f ca="1">IFERROR(__xludf.DUMMYFUNCTION("""COMPUTED_VALUE"""),-0.772838347638926)</f>
        <v>-0.772838347638926</v>
      </c>
      <c r="AG76" s="3">
        <f ca="1">IFERROR(__xludf.DUMMYFUNCTION("""COMPUTED_VALUE"""),-0.741918345857691)</f>
        <v>-0.74191834585769101</v>
      </c>
      <c r="AH76" s="3">
        <f ca="1">IFERROR(__xludf.DUMMYFUNCTION("""COMPUTED_VALUE"""),-0.769828545334706)</f>
        <v>-0.76982854533470602</v>
      </c>
      <c r="AI76" s="3">
        <f ca="1">IFERROR(__xludf.DUMMYFUNCTION("""COMPUTED_VALUE"""),-0.765022223664221)</f>
        <v>-0.76502222366422101</v>
      </c>
      <c r="AJ76" s="3">
        <f ca="1">IFERROR(__xludf.DUMMYFUNCTION("""COMPUTED_VALUE"""),-0.622350145642609)</f>
        <v>-0.62235014564260904</v>
      </c>
      <c r="AK76" s="3">
        <f ca="1">IFERROR(__xludf.DUMMYFUNCTION("""COMPUTED_VALUE"""),-0.639093810665854)</f>
        <v>-0.63909381066585402</v>
      </c>
      <c r="AL76" s="3">
        <f ca="1">IFERROR(__xludf.DUMMYFUNCTION("""COMPUTED_VALUE"""),-0.740372963605035)</f>
        <v>-0.74037296360503502</v>
      </c>
      <c r="AM76" s="3">
        <f ca="1">IFERROR(__xludf.DUMMYFUNCTION("""COMPUTED_VALUE"""),-0.767002552285903)</f>
        <v>-0.76700255228590297</v>
      </c>
      <c r="AN76" s="3">
        <f ca="1">IFERROR(__xludf.DUMMYFUNCTION("""COMPUTED_VALUE"""),-0.788288669933293)</f>
        <v>-0.78828866993329305</v>
      </c>
      <c r="AO76" s="3">
        <f ca="1">IFERROR(__xludf.DUMMYFUNCTION("""COMPUTED_VALUE"""),-0.770137244988338)</f>
        <v>-0.77013724498833802</v>
      </c>
      <c r="AP76" s="3">
        <f ca="1">IFERROR(__xludf.DUMMYFUNCTION("""COMPUTED_VALUE"""),-0.759769883486535)</f>
        <v>-0.75976988348653496</v>
      </c>
      <c r="AQ76" s="3">
        <f ca="1">IFERROR(__xludf.DUMMYFUNCTION("""COMPUTED_VALUE"""),-0.64064379674306)</f>
        <v>-0.64064379674306005</v>
      </c>
      <c r="AR76" s="3">
        <f ca="1">IFERROR(__xludf.DUMMYFUNCTION("""COMPUTED_VALUE"""),-0.665062264672137)</f>
        <v>-0.66506226467213703</v>
      </c>
      <c r="AS76" s="3">
        <f ca="1">IFERROR(__xludf.DUMMYFUNCTION("""COMPUTED_VALUE"""),-0.706196478015403)</f>
        <v>-0.70619647801540297</v>
      </c>
      <c r="AT76" s="3">
        <f ca="1">IFERROR(__xludf.DUMMYFUNCTION("""COMPUTED_VALUE"""),-0.726854007576524)</f>
        <v>-0.72685400757652396</v>
      </c>
      <c r="AU76" s="3">
        <f ca="1">IFERROR(__xludf.DUMMYFUNCTION("""COMPUTED_VALUE"""),-0.715911606817096)</f>
        <v>-0.71591160681709598</v>
      </c>
      <c r="AV76" s="3">
        <f ca="1">IFERROR(__xludf.DUMMYFUNCTION("""COMPUTED_VALUE"""),-0.743532428012575)</f>
        <v>-0.74353242801257502</v>
      </c>
      <c r="AW76" s="3">
        <f ca="1">IFERROR(__xludf.DUMMYFUNCTION("""COMPUTED_VALUE"""),-0.708839781493994)</f>
        <v>-0.70883978149399396</v>
      </c>
      <c r="AX76" s="3">
        <f ca="1">IFERROR(__xludf.DUMMYFUNCTION("""COMPUTED_VALUE"""),-0.669172048705772)</f>
        <v>-0.66917204870577196</v>
      </c>
      <c r="AY76" s="3">
        <f ca="1">IFERROR(__xludf.DUMMYFUNCTION("""COMPUTED_VALUE"""),-0.608576539933976)</f>
        <v>-0.60857653993397598</v>
      </c>
      <c r="AZ76" s="3">
        <f ca="1">IFERROR(__xludf.DUMMYFUNCTION("""COMPUTED_VALUE"""),-0.793349584945916)</f>
        <v>-0.79334958494591601</v>
      </c>
      <c r="BA76" s="3">
        <f ca="1">IFERROR(__xludf.DUMMYFUNCTION("""COMPUTED_VALUE"""),-0.825589000285217)</f>
        <v>-0.82558900028521698</v>
      </c>
      <c r="BB76" s="3">
        <f ca="1">IFERROR(__xludf.DUMMYFUNCTION("""COMPUTED_VALUE"""),-0.812527302193977)</f>
        <v>-0.81252730219397695</v>
      </c>
      <c r="BC76" s="3">
        <f ca="1">IFERROR(__xludf.DUMMYFUNCTION("""COMPUTED_VALUE"""),-0.812610145932101)</f>
        <v>-0.81261014593210101</v>
      </c>
      <c r="BD76" s="3">
        <f ca="1">IFERROR(__xludf.DUMMYFUNCTION("""COMPUTED_VALUE"""),-0.845305176426572)</f>
        <v>-0.84530517642657199</v>
      </c>
      <c r="BE76" s="3">
        <f ca="1">IFERROR(__xludf.DUMMYFUNCTION("""COMPUTED_VALUE"""),-0.614717710550362)</f>
        <v>-0.61471771055036195</v>
      </c>
      <c r="BF76" s="3">
        <f ca="1">IFERROR(__xludf.DUMMYFUNCTION("""COMPUTED_VALUE"""),-0.667715226304904)</f>
        <v>-0.66771522630490399</v>
      </c>
      <c r="BG76" s="3">
        <f ca="1">IFERROR(__xludf.DUMMYFUNCTION("""COMPUTED_VALUE"""),-0.749578540667955)</f>
        <v>-0.74957854066795504</v>
      </c>
      <c r="BH76" s="3">
        <f ca="1">IFERROR(__xludf.DUMMYFUNCTION("""COMPUTED_VALUE"""),-0.825246727841188)</f>
        <v>-0.82524672784118802</v>
      </c>
      <c r="BI76" s="3">
        <f ca="1">IFERROR(__xludf.DUMMYFUNCTION("""COMPUTED_VALUE"""),-0.781348005081766)</f>
        <v>-0.78134800508176605</v>
      </c>
      <c r="BJ76" s="3">
        <f ca="1">IFERROR(__xludf.DUMMYFUNCTION("""COMPUTED_VALUE"""),-0.810604907519337)</f>
        <v>-0.810604907519337</v>
      </c>
      <c r="BK76" s="3">
        <f ca="1">IFERROR(__xludf.DUMMYFUNCTION("""COMPUTED_VALUE"""),-0.805353417302616)</f>
        <v>-0.805353417302616</v>
      </c>
      <c r="BL76" s="3">
        <f ca="1">IFERROR(__xludf.DUMMYFUNCTION("""COMPUTED_VALUE"""),-0.728996667269399)</f>
        <v>-0.72899666726939905</v>
      </c>
      <c r="BM76" s="3">
        <f ca="1">IFERROR(__xludf.DUMMYFUNCTION("""COMPUTED_VALUE"""),-0.715954876037015)</f>
        <v>-0.71595487603701502</v>
      </c>
      <c r="BN76" s="3">
        <f ca="1">IFERROR(__xludf.DUMMYFUNCTION("""COMPUTED_VALUE"""),-0.802403336039468)</f>
        <v>-0.80240333603946801</v>
      </c>
      <c r="BO76" s="3">
        <f ca="1">IFERROR(__xludf.DUMMYFUNCTION("""COMPUTED_VALUE"""),-0.81108767245158)</f>
        <v>-0.81108767245157998</v>
      </c>
      <c r="BP76" s="3">
        <f ca="1">IFERROR(__xludf.DUMMYFUNCTION("""COMPUTED_VALUE"""),-0.806770489355404)</f>
        <v>-0.80677048935540396</v>
      </c>
      <c r="BQ76" s="3">
        <f ca="1">IFERROR(__xludf.DUMMYFUNCTION("""COMPUTED_VALUE"""),-0.810250633430728)</f>
        <v>-0.81025063343072801</v>
      </c>
      <c r="BR76" s="3">
        <f ca="1">IFERROR(__xludf.DUMMYFUNCTION("""COMPUTED_VALUE"""),-0.833091883183221)</f>
        <v>-0.83309188318322103</v>
      </c>
      <c r="BS76" s="3">
        <f ca="1">IFERROR(__xludf.DUMMYFUNCTION("""COMPUTED_VALUE"""),-0.657151337679732)</f>
        <v>-0.65715133767973199</v>
      </c>
      <c r="BT76" s="3">
        <f ca="1">IFERROR(__xludf.DUMMYFUNCTION("""COMPUTED_VALUE"""),-0.662730768953417)</f>
        <v>-0.66273076895341698</v>
      </c>
      <c r="BU76" s="3">
        <f ca="1">IFERROR(__xludf.DUMMYFUNCTION("""COMPUTED_VALUE"""),-0.801466678545621)</f>
        <v>-0.80146667854562104</v>
      </c>
      <c r="BV76" s="3">
        <f ca="1">IFERROR(__xludf.DUMMYFUNCTION("""COMPUTED_VALUE"""),-0.819207536322263)</f>
        <v>-0.81920753632226295</v>
      </c>
      <c r="BW76" s="3">
        <f ca="1">IFERROR(__xludf.DUMMYFUNCTION("""COMPUTED_VALUE"""),-0.829219293321245)</f>
        <v>-0.829219293321245</v>
      </c>
      <c r="BX76" s="3">
        <f ca="1">IFERROR(__xludf.DUMMYFUNCTION("""COMPUTED_VALUE"""),-0.850597025872083)</f>
        <v>-0.85059702587208297</v>
      </c>
      <c r="BY76" s="3">
        <f ca="1">IFERROR(__xludf.DUMMYFUNCTION("""COMPUTED_VALUE"""),-0.848572723558071)</f>
        <v>-0.84857272355807101</v>
      </c>
      <c r="BZ76" s="3">
        <f ca="1">IFERROR(__xludf.DUMMYFUNCTION("""COMPUTED_VALUE"""),-0.737003400322417)</f>
        <v>-0.73700340032241696</v>
      </c>
      <c r="CA76" s="3">
        <f ca="1">IFERROR(__xludf.DUMMYFUNCTION("""COMPUTED_VALUE"""),-0.672246563528985)</f>
        <v>-0.67224656352898504</v>
      </c>
      <c r="CB76" s="3">
        <f ca="1">IFERROR(__xludf.DUMMYFUNCTION("""COMPUTED_VALUE"""),-0.825250896262099)</f>
        <v>-0.82525089626209902</v>
      </c>
      <c r="CC76" s="3">
        <f ca="1">IFERROR(__xludf.DUMMYFUNCTION("""COMPUTED_VALUE"""),-0.825281784978325)</f>
        <v>-0.82528178497832505</v>
      </c>
      <c r="CD76" s="3">
        <f ca="1">IFERROR(__xludf.DUMMYFUNCTION("""COMPUTED_VALUE"""),-0.822622229374804)</f>
        <v>-0.822622229374804</v>
      </c>
      <c r="CE76" s="3">
        <f ca="1">IFERROR(__xludf.DUMMYFUNCTION("""COMPUTED_VALUE"""),-0.832205967867902)</f>
        <v>-0.83220596786790202</v>
      </c>
      <c r="CF76" s="3">
        <f ca="1">IFERROR(__xludf.DUMMYFUNCTION("""COMPUTED_VALUE"""),-0.829664924458684)</f>
        <v>-0.82966492445868401</v>
      </c>
      <c r="CG76" s="3">
        <f ca="1">IFERROR(__xludf.DUMMYFUNCTION("""COMPUTED_VALUE"""),-0.626744746677239)</f>
        <v>-0.62674474667723901</v>
      </c>
      <c r="CH76" s="3">
        <f ca="1">IFERROR(__xludf.DUMMYFUNCTION("""COMPUTED_VALUE"""),-0.641396871270298)</f>
        <v>-0.64139687127029799</v>
      </c>
      <c r="CI76" s="3">
        <f ca="1">IFERROR(__xludf.DUMMYFUNCTION("""COMPUTED_VALUE"""),-0.794441580706491)</f>
        <v>-0.79444158070649096</v>
      </c>
      <c r="CJ76" s="3">
        <f ca="1">IFERROR(__xludf.DUMMYFUNCTION("""COMPUTED_VALUE"""),-0.825628097528299)</f>
        <v>-0.82562809752829902</v>
      </c>
      <c r="CK76" s="3">
        <f ca="1">IFERROR(__xludf.DUMMYFUNCTION("""COMPUTED_VALUE"""),-0.827424898473173)</f>
        <v>-0.82742489847317302</v>
      </c>
      <c r="CL76" s="3">
        <f ca="1">IFERROR(__xludf.DUMMYFUNCTION("""COMPUTED_VALUE"""),-0.823780109209099)</f>
        <v>-0.82378010920909905</v>
      </c>
      <c r="CM76" s="3">
        <f ca="1">IFERROR(__xludf.DUMMYFUNCTION("""COMPUTED_VALUE"""),-0.826947118132883)</f>
        <v>-0.82694711813288302</v>
      </c>
      <c r="CN76" s="3">
        <f ca="1">IFERROR(__xludf.DUMMYFUNCTION("""COMPUTED_VALUE"""),-0.631501518118967)</f>
        <v>-0.63150151811896704</v>
      </c>
      <c r="CO76" s="3">
        <f ca="1">IFERROR(__xludf.DUMMYFUNCTION("""COMPUTED_VALUE"""),-0.613775572492518)</f>
        <v>-0.61377557249251802</v>
      </c>
      <c r="CP76" s="3">
        <f ca="1">IFERROR(__xludf.DUMMYFUNCTION("""COMPUTED_VALUE"""),-0.76078872810763)</f>
        <v>-0.76078872810762999</v>
      </c>
      <c r="CQ76" s="3">
        <f ca="1">IFERROR(__xludf.DUMMYFUNCTION("""COMPUTED_VALUE"""),-0.777488507968484)</f>
        <v>-0.77748850796848401</v>
      </c>
      <c r="CR76" s="3">
        <f ca="1">IFERROR(__xludf.DUMMYFUNCTION("""COMPUTED_VALUE"""),-0.758892437268555)</f>
        <v>-0.75889243726855504</v>
      </c>
      <c r="CS76" s="3">
        <f ca="1">IFERROR(__xludf.DUMMYFUNCTION("""COMPUTED_VALUE"""),-0.762183478632485)</f>
        <v>-0.76218347863248503</v>
      </c>
      <c r="CT76" s="3">
        <f ca="1">IFERROR(__xludf.DUMMYFUNCTION("""COMPUTED_VALUE"""),-0.789825187820796)</f>
        <v>-0.78982518782079603</v>
      </c>
      <c r="CU76" s="3">
        <f ca="1">IFERROR(__xludf.DUMMYFUNCTION("""COMPUTED_VALUE"""),-0.663906208817806)</f>
        <v>-0.66390620881780604</v>
      </c>
      <c r="CV76" s="3">
        <f ca="1">IFERROR(__xludf.DUMMYFUNCTION("""COMPUTED_VALUE"""),-0.623503585811167)</f>
        <v>-0.62350358581116705</v>
      </c>
      <c r="CW76" s="3">
        <f ca="1">IFERROR(__xludf.DUMMYFUNCTION("""COMPUTED_VALUE"""),-0.851164532613758)</f>
        <v>-0.85116453261375802</v>
      </c>
      <c r="CX76" s="3">
        <f ca="1">IFERROR(__xludf.DUMMYFUNCTION("""COMPUTED_VALUE"""),-0.790885187995882)</f>
        <v>-0.79088518799588203</v>
      </c>
      <c r="CY76" s="3">
        <f ca="1">IFERROR(__xludf.DUMMYFUNCTION("""COMPUTED_VALUE"""),-0.753339087096488)</f>
        <v>-0.753339087096488</v>
      </c>
      <c r="CZ76" s="3">
        <f ca="1">IFERROR(__xludf.DUMMYFUNCTION("""COMPUTED_VALUE"""),-0.791942291403959)</f>
        <v>-0.791942291403959</v>
      </c>
      <c r="DA76" s="3">
        <f ca="1">IFERROR(__xludf.DUMMYFUNCTION("""COMPUTED_VALUE"""),-0.795775491862939)</f>
        <v>-0.79577549186293906</v>
      </c>
      <c r="DB76" s="3">
        <f ca="1">IFERROR(__xludf.DUMMYFUNCTION("""COMPUTED_VALUE"""),-0.631645135595656)</f>
        <v>-0.63164513559565605</v>
      </c>
      <c r="DC76" s="3">
        <f ca="1">IFERROR(__xludf.DUMMYFUNCTION("""COMPUTED_VALUE"""),-0.621855190212409)</f>
        <v>-0.62185519021240898</v>
      </c>
      <c r="DD76" s="3">
        <f ca="1">IFERROR(__xludf.DUMMYFUNCTION("""COMPUTED_VALUE"""),-0.883710177766682)</f>
        <v>-0.88371017776668204</v>
      </c>
      <c r="DE76" s="3">
        <f ca="1">IFERROR(__xludf.DUMMYFUNCTION("""COMPUTED_VALUE"""),-0.74813069289855)</f>
        <v>-0.74813069289855005</v>
      </c>
      <c r="DF76" s="3">
        <f ca="1">IFERROR(__xludf.DUMMYFUNCTION("""COMPUTED_VALUE"""),-0.606397682829747)</f>
        <v>-0.60639768282974704</v>
      </c>
      <c r="DG76" s="3">
        <f ca="1">IFERROR(__xludf.DUMMYFUNCTION("""COMPUTED_VALUE"""),-0.730430425665457)</f>
        <v>-0.73043042566545702</v>
      </c>
      <c r="DH76" s="3">
        <f ca="1">IFERROR(__xludf.DUMMYFUNCTION("""COMPUTED_VALUE"""),-0.69959246169367)</f>
        <v>-0.69959246169366995</v>
      </c>
      <c r="DI76" s="3">
        <f ca="1">IFERROR(__xludf.DUMMYFUNCTION("""COMPUTED_VALUE"""),-0.655238732883473)</f>
        <v>-0.65523873288347301</v>
      </c>
      <c r="DJ76" s="3">
        <f ca="1">IFERROR(__xludf.DUMMYFUNCTION("""COMPUTED_VALUE"""),-0.676400166137261)</f>
        <v>-0.67640016613726095</v>
      </c>
      <c r="DK76" s="3">
        <f ca="1">IFERROR(__xludf.DUMMYFUNCTION("""COMPUTED_VALUE"""),-0.715175372306811)</f>
        <v>-0.71517537230681105</v>
      </c>
      <c r="DL76" s="3">
        <f ca="1">IFERROR(__xludf.DUMMYFUNCTION("""COMPUTED_VALUE"""),-0.691186967875976)</f>
        <v>-0.691186967875976</v>
      </c>
      <c r="DM76" s="3">
        <f ca="1">IFERROR(__xludf.DUMMYFUNCTION("""COMPUTED_VALUE"""),-0.635265296636658)</f>
        <v>-0.63526529663665798</v>
      </c>
      <c r="DN76" s="3">
        <f ca="1">IFERROR(__xludf.DUMMYFUNCTION("""COMPUTED_VALUE"""),-0.681918697138855)</f>
        <v>-0.681918697138855</v>
      </c>
      <c r="DO76" s="3">
        <f ca="1">IFERROR(__xludf.DUMMYFUNCTION("""COMPUTED_VALUE"""),-0.710267799455493)</f>
        <v>-0.71026779945549301</v>
      </c>
      <c r="DP76" s="3">
        <f ca="1">IFERROR(__xludf.DUMMYFUNCTION("""COMPUTED_VALUE"""),-0.687380043198292)</f>
        <v>-0.68738004319829205</v>
      </c>
      <c r="DQ76" s="3">
        <f ca="1">IFERROR(__xludf.DUMMYFUNCTION("""COMPUTED_VALUE"""),-0.720455907970448)</f>
        <v>-0.72045590797044801</v>
      </c>
      <c r="DR76" s="3">
        <f ca="1">IFERROR(__xludf.DUMMYFUNCTION("""COMPUTED_VALUE"""),-0.72183657077157)</f>
        <v>-0.72183657077157004</v>
      </c>
      <c r="DS76" s="3">
        <f ca="1">IFERROR(__xludf.DUMMYFUNCTION("""COMPUTED_VALUE"""),-0.764571112219707)</f>
        <v>-0.76457111221970697</v>
      </c>
      <c r="DT76" s="3">
        <f ca="1">IFERROR(__xludf.DUMMYFUNCTION("""COMPUTED_VALUE"""),-0.768437762300992)</f>
        <v>-0.76843776230099203</v>
      </c>
      <c r="DU76" s="3">
        <f ca="1">IFERROR(__xludf.DUMMYFUNCTION("""COMPUTED_VALUE"""),-0.797150798705315)</f>
        <v>-0.79715079870531502</v>
      </c>
      <c r="DV76" s="3">
        <f ca="1">IFERROR(__xludf.DUMMYFUNCTION("""COMPUTED_VALUE"""),-0.799894060776544)</f>
        <v>-0.79989406077654401</v>
      </c>
      <c r="DW76" s="3">
        <f ca="1">IFERROR(__xludf.DUMMYFUNCTION("""COMPUTED_VALUE"""),-0.671326517552107)</f>
        <v>-0.67132651755210704</v>
      </c>
      <c r="DX76" s="3">
        <f ca="1">IFERROR(__xludf.DUMMYFUNCTION("""COMPUTED_VALUE"""),-0.72938421446691)</f>
        <v>-0.72938421446691004</v>
      </c>
      <c r="DY76" s="3">
        <f ca="1">IFERROR(__xludf.DUMMYFUNCTION("""COMPUTED_VALUE"""),-0.781391316961334)</f>
        <v>-0.78139131696133401</v>
      </c>
      <c r="DZ76" s="3">
        <f ca="1">IFERROR(__xludf.DUMMYFUNCTION("""COMPUTED_VALUE"""),-0.793186003159112)</f>
        <v>-0.79318600315911203</v>
      </c>
      <c r="EA76" s="3">
        <f ca="1">IFERROR(__xludf.DUMMYFUNCTION("""COMPUTED_VALUE"""),-0.796505049700659)</f>
        <v>-0.79650504970065905</v>
      </c>
      <c r="EB76" s="3">
        <f ca="1">IFERROR(__xludf.DUMMYFUNCTION("""COMPUTED_VALUE"""),-0.787881508307089)</f>
        <v>-0.78788150830708903</v>
      </c>
      <c r="EC76" s="3">
        <f ca="1">IFERROR(__xludf.DUMMYFUNCTION("""COMPUTED_VALUE"""),-0.776969312582073)</f>
        <v>-0.77696931258207302</v>
      </c>
      <c r="ED76" s="3">
        <f ca="1">IFERROR(__xludf.DUMMYFUNCTION("""COMPUTED_VALUE"""),-0.654980088758514)</f>
        <v>-0.65498008875851399</v>
      </c>
      <c r="EE76" s="3">
        <f ca="1">IFERROR(__xludf.DUMMYFUNCTION("""COMPUTED_VALUE"""),-0.696903697648769)</f>
        <v>-0.69690369764876903</v>
      </c>
      <c r="EF76" s="3">
        <f ca="1">IFERROR(__xludf.DUMMYFUNCTION("""COMPUTED_VALUE"""),-0.75755212281329)</f>
        <v>-0.75755212281328999</v>
      </c>
      <c r="EG76" s="3">
        <f ca="1">IFERROR(__xludf.DUMMYFUNCTION("""COMPUTED_VALUE"""),-0.789192684971539)</f>
        <v>-0.78919268497153905</v>
      </c>
      <c r="EH76" s="3">
        <f ca="1">IFERROR(__xludf.DUMMYFUNCTION("""COMPUTED_VALUE"""),-0.780607768947129)</f>
        <v>-0.78060776894712902</v>
      </c>
      <c r="EI76" s="3">
        <f ca="1">IFERROR(__xludf.DUMMYFUNCTION("""COMPUTED_VALUE"""),-0.790266963932214)</f>
        <v>-0.79026696393221396</v>
      </c>
      <c r="EJ76" s="3">
        <f ca="1">IFERROR(__xludf.DUMMYFUNCTION("""COMPUTED_VALUE"""),-0.792838485772176)</f>
        <v>-0.79283848577217597</v>
      </c>
      <c r="EK76" s="3">
        <f ca="1">IFERROR(__xludf.DUMMYFUNCTION("""COMPUTED_VALUE"""),-0.658686484753709)</f>
        <v>-0.65868648475370895</v>
      </c>
      <c r="EL76" s="3">
        <f ca="1">IFERROR(__xludf.DUMMYFUNCTION("""COMPUTED_VALUE"""),-0.644120000108468)</f>
        <v>-0.64412000010846804</v>
      </c>
      <c r="EM76" s="3">
        <f ca="1">IFERROR(__xludf.DUMMYFUNCTION("""COMPUTED_VALUE"""),-0.712480357126877)</f>
        <v>-0.71248035712687696</v>
      </c>
      <c r="EN76" s="3">
        <f ca="1">IFERROR(__xludf.DUMMYFUNCTION("""COMPUTED_VALUE"""),-0.728456010710043)</f>
        <v>-0.72845601071004296</v>
      </c>
      <c r="EO76" s="3">
        <f ca="1">IFERROR(__xludf.DUMMYFUNCTION("""COMPUTED_VALUE"""),-0.706639805003875)</f>
        <v>-0.70663980500387502</v>
      </c>
      <c r="EP76" s="3">
        <f ca="1">IFERROR(__xludf.DUMMYFUNCTION("""COMPUTED_VALUE"""),-0.698130742737658)</f>
        <v>-0.69813074273765796</v>
      </c>
      <c r="EQ76" s="3">
        <f ca="1">IFERROR(__xludf.DUMMYFUNCTION("""COMPUTED_VALUE"""),-0.639945846546638)</f>
        <v>-0.639945846546638</v>
      </c>
      <c r="ER76" s="3">
        <f ca="1">IFERROR(__xludf.DUMMYFUNCTION("""COMPUTED_VALUE"""),-0.557246692397752)</f>
        <v>-0.55724669239775204</v>
      </c>
      <c r="ES76" s="3">
        <f ca="1">IFERROR(__xludf.DUMMYFUNCTION("""COMPUTED_VALUE"""),-0.51881546822659)</f>
        <v>-0.51881546822658997</v>
      </c>
      <c r="ET76" s="3">
        <f ca="1">IFERROR(__xludf.DUMMYFUNCTION("""COMPUTED_VALUE"""),-0.627595597263469)</f>
        <v>-0.62759559726346903</v>
      </c>
      <c r="EU76" s="3">
        <f ca="1">IFERROR(__xludf.DUMMYFUNCTION("""COMPUTED_VALUE"""),-0.602235304487703)</f>
        <v>-0.60223530448770302</v>
      </c>
      <c r="EV76" s="3">
        <f ca="1">IFERROR(__xludf.DUMMYFUNCTION("""COMPUTED_VALUE"""),-0.722698669329827)</f>
        <v>-0.72269866932982696</v>
      </c>
      <c r="EW76" s="3">
        <f ca="1">IFERROR(__xludf.DUMMYFUNCTION("""COMPUTED_VALUE"""),-0.598056536294535)</f>
        <v>-0.59805653629453503</v>
      </c>
      <c r="EX76" s="3">
        <f ca="1">IFERROR(__xludf.DUMMYFUNCTION("""COMPUTED_VALUE"""),-0.664634544426609)</f>
        <v>-0.66463454442660896</v>
      </c>
      <c r="EY76" s="3">
        <f ca="1">IFERROR(__xludf.DUMMYFUNCTION("""COMPUTED_VALUE"""),-0.456573400238531)</f>
        <v>-0.45657340023853099</v>
      </c>
      <c r="EZ76" s="3">
        <f ca="1">IFERROR(__xludf.DUMMYFUNCTION("""COMPUTED_VALUE"""),-0.625600284419233)</f>
        <v>-0.62560028441923299</v>
      </c>
      <c r="FA76" s="3">
        <f ca="1">IFERROR(__xludf.DUMMYFUNCTION("""COMPUTED_VALUE"""),-0.69928309928364)</f>
        <v>-0.69928309928363996</v>
      </c>
      <c r="FB76" s="3">
        <f ca="1">IFERROR(__xludf.DUMMYFUNCTION("""COMPUTED_VALUE"""),-0.736916136901643)</f>
        <v>-0.73691613690164304</v>
      </c>
      <c r="FC76" s="3">
        <f ca="1">IFERROR(__xludf.DUMMYFUNCTION("""COMPUTED_VALUE"""),-0.746486209895963)</f>
        <v>-0.74648620989596304</v>
      </c>
      <c r="FD76" s="3">
        <f ca="1">IFERROR(__xludf.DUMMYFUNCTION("""COMPUTED_VALUE"""),-0.754065714616313)</f>
        <v>-0.754065714616313</v>
      </c>
      <c r="FE76" s="3">
        <f ca="1">IFERROR(__xludf.DUMMYFUNCTION("""COMPUTED_VALUE"""),-0.722796842104478)</f>
        <v>-0.72279684210447803</v>
      </c>
      <c r="FF76" s="3">
        <f ca="1">IFERROR(__xludf.DUMMYFUNCTION("""COMPUTED_VALUE"""),-0.579803661481552)</f>
        <v>-0.57980366148155205</v>
      </c>
      <c r="FG76" s="3">
        <f ca="1">IFERROR(__xludf.DUMMYFUNCTION("""COMPUTED_VALUE"""),-0.586258263758699)</f>
        <v>-0.58625826375869905</v>
      </c>
      <c r="FH76" s="3">
        <f ca="1">IFERROR(__xludf.DUMMYFUNCTION("""COMPUTED_VALUE"""),-0.718901234317266)</f>
        <v>-0.71890123431726605</v>
      </c>
      <c r="FI76" s="3">
        <f ca="1">IFERROR(__xludf.DUMMYFUNCTION("""COMPUTED_VALUE"""),-0.789480106225313)</f>
        <v>-0.78948010622531295</v>
      </c>
      <c r="FJ76" s="3">
        <f ca="1">IFERROR(__xludf.DUMMYFUNCTION("""COMPUTED_VALUE"""),-0.774855443287649)</f>
        <v>-0.77485544328764899</v>
      </c>
      <c r="FK76" s="3">
        <f ca="1">IFERROR(__xludf.DUMMYFUNCTION("""COMPUTED_VALUE"""),-0.767396102444461)</f>
        <v>-0.76739610244446099</v>
      </c>
      <c r="FL76" s="3">
        <f ca="1">IFERROR(__xludf.DUMMYFUNCTION("""COMPUTED_VALUE"""),-0.843827811357746)</f>
        <v>-0.84382781135774598</v>
      </c>
      <c r="FM76" s="3">
        <f ca="1">IFERROR(__xludf.DUMMYFUNCTION("""COMPUTED_VALUE"""),-0.630546965174714)</f>
        <v>-0.63054696517471398</v>
      </c>
      <c r="FN76" s="3">
        <f ca="1">IFERROR(__xludf.DUMMYFUNCTION("""COMPUTED_VALUE"""),-0.655773427534003)</f>
        <v>-0.65577342753400303</v>
      </c>
      <c r="FO76" s="3">
        <f ca="1">IFERROR(__xludf.DUMMYFUNCTION("""COMPUTED_VALUE"""),-0.715382583756705)</f>
        <v>-0.71538258375670505</v>
      </c>
      <c r="FP76" s="3">
        <f ca="1">IFERROR(__xludf.DUMMYFUNCTION("""COMPUTED_VALUE"""),-0.767161010647317)</f>
        <v>-0.76716101064731701</v>
      </c>
      <c r="FQ76" s="3">
        <f ca="1">IFERROR(__xludf.DUMMYFUNCTION("""COMPUTED_VALUE"""),-0.750190362707668)</f>
        <v>-0.75019036270766803</v>
      </c>
      <c r="FR76" s="3">
        <f ca="1">IFERROR(__xludf.DUMMYFUNCTION("""COMPUTED_VALUE"""),-0.716246080782819)</f>
        <v>-0.71624608078281904</v>
      </c>
      <c r="FS76" s="3">
        <f ca="1">IFERROR(__xludf.DUMMYFUNCTION("""COMPUTED_VALUE"""),-0.688175413516554)</f>
        <v>-0.68817541351655398</v>
      </c>
      <c r="FT76" s="3">
        <f ca="1">IFERROR(__xludf.DUMMYFUNCTION("""COMPUTED_VALUE"""),-0.553782008446594)</f>
        <v>-0.55378200844659398</v>
      </c>
      <c r="FU76" s="3">
        <f ca="1">IFERROR(__xludf.DUMMYFUNCTION("""COMPUTED_VALUE"""),-0.616149676404867)</f>
        <v>-0.61614967640486695</v>
      </c>
      <c r="FV76" s="3">
        <f ca="1">IFERROR(__xludf.DUMMYFUNCTION("""COMPUTED_VALUE"""),-0.712492404765946)</f>
        <v>-0.712492404765946</v>
      </c>
      <c r="FW76" s="3">
        <f ca="1">IFERROR(__xludf.DUMMYFUNCTION("""COMPUTED_VALUE"""),-0.749743719863788)</f>
        <v>-0.74974371986378796</v>
      </c>
      <c r="FX76" s="3">
        <f ca="1">IFERROR(__xludf.DUMMYFUNCTION("""COMPUTED_VALUE"""),-0.780038905738032)</f>
        <v>-0.78003890573803203</v>
      </c>
      <c r="FY76" s="3">
        <f ca="1">IFERROR(__xludf.DUMMYFUNCTION("""COMPUTED_VALUE"""),-0.756799307947111)</f>
        <v>-0.75679930794711103</v>
      </c>
      <c r="FZ76" s="3">
        <f ca="1">IFERROR(__xludf.DUMMYFUNCTION("""COMPUTED_VALUE"""),-0.85702000212853)</f>
        <v>-0.85702000212853002</v>
      </c>
      <c r="GA76" s="3">
        <f ca="1">IFERROR(__xludf.DUMMYFUNCTION("""COMPUTED_VALUE"""),-0.589097173536787)</f>
        <v>-0.58909717353678703</v>
      </c>
      <c r="GB76" s="3">
        <f ca="1">IFERROR(__xludf.DUMMYFUNCTION("""COMPUTED_VALUE"""),-0.652522213624928)</f>
        <v>-0.65252221362492802</v>
      </c>
      <c r="GC76" s="3">
        <f ca="1">IFERROR(__xludf.DUMMYFUNCTION("""COMPUTED_VALUE"""),-0.735254027270764)</f>
        <v>-0.73525402727076405</v>
      </c>
      <c r="GD76" s="3">
        <f ca="1">IFERROR(__xludf.DUMMYFUNCTION("""COMPUTED_VALUE"""),-0.775895711890685)</f>
        <v>-0.77589571189068496</v>
      </c>
      <c r="GE76" s="3">
        <f ca="1">IFERROR(__xludf.DUMMYFUNCTION("""COMPUTED_VALUE"""),-0.769058466064752)</f>
        <v>-0.76905846606475203</v>
      </c>
      <c r="GF76" s="3">
        <f ca="1">IFERROR(__xludf.DUMMYFUNCTION("""COMPUTED_VALUE"""),-0.776504135207377)</f>
        <v>-0.77650413520737704</v>
      </c>
      <c r="GG76" s="3">
        <f ca="1">IFERROR(__xludf.DUMMYFUNCTION("""COMPUTED_VALUE"""),-0.668624271884046)</f>
        <v>-0.66862427188404605</v>
      </c>
      <c r="GH76" s="3">
        <f ca="1">IFERROR(__xludf.DUMMYFUNCTION("""COMPUTED_VALUE"""),-0.59525855290741)</f>
        <v>-0.59525855290741003</v>
      </c>
      <c r="GI76" s="3">
        <f ca="1">IFERROR(__xludf.DUMMYFUNCTION("""COMPUTED_VALUE"""),-0.587898801782765)</f>
        <v>-0.58789880178276499</v>
      </c>
      <c r="GJ76" s="3">
        <f ca="1">IFERROR(__xludf.DUMMYFUNCTION("""COMPUTED_VALUE"""),-0.734175176977933)</f>
        <v>-0.734175176977933</v>
      </c>
      <c r="GK76" s="3">
        <f ca="1">IFERROR(__xludf.DUMMYFUNCTION("""COMPUTED_VALUE"""),-0.78430437212627)</f>
        <v>-0.78430437212627002</v>
      </c>
      <c r="GL76" s="3">
        <f ca="1">IFERROR(__xludf.DUMMYFUNCTION("""COMPUTED_VALUE"""),-0.761593597472349)</f>
        <v>-0.761593597472349</v>
      </c>
      <c r="GM76" s="3">
        <f ca="1">IFERROR(__xludf.DUMMYFUNCTION("""COMPUTED_VALUE"""),-0.758295591539598)</f>
        <v>-0.75829559153959802</v>
      </c>
      <c r="GN76" s="3">
        <f ca="1">IFERROR(__xludf.DUMMYFUNCTION("""COMPUTED_VALUE"""),-0.7542761888782)</f>
        <v>-0.75427618887820003</v>
      </c>
      <c r="GO76" s="3">
        <f ca="1">IFERROR(__xludf.DUMMYFUNCTION("""COMPUTED_VALUE"""),-0.542995447001222)</f>
        <v>-0.54299544700122204</v>
      </c>
      <c r="GP76" s="3">
        <f ca="1">IFERROR(__xludf.DUMMYFUNCTION("""COMPUTED_VALUE"""),-0.64035632575282)</f>
        <v>-0.64035632575281998</v>
      </c>
      <c r="GQ76" s="3">
        <f ca="1">IFERROR(__xludf.DUMMYFUNCTION("""COMPUTED_VALUE"""),-0.747855698441631)</f>
        <v>-0.74785569844163102</v>
      </c>
      <c r="GR76" s="3">
        <f ca="1">IFERROR(__xludf.DUMMYFUNCTION("""COMPUTED_VALUE"""),-0.763428954854249)</f>
        <v>-0.763428954854249</v>
      </c>
      <c r="GS76" s="3">
        <f ca="1">IFERROR(__xludf.DUMMYFUNCTION("""COMPUTED_VALUE"""),-0.766037734845606)</f>
        <v>-0.766037734845606</v>
      </c>
      <c r="GT76" s="3">
        <f ca="1">IFERROR(__xludf.DUMMYFUNCTION("""COMPUTED_VALUE"""),-0.770616544988753)</f>
        <v>-0.77061654498875298</v>
      </c>
      <c r="GU76" s="3">
        <f ca="1">IFERROR(__xludf.DUMMYFUNCTION("""COMPUTED_VALUE"""),-0.756129450583895)</f>
        <v>-0.75612945058389502</v>
      </c>
      <c r="GV76" s="3">
        <f ca="1">IFERROR(__xludf.DUMMYFUNCTION("""COMPUTED_VALUE"""),-0.570263606887593)</f>
        <v>-0.57026360688759303</v>
      </c>
      <c r="GW76" s="3">
        <f ca="1">IFERROR(__xludf.DUMMYFUNCTION("""COMPUTED_VALUE"""),-0.618513943374578)</f>
        <v>-0.61851394337457799</v>
      </c>
      <c r="GX76" s="3">
        <f ca="1">IFERROR(__xludf.DUMMYFUNCTION("""COMPUTED_VALUE"""),-0.726632637584466)</f>
        <v>-0.72663263758446595</v>
      </c>
      <c r="GY76" s="3">
        <f ca="1">IFERROR(__xludf.DUMMYFUNCTION("""COMPUTED_VALUE"""),-0.768415158636862)</f>
        <v>-0.76841515863686205</v>
      </c>
      <c r="GZ76" s="3">
        <f ca="1">IFERROR(__xludf.DUMMYFUNCTION("""COMPUTED_VALUE"""),-0.74253445546951)</f>
        <v>-0.74253445546951002</v>
      </c>
      <c r="HA76" s="3">
        <f ca="1">IFERROR(__xludf.DUMMYFUNCTION("""COMPUTED_VALUE"""),-0.760279532422055)</f>
        <v>-0.76027953242205504</v>
      </c>
      <c r="HB76" s="3">
        <f ca="1">IFERROR(__xludf.DUMMYFUNCTION("""COMPUTED_VALUE"""),-0.744636876468976)</f>
        <v>-0.74463687646897603</v>
      </c>
      <c r="HC76" s="3">
        <f ca="1">IFERROR(__xludf.DUMMYFUNCTION("""COMPUTED_VALUE"""),-0.596059029110307)</f>
        <v>-0.59605902911030695</v>
      </c>
      <c r="HD76" s="3">
        <f ca="1">IFERROR(__xludf.DUMMYFUNCTION("""COMPUTED_VALUE"""),-0.607700166106596)</f>
        <v>-0.60770016610659605</v>
      </c>
      <c r="HE76" s="3">
        <f ca="1">IFERROR(__xludf.DUMMYFUNCTION("""COMPUTED_VALUE"""),-0.708441393925753)</f>
        <v>-0.708441393925753</v>
      </c>
      <c r="HF76" s="3">
        <f ca="1">IFERROR(__xludf.DUMMYFUNCTION("""COMPUTED_VALUE"""),-0.729238611279192)</f>
        <v>-0.72923861127919198</v>
      </c>
      <c r="HG76" s="3">
        <f ca="1">IFERROR(__xludf.DUMMYFUNCTION("""COMPUTED_VALUE"""),-0.788416585232777)</f>
        <v>-0.78841658523277702</v>
      </c>
      <c r="HH76" s="3">
        <f ca="1">IFERROR(__xludf.DUMMYFUNCTION("""COMPUTED_VALUE"""),-0.784089740500489)</f>
        <v>-0.78408974050048896</v>
      </c>
      <c r="HI76" s="3">
        <f ca="1">IFERROR(__xludf.DUMMYFUNCTION("""COMPUTED_VALUE"""),-0.861930810177359)</f>
        <v>-0.86193081017735895</v>
      </c>
      <c r="HJ76" s="3">
        <f ca="1">IFERROR(__xludf.DUMMYFUNCTION("""COMPUTED_VALUE"""),-0.573636388160215)</f>
        <v>-0.573636388160215</v>
      </c>
      <c r="HK76" s="3">
        <f ca="1">IFERROR(__xludf.DUMMYFUNCTION("""COMPUTED_VALUE"""),-0.611981395223405)</f>
        <v>-0.611981395223405</v>
      </c>
      <c r="HL76" s="3">
        <f ca="1">IFERROR(__xludf.DUMMYFUNCTION("""COMPUTED_VALUE"""),-0.794370496857699)</f>
        <v>-0.794370496857699</v>
      </c>
      <c r="HM76" s="3">
        <f ca="1">IFERROR(__xludf.DUMMYFUNCTION("""COMPUTED_VALUE"""),-0.826438705507874)</f>
        <v>-0.82643870550787402</v>
      </c>
      <c r="HN76" s="3">
        <f ca="1">IFERROR(__xludf.DUMMYFUNCTION("""COMPUTED_VALUE"""),-0.845958551426701)</f>
        <v>-0.84595855142670096</v>
      </c>
      <c r="HO76" s="3">
        <f ca="1">IFERROR(__xludf.DUMMYFUNCTION("""COMPUTED_VALUE"""),-0.798471347395512)</f>
        <v>-0.79847134739551195</v>
      </c>
      <c r="HP76" s="3">
        <f ca="1">IFERROR(__xludf.DUMMYFUNCTION("""COMPUTED_VALUE"""),-0.724027035538559)</f>
        <v>-0.72402703553855896</v>
      </c>
      <c r="HQ76" s="3">
        <f ca="1">IFERROR(__xludf.DUMMYFUNCTION("""COMPUTED_VALUE"""),-0.55741572110532)</f>
        <v>-0.55741572110532001</v>
      </c>
      <c r="HR76" s="3">
        <f ca="1">IFERROR(__xludf.DUMMYFUNCTION("""COMPUTED_VALUE"""),-0.557950339305882)</f>
        <v>-0.557950339305882</v>
      </c>
      <c r="HS76" s="3">
        <f ca="1">IFERROR(__xludf.DUMMYFUNCTION("""COMPUTED_VALUE"""),-0.758517558160219)</f>
        <v>-0.75851755816021904</v>
      </c>
      <c r="HT76" s="3">
        <f ca="1">IFERROR(__xludf.DUMMYFUNCTION("""COMPUTED_VALUE"""),-0.796713872784044)</f>
        <v>-0.79671387278404404</v>
      </c>
      <c r="HU76" s="3">
        <f ca="1">IFERROR(__xludf.DUMMYFUNCTION("""COMPUTED_VALUE"""),-0.794965069614074)</f>
        <v>-0.79496506961407398</v>
      </c>
      <c r="HV76" s="3">
        <f ca="1">IFERROR(__xludf.DUMMYFUNCTION("""COMPUTED_VALUE"""),-0.718085558851279)</f>
        <v>-0.718085558851279</v>
      </c>
      <c r="HW76" s="3">
        <f ca="1">IFERROR(__xludf.DUMMYFUNCTION("""COMPUTED_VALUE"""),-0.516018970327446)</f>
        <v>-0.51601897032744604</v>
      </c>
      <c r="HX76" s="3">
        <f ca="1">IFERROR(__xludf.DUMMYFUNCTION("""COMPUTED_VALUE"""),-0.511332712179525)</f>
        <v>-0.51133271217952503</v>
      </c>
      <c r="HY76" s="3">
        <f ca="1">IFERROR(__xludf.DUMMYFUNCTION("""COMPUTED_VALUE"""),-0.499262229796129)</f>
        <v>-0.499262229796129</v>
      </c>
      <c r="HZ76" s="3">
        <f ca="1">IFERROR(__xludf.DUMMYFUNCTION("""COMPUTED_VALUE"""),-0.527929165194991)</f>
        <v>-0.527929165194991</v>
      </c>
      <c r="IA76" s="3">
        <f ca="1">IFERROR(__xludf.DUMMYFUNCTION("""COMPUTED_VALUE"""),-0.531417321259702)</f>
        <v>-0.53141732125970198</v>
      </c>
      <c r="IB76" s="3">
        <f ca="1">IFERROR(__xludf.DUMMYFUNCTION("""COMPUTED_VALUE"""),-0.513576534132656)</f>
        <v>-0.51357653413265603</v>
      </c>
      <c r="IC76" s="3">
        <f ca="1">IFERROR(__xludf.DUMMYFUNCTION("""COMPUTED_VALUE"""),-0.491547960684537)</f>
        <v>-0.49154796068453699</v>
      </c>
      <c r="ID76" s="3">
        <f ca="1">IFERROR(__xludf.DUMMYFUNCTION("""COMPUTED_VALUE"""),-0.458136335203515)</f>
        <v>-0.45813633520351499</v>
      </c>
      <c r="IE76" s="3">
        <f ca="1">IFERROR(__xludf.DUMMYFUNCTION("""COMPUTED_VALUE"""),-0.442466356180464)</f>
        <v>-0.44246635618046398</v>
      </c>
      <c r="IF76" s="3">
        <f ca="1">IFERROR(__xludf.DUMMYFUNCTION("""COMPUTED_VALUE"""),-0.453619318680818)</f>
        <v>-0.45361931868081801</v>
      </c>
      <c r="IG76" s="3">
        <f ca="1">IFERROR(__xludf.DUMMYFUNCTION("""COMPUTED_VALUE"""),-0.482473375114328)</f>
        <v>-0.48247337511432797</v>
      </c>
      <c r="IH76" s="3">
        <f ca="1">IFERROR(__xludf.DUMMYFUNCTION("""COMPUTED_VALUE"""),-0.509209713252939)</f>
        <v>-0.50920971325293896</v>
      </c>
      <c r="II76" s="3">
        <f ca="1">IFERROR(__xludf.DUMMYFUNCTION("""COMPUTED_VALUE"""),-0.520469669409527)</f>
        <v>-0.52046966940952699</v>
      </c>
      <c r="IJ76" s="3">
        <f ca="1">IFERROR(__xludf.DUMMYFUNCTION("""COMPUTED_VALUE"""),-0.506625663136525)</f>
        <v>-0.50662566313652502</v>
      </c>
      <c r="IK76" s="3">
        <f ca="1">IFERROR(__xludf.DUMMYFUNCTION("""COMPUTED_VALUE"""),-0.40357557325131)</f>
        <v>-0.40357557325130999</v>
      </c>
      <c r="IL76" s="3">
        <f ca="1">IFERROR(__xludf.DUMMYFUNCTION("""COMPUTED_VALUE"""),-0.456503874242487)</f>
        <v>-0.45650387424248701</v>
      </c>
      <c r="IM76" s="3">
        <f ca="1">IFERROR(__xludf.DUMMYFUNCTION("""COMPUTED_VALUE"""),-0.476907986798178)</f>
        <v>-0.47690798679817797</v>
      </c>
      <c r="IN76" s="3">
        <f ca="1">IFERROR(__xludf.DUMMYFUNCTION("""COMPUTED_VALUE"""),-0.50810383199076)</f>
        <v>-0.50810383199076004</v>
      </c>
      <c r="IO76" s="3">
        <f ca="1">IFERROR(__xludf.DUMMYFUNCTION("""COMPUTED_VALUE"""),-0.482875222361935)</f>
        <v>-0.48287522236193497</v>
      </c>
      <c r="IP76" s="3">
        <f ca="1">IFERROR(__xludf.DUMMYFUNCTION("""COMPUTED_VALUE"""),-0.474176928083336)</f>
        <v>-0.474176928083336</v>
      </c>
      <c r="IQ76" s="3">
        <f ca="1">IFERROR(__xludf.DUMMYFUNCTION("""COMPUTED_VALUE"""),-0.505793567400939)</f>
        <v>-0.50579356740093895</v>
      </c>
      <c r="IR76" s="3">
        <f ca="1">IFERROR(__xludf.DUMMYFUNCTION("""COMPUTED_VALUE"""),-0.607396477883959)</f>
        <v>-0.60739647788395901</v>
      </c>
      <c r="IS76" s="3">
        <f ca="1">IFERROR(__xludf.DUMMYFUNCTION("""COMPUTED_VALUE"""),-0.482308130152341)</f>
        <v>-0.48230813015234097</v>
      </c>
      <c r="IT76" s="3">
        <f ca="1">IFERROR(__xludf.DUMMYFUNCTION("""COMPUTED_VALUE"""),-0.483336197962584)</f>
        <v>-0.48333619796258398</v>
      </c>
      <c r="IU76" s="3">
        <f ca="1">IFERROR(__xludf.DUMMYFUNCTION("""COMPUTED_VALUE"""),-0.531460205328876)</f>
        <v>-0.53146020532887595</v>
      </c>
      <c r="IV76" s="3">
        <f ca="1">IFERROR(__xludf.DUMMYFUNCTION("""COMPUTED_VALUE"""),-0.505399137366108)</f>
        <v>-0.50539913736610798</v>
      </c>
      <c r="IW76" s="3">
        <f ca="1">IFERROR(__xludf.DUMMYFUNCTION("""COMPUTED_VALUE"""),-0.498441362456462)</f>
        <v>-0.49844136245646198</v>
      </c>
      <c r="IX76" s="3">
        <f ca="1">IFERROR(__xludf.DUMMYFUNCTION("""COMPUTED_VALUE"""),-0.560367968060258)</f>
        <v>-0.56036796806025801</v>
      </c>
      <c r="IY76" s="3">
        <f ca="1">IFERROR(__xludf.DUMMYFUNCTION("""COMPUTED_VALUE"""),-0.443241500127217)</f>
        <v>-0.44324150012721703</v>
      </c>
      <c r="IZ76" s="3">
        <f ca="1">IFERROR(__xludf.DUMMYFUNCTION("""COMPUTED_VALUE"""),-0.437225955964935)</f>
        <v>-0.43722595596493502</v>
      </c>
      <c r="JA76" s="3">
        <f ca="1">IFERROR(__xludf.DUMMYFUNCTION("""COMPUTED_VALUE"""),-0.520940092451697)</f>
        <v>-0.52094009245169703</v>
      </c>
      <c r="JB76" s="3">
        <f ca="1">IFERROR(__xludf.DUMMYFUNCTION("""COMPUTED_VALUE"""),-0.523186778985638)</f>
        <v>-0.52318677898563803</v>
      </c>
      <c r="JC76" s="3">
        <f ca="1">IFERROR(__xludf.DUMMYFUNCTION("""COMPUTED_VALUE"""),-0.524526337579877)</f>
        <v>-0.52452633757987699</v>
      </c>
      <c r="JD76" s="3">
        <f ca="1">IFERROR(__xludf.DUMMYFUNCTION("""COMPUTED_VALUE"""),-0.557780130630811)</f>
        <v>-0.557780130630811</v>
      </c>
      <c r="JE76" s="3">
        <f ca="1">IFERROR(__xludf.DUMMYFUNCTION("""COMPUTED_VALUE"""),-0.563252951618192)</f>
        <v>-0.563252951618192</v>
      </c>
      <c r="JF76" s="3">
        <f ca="1">IFERROR(__xludf.DUMMYFUNCTION("""COMPUTED_VALUE"""),-0.536568144458921)</f>
        <v>-0.53656814445892098</v>
      </c>
      <c r="JG76" s="3">
        <f ca="1">IFERROR(__xludf.DUMMYFUNCTION("""COMPUTED_VALUE"""),-0.469818419168926)</f>
        <v>-0.46981841916892603</v>
      </c>
      <c r="JH76" s="3">
        <f ca="1">IFERROR(__xludf.DUMMYFUNCTION("""COMPUTED_VALUE"""),-0.509164844795573)</f>
        <v>-0.509164844795573</v>
      </c>
      <c r="JI76" s="3">
        <f ca="1">IFERROR(__xludf.DUMMYFUNCTION("""COMPUTED_VALUE"""),-0.556658833013792)</f>
        <v>-0.55665883301379204</v>
      </c>
      <c r="JJ76" s="3">
        <f ca="1">IFERROR(__xludf.DUMMYFUNCTION("""COMPUTED_VALUE"""),-0.551973065034947)</f>
        <v>-0.55197306503494703</v>
      </c>
      <c r="JK76" s="3">
        <f ca="1">IFERROR(__xludf.DUMMYFUNCTION("""COMPUTED_VALUE"""),-0.560788365419174)</f>
        <v>-0.56078836541917398</v>
      </c>
      <c r="JL76" s="3">
        <f ca="1">IFERROR(__xludf.DUMMYFUNCTION("""COMPUTED_VALUE"""),-0.562833639006688)</f>
        <v>-0.56283363900668804</v>
      </c>
      <c r="JM76" s="3">
        <f ca="1">IFERROR(__xludf.DUMMYFUNCTION("""COMPUTED_VALUE"""),-0.524647729474303)</f>
        <v>-0.52464772947430305</v>
      </c>
      <c r="JN76" s="3">
        <f ca="1">IFERROR(__xludf.DUMMYFUNCTION("""COMPUTED_VALUE"""),-0.556756938304802)</f>
        <v>-0.556756938304802</v>
      </c>
      <c r="JO76" s="3">
        <f ca="1">IFERROR(__xludf.DUMMYFUNCTION("""COMPUTED_VALUE"""),-0.51113071412117)</f>
        <v>-0.51113071412116995</v>
      </c>
      <c r="JP76" s="3">
        <f ca="1">IFERROR(__xludf.DUMMYFUNCTION("""COMPUTED_VALUE"""),-0.574493307046625)</f>
        <v>-0.57449330704662505</v>
      </c>
      <c r="JQ76" s="3">
        <f ca="1">IFERROR(__xludf.DUMMYFUNCTION("""COMPUTED_VALUE"""),-0.578068344242365)</f>
        <v>-0.57806834424236497</v>
      </c>
      <c r="JR76" s="3">
        <f ca="1">IFERROR(__xludf.DUMMYFUNCTION("""COMPUTED_VALUE"""),-0.649643790762994)</f>
        <v>-0.64964379076299394</v>
      </c>
      <c r="JS76" s="3">
        <f ca="1">IFERROR(__xludf.DUMMYFUNCTION("""COMPUTED_VALUE"""),-0.543893418012291)</f>
        <v>-0.54389341801229096</v>
      </c>
      <c r="JT76" s="3">
        <f ca="1">IFERROR(__xludf.DUMMYFUNCTION("""COMPUTED_VALUE"""),-0.490369459342914)</f>
        <v>-0.49036945934291398</v>
      </c>
      <c r="JU76" s="3">
        <f ca="1">IFERROR(__xludf.DUMMYFUNCTION("""COMPUTED_VALUE"""),-0.560403186884937)</f>
        <v>-0.56040318688493695</v>
      </c>
      <c r="JV76" s="3">
        <f ca="1">IFERROR(__xludf.DUMMYFUNCTION("""COMPUTED_VALUE"""),-0.507565785980098)</f>
        <v>-0.50756578598009805</v>
      </c>
      <c r="JW76" s="3">
        <f ca="1">IFERROR(__xludf.DUMMYFUNCTION("""COMPUTED_VALUE"""),-0.581996773027719)</f>
        <v>-0.58199677302771902</v>
      </c>
      <c r="JX76" s="3">
        <f ca="1">IFERROR(__xludf.DUMMYFUNCTION("""COMPUTED_VALUE"""),-0.643329060639529)</f>
        <v>-0.64332906063952899</v>
      </c>
      <c r="JY76" s="3">
        <f ca="1">IFERROR(__xludf.DUMMYFUNCTION("""COMPUTED_VALUE"""),-0.682643361839469)</f>
        <v>-0.68264336183946905</v>
      </c>
      <c r="JZ76" s="3">
        <f ca="1">IFERROR(__xludf.DUMMYFUNCTION("""COMPUTED_VALUE"""),-0.620105644165456)</f>
        <v>-0.62010564416545599</v>
      </c>
      <c r="KA76" s="3">
        <f ca="1">IFERROR(__xludf.DUMMYFUNCTION("""COMPUTED_VALUE"""),-0.589608967703989)</f>
        <v>-0.58960896770398896</v>
      </c>
      <c r="KB76" s="3">
        <f ca="1">IFERROR(__xludf.DUMMYFUNCTION("""COMPUTED_VALUE"""),-0.564939552891991)</f>
        <v>-0.56493955289199105</v>
      </c>
      <c r="KC76" s="3">
        <f ca="1">IFERROR(__xludf.DUMMYFUNCTION("""COMPUTED_VALUE"""),-0.587758629154992)</f>
        <v>-0.587758629154992</v>
      </c>
      <c r="KD76" s="3">
        <f ca="1">IFERROR(__xludf.DUMMYFUNCTION("""COMPUTED_VALUE"""),-0.66934399618596)</f>
        <v>-0.66934399618595997</v>
      </c>
      <c r="KE76" s="3">
        <f ca="1">IFERROR(__xludf.DUMMYFUNCTION("""COMPUTED_VALUE"""),-0.66112259171844)</f>
        <v>-0.66112259171844001</v>
      </c>
      <c r="KF76" s="3">
        <f ca="1">IFERROR(__xludf.DUMMYFUNCTION("""COMPUTED_VALUE"""),-0.680762483785929)</f>
        <v>-0.68076248378592896</v>
      </c>
      <c r="KG76" s="3">
        <f ca="1">IFERROR(__xludf.DUMMYFUNCTION("""COMPUTED_VALUE"""),-0.649585995438425)</f>
        <v>-0.64958599543842499</v>
      </c>
      <c r="KH76" s="3">
        <f ca="1">IFERROR(__xludf.DUMMYFUNCTION("""COMPUTED_VALUE"""),-0.628268327757209)</f>
        <v>-0.62826832775720898</v>
      </c>
      <c r="KI76" s="3">
        <f ca="1">IFERROR(__xludf.DUMMYFUNCTION("""COMPUTED_VALUE"""),-0.578616886983532)</f>
        <v>-0.57861688698353198</v>
      </c>
      <c r="KJ76" s="3">
        <f ca="1">IFERROR(__xludf.DUMMYFUNCTION("""COMPUTED_VALUE"""),-0.540263174936846)</f>
        <v>-0.54026317493684595</v>
      </c>
      <c r="KK76" s="3">
        <f ca="1">IFERROR(__xludf.DUMMYFUNCTION("""COMPUTED_VALUE"""),-0.67308011240192)</f>
        <v>-0.67308011240192001</v>
      </c>
      <c r="KL76" s="3">
        <f ca="1">IFERROR(__xludf.DUMMYFUNCTION("""COMPUTED_VALUE"""),-0.719933864244969)</f>
        <v>-0.71993386424496897</v>
      </c>
      <c r="KM76" s="3">
        <f ca="1">IFERROR(__xludf.DUMMYFUNCTION("""COMPUTED_VALUE"""),-0.748632148136231)</f>
        <v>-0.74863214813623102</v>
      </c>
      <c r="KN76" s="3">
        <f ca="1">IFERROR(__xludf.DUMMYFUNCTION("""COMPUTED_VALUE"""),-0.706718663590574)</f>
        <v>-0.706718663590574</v>
      </c>
      <c r="KO76" s="3">
        <f ca="1">IFERROR(__xludf.DUMMYFUNCTION("""COMPUTED_VALUE"""),-0.731277838439289)</f>
        <v>-0.73127783843928895</v>
      </c>
      <c r="KP76" s="3">
        <f ca="1">IFERROR(__xludf.DUMMYFUNCTION("""COMPUTED_VALUE"""),-0.613665494623104)</f>
        <v>-0.61366549462310405</v>
      </c>
      <c r="KQ76" s="3">
        <f ca="1">IFERROR(__xludf.DUMMYFUNCTION("""COMPUTED_VALUE"""),-0.593425800473199)</f>
        <v>-0.59342580047319904</v>
      </c>
      <c r="KR76" s="3">
        <f ca="1">IFERROR(__xludf.DUMMYFUNCTION("""COMPUTED_VALUE"""),-0.700055911100188)</f>
        <v>-0.70005591110018806</v>
      </c>
      <c r="KS76" s="3">
        <f ca="1">IFERROR(__xludf.DUMMYFUNCTION("""COMPUTED_VALUE"""),-0.7249685379966)</f>
        <v>-0.72496853799659999</v>
      </c>
      <c r="KT76" s="3">
        <f ca="1">IFERROR(__xludf.DUMMYFUNCTION("""COMPUTED_VALUE"""),-0.698495843036892)</f>
        <v>-0.69849584303689205</v>
      </c>
      <c r="KU76" s="3">
        <f ca="1">IFERROR(__xludf.DUMMYFUNCTION("""COMPUTED_VALUE"""),-0.747355649886545)</f>
        <v>-0.74735564988654501</v>
      </c>
      <c r="KV76" s="3">
        <f ca="1">IFERROR(__xludf.DUMMYFUNCTION("""COMPUTED_VALUE"""),-0.691433311011449)</f>
        <v>-0.691433311011449</v>
      </c>
      <c r="KW76" s="3">
        <f ca="1">IFERROR(__xludf.DUMMYFUNCTION("""COMPUTED_VALUE"""),-0.437743067349516)</f>
        <v>-0.43774306734951601</v>
      </c>
      <c r="KX76" s="3">
        <f ca="1">IFERROR(__xludf.DUMMYFUNCTION("""COMPUTED_VALUE"""),-0.559358060388178)</f>
        <v>-0.55935806038817804</v>
      </c>
      <c r="KY76" s="3">
        <f ca="1">IFERROR(__xludf.DUMMYFUNCTION("""COMPUTED_VALUE"""),-0.617455720675674)</f>
        <v>-0.617455720675674</v>
      </c>
      <c r="KZ76" s="3">
        <f ca="1">IFERROR(__xludf.DUMMYFUNCTION("""COMPUTED_VALUE"""),-0.615331628865834)</f>
        <v>-0.61533162886583403</v>
      </c>
      <c r="LA76" s="3">
        <f ca="1">IFERROR(__xludf.DUMMYFUNCTION("""COMPUTED_VALUE"""),-0.64113589912019)</f>
        <v>-0.64113589912018998</v>
      </c>
      <c r="LB76" s="3">
        <f ca="1">IFERROR(__xludf.DUMMYFUNCTION("""COMPUTED_VALUE"""),-0.588769617888343)</f>
        <v>-0.58876961788834303</v>
      </c>
      <c r="LC76" s="3">
        <f ca="1">IFERROR(__xludf.DUMMYFUNCTION("""COMPUTED_VALUE"""),-0.622753195021069)</f>
        <v>-0.62275319502106896</v>
      </c>
      <c r="LD76" s="3">
        <f ca="1">IFERROR(__xludf.DUMMYFUNCTION("""COMPUTED_VALUE"""),-0.522276923835289)</f>
        <v>-0.52227692383528901</v>
      </c>
      <c r="LE76" s="3">
        <f ca="1">IFERROR(__xludf.DUMMYFUNCTION("""COMPUTED_VALUE"""),-0.531653471623996)</f>
        <v>-0.53165347162399601</v>
      </c>
      <c r="LF76" s="3">
        <f ca="1">IFERROR(__xludf.DUMMYFUNCTION("""COMPUTED_VALUE"""),-0.666435385556609)</f>
        <v>-0.66643538555660897</v>
      </c>
      <c r="LG76" s="3">
        <f ca="1">IFERROR(__xludf.DUMMYFUNCTION("""COMPUTED_VALUE"""),-0.651315406073711)</f>
        <v>-0.65131540607371097</v>
      </c>
      <c r="LH76" s="3">
        <f ca="1">IFERROR(__xludf.DUMMYFUNCTION("""COMPUTED_VALUE"""),-0.697060913666529)</f>
        <v>-0.697060913666529</v>
      </c>
      <c r="LI76" s="3">
        <f ca="1">IFERROR(__xludf.DUMMYFUNCTION("""COMPUTED_VALUE"""),-0.714794670149575)</f>
        <v>-0.71479467014957498</v>
      </c>
      <c r="LJ76" s="3">
        <f ca="1">IFERROR(__xludf.DUMMYFUNCTION("""COMPUTED_VALUE"""),-0.62447963153771)</f>
        <v>-0.62447963153771002</v>
      </c>
      <c r="LK76" s="3">
        <f ca="1">IFERROR(__xludf.DUMMYFUNCTION("""COMPUTED_VALUE"""),-0.480735536395051)</f>
        <v>-0.48073553639505101</v>
      </c>
      <c r="LL76" s="3">
        <f ca="1">IFERROR(__xludf.DUMMYFUNCTION("""COMPUTED_VALUE"""),-0.532408040395681)</f>
        <v>-0.53240804039568101</v>
      </c>
      <c r="LM76" s="3">
        <f ca="1">IFERROR(__xludf.DUMMYFUNCTION("""COMPUTED_VALUE"""),-0.696105091230323)</f>
        <v>-0.69610509123032305</v>
      </c>
      <c r="LN76" s="3">
        <f ca="1">IFERROR(__xludf.DUMMYFUNCTION("""COMPUTED_VALUE"""),-0.691978411762554)</f>
        <v>-0.69197841176255404</v>
      </c>
      <c r="LO76" s="3">
        <f ca="1">IFERROR(__xludf.DUMMYFUNCTION("""COMPUTED_VALUE"""),-0.71750119840069)</f>
        <v>-0.71750119840069004</v>
      </c>
      <c r="LP76" s="3">
        <f ca="1">IFERROR(__xludf.DUMMYFUNCTION("""COMPUTED_VALUE"""),-0.679448073281336)</f>
        <v>-0.67944807328133605</v>
      </c>
      <c r="LQ76" s="3">
        <f ca="1">IFERROR(__xludf.DUMMYFUNCTION("""COMPUTED_VALUE"""),-0.753698109402612)</f>
        <v>-0.75369810940261195</v>
      </c>
      <c r="LR76" s="3">
        <f ca="1">IFERROR(__xludf.DUMMYFUNCTION("""COMPUTED_VALUE"""),-0.59926670278003)</f>
        <v>-0.59926670278003003</v>
      </c>
      <c r="LS76" s="3">
        <f ca="1">IFERROR(__xludf.DUMMYFUNCTION("""COMPUTED_VALUE"""),-0.621263792941027)</f>
        <v>-0.62126379294102696</v>
      </c>
      <c r="LT76" s="3">
        <f ca="1">IFERROR(__xludf.DUMMYFUNCTION("""COMPUTED_VALUE"""),-0.747298597976323)</f>
        <v>-0.74729859797632303</v>
      </c>
      <c r="LU76" s="3">
        <f ca="1">IFERROR(__xludf.DUMMYFUNCTION("""COMPUTED_VALUE"""),-0.763842954598991)</f>
        <v>-0.76384295459899099</v>
      </c>
      <c r="LV76" s="3">
        <f ca="1">IFERROR(__xludf.DUMMYFUNCTION("""COMPUTED_VALUE"""),-0.773576649719721)</f>
        <v>-0.77357664971972095</v>
      </c>
      <c r="LW76" s="3">
        <f ca="1">IFERROR(__xludf.DUMMYFUNCTION("""COMPUTED_VALUE"""),-0.757071333894186)</f>
        <v>-0.75707133389418602</v>
      </c>
      <c r="LX76" s="3">
        <f ca="1">IFERROR(__xludf.DUMMYFUNCTION("""COMPUTED_VALUE"""),-0.726318745363466)</f>
        <v>-0.72631874536346597</v>
      </c>
      <c r="LY76" s="3">
        <f ca="1">IFERROR(__xludf.DUMMYFUNCTION("""COMPUTED_VALUE"""),-0.614537579795947)</f>
        <v>-0.61453757979594703</v>
      </c>
      <c r="LZ76" s="3">
        <f ca="1">IFERROR(__xludf.DUMMYFUNCTION("""COMPUTED_VALUE"""),-0.718369778718717)</f>
        <v>-0.71836977871871699</v>
      </c>
      <c r="MA76" s="3">
        <f ca="1">IFERROR(__xludf.DUMMYFUNCTION("""COMPUTED_VALUE"""),-0.76551369438842)</f>
        <v>-0.76551369438841999</v>
      </c>
      <c r="MB76" s="3">
        <f ca="1">IFERROR(__xludf.DUMMYFUNCTION("""COMPUTED_VALUE"""),-0.757525636224594)</f>
        <v>-0.75752563622459401</v>
      </c>
      <c r="MC76" s="3">
        <f ca="1">IFERROR(__xludf.DUMMYFUNCTION("""COMPUTED_VALUE"""),-0.766471074633923)</f>
        <v>-0.76647107463392306</v>
      </c>
      <c r="MD76" s="3">
        <f ca="1">IFERROR(__xludf.DUMMYFUNCTION("""COMPUTED_VALUE"""),-0.742780400043297)</f>
        <v>-0.74278040004329704</v>
      </c>
      <c r="ME76" s="3">
        <f ca="1">IFERROR(__xludf.DUMMYFUNCTION("""COMPUTED_VALUE"""),-0.770378714562061)</f>
        <v>-0.77037871456206097</v>
      </c>
      <c r="MF76" s="3">
        <f ca="1">IFERROR(__xludf.DUMMYFUNCTION("""COMPUTED_VALUE"""),-0.648487752990396)</f>
        <v>-0.64848775299039596</v>
      </c>
      <c r="MG76" s="3">
        <f ca="1">IFERROR(__xludf.DUMMYFUNCTION("""COMPUTED_VALUE"""),-0.707674242260808)</f>
        <v>-0.707674242260808</v>
      </c>
      <c r="MH76" s="3">
        <f ca="1">IFERROR(__xludf.DUMMYFUNCTION("""COMPUTED_VALUE"""),-0.788512063160241)</f>
        <v>-0.78851206316024103</v>
      </c>
      <c r="MI76" s="3">
        <f ca="1">IFERROR(__xludf.DUMMYFUNCTION("""COMPUTED_VALUE"""),-0.784349558866373)</f>
        <v>-0.78434955886637303</v>
      </c>
      <c r="MJ76" s="3">
        <f ca="1">IFERROR(__xludf.DUMMYFUNCTION("""COMPUTED_VALUE"""),-0.758803768289112)</f>
        <v>-0.758803768289112</v>
      </c>
      <c r="MK76" s="3">
        <f ca="1">IFERROR(__xludf.DUMMYFUNCTION("""COMPUTED_VALUE"""),-0.765741366357964)</f>
        <v>-0.76574136635796397</v>
      </c>
      <c r="ML76" s="3">
        <f ca="1">IFERROR(__xludf.DUMMYFUNCTION("""COMPUTED_VALUE"""),-0.78802940206191)</f>
        <v>-0.78802940206190997</v>
      </c>
      <c r="MM76" s="3">
        <f ca="1">IFERROR(__xludf.DUMMYFUNCTION("""COMPUTED_VALUE"""),-0.690632606559785)</f>
        <v>-0.69063260655978498</v>
      </c>
      <c r="MN76" s="3">
        <f ca="1">IFERROR(__xludf.DUMMYFUNCTION("""COMPUTED_VALUE"""),-0.719537184562936)</f>
        <v>-0.71953718456293603</v>
      </c>
      <c r="MO76" s="3">
        <f ca="1">IFERROR(__xludf.DUMMYFUNCTION("""COMPUTED_VALUE"""),-0.765200559529945)</f>
        <v>-0.76520055952994503</v>
      </c>
      <c r="MP76" s="3">
        <f ca="1">IFERROR(__xludf.DUMMYFUNCTION("""COMPUTED_VALUE"""),-0.8200632624246)</f>
        <v>-0.82006326242460004</v>
      </c>
      <c r="MQ76" s="3">
        <f ca="1">IFERROR(__xludf.DUMMYFUNCTION("""COMPUTED_VALUE"""),-0.802372936457808)</f>
        <v>-0.80237293645780805</v>
      </c>
      <c r="MR76" s="3">
        <f ca="1">IFERROR(__xludf.DUMMYFUNCTION("""COMPUTED_VALUE"""),-0.79541625861737)</f>
        <v>-0.79541625861736998</v>
      </c>
      <c r="MS76" s="3">
        <f ca="1">IFERROR(__xludf.DUMMYFUNCTION("""COMPUTED_VALUE"""),-0.804032248037805)</f>
        <v>-0.80403224803780504</v>
      </c>
      <c r="MT76" s="3">
        <f ca="1">IFERROR(__xludf.DUMMYFUNCTION("""COMPUTED_VALUE"""),-0.719781201550619)</f>
        <v>-0.71978120155061898</v>
      </c>
      <c r="MU76" s="3">
        <f ca="1">IFERROR(__xludf.DUMMYFUNCTION("""COMPUTED_VALUE"""),-0.746951661476036)</f>
        <v>-0.74695166147603598</v>
      </c>
      <c r="MV76" s="3">
        <f ca="1">IFERROR(__xludf.DUMMYFUNCTION("""COMPUTED_VALUE"""),-0.761360746131772)</f>
        <v>-0.76136074613177196</v>
      </c>
      <c r="MW76" s="3">
        <f ca="1">IFERROR(__xludf.DUMMYFUNCTION("""COMPUTED_VALUE"""),-0.849784092312111)</f>
        <v>-0.84978409231211105</v>
      </c>
      <c r="MX76" s="3">
        <f ca="1">IFERROR(__xludf.DUMMYFUNCTION("""COMPUTED_VALUE"""),-0.833868634012406)</f>
        <v>-0.83386863401240596</v>
      </c>
      <c r="MY76" s="3">
        <f ca="1">IFERROR(__xludf.DUMMYFUNCTION("""COMPUTED_VALUE"""),-0.834598624031594)</f>
        <v>-0.83459862403159402</v>
      </c>
      <c r="MZ76" s="3">
        <f ca="1">IFERROR(__xludf.DUMMYFUNCTION("""COMPUTED_VALUE"""),-0.837514932363442)</f>
        <v>-0.83751493236344199</v>
      </c>
      <c r="NA76" s="3">
        <f ca="1">IFERROR(__xludf.DUMMYFUNCTION("""COMPUTED_VALUE"""),-0.762302750140525)</f>
        <v>-0.76230275014052495</v>
      </c>
      <c r="NB76" s="3">
        <f ca="1">IFERROR(__xludf.DUMMYFUNCTION("""COMPUTED_VALUE"""),-0.788037007050206)</f>
        <v>-0.78803700705020596</v>
      </c>
      <c r="NC76" s="3">
        <f ca="1">IFERROR(__xludf.DUMMYFUNCTION("""COMPUTED_VALUE"""),-0.85219743927345)</f>
        <v>-0.85219743927345004</v>
      </c>
      <c r="ND76" s="3">
        <f ca="1">IFERROR(__xludf.DUMMYFUNCTION("""COMPUTED_VALUE"""),-0.847545605432895)</f>
        <v>-0.84754560543289503</v>
      </c>
      <c r="NE76" s="3">
        <f ca="1">IFERROR(__xludf.DUMMYFUNCTION("""COMPUTED_VALUE"""),-0.845817174003474)</f>
        <v>-0.845817174003474</v>
      </c>
      <c r="NF76" s="3">
        <f ca="1">IFERROR(__xludf.DUMMYFUNCTION("""COMPUTED_VALUE"""),-0.86666695752607)</f>
        <v>-0.86666695752607004</v>
      </c>
      <c r="NG76" s="3">
        <f ca="1">IFERROR(__xludf.DUMMYFUNCTION("""COMPUTED_VALUE"""),-0.854377991823038)</f>
        <v>-0.85437799182303797</v>
      </c>
      <c r="NH76" s="3">
        <f ca="1">IFERROR(__xludf.DUMMYFUNCTION("""COMPUTED_VALUE"""),-0.742623485683852)</f>
        <v>-0.74262348568385195</v>
      </c>
      <c r="NI76" s="3">
        <f ca="1">IFERROR(__xludf.DUMMYFUNCTION("""COMPUTED_VALUE"""),-0.794070941712638)</f>
        <v>-0.79407094171263803</v>
      </c>
      <c r="NJ76" s="3">
        <f ca="1">IFERROR(__xludf.DUMMYFUNCTION("""COMPUTED_VALUE"""),-0.821157395014738)</f>
        <v>-0.82115739501473795</v>
      </c>
      <c r="NK76" s="3">
        <f ca="1">IFERROR(__xludf.DUMMYFUNCTION("""COMPUTED_VALUE"""),-0.855746421857913)</f>
        <v>-0.85574642185791305</v>
      </c>
      <c r="NL76" s="3">
        <f ca="1">IFERROR(__xludf.DUMMYFUNCTION("""COMPUTED_VALUE"""),-0.862395558232527)</f>
        <v>-0.862395558232527</v>
      </c>
      <c r="NM76" s="3">
        <f ca="1">IFERROR(__xludf.DUMMYFUNCTION("""COMPUTED_VALUE"""),-0.85643189559484)</f>
        <v>-0.85643189559484001</v>
      </c>
      <c r="NN76" s="3">
        <f ca="1">IFERROR(__xludf.DUMMYFUNCTION("""COMPUTED_VALUE"""),-0.854757717339924)</f>
        <v>-0.85475771733992401</v>
      </c>
      <c r="NO76" s="3">
        <f ca="1">IFERROR(__xludf.DUMMYFUNCTION("""COMPUTED_VALUE"""),-0.726090719167881)</f>
        <v>-0.72609071916788104</v>
      </c>
      <c r="NP76" s="3">
        <f ca="1">IFERROR(__xludf.DUMMYFUNCTION("""COMPUTED_VALUE"""),-0.761811387917499)</f>
        <v>-0.76181138791749903</v>
      </c>
      <c r="NQ76" s="3">
        <f ca="1">IFERROR(__xludf.DUMMYFUNCTION("""COMPUTED_VALUE"""),-0.851367676131159)</f>
        <v>-0.85136767613115905</v>
      </c>
      <c r="NR76" s="3">
        <f ca="1">IFERROR(__xludf.DUMMYFUNCTION("""COMPUTED_VALUE"""),-0.874965775298707)</f>
        <v>-0.874965775298707</v>
      </c>
      <c r="NS76" s="3">
        <f ca="1">IFERROR(__xludf.DUMMYFUNCTION("""COMPUTED_VALUE"""),-0.861939750189344)</f>
        <v>-0.86193975018934399</v>
      </c>
      <c r="NT76" s="3">
        <f ca="1">IFERROR(__xludf.DUMMYFUNCTION("""COMPUTED_VALUE"""),-0.86221206041684)</f>
        <v>-0.86221206041683995</v>
      </c>
      <c r="NU76" s="3">
        <f ca="1">IFERROR(__xludf.DUMMYFUNCTION("""COMPUTED_VALUE"""),-0.820298010846198)</f>
        <v>-0.82029801084619802</v>
      </c>
      <c r="NV76" s="3">
        <f ca="1">IFERROR(__xludf.DUMMYFUNCTION("""COMPUTED_VALUE"""),-0.681226286992835)</f>
        <v>-0.68122628699283505</v>
      </c>
      <c r="NW76" s="3">
        <f ca="1">IFERROR(__xludf.DUMMYFUNCTION("""COMPUTED_VALUE"""),-0.667108242849857)</f>
        <v>-0.66710824284985704</v>
      </c>
      <c r="NX76" s="3">
        <f ca="1">IFERROR(__xludf.DUMMYFUNCTION("""COMPUTED_VALUE"""),-0.763549886516098)</f>
        <v>-0.76354988651609801</v>
      </c>
      <c r="NY76" s="3">
        <f ca="1">IFERROR(__xludf.DUMMYFUNCTION("""COMPUTED_VALUE"""),-0.770288346832269)</f>
        <v>-0.77028834683226899</v>
      </c>
      <c r="NZ76" s="3">
        <f ca="1">IFERROR(__xludf.DUMMYFUNCTION("""COMPUTED_VALUE"""),-0.713969453744874)</f>
        <v>-0.71396945374487397</v>
      </c>
      <c r="OA76" s="3">
        <f ca="1">IFERROR(__xludf.DUMMYFUNCTION("""COMPUTED_VALUE"""),-0.640393602045877)</f>
        <v>-0.64039360204587703</v>
      </c>
      <c r="OB76" s="3">
        <f ca="1">IFERROR(__xludf.DUMMYFUNCTION("""COMPUTED_VALUE"""),-0.50800025722323)</f>
        <v>-0.50800025722322995</v>
      </c>
      <c r="OC76" s="3">
        <f ca="1">IFERROR(__xludf.DUMMYFUNCTION("""COMPUTED_VALUE"""),-0.228502216530034)</f>
        <v>-0.228502216530034</v>
      </c>
      <c r="OD76" s="3">
        <f ca="1">IFERROR(__xludf.DUMMYFUNCTION("""COMPUTED_VALUE"""),-0.270648406021153)</f>
        <v>-0.27064840602115298</v>
      </c>
      <c r="OE76" s="3">
        <f ca="1">IFERROR(__xludf.DUMMYFUNCTION("""COMPUTED_VALUE"""),-0.0803382324399304)</f>
        <v>-8.0338232439930393E-2</v>
      </c>
      <c r="OF76" s="3">
        <f ca="1">IFERROR(__xludf.DUMMYFUNCTION("""COMPUTED_VALUE"""),0.0216333100653951)</f>
        <v>2.1633310065395098E-2</v>
      </c>
      <c r="OG76" s="3">
        <f ca="1">IFERROR(__xludf.DUMMYFUNCTION("""COMPUTED_VALUE"""),0.0784823444181355)</f>
        <v>7.8482344418135494E-2</v>
      </c>
      <c r="OH76" s="3">
        <f ca="1">IFERROR(__xludf.DUMMYFUNCTION("""COMPUTED_VALUE"""),0.0683936074234066)</f>
        <v>6.8393607423406597E-2</v>
      </c>
      <c r="OI76" s="3">
        <f ca="1">IFERROR(__xludf.DUMMYFUNCTION("""COMPUTED_VALUE"""),0.101549670198219)</f>
        <v>0.10154967019821901</v>
      </c>
      <c r="OJ76" s="3">
        <f ca="1">IFERROR(__xludf.DUMMYFUNCTION("""COMPUTED_VALUE"""),-0.0972715924565056)</f>
        <v>-9.7271592456505601E-2</v>
      </c>
      <c r="OK76" s="3">
        <f ca="1">IFERROR(__xludf.DUMMYFUNCTION("""COMPUTED_VALUE"""),-0.0390590282709103)</f>
        <v>-3.9059028270910297E-2</v>
      </c>
      <c r="OL76" s="3">
        <f ca="1">IFERROR(__xludf.DUMMYFUNCTION("""COMPUTED_VALUE"""),0.0184737395647032)</f>
        <v>1.84737395647032E-2</v>
      </c>
      <c r="OM76" s="3">
        <f ca="1">IFERROR(__xludf.DUMMYFUNCTION("""COMPUTED_VALUE"""),0.104393810669957)</f>
        <v>0.104393810669957</v>
      </c>
      <c r="ON76" s="3">
        <f ca="1">IFERROR(__xludf.DUMMYFUNCTION("""COMPUTED_VALUE"""),0.0753943578419185)</f>
        <v>7.5394357841918502E-2</v>
      </c>
      <c r="OO76" s="3">
        <f ca="1">IFERROR(__xludf.DUMMYFUNCTION("""COMPUTED_VALUE"""),0.0113341005159535)</f>
        <v>1.13341005159535E-2</v>
      </c>
      <c r="OP76" s="3">
        <f ca="1">IFERROR(__xludf.DUMMYFUNCTION("""COMPUTED_VALUE"""),0.0576201512655365)</f>
        <v>5.7620151265536497E-2</v>
      </c>
      <c r="OQ76" s="3">
        <f ca="1">IFERROR(__xludf.DUMMYFUNCTION("""COMPUTED_VALUE"""),-0.0570423071587982)</f>
        <v>-5.7042307158798197E-2</v>
      </c>
      <c r="OR76" s="3">
        <f ca="1">IFERROR(__xludf.DUMMYFUNCTION("""COMPUTED_VALUE"""),0.0809354185581028)</f>
        <v>8.0935418558102795E-2</v>
      </c>
      <c r="OS76" s="3">
        <f ca="1">IFERROR(__xludf.DUMMYFUNCTION("""COMPUTED_VALUE"""),0.229629380875958)</f>
        <v>0.22962938087595799</v>
      </c>
      <c r="OT76" s="3">
        <f ca="1">IFERROR(__xludf.DUMMYFUNCTION("""COMPUTED_VALUE"""),0.213547712701325)</f>
        <v>0.213547712701325</v>
      </c>
      <c r="OU76" s="3">
        <f ca="1">IFERROR(__xludf.DUMMYFUNCTION("""COMPUTED_VALUE"""),0.259241681742028)</f>
        <v>0.259241681742028</v>
      </c>
      <c r="OV76" s="3">
        <f ca="1">IFERROR(__xludf.DUMMYFUNCTION("""COMPUTED_VALUE"""),0.261909160155237)</f>
        <v>0.26190916015523702</v>
      </c>
      <c r="OW76" s="3">
        <f ca="1">IFERROR(__xludf.DUMMYFUNCTION("""COMPUTED_VALUE"""),0.37974659772945)</f>
        <v>0.37974659772945002</v>
      </c>
      <c r="OX76" s="3">
        <f ca="1">IFERROR(__xludf.DUMMYFUNCTION("""COMPUTED_VALUE"""),0.0189209006930606)</f>
        <v>1.8920900693060599E-2</v>
      </c>
      <c r="OY76" s="3">
        <f ca="1">IFERROR(__xludf.DUMMYFUNCTION("""COMPUTED_VALUE"""),-0.0486373442456543)</f>
        <v>-4.8637344245654301E-2</v>
      </c>
      <c r="OZ76" s="3">
        <f ca="1">IFERROR(__xludf.DUMMYFUNCTION("""COMPUTED_VALUE"""),-0.374481800978059)</f>
        <v>-0.374481800978059</v>
      </c>
      <c r="PA76" s="3">
        <f ca="1">IFERROR(__xludf.DUMMYFUNCTION("""COMPUTED_VALUE"""),-0.415362947748056)</f>
        <v>-0.41536294774805599</v>
      </c>
      <c r="PB76" s="3">
        <f ca="1">IFERROR(__xludf.DUMMYFUNCTION("""COMPUTED_VALUE"""),-0.517308934143744)</f>
        <v>-0.51730893414374401</v>
      </c>
      <c r="PC76" s="3">
        <f ca="1">IFERROR(__xludf.DUMMYFUNCTION("""COMPUTED_VALUE"""),-0.481937802964113)</f>
        <v>-0.48193780296411298</v>
      </c>
      <c r="PD76" s="3">
        <f ca="1">IFERROR(__xludf.DUMMYFUNCTION("""COMPUTED_VALUE"""),-0.642439152405974)</f>
        <v>-0.64243915240597405</v>
      </c>
      <c r="PE76" s="3">
        <f ca="1">IFERROR(__xludf.DUMMYFUNCTION("""COMPUTED_VALUE"""),-0.0542232426080631)</f>
        <v>-5.4223242608063098E-2</v>
      </c>
      <c r="PF76" s="3">
        <f ca="1">IFERROR(__xludf.DUMMYFUNCTION("""COMPUTED_VALUE"""),-0.101747943291418)</f>
        <v>-0.10174794329141799</v>
      </c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</row>
    <row r="77" spans="1:594" ht="13">
      <c r="A77" s="1" t="str">
        <f ca="1">IFERROR(__xludf.DUMMYFUNCTION("""COMPUTED_VALUE"""),"Seattle")</f>
        <v>Seattle</v>
      </c>
      <c r="B77" s="3">
        <f ca="1">IFERROR(__xludf.DUMMYFUNCTION("""COMPUTED_VALUE"""),-0.520558471789912)</f>
        <v>-0.52055847178991199</v>
      </c>
      <c r="C77" s="3">
        <f ca="1">IFERROR(__xludf.DUMMYFUNCTION("""COMPUTED_VALUE"""),-0.624153909938384)</f>
        <v>-0.62415390993838404</v>
      </c>
      <c r="D77" s="3">
        <f ca="1">IFERROR(__xludf.DUMMYFUNCTION("""COMPUTED_VALUE"""),-0.650700101341247)</f>
        <v>-0.65070010134124701</v>
      </c>
      <c r="E77" s="3">
        <f ca="1">IFERROR(__xludf.DUMMYFUNCTION("""COMPUTED_VALUE"""),-0.679013364627753)</f>
        <v>-0.67901336462775297</v>
      </c>
      <c r="F77" s="3">
        <f ca="1">IFERROR(__xludf.DUMMYFUNCTION("""COMPUTED_VALUE"""),-0.664138030127972)</f>
        <v>-0.66413803012797201</v>
      </c>
      <c r="G77" s="3">
        <f ca="1">IFERROR(__xludf.DUMMYFUNCTION("""COMPUTED_VALUE"""),-0.65854564429691)</f>
        <v>-0.65854564429690998</v>
      </c>
      <c r="H77" s="3">
        <f ca="1">IFERROR(__xludf.DUMMYFUNCTION("""COMPUTED_VALUE"""),-0.628188814915618)</f>
        <v>-0.62818881491561795</v>
      </c>
      <c r="I77" s="3">
        <f ca="1">IFERROR(__xludf.DUMMYFUNCTION("""COMPUTED_VALUE"""),-0.562452019030478)</f>
        <v>-0.56245201903047803</v>
      </c>
      <c r="J77" s="3">
        <f ca="1">IFERROR(__xludf.DUMMYFUNCTION("""COMPUTED_VALUE"""),-0.64349195017813)</f>
        <v>-0.64349195017812999</v>
      </c>
      <c r="K77" s="3">
        <f ca="1">IFERROR(__xludf.DUMMYFUNCTION("""COMPUTED_VALUE"""),-0.663938946814062)</f>
        <v>-0.66393894681406196</v>
      </c>
      <c r="L77" s="3">
        <f ca="1">IFERROR(__xludf.DUMMYFUNCTION("""COMPUTED_VALUE"""),-0.669703655723511)</f>
        <v>-0.66970365572351098</v>
      </c>
      <c r="M77" s="3">
        <f ca="1">IFERROR(__xludf.DUMMYFUNCTION("""COMPUTED_VALUE"""),-0.677731650309589)</f>
        <v>-0.67773165030958904</v>
      </c>
      <c r="N77" s="3">
        <f ca="1">IFERROR(__xludf.DUMMYFUNCTION("""COMPUTED_VALUE"""),-0.686280314731205)</f>
        <v>-0.68628031473120499</v>
      </c>
      <c r="O77" s="3">
        <f ca="1">IFERROR(__xludf.DUMMYFUNCTION("""COMPUTED_VALUE"""),-0.643887957344197)</f>
        <v>-0.64388795734419701</v>
      </c>
      <c r="P77" s="3">
        <f ca="1">IFERROR(__xludf.DUMMYFUNCTION("""COMPUTED_VALUE"""),-0.610800500856537)</f>
        <v>-0.61080050085653703</v>
      </c>
      <c r="Q77" s="3">
        <f ca="1">IFERROR(__xludf.DUMMYFUNCTION("""COMPUTED_VALUE"""),-0.664547282178634)</f>
        <v>-0.66454728217863401</v>
      </c>
      <c r="R77" s="3">
        <f ca="1">IFERROR(__xludf.DUMMYFUNCTION("""COMPUTED_VALUE"""),-0.689396568927903)</f>
        <v>-0.68939656892790302</v>
      </c>
      <c r="S77" s="3">
        <f ca="1">IFERROR(__xludf.DUMMYFUNCTION("""COMPUTED_VALUE"""),-0.70672159620066)</f>
        <v>-0.70672159620066</v>
      </c>
      <c r="T77" s="3">
        <f ca="1">IFERROR(__xludf.DUMMYFUNCTION("""COMPUTED_VALUE"""),-0.700994462623044)</f>
        <v>-0.70099446262304399</v>
      </c>
      <c r="U77" s="3">
        <f ca="1">IFERROR(__xludf.DUMMYFUNCTION("""COMPUTED_VALUE"""),-0.694126483567342)</f>
        <v>-0.69412648356734197</v>
      </c>
      <c r="V77" s="3">
        <f ca="1">IFERROR(__xludf.DUMMYFUNCTION("""COMPUTED_VALUE"""),-0.687544681419606)</f>
        <v>-0.68754468141960601</v>
      </c>
      <c r="W77" s="3">
        <f ca="1">IFERROR(__xludf.DUMMYFUNCTION("""COMPUTED_VALUE"""),-0.653049953439357)</f>
        <v>-0.65304995343935701</v>
      </c>
      <c r="X77" s="3">
        <f ca="1">IFERROR(__xludf.DUMMYFUNCTION("""COMPUTED_VALUE"""),-0.693474132743042)</f>
        <v>-0.69347413274304204</v>
      </c>
      <c r="Y77" s="3">
        <f ca="1">IFERROR(__xludf.DUMMYFUNCTION("""COMPUTED_VALUE"""),-0.718546271183466)</f>
        <v>-0.71854627118346603</v>
      </c>
      <c r="Z77" s="3">
        <f ca="1">IFERROR(__xludf.DUMMYFUNCTION("""COMPUTED_VALUE"""),-0.698309259181661)</f>
        <v>-0.69830925918166098</v>
      </c>
      <c r="AA77" s="3">
        <f ca="1">IFERROR(__xludf.DUMMYFUNCTION("""COMPUTED_VALUE"""),-0.716758395003317)</f>
        <v>-0.71675839500331695</v>
      </c>
      <c r="AB77" s="3">
        <f ca="1">IFERROR(__xludf.DUMMYFUNCTION("""COMPUTED_VALUE"""),-0.727249216513282)</f>
        <v>-0.727249216513282</v>
      </c>
      <c r="AC77" s="3">
        <f ca="1">IFERROR(__xludf.DUMMYFUNCTION("""COMPUTED_VALUE"""),-0.662912996481872)</f>
        <v>-0.66291299648187196</v>
      </c>
      <c r="AD77" s="3">
        <f ca="1">IFERROR(__xludf.DUMMYFUNCTION("""COMPUTED_VALUE"""),-0.622474480159075)</f>
        <v>-0.62247448015907503</v>
      </c>
      <c r="AE77" s="3">
        <f ca="1">IFERROR(__xludf.DUMMYFUNCTION("""COMPUTED_VALUE"""),-0.681696018139759)</f>
        <v>-0.681696018139759</v>
      </c>
      <c r="AF77" s="3">
        <f ca="1">IFERROR(__xludf.DUMMYFUNCTION("""COMPUTED_VALUE"""),-0.709732263390194)</f>
        <v>-0.70973226339019402</v>
      </c>
      <c r="AG77" s="3">
        <f ca="1">IFERROR(__xludf.DUMMYFUNCTION("""COMPUTED_VALUE"""),-0.697972609863562)</f>
        <v>-0.69797260986356202</v>
      </c>
      <c r="AH77" s="3">
        <f ca="1">IFERROR(__xludf.DUMMYFUNCTION("""COMPUTED_VALUE"""),-0.700636708644444)</f>
        <v>-0.70063670864444405</v>
      </c>
      <c r="AI77" s="3">
        <f ca="1">IFERROR(__xludf.DUMMYFUNCTION("""COMPUTED_VALUE"""),-0.698505246056477)</f>
        <v>-0.69850524605647701</v>
      </c>
      <c r="AJ77" s="3">
        <f ca="1">IFERROR(__xludf.DUMMYFUNCTION("""COMPUTED_VALUE"""),-0.646500311100889)</f>
        <v>-0.64650031110088901</v>
      </c>
      <c r="AK77" s="3">
        <f ca="1">IFERROR(__xludf.DUMMYFUNCTION("""COMPUTED_VALUE"""),-0.632208741478724)</f>
        <v>-0.63220874147872397</v>
      </c>
      <c r="AL77" s="3">
        <f ca="1">IFERROR(__xludf.DUMMYFUNCTION("""COMPUTED_VALUE"""),-0.711230958658187)</f>
        <v>-0.71123095865818697</v>
      </c>
      <c r="AM77" s="3">
        <f ca="1">IFERROR(__xludf.DUMMYFUNCTION("""COMPUTED_VALUE"""),-0.723579777451193)</f>
        <v>-0.72357977745119295</v>
      </c>
      <c r="AN77" s="3">
        <f ca="1">IFERROR(__xludf.DUMMYFUNCTION("""COMPUTED_VALUE"""),-0.696722600274601)</f>
        <v>-0.69672260027460098</v>
      </c>
      <c r="AO77" s="3">
        <f ca="1">IFERROR(__xludf.DUMMYFUNCTION("""COMPUTED_VALUE"""),-0.709666672821709)</f>
        <v>-0.70966667282170903</v>
      </c>
      <c r="AP77" s="3">
        <f ca="1">IFERROR(__xludf.DUMMYFUNCTION("""COMPUTED_VALUE"""),-0.70650535615165)</f>
        <v>-0.70650535615165</v>
      </c>
      <c r="AQ77" s="3">
        <f ca="1">IFERROR(__xludf.DUMMYFUNCTION("""COMPUTED_VALUE"""),-0.626223175367179)</f>
        <v>-0.62622317536717897</v>
      </c>
      <c r="AR77" s="3">
        <f ca="1">IFERROR(__xludf.DUMMYFUNCTION("""COMPUTED_VALUE"""),-0.631201596209032)</f>
        <v>-0.63120159620903205</v>
      </c>
      <c r="AS77" s="3">
        <f ca="1">IFERROR(__xludf.DUMMYFUNCTION("""COMPUTED_VALUE"""),-0.700576714166513)</f>
        <v>-0.70057671416651301</v>
      </c>
      <c r="AT77" s="3">
        <f ca="1">IFERROR(__xludf.DUMMYFUNCTION("""COMPUTED_VALUE"""),-0.739609293747225)</f>
        <v>-0.73960929374722495</v>
      </c>
      <c r="AU77" s="3">
        <f ca="1">IFERROR(__xludf.DUMMYFUNCTION("""COMPUTED_VALUE"""),-0.729618413873105)</f>
        <v>-0.729618413873105</v>
      </c>
      <c r="AV77" s="3">
        <f ca="1">IFERROR(__xludf.DUMMYFUNCTION("""COMPUTED_VALUE"""),-0.723604523950506)</f>
        <v>-0.72360452395050601</v>
      </c>
      <c r="AW77" s="3">
        <f ca="1">IFERROR(__xludf.DUMMYFUNCTION("""COMPUTED_VALUE"""),-0.700843998604831)</f>
        <v>-0.70084399860483104</v>
      </c>
      <c r="AX77" s="3">
        <f ca="1">IFERROR(__xludf.DUMMYFUNCTION("""COMPUTED_VALUE"""),-0.612112470478157)</f>
        <v>-0.61211247047815698</v>
      </c>
      <c r="AY77" s="3">
        <f ca="1">IFERROR(__xludf.DUMMYFUNCTION("""COMPUTED_VALUE"""),-0.608831788909551)</f>
        <v>-0.60883178890955103</v>
      </c>
      <c r="AZ77" s="3">
        <f ca="1">IFERROR(__xludf.DUMMYFUNCTION("""COMPUTED_VALUE"""),-0.718675122871501)</f>
        <v>-0.71867512287150104</v>
      </c>
      <c r="BA77" s="3">
        <f ca="1">IFERROR(__xludf.DUMMYFUNCTION("""COMPUTED_VALUE"""),-0.74118194267215)</f>
        <v>-0.74118194267214998</v>
      </c>
      <c r="BB77" s="3">
        <f ca="1">IFERROR(__xludf.DUMMYFUNCTION("""COMPUTED_VALUE"""),-0.704674986670046)</f>
        <v>-0.70467498667004602</v>
      </c>
      <c r="BC77" s="3">
        <f ca="1">IFERROR(__xludf.DUMMYFUNCTION("""COMPUTED_VALUE"""),-0.699325267748051)</f>
        <v>-0.69932526774805104</v>
      </c>
      <c r="BD77" s="3">
        <f ca="1">IFERROR(__xludf.DUMMYFUNCTION("""COMPUTED_VALUE"""),-0.675986373929312)</f>
        <v>-0.67598637392931205</v>
      </c>
      <c r="BE77" s="3">
        <f ca="1">IFERROR(__xludf.DUMMYFUNCTION("""COMPUTED_VALUE"""),-0.541883513234115)</f>
        <v>-0.54188351323411499</v>
      </c>
      <c r="BF77" s="3">
        <f ca="1">IFERROR(__xludf.DUMMYFUNCTION("""COMPUTED_VALUE"""),-0.468183346744548)</f>
        <v>-0.46818334674454798</v>
      </c>
      <c r="BG77" s="3">
        <f ca="1">IFERROR(__xludf.DUMMYFUNCTION("""COMPUTED_VALUE"""),-0.740599086809103)</f>
        <v>-0.74059908680910302</v>
      </c>
      <c r="BH77" s="3">
        <f ca="1">IFERROR(__xludf.DUMMYFUNCTION("""COMPUTED_VALUE"""),-0.761392297656709)</f>
        <v>-0.76139229765670902</v>
      </c>
      <c r="BI77" s="3">
        <f ca="1">IFERROR(__xludf.DUMMYFUNCTION("""COMPUTED_VALUE"""),-0.737834571560898)</f>
        <v>-0.73783457156089804</v>
      </c>
      <c r="BJ77" s="3">
        <f ca="1">IFERROR(__xludf.DUMMYFUNCTION("""COMPUTED_VALUE"""),-0.744474141441762)</f>
        <v>-0.74447414144176205</v>
      </c>
      <c r="BK77" s="3">
        <f ca="1">IFERROR(__xludf.DUMMYFUNCTION("""COMPUTED_VALUE"""),-0.722328917769112)</f>
        <v>-0.72232891776911201</v>
      </c>
      <c r="BL77" s="3">
        <f ca="1">IFERROR(__xludf.DUMMYFUNCTION("""COMPUTED_VALUE"""),-0.638303468275644)</f>
        <v>-0.63830346827564399</v>
      </c>
      <c r="BM77" s="3">
        <f ca="1">IFERROR(__xludf.DUMMYFUNCTION("""COMPUTED_VALUE"""),-0.656992770443189)</f>
        <v>-0.65699277044318904</v>
      </c>
      <c r="BN77" s="3">
        <f ca="1">IFERROR(__xludf.DUMMYFUNCTION("""COMPUTED_VALUE"""),-0.730767896871332)</f>
        <v>-0.73076789687133203</v>
      </c>
      <c r="BO77" s="3">
        <f ca="1">IFERROR(__xludf.DUMMYFUNCTION("""COMPUTED_VALUE"""),-0.766261381556347)</f>
        <v>-0.76626138155634704</v>
      </c>
      <c r="BP77" s="3">
        <f ca="1">IFERROR(__xludf.DUMMYFUNCTION("""COMPUTED_VALUE"""),-0.751610375315315)</f>
        <v>-0.75161037531531505</v>
      </c>
      <c r="BQ77" s="3">
        <f ca="1">IFERROR(__xludf.DUMMYFUNCTION("""COMPUTED_VALUE"""),-0.749402248325367)</f>
        <v>-0.74940224832536695</v>
      </c>
      <c r="BR77" s="3">
        <f ca="1">IFERROR(__xludf.DUMMYFUNCTION("""COMPUTED_VALUE"""),-0.739792981848469)</f>
        <v>-0.73979298184846898</v>
      </c>
      <c r="BS77" s="3">
        <f ca="1">IFERROR(__xludf.DUMMYFUNCTION("""COMPUTED_VALUE"""),-0.673158299705305)</f>
        <v>-0.67315829970530505</v>
      </c>
      <c r="BT77" s="3">
        <f ca="1">IFERROR(__xludf.DUMMYFUNCTION("""COMPUTED_VALUE"""),-0.64069039741001)</f>
        <v>-0.64069039741000999</v>
      </c>
      <c r="BU77" s="3">
        <f ca="1">IFERROR(__xludf.DUMMYFUNCTION("""COMPUTED_VALUE"""),-0.731736652269313)</f>
        <v>-0.73173665226931295</v>
      </c>
      <c r="BV77" s="3">
        <f ca="1">IFERROR(__xludf.DUMMYFUNCTION("""COMPUTED_VALUE"""),-0.782815124197279)</f>
        <v>-0.78281512419727906</v>
      </c>
      <c r="BW77" s="3">
        <f ca="1">IFERROR(__xludf.DUMMYFUNCTION("""COMPUTED_VALUE"""),-0.785821169251073)</f>
        <v>-0.78582116925107304</v>
      </c>
      <c r="BX77" s="3">
        <f ca="1">IFERROR(__xludf.DUMMYFUNCTION("""COMPUTED_VALUE"""),-0.757075784082399)</f>
        <v>-0.75707578408239895</v>
      </c>
      <c r="BY77" s="3">
        <f ca="1">IFERROR(__xludf.DUMMYFUNCTION("""COMPUTED_VALUE"""),-0.708582161183519)</f>
        <v>-0.70858216118351902</v>
      </c>
      <c r="BZ77" s="3">
        <f ca="1">IFERROR(__xludf.DUMMYFUNCTION("""COMPUTED_VALUE"""),-0.657972543789479)</f>
        <v>-0.657972543789479</v>
      </c>
      <c r="CA77" s="3">
        <f ca="1">IFERROR(__xludf.DUMMYFUNCTION("""COMPUTED_VALUE"""),-0.638662165447585)</f>
        <v>-0.63866216544758503</v>
      </c>
      <c r="CB77" s="3">
        <f ca="1">IFERROR(__xludf.DUMMYFUNCTION("""COMPUTED_VALUE"""),-0.752185567264376)</f>
        <v>-0.75218556726437602</v>
      </c>
      <c r="CC77" s="3">
        <f ca="1">IFERROR(__xludf.DUMMYFUNCTION("""COMPUTED_VALUE"""),-0.764067996622073)</f>
        <v>-0.76406799662207303</v>
      </c>
      <c r="CD77" s="3">
        <f ca="1">IFERROR(__xludf.DUMMYFUNCTION("""COMPUTED_VALUE"""),-0.75575657695919)</f>
        <v>-0.75575657695918996</v>
      </c>
      <c r="CE77" s="3">
        <f ca="1">IFERROR(__xludf.DUMMYFUNCTION("""COMPUTED_VALUE"""),-0.759809579278867)</f>
        <v>-0.75980957927886705</v>
      </c>
      <c r="CF77" s="3">
        <f ca="1">IFERROR(__xludf.DUMMYFUNCTION("""COMPUTED_VALUE"""),-0.737319499158279)</f>
        <v>-0.73731949915827899</v>
      </c>
      <c r="CG77" s="3">
        <f ca="1">IFERROR(__xludf.DUMMYFUNCTION("""COMPUTED_VALUE"""),-0.63853436712386)</f>
        <v>-0.63853436712386002</v>
      </c>
      <c r="CH77" s="3">
        <f ca="1">IFERROR(__xludf.DUMMYFUNCTION("""COMPUTED_VALUE"""),-0.651379883933925)</f>
        <v>-0.65137988393392499</v>
      </c>
      <c r="CI77" s="3">
        <f ca="1">IFERROR(__xludf.DUMMYFUNCTION("""COMPUTED_VALUE"""),-0.758728466453573)</f>
        <v>-0.75872846645357295</v>
      </c>
      <c r="CJ77" s="3">
        <f ca="1">IFERROR(__xludf.DUMMYFUNCTION("""COMPUTED_VALUE"""),-0.784494736937806)</f>
        <v>-0.78449473693780603</v>
      </c>
      <c r="CK77" s="3">
        <f ca="1">IFERROR(__xludf.DUMMYFUNCTION("""COMPUTED_VALUE"""),-0.758138578679916)</f>
        <v>-0.75813857867991596</v>
      </c>
      <c r="CL77" s="3">
        <f ca="1">IFERROR(__xludf.DUMMYFUNCTION("""COMPUTED_VALUE"""),-0.783014566285569)</f>
        <v>-0.78301456628556898</v>
      </c>
      <c r="CM77" s="3">
        <f ca="1">IFERROR(__xludf.DUMMYFUNCTION("""COMPUTED_VALUE"""),-0.759108585974656)</f>
        <v>-0.75910858597465602</v>
      </c>
      <c r="CN77" s="3">
        <f ca="1">IFERROR(__xludf.DUMMYFUNCTION("""COMPUTED_VALUE"""),-0.65165687447767)</f>
        <v>-0.65165687447766996</v>
      </c>
      <c r="CO77" s="3">
        <f ca="1">IFERROR(__xludf.DUMMYFUNCTION("""COMPUTED_VALUE"""),-0.636468592617536)</f>
        <v>-0.63646859261753597</v>
      </c>
      <c r="CP77" s="3">
        <f ca="1">IFERROR(__xludf.DUMMYFUNCTION("""COMPUTED_VALUE"""),-0.738323185421202)</f>
        <v>-0.73832318542120201</v>
      </c>
      <c r="CQ77" s="3">
        <f ca="1">IFERROR(__xludf.DUMMYFUNCTION("""COMPUTED_VALUE"""),-0.760517133966618)</f>
        <v>-0.76051713396661802</v>
      </c>
      <c r="CR77" s="3">
        <f ca="1">IFERROR(__xludf.DUMMYFUNCTION("""COMPUTED_VALUE"""),-0.748302489599076)</f>
        <v>-0.74830248959907597</v>
      </c>
      <c r="CS77" s="3">
        <f ca="1">IFERROR(__xludf.DUMMYFUNCTION("""COMPUTED_VALUE"""),-0.75873788942917)</f>
        <v>-0.75873788942916998</v>
      </c>
      <c r="CT77" s="3">
        <f ca="1">IFERROR(__xludf.DUMMYFUNCTION("""COMPUTED_VALUE"""),-0.747255785739091)</f>
        <v>-0.74725578573909102</v>
      </c>
      <c r="CU77" s="3">
        <f ca="1">IFERROR(__xludf.DUMMYFUNCTION("""COMPUTED_VALUE"""),-0.679611739242592)</f>
        <v>-0.67961173924259199</v>
      </c>
      <c r="CV77" s="3">
        <f ca="1">IFERROR(__xludf.DUMMYFUNCTION("""COMPUTED_VALUE"""),-0.675561270144389)</f>
        <v>-0.67556127014438905</v>
      </c>
      <c r="CW77" s="3">
        <f ca="1">IFERROR(__xludf.DUMMYFUNCTION("""COMPUTED_VALUE"""),-0.799547794209747)</f>
        <v>-0.79954779420974698</v>
      </c>
      <c r="CX77" s="3">
        <f ca="1">IFERROR(__xludf.DUMMYFUNCTION("""COMPUTED_VALUE"""),-0.711555626250065)</f>
        <v>-0.71155562625006497</v>
      </c>
      <c r="CY77" s="3">
        <f ca="1">IFERROR(__xludf.DUMMYFUNCTION("""COMPUTED_VALUE"""),-0.656989466991547)</f>
        <v>-0.65698946699154703</v>
      </c>
      <c r="CZ77" s="3">
        <f ca="1">IFERROR(__xludf.DUMMYFUNCTION("""COMPUTED_VALUE"""),-0.696440033302627)</f>
        <v>-0.69644003330262705</v>
      </c>
      <c r="DA77" s="3">
        <f ca="1">IFERROR(__xludf.DUMMYFUNCTION("""COMPUTED_VALUE"""),-0.721269550661487)</f>
        <v>-0.72126955066148701</v>
      </c>
      <c r="DB77" s="3">
        <f ca="1">IFERROR(__xludf.DUMMYFUNCTION("""COMPUTED_VALUE"""),-0.669577942570602)</f>
        <v>-0.66957794257060199</v>
      </c>
      <c r="DC77" s="3">
        <f ca="1">IFERROR(__xludf.DUMMYFUNCTION("""COMPUTED_VALUE"""),-0.675159071437253)</f>
        <v>-0.67515907143725296</v>
      </c>
      <c r="DD77" s="3">
        <f ca="1">IFERROR(__xludf.DUMMYFUNCTION("""COMPUTED_VALUE"""),-0.866638919528451)</f>
        <v>-0.86663891952845096</v>
      </c>
      <c r="DE77" s="3">
        <f ca="1">IFERROR(__xludf.DUMMYFUNCTION("""COMPUTED_VALUE"""),-0.719656673988784)</f>
        <v>-0.71965667398878397</v>
      </c>
      <c r="DF77" s="3">
        <f ca="1">IFERROR(__xludf.DUMMYFUNCTION("""COMPUTED_VALUE"""),-0.521339568315901)</f>
        <v>-0.521339568315901</v>
      </c>
      <c r="DG77" s="3">
        <f ca="1">IFERROR(__xludf.DUMMYFUNCTION("""COMPUTED_VALUE"""),-0.656733097664496)</f>
        <v>-0.65673309766449595</v>
      </c>
      <c r="DH77" s="3">
        <f ca="1">IFERROR(__xludf.DUMMYFUNCTION("""COMPUTED_VALUE"""),-0.68629424725825)</f>
        <v>-0.68629424725824995</v>
      </c>
      <c r="DI77" s="3">
        <f ca="1">IFERROR(__xludf.DUMMYFUNCTION("""COMPUTED_VALUE"""),-0.630471241223157)</f>
        <v>-0.63047124122315701</v>
      </c>
      <c r="DJ77" s="3">
        <f ca="1">IFERROR(__xludf.DUMMYFUNCTION("""COMPUTED_VALUE"""),-0.625095833745739)</f>
        <v>-0.62509583374573896</v>
      </c>
      <c r="DK77" s="3">
        <f ca="1">IFERROR(__xludf.DUMMYFUNCTION("""COMPUTED_VALUE"""),-0.710847736858872)</f>
        <v>-0.71084773685887204</v>
      </c>
      <c r="DL77" s="3">
        <f ca="1">IFERROR(__xludf.DUMMYFUNCTION("""COMPUTED_VALUE"""),-0.720908725092725)</f>
        <v>-0.72090872509272497</v>
      </c>
      <c r="DM77" s="3">
        <f ca="1">IFERROR(__xludf.DUMMYFUNCTION("""COMPUTED_VALUE"""),-0.679652484417919)</f>
        <v>-0.67965248441791903</v>
      </c>
      <c r="DN77" s="3">
        <f ca="1">IFERROR(__xludf.DUMMYFUNCTION("""COMPUTED_VALUE"""),-0.707288355553943)</f>
        <v>-0.70728835555394298</v>
      </c>
      <c r="DO77" s="3">
        <f ca="1">IFERROR(__xludf.DUMMYFUNCTION("""COMPUTED_VALUE"""),-0.718836922468992)</f>
        <v>-0.718836922468992</v>
      </c>
      <c r="DP77" s="3">
        <f ca="1">IFERROR(__xludf.DUMMYFUNCTION("""COMPUTED_VALUE"""),-0.650855664017196)</f>
        <v>-0.65085566401719597</v>
      </c>
      <c r="DQ77" s="3">
        <f ca="1">IFERROR(__xludf.DUMMYFUNCTION("""COMPUTED_VALUE"""),-0.602385787701761)</f>
        <v>-0.60238578770176099</v>
      </c>
      <c r="DR77" s="3">
        <f ca="1">IFERROR(__xludf.DUMMYFUNCTION("""COMPUTED_VALUE"""),-0.736024758156433)</f>
        <v>-0.73602475815643298</v>
      </c>
      <c r="DS77" s="3">
        <f ca="1">IFERROR(__xludf.DUMMYFUNCTION("""COMPUTED_VALUE"""),-0.752439287586577)</f>
        <v>-0.75243928758657697</v>
      </c>
      <c r="DT77" s="3">
        <f ca="1">IFERROR(__xludf.DUMMYFUNCTION("""COMPUTED_VALUE"""),-0.759545347080589)</f>
        <v>-0.75954534708058896</v>
      </c>
      <c r="DU77" s="3">
        <f ca="1">IFERROR(__xludf.DUMMYFUNCTION("""COMPUTED_VALUE"""),-0.751783925950595)</f>
        <v>-0.75178392595059496</v>
      </c>
      <c r="DV77" s="3">
        <f ca="1">IFERROR(__xludf.DUMMYFUNCTION("""COMPUTED_VALUE"""),-0.737708826876093)</f>
        <v>-0.73770882687609296</v>
      </c>
      <c r="DW77" s="3">
        <f ca="1">IFERROR(__xludf.DUMMYFUNCTION("""COMPUTED_VALUE"""),-0.631278177506283)</f>
        <v>-0.63127817750628301</v>
      </c>
      <c r="DX77" s="3">
        <f ca="1">IFERROR(__xludf.DUMMYFUNCTION("""COMPUTED_VALUE"""),-0.604748670772397)</f>
        <v>-0.60474867077239702</v>
      </c>
      <c r="DY77" s="3">
        <f ca="1">IFERROR(__xludf.DUMMYFUNCTION("""COMPUTED_VALUE"""),-0.681890588720723)</f>
        <v>-0.68189058872072295</v>
      </c>
      <c r="DZ77" s="3">
        <f ca="1">IFERROR(__xludf.DUMMYFUNCTION("""COMPUTED_VALUE"""),-0.697066789272338)</f>
        <v>-0.69706678927233801</v>
      </c>
      <c r="EA77" s="3">
        <f ca="1">IFERROR(__xludf.DUMMYFUNCTION("""COMPUTED_VALUE"""),-0.737148798423009)</f>
        <v>-0.73714879842300896</v>
      </c>
      <c r="EB77" s="3">
        <f ca="1">IFERROR(__xludf.DUMMYFUNCTION("""COMPUTED_VALUE"""),-0.748287386619583)</f>
        <v>-0.74828738661958305</v>
      </c>
      <c r="EC77" s="3">
        <f ca="1">IFERROR(__xludf.DUMMYFUNCTION("""COMPUTED_VALUE"""),-0.72251521716941)</f>
        <v>-0.72251521716941003</v>
      </c>
      <c r="ED77" s="3">
        <f ca="1">IFERROR(__xludf.DUMMYFUNCTION("""COMPUTED_VALUE"""),-0.643553914278818)</f>
        <v>-0.64355391427881803</v>
      </c>
      <c r="EE77" s="3">
        <f ca="1">IFERROR(__xludf.DUMMYFUNCTION("""COMPUTED_VALUE"""),-0.660015785223322)</f>
        <v>-0.66001578522332205</v>
      </c>
      <c r="EF77" s="3">
        <f ca="1">IFERROR(__xludf.DUMMYFUNCTION("""COMPUTED_VALUE"""),-0.761553726621588)</f>
        <v>-0.76155372662158805</v>
      </c>
      <c r="EG77" s="3">
        <f ca="1">IFERROR(__xludf.DUMMYFUNCTION("""COMPUTED_VALUE"""),-0.821198492595287)</f>
        <v>-0.82119849259528699</v>
      </c>
      <c r="EH77" s="3">
        <f ca="1">IFERROR(__xludf.DUMMYFUNCTION("""COMPUTED_VALUE"""),-0.765697539262539)</f>
        <v>-0.76569753926253903</v>
      </c>
      <c r="EI77" s="3">
        <f ca="1">IFERROR(__xludf.DUMMYFUNCTION("""COMPUTED_VALUE"""),-0.75562502052023)</f>
        <v>-0.75562502052022995</v>
      </c>
      <c r="EJ77" s="3">
        <f ca="1">IFERROR(__xludf.DUMMYFUNCTION("""COMPUTED_VALUE"""),-0.737604631086655)</f>
        <v>-0.73760463108665497</v>
      </c>
      <c r="EK77" s="3">
        <f ca="1">IFERROR(__xludf.DUMMYFUNCTION("""COMPUTED_VALUE"""),-0.641535013321799)</f>
        <v>-0.64153501332179896</v>
      </c>
      <c r="EL77" s="3">
        <f ca="1">IFERROR(__xludf.DUMMYFUNCTION("""COMPUTED_VALUE"""),-0.622993783557341)</f>
        <v>-0.62299378355734103</v>
      </c>
      <c r="EM77" s="3">
        <f ca="1">IFERROR(__xludf.DUMMYFUNCTION("""COMPUTED_VALUE"""),-0.715755803996746)</f>
        <v>-0.71575580399674599</v>
      </c>
      <c r="EN77" s="3">
        <f ca="1">IFERROR(__xludf.DUMMYFUNCTION("""COMPUTED_VALUE"""),-0.707834762326108)</f>
        <v>-0.70783476232610798</v>
      </c>
      <c r="EO77" s="3">
        <f ca="1">IFERROR(__xludf.DUMMYFUNCTION("""COMPUTED_VALUE"""),-0.757074071471857)</f>
        <v>-0.75707407147185701</v>
      </c>
      <c r="EP77" s="3">
        <f ca="1">IFERROR(__xludf.DUMMYFUNCTION("""COMPUTED_VALUE"""),-0.756854981668263)</f>
        <v>-0.75685498166826304</v>
      </c>
      <c r="EQ77" s="3">
        <f ca="1">IFERROR(__xludf.DUMMYFUNCTION("""COMPUTED_VALUE"""),-0.745868413700709)</f>
        <v>-0.745868413700709</v>
      </c>
      <c r="ER77" s="3">
        <f ca="1">IFERROR(__xludf.DUMMYFUNCTION("""COMPUTED_VALUE"""),-0.631710131418931)</f>
        <v>-0.63171013141893095</v>
      </c>
      <c r="ES77" s="3">
        <f ca="1">IFERROR(__xludf.DUMMYFUNCTION("""COMPUTED_VALUE"""),-0.63139936836012)</f>
        <v>-0.63139936836012001</v>
      </c>
      <c r="ET77" s="3">
        <f ca="1">IFERROR(__xludf.DUMMYFUNCTION("""COMPUTED_VALUE"""),-0.73366557885009)</f>
        <v>-0.73366557885008998</v>
      </c>
      <c r="EU77" s="3">
        <f ca="1">IFERROR(__xludf.DUMMYFUNCTION("""COMPUTED_VALUE"""),-0.749531047314618)</f>
        <v>-0.74953104731461795</v>
      </c>
      <c r="EV77" s="3">
        <f ca="1">IFERROR(__xludf.DUMMYFUNCTION("""COMPUTED_VALUE"""),-0.764825475185346)</f>
        <v>-0.76482547518534605</v>
      </c>
      <c r="EW77" s="3">
        <f ca="1">IFERROR(__xludf.DUMMYFUNCTION("""COMPUTED_VALUE"""),-0.756658282103797)</f>
        <v>-0.75665828210379704</v>
      </c>
      <c r="EX77" s="3">
        <f ca="1">IFERROR(__xludf.DUMMYFUNCTION("""COMPUTED_VALUE"""),-0.738247890851318)</f>
        <v>-0.73824789085131803</v>
      </c>
      <c r="EY77" s="3">
        <f ca="1">IFERROR(__xludf.DUMMYFUNCTION("""COMPUTED_VALUE"""),-0.624144314920401)</f>
        <v>-0.62414431492040101</v>
      </c>
      <c r="EZ77" s="3">
        <f ca="1">IFERROR(__xludf.DUMMYFUNCTION("""COMPUTED_VALUE"""),-0.611383823362929)</f>
        <v>-0.61138382336292896</v>
      </c>
      <c r="FA77" s="3">
        <f ca="1">IFERROR(__xludf.DUMMYFUNCTION("""COMPUTED_VALUE"""),-0.754978319991639)</f>
        <v>-0.754978319991639</v>
      </c>
      <c r="FB77" s="3">
        <f ca="1">IFERROR(__xludf.DUMMYFUNCTION("""COMPUTED_VALUE"""),-0.7719494371326)</f>
        <v>-0.7719494371326</v>
      </c>
      <c r="FC77" s="3">
        <f ca="1">IFERROR(__xludf.DUMMYFUNCTION("""COMPUTED_VALUE"""),-0.756662775637311)</f>
        <v>-0.75666277563731099</v>
      </c>
      <c r="FD77" s="3">
        <f ca="1">IFERROR(__xludf.DUMMYFUNCTION("""COMPUTED_VALUE"""),-0.762864399488848)</f>
        <v>-0.76286439948884799</v>
      </c>
      <c r="FE77" s="3">
        <f ca="1">IFERROR(__xludf.DUMMYFUNCTION("""COMPUTED_VALUE"""),-0.693793181491143)</f>
        <v>-0.693793181491143</v>
      </c>
      <c r="FF77" s="3">
        <f ca="1">IFERROR(__xludf.DUMMYFUNCTION("""COMPUTED_VALUE"""),-0.605344770950842)</f>
        <v>-0.60534477095084205</v>
      </c>
      <c r="FG77" s="3">
        <f ca="1">IFERROR(__xludf.DUMMYFUNCTION("""COMPUTED_VALUE"""),-0.610383510160145)</f>
        <v>-0.61038351016014503</v>
      </c>
      <c r="FH77" s="3">
        <f ca="1">IFERROR(__xludf.DUMMYFUNCTION("""COMPUTED_VALUE"""),-0.7473372949814)</f>
        <v>-0.7473372949814</v>
      </c>
      <c r="FI77" s="3">
        <f ca="1">IFERROR(__xludf.DUMMYFUNCTION("""COMPUTED_VALUE"""),-0.770244422245026)</f>
        <v>-0.77024442224502598</v>
      </c>
      <c r="FJ77" s="3">
        <f ca="1">IFERROR(__xludf.DUMMYFUNCTION("""COMPUTED_VALUE"""),-0.755585407292348)</f>
        <v>-0.75558540729234802</v>
      </c>
      <c r="FK77" s="3">
        <f ca="1">IFERROR(__xludf.DUMMYFUNCTION("""COMPUTED_VALUE"""),-0.767106385037175)</f>
        <v>-0.76710638503717499</v>
      </c>
      <c r="FL77" s="3">
        <f ca="1">IFERROR(__xludf.DUMMYFUNCTION("""COMPUTED_VALUE"""),-0.747567870052823)</f>
        <v>-0.74756787005282299</v>
      </c>
      <c r="FM77" s="3">
        <f ca="1">IFERROR(__xludf.DUMMYFUNCTION("""COMPUTED_VALUE"""),-0.65950243024022)</f>
        <v>-0.65950243024022004</v>
      </c>
      <c r="FN77" s="3">
        <f ca="1">IFERROR(__xludf.DUMMYFUNCTION("""COMPUTED_VALUE"""),-0.634102213884219)</f>
        <v>-0.63410221388421895</v>
      </c>
      <c r="FO77" s="3">
        <f ca="1">IFERROR(__xludf.DUMMYFUNCTION("""COMPUTED_VALUE"""),-0.761249721867258)</f>
        <v>-0.76124972186725803</v>
      </c>
      <c r="FP77" s="3">
        <f ca="1">IFERROR(__xludf.DUMMYFUNCTION("""COMPUTED_VALUE"""),-0.754389415418677)</f>
        <v>-0.75438941541867699</v>
      </c>
      <c r="FQ77" s="3">
        <f ca="1">IFERROR(__xludf.DUMMYFUNCTION("""COMPUTED_VALUE"""),-0.74963527005225)</f>
        <v>-0.74963527005224995</v>
      </c>
      <c r="FR77" s="3">
        <f ca="1">IFERROR(__xludf.DUMMYFUNCTION("""COMPUTED_VALUE"""),-0.742250413401467)</f>
        <v>-0.74225041340146702</v>
      </c>
      <c r="FS77" s="3">
        <f ca="1">IFERROR(__xludf.DUMMYFUNCTION("""COMPUTED_VALUE"""),-0.715704364835204)</f>
        <v>-0.71570436483520405</v>
      </c>
      <c r="FT77" s="3">
        <f ca="1">IFERROR(__xludf.DUMMYFUNCTION("""COMPUTED_VALUE"""),-0.621073185403407)</f>
        <v>-0.62107318540340695</v>
      </c>
      <c r="FU77" s="3">
        <f ca="1">IFERROR(__xludf.DUMMYFUNCTION("""COMPUTED_VALUE"""),-0.643801543949465)</f>
        <v>-0.64380154394946498</v>
      </c>
      <c r="FV77" s="3">
        <f ca="1">IFERROR(__xludf.DUMMYFUNCTION("""COMPUTED_VALUE"""),-0.732944229702715)</f>
        <v>-0.732944229702715</v>
      </c>
      <c r="FW77" s="3">
        <f ca="1">IFERROR(__xludf.DUMMYFUNCTION("""COMPUTED_VALUE"""),-0.74139823505437)</f>
        <v>-0.74139823505436997</v>
      </c>
      <c r="FX77" s="3">
        <f ca="1">IFERROR(__xludf.DUMMYFUNCTION("""COMPUTED_VALUE"""),-0.756362280477927)</f>
        <v>-0.75636228047792697</v>
      </c>
      <c r="FY77" s="3">
        <f ca="1">IFERROR(__xludf.DUMMYFUNCTION("""COMPUTED_VALUE"""),-0.748291674492154)</f>
        <v>-0.74829167449215395</v>
      </c>
      <c r="FZ77" s="3">
        <f ca="1">IFERROR(__xludf.DUMMYFUNCTION("""COMPUTED_VALUE"""),-0.747732595473314)</f>
        <v>-0.74773259547331405</v>
      </c>
      <c r="GA77" s="3">
        <f ca="1">IFERROR(__xludf.DUMMYFUNCTION("""COMPUTED_VALUE"""),-0.6762419219409)</f>
        <v>-0.67624192194090005</v>
      </c>
      <c r="GB77" s="3">
        <f ca="1">IFERROR(__xludf.DUMMYFUNCTION("""COMPUTED_VALUE"""),-0.664524899108865)</f>
        <v>-0.66452489910886503</v>
      </c>
      <c r="GC77" s="3">
        <f ca="1">IFERROR(__xludf.DUMMYFUNCTION("""COMPUTED_VALUE"""),-0.734131029882444)</f>
        <v>-0.73413102988244405</v>
      </c>
      <c r="GD77" s="3">
        <f ca="1">IFERROR(__xludf.DUMMYFUNCTION("""COMPUTED_VALUE"""),-0.756052267342921)</f>
        <v>-0.75605226734292097</v>
      </c>
      <c r="GE77" s="3">
        <f ca="1">IFERROR(__xludf.DUMMYFUNCTION("""COMPUTED_VALUE"""),-0.746150604736847)</f>
        <v>-0.74615060473684702</v>
      </c>
      <c r="GF77" s="3">
        <f ca="1">IFERROR(__xludf.DUMMYFUNCTION("""COMPUTED_VALUE"""),-0.757242739150703)</f>
        <v>-0.75724273915070295</v>
      </c>
      <c r="GG77" s="3">
        <f ca="1">IFERROR(__xludf.DUMMYFUNCTION("""COMPUTED_VALUE"""),-0.730980826011761)</f>
        <v>-0.73098082601176095</v>
      </c>
      <c r="GH77" s="3">
        <f ca="1">IFERROR(__xludf.DUMMYFUNCTION("""COMPUTED_VALUE"""),-0.653359940039407)</f>
        <v>-0.65335994003940701</v>
      </c>
      <c r="GI77" s="3">
        <f ca="1">IFERROR(__xludf.DUMMYFUNCTION("""COMPUTED_VALUE"""),-0.635748085890884)</f>
        <v>-0.63574808589088405</v>
      </c>
      <c r="GJ77" s="3">
        <f ca="1">IFERROR(__xludf.DUMMYFUNCTION("""COMPUTED_VALUE"""),-0.744881002535505)</f>
        <v>-0.74488100253550504</v>
      </c>
      <c r="GK77" s="3">
        <f ca="1">IFERROR(__xludf.DUMMYFUNCTION("""COMPUTED_VALUE"""),-0.746604169223115)</f>
        <v>-0.74660416922311501</v>
      </c>
      <c r="GL77" s="3">
        <f ca="1">IFERROR(__xludf.DUMMYFUNCTION("""COMPUTED_VALUE"""),-0.741878620393535)</f>
        <v>-0.74187862039353503</v>
      </c>
      <c r="GM77" s="3">
        <f ca="1">IFERROR(__xludf.DUMMYFUNCTION("""COMPUTED_VALUE"""),-0.746107585459131)</f>
        <v>-0.74610758545913103</v>
      </c>
      <c r="GN77" s="3">
        <f ca="1">IFERROR(__xludf.DUMMYFUNCTION("""COMPUTED_VALUE"""),-0.722075410428014)</f>
        <v>-0.72207541042801404</v>
      </c>
      <c r="GO77" s="3">
        <f ca="1">IFERROR(__xludf.DUMMYFUNCTION("""COMPUTED_VALUE"""),-0.599538107632033)</f>
        <v>-0.59953810763203297</v>
      </c>
      <c r="GP77" s="3">
        <f ca="1">IFERROR(__xludf.DUMMYFUNCTION("""COMPUTED_VALUE"""),-0.600213389427934)</f>
        <v>-0.60021338942793401</v>
      </c>
      <c r="GQ77" s="3">
        <f ca="1">IFERROR(__xludf.DUMMYFUNCTION("""COMPUTED_VALUE"""),-0.728938032415103)</f>
        <v>-0.72893803241510302</v>
      </c>
      <c r="GR77" s="3">
        <f ca="1">IFERROR(__xludf.DUMMYFUNCTION("""COMPUTED_VALUE"""),-0.738789583162397)</f>
        <v>-0.73878958316239696</v>
      </c>
      <c r="GS77" s="3">
        <f ca="1">IFERROR(__xludf.DUMMYFUNCTION("""COMPUTED_VALUE"""),-0.748347979756892)</f>
        <v>-0.74834797975689205</v>
      </c>
      <c r="GT77" s="3">
        <f ca="1">IFERROR(__xludf.DUMMYFUNCTION("""COMPUTED_VALUE"""),-0.725882455916196)</f>
        <v>-0.72588245591619605</v>
      </c>
      <c r="GU77" s="3">
        <f ca="1">IFERROR(__xludf.DUMMYFUNCTION("""COMPUTED_VALUE"""),-0.690220037647204)</f>
        <v>-0.69022003764720397</v>
      </c>
      <c r="GV77" s="3">
        <f ca="1">IFERROR(__xludf.DUMMYFUNCTION("""COMPUTED_VALUE"""),-0.554542193535939)</f>
        <v>-0.55454219353593903</v>
      </c>
      <c r="GW77" s="3">
        <f ca="1">IFERROR(__xludf.DUMMYFUNCTION("""COMPUTED_VALUE"""),-0.62794108829386)</f>
        <v>-0.62794108829385997</v>
      </c>
      <c r="GX77" s="3">
        <f ca="1">IFERROR(__xludf.DUMMYFUNCTION("""COMPUTED_VALUE"""),-0.737563028546466)</f>
        <v>-0.73756302854646605</v>
      </c>
      <c r="GY77" s="3">
        <f ca="1">IFERROR(__xludf.DUMMYFUNCTION("""COMPUTED_VALUE"""),-0.748263326195285)</f>
        <v>-0.74826332619528502</v>
      </c>
      <c r="GZ77" s="3">
        <f ca="1">IFERROR(__xludf.DUMMYFUNCTION("""COMPUTED_VALUE"""),-0.744238353168113)</f>
        <v>-0.74423835316811304</v>
      </c>
      <c r="HA77" s="3">
        <f ca="1">IFERROR(__xludf.DUMMYFUNCTION("""COMPUTED_VALUE"""),-0.752631392017911)</f>
        <v>-0.75263139201791096</v>
      </c>
      <c r="HB77" s="3">
        <f ca="1">IFERROR(__xludf.DUMMYFUNCTION("""COMPUTED_VALUE"""),-0.741044274932612)</f>
        <v>-0.74104427493261205</v>
      </c>
      <c r="HC77" s="3">
        <f ca="1">IFERROR(__xludf.DUMMYFUNCTION("""COMPUTED_VALUE"""),-0.655382886839032)</f>
        <v>-0.65538288683903201</v>
      </c>
      <c r="HD77" s="3">
        <f ca="1">IFERROR(__xludf.DUMMYFUNCTION("""COMPUTED_VALUE"""),-0.665839297884184)</f>
        <v>-0.66583929788418394</v>
      </c>
      <c r="HE77" s="3">
        <f ca="1">IFERROR(__xludf.DUMMYFUNCTION("""COMPUTED_VALUE"""),-0.728058791412133)</f>
        <v>-0.72805879141213303</v>
      </c>
      <c r="HF77" s="3">
        <f ca="1">IFERROR(__xludf.DUMMYFUNCTION("""COMPUTED_VALUE"""),-0.70419482006066)</f>
        <v>-0.70419482006066003</v>
      </c>
      <c r="HG77" s="3">
        <f ca="1">IFERROR(__xludf.DUMMYFUNCTION("""COMPUTED_VALUE"""),-0.71786372509272)</f>
        <v>-0.71786372509272001</v>
      </c>
      <c r="HH77" s="3">
        <f ca="1">IFERROR(__xludf.DUMMYFUNCTION("""COMPUTED_VALUE"""),-0.702469043240644)</f>
        <v>-0.70246904324064396</v>
      </c>
      <c r="HI77" s="3">
        <f ca="1">IFERROR(__xludf.DUMMYFUNCTION("""COMPUTED_VALUE"""),-0.681812519312581)</f>
        <v>-0.68181251931258102</v>
      </c>
      <c r="HJ77" s="3">
        <f ca="1">IFERROR(__xludf.DUMMYFUNCTION("""COMPUTED_VALUE"""),-0.582685858108899)</f>
        <v>-0.58268585810889895</v>
      </c>
      <c r="HK77" s="3">
        <f ca="1">IFERROR(__xludf.DUMMYFUNCTION("""COMPUTED_VALUE"""),-0.636719927265511)</f>
        <v>-0.63671992726551097</v>
      </c>
      <c r="HL77" s="3">
        <f ca="1">IFERROR(__xludf.DUMMYFUNCTION("""COMPUTED_VALUE"""),-0.680552798619232)</f>
        <v>-0.68055279861923201</v>
      </c>
      <c r="HM77" s="3">
        <f ca="1">IFERROR(__xludf.DUMMYFUNCTION("""COMPUTED_VALUE"""),-0.696550399095578)</f>
        <v>-0.69655039909557803</v>
      </c>
      <c r="HN77" s="3">
        <f ca="1">IFERROR(__xludf.DUMMYFUNCTION("""COMPUTED_VALUE"""),-0.706919462284396)</f>
        <v>-0.70691946228439595</v>
      </c>
      <c r="HO77" s="3">
        <f ca="1">IFERROR(__xludf.DUMMYFUNCTION("""COMPUTED_VALUE"""),-0.689977165544459)</f>
        <v>-0.68997716554445898</v>
      </c>
      <c r="HP77" s="3">
        <f ca="1">IFERROR(__xludf.DUMMYFUNCTION("""COMPUTED_VALUE"""),-0.663654502364142)</f>
        <v>-0.66365450236414203</v>
      </c>
      <c r="HQ77" s="3">
        <f ca="1">IFERROR(__xludf.DUMMYFUNCTION("""COMPUTED_VALUE"""),-0.630523693787942)</f>
        <v>-0.63052369378794204</v>
      </c>
      <c r="HR77" s="3">
        <f ca="1">IFERROR(__xludf.DUMMYFUNCTION("""COMPUTED_VALUE"""),-0.615482307346305)</f>
        <v>-0.61548230734630505</v>
      </c>
      <c r="HS77" s="3">
        <f ca="1">IFERROR(__xludf.DUMMYFUNCTION("""COMPUTED_VALUE"""),-0.684577915490511)</f>
        <v>-0.68457791549051095</v>
      </c>
      <c r="HT77" s="3">
        <f ca="1">IFERROR(__xludf.DUMMYFUNCTION("""COMPUTED_VALUE"""),-0.711690477972738)</f>
        <v>-0.71169047797273799</v>
      </c>
      <c r="HU77" s="3">
        <f ca="1">IFERROR(__xludf.DUMMYFUNCTION("""COMPUTED_VALUE"""),-0.722755387111754)</f>
        <v>-0.72275538711175402</v>
      </c>
      <c r="HV77" s="3">
        <f ca="1">IFERROR(__xludf.DUMMYFUNCTION("""COMPUTED_VALUE"""),-0.705505625559705)</f>
        <v>-0.70550562555970497</v>
      </c>
      <c r="HW77" s="3">
        <f ca="1">IFERROR(__xludf.DUMMYFUNCTION("""COMPUTED_VALUE"""),-0.661578402575444)</f>
        <v>-0.66157840257544398</v>
      </c>
      <c r="HX77" s="3">
        <f ca="1">IFERROR(__xludf.DUMMYFUNCTION("""COMPUTED_VALUE"""),-0.637163329526053)</f>
        <v>-0.63716332952605303</v>
      </c>
      <c r="HY77" s="3">
        <f ca="1">IFERROR(__xludf.DUMMYFUNCTION("""COMPUTED_VALUE"""),-0.602919489425214)</f>
        <v>-0.60291948942521401</v>
      </c>
      <c r="HZ77" s="3">
        <f ca="1">IFERROR(__xludf.DUMMYFUNCTION("""COMPUTED_VALUE"""),-0.705493408532896)</f>
        <v>-0.70549340853289599</v>
      </c>
      <c r="IA77" s="3">
        <f ca="1">IFERROR(__xludf.DUMMYFUNCTION("""COMPUTED_VALUE"""),-0.71303621344225)</f>
        <v>-0.71303621344224999</v>
      </c>
      <c r="IB77" s="3">
        <f ca="1">IFERROR(__xludf.DUMMYFUNCTION("""COMPUTED_VALUE"""),-0.72139941995398)</f>
        <v>-0.72139941995398005</v>
      </c>
      <c r="IC77" s="3">
        <f ca="1">IFERROR(__xludf.DUMMYFUNCTION("""COMPUTED_VALUE"""),-0.692742628472317)</f>
        <v>-0.69274262847231705</v>
      </c>
      <c r="ID77" s="3">
        <f ca="1">IFERROR(__xludf.DUMMYFUNCTION("""COMPUTED_VALUE"""),-0.695379333289467)</f>
        <v>-0.69537933328946699</v>
      </c>
      <c r="IE77" s="3">
        <f ca="1">IFERROR(__xludf.DUMMYFUNCTION("""COMPUTED_VALUE"""),-0.609132627809099)</f>
        <v>-0.60913262780909905</v>
      </c>
      <c r="IF77" s="3">
        <f ca="1">IFERROR(__xludf.DUMMYFUNCTION("""COMPUTED_VALUE"""),-0.61086984380139)</f>
        <v>-0.61086984380138998</v>
      </c>
      <c r="IG77" s="3">
        <f ca="1">IFERROR(__xludf.DUMMYFUNCTION("""COMPUTED_VALUE"""),-0.693004426263219)</f>
        <v>-0.69300442626321901</v>
      </c>
      <c r="IH77" s="3">
        <f ca="1">IFERROR(__xludf.DUMMYFUNCTION("""COMPUTED_VALUE"""),-0.720049904078643)</f>
        <v>-0.720049904078643</v>
      </c>
      <c r="II77" s="3">
        <f ca="1">IFERROR(__xludf.DUMMYFUNCTION("""COMPUTED_VALUE"""),-0.719872991796094)</f>
        <v>-0.71987299179609399</v>
      </c>
      <c r="IJ77" s="3">
        <f ca="1">IFERROR(__xludf.DUMMYFUNCTION("""COMPUTED_VALUE"""),-0.711349379294738)</f>
        <v>-0.71134937929473796</v>
      </c>
      <c r="IK77" s="3">
        <f ca="1">IFERROR(__xludf.DUMMYFUNCTION("""COMPUTED_VALUE"""),-0.717915455007081)</f>
        <v>-0.71791545500708098</v>
      </c>
      <c r="IL77" s="3">
        <f ca="1">IFERROR(__xludf.DUMMYFUNCTION("""COMPUTED_VALUE"""),-0.639182192395631)</f>
        <v>-0.63918219239563101</v>
      </c>
      <c r="IM77" s="3">
        <f ca="1">IFERROR(__xludf.DUMMYFUNCTION("""COMPUTED_VALUE"""),-0.645923552805972)</f>
        <v>-0.64592355280597202</v>
      </c>
      <c r="IN77" s="3">
        <f ca="1">IFERROR(__xludf.DUMMYFUNCTION("""COMPUTED_VALUE"""),-0.716481223010631)</f>
        <v>-0.716481223010631</v>
      </c>
      <c r="IO77" s="3">
        <f ca="1">IFERROR(__xludf.DUMMYFUNCTION("""COMPUTED_VALUE"""),-0.749088699297351)</f>
        <v>-0.749088699297351</v>
      </c>
      <c r="IP77" s="3">
        <f ca="1">IFERROR(__xludf.DUMMYFUNCTION("""COMPUTED_VALUE"""),-0.73432533619974)</f>
        <v>-0.73432533619974005</v>
      </c>
      <c r="IQ77" s="3">
        <f ca="1">IFERROR(__xludf.DUMMYFUNCTION("""COMPUTED_VALUE"""),-0.738608995881529)</f>
        <v>-0.73860899588152895</v>
      </c>
      <c r="IR77" s="3">
        <f ca="1">IFERROR(__xludf.DUMMYFUNCTION("""COMPUTED_VALUE"""),-0.716618033707648)</f>
        <v>-0.71661803370764798</v>
      </c>
      <c r="IS77" s="3">
        <f ca="1">IFERROR(__xludf.DUMMYFUNCTION("""COMPUTED_VALUE"""),-0.642253522533999)</f>
        <v>-0.64225352253399903</v>
      </c>
      <c r="IT77" s="3">
        <f ca="1">IFERROR(__xludf.DUMMYFUNCTION("""COMPUTED_VALUE"""),-0.636929650276835)</f>
        <v>-0.63692965027683501</v>
      </c>
      <c r="IU77" s="3">
        <f ca="1">IFERROR(__xludf.DUMMYFUNCTION("""COMPUTED_VALUE"""),-0.718961629217989)</f>
        <v>-0.71896162921798901</v>
      </c>
      <c r="IV77" s="3">
        <f ca="1">IFERROR(__xludf.DUMMYFUNCTION("""COMPUTED_VALUE"""),-0.734557047030863)</f>
        <v>-0.734557047030863</v>
      </c>
      <c r="IW77" s="3">
        <f ca="1">IFERROR(__xludf.DUMMYFUNCTION("""COMPUTED_VALUE"""),-0.733578082316108)</f>
        <v>-0.73357808231610799</v>
      </c>
      <c r="IX77" s="3">
        <f ca="1">IFERROR(__xludf.DUMMYFUNCTION("""COMPUTED_VALUE"""),-0.725928267059561)</f>
        <v>-0.72592826705956104</v>
      </c>
      <c r="IY77" s="3">
        <f ca="1">IFERROR(__xludf.DUMMYFUNCTION("""COMPUTED_VALUE"""),-0.697492376442671)</f>
        <v>-0.69749237644267104</v>
      </c>
      <c r="IZ77" s="3">
        <f ca="1">IFERROR(__xludf.DUMMYFUNCTION("""COMPUTED_VALUE"""),-0.641383466657518)</f>
        <v>-0.641383466657518</v>
      </c>
      <c r="JA77" s="3">
        <f ca="1">IFERROR(__xludf.DUMMYFUNCTION("""COMPUTED_VALUE"""),-0.664505459450926)</f>
        <v>-0.66450545945092598</v>
      </c>
      <c r="JB77" s="3">
        <f ca="1">IFERROR(__xludf.DUMMYFUNCTION("""COMPUTED_VALUE"""),-0.731444115696546)</f>
        <v>-0.73144411569654599</v>
      </c>
      <c r="JC77" s="3">
        <f ca="1">IFERROR(__xludf.DUMMYFUNCTION("""COMPUTED_VALUE"""),-0.744112459169085)</f>
        <v>-0.74411245916908497</v>
      </c>
      <c r="JD77" s="3">
        <f ca="1">IFERROR(__xludf.DUMMYFUNCTION("""COMPUTED_VALUE"""),-0.740505796331309)</f>
        <v>-0.74050579633130897</v>
      </c>
      <c r="JE77" s="3">
        <f ca="1">IFERROR(__xludf.DUMMYFUNCTION("""COMPUTED_VALUE"""),-0.732358424894256)</f>
        <v>-0.73235842489425595</v>
      </c>
      <c r="JF77" s="3">
        <f ca="1">IFERROR(__xludf.DUMMYFUNCTION("""COMPUTED_VALUE"""),-0.70795742142958)</f>
        <v>-0.70795742142957996</v>
      </c>
      <c r="JG77" s="3">
        <f ca="1">IFERROR(__xludf.DUMMYFUNCTION("""COMPUTED_VALUE"""),-0.672143576885645)</f>
        <v>-0.67214357688564497</v>
      </c>
      <c r="JH77" s="3">
        <f ca="1">IFERROR(__xludf.DUMMYFUNCTION("""COMPUTED_VALUE"""),-0.668017018795998)</f>
        <v>-0.66801701879599795</v>
      </c>
      <c r="JI77" s="3">
        <f ca="1">IFERROR(__xludf.DUMMYFUNCTION("""COMPUTED_VALUE"""),-0.742446962832046)</f>
        <v>-0.74244696283204603</v>
      </c>
      <c r="JJ77" s="3">
        <f ca="1">IFERROR(__xludf.DUMMYFUNCTION("""COMPUTED_VALUE"""),-0.744811946294754)</f>
        <v>-0.744811946294754</v>
      </c>
      <c r="JK77" s="3">
        <f ca="1">IFERROR(__xludf.DUMMYFUNCTION("""COMPUTED_VALUE"""),-0.730451115178855)</f>
        <v>-0.73045111517885497</v>
      </c>
      <c r="JL77" s="3">
        <f ca="1">IFERROR(__xludf.DUMMYFUNCTION("""COMPUTED_VALUE"""),-0.742498262541487)</f>
        <v>-0.74249826254148699</v>
      </c>
      <c r="JM77" s="3">
        <f ca="1">IFERROR(__xludf.DUMMYFUNCTION("""COMPUTED_VALUE"""),-0.723692154043131)</f>
        <v>-0.72369215404313103</v>
      </c>
      <c r="JN77" s="3">
        <f ca="1">IFERROR(__xludf.DUMMYFUNCTION("""COMPUTED_VALUE"""),-0.684751836146863)</f>
        <v>-0.68475183614686297</v>
      </c>
      <c r="JO77" s="3">
        <f ca="1">IFERROR(__xludf.DUMMYFUNCTION("""COMPUTED_VALUE"""),-0.662160956110892)</f>
        <v>-0.66216095611089199</v>
      </c>
      <c r="JP77" s="3">
        <f ca="1">IFERROR(__xludf.DUMMYFUNCTION("""COMPUTED_VALUE"""),-0.697373312466891)</f>
        <v>-0.69737331246689105</v>
      </c>
      <c r="JQ77" s="3">
        <f ca="1">IFERROR(__xludf.DUMMYFUNCTION("""COMPUTED_VALUE"""),-0.715480891184783)</f>
        <v>-0.71548089118478297</v>
      </c>
      <c r="JR77" s="3">
        <f ca="1">IFERROR(__xludf.DUMMYFUNCTION("""COMPUTED_VALUE"""),-0.750773890322918)</f>
        <v>-0.75077389032291797</v>
      </c>
      <c r="JS77" s="3">
        <f ca="1">IFERROR(__xludf.DUMMYFUNCTION("""COMPUTED_VALUE"""),-0.732630577292688)</f>
        <v>-0.73263057729268799</v>
      </c>
      <c r="JT77" s="3">
        <f ca="1">IFERROR(__xludf.DUMMYFUNCTION("""COMPUTED_VALUE"""),-0.727884835970051)</f>
        <v>-0.72788483597005105</v>
      </c>
      <c r="JU77" s="3">
        <f ca="1">IFERROR(__xludf.DUMMYFUNCTION("""COMPUTED_VALUE"""),-0.701136232339425)</f>
        <v>-0.70113623233942501</v>
      </c>
      <c r="JV77" s="3">
        <f ca="1">IFERROR(__xludf.DUMMYFUNCTION("""COMPUTED_VALUE"""),-0.713067019668754)</f>
        <v>-0.71306701966875397</v>
      </c>
      <c r="JW77" s="3">
        <f ca="1">IFERROR(__xludf.DUMMYFUNCTION("""COMPUTED_VALUE"""),-0.662991540388267)</f>
        <v>-0.66299154038826702</v>
      </c>
      <c r="JX77" s="3">
        <f ca="1">IFERROR(__xludf.DUMMYFUNCTION("""COMPUTED_VALUE"""),-0.716788706192032)</f>
        <v>-0.71678870619203205</v>
      </c>
      <c r="JY77" s="3">
        <f ca="1">IFERROR(__xludf.DUMMYFUNCTION("""COMPUTED_VALUE"""),-0.749535950739166)</f>
        <v>-0.74953595073916601</v>
      </c>
      <c r="JZ77" s="3">
        <f ca="1">IFERROR(__xludf.DUMMYFUNCTION("""COMPUTED_VALUE"""),-0.75384083935628)</f>
        <v>-0.75384083935627999</v>
      </c>
      <c r="KA77" s="3">
        <f ca="1">IFERROR(__xludf.DUMMYFUNCTION("""COMPUTED_VALUE"""),-0.733442409578516)</f>
        <v>-0.73344240957851603</v>
      </c>
      <c r="KB77" s="3">
        <f ca="1">IFERROR(__xludf.DUMMYFUNCTION("""COMPUTED_VALUE"""),-0.705215324381034)</f>
        <v>-0.70521532438103396</v>
      </c>
      <c r="KC77" s="3">
        <f ca="1">IFERROR(__xludf.DUMMYFUNCTION("""COMPUTED_VALUE"""),-0.689201929171136)</f>
        <v>-0.68920192917113599</v>
      </c>
      <c r="KD77" s="3">
        <f ca="1">IFERROR(__xludf.DUMMYFUNCTION("""COMPUTED_VALUE"""),-0.677438533914309)</f>
        <v>-0.67743853391430897</v>
      </c>
      <c r="KE77" s="3">
        <f ca="1">IFERROR(__xludf.DUMMYFUNCTION("""COMPUTED_VALUE"""),-0.678160951497254)</f>
        <v>-0.67816095149725397</v>
      </c>
      <c r="KF77" s="3">
        <f ca="1">IFERROR(__xludf.DUMMYFUNCTION("""COMPUTED_VALUE"""),-0.738716161406938)</f>
        <v>-0.73871616140693797</v>
      </c>
      <c r="KG77" s="3">
        <f ca="1">IFERROR(__xludf.DUMMYFUNCTION("""COMPUTED_VALUE"""),-0.741494550416407)</f>
        <v>-0.74149455041640699</v>
      </c>
      <c r="KH77" s="3">
        <f ca="1">IFERROR(__xludf.DUMMYFUNCTION("""COMPUTED_VALUE"""),-0.740380983771602)</f>
        <v>-0.740380983771602</v>
      </c>
      <c r="KI77" s="3">
        <f ca="1">IFERROR(__xludf.DUMMYFUNCTION("""COMPUTED_VALUE"""),-0.706110791952908)</f>
        <v>-0.70611079195290805</v>
      </c>
      <c r="KJ77" s="3">
        <f ca="1">IFERROR(__xludf.DUMMYFUNCTION("""COMPUTED_VALUE"""),-0.679622155012242)</f>
        <v>-0.67962215501224199</v>
      </c>
      <c r="KK77" s="3">
        <f ca="1">IFERROR(__xludf.DUMMYFUNCTION("""COMPUTED_VALUE"""),-0.705819276625085)</f>
        <v>-0.70581927662508503</v>
      </c>
      <c r="KL77" s="3">
        <f ca="1">IFERROR(__xludf.DUMMYFUNCTION("""COMPUTED_VALUE"""),-0.725824556798346)</f>
        <v>-0.72582455679834601</v>
      </c>
      <c r="KM77" s="3">
        <f ca="1">IFERROR(__xludf.DUMMYFUNCTION("""COMPUTED_VALUE"""),-0.733714977489871)</f>
        <v>-0.73371497748987102</v>
      </c>
      <c r="KN77" s="3">
        <f ca="1">IFERROR(__xludf.DUMMYFUNCTION("""COMPUTED_VALUE"""),-0.755044745057619)</f>
        <v>-0.75504474505761898</v>
      </c>
      <c r="KO77" s="3">
        <f ca="1">IFERROR(__xludf.DUMMYFUNCTION("""COMPUTED_VALUE"""),-0.737840055792262)</f>
        <v>-0.73784005579226197</v>
      </c>
      <c r="KP77" s="3">
        <f ca="1">IFERROR(__xludf.DUMMYFUNCTION("""COMPUTED_VALUE"""),-0.665588108214041)</f>
        <v>-0.66558810821404102</v>
      </c>
      <c r="KQ77" s="3">
        <f ca="1">IFERROR(__xludf.DUMMYFUNCTION("""COMPUTED_VALUE"""),-0.672919260475649)</f>
        <v>-0.67291926047564898</v>
      </c>
      <c r="KR77" s="3">
        <f ca="1">IFERROR(__xludf.DUMMYFUNCTION("""COMPUTED_VALUE"""),-0.733395002260472)</f>
        <v>-0.73339500226047205</v>
      </c>
      <c r="KS77" s="3">
        <f ca="1">IFERROR(__xludf.DUMMYFUNCTION("""COMPUTED_VALUE"""),-0.770247967533085)</f>
        <v>-0.770247967533085</v>
      </c>
      <c r="KT77" s="3">
        <f ca="1">IFERROR(__xludf.DUMMYFUNCTION("""COMPUTED_VALUE"""),-0.765535822021803)</f>
        <v>-0.76553582202180304</v>
      </c>
      <c r="KU77" s="3">
        <f ca="1">IFERROR(__xludf.DUMMYFUNCTION("""COMPUTED_VALUE"""),-0.786817406591752)</f>
        <v>-0.78681740659175203</v>
      </c>
      <c r="KV77" s="3">
        <f ca="1">IFERROR(__xludf.DUMMYFUNCTION("""COMPUTED_VALUE"""),-0.758694400982758)</f>
        <v>-0.75869440098275798</v>
      </c>
      <c r="KW77" s="3">
        <f ca="1">IFERROR(__xludf.DUMMYFUNCTION("""COMPUTED_VALUE"""),-0.735839590988308)</f>
        <v>-0.73583959098830798</v>
      </c>
      <c r="KX77" s="3">
        <f ca="1">IFERROR(__xludf.DUMMYFUNCTION("""COMPUTED_VALUE"""),-0.707974395256359)</f>
        <v>-0.70797439525635897</v>
      </c>
      <c r="KY77" s="3">
        <f ca="1">IFERROR(__xludf.DUMMYFUNCTION("""COMPUTED_VALUE"""),-0.778467174115412)</f>
        <v>-0.778467174115412</v>
      </c>
      <c r="KZ77" s="3">
        <f ca="1">IFERROR(__xludf.DUMMYFUNCTION("""COMPUTED_VALUE"""),-0.787487546665301)</f>
        <v>-0.78748754666530096</v>
      </c>
      <c r="LA77" s="3">
        <f ca="1">IFERROR(__xludf.DUMMYFUNCTION("""COMPUTED_VALUE"""),-0.746307705719831)</f>
        <v>-0.74630770571983096</v>
      </c>
      <c r="LB77" s="3">
        <f ca="1">IFERROR(__xludf.DUMMYFUNCTION("""COMPUTED_VALUE"""),-0.763279688156481)</f>
        <v>-0.76327968815648095</v>
      </c>
      <c r="LC77" s="3">
        <f ca="1">IFERROR(__xludf.DUMMYFUNCTION("""COMPUTED_VALUE"""),-0.705344601525967)</f>
        <v>-0.70534460152596701</v>
      </c>
      <c r="LD77" s="3">
        <f ca="1">IFERROR(__xludf.DUMMYFUNCTION("""COMPUTED_VALUE"""),-0.717556335422177)</f>
        <v>-0.71755633542217701</v>
      </c>
      <c r="LE77" s="3">
        <f ca="1">IFERROR(__xludf.DUMMYFUNCTION("""COMPUTED_VALUE"""),-0.712416502888473)</f>
        <v>-0.71241650288847302</v>
      </c>
      <c r="LF77" s="3">
        <f ca="1">IFERROR(__xludf.DUMMYFUNCTION("""COMPUTED_VALUE"""),-0.739939026234233)</f>
        <v>-0.73993902623423302</v>
      </c>
      <c r="LG77" s="3">
        <f ca="1">IFERROR(__xludf.DUMMYFUNCTION("""COMPUTED_VALUE"""),-0.77876104119621)</f>
        <v>-0.77876104119621004</v>
      </c>
      <c r="LH77" s="3">
        <f ca="1">IFERROR(__xludf.DUMMYFUNCTION("""COMPUTED_VALUE"""),-0.757093335295781)</f>
        <v>-0.75709333529578104</v>
      </c>
      <c r="LI77" s="3">
        <f ca="1">IFERROR(__xludf.DUMMYFUNCTION("""COMPUTED_VALUE"""),-0.77590023482387)</f>
        <v>-0.77590023482387005</v>
      </c>
      <c r="LJ77" s="3">
        <f ca="1">IFERROR(__xludf.DUMMYFUNCTION("""COMPUTED_VALUE"""),-0.792374827542514)</f>
        <v>-0.79237482754251398</v>
      </c>
      <c r="LK77" s="3">
        <f ca="1">IFERROR(__xludf.DUMMYFUNCTION("""COMPUTED_VALUE"""),-0.722268203730031)</f>
        <v>-0.72226820373003098</v>
      </c>
      <c r="LL77" s="3">
        <f ca="1">IFERROR(__xludf.DUMMYFUNCTION("""COMPUTED_VALUE"""),-0.759731111658455)</f>
        <v>-0.75973111165845497</v>
      </c>
      <c r="LM77" s="3">
        <f ca="1">IFERROR(__xludf.DUMMYFUNCTION("""COMPUTED_VALUE"""),-0.770210645244567)</f>
        <v>-0.77021064524456695</v>
      </c>
      <c r="LN77" s="3">
        <f ca="1">IFERROR(__xludf.DUMMYFUNCTION("""COMPUTED_VALUE"""),-0.794942072495838)</f>
        <v>-0.79494207249583804</v>
      </c>
      <c r="LO77" s="3">
        <f ca="1">IFERROR(__xludf.DUMMYFUNCTION("""COMPUTED_VALUE"""),-0.772919300839527)</f>
        <v>-0.77291930083952698</v>
      </c>
      <c r="LP77" s="3">
        <f ca="1">IFERROR(__xludf.DUMMYFUNCTION("""COMPUTED_VALUE"""),-0.774605585671819)</f>
        <v>-0.77460558567181903</v>
      </c>
      <c r="LQ77" s="3">
        <f ca="1">IFERROR(__xludf.DUMMYFUNCTION("""COMPUTED_VALUE"""),-0.741436237896971)</f>
        <v>-0.741436237896971</v>
      </c>
      <c r="LR77" s="3">
        <f ca="1">IFERROR(__xludf.DUMMYFUNCTION("""COMPUTED_VALUE"""),-0.704789546902241)</f>
        <v>-0.70478954690224105</v>
      </c>
      <c r="LS77" s="3">
        <f ca="1">IFERROR(__xludf.DUMMYFUNCTION("""COMPUTED_VALUE"""),-0.754908335017606)</f>
        <v>-0.75490833501760601</v>
      </c>
      <c r="LT77" s="3">
        <f ca="1">IFERROR(__xludf.DUMMYFUNCTION("""COMPUTED_VALUE"""),-0.794563705898334)</f>
        <v>-0.79456370589833403</v>
      </c>
      <c r="LU77" s="3">
        <f ca="1">IFERROR(__xludf.DUMMYFUNCTION("""COMPUTED_VALUE"""),-0.793098314725994)</f>
        <v>-0.79309831472599401</v>
      </c>
      <c r="LV77" s="3">
        <f ca="1">IFERROR(__xludf.DUMMYFUNCTION("""COMPUTED_VALUE"""),-0.781826396502585)</f>
        <v>-0.78182639650258501</v>
      </c>
      <c r="LW77" s="3">
        <f ca="1">IFERROR(__xludf.DUMMYFUNCTION("""COMPUTED_VALUE"""),-0.802320886644578)</f>
        <v>-0.80232088664457801</v>
      </c>
      <c r="LX77" s="3">
        <f ca="1">IFERROR(__xludf.DUMMYFUNCTION("""COMPUTED_VALUE"""),-0.797187075625794)</f>
        <v>-0.79718707562579405</v>
      </c>
      <c r="LY77" s="3">
        <f ca="1">IFERROR(__xludf.DUMMYFUNCTION("""COMPUTED_VALUE"""),-0.731562056931021)</f>
        <v>-0.73156205693102105</v>
      </c>
      <c r="LZ77" s="3">
        <f ca="1">IFERROR(__xludf.DUMMYFUNCTION("""COMPUTED_VALUE"""),-0.729600622065842)</f>
        <v>-0.72960062206584197</v>
      </c>
      <c r="MA77" s="3">
        <f ca="1">IFERROR(__xludf.DUMMYFUNCTION("""COMPUTED_VALUE"""),-0.798269867919101)</f>
        <v>-0.79826986791910104</v>
      </c>
      <c r="MB77" s="3">
        <f ca="1">IFERROR(__xludf.DUMMYFUNCTION("""COMPUTED_VALUE"""),-0.798106283475132)</f>
        <v>-0.79810628347513202</v>
      </c>
      <c r="MC77" s="3">
        <f ca="1">IFERROR(__xludf.DUMMYFUNCTION("""COMPUTED_VALUE"""),-0.816403806231428)</f>
        <v>-0.81640380623142805</v>
      </c>
      <c r="MD77" s="3">
        <f ca="1">IFERROR(__xludf.DUMMYFUNCTION("""COMPUTED_VALUE"""),-0.802011050054763)</f>
        <v>-0.80201105005476303</v>
      </c>
      <c r="ME77" s="3">
        <f ca="1">IFERROR(__xludf.DUMMYFUNCTION("""COMPUTED_VALUE"""),-0.793974219480706)</f>
        <v>-0.79397421948070601</v>
      </c>
      <c r="MF77" s="3">
        <f ca="1">IFERROR(__xludf.DUMMYFUNCTION("""COMPUTED_VALUE"""),-0.76637655704026)</f>
        <v>-0.76637655704025998</v>
      </c>
      <c r="MG77" s="3">
        <f ca="1">IFERROR(__xludf.DUMMYFUNCTION("""COMPUTED_VALUE"""),-0.791411894916657)</f>
        <v>-0.79141189491665698</v>
      </c>
      <c r="MH77" s="3">
        <f ca="1">IFERROR(__xludf.DUMMYFUNCTION("""COMPUTED_VALUE"""),-0.792023961298882)</f>
        <v>-0.79202396129888197</v>
      </c>
      <c r="MI77" s="3">
        <f ca="1">IFERROR(__xludf.DUMMYFUNCTION("""COMPUTED_VALUE"""),-0.804936464323184)</f>
        <v>-0.804936464323184</v>
      </c>
      <c r="MJ77" s="3">
        <f ca="1">IFERROR(__xludf.DUMMYFUNCTION("""COMPUTED_VALUE"""),-0.807629904403152)</f>
        <v>-0.80762990440315197</v>
      </c>
      <c r="MK77" s="3">
        <f ca="1">IFERROR(__xludf.DUMMYFUNCTION("""COMPUTED_VALUE"""),-0.803010068921967)</f>
        <v>-0.80301006892196702</v>
      </c>
      <c r="ML77" s="3">
        <f ca="1">IFERROR(__xludf.DUMMYFUNCTION("""COMPUTED_VALUE"""),-0.800085928903083)</f>
        <v>-0.80008592890308305</v>
      </c>
      <c r="MM77" s="3">
        <f ca="1">IFERROR(__xludf.DUMMYFUNCTION("""COMPUTED_VALUE"""),-0.736588008785542)</f>
        <v>-0.73658800878554198</v>
      </c>
      <c r="MN77" s="3">
        <f ca="1">IFERROR(__xludf.DUMMYFUNCTION("""COMPUTED_VALUE"""),-0.783069838922435)</f>
        <v>-0.78306983892243498</v>
      </c>
      <c r="MO77" s="3">
        <f ca="1">IFERROR(__xludf.DUMMYFUNCTION("""COMPUTED_VALUE"""),-0.809424719598955)</f>
        <v>-0.80942471959895501</v>
      </c>
      <c r="MP77" s="3">
        <f ca="1">IFERROR(__xludf.DUMMYFUNCTION("""COMPUTED_VALUE"""),-0.81679760212807)</f>
        <v>-0.81679760212806996</v>
      </c>
      <c r="MQ77" s="3">
        <f ca="1">IFERROR(__xludf.DUMMYFUNCTION("""COMPUTED_VALUE"""),-0.824471457373427)</f>
        <v>-0.82447145737342697</v>
      </c>
      <c r="MR77" s="3">
        <f ca="1">IFERROR(__xludf.DUMMYFUNCTION("""COMPUTED_VALUE"""),-0.792970335158488)</f>
        <v>-0.79297033515848803</v>
      </c>
      <c r="MS77" s="3">
        <f ca="1">IFERROR(__xludf.DUMMYFUNCTION("""COMPUTED_VALUE"""),-0.769673387154751)</f>
        <v>-0.76967338715475098</v>
      </c>
      <c r="MT77" s="3">
        <f ca="1">IFERROR(__xludf.DUMMYFUNCTION("""COMPUTED_VALUE"""),-0.771582547825316)</f>
        <v>-0.77158254782531599</v>
      </c>
      <c r="MU77" s="3">
        <f ca="1">IFERROR(__xludf.DUMMYFUNCTION("""COMPUTED_VALUE"""),-0.782037444801393)</f>
        <v>-0.78203744480139303</v>
      </c>
      <c r="MV77" s="3">
        <f ca="1">IFERROR(__xludf.DUMMYFUNCTION("""COMPUTED_VALUE"""),-0.792406376693415)</f>
        <v>-0.79240637669341496</v>
      </c>
      <c r="MW77" s="3">
        <f ca="1">IFERROR(__xludf.DUMMYFUNCTION("""COMPUTED_VALUE"""),-0.806230644124966)</f>
        <v>-0.80623064412496603</v>
      </c>
      <c r="MX77" s="3">
        <f ca="1">IFERROR(__xludf.DUMMYFUNCTION("""COMPUTED_VALUE"""),-0.809138864006787)</f>
        <v>-0.80913886400678703</v>
      </c>
      <c r="MY77" s="3">
        <f ca="1">IFERROR(__xludf.DUMMYFUNCTION("""COMPUTED_VALUE"""),-0.802529725835481)</f>
        <v>-0.80252972583548099</v>
      </c>
      <c r="MZ77" s="3">
        <f ca="1">IFERROR(__xludf.DUMMYFUNCTION("""COMPUTED_VALUE"""),-0.792497322954166)</f>
        <v>-0.79249732295416597</v>
      </c>
      <c r="NA77" s="3">
        <f ca="1">IFERROR(__xludf.DUMMYFUNCTION("""COMPUTED_VALUE"""),-0.7405837017634)</f>
        <v>-0.74058370176340005</v>
      </c>
      <c r="NB77" s="3">
        <f ca="1">IFERROR(__xludf.DUMMYFUNCTION("""COMPUTED_VALUE"""),-0.754521065477179)</f>
        <v>-0.75452106547717901</v>
      </c>
      <c r="NC77" s="3">
        <f ca="1">IFERROR(__xludf.DUMMYFUNCTION("""COMPUTED_VALUE"""),-0.779954151210326)</f>
        <v>-0.77995415121032596</v>
      </c>
      <c r="ND77" s="3">
        <f ca="1">IFERROR(__xludf.DUMMYFUNCTION("""COMPUTED_VALUE"""),-0.792131470787815)</f>
        <v>-0.79213147078781498</v>
      </c>
      <c r="NE77" s="3">
        <f ca="1">IFERROR(__xludf.DUMMYFUNCTION("""COMPUTED_VALUE"""),-0.786543988647835)</f>
        <v>-0.78654398864783504</v>
      </c>
      <c r="NF77" s="3">
        <f ca="1">IFERROR(__xludf.DUMMYFUNCTION("""COMPUTED_VALUE"""),-0.786940633944161)</f>
        <v>-0.78694063394416103</v>
      </c>
      <c r="NG77" s="3">
        <f ca="1">IFERROR(__xludf.DUMMYFUNCTION("""COMPUTED_VALUE"""),-0.749655061103596)</f>
        <v>-0.74965506110359603</v>
      </c>
      <c r="NH77" s="3">
        <f ca="1">IFERROR(__xludf.DUMMYFUNCTION("""COMPUTED_VALUE"""),-0.780173543652398)</f>
        <v>-0.78017354365239799</v>
      </c>
      <c r="NI77" s="3">
        <f ca="1">IFERROR(__xludf.DUMMYFUNCTION("""COMPUTED_VALUE"""),-0.796738124757035)</f>
        <v>-0.79673812475703498</v>
      </c>
      <c r="NJ77" s="3">
        <f ca="1">IFERROR(__xludf.DUMMYFUNCTION("""COMPUTED_VALUE"""),-0.79578577581446)</f>
        <v>-0.79578577581445997</v>
      </c>
      <c r="NK77" s="3">
        <f ca="1">IFERROR(__xludf.DUMMYFUNCTION("""COMPUTED_VALUE"""),-0.785190043921508)</f>
        <v>-0.78519004392150804</v>
      </c>
      <c r="NL77" s="3">
        <f ca="1">IFERROR(__xludf.DUMMYFUNCTION("""COMPUTED_VALUE"""),-0.791386472735672)</f>
        <v>-0.79138647273567198</v>
      </c>
      <c r="NM77" s="3">
        <f ca="1">IFERROR(__xludf.DUMMYFUNCTION("""COMPUTED_VALUE"""),-0.789219333898639)</f>
        <v>-0.78921933389863896</v>
      </c>
      <c r="NN77" s="3">
        <f ca="1">IFERROR(__xludf.DUMMYFUNCTION("""COMPUTED_VALUE"""),-0.768160342561353)</f>
        <v>-0.76816034256135302</v>
      </c>
      <c r="NO77" s="3">
        <f ca="1">IFERROR(__xludf.DUMMYFUNCTION("""COMPUTED_VALUE"""),-0.741977190060793)</f>
        <v>-0.74197719006079299</v>
      </c>
      <c r="NP77" s="3">
        <f ca="1">IFERROR(__xludf.DUMMYFUNCTION("""COMPUTED_VALUE"""),-0.768186451181221)</f>
        <v>-0.76818645118122098</v>
      </c>
      <c r="NQ77" s="3">
        <f ca="1">IFERROR(__xludf.DUMMYFUNCTION("""COMPUTED_VALUE"""),-0.784973814269639)</f>
        <v>-0.78497381426963897</v>
      </c>
      <c r="NR77" s="3">
        <f ca="1">IFERROR(__xludf.DUMMYFUNCTION("""COMPUTED_VALUE"""),-0.801497675639462)</f>
        <v>-0.80149767563946195</v>
      </c>
      <c r="NS77" s="3">
        <f ca="1">IFERROR(__xludf.DUMMYFUNCTION("""COMPUTED_VALUE"""),-0.765653041654666)</f>
        <v>-0.76565304165466597</v>
      </c>
      <c r="NT77" s="3">
        <f ca="1">IFERROR(__xludf.DUMMYFUNCTION("""COMPUTED_VALUE"""),-0.705443929842925)</f>
        <v>-0.70544392984292503</v>
      </c>
      <c r="NU77" s="3">
        <f ca="1">IFERROR(__xludf.DUMMYFUNCTION("""COMPUTED_VALUE"""),-0.711385780872571)</f>
        <v>-0.71138578087257098</v>
      </c>
      <c r="NV77" s="3">
        <f ca="1">IFERROR(__xludf.DUMMYFUNCTION("""COMPUTED_VALUE"""),-0.705527721337902)</f>
        <v>-0.70552772133790198</v>
      </c>
      <c r="NW77" s="3">
        <f ca="1">IFERROR(__xludf.DUMMYFUNCTION("""COMPUTED_VALUE"""),-0.675274250774032)</f>
        <v>-0.67527425077403203</v>
      </c>
      <c r="NX77" s="3">
        <f ca="1">IFERROR(__xludf.DUMMYFUNCTION("""COMPUTED_VALUE"""),-0.687492936179251)</f>
        <v>-0.687492936179251</v>
      </c>
      <c r="NY77" s="3">
        <f ca="1">IFERROR(__xludf.DUMMYFUNCTION("""COMPUTED_VALUE"""),-0.700014114773736)</f>
        <v>-0.70001411477373598</v>
      </c>
      <c r="NZ77" s="3">
        <f ca="1">IFERROR(__xludf.DUMMYFUNCTION("""COMPUTED_VALUE"""),-0.678225098805365)</f>
        <v>-0.67822509880536497</v>
      </c>
      <c r="OA77" s="3">
        <f ca="1">IFERROR(__xludf.DUMMYFUNCTION("""COMPUTED_VALUE"""),-0.66126616218764)</f>
        <v>-0.66126616218764001</v>
      </c>
      <c r="OB77" s="3">
        <f ca="1">IFERROR(__xludf.DUMMYFUNCTION("""COMPUTED_VALUE"""),-0.602907507412381)</f>
        <v>-0.60290750741238097</v>
      </c>
      <c r="OC77" s="3">
        <f ca="1">IFERROR(__xludf.DUMMYFUNCTION("""COMPUTED_VALUE"""),-0.490499569078048)</f>
        <v>-0.49049956907804798</v>
      </c>
      <c r="OD77" s="3">
        <f ca="1">IFERROR(__xludf.DUMMYFUNCTION("""COMPUTED_VALUE"""),-0.489690024507174)</f>
        <v>-0.48969002450717403</v>
      </c>
      <c r="OE77" s="3">
        <f ca="1">IFERROR(__xludf.DUMMYFUNCTION("""COMPUTED_VALUE"""),-0.468145327773252)</f>
        <v>-0.46814532777325202</v>
      </c>
      <c r="OF77" s="3">
        <f ca="1">IFERROR(__xludf.DUMMYFUNCTION("""COMPUTED_VALUE"""),-0.431484392518399)</f>
        <v>-0.43148439251839898</v>
      </c>
      <c r="OG77" s="3">
        <f ca="1">IFERROR(__xludf.DUMMYFUNCTION("""COMPUTED_VALUE"""),-0.33837135146049)</f>
        <v>-0.33837135146049002</v>
      </c>
      <c r="OH77" s="3">
        <f ca="1">IFERROR(__xludf.DUMMYFUNCTION("""COMPUTED_VALUE"""),-0.331058582233212)</f>
        <v>-0.331058582233212</v>
      </c>
      <c r="OI77" s="3">
        <f ca="1">IFERROR(__xludf.DUMMYFUNCTION("""COMPUTED_VALUE"""),-0.300172187251009)</f>
        <v>-0.30017218725100903</v>
      </c>
      <c r="OJ77" s="3">
        <f ca="1">IFERROR(__xludf.DUMMYFUNCTION("""COMPUTED_VALUE"""),-0.316926327052822)</f>
        <v>-0.31692632705282198</v>
      </c>
      <c r="OK77" s="3">
        <f ca="1">IFERROR(__xludf.DUMMYFUNCTION("""COMPUTED_VALUE"""),-0.348844112040944)</f>
        <v>-0.34884411204094401</v>
      </c>
      <c r="OL77" s="3">
        <f ca="1">IFERROR(__xludf.DUMMYFUNCTION("""COMPUTED_VALUE"""),-0.259373077050936)</f>
        <v>-0.25937307705093599</v>
      </c>
      <c r="OM77" s="3">
        <f ca="1">IFERROR(__xludf.DUMMYFUNCTION("""COMPUTED_VALUE"""),-0.245324659900701)</f>
        <v>-0.24532465990070099</v>
      </c>
      <c r="ON77" s="3">
        <f ca="1">IFERROR(__xludf.DUMMYFUNCTION("""COMPUTED_VALUE"""),-0.144067346301146)</f>
        <v>-0.14406734630114601</v>
      </c>
      <c r="OO77" s="3">
        <f ca="1">IFERROR(__xludf.DUMMYFUNCTION("""COMPUTED_VALUE"""),-0.11209038733686)</f>
        <v>-0.11209038733686</v>
      </c>
      <c r="OP77" s="3">
        <f ca="1">IFERROR(__xludf.DUMMYFUNCTION("""COMPUTED_VALUE"""),-0.102617384065365)</f>
        <v>-0.102617384065365</v>
      </c>
      <c r="OQ77" s="3">
        <f ca="1">IFERROR(__xludf.DUMMYFUNCTION("""COMPUTED_VALUE"""),-0.0562251916233372)</f>
        <v>-5.6225191623337202E-2</v>
      </c>
      <c r="OR77" s="3">
        <f ca="1">IFERROR(__xludf.DUMMYFUNCTION("""COMPUTED_VALUE"""),-0.0569526433866842)</f>
        <v>-5.6952643386684203E-2</v>
      </c>
      <c r="OS77" s="3">
        <f ca="1">IFERROR(__xludf.DUMMYFUNCTION("""COMPUTED_VALUE"""),0.0318704206475746)</f>
        <v>3.1870420647574602E-2</v>
      </c>
      <c r="OT77" s="3">
        <f ca="1">IFERROR(__xludf.DUMMYFUNCTION("""COMPUTED_VALUE"""),0.0114151721478301)</f>
        <v>1.14151721478301E-2</v>
      </c>
      <c r="OU77" s="3">
        <f ca="1">IFERROR(__xludf.DUMMYFUNCTION("""COMPUTED_VALUE"""),0.00197501326661853)</f>
        <v>1.9750132666185301E-3</v>
      </c>
      <c r="OV77" s="3">
        <f ca="1">IFERROR(__xludf.DUMMYFUNCTION("""COMPUTED_VALUE"""),-0.00151139592362059)</f>
        <v>-1.51139592362059E-3</v>
      </c>
      <c r="OW77" s="3">
        <f ca="1">IFERROR(__xludf.DUMMYFUNCTION("""COMPUTED_VALUE"""),0.0329273992283991)</f>
        <v>3.2927399228399101E-2</v>
      </c>
      <c r="OX77" s="3">
        <f ca="1">IFERROR(__xludf.DUMMYFUNCTION("""COMPUTED_VALUE"""),-0.06161366127942)</f>
        <v>-6.1613661279420001E-2</v>
      </c>
      <c r="OY77" s="3">
        <f ca="1">IFERROR(__xludf.DUMMYFUNCTION("""COMPUTED_VALUE"""),-0.0635570143829111)</f>
        <v>-6.3557014382911101E-2</v>
      </c>
      <c r="OZ77" s="3">
        <f ca="1">IFERROR(__xludf.DUMMYFUNCTION("""COMPUTED_VALUE"""),0.015754219978264)</f>
        <v>1.5754219978264001E-2</v>
      </c>
      <c r="PA77" s="3">
        <f ca="1">IFERROR(__xludf.DUMMYFUNCTION("""COMPUTED_VALUE"""),0.00761756342207919)</f>
        <v>7.6175634220791901E-3</v>
      </c>
      <c r="PB77" s="3">
        <f ca="1">IFERROR(__xludf.DUMMYFUNCTION("""COMPUTED_VALUE"""),0.00217325958565695)</f>
        <v>2.1732595856569499E-3</v>
      </c>
      <c r="PC77" s="3">
        <f ca="1">IFERROR(__xludf.DUMMYFUNCTION("""COMPUTED_VALUE"""),0.0799688287907016)</f>
        <v>7.9968828790701593E-2</v>
      </c>
      <c r="PD77" s="3">
        <f ca="1">IFERROR(__xludf.DUMMYFUNCTION("""COMPUTED_VALUE"""),-0.0740089273452906)</f>
        <v>-7.4008927345290604E-2</v>
      </c>
      <c r="PE77" s="3">
        <f ca="1">IFERROR(__xludf.DUMMYFUNCTION("""COMPUTED_VALUE"""),0.0624816881106329)</f>
        <v>6.2481688110632899E-2</v>
      </c>
      <c r="PF77" s="3">
        <f ca="1">IFERROR(__xludf.DUMMYFUNCTION("""COMPUTED_VALUE"""),0.0877539280902799)</f>
        <v>8.7753928090279903E-2</v>
      </c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</row>
    <row r="78" spans="1:594" ht="13">
      <c r="A78" s="1" t="str">
        <f ca="1">IFERROR(__xludf.DUMMYFUNCTION("""COMPUTED_VALUE"""),"Sherbrooke")</f>
        <v>Sherbrooke</v>
      </c>
      <c r="B78" s="3">
        <f ca="1">IFERROR(__xludf.DUMMYFUNCTION("""COMPUTED_VALUE"""),-0.474143736852528)</f>
        <v>-0.47414373685252797</v>
      </c>
      <c r="C78" s="3">
        <f ca="1">IFERROR(__xludf.DUMMYFUNCTION("""COMPUTED_VALUE"""),-0.544931442620661)</f>
        <v>-0.54493144262066096</v>
      </c>
      <c r="D78" s="3">
        <f ca="1">IFERROR(__xludf.DUMMYFUNCTION("""COMPUTED_VALUE"""),-0.589585782573136)</f>
        <v>-0.58958578257313599</v>
      </c>
      <c r="E78" s="3">
        <f ca="1">IFERROR(__xludf.DUMMYFUNCTION("""COMPUTED_VALUE"""),-0.596184529710519)</f>
        <v>-0.59618452971051905</v>
      </c>
      <c r="F78" s="3">
        <f ca="1">IFERROR(__xludf.DUMMYFUNCTION("""COMPUTED_VALUE"""),-0.600292628002336)</f>
        <v>-0.60029262800233596</v>
      </c>
      <c r="G78" s="3">
        <f ca="1">IFERROR(__xludf.DUMMYFUNCTION("""COMPUTED_VALUE"""),-0.731749347366184)</f>
        <v>-0.73174934736618402</v>
      </c>
      <c r="H78" s="3">
        <f ca="1">IFERROR(__xludf.DUMMYFUNCTION("""COMPUTED_VALUE"""),-0.700905730290597)</f>
        <v>-0.700905730290597</v>
      </c>
      <c r="I78" s="3">
        <f ca="1">IFERROR(__xludf.DUMMYFUNCTION("""COMPUTED_VALUE"""),-0.605527996291451)</f>
        <v>-0.60552799629145104</v>
      </c>
      <c r="J78" s="3">
        <f ca="1">IFERROR(__xludf.DUMMYFUNCTION("""COMPUTED_VALUE"""),-0.693434690735657)</f>
        <v>-0.693434690735657</v>
      </c>
      <c r="K78" s="3">
        <f ca="1">IFERROR(__xludf.DUMMYFUNCTION("""COMPUTED_VALUE"""),-0.591354511383328)</f>
        <v>-0.59135451138332795</v>
      </c>
      <c r="L78" s="3">
        <f ca="1">IFERROR(__xludf.DUMMYFUNCTION("""COMPUTED_VALUE"""),-0.62454065337956)</f>
        <v>-0.62454065337956</v>
      </c>
      <c r="M78" s="3">
        <f ca="1">IFERROR(__xludf.DUMMYFUNCTION("""COMPUTED_VALUE"""),-0.627214486370586)</f>
        <v>-0.62721448637058597</v>
      </c>
      <c r="N78" s="3">
        <f ca="1">IFERROR(__xludf.DUMMYFUNCTION("""COMPUTED_VALUE"""),-0.592785908008288)</f>
        <v>-0.59278590800828801</v>
      </c>
      <c r="O78" s="3">
        <f ca="1">IFERROR(__xludf.DUMMYFUNCTION("""COMPUTED_VALUE"""),-0.572630007466012)</f>
        <v>-0.572630007466012</v>
      </c>
      <c r="P78" s="3">
        <f ca="1">IFERROR(__xludf.DUMMYFUNCTION("""COMPUTED_VALUE"""),-0.539486787060928)</f>
        <v>-0.53948678706092801</v>
      </c>
      <c r="Q78" s="3">
        <f ca="1">IFERROR(__xludf.DUMMYFUNCTION("""COMPUTED_VALUE"""),-0.614283935022601)</f>
        <v>-0.61428393502260104</v>
      </c>
      <c r="R78" s="3">
        <f ca="1">IFERROR(__xludf.DUMMYFUNCTION("""COMPUTED_VALUE"""),-0.579627197906841)</f>
        <v>-0.57962719790684103</v>
      </c>
      <c r="S78" s="3">
        <f ca="1">IFERROR(__xludf.DUMMYFUNCTION("""COMPUTED_VALUE"""),-0.568754899284488)</f>
        <v>-0.56875489928448797</v>
      </c>
      <c r="T78" s="3">
        <f ca="1">IFERROR(__xludf.DUMMYFUNCTION("""COMPUTED_VALUE"""),-0.554385137115219)</f>
        <v>-0.55438513711521897</v>
      </c>
      <c r="U78" s="3">
        <f ca="1">IFERROR(__xludf.DUMMYFUNCTION("""COMPUTED_VALUE"""),-0.570449765596304)</f>
        <v>-0.570449765596304</v>
      </c>
      <c r="V78" s="3">
        <f ca="1">IFERROR(__xludf.DUMMYFUNCTION("""COMPUTED_VALUE"""),-0.520351557742797)</f>
        <v>-0.52035155774279696</v>
      </c>
      <c r="W78" s="3">
        <f ca="1">IFERROR(__xludf.DUMMYFUNCTION("""COMPUTED_VALUE"""),-0.550628341665573)</f>
        <v>-0.55062834166557295</v>
      </c>
      <c r="X78" s="3">
        <f ca="1">IFERROR(__xludf.DUMMYFUNCTION("""COMPUTED_VALUE"""),-0.607553186769107)</f>
        <v>-0.60755318676910697</v>
      </c>
      <c r="Y78" s="3">
        <f ca="1">IFERROR(__xludf.DUMMYFUNCTION("""COMPUTED_VALUE"""),-0.593371050974779)</f>
        <v>-0.59337105097477905</v>
      </c>
      <c r="Z78" s="3">
        <f ca="1">IFERROR(__xludf.DUMMYFUNCTION("""COMPUTED_VALUE"""),-0.585569697117251)</f>
        <v>-0.58556969711725104</v>
      </c>
      <c r="AA78" s="3">
        <f ca="1">IFERROR(__xludf.DUMMYFUNCTION("""COMPUTED_VALUE"""),-0.549684022953888)</f>
        <v>-0.54968402295388796</v>
      </c>
      <c r="AB78" s="3">
        <f ca="1">IFERROR(__xludf.DUMMYFUNCTION("""COMPUTED_VALUE"""),-0.592336487936935)</f>
        <v>-0.59233648793693505</v>
      </c>
      <c r="AC78" s="3">
        <f ca="1">IFERROR(__xludf.DUMMYFUNCTION("""COMPUTED_VALUE"""),-0.576869380114572)</f>
        <v>-0.57686938011457201</v>
      </c>
      <c r="AD78" s="3">
        <f ca="1">IFERROR(__xludf.DUMMYFUNCTION("""COMPUTED_VALUE"""),-0.509399935566631)</f>
        <v>-0.50939993556663099</v>
      </c>
      <c r="AE78" s="3">
        <f ca="1">IFERROR(__xludf.DUMMYFUNCTION("""COMPUTED_VALUE"""),-0.564470592030635)</f>
        <v>-0.56447059203063499</v>
      </c>
      <c r="AF78" s="3">
        <f ca="1">IFERROR(__xludf.DUMMYFUNCTION("""COMPUTED_VALUE"""),-0.52089498666523)</f>
        <v>-0.52089498666523004</v>
      </c>
      <c r="AG78" s="3">
        <f ca="1">IFERROR(__xludf.DUMMYFUNCTION("""COMPUTED_VALUE"""),-0.509868705378265)</f>
        <v>-0.50986870537826501</v>
      </c>
      <c r="AH78" s="3">
        <f ca="1">IFERROR(__xludf.DUMMYFUNCTION("""COMPUTED_VALUE"""),-0.517223691839861)</f>
        <v>-0.51722369183986106</v>
      </c>
      <c r="AI78" s="3">
        <f ca="1">IFERROR(__xludf.DUMMYFUNCTION("""COMPUTED_VALUE"""),-0.522915973128767)</f>
        <v>-0.52291597312876703</v>
      </c>
      <c r="AJ78" s="3">
        <f ca="1">IFERROR(__xludf.DUMMYFUNCTION("""COMPUTED_VALUE"""),-0.59439210508787)</f>
        <v>-0.59439210508786999</v>
      </c>
      <c r="AK78" s="3">
        <f ca="1">IFERROR(__xludf.DUMMYFUNCTION("""COMPUTED_VALUE"""),-0.619107096222812)</f>
        <v>-0.61910709622281201</v>
      </c>
      <c r="AL78" s="3">
        <f ca="1">IFERROR(__xludf.DUMMYFUNCTION("""COMPUTED_VALUE"""),-0.713979698808149)</f>
        <v>-0.71397969880814904</v>
      </c>
      <c r="AM78" s="3">
        <f ca="1">IFERROR(__xludf.DUMMYFUNCTION("""COMPUTED_VALUE"""),-0.752693987599327)</f>
        <v>-0.75269398759932704</v>
      </c>
      <c r="AN78" s="3">
        <f ca="1">IFERROR(__xludf.DUMMYFUNCTION("""COMPUTED_VALUE"""),-0.709618945242561)</f>
        <v>-0.70961894524256097</v>
      </c>
      <c r="AO78" s="3">
        <f ca="1">IFERROR(__xludf.DUMMYFUNCTION("""COMPUTED_VALUE"""),-0.716621666458211)</f>
        <v>-0.71662166645821102</v>
      </c>
      <c r="AP78" s="3">
        <f ca="1">IFERROR(__xludf.DUMMYFUNCTION("""COMPUTED_VALUE"""),-0.696131262663659)</f>
        <v>-0.69613126266365899</v>
      </c>
      <c r="AQ78" s="3">
        <f ca="1">IFERROR(__xludf.DUMMYFUNCTION("""COMPUTED_VALUE"""),-0.607909450992053)</f>
        <v>-0.60790945099205296</v>
      </c>
      <c r="AR78" s="3">
        <f ca="1">IFERROR(__xludf.DUMMYFUNCTION("""COMPUTED_VALUE"""),-0.583101592260337)</f>
        <v>-0.58310159226033698</v>
      </c>
      <c r="AS78" s="3">
        <f ca="1">IFERROR(__xludf.DUMMYFUNCTION("""COMPUTED_VALUE"""),-0.56276951941128)</f>
        <v>-0.56276951941127995</v>
      </c>
      <c r="AT78" s="3">
        <f ca="1">IFERROR(__xludf.DUMMYFUNCTION("""COMPUTED_VALUE"""),-0.547156688406225)</f>
        <v>-0.547156688406225</v>
      </c>
      <c r="AU78" s="3">
        <f ca="1">IFERROR(__xludf.DUMMYFUNCTION("""COMPUTED_VALUE"""),-0.552183322159307)</f>
        <v>-0.55218332215930699</v>
      </c>
      <c r="AV78" s="3">
        <f ca="1">IFERROR(__xludf.DUMMYFUNCTION("""COMPUTED_VALUE"""),-0.580200036060252)</f>
        <v>-0.58020003606025194</v>
      </c>
      <c r="AW78" s="3">
        <f ca="1">IFERROR(__xludf.DUMMYFUNCTION("""COMPUTED_VALUE"""),-0.544120236610762)</f>
        <v>-0.54412023661076203</v>
      </c>
      <c r="AX78" s="3">
        <f ca="1">IFERROR(__xludf.DUMMYFUNCTION("""COMPUTED_VALUE"""),-0.617942811522171)</f>
        <v>-0.61794281152217101</v>
      </c>
      <c r="AY78" s="3">
        <f ca="1">IFERROR(__xludf.DUMMYFUNCTION("""COMPUTED_VALUE"""),-0.598580816207215)</f>
        <v>-0.59858081620721504</v>
      </c>
      <c r="AZ78" s="3">
        <f ca="1">IFERROR(__xludf.DUMMYFUNCTION("""COMPUTED_VALUE"""),-0.651871711738814)</f>
        <v>-0.65187171173881397</v>
      </c>
      <c r="BA78" s="3">
        <f ca="1">IFERROR(__xludf.DUMMYFUNCTION("""COMPUTED_VALUE"""),-0.674450769422172)</f>
        <v>-0.67445076942217197</v>
      </c>
      <c r="BB78" s="3">
        <f ca="1">IFERROR(__xludf.DUMMYFUNCTION("""COMPUTED_VALUE"""),-0.644881035043155)</f>
        <v>-0.64488103504315497</v>
      </c>
      <c r="BC78" s="3">
        <f ca="1">IFERROR(__xludf.DUMMYFUNCTION("""COMPUTED_VALUE"""),-0.675920148570724)</f>
        <v>-0.67592014857072402</v>
      </c>
      <c r="BD78" s="3">
        <f ca="1">IFERROR(__xludf.DUMMYFUNCTION("""COMPUTED_VALUE"""),-0.633930736295142)</f>
        <v>-0.63393073629514196</v>
      </c>
      <c r="BE78" s="3">
        <f ca="1">IFERROR(__xludf.DUMMYFUNCTION("""COMPUTED_VALUE"""),-0.582810949968956)</f>
        <v>-0.58281094996895599</v>
      </c>
      <c r="BF78" s="3">
        <f ca="1">IFERROR(__xludf.DUMMYFUNCTION("""COMPUTED_VALUE"""),-0.602390948768455)</f>
        <v>-0.602390948768455</v>
      </c>
      <c r="BG78" s="3">
        <f ca="1">IFERROR(__xludf.DUMMYFUNCTION("""COMPUTED_VALUE"""),-0.658216622631949)</f>
        <v>-0.65821662263194902</v>
      </c>
      <c r="BH78" s="3">
        <f ca="1">IFERROR(__xludf.DUMMYFUNCTION("""COMPUTED_VALUE"""),-0.667614879776162)</f>
        <v>-0.66761487977616196</v>
      </c>
      <c r="BI78" s="3">
        <f ca="1">IFERROR(__xludf.DUMMYFUNCTION("""COMPUTED_VALUE"""),-0.648364457839622)</f>
        <v>-0.64836445783962204</v>
      </c>
      <c r="BJ78" s="3">
        <f ca="1">IFERROR(__xludf.DUMMYFUNCTION("""COMPUTED_VALUE"""),-0.642224606267145)</f>
        <v>-0.64222460626714495</v>
      </c>
      <c r="BK78" s="3">
        <f ca="1">IFERROR(__xludf.DUMMYFUNCTION("""COMPUTED_VALUE"""),-0.694496019736847)</f>
        <v>-0.69449601973684705</v>
      </c>
      <c r="BL78" s="3">
        <f ca="1">IFERROR(__xludf.DUMMYFUNCTION("""COMPUTED_VALUE"""),-0.699553326832933)</f>
        <v>-0.69955332683293303</v>
      </c>
      <c r="BM78" s="3">
        <f ca="1">IFERROR(__xludf.DUMMYFUNCTION("""COMPUTED_VALUE"""),-0.717579513364677)</f>
        <v>-0.71757951336467696</v>
      </c>
      <c r="BN78" s="3">
        <f ca="1">IFERROR(__xludf.DUMMYFUNCTION("""COMPUTED_VALUE"""),-0.701594068373719)</f>
        <v>-0.70159406837371896</v>
      </c>
      <c r="BO78" s="3">
        <f ca="1">IFERROR(__xludf.DUMMYFUNCTION("""COMPUTED_VALUE"""),-0.708753988236555)</f>
        <v>-0.708753988236555</v>
      </c>
      <c r="BP78" s="3">
        <f ca="1">IFERROR(__xludf.DUMMYFUNCTION("""COMPUTED_VALUE"""),-0.677935216288453)</f>
        <v>-0.67793521628845299</v>
      </c>
      <c r="BQ78" s="3">
        <f ca="1">IFERROR(__xludf.DUMMYFUNCTION("""COMPUTED_VALUE"""),-0.761559265918059)</f>
        <v>-0.761559265918059</v>
      </c>
      <c r="BR78" s="3">
        <f ca="1">IFERROR(__xludf.DUMMYFUNCTION("""COMPUTED_VALUE"""),-0.699602635208509)</f>
        <v>-0.69960263520850896</v>
      </c>
      <c r="BS78" s="3">
        <f ca="1">IFERROR(__xludf.DUMMYFUNCTION("""COMPUTED_VALUE"""),-0.698095820368904)</f>
        <v>-0.69809582036890405</v>
      </c>
      <c r="BT78" s="3">
        <f ca="1">IFERROR(__xludf.DUMMYFUNCTION("""COMPUTED_VALUE"""),-0.716516778622215)</f>
        <v>-0.71651677862221497</v>
      </c>
      <c r="BU78" s="3">
        <f ca="1">IFERROR(__xludf.DUMMYFUNCTION("""COMPUTED_VALUE"""),-0.730088396363996)</f>
        <v>-0.73008839636399603</v>
      </c>
      <c r="BV78" s="3">
        <f ca="1">IFERROR(__xludf.DUMMYFUNCTION("""COMPUTED_VALUE"""),-0.755489096232109)</f>
        <v>-0.75548909623210903</v>
      </c>
      <c r="BW78" s="3">
        <f ca="1">IFERROR(__xludf.DUMMYFUNCTION("""COMPUTED_VALUE"""),-0.728205811045503)</f>
        <v>-0.72820581104550297</v>
      </c>
      <c r="BX78" s="3">
        <f ca="1">IFERROR(__xludf.DUMMYFUNCTION("""COMPUTED_VALUE"""),-0.72110547868821)</f>
        <v>-0.72110547868820996</v>
      </c>
      <c r="BY78" s="3">
        <f ca="1">IFERROR(__xludf.DUMMYFUNCTION("""COMPUTED_VALUE"""),-0.704896178641605)</f>
        <v>-0.70489617864160503</v>
      </c>
      <c r="BZ78" s="3">
        <f ca="1">IFERROR(__xludf.DUMMYFUNCTION("""COMPUTED_VALUE"""),-0.72714647663659)</f>
        <v>-0.72714647663659004</v>
      </c>
      <c r="CA78" s="3">
        <f ca="1">IFERROR(__xludf.DUMMYFUNCTION("""COMPUTED_VALUE"""),-0.74000509247409)</f>
        <v>-0.74000509247408996</v>
      </c>
      <c r="CB78" s="3">
        <f ca="1">IFERROR(__xludf.DUMMYFUNCTION("""COMPUTED_VALUE"""),-0.708760621796571)</f>
        <v>-0.70876062179657096</v>
      </c>
      <c r="CC78" s="3">
        <f ca="1">IFERROR(__xludf.DUMMYFUNCTION("""COMPUTED_VALUE"""),-0.716121663388092)</f>
        <v>-0.71612166338809202</v>
      </c>
      <c r="CD78" s="3">
        <f ca="1">IFERROR(__xludf.DUMMYFUNCTION("""COMPUTED_VALUE"""),-0.663336384079425)</f>
        <v>-0.66333638407942497</v>
      </c>
      <c r="CE78" s="3">
        <f ca="1">IFERROR(__xludf.DUMMYFUNCTION("""COMPUTED_VALUE"""),-0.684580403380076)</f>
        <v>-0.68458040338007597</v>
      </c>
      <c r="CF78" s="3">
        <f ca="1">IFERROR(__xludf.DUMMYFUNCTION("""COMPUTED_VALUE"""),-0.680564460151141)</f>
        <v>-0.68056446015114103</v>
      </c>
      <c r="CG78" s="3">
        <f ca="1">IFERROR(__xludf.DUMMYFUNCTION("""COMPUTED_VALUE"""),-0.699309288981906)</f>
        <v>-0.69930928898190603</v>
      </c>
      <c r="CH78" s="3">
        <f ca="1">IFERROR(__xludf.DUMMYFUNCTION("""COMPUTED_VALUE"""),-0.740377166973543)</f>
        <v>-0.74037716697354305</v>
      </c>
      <c r="CI78" s="3">
        <f ca="1">IFERROR(__xludf.DUMMYFUNCTION("""COMPUTED_VALUE"""),-0.73539588982764)</f>
        <v>-0.73539588982764004</v>
      </c>
      <c r="CJ78" s="3">
        <f ca="1">IFERROR(__xludf.DUMMYFUNCTION("""COMPUTED_VALUE"""),-0.817141903260319)</f>
        <v>-0.81714190326031899</v>
      </c>
      <c r="CK78" s="3">
        <f ca="1">IFERROR(__xludf.DUMMYFUNCTION("""COMPUTED_VALUE"""),-0.794889831719209)</f>
        <v>-0.79488983171920902</v>
      </c>
      <c r="CL78" s="3">
        <f ca="1">IFERROR(__xludf.DUMMYFUNCTION("""COMPUTED_VALUE"""),-0.798946212884819)</f>
        <v>-0.79894621288481904</v>
      </c>
      <c r="CM78" s="3">
        <f ca="1">IFERROR(__xludf.DUMMYFUNCTION("""COMPUTED_VALUE"""),-0.764219719699078)</f>
        <v>-0.76421971969907798</v>
      </c>
      <c r="CN78" s="3">
        <f ca="1">IFERROR(__xludf.DUMMYFUNCTION("""COMPUTED_VALUE"""),-0.748756860630087)</f>
        <v>-0.74875686063008695</v>
      </c>
      <c r="CO78" s="3">
        <f ca="1">IFERROR(__xludf.DUMMYFUNCTION("""COMPUTED_VALUE"""),-0.743871212587885)</f>
        <v>-0.74387121258788502</v>
      </c>
      <c r="CP78" s="3">
        <f ca="1">IFERROR(__xludf.DUMMYFUNCTION("""COMPUTED_VALUE"""),-0.75930487355728)</f>
        <v>-0.75930487355728005</v>
      </c>
      <c r="CQ78" s="3">
        <f ca="1">IFERROR(__xludf.DUMMYFUNCTION("""COMPUTED_VALUE"""),-0.771615211325196)</f>
        <v>-0.77161521132519595</v>
      </c>
      <c r="CR78" s="3">
        <f ca="1">IFERROR(__xludf.DUMMYFUNCTION("""COMPUTED_VALUE"""),-0.736553847519584)</f>
        <v>-0.73655384751958397</v>
      </c>
      <c r="CS78" s="3">
        <f ca="1">IFERROR(__xludf.DUMMYFUNCTION("""COMPUTED_VALUE"""),-0.760515670939333)</f>
        <v>-0.76051567093933303</v>
      </c>
      <c r="CT78" s="3">
        <f ca="1">IFERROR(__xludf.DUMMYFUNCTION("""COMPUTED_VALUE"""),-0.771101554621533)</f>
        <v>-0.77110155462153296</v>
      </c>
      <c r="CU78" s="3">
        <f ca="1">IFERROR(__xludf.DUMMYFUNCTION("""COMPUTED_VALUE"""),-0.711010696425851)</f>
        <v>-0.71101069642585102</v>
      </c>
      <c r="CV78" s="3">
        <f ca="1">IFERROR(__xludf.DUMMYFUNCTION("""COMPUTED_VALUE"""),-0.720516381017331)</f>
        <v>-0.72051638101733095</v>
      </c>
      <c r="CW78" s="3">
        <f ca="1">IFERROR(__xludf.DUMMYFUNCTION("""COMPUTED_VALUE"""),-0.963627227425894)</f>
        <v>-0.96362722742589402</v>
      </c>
      <c r="CX78" s="3">
        <f ca="1">IFERROR(__xludf.DUMMYFUNCTION("""COMPUTED_VALUE"""),-0.75138936951434)</f>
        <v>-0.75138936951433999</v>
      </c>
      <c r="CY78" s="3">
        <f ca="1">IFERROR(__xludf.DUMMYFUNCTION("""COMPUTED_VALUE"""),-0.519831387290225)</f>
        <v>-0.51983138729022504</v>
      </c>
      <c r="CZ78" s="3">
        <f ca="1">IFERROR(__xludf.DUMMYFUNCTION("""COMPUTED_VALUE"""),-0.703367489549202)</f>
        <v>-0.70336748954920203</v>
      </c>
      <c r="DA78" s="3">
        <f ca="1">IFERROR(__xludf.DUMMYFUNCTION("""COMPUTED_VALUE"""),-0.783884193476947)</f>
        <v>-0.78388419347694704</v>
      </c>
      <c r="DB78" s="3">
        <f ca="1">IFERROR(__xludf.DUMMYFUNCTION("""COMPUTED_VALUE"""),-0.733152715286732)</f>
        <v>-0.73315271528673198</v>
      </c>
      <c r="DC78" s="3">
        <f ca="1">IFERROR(__xludf.DUMMYFUNCTION("""COMPUTED_VALUE"""),-0.665569759289995)</f>
        <v>-0.66556975928999496</v>
      </c>
      <c r="DD78" s="3">
        <f ca="1">IFERROR(__xludf.DUMMYFUNCTION("""COMPUTED_VALUE"""),-0.957576518530141)</f>
        <v>-0.95757651853014103</v>
      </c>
      <c r="DE78" s="3">
        <f ca="1">IFERROR(__xludf.DUMMYFUNCTION("""COMPUTED_VALUE"""),-0.647413036301787)</f>
        <v>-0.64741303630178704</v>
      </c>
      <c r="DF78" s="3">
        <f ca="1">IFERROR(__xludf.DUMMYFUNCTION("""COMPUTED_VALUE"""),-0.30057244481853)</f>
        <v>-0.30057244481853002</v>
      </c>
      <c r="DG78" s="3">
        <f ca="1">IFERROR(__xludf.DUMMYFUNCTION("""COMPUTED_VALUE"""),-0.535467578404056)</f>
        <v>-0.53546757840405601</v>
      </c>
      <c r="DH78" s="3">
        <f ca="1">IFERROR(__xludf.DUMMYFUNCTION("""COMPUTED_VALUE"""),-0.551491144713122)</f>
        <v>-0.55149114471312199</v>
      </c>
      <c r="DI78" s="3">
        <f ca="1">IFERROR(__xludf.DUMMYFUNCTION("""COMPUTED_VALUE"""),-0.615112354273828)</f>
        <v>-0.61511235427382804</v>
      </c>
      <c r="DJ78" s="3">
        <f ca="1">IFERROR(__xludf.DUMMYFUNCTION("""COMPUTED_VALUE"""),-0.568926612521007)</f>
        <v>-0.56892661252100696</v>
      </c>
      <c r="DK78" s="3">
        <f ca="1">IFERROR(__xludf.DUMMYFUNCTION("""COMPUTED_VALUE"""),-0.550375453146613)</f>
        <v>-0.55037545314661296</v>
      </c>
      <c r="DL78" s="3">
        <f ca="1">IFERROR(__xludf.DUMMYFUNCTION("""COMPUTED_VALUE"""),-0.539612314107087)</f>
        <v>-0.53961231410708699</v>
      </c>
      <c r="DM78" s="3">
        <f ca="1">IFERROR(__xludf.DUMMYFUNCTION("""COMPUTED_VALUE"""),-0.446044217925728)</f>
        <v>-0.44604421792572801</v>
      </c>
      <c r="DN78" s="3">
        <f ca="1">IFERROR(__xludf.DUMMYFUNCTION("""COMPUTED_VALUE"""),-0.520507133933707)</f>
        <v>-0.52050713393370696</v>
      </c>
      <c r="DO78" s="3">
        <f ca="1">IFERROR(__xludf.DUMMYFUNCTION("""COMPUTED_VALUE"""),-0.540113723513525)</f>
        <v>-0.54011372351352505</v>
      </c>
      <c r="DP78" s="3">
        <f ca="1">IFERROR(__xludf.DUMMYFUNCTION("""COMPUTED_VALUE"""),-0.605691167365296)</f>
        <v>-0.60569116736529605</v>
      </c>
      <c r="DQ78" s="3">
        <f ca="1">IFERROR(__xludf.DUMMYFUNCTION("""COMPUTED_VALUE"""),-0.526738306969175)</f>
        <v>-0.52673830696917501</v>
      </c>
      <c r="DR78" s="3">
        <f ca="1">IFERROR(__xludf.DUMMYFUNCTION("""COMPUTED_VALUE"""),-0.581527733119507)</f>
        <v>-0.58152773311950701</v>
      </c>
      <c r="DS78" s="3">
        <f ca="1">IFERROR(__xludf.DUMMYFUNCTION("""COMPUTED_VALUE"""),-0.585787840576048)</f>
        <v>-0.58578784057604805</v>
      </c>
      <c r="DT78" s="3">
        <f ca="1">IFERROR(__xludf.DUMMYFUNCTION("""COMPUTED_VALUE"""),-0.648032339880049)</f>
        <v>-0.64803233988004905</v>
      </c>
      <c r="DU78" s="3">
        <f ca="1">IFERROR(__xludf.DUMMYFUNCTION("""COMPUTED_VALUE"""),-0.61844380888559)</f>
        <v>-0.61844380888559003</v>
      </c>
      <c r="DV78" s="3">
        <f ca="1">IFERROR(__xludf.DUMMYFUNCTION("""COMPUTED_VALUE"""),-0.627027495149831)</f>
        <v>-0.62702749514983103</v>
      </c>
      <c r="DW78" s="3">
        <f ca="1">IFERROR(__xludf.DUMMYFUNCTION("""COMPUTED_VALUE"""),-0.601404574827668)</f>
        <v>-0.60140457482766796</v>
      </c>
      <c r="DX78" s="3">
        <f ca="1">IFERROR(__xludf.DUMMYFUNCTION("""COMPUTED_VALUE"""),-0.66213585463021)</f>
        <v>-0.66213585463020996</v>
      </c>
      <c r="DY78" s="3">
        <f ca="1">IFERROR(__xludf.DUMMYFUNCTION("""COMPUTED_VALUE"""),-0.634879042044754)</f>
        <v>-0.63487904204475398</v>
      </c>
      <c r="DZ78" s="3">
        <f ca="1">IFERROR(__xludf.DUMMYFUNCTION("""COMPUTED_VALUE"""),-0.67104112865911)</f>
        <v>-0.67104112865911003</v>
      </c>
      <c r="EA78" s="3">
        <f ca="1">IFERROR(__xludf.DUMMYFUNCTION("""COMPUTED_VALUE"""),-0.639047469261535)</f>
        <v>-0.63904746926153499</v>
      </c>
      <c r="EB78" s="3">
        <f ca="1">IFERROR(__xludf.DUMMYFUNCTION("""COMPUTED_VALUE"""),-0.647157775587346)</f>
        <v>-0.647157775587346</v>
      </c>
      <c r="EC78" s="3">
        <f ca="1">IFERROR(__xludf.DUMMYFUNCTION("""COMPUTED_VALUE"""),-0.637430969079114)</f>
        <v>-0.63743096907911401</v>
      </c>
      <c r="ED78" s="3">
        <f ca="1">IFERROR(__xludf.DUMMYFUNCTION("""COMPUTED_VALUE"""),-0.62442028468147)</f>
        <v>-0.62442028468147004</v>
      </c>
      <c r="EE78" s="3">
        <f ca="1">IFERROR(__xludf.DUMMYFUNCTION("""COMPUTED_VALUE"""),-0.595181945566388)</f>
        <v>-0.59518194556638804</v>
      </c>
      <c r="EF78" s="3">
        <f ca="1">IFERROR(__xludf.DUMMYFUNCTION("""COMPUTED_VALUE"""),-0.633809926743743)</f>
        <v>-0.63380992674374304</v>
      </c>
      <c r="EG78" s="3">
        <f ca="1">IFERROR(__xludf.DUMMYFUNCTION("""COMPUTED_VALUE"""),-0.659064743795478)</f>
        <v>-0.65906474379547797</v>
      </c>
      <c r="EH78" s="3">
        <f ca="1">IFERROR(__xludf.DUMMYFUNCTION("""COMPUTED_VALUE"""),-0.615963678514578)</f>
        <v>-0.61596367851457801</v>
      </c>
      <c r="EI78" s="3">
        <f ca="1">IFERROR(__xludf.DUMMYFUNCTION("""COMPUTED_VALUE"""),-0.670460537060786)</f>
        <v>-0.67046053706078601</v>
      </c>
      <c r="EJ78" s="3">
        <f ca="1">IFERROR(__xludf.DUMMYFUNCTION("""COMPUTED_VALUE"""),-0.680525932045466)</f>
        <v>-0.68052593204546596</v>
      </c>
      <c r="EK78" s="3">
        <f ca="1">IFERROR(__xludf.DUMMYFUNCTION("""COMPUTED_VALUE"""),-0.609335567087809)</f>
        <v>-0.609335567087809</v>
      </c>
      <c r="EL78" s="3">
        <f ca="1">IFERROR(__xludf.DUMMYFUNCTION("""COMPUTED_VALUE"""),-0.634896894293488)</f>
        <v>-0.63489689429348795</v>
      </c>
      <c r="EM78" s="3">
        <f ca="1">IFERROR(__xludf.DUMMYFUNCTION("""COMPUTED_VALUE"""),-0.647359122414092)</f>
        <v>-0.64735912241409199</v>
      </c>
      <c r="EN78" s="3">
        <f ca="1">IFERROR(__xludf.DUMMYFUNCTION("""COMPUTED_VALUE"""),-0.681541182948225)</f>
        <v>-0.68154118294822497</v>
      </c>
      <c r="EO78" s="3">
        <f ca="1">IFERROR(__xludf.DUMMYFUNCTION("""COMPUTED_VALUE"""),-0.668393870022728)</f>
        <v>-0.66839387002272799</v>
      </c>
      <c r="EP78" s="3">
        <f ca="1">IFERROR(__xludf.DUMMYFUNCTION("""COMPUTED_VALUE"""),-0.672506968167199)</f>
        <v>-0.67250696816719902</v>
      </c>
      <c r="EQ78" s="3">
        <f ca="1">IFERROR(__xludf.DUMMYFUNCTION("""COMPUTED_VALUE"""),-0.658638031338556)</f>
        <v>-0.65863803133855603</v>
      </c>
      <c r="ER78" s="3">
        <f ca="1">IFERROR(__xludf.DUMMYFUNCTION("""COMPUTED_VALUE"""),-0.660111129783431)</f>
        <v>-0.66011112978343101</v>
      </c>
      <c r="ES78" s="3">
        <f ca="1">IFERROR(__xludf.DUMMYFUNCTION("""COMPUTED_VALUE"""),-0.631542543102385)</f>
        <v>-0.631542543102385</v>
      </c>
      <c r="ET78" s="3">
        <f ca="1">IFERROR(__xludf.DUMMYFUNCTION("""COMPUTED_VALUE"""),-0.649578988148756)</f>
        <v>-0.64957898814875603</v>
      </c>
      <c r="EU78" s="3">
        <f ca="1">IFERROR(__xludf.DUMMYFUNCTION("""COMPUTED_VALUE"""),-0.615939350919305)</f>
        <v>-0.61593935091930496</v>
      </c>
      <c r="EV78" s="3">
        <f ca="1">IFERROR(__xludf.DUMMYFUNCTION("""COMPUTED_VALUE"""),-0.491478186700012)</f>
        <v>-0.49147818670001198</v>
      </c>
      <c r="EW78" s="3">
        <f ca="1">IFERROR(__xludf.DUMMYFUNCTION("""COMPUTED_VALUE"""),-0.48752483747042)</f>
        <v>-0.48752483747042002</v>
      </c>
      <c r="EX78" s="3">
        <f ca="1">IFERROR(__xludf.DUMMYFUNCTION("""COMPUTED_VALUE"""),-0.488059320288857)</f>
        <v>-0.48805932028885701</v>
      </c>
      <c r="EY78" s="3">
        <f ca="1">IFERROR(__xludf.DUMMYFUNCTION("""COMPUTED_VALUE"""),-0.492511038802161)</f>
        <v>-0.49251103880216102</v>
      </c>
      <c r="EZ78" s="3">
        <f ca="1">IFERROR(__xludf.DUMMYFUNCTION("""COMPUTED_VALUE"""),-0.52108906884929)</f>
        <v>-0.52108906884928996</v>
      </c>
      <c r="FA78" s="3">
        <f ca="1">IFERROR(__xludf.DUMMYFUNCTION("""COMPUTED_VALUE"""),-0.463170485433127)</f>
        <v>-0.463170485433127</v>
      </c>
      <c r="FB78" s="3">
        <f ca="1">IFERROR(__xludf.DUMMYFUNCTION("""COMPUTED_VALUE"""),-0.523664995356681)</f>
        <v>-0.52366499535668098</v>
      </c>
      <c r="FC78" s="3">
        <f ca="1">IFERROR(__xludf.DUMMYFUNCTION("""COMPUTED_VALUE"""),-0.43426148614004)</f>
        <v>-0.43426148614004001</v>
      </c>
      <c r="FD78" s="3">
        <f ca="1">IFERROR(__xludf.DUMMYFUNCTION("""COMPUTED_VALUE"""),-0.472519596308219)</f>
        <v>-0.47251959630821899</v>
      </c>
      <c r="FE78" s="3">
        <f ca="1">IFERROR(__xludf.DUMMYFUNCTION("""COMPUTED_VALUE"""),-0.468310761028341)</f>
        <v>-0.46831076102834102</v>
      </c>
      <c r="FF78" s="3">
        <f ca="1">IFERROR(__xludf.DUMMYFUNCTION("""COMPUTED_VALUE"""),-0.507378844987232)</f>
        <v>-0.50737884498723196</v>
      </c>
      <c r="FG78" s="3">
        <f ca="1">IFERROR(__xludf.DUMMYFUNCTION("""COMPUTED_VALUE"""),-0.426513953321629)</f>
        <v>-0.426513953321629</v>
      </c>
      <c r="FH78" s="3">
        <f ca="1">IFERROR(__xludf.DUMMYFUNCTION("""COMPUTED_VALUE"""),-0.466105634737982)</f>
        <v>-0.466105634737982</v>
      </c>
      <c r="FI78" s="3">
        <f ca="1">IFERROR(__xludf.DUMMYFUNCTION("""COMPUTED_VALUE"""),-0.51533432936802)</f>
        <v>-0.51533432936802004</v>
      </c>
      <c r="FJ78" s="3">
        <f ca="1">IFERROR(__xludf.DUMMYFUNCTION("""COMPUTED_VALUE"""),-0.427947647845412)</f>
        <v>-0.427947647845412</v>
      </c>
      <c r="FK78" s="3">
        <f ca="1">IFERROR(__xludf.DUMMYFUNCTION("""COMPUTED_VALUE"""),-0.418447845126911)</f>
        <v>-0.41844784512691102</v>
      </c>
      <c r="FL78" s="3">
        <f ca="1">IFERROR(__xludf.DUMMYFUNCTION("""COMPUTED_VALUE"""),-0.402179726220393)</f>
        <v>-0.402179726220393</v>
      </c>
      <c r="FM78" s="3">
        <f ca="1">IFERROR(__xludf.DUMMYFUNCTION("""COMPUTED_VALUE"""),-0.494892810340594)</f>
        <v>-0.49489281034059401</v>
      </c>
      <c r="FN78" s="3">
        <f ca="1">IFERROR(__xludf.DUMMYFUNCTION("""COMPUTED_VALUE"""),-0.56384689188364)</f>
        <v>-0.56384689188364001</v>
      </c>
      <c r="FO78" s="3">
        <f ca="1">IFERROR(__xludf.DUMMYFUNCTION("""COMPUTED_VALUE"""),-0.500116908827824)</f>
        <v>-0.500116908827824</v>
      </c>
      <c r="FP78" s="3">
        <f ca="1">IFERROR(__xludf.DUMMYFUNCTION("""COMPUTED_VALUE"""),-0.565656450324107)</f>
        <v>-0.56565645032410705</v>
      </c>
      <c r="FQ78" s="3">
        <f ca="1">IFERROR(__xludf.DUMMYFUNCTION("""COMPUTED_VALUE"""),-0.546452900942642)</f>
        <v>-0.54645290094264198</v>
      </c>
      <c r="FR78" s="3">
        <f ca="1">IFERROR(__xludf.DUMMYFUNCTION("""COMPUTED_VALUE"""),-0.542726487052779)</f>
        <v>-0.54272648705277904</v>
      </c>
      <c r="FS78" s="3">
        <f ca="1">IFERROR(__xludf.DUMMYFUNCTION("""COMPUTED_VALUE"""),-0.435386023900098)</f>
        <v>-0.43538602390009801</v>
      </c>
      <c r="FT78" s="3">
        <f ca="1">IFERROR(__xludf.DUMMYFUNCTION("""COMPUTED_VALUE"""),-0.455660669187798)</f>
        <v>-0.45566066918779802</v>
      </c>
      <c r="FU78" s="3">
        <f ca="1">IFERROR(__xludf.DUMMYFUNCTION("""COMPUTED_VALUE"""),-0.430160076276661)</f>
        <v>-0.43016007627666097</v>
      </c>
      <c r="FV78" s="3">
        <f ca="1">IFERROR(__xludf.DUMMYFUNCTION("""COMPUTED_VALUE"""),-0.386721640150099)</f>
        <v>-0.38672164015009902</v>
      </c>
      <c r="FW78" s="3">
        <f ca="1">IFERROR(__xludf.DUMMYFUNCTION("""COMPUTED_VALUE"""),-0.426239015429553)</f>
        <v>-0.426239015429553</v>
      </c>
      <c r="FX78" s="3">
        <f ca="1">IFERROR(__xludf.DUMMYFUNCTION("""COMPUTED_VALUE"""),-0.429466089138534)</f>
        <v>-0.42946608913853401</v>
      </c>
      <c r="FY78" s="3">
        <f ca="1">IFERROR(__xludf.DUMMYFUNCTION("""COMPUTED_VALUE"""),-0.384616159292274)</f>
        <v>-0.384616159292274</v>
      </c>
      <c r="FZ78" s="3">
        <f ca="1">IFERROR(__xludf.DUMMYFUNCTION("""COMPUTED_VALUE"""),-0.643994051522323)</f>
        <v>-0.64399405152232303</v>
      </c>
      <c r="GA78" s="3">
        <f ca="1">IFERROR(__xludf.DUMMYFUNCTION("""COMPUTED_VALUE"""),-0.439020937434773)</f>
        <v>-0.439020937434773</v>
      </c>
      <c r="GB78" s="3">
        <f ca="1">IFERROR(__xludf.DUMMYFUNCTION("""COMPUTED_VALUE"""),-0.527454096635137)</f>
        <v>-0.52745409663513698</v>
      </c>
      <c r="GC78" s="3">
        <f ca="1">IFERROR(__xludf.DUMMYFUNCTION("""COMPUTED_VALUE"""),-0.430255851600373)</f>
        <v>-0.430255851600373</v>
      </c>
      <c r="GD78" s="3">
        <f ca="1">IFERROR(__xludf.DUMMYFUNCTION("""COMPUTED_VALUE"""),-0.458408231665017)</f>
        <v>-0.45840823166501699</v>
      </c>
      <c r="GE78" s="3">
        <f ca="1">IFERROR(__xludf.DUMMYFUNCTION("""COMPUTED_VALUE"""),-0.479687261691627)</f>
        <v>-0.47968726169162701</v>
      </c>
      <c r="GF78" s="3">
        <f ca="1">IFERROR(__xludf.DUMMYFUNCTION("""COMPUTED_VALUE"""),-0.433330707463571)</f>
        <v>-0.433330707463571</v>
      </c>
      <c r="GG78" s="3">
        <f ca="1">IFERROR(__xludf.DUMMYFUNCTION("""COMPUTED_VALUE"""),-0.347263066095901)</f>
        <v>-0.34726306609590102</v>
      </c>
      <c r="GH78" s="3">
        <f ca="1">IFERROR(__xludf.DUMMYFUNCTION("""COMPUTED_VALUE"""),-0.410635948218972)</f>
        <v>-0.41063594821897198</v>
      </c>
      <c r="GI78" s="3">
        <f ca="1">IFERROR(__xludf.DUMMYFUNCTION("""COMPUTED_VALUE"""),-0.467907434411501)</f>
        <v>-0.46790743441150101</v>
      </c>
      <c r="GJ78" s="3">
        <f ca="1">IFERROR(__xludf.DUMMYFUNCTION("""COMPUTED_VALUE"""),-0.448793399802594)</f>
        <v>-0.44879339980259397</v>
      </c>
      <c r="GK78" s="3">
        <f ca="1">IFERROR(__xludf.DUMMYFUNCTION("""COMPUTED_VALUE"""),-0.470130609555044)</f>
        <v>-0.47013060955504399</v>
      </c>
      <c r="GL78" s="3">
        <f ca="1">IFERROR(__xludf.DUMMYFUNCTION("""COMPUTED_VALUE"""),-0.398245747032874)</f>
        <v>-0.39824574703287402</v>
      </c>
      <c r="GM78" s="3">
        <f ca="1">IFERROR(__xludf.DUMMYFUNCTION("""COMPUTED_VALUE"""),-0.420872535650174)</f>
        <v>-0.42087253565017402</v>
      </c>
      <c r="GN78" s="3">
        <f ca="1">IFERROR(__xludf.DUMMYFUNCTION("""COMPUTED_VALUE"""),-0.428918414251363)</f>
        <v>-0.42891841425136301</v>
      </c>
      <c r="GO78" s="3">
        <f ca="1">IFERROR(__xludf.DUMMYFUNCTION("""COMPUTED_VALUE"""),-0.500340789423419)</f>
        <v>-0.50034078942341897</v>
      </c>
      <c r="GP78" s="3">
        <f ca="1">IFERROR(__xludf.DUMMYFUNCTION("""COMPUTED_VALUE"""),-0.450636872978185)</f>
        <v>-0.450636872978185</v>
      </c>
      <c r="GQ78" s="3">
        <f ca="1">IFERROR(__xludf.DUMMYFUNCTION("""COMPUTED_VALUE"""),-0.410364279038176)</f>
        <v>-0.41036427903817602</v>
      </c>
      <c r="GR78" s="3">
        <f ca="1">IFERROR(__xludf.DUMMYFUNCTION("""COMPUTED_VALUE"""),-0.471282195936719)</f>
        <v>-0.471282195936719</v>
      </c>
      <c r="GS78" s="3">
        <f ca="1">IFERROR(__xludf.DUMMYFUNCTION("""COMPUTED_VALUE"""),-0.412963816795958)</f>
        <v>-0.41296381679595801</v>
      </c>
      <c r="GT78" s="3">
        <f ca="1">IFERROR(__xludf.DUMMYFUNCTION("""COMPUTED_VALUE"""),-0.433588463227747)</f>
        <v>-0.43358846322774702</v>
      </c>
      <c r="GU78" s="3">
        <f ca="1">IFERROR(__xludf.DUMMYFUNCTION("""COMPUTED_VALUE"""),-0.4111257997515)</f>
        <v>-0.41112579975149999</v>
      </c>
      <c r="GV78" s="3">
        <f ca="1">IFERROR(__xludf.DUMMYFUNCTION("""COMPUTED_VALUE"""),-0.415105298961639)</f>
        <v>-0.415105298961639</v>
      </c>
      <c r="GW78" s="3">
        <f ca="1">IFERROR(__xludf.DUMMYFUNCTION("""COMPUTED_VALUE"""),-0.389637520042087)</f>
        <v>-0.38963752004208702</v>
      </c>
      <c r="GX78" s="3">
        <f ca="1">IFERROR(__xludf.DUMMYFUNCTION("""COMPUTED_VALUE"""),-0.441196872866671)</f>
        <v>-0.44119687286667097</v>
      </c>
      <c r="GY78" s="3">
        <f ca="1">IFERROR(__xludf.DUMMYFUNCTION("""COMPUTED_VALUE"""),-0.426172756672107)</f>
        <v>-0.42617275667210702</v>
      </c>
      <c r="GZ78" s="3">
        <f ca="1">IFERROR(__xludf.DUMMYFUNCTION("""COMPUTED_VALUE"""),-0.36582126136306)</f>
        <v>-0.36582126136305998</v>
      </c>
      <c r="HA78" s="3">
        <f ca="1">IFERROR(__xludf.DUMMYFUNCTION("""COMPUTED_VALUE"""),-0.343638805903634)</f>
        <v>-0.34363880590363399</v>
      </c>
      <c r="HB78" s="3">
        <f ca="1">IFERROR(__xludf.DUMMYFUNCTION("""COMPUTED_VALUE"""),-0.342218880211092)</f>
        <v>-0.34221888021109198</v>
      </c>
      <c r="HC78" s="3">
        <f ca="1">IFERROR(__xludf.DUMMYFUNCTION("""COMPUTED_VALUE"""),-0.30269183175706)</f>
        <v>-0.30269183175705999</v>
      </c>
      <c r="HD78" s="3">
        <f ca="1">IFERROR(__xludf.DUMMYFUNCTION("""COMPUTED_VALUE"""),-0.364097049139706)</f>
        <v>-0.36409704913970597</v>
      </c>
      <c r="HE78" s="3">
        <f ca="1">IFERROR(__xludf.DUMMYFUNCTION("""COMPUTED_VALUE"""),-0.314854960326661)</f>
        <v>-0.31485496032666099</v>
      </c>
      <c r="HF78" s="3">
        <f ca="1">IFERROR(__xludf.DUMMYFUNCTION("""COMPUTED_VALUE"""),-0.366553156854952)</f>
        <v>-0.36655315685495199</v>
      </c>
      <c r="HG78" s="3">
        <f ca="1">IFERROR(__xludf.DUMMYFUNCTION("""COMPUTED_VALUE"""),-0.275225513303483)</f>
        <v>-0.27522551330348299</v>
      </c>
      <c r="HH78" s="3">
        <f ca="1">IFERROR(__xludf.DUMMYFUNCTION("""COMPUTED_VALUE"""),-0.25223262167155)</f>
        <v>-0.25223262167154997</v>
      </c>
      <c r="HI78" s="3">
        <f ca="1">IFERROR(__xludf.DUMMYFUNCTION("""COMPUTED_VALUE"""),-0.665872681959734)</f>
        <v>-0.66587268195973404</v>
      </c>
      <c r="HJ78" s="3">
        <f ca="1">IFERROR(__xludf.DUMMYFUNCTION("""COMPUTED_VALUE"""),-0.324026832853481)</f>
        <v>-0.32402683285348099</v>
      </c>
      <c r="HK78" s="3">
        <f ca="1">IFERROR(__xludf.DUMMYFUNCTION("""COMPUTED_VALUE"""),-0.432086407515115)</f>
        <v>-0.43208640751511501</v>
      </c>
      <c r="HL78" s="3">
        <f ca="1">IFERROR(__xludf.DUMMYFUNCTION("""COMPUTED_VALUE"""),-0.357306684476847)</f>
        <v>-0.35730668447684699</v>
      </c>
      <c r="HM78" s="3">
        <f ca="1">IFERROR(__xludf.DUMMYFUNCTION("""COMPUTED_VALUE"""),-0.450467244401365)</f>
        <v>-0.45046724440136499</v>
      </c>
      <c r="HN78" s="3">
        <f ca="1">IFERROR(__xludf.DUMMYFUNCTION("""COMPUTED_VALUE"""),-0.287436454272262)</f>
        <v>-0.287436454272262</v>
      </c>
      <c r="HO78" s="3">
        <f ca="1">IFERROR(__xludf.DUMMYFUNCTION("""COMPUTED_VALUE"""),-0.276365032844353)</f>
        <v>-0.27636503284435299</v>
      </c>
      <c r="HP78" s="3">
        <f ca="1">IFERROR(__xludf.DUMMYFUNCTION("""COMPUTED_VALUE"""),-0.043298245291352)</f>
        <v>-4.3298245291351997E-2</v>
      </c>
      <c r="HQ78" s="3">
        <f ca="1">IFERROR(__xludf.DUMMYFUNCTION("""COMPUTED_VALUE"""),-0.332026360720494)</f>
        <v>-0.33202636072049402</v>
      </c>
      <c r="HR78" s="3">
        <f ca="1">IFERROR(__xludf.DUMMYFUNCTION("""COMPUTED_VALUE"""),-0.4319180787305)</f>
        <v>-0.43191807873049998</v>
      </c>
      <c r="HS78" s="3">
        <f ca="1">IFERROR(__xludf.DUMMYFUNCTION("""COMPUTED_VALUE"""),-0.452354919165015)</f>
        <v>-0.45235491916501502</v>
      </c>
      <c r="HT78" s="3">
        <f ca="1">IFERROR(__xludf.DUMMYFUNCTION("""COMPUTED_VALUE"""),-0.489925841065722)</f>
        <v>-0.48992584106572201</v>
      </c>
      <c r="HU78" s="3">
        <f ca="1">IFERROR(__xludf.DUMMYFUNCTION("""COMPUTED_VALUE"""),-0.479875548866534)</f>
        <v>-0.479875548866534</v>
      </c>
      <c r="HV78" s="3">
        <f ca="1">IFERROR(__xludf.DUMMYFUNCTION("""COMPUTED_VALUE"""),-0.509063397197278)</f>
        <v>-0.509063397197278</v>
      </c>
      <c r="HW78" s="3">
        <f ca="1">IFERROR(__xludf.DUMMYFUNCTION("""COMPUTED_VALUE"""),-0.329818886081147)</f>
        <v>-0.32981888608114701</v>
      </c>
      <c r="HX78" s="3">
        <f ca="1">IFERROR(__xludf.DUMMYFUNCTION("""COMPUTED_VALUE"""),-0.397626942497824)</f>
        <v>-0.39762694249782399</v>
      </c>
      <c r="HY78" s="3">
        <f ca="1">IFERROR(__xludf.DUMMYFUNCTION("""COMPUTED_VALUE"""),-0.415330282671006)</f>
        <v>-0.41533028267100602</v>
      </c>
      <c r="HZ78" s="3">
        <f ca="1">IFERROR(__xludf.DUMMYFUNCTION("""COMPUTED_VALUE"""),-0.574574209664574)</f>
        <v>-0.57457420966457395</v>
      </c>
      <c r="IA78" s="3">
        <f ca="1">IFERROR(__xludf.DUMMYFUNCTION("""COMPUTED_VALUE"""),-0.619221146106776)</f>
        <v>-0.61922114610677603</v>
      </c>
      <c r="IB78" s="3">
        <f ca="1">IFERROR(__xludf.DUMMYFUNCTION("""COMPUTED_VALUE"""),-0.596291285326527)</f>
        <v>-0.59629128532652698</v>
      </c>
      <c r="IC78" s="3">
        <f ca="1">IFERROR(__xludf.DUMMYFUNCTION("""COMPUTED_VALUE"""),-0.598771671901684)</f>
        <v>-0.59877167190168401</v>
      </c>
      <c r="ID78" s="3">
        <f ca="1">IFERROR(__xludf.DUMMYFUNCTION("""COMPUTED_VALUE"""),-0.634496558820328)</f>
        <v>-0.63449655882032796</v>
      </c>
      <c r="IE78" s="3">
        <f ca="1">IFERROR(__xludf.DUMMYFUNCTION("""COMPUTED_VALUE"""),-0.536649871941528)</f>
        <v>-0.53664987194152802</v>
      </c>
      <c r="IF78" s="3">
        <f ca="1">IFERROR(__xludf.DUMMYFUNCTION("""COMPUTED_VALUE"""),-0.437680195205214)</f>
        <v>-0.43768019520521401</v>
      </c>
      <c r="IG78" s="3">
        <f ca="1">IFERROR(__xludf.DUMMYFUNCTION("""COMPUTED_VALUE"""),-0.513092006546888)</f>
        <v>-0.51309200654688802</v>
      </c>
      <c r="IH78" s="3">
        <f ca="1">IFERROR(__xludf.DUMMYFUNCTION("""COMPUTED_VALUE"""),-0.490756107314123)</f>
        <v>-0.490756107314123</v>
      </c>
      <c r="II78" s="3">
        <f ca="1">IFERROR(__xludf.DUMMYFUNCTION("""COMPUTED_VALUE"""),-0.472427519719043)</f>
        <v>-0.47242751971904301</v>
      </c>
      <c r="IJ78" s="3">
        <f ca="1">IFERROR(__xludf.DUMMYFUNCTION("""COMPUTED_VALUE"""),-0.490798951268138)</f>
        <v>-0.490798951268138</v>
      </c>
      <c r="IK78" s="3">
        <f ca="1">IFERROR(__xludf.DUMMYFUNCTION("""COMPUTED_VALUE"""),-0.511754164585158)</f>
        <v>-0.51175416458515799</v>
      </c>
      <c r="IL78" s="3">
        <f ca="1">IFERROR(__xludf.DUMMYFUNCTION("""COMPUTED_VALUE"""),-0.470565925337299)</f>
        <v>-0.47056592533729902</v>
      </c>
      <c r="IM78" s="3">
        <f ca="1">IFERROR(__xludf.DUMMYFUNCTION("""COMPUTED_VALUE"""),-0.33401307911235)</f>
        <v>-0.33401307911235001</v>
      </c>
      <c r="IN78" s="3">
        <f ca="1">IFERROR(__xludf.DUMMYFUNCTION("""COMPUTED_VALUE"""),-0.451392348403533)</f>
        <v>-0.45139234840353298</v>
      </c>
      <c r="IO78" s="3">
        <f ca="1">IFERROR(__xludf.DUMMYFUNCTION("""COMPUTED_VALUE"""),-0.454642255428715)</f>
        <v>-0.454642255428715</v>
      </c>
      <c r="IP78" s="3">
        <f ca="1">IFERROR(__xludf.DUMMYFUNCTION("""COMPUTED_VALUE"""),-0.42029266621878)</f>
        <v>-0.42029266621877998</v>
      </c>
      <c r="IQ78" s="3">
        <f ca="1">IFERROR(__xludf.DUMMYFUNCTION("""COMPUTED_VALUE"""),-0.529981498631396)</f>
        <v>-0.52998149863139599</v>
      </c>
      <c r="IR78" s="3">
        <f ca="1">IFERROR(__xludf.DUMMYFUNCTION("""COMPUTED_VALUE"""),-0.490362218040916)</f>
        <v>-0.49036221804091601</v>
      </c>
      <c r="IS78" s="3">
        <f ca="1">IFERROR(__xludf.DUMMYFUNCTION("""COMPUTED_VALUE"""),-0.466563363393115)</f>
        <v>-0.46656336339311499</v>
      </c>
      <c r="IT78" s="3">
        <f ca="1">IFERROR(__xludf.DUMMYFUNCTION("""COMPUTED_VALUE"""),-0.405600913295115)</f>
        <v>-0.405600913295115</v>
      </c>
      <c r="IU78" s="3">
        <f ca="1">IFERROR(__xludf.DUMMYFUNCTION("""COMPUTED_VALUE"""),-0.406052208757387)</f>
        <v>-0.40605220875738701</v>
      </c>
      <c r="IV78" s="3">
        <f ca="1">IFERROR(__xludf.DUMMYFUNCTION("""COMPUTED_VALUE"""),-0.527436543079967)</f>
        <v>-0.52743654307996701</v>
      </c>
      <c r="IW78" s="3">
        <f ca="1">IFERROR(__xludf.DUMMYFUNCTION("""COMPUTED_VALUE"""),-0.533487174685442)</f>
        <v>-0.53348717468544204</v>
      </c>
      <c r="IX78" s="3">
        <f ca="1">IFERROR(__xludf.DUMMYFUNCTION("""COMPUTED_VALUE"""),-0.490863186164713)</f>
        <v>-0.49086318616471297</v>
      </c>
      <c r="IY78" s="3">
        <f ca="1">IFERROR(__xludf.DUMMYFUNCTION("""COMPUTED_VALUE"""),-0.50624374084842)</f>
        <v>-0.50624374084842005</v>
      </c>
      <c r="IZ78" s="3">
        <f ca="1">IFERROR(__xludf.DUMMYFUNCTION("""COMPUTED_VALUE"""),-0.428325861419625)</f>
        <v>-0.42832586141962498</v>
      </c>
      <c r="JA78" s="3">
        <f ca="1">IFERROR(__xludf.DUMMYFUNCTION("""COMPUTED_VALUE"""),-0.439637089428846)</f>
        <v>-0.439637089428846</v>
      </c>
      <c r="JB78" s="3">
        <f ca="1">IFERROR(__xludf.DUMMYFUNCTION("""COMPUTED_VALUE"""),-0.457460846279155)</f>
        <v>-0.45746084627915501</v>
      </c>
      <c r="JC78" s="3">
        <f ca="1">IFERROR(__xludf.DUMMYFUNCTION("""COMPUTED_VALUE"""),-0.53293501173763)</f>
        <v>-0.53293501173763003</v>
      </c>
      <c r="JD78" s="3">
        <f ca="1">IFERROR(__xludf.DUMMYFUNCTION("""COMPUTED_VALUE"""),-0.485625942241948)</f>
        <v>-0.48562594224194799</v>
      </c>
      <c r="JE78" s="3">
        <f ca="1">IFERROR(__xludf.DUMMYFUNCTION("""COMPUTED_VALUE"""),-0.499576523626153)</f>
        <v>-0.49957652362615301</v>
      </c>
      <c r="JF78" s="3">
        <f ca="1">IFERROR(__xludf.DUMMYFUNCTION("""COMPUTED_VALUE"""),-0.469705980573618)</f>
        <v>-0.46970598057361801</v>
      </c>
      <c r="JG78" s="3">
        <f ca="1">IFERROR(__xludf.DUMMYFUNCTION("""COMPUTED_VALUE"""),-0.388443793416836)</f>
        <v>-0.38844379341683599</v>
      </c>
      <c r="JH78" s="3">
        <f ca="1">IFERROR(__xludf.DUMMYFUNCTION("""COMPUTED_VALUE"""),-0.437153135031789)</f>
        <v>-0.43715313503178899</v>
      </c>
      <c r="JI78" s="3">
        <f ca="1">IFERROR(__xludf.DUMMYFUNCTION("""COMPUTED_VALUE"""),-0.486114490974149)</f>
        <v>-0.48611449097414899</v>
      </c>
      <c r="JJ78" s="3">
        <f ca="1">IFERROR(__xludf.DUMMYFUNCTION("""COMPUTED_VALUE"""),-0.55050609174539)</f>
        <v>-0.55050609174539</v>
      </c>
      <c r="JK78" s="3">
        <f ca="1">IFERROR(__xludf.DUMMYFUNCTION("""COMPUTED_VALUE"""),-0.43528107904713)</f>
        <v>-0.43528107904712998</v>
      </c>
      <c r="JL78" s="3">
        <f ca="1">IFERROR(__xludf.DUMMYFUNCTION("""COMPUTED_VALUE"""),-0.482924834833214)</f>
        <v>-0.48292483483321402</v>
      </c>
      <c r="JM78" s="3">
        <f ca="1">IFERROR(__xludf.DUMMYFUNCTION("""COMPUTED_VALUE"""),-0.451056766708256)</f>
        <v>-0.45105676670825601</v>
      </c>
      <c r="JN78" s="3">
        <f ca="1">IFERROR(__xludf.DUMMYFUNCTION("""COMPUTED_VALUE"""),-0.438359654779758)</f>
        <v>-0.43835965477975802</v>
      </c>
      <c r="JO78" s="3">
        <f ca="1">IFERROR(__xludf.DUMMYFUNCTION("""COMPUTED_VALUE"""),-0.420972393385231)</f>
        <v>-0.42097239338523101</v>
      </c>
      <c r="JP78" s="3">
        <f ca="1">IFERROR(__xludf.DUMMYFUNCTION("""COMPUTED_VALUE"""),-0.468661590528925)</f>
        <v>-0.46866159052892498</v>
      </c>
      <c r="JQ78" s="3">
        <f ca="1">IFERROR(__xludf.DUMMYFUNCTION("""COMPUTED_VALUE"""),-0.51056954650105)</f>
        <v>-0.51056954650105002</v>
      </c>
      <c r="JR78" s="3">
        <f ca="1">IFERROR(__xludf.DUMMYFUNCTION("""COMPUTED_VALUE"""),-0.478142836648183)</f>
        <v>-0.47814283664818302</v>
      </c>
      <c r="JS78" s="3">
        <f ca="1">IFERROR(__xludf.DUMMYFUNCTION("""COMPUTED_VALUE"""),-0.483302210172218)</f>
        <v>-0.48330221017221803</v>
      </c>
      <c r="JT78" s="3">
        <f ca="1">IFERROR(__xludf.DUMMYFUNCTION("""COMPUTED_VALUE"""),-0.359144617309982)</f>
        <v>-0.35914461730998198</v>
      </c>
      <c r="JU78" s="3">
        <f ca="1">IFERROR(__xludf.DUMMYFUNCTION("""COMPUTED_VALUE"""),-0.341410540802311)</f>
        <v>-0.34141054080231098</v>
      </c>
      <c r="JV78" s="3">
        <f ca="1">IFERROR(__xludf.DUMMYFUNCTION("""COMPUTED_VALUE"""),-0.346127181434782)</f>
        <v>-0.34612718143478199</v>
      </c>
      <c r="JW78" s="3">
        <f ca="1">IFERROR(__xludf.DUMMYFUNCTION("""COMPUTED_VALUE"""),-0.466790832448447)</f>
        <v>-0.46679083244844699</v>
      </c>
      <c r="JX78" s="3">
        <f ca="1">IFERROR(__xludf.DUMMYFUNCTION("""COMPUTED_VALUE"""),-0.466252389530237)</f>
        <v>-0.46625238953023701</v>
      </c>
      <c r="JY78" s="3">
        <f ca="1">IFERROR(__xludf.DUMMYFUNCTION("""COMPUTED_VALUE"""),-0.570118205167396)</f>
        <v>-0.57011820516739597</v>
      </c>
      <c r="JZ78" s="3">
        <f ca="1">IFERROR(__xludf.DUMMYFUNCTION("""COMPUTED_VALUE"""),-0.436473547393039)</f>
        <v>-0.43647354739303901</v>
      </c>
      <c r="KA78" s="3">
        <f ca="1">IFERROR(__xludf.DUMMYFUNCTION("""COMPUTED_VALUE"""),-0.351750509747604)</f>
        <v>-0.35175050974760402</v>
      </c>
      <c r="KB78" s="3">
        <f ca="1">IFERROR(__xludf.DUMMYFUNCTION("""COMPUTED_VALUE"""),-0.297800705708931)</f>
        <v>-0.29780070570893102</v>
      </c>
      <c r="KC78" s="3">
        <f ca="1">IFERROR(__xludf.DUMMYFUNCTION("""COMPUTED_VALUE"""),-0.339974056791542)</f>
        <v>-0.33997405679154202</v>
      </c>
      <c r="KD78" s="3">
        <f ca="1">IFERROR(__xludf.DUMMYFUNCTION("""COMPUTED_VALUE"""),-0.502689344195613)</f>
        <v>-0.50268934419561295</v>
      </c>
      <c r="KE78" s="3">
        <f ca="1">IFERROR(__xludf.DUMMYFUNCTION("""COMPUTED_VALUE"""),-0.522712004945727)</f>
        <v>-0.522712004945727</v>
      </c>
      <c r="KF78" s="3">
        <f ca="1">IFERROR(__xludf.DUMMYFUNCTION("""COMPUTED_VALUE"""),-0.644918896912809)</f>
        <v>-0.64491889691280901</v>
      </c>
      <c r="KG78" s="3">
        <f ca="1">IFERROR(__xludf.DUMMYFUNCTION("""COMPUTED_VALUE"""),-0.476548572227812)</f>
        <v>-0.476548572227812</v>
      </c>
      <c r="KH78" s="3">
        <f ca="1">IFERROR(__xludf.DUMMYFUNCTION("""COMPUTED_VALUE"""),-0.259067943777296)</f>
        <v>-0.25906794377729597</v>
      </c>
      <c r="KI78" s="3">
        <f ca="1">IFERROR(__xludf.DUMMYFUNCTION("""COMPUTED_VALUE"""),-0.245085752414231)</f>
        <v>-0.245085752414231</v>
      </c>
      <c r="KJ78" s="3">
        <f ca="1">IFERROR(__xludf.DUMMYFUNCTION("""COMPUTED_VALUE"""),-0.27862182045163)</f>
        <v>-0.27862182045162998</v>
      </c>
      <c r="KK78" s="3">
        <f ca="1">IFERROR(__xludf.DUMMYFUNCTION("""COMPUTED_VALUE"""),-0.40485417381721)</f>
        <v>-0.40485417381721001</v>
      </c>
      <c r="KL78" s="3">
        <f ca="1">IFERROR(__xludf.DUMMYFUNCTION("""COMPUTED_VALUE"""),-0.509716404275426)</f>
        <v>-0.50971640427542597</v>
      </c>
      <c r="KM78" s="3">
        <f ca="1">IFERROR(__xludf.DUMMYFUNCTION("""COMPUTED_VALUE"""),-0.430732684593079)</f>
        <v>-0.43073268459307901</v>
      </c>
      <c r="KN78" s="3">
        <f ca="1">IFERROR(__xludf.DUMMYFUNCTION("""COMPUTED_VALUE"""),-0.503409905372197)</f>
        <v>-0.50340990537219699</v>
      </c>
      <c r="KO78" s="3">
        <f ca="1">IFERROR(__xludf.DUMMYFUNCTION("""COMPUTED_VALUE"""),-0.439072777185474)</f>
        <v>-0.43907277718547399</v>
      </c>
      <c r="KP78" s="3">
        <f ca="1">IFERROR(__xludf.DUMMYFUNCTION("""COMPUTED_VALUE"""),-0.366346118569409)</f>
        <v>-0.36634611856940902</v>
      </c>
      <c r="KQ78" s="3">
        <f ca="1">IFERROR(__xludf.DUMMYFUNCTION("""COMPUTED_VALUE"""),-0.364473010300998)</f>
        <v>-0.36447301030099799</v>
      </c>
      <c r="KR78" s="3">
        <f ca="1">IFERROR(__xludf.DUMMYFUNCTION("""COMPUTED_VALUE"""),-0.538769351663167)</f>
        <v>-0.53876935166316697</v>
      </c>
      <c r="KS78" s="3">
        <f ca="1">IFERROR(__xludf.DUMMYFUNCTION("""COMPUTED_VALUE"""),-0.55747275175697)</f>
        <v>-0.55747275175696998</v>
      </c>
      <c r="KT78" s="3">
        <f ca="1">IFERROR(__xludf.DUMMYFUNCTION("""COMPUTED_VALUE"""),-0.555135453561071)</f>
        <v>-0.55513545356107097</v>
      </c>
      <c r="KU78" s="3">
        <f ca="1">IFERROR(__xludf.DUMMYFUNCTION("""COMPUTED_VALUE"""),-0.53579903632035)</f>
        <v>-0.53579903632034998</v>
      </c>
      <c r="KV78" s="3">
        <f ca="1">IFERROR(__xludf.DUMMYFUNCTION("""COMPUTED_VALUE"""),-0.592755769304268)</f>
        <v>-0.59275576930426799</v>
      </c>
      <c r="KW78" s="3">
        <f ca="1">IFERROR(__xludf.DUMMYFUNCTION("""COMPUTED_VALUE"""),-0.17674230313531)</f>
        <v>-0.17674230313531</v>
      </c>
      <c r="KX78" s="3">
        <f ca="1">IFERROR(__xludf.DUMMYFUNCTION("""COMPUTED_VALUE"""),-0.45374584985753)</f>
        <v>-0.45374584985753003</v>
      </c>
      <c r="KY78" s="3">
        <f ca="1">IFERROR(__xludf.DUMMYFUNCTION("""COMPUTED_VALUE"""),-0.527686460684315)</f>
        <v>-0.52768646068431502</v>
      </c>
      <c r="KZ78" s="3">
        <f ca="1">IFERROR(__xludf.DUMMYFUNCTION("""COMPUTED_VALUE"""),-0.554174610710253)</f>
        <v>-0.55417461071025298</v>
      </c>
      <c r="LA78" s="3">
        <f ca="1">IFERROR(__xludf.DUMMYFUNCTION("""COMPUTED_VALUE"""),-0.625245882152644)</f>
        <v>-0.62524588215264398</v>
      </c>
      <c r="LB78" s="3">
        <f ca="1">IFERROR(__xludf.DUMMYFUNCTION("""COMPUTED_VALUE"""),-0.573788609812823)</f>
        <v>-0.57378860981282298</v>
      </c>
      <c r="LC78" s="3">
        <f ca="1">IFERROR(__xludf.DUMMYFUNCTION("""COMPUTED_VALUE"""),-0.553828369455949)</f>
        <v>-0.55382836945594904</v>
      </c>
      <c r="LD78" s="3">
        <f ca="1">IFERROR(__xludf.DUMMYFUNCTION("""COMPUTED_VALUE"""),-0.609422635179302)</f>
        <v>-0.60942263517930195</v>
      </c>
      <c r="LE78" s="3">
        <f ca="1">IFERROR(__xludf.DUMMYFUNCTION("""COMPUTED_VALUE"""),-0.588650467621692)</f>
        <v>-0.58865046762169204</v>
      </c>
      <c r="LF78" s="3">
        <f ca="1">IFERROR(__xludf.DUMMYFUNCTION("""COMPUTED_VALUE"""),-0.716442572092403)</f>
        <v>-0.71644257209240303</v>
      </c>
      <c r="LG78" s="3">
        <f ca="1">IFERROR(__xludf.DUMMYFUNCTION("""COMPUTED_VALUE"""),-0.708057777065655)</f>
        <v>-0.70805777706565498</v>
      </c>
      <c r="LH78" s="3">
        <f ca="1">IFERROR(__xludf.DUMMYFUNCTION("""COMPUTED_VALUE"""),-0.672813131013939)</f>
        <v>-0.67281313101393903</v>
      </c>
      <c r="LI78" s="3">
        <f ca="1">IFERROR(__xludf.DUMMYFUNCTION("""COMPUTED_VALUE"""),-0.664540018725547)</f>
        <v>-0.66454001872554702</v>
      </c>
      <c r="LJ78" s="3">
        <f ca="1">IFERROR(__xludf.DUMMYFUNCTION("""COMPUTED_VALUE"""),-0.652209186250429)</f>
        <v>-0.65220918625042901</v>
      </c>
      <c r="LK78" s="3">
        <f ca="1">IFERROR(__xludf.DUMMYFUNCTION("""COMPUTED_VALUE"""),-0.500802893298385)</f>
        <v>-0.50080289329838501</v>
      </c>
      <c r="LL78" s="3">
        <f ca="1">IFERROR(__xludf.DUMMYFUNCTION("""COMPUTED_VALUE"""),-0.607109729354348)</f>
        <v>-0.60710972935434804</v>
      </c>
      <c r="LM78" s="3">
        <f ca="1">IFERROR(__xludf.DUMMYFUNCTION("""COMPUTED_VALUE"""),-0.718219733203875)</f>
        <v>-0.718219733203875</v>
      </c>
      <c r="LN78" s="3">
        <f ca="1">IFERROR(__xludf.DUMMYFUNCTION("""COMPUTED_VALUE"""),-0.744882491011138)</f>
        <v>-0.74488249101113801</v>
      </c>
      <c r="LO78" s="3">
        <f ca="1">IFERROR(__xludf.DUMMYFUNCTION("""COMPUTED_VALUE"""),-0.723103730337645)</f>
        <v>-0.72310373033764497</v>
      </c>
      <c r="LP78" s="3">
        <f ca="1">IFERROR(__xludf.DUMMYFUNCTION("""COMPUTED_VALUE"""),-0.742594746884397)</f>
        <v>-0.74259474688439697</v>
      </c>
      <c r="LQ78" s="3">
        <f ca="1">IFERROR(__xludf.DUMMYFUNCTION("""COMPUTED_VALUE"""),-0.741299959359325)</f>
        <v>-0.74129995935932502</v>
      </c>
      <c r="LR78" s="3">
        <f ca="1">IFERROR(__xludf.DUMMYFUNCTION("""COMPUTED_VALUE"""),-0.697195136930256)</f>
        <v>-0.69719513693025603</v>
      </c>
      <c r="LS78" s="3">
        <f ca="1">IFERROR(__xludf.DUMMYFUNCTION("""COMPUTED_VALUE"""),-0.706535403252181)</f>
        <v>-0.706535403252181</v>
      </c>
      <c r="LT78" s="3">
        <f ca="1">IFERROR(__xludf.DUMMYFUNCTION("""COMPUTED_VALUE"""),-0.787296956329393)</f>
        <v>-0.78729695632939301</v>
      </c>
      <c r="LU78" s="3">
        <f ca="1">IFERROR(__xludf.DUMMYFUNCTION("""COMPUTED_VALUE"""),-0.790292234718269)</f>
        <v>-0.79029223471826904</v>
      </c>
      <c r="LV78" s="3">
        <f ca="1">IFERROR(__xludf.DUMMYFUNCTION("""COMPUTED_VALUE"""),-0.787235518534439)</f>
        <v>-0.78723551853443896</v>
      </c>
      <c r="LW78" s="3">
        <f ca="1">IFERROR(__xludf.DUMMYFUNCTION("""COMPUTED_VALUE"""),-0.789375361145223)</f>
        <v>-0.789375361145223</v>
      </c>
      <c r="LX78" s="3">
        <f ca="1">IFERROR(__xludf.DUMMYFUNCTION("""COMPUTED_VALUE"""),-0.75253449350156)</f>
        <v>-0.75253449350155999</v>
      </c>
      <c r="LY78" s="3">
        <f ca="1">IFERROR(__xludf.DUMMYFUNCTION("""COMPUTED_VALUE"""),-0.777682681786639)</f>
        <v>-0.77768268178663902</v>
      </c>
      <c r="LZ78" s="3">
        <f ca="1">IFERROR(__xludf.DUMMYFUNCTION("""COMPUTED_VALUE"""),-0.759805859118548)</f>
        <v>-0.75980585911854803</v>
      </c>
      <c r="MA78" s="3">
        <f ca="1">IFERROR(__xludf.DUMMYFUNCTION("""COMPUTED_VALUE"""),-0.807458328052214)</f>
        <v>-0.80745832805221396</v>
      </c>
      <c r="MB78" s="3">
        <f ca="1">IFERROR(__xludf.DUMMYFUNCTION("""COMPUTED_VALUE"""),-0.837711094045098)</f>
        <v>-0.83771109404509803</v>
      </c>
      <c r="MC78" s="3">
        <f ca="1">IFERROR(__xludf.DUMMYFUNCTION("""COMPUTED_VALUE"""),-0.808243428086361)</f>
        <v>-0.80824342808636096</v>
      </c>
      <c r="MD78" s="3">
        <f ca="1">IFERROR(__xludf.DUMMYFUNCTION("""COMPUTED_VALUE"""),-0.860486867947041)</f>
        <v>-0.86048686794704099</v>
      </c>
      <c r="ME78" s="3">
        <f ca="1">IFERROR(__xludf.DUMMYFUNCTION("""COMPUTED_VALUE"""),-0.829008558148212)</f>
        <v>-0.82900855814821195</v>
      </c>
      <c r="MF78" s="3">
        <f ca="1">IFERROR(__xludf.DUMMYFUNCTION("""COMPUTED_VALUE"""),-0.81640084360042)</f>
        <v>-0.81640084360041998</v>
      </c>
      <c r="MG78" s="3">
        <f ca="1">IFERROR(__xludf.DUMMYFUNCTION("""COMPUTED_VALUE"""),-0.767995523297001)</f>
        <v>-0.76799552329700105</v>
      </c>
      <c r="MH78" s="3">
        <f ca="1">IFERROR(__xludf.DUMMYFUNCTION("""COMPUTED_VALUE"""),-0.867930895864786)</f>
        <v>-0.867930895864786</v>
      </c>
      <c r="MI78" s="3">
        <f ca="1">IFERROR(__xludf.DUMMYFUNCTION("""COMPUTED_VALUE"""),-0.901746538043628)</f>
        <v>-0.90174653804362803</v>
      </c>
      <c r="MJ78" s="3">
        <f ca="1">IFERROR(__xludf.DUMMYFUNCTION("""COMPUTED_VALUE"""),-0.878176643548624)</f>
        <v>-0.87817664354862401</v>
      </c>
      <c r="MK78" s="3">
        <f ca="1">IFERROR(__xludf.DUMMYFUNCTION("""COMPUTED_VALUE"""),-0.87990461675155)</f>
        <v>-0.87990461675154996</v>
      </c>
      <c r="ML78" s="3">
        <f ca="1">IFERROR(__xludf.DUMMYFUNCTION("""COMPUTED_VALUE"""),-0.855709656030933)</f>
        <v>-0.85570965603093296</v>
      </c>
      <c r="MM78" s="3">
        <f ca="1">IFERROR(__xludf.DUMMYFUNCTION("""COMPUTED_VALUE"""),-0.853190407446508)</f>
        <v>-0.85319040744650798</v>
      </c>
      <c r="MN78" s="3">
        <f ca="1">IFERROR(__xludf.DUMMYFUNCTION("""COMPUTED_VALUE"""),-0.784949773159195)</f>
        <v>-0.78494977315919501</v>
      </c>
      <c r="MO78" s="3">
        <f ca="1">IFERROR(__xludf.DUMMYFUNCTION("""COMPUTED_VALUE"""),-0.857894430619748)</f>
        <v>-0.85789443061974802</v>
      </c>
      <c r="MP78" s="3">
        <f ca="1">IFERROR(__xludf.DUMMYFUNCTION("""COMPUTED_VALUE"""),-0.886737120359449)</f>
        <v>-0.88673712035944896</v>
      </c>
      <c r="MQ78" s="3">
        <f ca="1">IFERROR(__xludf.DUMMYFUNCTION("""COMPUTED_VALUE"""),-0.899707763545179)</f>
        <v>-0.89970776354517901</v>
      </c>
      <c r="MR78" s="3">
        <f ca="1">IFERROR(__xludf.DUMMYFUNCTION("""COMPUTED_VALUE"""),-0.885826712088484)</f>
        <v>-0.88582671208848396</v>
      </c>
      <c r="MS78" s="3">
        <f ca="1">IFERROR(__xludf.DUMMYFUNCTION("""COMPUTED_VALUE"""),-0.861024975072397)</f>
        <v>-0.86102497507239695</v>
      </c>
      <c r="MT78" s="3">
        <f ca="1">IFERROR(__xludf.DUMMYFUNCTION("""COMPUTED_VALUE"""),-0.891914431866607)</f>
        <v>-0.89191443186660702</v>
      </c>
      <c r="MU78" s="3">
        <f ca="1">IFERROR(__xludf.DUMMYFUNCTION("""COMPUTED_VALUE"""),-0.844120366896325)</f>
        <v>-0.84412036689632497</v>
      </c>
      <c r="MV78" s="3">
        <f ca="1">IFERROR(__xludf.DUMMYFUNCTION("""COMPUTED_VALUE"""),-0.899262838717122)</f>
        <v>-0.89926283871712198</v>
      </c>
      <c r="MW78" s="3">
        <f ca="1">IFERROR(__xludf.DUMMYFUNCTION("""COMPUTED_VALUE"""),-0.902074145538038)</f>
        <v>-0.902074145538038</v>
      </c>
      <c r="MX78" s="3">
        <f ca="1">IFERROR(__xludf.DUMMYFUNCTION("""COMPUTED_VALUE"""),-0.902005952643335)</f>
        <v>-0.90200595264333505</v>
      </c>
      <c r="MY78" s="3">
        <f ca="1">IFERROR(__xludf.DUMMYFUNCTION("""COMPUTED_VALUE"""),-0.893865957741392)</f>
        <v>-0.89386595774139199</v>
      </c>
      <c r="MZ78" s="3">
        <f ca="1">IFERROR(__xludf.DUMMYFUNCTION("""COMPUTED_VALUE"""),-0.899031836419525)</f>
        <v>-0.899031836419525</v>
      </c>
      <c r="NA78" s="3">
        <f ca="1">IFERROR(__xludf.DUMMYFUNCTION("""COMPUTED_VALUE"""),-0.862423359209082)</f>
        <v>-0.86242335920908197</v>
      </c>
      <c r="NB78" s="3">
        <f ca="1">IFERROR(__xludf.DUMMYFUNCTION("""COMPUTED_VALUE"""),-0.838358867268363)</f>
        <v>-0.83835886726836295</v>
      </c>
      <c r="NC78" s="3">
        <f ca="1">IFERROR(__xludf.DUMMYFUNCTION("""COMPUTED_VALUE"""),-0.892478989253333)</f>
        <v>-0.89247898925333302</v>
      </c>
      <c r="ND78" s="3">
        <f ca="1">IFERROR(__xludf.DUMMYFUNCTION("""COMPUTED_VALUE"""),-0.914034629887105)</f>
        <v>-0.91403462988710504</v>
      </c>
      <c r="NE78" s="3">
        <f ca="1">IFERROR(__xludf.DUMMYFUNCTION("""COMPUTED_VALUE"""),-0.905746486315382)</f>
        <v>-0.90574648631538202</v>
      </c>
      <c r="NF78" s="3">
        <f ca="1">IFERROR(__xludf.DUMMYFUNCTION("""COMPUTED_VALUE"""),-0.916963797507575)</f>
        <v>-0.91696379750757495</v>
      </c>
      <c r="NG78" s="3">
        <f ca="1">IFERROR(__xludf.DUMMYFUNCTION("""COMPUTED_VALUE"""),-0.892628157718286)</f>
        <v>-0.89262815771828596</v>
      </c>
      <c r="NH78" s="3">
        <f ca="1">IFERROR(__xludf.DUMMYFUNCTION("""COMPUTED_VALUE"""),-0.862392515428053)</f>
        <v>-0.86239251542805295</v>
      </c>
      <c r="NI78" s="3">
        <f ca="1">IFERROR(__xludf.DUMMYFUNCTION("""COMPUTED_VALUE"""),-0.859212655335012)</f>
        <v>-0.85921265533501201</v>
      </c>
      <c r="NJ78" s="3">
        <f ca="1">IFERROR(__xludf.DUMMYFUNCTION("""COMPUTED_VALUE"""),-0.895091919408682)</f>
        <v>-0.89509191940868205</v>
      </c>
      <c r="NK78" s="3">
        <f ca="1">IFERROR(__xludf.DUMMYFUNCTION("""COMPUTED_VALUE"""),-0.911071697851099)</f>
        <v>-0.91107169785109898</v>
      </c>
      <c r="NL78" s="3">
        <f ca="1">IFERROR(__xludf.DUMMYFUNCTION("""COMPUTED_VALUE"""),-0.912718655231498)</f>
        <v>-0.91271865523149798</v>
      </c>
      <c r="NM78" s="3">
        <f ca="1">IFERROR(__xludf.DUMMYFUNCTION("""COMPUTED_VALUE"""),-0.881464514099403)</f>
        <v>-0.88146451409940296</v>
      </c>
      <c r="NN78" s="3">
        <f ca="1">IFERROR(__xludf.DUMMYFUNCTION("""COMPUTED_VALUE"""),-0.898598635388632)</f>
        <v>-0.89859863538863205</v>
      </c>
      <c r="NO78" s="3">
        <f ca="1">IFERROR(__xludf.DUMMYFUNCTION("""COMPUTED_VALUE"""),-0.836070539757276)</f>
        <v>-0.83607053975727597</v>
      </c>
      <c r="NP78" s="3">
        <f ca="1">IFERROR(__xludf.DUMMYFUNCTION("""COMPUTED_VALUE"""),-0.821924706172223)</f>
        <v>-0.82192470617222302</v>
      </c>
      <c r="NQ78" s="3">
        <f ca="1">IFERROR(__xludf.DUMMYFUNCTION("""COMPUTED_VALUE"""),-0.903558452369523)</f>
        <v>-0.90355845236952304</v>
      </c>
      <c r="NR78" s="3">
        <f ca="1">IFERROR(__xludf.DUMMYFUNCTION("""COMPUTED_VALUE"""),-0.890179777328203)</f>
        <v>-0.89017977732820297</v>
      </c>
      <c r="NS78" s="3">
        <f ca="1">IFERROR(__xludf.DUMMYFUNCTION("""COMPUTED_VALUE"""),-0.883901850814084)</f>
        <v>-0.88390185081408401</v>
      </c>
      <c r="NT78" s="3">
        <f ca="1">IFERROR(__xludf.DUMMYFUNCTION("""COMPUTED_VALUE"""),-0.871677663886869)</f>
        <v>-0.87167766388686896</v>
      </c>
      <c r="NU78" s="3">
        <f ca="1">IFERROR(__xludf.DUMMYFUNCTION("""COMPUTED_VALUE"""),-0.843486972157969)</f>
        <v>-0.84348697215796897</v>
      </c>
      <c r="NV78" s="3">
        <f ca="1">IFERROR(__xludf.DUMMYFUNCTION("""COMPUTED_VALUE"""),-0.732634674767598)</f>
        <v>-0.73263467476759803</v>
      </c>
      <c r="NW78" s="3">
        <f ca="1">IFERROR(__xludf.DUMMYFUNCTION("""COMPUTED_VALUE"""),-0.759454541823053)</f>
        <v>-0.75945454182305305</v>
      </c>
      <c r="NX78" s="3">
        <f ca="1">IFERROR(__xludf.DUMMYFUNCTION("""COMPUTED_VALUE"""),-0.831074112093697)</f>
        <v>-0.83107411209369697</v>
      </c>
      <c r="NY78" s="3">
        <f ca="1">IFERROR(__xludf.DUMMYFUNCTION("""COMPUTED_VALUE"""),-0.791076675297989)</f>
        <v>-0.79107667529798897</v>
      </c>
      <c r="NZ78" s="3">
        <f ca="1">IFERROR(__xludf.DUMMYFUNCTION("""COMPUTED_VALUE"""),-0.753837037384581)</f>
        <v>-0.75383703738458097</v>
      </c>
      <c r="OA78" s="3">
        <f ca="1">IFERROR(__xludf.DUMMYFUNCTION("""COMPUTED_VALUE"""),-0.744429333680037)</f>
        <v>-0.74442933368003705</v>
      </c>
      <c r="OB78" s="3">
        <f ca="1">IFERROR(__xludf.DUMMYFUNCTION("""COMPUTED_VALUE"""),-0.637971306134075)</f>
        <v>-0.63797130613407504</v>
      </c>
      <c r="OC78" s="3">
        <f ca="1">IFERROR(__xludf.DUMMYFUNCTION("""COMPUTED_VALUE"""),-0.29547390198053)</f>
        <v>-0.29547390198052997</v>
      </c>
      <c r="OD78" s="3">
        <f ca="1">IFERROR(__xludf.DUMMYFUNCTION("""COMPUTED_VALUE"""),-0.254889327754231)</f>
        <v>-0.25488932775423101</v>
      </c>
      <c r="OE78" s="3">
        <f ca="1">IFERROR(__xludf.DUMMYFUNCTION("""COMPUTED_VALUE"""),-0.087125697539024)</f>
        <v>-8.7125697539023994E-2</v>
      </c>
      <c r="OF78" s="3">
        <f ca="1">IFERROR(__xludf.DUMMYFUNCTION("""COMPUTED_VALUE"""),-0.00971597261635659)</f>
        <v>-9.7159726163565906E-3</v>
      </c>
      <c r="OG78" s="3">
        <f ca="1">IFERROR(__xludf.DUMMYFUNCTION("""COMPUTED_VALUE"""),0.0370882956690394)</f>
        <v>3.7088295669039401E-2</v>
      </c>
      <c r="OH78" s="3">
        <f ca="1">IFERROR(__xludf.DUMMYFUNCTION("""COMPUTED_VALUE"""),0.0923559743129689)</f>
        <v>9.2355974312968894E-2</v>
      </c>
      <c r="OI78" s="3">
        <f ca="1">IFERROR(__xludf.DUMMYFUNCTION("""COMPUTED_VALUE"""),0.0468904949057138)</f>
        <v>4.68904949057138E-2</v>
      </c>
      <c r="OJ78" s="3">
        <f ca="1">IFERROR(__xludf.DUMMYFUNCTION("""COMPUTED_VALUE"""),-0.122939820311938)</f>
        <v>-0.12293982031193799</v>
      </c>
      <c r="OK78" s="3">
        <f ca="1">IFERROR(__xludf.DUMMYFUNCTION("""COMPUTED_VALUE"""),-0.135534049089351)</f>
        <v>-0.13553404908935099</v>
      </c>
      <c r="OL78" s="3">
        <f ca="1">IFERROR(__xludf.DUMMYFUNCTION("""COMPUTED_VALUE"""),-0.344940105105923)</f>
        <v>-0.34494010510592299</v>
      </c>
      <c r="OM78" s="3">
        <f ca="1">IFERROR(__xludf.DUMMYFUNCTION("""COMPUTED_VALUE"""),-0.335145472786629)</f>
        <v>-0.33514547278662898</v>
      </c>
      <c r="ON78" s="3">
        <f ca="1">IFERROR(__xludf.DUMMYFUNCTION("""COMPUTED_VALUE"""),-0.361935859793258)</f>
        <v>-0.36193585979325799</v>
      </c>
      <c r="OO78" s="3">
        <f ca="1">IFERROR(__xludf.DUMMYFUNCTION("""COMPUTED_VALUE"""),-0.308714874186792)</f>
        <v>-0.308714874186792</v>
      </c>
      <c r="OP78" s="3">
        <f ca="1">IFERROR(__xludf.DUMMYFUNCTION("""COMPUTED_VALUE"""),-0.315304829639485)</f>
        <v>-0.31530482963948497</v>
      </c>
      <c r="OQ78" s="3">
        <f ca="1">IFERROR(__xludf.DUMMYFUNCTION("""COMPUTED_VALUE"""),-0.132241706011359)</f>
        <v>-0.13224170601135901</v>
      </c>
      <c r="OR78" s="3">
        <f ca="1">IFERROR(__xludf.DUMMYFUNCTION("""COMPUTED_VALUE"""),-0.0491430404755479)</f>
        <v>-4.9143040475547899E-2</v>
      </c>
      <c r="OS78" s="3">
        <f ca="1">IFERROR(__xludf.DUMMYFUNCTION("""COMPUTED_VALUE"""),0.18332547016222)</f>
        <v>0.18332547016222001</v>
      </c>
      <c r="OT78" s="3">
        <f ca="1">IFERROR(__xludf.DUMMYFUNCTION("""COMPUTED_VALUE"""),0.203358144840606)</f>
        <v>0.20335814484060599</v>
      </c>
      <c r="OU78" s="3">
        <f ca="1">IFERROR(__xludf.DUMMYFUNCTION("""COMPUTED_VALUE"""),0.0891056693112601)</f>
        <v>8.9105669311260099E-2</v>
      </c>
      <c r="OV78" s="3">
        <f ca="1">IFERROR(__xludf.DUMMYFUNCTION("""COMPUTED_VALUE"""),0.140532337069811)</f>
        <v>0.140532337069811</v>
      </c>
      <c r="OW78" s="3">
        <f ca="1">IFERROR(__xludf.DUMMYFUNCTION("""COMPUTED_VALUE"""),0.11632732822829)</f>
        <v>0.11632732822829001</v>
      </c>
      <c r="OX78" s="3">
        <f ca="1">IFERROR(__xludf.DUMMYFUNCTION("""COMPUTED_VALUE"""),0.0459295175150873)</f>
        <v>4.5929517515087302E-2</v>
      </c>
      <c r="OY78" s="3">
        <f ca="1">IFERROR(__xludf.DUMMYFUNCTION("""COMPUTED_VALUE"""),0.0787348617037169)</f>
        <v>7.8734861703716894E-2</v>
      </c>
      <c r="OZ78" s="3">
        <f ca="1">IFERROR(__xludf.DUMMYFUNCTION("""COMPUTED_VALUE"""),-0.0160586244091966)</f>
        <v>-1.6058624409196601E-2</v>
      </c>
      <c r="PA78" s="3">
        <f ca="1">IFERROR(__xludf.DUMMYFUNCTION("""COMPUTED_VALUE"""),-0.0757160767042178)</f>
        <v>-7.5716076704217802E-2</v>
      </c>
      <c r="PB78" s="3">
        <f ca="1">IFERROR(__xludf.DUMMYFUNCTION("""COMPUTED_VALUE"""),0.0307324671767788)</f>
        <v>3.0732467176778799E-2</v>
      </c>
      <c r="PC78" s="3">
        <f ca="1">IFERROR(__xludf.DUMMYFUNCTION("""COMPUTED_VALUE"""),-0.040357785359955)</f>
        <v>-4.0357785359954997E-2</v>
      </c>
      <c r="PD78" s="3">
        <f ca="1">IFERROR(__xludf.DUMMYFUNCTION("""COMPUTED_VALUE"""),0.0439774884167805)</f>
        <v>4.3977488416780501E-2</v>
      </c>
      <c r="PE78" s="3">
        <f ca="1">IFERROR(__xludf.DUMMYFUNCTION("""COMPUTED_VALUE"""),0.102717584301476)</f>
        <v>0.102717584301476</v>
      </c>
      <c r="PF78" s="3">
        <f ca="1">IFERROR(__xludf.DUMMYFUNCTION("""COMPUTED_VALUE"""),0.0551279678625771)</f>
        <v>5.51279678625771E-2</v>
      </c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</row>
    <row r="79" spans="1:594" ht="13">
      <c r="A79" s="1" t="str">
        <f ca="1">IFERROR(__xludf.DUMMYFUNCTION("""COMPUTED_VALUE"""),"Simcoe County")</f>
        <v>Simcoe County</v>
      </c>
      <c r="B79" s="3">
        <f ca="1">IFERROR(__xludf.DUMMYFUNCTION("""COMPUTED_VALUE"""),-0.742239064258199)</f>
        <v>-0.74223906425819897</v>
      </c>
      <c r="C79" s="3">
        <f ca="1">IFERROR(__xludf.DUMMYFUNCTION("""COMPUTED_VALUE"""),-0.750618480373889)</f>
        <v>-0.75061848037388901</v>
      </c>
      <c r="D79" s="3">
        <f ca="1">IFERROR(__xludf.DUMMYFUNCTION("""COMPUTED_VALUE"""),-0.784240670814624)</f>
        <v>-0.78424067081462401</v>
      </c>
      <c r="E79" s="3">
        <f ca="1">IFERROR(__xludf.DUMMYFUNCTION("""COMPUTED_VALUE"""),-0.784684942631288)</f>
        <v>-0.78468494263128796</v>
      </c>
      <c r="F79" s="3">
        <f ca="1">IFERROR(__xludf.DUMMYFUNCTION("""COMPUTED_VALUE"""),-0.799693178588086)</f>
        <v>-0.79969317858808597</v>
      </c>
      <c r="G79" s="3">
        <f ca="1">IFERROR(__xludf.DUMMYFUNCTION("""COMPUTED_VALUE"""),-0.78554280678612)</f>
        <v>-0.78554280678611998</v>
      </c>
      <c r="H79" s="3">
        <f ca="1">IFERROR(__xludf.DUMMYFUNCTION("""COMPUTED_VALUE"""),-0.882105966478689)</f>
        <v>-0.882105966478689</v>
      </c>
      <c r="I79" s="3">
        <f ca="1">IFERROR(__xludf.DUMMYFUNCTION("""COMPUTED_VALUE"""),-0.754482765426328)</f>
        <v>-0.75448276542632797</v>
      </c>
      <c r="J79" s="3">
        <f ca="1">IFERROR(__xludf.DUMMYFUNCTION("""COMPUTED_VALUE"""),-0.952422061849679)</f>
        <v>-0.95242206184967904</v>
      </c>
      <c r="K79" s="3">
        <f ca="1">IFERROR(__xludf.DUMMYFUNCTION("""COMPUTED_VALUE"""),-0.731341689845465)</f>
        <v>-0.73134168984546499</v>
      </c>
      <c r="L79" s="3">
        <f ca="1">IFERROR(__xludf.DUMMYFUNCTION("""COMPUTED_VALUE"""),-0.752142758724401)</f>
        <v>-0.75214275872440095</v>
      </c>
      <c r="M79" s="3">
        <f ca="1">IFERROR(__xludf.DUMMYFUNCTION("""COMPUTED_VALUE"""),-0.756548862332856)</f>
        <v>-0.75654886233285601</v>
      </c>
      <c r="N79" s="3">
        <f ca="1">IFERROR(__xludf.DUMMYFUNCTION("""COMPUTED_VALUE"""),-0.751366116776919)</f>
        <v>-0.751366116776919</v>
      </c>
      <c r="O79" s="3">
        <f ca="1">IFERROR(__xludf.DUMMYFUNCTION("""COMPUTED_VALUE"""),-0.723229020364703)</f>
        <v>-0.72322902036470305</v>
      </c>
      <c r="P79" s="3">
        <f ca="1">IFERROR(__xludf.DUMMYFUNCTION("""COMPUTED_VALUE"""),-0.667008241093979)</f>
        <v>-0.66700824109397905</v>
      </c>
      <c r="Q79" s="3">
        <f ca="1">IFERROR(__xludf.DUMMYFUNCTION("""COMPUTED_VALUE"""),-0.783423026296045)</f>
        <v>-0.78342302629604499</v>
      </c>
      <c r="R79" s="3">
        <f ca="1">IFERROR(__xludf.DUMMYFUNCTION("""COMPUTED_VALUE"""),-0.758047046693039)</f>
        <v>-0.75804704669303902</v>
      </c>
      <c r="S79" s="3">
        <f ca="1">IFERROR(__xludf.DUMMYFUNCTION("""COMPUTED_VALUE"""),-0.758822910488391)</f>
        <v>-0.75882291048839101</v>
      </c>
      <c r="T79" s="3">
        <f ca="1">IFERROR(__xludf.DUMMYFUNCTION("""COMPUTED_VALUE"""),-0.753269507820076)</f>
        <v>-0.75326950782007596</v>
      </c>
      <c r="U79" s="3">
        <f ca="1">IFERROR(__xludf.DUMMYFUNCTION("""COMPUTED_VALUE"""),-0.699397037739721)</f>
        <v>-0.69939703773972095</v>
      </c>
      <c r="V79" s="3">
        <f ca="1">IFERROR(__xludf.DUMMYFUNCTION("""COMPUTED_VALUE"""),-0.623583227291512)</f>
        <v>-0.62358322729151205</v>
      </c>
      <c r="W79" s="3">
        <f ca="1">IFERROR(__xludf.DUMMYFUNCTION("""COMPUTED_VALUE"""),-0.675037460078824)</f>
        <v>-0.67503746007882404</v>
      </c>
      <c r="X79" s="3">
        <f ca="1">IFERROR(__xludf.DUMMYFUNCTION("""COMPUTED_VALUE"""),-0.756930427867133)</f>
        <v>-0.75693042786713305</v>
      </c>
      <c r="Y79" s="3">
        <f ca="1">IFERROR(__xludf.DUMMYFUNCTION("""COMPUTED_VALUE"""),-0.787190241814838)</f>
        <v>-0.78719024181483799</v>
      </c>
      <c r="Z79" s="3">
        <f ca="1">IFERROR(__xludf.DUMMYFUNCTION("""COMPUTED_VALUE"""),-0.725801220603874)</f>
        <v>-0.72580122060387398</v>
      </c>
      <c r="AA79" s="3">
        <f ca="1">IFERROR(__xludf.DUMMYFUNCTION("""COMPUTED_VALUE"""),-0.730857554416693)</f>
        <v>-0.73085755441669298</v>
      </c>
      <c r="AB79" s="3">
        <f ca="1">IFERROR(__xludf.DUMMYFUNCTION("""COMPUTED_VALUE"""),-0.716311262025835)</f>
        <v>-0.71631126202583495</v>
      </c>
      <c r="AC79" s="3">
        <f ca="1">IFERROR(__xludf.DUMMYFUNCTION("""COMPUTED_VALUE"""),-0.708178202011705)</f>
        <v>-0.708178202011705</v>
      </c>
      <c r="AD79" s="3">
        <f ca="1">IFERROR(__xludf.DUMMYFUNCTION("""COMPUTED_VALUE"""),-0.745589012765846)</f>
        <v>-0.74558901276584599</v>
      </c>
      <c r="AE79" s="3">
        <f ca="1">IFERROR(__xludf.DUMMYFUNCTION("""COMPUTED_VALUE"""),-0.788557220446961)</f>
        <v>-0.78855722044696097</v>
      </c>
      <c r="AF79" s="3">
        <f ca="1">IFERROR(__xludf.DUMMYFUNCTION("""COMPUTED_VALUE"""),-0.812375301315076)</f>
        <v>-0.81237530131507596</v>
      </c>
      <c r="AG79" s="3">
        <f ca="1">IFERROR(__xludf.DUMMYFUNCTION("""COMPUTED_VALUE"""),-0.779147469902972)</f>
        <v>-0.77914746990297201</v>
      </c>
      <c r="AH79" s="3">
        <f ca="1">IFERROR(__xludf.DUMMYFUNCTION("""COMPUTED_VALUE"""),-0.761981573286389)</f>
        <v>-0.76198157328638905</v>
      </c>
      <c r="AI79" s="3">
        <f ca="1">IFERROR(__xludf.DUMMYFUNCTION("""COMPUTED_VALUE"""),-0.752778272594236)</f>
        <v>-0.75277827259423602</v>
      </c>
      <c r="AJ79" s="3">
        <f ca="1">IFERROR(__xludf.DUMMYFUNCTION("""COMPUTED_VALUE"""),-0.733858178614121)</f>
        <v>-0.73385817861412095</v>
      </c>
      <c r="AK79" s="3">
        <f ca="1">IFERROR(__xludf.DUMMYFUNCTION("""COMPUTED_VALUE"""),-0.740191660483977)</f>
        <v>-0.740191660483977</v>
      </c>
      <c r="AL79" s="3">
        <f ca="1">IFERROR(__xludf.DUMMYFUNCTION("""COMPUTED_VALUE"""),-0.807975067692266)</f>
        <v>-0.80797506769226601</v>
      </c>
      <c r="AM79" s="3">
        <f ca="1">IFERROR(__xludf.DUMMYFUNCTION("""COMPUTED_VALUE"""),-0.783301781520075)</f>
        <v>-0.78330178152007501</v>
      </c>
      <c r="AN79" s="3">
        <f ca="1">IFERROR(__xludf.DUMMYFUNCTION("""COMPUTED_VALUE"""),-0.759573977892461)</f>
        <v>-0.75957397789246095</v>
      </c>
      <c r="AO79" s="3">
        <f ca="1">IFERROR(__xludf.DUMMYFUNCTION("""COMPUTED_VALUE"""),-0.723069518818919)</f>
        <v>-0.72306951881891901</v>
      </c>
      <c r="AP79" s="3">
        <f ca="1">IFERROR(__xludf.DUMMYFUNCTION("""COMPUTED_VALUE"""),-0.691350247083378)</f>
        <v>-0.691350247083378</v>
      </c>
      <c r="AQ79" s="3">
        <f ca="1">IFERROR(__xludf.DUMMYFUNCTION("""COMPUTED_VALUE"""),-0.683588582601178)</f>
        <v>-0.68358858260117805</v>
      </c>
      <c r="AR79" s="3">
        <f ca="1">IFERROR(__xludf.DUMMYFUNCTION("""COMPUTED_VALUE"""),-0.680613374390608)</f>
        <v>-0.68061337439060798</v>
      </c>
      <c r="AS79" s="3">
        <f ca="1">IFERROR(__xludf.DUMMYFUNCTION("""COMPUTED_VALUE"""),-0.713266061047049)</f>
        <v>-0.71326606104704904</v>
      </c>
      <c r="AT79" s="3">
        <f ca="1">IFERROR(__xludf.DUMMYFUNCTION("""COMPUTED_VALUE"""),-0.793660654788315)</f>
        <v>-0.79366065478831505</v>
      </c>
      <c r="AU79" s="3">
        <f ca="1">IFERROR(__xludf.DUMMYFUNCTION("""COMPUTED_VALUE"""),-0.74555470613107)</f>
        <v>-0.74555470613107</v>
      </c>
      <c r="AV79" s="3">
        <f ca="1">IFERROR(__xludf.DUMMYFUNCTION("""COMPUTED_VALUE"""),-0.785341299920906)</f>
        <v>-0.78534129992090596</v>
      </c>
      <c r="AW79" s="3">
        <f ca="1">IFERROR(__xludf.DUMMYFUNCTION("""COMPUTED_VALUE"""),-0.601782939262669)</f>
        <v>-0.60178293926266901</v>
      </c>
      <c r="AX79" s="3">
        <f ca="1">IFERROR(__xludf.DUMMYFUNCTION("""COMPUTED_VALUE"""),-0.731815232993395)</f>
        <v>-0.73181523299339502</v>
      </c>
      <c r="AY79" s="3">
        <f ca="1">IFERROR(__xludf.DUMMYFUNCTION("""COMPUTED_VALUE"""),-0.737454242883586)</f>
        <v>-0.73745424288358596</v>
      </c>
      <c r="AZ79" s="3">
        <f ca="1">IFERROR(__xludf.DUMMYFUNCTION("""COMPUTED_VALUE"""),-0.76045103613954)</f>
        <v>-0.76045103613954002</v>
      </c>
      <c r="BA79" s="3">
        <f ca="1">IFERROR(__xludf.DUMMYFUNCTION("""COMPUTED_VALUE"""),-0.768016978737169)</f>
        <v>-0.76801697873716901</v>
      </c>
      <c r="BB79" s="3">
        <f ca="1">IFERROR(__xludf.DUMMYFUNCTION("""COMPUTED_VALUE"""),-0.783193321338675)</f>
        <v>-0.78319332133867503</v>
      </c>
      <c r="BC79" s="3">
        <f ca="1">IFERROR(__xludf.DUMMYFUNCTION("""COMPUTED_VALUE"""),-0.701229227160937)</f>
        <v>-0.70122922716093705</v>
      </c>
      <c r="BD79" s="3">
        <f ca="1">IFERROR(__xludf.DUMMYFUNCTION("""COMPUTED_VALUE"""),-0.787532604191599)</f>
        <v>-0.78753260419159898</v>
      </c>
      <c r="BE79" s="3">
        <f ca="1">IFERROR(__xludf.DUMMYFUNCTION("""COMPUTED_VALUE"""),-0.673058315696642)</f>
        <v>-0.67305831569664198</v>
      </c>
      <c r="BF79" s="3">
        <f ca="1">IFERROR(__xludf.DUMMYFUNCTION("""COMPUTED_VALUE"""),-0.786513670128369)</f>
        <v>-0.78651367012836904</v>
      </c>
      <c r="BG79" s="3">
        <f ca="1">IFERROR(__xludf.DUMMYFUNCTION("""COMPUTED_VALUE"""),-0.789252996963036)</f>
        <v>-0.78925299696303597</v>
      </c>
      <c r="BH79" s="3">
        <f ca="1">IFERROR(__xludf.DUMMYFUNCTION("""COMPUTED_VALUE"""),-0.836132881474917)</f>
        <v>-0.83613288147491704</v>
      </c>
      <c r="BI79" s="3">
        <f ca="1">IFERROR(__xludf.DUMMYFUNCTION("""COMPUTED_VALUE"""),-0.836393723942008)</f>
        <v>-0.83639372394200795</v>
      </c>
      <c r="BJ79" s="3">
        <f ca="1">IFERROR(__xludf.DUMMYFUNCTION("""COMPUTED_VALUE"""),-0.795853253939613)</f>
        <v>-0.79585325393961304</v>
      </c>
      <c r="BK79" s="3">
        <f ca="1">IFERROR(__xludf.DUMMYFUNCTION("""COMPUTED_VALUE"""),-0.723619395685871)</f>
        <v>-0.72361939568587097</v>
      </c>
      <c r="BL79" s="3">
        <f ca="1">IFERROR(__xludf.DUMMYFUNCTION("""COMPUTED_VALUE"""),-0.746077512432084)</f>
        <v>-0.74607751243208398</v>
      </c>
      <c r="BM79" s="3">
        <f ca="1">IFERROR(__xludf.DUMMYFUNCTION("""COMPUTED_VALUE"""),-0.76492885267239)</f>
        <v>-0.76492885267238997</v>
      </c>
      <c r="BN79" s="3">
        <f ca="1">IFERROR(__xludf.DUMMYFUNCTION("""COMPUTED_VALUE"""),-0.829659624533263)</f>
        <v>-0.82965962453326303</v>
      </c>
      <c r="BO79" s="3">
        <f ca="1">IFERROR(__xludf.DUMMYFUNCTION("""COMPUTED_VALUE"""),-0.860018596712897)</f>
        <v>-0.86001859671289704</v>
      </c>
      <c r="BP79" s="3">
        <f ca="1">IFERROR(__xludf.DUMMYFUNCTION("""COMPUTED_VALUE"""),-0.836039266220008)</f>
        <v>-0.83603926622000801</v>
      </c>
      <c r="BQ79" s="3">
        <f ca="1">IFERROR(__xludf.DUMMYFUNCTION("""COMPUTED_VALUE"""),-0.834793123581076)</f>
        <v>-0.83479312358107605</v>
      </c>
      <c r="BR79" s="3">
        <f ca="1">IFERROR(__xludf.DUMMYFUNCTION("""COMPUTED_VALUE"""),-0.838316803394472)</f>
        <v>-0.83831680339447201</v>
      </c>
      <c r="BS79" s="3">
        <f ca="1">IFERROR(__xludf.DUMMYFUNCTION("""COMPUTED_VALUE"""),-0.782965996136403)</f>
        <v>-0.78296599613640305</v>
      </c>
      <c r="BT79" s="3">
        <f ca="1">IFERROR(__xludf.DUMMYFUNCTION("""COMPUTED_VALUE"""),-0.735984661658893)</f>
        <v>-0.73598466165889298</v>
      </c>
      <c r="BU79" s="3">
        <f ca="1">IFERROR(__xludf.DUMMYFUNCTION("""COMPUTED_VALUE"""),-0.805664319338006)</f>
        <v>-0.80566431933800597</v>
      </c>
      <c r="BV79" s="3">
        <f ca="1">IFERROR(__xludf.DUMMYFUNCTION("""COMPUTED_VALUE"""),-0.821927260719983)</f>
        <v>-0.82192726071998301</v>
      </c>
      <c r="BW79" s="3">
        <f ca="1">IFERROR(__xludf.DUMMYFUNCTION("""COMPUTED_VALUE"""),-0.862592909502764)</f>
        <v>-0.86259290950276402</v>
      </c>
      <c r="BX79" s="3">
        <f ca="1">IFERROR(__xludf.DUMMYFUNCTION("""COMPUTED_VALUE"""),-0.820894224619579)</f>
        <v>-0.82089422461957895</v>
      </c>
      <c r="BY79" s="3">
        <f ca="1">IFERROR(__xludf.DUMMYFUNCTION("""COMPUTED_VALUE"""),-0.835095431089561)</f>
        <v>-0.83509543108956097</v>
      </c>
      <c r="BZ79" s="3">
        <f ca="1">IFERROR(__xludf.DUMMYFUNCTION("""COMPUTED_VALUE"""),-0.813627745609732)</f>
        <v>-0.81362774560973194</v>
      </c>
      <c r="CA79" s="3">
        <f ca="1">IFERROR(__xludf.DUMMYFUNCTION("""COMPUTED_VALUE"""),-0.786810040186132)</f>
        <v>-0.78681004018613199</v>
      </c>
      <c r="CB79" s="3">
        <f ca="1">IFERROR(__xludf.DUMMYFUNCTION("""COMPUTED_VALUE"""),-0.828471408259286)</f>
        <v>-0.828471408259286</v>
      </c>
      <c r="CC79" s="3">
        <f ca="1">IFERROR(__xludf.DUMMYFUNCTION("""COMPUTED_VALUE"""),-0.871015784158432)</f>
        <v>-0.87101578415843195</v>
      </c>
      <c r="CD79" s="3">
        <f ca="1">IFERROR(__xludf.DUMMYFUNCTION("""COMPUTED_VALUE"""),-0.863365010537009)</f>
        <v>-0.86336501053700898</v>
      </c>
      <c r="CE79" s="3">
        <f ca="1">IFERROR(__xludf.DUMMYFUNCTION("""COMPUTED_VALUE"""),-0.863893980874954)</f>
        <v>-0.86389398087495395</v>
      </c>
      <c r="CF79" s="3">
        <f ca="1">IFERROR(__xludf.DUMMYFUNCTION("""COMPUTED_VALUE"""),-0.863987622396016)</f>
        <v>-0.86398762239601601</v>
      </c>
      <c r="CG79" s="3">
        <f ca="1">IFERROR(__xludf.DUMMYFUNCTION("""COMPUTED_VALUE"""),-0.814794224679876)</f>
        <v>-0.81479422467987594</v>
      </c>
      <c r="CH79" s="3">
        <f ca="1">IFERROR(__xludf.DUMMYFUNCTION("""COMPUTED_VALUE"""),-0.73539830297794)</f>
        <v>-0.73539830297793995</v>
      </c>
      <c r="CI79" s="3">
        <f ca="1">IFERROR(__xludf.DUMMYFUNCTION("""COMPUTED_VALUE"""),-0.852327992292894)</f>
        <v>-0.85232799229289402</v>
      </c>
      <c r="CJ79" s="3">
        <f ca="1">IFERROR(__xludf.DUMMYFUNCTION("""COMPUTED_VALUE"""),-0.880038838761276)</f>
        <v>-0.88003883876127598</v>
      </c>
      <c r="CK79" s="3">
        <f ca="1">IFERROR(__xludf.DUMMYFUNCTION("""COMPUTED_VALUE"""),-0.878409130156491)</f>
        <v>-0.87840913015649102</v>
      </c>
      <c r="CL79" s="3">
        <f ca="1">IFERROR(__xludf.DUMMYFUNCTION("""COMPUTED_VALUE"""),-0.866532150139811)</f>
        <v>-0.866532150139811</v>
      </c>
      <c r="CM79" s="3">
        <f ca="1">IFERROR(__xludf.DUMMYFUNCTION("""COMPUTED_VALUE"""),-0.840145850896127)</f>
        <v>-0.84014585089612703</v>
      </c>
      <c r="CN79" s="3">
        <f ca="1">IFERROR(__xludf.DUMMYFUNCTION("""COMPUTED_VALUE"""),-0.778926982694713)</f>
        <v>-0.77892698269471305</v>
      </c>
      <c r="CO79" s="3">
        <f ca="1">IFERROR(__xludf.DUMMYFUNCTION("""COMPUTED_VALUE"""),-0.745724301480898)</f>
        <v>-0.74572430148089797</v>
      </c>
      <c r="CP79" s="3">
        <f ca="1">IFERROR(__xludf.DUMMYFUNCTION("""COMPUTED_VALUE"""),-0.831509970453069)</f>
        <v>-0.83150997045306896</v>
      </c>
      <c r="CQ79" s="3">
        <f ca="1">IFERROR(__xludf.DUMMYFUNCTION("""COMPUTED_VALUE"""),-0.789344743845758)</f>
        <v>-0.78934474384575803</v>
      </c>
      <c r="CR79" s="3">
        <f ca="1">IFERROR(__xludf.DUMMYFUNCTION("""COMPUTED_VALUE"""),-0.832027939954382)</f>
        <v>-0.83202793995438196</v>
      </c>
      <c r="CS79" s="3">
        <f ca="1">IFERROR(__xludf.DUMMYFUNCTION("""COMPUTED_VALUE"""),-0.834542044012093)</f>
        <v>-0.83454204401209298</v>
      </c>
      <c r="CT79" s="3">
        <f ca="1">IFERROR(__xludf.DUMMYFUNCTION("""COMPUTED_VALUE"""),-0.808953135398187)</f>
        <v>-0.80895313539818703</v>
      </c>
      <c r="CU79" s="3">
        <f ca="1">IFERROR(__xludf.DUMMYFUNCTION("""COMPUTED_VALUE"""),-0.717737005607741)</f>
        <v>-0.71773700560774101</v>
      </c>
      <c r="CV79" s="3">
        <f ca="1">IFERROR(__xludf.DUMMYFUNCTION("""COMPUTED_VALUE"""),-0.771265771687882)</f>
        <v>-0.77126577168788202</v>
      </c>
      <c r="CW79" s="3">
        <f ca="1">IFERROR(__xludf.DUMMYFUNCTION("""COMPUTED_VALUE"""),-0.958095614081653)</f>
        <v>-0.958095614081653</v>
      </c>
      <c r="CX79" s="3">
        <f ca="1">IFERROR(__xludf.DUMMYFUNCTION("""COMPUTED_VALUE"""),-0.729189913658155)</f>
        <v>-0.729189913658155</v>
      </c>
      <c r="CY79" s="3">
        <f ca="1">IFERROR(__xludf.DUMMYFUNCTION("""COMPUTED_VALUE"""),-0.665023632724555)</f>
        <v>-0.665023632724555</v>
      </c>
      <c r="CZ79" s="3">
        <f ca="1">IFERROR(__xludf.DUMMYFUNCTION("""COMPUTED_VALUE"""),-0.752264570047427)</f>
        <v>-0.75226457004742697</v>
      </c>
      <c r="DA79" s="3">
        <f ca="1">IFERROR(__xludf.DUMMYFUNCTION("""COMPUTED_VALUE"""),-0.790150490253153)</f>
        <v>-0.79015049025315298</v>
      </c>
      <c r="DB79" s="3">
        <f ca="1">IFERROR(__xludf.DUMMYFUNCTION("""COMPUTED_VALUE"""),-0.707442367313157)</f>
        <v>-0.70744236731315702</v>
      </c>
      <c r="DC79" s="3">
        <f ca="1">IFERROR(__xludf.DUMMYFUNCTION("""COMPUTED_VALUE"""),-0.739680761192902)</f>
        <v>-0.73968076119290205</v>
      </c>
      <c r="DD79" s="3">
        <f ca="1">IFERROR(__xludf.DUMMYFUNCTION("""COMPUTED_VALUE"""),-0.961967526689749)</f>
        <v>-0.96196752668974905</v>
      </c>
      <c r="DE79" s="3">
        <f ca="1">IFERROR(__xludf.DUMMYFUNCTION("""COMPUTED_VALUE"""),-0.630298256419214)</f>
        <v>-0.630298256419214</v>
      </c>
      <c r="DF79" s="3">
        <f ca="1">IFERROR(__xludf.DUMMYFUNCTION("""COMPUTED_VALUE"""),-0.178545356337083)</f>
        <v>-0.17854535633708299</v>
      </c>
      <c r="DG79" s="3">
        <f ca="1">IFERROR(__xludf.DUMMYFUNCTION("""COMPUTED_VALUE"""),-0.573743812049952)</f>
        <v>-0.57374381204995195</v>
      </c>
      <c r="DH79" s="3">
        <f ca="1">IFERROR(__xludf.DUMMYFUNCTION("""COMPUTED_VALUE"""),-0.659786322716702)</f>
        <v>-0.65978632271670201</v>
      </c>
      <c r="DI79" s="3">
        <f ca="1">IFERROR(__xludf.DUMMYFUNCTION("""COMPUTED_VALUE"""),-0.622540617675305)</f>
        <v>-0.622540617675305</v>
      </c>
      <c r="DJ79" s="3">
        <f ca="1">IFERROR(__xludf.DUMMYFUNCTION("""COMPUTED_VALUE"""),-0.605892218832634)</f>
        <v>-0.605892218832634</v>
      </c>
      <c r="DK79" s="3">
        <f ca="1">IFERROR(__xludf.DUMMYFUNCTION("""COMPUTED_VALUE"""),-0.68655477215635)</f>
        <v>-0.68655477215634997</v>
      </c>
      <c r="DL79" s="3">
        <f ca="1">IFERROR(__xludf.DUMMYFUNCTION("""COMPUTED_VALUE"""),-0.658169861359663)</f>
        <v>-0.65816986135966304</v>
      </c>
      <c r="DM79" s="3">
        <f ca="1">IFERROR(__xludf.DUMMYFUNCTION("""COMPUTED_VALUE"""),-0.637118054083414)</f>
        <v>-0.63711805408341404</v>
      </c>
      <c r="DN79" s="3">
        <f ca="1">IFERROR(__xludf.DUMMYFUNCTION("""COMPUTED_VALUE"""),-0.688708402269375)</f>
        <v>-0.68870840226937502</v>
      </c>
      <c r="DO79" s="3">
        <f ca="1">IFERROR(__xludf.DUMMYFUNCTION("""COMPUTED_VALUE"""),-0.684066376190475)</f>
        <v>-0.68406637619047495</v>
      </c>
      <c r="DP79" s="3">
        <f ca="1">IFERROR(__xludf.DUMMYFUNCTION("""COMPUTED_VALUE"""),-0.67610402402789)</f>
        <v>-0.67610402402789005</v>
      </c>
      <c r="DQ79" s="3">
        <f ca="1">IFERROR(__xludf.DUMMYFUNCTION("""COMPUTED_VALUE"""),-0.495439114276364)</f>
        <v>-0.495439114276364</v>
      </c>
      <c r="DR79" s="3">
        <f ca="1">IFERROR(__xludf.DUMMYFUNCTION("""COMPUTED_VALUE"""),-0.705257813085297)</f>
        <v>-0.705257813085297</v>
      </c>
      <c r="DS79" s="3">
        <f ca="1">IFERROR(__xludf.DUMMYFUNCTION("""COMPUTED_VALUE"""),-0.750432210625323)</f>
        <v>-0.75043221062532295</v>
      </c>
      <c r="DT79" s="3">
        <f ca="1">IFERROR(__xludf.DUMMYFUNCTION("""COMPUTED_VALUE"""),-0.717411589798735)</f>
        <v>-0.71741158979873498</v>
      </c>
      <c r="DU79" s="3">
        <f ca="1">IFERROR(__xludf.DUMMYFUNCTION("""COMPUTED_VALUE"""),-0.752074755108437)</f>
        <v>-0.75207475510843702</v>
      </c>
      <c r="DV79" s="3">
        <f ca="1">IFERROR(__xludf.DUMMYFUNCTION("""COMPUTED_VALUE"""),-0.708234648588478)</f>
        <v>-0.70823464858847796</v>
      </c>
      <c r="DW79" s="3">
        <f ca="1">IFERROR(__xludf.DUMMYFUNCTION("""COMPUTED_VALUE"""),-0.633700937240678)</f>
        <v>-0.633700937240678</v>
      </c>
      <c r="DX79" s="3">
        <f ca="1">IFERROR(__xludf.DUMMYFUNCTION("""COMPUTED_VALUE"""),-0.600360521524795)</f>
        <v>-0.60036052152479502</v>
      </c>
      <c r="DY79" s="3">
        <f ca="1">IFERROR(__xludf.DUMMYFUNCTION("""COMPUTED_VALUE"""),-0.766470665311717)</f>
        <v>-0.76647066531171704</v>
      </c>
      <c r="DZ79" s="3">
        <f ca="1">IFERROR(__xludf.DUMMYFUNCTION("""COMPUTED_VALUE"""),-0.761954566851433)</f>
        <v>-0.76195456685143303</v>
      </c>
      <c r="EA79" s="3">
        <f ca="1">IFERROR(__xludf.DUMMYFUNCTION("""COMPUTED_VALUE"""),-0.722291368559895)</f>
        <v>-0.72229136855989495</v>
      </c>
      <c r="EB79" s="3">
        <f ca="1">IFERROR(__xludf.DUMMYFUNCTION("""COMPUTED_VALUE"""),-0.681797857348614)</f>
        <v>-0.68179785734861398</v>
      </c>
      <c r="EC79" s="3">
        <f ca="1">IFERROR(__xludf.DUMMYFUNCTION("""COMPUTED_VALUE"""),-0.701050249928655)</f>
        <v>-0.70105024992865494</v>
      </c>
      <c r="ED79" s="3">
        <f ca="1">IFERROR(__xludf.DUMMYFUNCTION("""COMPUTED_VALUE"""),-0.583440192490181)</f>
        <v>-0.58344019249018098</v>
      </c>
      <c r="EE79" s="3">
        <f ca="1">IFERROR(__xludf.DUMMYFUNCTION("""COMPUTED_VALUE"""),-0.568749202881777)</f>
        <v>-0.56874920288177699</v>
      </c>
      <c r="EF79" s="3">
        <f ca="1">IFERROR(__xludf.DUMMYFUNCTION("""COMPUTED_VALUE"""),-0.716540348665331)</f>
        <v>-0.71654034866533101</v>
      </c>
      <c r="EG79" s="3">
        <f ca="1">IFERROR(__xludf.DUMMYFUNCTION("""COMPUTED_VALUE"""),-0.720447885515248)</f>
        <v>-0.72044788551524797</v>
      </c>
      <c r="EH79" s="3">
        <f ca="1">IFERROR(__xludf.DUMMYFUNCTION("""COMPUTED_VALUE"""),-0.717590412143177)</f>
        <v>-0.71759041214317698</v>
      </c>
      <c r="EI79" s="3">
        <f ca="1">IFERROR(__xludf.DUMMYFUNCTION("""COMPUTED_VALUE"""),-0.783016854700365)</f>
        <v>-0.78301685470036497</v>
      </c>
      <c r="EJ79" s="3">
        <f ca="1">IFERROR(__xludf.DUMMYFUNCTION("""COMPUTED_VALUE"""),-0.722857366996541)</f>
        <v>-0.72285736699654102</v>
      </c>
      <c r="EK79" s="3">
        <f ca="1">IFERROR(__xludf.DUMMYFUNCTION("""COMPUTED_VALUE"""),-0.603638133891071)</f>
        <v>-0.60363813389107102</v>
      </c>
      <c r="EL79" s="3">
        <f ca="1">IFERROR(__xludf.DUMMYFUNCTION("""COMPUTED_VALUE"""),-0.677343427550602)</f>
        <v>-0.67734342755060195</v>
      </c>
      <c r="EM79" s="3">
        <f ca="1">IFERROR(__xludf.DUMMYFUNCTION("""COMPUTED_VALUE"""),-0.725036859857963)</f>
        <v>-0.72503685985796296</v>
      </c>
      <c r="EN79" s="3">
        <f ca="1">IFERROR(__xludf.DUMMYFUNCTION("""COMPUTED_VALUE"""),-0.749490843220763)</f>
        <v>-0.74949084322076298</v>
      </c>
      <c r="EO79" s="3">
        <f ca="1">IFERROR(__xludf.DUMMYFUNCTION("""COMPUTED_VALUE"""),-0.78162054014188)</f>
        <v>-0.78162054014187998</v>
      </c>
      <c r="EP79" s="3">
        <f ca="1">IFERROR(__xludf.DUMMYFUNCTION("""COMPUTED_VALUE"""),-0.722587611255615)</f>
        <v>-0.72258761125561499</v>
      </c>
      <c r="EQ79" s="3">
        <f ca="1">IFERROR(__xludf.DUMMYFUNCTION("""COMPUTED_VALUE"""),-0.757029364652663)</f>
        <v>-0.75702936465266302</v>
      </c>
      <c r="ER79" s="3">
        <f ca="1">IFERROR(__xludf.DUMMYFUNCTION("""COMPUTED_VALUE"""),-0.741460404494878)</f>
        <v>-0.74146040449487804</v>
      </c>
      <c r="ES79" s="3">
        <f ca="1">IFERROR(__xludf.DUMMYFUNCTION("""COMPUTED_VALUE"""),-0.68608717945727)</f>
        <v>-0.68608717945727005</v>
      </c>
      <c r="ET79" s="3">
        <f ca="1">IFERROR(__xludf.DUMMYFUNCTION("""COMPUTED_VALUE"""),-0.729808744868571)</f>
        <v>-0.72980874486857095</v>
      </c>
      <c r="EU79" s="3">
        <f ca="1">IFERROR(__xludf.DUMMYFUNCTION("""COMPUTED_VALUE"""),-0.733245110760645)</f>
        <v>-0.73324511076064502</v>
      </c>
      <c r="EV79" s="3">
        <f ca="1">IFERROR(__xludf.DUMMYFUNCTION("""COMPUTED_VALUE"""),-0.773283070884445)</f>
        <v>-0.77328307088444503</v>
      </c>
      <c r="EW79" s="3">
        <f ca="1">IFERROR(__xludf.DUMMYFUNCTION("""COMPUTED_VALUE"""),-0.792916612669455)</f>
        <v>-0.79291661266945501</v>
      </c>
      <c r="EX79" s="3">
        <f ca="1">IFERROR(__xludf.DUMMYFUNCTION("""COMPUTED_VALUE"""),-0.731212203993282)</f>
        <v>-0.73121220399328202</v>
      </c>
      <c r="EY79" s="3">
        <f ca="1">IFERROR(__xludf.DUMMYFUNCTION("""COMPUTED_VALUE"""),-0.622357034552206)</f>
        <v>-0.62235703455220603</v>
      </c>
      <c r="EZ79" s="3">
        <f ca="1">IFERROR(__xludf.DUMMYFUNCTION("""COMPUTED_VALUE"""),-0.657056962176707)</f>
        <v>-0.65705696217670695</v>
      </c>
      <c r="FA79" s="3">
        <f ca="1">IFERROR(__xludf.DUMMYFUNCTION("""COMPUTED_VALUE"""),-0.756819346781671)</f>
        <v>-0.75681934678167095</v>
      </c>
      <c r="FB79" s="3">
        <f ca="1">IFERROR(__xludf.DUMMYFUNCTION("""COMPUTED_VALUE"""),-0.790037090178524)</f>
        <v>-0.79003709017852397</v>
      </c>
      <c r="FC79" s="3">
        <f ca="1">IFERROR(__xludf.DUMMYFUNCTION("""COMPUTED_VALUE"""),-0.752308170701406)</f>
        <v>-0.75230817070140599</v>
      </c>
      <c r="FD79" s="3">
        <f ca="1">IFERROR(__xludf.DUMMYFUNCTION("""COMPUTED_VALUE"""),-0.72320243935005)</f>
        <v>-0.72320243935005002</v>
      </c>
      <c r="FE79" s="3">
        <f ca="1">IFERROR(__xludf.DUMMYFUNCTION("""COMPUTED_VALUE"""),-0.728626099258532)</f>
        <v>-0.72862609925853195</v>
      </c>
      <c r="FF79" s="3">
        <f ca="1">IFERROR(__xludf.DUMMYFUNCTION("""COMPUTED_VALUE"""),-0.623958325873291)</f>
        <v>-0.62395832587329103</v>
      </c>
      <c r="FG79" s="3">
        <f ca="1">IFERROR(__xludf.DUMMYFUNCTION("""COMPUTED_VALUE"""),-0.636300973077304)</f>
        <v>-0.63630097307730404</v>
      </c>
      <c r="FH79" s="3">
        <f ca="1">IFERROR(__xludf.DUMMYFUNCTION("""COMPUTED_VALUE"""),-0.700182352169213)</f>
        <v>-0.70018235216921298</v>
      </c>
      <c r="FI79" s="3">
        <f ca="1">IFERROR(__xludf.DUMMYFUNCTION("""COMPUTED_VALUE"""),-0.753295905522203)</f>
        <v>-0.75329590552220305</v>
      </c>
      <c r="FJ79" s="3">
        <f ca="1">IFERROR(__xludf.DUMMYFUNCTION("""COMPUTED_VALUE"""),-0.736435433537343)</f>
        <v>-0.73643543353734298</v>
      </c>
      <c r="FK79" s="3">
        <f ca="1">IFERROR(__xludf.DUMMYFUNCTION("""COMPUTED_VALUE"""),-0.730979365679872)</f>
        <v>-0.73097936567987198</v>
      </c>
      <c r="FL79" s="3">
        <f ca="1">IFERROR(__xludf.DUMMYFUNCTION("""COMPUTED_VALUE"""),-0.705315311404583)</f>
        <v>-0.70531531140458303</v>
      </c>
      <c r="FM79" s="3">
        <f ca="1">IFERROR(__xludf.DUMMYFUNCTION("""COMPUTED_VALUE"""),-0.631014914691186)</f>
        <v>-0.63101491469118598</v>
      </c>
      <c r="FN79" s="3">
        <f ca="1">IFERROR(__xludf.DUMMYFUNCTION("""COMPUTED_VALUE"""),-0.728895168393899)</f>
        <v>-0.72889516839389901</v>
      </c>
      <c r="FO79" s="3">
        <f ca="1">IFERROR(__xludf.DUMMYFUNCTION("""COMPUTED_VALUE"""),-0.694809916843951)</f>
        <v>-0.69480991684395099</v>
      </c>
      <c r="FP79" s="3">
        <f ca="1">IFERROR(__xludf.DUMMYFUNCTION("""COMPUTED_VALUE"""),-0.732753326861499)</f>
        <v>-0.73275332686149897</v>
      </c>
      <c r="FQ79" s="3">
        <f ca="1">IFERROR(__xludf.DUMMYFUNCTION("""COMPUTED_VALUE"""),-0.735958620496268)</f>
        <v>-0.73595862049626803</v>
      </c>
      <c r="FR79" s="3">
        <f ca="1">IFERROR(__xludf.DUMMYFUNCTION("""COMPUTED_VALUE"""),-0.711241596913797)</f>
        <v>-0.71124159691379696</v>
      </c>
      <c r="FS79" s="3">
        <f ca="1">IFERROR(__xludf.DUMMYFUNCTION("""COMPUTED_VALUE"""),-0.525370414512453)</f>
        <v>-0.52537041451245303</v>
      </c>
      <c r="FT79" s="3">
        <f ca="1">IFERROR(__xludf.DUMMYFUNCTION("""COMPUTED_VALUE"""),-0.612469719496117)</f>
        <v>-0.61246971949611695</v>
      </c>
      <c r="FU79" s="3">
        <f ca="1">IFERROR(__xludf.DUMMYFUNCTION("""COMPUTED_VALUE"""),-0.645243838920415)</f>
        <v>-0.64524383892041504</v>
      </c>
      <c r="FV79" s="3">
        <f ca="1">IFERROR(__xludf.DUMMYFUNCTION("""COMPUTED_VALUE"""),-0.783105004214589)</f>
        <v>-0.78310500421458895</v>
      </c>
      <c r="FW79" s="3">
        <f ca="1">IFERROR(__xludf.DUMMYFUNCTION("""COMPUTED_VALUE"""),-0.732296592247261)</f>
        <v>-0.73229659224726096</v>
      </c>
      <c r="FX79" s="3">
        <f ca="1">IFERROR(__xludf.DUMMYFUNCTION("""COMPUTED_VALUE"""),-0.718362193494713)</f>
        <v>-0.71836219349471298</v>
      </c>
      <c r="FY79" s="3">
        <f ca="1">IFERROR(__xludf.DUMMYFUNCTION("""COMPUTED_VALUE"""),-0.746770506982678)</f>
        <v>-0.746770506982678</v>
      </c>
      <c r="FZ79" s="3">
        <f ca="1">IFERROR(__xludf.DUMMYFUNCTION("""COMPUTED_VALUE"""),-0.909855234459453)</f>
        <v>-0.90985523445945304</v>
      </c>
      <c r="GA79" s="3">
        <f ca="1">IFERROR(__xludf.DUMMYFUNCTION("""COMPUTED_VALUE"""),-0.633952684911599)</f>
        <v>-0.63395268491159895</v>
      </c>
      <c r="GB79" s="3">
        <f ca="1">IFERROR(__xludf.DUMMYFUNCTION("""COMPUTED_VALUE"""),-0.653032021739745)</f>
        <v>-0.65303202173974495</v>
      </c>
      <c r="GC79" s="3">
        <f ca="1">IFERROR(__xludf.DUMMYFUNCTION("""COMPUTED_VALUE"""),-0.721702129126085)</f>
        <v>-0.721702129126085</v>
      </c>
      <c r="GD79" s="3">
        <f ca="1">IFERROR(__xludf.DUMMYFUNCTION("""COMPUTED_VALUE"""),-0.753495615688892)</f>
        <v>-0.75349561568889201</v>
      </c>
      <c r="GE79" s="3">
        <f ca="1">IFERROR(__xludf.DUMMYFUNCTION("""COMPUTED_VALUE"""),-0.751676805338235)</f>
        <v>-0.751676805338235</v>
      </c>
      <c r="GF79" s="3">
        <f ca="1">IFERROR(__xludf.DUMMYFUNCTION("""COMPUTED_VALUE"""),-0.693406427123421)</f>
        <v>-0.69340642712342104</v>
      </c>
      <c r="GG79" s="3">
        <f ca="1">IFERROR(__xludf.DUMMYFUNCTION("""COMPUTED_VALUE"""),-0.581955989044987)</f>
        <v>-0.58195598904498702</v>
      </c>
      <c r="GH79" s="3">
        <f ca="1">IFERROR(__xludf.DUMMYFUNCTION("""COMPUTED_VALUE"""),-0.617521479030044)</f>
        <v>-0.61752147903004395</v>
      </c>
      <c r="GI79" s="3">
        <f ca="1">IFERROR(__xludf.DUMMYFUNCTION("""COMPUTED_VALUE"""),-0.6379335018849)</f>
        <v>-0.63793350188489995</v>
      </c>
      <c r="GJ79" s="3">
        <f ca="1">IFERROR(__xludf.DUMMYFUNCTION("""COMPUTED_VALUE"""),-0.762217870428956)</f>
        <v>-0.76221787042895595</v>
      </c>
      <c r="GK79" s="3">
        <f ca="1">IFERROR(__xludf.DUMMYFUNCTION("""COMPUTED_VALUE"""),-0.732354583402727)</f>
        <v>-0.73235458340272697</v>
      </c>
      <c r="GL79" s="3">
        <f ca="1">IFERROR(__xludf.DUMMYFUNCTION("""COMPUTED_VALUE"""),-0.749399657211861)</f>
        <v>-0.74939965721186097</v>
      </c>
      <c r="GM79" s="3">
        <f ca="1">IFERROR(__xludf.DUMMYFUNCTION("""COMPUTED_VALUE"""),-0.765681631865302)</f>
        <v>-0.76568163186530203</v>
      </c>
      <c r="GN79" s="3">
        <f ca="1">IFERROR(__xludf.DUMMYFUNCTION("""COMPUTED_VALUE"""),-0.697347822901163)</f>
        <v>-0.69734782290116304</v>
      </c>
      <c r="GO79" s="3">
        <f ca="1">IFERROR(__xludf.DUMMYFUNCTION("""COMPUTED_VALUE"""),-0.668772670118561)</f>
        <v>-0.66877267011856101</v>
      </c>
      <c r="GP79" s="3">
        <f ca="1">IFERROR(__xludf.DUMMYFUNCTION("""COMPUTED_VALUE"""),-0.580907843886425)</f>
        <v>-0.58090784388642502</v>
      </c>
      <c r="GQ79" s="3">
        <f ca="1">IFERROR(__xludf.DUMMYFUNCTION("""COMPUTED_VALUE"""),-0.752644925566402)</f>
        <v>-0.75264492556640195</v>
      </c>
      <c r="GR79" s="3">
        <f ca="1">IFERROR(__xludf.DUMMYFUNCTION("""COMPUTED_VALUE"""),-0.72338383399437)</f>
        <v>-0.72338383399437001</v>
      </c>
      <c r="GS79" s="3">
        <f ca="1">IFERROR(__xludf.DUMMYFUNCTION("""COMPUTED_VALUE"""),-0.746875990504915)</f>
        <v>-0.74687599050491504</v>
      </c>
      <c r="GT79" s="3">
        <f ca="1">IFERROR(__xludf.DUMMYFUNCTION("""COMPUTED_VALUE"""),-0.789165460665888)</f>
        <v>-0.789165460665888</v>
      </c>
      <c r="GU79" s="3">
        <f ca="1">IFERROR(__xludf.DUMMYFUNCTION("""COMPUTED_VALUE"""),-0.729023378068131)</f>
        <v>-0.729023378068131</v>
      </c>
      <c r="GV79" s="3">
        <f ca="1">IFERROR(__xludf.DUMMYFUNCTION("""COMPUTED_VALUE"""),-0.648206843435781)</f>
        <v>-0.64820684343578105</v>
      </c>
      <c r="GW79" s="3">
        <f ca="1">IFERROR(__xludf.DUMMYFUNCTION("""COMPUTED_VALUE"""),-0.636767945094888)</f>
        <v>-0.63676794509488799</v>
      </c>
      <c r="GX79" s="3">
        <f ca="1">IFERROR(__xludf.DUMMYFUNCTION("""COMPUTED_VALUE"""),-0.692650193559783)</f>
        <v>-0.69265019355978297</v>
      </c>
      <c r="GY79" s="3">
        <f ca="1">IFERROR(__xludf.DUMMYFUNCTION("""COMPUTED_VALUE"""),-0.728612010734522)</f>
        <v>-0.72861201073452198</v>
      </c>
      <c r="GZ79" s="3">
        <f ca="1">IFERROR(__xludf.DUMMYFUNCTION("""COMPUTED_VALUE"""),-0.764843124621246)</f>
        <v>-0.76484312462124604</v>
      </c>
      <c r="HA79" s="3">
        <f ca="1">IFERROR(__xludf.DUMMYFUNCTION("""COMPUTED_VALUE"""),-0.797370096557959)</f>
        <v>-0.79737009655795898</v>
      </c>
      <c r="HB79" s="3">
        <f ca="1">IFERROR(__xludf.DUMMYFUNCTION("""COMPUTED_VALUE"""),-0.67776814673716)</f>
        <v>-0.67776814673716002</v>
      </c>
      <c r="HC79" s="3">
        <f ca="1">IFERROR(__xludf.DUMMYFUNCTION("""COMPUTED_VALUE"""),-0.647131731613316)</f>
        <v>-0.64713173161331605</v>
      </c>
      <c r="HD79" s="3">
        <f ca="1">IFERROR(__xludf.DUMMYFUNCTION("""COMPUTED_VALUE"""),-0.678975552308875)</f>
        <v>-0.67897555230887496</v>
      </c>
      <c r="HE79" s="3">
        <f ca="1">IFERROR(__xludf.DUMMYFUNCTION("""COMPUTED_VALUE"""),-0.714526527658622)</f>
        <v>-0.71452652765862201</v>
      </c>
      <c r="HF79" s="3">
        <f ca="1">IFERROR(__xludf.DUMMYFUNCTION("""COMPUTED_VALUE"""),-0.749480110524469)</f>
        <v>-0.74948011052446895</v>
      </c>
      <c r="HG79" s="3">
        <f ca="1">IFERROR(__xludf.DUMMYFUNCTION("""COMPUTED_VALUE"""),-0.721421947707444)</f>
        <v>-0.72142194770744394</v>
      </c>
      <c r="HH79" s="3">
        <f ca="1">IFERROR(__xludf.DUMMYFUNCTION("""COMPUTED_VALUE"""),-0.726380274534096)</f>
        <v>-0.72638027453409604</v>
      </c>
      <c r="HI79" s="3">
        <f ca="1">IFERROR(__xludf.DUMMYFUNCTION("""COMPUTED_VALUE"""),-0.83603666951888)</f>
        <v>-0.83603666951888</v>
      </c>
      <c r="HJ79" s="3">
        <f ca="1">IFERROR(__xludf.DUMMYFUNCTION("""COMPUTED_VALUE"""),-0.520839240277851)</f>
        <v>-0.520839240277851</v>
      </c>
      <c r="HK79" s="3">
        <f ca="1">IFERROR(__xludf.DUMMYFUNCTION("""COMPUTED_VALUE"""),-0.595375192480175)</f>
        <v>-0.59537519248017501</v>
      </c>
      <c r="HL79" s="3">
        <f ca="1">IFERROR(__xludf.DUMMYFUNCTION("""COMPUTED_VALUE"""),-0.721197616392424)</f>
        <v>-0.72119761639242397</v>
      </c>
      <c r="HM79" s="3">
        <f ca="1">IFERROR(__xludf.DUMMYFUNCTION("""COMPUTED_VALUE"""),-0.733408137357987)</f>
        <v>-0.73340813735798704</v>
      </c>
      <c r="HN79" s="3">
        <f ca="1">IFERROR(__xludf.DUMMYFUNCTION("""COMPUTED_VALUE"""),-0.700256802549496)</f>
        <v>-0.70025680254949596</v>
      </c>
      <c r="HO79" s="3">
        <f ca="1">IFERROR(__xludf.DUMMYFUNCTION("""COMPUTED_VALUE"""),-0.736399685542573)</f>
        <v>-0.73639968554257296</v>
      </c>
      <c r="HP79" s="3">
        <f ca="1">IFERROR(__xludf.DUMMYFUNCTION("""COMPUTED_VALUE"""),-0.658188197603871)</f>
        <v>-0.65818819760387104</v>
      </c>
      <c r="HQ79" s="3">
        <f ca="1">IFERROR(__xludf.DUMMYFUNCTION("""COMPUTED_VALUE"""),-0.598894159711008)</f>
        <v>-0.59889415971100801</v>
      </c>
      <c r="HR79" s="3">
        <f ca="1">IFERROR(__xludf.DUMMYFUNCTION("""COMPUTED_VALUE"""),-0.572815725680209)</f>
        <v>-0.572815725680209</v>
      </c>
      <c r="HS79" s="3">
        <f ca="1">IFERROR(__xludf.DUMMYFUNCTION("""COMPUTED_VALUE"""),-0.636577924267812)</f>
        <v>-0.63657792426781201</v>
      </c>
      <c r="HT79" s="3">
        <f ca="1">IFERROR(__xludf.DUMMYFUNCTION("""COMPUTED_VALUE"""),-0.68185777135381)</f>
        <v>-0.68185777135380998</v>
      </c>
      <c r="HU79" s="3">
        <f ca="1">IFERROR(__xludf.DUMMYFUNCTION("""COMPUTED_VALUE"""),-0.630099454380433)</f>
        <v>-0.63009945438043302</v>
      </c>
      <c r="HV79" s="3">
        <f ca="1">IFERROR(__xludf.DUMMYFUNCTION("""COMPUTED_VALUE"""),-0.57858667930304)</f>
        <v>-0.57858667930303997</v>
      </c>
      <c r="HW79" s="3">
        <f ca="1">IFERROR(__xludf.DUMMYFUNCTION("""COMPUTED_VALUE"""),-0.560436090333195)</f>
        <v>-0.56043609033319497</v>
      </c>
      <c r="HX79" s="3">
        <f ca="1">IFERROR(__xludf.DUMMYFUNCTION("""COMPUTED_VALUE"""),-0.562137999226221)</f>
        <v>-0.56213799922622099</v>
      </c>
      <c r="HY79" s="3">
        <f ca="1">IFERROR(__xludf.DUMMYFUNCTION("""COMPUTED_VALUE"""),-0.525556131074251)</f>
        <v>-0.52555613107425103</v>
      </c>
      <c r="HZ79" s="3">
        <f ca="1">IFERROR(__xludf.DUMMYFUNCTION("""COMPUTED_VALUE"""),-0.602911828555898)</f>
        <v>-0.60291182855589798</v>
      </c>
      <c r="IA79" s="3">
        <f ca="1">IFERROR(__xludf.DUMMYFUNCTION("""COMPUTED_VALUE"""),-0.52245434630122)</f>
        <v>-0.52245434630122001</v>
      </c>
      <c r="IB79" s="3">
        <f ca="1">IFERROR(__xludf.DUMMYFUNCTION("""COMPUTED_VALUE"""),-0.528839281439887)</f>
        <v>-0.52883928143988701</v>
      </c>
      <c r="IC79" s="3">
        <f ca="1">IFERROR(__xludf.DUMMYFUNCTION("""COMPUTED_VALUE"""),-0.582736834636773)</f>
        <v>-0.58273683463677295</v>
      </c>
      <c r="ID79" s="3">
        <f ca="1">IFERROR(__xludf.DUMMYFUNCTION("""COMPUTED_VALUE"""),-0.602177238055953)</f>
        <v>-0.60217723805595302</v>
      </c>
      <c r="IE79" s="3">
        <f ca="1">IFERROR(__xludf.DUMMYFUNCTION("""COMPUTED_VALUE"""),-0.540801603288009)</f>
        <v>-0.54080160328800897</v>
      </c>
      <c r="IF79" s="3">
        <f ca="1">IFERROR(__xludf.DUMMYFUNCTION("""COMPUTED_VALUE"""),-0.404364376437712)</f>
        <v>-0.404364376437712</v>
      </c>
      <c r="IG79" s="3">
        <f ca="1">IFERROR(__xludf.DUMMYFUNCTION("""COMPUTED_VALUE"""),-0.448743770474295)</f>
        <v>-0.44874377047429498</v>
      </c>
      <c r="IH79" s="3">
        <f ca="1">IFERROR(__xludf.DUMMYFUNCTION("""COMPUTED_VALUE"""),-0.552534133925426)</f>
        <v>-0.55253413392542605</v>
      </c>
      <c r="II79" s="3">
        <f ca="1">IFERROR(__xludf.DUMMYFUNCTION("""COMPUTED_VALUE"""),-0.517011621214833)</f>
        <v>-0.51701162121483302</v>
      </c>
      <c r="IJ79" s="3">
        <f ca="1">IFERROR(__xludf.DUMMYFUNCTION("""COMPUTED_VALUE"""),-0.454880502008413)</f>
        <v>-0.45488050200841301</v>
      </c>
      <c r="IK79" s="3">
        <f ca="1">IFERROR(__xludf.DUMMYFUNCTION("""COMPUTED_VALUE"""),-0.31277210105243)</f>
        <v>-0.31277210105242997</v>
      </c>
      <c r="IL79" s="3">
        <f ca="1">IFERROR(__xludf.DUMMYFUNCTION("""COMPUTED_VALUE"""),-0.355919404708942)</f>
        <v>-0.35591940470894201</v>
      </c>
      <c r="IM79" s="3">
        <f ca="1">IFERROR(__xludf.DUMMYFUNCTION("""COMPUTED_VALUE"""),-0.430700765725132)</f>
        <v>-0.430700765725132</v>
      </c>
      <c r="IN79" s="3">
        <f ca="1">IFERROR(__xludf.DUMMYFUNCTION("""COMPUTED_VALUE"""),-0.533670341878748)</f>
        <v>-0.53367034187874796</v>
      </c>
      <c r="IO79" s="3">
        <f ca="1">IFERROR(__xludf.DUMMYFUNCTION("""COMPUTED_VALUE"""),-0.578858660737743)</f>
        <v>-0.57885866073774295</v>
      </c>
      <c r="IP79" s="3">
        <f ca="1">IFERROR(__xludf.DUMMYFUNCTION("""COMPUTED_VALUE"""),-0.608291809847939)</f>
        <v>-0.60829180984793896</v>
      </c>
      <c r="IQ79" s="3">
        <f ca="1">IFERROR(__xludf.DUMMYFUNCTION("""COMPUTED_VALUE"""),-0.571651149313753)</f>
        <v>-0.57165114931375305</v>
      </c>
      <c r="IR79" s="3">
        <f ca="1">IFERROR(__xludf.DUMMYFUNCTION("""COMPUTED_VALUE"""),-0.633874697474975)</f>
        <v>-0.63387469747497505</v>
      </c>
      <c r="IS79" s="3">
        <f ca="1">IFERROR(__xludf.DUMMYFUNCTION("""COMPUTED_VALUE"""),-0.426665528844065)</f>
        <v>-0.426665528844065</v>
      </c>
      <c r="IT79" s="3">
        <f ca="1">IFERROR(__xludf.DUMMYFUNCTION("""COMPUTED_VALUE"""),-0.381591369691585)</f>
        <v>-0.38159136969158503</v>
      </c>
      <c r="IU79" s="3">
        <f ca="1">IFERROR(__xludf.DUMMYFUNCTION("""COMPUTED_VALUE"""),-0.468374584725436)</f>
        <v>-0.46837458472543603</v>
      </c>
      <c r="IV79" s="3">
        <f ca="1">IFERROR(__xludf.DUMMYFUNCTION("""COMPUTED_VALUE"""),-0.585270314525126)</f>
        <v>-0.58527031452512601</v>
      </c>
      <c r="IW79" s="3">
        <f ca="1">IFERROR(__xludf.DUMMYFUNCTION("""COMPUTED_VALUE"""),-0.584560434915081)</f>
        <v>-0.58456043491508103</v>
      </c>
      <c r="IX79" s="3">
        <f ca="1">IFERROR(__xludf.DUMMYFUNCTION("""COMPUTED_VALUE"""),-0.542929492642811)</f>
        <v>-0.54292949264281098</v>
      </c>
      <c r="IY79" s="3">
        <f ca="1">IFERROR(__xludf.DUMMYFUNCTION("""COMPUTED_VALUE"""),-0.431344246423913)</f>
        <v>-0.431344246423913</v>
      </c>
      <c r="IZ79" s="3">
        <f ca="1">IFERROR(__xludf.DUMMYFUNCTION("""COMPUTED_VALUE"""),-0.256705056183072)</f>
        <v>-0.25670505618307199</v>
      </c>
      <c r="JA79" s="3">
        <f ca="1">IFERROR(__xludf.DUMMYFUNCTION("""COMPUTED_VALUE"""),-0.403101381200802)</f>
        <v>-0.40310138120080202</v>
      </c>
      <c r="JB79" s="3">
        <f ca="1">IFERROR(__xludf.DUMMYFUNCTION("""COMPUTED_VALUE"""),-0.543705551975316)</f>
        <v>-0.543705551975316</v>
      </c>
      <c r="JC79" s="3">
        <f ca="1">IFERROR(__xludf.DUMMYFUNCTION("""COMPUTED_VALUE"""),-0.534670051521458)</f>
        <v>-0.53467005152145797</v>
      </c>
      <c r="JD79" s="3">
        <f ca="1">IFERROR(__xludf.DUMMYFUNCTION("""COMPUTED_VALUE"""),-0.47050796206832)</f>
        <v>-0.47050796206832002</v>
      </c>
      <c r="JE79" s="3">
        <f ca="1">IFERROR(__xludf.DUMMYFUNCTION("""COMPUTED_VALUE"""),-0.500930261770627)</f>
        <v>-0.50093026177062705</v>
      </c>
      <c r="JF79" s="3">
        <f ca="1">IFERROR(__xludf.DUMMYFUNCTION("""COMPUTED_VALUE"""),-0.402399423418649)</f>
        <v>-0.40239942341864898</v>
      </c>
      <c r="JG79" s="3">
        <f ca="1">IFERROR(__xludf.DUMMYFUNCTION("""COMPUTED_VALUE"""),-0.286677761406632)</f>
        <v>-0.28667776140663198</v>
      </c>
      <c r="JH79" s="3">
        <f ca="1">IFERROR(__xludf.DUMMYFUNCTION("""COMPUTED_VALUE"""),-0.420926880363747)</f>
        <v>-0.42092688036374698</v>
      </c>
      <c r="JI79" s="3">
        <f ca="1">IFERROR(__xludf.DUMMYFUNCTION("""COMPUTED_VALUE"""),-0.467907971420253)</f>
        <v>-0.46790797142025298</v>
      </c>
      <c r="JJ79" s="3">
        <f ca="1">IFERROR(__xludf.DUMMYFUNCTION("""COMPUTED_VALUE"""),-0.58504178966602)</f>
        <v>-0.58504178966602005</v>
      </c>
      <c r="JK79" s="3">
        <f ca="1">IFERROR(__xludf.DUMMYFUNCTION("""COMPUTED_VALUE"""),-0.516377148147163)</f>
        <v>-0.51637714814716296</v>
      </c>
      <c r="JL79" s="3">
        <f ca="1">IFERROR(__xludf.DUMMYFUNCTION("""COMPUTED_VALUE"""),-0.566196731859011)</f>
        <v>-0.56619673185901098</v>
      </c>
      <c r="JM79" s="3">
        <f ca="1">IFERROR(__xludf.DUMMYFUNCTION("""COMPUTED_VALUE"""),-0.499671343366239)</f>
        <v>-0.49967134336623897</v>
      </c>
      <c r="JN79" s="3">
        <f ca="1">IFERROR(__xludf.DUMMYFUNCTION("""COMPUTED_VALUE"""),-0.334399677536986)</f>
        <v>-0.33439967753698602</v>
      </c>
      <c r="JO79" s="3">
        <f ca="1">IFERROR(__xludf.DUMMYFUNCTION("""COMPUTED_VALUE"""),-0.428635762627265)</f>
        <v>-0.42863576262726499</v>
      </c>
      <c r="JP79" s="3">
        <f ca="1">IFERROR(__xludf.DUMMYFUNCTION("""COMPUTED_VALUE"""),-0.563178549934875)</f>
        <v>-0.56317854993487504</v>
      </c>
      <c r="JQ79" s="3">
        <f ca="1">IFERROR(__xludf.DUMMYFUNCTION("""COMPUTED_VALUE"""),-0.561014720605003)</f>
        <v>-0.56101472060500301</v>
      </c>
      <c r="JR79" s="3">
        <f ca="1">IFERROR(__xludf.DUMMYFUNCTION("""COMPUTED_VALUE"""),-0.61602306759008)</f>
        <v>-0.61602306759007996</v>
      </c>
      <c r="JS79" s="3">
        <f ca="1">IFERROR(__xludf.DUMMYFUNCTION("""COMPUTED_VALUE"""),-0.59592174990618)</f>
        <v>-0.59592174990617996</v>
      </c>
      <c r="JT79" s="3">
        <f ca="1">IFERROR(__xludf.DUMMYFUNCTION("""COMPUTED_VALUE"""),-0.412082622536721)</f>
        <v>-0.41208262253672101</v>
      </c>
      <c r="JU79" s="3">
        <f ca="1">IFERROR(__xludf.DUMMYFUNCTION("""COMPUTED_VALUE"""),-0.408166020064521)</f>
        <v>-0.40816602006452102</v>
      </c>
      <c r="JV79" s="3">
        <f ca="1">IFERROR(__xludf.DUMMYFUNCTION("""COMPUTED_VALUE"""),-0.452703289577174)</f>
        <v>-0.45270328957717398</v>
      </c>
      <c r="JW79" s="3">
        <f ca="1">IFERROR(__xludf.DUMMYFUNCTION("""COMPUTED_VALUE"""),-0.561422830093919)</f>
        <v>-0.56142283009391902</v>
      </c>
      <c r="JX79" s="3">
        <f ca="1">IFERROR(__xludf.DUMMYFUNCTION("""COMPUTED_VALUE"""),-0.572680883394467)</f>
        <v>-0.57268088339446699</v>
      </c>
      <c r="JY79" s="3">
        <f ca="1">IFERROR(__xludf.DUMMYFUNCTION("""COMPUTED_VALUE"""),-0.727400459390935)</f>
        <v>-0.72740045939093501</v>
      </c>
      <c r="JZ79" s="3">
        <f ca="1">IFERROR(__xludf.DUMMYFUNCTION("""COMPUTED_VALUE"""),-0.503353763344112)</f>
        <v>-0.50335376334411197</v>
      </c>
      <c r="KA79" s="3">
        <f ca="1">IFERROR(__xludf.DUMMYFUNCTION("""COMPUTED_VALUE"""),-0.470681443913814)</f>
        <v>-0.470681443913814</v>
      </c>
      <c r="KB79" s="3">
        <f ca="1">IFERROR(__xludf.DUMMYFUNCTION("""COMPUTED_VALUE"""),-0.35721400662124)</f>
        <v>-0.35721400662123998</v>
      </c>
      <c r="KC79" s="3">
        <f ca="1">IFERROR(__xludf.DUMMYFUNCTION("""COMPUTED_VALUE"""),-0.468449713043429)</f>
        <v>-0.46844971304342897</v>
      </c>
      <c r="KD79" s="3">
        <f ca="1">IFERROR(__xludf.DUMMYFUNCTION("""COMPUTED_VALUE"""),-0.545937204335933)</f>
        <v>-0.54593720433593296</v>
      </c>
      <c r="KE79" s="3">
        <f ca="1">IFERROR(__xludf.DUMMYFUNCTION("""COMPUTED_VALUE"""),-0.59387883417172)</f>
        <v>-0.59387883417172005</v>
      </c>
      <c r="KF79" s="3">
        <f ca="1">IFERROR(__xludf.DUMMYFUNCTION("""COMPUTED_VALUE"""),-0.66976228511308)</f>
        <v>-0.66976228511308</v>
      </c>
      <c r="KG79" s="3">
        <f ca="1">IFERROR(__xludf.DUMMYFUNCTION("""COMPUTED_VALUE"""),-0.619778409687866)</f>
        <v>-0.61977840968786602</v>
      </c>
      <c r="KH79" s="3">
        <f ca="1">IFERROR(__xludf.DUMMYFUNCTION("""COMPUTED_VALUE"""),-0.428929882753213)</f>
        <v>-0.42892988275321298</v>
      </c>
      <c r="KI79" s="3">
        <f ca="1">IFERROR(__xludf.DUMMYFUNCTION("""COMPUTED_VALUE"""),-0.29560360641012)</f>
        <v>-0.29560360641012001</v>
      </c>
      <c r="KJ79" s="3">
        <f ca="1">IFERROR(__xludf.DUMMYFUNCTION("""COMPUTED_VALUE"""),-0.467310175480717)</f>
        <v>-0.46731017548071702</v>
      </c>
      <c r="KK79" s="3">
        <f ca="1">IFERROR(__xludf.DUMMYFUNCTION("""COMPUTED_VALUE"""),-0.61305784933954)</f>
        <v>-0.61305784933954</v>
      </c>
      <c r="KL79" s="3">
        <f ca="1">IFERROR(__xludf.DUMMYFUNCTION("""COMPUTED_VALUE"""),-0.599653222578863)</f>
        <v>-0.599653222578863</v>
      </c>
      <c r="KM79" s="3">
        <f ca="1">IFERROR(__xludf.DUMMYFUNCTION("""COMPUTED_VALUE"""),-0.621482340856066)</f>
        <v>-0.62148234085606602</v>
      </c>
      <c r="KN79" s="3">
        <f ca="1">IFERROR(__xludf.DUMMYFUNCTION("""COMPUTED_VALUE"""),-0.557145503239644)</f>
        <v>-0.55714550323964396</v>
      </c>
      <c r="KO79" s="3">
        <f ca="1">IFERROR(__xludf.DUMMYFUNCTION("""COMPUTED_VALUE"""),-0.602382115286359)</f>
        <v>-0.60238211528635899</v>
      </c>
      <c r="KP79" s="3">
        <f ca="1">IFERROR(__xludf.DUMMYFUNCTION("""COMPUTED_VALUE"""),-0.365711037136978)</f>
        <v>-0.365711037136978</v>
      </c>
      <c r="KQ79" s="3">
        <f ca="1">IFERROR(__xludf.DUMMYFUNCTION("""COMPUTED_VALUE"""),-0.495577303068951)</f>
        <v>-0.49557730306895098</v>
      </c>
      <c r="KR79" s="3">
        <f ca="1">IFERROR(__xludf.DUMMYFUNCTION("""COMPUTED_VALUE"""),-0.644730787167809)</f>
        <v>-0.64473078716780896</v>
      </c>
      <c r="KS79" s="3">
        <f ca="1">IFERROR(__xludf.DUMMYFUNCTION("""COMPUTED_VALUE"""),-0.640019682035556)</f>
        <v>-0.64001968203555604</v>
      </c>
      <c r="KT79" s="3">
        <f ca="1">IFERROR(__xludf.DUMMYFUNCTION("""COMPUTED_VALUE"""),-0.686552058212274)</f>
        <v>-0.68655205821227405</v>
      </c>
      <c r="KU79" s="3">
        <f ca="1">IFERROR(__xludf.DUMMYFUNCTION("""COMPUTED_VALUE"""),-0.607772862954881)</f>
        <v>-0.60777286295488098</v>
      </c>
      <c r="KV79" s="3">
        <f ca="1">IFERROR(__xludf.DUMMYFUNCTION("""COMPUTED_VALUE"""),-0.590482078910684)</f>
        <v>-0.59048207891068405</v>
      </c>
      <c r="KW79" s="3">
        <f ca="1">IFERROR(__xludf.DUMMYFUNCTION("""COMPUTED_VALUE"""),-0.399210337070423)</f>
        <v>-0.39921033707042303</v>
      </c>
      <c r="KX79" s="3">
        <f ca="1">IFERROR(__xludf.DUMMYFUNCTION("""COMPUTED_VALUE"""),-0.666103506515672)</f>
        <v>-0.66610350651567196</v>
      </c>
      <c r="KY79" s="3">
        <f ca="1">IFERROR(__xludf.DUMMYFUNCTION("""COMPUTED_VALUE"""),-0.629308083591955)</f>
        <v>-0.629308083591955</v>
      </c>
      <c r="KZ79" s="3">
        <f ca="1">IFERROR(__xludf.DUMMYFUNCTION("""COMPUTED_VALUE"""),-0.65997478204866)</f>
        <v>-0.65997478204866</v>
      </c>
      <c r="LA79" s="3">
        <f ca="1">IFERROR(__xludf.DUMMYFUNCTION("""COMPUTED_VALUE"""),-0.624676045064525)</f>
        <v>-0.62467604506452501</v>
      </c>
      <c r="LB79" s="3">
        <f ca="1">IFERROR(__xludf.DUMMYFUNCTION("""COMPUTED_VALUE"""),-0.70928787178698)</f>
        <v>-0.70928787178698005</v>
      </c>
      <c r="LC79" s="3">
        <f ca="1">IFERROR(__xludf.DUMMYFUNCTION("""COMPUTED_VALUE"""),-0.683062113968988)</f>
        <v>-0.68306211396898797</v>
      </c>
      <c r="LD79" s="3">
        <f ca="1">IFERROR(__xludf.DUMMYFUNCTION("""COMPUTED_VALUE"""),-0.493496873815982)</f>
        <v>-0.49349687381598201</v>
      </c>
      <c r="LE79" s="3">
        <f ca="1">IFERROR(__xludf.DUMMYFUNCTION("""COMPUTED_VALUE"""),-0.695605109281195)</f>
        <v>-0.69560510928119501</v>
      </c>
      <c r="LF79" s="3">
        <f ca="1">IFERROR(__xludf.DUMMYFUNCTION("""COMPUTED_VALUE"""),-0.742812446802482)</f>
        <v>-0.74281244680248204</v>
      </c>
      <c r="LG79" s="3">
        <f ca="1">IFERROR(__xludf.DUMMYFUNCTION("""COMPUTED_VALUE"""),-0.646830152085389)</f>
        <v>-0.64683015208538897</v>
      </c>
      <c r="LH79" s="3">
        <f ca="1">IFERROR(__xludf.DUMMYFUNCTION("""COMPUTED_VALUE"""),-0.633402650341825)</f>
        <v>-0.63340265034182497</v>
      </c>
      <c r="LI79" s="3">
        <f ca="1">IFERROR(__xludf.DUMMYFUNCTION("""COMPUTED_VALUE"""),-0.712846415090739)</f>
        <v>-0.71284641509073898</v>
      </c>
      <c r="LJ79" s="3">
        <f ca="1">IFERROR(__xludf.DUMMYFUNCTION("""COMPUTED_VALUE"""),-0.514248476462534)</f>
        <v>-0.51424847646253402</v>
      </c>
      <c r="LK79" s="3">
        <f ca="1">IFERROR(__xludf.DUMMYFUNCTION("""COMPUTED_VALUE"""),-0.646788766386626)</f>
        <v>-0.64678876638662597</v>
      </c>
      <c r="LL79" s="3">
        <f ca="1">IFERROR(__xludf.DUMMYFUNCTION("""COMPUTED_VALUE"""),-0.620338251811151)</f>
        <v>-0.62033825181115099</v>
      </c>
      <c r="LM79" s="3">
        <f ca="1">IFERROR(__xludf.DUMMYFUNCTION("""COMPUTED_VALUE"""),-0.69106999431998)</f>
        <v>-0.69106999431997995</v>
      </c>
      <c r="LN79" s="3">
        <f ca="1">IFERROR(__xludf.DUMMYFUNCTION("""COMPUTED_VALUE"""),-0.696783202626314)</f>
        <v>-0.69678320262631399</v>
      </c>
      <c r="LO79" s="3">
        <f ca="1">IFERROR(__xludf.DUMMYFUNCTION("""COMPUTED_VALUE"""),-0.729822590684854)</f>
        <v>-0.729822590684854</v>
      </c>
      <c r="LP79" s="3">
        <f ca="1">IFERROR(__xludf.DUMMYFUNCTION("""COMPUTED_VALUE"""),-0.725623132482635)</f>
        <v>-0.72562313248263499</v>
      </c>
      <c r="LQ79" s="3">
        <f ca="1">IFERROR(__xludf.DUMMYFUNCTION("""COMPUTED_VALUE"""),-0.902244194863375)</f>
        <v>-0.90224419486337504</v>
      </c>
      <c r="LR79" s="3">
        <f ca="1">IFERROR(__xludf.DUMMYFUNCTION("""COMPUTED_VALUE"""),-0.668628691879259)</f>
        <v>-0.668628691879259</v>
      </c>
      <c r="LS79" s="3">
        <f ca="1">IFERROR(__xludf.DUMMYFUNCTION("""COMPUTED_VALUE"""),-0.688724185455582)</f>
        <v>-0.68872418545558201</v>
      </c>
      <c r="LT79" s="3">
        <f ca="1">IFERROR(__xludf.DUMMYFUNCTION("""COMPUTED_VALUE"""),-0.761872574876334)</f>
        <v>-0.76187257487633397</v>
      </c>
      <c r="LU79" s="3">
        <f ca="1">IFERROR(__xludf.DUMMYFUNCTION("""COMPUTED_VALUE"""),-0.756820317327844)</f>
        <v>-0.75682031732784405</v>
      </c>
      <c r="LV79" s="3">
        <f ca="1">IFERROR(__xludf.DUMMYFUNCTION("""COMPUTED_VALUE"""),-0.768718242671632)</f>
        <v>-0.76871824267163202</v>
      </c>
      <c r="LW79" s="3">
        <f ca="1">IFERROR(__xludf.DUMMYFUNCTION("""COMPUTED_VALUE"""),-0.76071547446323)</f>
        <v>-0.76071547446322996</v>
      </c>
      <c r="LX79" s="3">
        <f ca="1">IFERROR(__xludf.DUMMYFUNCTION("""COMPUTED_VALUE"""),-0.674250172103507)</f>
        <v>-0.67425017210350702</v>
      </c>
      <c r="LY79" s="3">
        <f ca="1">IFERROR(__xludf.DUMMYFUNCTION("""COMPUTED_VALUE"""),-0.651451556586098)</f>
        <v>-0.65145155658609799</v>
      </c>
      <c r="LZ79" s="3">
        <f ca="1">IFERROR(__xludf.DUMMYFUNCTION("""COMPUTED_VALUE"""),-0.723696858732263)</f>
        <v>-0.72369685873226297</v>
      </c>
      <c r="MA79" s="3">
        <f ca="1">IFERROR(__xludf.DUMMYFUNCTION("""COMPUTED_VALUE"""),-0.748535398793813)</f>
        <v>-0.74853539879381303</v>
      </c>
      <c r="MB79" s="3">
        <f ca="1">IFERROR(__xludf.DUMMYFUNCTION("""COMPUTED_VALUE"""),-0.724606865896744)</f>
        <v>-0.72460686589674395</v>
      </c>
      <c r="MC79" s="3">
        <f ca="1">IFERROR(__xludf.DUMMYFUNCTION("""COMPUTED_VALUE"""),-0.780526830721292)</f>
        <v>-0.78052683072129203</v>
      </c>
      <c r="MD79" s="3">
        <f ca="1">IFERROR(__xludf.DUMMYFUNCTION("""COMPUTED_VALUE"""),-0.694539867661775)</f>
        <v>-0.694539867661775</v>
      </c>
      <c r="ME79" s="3">
        <f ca="1">IFERROR(__xludf.DUMMYFUNCTION("""COMPUTED_VALUE"""),-0.706095889730955)</f>
        <v>-0.70609588973095505</v>
      </c>
      <c r="MF79" s="3">
        <f ca="1">IFERROR(__xludf.DUMMYFUNCTION("""COMPUTED_VALUE"""),-0.701466293346774)</f>
        <v>-0.70146629334677402</v>
      </c>
      <c r="MG79" s="3">
        <f ca="1">IFERROR(__xludf.DUMMYFUNCTION("""COMPUTED_VALUE"""),-0.69965086548463)</f>
        <v>-0.69965086548462996</v>
      </c>
      <c r="MH79" s="3">
        <f ca="1">IFERROR(__xludf.DUMMYFUNCTION("""COMPUTED_VALUE"""),-0.730818393794733)</f>
        <v>-0.73081839379473301</v>
      </c>
      <c r="MI79" s="3">
        <f ca="1">IFERROR(__xludf.DUMMYFUNCTION("""COMPUTED_VALUE"""),-0.712545085188869)</f>
        <v>-0.71254508518886905</v>
      </c>
      <c r="MJ79" s="3">
        <f ca="1">IFERROR(__xludf.DUMMYFUNCTION("""COMPUTED_VALUE"""),-0.726202892265999)</f>
        <v>-0.72620289226599899</v>
      </c>
      <c r="MK79" s="3">
        <f ca="1">IFERROR(__xludf.DUMMYFUNCTION("""COMPUTED_VALUE"""),-0.736228736635841)</f>
        <v>-0.73622873663584099</v>
      </c>
      <c r="ML79" s="3">
        <f ca="1">IFERROR(__xludf.DUMMYFUNCTION("""COMPUTED_VALUE"""),-0.707097949815576)</f>
        <v>-0.70709794981557605</v>
      </c>
      <c r="MM79" s="3">
        <f ca="1">IFERROR(__xludf.DUMMYFUNCTION("""COMPUTED_VALUE"""),-0.672656856833393)</f>
        <v>-0.67265685683339305</v>
      </c>
      <c r="MN79" s="3">
        <f ca="1">IFERROR(__xludf.DUMMYFUNCTION("""COMPUTED_VALUE"""),-0.741720828372456)</f>
        <v>-0.74172082837245601</v>
      </c>
      <c r="MO79" s="3">
        <f ca="1">IFERROR(__xludf.DUMMYFUNCTION("""COMPUTED_VALUE"""),-0.642834348026948)</f>
        <v>-0.64283434802694805</v>
      </c>
      <c r="MP79" s="3">
        <f ca="1">IFERROR(__xludf.DUMMYFUNCTION("""COMPUTED_VALUE"""),-0.782775438955097)</f>
        <v>-0.78277543895509705</v>
      </c>
      <c r="MQ79" s="3">
        <f ca="1">IFERROR(__xludf.DUMMYFUNCTION("""COMPUTED_VALUE"""),-0.730160062091862)</f>
        <v>-0.73016006209186202</v>
      </c>
      <c r="MR79" s="3">
        <f ca="1">IFERROR(__xludf.DUMMYFUNCTION("""COMPUTED_VALUE"""),-0.750786330865693)</f>
        <v>-0.75078633086569302</v>
      </c>
      <c r="MS79" s="3">
        <f ca="1">IFERROR(__xludf.DUMMYFUNCTION("""COMPUTED_VALUE"""),-0.633600510190601)</f>
        <v>-0.63360051019060104</v>
      </c>
      <c r="MT79" s="3">
        <f ca="1">IFERROR(__xludf.DUMMYFUNCTION("""COMPUTED_VALUE"""),-0.588120611062663)</f>
        <v>-0.588120611062663</v>
      </c>
      <c r="MU79" s="3">
        <f ca="1">IFERROR(__xludf.DUMMYFUNCTION("""COMPUTED_VALUE"""),-0.72737906084033)</f>
        <v>-0.72737906084032999</v>
      </c>
      <c r="MV79" s="3">
        <f ca="1">IFERROR(__xludf.DUMMYFUNCTION("""COMPUTED_VALUE"""),-0.738633248405708)</f>
        <v>-0.73863324840570799</v>
      </c>
      <c r="MW79" s="3">
        <f ca="1">IFERROR(__xludf.DUMMYFUNCTION("""COMPUTED_VALUE"""),-0.857172525683503)</f>
        <v>-0.85717252568350299</v>
      </c>
      <c r="MX79" s="3">
        <f ca="1">IFERROR(__xludf.DUMMYFUNCTION("""COMPUTED_VALUE"""),-0.835231040513124)</f>
        <v>-0.83523104051312402</v>
      </c>
      <c r="MY79" s="3">
        <f ca="1">IFERROR(__xludf.DUMMYFUNCTION("""COMPUTED_VALUE"""),-0.827659681202951)</f>
        <v>-0.82765968120295097</v>
      </c>
      <c r="MZ79" s="3">
        <f ca="1">IFERROR(__xludf.DUMMYFUNCTION("""COMPUTED_VALUE"""),-0.768412887893246)</f>
        <v>-0.76841288789324602</v>
      </c>
      <c r="NA79" s="3">
        <f ca="1">IFERROR(__xludf.DUMMYFUNCTION("""COMPUTED_VALUE"""),-0.900897962706334)</f>
        <v>-0.90089796270633404</v>
      </c>
      <c r="NB79" s="3">
        <f ca="1">IFERROR(__xludf.DUMMYFUNCTION("""COMPUTED_VALUE"""),-0.823158389591635)</f>
        <v>-0.82315838959163501</v>
      </c>
      <c r="NC79" s="3">
        <f ca="1">IFERROR(__xludf.DUMMYFUNCTION("""COMPUTED_VALUE"""),-0.957535236418418)</f>
        <v>-0.95753523641841798</v>
      </c>
      <c r="ND79" s="3">
        <f ca="1">IFERROR(__xludf.DUMMYFUNCTION("""COMPUTED_VALUE"""),-0.821525284555021)</f>
        <v>-0.82152528455502105</v>
      </c>
      <c r="NE79" s="3">
        <f ca="1">IFERROR(__xludf.DUMMYFUNCTION("""COMPUTED_VALUE"""),-0.835060875050201)</f>
        <v>-0.83506087505020099</v>
      </c>
      <c r="NF79" s="3">
        <f ca="1">IFERROR(__xludf.DUMMYFUNCTION("""COMPUTED_VALUE"""),-0.80777154718765)</f>
        <v>-0.80777154718764999</v>
      </c>
      <c r="NG79" s="3">
        <f ca="1">IFERROR(__xludf.DUMMYFUNCTION("""COMPUTED_VALUE"""),-0.804945587790153)</f>
        <v>-0.80494558779015302</v>
      </c>
      <c r="NH79" s="3">
        <f ca="1">IFERROR(__xludf.DUMMYFUNCTION("""COMPUTED_VALUE"""),-0.793527265085217)</f>
        <v>-0.79352726508521698</v>
      </c>
      <c r="NI79" s="3">
        <f ca="1">IFERROR(__xludf.DUMMYFUNCTION("""COMPUTED_VALUE"""),-0.798433381491985)</f>
        <v>-0.79843338149198495</v>
      </c>
      <c r="NJ79" s="3">
        <f ca="1">IFERROR(__xludf.DUMMYFUNCTION("""COMPUTED_VALUE"""),-0.848896690882342)</f>
        <v>-0.84889669088234199</v>
      </c>
      <c r="NK79" s="3">
        <f ca="1">IFERROR(__xludf.DUMMYFUNCTION("""COMPUTED_VALUE"""),-0.830700332793118)</f>
        <v>-0.83070033279311795</v>
      </c>
      <c r="NL79" s="3">
        <f ca="1">IFERROR(__xludf.DUMMYFUNCTION("""COMPUTED_VALUE"""),-0.824000904024252)</f>
        <v>-0.82400090402425197</v>
      </c>
      <c r="NM79" s="3">
        <f ca="1">IFERROR(__xludf.DUMMYFUNCTION("""COMPUTED_VALUE"""),-0.804101384659224)</f>
        <v>-0.80410138465922398</v>
      </c>
      <c r="NN79" s="3">
        <f ca="1">IFERROR(__xludf.DUMMYFUNCTION("""COMPUTED_VALUE"""),-0.807532185985401)</f>
        <v>-0.807532185985401</v>
      </c>
      <c r="NO79" s="3">
        <f ca="1">IFERROR(__xludf.DUMMYFUNCTION("""COMPUTED_VALUE"""),-0.791756450418635)</f>
        <v>-0.79175645041863496</v>
      </c>
      <c r="NP79" s="3">
        <f ca="1">IFERROR(__xludf.DUMMYFUNCTION("""COMPUTED_VALUE"""),-0.776452033637358)</f>
        <v>-0.77645203363735804</v>
      </c>
      <c r="NQ79" s="3">
        <f ca="1">IFERROR(__xludf.DUMMYFUNCTION("""COMPUTED_VALUE"""),-0.839049902384305)</f>
        <v>-0.83904990238430499</v>
      </c>
      <c r="NR79" s="3">
        <f ca="1">IFERROR(__xludf.DUMMYFUNCTION("""COMPUTED_VALUE"""),-0.856549959602817)</f>
        <v>-0.85654995960281699</v>
      </c>
      <c r="NS79" s="3">
        <f ca="1">IFERROR(__xludf.DUMMYFUNCTION("""COMPUTED_VALUE"""),-0.813497817430569)</f>
        <v>-0.81349781743056904</v>
      </c>
      <c r="NT79" s="3">
        <f ca="1">IFERROR(__xludf.DUMMYFUNCTION("""COMPUTED_VALUE"""),-0.756724098351704)</f>
        <v>-0.75672409835170396</v>
      </c>
      <c r="NU79" s="3">
        <f ca="1">IFERROR(__xludf.DUMMYFUNCTION("""COMPUTED_VALUE"""),-0.768235905081478)</f>
        <v>-0.76823590508147799</v>
      </c>
      <c r="NV79" s="3">
        <f ca="1">IFERROR(__xludf.DUMMYFUNCTION("""COMPUTED_VALUE"""),-0.715501557732537)</f>
        <v>-0.71550155773253699</v>
      </c>
      <c r="NW79" s="3">
        <f ca="1">IFERROR(__xludf.DUMMYFUNCTION("""COMPUTED_VALUE"""),-0.617870693875782)</f>
        <v>-0.61787069387578197</v>
      </c>
      <c r="NX79" s="3">
        <f ca="1">IFERROR(__xludf.DUMMYFUNCTION("""COMPUTED_VALUE"""),-0.72903848993033)</f>
        <v>-0.72903848993033005</v>
      </c>
      <c r="NY79" s="3">
        <f ca="1">IFERROR(__xludf.DUMMYFUNCTION("""COMPUTED_VALUE"""),-0.715371085475522)</f>
        <v>-0.71537108547552197</v>
      </c>
      <c r="NZ79" s="3">
        <f ca="1">IFERROR(__xludf.DUMMYFUNCTION("""COMPUTED_VALUE"""),-0.686184134867538)</f>
        <v>-0.68618413486753804</v>
      </c>
      <c r="OA79" s="3">
        <f ca="1">IFERROR(__xludf.DUMMYFUNCTION("""COMPUTED_VALUE"""),-0.648554048636498)</f>
        <v>-0.64855404863649802</v>
      </c>
      <c r="OB79" s="3">
        <f ca="1">IFERROR(__xludf.DUMMYFUNCTION("""COMPUTED_VALUE"""),-0.522544312162091)</f>
        <v>-0.52254431216209096</v>
      </c>
      <c r="OC79" s="3">
        <f ca="1">IFERROR(__xludf.DUMMYFUNCTION("""COMPUTED_VALUE"""),-0.376601593546361)</f>
        <v>-0.37660159354636102</v>
      </c>
      <c r="OD79" s="3">
        <f ca="1">IFERROR(__xludf.DUMMYFUNCTION("""COMPUTED_VALUE"""),-0.416611673101454)</f>
        <v>-0.41661167310145403</v>
      </c>
      <c r="OE79" s="3">
        <f ca="1">IFERROR(__xludf.DUMMYFUNCTION("""COMPUTED_VALUE"""),-0.143073913385154)</f>
        <v>-0.14307391338515399</v>
      </c>
      <c r="OF79" s="3">
        <f ca="1">IFERROR(__xludf.DUMMYFUNCTION("""COMPUTED_VALUE"""),-0.087592476071009)</f>
        <v>-8.7592476071009007E-2</v>
      </c>
      <c r="OG79" s="3">
        <f ca="1">IFERROR(__xludf.DUMMYFUNCTION("""COMPUTED_VALUE"""),0.0292820707901835)</f>
        <v>2.9282070790183499E-2</v>
      </c>
      <c r="OH79" s="3">
        <f ca="1">IFERROR(__xludf.DUMMYFUNCTION("""COMPUTED_VALUE"""),0.084583252379095)</f>
        <v>8.4583252379095003E-2</v>
      </c>
      <c r="OI79" s="3">
        <f ca="1">IFERROR(__xludf.DUMMYFUNCTION("""COMPUTED_VALUE"""),-0.050672252220779)</f>
        <v>-5.0672252220779E-2</v>
      </c>
      <c r="OJ79" s="3">
        <f ca="1">IFERROR(__xludf.DUMMYFUNCTION("""COMPUTED_VALUE"""),-0.156800582875255)</f>
        <v>-0.156800582875255</v>
      </c>
      <c r="OK79" s="3">
        <f ca="1">IFERROR(__xludf.DUMMYFUNCTION("""COMPUTED_VALUE"""),-0.11200259297988)</f>
        <v>-0.11200259297987999</v>
      </c>
      <c r="OL79" s="3">
        <f ca="1">IFERROR(__xludf.DUMMYFUNCTION("""COMPUTED_VALUE"""),0.122551424611261)</f>
        <v>0.12255142461126101</v>
      </c>
      <c r="OM79" s="3">
        <f ca="1">IFERROR(__xludf.DUMMYFUNCTION("""COMPUTED_VALUE"""),0.167762621808481)</f>
        <v>0.16776262180848101</v>
      </c>
      <c r="ON79" s="3">
        <f ca="1">IFERROR(__xludf.DUMMYFUNCTION("""COMPUTED_VALUE"""),0.138850492869436)</f>
        <v>0.13885049286943599</v>
      </c>
      <c r="OO79" s="3">
        <f ca="1">IFERROR(__xludf.DUMMYFUNCTION("""COMPUTED_VALUE"""),0.154782640692374)</f>
        <v>0.15478264069237399</v>
      </c>
      <c r="OP79" s="3">
        <f ca="1">IFERROR(__xludf.DUMMYFUNCTION("""COMPUTED_VALUE"""),0.316463535975229)</f>
        <v>0.31646353597522903</v>
      </c>
      <c r="OQ79" s="3">
        <f ca="1">IFERROR(__xludf.DUMMYFUNCTION("""COMPUTED_VALUE"""),-0.0116465766633797)</f>
        <v>-1.1646576663379701E-2</v>
      </c>
      <c r="OR79" s="3">
        <f ca="1">IFERROR(__xludf.DUMMYFUNCTION("""COMPUTED_VALUE"""),-0.130168099058058)</f>
        <v>-0.13016809905805801</v>
      </c>
      <c r="OS79" s="3">
        <f ca="1">IFERROR(__xludf.DUMMYFUNCTION("""COMPUTED_VALUE"""),-0.289220403502344)</f>
        <v>-0.28922040350234401</v>
      </c>
      <c r="OT79" s="3">
        <f ca="1">IFERROR(__xludf.DUMMYFUNCTION("""COMPUTED_VALUE"""),-0.235341802393597)</f>
        <v>-0.235341802393597</v>
      </c>
      <c r="OU79" s="3">
        <f ca="1">IFERROR(__xludf.DUMMYFUNCTION("""COMPUTED_VALUE"""),-0.210119180679266)</f>
        <v>-0.21011918067926599</v>
      </c>
      <c r="OV79" s="3">
        <f ca="1">IFERROR(__xludf.DUMMYFUNCTION("""COMPUTED_VALUE"""),-0.209512368068755)</f>
        <v>-0.20951236806875501</v>
      </c>
      <c r="OW79" s="3">
        <f ca="1">IFERROR(__xludf.DUMMYFUNCTION("""COMPUTED_VALUE"""),0.12186939825287)</f>
        <v>0.12186939825287001</v>
      </c>
      <c r="OX79" s="3">
        <f ca="1">IFERROR(__xludf.DUMMYFUNCTION("""COMPUTED_VALUE"""),-0.052236476848244)</f>
        <v>-5.2236476848244E-2</v>
      </c>
      <c r="OY79" s="3">
        <f ca="1">IFERROR(__xludf.DUMMYFUNCTION("""COMPUTED_VALUE"""),0.0792139590094058)</f>
        <v>7.9213959009405796E-2</v>
      </c>
      <c r="OZ79" s="3">
        <f ca="1">IFERROR(__xludf.DUMMYFUNCTION("""COMPUTED_VALUE"""),0.0563526678548058)</f>
        <v>5.6352667854805798E-2</v>
      </c>
      <c r="PA79" s="3">
        <f ca="1">IFERROR(__xludf.DUMMYFUNCTION("""COMPUTED_VALUE"""),0.21601803286016)</f>
        <v>0.21601803286016</v>
      </c>
      <c r="PB79" s="3">
        <f ca="1">IFERROR(__xludf.DUMMYFUNCTION("""COMPUTED_VALUE"""),0.107218679756107)</f>
        <v>0.10721867975610699</v>
      </c>
      <c r="PC79" s="3">
        <f ca="1">IFERROR(__xludf.DUMMYFUNCTION("""COMPUTED_VALUE"""),0.397796591187236)</f>
        <v>0.39779659118723598</v>
      </c>
      <c r="PD79" s="3">
        <f ca="1">IFERROR(__xludf.DUMMYFUNCTION("""COMPUTED_VALUE"""),-0.363453156358245)</f>
        <v>-0.36345315635824499</v>
      </c>
      <c r="PE79" s="3">
        <f ca="1">IFERROR(__xludf.DUMMYFUNCTION("""COMPUTED_VALUE"""),-0.073128987345893)</f>
        <v>-7.3128987345893001E-2</v>
      </c>
      <c r="PF79" s="3">
        <f ca="1">IFERROR(__xludf.DUMMYFUNCTION("""COMPUTED_VALUE"""),-0.145762033042782)</f>
        <v>-0.14576203304278201</v>
      </c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</row>
    <row r="80" spans="1:594" ht="13">
      <c r="A80" s="1" t="str">
        <f ca="1">IFERROR(__xludf.DUMMYFUNCTION("""COMPUTED_VALUE"""),"St. Louis")</f>
        <v>St. Louis</v>
      </c>
      <c r="B80" s="3">
        <f ca="1">IFERROR(__xludf.DUMMYFUNCTION("""COMPUTED_VALUE"""),-0.490120924560952)</f>
        <v>-0.49012092456095202</v>
      </c>
      <c r="C80" s="3">
        <f ca="1">IFERROR(__xludf.DUMMYFUNCTION("""COMPUTED_VALUE"""),-0.446268054842528)</f>
        <v>-0.44626805484252802</v>
      </c>
      <c r="D80" s="3">
        <f ca="1">IFERROR(__xludf.DUMMYFUNCTION("""COMPUTED_VALUE"""),-0.454342724672782)</f>
        <v>-0.45434272467278197</v>
      </c>
      <c r="E80" s="3">
        <f ca="1">IFERROR(__xludf.DUMMYFUNCTION("""COMPUTED_VALUE"""),-0.488051989455506)</f>
        <v>-0.48805198945550599</v>
      </c>
      <c r="F80" s="3">
        <f ca="1">IFERROR(__xludf.DUMMYFUNCTION("""COMPUTED_VALUE"""),-0.447735871515704)</f>
        <v>-0.44773587151570399</v>
      </c>
      <c r="G80" s="3">
        <f ca="1">IFERROR(__xludf.DUMMYFUNCTION("""COMPUTED_VALUE"""),-0.444607291883646)</f>
        <v>-0.44460729188364601</v>
      </c>
      <c r="H80" s="3">
        <f ca="1">IFERROR(__xludf.DUMMYFUNCTION("""COMPUTED_VALUE"""),-0.450812614689096)</f>
        <v>-0.450812614689096</v>
      </c>
      <c r="I80" s="3">
        <f ca="1">IFERROR(__xludf.DUMMYFUNCTION("""COMPUTED_VALUE"""),-0.423302138971548)</f>
        <v>-0.423302138971548</v>
      </c>
      <c r="J80" s="3">
        <f ca="1">IFERROR(__xludf.DUMMYFUNCTION("""COMPUTED_VALUE"""),-0.488753584279729)</f>
        <v>-0.48875358427972898</v>
      </c>
      <c r="K80" s="3">
        <f ca="1">IFERROR(__xludf.DUMMYFUNCTION("""COMPUTED_VALUE"""),-0.447182250284845)</f>
        <v>-0.44718225028484498</v>
      </c>
      <c r="L80" s="3">
        <f ca="1">IFERROR(__xludf.DUMMYFUNCTION("""COMPUTED_VALUE"""),-0.471653679396427)</f>
        <v>-0.47165367939642699</v>
      </c>
      <c r="M80" s="3">
        <f ca="1">IFERROR(__xludf.DUMMYFUNCTION("""COMPUTED_VALUE"""),-0.455169806216646)</f>
        <v>-0.45516980621664599</v>
      </c>
      <c r="N80" s="3">
        <f ca="1">IFERROR(__xludf.DUMMYFUNCTION("""COMPUTED_VALUE"""),-0.458259058600803)</f>
        <v>-0.45825905860080302</v>
      </c>
      <c r="O80" s="3">
        <f ca="1">IFERROR(__xludf.DUMMYFUNCTION("""COMPUTED_VALUE"""),-0.428357947790485)</f>
        <v>-0.42835794779048503</v>
      </c>
      <c r="P80" s="3">
        <f ca="1">IFERROR(__xludf.DUMMYFUNCTION("""COMPUTED_VALUE"""),-0.457188367528291)</f>
        <v>-0.45718836752829101</v>
      </c>
      <c r="Q80" s="3">
        <f ca="1">IFERROR(__xludf.DUMMYFUNCTION("""COMPUTED_VALUE"""),-0.452090275449516)</f>
        <v>-0.45209027544951602</v>
      </c>
      <c r="R80" s="3">
        <f ca="1">IFERROR(__xludf.DUMMYFUNCTION("""COMPUTED_VALUE"""),-0.470613788869212)</f>
        <v>-0.47061378886921201</v>
      </c>
      <c r="S80" s="3">
        <f ca="1">IFERROR(__xludf.DUMMYFUNCTION("""COMPUTED_VALUE"""),-0.44212120815682)</f>
        <v>-0.44212120815681999</v>
      </c>
      <c r="T80" s="3">
        <f ca="1">IFERROR(__xludf.DUMMYFUNCTION("""COMPUTED_VALUE"""),-0.485720457757873)</f>
        <v>-0.48572045775787298</v>
      </c>
      <c r="U80" s="3">
        <f ca="1">IFERROR(__xludf.DUMMYFUNCTION("""COMPUTED_VALUE"""),-0.398967632877692)</f>
        <v>-0.39896763287769199</v>
      </c>
      <c r="V80" s="3">
        <f ca="1">IFERROR(__xludf.DUMMYFUNCTION("""COMPUTED_VALUE"""),-0.353917446662246)</f>
        <v>-0.353917446662246</v>
      </c>
      <c r="W80" s="3">
        <f ca="1">IFERROR(__xludf.DUMMYFUNCTION("""COMPUTED_VALUE"""),-0.394584531912313)</f>
        <v>-0.39458453191231302</v>
      </c>
      <c r="X80" s="3">
        <f ca="1">IFERROR(__xludf.DUMMYFUNCTION("""COMPUTED_VALUE"""),-0.391460691988276)</f>
        <v>-0.39146069198827599</v>
      </c>
      <c r="Y80" s="3">
        <f ca="1">IFERROR(__xludf.DUMMYFUNCTION("""COMPUTED_VALUE"""),-0.492783374641036)</f>
        <v>-0.492783374641036</v>
      </c>
      <c r="Z80" s="3">
        <f ca="1">IFERROR(__xludf.DUMMYFUNCTION("""COMPUTED_VALUE"""),-0.463091882799034)</f>
        <v>-0.46309188279903402</v>
      </c>
      <c r="AA80" s="3">
        <f ca="1">IFERROR(__xludf.DUMMYFUNCTION("""COMPUTED_VALUE"""),-0.389572911339994)</f>
        <v>-0.389572911339994</v>
      </c>
      <c r="AB80" s="3">
        <f ca="1">IFERROR(__xludf.DUMMYFUNCTION("""COMPUTED_VALUE"""),-0.397273726176708)</f>
        <v>-0.39727372617670798</v>
      </c>
      <c r="AC80" s="3">
        <f ca="1">IFERROR(__xludf.DUMMYFUNCTION("""COMPUTED_VALUE"""),-0.437099812217018)</f>
        <v>-0.43709981221701799</v>
      </c>
      <c r="AD80" s="3">
        <f ca="1">IFERROR(__xludf.DUMMYFUNCTION("""COMPUTED_VALUE"""),-0.435754742773109)</f>
        <v>-0.43575474277310899</v>
      </c>
      <c r="AE80" s="3">
        <f ca="1">IFERROR(__xludf.DUMMYFUNCTION("""COMPUTED_VALUE"""),-0.476853821566057)</f>
        <v>-0.47685382156605699</v>
      </c>
      <c r="AF80" s="3">
        <f ca="1">IFERROR(__xludf.DUMMYFUNCTION("""COMPUTED_VALUE"""),-0.516262646539285)</f>
        <v>-0.516262646539285</v>
      </c>
      <c r="AG80" s="3">
        <f ca="1">IFERROR(__xludf.DUMMYFUNCTION("""COMPUTED_VALUE"""),-0.463628704520177)</f>
        <v>-0.46362870452017702</v>
      </c>
      <c r="AH80" s="3">
        <f ca="1">IFERROR(__xludf.DUMMYFUNCTION("""COMPUTED_VALUE"""),-0.420933757791673)</f>
        <v>-0.42093375779167302</v>
      </c>
      <c r="AI80" s="3">
        <f ca="1">IFERROR(__xludf.DUMMYFUNCTION("""COMPUTED_VALUE"""),-0.372844346308226)</f>
        <v>-0.37284434630822599</v>
      </c>
      <c r="AJ80" s="3">
        <f ca="1">IFERROR(__xludf.DUMMYFUNCTION("""COMPUTED_VALUE"""),-0.311003669415622)</f>
        <v>-0.31100366941562202</v>
      </c>
      <c r="AK80" s="3">
        <f ca="1">IFERROR(__xludf.DUMMYFUNCTION("""COMPUTED_VALUE"""),-0.38189546671586)</f>
        <v>-0.38189546671586</v>
      </c>
      <c r="AL80" s="3">
        <f ca="1">IFERROR(__xludf.DUMMYFUNCTION("""COMPUTED_VALUE"""),-0.41170946265509)</f>
        <v>-0.41170946265509001</v>
      </c>
      <c r="AM80" s="3">
        <f ca="1">IFERROR(__xludf.DUMMYFUNCTION("""COMPUTED_VALUE"""),-0.374096112527915)</f>
        <v>-0.37409611252791503</v>
      </c>
      <c r="AN80" s="3">
        <f ca="1">IFERROR(__xludf.DUMMYFUNCTION("""COMPUTED_VALUE"""),-0.370332142817494)</f>
        <v>-0.37033214281749399</v>
      </c>
      <c r="AO80" s="3">
        <f ca="1">IFERROR(__xludf.DUMMYFUNCTION("""COMPUTED_VALUE"""),-0.380498869811839)</f>
        <v>-0.380498869811839</v>
      </c>
      <c r="AP80" s="3">
        <f ca="1">IFERROR(__xludf.DUMMYFUNCTION("""COMPUTED_VALUE"""),-0.361628888805781)</f>
        <v>-0.36162888880578098</v>
      </c>
      <c r="AQ80" s="3">
        <f ca="1">IFERROR(__xludf.DUMMYFUNCTION("""COMPUTED_VALUE"""),-0.341980882833319)</f>
        <v>-0.34198088283331901</v>
      </c>
      <c r="AR80" s="3">
        <f ca="1">IFERROR(__xludf.DUMMYFUNCTION("""COMPUTED_VALUE"""),-0.321369787635028)</f>
        <v>-0.32136978763502799</v>
      </c>
      <c r="AS80" s="3">
        <f ca="1">IFERROR(__xludf.DUMMYFUNCTION("""COMPUTED_VALUE"""),-0.414220854534769)</f>
        <v>-0.41422085453476898</v>
      </c>
      <c r="AT80" s="3">
        <f ca="1">IFERROR(__xludf.DUMMYFUNCTION("""COMPUTED_VALUE"""),-0.36787556031388)</f>
        <v>-0.36787556031388002</v>
      </c>
      <c r="AU80" s="3">
        <f ca="1">IFERROR(__xludf.DUMMYFUNCTION("""COMPUTED_VALUE"""),-0.377720928855017)</f>
        <v>-0.37772092885501701</v>
      </c>
      <c r="AV80" s="3">
        <f ca="1">IFERROR(__xludf.DUMMYFUNCTION("""COMPUTED_VALUE"""),-0.380552937975985)</f>
        <v>-0.380552937975985</v>
      </c>
      <c r="AW80" s="3">
        <f ca="1">IFERROR(__xludf.DUMMYFUNCTION("""COMPUTED_VALUE"""),-0.301456704041283)</f>
        <v>-0.301456704041283</v>
      </c>
      <c r="AX80" s="3">
        <f ca="1">IFERROR(__xludf.DUMMYFUNCTION("""COMPUTED_VALUE"""),-0.367449315281394)</f>
        <v>-0.36744931528139402</v>
      </c>
      <c r="AY80" s="3">
        <f ca="1">IFERROR(__xludf.DUMMYFUNCTION("""COMPUTED_VALUE"""),-0.378702279903594)</f>
        <v>-0.37870227990359401</v>
      </c>
      <c r="AZ80" s="3">
        <f ca="1">IFERROR(__xludf.DUMMYFUNCTION("""COMPUTED_VALUE"""),-0.374015679371911)</f>
        <v>-0.37401567937191099</v>
      </c>
      <c r="BA80" s="3">
        <f ca="1">IFERROR(__xludf.DUMMYFUNCTION("""COMPUTED_VALUE"""),-0.376771278629542)</f>
        <v>-0.37677127862954202</v>
      </c>
      <c r="BB80" s="3">
        <f ca="1">IFERROR(__xludf.DUMMYFUNCTION("""COMPUTED_VALUE"""),-0.460197515960212)</f>
        <v>-0.46019751596021202</v>
      </c>
      <c r="BC80" s="3">
        <f ca="1">IFERROR(__xludf.DUMMYFUNCTION("""COMPUTED_VALUE"""),-0.507181484100413)</f>
        <v>-0.50718148410041297</v>
      </c>
      <c r="BD80" s="3">
        <f ca="1">IFERROR(__xludf.DUMMYFUNCTION("""COMPUTED_VALUE"""),-0.528106311305241)</f>
        <v>-0.52810631130524099</v>
      </c>
      <c r="BE80" s="3">
        <f ca="1">IFERROR(__xludf.DUMMYFUNCTION("""COMPUTED_VALUE"""),-0.467534973162734)</f>
        <v>-0.46753497316273401</v>
      </c>
      <c r="BF80" s="3">
        <f ca="1">IFERROR(__xludf.DUMMYFUNCTION("""COMPUTED_VALUE"""),-0.481168625905609)</f>
        <v>-0.48116862590560899</v>
      </c>
      <c r="BG80" s="3">
        <f ca="1">IFERROR(__xludf.DUMMYFUNCTION("""COMPUTED_VALUE"""),-0.466937872723647)</f>
        <v>-0.46693787272364701</v>
      </c>
      <c r="BH80" s="3">
        <f ca="1">IFERROR(__xludf.DUMMYFUNCTION("""COMPUTED_VALUE"""),-0.484458617378306)</f>
        <v>-0.48445861737830598</v>
      </c>
      <c r="BI80" s="3">
        <f ca="1">IFERROR(__xludf.DUMMYFUNCTION("""COMPUTED_VALUE"""),-0.435068255412257)</f>
        <v>-0.43506825541225702</v>
      </c>
      <c r="BJ80" s="3">
        <f ca="1">IFERROR(__xludf.DUMMYFUNCTION("""COMPUTED_VALUE"""),-0.494222052204992)</f>
        <v>-0.49422205220499199</v>
      </c>
      <c r="BK80" s="3">
        <f ca="1">IFERROR(__xludf.DUMMYFUNCTION("""COMPUTED_VALUE"""),-0.477775812814249)</f>
        <v>-0.47777581281424902</v>
      </c>
      <c r="BL80" s="3">
        <f ca="1">IFERROR(__xludf.DUMMYFUNCTION("""COMPUTED_VALUE"""),-0.450191722077344)</f>
        <v>-0.45019172207734398</v>
      </c>
      <c r="BM80" s="3">
        <f ca="1">IFERROR(__xludf.DUMMYFUNCTION("""COMPUTED_VALUE"""),-0.415680543923734)</f>
        <v>-0.41568054392373399</v>
      </c>
      <c r="BN80" s="3">
        <f ca="1">IFERROR(__xludf.DUMMYFUNCTION("""COMPUTED_VALUE"""),-0.417134755357586)</f>
        <v>-0.41713475535758598</v>
      </c>
      <c r="BO80" s="3">
        <f ca="1">IFERROR(__xludf.DUMMYFUNCTION("""COMPUTED_VALUE"""),-0.437757567643527)</f>
        <v>-0.43775756764352702</v>
      </c>
      <c r="BP80" s="3">
        <f ca="1">IFERROR(__xludf.DUMMYFUNCTION("""COMPUTED_VALUE"""),-0.370422382300576)</f>
        <v>-0.370422382300576</v>
      </c>
      <c r="BQ80" s="3">
        <f ca="1">IFERROR(__xludf.DUMMYFUNCTION("""COMPUTED_VALUE"""),-0.445310403225421)</f>
        <v>-0.44531040322542098</v>
      </c>
      <c r="BR80" s="3">
        <f ca="1">IFERROR(__xludf.DUMMYFUNCTION("""COMPUTED_VALUE"""),-0.457706990224539)</f>
        <v>-0.45770699022453898</v>
      </c>
      <c r="BS80" s="3">
        <f ca="1">IFERROR(__xludf.DUMMYFUNCTION("""COMPUTED_VALUE"""),-0.377916266325563)</f>
        <v>-0.37791626632556302</v>
      </c>
      <c r="BT80" s="3">
        <f ca="1">IFERROR(__xludf.DUMMYFUNCTION("""COMPUTED_VALUE"""),-0.459752823353408)</f>
        <v>-0.459752823353408</v>
      </c>
      <c r="BU80" s="3">
        <f ca="1">IFERROR(__xludf.DUMMYFUNCTION("""COMPUTED_VALUE"""),-0.445750111300147)</f>
        <v>-0.44575011130014702</v>
      </c>
      <c r="BV80" s="3">
        <f ca="1">IFERROR(__xludf.DUMMYFUNCTION("""COMPUTED_VALUE"""),-0.449334416435607)</f>
        <v>-0.44933441643560701</v>
      </c>
      <c r="BW80" s="3">
        <f ca="1">IFERROR(__xludf.DUMMYFUNCTION("""COMPUTED_VALUE"""),-0.474839903036878)</f>
        <v>-0.47483990303687801</v>
      </c>
      <c r="BX80" s="3">
        <f ca="1">IFERROR(__xludf.DUMMYFUNCTION("""COMPUTED_VALUE"""),-0.44582582916646)</f>
        <v>-0.44582582916646002</v>
      </c>
      <c r="BY80" s="3">
        <f ca="1">IFERROR(__xludf.DUMMYFUNCTION("""COMPUTED_VALUE"""),-0.4542599015732)</f>
        <v>-0.45425990157320001</v>
      </c>
      <c r="BZ80" s="3">
        <f ca="1">IFERROR(__xludf.DUMMYFUNCTION("""COMPUTED_VALUE"""),-0.374806570267753)</f>
        <v>-0.37480657026775299</v>
      </c>
      <c r="CA80" s="3">
        <f ca="1">IFERROR(__xludf.DUMMYFUNCTION("""COMPUTED_VALUE"""),-0.401502651989484)</f>
        <v>-0.40150265198948398</v>
      </c>
      <c r="CB80" s="3">
        <f ca="1">IFERROR(__xludf.DUMMYFUNCTION("""COMPUTED_VALUE"""),-0.39043286892577)</f>
        <v>-0.39043286892577</v>
      </c>
      <c r="CC80" s="3">
        <f ca="1">IFERROR(__xludf.DUMMYFUNCTION("""COMPUTED_VALUE"""),-0.391836426749026)</f>
        <v>-0.39183642674902602</v>
      </c>
      <c r="CD80" s="3">
        <f ca="1">IFERROR(__xludf.DUMMYFUNCTION("""COMPUTED_VALUE"""),-0.451117895265489)</f>
        <v>-0.45111789526548901</v>
      </c>
      <c r="CE80" s="3">
        <f ca="1">IFERROR(__xludf.DUMMYFUNCTION("""COMPUTED_VALUE"""),-0.469228640707593)</f>
        <v>-0.46922864070759301</v>
      </c>
      <c r="CF80" s="3">
        <f ca="1">IFERROR(__xludf.DUMMYFUNCTION("""COMPUTED_VALUE"""),-0.471334886979632)</f>
        <v>-0.471334886979632</v>
      </c>
      <c r="CG80" s="3">
        <f ca="1">IFERROR(__xludf.DUMMYFUNCTION("""COMPUTED_VALUE"""),-0.370372136179648)</f>
        <v>-0.37037213617964798</v>
      </c>
      <c r="CH80" s="3">
        <f ca="1">IFERROR(__xludf.DUMMYFUNCTION("""COMPUTED_VALUE"""),-0.421014983984138)</f>
        <v>-0.421014983984138</v>
      </c>
      <c r="CI80" s="3">
        <f ca="1">IFERROR(__xludf.DUMMYFUNCTION("""COMPUTED_VALUE"""),-0.459532366126749)</f>
        <v>-0.45953236612674903</v>
      </c>
      <c r="CJ80" s="3">
        <f ca="1">IFERROR(__xludf.DUMMYFUNCTION("""COMPUTED_VALUE"""),-0.467449789997859)</f>
        <v>-0.46744978999785902</v>
      </c>
      <c r="CK80" s="3">
        <f ca="1">IFERROR(__xludf.DUMMYFUNCTION("""COMPUTED_VALUE"""),-0.446684839336275)</f>
        <v>-0.44668483933627501</v>
      </c>
      <c r="CL80" s="3">
        <f ca="1">IFERROR(__xludf.DUMMYFUNCTION("""COMPUTED_VALUE"""),-0.477961843107154)</f>
        <v>-0.47796184310715401</v>
      </c>
      <c r="CM80" s="3">
        <f ca="1">IFERROR(__xludf.DUMMYFUNCTION("""COMPUTED_VALUE"""),-0.417673480443434)</f>
        <v>-0.417673480443434</v>
      </c>
      <c r="CN80" s="3">
        <f ca="1">IFERROR(__xludf.DUMMYFUNCTION("""COMPUTED_VALUE"""),-0.383793731945011)</f>
        <v>-0.38379373194501099</v>
      </c>
      <c r="CO80" s="3">
        <f ca="1">IFERROR(__xludf.DUMMYFUNCTION("""COMPUTED_VALUE"""),-0.407188789474766)</f>
        <v>-0.407188789474766</v>
      </c>
      <c r="CP80" s="3">
        <f ca="1">IFERROR(__xludf.DUMMYFUNCTION("""COMPUTED_VALUE"""),-0.434902694564684)</f>
        <v>-0.434902694564684</v>
      </c>
      <c r="CQ80" s="3">
        <f ca="1">IFERROR(__xludf.DUMMYFUNCTION("""COMPUTED_VALUE"""),-0.461488011881863)</f>
        <v>-0.461488011881863</v>
      </c>
      <c r="CR80" s="3">
        <f ca="1">IFERROR(__xludf.DUMMYFUNCTION("""COMPUTED_VALUE"""),-0.399676510507043)</f>
        <v>-0.399676510507043</v>
      </c>
      <c r="CS80" s="3">
        <f ca="1">IFERROR(__xludf.DUMMYFUNCTION("""COMPUTED_VALUE"""),-0.448909527720661)</f>
        <v>-0.44890952772066101</v>
      </c>
      <c r="CT80" s="3">
        <f ca="1">IFERROR(__xludf.DUMMYFUNCTION("""COMPUTED_VALUE"""),-0.430717046617295)</f>
        <v>-0.43071704661729499</v>
      </c>
      <c r="CU80" s="3">
        <f ca="1">IFERROR(__xludf.DUMMYFUNCTION("""COMPUTED_VALUE"""),-0.417313333908422)</f>
        <v>-0.41731333390842201</v>
      </c>
      <c r="CV80" s="3">
        <f ca="1">IFERROR(__xludf.DUMMYFUNCTION("""COMPUTED_VALUE"""),-0.480895752834522)</f>
        <v>-0.48089575283452202</v>
      </c>
      <c r="CW80" s="3">
        <f ca="1">IFERROR(__xludf.DUMMYFUNCTION("""COMPUTED_VALUE"""),-0.656385898602185)</f>
        <v>-0.65638589860218499</v>
      </c>
      <c r="CX80" s="3">
        <f ca="1">IFERROR(__xludf.DUMMYFUNCTION("""COMPUTED_VALUE"""),-0.441755446127765)</f>
        <v>-0.44175544612776502</v>
      </c>
      <c r="CY80" s="3">
        <f ca="1">IFERROR(__xludf.DUMMYFUNCTION("""COMPUTED_VALUE"""),-0.31441603877354)</f>
        <v>-0.31441603877354002</v>
      </c>
      <c r="CZ80" s="3">
        <f ca="1">IFERROR(__xludf.DUMMYFUNCTION("""COMPUTED_VALUE"""),-0.446340149416838)</f>
        <v>-0.44634014941683797</v>
      </c>
      <c r="DA80" s="3">
        <f ca="1">IFERROR(__xludf.DUMMYFUNCTION("""COMPUTED_VALUE"""),-0.459683784895922)</f>
        <v>-0.45968378489592199</v>
      </c>
      <c r="DB80" s="3">
        <f ca="1">IFERROR(__xludf.DUMMYFUNCTION("""COMPUTED_VALUE"""),-0.423474132713681)</f>
        <v>-0.42347413271368101</v>
      </c>
      <c r="DC80" s="3">
        <f ca="1">IFERROR(__xludf.DUMMYFUNCTION("""COMPUTED_VALUE"""),-0.494540161601659)</f>
        <v>-0.49454016160165898</v>
      </c>
      <c r="DD80" s="3">
        <f ca="1">IFERROR(__xludf.DUMMYFUNCTION("""COMPUTED_VALUE"""),-0.801696483598553)</f>
        <v>-0.80169648359855294</v>
      </c>
      <c r="DE80" s="3">
        <f ca="1">IFERROR(__xludf.DUMMYFUNCTION("""COMPUTED_VALUE"""),-0.541324780020314)</f>
        <v>-0.54132478002031403</v>
      </c>
      <c r="DF80" s="3">
        <f ca="1">IFERROR(__xludf.DUMMYFUNCTION("""COMPUTED_VALUE"""),-0.21975881675174)</f>
        <v>-0.21975881675174</v>
      </c>
      <c r="DG80" s="3">
        <f ca="1">IFERROR(__xludf.DUMMYFUNCTION("""COMPUTED_VALUE"""),-0.341926289812036)</f>
        <v>-0.34192628981203599</v>
      </c>
      <c r="DH80" s="3">
        <f ca="1">IFERROR(__xludf.DUMMYFUNCTION("""COMPUTED_VALUE"""),-0.399414923134589)</f>
        <v>-0.39941492313458898</v>
      </c>
      <c r="DI80" s="3">
        <f ca="1">IFERROR(__xludf.DUMMYFUNCTION("""COMPUTED_VALUE"""),-0.437730420641825)</f>
        <v>-0.43773042064182499</v>
      </c>
      <c r="DJ80" s="3">
        <f ca="1">IFERROR(__xludf.DUMMYFUNCTION("""COMPUTED_VALUE"""),-0.404701227507907)</f>
        <v>-0.40470122750790699</v>
      </c>
      <c r="DK80" s="3">
        <f ca="1">IFERROR(__xludf.DUMMYFUNCTION("""COMPUTED_VALUE"""),-0.476515684602493)</f>
        <v>-0.47651568460249299</v>
      </c>
      <c r="DL80" s="3">
        <f ca="1">IFERROR(__xludf.DUMMYFUNCTION("""COMPUTED_VALUE"""),-0.446597592033952)</f>
        <v>-0.446597592033952</v>
      </c>
      <c r="DM80" s="3">
        <f ca="1">IFERROR(__xludf.DUMMYFUNCTION("""COMPUTED_VALUE"""),-0.405926570904491)</f>
        <v>-0.40592657090449102</v>
      </c>
      <c r="DN80" s="3">
        <f ca="1">IFERROR(__xludf.DUMMYFUNCTION("""COMPUTED_VALUE"""),-0.439314522691977)</f>
        <v>-0.43931452269197702</v>
      </c>
      <c r="DO80" s="3">
        <f ca="1">IFERROR(__xludf.DUMMYFUNCTION("""COMPUTED_VALUE"""),-0.442519393539003)</f>
        <v>-0.44251939353900299</v>
      </c>
      <c r="DP80" s="3">
        <f ca="1">IFERROR(__xludf.DUMMYFUNCTION("""COMPUTED_VALUE"""),-0.455148420952502)</f>
        <v>-0.45514842095250202</v>
      </c>
      <c r="DQ80" s="3">
        <f ca="1">IFERROR(__xludf.DUMMYFUNCTION("""COMPUTED_VALUE"""),-0.478345798110449)</f>
        <v>-0.47834579811044903</v>
      </c>
      <c r="DR80" s="3">
        <f ca="1">IFERROR(__xludf.DUMMYFUNCTION("""COMPUTED_VALUE"""),-0.501859873559688)</f>
        <v>-0.50185987355968797</v>
      </c>
      <c r="DS80" s="3">
        <f ca="1">IFERROR(__xludf.DUMMYFUNCTION("""COMPUTED_VALUE"""),-0.462521906897751)</f>
        <v>-0.46252190689775102</v>
      </c>
      <c r="DT80" s="3">
        <f ca="1">IFERROR(__xludf.DUMMYFUNCTION("""COMPUTED_VALUE"""),-0.466834381281299)</f>
        <v>-0.466834381281299</v>
      </c>
      <c r="DU80" s="3">
        <f ca="1">IFERROR(__xludf.DUMMYFUNCTION("""COMPUTED_VALUE"""),-0.453187553815443)</f>
        <v>-0.45318755381544301</v>
      </c>
      <c r="DV80" s="3">
        <f ca="1">IFERROR(__xludf.DUMMYFUNCTION("""COMPUTED_VALUE"""),-0.460553871479196)</f>
        <v>-0.46055387147919602</v>
      </c>
      <c r="DW80" s="3">
        <f ca="1">IFERROR(__xludf.DUMMYFUNCTION("""COMPUTED_VALUE"""),-0.453186225833749)</f>
        <v>-0.45318622583374901</v>
      </c>
      <c r="DX80" s="3">
        <f ca="1">IFERROR(__xludf.DUMMYFUNCTION("""COMPUTED_VALUE"""),-0.463272377060925)</f>
        <v>-0.463272377060925</v>
      </c>
      <c r="DY80" s="3">
        <f ca="1">IFERROR(__xludf.DUMMYFUNCTION("""COMPUTED_VALUE"""),-0.45480971808758)</f>
        <v>-0.45480971808757997</v>
      </c>
      <c r="DZ80" s="3">
        <f ca="1">IFERROR(__xludf.DUMMYFUNCTION("""COMPUTED_VALUE"""),-0.38932427136961)</f>
        <v>-0.38932427136961001</v>
      </c>
      <c r="EA80" s="3">
        <f ca="1">IFERROR(__xludf.DUMMYFUNCTION("""COMPUTED_VALUE"""),-0.503659832326351)</f>
        <v>-0.50365983232635103</v>
      </c>
      <c r="EB80" s="3">
        <f ca="1">IFERROR(__xludf.DUMMYFUNCTION("""COMPUTED_VALUE"""),-0.510990560973791)</f>
        <v>-0.51099056097379103</v>
      </c>
      <c r="EC80" s="3">
        <f ca="1">IFERROR(__xludf.DUMMYFUNCTION("""COMPUTED_VALUE"""),-0.515864578078138)</f>
        <v>-0.51586457807813801</v>
      </c>
      <c r="ED80" s="3">
        <f ca="1">IFERROR(__xludf.DUMMYFUNCTION("""COMPUTED_VALUE"""),-0.448477331133712)</f>
        <v>-0.44847733113371202</v>
      </c>
      <c r="EE80" s="3">
        <f ca="1">IFERROR(__xludf.DUMMYFUNCTION("""COMPUTED_VALUE"""),-0.485020897560258)</f>
        <v>-0.48502089756025801</v>
      </c>
      <c r="EF80" s="3">
        <f ca="1">IFERROR(__xludf.DUMMYFUNCTION("""COMPUTED_VALUE"""),-0.529386487431446)</f>
        <v>-0.52938648743144601</v>
      </c>
      <c r="EG80" s="3">
        <f ca="1">IFERROR(__xludf.DUMMYFUNCTION("""COMPUTED_VALUE"""),-0.679653500104681)</f>
        <v>-0.67965350010468095</v>
      </c>
      <c r="EH80" s="3">
        <f ca="1">IFERROR(__xludf.DUMMYFUNCTION("""COMPUTED_VALUE"""),-0.520486867553606)</f>
        <v>-0.52048686755360596</v>
      </c>
      <c r="EI80" s="3">
        <f ca="1">IFERROR(__xludf.DUMMYFUNCTION("""COMPUTED_VALUE"""),-0.538034124538463)</f>
        <v>-0.538034124538463</v>
      </c>
      <c r="EJ80" s="3">
        <f ca="1">IFERROR(__xludf.DUMMYFUNCTION("""COMPUTED_VALUE"""),-0.531310683232103)</f>
        <v>-0.53131068323210295</v>
      </c>
      <c r="EK80" s="3">
        <f ca="1">IFERROR(__xludf.DUMMYFUNCTION("""COMPUTED_VALUE"""),-0.477504574673514)</f>
        <v>-0.47750457467351398</v>
      </c>
      <c r="EL80" s="3">
        <f ca="1">IFERROR(__xludf.DUMMYFUNCTION("""COMPUTED_VALUE"""),-0.509433238303084)</f>
        <v>-0.50943323830308396</v>
      </c>
      <c r="EM80" s="3">
        <f ca="1">IFERROR(__xludf.DUMMYFUNCTION("""COMPUTED_VALUE"""),-0.462351586423263)</f>
        <v>-0.46235158642326302</v>
      </c>
      <c r="EN80" s="3">
        <f ca="1">IFERROR(__xludf.DUMMYFUNCTION("""COMPUTED_VALUE"""),-0.406960153260693)</f>
        <v>-0.40696015326069301</v>
      </c>
      <c r="EO80" s="3">
        <f ca="1">IFERROR(__xludf.DUMMYFUNCTION("""COMPUTED_VALUE"""),-0.497909952378635)</f>
        <v>-0.497909952378635</v>
      </c>
      <c r="EP80" s="3">
        <f ca="1">IFERROR(__xludf.DUMMYFUNCTION("""COMPUTED_VALUE"""),-0.493108637856791)</f>
        <v>-0.49310863785679099</v>
      </c>
      <c r="EQ80" s="3">
        <f ca="1">IFERROR(__xludf.DUMMYFUNCTION("""COMPUTED_VALUE"""),-0.50341442437818)</f>
        <v>-0.50341442437817996</v>
      </c>
      <c r="ER80" s="3">
        <f ca="1">IFERROR(__xludf.DUMMYFUNCTION("""COMPUTED_VALUE"""),-0.449408178024413)</f>
        <v>-0.44940817802441302</v>
      </c>
      <c r="ES80" s="3">
        <f ca="1">IFERROR(__xludf.DUMMYFUNCTION("""COMPUTED_VALUE"""),-0.527462518053395)</f>
        <v>-0.52746251805339495</v>
      </c>
      <c r="ET80" s="3">
        <f ca="1">IFERROR(__xludf.DUMMYFUNCTION("""COMPUTED_VALUE"""),-0.511453155784785)</f>
        <v>-0.51145315578478501</v>
      </c>
      <c r="EU80" s="3">
        <f ca="1">IFERROR(__xludf.DUMMYFUNCTION("""COMPUTED_VALUE"""),-0.501563834865126)</f>
        <v>-0.50156383486512601</v>
      </c>
      <c r="EV80" s="3">
        <f ca="1">IFERROR(__xludf.DUMMYFUNCTION("""COMPUTED_VALUE"""),-0.537091287312154)</f>
        <v>-0.53709128731215405</v>
      </c>
      <c r="EW80" s="3">
        <f ca="1">IFERROR(__xludf.DUMMYFUNCTION("""COMPUTED_VALUE"""),-0.52586669661941)</f>
        <v>-0.52586669661940999</v>
      </c>
      <c r="EX80" s="3">
        <f ca="1">IFERROR(__xludf.DUMMYFUNCTION("""COMPUTED_VALUE"""),-0.500917269462211)</f>
        <v>-0.50091726946221105</v>
      </c>
      <c r="EY80" s="3">
        <f ca="1">IFERROR(__xludf.DUMMYFUNCTION("""COMPUTED_VALUE"""),-0.470963983765742)</f>
        <v>-0.470963983765742</v>
      </c>
      <c r="EZ80" s="3">
        <f ca="1">IFERROR(__xludf.DUMMYFUNCTION("""COMPUTED_VALUE"""),-0.473791635124719)</f>
        <v>-0.473791635124719</v>
      </c>
      <c r="FA80" s="3">
        <f ca="1">IFERROR(__xludf.DUMMYFUNCTION("""COMPUTED_VALUE"""),-0.501402422521614)</f>
        <v>-0.50140242252161404</v>
      </c>
      <c r="FB80" s="3">
        <f ca="1">IFERROR(__xludf.DUMMYFUNCTION("""COMPUTED_VALUE"""),-0.514687403708547)</f>
        <v>-0.51468740370854704</v>
      </c>
      <c r="FC80" s="3">
        <f ca="1">IFERROR(__xludf.DUMMYFUNCTION("""COMPUTED_VALUE"""),-0.47584957846063)</f>
        <v>-0.47584957846062997</v>
      </c>
      <c r="FD80" s="3">
        <f ca="1">IFERROR(__xludf.DUMMYFUNCTION("""COMPUTED_VALUE"""),-0.4838430830977)</f>
        <v>-0.48384308309770002</v>
      </c>
      <c r="FE80" s="3">
        <f ca="1">IFERROR(__xludf.DUMMYFUNCTION("""COMPUTED_VALUE"""),-0.497891632097652)</f>
        <v>-0.49789163209765203</v>
      </c>
      <c r="FF80" s="3">
        <f ca="1">IFERROR(__xludf.DUMMYFUNCTION("""COMPUTED_VALUE"""),-0.472226018415188)</f>
        <v>-0.47222601841518802</v>
      </c>
      <c r="FG80" s="3">
        <f ca="1">IFERROR(__xludf.DUMMYFUNCTION("""COMPUTED_VALUE"""),-0.451246241608248)</f>
        <v>-0.451246241608248</v>
      </c>
      <c r="FH80" s="3">
        <f ca="1">IFERROR(__xludf.DUMMYFUNCTION("""COMPUTED_VALUE"""),-0.494739552478951)</f>
        <v>-0.49473955247895102</v>
      </c>
      <c r="FI80" s="3">
        <f ca="1">IFERROR(__xludf.DUMMYFUNCTION("""COMPUTED_VALUE"""),-0.553458969210513)</f>
        <v>-0.55345896921051296</v>
      </c>
      <c r="FJ80" s="3">
        <f ca="1">IFERROR(__xludf.DUMMYFUNCTION("""COMPUTED_VALUE"""),-0.521146917303465)</f>
        <v>-0.52114691730346496</v>
      </c>
      <c r="FK80" s="3">
        <f ca="1">IFERROR(__xludf.DUMMYFUNCTION("""COMPUTED_VALUE"""),-0.575381811762049)</f>
        <v>-0.57538181176204894</v>
      </c>
      <c r="FL80" s="3">
        <f ca="1">IFERROR(__xludf.DUMMYFUNCTION("""COMPUTED_VALUE"""),-0.574475507586598)</f>
        <v>-0.57447550758659804</v>
      </c>
      <c r="FM80" s="3">
        <f ca="1">IFERROR(__xludf.DUMMYFUNCTION("""COMPUTED_VALUE"""),-0.510087244550967)</f>
        <v>-0.51008724455096699</v>
      </c>
      <c r="FN80" s="3">
        <f ca="1">IFERROR(__xludf.DUMMYFUNCTION("""COMPUTED_VALUE"""),-0.491949191929895)</f>
        <v>-0.491949191929895</v>
      </c>
      <c r="FO80" s="3">
        <f ca="1">IFERROR(__xludf.DUMMYFUNCTION("""COMPUTED_VALUE"""),-0.550665024403038)</f>
        <v>-0.55066502440303799</v>
      </c>
      <c r="FP80" s="3">
        <f ca="1">IFERROR(__xludf.DUMMYFUNCTION("""COMPUTED_VALUE"""),-0.507086193083853)</f>
        <v>-0.50708619308385305</v>
      </c>
      <c r="FQ80" s="3">
        <f ca="1">IFERROR(__xludf.DUMMYFUNCTION("""COMPUTED_VALUE"""),-0.552166311215165)</f>
        <v>-0.55216631121516502</v>
      </c>
      <c r="FR80" s="3">
        <f ca="1">IFERROR(__xludf.DUMMYFUNCTION("""COMPUTED_VALUE"""),-0.564585315713937)</f>
        <v>-0.564585315713937</v>
      </c>
      <c r="FS80" s="3">
        <f ca="1">IFERROR(__xludf.DUMMYFUNCTION("""COMPUTED_VALUE"""),-0.571240506099201)</f>
        <v>-0.57124050609920096</v>
      </c>
      <c r="FT80" s="3">
        <f ca="1">IFERROR(__xludf.DUMMYFUNCTION("""COMPUTED_VALUE"""),-0.527068734229266)</f>
        <v>-0.52706873422926603</v>
      </c>
      <c r="FU80" s="3">
        <f ca="1">IFERROR(__xludf.DUMMYFUNCTION("""COMPUTED_VALUE"""),-0.505291659482349)</f>
        <v>-0.505291659482349</v>
      </c>
      <c r="FV80" s="3">
        <f ca="1">IFERROR(__xludf.DUMMYFUNCTION("""COMPUTED_VALUE"""),-0.553791144167711)</f>
        <v>-0.55379114416771102</v>
      </c>
      <c r="FW80" s="3">
        <f ca="1">IFERROR(__xludf.DUMMYFUNCTION("""COMPUTED_VALUE"""),-0.587619556612843)</f>
        <v>-0.58761955661284304</v>
      </c>
      <c r="FX80" s="3">
        <f ca="1">IFERROR(__xludf.DUMMYFUNCTION("""COMPUTED_VALUE"""),-0.581773557121474)</f>
        <v>-0.58177355712147405</v>
      </c>
      <c r="FY80" s="3">
        <f ca="1">IFERROR(__xludf.DUMMYFUNCTION("""COMPUTED_VALUE"""),-0.563779287984267)</f>
        <v>-0.56377928798426702</v>
      </c>
      <c r="FZ80" s="3">
        <f ca="1">IFERROR(__xludf.DUMMYFUNCTION("""COMPUTED_VALUE"""),-0.584355531681566)</f>
        <v>-0.58435553168156595</v>
      </c>
      <c r="GA80" s="3">
        <f ca="1">IFERROR(__xludf.DUMMYFUNCTION("""COMPUTED_VALUE"""),-0.481298010860766)</f>
        <v>-0.48129801086076601</v>
      </c>
      <c r="GB80" s="3">
        <f ca="1">IFERROR(__xludf.DUMMYFUNCTION("""COMPUTED_VALUE"""),-0.522089357169005)</f>
        <v>-0.52208935716900495</v>
      </c>
      <c r="GC80" s="3">
        <f ca="1">IFERROR(__xludf.DUMMYFUNCTION("""COMPUTED_VALUE"""),-0.580549713118746)</f>
        <v>-0.58054971311874604</v>
      </c>
      <c r="GD80" s="3">
        <f ca="1">IFERROR(__xludf.DUMMYFUNCTION("""COMPUTED_VALUE"""),-0.600771508847183)</f>
        <v>-0.600771508847183</v>
      </c>
      <c r="GE80" s="3">
        <f ca="1">IFERROR(__xludf.DUMMYFUNCTION("""COMPUTED_VALUE"""),-0.619287853265235)</f>
        <v>-0.61928785326523506</v>
      </c>
      <c r="GF80" s="3">
        <f ca="1">IFERROR(__xludf.DUMMYFUNCTION("""COMPUTED_VALUE"""),-0.619895521571912)</f>
        <v>-0.61989552157191197</v>
      </c>
      <c r="GG80" s="3">
        <f ca="1">IFERROR(__xludf.DUMMYFUNCTION("""COMPUTED_VALUE"""),-0.654307062034647)</f>
        <v>-0.65430706203464695</v>
      </c>
      <c r="GH80" s="3">
        <f ca="1">IFERROR(__xludf.DUMMYFUNCTION("""COMPUTED_VALUE"""),-0.526699305547504)</f>
        <v>-0.52669930554750399</v>
      </c>
      <c r="GI80" s="3">
        <f ca="1">IFERROR(__xludf.DUMMYFUNCTION("""COMPUTED_VALUE"""),-0.577901497515241)</f>
        <v>-0.577901497515241</v>
      </c>
      <c r="GJ80" s="3">
        <f ca="1">IFERROR(__xludf.DUMMYFUNCTION("""COMPUTED_VALUE"""),-0.599734016991953)</f>
        <v>-0.59973401699195295</v>
      </c>
      <c r="GK80" s="3">
        <f ca="1">IFERROR(__xludf.DUMMYFUNCTION("""COMPUTED_VALUE"""),-0.593678810553974)</f>
        <v>-0.59367881055397398</v>
      </c>
      <c r="GL80" s="3">
        <f ca="1">IFERROR(__xludf.DUMMYFUNCTION("""COMPUTED_VALUE"""),-0.61594144211434)</f>
        <v>-0.61594144211433999</v>
      </c>
      <c r="GM80" s="3">
        <f ca="1">IFERROR(__xludf.DUMMYFUNCTION("""COMPUTED_VALUE"""),-0.624850299823146)</f>
        <v>-0.62485029982314599</v>
      </c>
      <c r="GN80" s="3">
        <f ca="1">IFERROR(__xludf.DUMMYFUNCTION("""COMPUTED_VALUE"""),-0.660657454597392)</f>
        <v>-0.660657454597392</v>
      </c>
      <c r="GO80" s="3">
        <f ca="1">IFERROR(__xludf.DUMMYFUNCTION("""COMPUTED_VALUE"""),-0.523148799351007)</f>
        <v>-0.523148799351007</v>
      </c>
      <c r="GP80" s="3">
        <f ca="1">IFERROR(__xludf.DUMMYFUNCTION("""COMPUTED_VALUE"""),-0.524532457542156)</f>
        <v>-0.52453245754215605</v>
      </c>
      <c r="GQ80" s="3">
        <f ca="1">IFERROR(__xludf.DUMMYFUNCTION("""COMPUTED_VALUE"""),-0.590383747205101)</f>
        <v>-0.59038374720510101</v>
      </c>
      <c r="GR80" s="3">
        <f ca="1">IFERROR(__xludf.DUMMYFUNCTION("""COMPUTED_VALUE"""),-0.606034444697868)</f>
        <v>-0.60603444469786805</v>
      </c>
      <c r="GS80" s="3">
        <f ca="1">IFERROR(__xludf.DUMMYFUNCTION("""COMPUTED_VALUE"""),-0.616069845542147)</f>
        <v>-0.61606984554214705</v>
      </c>
      <c r="GT80" s="3">
        <f ca="1">IFERROR(__xludf.DUMMYFUNCTION("""COMPUTED_VALUE"""),-0.631824968907097)</f>
        <v>-0.63182496890709705</v>
      </c>
      <c r="GU80" s="3">
        <f ca="1">IFERROR(__xludf.DUMMYFUNCTION("""COMPUTED_VALUE"""),-0.652276932034644)</f>
        <v>-0.65227693203464399</v>
      </c>
      <c r="GV80" s="3">
        <f ca="1">IFERROR(__xludf.DUMMYFUNCTION("""COMPUTED_VALUE"""),-0.513708106561903)</f>
        <v>-0.51370810656190302</v>
      </c>
      <c r="GW80" s="3">
        <f ca="1">IFERROR(__xludf.DUMMYFUNCTION("""COMPUTED_VALUE"""),-0.523385694871167)</f>
        <v>-0.52338569487116704</v>
      </c>
      <c r="GX80" s="3">
        <f ca="1">IFERROR(__xludf.DUMMYFUNCTION("""COMPUTED_VALUE"""),-0.565307151958554)</f>
        <v>-0.56530715195855397</v>
      </c>
      <c r="GY80" s="3">
        <f ca="1">IFERROR(__xludf.DUMMYFUNCTION("""COMPUTED_VALUE"""),-0.56554459185748)</f>
        <v>-0.56554459185747996</v>
      </c>
      <c r="GZ80" s="3">
        <f ca="1">IFERROR(__xludf.DUMMYFUNCTION("""COMPUTED_VALUE"""),-0.574136552352269)</f>
        <v>-0.57413655235226901</v>
      </c>
      <c r="HA80" s="3">
        <f ca="1">IFERROR(__xludf.DUMMYFUNCTION("""COMPUTED_VALUE"""),-0.580033885379482)</f>
        <v>-0.58003388537948197</v>
      </c>
      <c r="HB80" s="3">
        <f ca="1">IFERROR(__xludf.DUMMYFUNCTION("""COMPUTED_VALUE"""),-0.561206111684125)</f>
        <v>-0.56120611168412504</v>
      </c>
      <c r="HC80" s="3">
        <f ca="1">IFERROR(__xludf.DUMMYFUNCTION("""COMPUTED_VALUE"""),-0.499090861554972)</f>
        <v>-0.49909086155497201</v>
      </c>
      <c r="HD80" s="3">
        <f ca="1">IFERROR(__xludf.DUMMYFUNCTION("""COMPUTED_VALUE"""),-0.551825033450533)</f>
        <v>-0.55182503345053302</v>
      </c>
      <c r="HE80" s="3">
        <f ca="1">IFERROR(__xludf.DUMMYFUNCTION("""COMPUTED_VALUE"""),-0.556893069332796)</f>
        <v>-0.55689306933279603</v>
      </c>
      <c r="HF80" s="3">
        <f ca="1">IFERROR(__xludf.DUMMYFUNCTION("""COMPUTED_VALUE"""),-0.584898173573833)</f>
        <v>-0.584898173573833</v>
      </c>
      <c r="HG80" s="3">
        <f ca="1">IFERROR(__xludf.DUMMYFUNCTION("""COMPUTED_VALUE"""),-0.571264381685837)</f>
        <v>-0.57126438168583704</v>
      </c>
      <c r="HH80" s="3">
        <f ca="1">IFERROR(__xludf.DUMMYFUNCTION("""COMPUTED_VALUE"""),-0.588335205069778)</f>
        <v>-0.58833520506977799</v>
      </c>
      <c r="HI80" s="3">
        <f ca="1">IFERROR(__xludf.DUMMYFUNCTION("""COMPUTED_VALUE"""),-0.611589677816743)</f>
        <v>-0.611589677816743</v>
      </c>
      <c r="HJ80" s="3">
        <f ca="1">IFERROR(__xludf.DUMMYFUNCTION("""COMPUTED_VALUE"""),-0.499162444778549)</f>
        <v>-0.49916244477854899</v>
      </c>
      <c r="HK80" s="3">
        <f ca="1">IFERROR(__xludf.DUMMYFUNCTION("""COMPUTED_VALUE"""),-0.546821315639205)</f>
        <v>-0.546821315639205</v>
      </c>
      <c r="HL80" s="3">
        <f ca="1">IFERROR(__xludf.DUMMYFUNCTION("""COMPUTED_VALUE"""),-0.566377665961884)</f>
        <v>-0.56637766596188399</v>
      </c>
      <c r="HM80" s="3">
        <f ca="1">IFERROR(__xludf.DUMMYFUNCTION("""COMPUTED_VALUE"""),-0.556032697144751)</f>
        <v>-0.55603269714475101</v>
      </c>
      <c r="HN80" s="3">
        <f ca="1">IFERROR(__xludf.DUMMYFUNCTION("""COMPUTED_VALUE"""),-0.586967137190398)</f>
        <v>-0.58696713719039795</v>
      </c>
      <c r="HO80" s="3">
        <f ca="1">IFERROR(__xludf.DUMMYFUNCTION("""COMPUTED_VALUE"""),-0.607505265460636)</f>
        <v>-0.60750526546063599</v>
      </c>
      <c r="HP80" s="3">
        <f ca="1">IFERROR(__xludf.DUMMYFUNCTION("""COMPUTED_VALUE"""),-0.537333902602861)</f>
        <v>-0.53733390260286096</v>
      </c>
      <c r="HQ80" s="3">
        <f ca="1">IFERROR(__xludf.DUMMYFUNCTION("""COMPUTED_VALUE"""),-0.502734852568586)</f>
        <v>-0.50273485256858597</v>
      </c>
      <c r="HR80" s="3">
        <f ca="1">IFERROR(__xludf.DUMMYFUNCTION("""COMPUTED_VALUE"""),-0.556227655136047)</f>
        <v>-0.55622765513604699</v>
      </c>
      <c r="HS80" s="3">
        <f ca="1">IFERROR(__xludf.DUMMYFUNCTION("""COMPUTED_VALUE"""),-0.580635682695887)</f>
        <v>-0.58063568269588695</v>
      </c>
      <c r="HT80" s="3">
        <f ca="1">IFERROR(__xludf.DUMMYFUNCTION("""COMPUTED_VALUE"""),-0.597776807192002)</f>
        <v>-0.59777680719200199</v>
      </c>
      <c r="HU80" s="3">
        <f ca="1">IFERROR(__xludf.DUMMYFUNCTION("""COMPUTED_VALUE"""),-0.592722804901323)</f>
        <v>-0.59272280490132301</v>
      </c>
      <c r="HV80" s="3">
        <f ca="1">IFERROR(__xludf.DUMMYFUNCTION("""COMPUTED_VALUE"""),-0.58149286947241)</f>
        <v>-0.58149286947240997</v>
      </c>
      <c r="HW80" s="3">
        <f ca="1">IFERROR(__xludf.DUMMYFUNCTION("""COMPUTED_VALUE"""),-0.61783151841158)</f>
        <v>-0.61783151841158002</v>
      </c>
      <c r="HX80" s="3">
        <f ca="1">IFERROR(__xludf.DUMMYFUNCTION("""COMPUTED_VALUE"""),-0.493935142396091)</f>
        <v>-0.49393514239609099</v>
      </c>
      <c r="HY80" s="3">
        <f ca="1">IFERROR(__xludf.DUMMYFUNCTION("""COMPUTED_VALUE"""),-0.554389092323029)</f>
        <v>-0.55438909232302902</v>
      </c>
      <c r="HZ80" s="3">
        <f ca="1">IFERROR(__xludf.DUMMYFUNCTION("""COMPUTED_VALUE"""),-0.584694442037988)</f>
        <v>-0.58469444203798804</v>
      </c>
      <c r="IA80" s="3">
        <f ca="1">IFERROR(__xludf.DUMMYFUNCTION("""COMPUTED_VALUE"""),-0.572540784766992)</f>
        <v>-0.57254078476699199</v>
      </c>
      <c r="IB80" s="3">
        <f ca="1">IFERROR(__xludf.DUMMYFUNCTION("""COMPUTED_VALUE"""),-0.596972423650007)</f>
        <v>-0.59697242365000702</v>
      </c>
      <c r="IC80" s="3">
        <f ca="1">IFERROR(__xludf.DUMMYFUNCTION("""COMPUTED_VALUE"""),-0.587918663161892)</f>
        <v>-0.58791866316189201</v>
      </c>
      <c r="ID80" s="3">
        <f ca="1">IFERROR(__xludf.DUMMYFUNCTION("""COMPUTED_VALUE"""),-0.65104056035831)</f>
        <v>-0.65104056035831004</v>
      </c>
      <c r="IE80" s="3">
        <f ca="1">IFERROR(__xludf.DUMMYFUNCTION("""COMPUTED_VALUE"""),-0.528472441297497)</f>
        <v>-0.52847244129749704</v>
      </c>
      <c r="IF80" s="3">
        <f ca="1">IFERROR(__xludf.DUMMYFUNCTION("""COMPUTED_VALUE"""),-0.558763324540293)</f>
        <v>-0.55876332454029298</v>
      </c>
      <c r="IG80" s="3">
        <f ca="1">IFERROR(__xludf.DUMMYFUNCTION("""COMPUTED_VALUE"""),-0.615706375297651)</f>
        <v>-0.61570637529765104</v>
      </c>
      <c r="IH80" s="3">
        <f ca="1">IFERROR(__xludf.DUMMYFUNCTION("""COMPUTED_VALUE"""),-0.602430154891322)</f>
        <v>-0.60243015489132201</v>
      </c>
      <c r="II80" s="3">
        <f ca="1">IFERROR(__xludf.DUMMYFUNCTION("""COMPUTED_VALUE"""),-0.64720051055098)</f>
        <v>-0.64720051055098005</v>
      </c>
      <c r="IJ80" s="3">
        <f ca="1">IFERROR(__xludf.DUMMYFUNCTION("""COMPUTED_VALUE"""),-0.627687982083106)</f>
        <v>-0.62768798208310606</v>
      </c>
      <c r="IK80" s="3">
        <f ca="1">IFERROR(__xludf.DUMMYFUNCTION("""COMPUTED_VALUE"""),-0.66899119125733)</f>
        <v>-0.66899119125732998</v>
      </c>
      <c r="IL80" s="3">
        <f ca="1">IFERROR(__xludf.DUMMYFUNCTION("""COMPUTED_VALUE"""),-0.543616301891213)</f>
        <v>-0.54361630189121302</v>
      </c>
      <c r="IM80" s="3">
        <f ca="1">IFERROR(__xludf.DUMMYFUNCTION("""COMPUTED_VALUE"""),-0.596191331402245)</f>
        <v>-0.59619133140224501</v>
      </c>
      <c r="IN80" s="3">
        <f ca="1">IFERROR(__xludf.DUMMYFUNCTION("""COMPUTED_VALUE"""),-0.620105713026198)</f>
        <v>-0.62010571302619799</v>
      </c>
      <c r="IO80" s="3">
        <f ca="1">IFERROR(__xludf.DUMMYFUNCTION("""COMPUTED_VALUE"""),-0.610183576898751)</f>
        <v>-0.61018357689875102</v>
      </c>
      <c r="IP80" s="3">
        <f ca="1">IFERROR(__xludf.DUMMYFUNCTION("""COMPUTED_VALUE"""),-0.598625113435584)</f>
        <v>-0.598625113435584</v>
      </c>
      <c r="IQ80" s="3">
        <f ca="1">IFERROR(__xludf.DUMMYFUNCTION("""COMPUTED_VALUE"""),-0.600105648199247)</f>
        <v>-0.60010564819924705</v>
      </c>
      <c r="IR80" s="3">
        <f ca="1">IFERROR(__xludf.DUMMYFUNCTION("""COMPUTED_VALUE"""),-0.562865082599191)</f>
        <v>-0.56286508259919099</v>
      </c>
      <c r="IS80" s="3">
        <f ca="1">IFERROR(__xludf.DUMMYFUNCTION("""COMPUTED_VALUE"""),-0.568174164361902)</f>
        <v>-0.56817416436190205</v>
      </c>
      <c r="IT80" s="3">
        <f ca="1">IFERROR(__xludf.DUMMYFUNCTION("""COMPUTED_VALUE"""),-0.590812927085713)</f>
        <v>-0.59081292708571298</v>
      </c>
      <c r="IU80" s="3">
        <f ca="1">IFERROR(__xludf.DUMMYFUNCTION("""COMPUTED_VALUE"""),-0.640571365635347)</f>
        <v>-0.640571365635347</v>
      </c>
      <c r="IV80" s="3">
        <f ca="1">IFERROR(__xludf.DUMMYFUNCTION("""COMPUTED_VALUE"""),-0.647676141590636)</f>
        <v>-0.64767614159063602</v>
      </c>
      <c r="IW80" s="3">
        <f ca="1">IFERROR(__xludf.DUMMYFUNCTION("""COMPUTED_VALUE"""),-0.625328254364635)</f>
        <v>-0.62532825436463502</v>
      </c>
      <c r="IX80" s="3">
        <f ca="1">IFERROR(__xludf.DUMMYFUNCTION("""COMPUTED_VALUE"""),-0.60099110897901)</f>
        <v>-0.60099110897900998</v>
      </c>
      <c r="IY80" s="3">
        <f ca="1">IFERROR(__xludf.DUMMYFUNCTION("""COMPUTED_VALUE"""),-0.616242614332476)</f>
        <v>-0.61624261433247596</v>
      </c>
      <c r="IZ80" s="3">
        <f ca="1">IFERROR(__xludf.DUMMYFUNCTION("""COMPUTED_VALUE"""),-0.561514744780924)</f>
        <v>-0.561514744780924</v>
      </c>
      <c r="JA80" s="3">
        <f ca="1">IFERROR(__xludf.DUMMYFUNCTION("""COMPUTED_VALUE"""),-0.568763154731053)</f>
        <v>-0.56876315473105299</v>
      </c>
      <c r="JB80" s="3">
        <f ca="1">IFERROR(__xludf.DUMMYFUNCTION("""COMPUTED_VALUE"""),-0.601582753482704)</f>
        <v>-0.60158275348270396</v>
      </c>
      <c r="JC80" s="3">
        <f ca="1">IFERROR(__xludf.DUMMYFUNCTION("""COMPUTED_VALUE"""),-0.61174876198234)</f>
        <v>-0.61174876198233996</v>
      </c>
      <c r="JD80" s="3">
        <f ca="1">IFERROR(__xludf.DUMMYFUNCTION("""COMPUTED_VALUE"""),-0.607984693582701)</f>
        <v>-0.60798469358270102</v>
      </c>
      <c r="JE80" s="3">
        <f ca="1">IFERROR(__xludf.DUMMYFUNCTION("""COMPUTED_VALUE"""),-0.621102746246022)</f>
        <v>-0.62110274624602202</v>
      </c>
      <c r="JF80" s="3">
        <f ca="1">IFERROR(__xludf.DUMMYFUNCTION("""COMPUTED_VALUE"""),-0.587360068357111)</f>
        <v>-0.58736006835711096</v>
      </c>
      <c r="JG80" s="3">
        <f ca="1">IFERROR(__xludf.DUMMYFUNCTION("""COMPUTED_VALUE"""),-0.556551420391341)</f>
        <v>-0.55655142039134098</v>
      </c>
      <c r="JH80" s="3">
        <f ca="1">IFERROR(__xludf.DUMMYFUNCTION("""COMPUTED_VALUE"""),-0.555706778349163)</f>
        <v>-0.55570677834916304</v>
      </c>
      <c r="JI80" s="3">
        <f ca="1">IFERROR(__xludf.DUMMYFUNCTION("""COMPUTED_VALUE"""),-0.630305878009097)</f>
        <v>-0.63030587800909699</v>
      </c>
      <c r="JJ80" s="3">
        <f ca="1">IFERROR(__xludf.DUMMYFUNCTION("""COMPUTED_VALUE"""),-0.612715544331591)</f>
        <v>-0.61271554433159103</v>
      </c>
      <c r="JK80" s="3">
        <f ca="1">IFERROR(__xludf.DUMMYFUNCTION("""COMPUTED_VALUE"""),-0.63286267562391)</f>
        <v>-0.63286267562390996</v>
      </c>
      <c r="JL80" s="3">
        <f ca="1">IFERROR(__xludf.DUMMYFUNCTION("""COMPUTED_VALUE"""),-0.60111968171959)</f>
        <v>-0.60111968171958996</v>
      </c>
      <c r="JM80" s="3">
        <f ca="1">IFERROR(__xludf.DUMMYFUNCTION("""COMPUTED_VALUE"""),-0.585509352762699)</f>
        <v>-0.585509352762699</v>
      </c>
      <c r="JN80" s="3">
        <f ca="1">IFERROR(__xludf.DUMMYFUNCTION("""COMPUTED_VALUE"""),-0.555675211607069)</f>
        <v>-0.55567521160706901</v>
      </c>
      <c r="JO80" s="3">
        <f ca="1">IFERROR(__xludf.DUMMYFUNCTION("""COMPUTED_VALUE"""),-0.575598005902417)</f>
        <v>-0.57559800590241705</v>
      </c>
      <c r="JP80" s="3">
        <f ca="1">IFERROR(__xludf.DUMMYFUNCTION("""COMPUTED_VALUE"""),-0.61168569793032)</f>
        <v>-0.61168569793032002</v>
      </c>
      <c r="JQ80" s="3">
        <f ca="1">IFERROR(__xludf.DUMMYFUNCTION("""COMPUTED_VALUE"""),-0.575729273128358)</f>
        <v>-0.57572927312835798</v>
      </c>
      <c r="JR80" s="3">
        <f ca="1">IFERROR(__xludf.DUMMYFUNCTION("""COMPUTED_VALUE"""),-0.605647810007858)</f>
        <v>-0.60564781000785795</v>
      </c>
      <c r="JS80" s="3">
        <f ca="1">IFERROR(__xludf.DUMMYFUNCTION("""COMPUTED_VALUE"""),-0.595794998571235)</f>
        <v>-0.59579499857123497</v>
      </c>
      <c r="JT80" s="3">
        <f ca="1">IFERROR(__xludf.DUMMYFUNCTION("""COMPUTED_VALUE"""),-0.587119628001287)</f>
        <v>-0.58711962800128703</v>
      </c>
      <c r="JU80" s="3">
        <f ca="1">IFERROR(__xludf.DUMMYFUNCTION("""COMPUTED_VALUE"""),-0.608319210030676)</f>
        <v>-0.60831921003067602</v>
      </c>
      <c r="JV80" s="3">
        <f ca="1">IFERROR(__xludf.DUMMYFUNCTION("""COMPUTED_VALUE"""),-0.685468019071772)</f>
        <v>-0.68546801907177202</v>
      </c>
      <c r="JW80" s="3">
        <f ca="1">IFERROR(__xludf.DUMMYFUNCTION("""COMPUTED_VALUE"""),-0.590438174884568)</f>
        <v>-0.59043817488456796</v>
      </c>
      <c r="JX80" s="3">
        <f ca="1">IFERROR(__xludf.DUMMYFUNCTION("""COMPUTED_VALUE"""),-0.576236929440148)</f>
        <v>-0.57623692944014804</v>
      </c>
      <c r="JY80" s="3">
        <f ca="1">IFERROR(__xludf.DUMMYFUNCTION("""COMPUTED_VALUE"""),-0.632944086790686)</f>
        <v>-0.63294408679068603</v>
      </c>
      <c r="JZ80" s="3">
        <f ca="1">IFERROR(__xludf.DUMMYFUNCTION("""COMPUTED_VALUE"""),-0.661505450821741)</f>
        <v>-0.66150545082174095</v>
      </c>
      <c r="KA80" s="3">
        <f ca="1">IFERROR(__xludf.DUMMYFUNCTION("""COMPUTED_VALUE"""),-0.62798229016975)</f>
        <v>-0.62798229016975005</v>
      </c>
      <c r="KB80" s="3">
        <f ca="1">IFERROR(__xludf.DUMMYFUNCTION("""COMPUTED_VALUE"""),-0.598658246955316)</f>
        <v>-0.598658246955316</v>
      </c>
      <c r="KC80" s="3">
        <f ca="1">IFERROR(__xludf.DUMMYFUNCTION("""COMPUTED_VALUE"""),-0.619140366617269)</f>
        <v>-0.61914036661726901</v>
      </c>
      <c r="KD80" s="3">
        <f ca="1">IFERROR(__xludf.DUMMYFUNCTION("""COMPUTED_VALUE"""),-0.618062690879175)</f>
        <v>-0.61806269087917498</v>
      </c>
      <c r="KE80" s="3">
        <f ca="1">IFERROR(__xludf.DUMMYFUNCTION("""COMPUTED_VALUE"""),-0.616179430033919)</f>
        <v>-0.61617943003391895</v>
      </c>
      <c r="KF80" s="3">
        <f ca="1">IFERROR(__xludf.DUMMYFUNCTION("""COMPUTED_VALUE"""),-0.630190788780879)</f>
        <v>-0.63019078878087897</v>
      </c>
      <c r="KG80" s="3">
        <f ca="1">IFERROR(__xludf.DUMMYFUNCTION("""COMPUTED_VALUE"""),-0.611055701668814)</f>
        <v>-0.61105570166881396</v>
      </c>
      <c r="KH80" s="3">
        <f ca="1">IFERROR(__xludf.DUMMYFUNCTION("""COMPUTED_VALUE"""),-0.573186231486661)</f>
        <v>-0.57318623148666104</v>
      </c>
      <c r="KI80" s="3">
        <f ca="1">IFERROR(__xludf.DUMMYFUNCTION("""COMPUTED_VALUE"""),-0.613012294819235)</f>
        <v>-0.61301229481923503</v>
      </c>
      <c r="KJ80" s="3">
        <f ca="1">IFERROR(__xludf.DUMMYFUNCTION("""COMPUTED_VALUE"""),-0.645892087705145)</f>
        <v>-0.64589208770514495</v>
      </c>
      <c r="KK80" s="3">
        <f ca="1">IFERROR(__xludf.DUMMYFUNCTION("""COMPUTED_VALUE"""),-0.645998774263611)</f>
        <v>-0.64599877426361096</v>
      </c>
      <c r="KL80" s="3">
        <f ca="1">IFERROR(__xludf.DUMMYFUNCTION("""COMPUTED_VALUE"""),-0.642589226279084)</f>
        <v>-0.64258922627908399</v>
      </c>
      <c r="KM80" s="3">
        <f ca="1">IFERROR(__xludf.DUMMYFUNCTION("""COMPUTED_VALUE"""),-0.653039176896509)</f>
        <v>-0.65303917689650903</v>
      </c>
      <c r="KN80" s="3">
        <f ca="1">IFERROR(__xludf.DUMMYFUNCTION("""COMPUTED_VALUE"""),-0.651220191440582)</f>
        <v>-0.65122019144058196</v>
      </c>
      <c r="KO80" s="3">
        <f ca="1">IFERROR(__xludf.DUMMYFUNCTION("""COMPUTED_VALUE"""),-0.604918713099008)</f>
        <v>-0.60491871309900802</v>
      </c>
      <c r="KP80" s="3">
        <f ca="1">IFERROR(__xludf.DUMMYFUNCTION("""COMPUTED_VALUE"""),-0.623377205650666)</f>
        <v>-0.62337720565066601</v>
      </c>
      <c r="KQ80" s="3">
        <f ca="1">IFERROR(__xludf.DUMMYFUNCTION("""COMPUTED_VALUE"""),-0.625906760928859)</f>
        <v>-0.625906760928859</v>
      </c>
      <c r="KR80" s="3">
        <f ca="1">IFERROR(__xludf.DUMMYFUNCTION("""COMPUTED_VALUE"""),-0.667288620079201)</f>
        <v>-0.66728862007920098</v>
      </c>
      <c r="KS80" s="3">
        <f ca="1">IFERROR(__xludf.DUMMYFUNCTION("""COMPUTED_VALUE"""),-0.677257176324819)</f>
        <v>-0.67725717632481897</v>
      </c>
      <c r="KT80" s="3">
        <f ca="1">IFERROR(__xludf.DUMMYFUNCTION("""COMPUTED_VALUE"""),-0.690739531509373)</f>
        <v>-0.69073953150937295</v>
      </c>
      <c r="KU80" s="3">
        <f ca="1">IFERROR(__xludf.DUMMYFUNCTION("""COMPUTED_VALUE"""),-0.694394261043794)</f>
        <v>-0.69439426104379398</v>
      </c>
      <c r="KV80" s="3">
        <f ca="1">IFERROR(__xludf.DUMMYFUNCTION("""COMPUTED_VALUE"""),-0.644775648191298)</f>
        <v>-0.64477564819129796</v>
      </c>
      <c r="KW80" s="3">
        <f ca="1">IFERROR(__xludf.DUMMYFUNCTION("""COMPUTED_VALUE"""),-0.631899631457719)</f>
        <v>-0.63189963145771899</v>
      </c>
      <c r="KX80" s="3">
        <f ca="1">IFERROR(__xludf.DUMMYFUNCTION("""COMPUTED_VALUE"""),-0.634404560780266)</f>
        <v>-0.63440456078026597</v>
      </c>
      <c r="KY80" s="3">
        <f ca="1">IFERROR(__xludf.DUMMYFUNCTION("""COMPUTED_VALUE"""),-0.675983613871942)</f>
        <v>-0.67598361387194195</v>
      </c>
      <c r="KZ80" s="3">
        <f ca="1">IFERROR(__xludf.DUMMYFUNCTION("""COMPUTED_VALUE"""),-0.676833224208789)</f>
        <v>-0.676833224208789</v>
      </c>
      <c r="LA80" s="3">
        <f ca="1">IFERROR(__xludf.DUMMYFUNCTION("""COMPUTED_VALUE"""),-0.657802301774411)</f>
        <v>-0.65780230177441101</v>
      </c>
      <c r="LB80" s="3">
        <f ca="1">IFERROR(__xludf.DUMMYFUNCTION("""COMPUTED_VALUE"""),-0.67021879025521)</f>
        <v>-0.67021879025521003</v>
      </c>
      <c r="LC80" s="3">
        <f ca="1">IFERROR(__xludf.DUMMYFUNCTION("""COMPUTED_VALUE"""),-0.611148131390001)</f>
        <v>-0.61114813139000101</v>
      </c>
      <c r="LD80" s="3">
        <f ca="1">IFERROR(__xludf.DUMMYFUNCTION("""COMPUTED_VALUE"""),-0.529010605300727)</f>
        <v>-0.52901060530072697</v>
      </c>
      <c r="LE80" s="3">
        <f ca="1">IFERROR(__xludf.DUMMYFUNCTION("""COMPUTED_VALUE"""),-0.565237676840184)</f>
        <v>-0.565237676840184</v>
      </c>
      <c r="LF80" s="3">
        <f ca="1">IFERROR(__xludf.DUMMYFUNCTION("""COMPUTED_VALUE"""),-0.605893307464567)</f>
        <v>-0.60589330746456704</v>
      </c>
      <c r="LG80" s="3">
        <f ca="1">IFERROR(__xludf.DUMMYFUNCTION("""COMPUTED_VALUE"""),-0.63340882087553)</f>
        <v>-0.63340882087552997</v>
      </c>
      <c r="LH80" s="3">
        <f ca="1">IFERROR(__xludf.DUMMYFUNCTION("""COMPUTED_VALUE"""),-0.619138321453638)</f>
        <v>-0.61913832145363801</v>
      </c>
      <c r="LI80" s="3">
        <f ca="1">IFERROR(__xludf.DUMMYFUNCTION("""COMPUTED_VALUE"""),-0.601870723888974)</f>
        <v>-0.601870723888974</v>
      </c>
      <c r="LJ80" s="3">
        <f ca="1">IFERROR(__xludf.DUMMYFUNCTION("""COMPUTED_VALUE"""),-0.627823094193062)</f>
        <v>-0.62782309419306204</v>
      </c>
      <c r="LK80" s="3">
        <f ca="1">IFERROR(__xludf.DUMMYFUNCTION("""COMPUTED_VALUE"""),-0.577860968653944)</f>
        <v>-0.57786096865394398</v>
      </c>
      <c r="LL80" s="3">
        <f ca="1">IFERROR(__xludf.DUMMYFUNCTION("""COMPUTED_VALUE"""),-0.587355976004832)</f>
        <v>-0.58735597600483203</v>
      </c>
      <c r="LM80" s="3">
        <f ca="1">IFERROR(__xludf.DUMMYFUNCTION("""COMPUTED_VALUE"""),-0.627809918613355)</f>
        <v>-0.627809918613355</v>
      </c>
      <c r="LN80" s="3">
        <f ca="1">IFERROR(__xludf.DUMMYFUNCTION("""COMPUTED_VALUE"""),-0.622605210945796)</f>
        <v>-0.62260521094579602</v>
      </c>
      <c r="LO80" s="3">
        <f ca="1">IFERROR(__xludf.DUMMYFUNCTION("""COMPUTED_VALUE"""),-0.612520156339389)</f>
        <v>-0.61252015633938905</v>
      </c>
      <c r="LP80" s="3">
        <f ca="1">IFERROR(__xludf.DUMMYFUNCTION("""COMPUTED_VALUE"""),-0.60782139632342)</f>
        <v>-0.60782139632342003</v>
      </c>
      <c r="LQ80" s="3">
        <f ca="1">IFERROR(__xludf.DUMMYFUNCTION("""COMPUTED_VALUE"""),-0.539809548654187)</f>
        <v>-0.53980954865418695</v>
      </c>
      <c r="LR80" s="3">
        <f ca="1">IFERROR(__xludf.DUMMYFUNCTION("""COMPUTED_VALUE"""),-0.556721645979354)</f>
        <v>-0.55672164597935403</v>
      </c>
      <c r="LS80" s="3">
        <f ca="1">IFERROR(__xludf.DUMMYFUNCTION("""COMPUTED_VALUE"""),-0.624688208441447)</f>
        <v>-0.62468820844144701</v>
      </c>
      <c r="LT80" s="3">
        <f ca="1">IFERROR(__xludf.DUMMYFUNCTION("""COMPUTED_VALUE"""),-0.66272747265321)</f>
        <v>-0.66272747265320997</v>
      </c>
      <c r="LU80" s="3">
        <f ca="1">IFERROR(__xludf.DUMMYFUNCTION("""COMPUTED_VALUE"""),-0.642935421033039)</f>
        <v>-0.64293542103303902</v>
      </c>
      <c r="LV80" s="3">
        <f ca="1">IFERROR(__xludf.DUMMYFUNCTION("""COMPUTED_VALUE"""),-0.658859956762178)</f>
        <v>-0.65885995676217801</v>
      </c>
      <c r="LW80" s="3">
        <f ca="1">IFERROR(__xludf.DUMMYFUNCTION("""COMPUTED_VALUE"""),-0.638775497621573)</f>
        <v>-0.63877549762157304</v>
      </c>
      <c r="LX80" s="3">
        <f ca="1">IFERROR(__xludf.DUMMYFUNCTION("""COMPUTED_VALUE"""),-0.615280671169743)</f>
        <v>-0.61528067116974305</v>
      </c>
      <c r="LY80" s="3">
        <f ca="1">IFERROR(__xludf.DUMMYFUNCTION("""COMPUTED_VALUE"""),-0.582483840703096)</f>
        <v>-0.582483840703096</v>
      </c>
      <c r="LZ80" s="3">
        <f ca="1">IFERROR(__xludf.DUMMYFUNCTION("""COMPUTED_VALUE"""),-0.582318299125832)</f>
        <v>-0.582318299125832</v>
      </c>
      <c r="MA80" s="3">
        <f ca="1">IFERROR(__xludf.DUMMYFUNCTION("""COMPUTED_VALUE"""),-0.671191562384088)</f>
        <v>-0.67119156238408795</v>
      </c>
      <c r="MB80" s="3">
        <f ca="1">IFERROR(__xludf.DUMMYFUNCTION("""COMPUTED_VALUE"""),-0.609630455976309)</f>
        <v>-0.60963045597630905</v>
      </c>
      <c r="MC80" s="3">
        <f ca="1">IFERROR(__xludf.DUMMYFUNCTION("""COMPUTED_VALUE"""),-0.599619239407858)</f>
        <v>-0.599619239407858</v>
      </c>
      <c r="MD80" s="3">
        <f ca="1">IFERROR(__xludf.DUMMYFUNCTION("""COMPUTED_VALUE"""),-0.6528679133505)</f>
        <v>-0.65286791335049998</v>
      </c>
      <c r="ME80" s="3">
        <f ca="1">IFERROR(__xludf.DUMMYFUNCTION("""COMPUTED_VALUE"""),-0.633533971791154)</f>
        <v>-0.633533971791154</v>
      </c>
      <c r="MF80" s="3">
        <f ca="1">IFERROR(__xludf.DUMMYFUNCTION("""COMPUTED_VALUE"""),-0.562701294878209)</f>
        <v>-0.56270129487820897</v>
      </c>
      <c r="MG80" s="3">
        <f ca="1">IFERROR(__xludf.DUMMYFUNCTION("""COMPUTED_VALUE"""),-0.56947423329528)</f>
        <v>-0.56947423329528002</v>
      </c>
      <c r="MH80" s="3">
        <f ca="1">IFERROR(__xludf.DUMMYFUNCTION("""COMPUTED_VALUE"""),-0.650585743946729)</f>
        <v>-0.65058574394672897</v>
      </c>
      <c r="MI80" s="3">
        <f ca="1">IFERROR(__xludf.DUMMYFUNCTION("""COMPUTED_VALUE"""),-0.617952376412493)</f>
        <v>-0.61795237641249301</v>
      </c>
      <c r="MJ80" s="3">
        <f ca="1">IFERROR(__xludf.DUMMYFUNCTION("""COMPUTED_VALUE"""),-0.65584849655525)</f>
        <v>-0.65584849655525002</v>
      </c>
      <c r="MK80" s="3">
        <f ca="1">IFERROR(__xludf.DUMMYFUNCTION("""COMPUTED_VALUE"""),-0.625109123798868)</f>
        <v>-0.62510912379886796</v>
      </c>
      <c r="ML80" s="3">
        <f ca="1">IFERROR(__xludf.DUMMYFUNCTION("""COMPUTED_VALUE"""),-0.587914497173101)</f>
        <v>-0.58791449717310096</v>
      </c>
      <c r="MM80" s="3">
        <f ca="1">IFERROR(__xludf.DUMMYFUNCTION("""COMPUTED_VALUE"""),-0.535402242463999)</f>
        <v>-0.53540224246399903</v>
      </c>
      <c r="MN80" s="3">
        <f ca="1">IFERROR(__xludf.DUMMYFUNCTION("""COMPUTED_VALUE"""),-0.647908808508187)</f>
        <v>-0.647908808508187</v>
      </c>
      <c r="MO80" s="3">
        <f ca="1">IFERROR(__xludf.DUMMYFUNCTION("""COMPUTED_VALUE"""),-0.625215088369134)</f>
        <v>-0.62521508836913398</v>
      </c>
      <c r="MP80" s="3">
        <f ca="1">IFERROR(__xludf.DUMMYFUNCTION("""COMPUTED_VALUE"""),-0.610803408831484)</f>
        <v>-0.61080340883148398</v>
      </c>
      <c r="MQ80" s="3">
        <f ca="1">IFERROR(__xludf.DUMMYFUNCTION("""COMPUTED_VALUE"""),-0.611421013885429)</f>
        <v>-0.61142101388542902</v>
      </c>
      <c r="MR80" s="3">
        <f ca="1">IFERROR(__xludf.DUMMYFUNCTION("""COMPUTED_VALUE"""),-0.584644689670528)</f>
        <v>-0.58464468967052796</v>
      </c>
      <c r="MS80" s="3">
        <f ca="1">IFERROR(__xludf.DUMMYFUNCTION("""COMPUTED_VALUE"""),-0.489419126526238)</f>
        <v>-0.48941912652623798</v>
      </c>
      <c r="MT80" s="3">
        <f ca="1">IFERROR(__xludf.DUMMYFUNCTION("""COMPUTED_VALUE"""),-0.43805010457678)</f>
        <v>-0.43805010457678001</v>
      </c>
      <c r="MU80" s="3">
        <f ca="1">IFERROR(__xludf.DUMMYFUNCTION("""COMPUTED_VALUE"""),-0.492503709475332)</f>
        <v>-0.49250370947533201</v>
      </c>
      <c r="MV80" s="3">
        <f ca="1">IFERROR(__xludf.DUMMYFUNCTION("""COMPUTED_VALUE"""),-0.650083771601096)</f>
        <v>-0.65008377160109598</v>
      </c>
      <c r="MW80" s="3">
        <f ca="1">IFERROR(__xludf.DUMMYFUNCTION("""COMPUTED_VALUE"""),-0.610163150136941)</f>
        <v>-0.610163150136941</v>
      </c>
      <c r="MX80" s="3">
        <f ca="1">IFERROR(__xludf.DUMMYFUNCTION("""COMPUTED_VALUE"""),-0.597466994254967)</f>
        <v>-0.59746699425496697</v>
      </c>
      <c r="MY80" s="3">
        <f ca="1">IFERROR(__xludf.DUMMYFUNCTION("""COMPUTED_VALUE"""),-0.615149834912081)</f>
        <v>-0.61514983491208097</v>
      </c>
      <c r="MZ80" s="3">
        <f ca="1">IFERROR(__xludf.DUMMYFUNCTION("""COMPUTED_VALUE"""),-0.552868729745807)</f>
        <v>-0.55286872974580703</v>
      </c>
      <c r="NA80" s="3">
        <f ca="1">IFERROR(__xludf.DUMMYFUNCTION("""COMPUTED_VALUE"""),-0.500486701370017)</f>
        <v>-0.50048670137001705</v>
      </c>
      <c r="NB80" s="3">
        <f ca="1">IFERROR(__xludf.DUMMYFUNCTION("""COMPUTED_VALUE"""),-0.492914459719354)</f>
        <v>-0.49291445971935399</v>
      </c>
      <c r="NC80" s="3">
        <f ca="1">IFERROR(__xludf.DUMMYFUNCTION("""COMPUTED_VALUE"""),-0.59250355248608)</f>
        <v>-0.59250355248608</v>
      </c>
      <c r="ND80" s="3">
        <f ca="1">IFERROR(__xludf.DUMMYFUNCTION("""COMPUTED_VALUE"""),-0.55783329585432)</f>
        <v>-0.55783329585431995</v>
      </c>
      <c r="NE80" s="3">
        <f ca="1">IFERROR(__xludf.DUMMYFUNCTION("""COMPUTED_VALUE"""),-0.539108463568441)</f>
        <v>-0.539108463568441</v>
      </c>
      <c r="NF80" s="3">
        <f ca="1">IFERROR(__xludf.DUMMYFUNCTION("""COMPUTED_VALUE"""),-0.59457419801268)</f>
        <v>-0.59457419801267997</v>
      </c>
      <c r="NG80" s="3">
        <f ca="1">IFERROR(__xludf.DUMMYFUNCTION("""COMPUTED_VALUE"""),-0.552789548151007)</f>
        <v>-0.552789548151007</v>
      </c>
      <c r="NH80" s="3">
        <f ca="1">IFERROR(__xludf.DUMMYFUNCTION("""COMPUTED_VALUE"""),-0.405565867875715)</f>
        <v>-0.40556586787571502</v>
      </c>
      <c r="NI80" s="3">
        <f ca="1">IFERROR(__xludf.DUMMYFUNCTION("""COMPUTED_VALUE"""),-0.455427948496654)</f>
        <v>-0.45542794849665402</v>
      </c>
      <c r="NJ80" s="3">
        <f ca="1">IFERROR(__xludf.DUMMYFUNCTION("""COMPUTED_VALUE"""),-0.544944204682027)</f>
        <v>-0.54494420468202698</v>
      </c>
      <c r="NK80" s="3">
        <f ca="1">IFERROR(__xludf.DUMMYFUNCTION("""COMPUTED_VALUE"""),-0.543078920871461)</f>
        <v>-0.54307892087146103</v>
      </c>
      <c r="NL80" s="3">
        <f ca="1">IFERROR(__xludf.DUMMYFUNCTION("""COMPUTED_VALUE"""),-0.540931141867175)</f>
        <v>-0.54093114186717495</v>
      </c>
      <c r="NM80" s="3">
        <f ca="1">IFERROR(__xludf.DUMMYFUNCTION("""COMPUTED_VALUE"""),-0.549991513076142)</f>
        <v>-0.54999151307614202</v>
      </c>
      <c r="NN80" s="3">
        <f ca="1">IFERROR(__xludf.DUMMYFUNCTION("""COMPUTED_VALUE"""),-0.49453504776459)</f>
        <v>-0.49453504776459001</v>
      </c>
      <c r="NO80" s="3">
        <f ca="1">IFERROR(__xludf.DUMMYFUNCTION("""COMPUTED_VALUE"""),-0.429985803988711)</f>
        <v>-0.429985803988711</v>
      </c>
      <c r="NP80" s="3">
        <f ca="1">IFERROR(__xludf.DUMMYFUNCTION("""COMPUTED_VALUE"""),-0.543554616265692)</f>
        <v>-0.54355461626569201</v>
      </c>
      <c r="NQ80" s="3">
        <f ca="1">IFERROR(__xludf.DUMMYFUNCTION("""COMPUTED_VALUE"""),-0.508544168732718)</f>
        <v>-0.50854416873271802</v>
      </c>
      <c r="NR80" s="3">
        <f ca="1">IFERROR(__xludf.DUMMYFUNCTION("""COMPUTED_VALUE"""),-0.484234774501172)</f>
        <v>-0.48423477450117203</v>
      </c>
      <c r="NS80" s="3">
        <f ca="1">IFERROR(__xludf.DUMMYFUNCTION("""COMPUTED_VALUE"""),-0.464744482249651)</f>
        <v>-0.46474448224965098</v>
      </c>
      <c r="NT80" s="3">
        <f ca="1">IFERROR(__xludf.DUMMYFUNCTION("""COMPUTED_VALUE"""),-0.42593713904927)</f>
        <v>-0.42593713904927</v>
      </c>
      <c r="NU80" s="3">
        <f ca="1">IFERROR(__xludf.DUMMYFUNCTION("""COMPUTED_VALUE"""),-0.410979732855477)</f>
        <v>-0.41097973285547701</v>
      </c>
      <c r="NV80" s="3">
        <f ca="1">IFERROR(__xludf.DUMMYFUNCTION("""COMPUTED_VALUE"""),-0.470943800810711)</f>
        <v>-0.47094380081071102</v>
      </c>
      <c r="NW80" s="3">
        <f ca="1">IFERROR(__xludf.DUMMYFUNCTION("""COMPUTED_VALUE"""),-0.486432358519128)</f>
        <v>-0.48643235851912803</v>
      </c>
      <c r="NX80" s="3">
        <f ca="1">IFERROR(__xludf.DUMMYFUNCTION("""COMPUTED_VALUE"""),-0.486350241095572)</f>
        <v>-0.48635024109557201</v>
      </c>
      <c r="NY80" s="3">
        <f ca="1">IFERROR(__xludf.DUMMYFUNCTION("""COMPUTED_VALUE"""),-0.523632722382086)</f>
        <v>-0.52363272238208602</v>
      </c>
      <c r="NZ80" s="3">
        <f ca="1">IFERROR(__xludf.DUMMYFUNCTION("""COMPUTED_VALUE"""),-0.470431766648463)</f>
        <v>-0.47043176664846298</v>
      </c>
      <c r="OA80" s="3">
        <f ca="1">IFERROR(__xludf.DUMMYFUNCTION("""COMPUTED_VALUE"""),-0.393834546533979)</f>
        <v>-0.39383454653397898</v>
      </c>
      <c r="OB80" s="3">
        <f ca="1">IFERROR(__xludf.DUMMYFUNCTION("""COMPUTED_VALUE"""),-0.316347219185448)</f>
        <v>-0.316347219185448</v>
      </c>
      <c r="OC80" s="3">
        <f ca="1">IFERROR(__xludf.DUMMYFUNCTION("""COMPUTED_VALUE"""),-0.297798722004769)</f>
        <v>-0.29779872200476898</v>
      </c>
      <c r="OD80" s="3">
        <f ca="1">IFERROR(__xludf.DUMMYFUNCTION("""COMPUTED_VALUE"""),-0.33034891212012)</f>
        <v>-0.33034891212012002</v>
      </c>
      <c r="OE80" s="3">
        <f ca="1">IFERROR(__xludf.DUMMYFUNCTION("""COMPUTED_VALUE"""),-0.273005288047967)</f>
        <v>-0.27300528804796698</v>
      </c>
      <c r="OF80" s="3">
        <f ca="1">IFERROR(__xludf.DUMMYFUNCTION("""COMPUTED_VALUE"""),-0.283126933449741)</f>
        <v>-0.28312693344974099</v>
      </c>
      <c r="OG80" s="3">
        <f ca="1">IFERROR(__xludf.DUMMYFUNCTION("""COMPUTED_VALUE"""),-0.201946127191484)</f>
        <v>-0.201946127191484</v>
      </c>
      <c r="OH80" s="3">
        <f ca="1">IFERROR(__xludf.DUMMYFUNCTION("""COMPUTED_VALUE"""),-0.146988564439769)</f>
        <v>-0.14698856443976899</v>
      </c>
      <c r="OI80" s="3">
        <f ca="1">IFERROR(__xludf.DUMMYFUNCTION("""COMPUTED_VALUE"""),-0.159762596318046)</f>
        <v>-0.15976259631804601</v>
      </c>
      <c r="OJ80" s="3">
        <f ca="1">IFERROR(__xludf.DUMMYFUNCTION("""COMPUTED_VALUE"""),-0.116621922445688)</f>
        <v>-0.116621922445688</v>
      </c>
      <c r="OK80" s="3">
        <f ca="1">IFERROR(__xludf.DUMMYFUNCTION("""COMPUTED_VALUE"""),-0.117589076808838)</f>
        <v>-0.117589076808838</v>
      </c>
      <c r="OL80" s="3">
        <f ca="1">IFERROR(__xludf.DUMMYFUNCTION("""COMPUTED_VALUE"""),-0.109448506673038)</f>
        <v>-0.109448506673038</v>
      </c>
      <c r="OM80" s="3">
        <f ca="1">IFERROR(__xludf.DUMMYFUNCTION("""COMPUTED_VALUE"""),-0.0310977312992088)</f>
        <v>-3.10977312992088E-2</v>
      </c>
      <c r="ON80" s="3">
        <f ca="1">IFERROR(__xludf.DUMMYFUNCTION("""COMPUTED_VALUE"""),-0.114295853290231)</f>
        <v>-0.11429585329023099</v>
      </c>
      <c r="OO80" s="3">
        <f ca="1">IFERROR(__xludf.DUMMYFUNCTION("""COMPUTED_VALUE"""),-0.0376365747131811)</f>
        <v>-3.7636574713181097E-2</v>
      </c>
      <c r="OP80" s="3">
        <f ca="1">IFERROR(__xludf.DUMMYFUNCTION("""COMPUTED_VALUE"""),-0.0124360788721442)</f>
        <v>-1.24360788721442E-2</v>
      </c>
      <c r="OQ80" s="3">
        <f ca="1">IFERROR(__xludf.DUMMYFUNCTION("""COMPUTED_VALUE"""),-0.0726751758344536)</f>
        <v>-7.2675175834453598E-2</v>
      </c>
      <c r="OR80" s="3">
        <f ca="1">IFERROR(__xludf.DUMMYFUNCTION("""COMPUTED_VALUE"""),0.0570951741735792)</f>
        <v>5.7095174173579198E-2</v>
      </c>
      <c r="OS80" s="3">
        <f ca="1">IFERROR(__xludf.DUMMYFUNCTION("""COMPUTED_VALUE"""),-0.0574349140540537)</f>
        <v>-5.7434914054053703E-2</v>
      </c>
      <c r="OT80" s="3">
        <f ca="1">IFERROR(__xludf.DUMMYFUNCTION("""COMPUTED_VALUE"""),-0.0427977387725209)</f>
        <v>-4.2797738772520903E-2</v>
      </c>
      <c r="OU80" s="3">
        <f ca="1">IFERROR(__xludf.DUMMYFUNCTION("""COMPUTED_VALUE"""),-0.134258367946779)</f>
        <v>-0.13425836794677901</v>
      </c>
      <c r="OV80" s="3">
        <f ca="1">IFERROR(__xludf.DUMMYFUNCTION("""COMPUTED_VALUE"""),0.00969074790621959)</f>
        <v>9.6907479062195902E-3</v>
      </c>
      <c r="OW80" s="3">
        <f ca="1">IFERROR(__xludf.DUMMYFUNCTION("""COMPUTED_VALUE"""),0.0389641457330323)</f>
        <v>3.89641457330323E-2</v>
      </c>
      <c r="OX80" s="3">
        <f ca="1">IFERROR(__xludf.DUMMYFUNCTION("""COMPUTED_VALUE"""),0.082202483343682)</f>
        <v>8.2202483343682006E-2</v>
      </c>
      <c r="OY80" s="3">
        <f ca="1">IFERROR(__xludf.DUMMYFUNCTION("""COMPUTED_VALUE"""),0.0137204509168717)</f>
        <v>1.37204509168717E-2</v>
      </c>
      <c r="OZ80" s="3">
        <f ca="1">IFERROR(__xludf.DUMMYFUNCTION("""COMPUTED_VALUE"""),-0.0102238152355569)</f>
        <v>-1.0223815235556899E-2</v>
      </c>
      <c r="PA80" s="3">
        <f ca="1">IFERROR(__xludf.DUMMYFUNCTION("""COMPUTED_VALUE"""),0.143425943910995)</f>
        <v>0.143425943910995</v>
      </c>
      <c r="PB80" s="3">
        <f ca="1">IFERROR(__xludf.DUMMYFUNCTION("""COMPUTED_VALUE"""),0.0168043407202929)</f>
        <v>1.6804340720292899E-2</v>
      </c>
      <c r="PC80" s="3">
        <f ca="1">IFERROR(__xludf.DUMMYFUNCTION("""COMPUTED_VALUE"""),0.0246345859773688)</f>
        <v>2.4634585977368801E-2</v>
      </c>
      <c r="PD80" s="3">
        <f ca="1">IFERROR(__xludf.DUMMYFUNCTION("""COMPUTED_VALUE"""),-0.0369378535272864)</f>
        <v>-3.6937853527286402E-2</v>
      </c>
      <c r="PE80" s="3">
        <f ca="1">IFERROR(__xludf.DUMMYFUNCTION("""COMPUTED_VALUE"""),0.101464643197598)</f>
        <v>0.101464643197598</v>
      </c>
      <c r="PF80" s="3">
        <f ca="1">IFERROR(__xludf.DUMMYFUNCTION("""COMPUTED_VALUE"""),0.00107953978380659)</f>
        <v>1.07953978380659E-3</v>
      </c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</row>
    <row r="81" spans="1:594" ht="13">
      <c r="A81" s="1" t="str">
        <f ca="1">IFERROR(__xludf.DUMMYFUNCTION("""COMPUTED_VALUE"""),"Strasbourg")</f>
        <v>Strasbourg</v>
      </c>
      <c r="B81" s="3">
        <f ca="1">IFERROR(__xludf.DUMMYFUNCTION("""COMPUTED_VALUE"""),-0.0775044647566823)</f>
        <v>-7.7504464756682295E-2</v>
      </c>
      <c r="C81" s="3">
        <f ca="1">IFERROR(__xludf.DUMMYFUNCTION("""COMPUTED_VALUE"""),-0.112941451620093)</f>
        <v>-0.112941451620093</v>
      </c>
      <c r="D81" s="3">
        <f ca="1">IFERROR(__xludf.DUMMYFUNCTION("""COMPUTED_VALUE"""),-0.178200884444102)</f>
        <v>-0.17820088444410201</v>
      </c>
      <c r="E81" s="3">
        <f ca="1">IFERROR(__xludf.DUMMYFUNCTION("""COMPUTED_VALUE"""),-0.119543062029847)</f>
        <v>-0.11954306202984701</v>
      </c>
      <c r="F81" s="3">
        <f ca="1">IFERROR(__xludf.DUMMYFUNCTION("""COMPUTED_VALUE"""),-0.155560103646367)</f>
        <v>-0.15556010364636699</v>
      </c>
      <c r="G81" s="3">
        <f ca="1">IFERROR(__xludf.DUMMYFUNCTION("""COMPUTED_VALUE"""),-0.263911305805726)</f>
        <v>-0.26391130580572603</v>
      </c>
      <c r="H81" s="3">
        <f ca="1">IFERROR(__xludf.DUMMYFUNCTION("""COMPUTED_VALUE"""),0.0596683106327498)</f>
        <v>5.9668310632749799E-2</v>
      </c>
      <c r="I81" s="3">
        <f ca="1">IFERROR(__xludf.DUMMYFUNCTION("""COMPUTED_VALUE"""),-0.0446109428479547)</f>
        <v>-4.46109428479547E-2</v>
      </c>
      <c r="J81" s="3">
        <f ca="1">IFERROR(__xludf.DUMMYFUNCTION("""COMPUTED_VALUE"""),-0.173127879958694)</f>
        <v>-0.173127879958694</v>
      </c>
      <c r="K81" s="3">
        <f ca="1">IFERROR(__xludf.DUMMYFUNCTION("""COMPUTED_VALUE"""),0.114999968158107)</f>
        <v>0.11499996815810699</v>
      </c>
      <c r="L81" s="3">
        <f ca="1">IFERROR(__xludf.DUMMYFUNCTION("""COMPUTED_VALUE"""),0.157190169313395)</f>
        <v>0.157190169313395</v>
      </c>
      <c r="M81" s="3">
        <f ca="1">IFERROR(__xludf.DUMMYFUNCTION("""COMPUTED_VALUE"""),0.100262670380345)</f>
        <v>0.100262670380345</v>
      </c>
      <c r="N81" s="3">
        <f ca="1">IFERROR(__xludf.DUMMYFUNCTION("""COMPUTED_VALUE"""),0.118043670362744)</f>
        <v>0.118043670362744</v>
      </c>
      <c r="O81" s="3">
        <f ca="1">IFERROR(__xludf.DUMMYFUNCTION("""COMPUTED_VALUE"""),0.177514413448812)</f>
        <v>0.177514413448812</v>
      </c>
      <c r="P81" s="3">
        <f ca="1">IFERROR(__xludf.DUMMYFUNCTION("""COMPUTED_VALUE"""),-0.0509843958159186)</f>
        <v>-5.0984395815918598E-2</v>
      </c>
      <c r="Q81" s="3">
        <f ca="1">IFERROR(__xludf.DUMMYFUNCTION("""COMPUTED_VALUE"""),0.0102476272155509)</f>
        <v>1.0247627215550901E-2</v>
      </c>
      <c r="R81" s="3">
        <f ca="1">IFERROR(__xludf.DUMMYFUNCTION("""COMPUTED_VALUE"""),0.0387500332666284)</f>
        <v>3.8750033266628403E-2</v>
      </c>
      <c r="S81" s="3">
        <f ca="1">IFERROR(__xludf.DUMMYFUNCTION("""COMPUTED_VALUE"""),0.0143974944037934)</f>
        <v>1.43974944037934E-2</v>
      </c>
      <c r="T81" s="3">
        <f ca="1">IFERROR(__xludf.DUMMYFUNCTION("""COMPUTED_VALUE"""),-0.0986338560183113)</f>
        <v>-9.8633856018311303E-2</v>
      </c>
      <c r="U81" s="3">
        <f ca="1">IFERROR(__xludf.DUMMYFUNCTION("""COMPUTED_VALUE"""),0.0572686848058958)</f>
        <v>5.7268684805895802E-2</v>
      </c>
      <c r="V81" s="3">
        <f ca="1">IFERROR(__xludf.DUMMYFUNCTION("""COMPUTED_VALUE"""),0.0353886373862526)</f>
        <v>3.53886373862526E-2</v>
      </c>
      <c r="W81" s="3">
        <f ca="1">IFERROR(__xludf.DUMMYFUNCTION("""COMPUTED_VALUE"""),-0.0257652140299637)</f>
        <v>-2.57652140299637E-2</v>
      </c>
      <c r="X81" s="3">
        <f ca="1">IFERROR(__xludf.DUMMYFUNCTION("""COMPUTED_VALUE"""),0.00190147452872069)</f>
        <v>1.9014745287206901E-3</v>
      </c>
      <c r="Y81" s="3">
        <f ca="1">IFERROR(__xludf.DUMMYFUNCTION("""COMPUTED_VALUE"""),0.0190804594099933)</f>
        <v>1.9080459409993301E-2</v>
      </c>
      <c r="Z81" s="3">
        <f ca="1">IFERROR(__xludf.DUMMYFUNCTION("""COMPUTED_VALUE"""),-0.0481012529123453)</f>
        <v>-4.8101252912345301E-2</v>
      </c>
      <c r="AA81" s="3">
        <f ca="1">IFERROR(__xludf.DUMMYFUNCTION("""COMPUTED_VALUE"""),-0.122827706783471)</f>
        <v>-0.12282770678347101</v>
      </c>
      <c r="AB81" s="3">
        <f ca="1">IFERROR(__xludf.DUMMYFUNCTION("""COMPUTED_VALUE"""),0.0604509346133599)</f>
        <v>6.0450934613359902E-2</v>
      </c>
      <c r="AC81" s="3">
        <f ca="1">IFERROR(__xludf.DUMMYFUNCTION("""COMPUTED_VALUE"""),0.0400116577996279)</f>
        <v>4.0011657799627898E-2</v>
      </c>
      <c r="AD81" s="3">
        <f ca="1">IFERROR(__xludf.DUMMYFUNCTION("""COMPUTED_VALUE"""),-0.155429054615195)</f>
        <v>-0.15542905461519499</v>
      </c>
      <c r="AE81" s="3">
        <f ca="1">IFERROR(__xludf.DUMMYFUNCTION("""COMPUTED_VALUE"""),-0.0912196827489649)</f>
        <v>-9.12196827489649E-2</v>
      </c>
      <c r="AF81" s="3">
        <f ca="1">IFERROR(__xludf.DUMMYFUNCTION("""COMPUTED_VALUE"""),-0.048889850621994)</f>
        <v>-4.8889850621993997E-2</v>
      </c>
      <c r="AG81" s="3">
        <f ca="1">IFERROR(__xludf.DUMMYFUNCTION("""COMPUTED_VALUE"""),-0.0665932554028927)</f>
        <v>-6.6593255402892695E-2</v>
      </c>
      <c r="AH81" s="3">
        <f ca="1">IFERROR(__xludf.DUMMYFUNCTION("""COMPUTED_VALUE"""),-0.152757615973055)</f>
        <v>-0.15275761597305501</v>
      </c>
      <c r="AI81" s="3">
        <f ca="1">IFERROR(__xludf.DUMMYFUNCTION("""COMPUTED_VALUE"""),0.028147915405555)</f>
        <v>2.8147915405554998E-2</v>
      </c>
      <c r="AJ81" s="3">
        <f ca="1">IFERROR(__xludf.DUMMYFUNCTION("""COMPUTED_VALUE"""),0.00912239701812334)</f>
        <v>9.1223970181233405E-3</v>
      </c>
      <c r="AK81" s="3">
        <f ca="1">IFERROR(__xludf.DUMMYFUNCTION("""COMPUTED_VALUE"""),-0.140659483840785)</f>
        <v>-0.140659483840785</v>
      </c>
      <c r="AL81" s="3">
        <f ca="1">IFERROR(__xludf.DUMMYFUNCTION("""COMPUTED_VALUE"""),-0.291292208625156)</f>
        <v>-0.29129220862515598</v>
      </c>
      <c r="AM81" s="3">
        <f ca="1">IFERROR(__xludf.DUMMYFUNCTION("""COMPUTED_VALUE"""),-0.280247077855127)</f>
        <v>-0.28024707785512698</v>
      </c>
      <c r="AN81" s="3">
        <f ca="1">IFERROR(__xludf.DUMMYFUNCTION("""COMPUTED_VALUE"""),-0.24128668512346)</f>
        <v>-0.24128668512345999</v>
      </c>
      <c r="AO81" s="3">
        <f ca="1">IFERROR(__xludf.DUMMYFUNCTION("""COMPUTED_VALUE"""),-0.230507781484912)</f>
        <v>-0.23050778148491199</v>
      </c>
      <c r="AP81" s="3">
        <f ca="1">IFERROR(__xludf.DUMMYFUNCTION("""COMPUTED_VALUE"""),-0.151203140122645)</f>
        <v>-0.15120314012264499</v>
      </c>
      <c r="AQ81" s="3">
        <f ca="1">IFERROR(__xludf.DUMMYFUNCTION("""COMPUTED_VALUE"""),0.137101654077508)</f>
        <v>0.13710165407750799</v>
      </c>
      <c r="AR81" s="3">
        <f ca="1">IFERROR(__xludf.DUMMYFUNCTION("""COMPUTED_VALUE"""),-0.118837735292009)</f>
        <v>-0.118837735292009</v>
      </c>
      <c r="AS81" s="3">
        <f ca="1">IFERROR(__xludf.DUMMYFUNCTION("""COMPUTED_VALUE"""),-0.205506352700716)</f>
        <v>-0.20550635270071599</v>
      </c>
      <c r="AT81" s="3">
        <f ca="1">IFERROR(__xludf.DUMMYFUNCTION("""COMPUTED_VALUE"""),-0.149305861172982)</f>
        <v>-0.149305861172982</v>
      </c>
      <c r="AU81" s="3">
        <f ca="1">IFERROR(__xludf.DUMMYFUNCTION("""COMPUTED_VALUE"""),-0.186471295117251)</f>
        <v>-0.186471295117251</v>
      </c>
      <c r="AV81" s="3">
        <f ca="1">IFERROR(__xludf.DUMMYFUNCTION("""COMPUTED_VALUE"""),-0.106417508375213)</f>
        <v>-0.10641750837521299</v>
      </c>
      <c r="AW81" s="3">
        <f ca="1">IFERROR(__xludf.DUMMYFUNCTION("""COMPUTED_VALUE"""),-0.14051896873668)</f>
        <v>-0.14051896873667999</v>
      </c>
      <c r="AX81" s="3">
        <f ca="1">IFERROR(__xludf.DUMMYFUNCTION("""COMPUTED_VALUE"""),0.189541428083424)</f>
        <v>0.189541428083424</v>
      </c>
      <c r="AY81" s="3">
        <f ca="1">IFERROR(__xludf.DUMMYFUNCTION("""COMPUTED_VALUE"""),0.0271304553995472)</f>
        <v>2.7130455399547199E-2</v>
      </c>
      <c r="AZ81" s="3">
        <f ca="1">IFERROR(__xludf.DUMMYFUNCTION("""COMPUTED_VALUE"""),0.0893619890195562)</f>
        <v>8.9361989019556207E-2</v>
      </c>
      <c r="BA81" s="3">
        <f ca="1">IFERROR(__xludf.DUMMYFUNCTION("""COMPUTED_VALUE"""),0.0717012786750563)</f>
        <v>7.1701278675056296E-2</v>
      </c>
      <c r="BB81" s="3">
        <f ca="1">IFERROR(__xludf.DUMMYFUNCTION("""COMPUTED_VALUE"""),0.0263976377569221)</f>
        <v>2.6397637756922099E-2</v>
      </c>
      <c r="BC81" s="3">
        <f ca="1">IFERROR(__xludf.DUMMYFUNCTION("""COMPUTED_VALUE"""),0.174252852420312)</f>
        <v>0.17425285242031199</v>
      </c>
      <c r="BD81" s="3">
        <f ca="1">IFERROR(__xludf.DUMMYFUNCTION("""COMPUTED_VALUE"""),0.147907944674103)</f>
        <v>0.14790794467410301</v>
      </c>
      <c r="BE81" s="3">
        <f ca="1">IFERROR(__xludf.DUMMYFUNCTION("""COMPUTED_VALUE"""),0.102542649293649)</f>
        <v>0.10254264929364899</v>
      </c>
      <c r="BF81" s="3">
        <f ca="1">IFERROR(__xludf.DUMMYFUNCTION("""COMPUTED_VALUE"""),0.000316186619821357)</f>
        <v>3.1618661982135698E-4</v>
      </c>
      <c r="BG81" s="3">
        <f ca="1">IFERROR(__xludf.DUMMYFUNCTION("""COMPUTED_VALUE"""),-0.0898393612242667)</f>
        <v>-8.9839361224266695E-2</v>
      </c>
      <c r="BH81" s="3">
        <f ca="1">IFERROR(__xludf.DUMMYFUNCTION("""COMPUTED_VALUE"""),-0.0233391007022775)</f>
        <v>-2.3339100702277502E-2</v>
      </c>
      <c r="BI81" s="3">
        <f ca="1">IFERROR(__xludf.DUMMYFUNCTION("""COMPUTED_VALUE"""),-0.017642113223526)</f>
        <v>-1.7642113223526001E-2</v>
      </c>
      <c r="BJ81" s="3">
        <f ca="1">IFERROR(__xludf.DUMMYFUNCTION("""COMPUTED_VALUE"""),-0.0906058141514147)</f>
        <v>-9.0605814151414693E-2</v>
      </c>
      <c r="BK81" s="3">
        <f ca="1">IFERROR(__xludf.DUMMYFUNCTION("""COMPUTED_VALUE"""),-0.0734671464422371)</f>
        <v>-7.3467146442237105E-2</v>
      </c>
      <c r="BL81" s="3">
        <f ca="1">IFERROR(__xludf.DUMMYFUNCTION("""COMPUTED_VALUE"""),-0.0935494512966789)</f>
        <v>-9.3549451296678895E-2</v>
      </c>
      <c r="BM81" s="3">
        <f ca="1">IFERROR(__xludf.DUMMYFUNCTION("""COMPUTED_VALUE"""),-0.235959826589874)</f>
        <v>-0.23595982658987399</v>
      </c>
      <c r="BN81" s="3">
        <f ca="1">IFERROR(__xludf.DUMMYFUNCTION("""COMPUTED_VALUE"""),-0.169779966510336)</f>
        <v>-0.169779966510336</v>
      </c>
      <c r="BO81" s="3">
        <f ca="1">IFERROR(__xludf.DUMMYFUNCTION("""COMPUTED_VALUE"""),-0.170496595015618)</f>
        <v>-0.17049659501561801</v>
      </c>
      <c r="BP81" s="3">
        <f ca="1">IFERROR(__xludf.DUMMYFUNCTION("""COMPUTED_VALUE"""),-0.184662475292749)</f>
        <v>-0.18466247529274901</v>
      </c>
      <c r="BQ81" s="3">
        <f ca="1">IFERROR(__xludf.DUMMYFUNCTION("""COMPUTED_VALUE"""),-0.198863917730843)</f>
        <v>-0.198863917730843</v>
      </c>
      <c r="BR81" s="3">
        <f ca="1">IFERROR(__xludf.DUMMYFUNCTION("""COMPUTED_VALUE"""),-0.13367702886572)</f>
        <v>-0.13367702886572</v>
      </c>
      <c r="BS81" s="3">
        <f ca="1">IFERROR(__xludf.DUMMYFUNCTION("""COMPUTED_VALUE"""),-0.0628596001842242)</f>
        <v>-6.2859600184224207E-2</v>
      </c>
      <c r="BT81" s="3">
        <f ca="1">IFERROR(__xludf.DUMMYFUNCTION("""COMPUTED_VALUE"""),-0.200877485503732)</f>
        <v>-0.200877485503732</v>
      </c>
      <c r="BU81" s="3">
        <f ca="1">IFERROR(__xludf.DUMMYFUNCTION("""COMPUTED_VALUE"""),-0.216038091970562)</f>
        <v>-0.21603809197056201</v>
      </c>
      <c r="BV81" s="3">
        <f ca="1">IFERROR(__xludf.DUMMYFUNCTION("""COMPUTED_VALUE"""),-0.194177175446198)</f>
        <v>-0.194177175446198</v>
      </c>
      <c r="BW81" s="3">
        <f ca="1">IFERROR(__xludf.DUMMYFUNCTION("""COMPUTED_VALUE"""),-0.170155061773745)</f>
        <v>-0.17015506177374501</v>
      </c>
      <c r="BX81" s="3">
        <f ca="1">IFERROR(__xludf.DUMMYFUNCTION("""COMPUTED_VALUE"""),-0.136265914734401)</f>
        <v>-0.136265914734401</v>
      </c>
      <c r="BY81" s="3">
        <f ca="1">IFERROR(__xludf.DUMMYFUNCTION("""COMPUTED_VALUE"""),-0.143879239159546)</f>
        <v>-0.14387923915954601</v>
      </c>
      <c r="BZ81" s="3">
        <f ca="1">IFERROR(__xludf.DUMMYFUNCTION("""COMPUTED_VALUE"""),-0.049134566035102)</f>
        <v>-4.9134566035102002E-2</v>
      </c>
      <c r="CA81" s="3">
        <f ca="1">IFERROR(__xludf.DUMMYFUNCTION("""COMPUTED_VALUE"""),-0.196985770764035)</f>
        <v>-0.19698577076403501</v>
      </c>
      <c r="CB81" s="3">
        <f ca="1">IFERROR(__xludf.DUMMYFUNCTION("""COMPUTED_VALUE"""),-0.214947191582722)</f>
        <v>-0.21494719158272199</v>
      </c>
      <c r="CC81" s="3">
        <f ca="1">IFERROR(__xludf.DUMMYFUNCTION("""COMPUTED_VALUE"""),-0.246264704112622)</f>
        <v>-0.246264704112622</v>
      </c>
      <c r="CD81" s="3">
        <f ca="1">IFERROR(__xludf.DUMMYFUNCTION("""COMPUTED_VALUE"""),-0.194011438833402)</f>
        <v>-0.19401143883340199</v>
      </c>
      <c r="CE81" s="3">
        <f ca="1">IFERROR(__xludf.DUMMYFUNCTION("""COMPUTED_VALUE"""),-0.171883485450252)</f>
        <v>-0.171883485450252</v>
      </c>
      <c r="CF81" s="3">
        <f ca="1">IFERROR(__xludf.DUMMYFUNCTION("""COMPUTED_VALUE"""),-0.173001132272262)</f>
        <v>-0.17300113227226199</v>
      </c>
      <c r="CG81" s="3">
        <f ca="1">IFERROR(__xludf.DUMMYFUNCTION("""COMPUTED_VALUE"""),-0.110870099993472)</f>
        <v>-0.110870099993472</v>
      </c>
      <c r="CH81" s="3">
        <f ca="1">IFERROR(__xludf.DUMMYFUNCTION("""COMPUTED_VALUE"""),-0.211073663383534)</f>
        <v>-0.211073663383534</v>
      </c>
      <c r="CI81" s="3">
        <f ca="1">IFERROR(__xludf.DUMMYFUNCTION("""COMPUTED_VALUE"""),-0.242081155931408)</f>
        <v>-0.242081155931408</v>
      </c>
      <c r="CJ81" s="3">
        <f ca="1">IFERROR(__xludf.DUMMYFUNCTION("""COMPUTED_VALUE"""),-0.284432144761845)</f>
        <v>-0.28443214476184497</v>
      </c>
      <c r="CK81" s="3">
        <f ca="1">IFERROR(__xludf.DUMMYFUNCTION("""COMPUTED_VALUE"""),-0.0945167717458236)</f>
        <v>-9.4516771745823597E-2</v>
      </c>
      <c r="CL81" s="3">
        <f ca="1">IFERROR(__xludf.DUMMYFUNCTION("""COMPUTED_VALUE"""),-0.138547944655856)</f>
        <v>-0.13854794465585599</v>
      </c>
      <c r="CM81" s="3">
        <f ca="1">IFERROR(__xludf.DUMMYFUNCTION("""COMPUTED_VALUE"""),-0.152678920799328)</f>
        <v>-0.15267892079932799</v>
      </c>
      <c r="CN81" s="3">
        <f ca="1">IFERROR(__xludf.DUMMYFUNCTION("""COMPUTED_VALUE"""),-0.204489973695774)</f>
        <v>-0.20448997369577401</v>
      </c>
      <c r="CO81" s="3">
        <f ca="1">IFERROR(__xludf.DUMMYFUNCTION("""COMPUTED_VALUE"""),-0.219021263549451)</f>
        <v>-0.21902126354945101</v>
      </c>
      <c r="CP81" s="3">
        <f ca="1">IFERROR(__xludf.DUMMYFUNCTION("""COMPUTED_VALUE"""),-0.155191037566436)</f>
        <v>-0.15519103756643601</v>
      </c>
      <c r="CQ81" s="3">
        <f ca="1">IFERROR(__xludf.DUMMYFUNCTION("""COMPUTED_VALUE"""),-0.229914390833534)</f>
        <v>-0.22991439083353399</v>
      </c>
      <c r="CR81" s="3">
        <f ca="1">IFERROR(__xludf.DUMMYFUNCTION("""COMPUTED_VALUE"""),-0.0808986903173351)</f>
        <v>-8.0898690317335098E-2</v>
      </c>
      <c r="CS81" s="3">
        <f ca="1">IFERROR(__xludf.DUMMYFUNCTION("""COMPUTED_VALUE"""),-0.161705611175349)</f>
        <v>-0.16170561117534901</v>
      </c>
      <c r="CT81" s="3">
        <f ca="1">IFERROR(__xludf.DUMMYFUNCTION("""COMPUTED_VALUE"""),-0.16974194997355)</f>
        <v>-0.16974194997354999</v>
      </c>
      <c r="CU81" s="3">
        <f ca="1">IFERROR(__xludf.DUMMYFUNCTION("""COMPUTED_VALUE"""),-0.295675060500281)</f>
        <v>-0.29567506050028097</v>
      </c>
      <c r="CV81" s="3">
        <f ca="1">IFERROR(__xludf.DUMMYFUNCTION("""COMPUTED_VALUE"""),-0.433529648960583)</f>
        <v>-0.43352964896058299</v>
      </c>
      <c r="CW81" s="3">
        <f ca="1">IFERROR(__xludf.DUMMYFUNCTION("""COMPUTED_VALUE"""),-0.525145241581517)</f>
        <v>-0.52514524158151699</v>
      </c>
      <c r="CX81" s="3">
        <f ca="1">IFERROR(__xludf.DUMMYFUNCTION("""COMPUTED_VALUE"""),-0.284893277482286)</f>
        <v>-0.28489327748228599</v>
      </c>
      <c r="CY81" s="3">
        <f ca="1">IFERROR(__xludf.DUMMYFUNCTION("""COMPUTED_VALUE"""),-0.124468155155639)</f>
        <v>-0.124468155155639</v>
      </c>
      <c r="CZ81" s="3">
        <f ca="1">IFERROR(__xludf.DUMMYFUNCTION("""COMPUTED_VALUE"""),-0.318884509358342)</f>
        <v>-0.31888450935834201</v>
      </c>
      <c r="DA81" s="3">
        <f ca="1">IFERROR(__xludf.DUMMYFUNCTION("""COMPUTED_VALUE"""),-0.24782345605069)</f>
        <v>-0.24782345605069001</v>
      </c>
      <c r="DB81" s="3">
        <f ca="1">IFERROR(__xludf.DUMMYFUNCTION("""COMPUTED_VALUE"""),-0.214682995435599)</f>
        <v>-0.21468299543559899</v>
      </c>
      <c r="DC81" s="3">
        <f ca="1">IFERROR(__xludf.DUMMYFUNCTION("""COMPUTED_VALUE"""),-0.419517976039664)</f>
        <v>-0.41951797603966401</v>
      </c>
      <c r="DD81" s="3">
        <f ca="1">IFERROR(__xludf.DUMMYFUNCTION("""COMPUTED_VALUE"""),-0.532210347058027)</f>
        <v>-0.53221034705802694</v>
      </c>
      <c r="DE81" s="3">
        <f ca="1">IFERROR(__xludf.DUMMYFUNCTION("""COMPUTED_VALUE"""),-0.346972330799202)</f>
        <v>-0.34697233079920198</v>
      </c>
      <c r="DF81" s="3">
        <f ca="1">IFERROR(__xludf.DUMMYFUNCTION("""COMPUTED_VALUE"""),-0.0914920550909397)</f>
        <v>-9.1492055090939703E-2</v>
      </c>
      <c r="DG81" s="3">
        <f ca="1">IFERROR(__xludf.DUMMYFUNCTION("""COMPUTED_VALUE"""),-0.29583037504196)</f>
        <v>-0.29583037504196003</v>
      </c>
      <c r="DH81" s="3">
        <f ca="1">IFERROR(__xludf.DUMMYFUNCTION("""COMPUTED_VALUE"""),-0.246673040377702)</f>
        <v>-0.24667304037770199</v>
      </c>
      <c r="DI81" s="3">
        <f ca="1">IFERROR(__xludf.DUMMYFUNCTION("""COMPUTED_VALUE"""),-0.120302310034185)</f>
        <v>-0.120302310034185</v>
      </c>
      <c r="DJ81" s="3">
        <f ca="1">IFERROR(__xludf.DUMMYFUNCTION("""COMPUTED_VALUE"""),-0.254234632244648)</f>
        <v>-0.25423463224464798</v>
      </c>
      <c r="DK81" s="3">
        <f ca="1">IFERROR(__xludf.DUMMYFUNCTION("""COMPUTED_VALUE"""),-0.206607091608954)</f>
        <v>-0.20660709160895399</v>
      </c>
      <c r="DL81" s="3">
        <f ca="1">IFERROR(__xludf.DUMMYFUNCTION("""COMPUTED_VALUE"""),-0.169456407035298)</f>
        <v>-0.16945640703529799</v>
      </c>
      <c r="DM81" s="3">
        <f ca="1">IFERROR(__xludf.DUMMYFUNCTION("""COMPUTED_VALUE"""),-0.098966279030087)</f>
        <v>-9.8966279030087007E-2</v>
      </c>
      <c r="DN81" s="3">
        <f ca="1">IFERROR(__xludf.DUMMYFUNCTION("""COMPUTED_VALUE"""),-0.136872916520044)</f>
        <v>-0.13687291652004399</v>
      </c>
      <c r="DO81" s="3">
        <f ca="1">IFERROR(__xludf.DUMMYFUNCTION("""COMPUTED_VALUE"""),-0.17335969323258)</f>
        <v>-0.17335969323257999</v>
      </c>
      <c r="DP81" s="3">
        <f ca="1">IFERROR(__xludf.DUMMYFUNCTION("""COMPUTED_VALUE"""),-0.1651033503774)</f>
        <v>-0.16510335037740001</v>
      </c>
      <c r="DQ81" s="3">
        <f ca="1">IFERROR(__xludf.DUMMYFUNCTION("""COMPUTED_VALUE"""),-0.240856226707478)</f>
        <v>-0.240856226707478</v>
      </c>
      <c r="DR81" s="3">
        <f ca="1">IFERROR(__xludf.DUMMYFUNCTION("""COMPUTED_VALUE"""),-0.22711694553786)</f>
        <v>-0.22711694553785999</v>
      </c>
      <c r="DS81" s="3">
        <f ca="1">IFERROR(__xludf.DUMMYFUNCTION("""COMPUTED_VALUE"""),-0.203495973092566)</f>
        <v>-0.20349597309256601</v>
      </c>
      <c r="DT81" s="3">
        <f ca="1">IFERROR(__xludf.DUMMYFUNCTION("""COMPUTED_VALUE"""),-0.261312590772391)</f>
        <v>-0.261312590772391</v>
      </c>
      <c r="DU81" s="3">
        <f ca="1">IFERROR(__xludf.DUMMYFUNCTION("""COMPUTED_VALUE"""),-0.256992048297662)</f>
        <v>-0.25699204829766198</v>
      </c>
      <c r="DV81" s="3">
        <f ca="1">IFERROR(__xludf.DUMMYFUNCTION("""COMPUTED_VALUE"""),-0.225218987705556)</f>
        <v>-0.22521898770555601</v>
      </c>
      <c r="DW81" s="3">
        <f ca="1">IFERROR(__xludf.DUMMYFUNCTION("""COMPUTED_VALUE"""),-0.217413977889804)</f>
        <v>-0.21741397788980399</v>
      </c>
      <c r="DX81" s="3">
        <f ca="1">IFERROR(__xludf.DUMMYFUNCTION("""COMPUTED_VALUE"""),-0.317423245316544)</f>
        <v>-0.31742324531654398</v>
      </c>
      <c r="DY81" s="3">
        <f ca="1">IFERROR(__xludf.DUMMYFUNCTION("""COMPUTED_VALUE"""),-0.314318046865027)</f>
        <v>-0.31431804686502701</v>
      </c>
      <c r="DZ81" s="3">
        <f ca="1">IFERROR(__xludf.DUMMYFUNCTION("""COMPUTED_VALUE"""),-0.281413107642956)</f>
        <v>-0.28141310764295602</v>
      </c>
      <c r="EA81" s="3">
        <f ca="1">IFERROR(__xludf.DUMMYFUNCTION("""COMPUTED_VALUE"""),-0.355265789143935)</f>
        <v>-0.35526578914393497</v>
      </c>
      <c r="EB81" s="3">
        <f ca="1">IFERROR(__xludf.DUMMYFUNCTION("""COMPUTED_VALUE"""),-0.268518857382986)</f>
        <v>-0.26851885738298598</v>
      </c>
      <c r="EC81" s="3">
        <f ca="1">IFERROR(__xludf.DUMMYFUNCTION("""COMPUTED_VALUE"""),-0.251496549923669)</f>
        <v>-0.25149654992366899</v>
      </c>
      <c r="ED81" s="3">
        <f ca="1">IFERROR(__xludf.DUMMYFUNCTION("""COMPUTED_VALUE"""),-0.305816157702475)</f>
        <v>-0.305816157702475</v>
      </c>
      <c r="EE81" s="3">
        <f ca="1">IFERROR(__xludf.DUMMYFUNCTION("""COMPUTED_VALUE"""),-0.357153595745871)</f>
        <v>-0.35715359574587102</v>
      </c>
      <c r="EF81" s="3">
        <f ca="1">IFERROR(__xludf.DUMMYFUNCTION("""COMPUTED_VALUE"""),-0.362178150077648)</f>
        <v>-0.36217815007764798</v>
      </c>
      <c r="EG81" s="3">
        <f ca="1">IFERROR(__xludf.DUMMYFUNCTION("""COMPUTED_VALUE"""),-0.303964578110345)</f>
        <v>-0.303964578110345</v>
      </c>
      <c r="EH81" s="3">
        <f ca="1">IFERROR(__xludf.DUMMYFUNCTION("""COMPUTED_VALUE"""),-0.376367217575239)</f>
        <v>-0.376367217575239</v>
      </c>
      <c r="EI81" s="3">
        <f ca="1">IFERROR(__xludf.DUMMYFUNCTION("""COMPUTED_VALUE"""),-0.281571761151777)</f>
        <v>-0.28157176115177701</v>
      </c>
      <c r="EJ81" s="3">
        <f ca="1">IFERROR(__xludf.DUMMYFUNCTION("""COMPUTED_VALUE"""),-0.288530450929947)</f>
        <v>-0.288530450929947</v>
      </c>
      <c r="EK81" s="3">
        <f ca="1">IFERROR(__xludf.DUMMYFUNCTION("""COMPUTED_VALUE"""),-0.389121291439566)</f>
        <v>-0.38912129143956597</v>
      </c>
      <c r="EL81" s="3">
        <f ca="1">IFERROR(__xludf.DUMMYFUNCTION("""COMPUTED_VALUE"""),-0.521653080894822)</f>
        <v>-0.52165308089482199</v>
      </c>
      <c r="EM81" s="3">
        <f ca="1">IFERROR(__xludf.DUMMYFUNCTION("""COMPUTED_VALUE"""),-0.409500627548325)</f>
        <v>-0.409500627548325</v>
      </c>
      <c r="EN81" s="3">
        <f ca="1">IFERROR(__xludf.DUMMYFUNCTION("""COMPUTED_VALUE"""),-0.376813486819038)</f>
        <v>-0.37681348681903798</v>
      </c>
      <c r="EO81" s="3">
        <f ca="1">IFERROR(__xludf.DUMMYFUNCTION("""COMPUTED_VALUE"""),-0.408843922153327)</f>
        <v>-0.40884392215332699</v>
      </c>
      <c r="EP81" s="3">
        <f ca="1">IFERROR(__xludf.DUMMYFUNCTION("""COMPUTED_VALUE"""),-0.330304852493391)</f>
        <v>-0.33030485249339098</v>
      </c>
      <c r="EQ81" s="3">
        <f ca="1">IFERROR(__xludf.DUMMYFUNCTION("""COMPUTED_VALUE"""),-0.26142363177873)</f>
        <v>-0.26142363177873001</v>
      </c>
      <c r="ER81" s="3">
        <f ca="1">IFERROR(__xludf.DUMMYFUNCTION("""COMPUTED_VALUE"""),-0.46248689664812)</f>
        <v>-0.46248689664811998</v>
      </c>
      <c r="ES81" s="3">
        <f ca="1">IFERROR(__xludf.DUMMYFUNCTION("""COMPUTED_VALUE"""),-0.525676924083111)</f>
        <v>-0.52567692408311095</v>
      </c>
      <c r="ET81" s="3">
        <f ca="1">IFERROR(__xludf.DUMMYFUNCTION("""COMPUTED_VALUE"""),-0.401557776019348)</f>
        <v>-0.401557776019348</v>
      </c>
      <c r="EU81" s="3">
        <f ca="1">IFERROR(__xludf.DUMMYFUNCTION("""COMPUTED_VALUE"""),-0.356494520694774)</f>
        <v>-0.356494520694774</v>
      </c>
      <c r="EV81" s="3">
        <f ca="1">IFERROR(__xludf.DUMMYFUNCTION("""COMPUTED_VALUE"""),-0.654574422049713)</f>
        <v>-0.65457442204971295</v>
      </c>
      <c r="EW81" s="3">
        <f ca="1">IFERROR(__xludf.DUMMYFUNCTION("""COMPUTED_VALUE"""),-0.356336055496536)</f>
        <v>-0.35633605549653602</v>
      </c>
      <c r="EX81" s="3">
        <f ca="1">IFERROR(__xludf.DUMMYFUNCTION("""COMPUTED_VALUE"""),-0.177862010209667)</f>
        <v>-0.17786201020966699</v>
      </c>
      <c r="EY81" s="3">
        <f ca="1">IFERROR(__xludf.DUMMYFUNCTION("""COMPUTED_VALUE"""),-0.470011318204171)</f>
        <v>-0.47001131820417102</v>
      </c>
      <c r="EZ81" s="3">
        <f ca="1">IFERROR(__xludf.DUMMYFUNCTION("""COMPUTED_VALUE"""),-0.54272851245447)</f>
        <v>-0.54272851245446996</v>
      </c>
      <c r="FA81" s="3">
        <f ca="1">IFERROR(__xludf.DUMMYFUNCTION("""COMPUTED_VALUE"""),-0.261047538555035)</f>
        <v>-0.26104753855503499</v>
      </c>
      <c r="FB81" s="3">
        <f ca="1">IFERROR(__xludf.DUMMYFUNCTION("""COMPUTED_VALUE"""),-0.328875646518024)</f>
        <v>-0.32887564651802398</v>
      </c>
      <c r="FC81" s="3">
        <f ca="1">IFERROR(__xludf.DUMMYFUNCTION("""COMPUTED_VALUE"""),-0.352086763472161)</f>
        <v>-0.352086763472161</v>
      </c>
      <c r="FD81" s="3">
        <f ca="1">IFERROR(__xludf.DUMMYFUNCTION("""COMPUTED_VALUE"""),-0.313714314287562)</f>
        <v>-0.31371431428756202</v>
      </c>
      <c r="FE81" s="3">
        <f ca="1">IFERROR(__xludf.DUMMYFUNCTION("""COMPUTED_VALUE"""),-0.105137302659131)</f>
        <v>-0.105137302659131</v>
      </c>
      <c r="FF81" s="3">
        <f ca="1">IFERROR(__xludf.DUMMYFUNCTION("""COMPUTED_VALUE"""),-0.528644118354356)</f>
        <v>-0.52864411835435599</v>
      </c>
      <c r="FG81" s="3">
        <f ca="1">IFERROR(__xludf.DUMMYFUNCTION("""COMPUTED_VALUE"""),-0.575086003031521)</f>
        <v>-0.57508600303152102</v>
      </c>
      <c r="FH81" s="3">
        <f ca="1">IFERROR(__xludf.DUMMYFUNCTION("""COMPUTED_VALUE"""),-0.530276624773678)</f>
        <v>-0.53027662477367798</v>
      </c>
      <c r="FI81" s="3">
        <f ca="1">IFERROR(__xludf.DUMMYFUNCTION("""COMPUTED_VALUE"""),-0.026503578943561)</f>
        <v>-2.6503578943561E-2</v>
      </c>
      <c r="FJ81" s="3">
        <f ca="1">IFERROR(__xludf.DUMMYFUNCTION("""COMPUTED_VALUE"""),-0.20513092425321)</f>
        <v>-0.20513092425321</v>
      </c>
      <c r="FK81" s="3">
        <f ca="1">IFERROR(__xludf.DUMMYFUNCTION("""COMPUTED_VALUE"""),-0.192975020757575)</f>
        <v>-0.192975020757575</v>
      </c>
      <c r="FL81" s="3">
        <f ca="1">IFERROR(__xludf.DUMMYFUNCTION("""COMPUTED_VALUE"""),-0.179027572404115)</f>
        <v>-0.17902757240411499</v>
      </c>
      <c r="FM81" s="3">
        <f ca="1">IFERROR(__xludf.DUMMYFUNCTION("""COMPUTED_VALUE"""),0.022405988134267)</f>
        <v>2.2405988134266999E-2</v>
      </c>
      <c r="FN81" s="3">
        <f ca="1">IFERROR(__xludf.DUMMYFUNCTION("""COMPUTED_VALUE"""),-0.148595936781115)</f>
        <v>-0.14859593678111499</v>
      </c>
      <c r="FO81" s="3">
        <f ca="1">IFERROR(__xludf.DUMMYFUNCTION("""COMPUTED_VALUE"""),-0.0249879921170196)</f>
        <v>-2.4987992117019599E-2</v>
      </c>
      <c r="FP81" s="3">
        <f ca="1">IFERROR(__xludf.DUMMYFUNCTION("""COMPUTED_VALUE"""),-0.0861989438510558)</f>
        <v>-8.6198943851055795E-2</v>
      </c>
      <c r="FQ81" s="3">
        <f ca="1">IFERROR(__xludf.DUMMYFUNCTION("""COMPUTED_VALUE"""),-0.083088893006565)</f>
        <v>-8.3088893006564996E-2</v>
      </c>
      <c r="FR81" s="3">
        <f ca="1">IFERROR(__xludf.DUMMYFUNCTION("""COMPUTED_VALUE"""),0.0165729767596636)</f>
        <v>1.6572976759663599E-2</v>
      </c>
      <c r="FS81" s="3">
        <f ca="1">IFERROR(__xludf.DUMMYFUNCTION("""COMPUTED_VALUE"""),0.020624922523821)</f>
        <v>2.0624922523821001E-2</v>
      </c>
      <c r="FT81" s="3">
        <f ca="1">IFERROR(__xludf.DUMMYFUNCTION("""COMPUTED_VALUE"""),0.0341118112332881)</f>
        <v>3.4111811233288103E-2</v>
      </c>
      <c r="FU81" s="3">
        <f ca="1">IFERROR(__xludf.DUMMYFUNCTION("""COMPUTED_VALUE"""),-0.00305655181830855)</f>
        <v>-3.0565518183085501E-3</v>
      </c>
      <c r="FV81" s="3">
        <f ca="1">IFERROR(__xludf.DUMMYFUNCTION("""COMPUTED_VALUE"""),0.127997069825995)</f>
        <v>0.12799706982599501</v>
      </c>
      <c r="FW81" s="3">
        <f ca="1">IFERROR(__xludf.DUMMYFUNCTION("""COMPUTED_VALUE"""),0.101027455762475)</f>
        <v>0.101027455762475</v>
      </c>
      <c r="FX81" s="3">
        <f ca="1">IFERROR(__xludf.DUMMYFUNCTION("""COMPUTED_VALUE"""),0.0259961752683284)</f>
        <v>2.5996175268328401E-2</v>
      </c>
      <c r="FY81" s="3">
        <f ca="1">IFERROR(__xludf.DUMMYFUNCTION("""COMPUTED_VALUE"""),0.106098103736831)</f>
        <v>0.106098103736831</v>
      </c>
      <c r="FZ81" s="3">
        <f ca="1">IFERROR(__xludf.DUMMYFUNCTION("""COMPUTED_VALUE"""),0.0909898519306309)</f>
        <v>9.0989851930630902E-2</v>
      </c>
      <c r="GA81" s="3">
        <f ca="1">IFERROR(__xludf.DUMMYFUNCTION("""COMPUTED_VALUE"""),0.0295357620026022)</f>
        <v>2.95357620026022E-2</v>
      </c>
      <c r="GB81" s="3">
        <f ca="1">IFERROR(__xludf.DUMMYFUNCTION("""COMPUTED_VALUE"""),0.00839190144193069)</f>
        <v>8.3919014419306902E-3</v>
      </c>
      <c r="GC81" s="3">
        <f ca="1">IFERROR(__xludf.DUMMYFUNCTION("""COMPUTED_VALUE"""),0.0541636136537375)</f>
        <v>5.4163613653737501E-2</v>
      </c>
      <c r="GD81" s="3">
        <f ca="1">IFERROR(__xludf.DUMMYFUNCTION("""COMPUTED_VALUE"""),0.0622099283276815)</f>
        <v>6.2209928327681498E-2</v>
      </c>
      <c r="GE81" s="3">
        <f ca="1">IFERROR(__xludf.DUMMYFUNCTION("""COMPUTED_VALUE"""),0.0525031155294324)</f>
        <v>5.2503115529432397E-2</v>
      </c>
      <c r="GF81" s="3">
        <f ca="1">IFERROR(__xludf.DUMMYFUNCTION("""COMPUTED_VALUE"""),0.145605296043268)</f>
        <v>0.145605296043268</v>
      </c>
      <c r="GG81" s="3">
        <f ca="1">IFERROR(__xludf.DUMMYFUNCTION("""COMPUTED_VALUE"""),0.150606841615976)</f>
        <v>0.15060684161597601</v>
      </c>
      <c r="GH81" s="3">
        <f ca="1">IFERROR(__xludf.DUMMYFUNCTION("""COMPUTED_VALUE"""),0.10828072564022)</f>
        <v>0.10828072564022</v>
      </c>
      <c r="GI81" s="3">
        <f ca="1">IFERROR(__xludf.DUMMYFUNCTION("""COMPUTED_VALUE"""),0.00608535673279275)</f>
        <v>6.0853567327927502E-3</v>
      </c>
      <c r="GJ81" s="3">
        <f ca="1">IFERROR(__xludf.DUMMYFUNCTION("""COMPUTED_VALUE"""),0.00743635862694525)</f>
        <v>7.4363586269452497E-3</v>
      </c>
      <c r="GK81" s="3">
        <f ca="1">IFERROR(__xludf.DUMMYFUNCTION("""COMPUTED_VALUE"""),0.0361969701069955)</f>
        <v>3.6196970106995498E-2</v>
      </c>
      <c r="GL81" s="3">
        <f ca="1">IFERROR(__xludf.DUMMYFUNCTION("""COMPUTED_VALUE"""),0.0727510114229159)</f>
        <v>7.2751011422915901E-2</v>
      </c>
      <c r="GM81" s="3">
        <f ca="1">IFERROR(__xludf.DUMMYFUNCTION("""COMPUTED_VALUE"""),-0.0235409970050733)</f>
        <v>-2.35409970050733E-2</v>
      </c>
      <c r="GN81" s="3">
        <f ca="1">IFERROR(__xludf.DUMMYFUNCTION("""COMPUTED_VALUE"""),0.157992836336001)</f>
        <v>0.157992836336001</v>
      </c>
      <c r="GO81" s="3">
        <f ca="1">IFERROR(__xludf.DUMMYFUNCTION("""COMPUTED_VALUE"""),0.0339298794411477)</f>
        <v>3.3929879441147698E-2</v>
      </c>
      <c r="GP81" s="3">
        <f ca="1">IFERROR(__xludf.DUMMYFUNCTION("""COMPUTED_VALUE"""),0.03343203819706)</f>
        <v>3.3432038197059998E-2</v>
      </c>
      <c r="GQ81" s="3">
        <f ca="1">IFERROR(__xludf.DUMMYFUNCTION("""COMPUTED_VALUE"""),0.0629699641018797)</f>
        <v>6.2969964101879702E-2</v>
      </c>
      <c r="GR81" s="3">
        <f ca="1">IFERROR(__xludf.DUMMYFUNCTION("""COMPUTED_VALUE"""),0.107958552524263)</f>
        <v>0.10795855252426299</v>
      </c>
      <c r="GS81" s="3">
        <f ca="1">IFERROR(__xludf.DUMMYFUNCTION("""COMPUTED_VALUE"""),0.0928528922837752)</f>
        <v>9.2852892283775204E-2</v>
      </c>
      <c r="GT81" s="3">
        <f ca="1">IFERROR(__xludf.DUMMYFUNCTION("""COMPUTED_VALUE"""),-0.000500280177247791)</f>
        <v>-5.0028017724779096E-4</v>
      </c>
      <c r="GU81" s="3">
        <f ca="1">IFERROR(__xludf.DUMMYFUNCTION("""COMPUTED_VALUE"""),0.205995861489574)</f>
        <v>0.20599586148957399</v>
      </c>
      <c r="GV81" s="3">
        <f ca="1">IFERROR(__xludf.DUMMYFUNCTION("""COMPUTED_VALUE"""),0.167095767818305)</f>
        <v>0.16709576781830501</v>
      </c>
      <c r="GW81" s="3">
        <f ca="1">IFERROR(__xludf.DUMMYFUNCTION("""COMPUTED_VALUE"""),0.155418294914581)</f>
        <v>0.15541829491458101</v>
      </c>
      <c r="GX81" s="3">
        <f ca="1">IFERROR(__xludf.DUMMYFUNCTION("""COMPUTED_VALUE"""),0.107090163655245)</f>
        <v>0.107090163655245</v>
      </c>
      <c r="GY81" s="3">
        <f ca="1">IFERROR(__xludf.DUMMYFUNCTION("""COMPUTED_VALUE"""),0.209002550648972)</f>
        <v>0.209002550648972</v>
      </c>
      <c r="GZ81" s="3">
        <f ca="1">IFERROR(__xludf.DUMMYFUNCTION("""COMPUTED_VALUE"""),0.115121469688002)</f>
        <v>0.11512146968800201</v>
      </c>
      <c r="HA81" s="3">
        <f ca="1">IFERROR(__xludf.DUMMYFUNCTION("""COMPUTED_VALUE"""),0.11344967315872)</f>
        <v>0.11344967315872</v>
      </c>
      <c r="HB81" s="3">
        <f ca="1">IFERROR(__xludf.DUMMYFUNCTION("""COMPUTED_VALUE"""),0.176482079764032)</f>
        <v>0.17648207976403199</v>
      </c>
      <c r="HC81" s="3">
        <f ca="1">IFERROR(__xludf.DUMMYFUNCTION("""COMPUTED_VALUE"""),0.172585350580704)</f>
        <v>0.17258535058070401</v>
      </c>
      <c r="HD81" s="3">
        <f ca="1">IFERROR(__xludf.DUMMYFUNCTION("""COMPUTED_VALUE"""),0.126236186228434)</f>
        <v>0.12623618622843399</v>
      </c>
      <c r="HE81" s="3">
        <f ca="1">IFERROR(__xludf.DUMMYFUNCTION("""COMPUTED_VALUE"""),0.149232688053335)</f>
        <v>0.14923268805333501</v>
      </c>
      <c r="HF81" s="3">
        <f ca="1">IFERROR(__xludf.DUMMYFUNCTION("""COMPUTED_VALUE"""),0.146328117222088)</f>
        <v>0.14632811722208799</v>
      </c>
      <c r="HG81" s="3">
        <f ca="1">IFERROR(__xludf.DUMMYFUNCTION("""COMPUTED_VALUE"""),0.134418105374639)</f>
        <v>0.134418105374639</v>
      </c>
      <c r="HH81" s="3">
        <f ca="1">IFERROR(__xludf.DUMMYFUNCTION("""COMPUTED_VALUE"""),0.149684403826713)</f>
        <v>0.149684403826713</v>
      </c>
      <c r="HI81" s="3">
        <f ca="1">IFERROR(__xludf.DUMMYFUNCTION("""COMPUTED_VALUE"""),0.256450932111145)</f>
        <v>0.256450932111145</v>
      </c>
      <c r="HJ81" s="3">
        <f ca="1">IFERROR(__xludf.DUMMYFUNCTION("""COMPUTED_VALUE"""),0.0942659886902714)</f>
        <v>9.4265988690271404E-2</v>
      </c>
      <c r="HK81" s="3">
        <f ca="1">IFERROR(__xludf.DUMMYFUNCTION("""COMPUTED_VALUE"""),0.0978282460396366)</f>
        <v>9.7828246039636593E-2</v>
      </c>
      <c r="HL81" s="3">
        <f ca="1">IFERROR(__xludf.DUMMYFUNCTION("""COMPUTED_VALUE"""),0.236091779879047)</f>
        <v>0.236091779879047</v>
      </c>
      <c r="HM81" s="3">
        <f ca="1">IFERROR(__xludf.DUMMYFUNCTION("""COMPUTED_VALUE"""),0.313861453434501)</f>
        <v>0.313861453434501</v>
      </c>
      <c r="HN81" s="3">
        <f ca="1">IFERROR(__xludf.DUMMYFUNCTION("""COMPUTED_VALUE"""),0.180689051501349)</f>
        <v>0.18068905150134901</v>
      </c>
      <c r="HO81" s="3">
        <f ca="1">IFERROR(__xludf.DUMMYFUNCTION("""COMPUTED_VALUE"""),0.139848051527616)</f>
        <v>0.13984805152761601</v>
      </c>
      <c r="HP81" s="3">
        <f ca="1">IFERROR(__xludf.DUMMYFUNCTION("""COMPUTED_VALUE"""),-0.0187786906871688)</f>
        <v>-1.8778690687168802E-2</v>
      </c>
      <c r="HQ81" s="3">
        <f ca="1">IFERROR(__xludf.DUMMYFUNCTION("""COMPUTED_VALUE"""),0.0733547112678618)</f>
        <v>7.3354711267861805E-2</v>
      </c>
      <c r="HR81" s="3">
        <f ca="1">IFERROR(__xludf.DUMMYFUNCTION("""COMPUTED_VALUE"""),0.0310531930698632)</f>
        <v>3.1053193069863198E-2</v>
      </c>
      <c r="HS81" s="3">
        <f ca="1">IFERROR(__xludf.DUMMYFUNCTION("""COMPUTED_VALUE"""),-0.0906422269643045)</f>
        <v>-9.0642226964304504E-2</v>
      </c>
      <c r="HT81" s="3">
        <f ca="1">IFERROR(__xludf.DUMMYFUNCTION("""COMPUTED_VALUE"""),0.00597206270572892)</f>
        <v>5.97206270572892E-3</v>
      </c>
      <c r="HU81" s="3">
        <f ca="1">IFERROR(__xludf.DUMMYFUNCTION("""COMPUTED_VALUE"""),-0.0207143032615706)</f>
        <v>-2.0714303261570598E-2</v>
      </c>
      <c r="HV81" s="3">
        <f ca="1">IFERROR(__xludf.DUMMYFUNCTION("""COMPUTED_VALUE"""),-0.0378921706379284)</f>
        <v>-3.78921706379284E-2</v>
      </c>
      <c r="HW81" s="3">
        <f ca="1">IFERROR(__xludf.DUMMYFUNCTION("""COMPUTED_VALUE"""),0.0197315719920492)</f>
        <v>1.97315719920492E-2</v>
      </c>
      <c r="HX81" s="3">
        <f ca="1">IFERROR(__xludf.DUMMYFUNCTION("""COMPUTED_VALUE"""),0.137257901976299)</f>
        <v>0.137257901976299</v>
      </c>
      <c r="HY81" s="3">
        <f ca="1">IFERROR(__xludf.DUMMYFUNCTION("""COMPUTED_VALUE"""),0.108017437316187)</f>
        <v>0.108017437316187</v>
      </c>
      <c r="HZ81" s="3">
        <f ca="1">IFERROR(__xludf.DUMMYFUNCTION("""COMPUTED_VALUE"""),0.118399743300919)</f>
        <v>0.118399743300919</v>
      </c>
      <c r="IA81" s="3">
        <f ca="1">IFERROR(__xludf.DUMMYFUNCTION("""COMPUTED_VALUE"""),0.282571086540405)</f>
        <v>0.28257108654040503</v>
      </c>
      <c r="IB81" s="3">
        <f ca="1">IFERROR(__xludf.DUMMYFUNCTION("""COMPUTED_VALUE"""),0.125009138696033)</f>
        <v>0.125009138696033</v>
      </c>
      <c r="IC81" s="3">
        <f ca="1">IFERROR(__xludf.DUMMYFUNCTION("""COMPUTED_VALUE"""),0.19379722620542)</f>
        <v>0.19379722620542</v>
      </c>
      <c r="ID81" s="3">
        <f ca="1">IFERROR(__xludf.DUMMYFUNCTION("""COMPUTED_VALUE"""),0.197442693989477)</f>
        <v>0.197442693989477</v>
      </c>
      <c r="IE81" s="3">
        <f ca="1">IFERROR(__xludf.DUMMYFUNCTION("""COMPUTED_VALUE"""),0.207652203470597)</f>
        <v>0.20765220347059701</v>
      </c>
      <c r="IF81" s="3">
        <f ca="1">IFERROR(__xludf.DUMMYFUNCTION("""COMPUTED_VALUE"""),0.182281206430093)</f>
        <v>0.18228120643009299</v>
      </c>
      <c r="IG81" s="3">
        <f ca="1">IFERROR(__xludf.DUMMYFUNCTION("""COMPUTED_VALUE"""),0.137400549327931)</f>
        <v>0.137400549327931</v>
      </c>
      <c r="IH81" s="3">
        <f ca="1">IFERROR(__xludf.DUMMYFUNCTION("""COMPUTED_VALUE"""),0.215523731914823)</f>
        <v>0.21552373191482299</v>
      </c>
      <c r="II81" s="3">
        <f ca="1">IFERROR(__xludf.DUMMYFUNCTION("""COMPUTED_VALUE"""),0.147920208294452)</f>
        <v>0.14792020829445199</v>
      </c>
      <c r="IJ81" s="3">
        <f ca="1">IFERROR(__xludf.DUMMYFUNCTION("""COMPUTED_VALUE"""),0.202384718552751)</f>
        <v>0.202384718552751</v>
      </c>
      <c r="IK81" s="3">
        <f ca="1">IFERROR(__xludf.DUMMYFUNCTION("""COMPUTED_VALUE"""),0.235112259716183)</f>
        <v>0.23511225971618299</v>
      </c>
      <c r="IL81" s="3">
        <f ca="1">IFERROR(__xludf.DUMMYFUNCTION("""COMPUTED_VALUE"""),0.237796133654008)</f>
        <v>0.23779613365400801</v>
      </c>
      <c r="IM81" s="3">
        <f ca="1">IFERROR(__xludf.DUMMYFUNCTION("""COMPUTED_VALUE"""),0.287920600128135)</f>
        <v>0.28792060012813497</v>
      </c>
      <c r="IN81" s="3">
        <f ca="1">IFERROR(__xludf.DUMMYFUNCTION("""COMPUTED_VALUE"""),0.181414712454747)</f>
        <v>0.181414712454747</v>
      </c>
      <c r="IO81" s="3">
        <f ca="1">IFERROR(__xludf.DUMMYFUNCTION("""COMPUTED_VALUE"""),0.260354978561389)</f>
        <v>0.26035497856138901</v>
      </c>
      <c r="IP81" s="3">
        <f ca="1">IFERROR(__xludf.DUMMYFUNCTION("""COMPUTED_VALUE"""),0.160005620673881)</f>
        <v>0.16000562067388099</v>
      </c>
      <c r="IQ81" s="3">
        <f ca="1">IFERROR(__xludf.DUMMYFUNCTION("""COMPUTED_VALUE"""),0.0606539621067179)</f>
        <v>6.0653962106717897E-2</v>
      </c>
      <c r="IR81" s="3">
        <f ca="1">IFERROR(__xludf.DUMMYFUNCTION("""COMPUTED_VALUE"""),0.0922993333512254)</f>
        <v>9.2299333351225393E-2</v>
      </c>
      <c r="IS81" s="3">
        <f ca="1">IFERROR(__xludf.DUMMYFUNCTION("""COMPUTED_VALUE"""),0.12326015304547)</f>
        <v>0.12326015304547</v>
      </c>
      <c r="IT81" s="3">
        <f ca="1">IFERROR(__xludf.DUMMYFUNCTION("""COMPUTED_VALUE"""),0.088993183151119)</f>
        <v>8.8993183151118996E-2</v>
      </c>
      <c r="IU81" s="3">
        <f ca="1">IFERROR(__xludf.DUMMYFUNCTION("""COMPUTED_VALUE"""),0.0850518145234178)</f>
        <v>8.5051814523417799E-2</v>
      </c>
      <c r="IV81" s="3">
        <f ca="1">IFERROR(__xludf.DUMMYFUNCTION("""COMPUTED_VALUE"""),0.137644235214724)</f>
        <v>0.13764423521472399</v>
      </c>
      <c r="IW81" s="3">
        <f ca="1">IFERROR(__xludf.DUMMYFUNCTION("""COMPUTED_VALUE"""),0.226236651711369)</f>
        <v>0.226236651711369</v>
      </c>
      <c r="IX81" s="3">
        <f ca="1">IFERROR(__xludf.DUMMYFUNCTION("""COMPUTED_VALUE"""),0.103346782043344)</f>
        <v>0.10334678204334399</v>
      </c>
      <c r="IY81" s="3">
        <f ca="1">IFERROR(__xludf.DUMMYFUNCTION("""COMPUTED_VALUE"""),0.146649119158917)</f>
        <v>0.14664911915891701</v>
      </c>
      <c r="IZ81" s="3">
        <f ca="1">IFERROR(__xludf.DUMMYFUNCTION("""COMPUTED_VALUE"""),0.212886824298731)</f>
        <v>0.21288682429873099</v>
      </c>
      <c r="JA81" s="3">
        <f ca="1">IFERROR(__xludf.DUMMYFUNCTION("""COMPUTED_VALUE"""),0.113290403969836)</f>
        <v>0.113290403969836</v>
      </c>
      <c r="JB81" s="3">
        <f ca="1">IFERROR(__xludf.DUMMYFUNCTION("""COMPUTED_VALUE"""),0.0847043920251813)</f>
        <v>8.4704392025181305E-2</v>
      </c>
      <c r="JC81" s="3">
        <f ca="1">IFERROR(__xludf.DUMMYFUNCTION("""COMPUTED_VALUE"""),0.108337300511808)</f>
        <v>0.108337300511808</v>
      </c>
      <c r="JD81" s="3">
        <f ca="1">IFERROR(__xludf.DUMMYFUNCTION("""COMPUTED_VALUE"""),0.171582475884484)</f>
        <v>0.171582475884484</v>
      </c>
      <c r="JE81" s="3">
        <f ca="1">IFERROR(__xludf.DUMMYFUNCTION("""COMPUTED_VALUE"""),0.127218419321322)</f>
        <v>0.127218419321322</v>
      </c>
      <c r="JF81" s="3">
        <f ca="1">IFERROR(__xludf.DUMMYFUNCTION("""COMPUTED_VALUE"""),0.126194265416168)</f>
        <v>0.12619426541616799</v>
      </c>
      <c r="JG81" s="3">
        <f ca="1">IFERROR(__xludf.DUMMYFUNCTION("""COMPUTED_VALUE"""),0.240950433305513)</f>
        <v>0.240950433305513</v>
      </c>
      <c r="JH81" s="3">
        <f ca="1">IFERROR(__xludf.DUMMYFUNCTION("""COMPUTED_VALUE"""),0.1919940058418)</f>
        <v>0.19199400584179999</v>
      </c>
      <c r="JI81" s="3">
        <f ca="1">IFERROR(__xludf.DUMMYFUNCTION("""COMPUTED_VALUE"""),0.0714518773312415)</f>
        <v>7.1451877331241503E-2</v>
      </c>
      <c r="JJ81" s="3">
        <f ca="1">IFERROR(__xludf.DUMMYFUNCTION("""COMPUTED_VALUE"""),0.119947216876113)</f>
        <v>0.119947216876113</v>
      </c>
      <c r="JK81" s="3">
        <f ca="1">IFERROR(__xludf.DUMMYFUNCTION("""COMPUTED_VALUE"""),0.028140554308218)</f>
        <v>2.8140554308218001E-2</v>
      </c>
      <c r="JL81" s="3">
        <f ca="1">IFERROR(__xludf.DUMMYFUNCTION("""COMPUTED_VALUE"""),-0.137839347561455)</f>
        <v>-0.13783934756145499</v>
      </c>
      <c r="JM81" s="3">
        <f ca="1">IFERROR(__xludf.DUMMYFUNCTION("""COMPUTED_VALUE"""),0.0397651270503349)</f>
        <v>3.97651270503349E-2</v>
      </c>
      <c r="JN81" s="3">
        <f ca="1">IFERROR(__xludf.DUMMYFUNCTION("""COMPUTED_VALUE"""),0.048302275952613)</f>
        <v>4.8302275952613001E-2</v>
      </c>
      <c r="JO81" s="3">
        <f ca="1">IFERROR(__xludf.DUMMYFUNCTION("""COMPUTED_VALUE"""),0.0355578156966809)</f>
        <v>3.55578156966809E-2</v>
      </c>
      <c r="JP81" s="3">
        <f ca="1">IFERROR(__xludf.DUMMYFUNCTION("""COMPUTED_VALUE"""),-0.028806650142546)</f>
        <v>-2.8806650142545999E-2</v>
      </c>
      <c r="JQ81" s="3">
        <f ca="1">IFERROR(__xludf.DUMMYFUNCTION("""COMPUTED_VALUE"""),0.15919839496571)</f>
        <v>0.15919839496571001</v>
      </c>
      <c r="JR81" s="3">
        <f ca="1">IFERROR(__xludf.DUMMYFUNCTION("""COMPUTED_VALUE"""),0.01244885990539)</f>
        <v>1.244885990539E-2</v>
      </c>
      <c r="JS81" s="3">
        <f ca="1">IFERROR(__xludf.DUMMYFUNCTION("""COMPUTED_VALUE"""),0.0166527577875503)</f>
        <v>1.66527577875503E-2</v>
      </c>
      <c r="JT81" s="3">
        <f ca="1">IFERROR(__xludf.DUMMYFUNCTION("""COMPUTED_VALUE"""),0.0293614383177815)</f>
        <v>2.9361438317781499E-2</v>
      </c>
      <c r="JU81" s="3">
        <f ca="1">IFERROR(__xludf.DUMMYFUNCTION("""COMPUTED_VALUE"""),-0.0846873421902705)</f>
        <v>-8.4687342190270506E-2</v>
      </c>
      <c r="JV81" s="3">
        <f ca="1">IFERROR(__xludf.DUMMYFUNCTION("""COMPUTED_VALUE"""),-0.0304779015192)</f>
        <v>-3.0477901519200001E-2</v>
      </c>
      <c r="JW81" s="3">
        <f ca="1">IFERROR(__xludf.DUMMYFUNCTION("""COMPUTED_VALUE"""),-0.0881577771786994)</f>
        <v>-8.8157777178699395E-2</v>
      </c>
      <c r="JX81" s="3">
        <f ca="1">IFERROR(__xludf.DUMMYFUNCTION("""COMPUTED_VALUE"""),-0.0427796022733204)</f>
        <v>-4.2779602273320401E-2</v>
      </c>
      <c r="JY81" s="3">
        <f ca="1">IFERROR(__xludf.DUMMYFUNCTION("""COMPUTED_VALUE"""),-0.168137578522876)</f>
        <v>-0.168137578522876</v>
      </c>
      <c r="JZ81" s="3">
        <f ca="1">IFERROR(__xludf.DUMMYFUNCTION("""COMPUTED_VALUE"""),-0.0749143795003524)</f>
        <v>-7.4914379500352402E-2</v>
      </c>
      <c r="KA81" s="3">
        <f ca="1">IFERROR(__xludf.DUMMYFUNCTION("""COMPUTED_VALUE"""),-0.0695115085725138)</f>
        <v>-6.95115085725138E-2</v>
      </c>
      <c r="KB81" s="3">
        <f ca="1">IFERROR(__xludf.DUMMYFUNCTION("""COMPUTED_VALUE"""),-0.147470496781009)</f>
        <v>-0.14747049678100899</v>
      </c>
      <c r="KC81" s="3">
        <f ca="1">IFERROR(__xludf.DUMMYFUNCTION("""COMPUTED_VALUE"""),-0.0778121602422339)</f>
        <v>-7.7812160242233905E-2</v>
      </c>
      <c r="KD81" s="3">
        <f ca="1">IFERROR(__xludf.DUMMYFUNCTION("""COMPUTED_VALUE"""),-0.185071181353994)</f>
        <v>-0.185071181353994</v>
      </c>
      <c r="KE81" s="3">
        <f ca="1">IFERROR(__xludf.DUMMYFUNCTION("""COMPUTED_VALUE"""),-0.0461446930022303)</f>
        <v>-4.61446930022303E-2</v>
      </c>
      <c r="KF81" s="3">
        <f ca="1">IFERROR(__xludf.DUMMYFUNCTION("""COMPUTED_VALUE"""),-0.18915032158299)</f>
        <v>-0.18915032158299</v>
      </c>
      <c r="KG81" s="3">
        <f ca="1">IFERROR(__xludf.DUMMYFUNCTION("""COMPUTED_VALUE"""),-0.143669702851292)</f>
        <v>-0.14366970285129199</v>
      </c>
      <c r="KH81" s="3">
        <f ca="1">IFERROR(__xludf.DUMMYFUNCTION("""COMPUTED_VALUE"""),-0.187198520472724)</f>
        <v>-0.18719852047272401</v>
      </c>
      <c r="KI81" s="3">
        <f ca="1">IFERROR(__xludf.DUMMYFUNCTION("""COMPUTED_VALUE"""),-0.0023302256988994)</f>
        <v>-2.3302256988994002E-3</v>
      </c>
      <c r="KJ81" s="3">
        <f ca="1">IFERROR(__xludf.DUMMYFUNCTION("""COMPUTED_VALUE"""),-0.177850759177052)</f>
        <v>-0.17785075917705201</v>
      </c>
      <c r="KK81" s="3">
        <f ca="1">IFERROR(__xludf.DUMMYFUNCTION("""COMPUTED_VALUE"""),-0.23676513351418)</f>
        <v>-0.23676513351417999</v>
      </c>
      <c r="KL81" s="3">
        <f ca="1">IFERROR(__xludf.DUMMYFUNCTION("""COMPUTED_VALUE"""),-0.127860024350813)</f>
        <v>-0.12786002435081301</v>
      </c>
      <c r="KM81" s="3">
        <f ca="1">IFERROR(__xludf.DUMMYFUNCTION("""COMPUTED_VALUE"""),-0.294265834427982)</f>
        <v>-0.29426583442798199</v>
      </c>
      <c r="KN81" s="3">
        <f ca="1">IFERROR(__xludf.DUMMYFUNCTION("""COMPUTED_VALUE"""),-0.235034381798559)</f>
        <v>-0.23503438179855901</v>
      </c>
      <c r="KO81" s="3">
        <f ca="1">IFERROR(__xludf.DUMMYFUNCTION("""COMPUTED_VALUE"""),-0.118493808194364)</f>
        <v>-0.118493808194364</v>
      </c>
      <c r="KP81" s="3">
        <f ca="1">IFERROR(__xludf.DUMMYFUNCTION("""COMPUTED_VALUE"""),-0.199144657499011)</f>
        <v>-0.199144657499011</v>
      </c>
      <c r="KQ81" s="3">
        <f ca="1">IFERROR(__xludf.DUMMYFUNCTION("""COMPUTED_VALUE"""),-0.1888321625125)</f>
        <v>-0.18883216251250001</v>
      </c>
      <c r="KR81" s="3">
        <f ca="1">IFERROR(__xludf.DUMMYFUNCTION("""COMPUTED_VALUE"""),-0.218199020774854)</f>
        <v>-0.21819902077485401</v>
      </c>
      <c r="KS81" s="3">
        <f ca="1">IFERROR(__xludf.DUMMYFUNCTION("""COMPUTED_VALUE"""),-0.219878929982831)</f>
        <v>-0.21987892998283101</v>
      </c>
      <c r="KT81" s="3">
        <f ca="1">IFERROR(__xludf.DUMMYFUNCTION("""COMPUTED_VALUE"""),-0.313844909762959)</f>
        <v>-0.31384490976295898</v>
      </c>
      <c r="KU81" s="3">
        <f ca="1">IFERROR(__xludf.DUMMYFUNCTION("""COMPUTED_VALUE"""),-0.327092122278666)</f>
        <v>-0.32709212227866602</v>
      </c>
      <c r="KV81" s="3">
        <f ca="1">IFERROR(__xludf.DUMMYFUNCTION("""COMPUTED_VALUE"""),-0.142349055953639)</f>
        <v>-0.142349055953639</v>
      </c>
      <c r="KW81" s="3">
        <f ca="1">IFERROR(__xludf.DUMMYFUNCTION("""COMPUTED_VALUE"""),-0.24758482310599)</f>
        <v>-0.24758482310599</v>
      </c>
      <c r="KX81" s="3">
        <f ca="1">IFERROR(__xludf.DUMMYFUNCTION("""COMPUTED_VALUE"""),-0.243240431442774)</f>
        <v>-0.24324043144277399</v>
      </c>
      <c r="KY81" s="3">
        <f ca="1">IFERROR(__xludf.DUMMYFUNCTION("""COMPUTED_VALUE"""),-0.252281887705611)</f>
        <v>-0.252281887705611</v>
      </c>
      <c r="KZ81" s="3">
        <f ca="1">IFERROR(__xludf.DUMMYFUNCTION("""COMPUTED_VALUE"""),-0.256754980290965)</f>
        <v>-0.256754980290965</v>
      </c>
      <c r="LA81" s="3">
        <f ca="1">IFERROR(__xludf.DUMMYFUNCTION("""COMPUTED_VALUE"""),-0.256804177457907)</f>
        <v>-0.25680417745790701</v>
      </c>
      <c r="LB81" s="3">
        <f ca="1">IFERROR(__xludf.DUMMYFUNCTION("""COMPUTED_VALUE"""),-0.285666501216124)</f>
        <v>-0.28566650121612402</v>
      </c>
      <c r="LC81" s="3">
        <f ca="1">IFERROR(__xludf.DUMMYFUNCTION("""COMPUTED_VALUE"""),-0.380407424772582)</f>
        <v>-0.38040742477258199</v>
      </c>
      <c r="LD81" s="3">
        <f ca="1">IFERROR(__xludf.DUMMYFUNCTION("""COMPUTED_VALUE"""),-0.304772626574938)</f>
        <v>-0.30477262657493798</v>
      </c>
      <c r="LE81" s="3">
        <f ca="1">IFERROR(__xludf.DUMMYFUNCTION("""COMPUTED_VALUE"""),-0.325424077513167)</f>
        <v>-0.32542407751316699</v>
      </c>
      <c r="LF81" s="3">
        <f ca="1">IFERROR(__xludf.DUMMYFUNCTION("""COMPUTED_VALUE"""),-0.430698557252964)</f>
        <v>-0.43069855725296402</v>
      </c>
      <c r="LG81" s="3">
        <f ca="1">IFERROR(__xludf.DUMMYFUNCTION("""COMPUTED_VALUE"""),-0.425288102205878)</f>
        <v>-0.42528810220587798</v>
      </c>
      <c r="LH81" s="3">
        <f ca="1">IFERROR(__xludf.DUMMYFUNCTION("""COMPUTED_VALUE"""),-0.463974530887144)</f>
        <v>-0.46397453088714402</v>
      </c>
      <c r="LI81" s="3">
        <f ca="1">IFERROR(__xludf.DUMMYFUNCTION("""COMPUTED_VALUE"""),-0.407589444329948)</f>
        <v>-0.40758944432994798</v>
      </c>
      <c r="LJ81" s="3">
        <f ca="1">IFERROR(__xludf.DUMMYFUNCTION("""COMPUTED_VALUE"""),-0.456010965608828)</f>
        <v>-0.45601096560882798</v>
      </c>
      <c r="LK81" s="3">
        <f ca="1">IFERROR(__xludf.DUMMYFUNCTION("""COMPUTED_VALUE"""),-0.20771801651773)</f>
        <v>-0.20771801651773</v>
      </c>
      <c r="LL81" s="3">
        <f ca="1">IFERROR(__xludf.DUMMYFUNCTION("""COMPUTED_VALUE"""),-0.505339008734531)</f>
        <v>-0.50533900873453097</v>
      </c>
      <c r="LM81" s="3">
        <f ca="1">IFERROR(__xludf.DUMMYFUNCTION("""COMPUTED_VALUE"""),-0.477723267377792)</f>
        <v>-0.47772326737779203</v>
      </c>
      <c r="LN81" s="3">
        <f ca="1">IFERROR(__xludf.DUMMYFUNCTION("""COMPUTED_VALUE"""),-0.494894977346431)</f>
        <v>-0.49489497734643101</v>
      </c>
      <c r="LO81" s="3">
        <f ca="1">IFERROR(__xludf.DUMMYFUNCTION("""COMPUTED_VALUE"""),-0.50706694712785)</f>
        <v>-0.50706694712785005</v>
      </c>
      <c r="LP81" s="3">
        <f ca="1">IFERROR(__xludf.DUMMYFUNCTION("""COMPUTED_VALUE"""),-0.53265684811475)</f>
        <v>-0.53265684811475</v>
      </c>
      <c r="LQ81" s="3">
        <f ca="1">IFERROR(__xludf.DUMMYFUNCTION("""COMPUTED_VALUE"""),-0.486252937688651)</f>
        <v>-0.48625293768865102</v>
      </c>
      <c r="LR81" s="3">
        <f ca="1">IFERROR(__xludf.DUMMYFUNCTION("""COMPUTED_VALUE"""),-0.421474738275298)</f>
        <v>-0.42147473827529802</v>
      </c>
      <c r="LS81" s="3">
        <f ca="1">IFERROR(__xludf.DUMMYFUNCTION("""COMPUTED_VALUE"""),-0.50126009285072)</f>
        <v>-0.50126009285072004</v>
      </c>
      <c r="LT81" s="3">
        <f ca="1">IFERROR(__xludf.DUMMYFUNCTION("""COMPUTED_VALUE"""),-0.611642997767121)</f>
        <v>-0.61164299776712105</v>
      </c>
      <c r="LU81" s="3">
        <f ca="1">IFERROR(__xludf.DUMMYFUNCTION("""COMPUTED_VALUE"""),-0.563467274217179)</f>
        <v>-0.56346727421717901</v>
      </c>
      <c r="LV81" s="3">
        <f ca="1">IFERROR(__xludf.DUMMYFUNCTION("""COMPUTED_VALUE"""),-0.539436769162335)</f>
        <v>-0.53943676916233496</v>
      </c>
      <c r="LW81" s="3">
        <f ca="1">IFERROR(__xludf.DUMMYFUNCTION("""COMPUTED_VALUE"""),-0.538181349619453)</f>
        <v>-0.53818134961945296</v>
      </c>
      <c r="LX81" s="3">
        <f ca="1">IFERROR(__xludf.DUMMYFUNCTION("""COMPUTED_VALUE"""),-0.558054742087707)</f>
        <v>-0.558054742087707</v>
      </c>
      <c r="LY81" s="3">
        <f ca="1">IFERROR(__xludf.DUMMYFUNCTION("""COMPUTED_VALUE"""),-0.690247880423061)</f>
        <v>-0.69024788042306096</v>
      </c>
      <c r="LZ81" s="3">
        <f ca="1">IFERROR(__xludf.DUMMYFUNCTION("""COMPUTED_VALUE"""),-0.730094059686598)</f>
        <v>-0.73009405968659802</v>
      </c>
      <c r="MA81" s="3">
        <f ca="1">IFERROR(__xludf.DUMMYFUNCTION("""COMPUTED_VALUE"""),-0.813617202247423)</f>
        <v>-0.81361720224742295</v>
      </c>
      <c r="MB81" s="3">
        <f ca="1">IFERROR(__xludf.DUMMYFUNCTION("""COMPUTED_VALUE"""),-0.737438659902104)</f>
        <v>-0.737438659902104</v>
      </c>
      <c r="MC81" s="3">
        <f ca="1">IFERROR(__xludf.DUMMYFUNCTION("""COMPUTED_VALUE"""),-0.515395205236635)</f>
        <v>-0.51539520523663496</v>
      </c>
      <c r="MD81" s="3">
        <f ca="1">IFERROR(__xludf.DUMMYFUNCTION("""COMPUTED_VALUE"""),-0.770123255177269)</f>
        <v>-0.77012325517726898</v>
      </c>
      <c r="ME81" s="3">
        <f ca="1">IFERROR(__xludf.DUMMYFUNCTION("""COMPUTED_VALUE"""),-0.727692788832486)</f>
        <v>-0.727692788832486</v>
      </c>
      <c r="MF81" s="3">
        <f ca="1">IFERROR(__xludf.DUMMYFUNCTION("""COMPUTED_VALUE"""),-0.785567517214229)</f>
        <v>-0.78556751721422902</v>
      </c>
      <c r="MG81" s="3">
        <f ca="1">IFERROR(__xludf.DUMMYFUNCTION("""COMPUTED_VALUE"""),-0.763036239374121)</f>
        <v>-0.76303623937412102</v>
      </c>
      <c r="MH81" s="3">
        <f ca="1">IFERROR(__xludf.DUMMYFUNCTION("""COMPUTED_VALUE"""),-0.958926868736048)</f>
        <v>-0.95892686873604804</v>
      </c>
      <c r="MI81" s="3">
        <f ca="1">IFERROR(__xludf.DUMMYFUNCTION("""COMPUTED_VALUE"""),-0.793670521364207)</f>
        <v>-0.79367052136420702</v>
      </c>
      <c r="MJ81" s="3">
        <f ca="1">IFERROR(__xludf.DUMMYFUNCTION("""COMPUTED_VALUE"""),-0.665128442506605)</f>
        <v>-0.66512844250660497</v>
      </c>
      <c r="MK81" s="3">
        <f ca="1">IFERROR(__xludf.DUMMYFUNCTION("""COMPUTED_VALUE"""),-0.792387096686978)</f>
        <v>-0.79238709668697804</v>
      </c>
      <c r="ML81" s="3">
        <f ca="1">IFERROR(__xludf.DUMMYFUNCTION("""COMPUTED_VALUE"""),-0.724751568737255)</f>
        <v>-0.72475156873725499</v>
      </c>
      <c r="MM81" s="3">
        <f ca="1">IFERROR(__xludf.DUMMYFUNCTION("""COMPUTED_VALUE"""),-0.728156161961532)</f>
        <v>-0.72815616196153199</v>
      </c>
      <c r="MN81" s="3">
        <f ca="1">IFERROR(__xludf.DUMMYFUNCTION("""COMPUTED_VALUE"""),-0.815190987714841)</f>
        <v>-0.815190987714841</v>
      </c>
      <c r="MO81" s="3">
        <f ca="1">IFERROR(__xludf.DUMMYFUNCTION("""COMPUTED_VALUE"""),-0.824632695954839)</f>
        <v>-0.82463269595483901</v>
      </c>
      <c r="MP81" s="3">
        <f ca="1">IFERROR(__xludf.DUMMYFUNCTION("""COMPUTED_VALUE"""),-0.769250323105136)</f>
        <v>-0.76925032310513597</v>
      </c>
      <c r="MQ81" s="3">
        <f ca="1">IFERROR(__xludf.DUMMYFUNCTION("""COMPUTED_VALUE"""),-0.707021115006384)</f>
        <v>-0.70702111500638398</v>
      </c>
      <c r="MR81" s="3">
        <f ca="1">IFERROR(__xludf.DUMMYFUNCTION("""COMPUTED_VALUE"""),-0.780884287695555)</f>
        <v>-0.78088428769555496</v>
      </c>
      <c r="MS81" s="3">
        <f ca="1">IFERROR(__xludf.DUMMYFUNCTION("""COMPUTED_VALUE"""),-0.719887244660552)</f>
        <v>-0.71988724466055198</v>
      </c>
      <c r="MT81" s="3">
        <f ca="1">IFERROR(__xludf.DUMMYFUNCTION("""COMPUTED_VALUE"""),-0.735172333239722)</f>
        <v>-0.73517233323972198</v>
      </c>
      <c r="MU81" s="3">
        <f ca="1">IFERROR(__xludf.DUMMYFUNCTION("""COMPUTED_VALUE"""),-0.778849721159658)</f>
        <v>-0.778849721159658</v>
      </c>
      <c r="MV81" s="3">
        <f ca="1">IFERROR(__xludf.DUMMYFUNCTION("""COMPUTED_VALUE"""),-0.821214221099418)</f>
        <v>-0.821214221099418</v>
      </c>
      <c r="MW81" s="3">
        <f ca="1">IFERROR(__xludf.DUMMYFUNCTION("""COMPUTED_VALUE"""),-0.792703228282095)</f>
        <v>-0.79270322828209505</v>
      </c>
      <c r="MX81" s="3">
        <f ca="1">IFERROR(__xludf.DUMMYFUNCTION("""COMPUTED_VALUE"""),-0.760477277741102)</f>
        <v>-0.76047727774110196</v>
      </c>
      <c r="MY81" s="3">
        <f ca="1">IFERROR(__xludf.DUMMYFUNCTION("""COMPUTED_VALUE"""),-0.797669950068401)</f>
        <v>-0.79766995006840102</v>
      </c>
      <c r="MZ81" s="3">
        <f ca="1">IFERROR(__xludf.DUMMYFUNCTION("""COMPUTED_VALUE"""),-0.806441472208119)</f>
        <v>-0.80644147220811901</v>
      </c>
      <c r="NA81" s="3">
        <f ca="1">IFERROR(__xludf.DUMMYFUNCTION("""COMPUTED_VALUE"""),-0.780951555571695)</f>
        <v>-0.78095155557169504</v>
      </c>
      <c r="NB81" s="3">
        <f ca="1">IFERROR(__xludf.DUMMYFUNCTION("""COMPUTED_VALUE"""),-0.761501130737911)</f>
        <v>-0.76150113073791104</v>
      </c>
      <c r="NC81" s="3">
        <f ca="1">IFERROR(__xludf.DUMMYFUNCTION("""COMPUTED_VALUE"""),-0.829543085433611)</f>
        <v>-0.82954308543361099</v>
      </c>
      <c r="ND81" s="3">
        <f ca="1">IFERROR(__xludf.DUMMYFUNCTION("""COMPUTED_VALUE"""),-0.806136701484608)</f>
        <v>-0.80613670148460803</v>
      </c>
      <c r="NE81" s="3">
        <f ca="1">IFERROR(__xludf.DUMMYFUNCTION("""COMPUTED_VALUE"""),-0.760649494723331)</f>
        <v>-0.76064949472333099</v>
      </c>
      <c r="NF81" s="3">
        <f ca="1">IFERROR(__xludf.DUMMYFUNCTION("""COMPUTED_VALUE"""),-0.794401521738608)</f>
        <v>-0.79440152173860801</v>
      </c>
      <c r="NG81" s="3">
        <f ca="1">IFERROR(__xludf.DUMMYFUNCTION("""COMPUTED_VALUE"""),-0.731851184850292)</f>
        <v>-0.73185118485029199</v>
      </c>
      <c r="NH81" s="3">
        <f ca="1">IFERROR(__xludf.DUMMYFUNCTION("""COMPUTED_VALUE"""),-0.81911934961615)</f>
        <v>-0.81911934961614996</v>
      </c>
      <c r="NI81" s="3">
        <f ca="1">IFERROR(__xludf.DUMMYFUNCTION("""COMPUTED_VALUE"""),-0.816102259704629)</f>
        <v>-0.81610225970462902</v>
      </c>
      <c r="NJ81" s="3">
        <f ca="1">IFERROR(__xludf.DUMMYFUNCTION("""COMPUTED_VALUE"""),-0.803847032208375)</f>
        <v>-0.80384703220837495</v>
      </c>
      <c r="NK81" s="3">
        <f ca="1">IFERROR(__xludf.DUMMYFUNCTION("""COMPUTED_VALUE"""),-0.817048984816506)</f>
        <v>-0.81704898481650601</v>
      </c>
      <c r="NL81" s="3">
        <f ca="1">IFERROR(__xludf.DUMMYFUNCTION("""COMPUTED_VALUE"""),-0.850142012639559)</f>
        <v>-0.85014201263955902</v>
      </c>
      <c r="NM81" s="3">
        <f ca="1">IFERROR(__xludf.DUMMYFUNCTION("""COMPUTED_VALUE"""),-0.837849386088781)</f>
        <v>-0.83784938608878101</v>
      </c>
      <c r="NN81" s="3">
        <f ca="1">IFERROR(__xludf.DUMMYFUNCTION("""COMPUTED_VALUE"""),-0.841413585894447)</f>
        <v>-0.84141358589444704</v>
      </c>
      <c r="NO81" s="3">
        <f ca="1">IFERROR(__xludf.DUMMYFUNCTION("""COMPUTED_VALUE"""),-0.845936940888017)</f>
        <v>-0.84593694088801696</v>
      </c>
      <c r="NP81" s="3">
        <f ca="1">IFERROR(__xludf.DUMMYFUNCTION("""COMPUTED_VALUE"""),-0.858088408683303)</f>
        <v>-0.85808840868330305</v>
      </c>
      <c r="NQ81" s="3">
        <f ca="1">IFERROR(__xludf.DUMMYFUNCTION("""COMPUTED_VALUE"""),-0.88569430986072)</f>
        <v>-0.88569430986071995</v>
      </c>
      <c r="NR81" s="3">
        <f ca="1">IFERROR(__xludf.DUMMYFUNCTION("""COMPUTED_VALUE"""),-0.853582746184584)</f>
        <v>-0.85358274618458396</v>
      </c>
      <c r="NS81" s="3">
        <f ca="1">IFERROR(__xludf.DUMMYFUNCTION("""COMPUTED_VALUE"""),-0.872519966120784)</f>
        <v>-0.87251996612078397</v>
      </c>
      <c r="NT81" s="3">
        <f ca="1">IFERROR(__xludf.DUMMYFUNCTION("""COMPUTED_VALUE"""),-0.837499759123348)</f>
        <v>-0.83749975912334795</v>
      </c>
      <c r="NU81" s="3">
        <f ca="1">IFERROR(__xludf.DUMMYFUNCTION("""COMPUTED_VALUE"""),-0.811757308745168)</f>
        <v>-0.81175730874516805</v>
      </c>
      <c r="NV81" s="3">
        <f ca="1">IFERROR(__xludf.DUMMYFUNCTION("""COMPUTED_VALUE"""),-0.804757880101115)</f>
        <v>-0.80475788010111504</v>
      </c>
      <c r="NW81" s="3">
        <f ca="1">IFERROR(__xludf.DUMMYFUNCTION("""COMPUTED_VALUE"""),-0.824321497820199)</f>
        <v>-0.82432149782019903</v>
      </c>
      <c r="NX81" s="3">
        <f ca="1">IFERROR(__xludf.DUMMYFUNCTION("""COMPUTED_VALUE"""),-0.825356623706002)</f>
        <v>-0.82535662370600205</v>
      </c>
      <c r="NY81" s="3">
        <f ca="1">IFERROR(__xludf.DUMMYFUNCTION("""COMPUTED_VALUE"""),-0.842162622448283)</f>
        <v>-0.84216262244828299</v>
      </c>
      <c r="NZ81" s="3">
        <f ca="1">IFERROR(__xludf.DUMMYFUNCTION("""COMPUTED_VALUE"""),-0.775108362842208)</f>
        <v>-0.77510836284220797</v>
      </c>
      <c r="OA81" s="3">
        <f ca="1">IFERROR(__xludf.DUMMYFUNCTION("""COMPUTED_VALUE"""),-0.792820258364096)</f>
        <v>-0.79282025836409598</v>
      </c>
      <c r="OB81" s="3">
        <f ca="1">IFERROR(__xludf.DUMMYFUNCTION("""COMPUTED_VALUE"""),-0.55932310695581)</f>
        <v>-0.55932310695581</v>
      </c>
      <c r="OC81" s="3">
        <f ca="1">IFERROR(__xludf.DUMMYFUNCTION("""COMPUTED_VALUE"""),-0.266066780281682)</f>
        <v>-0.26606678028168201</v>
      </c>
      <c r="OD81" s="3">
        <f ca="1">IFERROR(__xludf.DUMMYFUNCTION("""COMPUTED_VALUE"""),-0.210695096290218)</f>
        <v>-0.21069509629021799</v>
      </c>
      <c r="OE81" s="3">
        <f ca="1">IFERROR(__xludf.DUMMYFUNCTION("""COMPUTED_VALUE"""),-0.138196483006157)</f>
        <v>-0.138196483006157</v>
      </c>
      <c r="OF81" s="3">
        <f ca="1">IFERROR(__xludf.DUMMYFUNCTION("""COMPUTED_VALUE"""),-0.0174838897553567)</f>
        <v>-1.74838897553567E-2</v>
      </c>
      <c r="OG81" s="3">
        <f ca="1">IFERROR(__xludf.DUMMYFUNCTION("""COMPUTED_VALUE"""),0.018448135400803)</f>
        <v>1.8448135400802999E-2</v>
      </c>
      <c r="OH81" s="3">
        <f ca="1">IFERROR(__xludf.DUMMYFUNCTION("""COMPUTED_VALUE"""),-0.135296292834818)</f>
        <v>-0.135296292834818</v>
      </c>
      <c r="OI81" s="3">
        <f ca="1">IFERROR(__xludf.DUMMYFUNCTION("""COMPUTED_VALUE"""),0.0857348616286823)</f>
        <v>8.5734861628682296E-2</v>
      </c>
      <c r="OJ81" s="3">
        <f ca="1">IFERROR(__xludf.DUMMYFUNCTION("""COMPUTED_VALUE"""),-0.0512182083379075)</f>
        <v>-5.1218208337907502E-2</v>
      </c>
      <c r="OK81" s="3">
        <f ca="1">IFERROR(__xludf.DUMMYFUNCTION("""COMPUTED_VALUE"""),0.021689217946377)</f>
        <v>2.1689217946377001E-2</v>
      </c>
      <c r="OL81" s="3">
        <f ca="1">IFERROR(__xludf.DUMMYFUNCTION("""COMPUTED_VALUE"""),0.0668409424643194)</f>
        <v>6.6840942464319403E-2</v>
      </c>
      <c r="OM81" s="3">
        <f ca="1">IFERROR(__xludf.DUMMYFUNCTION("""COMPUTED_VALUE"""),0.0152057617690739)</f>
        <v>1.52057617690739E-2</v>
      </c>
      <c r="ON81" s="3">
        <f ca="1">IFERROR(__xludf.DUMMYFUNCTION("""COMPUTED_VALUE"""),0.0490177128037911)</f>
        <v>4.9017712803791101E-2</v>
      </c>
      <c r="OO81" s="3">
        <f ca="1">IFERROR(__xludf.DUMMYFUNCTION("""COMPUTED_VALUE"""),0.0790491284861758)</f>
        <v>7.9049128486175804E-2</v>
      </c>
      <c r="OP81" s="3">
        <f ca="1">IFERROR(__xludf.DUMMYFUNCTION("""COMPUTED_VALUE"""),0.0472539894365684)</f>
        <v>4.7253989436568403E-2</v>
      </c>
      <c r="OQ81" s="3">
        <f ca="1">IFERROR(__xludf.DUMMYFUNCTION("""COMPUTED_VALUE"""),-0.0701943227802672)</f>
        <v>-7.0194322780267202E-2</v>
      </c>
      <c r="OR81" s="3">
        <f ca="1">IFERROR(__xludf.DUMMYFUNCTION("""COMPUTED_VALUE"""),-0.00864091018989832)</f>
        <v>-8.6409101898983192E-3</v>
      </c>
      <c r="OS81" s="3">
        <f ca="1">IFERROR(__xludf.DUMMYFUNCTION("""COMPUTED_VALUE"""),-0.140316692211485)</f>
        <v>-0.14031669221148499</v>
      </c>
      <c r="OT81" s="3">
        <f ca="1">IFERROR(__xludf.DUMMYFUNCTION("""COMPUTED_VALUE"""),-0.169655182749795)</f>
        <v>-0.16965518274979499</v>
      </c>
      <c r="OU81" s="3">
        <f ca="1">IFERROR(__xludf.DUMMYFUNCTION("""COMPUTED_VALUE"""),-0.136149931928627)</f>
        <v>-0.13614993192862701</v>
      </c>
      <c r="OV81" s="3">
        <f ca="1">IFERROR(__xludf.DUMMYFUNCTION("""COMPUTED_VALUE"""),-0.131783076984484)</f>
        <v>-0.13178307698448399</v>
      </c>
      <c r="OW81" s="3">
        <f ca="1">IFERROR(__xludf.DUMMYFUNCTION("""COMPUTED_VALUE"""),-0.0923122821656989)</f>
        <v>-9.2312282165698895E-2</v>
      </c>
      <c r="OX81" s="3">
        <f ca="1">IFERROR(__xludf.DUMMYFUNCTION("""COMPUTED_VALUE"""),0.062704188278833)</f>
        <v>6.2704188278833006E-2</v>
      </c>
      <c r="OY81" s="3">
        <f ca="1">IFERROR(__xludf.DUMMYFUNCTION("""COMPUTED_VALUE"""),0.0102087482555717)</f>
        <v>1.0208748255571699E-2</v>
      </c>
      <c r="OZ81" s="3">
        <f ca="1">IFERROR(__xludf.DUMMYFUNCTION("""COMPUTED_VALUE"""),-0.0155355096814205)</f>
        <v>-1.5535509681420499E-2</v>
      </c>
      <c r="PA81" s="3">
        <f ca="1">IFERROR(__xludf.DUMMYFUNCTION("""COMPUTED_VALUE"""),0.0617185462477896)</f>
        <v>6.17185462477896E-2</v>
      </c>
      <c r="PB81" s="3">
        <f ca="1">IFERROR(__xludf.DUMMYFUNCTION("""COMPUTED_VALUE"""),0.0522134095966742)</f>
        <v>5.2213409596674198E-2</v>
      </c>
      <c r="PC81" s="3">
        <f ca="1">IFERROR(__xludf.DUMMYFUNCTION("""COMPUTED_VALUE"""),0.0868822266524345)</f>
        <v>8.6882226652434502E-2</v>
      </c>
      <c r="PD81" s="3">
        <f ca="1">IFERROR(__xludf.DUMMYFUNCTION("""COMPUTED_VALUE"""),-0.0330055121859402)</f>
        <v>-3.3005512185940201E-2</v>
      </c>
      <c r="PE81" s="3">
        <f ca="1">IFERROR(__xludf.DUMMYFUNCTION("""COMPUTED_VALUE"""),0.142155905087051)</f>
        <v>0.142155905087051</v>
      </c>
      <c r="PF81" s="3">
        <f ca="1">IFERROR(__xludf.DUMMYFUNCTION("""COMPUTED_VALUE"""),0.163333061147823)</f>
        <v>0.16333306114782301</v>
      </c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</row>
    <row r="82" spans="1:594" ht="13">
      <c r="A82" s="1" t="str">
        <f ca="1">IFERROR(__xludf.DUMMYFUNCTION("""COMPUTED_VALUE"""),"Tampa")</f>
        <v>Tampa</v>
      </c>
      <c r="B82" s="3">
        <f ca="1">IFERROR(__xludf.DUMMYFUNCTION("""COMPUTED_VALUE"""),-0.118553895425527)</f>
        <v>-0.11855389542552699</v>
      </c>
      <c r="C82" s="3">
        <f ca="1">IFERROR(__xludf.DUMMYFUNCTION("""COMPUTED_VALUE"""),-0.0469615771022945)</f>
        <v>-4.6961577102294497E-2</v>
      </c>
      <c r="D82" s="3">
        <f ca="1">IFERROR(__xludf.DUMMYFUNCTION("""COMPUTED_VALUE"""),-0.218586268937085)</f>
        <v>-0.21858626893708499</v>
      </c>
      <c r="E82" s="3">
        <f ca="1">IFERROR(__xludf.DUMMYFUNCTION("""COMPUTED_VALUE"""),-0.267991708310302)</f>
        <v>-0.267991708310302</v>
      </c>
      <c r="F82" s="3">
        <f ca="1">IFERROR(__xludf.DUMMYFUNCTION("""COMPUTED_VALUE"""),-0.209830027633262)</f>
        <v>-0.209830027633262</v>
      </c>
      <c r="G82" s="3">
        <f ca="1">IFERROR(__xludf.DUMMYFUNCTION("""COMPUTED_VALUE"""),-0.191984714364721)</f>
        <v>-0.191984714364721</v>
      </c>
      <c r="H82" s="3">
        <f ca="1">IFERROR(__xludf.DUMMYFUNCTION("""COMPUTED_VALUE"""),-0.109996864439073)</f>
        <v>-0.109996864439073</v>
      </c>
      <c r="I82" s="3">
        <f ca="1">IFERROR(__xludf.DUMMYFUNCTION("""COMPUTED_VALUE"""),-0.13801042318999)</f>
        <v>-0.13801042318998999</v>
      </c>
      <c r="J82" s="3">
        <f ca="1">IFERROR(__xludf.DUMMYFUNCTION("""COMPUTED_VALUE"""),-0.217056289206825)</f>
        <v>-0.21705628920682499</v>
      </c>
      <c r="K82" s="3">
        <f ca="1">IFERROR(__xludf.DUMMYFUNCTION("""COMPUTED_VALUE"""),-0.272249401509142)</f>
        <v>-0.27224940150914201</v>
      </c>
      <c r="L82" s="3">
        <f ca="1">IFERROR(__xludf.DUMMYFUNCTION("""COMPUTED_VALUE"""),-0.274024940526511)</f>
        <v>-0.274024940526511</v>
      </c>
      <c r="M82" s="3">
        <f ca="1">IFERROR(__xludf.DUMMYFUNCTION("""COMPUTED_VALUE"""),-0.212111700347517)</f>
        <v>-0.212111700347517</v>
      </c>
      <c r="N82" s="3">
        <f ca="1">IFERROR(__xludf.DUMMYFUNCTION("""COMPUTED_VALUE"""),-0.23786984075717)</f>
        <v>-0.23786984075716999</v>
      </c>
      <c r="O82" s="3">
        <f ca="1">IFERROR(__xludf.DUMMYFUNCTION("""COMPUTED_VALUE"""),-0.00562958056165141)</f>
        <v>-5.6295805616514098E-3</v>
      </c>
      <c r="P82" s="3">
        <f ca="1">IFERROR(__xludf.DUMMYFUNCTION("""COMPUTED_VALUE"""),-0.093650046001827)</f>
        <v>-9.3650046001826998E-2</v>
      </c>
      <c r="Q82" s="3">
        <f ca="1">IFERROR(__xludf.DUMMYFUNCTION("""COMPUTED_VALUE"""),-0.171987026809497)</f>
        <v>-0.17198702680949701</v>
      </c>
      <c r="R82" s="3">
        <f ca="1">IFERROR(__xludf.DUMMYFUNCTION("""COMPUTED_VALUE"""),-0.231654381754788)</f>
        <v>-0.231654381754788</v>
      </c>
      <c r="S82" s="3">
        <f ca="1">IFERROR(__xludf.DUMMYFUNCTION("""COMPUTED_VALUE"""),-0.240271596221232)</f>
        <v>-0.24027159622123201</v>
      </c>
      <c r="T82" s="3">
        <f ca="1">IFERROR(__xludf.DUMMYFUNCTION("""COMPUTED_VALUE"""),-0.23199127057415)</f>
        <v>-0.23199127057415</v>
      </c>
      <c r="U82" s="3">
        <f ca="1">IFERROR(__xludf.DUMMYFUNCTION("""COMPUTED_VALUE"""),-0.226704376523964)</f>
        <v>-0.226704376523964</v>
      </c>
      <c r="V82" s="3">
        <f ca="1">IFERROR(__xludf.DUMMYFUNCTION("""COMPUTED_VALUE"""),-0.15609683185887)</f>
        <v>-0.15609683185886999</v>
      </c>
      <c r="W82" s="3">
        <f ca="1">IFERROR(__xludf.DUMMYFUNCTION("""COMPUTED_VALUE"""),-0.117636259970933)</f>
        <v>-0.11763625997093299</v>
      </c>
      <c r="X82" s="3">
        <f ca="1">IFERROR(__xludf.DUMMYFUNCTION("""COMPUTED_VALUE"""),-0.193372980161544)</f>
        <v>-0.193372980161544</v>
      </c>
      <c r="Y82" s="3">
        <f ca="1">IFERROR(__xludf.DUMMYFUNCTION("""COMPUTED_VALUE"""),-0.30946041261559)</f>
        <v>-0.30946041261558999</v>
      </c>
      <c r="Z82" s="3">
        <f ca="1">IFERROR(__xludf.DUMMYFUNCTION("""COMPUTED_VALUE"""),-0.235093369892816)</f>
        <v>-0.23509336989281601</v>
      </c>
      <c r="AA82" s="3">
        <f ca="1">IFERROR(__xludf.DUMMYFUNCTION("""COMPUTED_VALUE"""),-0.209092802012503)</f>
        <v>-0.20909280201250299</v>
      </c>
      <c r="AB82" s="3">
        <f ca="1">IFERROR(__xludf.DUMMYFUNCTION("""COMPUTED_VALUE"""),-0.242174595168693)</f>
        <v>-0.242174595168693</v>
      </c>
      <c r="AC82" s="3">
        <f ca="1">IFERROR(__xludf.DUMMYFUNCTION("""COMPUTED_VALUE"""),-0.124556950697685)</f>
        <v>-0.12455695069768501</v>
      </c>
      <c r="AD82" s="3">
        <f ca="1">IFERROR(__xludf.DUMMYFUNCTION("""COMPUTED_VALUE"""),-0.0452084207592492)</f>
        <v>-4.5208420759249197E-2</v>
      </c>
      <c r="AE82" s="3">
        <f ca="1">IFERROR(__xludf.DUMMYFUNCTION("""COMPUTED_VALUE"""),-0.12342560431119)</f>
        <v>-0.12342560431119</v>
      </c>
      <c r="AF82" s="3">
        <f ca="1">IFERROR(__xludf.DUMMYFUNCTION("""COMPUTED_VALUE"""),-0.224119914941167)</f>
        <v>-0.22411991494116701</v>
      </c>
      <c r="AG82" s="3">
        <f ca="1">IFERROR(__xludf.DUMMYFUNCTION("""COMPUTED_VALUE"""),-0.198492070572032)</f>
        <v>-0.198492070572032</v>
      </c>
      <c r="AH82" s="3">
        <f ca="1">IFERROR(__xludf.DUMMYFUNCTION("""COMPUTED_VALUE"""),-0.194895475097675)</f>
        <v>-0.19489547509767499</v>
      </c>
      <c r="AI82" s="3">
        <f ca="1">IFERROR(__xludf.DUMMYFUNCTION("""COMPUTED_VALUE"""),-0.18949802508098)</f>
        <v>-0.18949802508097999</v>
      </c>
      <c r="AJ82" s="3">
        <f ca="1">IFERROR(__xludf.DUMMYFUNCTION("""COMPUTED_VALUE"""),-0.143834054948454)</f>
        <v>-0.143834054948454</v>
      </c>
      <c r="AK82" s="3">
        <f ca="1">IFERROR(__xludf.DUMMYFUNCTION("""COMPUTED_VALUE"""),-0.193723058727488)</f>
        <v>-0.19372305872748799</v>
      </c>
      <c r="AL82" s="3">
        <f ca="1">IFERROR(__xludf.DUMMYFUNCTION("""COMPUTED_VALUE"""),-0.207449958586637)</f>
        <v>-0.20744995858663701</v>
      </c>
      <c r="AM82" s="3">
        <f ca="1">IFERROR(__xludf.DUMMYFUNCTION("""COMPUTED_VALUE"""),-0.265289945285729)</f>
        <v>-0.26528994528572902</v>
      </c>
      <c r="AN82" s="3">
        <f ca="1">IFERROR(__xludf.DUMMYFUNCTION("""COMPUTED_VALUE"""),-0.279087668059854)</f>
        <v>-0.27908766805985402</v>
      </c>
      <c r="AO82" s="3">
        <f ca="1">IFERROR(__xludf.DUMMYFUNCTION("""COMPUTED_VALUE"""),-0.20391512114396)</f>
        <v>-0.20391512114395999</v>
      </c>
      <c r="AP82" s="3">
        <f ca="1">IFERROR(__xludf.DUMMYFUNCTION("""COMPUTED_VALUE"""),-0.246496590107492)</f>
        <v>-0.246496590107492</v>
      </c>
      <c r="AQ82" s="3">
        <f ca="1">IFERROR(__xludf.DUMMYFUNCTION("""COMPUTED_VALUE"""),-0.0812337084657963)</f>
        <v>-8.1233708465796306E-2</v>
      </c>
      <c r="AR82" s="3">
        <f ca="1">IFERROR(__xludf.DUMMYFUNCTION("""COMPUTED_VALUE"""),-0.072805759238234)</f>
        <v>-7.2805759238234E-2</v>
      </c>
      <c r="AS82" s="3">
        <f ca="1">IFERROR(__xludf.DUMMYFUNCTION("""COMPUTED_VALUE"""),-0.239707939674444)</f>
        <v>-0.23970793967444401</v>
      </c>
      <c r="AT82" s="3">
        <f ca="1">IFERROR(__xludf.DUMMYFUNCTION("""COMPUTED_VALUE"""),-0.281420548313628)</f>
        <v>-0.28142054831362801</v>
      </c>
      <c r="AU82" s="3">
        <f ca="1">IFERROR(__xludf.DUMMYFUNCTION("""COMPUTED_VALUE"""),-0.247257082433416)</f>
        <v>-0.24725708243341599</v>
      </c>
      <c r="AV82" s="3">
        <f ca="1">IFERROR(__xludf.DUMMYFUNCTION("""COMPUTED_VALUE"""),-0.180234795587207)</f>
        <v>-0.18023479558720701</v>
      </c>
      <c r="AW82" s="3">
        <f ca="1">IFERROR(__xludf.DUMMYFUNCTION("""COMPUTED_VALUE"""),-0.232930394000205)</f>
        <v>-0.23293039400020499</v>
      </c>
      <c r="AX82" s="3">
        <f ca="1">IFERROR(__xludf.DUMMYFUNCTION("""COMPUTED_VALUE"""),-0.119005199608583)</f>
        <v>-0.119005199608583</v>
      </c>
      <c r="AY82" s="3">
        <f ca="1">IFERROR(__xludf.DUMMYFUNCTION("""COMPUTED_VALUE"""),-0.208161421010628)</f>
        <v>-0.20816142101062801</v>
      </c>
      <c r="AZ82" s="3">
        <f ca="1">IFERROR(__xludf.DUMMYFUNCTION("""COMPUTED_VALUE"""),-0.308647530769335)</f>
        <v>-0.30864753076933499</v>
      </c>
      <c r="BA82" s="3">
        <f ca="1">IFERROR(__xludf.DUMMYFUNCTION("""COMPUTED_VALUE"""),-0.262947469809701)</f>
        <v>-0.26294746980970102</v>
      </c>
      <c r="BB82" s="3">
        <f ca="1">IFERROR(__xludf.DUMMYFUNCTION("""COMPUTED_VALUE"""),-0.277617559661929)</f>
        <v>-0.27761755966192903</v>
      </c>
      <c r="BC82" s="3">
        <f ca="1">IFERROR(__xludf.DUMMYFUNCTION("""COMPUTED_VALUE"""),-0.193901974247305)</f>
        <v>-0.19390197424730499</v>
      </c>
      <c r="BD82" s="3">
        <f ca="1">IFERROR(__xludf.DUMMYFUNCTION("""COMPUTED_VALUE"""),-0.314570705712473)</f>
        <v>-0.31457070571247298</v>
      </c>
      <c r="BE82" s="3">
        <f ca="1">IFERROR(__xludf.DUMMYFUNCTION("""COMPUTED_VALUE"""),-0.0993331400437967)</f>
        <v>-9.9333140043796703E-2</v>
      </c>
      <c r="BF82" s="3">
        <f ca="1">IFERROR(__xludf.DUMMYFUNCTION("""COMPUTED_VALUE"""),-0.23501934359793)</f>
        <v>-0.23501934359793</v>
      </c>
      <c r="BG82" s="3">
        <f ca="1">IFERROR(__xludf.DUMMYFUNCTION("""COMPUTED_VALUE"""),-0.259773788323891)</f>
        <v>-0.25977378832389098</v>
      </c>
      <c r="BH82" s="3">
        <f ca="1">IFERROR(__xludf.DUMMYFUNCTION("""COMPUTED_VALUE"""),-0.313405335321177)</f>
        <v>-0.31340533532117698</v>
      </c>
      <c r="BI82" s="3">
        <f ca="1">IFERROR(__xludf.DUMMYFUNCTION("""COMPUTED_VALUE"""),-0.313443786006623)</f>
        <v>-0.31344378600662298</v>
      </c>
      <c r="BJ82" s="3">
        <f ca="1">IFERROR(__xludf.DUMMYFUNCTION("""COMPUTED_VALUE"""),-0.302427768290538)</f>
        <v>-0.30242776829053802</v>
      </c>
      <c r="BK82" s="3">
        <f ca="1">IFERROR(__xludf.DUMMYFUNCTION("""COMPUTED_VALUE"""),-0.261132112360788)</f>
        <v>-0.26113211236078798</v>
      </c>
      <c r="BL82" s="3">
        <f ca="1">IFERROR(__xludf.DUMMYFUNCTION("""COMPUTED_VALUE"""),-0.173382717281865)</f>
        <v>-0.173382717281865</v>
      </c>
      <c r="BM82" s="3">
        <f ca="1">IFERROR(__xludf.DUMMYFUNCTION("""COMPUTED_VALUE"""),-0.230793021890883)</f>
        <v>-0.23079302189088299</v>
      </c>
      <c r="BN82" s="3">
        <f ca="1">IFERROR(__xludf.DUMMYFUNCTION("""COMPUTED_VALUE"""),-0.30622586480294)</f>
        <v>-0.30622586480294001</v>
      </c>
      <c r="BO82" s="3">
        <f ca="1">IFERROR(__xludf.DUMMYFUNCTION("""COMPUTED_VALUE"""),-0.374251100688978)</f>
        <v>-0.37425110068897799</v>
      </c>
      <c r="BP82" s="3">
        <f ca="1">IFERROR(__xludf.DUMMYFUNCTION("""COMPUTED_VALUE"""),-0.379962418861122)</f>
        <v>-0.37996241886112198</v>
      </c>
      <c r="BQ82" s="3">
        <f ca="1">IFERROR(__xludf.DUMMYFUNCTION("""COMPUTED_VALUE"""),-0.393641839833374)</f>
        <v>-0.39364183983337397</v>
      </c>
      <c r="BR82" s="3">
        <f ca="1">IFERROR(__xludf.DUMMYFUNCTION("""COMPUTED_VALUE"""),-0.381369285686146)</f>
        <v>-0.38136928568614598</v>
      </c>
      <c r="BS82" s="3">
        <f ca="1">IFERROR(__xludf.DUMMYFUNCTION("""COMPUTED_VALUE"""),-0.23561748248205)</f>
        <v>-0.23561748248205</v>
      </c>
      <c r="BT82" s="3">
        <f ca="1">IFERROR(__xludf.DUMMYFUNCTION("""COMPUTED_VALUE"""),-0.316123211661124)</f>
        <v>-0.316123211661124</v>
      </c>
      <c r="BU82" s="3">
        <f ca="1">IFERROR(__xludf.DUMMYFUNCTION("""COMPUTED_VALUE"""),-0.356403117853603)</f>
        <v>-0.35640311785360301</v>
      </c>
      <c r="BV82" s="3">
        <f ca="1">IFERROR(__xludf.DUMMYFUNCTION("""COMPUTED_VALUE"""),-0.397755000536946)</f>
        <v>-0.39775500053694601</v>
      </c>
      <c r="BW82" s="3">
        <f ca="1">IFERROR(__xludf.DUMMYFUNCTION("""COMPUTED_VALUE"""),-0.367150484892576)</f>
        <v>-0.36715048489257601</v>
      </c>
      <c r="BX82" s="3">
        <f ca="1">IFERROR(__xludf.DUMMYFUNCTION("""COMPUTED_VALUE"""),-0.374262352124899)</f>
        <v>-0.374262352124899</v>
      </c>
      <c r="BY82" s="3">
        <f ca="1">IFERROR(__xludf.DUMMYFUNCTION("""COMPUTED_VALUE"""),-0.320032931992936)</f>
        <v>-0.32003293199293598</v>
      </c>
      <c r="BZ82" s="3">
        <f ca="1">IFERROR(__xludf.DUMMYFUNCTION("""COMPUTED_VALUE"""),-0.234932740169033)</f>
        <v>-0.23493274016903301</v>
      </c>
      <c r="CA82" s="3">
        <f ca="1">IFERROR(__xludf.DUMMYFUNCTION("""COMPUTED_VALUE"""),-0.2914023840219)</f>
        <v>-0.2914023840219</v>
      </c>
      <c r="CB82" s="3">
        <f ca="1">IFERROR(__xludf.DUMMYFUNCTION("""COMPUTED_VALUE"""),-0.403799941658141)</f>
        <v>-0.40379994165814098</v>
      </c>
      <c r="CC82" s="3">
        <f ca="1">IFERROR(__xludf.DUMMYFUNCTION("""COMPUTED_VALUE"""),-0.383229672838287)</f>
        <v>-0.38322967283828702</v>
      </c>
      <c r="CD82" s="3">
        <f ca="1">IFERROR(__xludf.DUMMYFUNCTION("""COMPUTED_VALUE"""),-0.410096220374392)</f>
        <v>-0.41009622037439197</v>
      </c>
      <c r="CE82" s="3">
        <f ca="1">IFERROR(__xludf.DUMMYFUNCTION("""COMPUTED_VALUE"""),-0.407852106750391)</f>
        <v>-0.40785210675039102</v>
      </c>
      <c r="CF82" s="3">
        <f ca="1">IFERROR(__xludf.DUMMYFUNCTION("""COMPUTED_VALUE"""),-0.415167005693272)</f>
        <v>-0.41516700569327197</v>
      </c>
      <c r="CG82" s="3">
        <f ca="1">IFERROR(__xludf.DUMMYFUNCTION("""COMPUTED_VALUE"""),-0.233960448411867)</f>
        <v>-0.233960448411867</v>
      </c>
      <c r="CH82" s="3">
        <f ca="1">IFERROR(__xludf.DUMMYFUNCTION("""COMPUTED_VALUE"""),-0.370420502279805)</f>
        <v>-0.370420502279805</v>
      </c>
      <c r="CI82" s="3">
        <f ca="1">IFERROR(__xludf.DUMMYFUNCTION("""COMPUTED_VALUE"""),-0.417320759600517)</f>
        <v>-0.41732075960051701</v>
      </c>
      <c r="CJ82" s="3">
        <f ca="1">IFERROR(__xludf.DUMMYFUNCTION("""COMPUTED_VALUE"""),-0.367213215162208)</f>
        <v>-0.36721321516220801</v>
      </c>
      <c r="CK82" s="3">
        <f ca="1">IFERROR(__xludf.DUMMYFUNCTION("""COMPUTED_VALUE"""),-0.433229690300723)</f>
        <v>-0.433229690300723</v>
      </c>
      <c r="CL82" s="3">
        <f ca="1">IFERROR(__xludf.DUMMYFUNCTION("""COMPUTED_VALUE"""),-0.409001899110172)</f>
        <v>-0.40900189911017198</v>
      </c>
      <c r="CM82" s="3">
        <f ca="1">IFERROR(__xludf.DUMMYFUNCTION("""COMPUTED_VALUE"""),-0.349181126857999)</f>
        <v>-0.34918112685799901</v>
      </c>
      <c r="CN82" s="3">
        <f ca="1">IFERROR(__xludf.DUMMYFUNCTION("""COMPUTED_VALUE"""),-0.247913028749963)</f>
        <v>-0.24791302874996299</v>
      </c>
      <c r="CO82" s="3">
        <f ca="1">IFERROR(__xludf.DUMMYFUNCTION("""COMPUTED_VALUE"""),-0.311169816263743)</f>
        <v>-0.31116981626374302</v>
      </c>
      <c r="CP82" s="3">
        <f ca="1">IFERROR(__xludf.DUMMYFUNCTION("""COMPUTED_VALUE"""),-0.369634787233665)</f>
        <v>-0.369634787233665</v>
      </c>
      <c r="CQ82" s="3">
        <f ca="1">IFERROR(__xludf.DUMMYFUNCTION("""COMPUTED_VALUE"""),-0.363716032348592)</f>
        <v>-0.36371603234859201</v>
      </c>
      <c r="CR82" s="3">
        <f ca="1">IFERROR(__xludf.DUMMYFUNCTION("""COMPUTED_VALUE"""),-0.333951686227695)</f>
        <v>-0.333951686227695</v>
      </c>
      <c r="CS82" s="3">
        <f ca="1">IFERROR(__xludf.DUMMYFUNCTION("""COMPUTED_VALUE"""),-0.321181733170758)</f>
        <v>-0.32118173317075799</v>
      </c>
      <c r="CT82" s="3">
        <f ca="1">IFERROR(__xludf.DUMMYFUNCTION("""COMPUTED_VALUE"""),-0.32380394100603)</f>
        <v>-0.32380394100602999</v>
      </c>
      <c r="CU82" s="3">
        <f ca="1">IFERROR(__xludf.DUMMYFUNCTION("""COMPUTED_VALUE"""),-0.259010372963168)</f>
        <v>-0.25901037296316798</v>
      </c>
      <c r="CV82" s="3">
        <f ca="1">IFERROR(__xludf.DUMMYFUNCTION("""COMPUTED_VALUE"""),-0.239286185822309)</f>
        <v>-0.23928618582230901</v>
      </c>
      <c r="CW82" s="3">
        <f ca="1">IFERROR(__xludf.DUMMYFUNCTION("""COMPUTED_VALUE"""),-0.465193537749976)</f>
        <v>-0.46519353774997602</v>
      </c>
      <c r="CX82" s="3">
        <f ca="1">IFERROR(__xludf.DUMMYFUNCTION("""COMPUTED_VALUE"""),-0.344676911625778)</f>
        <v>-0.34467691162577802</v>
      </c>
      <c r="CY82" s="3">
        <f ca="1">IFERROR(__xludf.DUMMYFUNCTION("""COMPUTED_VALUE"""),-0.0890442618762282)</f>
        <v>-8.9044261876228201E-2</v>
      </c>
      <c r="CZ82" s="3">
        <f ca="1">IFERROR(__xludf.DUMMYFUNCTION("""COMPUTED_VALUE"""),-0.31410411743839)</f>
        <v>-0.31410411743839001</v>
      </c>
      <c r="DA82" s="3">
        <f ca="1">IFERROR(__xludf.DUMMYFUNCTION("""COMPUTED_VALUE"""),-0.364588386040111)</f>
        <v>-0.36458838604011101</v>
      </c>
      <c r="DB82" s="3">
        <f ca="1">IFERROR(__xludf.DUMMYFUNCTION("""COMPUTED_VALUE"""),-0.17930173481734)</f>
        <v>-0.17930173481733999</v>
      </c>
      <c r="DC82" s="3">
        <f ca="1">IFERROR(__xludf.DUMMYFUNCTION("""COMPUTED_VALUE"""),-0.309778131585918)</f>
        <v>-0.30977813158591799</v>
      </c>
      <c r="DD82" s="3">
        <f ca="1">IFERROR(__xludf.DUMMYFUNCTION("""COMPUTED_VALUE"""),-0.722665544178764)</f>
        <v>-0.72266554417876405</v>
      </c>
      <c r="DE82" s="3">
        <f ca="1">IFERROR(__xludf.DUMMYFUNCTION("""COMPUTED_VALUE"""),-0.386081081230586)</f>
        <v>-0.38608108123058599</v>
      </c>
      <c r="DF82" s="3">
        <f ca="1">IFERROR(__xludf.DUMMYFUNCTION("""COMPUTED_VALUE"""),0.0164279952446961)</f>
        <v>1.6427995244696101E-2</v>
      </c>
      <c r="DG82" s="3">
        <f ca="1">IFERROR(__xludf.DUMMYFUNCTION("""COMPUTED_VALUE"""),-0.273120938330095)</f>
        <v>-0.27312093833009499</v>
      </c>
      <c r="DH82" s="3">
        <f ca="1">IFERROR(__xludf.DUMMYFUNCTION("""COMPUTED_VALUE"""),-0.29979788761367)</f>
        <v>-0.29979788761366999</v>
      </c>
      <c r="DI82" s="3">
        <f ca="1">IFERROR(__xludf.DUMMYFUNCTION("""COMPUTED_VALUE"""),-0.225031602758902)</f>
        <v>-0.22503160275890199</v>
      </c>
      <c r="DJ82" s="3">
        <f ca="1">IFERROR(__xludf.DUMMYFUNCTION("""COMPUTED_VALUE"""),-0.263926990578757)</f>
        <v>-0.26392699057875701</v>
      </c>
      <c r="DK82" s="3">
        <f ca="1">IFERROR(__xludf.DUMMYFUNCTION("""COMPUTED_VALUE"""),-0.384540742139662)</f>
        <v>-0.384540742139662</v>
      </c>
      <c r="DL82" s="3">
        <f ca="1">IFERROR(__xludf.DUMMYFUNCTION("""COMPUTED_VALUE"""),-0.300435853747649)</f>
        <v>-0.30043585374764897</v>
      </c>
      <c r="DM82" s="3">
        <f ca="1">IFERROR(__xludf.DUMMYFUNCTION("""COMPUTED_VALUE"""),-0.254566421922799)</f>
        <v>-0.25456642192279899</v>
      </c>
      <c r="DN82" s="3">
        <f ca="1">IFERROR(__xludf.DUMMYFUNCTION("""COMPUTED_VALUE"""),-0.279812620543191)</f>
        <v>-0.279812620543191</v>
      </c>
      <c r="DO82" s="3">
        <f ca="1">IFERROR(__xludf.DUMMYFUNCTION("""COMPUTED_VALUE"""),-0.37414722203709)</f>
        <v>-0.37414722203709</v>
      </c>
      <c r="DP82" s="3">
        <f ca="1">IFERROR(__xludf.DUMMYFUNCTION("""COMPUTED_VALUE"""),-0.128887391469321)</f>
        <v>-0.12888739146932099</v>
      </c>
      <c r="DQ82" s="3">
        <f ca="1">IFERROR(__xludf.DUMMYFUNCTION("""COMPUTED_VALUE"""),-0.258177705720295)</f>
        <v>-0.25817770572029503</v>
      </c>
      <c r="DR82" s="3">
        <f ca="1">IFERROR(__xludf.DUMMYFUNCTION("""COMPUTED_VALUE"""),-0.3286226421745)</f>
        <v>-0.32862264217449999</v>
      </c>
      <c r="DS82" s="3">
        <f ca="1">IFERROR(__xludf.DUMMYFUNCTION("""COMPUTED_VALUE"""),-0.353328276869329)</f>
        <v>-0.35332827686932899</v>
      </c>
      <c r="DT82" s="3">
        <f ca="1">IFERROR(__xludf.DUMMYFUNCTION("""COMPUTED_VALUE"""),-0.388843151328367)</f>
        <v>-0.388843151328367</v>
      </c>
      <c r="DU82" s="3">
        <f ca="1">IFERROR(__xludf.DUMMYFUNCTION("""COMPUTED_VALUE"""),-0.350605393248072)</f>
        <v>-0.35060539324807199</v>
      </c>
      <c r="DV82" s="3">
        <f ca="1">IFERROR(__xludf.DUMMYFUNCTION("""COMPUTED_VALUE"""),-0.406194192258111)</f>
        <v>-0.40619419225811099</v>
      </c>
      <c r="DW82" s="3">
        <f ca="1">IFERROR(__xludf.DUMMYFUNCTION("""COMPUTED_VALUE"""),-0.180304777440427)</f>
        <v>-0.180304777440427</v>
      </c>
      <c r="DX82" s="3">
        <f ca="1">IFERROR(__xludf.DUMMYFUNCTION("""COMPUTED_VALUE"""),-0.283232859174597)</f>
        <v>-0.28323285917459701</v>
      </c>
      <c r="DY82" s="3">
        <f ca="1">IFERROR(__xludf.DUMMYFUNCTION("""COMPUTED_VALUE"""),-0.313414034406084)</f>
        <v>-0.31341403440608401</v>
      </c>
      <c r="DZ82" s="3">
        <f ca="1">IFERROR(__xludf.DUMMYFUNCTION("""COMPUTED_VALUE"""),-0.166293571050198)</f>
        <v>-0.16629357105019801</v>
      </c>
      <c r="EA82" s="3">
        <f ca="1">IFERROR(__xludf.DUMMYFUNCTION("""COMPUTED_VALUE"""),-0.385250851266188)</f>
        <v>-0.38525085126618802</v>
      </c>
      <c r="EB82" s="3">
        <f ca="1">IFERROR(__xludf.DUMMYFUNCTION("""COMPUTED_VALUE"""),-0.356393109610863)</f>
        <v>-0.35639310961086301</v>
      </c>
      <c r="EC82" s="3">
        <f ca="1">IFERROR(__xludf.DUMMYFUNCTION("""COMPUTED_VALUE"""),-0.358939862675073)</f>
        <v>-0.358939862675073</v>
      </c>
      <c r="ED82" s="3">
        <f ca="1">IFERROR(__xludf.DUMMYFUNCTION("""COMPUTED_VALUE"""),-0.207916415738302)</f>
        <v>-0.207916415738302</v>
      </c>
      <c r="EE82" s="3">
        <f ca="1">IFERROR(__xludf.DUMMYFUNCTION("""COMPUTED_VALUE"""),-0.29994276817046)</f>
        <v>-0.29994276817046001</v>
      </c>
      <c r="EF82" s="3">
        <f ca="1">IFERROR(__xludf.DUMMYFUNCTION("""COMPUTED_VALUE"""),-0.399717372834187)</f>
        <v>-0.39971737283418701</v>
      </c>
      <c r="EG82" s="3">
        <f ca="1">IFERROR(__xludf.DUMMYFUNCTION("""COMPUTED_VALUE"""),-0.572205611605449)</f>
        <v>-0.57220561160544903</v>
      </c>
      <c r="EH82" s="3">
        <f ca="1">IFERROR(__xludf.DUMMYFUNCTION("""COMPUTED_VALUE"""),-0.389017286752254)</f>
        <v>-0.389017286752254</v>
      </c>
      <c r="EI82" s="3">
        <f ca="1">IFERROR(__xludf.DUMMYFUNCTION("""COMPUTED_VALUE"""),-0.364337653279024)</f>
        <v>-0.36433765327902401</v>
      </c>
      <c r="EJ82" s="3">
        <f ca="1">IFERROR(__xludf.DUMMYFUNCTION("""COMPUTED_VALUE"""),-0.356127815921255)</f>
        <v>-0.35612781592125498</v>
      </c>
      <c r="EK82" s="3">
        <f ca="1">IFERROR(__xludf.DUMMYFUNCTION("""COMPUTED_VALUE"""),-0.14324692024529)</f>
        <v>-0.14324692024529001</v>
      </c>
      <c r="EL82" s="3">
        <f ca="1">IFERROR(__xludf.DUMMYFUNCTION("""COMPUTED_VALUE"""),-0.329156950962998)</f>
        <v>-0.32915695096299802</v>
      </c>
      <c r="EM82" s="3">
        <f ca="1">IFERROR(__xludf.DUMMYFUNCTION("""COMPUTED_VALUE"""),-0.294000120870991)</f>
        <v>-0.29400012087099098</v>
      </c>
      <c r="EN82" s="3">
        <f ca="1">IFERROR(__xludf.DUMMYFUNCTION("""COMPUTED_VALUE"""),-0.218402760515522)</f>
        <v>-0.21840276051552199</v>
      </c>
      <c r="EO82" s="3">
        <f ca="1">IFERROR(__xludf.DUMMYFUNCTION("""COMPUTED_VALUE"""),-0.355138111824355)</f>
        <v>-0.35513811182435501</v>
      </c>
      <c r="EP82" s="3">
        <f ca="1">IFERROR(__xludf.DUMMYFUNCTION("""COMPUTED_VALUE"""),-0.384805756723136)</f>
        <v>-0.38480575672313599</v>
      </c>
      <c r="EQ82" s="3">
        <f ca="1">IFERROR(__xludf.DUMMYFUNCTION("""COMPUTED_VALUE"""),-0.342392818238857)</f>
        <v>-0.34239281823885698</v>
      </c>
      <c r="ER82" s="3">
        <f ca="1">IFERROR(__xludf.DUMMYFUNCTION("""COMPUTED_VALUE"""),-0.180285876726238)</f>
        <v>-0.180285876726238</v>
      </c>
      <c r="ES82" s="3">
        <f ca="1">IFERROR(__xludf.DUMMYFUNCTION("""COMPUTED_VALUE"""),-0.321236398217152)</f>
        <v>-0.321236398217152</v>
      </c>
      <c r="ET82" s="3">
        <f ca="1">IFERROR(__xludf.DUMMYFUNCTION("""COMPUTED_VALUE"""),-0.365800067647551)</f>
        <v>-0.36580006764755102</v>
      </c>
      <c r="EU82" s="3">
        <f ca="1">IFERROR(__xludf.DUMMYFUNCTION("""COMPUTED_VALUE"""),-0.451003087383614)</f>
        <v>-0.451003087383614</v>
      </c>
      <c r="EV82" s="3">
        <f ca="1">IFERROR(__xludf.DUMMYFUNCTION("""COMPUTED_VALUE"""),-0.665983975462841)</f>
        <v>-0.66598397546284105</v>
      </c>
      <c r="EW82" s="3">
        <f ca="1">IFERROR(__xludf.DUMMYFUNCTION("""COMPUTED_VALUE"""),-0.421978245690422)</f>
        <v>-0.42197824569042203</v>
      </c>
      <c r="EX82" s="3">
        <f ca="1">IFERROR(__xludf.DUMMYFUNCTION("""COMPUTED_VALUE"""),-0.41459431386001)</f>
        <v>-0.41459431386001</v>
      </c>
      <c r="EY82" s="3">
        <f ca="1">IFERROR(__xludf.DUMMYFUNCTION("""COMPUTED_VALUE"""),-0.247124671647862)</f>
        <v>-0.247124671647862</v>
      </c>
      <c r="EZ82" s="3">
        <f ca="1">IFERROR(__xludf.DUMMYFUNCTION("""COMPUTED_VALUE"""),-0.332320755938088)</f>
        <v>-0.33232075593808802</v>
      </c>
      <c r="FA82" s="3">
        <f ca="1">IFERROR(__xludf.DUMMYFUNCTION("""COMPUTED_VALUE"""),-0.361753690476477)</f>
        <v>-0.36175369047647699</v>
      </c>
      <c r="FB82" s="3">
        <f ca="1">IFERROR(__xludf.DUMMYFUNCTION("""COMPUTED_VALUE"""),-0.414825307191258)</f>
        <v>-0.41482530719125799</v>
      </c>
      <c r="FC82" s="3">
        <f ca="1">IFERROR(__xludf.DUMMYFUNCTION("""COMPUTED_VALUE"""),-0.43076652814819)</f>
        <v>-0.43076652814819</v>
      </c>
      <c r="FD82" s="3">
        <f ca="1">IFERROR(__xludf.DUMMYFUNCTION("""COMPUTED_VALUE"""),-0.41757414107816)</f>
        <v>-0.41757414107815999</v>
      </c>
      <c r="FE82" s="3">
        <f ca="1">IFERROR(__xludf.DUMMYFUNCTION("""COMPUTED_VALUE"""),-0.376254446228844)</f>
        <v>-0.37625444622884402</v>
      </c>
      <c r="FF82" s="3">
        <f ca="1">IFERROR(__xludf.DUMMYFUNCTION("""COMPUTED_VALUE"""),-0.227395540739774)</f>
        <v>-0.227395540739774</v>
      </c>
      <c r="FG82" s="3">
        <f ca="1">IFERROR(__xludf.DUMMYFUNCTION("""COMPUTED_VALUE"""),-0.303216859836647)</f>
        <v>-0.30321685983664698</v>
      </c>
      <c r="FH82" s="3">
        <f ca="1">IFERROR(__xludf.DUMMYFUNCTION("""COMPUTED_VALUE"""),-0.368397047962348)</f>
        <v>-0.36839704796234801</v>
      </c>
      <c r="FI82" s="3">
        <f ca="1">IFERROR(__xludf.DUMMYFUNCTION("""COMPUTED_VALUE"""),-0.434234006671526)</f>
        <v>-0.43423400667152601</v>
      </c>
      <c r="FJ82" s="3">
        <f ca="1">IFERROR(__xludf.DUMMYFUNCTION("""COMPUTED_VALUE"""),-0.371897257105277)</f>
        <v>-0.37189725710527699</v>
      </c>
      <c r="FK82" s="3">
        <f ca="1">IFERROR(__xludf.DUMMYFUNCTION("""COMPUTED_VALUE"""),-0.394537725096642)</f>
        <v>-0.39453772509664198</v>
      </c>
      <c r="FL82" s="3">
        <f ca="1">IFERROR(__xludf.DUMMYFUNCTION("""COMPUTED_VALUE"""),-0.3805744883144)</f>
        <v>-0.38057448831439999</v>
      </c>
      <c r="FM82" s="3">
        <f ca="1">IFERROR(__xludf.DUMMYFUNCTION("""COMPUTED_VALUE"""),-0.237444338998922)</f>
        <v>-0.23744433899892201</v>
      </c>
      <c r="FN82" s="3">
        <f ca="1">IFERROR(__xludf.DUMMYFUNCTION("""COMPUTED_VALUE"""),-0.282341461524143)</f>
        <v>-0.28234146152414302</v>
      </c>
      <c r="FO82" s="3">
        <f ca="1">IFERROR(__xludf.DUMMYFUNCTION("""COMPUTED_VALUE"""),-0.387654841380583)</f>
        <v>-0.38765484138058298</v>
      </c>
      <c r="FP82" s="3">
        <f ca="1">IFERROR(__xludf.DUMMYFUNCTION("""COMPUTED_VALUE"""),-0.432543354101655)</f>
        <v>-0.43254335410165501</v>
      </c>
      <c r="FQ82" s="3">
        <f ca="1">IFERROR(__xludf.DUMMYFUNCTION("""COMPUTED_VALUE"""),-0.41362569803016)</f>
        <v>-0.41362569803016003</v>
      </c>
      <c r="FR82" s="3">
        <f ca="1">IFERROR(__xludf.DUMMYFUNCTION("""COMPUTED_VALUE"""),-0.408613162913529)</f>
        <v>-0.408613162913529</v>
      </c>
      <c r="FS82" s="3">
        <f ca="1">IFERROR(__xludf.DUMMYFUNCTION("""COMPUTED_VALUE"""),-0.375220454583026)</f>
        <v>-0.375220454583026</v>
      </c>
      <c r="FT82" s="3">
        <f ca="1">IFERROR(__xludf.DUMMYFUNCTION("""COMPUTED_VALUE"""),-0.285600360158261)</f>
        <v>-0.28560036015826101</v>
      </c>
      <c r="FU82" s="3">
        <f ca="1">IFERROR(__xludf.DUMMYFUNCTION("""COMPUTED_VALUE"""),-0.260208730591681)</f>
        <v>-0.26020873059168098</v>
      </c>
      <c r="FV82" s="3">
        <f ca="1">IFERROR(__xludf.DUMMYFUNCTION("""COMPUTED_VALUE"""),-0.345314804179047)</f>
        <v>-0.34531480417904697</v>
      </c>
      <c r="FW82" s="3">
        <f ca="1">IFERROR(__xludf.DUMMYFUNCTION("""COMPUTED_VALUE"""),-0.439323960481177)</f>
        <v>-0.439323960481177</v>
      </c>
      <c r="FX82" s="3">
        <f ca="1">IFERROR(__xludf.DUMMYFUNCTION("""COMPUTED_VALUE"""),-0.433934968287621)</f>
        <v>-0.43393496828762101</v>
      </c>
      <c r="FY82" s="3">
        <f ca="1">IFERROR(__xludf.DUMMYFUNCTION("""COMPUTED_VALUE"""),-0.374325314950396)</f>
        <v>-0.374325314950396</v>
      </c>
      <c r="FZ82" s="3">
        <f ca="1">IFERROR(__xludf.DUMMYFUNCTION("""COMPUTED_VALUE"""),-0.382130863036623)</f>
        <v>-0.38213086303662303</v>
      </c>
      <c r="GA82" s="3">
        <f ca="1">IFERROR(__xludf.DUMMYFUNCTION("""COMPUTED_VALUE"""),-0.278621555535692)</f>
        <v>-0.27862155553569201</v>
      </c>
      <c r="GB82" s="3">
        <f ca="1">IFERROR(__xludf.DUMMYFUNCTION("""COMPUTED_VALUE"""),-0.323063986600042)</f>
        <v>-0.32306398660004199</v>
      </c>
      <c r="GC82" s="3">
        <f ca="1">IFERROR(__xludf.DUMMYFUNCTION("""COMPUTED_VALUE"""),-0.381588830820751)</f>
        <v>-0.38158883082075101</v>
      </c>
      <c r="GD82" s="3">
        <f ca="1">IFERROR(__xludf.DUMMYFUNCTION("""COMPUTED_VALUE"""),-0.424174120502515)</f>
        <v>-0.42417412050251502</v>
      </c>
      <c r="GE82" s="3">
        <f ca="1">IFERROR(__xludf.DUMMYFUNCTION("""COMPUTED_VALUE"""),-0.449013484133546)</f>
        <v>-0.44901348413354603</v>
      </c>
      <c r="GF82" s="3">
        <f ca="1">IFERROR(__xludf.DUMMYFUNCTION("""COMPUTED_VALUE"""),-0.413645838199536)</f>
        <v>-0.41364583819953599</v>
      </c>
      <c r="GG82" s="3">
        <f ca="1">IFERROR(__xludf.DUMMYFUNCTION("""COMPUTED_VALUE"""),-0.414959358815881)</f>
        <v>-0.41495935881588097</v>
      </c>
      <c r="GH82" s="3">
        <f ca="1">IFERROR(__xludf.DUMMYFUNCTION("""COMPUTED_VALUE"""),-0.31776856297347)</f>
        <v>-0.31776856297347</v>
      </c>
      <c r="GI82" s="3">
        <f ca="1">IFERROR(__xludf.DUMMYFUNCTION("""COMPUTED_VALUE"""),-0.365060396507598)</f>
        <v>-0.36506039650759797</v>
      </c>
      <c r="GJ82" s="3">
        <f ca="1">IFERROR(__xludf.DUMMYFUNCTION("""COMPUTED_VALUE"""),-0.373772027163989)</f>
        <v>-0.373772027163989</v>
      </c>
      <c r="GK82" s="3">
        <f ca="1">IFERROR(__xludf.DUMMYFUNCTION("""COMPUTED_VALUE"""),-0.450404040083883)</f>
        <v>-0.45040404008388302</v>
      </c>
      <c r="GL82" s="3">
        <f ca="1">IFERROR(__xludf.DUMMYFUNCTION("""COMPUTED_VALUE"""),-0.436207110094326)</f>
        <v>-0.436207110094326</v>
      </c>
      <c r="GM82" s="3">
        <f ca="1">IFERROR(__xludf.DUMMYFUNCTION("""COMPUTED_VALUE"""),-0.460710965528066)</f>
        <v>-0.46071096552806601</v>
      </c>
      <c r="GN82" s="3">
        <f ca="1">IFERROR(__xludf.DUMMYFUNCTION("""COMPUTED_VALUE"""),-0.407331435859256)</f>
        <v>-0.40733143585925602</v>
      </c>
      <c r="GO82" s="3">
        <f ca="1">IFERROR(__xludf.DUMMYFUNCTION("""COMPUTED_VALUE"""),-0.300451603395052)</f>
        <v>-0.300451603395052</v>
      </c>
      <c r="GP82" s="3">
        <f ca="1">IFERROR(__xludf.DUMMYFUNCTION("""COMPUTED_VALUE"""),-0.329429334591935)</f>
        <v>-0.32942933459193502</v>
      </c>
      <c r="GQ82" s="3">
        <f ca="1">IFERROR(__xludf.DUMMYFUNCTION("""COMPUTED_VALUE"""),-0.385033467390556)</f>
        <v>-0.38503346739055599</v>
      </c>
      <c r="GR82" s="3">
        <f ca="1">IFERROR(__xludf.DUMMYFUNCTION("""COMPUTED_VALUE"""),-0.422980555113802)</f>
        <v>-0.422980555113802</v>
      </c>
      <c r="GS82" s="3">
        <f ca="1">IFERROR(__xludf.DUMMYFUNCTION("""COMPUTED_VALUE"""),-0.471990061036622)</f>
        <v>-0.471990061036622</v>
      </c>
      <c r="GT82" s="3">
        <f ca="1">IFERROR(__xludf.DUMMYFUNCTION("""COMPUTED_VALUE"""),-0.44847892407184)</f>
        <v>-0.44847892407183998</v>
      </c>
      <c r="GU82" s="3">
        <f ca="1">IFERROR(__xludf.DUMMYFUNCTION("""COMPUTED_VALUE"""),-0.419351932079992)</f>
        <v>-0.419351932079992</v>
      </c>
      <c r="GV82" s="3">
        <f ca="1">IFERROR(__xludf.DUMMYFUNCTION("""COMPUTED_VALUE"""),-0.315248804335689)</f>
        <v>-0.31524880433568903</v>
      </c>
      <c r="GW82" s="3">
        <f ca="1">IFERROR(__xludf.DUMMYFUNCTION("""COMPUTED_VALUE"""),-0.337753214993096)</f>
        <v>-0.33775321499309602</v>
      </c>
      <c r="GX82" s="3">
        <f ca="1">IFERROR(__xludf.DUMMYFUNCTION("""COMPUTED_VALUE"""),-0.374290190170581)</f>
        <v>-0.37429019017058102</v>
      </c>
      <c r="GY82" s="3">
        <f ca="1">IFERROR(__xludf.DUMMYFUNCTION("""COMPUTED_VALUE"""),-0.466954316233463)</f>
        <v>-0.46695431623346301</v>
      </c>
      <c r="GZ82" s="3">
        <f ca="1">IFERROR(__xludf.DUMMYFUNCTION("""COMPUTED_VALUE"""),-0.435616667128401)</f>
        <v>-0.43561666712840102</v>
      </c>
      <c r="HA82" s="3">
        <f ca="1">IFERROR(__xludf.DUMMYFUNCTION("""COMPUTED_VALUE"""),-0.478624898748464)</f>
        <v>-0.47862489874846398</v>
      </c>
      <c r="HB82" s="3">
        <f ca="1">IFERROR(__xludf.DUMMYFUNCTION("""COMPUTED_VALUE"""),-0.454384150217204)</f>
        <v>-0.45438415021720402</v>
      </c>
      <c r="HC82" s="3">
        <f ca="1">IFERROR(__xludf.DUMMYFUNCTION("""COMPUTED_VALUE"""),-0.391487005677307)</f>
        <v>-0.39148700567730699</v>
      </c>
      <c r="HD82" s="3">
        <f ca="1">IFERROR(__xludf.DUMMYFUNCTION("""COMPUTED_VALUE"""),-0.435633761640579)</f>
        <v>-0.43563376164057899</v>
      </c>
      <c r="HE82" s="3">
        <f ca="1">IFERROR(__xludf.DUMMYFUNCTION("""COMPUTED_VALUE"""),-0.449174941641733)</f>
        <v>-0.44917494164173299</v>
      </c>
      <c r="HF82" s="3">
        <f ca="1">IFERROR(__xludf.DUMMYFUNCTION("""COMPUTED_VALUE"""),-0.462684683270608)</f>
        <v>-0.46268468327060802</v>
      </c>
      <c r="HG82" s="3">
        <f ca="1">IFERROR(__xludf.DUMMYFUNCTION("""COMPUTED_VALUE"""),-0.494502146939081)</f>
        <v>-0.49450214693908101</v>
      </c>
      <c r="HH82" s="3">
        <f ca="1">IFERROR(__xludf.DUMMYFUNCTION("""COMPUTED_VALUE"""),-0.430639546298657)</f>
        <v>-0.43063954629865703</v>
      </c>
      <c r="HI82" s="3">
        <f ca="1">IFERROR(__xludf.DUMMYFUNCTION("""COMPUTED_VALUE"""),-0.473759348674673)</f>
        <v>-0.47375934867467301</v>
      </c>
      <c r="HJ82" s="3">
        <f ca="1">IFERROR(__xludf.DUMMYFUNCTION("""COMPUTED_VALUE"""),-0.211635823183615)</f>
        <v>-0.21163582318361501</v>
      </c>
      <c r="HK82" s="3">
        <f ca="1">IFERROR(__xludf.DUMMYFUNCTION("""COMPUTED_VALUE"""),-0.360973632337357)</f>
        <v>-0.36097363233735702</v>
      </c>
      <c r="HL82" s="3">
        <f ca="1">IFERROR(__xludf.DUMMYFUNCTION("""COMPUTED_VALUE"""),-0.378320992444686)</f>
        <v>-0.37832099244468598</v>
      </c>
      <c r="HM82" s="3">
        <f ca="1">IFERROR(__xludf.DUMMYFUNCTION("""COMPUTED_VALUE"""),-0.379434668539057)</f>
        <v>-0.379434668539057</v>
      </c>
      <c r="HN82" s="3">
        <f ca="1">IFERROR(__xludf.DUMMYFUNCTION("""COMPUTED_VALUE"""),-0.475578947556967)</f>
        <v>-0.475578947556967</v>
      </c>
      <c r="HO82" s="3">
        <f ca="1">IFERROR(__xludf.DUMMYFUNCTION("""COMPUTED_VALUE"""),-0.434307302867137)</f>
        <v>-0.43430730286713698</v>
      </c>
      <c r="HP82" s="3">
        <f ca="1">IFERROR(__xludf.DUMMYFUNCTION("""COMPUTED_VALUE"""),-0.34128409109463)</f>
        <v>-0.34128409109462998</v>
      </c>
      <c r="HQ82" s="3">
        <f ca="1">IFERROR(__xludf.DUMMYFUNCTION("""COMPUTED_VALUE"""),-0.356262018984377)</f>
        <v>-0.35626201898437698</v>
      </c>
      <c r="HR82" s="3">
        <f ca="1">IFERROR(__xludf.DUMMYFUNCTION("""COMPUTED_VALUE"""),-0.42180063402396)</f>
        <v>-0.42180063402396001</v>
      </c>
      <c r="HS82" s="3">
        <f ca="1">IFERROR(__xludf.DUMMYFUNCTION("""COMPUTED_VALUE"""),-0.350644244170559)</f>
        <v>-0.35064424417055901</v>
      </c>
      <c r="HT82" s="3">
        <f ca="1">IFERROR(__xludf.DUMMYFUNCTION("""COMPUTED_VALUE"""),-0.413696052935493)</f>
        <v>-0.413696052935493</v>
      </c>
      <c r="HU82" s="3">
        <f ca="1">IFERROR(__xludf.DUMMYFUNCTION("""COMPUTED_VALUE"""),-0.459116787373829)</f>
        <v>-0.45911678737382899</v>
      </c>
      <c r="HV82" s="3">
        <f ca="1">IFERROR(__xludf.DUMMYFUNCTION("""COMPUTED_VALUE"""),-0.400303700612797)</f>
        <v>-0.40030370061279702</v>
      </c>
      <c r="HW82" s="3">
        <f ca="1">IFERROR(__xludf.DUMMYFUNCTION("""COMPUTED_VALUE"""),-0.293836710294485)</f>
        <v>-0.29383671029448499</v>
      </c>
      <c r="HX82" s="3">
        <f ca="1">IFERROR(__xludf.DUMMYFUNCTION("""COMPUTED_VALUE"""),-0.318094097267936)</f>
        <v>-0.31809409726793603</v>
      </c>
      <c r="HY82" s="3">
        <f ca="1">IFERROR(__xludf.DUMMYFUNCTION("""COMPUTED_VALUE"""),-0.39333975159197)</f>
        <v>-0.39333975159196999</v>
      </c>
      <c r="HZ82" s="3">
        <f ca="1">IFERROR(__xludf.DUMMYFUNCTION("""COMPUTED_VALUE"""),-0.409594129898804)</f>
        <v>-0.409594129898804</v>
      </c>
      <c r="IA82" s="3">
        <f ca="1">IFERROR(__xludf.DUMMYFUNCTION("""COMPUTED_VALUE"""),-0.460380029047629)</f>
        <v>-0.46038002904762898</v>
      </c>
      <c r="IB82" s="3">
        <f ca="1">IFERROR(__xludf.DUMMYFUNCTION("""COMPUTED_VALUE"""),-0.514553585755385)</f>
        <v>-0.51455358575538501</v>
      </c>
      <c r="IC82" s="3">
        <f ca="1">IFERROR(__xludf.DUMMYFUNCTION("""COMPUTED_VALUE"""),-0.498060941428754)</f>
        <v>-0.49806094142875401</v>
      </c>
      <c r="ID82" s="3">
        <f ca="1">IFERROR(__xludf.DUMMYFUNCTION("""COMPUTED_VALUE"""),-0.471885126580278)</f>
        <v>-0.47188512658027798</v>
      </c>
      <c r="IE82" s="3">
        <f ca="1">IFERROR(__xludf.DUMMYFUNCTION("""COMPUTED_VALUE"""),-0.264306220130153)</f>
        <v>-0.26430622013015298</v>
      </c>
      <c r="IF82" s="3">
        <f ca="1">IFERROR(__xludf.DUMMYFUNCTION("""COMPUTED_VALUE"""),-0.350271673537152)</f>
        <v>-0.350271673537152</v>
      </c>
      <c r="IG82" s="3">
        <f ca="1">IFERROR(__xludf.DUMMYFUNCTION("""COMPUTED_VALUE"""),-0.417872122560287)</f>
        <v>-0.417872122560287</v>
      </c>
      <c r="IH82" s="3">
        <f ca="1">IFERROR(__xludf.DUMMYFUNCTION("""COMPUTED_VALUE"""),-0.454952502174052)</f>
        <v>-0.45495250217405198</v>
      </c>
      <c r="II82" s="3">
        <f ca="1">IFERROR(__xludf.DUMMYFUNCTION("""COMPUTED_VALUE"""),-0.447624106466137)</f>
        <v>-0.44762410646613698</v>
      </c>
      <c r="IJ82" s="3">
        <f ca="1">IFERROR(__xludf.DUMMYFUNCTION("""COMPUTED_VALUE"""),-0.467782114455238)</f>
        <v>-0.46778211445523799</v>
      </c>
      <c r="IK82" s="3">
        <f ca="1">IFERROR(__xludf.DUMMYFUNCTION("""COMPUTED_VALUE"""),-0.451108718803783)</f>
        <v>-0.451108718803783</v>
      </c>
      <c r="IL82" s="3">
        <f ca="1">IFERROR(__xludf.DUMMYFUNCTION("""COMPUTED_VALUE"""),-0.266563310536515)</f>
        <v>-0.266563310536515</v>
      </c>
      <c r="IM82" s="3">
        <f ca="1">IFERROR(__xludf.DUMMYFUNCTION("""COMPUTED_VALUE"""),-0.299127793551416)</f>
        <v>-0.299127793551416</v>
      </c>
      <c r="IN82" s="3">
        <f ca="1">IFERROR(__xludf.DUMMYFUNCTION("""COMPUTED_VALUE"""),-0.373070672574392)</f>
        <v>-0.37307067257439203</v>
      </c>
      <c r="IO82" s="3">
        <f ca="1">IFERROR(__xludf.DUMMYFUNCTION("""COMPUTED_VALUE"""),-0.424045844652079)</f>
        <v>-0.42404584465207901</v>
      </c>
      <c r="IP82" s="3">
        <f ca="1">IFERROR(__xludf.DUMMYFUNCTION("""COMPUTED_VALUE"""),-0.422706043705566)</f>
        <v>-0.42270604370556603</v>
      </c>
      <c r="IQ82" s="3">
        <f ca="1">IFERROR(__xludf.DUMMYFUNCTION("""COMPUTED_VALUE"""),-0.449250345229265)</f>
        <v>-0.44925034522926499</v>
      </c>
      <c r="IR82" s="3">
        <f ca="1">IFERROR(__xludf.DUMMYFUNCTION("""COMPUTED_VALUE"""),-0.427120841863109)</f>
        <v>-0.427120841863109</v>
      </c>
      <c r="IS82" s="3">
        <f ca="1">IFERROR(__xludf.DUMMYFUNCTION("""COMPUTED_VALUE"""),-0.29916214945628)</f>
        <v>-0.29916214945628</v>
      </c>
      <c r="IT82" s="3">
        <f ca="1">IFERROR(__xludf.DUMMYFUNCTION("""COMPUTED_VALUE"""),-0.369379577794209)</f>
        <v>-0.36937957779420899</v>
      </c>
      <c r="IU82" s="3">
        <f ca="1">IFERROR(__xludf.DUMMYFUNCTION("""COMPUTED_VALUE"""),-0.330819754187668)</f>
        <v>-0.33081975418766801</v>
      </c>
      <c r="IV82" s="3">
        <f ca="1">IFERROR(__xludf.DUMMYFUNCTION("""COMPUTED_VALUE"""),-0.43470089134644)</f>
        <v>-0.43470089134644002</v>
      </c>
      <c r="IW82" s="3">
        <f ca="1">IFERROR(__xludf.DUMMYFUNCTION("""COMPUTED_VALUE"""),-0.414280209102288)</f>
        <v>-0.41428020910228802</v>
      </c>
      <c r="IX82" s="3">
        <f ca="1">IFERROR(__xludf.DUMMYFUNCTION("""COMPUTED_VALUE"""),-0.436871842233934)</f>
        <v>-0.43687184223393399</v>
      </c>
      <c r="IY82" s="3">
        <f ca="1">IFERROR(__xludf.DUMMYFUNCTION("""COMPUTED_VALUE"""),-0.354674957076189)</f>
        <v>-0.35467495707618901</v>
      </c>
      <c r="IZ82" s="3">
        <f ca="1">IFERROR(__xludf.DUMMYFUNCTION("""COMPUTED_VALUE"""),-0.265616122622208)</f>
        <v>-0.26561612262220802</v>
      </c>
      <c r="JA82" s="3">
        <f ca="1">IFERROR(__xludf.DUMMYFUNCTION("""COMPUTED_VALUE"""),-0.336632753483915)</f>
        <v>-0.33663275348391503</v>
      </c>
      <c r="JB82" s="3">
        <f ca="1">IFERROR(__xludf.DUMMYFUNCTION("""COMPUTED_VALUE"""),-0.413657370141659)</f>
        <v>-0.41365737014165899</v>
      </c>
      <c r="JC82" s="3">
        <f ca="1">IFERROR(__xludf.DUMMYFUNCTION("""COMPUTED_VALUE"""),-0.502356803510016)</f>
        <v>-0.50235680351001599</v>
      </c>
      <c r="JD82" s="3">
        <f ca="1">IFERROR(__xludf.DUMMYFUNCTION("""COMPUTED_VALUE"""),-0.420912653530192)</f>
        <v>-0.42091265353019203</v>
      </c>
      <c r="JE82" s="3">
        <f ca="1">IFERROR(__xludf.DUMMYFUNCTION("""COMPUTED_VALUE"""),-0.493852628194783)</f>
        <v>-0.49385262819478298</v>
      </c>
      <c r="JF82" s="3">
        <f ca="1">IFERROR(__xludf.DUMMYFUNCTION("""COMPUTED_VALUE"""),-0.3868414440869)</f>
        <v>-0.38684144408690002</v>
      </c>
      <c r="JG82" s="3">
        <f ca="1">IFERROR(__xludf.DUMMYFUNCTION("""COMPUTED_VALUE"""),-0.239112448483675)</f>
        <v>-0.23911244848367499</v>
      </c>
      <c r="JH82" s="3">
        <f ca="1">IFERROR(__xludf.DUMMYFUNCTION("""COMPUTED_VALUE"""),-0.351669694381561)</f>
        <v>-0.35166969438156098</v>
      </c>
      <c r="JI82" s="3">
        <f ca="1">IFERROR(__xludf.DUMMYFUNCTION("""COMPUTED_VALUE"""),-0.410039425416581)</f>
        <v>-0.410039425416581</v>
      </c>
      <c r="JJ82" s="3">
        <f ca="1">IFERROR(__xludf.DUMMYFUNCTION("""COMPUTED_VALUE"""),-0.435546611381618)</f>
        <v>-0.43554661138161799</v>
      </c>
      <c r="JK82" s="3">
        <f ca="1">IFERROR(__xludf.DUMMYFUNCTION("""COMPUTED_VALUE"""),-0.432060759045528)</f>
        <v>-0.43206075904552799</v>
      </c>
      <c r="JL82" s="3">
        <f ca="1">IFERROR(__xludf.DUMMYFUNCTION("""COMPUTED_VALUE"""),-0.431249491758404)</f>
        <v>-0.43124949175840399</v>
      </c>
      <c r="JM82" s="3">
        <f ca="1">IFERROR(__xludf.DUMMYFUNCTION("""COMPUTED_VALUE"""),-0.388999397084892)</f>
        <v>-0.38899939708489201</v>
      </c>
      <c r="JN82" s="3">
        <f ca="1">IFERROR(__xludf.DUMMYFUNCTION("""COMPUTED_VALUE"""),-0.235086099461328)</f>
        <v>-0.235086099461328</v>
      </c>
      <c r="JO82" s="3">
        <f ca="1">IFERROR(__xludf.DUMMYFUNCTION("""COMPUTED_VALUE"""),-0.387847651976028)</f>
        <v>-0.387847651976028</v>
      </c>
      <c r="JP82" s="3">
        <f ca="1">IFERROR(__xludf.DUMMYFUNCTION("""COMPUTED_VALUE"""),-0.417963485387492)</f>
        <v>-0.41796348538749201</v>
      </c>
      <c r="JQ82" s="3">
        <f ca="1">IFERROR(__xludf.DUMMYFUNCTION("""COMPUTED_VALUE"""),-0.391413155744376)</f>
        <v>-0.39141315574437602</v>
      </c>
      <c r="JR82" s="3">
        <f ca="1">IFERROR(__xludf.DUMMYFUNCTION("""COMPUTED_VALUE"""),-0.453094477134414)</f>
        <v>-0.45309447713441398</v>
      </c>
      <c r="JS82" s="3">
        <f ca="1">IFERROR(__xludf.DUMMYFUNCTION("""COMPUTED_VALUE"""),-0.450453346693335)</f>
        <v>-0.45045334669333498</v>
      </c>
      <c r="JT82" s="3">
        <f ca="1">IFERROR(__xludf.DUMMYFUNCTION("""COMPUTED_VALUE"""),-0.430023815146699)</f>
        <v>-0.43002381514669902</v>
      </c>
      <c r="JU82" s="3">
        <f ca="1">IFERROR(__xludf.DUMMYFUNCTION("""COMPUTED_VALUE"""),-0.293152010105358)</f>
        <v>-0.29315201010535802</v>
      </c>
      <c r="JV82" s="3">
        <f ca="1">IFERROR(__xludf.DUMMYFUNCTION("""COMPUTED_VALUE"""),-0.351245946588686)</f>
        <v>-0.35124594658868602</v>
      </c>
      <c r="JW82" s="3">
        <f ca="1">IFERROR(__xludf.DUMMYFUNCTION("""COMPUTED_VALUE"""),-0.43186252040094)</f>
        <v>-0.43186252040093998</v>
      </c>
      <c r="JX82" s="3">
        <f ca="1">IFERROR(__xludf.DUMMYFUNCTION("""COMPUTED_VALUE"""),-0.379110921483609)</f>
        <v>-0.37911092148360898</v>
      </c>
      <c r="JY82" s="3">
        <f ca="1">IFERROR(__xludf.DUMMYFUNCTION("""COMPUTED_VALUE"""),-0.485801895234535)</f>
        <v>-0.48580189523453499</v>
      </c>
      <c r="JZ82" s="3">
        <f ca="1">IFERROR(__xludf.DUMMYFUNCTION("""COMPUTED_VALUE"""),-0.452648566712679)</f>
        <v>-0.452648566712679</v>
      </c>
      <c r="KA82" s="3">
        <f ca="1">IFERROR(__xludf.DUMMYFUNCTION("""COMPUTED_VALUE"""),-0.435177115217864)</f>
        <v>-0.43517711521786401</v>
      </c>
      <c r="KB82" s="3">
        <f ca="1">IFERROR(__xludf.DUMMYFUNCTION("""COMPUTED_VALUE"""),-0.27567585084756)</f>
        <v>-0.27567585084756002</v>
      </c>
      <c r="KC82" s="3">
        <f ca="1">IFERROR(__xludf.DUMMYFUNCTION("""COMPUTED_VALUE"""),-0.373847059055687)</f>
        <v>-0.37384705905568699</v>
      </c>
      <c r="KD82" s="3">
        <f ca="1">IFERROR(__xludf.DUMMYFUNCTION("""COMPUTED_VALUE"""),-0.302271061690835)</f>
        <v>-0.30227106169083501</v>
      </c>
      <c r="KE82" s="3">
        <f ca="1">IFERROR(__xludf.DUMMYFUNCTION("""COMPUTED_VALUE"""),-0.278312558158929)</f>
        <v>-0.27831255815892902</v>
      </c>
      <c r="KF82" s="3">
        <f ca="1">IFERROR(__xludf.DUMMYFUNCTION("""COMPUTED_VALUE"""),-0.430092086986361)</f>
        <v>-0.43009208698636098</v>
      </c>
      <c r="KG82" s="3">
        <f ca="1">IFERROR(__xludf.DUMMYFUNCTION("""COMPUTED_VALUE"""),-0.449829201445175)</f>
        <v>-0.44982920144517502</v>
      </c>
      <c r="KH82" s="3">
        <f ca="1">IFERROR(__xludf.DUMMYFUNCTION("""COMPUTED_VALUE"""),-0.368767077045143)</f>
        <v>-0.368767077045143</v>
      </c>
      <c r="KI82" s="3">
        <f ca="1">IFERROR(__xludf.DUMMYFUNCTION("""COMPUTED_VALUE"""),-0.21093339241671)</f>
        <v>-0.21093339241671</v>
      </c>
      <c r="KJ82" s="3">
        <f ca="1">IFERROR(__xludf.DUMMYFUNCTION("""COMPUTED_VALUE"""),-0.365807938746276)</f>
        <v>-0.36580793874627598</v>
      </c>
      <c r="KK82" s="3">
        <f ca="1">IFERROR(__xludf.DUMMYFUNCTION("""COMPUTED_VALUE"""),-0.373437473096988)</f>
        <v>-0.37343747309698799</v>
      </c>
      <c r="KL82" s="3">
        <f ca="1">IFERROR(__xludf.DUMMYFUNCTION("""COMPUTED_VALUE"""),-0.285536153619565)</f>
        <v>-0.28553615361956503</v>
      </c>
      <c r="KM82" s="3">
        <f ca="1">IFERROR(__xludf.DUMMYFUNCTION("""COMPUTED_VALUE"""),-0.355585541634599)</f>
        <v>-0.35558554163459899</v>
      </c>
      <c r="KN82" s="3">
        <f ca="1">IFERROR(__xludf.DUMMYFUNCTION("""COMPUTED_VALUE"""),-0.42089320014882)</f>
        <v>-0.42089320014881998</v>
      </c>
      <c r="KO82" s="3">
        <f ca="1">IFERROR(__xludf.DUMMYFUNCTION("""COMPUTED_VALUE"""),-0.322767234839602)</f>
        <v>-0.32276723483960201</v>
      </c>
      <c r="KP82" s="3">
        <f ca="1">IFERROR(__xludf.DUMMYFUNCTION("""COMPUTED_VALUE"""),-0.140253132886729)</f>
        <v>-0.140253132886729</v>
      </c>
      <c r="KQ82" s="3">
        <f ca="1">IFERROR(__xludf.DUMMYFUNCTION("""COMPUTED_VALUE"""),-0.346772697509507)</f>
        <v>-0.34677269750950701</v>
      </c>
      <c r="KR82" s="3">
        <f ca="1">IFERROR(__xludf.DUMMYFUNCTION("""COMPUTED_VALUE"""),-0.316689025421732)</f>
        <v>-0.316689025421732</v>
      </c>
      <c r="KS82" s="3">
        <f ca="1">IFERROR(__xludf.DUMMYFUNCTION("""COMPUTED_VALUE"""),-0.351601843433092)</f>
        <v>-0.35160184343309198</v>
      </c>
      <c r="KT82" s="3">
        <f ca="1">IFERROR(__xludf.DUMMYFUNCTION("""COMPUTED_VALUE"""),-0.405663322402027)</f>
        <v>-0.40566332240202702</v>
      </c>
      <c r="KU82" s="3">
        <f ca="1">IFERROR(__xludf.DUMMYFUNCTION("""COMPUTED_VALUE"""),-0.346176539156489)</f>
        <v>-0.34617653915648899</v>
      </c>
      <c r="KV82" s="3">
        <f ca="1">IFERROR(__xludf.DUMMYFUNCTION("""COMPUTED_VALUE"""),-0.386341554649019)</f>
        <v>-0.38634155464901898</v>
      </c>
      <c r="KW82" s="3">
        <f ca="1">IFERROR(__xludf.DUMMYFUNCTION("""COMPUTED_VALUE"""),-0.293318823046042)</f>
        <v>-0.29331882304604201</v>
      </c>
      <c r="KX82" s="3">
        <f ca="1">IFERROR(__xludf.DUMMYFUNCTION("""COMPUTED_VALUE"""),-0.506627820159472)</f>
        <v>-0.50662782015947205</v>
      </c>
      <c r="KY82" s="3">
        <f ca="1">IFERROR(__xludf.DUMMYFUNCTION("""COMPUTED_VALUE"""),-0.290296468746232)</f>
        <v>-0.29029646874623199</v>
      </c>
      <c r="KZ82" s="3">
        <f ca="1">IFERROR(__xludf.DUMMYFUNCTION("""COMPUTED_VALUE"""),-0.429637833743073)</f>
        <v>-0.42963783374307302</v>
      </c>
      <c r="LA82" s="3">
        <f ca="1">IFERROR(__xludf.DUMMYFUNCTION("""COMPUTED_VALUE"""),-0.443928630081403)</f>
        <v>-0.44392863008140299</v>
      </c>
      <c r="LB82" s="3">
        <f ca="1">IFERROR(__xludf.DUMMYFUNCTION("""COMPUTED_VALUE"""),-0.382240307875274)</f>
        <v>-0.38224030787527402</v>
      </c>
      <c r="LC82" s="3">
        <f ca="1">IFERROR(__xludf.DUMMYFUNCTION("""COMPUTED_VALUE"""),-0.320296291615795)</f>
        <v>-0.32029629161579498</v>
      </c>
      <c r="LD82" s="3">
        <f ca="1">IFERROR(__xludf.DUMMYFUNCTION("""COMPUTED_VALUE"""),-0.327352209519405)</f>
        <v>-0.32735220951940502</v>
      </c>
      <c r="LE82" s="3">
        <f ca="1">IFERROR(__xludf.DUMMYFUNCTION("""COMPUTED_VALUE"""),-0.350644775663116)</f>
        <v>-0.35064477566311603</v>
      </c>
      <c r="LF82" s="3">
        <f ca="1">IFERROR(__xludf.DUMMYFUNCTION("""COMPUTED_VALUE"""),-0.357917246993755)</f>
        <v>-0.35791724699375499</v>
      </c>
      <c r="LG82" s="3">
        <f ca="1">IFERROR(__xludf.DUMMYFUNCTION("""COMPUTED_VALUE"""),-0.418531239714485)</f>
        <v>-0.41853123971448503</v>
      </c>
      <c r="LH82" s="3">
        <f ca="1">IFERROR(__xludf.DUMMYFUNCTION("""COMPUTED_VALUE"""),-0.448731390944034)</f>
        <v>-0.44873139094403403</v>
      </c>
      <c r="LI82" s="3">
        <f ca="1">IFERROR(__xludf.DUMMYFUNCTION("""COMPUTED_VALUE"""),-0.450327803446535)</f>
        <v>-0.450327803446535</v>
      </c>
      <c r="LJ82" s="3">
        <f ca="1">IFERROR(__xludf.DUMMYFUNCTION("""COMPUTED_VALUE"""),-0.535587149200262)</f>
        <v>-0.53558714920026196</v>
      </c>
      <c r="LK82" s="3">
        <f ca="1">IFERROR(__xludf.DUMMYFUNCTION("""COMPUTED_VALUE"""),-0.391356586972904)</f>
        <v>-0.39135658697290399</v>
      </c>
      <c r="LL82" s="3">
        <f ca="1">IFERROR(__xludf.DUMMYFUNCTION("""COMPUTED_VALUE"""),-0.318071765226787)</f>
        <v>-0.31807176522678698</v>
      </c>
      <c r="LM82" s="3">
        <f ca="1">IFERROR(__xludf.DUMMYFUNCTION("""COMPUTED_VALUE"""),-0.330189166237795)</f>
        <v>-0.33018916623779498</v>
      </c>
      <c r="LN82" s="3">
        <f ca="1">IFERROR(__xludf.DUMMYFUNCTION("""COMPUTED_VALUE"""),-0.401266741049501)</f>
        <v>-0.401266741049501</v>
      </c>
      <c r="LO82" s="3">
        <f ca="1">IFERROR(__xludf.DUMMYFUNCTION("""COMPUTED_VALUE"""),-0.413409556075202)</f>
        <v>-0.41340955607520202</v>
      </c>
      <c r="LP82" s="3">
        <f ca="1">IFERROR(__xludf.DUMMYFUNCTION("""COMPUTED_VALUE"""),-0.404228725534415)</f>
        <v>-0.40422872553441502</v>
      </c>
      <c r="LQ82" s="3">
        <f ca="1">IFERROR(__xludf.DUMMYFUNCTION("""COMPUTED_VALUE"""),-0.385634545296343)</f>
        <v>-0.385634545296343</v>
      </c>
      <c r="LR82" s="3">
        <f ca="1">IFERROR(__xludf.DUMMYFUNCTION("""COMPUTED_VALUE"""),-0.360817309085742)</f>
        <v>-0.360817309085742</v>
      </c>
      <c r="LS82" s="3">
        <f ca="1">IFERROR(__xludf.DUMMYFUNCTION("""COMPUTED_VALUE"""),-0.424790559333694)</f>
        <v>-0.42479055933369397</v>
      </c>
      <c r="LT82" s="3">
        <f ca="1">IFERROR(__xludf.DUMMYFUNCTION("""COMPUTED_VALUE"""),-0.427830311346293)</f>
        <v>-0.42783031134629301</v>
      </c>
      <c r="LU82" s="3">
        <f ca="1">IFERROR(__xludf.DUMMYFUNCTION("""COMPUTED_VALUE"""),-0.454478479267722)</f>
        <v>-0.454478479267722</v>
      </c>
      <c r="LV82" s="3">
        <f ca="1">IFERROR(__xludf.DUMMYFUNCTION("""COMPUTED_VALUE"""),-0.451632399439986)</f>
        <v>-0.45163239943998601</v>
      </c>
      <c r="LW82" s="3">
        <f ca="1">IFERROR(__xludf.DUMMYFUNCTION("""COMPUTED_VALUE"""),-0.411476909854055)</f>
        <v>-0.411476909854055</v>
      </c>
      <c r="LX82" s="3">
        <f ca="1">IFERROR(__xludf.DUMMYFUNCTION("""COMPUTED_VALUE"""),-0.493477155428755)</f>
        <v>-0.49347715542875498</v>
      </c>
      <c r="LY82" s="3">
        <f ca="1">IFERROR(__xludf.DUMMYFUNCTION("""COMPUTED_VALUE"""),-0.404574493337603)</f>
        <v>-0.40457449333760298</v>
      </c>
      <c r="LZ82" s="3">
        <f ca="1">IFERROR(__xludf.DUMMYFUNCTION("""COMPUTED_VALUE"""),-0.461381685579346)</f>
        <v>-0.461381685579346</v>
      </c>
      <c r="MA82" s="3">
        <f ca="1">IFERROR(__xludf.DUMMYFUNCTION("""COMPUTED_VALUE"""),-0.485191135350113)</f>
        <v>-0.48519113535011299</v>
      </c>
      <c r="MB82" s="3">
        <f ca="1">IFERROR(__xludf.DUMMYFUNCTION("""COMPUTED_VALUE"""),-0.514971151044065)</f>
        <v>-0.51497115104406499</v>
      </c>
      <c r="MC82" s="3">
        <f ca="1">IFERROR(__xludf.DUMMYFUNCTION("""COMPUTED_VALUE"""),-0.489601396404497)</f>
        <v>-0.48960139640449701</v>
      </c>
      <c r="MD82" s="3">
        <f ca="1">IFERROR(__xludf.DUMMYFUNCTION("""COMPUTED_VALUE"""),-0.443156638126795)</f>
        <v>-0.44315663812679501</v>
      </c>
      <c r="ME82" s="3">
        <f ca="1">IFERROR(__xludf.DUMMYFUNCTION("""COMPUTED_VALUE"""),-0.476589173232833)</f>
        <v>-0.47658917323283301</v>
      </c>
      <c r="MF82" s="3">
        <f ca="1">IFERROR(__xludf.DUMMYFUNCTION("""COMPUTED_VALUE"""),-0.478209968353894)</f>
        <v>-0.47820996835389401</v>
      </c>
      <c r="MG82" s="3">
        <f ca="1">IFERROR(__xludf.DUMMYFUNCTION("""COMPUTED_VALUE"""),-0.506350592932148)</f>
        <v>-0.50635059293214801</v>
      </c>
      <c r="MH82" s="3">
        <f ca="1">IFERROR(__xludf.DUMMYFUNCTION("""COMPUTED_VALUE"""),-0.486261054406119)</f>
        <v>-0.486261054406119</v>
      </c>
      <c r="MI82" s="3">
        <f ca="1">IFERROR(__xludf.DUMMYFUNCTION("""COMPUTED_VALUE"""),-0.61779937202811)</f>
        <v>-0.61779937202810997</v>
      </c>
      <c r="MJ82" s="3">
        <f ca="1">IFERROR(__xludf.DUMMYFUNCTION("""COMPUTED_VALUE"""),-0.598659577357433)</f>
        <v>-0.59865957735743303</v>
      </c>
      <c r="MK82" s="3">
        <f ca="1">IFERROR(__xludf.DUMMYFUNCTION("""COMPUTED_VALUE"""),-0.485443967287233)</f>
        <v>-0.48544396728723299</v>
      </c>
      <c r="ML82" s="3">
        <f ca="1">IFERROR(__xludf.DUMMYFUNCTION("""COMPUTED_VALUE"""),-0.475613923985897)</f>
        <v>-0.47561392398589702</v>
      </c>
      <c r="MM82" s="3">
        <f ca="1">IFERROR(__xludf.DUMMYFUNCTION("""COMPUTED_VALUE"""),-0.410672140709567)</f>
        <v>-0.41067214070956698</v>
      </c>
      <c r="MN82" s="3">
        <f ca="1">IFERROR(__xludf.DUMMYFUNCTION("""COMPUTED_VALUE"""),-0.580880598913791)</f>
        <v>-0.58088059891379096</v>
      </c>
      <c r="MO82" s="3">
        <f ca="1">IFERROR(__xludf.DUMMYFUNCTION("""COMPUTED_VALUE"""),-0.637061077853948)</f>
        <v>-0.63706107785394805</v>
      </c>
      <c r="MP82" s="3">
        <f ca="1">IFERROR(__xludf.DUMMYFUNCTION("""COMPUTED_VALUE"""),-0.56457106938595)</f>
        <v>-0.56457106938595003</v>
      </c>
      <c r="MQ82" s="3">
        <f ca="1">IFERROR(__xludf.DUMMYFUNCTION("""COMPUTED_VALUE"""),-0.532243791902941)</f>
        <v>-0.53224379190294102</v>
      </c>
      <c r="MR82" s="3">
        <f ca="1">IFERROR(__xludf.DUMMYFUNCTION("""COMPUTED_VALUE"""),-0.533875887271928)</f>
        <v>-0.53387588727192803</v>
      </c>
      <c r="MS82" s="3">
        <f ca="1">IFERROR(__xludf.DUMMYFUNCTION("""COMPUTED_VALUE"""),-0.60287975966803)</f>
        <v>-0.60287975966802998</v>
      </c>
      <c r="MT82" s="3">
        <f ca="1">IFERROR(__xludf.DUMMYFUNCTION("""COMPUTED_VALUE"""),-0.521383851690667)</f>
        <v>-0.52138385169066703</v>
      </c>
      <c r="MU82" s="3">
        <f ca="1">IFERROR(__xludf.DUMMYFUNCTION("""COMPUTED_VALUE"""),-0.602268546141635)</f>
        <v>-0.60226854614163505</v>
      </c>
      <c r="MV82" s="3">
        <f ca="1">IFERROR(__xludf.DUMMYFUNCTION("""COMPUTED_VALUE"""),-0.528541072254422)</f>
        <v>-0.52854107225442204</v>
      </c>
      <c r="MW82" s="3">
        <f ca="1">IFERROR(__xludf.DUMMYFUNCTION("""COMPUTED_VALUE"""),-0.603181996859968)</f>
        <v>-0.60318199685996798</v>
      </c>
      <c r="MX82" s="3">
        <f ca="1">IFERROR(__xludf.DUMMYFUNCTION("""COMPUTED_VALUE"""),-0.623640954941026)</f>
        <v>-0.623640954941026</v>
      </c>
      <c r="MY82" s="3">
        <f ca="1">IFERROR(__xludf.DUMMYFUNCTION("""COMPUTED_VALUE"""),-0.512924231206777)</f>
        <v>-0.51292423120677699</v>
      </c>
      <c r="MZ82" s="3">
        <f ca="1">IFERROR(__xludf.DUMMYFUNCTION("""COMPUTED_VALUE"""),-0.545824925644706)</f>
        <v>-0.54582492564470597</v>
      </c>
      <c r="NA82" s="3">
        <f ca="1">IFERROR(__xludf.DUMMYFUNCTION("""COMPUTED_VALUE"""),-0.510393224293104)</f>
        <v>-0.51039322429310396</v>
      </c>
      <c r="NB82" s="3">
        <f ca="1">IFERROR(__xludf.DUMMYFUNCTION("""COMPUTED_VALUE"""),-0.534288367788201)</f>
        <v>-0.53428836778820099</v>
      </c>
      <c r="NC82" s="3">
        <f ca="1">IFERROR(__xludf.DUMMYFUNCTION("""COMPUTED_VALUE"""),-0.49435697224142)</f>
        <v>-0.49435697224142</v>
      </c>
      <c r="ND82" s="3">
        <f ca="1">IFERROR(__xludf.DUMMYFUNCTION("""COMPUTED_VALUE"""),-0.569737614635367)</f>
        <v>-0.56973761463536698</v>
      </c>
      <c r="NE82" s="3">
        <f ca="1">IFERROR(__xludf.DUMMYFUNCTION("""COMPUTED_VALUE"""),-0.621705885668573)</f>
        <v>-0.62170588566857299</v>
      </c>
      <c r="NF82" s="3">
        <f ca="1">IFERROR(__xludf.DUMMYFUNCTION("""COMPUTED_VALUE"""),-0.563460631732534)</f>
        <v>-0.56346063173253402</v>
      </c>
      <c r="NG82" s="3">
        <f ca="1">IFERROR(__xludf.DUMMYFUNCTION("""COMPUTED_VALUE"""),-0.482717980559691)</f>
        <v>-0.48271798055969101</v>
      </c>
      <c r="NH82" s="3">
        <f ca="1">IFERROR(__xludf.DUMMYFUNCTION("""COMPUTED_VALUE"""),-0.568105672989507)</f>
        <v>-0.56810567298950698</v>
      </c>
      <c r="NI82" s="3">
        <f ca="1">IFERROR(__xludf.DUMMYFUNCTION("""COMPUTED_VALUE"""),-0.499800270894435)</f>
        <v>-0.49980027089443502</v>
      </c>
      <c r="NJ82" s="3">
        <f ca="1">IFERROR(__xludf.DUMMYFUNCTION("""COMPUTED_VALUE"""),-0.474513907973544)</f>
        <v>-0.47451390797354398</v>
      </c>
      <c r="NK82" s="3">
        <f ca="1">IFERROR(__xludf.DUMMYFUNCTION("""COMPUTED_VALUE"""),-0.506222765565381)</f>
        <v>-0.50622276556538104</v>
      </c>
      <c r="NL82" s="3">
        <f ca="1">IFERROR(__xludf.DUMMYFUNCTION("""COMPUTED_VALUE"""),-0.496572807771946)</f>
        <v>-0.49657280777194601</v>
      </c>
      <c r="NM82" s="3">
        <f ca="1">IFERROR(__xludf.DUMMYFUNCTION("""COMPUTED_VALUE"""),-0.45682185453951)</f>
        <v>-0.45682185453951002</v>
      </c>
      <c r="NN82" s="3">
        <f ca="1">IFERROR(__xludf.DUMMYFUNCTION("""COMPUTED_VALUE"""),-0.395189988330705)</f>
        <v>-0.39518998833070501</v>
      </c>
      <c r="NO82" s="3">
        <f ca="1">IFERROR(__xludf.DUMMYFUNCTION("""COMPUTED_VALUE"""),-0.445088964999881)</f>
        <v>-0.44508896499988099</v>
      </c>
      <c r="NP82" s="3">
        <f ca="1">IFERROR(__xludf.DUMMYFUNCTION("""COMPUTED_VALUE"""),-0.450187601415204)</f>
        <v>-0.45018760141520398</v>
      </c>
      <c r="NQ82" s="3">
        <f ca="1">IFERROR(__xludf.DUMMYFUNCTION("""COMPUTED_VALUE"""),-0.506468111326487)</f>
        <v>-0.50646811132648695</v>
      </c>
      <c r="NR82" s="3">
        <f ca="1">IFERROR(__xludf.DUMMYFUNCTION("""COMPUTED_VALUE"""),-0.515207814859765)</f>
        <v>-0.51520781485976497</v>
      </c>
      <c r="NS82" s="3">
        <f ca="1">IFERROR(__xludf.DUMMYFUNCTION("""COMPUTED_VALUE"""),-0.464588366805272)</f>
        <v>-0.46458836680527199</v>
      </c>
      <c r="NT82" s="3">
        <f ca="1">IFERROR(__xludf.DUMMYFUNCTION("""COMPUTED_VALUE"""),-0.426179117002971)</f>
        <v>-0.42617911700297101</v>
      </c>
      <c r="NU82" s="3">
        <f ca="1">IFERROR(__xludf.DUMMYFUNCTION("""COMPUTED_VALUE"""),-0.356799346584065)</f>
        <v>-0.35679934658406498</v>
      </c>
      <c r="NV82" s="3">
        <f ca="1">IFERROR(__xludf.DUMMYFUNCTION("""COMPUTED_VALUE"""),-0.26328797700489)</f>
        <v>-0.26328797700488998</v>
      </c>
      <c r="NW82" s="3">
        <f ca="1">IFERROR(__xludf.DUMMYFUNCTION("""COMPUTED_VALUE"""),-0.29158591250557)</f>
        <v>-0.29158591250556998</v>
      </c>
      <c r="NX82" s="3">
        <f ca="1">IFERROR(__xludf.DUMMYFUNCTION("""COMPUTED_VALUE"""),-0.247240308288563)</f>
        <v>-0.247240308288563</v>
      </c>
      <c r="NY82" s="3">
        <f ca="1">IFERROR(__xludf.DUMMYFUNCTION("""COMPUTED_VALUE"""),-0.345863013814897)</f>
        <v>-0.34586301381489698</v>
      </c>
      <c r="NZ82" s="3">
        <f ca="1">IFERROR(__xludf.DUMMYFUNCTION("""COMPUTED_VALUE"""),-0.24855459300602)</f>
        <v>-0.24855459300602001</v>
      </c>
      <c r="OA82" s="3">
        <f ca="1">IFERROR(__xludf.DUMMYFUNCTION("""COMPUTED_VALUE"""),-0.148498004169452)</f>
        <v>-0.148498004169452</v>
      </c>
      <c r="OB82" s="3">
        <f ca="1">IFERROR(__xludf.DUMMYFUNCTION("""COMPUTED_VALUE"""),-0.150255071671634)</f>
        <v>-0.15025507167163399</v>
      </c>
      <c r="OC82" s="3">
        <f ca="1">IFERROR(__xludf.DUMMYFUNCTION("""COMPUTED_VALUE"""),-0.0671384962676314)</f>
        <v>-6.7138496267631395E-2</v>
      </c>
      <c r="OD82" s="3">
        <f ca="1">IFERROR(__xludf.DUMMYFUNCTION("""COMPUTED_VALUE"""),0.0564755335611089)</f>
        <v>5.6475533561108897E-2</v>
      </c>
      <c r="OE82" s="3">
        <f ca="1">IFERROR(__xludf.DUMMYFUNCTION("""COMPUTED_VALUE"""),0.0273983066392389)</f>
        <v>2.7398306639238899E-2</v>
      </c>
      <c r="OF82" s="3">
        <f ca="1">IFERROR(__xludf.DUMMYFUNCTION("""COMPUTED_VALUE"""),-0.0264742099607258)</f>
        <v>-2.64742099607258E-2</v>
      </c>
      <c r="OG82" s="3">
        <f ca="1">IFERROR(__xludf.DUMMYFUNCTION("""COMPUTED_VALUE"""),-0.0283816045962603)</f>
        <v>-2.8381604596260299E-2</v>
      </c>
      <c r="OH82" s="3">
        <f ca="1">IFERROR(__xludf.DUMMYFUNCTION("""COMPUTED_VALUE"""),0.0650064475895584)</f>
        <v>6.5006447589558397E-2</v>
      </c>
      <c r="OI82" s="3">
        <f ca="1">IFERROR(__xludf.DUMMYFUNCTION("""COMPUTED_VALUE"""),-0.0504622048038158)</f>
        <v>-5.0462204803815802E-2</v>
      </c>
      <c r="OJ82" s="3">
        <f ca="1">IFERROR(__xludf.DUMMYFUNCTION("""COMPUTED_VALUE"""),-0.0841123075714103)</f>
        <v>-8.4112307571410305E-2</v>
      </c>
      <c r="OK82" s="3">
        <f ca="1">IFERROR(__xludf.DUMMYFUNCTION("""COMPUTED_VALUE"""),0.034325283446053)</f>
        <v>3.4325283446052998E-2</v>
      </c>
      <c r="OL82" s="3">
        <f ca="1">IFERROR(__xludf.DUMMYFUNCTION("""COMPUTED_VALUE"""),0.0400970790019488)</f>
        <v>4.0097079001948803E-2</v>
      </c>
      <c r="OM82" s="3">
        <f ca="1">IFERROR(__xludf.DUMMYFUNCTION("""COMPUTED_VALUE"""),0.0450163849419174)</f>
        <v>4.5016384941917398E-2</v>
      </c>
      <c r="ON82" s="3">
        <f ca="1">IFERROR(__xludf.DUMMYFUNCTION("""COMPUTED_VALUE"""),0.0318407599495063)</f>
        <v>3.1840759949506303E-2</v>
      </c>
      <c r="OO82" s="3">
        <f ca="1">IFERROR(__xludf.DUMMYFUNCTION("""COMPUTED_VALUE"""),0.148368810689047)</f>
        <v>0.148368810689047</v>
      </c>
      <c r="OP82" s="3">
        <f ca="1">IFERROR(__xludf.DUMMYFUNCTION("""COMPUTED_VALUE"""),-0.000697615319137479)</f>
        <v>-6.9761531913747898E-4</v>
      </c>
      <c r="OQ82" s="3">
        <f ca="1">IFERROR(__xludf.DUMMYFUNCTION("""COMPUTED_VALUE"""),-0.0342121046991712)</f>
        <v>-3.42121046991712E-2</v>
      </c>
      <c r="OR82" s="3">
        <f ca="1">IFERROR(__xludf.DUMMYFUNCTION("""COMPUTED_VALUE"""),-0.0643286951581278)</f>
        <v>-6.4328695158127794E-2</v>
      </c>
      <c r="OS82" s="3">
        <f ca="1">IFERROR(__xludf.DUMMYFUNCTION("""COMPUTED_VALUE"""),-0.0114336064229307)</f>
        <v>-1.14336064229307E-2</v>
      </c>
      <c r="OT82" s="3">
        <f ca="1">IFERROR(__xludf.DUMMYFUNCTION("""COMPUTED_VALUE"""),0.024048943461336)</f>
        <v>2.4048943461336E-2</v>
      </c>
      <c r="OU82" s="3">
        <f ca="1">IFERROR(__xludf.DUMMYFUNCTION("""COMPUTED_VALUE"""),-0.0291755129788694)</f>
        <v>-2.9175512978869399E-2</v>
      </c>
      <c r="OV82" s="3">
        <f ca="1">IFERROR(__xludf.DUMMYFUNCTION("""COMPUTED_VALUE"""),0.117730655070752)</f>
        <v>0.117730655070752</v>
      </c>
      <c r="OW82" s="3">
        <f ca="1">IFERROR(__xludf.DUMMYFUNCTION("""COMPUTED_VALUE"""),-0.0423997721304124)</f>
        <v>-4.2399772130412398E-2</v>
      </c>
      <c r="OX82" s="3">
        <f ca="1">IFERROR(__xludf.DUMMYFUNCTION("""COMPUTED_VALUE"""),-0.0750388179184142)</f>
        <v>-7.50388179184142E-2</v>
      </c>
      <c r="OY82" s="3">
        <f ca="1">IFERROR(__xludf.DUMMYFUNCTION("""COMPUTED_VALUE"""),-0.0314951777481088)</f>
        <v>-3.1495177748108803E-2</v>
      </c>
      <c r="OZ82" s="3">
        <f ca="1">IFERROR(__xludf.DUMMYFUNCTION("""COMPUTED_VALUE"""),0.0221628047464095)</f>
        <v>2.2162804746409501E-2</v>
      </c>
      <c r="PA82" s="3">
        <f ca="1">IFERROR(__xludf.DUMMYFUNCTION("""COMPUTED_VALUE"""),-0.0326946870623766)</f>
        <v>-3.2694687062376597E-2</v>
      </c>
      <c r="PB82" s="3">
        <f ca="1">IFERROR(__xludf.DUMMYFUNCTION("""COMPUTED_VALUE"""),0.0898650203723989)</f>
        <v>8.9865020372398893E-2</v>
      </c>
      <c r="PC82" s="3">
        <f ca="1">IFERROR(__xludf.DUMMYFUNCTION("""COMPUTED_VALUE"""),0.153782824434818)</f>
        <v>0.153782824434818</v>
      </c>
      <c r="PD82" s="3">
        <f ca="1">IFERROR(__xludf.DUMMYFUNCTION("""COMPUTED_VALUE"""),-0.136685484099758)</f>
        <v>-0.136685484099758</v>
      </c>
      <c r="PE82" s="3">
        <f ca="1">IFERROR(__xludf.DUMMYFUNCTION("""COMPUTED_VALUE"""),0.0105760752563737)</f>
        <v>1.0576075256373701E-2</v>
      </c>
      <c r="PF82" s="3">
        <f ca="1">IFERROR(__xludf.DUMMYFUNCTION("""COMPUTED_VALUE"""),0.0450995506178835)</f>
        <v>4.5099550617883503E-2</v>
      </c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</row>
    <row r="83" spans="1:594" ht="13">
      <c r="A83" s="1" t="str">
        <f ca="1">IFERROR(__xludf.DUMMYFUNCTION("""COMPUTED_VALUE"""),"Thunder Bay")</f>
        <v>Thunder Bay</v>
      </c>
      <c r="B83" s="3">
        <f ca="1">IFERROR(__xludf.DUMMYFUNCTION("""COMPUTED_VALUE"""),-0.708199634607952)</f>
        <v>-0.70819963460795199</v>
      </c>
      <c r="C83" s="3">
        <f ca="1">IFERROR(__xludf.DUMMYFUNCTION("""COMPUTED_VALUE"""),-0.652297335469807)</f>
        <v>-0.65229733546980695</v>
      </c>
      <c r="D83" s="3">
        <f ca="1">IFERROR(__xludf.DUMMYFUNCTION("""COMPUTED_VALUE"""),-0.726195508050408)</f>
        <v>-0.726195508050408</v>
      </c>
      <c r="E83" s="3">
        <f ca="1">IFERROR(__xludf.DUMMYFUNCTION("""COMPUTED_VALUE"""),-0.666102113094438)</f>
        <v>-0.66610211309443801</v>
      </c>
      <c r="F83" s="3">
        <f ca="1">IFERROR(__xludf.DUMMYFUNCTION("""COMPUTED_VALUE"""),-0.694435956650078)</f>
        <v>-0.69443595665007796</v>
      </c>
      <c r="G83" s="3">
        <f ca="1">IFERROR(__xludf.DUMMYFUNCTION("""COMPUTED_VALUE"""),-0.715518071261612)</f>
        <v>-0.71551807126161204</v>
      </c>
      <c r="H83" s="3">
        <f ca="1">IFERROR(__xludf.DUMMYFUNCTION("""COMPUTED_VALUE"""),-0.721617272207963)</f>
        <v>-0.72161727220796301</v>
      </c>
      <c r="I83" s="3">
        <f ca="1">IFERROR(__xludf.DUMMYFUNCTION("""COMPUTED_VALUE"""),-0.633143358263617)</f>
        <v>-0.63314335826361701</v>
      </c>
      <c r="J83" s="3">
        <f ca="1">IFERROR(__xludf.DUMMYFUNCTION("""COMPUTED_VALUE"""),-0.806529819991419)</f>
        <v>-0.80652981999141904</v>
      </c>
      <c r="K83" s="3">
        <f ca="1">IFERROR(__xludf.DUMMYFUNCTION("""COMPUTED_VALUE"""),-0.649583285942408)</f>
        <v>-0.649583285942408</v>
      </c>
      <c r="L83" s="3">
        <f ca="1">IFERROR(__xludf.DUMMYFUNCTION("""COMPUTED_VALUE"""),-0.667070786440142)</f>
        <v>-0.66707078644014195</v>
      </c>
      <c r="M83" s="3">
        <f ca="1">IFERROR(__xludf.DUMMYFUNCTION("""COMPUTED_VALUE"""),-0.691363947842052)</f>
        <v>-0.69136394784205202</v>
      </c>
      <c r="N83" s="3">
        <f ca="1">IFERROR(__xludf.DUMMYFUNCTION("""COMPUTED_VALUE"""),-0.661493605057839)</f>
        <v>-0.66149360505783905</v>
      </c>
      <c r="O83" s="3">
        <f ca="1">IFERROR(__xludf.DUMMYFUNCTION("""COMPUTED_VALUE"""),-0.692256649434429)</f>
        <v>-0.69225664943442899</v>
      </c>
      <c r="P83" s="3">
        <f ca="1">IFERROR(__xludf.DUMMYFUNCTION("""COMPUTED_VALUE"""),-0.70151451999736)</f>
        <v>-0.70151451999736003</v>
      </c>
      <c r="Q83" s="3">
        <f ca="1">IFERROR(__xludf.DUMMYFUNCTION("""COMPUTED_VALUE"""),-0.751386966297665)</f>
        <v>-0.75138696629766499</v>
      </c>
      <c r="R83" s="3">
        <f ca="1">IFERROR(__xludf.DUMMYFUNCTION("""COMPUTED_VALUE"""),-0.718496354516763)</f>
        <v>-0.71849635451676297</v>
      </c>
      <c r="S83" s="3">
        <f ca="1">IFERROR(__xludf.DUMMYFUNCTION("""COMPUTED_VALUE"""),-0.750159799454151)</f>
        <v>-0.75015979945415101</v>
      </c>
      <c r="T83" s="3">
        <f ca="1">IFERROR(__xludf.DUMMYFUNCTION("""COMPUTED_VALUE"""),-0.683446174196123)</f>
        <v>-0.68344617419612297</v>
      </c>
      <c r="U83" s="3">
        <f ca="1">IFERROR(__xludf.DUMMYFUNCTION("""COMPUTED_VALUE"""),-0.717299509160875)</f>
        <v>-0.71729950916087504</v>
      </c>
      <c r="V83" s="3">
        <f ca="1">IFERROR(__xludf.DUMMYFUNCTION("""COMPUTED_VALUE"""),-0.711936214613772)</f>
        <v>-0.71193621461377199</v>
      </c>
      <c r="W83" s="3">
        <f ca="1">IFERROR(__xludf.DUMMYFUNCTION("""COMPUTED_VALUE"""),-0.652879375063067)</f>
        <v>-0.65287937506306704</v>
      </c>
      <c r="X83" s="3">
        <f ca="1">IFERROR(__xludf.DUMMYFUNCTION("""COMPUTED_VALUE"""),-0.705238115143651)</f>
        <v>-0.70523811514365098</v>
      </c>
      <c r="Y83" s="3">
        <f ca="1">IFERROR(__xludf.DUMMYFUNCTION("""COMPUTED_VALUE"""),-0.706253358950283)</f>
        <v>-0.70625335895028296</v>
      </c>
      <c r="Z83" s="3">
        <f ca="1">IFERROR(__xludf.DUMMYFUNCTION("""COMPUTED_VALUE"""),-0.722255793695948)</f>
        <v>-0.72225579369594795</v>
      </c>
      <c r="AA83" s="3">
        <f ca="1">IFERROR(__xludf.DUMMYFUNCTION("""COMPUTED_VALUE"""),-0.704400667838777)</f>
        <v>-0.70440066783877697</v>
      </c>
      <c r="AB83" s="3">
        <f ca="1">IFERROR(__xludf.DUMMYFUNCTION("""COMPUTED_VALUE"""),-0.722674680085195)</f>
        <v>-0.72267468008519498</v>
      </c>
      <c r="AC83" s="3">
        <f ca="1">IFERROR(__xludf.DUMMYFUNCTION("""COMPUTED_VALUE"""),-0.657173914483413)</f>
        <v>-0.657173914483413</v>
      </c>
      <c r="AD83" s="3">
        <f ca="1">IFERROR(__xludf.DUMMYFUNCTION("""COMPUTED_VALUE"""),-0.68236465562019)</f>
        <v>-0.68236465562019</v>
      </c>
      <c r="AE83" s="3">
        <f ca="1">IFERROR(__xludf.DUMMYFUNCTION("""COMPUTED_VALUE"""),-0.758165383785178)</f>
        <v>-0.75816538378517795</v>
      </c>
      <c r="AF83" s="3">
        <f ca="1">IFERROR(__xludf.DUMMYFUNCTION("""COMPUTED_VALUE"""),-0.748996782252404)</f>
        <v>-0.74899678225240396</v>
      </c>
      <c r="AG83" s="3">
        <f ca="1">IFERROR(__xludf.DUMMYFUNCTION("""COMPUTED_VALUE"""),-0.722335200756217)</f>
        <v>-0.72233520075621704</v>
      </c>
      <c r="AH83" s="3">
        <f ca="1">IFERROR(__xludf.DUMMYFUNCTION("""COMPUTED_VALUE"""),-0.753843641688968)</f>
        <v>-0.753843641688968</v>
      </c>
      <c r="AI83" s="3">
        <f ca="1">IFERROR(__xludf.DUMMYFUNCTION("""COMPUTED_VALUE"""),-0.757215889607684)</f>
        <v>-0.75721588960768405</v>
      </c>
      <c r="AJ83" s="3">
        <f ca="1">IFERROR(__xludf.DUMMYFUNCTION("""COMPUTED_VALUE"""),-0.637384536090614)</f>
        <v>-0.63738453609061396</v>
      </c>
      <c r="AK83" s="3">
        <f ca="1">IFERROR(__xludf.DUMMYFUNCTION("""COMPUTED_VALUE"""),-0.697579487648122)</f>
        <v>-0.69757948764812205</v>
      </c>
      <c r="AL83" s="3">
        <f ca="1">IFERROR(__xludf.DUMMYFUNCTION("""COMPUTED_VALUE"""),-0.686582629833715)</f>
        <v>-0.68658262983371499</v>
      </c>
      <c r="AM83" s="3">
        <f ca="1">IFERROR(__xludf.DUMMYFUNCTION("""COMPUTED_VALUE"""),-0.697253692811379)</f>
        <v>-0.69725369281137906</v>
      </c>
      <c r="AN83" s="3">
        <f ca="1">IFERROR(__xludf.DUMMYFUNCTION("""COMPUTED_VALUE"""),-0.67817686499406)</f>
        <v>-0.67817686499406005</v>
      </c>
      <c r="AO83" s="3">
        <f ca="1">IFERROR(__xludf.DUMMYFUNCTION("""COMPUTED_VALUE"""),-0.716243647003425)</f>
        <v>-0.71624364700342502</v>
      </c>
      <c r="AP83" s="3">
        <f ca="1">IFERROR(__xludf.DUMMYFUNCTION("""COMPUTED_VALUE"""),-0.738784161976247)</f>
        <v>-0.73878416197624697</v>
      </c>
      <c r="AQ83" s="3">
        <f ca="1">IFERROR(__xludf.DUMMYFUNCTION("""COMPUTED_VALUE"""),-0.637178262460373)</f>
        <v>-0.63717826246037301</v>
      </c>
      <c r="AR83" s="3">
        <f ca="1">IFERROR(__xludf.DUMMYFUNCTION("""COMPUTED_VALUE"""),-0.646535936186154)</f>
        <v>-0.64653593618615401</v>
      </c>
      <c r="AS83" s="3">
        <f ca="1">IFERROR(__xludf.DUMMYFUNCTION("""COMPUTED_VALUE"""),-0.694658582709045)</f>
        <v>-0.69465858270904501</v>
      </c>
      <c r="AT83" s="3">
        <f ca="1">IFERROR(__xludf.DUMMYFUNCTION("""COMPUTED_VALUE"""),-0.652634759779069)</f>
        <v>-0.65263475977906904</v>
      </c>
      <c r="AU83" s="3">
        <f ca="1">IFERROR(__xludf.DUMMYFUNCTION("""COMPUTED_VALUE"""),-0.700731890109966)</f>
        <v>-0.70073189010996595</v>
      </c>
      <c r="AV83" s="3">
        <f ca="1">IFERROR(__xludf.DUMMYFUNCTION("""COMPUTED_VALUE"""),-0.649526055804384)</f>
        <v>-0.64952605580438405</v>
      </c>
      <c r="AW83" s="3">
        <f ca="1">IFERROR(__xludf.DUMMYFUNCTION("""COMPUTED_VALUE"""),-0.621022799844369)</f>
        <v>-0.62102279984436903</v>
      </c>
      <c r="AX83" s="3">
        <f ca="1">IFERROR(__xludf.DUMMYFUNCTION("""COMPUTED_VALUE"""),-0.682360381508793)</f>
        <v>-0.68236038150879297</v>
      </c>
      <c r="AY83" s="3">
        <f ca="1">IFERROR(__xludf.DUMMYFUNCTION("""COMPUTED_VALUE"""),-0.66348247705337)</f>
        <v>-0.66348247705337005</v>
      </c>
      <c r="AZ83" s="3">
        <f ca="1">IFERROR(__xludf.DUMMYFUNCTION("""COMPUTED_VALUE"""),-0.636014901044771)</f>
        <v>-0.63601490104477099</v>
      </c>
      <c r="BA83" s="3">
        <f ca="1">IFERROR(__xludf.DUMMYFUNCTION("""COMPUTED_VALUE"""),-0.646106791724983)</f>
        <v>-0.64610679172498298</v>
      </c>
      <c r="BB83" s="3">
        <f ca="1">IFERROR(__xludf.DUMMYFUNCTION("""COMPUTED_VALUE"""),-0.71982238603176)</f>
        <v>-0.71982238603175996</v>
      </c>
      <c r="BC83" s="3">
        <f ca="1">IFERROR(__xludf.DUMMYFUNCTION("""COMPUTED_VALUE"""),-0.70019692134633)</f>
        <v>-0.70019692134633005</v>
      </c>
      <c r="BD83" s="3">
        <f ca="1">IFERROR(__xludf.DUMMYFUNCTION("""COMPUTED_VALUE"""),-0.808362537000145)</f>
        <v>-0.80836253700014504</v>
      </c>
      <c r="BE83" s="3">
        <f ca="1">IFERROR(__xludf.DUMMYFUNCTION("""COMPUTED_VALUE"""),-0.639370311527017)</f>
        <v>-0.63937031152701695</v>
      </c>
      <c r="BF83" s="3">
        <f ca="1">IFERROR(__xludf.DUMMYFUNCTION("""COMPUTED_VALUE"""),-0.714218905077051)</f>
        <v>-0.71421890507705099</v>
      </c>
      <c r="BG83" s="3">
        <f ca="1">IFERROR(__xludf.DUMMYFUNCTION("""COMPUTED_VALUE"""),-0.762049237808229)</f>
        <v>-0.76204923780822897</v>
      </c>
      <c r="BH83" s="3">
        <f ca="1">IFERROR(__xludf.DUMMYFUNCTION("""COMPUTED_VALUE"""),-0.695758265782602)</f>
        <v>-0.69575826578260203</v>
      </c>
      <c r="BI83" s="3">
        <f ca="1">IFERROR(__xludf.DUMMYFUNCTION("""COMPUTED_VALUE"""),-0.747604697737655)</f>
        <v>-0.74760469773765503</v>
      </c>
      <c r="BJ83" s="3">
        <f ca="1">IFERROR(__xludf.DUMMYFUNCTION("""COMPUTED_VALUE"""),-0.736344677844811)</f>
        <v>-0.73634467784481095</v>
      </c>
      <c r="BK83" s="3">
        <f ca="1">IFERROR(__xludf.DUMMYFUNCTION("""COMPUTED_VALUE"""),-0.716711718269592)</f>
        <v>-0.71671171826959201</v>
      </c>
      <c r="BL83" s="3">
        <f ca="1">IFERROR(__xludf.DUMMYFUNCTION("""COMPUTED_VALUE"""),-0.729294696698291)</f>
        <v>-0.72929469669829095</v>
      </c>
      <c r="BM83" s="3">
        <f ca="1">IFERROR(__xludf.DUMMYFUNCTION("""COMPUTED_VALUE"""),-0.753550681197685)</f>
        <v>-0.75355068119768498</v>
      </c>
      <c r="BN83" s="3">
        <f ca="1">IFERROR(__xludf.DUMMYFUNCTION("""COMPUTED_VALUE"""),-0.770260020974043)</f>
        <v>-0.770260020974043</v>
      </c>
      <c r="BO83" s="3">
        <f ca="1">IFERROR(__xludf.DUMMYFUNCTION("""COMPUTED_VALUE"""),-0.719039078791116)</f>
        <v>-0.71903907879111595</v>
      </c>
      <c r="BP83" s="3">
        <f ca="1">IFERROR(__xludf.DUMMYFUNCTION("""COMPUTED_VALUE"""),-0.689519604745427)</f>
        <v>-0.68951960474542695</v>
      </c>
      <c r="BQ83" s="3">
        <f ca="1">IFERROR(__xludf.DUMMYFUNCTION("""COMPUTED_VALUE"""),-0.728812460171893)</f>
        <v>-0.72881246017189305</v>
      </c>
      <c r="BR83" s="3">
        <f ca="1">IFERROR(__xludf.DUMMYFUNCTION("""COMPUTED_VALUE"""),-0.720458517609026)</f>
        <v>-0.72045851760902602</v>
      </c>
      <c r="BS83" s="3">
        <f ca="1">IFERROR(__xludf.DUMMYFUNCTION("""COMPUTED_VALUE"""),-0.628161033923863)</f>
        <v>-0.62816103392386302</v>
      </c>
      <c r="BT83" s="3">
        <f ca="1">IFERROR(__xludf.DUMMYFUNCTION("""COMPUTED_VALUE"""),-0.696312347546968)</f>
        <v>-0.69631234754696802</v>
      </c>
      <c r="BU83" s="3">
        <f ca="1">IFERROR(__xludf.DUMMYFUNCTION("""COMPUTED_VALUE"""),-0.735673362727533)</f>
        <v>-0.73567336272753303</v>
      </c>
      <c r="BV83" s="3">
        <f ca="1">IFERROR(__xludf.DUMMYFUNCTION("""COMPUTED_VALUE"""),-0.72232254795548)</f>
        <v>-0.72232254795548001</v>
      </c>
      <c r="BW83" s="3">
        <f ca="1">IFERROR(__xludf.DUMMYFUNCTION("""COMPUTED_VALUE"""),-0.793313956128389)</f>
        <v>-0.79331395612838895</v>
      </c>
      <c r="BX83" s="3">
        <f ca="1">IFERROR(__xludf.DUMMYFUNCTION("""COMPUTED_VALUE"""),-0.779544578292114)</f>
        <v>-0.77954457829211399</v>
      </c>
      <c r="BY83" s="3">
        <f ca="1">IFERROR(__xludf.DUMMYFUNCTION("""COMPUTED_VALUE"""),-0.743706105386928)</f>
        <v>-0.74370610538692805</v>
      </c>
      <c r="BZ83" s="3">
        <f ca="1">IFERROR(__xludf.DUMMYFUNCTION("""COMPUTED_VALUE"""),-0.702099347228366)</f>
        <v>-0.70209934722836598</v>
      </c>
      <c r="CA83" s="3">
        <f ca="1">IFERROR(__xludf.DUMMYFUNCTION("""COMPUTED_VALUE"""),-0.758261351200053)</f>
        <v>-0.758261351200053</v>
      </c>
      <c r="CB83" s="3">
        <f ca="1">IFERROR(__xludf.DUMMYFUNCTION("""COMPUTED_VALUE"""),-0.759303362536891)</f>
        <v>-0.75930336253689101</v>
      </c>
      <c r="CC83" s="3">
        <f ca="1">IFERROR(__xludf.DUMMYFUNCTION("""COMPUTED_VALUE"""),-0.744585480853247)</f>
        <v>-0.74458548085324705</v>
      </c>
      <c r="CD83" s="3">
        <f ca="1">IFERROR(__xludf.DUMMYFUNCTION("""COMPUTED_VALUE"""),-0.73781319264471)</f>
        <v>-0.73781319264471001</v>
      </c>
      <c r="CE83" s="3">
        <f ca="1">IFERROR(__xludf.DUMMYFUNCTION("""COMPUTED_VALUE"""),-0.764873206615697)</f>
        <v>-0.76487320661569702</v>
      </c>
      <c r="CF83" s="3">
        <f ca="1">IFERROR(__xludf.DUMMYFUNCTION("""COMPUTED_VALUE"""),-0.742358871870563)</f>
        <v>-0.74235887187056304</v>
      </c>
      <c r="CG83" s="3">
        <f ca="1">IFERROR(__xludf.DUMMYFUNCTION("""COMPUTED_VALUE"""),-0.709008148396215)</f>
        <v>-0.70900814839621495</v>
      </c>
      <c r="CH83" s="3">
        <f ca="1">IFERROR(__xludf.DUMMYFUNCTION("""COMPUTED_VALUE"""),-0.739631730755603)</f>
        <v>-0.73963173075560296</v>
      </c>
      <c r="CI83" s="3">
        <f ca="1">IFERROR(__xludf.DUMMYFUNCTION("""COMPUTED_VALUE"""),-0.729811732304829)</f>
        <v>-0.72981173230482899</v>
      </c>
      <c r="CJ83" s="3">
        <f ca="1">IFERROR(__xludf.DUMMYFUNCTION("""COMPUTED_VALUE"""),-0.708786387509697)</f>
        <v>-0.70878638750969702</v>
      </c>
      <c r="CK83" s="3">
        <f ca="1">IFERROR(__xludf.DUMMYFUNCTION("""COMPUTED_VALUE"""),-0.76395599199177)</f>
        <v>-0.76395599199177</v>
      </c>
      <c r="CL83" s="3">
        <f ca="1">IFERROR(__xludf.DUMMYFUNCTION("""COMPUTED_VALUE"""),-0.734462132127988)</f>
        <v>-0.73446213212798805</v>
      </c>
      <c r="CM83" s="3">
        <f ca="1">IFERROR(__xludf.DUMMYFUNCTION("""COMPUTED_VALUE"""),-0.782399289571682)</f>
        <v>-0.78239928957168203</v>
      </c>
      <c r="CN83" s="3">
        <f ca="1">IFERROR(__xludf.DUMMYFUNCTION("""COMPUTED_VALUE"""),-0.672816950097696)</f>
        <v>-0.67281695009769604</v>
      </c>
      <c r="CO83" s="3">
        <f ca="1">IFERROR(__xludf.DUMMYFUNCTION("""COMPUTED_VALUE"""),-0.61464806326577)</f>
        <v>-0.61464806326577004</v>
      </c>
      <c r="CP83" s="3">
        <f ca="1">IFERROR(__xludf.DUMMYFUNCTION("""COMPUTED_VALUE"""),-0.701451308820079)</f>
        <v>-0.701451308820079</v>
      </c>
      <c r="CQ83" s="3">
        <f ca="1">IFERROR(__xludf.DUMMYFUNCTION("""COMPUTED_VALUE"""),-0.707298135300248)</f>
        <v>-0.70729813530024799</v>
      </c>
      <c r="CR83" s="3">
        <f ca="1">IFERROR(__xludf.DUMMYFUNCTION("""COMPUTED_VALUE"""),-0.688383586577642)</f>
        <v>-0.68838358657764198</v>
      </c>
      <c r="CS83" s="3">
        <f ca="1">IFERROR(__xludf.DUMMYFUNCTION("""COMPUTED_VALUE"""),-0.671834130847492)</f>
        <v>-0.67183413084749199</v>
      </c>
      <c r="CT83" s="3">
        <f ca="1">IFERROR(__xludf.DUMMYFUNCTION("""COMPUTED_VALUE"""),-0.703358101985958)</f>
        <v>-0.70335810198595805</v>
      </c>
      <c r="CU83" s="3">
        <f ca="1">IFERROR(__xludf.DUMMYFUNCTION("""COMPUTED_VALUE"""),-0.607255808520082)</f>
        <v>-0.60725580852008199</v>
      </c>
      <c r="CV83" s="3">
        <f ca="1">IFERROR(__xludf.DUMMYFUNCTION("""COMPUTED_VALUE"""),-0.655631268068956)</f>
        <v>-0.655631268068956</v>
      </c>
      <c r="CW83" s="3">
        <f ca="1">IFERROR(__xludf.DUMMYFUNCTION("""COMPUTED_VALUE"""),-0.845809695824566)</f>
        <v>-0.845809695824566</v>
      </c>
      <c r="CX83" s="3">
        <f ca="1">IFERROR(__xludf.DUMMYFUNCTION("""COMPUTED_VALUE"""),-0.6145453890501)</f>
        <v>-0.61454538905010003</v>
      </c>
      <c r="CY83" s="3">
        <f ca="1">IFERROR(__xludf.DUMMYFUNCTION("""COMPUTED_VALUE"""),-0.498464644596591)</f>
        <v>-0.49846464459659101</v>
      </c>
      <c r="CZ83" s="3">
        <f ca="1">IFERROR(__xludf.DUMMYFUNCTION("""COMPUTED_VALUE"""),-0.622399141709438)</f>
        <v>-0.622399141709438</v>
      </c>
      <c r="DA83" s="3">
        <f ca="1">IFERROR(__xludf.DUMMYFUNCTION("""COMPUTED_VALUE"""),-0.685133813656551)</f>
        <v>-0.68513381365655102</v>
      </c>
      <c r="DB83" s="3">
        <f ca="1">IFERROR(__xludf.DUMMYFUNCTION("""COMPUTED_VALUE"""),-0.58152527439083)</f>
        <v>-0.58152527439083002</v>
      </c>
      <c r="DC83" s="3">
        <f ca="1">IFERROR(__xludf.DUMMYFUNCTION("""COMPUTED_VALUE"""),-0.63050967160862)</f>
        <v>-0.63050967160862004</v>
      </c>
      <c r="DD83" s="3">
        <f ca="1">IFERROR(__xludf.DUMMYFUNCTION("""COMPUTED_VALUE"""),-0.765978531058747)</f>
        <v>-0.76597853105874703</v>
      </c>
      <c r="DE83" s="3">
        <f ca="1">IFERROR(__xludf.DUMMYFUNCTION("""COMPUTED_VALUE"""),-0.527933362023518)</f>
        <v>-0.52793336202351804</v>
      </c>
      <c r="DF83" s="3">
        <f ca="1">IFERROR(__xludf.DUMMYFUNCTION("""COMPUTED_VALUE"""),-0.0545059863906634)</f>
        <v>-5.4505986390663397E-2</v>
      </c>
      <c r="DG83" s="3">
        <f ca="1">IFERROR(__xludf.DUMMYFUNCTION("""COMPUTED_VALUE"""),-0.405628348817024)</f>
        <v>-0.40562834881702398</v>
      </c>
      <c r="DH83" s="3">
        <f ca="1">IFERROR(__xludf.DUMMYFUNCTION("""COMPUTED_VALUE"""),-0.505271326623048)</f>
        <v>-0.50527132662304797</v>
      </c>
      <c r="DI83" s="3">
        <f ca="1">IFERROR(__xludf.DUMMYFUNCTION("""COMPUTED_VALUE"""),-0.449911916033303)</f>
        <v>-0.44991191603330299</v>
      </c>
      <c r="DJ83" s="3">
        <f ca="1">IFERROR(__xludf.DUMMYFUNCTION("""COMPUTED_VALUE"""),-0.482898271339125)</f>
        <v>-0.482898271339125</v>
      </c>
      <c r="DK83" s="3">
        <f ca="1">IFERROR(__xludf.DUMMYFUNCTION("""COMPUTED_VALUE"""),-0.53123084021521)</f>
        <v>-0.53123084021521005</v>
      </c>
      <c r="DL83" s="3">
        <f ca="1">IFERROR(__xludf.DUMMYFUNCTION("""COMPUTED_VALUE"""),-0.469599879607415)</f>
        <v>-0.46959987960741501</v>
      </c>
      <c r="DM83" s="3">
        <f ca="1">IFERROR(__xludf.DUMMYFUNCTION("""COMPUTED_VALUE"""),-0.347233474467119)</f>
        <v>-0.347233474467119</v>
      </c>
      <c r="DN83" s="3">
        <f ca="1">IFERROR(__xludf.DUMMYFUNCTION("""COMPUTED_VALUE"""),-0.508041818266309)</f>
        <v>-0.50804181826630901</v>
      </c>
      <c r="DO83" s="3">
        <f ca="1">IFERROR(__xludf.DUMMYFUNCTION("""COMPUTED_VALUE"""),-0.591425440980072)</f>
        <v>-0.59142544098007199</v>
      </c>
      <c r="DP83" s="3">
        <f ca="1">IFERROR(__xludf.DUMMYFUNCTION("""COMPUTED_VALUE"""),-0.534664072754168)</f>
        <v>-0.53466407275416805</v>
      </c>
      <c r="DQ83" s="3">
        <f ca="1">IFERROR(__xludf.DUMMYFUNCTION("""COMPUTED_VALUE"""),-0.522758511820998)</f>
        <v>-0.52275851182099797</v>
      </c>
      <c r="DR83" s="3">
        <f ca="1">IFERROR(__xludf.DUMMYFUNCTION("""COMPUTED_VALUE"""),-0.556820966753041)</f>
        <v>-0.55682096675304105</v>
      </c>
      <c r="DS83" s="3">
        <f ca="1">IFERROR(__xludf.DUMMYFUNCTION("""COMPUTED_VALUE"""),-0.541578445048605)</f>
        <v>-0.54157844504860497</v>
      </c>
      <c r="DT83" s="3">
        <f ca="1">IFERROR(__xludf.DUMMYFUNCTION("""COMPUTED_VALUE"""),-0.562413559215613)</f>
        <v>-0.56241355921561298</v>
      </c>
      <c r="DU83" s="3">
        <f ca="1">IFERROR(__xludf.DUMMYFUNCTION("""COMPUTED_VALUE"""),-0.58631937682605)</f>
        <v>-0.58631937682604995</v>
      </c>
      <c r="DV83" s="3">
        <f ca="1">IFERROR(__xludf.DUMMYFUNCTION("""COMPUTED_VALUE"""),-0.608422474402219)</f>
        <v>-0.60842247440221897</v>
      </c>
      <c r="DW83" s="3">
        <f ca="1">IFERROR(__xludf.DUMMYFUNCTION("""COMPUTED_VALUE"""),-0.565113975152957)</f>
        <v>-0.56511397515295703</v>
      </c>
      <c r="DX83" s="3">
        <f ca="1">IFERROR(__xludf.DUMMYFUNCTION("""COMPUTED_VALUE"""),-0.582157863103902)</f>
        <v>-0.58215786310390205</v>
      </c>
      <c r="DY83" s="3">
        <f ca="1">IFERROR(__xludf.DUMMYFUNCTION("""COMPUTED_VALUE"""),-0.650839310243636)</f>
        <v>-0.65083931024363595</v>
      </c>
      <c r="DZ83" s="3">
        <f ca="1">IFERROR(__xludf.DUMMYFUNCTION("""COMPUTED_VALUE"""),-0.599610763943001)</f>
        <v>-0.59961076394300095</v>
      </c>
      <c r="EA83" s="3">
        <f ca="1">IFERROR(__xludf.DUMMYFUNCTION("""COMPUTED_VALUE"""),-0.592364003460461)</f>
        <v>-0.59236400346046103</v>
      </c>
      <c r="EB83" s="3">
        <f ca="1">IFERROR(__xludf.DUMMYFUNCTION("""COMPUTED_VALUE"""),-0.63939297567328)</f>
        <v>-0.63939297567328002</v>
      </c>
      <c r="EC83" s="3">
        <f ca="1">IFERROR(__xludf.DUMMYFUNCTION("""COMPUTED_VALUE"""),-0.620390127945399)</f>
        <v>-0.62039012794539905</v>
      </c>
      <c r="ED83" s="3">
        <f ca="1">IFERROR(__xludf.DUMMYFUNCTION("""COMPUTED_VALUE"""),-0.609548549768234)</f>
        <v>-0.60954854976823403</v>
      </c>
      <c r="EE83" s="3">
        <f ca="1">IFERROR(__xludf.DUMMYFUNCTION("""COMPUTED_VALUE"""),-0.604284830189196)</f>
        <v>-0.60428483018919599</v>
      </c>
      <c r="EF83" s="3">
        <f ca="1">IFERROR(__xludf.DUMMYFUNCTION("""COMPUTED_VALUE"""),-0.593225555896327)</f>
        <v>-0.59322555589632697</v>
      </c>
      <c r="EG83" s="3">
        <f ca="1">IFERROR(__xludf.DUMMYFUNCTION("""COMPUTED_VALUE"""),-0.610340935884609)</f>
        <v>-0.61034093588460903</v>
      </c>
      <c r="EH83" s="3">
        <f ca="1">IFERROR(__xludf.DUMMYFUNCTION("""COMPUTED_VALUE"""),-0.646879923145987)</f>
        <v>-0.64687992314598697</v>
      </c>
      <c r="EI83" s="3">
        <f ca="1">IFERROR(__xludf.DUMMYFUNCTION("""COMPUTED_VALUE"""),-0.66187648665277)</f>
        <v>-0.66187648665276999</v>
      </c>
      <c r="EJ83" s="3">
        <f ca="1">IFERROR(__xludf.DUMMYFUNCTION("""COMPUTED_VALUE"""),-0.685162237446883)</f>
        <v>-0.68516223744688298</v>
      </c>
      <c r="EK83" s="3">
        <f ca="1">IFERROR(__xludf.DUMMYFUNCTION("""COMPUTED_VALUE"""),-0.571323816980493)</f>
        <v>-0.57132381698049295</v>
      </c>
      <c r="EL83" s="3">
        <f ca="1">IFERROR(__xludf.DUMMYFUNCTION("""COMPUTED_VALUE"""),-0.591923714964015)</f>
        <v>-0.59192371496401497</v>
      </c>
      <c r="EM83" s="3">
        <f ca="1">IFERROR(__xludf.DUMMYFUNCTION("""COMPUTED_VALUE"""),-0.605946110290388)</f>
        <v>-0.60594611029038803</v>
      </c>
      <c r="EN83" s="3">
        <f ca="1">IFERROR(__xludf.DUMMYFUNCTION("""COMPUTED_VALUE"""),-0.581434560484292)</f>
        <v>-0.58143456048429198</v>
      </c>
      <c r="EO83" s="3">
        <f ca="1">IFERROR(__xludf.DUMMYFUNCTION("""COMPUTED_VALUE"""),-0.616219409512639)</f>
        <v>-0.61621940951263898</v>
      </c>
      <c r="EP83" s="3">
        <f ca="1">IFERROR(__xludf.DUMMYFUNCTION("""COMPUTED_VALUE"""),-0.669805069656148)</f>
        <v>-0.66980506965614806</v>
      </c>
      <c r="EQ83" s="3">
        <f ca="1">IFERROR(__xludf.DUMMYFUNCTION("""COMPUTED_VALUE"""),-0.662494679648464)</f>
        <v>-0.66249467964846398</v>
      </c>
      <c r="ER83" s="3">
        <f ca="1">IFERROR(__xludf.DUMMYFUNCTION("""COMPUTED_VALUE"""),-0.572280016678032)</f>
        <v>-0.57228001667803197</v>
      </c>
      <c r="ES83" s="3">
        <f ca="1">IFERROR(__xludf.DUMMYFUNCTION("""COMPUTED_VALUE"""),-0.593593715336523)</f>
        <v>-0.59359371533652305</v>
      </c>
      <c r="ET83" s="3">
        <f ca="1">IFERROR(__xludf.DUMMYFUNCTION("""COMPUTED_VALUE"""),-0.621339905165878)</f>
        <v>-0.621339905165878</v>
      </c>
      <c r="EU83" s="3">
        <f ca="1">IFERROR(__xludf.DUMMYFUNCTION("""COMPUTED_VALUE"""),-0.66082417010636)</f>
        <v>-0.66082417010635996</v>
      </c>
      <c r="EV83" s="3">
        <f ca="1">IFERROR(__xludf.DUMMYFUNCTION("""COMPUTED_VALUE"""),-0.644220569712055)</f>
        <v>-0.64422056971205499</v>
      </c>
      <c r="EW83" s="3">
        <f ca="1">IFERROR(__xludf.DUMMYFUNCTION("""COMPUTED_VALUE"""),-0.592955503977702)</f>
        <v>-0.59295550397770203</v>
      </c>
      <c r="EX83" s="3">
        <f ca="1">IFERROR(__xludf.DUMMYFUNCTION("""COMPUTED_VALUE"""),-0.619877084135191)</f>
        <v>-0.61987708413519105</v>
      </c>
      <c r="EY83" s="3">
        <f ca="1">IFERROR(__xludf.DUMMYFUNCTION("""COMPUTED_VALUE"""),-0.515768713337001)</f>
        <v>-0.51576871333700103</v>
      </c>
      <c r="EZ83" s="3">
        <f ca="1">IFERROR(__xludf.DUMMYFUNCTION("""COMPUTED_VALUE"""),-0.554990580494508)</f>
        <v>-0.554990580494508</v>
      </c>
      <c r="FA83" s="3">
        <f ca="1">IFERROR(__xludf.DUMMYFUNCTION("""COMPUTED_VALUE"""),-0.561217372632753)</f>
        <v>-0.56121737263275295</v>
      </c>
      <c r="FB83" s="3">
        <f ca="1">IFERROR(__xludf.DUMMYFUNCTION("""COMPUTED_VALUE"""),-0.603517159096146)</f>
        <v>-0.60351715909614601</v>
      </c>
      <c r="FC83" s="3">
        <f ca="1">IFERROR(__xludf.DUMMYFUNCTION("""COMPUTED_VALUE"""),-0.585661142401112)</f>
        <v>-0.585661142401112</v>
      </c>
      <c r="FD83" s="3">
        <f ca="1">IFERROR(__xludf.DUMMYFUNCTION("""COMPUTED_VALUE"""),-0.589603270381835)</f>
        <v>-0.58960327038183502</v>
      </c>
      <c r="FE83" s="3">
        <f ca="1">IFERROR(__xludf.DUMMYFUNCTION("""COMPUTED_VALUE"""),-0.591325899782141)</f>
        <v>-0.59132589978214101</v>
      </c>
      <c r="FF83" s="3">
        <f ca="1">IFERROR(__xludf.DUMMYFUNCTION("""COMPUTED_VALUE"""),-0.54361745560394)</f>
        <v>-0.54361745560394004</v>
      </c>
      <c r="FG83" s="3">
        <f ca="1">IFERROR(__xludf.DUMMYFUNCTION("""COMPUTED_VALUE"""),-0.472881929488768)</f>
        <v>-0.472881929488768</v>
      </c>
      <c r="FH83" s="3">
        <f ca="1">IFERROR(__xludf.DUMMYFUNCTION("""COMPUTED_VALUE"""),-0.478049351833773)</f>
        <v>-0.47804935183377301</v>
      </c>
      <c r="FI83" s="3">
        <f ca="1">IFERROR(__xludf.DUMMYFUNCTION("""COMPUTED_VALUE"""),-0.558354706381917)</f>
        <v>-0.55835470638191698</v>
      </c>
      <c r="FJ83" s="3">
        <f ca="1">IFERROR(__xludf.DUMMYFUNCTION("""COMPUTED_VALUE"""),-0.57671903982295)</f>
        <v>-0.57671903982295003</v>
      </c>
      <c r="FK83" s="3">
        <f ca="1">IFERROR(__xludf.DUMMYFUNCTION("""COMPUTED_VALUE"""),-0.609201235523543)</f>
        <v>-0.60920123552354299</v>
      </c>
      <c r="FL83" s="3">
        <f ca="1">IFERROR(__xludf.DUMMYFUNCTION("""COMPUTED_VALUE"""),-0.575549974907095)</f>
        <v>-0.57554997490709503</v>
      </c>
      <c r="FM83" s="3">
        <f ca="1">IFERROR(__xludf.DUMMYFUNCTION("""COMPUTED_VALUE"""),-0.463992583452901)</f>
        <v>-0.46399258345290101</v>
      </c>
      <c r="FN83" s="3">
        <f ca="1">IFERROR(__xludf.DUMMYFUNCTION("""COMPUTED_VALUE"""),-0.53148060795752)</f>
        <v>-0.53148060795751995</v>
      </c>
      <c r="FO83" s="3">
        <f ca="1">IFERROR(__xludf.DUMMYFUNCTION("""COMPUTED_VALUE"""),-0.50454377372328)</f>
        <v>-0.50454377372327996</v>
      </c>
      <c r="FP83" s="3">
        <f ca="1">IFERROR(__xludf.DUMMYFUNCTION("""COMPUTED_VALUE"""),-0.55170439243481)</f>
        <v>-0.55170439243480995</v>
      </c>
      <c r="FQ83" s="3">
        <f ca="1">IFERROR(__xludf.DUMMYFUNCTION("""COMPUTED_VALUE"""),-0.526235848850251)</f>
        <v>-0.52623584885025099</v>
      </c>
      <c r="FR83" s="3">
        <f ca="1">IFERROR(__xludf.DUMMYFUNCTION("""COMPUTED_VALUE"""),-0.543938486630674)</f>
        <v>-0.54393848663067401</v>
      </c>
      <c r="FS83" s="3">
        <f ca="1">IFERROR(__xludf.DUMMYFUNCTION("""COMPUTED_VALUE"""),-0.480704064395347)</f>
        <v>-0.48070406439534702</v>
      </c>
      <c r="FT83" s="3">
        <f ca="1">IFERROR(__xludf.DUMMYFUNCTION("""COMPUTED_VALUE"""),-0.47140292116754)</f>
        <v>-0.47140292116754001</v>
      </c>
      <c r="FU83" s="3">
        <f ca="1">IFERROR(__xludf.DUMMYFUNCTION("""COMPUTED_VALUE"""),-0.496701588015835)</f>
        <v>-0.49670158801583503</v>
      </c>
      <c r="FV83" s="3">
        <f ca="1">IFERROR(__xludf.DUMMYFUNCTION("""COMPUTED_VALUE"""),-0.528401933124806)</f>
        <v>-0.52840193312480599</v>
      </c>
      <c r="FW83" s="3">
        <f ca="1">IFERROR(__xludf.DUMMYFUNCTION("""COMPUTED_VALUE"""),-0.569082753979878)</f>
        <v>-0.56908275397987795</v>
      </c>
      <c r="FX83" s="3">
        <f ca="1">IFERROR(__xludf.DUMMYFUNCTION("""COMPUTED_VALUE"""),-0.624261125056466)</f>
        <v>-0.62426112505646603</v>
      </c>
      <c r="FY83" s="3">
        <f ca="1">IFERROR(__xludf.DUMMYFUNCTION("""COMPUTED_VALUE"""),-0.63338509981833)</f>
        <v>-0.63338509981833002</v>
      </c>
      <c r="FZ83" s="3">
        <f ca="1">IFERROR(__xludf.DUMMYFUNCTION("""COMPUTED_VALUE"""),-0.757750809733353)</f>
        <v>-0.75775080973335296</v>
      </c>
      <c r="GA83" s="3">
        <f ca="1">IFERROR(__xludf.DUMMYFUNCTION("""COMPUTED_VALUE"""),-0.511214143415669)</f>
        <v>-0.51121414341566895</v>
      </c>
      <c r="GB83" s="3">
        <f ca="1">IFERROR(__xludf.DUMMYFUNCTION("""COMPUTED_VALUE"""),-0.502282251354638)</f>
        <v>-0.502282251354638</v>
      </c>
      <c r="GC83" s="3">
        <f ca="1">IFERROR(__xludf.DUMMYFUNCTION("""COMPUTED_VALUE"""),-0.540168403574055)</f>
        <v>-0.54016840357405504</v>
      </c>
      <c r="GD83" s="3">
        <f ca="1">IFERROR(__xludf.DUMMYFUNCTION("""COMPUTED_VALUE"""),-0.575307763771199)</f>
        <v>-0.57530776377119897</v>
      </c>
      <c r="GE83" s="3">
        <f ca="1">IFERROR(__xludf.DUMMYFUNCTION("""COMPUTED_VALUE"""),-0.617076697294367)</f>
        <v>-0.61707669729436698</v>
      </c>
      <c r="GF83" s="3">
        <f ca="1">IFERROR(__xludf.DUMMYFUNCTION("""COMPUTED_VALUE"""),-0.632100281767334)</f>
        <v>-0.63210028176733402</v>
      </c>
      <c r="GG83" s="3">
        <f ca="1">IFERROR(__xludf.DUMMYFUNCTION("""COMPUTED_VALUE"""),-0.50694838401757)</f>
        <v>-0.50694838401757003</v>
      </c>
      <c r="GH83" s="3">
        <f ca="1">IFERROR(__xludf.DUMMYFUNCTION("""COMPUTED_VALUE"""),-0.502927304855406)</f>
        <v>-0.50292730485540604</v>
      </c>
      <c r="GI83" s="3">
        <f ca="1">IFERROR(__xludf.DUMMYFUNCTION("""COMPUTED_VALUE"""),-0.537825857093044)</f>
        <v>-0.53782585709304398</v>
      </c>
      <c r="GJ83" s="3">
        <f ca="1">IFERROR(__xludf.DUMMYFUNCTION("""COMPUTED_VALUE"""),-0.62499579337048)</f>
        <v>-0.62499579337047995</v>
      </c>
      <c r="GK83" s="3">
        <f ca="1">IFERROR(__xludf.DUMMYFUNCTION("""COMPUTED_VALUE"""),-0.632736984837207)</f>
        <v>-0.63273698483720697</v>
      </c>
      <c r="GL83" s="3">
        <f ca="1">IFERROR(__xludf.DUMMYFUNCTION("""COMPUTED_VALUE"""),-0.591116132921178)</f>
        <v>-0.59111613292117804</v>
      </c>
      <c r="GM83" s="3">
        <f ca="1">IFERROR(__xludf.DUMMYFUNCTION("""COMPUTED_VALUE"""),-0.63808439081576)</f>
        <v>-0.63808439081575996</v>
      </c>
      <c r="GN83" s="3">
        <f ca="1">IFERROR(__xludf.DUMMYFUNCTION("""COMPUTED_VALUE"""),-0.691248976289503)</f>
        <v>-0.69124897628950299</v>
      </c>
      <c r="GO83" s="3">
        <f ca="1">IFERROR(__xludf.DUMMYFUNCTION("""COMPUTED_VALUE"""),-0.605104713947047)</f>
        <v>-0.60510471394704701</v>
      </c>
      <c r="GP83" s="3">
        <f ca="1">IFERROR(__xludf.DUMMYFUNCTION("""COMPUTED_VALUE"""),-0.589899222955758)</f>
        <v>-0.58989922295575803</v>
      </c>
      <c r="GQ83" s="3">
        <f ca="1">IFERROR(__xludf.DUMMYFUNCTION("""COMPUTED_VALUE"""),-0.66149352077992)</f>
        <v>-0.66149352077991996</v>
      </c>
      <c r="GR83" s="3">
        <f ca="1">IFERROR(__xludf.DUMMYFUNCTION("""COMPUTED_VALUE"""),-0.621312497281264)</f>
        <v>-0.62131249728126403</v>
      </c>
      <c r="GS83" s="3">
        <f ca="1">IFERROR(__xludf.DUMMYFUNCTION("""COMPUTED_VALUE"""),-0.685652880775812)</f>
        <v>-0.68565288077581199</v>
      </c>
      <c r="GT83" s="3">
        <f ca="1">IFERROR(__xludf.DUMMYFUNCTION("""COMPUTED_VALUE"""),-0.655306122890238)</f>
        <v>-0.65530612289023804</v>
      </c>
      <c r="GU83" s="3">
        <f ca="1">IFERROR(__xludf.DUMMYFUNCTION("""COMPUTED_VALUE"""),-0.647537160682206)</f>
        <v>-0.64753716068220601</v>
      </c>
      <c r="GV83" s="3">
        <f ca="1">IFERROR(__xludf.DUMMYFUNCTION("""COMPUTED_VALUE"""),-0.606138666487864)</f>
        <v>-0.60613866648786396</v>
      </c>
      <c r="GW83" s="3">
        <f ca="1">IFERROR(__xludf.DUMMYFUNCTION("""COMPUTED_VALUE"""),-0.664792044905814)</f>
        <v>-0.66479204490581401</v>
      </c>
      <c r="GX83" s="3">
        <f ca="1">IFERROR(__xludf.DUMMYFUNCTION("""COMPUTED_VALUE"""),-0.675309079735511)</f>
        <v>-0.67530907973551102</v>
      </c>
      <c r="GY83" s="3">
        <f ca="1">IFERROR(__xludf.DUMMYFUNCTION("""COMPUTED_VALUE"""),-0.661188476909466)</f>
        <v>-0.66118847690946603</v>
      </c>
      <c r="GZ83" s="3">
        <f ca="1">IFERROR(__xludf.DUMMYFUNCTION("""COMPUTED_VALUE"""),-0.633448736961214)</f>
        <v>-0.63344873696121395</v>
      </c>
      <c r="HA83" s="3">
        <f ca="1">IFERROR(__xludf.DUMMYFUNCTION("""COMPUTED_VALUE"""),-0.654039483014933)</f>
        <v>-0.65403948301493298</v>
      </c>
      <c r="HB83" s="3">
        <f ca="1">IFERROR(__xludf.DUMMYFUNCTION("""COMPUTED_VALUE"""),-0.642909528213809)</f>
        <v>-0.64290952821380898</v>
      </c>
      <c r="HC83" s="3">
        <f ca="1">IFERROR(__xludf.DUMMYFUNCTION("""COMPUTED_VALUE"""),-0.53778147447088)</f>
        <v>-0.53778147447087998</v>
      </c>
      <c r="HD83" s="3">
        <f ca="1">IFERROR(__xludf.DUMMYFUNCTION("""COMPUTED_VALUE"""),-0.580204702688161)</f>
        <v>-0.58020470268816104</v>
      </c>
      <c r="HE83" s="3">
        <f ca="1">IFERROR(__xludf.DUMMYFUNCTION("""COMPUTED_VALUE"""),-0.623937453008554)</f>
        <v>-0.62393745300855397</v>
      </c>
      <c r="HF83" s="3">
        <f ca="1">IFERROR(__xludf.DUMMYFUNCTION("""COMPUTED_VALUE"""),-0.633217680010899)</f>
        <v>-0.63321768001089895</v>
      </c>
      <c r="HG83" s="3">
        <f ca="1">IFERROR(__xludf.DUMMYFUNCTION("""COMPUTED_VALUE"""),-0.659268784147369)</f>
        <v>-0.659268784147369</v>
      </c>
      <c r="HH83" s="3">
        <f ca="1">IFERROR(__xludf.DUMMYFUNCTION("""COMPUTED_VALUE"""),-0.645562679660044)</f>
        <v>-0.64556267966004399</v>
      </c>
      <c r="HI83" s="3">
        <f ca="1">IFERROR(__xludf.DUMMYFUNCTION("""COMPUTED_VALUE"""),-0.759604155413948)</f>
        <v>-0.75960415541394799</v>
      </c>
      <c r="HJ83" s="3">
        <f ca="1">IFERROR(__xludf.DUMMYFUNCTION("""COMPUTED_VALUE"""),-0.5368953161526)</f>
        <v>-0.5368953161526</v>
      </c>
      <c r="HK83" s="3">
        <f ca="1">IFERROR(__xludf.DUMMYFUNCTION("""COMPUTED_VALUE"""),-0.550353245214034)</f>
        <v>-0.55035324521403395</v>
      </c>
      <c r="HL83" s="3">
        <f ca="1">IFERROR(__xludf.DUMMYFUNCTION("""COMPUTED_VALUE"""),-0.627075568715534)</f>
        <v>-0.62707556871553405</v>
      </c>
      <c r="HM83" s="3">
        <f ca="1">IFERROR(__xludf.DUMMYFUNCTION("""COMPUTED_VALUE"""),-0.650501074776264)</f>
        <v>-0.65050107477626395</v>
      </c>
      <c r="HN83" s="3">
        <f ca="1">IFERROR(__xludf.DUMMYFUNCTION("""COMPUTED_VALUE"""),-0.683715444853243)</f>
        <v>-0.68371544485324298</v>
      </c>
      <c r="HO83" s="3">
        <f ca="1">IFERROR(__xludf.DUMMYFUNCTION("""COMPUTED_VALUE"""),-0.617932492427585)</f>
        <v>-0.61793249242758497</v>
      </c>
      <c r="HP83" s="3">
        <f ca="1">IFERROR(__xludf.DUMMYFUNCTION("""COMPUTED_VALUE"""),-0.591205299385608)</f>
        <v>-0.59120529938560795</v>
      </c>
      <c r="HQ83" s="3">
        <f ca="1">IFERROR(__xludf.DUMMYFUNCTION("""COMPUTED_VALUE"""),-0.598856048669224)</f>
        <v>-0.59885604866922404</v>
      </c>
      <c r="HR83" s="3">
        <f ca="1">IFERROR(__xludf.DUMMYFUNCTION("""COMPUTED_VALUE"""),-0.538036814015151)</f>
        <v>-0.53803681401515102</v>
      </c>
      <c r="HS83" s="3">
        <f ca="1">IFERROR(__xludf.DUMMYFUNCTION("""COMPUTED_VALUE"""),-0.631091114657693)</f>
        <v>-0.63109111465769296</v>
      </c>
      <c r="HT83" s="3">
        <f ca="1">IFERROR(__xludf.DUMMYFUNCTION("""COMPUTED_VALUE"""),-0.598935311243271)</f>
        <v>-0.59893531124327104</v>
      </c>
      <c r="HU83" s="3">
        <f ca="1">IFERROR(__xludf.DUMMYFUNCTION("""COMPUTED_VALUE"""),-0.598468793399736)</f>
        <v>-0.59846879339973602</v>
      </c>
      <c r="HV83" s="3">
        <f ca="1">IFERROR(__xludf.DUMMYFUNCTION("""COMPUTED_VALUE"""),-0.602869273999916)</f>
        <v>-0.60286927399991597</v>
      </c>
      <c r="HW83" s="3">
        <f ca="1">IFERROR(__xludf.DUMMYFUNCTION("""COMPUTED_VALUE"""),-0.366074956032218)</f>
        <v>-0.36607495603221801</v>
      </c>
      <c r="HX83" s="3">
        <f ca="1">IFERROR(__xludf.DUMMYFUNCTION("""COMPUTED_VALUE"""),-0.506165530383265)</f>
        <v>-0.50616553038326495</v>
      </c>
      <c r="HY83" s="3">
        <f ca="1">IFERROR(__xludf.DUMMYFUNCTION("""COMPUTED_VALUE"""),-0.479790032486912)</f>
        <v>-0.47979003248691199</v>
      </c>
      <c r="HZ83" s="3">
        <f ca="1">IFERROR(__xludf.DUMMYFUNCTION("""COMPUTED_VALUE"""),-0.454757013721042)</f>
        <v>-0.45475701372104199</v>
      </c>
      <c r="IA83" s="3">
        <f ca="1">IFERROR(__xludf.DUMMYFUNCTION("""COMPUTED_VALUE"""),-0.423044011998715)</f>
        <v>-0.423044011998715</v>
      </c>
      <c r="IB83" s="3">
        <f ca="1">IFERROR(__xludf.DUMMYFUNCTION("""COMPUTED_VALUE"""),-0.48940559355963)</f>
        <v>-0.48940559355962998</v>
      </c>
      <c r="IC83" s="3">
        <f ca="1">IFERROR(__xludf.DUMMYFUNCTION("""COMPUTED_VALUE"""),-0.457224186808841)</f>
        <v>-0.45722418680884103</v>
      </c>
      <c r="ID83" s="3">
        <f ca="1">IFERROR(__xludf.DUMMYFUNCTION("""COMPUTED_VALUE"""),-0.417335710369823)</f>
        <v>-0.41733571036982298</v>
      </c>
      <c r="IE83" s="3">
        <f ca="1">IFERROR(__xludf.DUMMYFUNCTION("""COMPUTED_VALUE"""),-0.44660146452928)</f>
        <v>-0.44660146452928001</v>
      </c>
      <c r="IF83" s="3">
        <f ca="1">IFERROR(__xludf.DUMMYFUNCTION("""COMPUTED_VALUE"""),-0.357657605992323)</f>
        <v>-0.35765760599232299</v>
      </c>
      <c r="IG83" s="3">
        <f ca="1">IFERROR(__xludf.DUMMYFUNCTION("""COMPUTED_VALUE"""),-0.371200337702392)</f>
        <v>-0.37120033770239202</v>
      </c>
      <c r="IH83" s="3">
        <f ca="1">IFERROR(__xludf.DUMMYFUNCTION("""COMPUTED_VALUE"""),-0.327171231603697)</f>
        <v>-0.32717123160369699</v>
      </c>
      <c r="II83" s="3">
        <f ca="1">IFERROR(__xludf.DUMMYFUNCTION("""COMPUTED_VALUE"""),-0.372640254821607)</f>
        <v>-0.37264025482160701</v>
      </c>
      <c r="IJ83" s="3">
        <f ca="1">IFERROR(__xludf.DUMMYFUNCTION("""COMPUTED_VALUE"""),-0.392223463141982)</f>
        <v>-0.39222346314198198</v>
      </c>
      <c r="IK83" s="3">
        <f ca="1">IFERROR(__xludf.DUMMYFUNCTION("""COMPUTED_VALUE"""),-0.326041982491353)</f>
        <v>-0.32604198249135302</v>
      </c>
      <c r="IL83" s="3">
        <f ca="1">IFERROR(__xludf.DUMMYFUNCTION("""COMPUTED_VALUE"""),-0.363006586125896)</f>
        <v>-0.36300658612589598</v>
      </c>
      <c r="IM83" s="3">
        <f ca="1">IFERROR(__xludf.DUMMYFUNCTION("""COMPUTED_VALUE"""),-0.445704728033766)</f>
        <v>-0.44570472803376598</v>
      </c>
      <c r="IN83" s="3">
        <f ca="1">IFERROR(__xludf.DUMMYFUNCTION("""COMPUTED_VALUE"""),-0.378201920535722)</f>
        <v>-0.37820192053572199</v>
      </c>
      <c r="IO83" s="3">
        <f ca="1">IFERROR(__xludf.DUMMYFUNCTION("""COMPUTED_VALUE"""),-0.430925917347308)</f>
        <v>-0.43092591734730801</v>
      </c>
      <c r="IP83" s="3">
        <f ca="1">IFERROR(__xludf.DUMMYFUNCTION("""COMPUTED_VALUE"""),-0.406615744085457)</f>
        <v>-0.40661574408545698</v>
      </c>
      <c r="IQ83" s="3">
        <f ca="1">IFERROR(__xludf.DUMMYFUNCTION("""COMPUTED_VALUE"""),-0.370126988204355)</f>
        <v>-0.37012698820435502</v>
      </c>
      <c r="IR83" s="3">
        <f ca="1">IFERROR(__xludf.DUMMYFUNCTION("""COMPUTED_VALUE"""),-0.523899670722926)</f>
        <v>-0.52389967072292598</v>
      </c>
      <c r="IS83" s="3">
        <f ca="1">IFERROR(__xludf.DUMMYFUNCTION("""COMPUTED_VALUE"""),-0.395226783096187)</f>
        <v>-0.39522678309618697</v>
      </c>
      <c r="IT83" s="3">
        <f ca="1">IFERROR(__xludf.DUMMYFUNCTION("""COMPUTED_VALUE"""),-0.447509484376892)</f>
        <v>-0.44750948437689198</v>
      </c>
      <c r="IU83" s="3">
        <f ca="1">IFERROR(__xludf.DUMMYFUNCTION("""COMPUTED_VALUE"""),-0.35534600883506)</f>
        <v>-0.35534600883506001</v>
      </c>
      <c r="IV83" s="3">
        <f ca="1">IFERROR(__xludf.DUMMYFUNCTION("""COMPUTED_VALUE"""),-0.38029444694152)</f>
        <v>-0.38029444694151998</v>
      </c>
      <c r="IW83" s="3">
        <f ca="1">IFERROR(__xludf.DUMMYFUNCTION("""COMPUTED_VALUE"""),-0.379958306456798)</f>
        <v>-0.37995830645679801</v>
      </c>
      <c r="IX83" s="3">
        <f ca="1">IFERROR(__xludf.DUMMYFUNCTION("""COMPUTED_VALUE"""),-0.381098022017471)</f>
        <v>-0.38109802201747101</v>
      </c>
      <c r="IY83" s="3">
        <f ca="1">IFERROR(__xludf.DUMMYFUNCTION("""COMPUTED_VALUE"""),-0.446334981066331)</f>
        <v>-0.44633498106633102</v>
      </c>
      <c r="IZ83" s="3">
        <f ca="1">IFERROR(__xludf.DUMMYFUNCTION("""COMPUTED_VALUE"""),-0.345168759288171)</f>
        <v>-0.34516875928817098</v>
      </c>
      <c r="JA83" s="3">
        <f ca="1">IFERROR(__xludf.DUMMYFUNCTION("""COMPUTED_VALUE"""),-0.360288699940033)</f>
        <v>-0.36028869994003299</v>
      </c>
      <c r="JB83" s="3">
        <f ca="1">IFERROR(__xludf.DUMMYFUNCTION("""COMPUTED_VALUE"""),-0.397232914544716)</f>
        <v>-0.39723291454471599</v>
      </c>
      <c r="JC83" s="3">
        <f ca="1">IFERROR(__xludf.DUMMYFUNCTION("""COMPUTED_VALUE"""),-0.332375249246545)</f>
        <v>-0.33237524924654499</v>
      </c>
      <c r="JD83" s="3">
        <f ca="1">IFERROR(__xludf.DUMMYFUNCTION("""COMPUTED_VALUE"""),-0.353213952070836)</f>
        <v>-0.353213952070836</v>
      </c>
      <c r="JE83" s="3">
        <f ca="1">IFERROR(__xludf.DUMMYFUNCTION("""COMPUTED_VALUE"""),-0.403208746114975)</f>
        <v>-0.40320874611497498</v>
      </c>
      <c r="JF83" s="3">
        <f ca="1">IFERROR(__xludf.DUMMYFUNCTION("""COMPUTED_VALUE"""),-0.30085217117629)</f>
        <v>-0.30085217117628998</v>
      </c>
      <c r="JG83" s="3">
        <f ca="1">IFERROR(__xludf.DUMMYFUNCTION("""COMPUTED_VALUE"""),-0.0556100301942026)</f>
        <v>-5.5610030194202603E-2</v>
      </c>
      <c r="JH83" s="3">
        <f ca="1">IFERROR(__xludf.DUMMYFUNCTION("""COMPUTED_VALUE"""),-0.303957736964394)</f>
        <v>-0.30395773696439399</v>
      </c>
      <c r="JI83" s="3">
        <f ca="1">IFERROR(__xludf.DUMMYFUNCTION("""COMPUTED_VALUE"""),-0.277307678187409)</f>
        <v>-0.27730767818740898</v>
      </c>
      <c r="JJ83" s="3">
        <f ca="1">IFERROR(__xludf.DUMMYFUNCTION("""COMPUTED_VALUE"""),-0.37609910889414)</f>
        <v>-0.37609910889414</v>
      </c>
      <c r="JK83" s="3">
        <f ca="1">IFERROR(__xludf.DUMMYFUNCTION("""COMPUTED_VALUE"""),-0.268566188892517)</f>
        <v>-0.26856618889251699</v>
      </c>
      <c r="JL83" s="3">
        <f ca="1">IFERROR(__xludf.DUMMYFUNCTION("""COMPUTED_VALUE"""),-0.376406309592629)</f>
        <v>-0.376406309592629</v>
      </c>
      <c r="JM83" s="3">
        <f ca="1">IFERROR(__xludf.DUMMYFUNCTION("""COMPUTED_VALUE"""),-0.416158640242691)</f>
        <v>-0.416158640242691</v>
      </c>
      <c r="JN83" s="3">
        <f ca="1">IFERROR(__xludf.DUMMYFUNCTION("""COMPUTED_VALUE"""),-0.35275003135088)</f>
        <v>-0.35275003135088001</v>
      </c>
      <c r="JO83" s="3">
        <f ca="1">IFERROR(__xludf.DUMMYFUNCTION("""COMPUTED_VALUE"""),-0.327889687817615)</f>
        <v>-0.32788968781761502</v>
      </c>
      <c r="JP83" s="3">
        <f ca="1">IFERROR(__xludf.DUMMYFUNCTION("""COMPUTED_VALUE"""),-0.35420597834733)</f>
        <v>-0.35420597834732997</v>
      </c>
      <c r="JQ83" s="3">
        <f ca="1">IFERROR(__xludf.DUMMYFUNCTION("""COMPUTED_VALUE"""),-0.401498076892684)</f>
        <v>-0.40149807689268402</v>
      </c>
      <c r="JR83" s="3">
        <f ca="1">IFERROR(__xludf.DUMMYFUNCTION("""COMPUTED_VALUE"""),-0.364370419310535)</f>
        <v>-0.36437041931053499</v>
      </c>
      <c r="JS83" s="3">
        <f ca="1">IFERROR(__xludf.DUMMYFUNCTION("""COMPUTED_VALUE"""),-0.309434009499639)</f>
        <v>-0.30943400949963901</v>
      </c>
      <c r="JT83" s="3">
        <f ca="1">IFERROR(__xludf.DUMMYFUNCTION("""COMPUTED_VALUE"""),-0.386773942832055)</f>
        <v>-0.38677394283205502</v>
      </c>
      <c r="JU83" s="3">
        <f ca="1">IFERROR(__xludf.DUMMYFUNCTION("""COMPUTED_VALUE"""),-0.317888722506143)</f>
        <v>-0.31788872250614297</v>
      </c>
      <c r="JV83" s="3">
        <f ca="1">IFERROR(__xludf.DUMMYFUNCTION("""COMPUTED_VALUE"""),-0.357343058381591)</f>
        <v>-0.35734305838159097</v>
      </c>
      <c r="JW83" s="3">
        <f ca="1">IFERROR(__xludf.DUMMYFUNCTION("""COMPUTED_VALUE"""),-0.439221462385923)</f>
        <v>-0.43922146238592302</v>
      </c>
      <c r="JX83" s="3">
        <f ca="1">IFERROR(__xludf.DUMMYFUNCTION("""COMPUTED_VALUE"""),-0.333173607311998)</f>
        <v>-0.33317360731199802</v>
      </c>
      <c r="JY83" s="3">
        <f ca="1">IFERROR(__xludf.DUMMYFUNCTION("""COMPUTED_VALUE"""),-0.598079593790864)</f>
        <v>-0.59807959379086395</v>
      </c>
      <c r="JZ83" s="3">
        <f ca="1">IFERROR(__xludf.DUMMYFUNCTION("""COMPUTED_VALUE"""),-0.277854065539372)</f>
        <v>-0.27785406553937197</v>
      </c>
      <c r="KA83" s="3">
        <f ca="1">IFERROR(__xludf.DUMMYFUNCTION("""COMPUTED_VALUE"""),-0.358138502414783)</f>
        <v>-0.35813850241478301</v>
      </c>
      <c r="KB83" s="3">
        <f ca="1">IFERROR(__xludf.DUMMYFUNCTION("""COMPUTED_VALUE"""),-0.302796710929484)</f>
        <v>-0.30279671092948401</v>
      </c>
      <c r="KC83" s="3">
        <f ca="1">IFERROR(__xludf.DUMMYFUNCTION("""COMPUTED_VALUE"""),-0.228296131510039)</f>
        <v>-0.228296131510039</v>
      </c>
      <c r="KD83" s="3">
        <f ca="1">IFERROR(__xludf.DUMMYFUNCTION("""COMPUTED_VALUE"""),-0.414168228384559)</f>
        <v>-0.41416822838455902</v>
      </c>
      <c r="KE83" s="3">
        <f ca="1">IFERROR(__xludf.DUMMYFUNCTION("""COMPUTED_VALUE"""),-0.37808274744932)</f>
        <v>-0.37808274744932002</v>
      </c>
      <c r="KF83" s="3">
        <f ca="1">IFERROR(__xludf.DUMMYFUNCTION("""COMPUTED_VALUE"""),-0.410797227126958)</f>
        <v>-0.41079722712695799</v>
      </c>
      <c r="KG83" s="3">
        <f ca="1">IFERROR(__xludf.DUMMYFUNCTION("""COMPUTED_VALUE"""),-0.482705126797992)</f>
        <v>-0.48270512679799199</v>
      </c>
      <c r="KH83" s="3">
        <f ca="1">IFERROR(__xludf.DUMMYFUNCTION("""COMPUTED_VALUE"""),-0.379663672716162)</f>
        <v>-0.37966367271616203</v>
      </c>
      <c r="KI83" s="3">
        <f ca="1">IFERROR(__xludf.DUMMYFUNCTION("""COMPUTED_VALUE"""),-0.320414901663188)</f>
        <v>-0.32041490166318798</v>
      </c>
      <c r="KJ83" s="3">
        <f ca="1">IFERROR(__xludf.DUMMYFUNCTION("""COMPUTED_VALUE"""),-0.430850012235524)</f>
        <v>-0.43085001223552399</v>
      </c>
      <c r="KK83" s="3">
        <f ca="1">IFERROR(__xludf.DUMMYFUNCTION("""COMPUTED_VALUE"""),-0.38792586304506)</f>
        <v>-0.38792586304505999</v>
      </c>
      <c r="KL83" s="3">
        <f ca="1">IFERROR(__xludf.DUMMYFUNCTION("""COMPUTED_VALUE"""),-0.492444464695652)</f>
        <v>-0.49244446469565201</v>
      </c>
      <c r="KM83" s="3">
        <f ca="1">IFERROR(__xludf.DUMMYFUNCTION("""COMPUTED_VALUE"""),-0.429097230015792)</f>
        <v>-0.42909723001579197</v>
      </c>
      <c r="KN83" s="3">
        <f ca="1">IFERROR(__xludf.DUMMYFUNCTION("""COMPUTED_VALUE"""),-0.44542040508859)</f>
        <v>-0.44542040508858999</v>
      </c>
      <c r="KO83" s="3">
        <f ca="1">IFERROR(__xludf.DUMMYFUNCTION("""COMPUTED_VALUE"""),-0.417763932321579)</f>
        <v>-0.41776393232157899</v>
      </c>
      <c r="KP83" s="3">
        <f ca="1">IFERROR(__xludf.DUMMYFUNCTION("""COMPUTED_VALUE"""),-0.367229961597657)</f>
        <v>-0.36722996159765697</v>
      </c>
      <c r="KQ83" s="3">
        <f ca="1">IFERROR(__xludf.DUMMYFUNCTION("""COMPUTED_VALUE"""),-0.449385988581776)</f>
        <v>-0.44938598858177597</v>
      </c>
      <c r="KR83" s="3">
        <f ca="1">IFERROR(__xludf.DUMMYFUNCTION("""COMPUTED_VALUE"""),-0.389424369368049)</f>
        <v>-0.38942436936804897</v>
      </c>
      <c r="KS83" s="3">
        <f ca="1">IFERROR(__xludf.DUMMYFUNCTION("""COMPUTED_VALUE"""),-0.613720185486594)</f>
        <v>-0.61372018548659402</v>
      </c>
      <c r="KT83" s="3">
        <f ca="1">IFERROR(__xludf.DUMMYFUNCTION("""COMPUTED_VALUE"""),-0.538796175503673)</f>
        <v>-0.53879617550367298</v>
      </c>
      <c r="KU83" s="3">
        <f ca="1">IFERROR(__xludf.DUMMYFUNCTION("""COMPUTED_VALUE"""),-0.56233785625336)</f>
        <v>-0.56233785625335997</v>
      </c>
      <c r="KV83" s="3">
        <f ca="1">IFERROR(__xludf.DUMMYFUNCTION("""COMPUTED_VALUE"""),-0.580041256907715)</f>
        <v>-0.58004125690771502</v>
      </c>
      <c r="KW83" s="3">
        <f ca="1">IFERROR(__xludf.DUMMYFUNCTION("""COMPUTED_VALUE"""),-0.500713701159196)</f>
        <v>-0.500713701159196</v>
      </c>
      <c r="KX83" s="3">
        <f ca="1">IFERROR(__xludf.DUMMYFUNCTION("""COMPUTED_VALUE"""),-0.550426094450162)</f>
        <v>-0.550426094450162</v>
      </c>
      <c r="KY83" s="3">
        <f ca="1">IFERROR(__xludf.DUMMYFUNCTION("""COMPUTED_VALUE"""),-0.46541323925413)</f>
        <v>-0.46541323925412997</v>
      </c>
      <c r="KZ83" s="3">
        <f ca="1">IFERROR(__xludf.DUMMYFUNCTION("""COMPUTED_VALUE"""),-0.462509055109967)</f>
        <v>-0.46250905510996698</v>
      </c>
      <c r="LA83" s="3">
        <f ca="1">IFERROR(__xludf.DUMMYFUNCTION("""COMPUTED_VALUE"""),-0.503695830406963)</f>
        <v>-0.50369583040696297</v>
      </c>
      <c r="LB83" s="3">
        <f ca="1">IFERROR(__xludf.DUMMYFUNCTION("""COMPUTED_VALUE"""),-0.521177743265681)</f>
        <v>-0.521177743265681</v>
      </c>
      <c r="LC83" s="3">
        <f ca="1">IFERROR(__xludf.DUMMYFUNCTION("""COMPUTED_VALUE"""),-0.630390659737911)</f>
        <v>-0.63039065973791097</v>
      </c>
      <c r="LD83" s="3">
        <f ca="1">IFERROR(__xludf.DUMMYFUNCTION("""COMPUTED_VALUE"""),-0.494610433261559)</f>
        <v>-0.49461043326155901</v>
      </c>
      <c r="LE83" s="3">
        <f ca="1">IFERROR(__xludf.DUMMYFUNCTION("""COMPUTED_VALUE"""),-0.505226488439884)</f>
        <v>-0.50522648843988405</v>
      </c>
      <c r="LF83" s="3">
        <f ca="1">IFERROR(__xludf.DUMMYFUNCTION("""COMPUTED_VALUE"""),-0.577512400078794)</f>
        <v>-0.57751240007879401</v>
      </c>
      <c r="LG83" s="3">
        <f ca="1">IFERROR(__xludf.DUMMYFUNCTION("""COMPUTED_VALUE"""),-0.527789592512024)</f>
        <v>-0.52778959251202395</v>
      </c>
      <c r="LH83" s="3">
        <f ca="1">IFERROR(__xludf.DUMMYFUNCTION("""COMPUTED_VALUE"""),-0.483976952154106)</f>
        <v>-0.48397695215410602</v>
      </c>
      <c r="LI83" s="3">
        <f ca="1">IFERROR(__xludf.DUMMYFUNCTION("""COMPUTED_VALUE"""),-0.502266311815863)</f>
        <v>-0.50226631181586301</v>
      </c>
      <c r="LJ83" s="3">
        <f ca="1">IFERROR(__xludf.DUMMYFUNCTION("""COMPUTED_VALUE"""),-0.536373068668409)</f>
        <v>-0.53637306866840895</v>
      </c>
      <c r="LK83" s="3">
        <f ca="1">IFERROR(__xludf.DUMMYFUNCTION("""COMPUTED_VALUE"""),-0.455674310892467)</f>
        <v>-0.45567431089246702</v>
      </c>
      <c r="LL83" s="3">
        <f ca="1">IFERROR(__xludf.DUMMYFUNCTION("""COMPUTED_VALUE"""),-0.43979300669733)</f>
        <v>-0.43979300669733001</v>
      </c>
      <c r="LM83" s="3">
        <f ca="1">IFERROR(__xludf.DUMMYFUNCTION("""COMPUTED_VALUE"""),-0.561818216889827)</f>
        <v>-0.56181821688982703</v>
      </c>
      <c r="LN83" s="3">
        <f ca="1">IFERROR(__xludf.DUMMYFUNCTION("""COMPUTED_VALUE"""),-0.539533957782523)</f>
        <v>-0.539533957782523</v>
      </c>
      <c r="LO83" s="3">
        <f ca="1">IFERROR(__xludf.DUMMYFUNCTION("""COMPUTED_VALUE"""),-0.505024630121691)</f>
        <v>-0.50502463012169097</v>
      </c>
      <c r="LP83" s="3">
        <f ca="1">IFERROR(__xludf.DUMMYFUNCTION("""COMPUTED_VALUE"""),-0.492391372718443)</f>
        <v>-0.49239137271844302</v>
      </c>
      <c r="LQ83" s="3">
        <f ca="1">IFERROR(__xludf.DUMMYFUNCTION("""COMPUTED_VALUE"""),-0.688304688544758)</f>
        <v>-0.68830468854475801</v>
      </c>
      <c r="LR83" s="3">
        <f ca="1">IFERROR(__xludf.DUMMYFUNCTION("""COMPUTED_VALUE"""),-0.504360898552076)</f>
        <v>-0.504360898552076</v>
      </c>
      <c r="LS83" s="3">
        <f ca="1">IFERROR(__xludf.DUMMYFUNCTION("""COMPUTED_VALUE"""),-0.523311452510975)</f>
        <v>-0.52331145251097499</v>
      </c>
      <c r="LT83" s="3">
        <f ca="1">IFERROR(__xludf.DUMMYFUNCTION("""COMPUTED_VALUE"""),-0.622285576980808)</f>
        <v>-0.622285576980808</v>
      </c>
      <c r="LU83" s="3">
        <f ca="1">IFERROR(__xludf.DUMMYFUNCTION("""COMPUTED_VALUE"""),-0.595327835308074)</f>
        <v>-0.59532783530807398</v>
      </c>
      <c r="LV83" s="3">
        <f ca="1">IFERROR(__xludf.DUMMYFUNCTION("""COMPUTED_VALUE"""),-0.59685405635004)</f>
        <v>-0.59685405635003996</v>
      </c>
      <c r="LW83" s="3">
        <f ca="1">IFERROR(__xludf.DUMMYFUNCTION("""COMPUTED_VALUE"""),-0.579438760655836)</f>
        <v>-0.57943876065583599</v>
      </c>
      <c r="LX83" s="3">
        <f ca="1">IFERROR(__xludf.DUMMYFUNCTION("""COMPUTED_VALUE"""),-0.570051385691527)</f>
        <v>-0.57005138569152702</v>
      </c>
      <c r="LY83" s="3">
        <f ca="1">IFERROR(__xludf.DUMMYFUNCTION("""COMPUTED_VALUE"""),-0.634835268330618)</f>
        <v>-0.63483526833061799</v>
      </c>
      <c r="LZ83" s="3">
        <f ca="1">IFERROR(__xludf.DUMMYFUNCTION("""COMPUTED_VALUE"""),-0.596789488043959)</f>
        <v>-0.59678948804395904</v>
      </c>
      <c r="MA83" s="3">
        <f ca="1">IFERROR(__xludf.DUMMYFUNCTION("""COMPUTED_VALUE"""),-0.659516400433902)</f>
        <v>-0.65951640043390203</v>
      </c>
      <c r="MB83" s="3">
        <f ca="1">IFERROR(__xludf.DUMMYFUNCTION("""COMPUTED_VALUE"""),-0.608768795997974)</f>
        <v>-0.60876879599797395</v>
      </c>
      <c r="MC83" s="3">
        <f ca="1">IFERROR(__xludf.DUMMYFUNCTION("""COMPUTED_VALUE"""),-0.664406252908848)</f>
        <v>-0.66440625290884803</v>
      </c>
      <c r="MD83" s="3">
        <f ca="1">IFERROR(__xludf.DUMMYFUNCTION("""COMPUTED_VALUE"""),-0.607160086401351)</f>
        <v>-0.607160086401351</v>
      </c>
      <c r="ME83" s="3">
        <f ca="1">IFERROR(__xludf.DUMMYFUNCTION("""COMPUTED_VALUE"""),-0.622218489320324)</f>
        <v>-0.62221848932032398</v>
      </c>
      <c r="MF83" s="3">
        <f ca="1">IFERROR(__xludf.DUMMYFUNCTION("""COMPUTED_VALUE"""),-0.589662472186524)</f>
        <v>-0.58966247218652401</v>
      </c>
      <c r="MG83" s="3">
        <f ca="1">IFERROR(__xludf.DUMMYFUNCTION("""COMPUTED_VALUE"""),-0.593550343969557)</f>
        <v>-0.59355034396955697</v>
      </c>
      <c r="MH83" s="3">
        <f ca="1">IFERROR(__xludf.DUMMYFUNCTION("""COMPUTED_VALUE"""),-0.657977702794304)</f>
        <v>-0.65797770279430401</v>
      </c>
      <c r="MI83" s="3">
        <f ca="1">IFERROR(__xludf.DUMMYFUNCTION("""COMPUTED_VALUE"""),-0.573963306828699)</f>
        <v>-0.573963306828699</v>
      </c>
      <c r="MJ83" s="3">
        <f ca="1">IFERROR(__xludf.DUMMYFUNCTION("""COMPUTED_VALUE"""),-0.681293796802981)</f>
        <v>-0.68129379680298097</v>
      </c>
      <c r="MK83" s="3">
        <f ca="1">IFERROR(__xludf.DUMMYFUNCTION("""COMPUTED_VALUE"""),-0.712251152479059)</f>
        <v>-0.71225115247905901</v>
      </c>
      <c r="ML83" s="3">
        <f ca="1">IFERROR(__xludf.DUMMYFUNCTION("""COMPUTED_VALUE"""),-0.597215779028232)</f>
        <v>-0.59721577902823197</v>
      </c>
      <c r="MM83" s="3">
        <f ca="1">IFERROR(__xludf.DUMMYFUNCTION("""COMPUTED_VALUE"""),-0.58642026114581)</f>
        <v>-0.58642026114581003</v>
      </c>
      <c r="MN83" s="3">
        <f ca="1">IFERROR(__xludf.DUMMYFUNCTION("""COMPUTED_VALUE"""),-0.637781483108121)</f>
        <v>-0.63778148310812099</v>
      </c>
      <c r="MO83" s="3">
        <f ca="1">IFERROR(__xludf.DUMMYFUNCTION("""COMPUTED_VALUE"""),-0.635511140640819)</f>
        <v>-0.63551114064081904</v>
      </c>
      <c r="MP83" s="3">
        <f ca="1">IFERROR(__xludf.DUMMYFUNCTION("""COMPUTED_VALUE"""),-0.645036433929169)</f>
        <v>-0.64503643392916898</v>
      </c>
      <c r="MQ83" s="3">
        <f ca="1">IFERROR(__xludf.DUMMYFUNCTION("""COMPUTED_VALUE"""),-0.645468819120312)</f>
        <v>-0.64546881912031195</v>
      </c>
      <c r="MR83" s="3">
        <f ca="1">IFERROR(__xludf.DUMMYFUNCTION("""COMPUTED_VALUE"""),-0.666062821993925)</f>
        <v>-0.66606282199392497</v>
      </c>
      <c r="MS83" s="3">
        <f ca="1">IFERROR(__xludf.DUMMYFUNCTION("""COMPUTED_VALUE"""),-0.661754086935204)</f>
        <v>-0.66175408693520399</v>
      </c>
      <c r="MT83" s="3">
        <f ca="1">IFERROR(__xludf.DUMMYFUNCTION("""COMPUTED_VALUE"""),-0.548892303457194)</f>
        <v>-0.54889230345719398</v>
      </c>
      <c r="MU83" s="3">
        <f ca="1">IFERROR(__xludf.DUMMYFUNCTION("""COMPUTED_VALUE"""),-0.668025620428146)</f>
        <v>-0.66802562042814595</v>
      </c>
      <c r="MV83" s="3">
        <f ca="1">IFERROR(__xludf.DUMMYFUNCTION("""COMPUTED_VALUE"""),-0.682933619371056)</f>
        <v>-0.68293361937105601</v>
      </c>
      <c r="MW83" s="3">
        <f ca="1">IFERROR(__xludf.DUMMYFUNCTION("""COMPUTED_VALUE"""),-0.735012606833901)</f>
        <v>-0.73501260683390102</v>
      </c>
      <c r="MX83" s="3">
        <f ca="1">IFERROR(__xludf.DUMMYFUNCTION("""COMPUTED_VALUE"""),-0.694195110840355)</f>
        <v>-0.69419511084035501</v>
      </c>
      <c r="MY83" s="3">
        <f ca="1">IFERROR(__xludf.DUMMYFUNCTION("""COMPUTED_VALUE"""),-0.722558921961173)</f>
        <v>-0.722558921961173</v>
      </c>
      <c r="MZ83" s="3">
        <f ca="1">IFERROR(__xludf.DUMMYFUNCTION("""COMPUTED_VALUE"""),-0.77467696749154)</f>
        <v>-0.77467696749154003</v>
      </c>
      <c r="NA83" s="3">
        <f ca="1">IFERROR(__xludf.DUMMYFUNCTION("""COMPUTED_VALUE"""),-0.7741696476557)</f>
        <v>-0.77416964765569996</v>
      </c>
      <c r="NB83" s="3">
        <f ca="1">IFERROR(__xludf.DUMMYFUNCTION("""COMPUTED_VALUE"""),-0.609632346808535)</f>
        <v>-0.60963234680853495</v>
      </c>
      <c r="NC83" s="3">
        <f ca="1">IFERROR(__xludf.DUMMYFUNCTION("""COMPUTED_VALUE"""),-0.850435910288792)</f>
        <v>-0.85043591028879195</v>
      </c>
      <c r="ND83" s="3">
        <f ca="1">IFERROR(__xludf.DUMMYFUNCTION("""COMPUTED_VALUE"""),-0.608907249094174)</f>
        <v>-0.60890724909417404</v>
      </c>
      <c r="NE83" s="3">
        <f ca="1">IFERROR(__xludf.DUMMYFUNCTION("""COMPUTED_VALUE"""),-0.705512120095908)</f>
        <v>-0.70551212009590802</v>
      </c>
      <c r="NF83" s="3">
        <f ca="1">IFERROR(__xludf.DUMMYFUNCTION("""COMPUTED_VALUE"""),-0.676631025246655)</f>
        <v>-0.67663102524665497</v>
      </c>
      <c r="NG83" s="3">
        <f ca="1">IFERROR(__xludf.DUMMYFUNCTION("""COMPUTED_VALUE"""),-0.701050596748775)</f>
        <v>-0.70105059674877501</v>
      </c>
      <c r="NH83" s="3">
        <f ca="1">IFERROR(__xludf.DUMMYFUNCTION("""COMPUTED_VALUE"""),-0.657058796191198)</f>
        <v>-0.657058796191198</v>
      </c>
      <c r="NI83" s="3">
        <f ca="1">IFERROR(__xludf.DUMMYFUNCTION("""COMPUTED_VALUE"""),-0.681825756219156)</f>
        <v>-0.68182575621915598</v>
      </c>
      <c r="NJ83" s="3">
        <f ca="1">IFERROR(__xludf.DUMMYFUNCTION("""COMPUTED_VALUE"""),-0.715966709829475)</f>
        <v>-0.71596670982947497</v>
      </c>
      <c r="NK83" s="3">
        <f ca="1">IFERROR(__xludf.DUMMYFUNCTION("""COMPUTED_VALUE"""),-0.751459146290884)</f>
        <v>-0.75145914629088395</v>
      </c>
      <c r="NL83" s="3">
        <f ca="1">IFERROR(__xludf.DUMMYFUNCTION("""COMPUTED_VALUE"""),-0.607783827159598)</f>
        <v>-0.607783827159598</v>
      </c>
      <c r="NM83" s="3">
        <f ca="1">IFERROR(__xludf.DUMMYFUNCTION("""COMPUTED_VALUE"""),-0.6860945518296)</f>
        <v>-0.6860945518296</v>
      </c>
      <c r="NN83" s="3">
        <f ca="1">IFERROR(__xludf.DUMMYFUNCTION("""COMPUTED_VALUE"""),-0.697071185500551)</f>
        <v>-0.69707118550055103</v>
      </c>
      <c r="NO83" s="3">
        <f ca="1">IFERROR(__xludf.DUMMYFUNCTION("""COMPUTED_VALUE"""),-0.564540197980981)</f>
        <v>-0.56454019798098098</v>
      </c>
      <c r="NP83" s="3">
        <f ca="1">IFERROR(__xludf.DUMMYFUNCTION("""COMPUTED_VALUE"""),-0.653976745825759)</f>
        <v>-0.65397674582575904</v>
      </c>
      <c r="NQ83" s="3">
        <f ca="1">IFERROR(__xludf.DUMMYFUNCTION("""COMPUTED_VALUE"""),-0.742170434311516)</f>
        <v>-0.74217043431151597</v>
      </c>
      <c r="NR83" s="3">
        <f ca="1">IFERROR(__xludf.DUMMYFUNCTION("""COMPUTED_VALUE"""),-0.710220580226211)</f>
        <v>-0.71022058022621104</v>
      </c>
      <c r="NS83" s="3">
        <f ca="1">IFERROR(__xludf.DUMMYFUNCTION("""COMPUTED_VALUE"""),-0.720269780509494)</f>
        <v>-0.72026978050949397</v>
      </c>
      <c r="NT83" s="3">
        <f ca="1">IFERROR(__xludf.DUMMYFUNCTION("""COMPUTED_VALUE"""),-0.581948778083085)</f>
        <v>-0.58194877808308498</v>
      </c>
      <c r="NU83" s="3">
        <f ca="1">IFERROR(__xludf.DUMMYFUNCTION("""COMPUTED_VALUE"""),-0.65177544790708)</f>
        <v>-0.65177544790707997</v>
      </c>
      <c r="NV83" s="3">
        <f ca="1">IFERROR(__xludf.DUMMYFUNCTION("""COMPUTED_VALUE"""),-0.411279476860934)</f>
        <v>-0.41127947686093402</v>
      </c>
      <c r="NW83" s="3">
        <f ca="1">IFERROR(__xludf.DUMMYFUNCTION("""COMPUTED_VALUE"""),-0.50667144501391)</f>
        <v>-0.50667144501391004</v>
      </c>
      <c r="NX83" s="3">
        <f ca="1">IFERROR(__xludf.DUMMYFUNCTION("""COMPUTED_VALUE"""),-0.53808139586935)</f>
        <v>-0.53808139586935</v>
      </c>
      <c r="NY83" s="3">
        <f ca="1">IFERROR(__xludf.DUMMYFUNCTION("""COMPUTED_VALUE"""),-0.598752904322748)</f>
        <v>-0.59875290432274797</v>
      </c>
      <c r="NZ83" s="3">
        <f ca="1">IFERROR(__xludf.DUMMYFUNCTION("""COMPUTED_VALUE"""),-0.511761689196073)</f>
        <v>-0.51176168919607301</v>
      </c>
      <c r="OA83" s="3">
        <f ca="1">IFERROR(__xludf.DUMMYFUNCTION("""COMPUTED_VALUE"""),-0.475682008948799)</f>
        <v>-0.47568200894879897</v>
      </c>
      <c r="OB83" s="3">
        <f ca="1">IFERROR(__xludf.DUMMYFUNCTION("""COMPUTED_VALUE"""),-0.369415046384193)</f>
        <v>-0.36941504638419298</v>
      </c>
      <c r="OC83" s="3">
        <f ca="1">IFERROR(__xludf.DUMMYFUNCTION("""COMPUTED_VALUE"""),-0.104189352875002)</f>
        <v>-0.104189352875002</v>
      </c>
      <c r="OD83" s="3">
        <f ca="1">IFERROR(__xludf.DUMMYFUNCTION("""COMPUTED_VALUE"""),-0.0609680697754133)</f>
        <v>-6.0968069775413303E-2</v>
      </c>
      <c r="OE83" s="3">
        <f ca="1">IFERROR(__xludf.DUMMYFUNCTION("""COMPUTED_VALUE"""),-0.00931758130542437)</f>
        <v>-9.31758130542437E-3</v>
      </c>
      <c r="OF83" s="3">
        <f ca="1">IFERROR(__xludf.DUMMYFUNCTION("""COMPUTED_VALUE"""),0.0632964028621736)</f>
        <v>6.3296402862173598E-2</v>
      </c>
      <c r="OG83" s="3">
        <f ca="1">IFERROR(__xludf.DUMMYFUNCTION("""COMPUTED_VALUE"""),0.0754275405420819)</f>
        <v>7.5427540542081895E-2</v>
      </c>
      <c r="OH83" s="3">
        <f ca="1">IFERROR(__xludf.DUMMYFUNCTION("""COMPUTED_VALUE"""),0.118784888019163)</f>
        <v>0.118784888019163</v>
      </c>
      <c r="OI83" s="3">
        <f ca="1">IFERROR(__xludf.DUMMYFUNCTION("""COMPUTED_VALUE"""),-0.00233194884581899)</f>
        <v>-2.3319488458189899E-3</v>
      </c>
      <c r="OJ83" s="3">
        <f ca="1">IFERROR(__xludf.DUMMYFUNCTION("""COMPUTED_VALUE"""),0.0159940894879995)</f>
        <v>1.5994089487999501E-2</v>
      </c>
      <c r="OK83" s="3">
        <f ca="1">IFERROR(__xludf.DUMMYFUNCTION("""COMPUTED_VALUE"""),0.00918667539715323)</f>
        <v>9.1866753971532305E-3</v>
      </c>
      <c r="OL83" s="3">
        <f ca="1">IFERROR(__xludf.DUMMYFUNCTION("""COMPUTED_VALUE"""),0.0654414849845366)</f>
        <v>6.5441484984536599E-2</v>
      </c>
      <c r="OM83" s="3">
        <f ca="1">IFERROR(__xludf.DUMMYFUNCTION("""COMPUTED_VALUE"""),0.070343282879534)</f>
        <v>7.0343282879533994E-2</v>
      </c>
      <c r="ON83" s="3">
        <f ca="1">IFERROR(__xludf.DUMMYFUNCTION("""COMPUTED_VALUE"""),0.0535908185385007)</f>
        <v>5.3590818538500701E-2</v>
      </c>
      <c r="OO83" s="3">
        <f ca="1">IFERROR(__xludf.DUMMYFUNCTION("""COMPUTED_VALUE"""),0.0754328061731033)</f>
        <v>7.5432806173103301E-2</v>
      </c>
      <c r="OP83" s="3">
        <f ca="1">IFERROR(__xludf.DUMMYFUNCTION("""COMPUTED_VALUE"""),0.266106659745022)</f>
        <v>0.26610665974502201</v>
      </c>
      <c r="OQ83" s="3">
        <f ca="1">IFERROR(__xludf.DUMMYFUNCTION("""COMPUTED_VALUE"""),0.223772846417642)</f>
        <v>0.223772846417642</v>
      </c>
      <c r="OR83" s="3">
        <f ca="1">IFERROR(__xludf.DUMMYFUNCTION("""COMPUTED_VALUE"""),0.123452276969029)</f>
        <v>0.123452276969029</v>
      </c>
      <c r="OS83" s="3">
        <f ca="1">IFERROR(__xludf.DUMMYFUNCTION("""COMPUTED_VALUE"""),-0.0328384719303505)</f>
        <v>-3.2838471930350499E-2</v>
      </c>
      <c r="OT83" s="3">
        <f ca="1">IFERROR(__xludf.DUMMYFUNCTION("""COMPUTED_VALUE"""),-0.0684239258138058)</f>
        <v>-6.8423925813805797E-2</v>
      </c>
      <c r="OU83" s="3">
        <f ca="1">IFERROR(__xludf.DUMMYFUNCTION("""COMPUTED_VALUE"""),-0.0166542343392788)</f>
        <v>-1.66542343392788E-2</v>
      </c>
      <c r="OV83" s="3">
        <f ca="1">IFERROR(__xludf.DUMMYFUNCTION("""COMPUTED_VALUE"""),-0.117535491006751)</f>
        <v>-0.11753549100675099</v>
      </c>
      <c r="OW83" s="3">
        <f ca="1">IFERROR(__xludf.DUMMYFUNCTION("""COMPUTED_VALUE"""),0.154067564444478)</f>
        <v>0.154067564444478</v>
      </c>
      <c r="OX83" s="3">
        <f ca="1">IFERROR(__xludf.DUMMYFUNCTION("""COMPUTED_VALUE"""),0.159643472918984)</f>
        <v>0.15964347291898401</v>
      </c>
      <c r="OY83" s="3">
        <f ca="1">IFERROR(__xludf.DUMMYFUNCTION("""COMPUTED_VALUE"""),0.00478204232717738)</f>
        <v>4.78204232717738E-3</v>
      </c>
      <c r="OZ83" s="3">
        <f ca="1">IFERROR(__xludf.DUMMYFUNCTION("""COMPUTED_VALUE"""),-0.101984313875995)</f>
        <v>-0.10198431387599501</v>
      </c>
      <c r="PA83" s="3">
        <f ca="1">IFERROR(__xludf.DUMMYFUNCTION("""COMPUTED_VALUE"""),-0.114772159278351)</f>
        <v>-0.11477215927835099</v>
      </c>
      <c r="PB83" s="3">
        <f ca="1">IFERROR(__xludf.DUMMYFUNCTION("""COMPUTED_VALUE"""),-0.0833173049153178)</f>
        <v>-8.3317304915317802E-2</v>
      </c>
      <c r="PC83" s="3">
        <f ca="1">IFERROR(__xludf.DUMMYFUNCTION("""COMPUTED_VALUE"""),0.0915210329263376)</f>
        <v>9.1521032926337606E-2</v>
      </c>
      <c r="PD83" s="3">
        <f ca="1">IFERROR(__xludf.DUMMYFUNCTION("""COMPUTED_VALUE"""),-0.349979908933209)</f>
        <v>-0.34997990893320902</v>
      </c>
      <c r="PE83" s="3">
        <f ca="1">IFERROR(__xludf.DUMMYFUNCTION("""COMPUTED_VALUE"""),0.0124873088243258)</f>
        <v>1.2487308824325799E-2</v>
      </c>
      <c r="PF83" s="3">
        <f ca="1">IFERROR(__xludf.DUMMYFUNCTION("""COMPUTED_VALUE"""),0.000150416849433066)</f>
        <v>1.5041684943306599E-4</v>
      </c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</row>
    <row r="84" spans="1:594" ht="13">
      <c r="A84" s="1" t="str">
        <f ca="1">IFERROR(__xludf.DUMMYFUNCTION("""COMPUTED_VALUE"""),"Toronto")</f>
        <v>Toronto</v>
      </c>
      <c r="B84" s="3">
        <f ca="1">IFERROR(__xludf.DUMMYFUNCTION("""COMPUTED_VALUE"""),-0.592502561524222)</f>
        <v>-0.59250256152422198</v>
      </c>
      <c r="C84" s="3">
        <f ca="1">IFERROR(__xludf.DUMMYFUNCTION("""COMPUTED_VALUE"""),-0.604901812147084)</f>
        <v>-0.60490181214708405</v>
      </c>
      <c r="D84" s="3">
        <f ca="1">IFERROR(__xludf.DUMMYFUNCTION("""COMPUTED_VALUE"""),-0.67592772455421)</f>
        <v>-0.67592772455421002</v>
      </c>
      <c r="E84" s="3">
        <f ca="1">IFERROR(__xludf.DUMMYFUNCTION("""COMPUTED_VALUE"""),-0.648154912659035)</f>
        <v>-0.64815491265903502</v>
      </c>
      <c r="F84" s="3">
        <f ca="1">IFERROR(__xludf.DUMMYFUNCTION("""COMPUTED_VALUE"""),-0.646291354346179)</f>
        <v>-0.64629135434617901</v>
      </c>
      <c r="G84" s="3">
        <f ca="1">IFERROR(__xludf.DUMMYFUNCTION("""COMPUTED_VALUE"""),-0.649000161038203)</f>
        <v>-0.64900016103820302</v>
      </c>
      <c r="H84" s="3">
        <f ca="1">IFERROR(__xludf.DUMMYFUNCTION("""COMPUTED_VALUE"""),-0.600242689455503)</f>
        <v>-0.60024268945550296</v>
      </c>
      <c r="I84" s="3">
        <f ca="1">IFERROR(__xludf.DUMMYFUNCTION("""COMPUTED_VALUE"""),-0.588089558691186)</f>
        <v>-0.58808955869118595</v>
      </c>
      <c r="J84" s="3">
        <f ca="1">IFERROR(__xludf.DUMMYFUNCTION("""COMPUTED_VALUE"""),-0.723907733249278)</f>
        <v>-0.72390773324927804</v>
      </c>
      <c r="K84" s="3">
        <f ca="1">IFERROR(__xludf.DUMMYFUNCTION("""COMPUTED_VALUE"""),-0.613274417286592)</f>
        <v>-0.61327441728659204</v>
      </c>
      <c r="L84" s="3">
        <f ca="1">IFERROR(__xludf.DUMMYFUNCTION("""COMPUTED_VALUE"""),-0.633884715041031)</f>
        <v>-0.63388471504103105</v>
      </c>
      <c r="M84" s="3">
        <f ca="1">IFERROR(__xludf.DUMMYFUNCTION("""COMPUTED_VALUE"""),-0.625326792394446)</f>
        <v>-0.625326792394446</v>
      </c>
      <c r="N84" s="3">
        <f ca="1">IFERROR(__xludf.DUMMYFUNCTION("""COMPUTED_VALUE"""),-0.618868145217604)</f>
        <v>-0.61886814521760403</v>
      </c>
      <c r="O84" s="3">
        <f ca="1">IFERROR(__xludf.DUMMYFUNCTION("""COMPUTED_VALUE"""),-0.555551633291566)</f>
        <v>-0.55555163329156598</v>
      </c>
      <c r="P84" s="3">
        <f ca="1">IFERROR(__xludf.DUMMYFUNCTION("""COMPUTED_VALUE"""),-0.550974239575368)</f>
        <v>-0.55097423957536795</v>
      </c>
      <c r="Q84" s="3">
        <f ca="1">IFERROR(__xludf.DUMMYFUNCTION("""COMPUTED_VALUE"""),-0.662368413494795)</f>
        <v>-0.66236841349479503</v>
      </c>
      <c r="R84" s="3">
        <f ca="1">IFERROR(__xludf.DUMMYFUNCTION("""COMPUTED_VALUE"""),-0.652682322144624)</f>
        <v>-0.65268232214462396</v>
      </c>
      <c r="S84" s="3">
        <f ca="1">IFERROR(__xludf.DUMMYFUNCTION("""COMPUTED_VALUE"""),-0.671436683129866)</f>
        <v>-0.67143668312986604</v>
      </c>
      <c r="T84" s="3">
        <f ca="1">IFERROR(__xludf.DUMMYFUNCTION("""COMPUTED_VALUE"""),-0.661661276245781)</f>
        <v>-0.66166127624578097</v>
      </c>
      <c r="U84" s="3">
        <f ca="1">IFERROR(__xludf.DUMMYFUNCTION("""COMPUTED_VALUE"""),-0.640082203457691)</f>
        <v>-0.64008220345769096</v>
      </c>
      <c r="V84" s="3">
        <f ca="1">IFERROR(__xludf.DUMMYFUNCTION("""COMPUTED_VALUE"""),-0.527391789247366)</f>
        <v>-0.52739178924736596</v>
      </c>
      <c r="W84" s="3">
        <f ca="1">IFERROR(__xludf.DUMMYFUNCTION("""COMPUTED_VALUE"""),-0.544761100067921)</f>
        <v>-0.544761100067921</v>
      </c>
      <c r="X84" s="3">
        <f ca="1">IFERROR(__xludf.DUMMYFUNCTION("""COMPUTED_VALUE"""),-0.656811161401626)</f>
        <v>-0.65681116140162599</v>
      </c>
      <c r="Y84" s="3">
        <f ca="1">IFERROR(__xludf.DUMMYFUNCTION("""COMPUTED_VALUE"""),-0.665795224776555)</f>
        <v>-0.66579522477655495</v>
      </c>
      <c r="Z84" s="3">
        <f ca="1">IFERROR(__xludf.DUMMYFUNCTION("""COMPUTED_VALUE"""),-0.665564518225205)</f>
        <v>-0.66556451822520502</v>
      </c>
      <c r="AA84" s="3">
        <f ca="1">IFERROR(__xludf.DUMMYFUNCTION("""COMPUTED_VALUE"""),-0.675592576564997)</f>
        <v>-0.67559257656499705</v>
      </c>
      <c r="AB84" s="3">
        <f ca="1">IFERROR(__xludf.DUMMYFUNCTION("""COMPUTED_VALUE"""),-0.651949571970296)</f>
        <v>-0.65194957197029602</v>
      </c>
      <c r="AC84" s="3">
        <f ca="1">IFERROR(__xludf.DUMMYFUNCTION("""COMPUTED_VALUE"""),-0.56158989308957)</f>
        <v>-0.56158989308956997</v>
      </c>
      <c r="AD84" s="3">
        <f ca="1">IFERROR(__xludf.DUMMYFUNCTION("""COMPUTED_VALUE"""),-0.573006759958184)</f>
        <v>-0.57300675995818395</v>
      </c>
      <c r="AE84" s="3">
        <f ca="1">IFERROR(__xludf.DUMMYFUNCTION("""COMPUTED_VALUE"""),-0.667257263206094)</f>
        <v>-0.66725726320609402</v>
      </c>
      <c r="AF84" s="3">
        <f ca="1">IFERROR(__xludf.DUMMYFUNCTION("""COMPUTED_VALUE"""),-0.672082123114137)</f>
        <v>-0.67208212311413695</v>
      </c>
      <c r="AG84" s="3">
        <f ca="1">IFERROR(__xludf.DUMMYFUNCTION("""COMPUTED_VALUE"""),-0.660046452983402)</f>
        <v>-0.66004645298340203</v>
      </c>
      <c r="AH84" s="3">
        <f ca="1">IFERROR(__xludf.DUMMYFUNCTION("""COMPUTED_VALUE"""),-0.661858478431098)</f>
        <v>-0.66185847843109802</v>
      </c>
      <c r="AI84" s="3">
        <f ca="1">IFERROR(__xludf.DUMMYFUNCTION("""COMPUTED_VALUE"""),-0.664023206476658)</f>
        <v>-0.66402320647665802</v>
      </c>
      <c r="AJ84" s="3">
        <f ca="1">IFERROR(__xludf.DUMMYFUNCTION("""COMPUTED_VALUE"""),-0.597203372555455)</f>
        <v>-0.59720337255545497</v>
      </c>
      <c r="AK84" s="3">
        <f ca="1">IFERROR(__xludf.DUMMYFUNCTION("""COMPUTED_VALUE"""),-0.617794115264196)</f>
        <v>-0.61779411526419603</v>
      </c>
      <c r="AL84" s="3">
        <f ca="1">IFERROR(__xludf.DUMMYFUNCTION("""COMPUTED_VALUE"""),-0.690227424025453)</f>
        <v>-0.69022742402545301</v>
      </c>
      <c r="AM84" s="3">
        <f ca="1">IFERROR(__xludf.DUMMYFUNCTION("""COMPUTED_VALUE"""),-0.700042064404465)</f>
        <v>-0.70004206440446504</v>
      </c>
      <c r="AN84" s="3">
        <f ca="1">IFERROR(__xludf.DUMMYFUNCTION("""COMPUTED_VALUE"""),-0.682098848138376)</f>
        <v>-0.68209884813837596</v>
      </c>
      <c r="AO84" s="3">
        <f ca="1">IFERROR(__xludf.DUMMYFUNCTION("""COMPUTED_VALUE"""),-0.690008594558491)</f>
        <v>-0.69000859455849095</v>
      </c>
      <c r="AP84" s="3">
        <f ca="1">IFERROR(__xludf.DUMMYFUNCTION("""COMPUTED_VALUE"""),-0.677602999343757)</f>
        <v>-0.67760299934375701</v>
      </c>
      <c r="AQ84" s="3">
        <f ca="1">IFERROR(__xludf.DUMMYFUNCTION("""COMPUTED_VALUE"""),-0.599624412133705)</f>
        <v>-0.59962441213370499</v>
      </c>
      <c r="AR84" s="3">
        <f ca="1">IFERROR(__xludf.DUMMYFUNCTION("""COMPUTED_VALUE"""),-0.621184127181456)</f>
        <v>-0.62118412718145599</v>
      </c>
      <c r="AS84" s="3">
        <f ca="1">IFERROR(__xludf.DUMMYFUNCTION("""COMPUTED_VALUE"""),-0.683331828313143)</f>
        <v>-0.68333182831314299</v>
      </c>
      <c r="AT84" s="3">
        <f ca="1">IFERROR(__xludf.DUMMYFUNCTION("""COMPUTED_VALUE"""),-0.697999444500125)</f>
        <v>-0.69799944450012497</v>
      </c>
      <c r="AU84" s="3">
        <f ca="1">IFERROR(__xludf.DUMMYFUNCTION("""COMPUTED_VALUE"""),-0.688715230239978)</f>
        <v>-0.68871523023997805</v>
      </c>
      <c r="AV84" s="3">
        <f ca="1">IFERROR(__xludf.DUMMYFUNCTION("""COMPUTED_VALUE"""),-0.688098478299037)</f>
        <v>-0.68809847829903703</v>
      </c>
      <c r="AW84" s="3">
        <f ca="1">IFERROR(__xludf.DUMMYFUNCTION("""COMPUTED_VALUE"""),-0.617364549139138)</f>
        <v>-0.61736454913913796</v>
      </c>
      <c r="AX84" s="3">
        <f ca="1">IFERROR(__xludf.DUMMYFUNCTION("""COMPUTED_VALUE"""),-0.613400685224912)</f>
        <v>-0.61340068522491198</v>
      </c>
      <c r="AY84" s="3">
        <f ca="1">IFERROR(__xludf.DUMMYFUNCTION("""COMPUTED_VALUE"""),-0.641664021861455)</f>
        <v>-0.64166402186145499</v>
      </c>
      <c r="AZ84" s="3">
        <f ca="1">IFERROR(__xludf.DUMMYFUNCTION("""COMPUTED_VALUE"""),-0.691679903611743)</f>
        <v>-0.69167990361174303</v>
      </c>
      <c r="BA84" s="3">
        <f ca="1">IFERROR(__xludf.DUMMYFUNCTION("""COMPUTED_VALUE"""),-0.711870888728665)</f>
        <v>-0.711870888728665</v>
      </c>
      <c r="BB84" s="3">
        <f ca="1">IFERROR(__xludf.DUMMYFUNCTION("""COMPUTED_VALUE"""),-0.687382479957872)</f>
        <v>-0.68738247995787205</v>
      </c>
      <c r="BC84" s="3">
        <f ca="1">IFERROR(__xludf.DUMMYFUNCTION("""COMPUTED_VALUE"""),-0.647128939506541)</f>
        <v>-0.64712893950654105</v>
      </c>
      <c r="BD84" s="3">
        <f ca="1">IFERROR(__xludf.DUMMYFUNCTION("""COMPUTED_VALUE"""),-0.750559107835572)</f>
        <v>-0.750559107835572</v>
      </c>
      <c r="BE84" s="3">
        <f ca="1">IFERROR(__xludf.DUMMYFUNCTION("""COMPUTED_VALUE"""),-0.612914975722474)</f>
        <v>-0.612914975722474</v>
      </c>
      <c r="BF84" s="3">
        <f ca="1">IFERROR(__xludf.DUMMYFUNCTION("""COMPUTED_VALUE"""),-0.661675708616058)</f>
        <v>-0.66167570861605796</v>
      </c>
      <c r="BG84" s="3">
        <f ca="1">IFERROR(__xludf.DUMMYFUNCTION("""COMPUTED_VALUE"""),-0.72546323309631)</f>
        <v>-0.72546323309631</v>
      </c>
      <c r="BH84" s="3">
        <f ca="1">IFERROR(__xludf.DUMMYFUNCTION("""COMPUTED_VALUE"""),-0.742904811459794)</f>
        <v>-0.74290481145979403</v>
      </c>
      <c r="BI84" s="3">
        <f ca="1">IFERROR(__xludf.DUMMYFUNCTION("""COMPUTED_VALUE"""),-0.74684162076871)</f>
        <v>-0.74684162076870997</v>
      </c>
      <c r="BJ84" s="3">
        <f ca="1">IFERROR(__xludf.DUMMYFUNCTION("""COMPUTED_VALUE"""),-0.736161387153885)</f>
        <v>-0.73616138715388502</v>
      </c>
      <c r="BK84" s="3">
        <f ca="1">IFERROR(__xludf.DUMMYFUNCTION("""COMPUTED_VALUE"""),-0.693530374619119)</f>
        <v>-0.69353037461911904</v>
      </c>
      <c r="BL84" s="3">
        <f ca="1">IFERROR(__xludf.DUMMYFUNCTION("""COMPUTED_VALUE"""),-0.669889647024824)</f>
        <v>-0.66988964702482401</v>
      </c>
      <c r="BM84" s="3">
        <f ca="1">IFERROR(__xludf.DUMMYFUNCTION("""COMPUTED_VALUE"""),-0.678970270012514)</f>
        <v>-0.67897027001251398</v>
      </c>
      <c r="BN84" s="3">
        <f ca="1">IFERROR(__xludf.DUMMYFUNCTION("""COMPUTED_VALUE"""),-0.74087941895333)</f>
        <v>-0.74087941895332998</v>
      </c>
      <c r="BO84" s="3">
        <f ca="1">IFERROR(__xludf.DUMMYFUNCTION("""COMPUTED_VALUE"""),-0.749482928110536)</f>
        <v>-0.74948292811053596</v>
      </c>
      <c r="BP84" s="3">
        <f ca="1">IFERROR(__xludf.DUMMYFUNCTION("""COMPUTED_VALUE"""),-0.754647320439505)</f>
        <v>-0.754647320439505</v>
      </c>
      <c r="BQ84" s="3">
        <f ca="1">IFERROR(__xludf.DUMMYFUNCTION("""COMPUTED_VALUE"""),-0.755809024063684)</f>
        <v>-0.755809024063684</v>
      </c>
      <c r="BR84" s="3">
        <f ca="1">IFERROR(__xludf.DUMMYFUNCTION("""COMPUTED_VALUE"""),-0.755448119208743)</f>
        <v>-0.755448119208743</v>
      </c>
      <c r="BS84" s="3">
        <f ca="1">IFERROR(__xludf.DUMMYFUNCTION("""COMPUTED_VALUE"""),-0.693286658749397)</f>
        <v>-0.69328665874939699</v>
      </c>
      <c r="BT84" s="3">
        <f ca="1">IFERROR(__xludf.DUMMYFUNCTION("""COMPUTED_VALUE"""),-0.69159863698991)</f>
        <v>-0.69159863698990998</v>
      </c>
      <c r="BU84" s="3">
        <f ca="1">IFERROR(__xludf.DUMMYFUNCTION("""COMPUTED_VALUE"""),-0.759449286683073)</f>
        <v>-0.75944928668307299</v>
      </c>
      <c r="BV84" s="3">
        <f ca="1">IFERROR(__xludf.DUMMYFUNCTION("""COMPUTED_VALUE"""),-0.769515191290325)</f>
        <v>-0.76951519129032497</v>
      </c>
      <c r="BW84" s="3">
        <f ca="1">IFERROR(__xludf.DUMMYFUNCTION("""COMPUTED_VALUE"""),-0.761395427667218)</f>
        <v>-0.76139542766721802</v>
      </c>
      <c r="BX84" s="3">
        <f ca="1">IFERROR(__xludf.DUMMYFUNCTION("""COMPUTED_VALUE"""),-0.763325983245061)</f>
        <v>-0.76332598324506096</v>
      </c>
      <c r="BY84" s="3">
        <f ca="1">IFERROR(__xludf.DUMMYFUNCTION("""COMPUTED_VALUE"""),-0.750722976897786)</f>
        <v>-0.750722976897786</v>
      </c>
      <c r="BZ84" s="3">
        <f ca="1">IFERROR(__xludf.DUMMYFUNCTION("""COMPUTED_VALUE"""),-0.683380615283275)</f>
        <v>-0.68338061528327498</v>
      </c>
      <c r="CA84" s="3">
        <f ca="1">IFERROR(__xludf.DUMMYFUNCTION("""COMPUTED_VALUE"""),-0.683328335557387)</f>
        <v>-0.68332833555738703</v>
      </c>
      <c r="CB84" s="3">
        <f ca="1">IFERROR(__xludf.DUMMYFUNCTION("""COMPUTED_VALUE"""),-0.75711131340025)</f>
        <v>-0.75711131340024995</v>
      </c>
      <c r="CC84" s="3">
        <f ca="1">IFERROR(__xludf.DUMMYFUNCTION("""COMPUTED_VALUE"""),-0.767083449799949)</f>
        <v>-0.76708344979994902</v>
      </c>
      <c r="CD84" s="3">
        <f ca="1">IFERROR(__xludf.DUMMYFUNCTION("""COMPUTED_VALUE"""),-0.768411051504442)</f>
        <v>-0.768411051504442</v>
      </c>
      <c r="CE84" s="3">
        <f ca="1">IFERROR(__xludf.DUMMYFUNCTION("""COMPUTED_VALUE"""),-0.763561847730689)</f>
        <v>-0.76356184773068903</v>
      </c>
      <c r="CF84" s="3">
        <f ca="1">IFERROR(__xludf.DUMMYFUNCTION("""COMPUTED_VALUE"""),-0.756038501232899)</f>
        <v>-0.75603850123289895</v>
      </c>
      <c r="CG84" s="3">
        <f ca="1">IFERROR(__xludf.DUMMYFUNCTION("""COMPUTED_VALUE"""),-0.68406990489067)</f>
        <v>-0.68406990489066999</v>
      </c>
      <c r="CH84" s="3">
        <f ca="1">IFERROR(__xludf.DUMMYFUNCTION("""COMPUTED_VALUE"""),-0.661983915455316)</f>
        <v>-0.66198391545531599</v>
      </c>
      <c r="CI84" s="3">
        <f ca="1">IFERROR(__xludf.DUMMYFUNCTION("""COMPUTED_VALUE"""),-0.754562117036584)</f>
        <v>-0.75456211703658405</v>
      </c>
      <c r="CJ84" s="3">
        <f ca="1">IFERROR(__xludf.DUMMYFUNCTION("""COMPUTED_VALUE"""),-0.759114378834093)</f>
        <v>-0.75911437883409305</v>
      </c>
      <c r="CK84" s="3">
        <f ca="1">IFERROR(__xludf.DUMMYFUNCTION("""COMPUTED_VALUE"""),-0.751292734658408)</f>
        <v>-0.75129273465840796</v>
      </c>
      <c r="CL84" s="3">
        <f ca="1">IFERROR(__xludf.DUMMYFUNCTION("""COMPUTED_VALUE"""),-0.755241146581537)</f>
        <v>-0.75524114658153696</v>
      </c>
      <c r="CM84" s="3">
        <f ca="1">IFERROR(__xludf.DUMMYFUNCTION("""COMPUTED_VALUE"""),-0.744900285756262)</f>
        <v>-0.74490028575626199</v>
      </c>
      <c r="CN84" s="3">
        <f ca="1">IFERROR(__xludf.DUMMYFUNCTION("""COMPUTED_VALUE"""),-0.649451159882605)</f>
        <v>-0.64945115988260504</v>
      </c>
      <c r="CO84" s="3">
        <f ca="1">IFERROR(__xludf.DUMMYFUNCTION("""COMPUTED_VALUE"""),-0.630476146954269)</f>
        <v>-0.63047614695426901</v>
      </c>
      <c r="CP84" s="3">
        <f ca="1">IFERROR(__xludf.DUMMYFUNCTION("""COMPUTED_VALUE"""),-0.718598109531938)</f>
        <v>-0.71859810953193803</v>
      </c>
      <c r="CQ84" s="3">
        <f ca="1">IFERROR(__xludf.DUMMYFUNCTION("""COMPUTED_VALUE"""),-0.715772147952676)</f>
        <v>-0.71577214795267596</v>
      </c>
      <c r="CR84" s="3">
        <f ca="1">IFERROR(__xludf.DUMMYFUNCTION("""COMPUTED_VALUE"""),-0.690900212126935)</f>
        <v>-0.69090021212693498</v>
      </c>
      <c r="CS84" s="3">
        <f ca="1">IFERROR(__xludf.DUMMYFUNCTION("""COMPUTED_VALUE"""),-0.706606557857345)</f>
        <v>-0.70660655785734505</v>
      </c>
      <c r="CT84" s="3">
        <f ca="1">IFERROR(__xludf.DUMMYFUNCTION("""COMPUTED_VALUE"""),-0.69927873748376)</f>
        <v>-0.69927873748376002</v>
      </c>
      <c r="CU84" s="3">
        <f ca="1">IFERROR(__xludf.DUMMYFUNCTION("""COMPUTED_VALUE"""),-0.639954729693324)</f>
        <v>-0.63995472969332401</v>
      </c>
      <c r="CV84" s="3">
        <f ca="1">IFERROR(__xludf.DUMMYFUNCTION("""COMPUTED_VALUE"""),-0.672199946933111)</f>
        <v>-0.67219994693311103</v>
      </c>
      <c r="CW84" s="3">
        <f ca="1">IFERROR(__xludf.DUMMYFUNCTION("""COMPUTED_VALUE"""),-0.816241263331384)</f>
        <v>-0.81624126333138403</v>
      </c>
      <c r="CX84" s="3">
        <f ca="1">IFERROR(__xludf.DUMMYFUNCTION("""COMPUTED_VALUE"""),-0.694641544967588)</f>
        <v>-0.69464154496758801</v>
      </c>
      <c r="CY84" s="3">
        <f ca="1">IFERROR(__xludf.DUMMYFUNCTION("""COMPUTED_VALUE"""),-0.611251167565053)</f>
        <v>-0.61125116756505304</v>
      </c>
      <c r="CZ84" s="3">
        <f ca="1">IFERROR(__xludf.DUMMYFUNCTION("""COMPUTED_VALUE"""),-0.695681652042084)</f>
        <v>-0.69568165204208399</v>
      </c>
      <c r="DA84" s="3">
        <f ca="1">IFERROR(__xludf.DUMMYFUNCTION("""COMPUTED_VALUE"""),-0.737626924538551)</f>
        <v>-0.73762692453855105</v>
      </c>
      <c r="DB84" s="3">
        <f ca="1">IFERROR(__xludf.DUMMYFUNCTION("""COMPUTED_VALUE"""),-0.660319546026471)</f>
        <v>-0.66031954602647103</v>
      </c>
      <c r="DC84" s="3">
        <f ca="1">IFERROR(__xludf.DUMMYFUNCTION("""COMPUTED_VALUE"""),-0.715842089066179)</f>
        <v>-0.71584208906617897</v>
      </c>
      <c r="DD84" s="3">
        <f ca="1">IFERROR(__xludf.DUMMYFUNCTION("""COMPUTED_VALUE"""),-0.824637045355154)</f>
        <v>-0.82463704535515403</v>
      </c>
      <c r="DE84" s="3">
        <f ca="1">IFERROR(__xludf.DUMMYFUNCTION("""COMPUTED_VALUE"""),-0.650114087095272)</f>
        <v>-0.65011408709527196</v>
      </c>
      <c r="DF84" s="3">
        <f ca="1">IFERROR(__xludf.DUMMYFUNCTION("""COMPUTED_VALUE"""),-0.438791907209224)</f>
        <v>-0.43879190720922401</v>
      </c>
      <c r="DG84" s="3">
        <f ca="1">IFERROR(__xludf.DUMMYFUNCTION("""COMPUTED_VALUE"""),-0.582433507127974)</f>
        <v>-0.58243350712797404</v>
      </c>
      <c r="DH84" s="3">
        <f ca="1">IFERROR(__xludf.DUMMYFUNCTION("""COMPUTED_VALUE"""),-0.589211021223479)</f>
        <v>-0.58921102122347901</v>
      </c>
      <c r="DI84" s="3">
        <f ca="1">IFERROR(__xludf.DUMMYFUNCTION("""COMPUTED_VALUE"""),-0.571045872730709)</f>
        <v>-0.57104587273070895</v>
      </c>
      <c r="DJ84" s="3">
        <f ca="1">IFERROR(__xludf.DUMMYFUNCTION("""COMPUTED_VALUE"""),-0.588355130892101)</f>
        <v>-0.58835513089210101</v>
      </c>
      <c r="DK84" s="3">
        <f ca="1">IFERROR(__xludf.DUMMYFUNCTION("""COMPUTED_VALUE"""),-0.626556382744742)</f>
        <v>-0.62655638274474201</v>
      </c>
      <c r="DL84" s="3">
        <f ca="1">IFERROR(__xludf.DUMMYFUNCTION("""COMPUTED_VALUE"""),-0.61494046137615)</f>
        <v>-0.61494046137614999</v>
      </c>
      <c r="DM84" s="3">
        <f ca="1">IFERROR(__xludf.DUMMYFUNCTION("""COMPUTED_VALUE"""),-0.591384043203789)</f>
        <v>-0.59138404320378901</v>
      </c>
      <c r="DN84" s="3">
        <f ca="1">IFERROR(__xludf.DUMMYFUNCTION("""COMPUTED_VALUE"""),-0.622619591629116)</f>
        <v>-0.62261959162911595</v>
      </c>
      <c r="DO84" s="3">
        <f ca="1">IFERROR(__xludf.DUMMYFUNCTION("""COMPUTED_VALUE"""),-0.644583117259493)</f>
        <v>-0.64458311725949302</v>
      </c>
      <c r="DP84" s="3">
        <f ca="1">IFERROR(__xludf.DUMMYFUNCTION("""COMPUTED_VALUE"""),-0.605863597520048)</f>
        <v>-0.60586359752004804</v>
      </c>
      <c r="DQ84" s="3">
        <f ca="1">IFERROR(__xludf.DUMMYFUNCTION("""COMPUTED_VALUE"""),-0.622524885308328)</f>
        <v>-0.62252488530832795</v>
      </c>
      <c r="DR84" s="3">
        <f ca="1">IFERROR(__xludf.DUMMYFUNCTION("""COMPUTED_VALUE"""),-0.656094949037611)</f>
        <v>-0.65609494903761101</v>
      </c>
      <c r="DS84" s="3">
        <f ca="1">IFERROR(__xludf.DUMMYFUNCTION("""COMPUTED_VALUE"""),-0.635822096711904)</f>
        <v>-0.63582209671190404</v>
      </c>
      <c r="DT84" s="3">
        <f ca="1">IFERROR(__xludf.DUMMYFUNCTION("""COMPUTED_VALUE"""),-0.657211692247369)</f>
        <v>-0.65721169224736897</v>
      </c>
      <c r="DU84" s="3">
        <f ca="1">IFERROR(__xludf.DUMMYFUNCTION("""COMPUTED_VALUE"""),-0.667495902487811)</f>
        <v>-0.66749590248781099</v>
      </c>
      <c r="DV84" s="3">
        <f ca="1">IFERROR(__xludf.DUMMYFUNCTION("""COMPUTED_VALUE"""),-0.671260579019127)</f>
        <v>-0.67126057901912695</v>
      </c>
      <c r="DW84" s="3">
        <f ca="1">IFERROR(__xludf.DUMMYFUNCTION("""COMPUTED_VALUE"""),-0.603045277615518)</f>
        <v>-0.60304527761551796</v>
      </c>
      <c r="DX84" s="3">
        <f ca="1">IFERROR(__xludf.DUMMYFUNCTION("""COMPUTED_VALUE"""),-0.615479128327218)</f>
        <v>-0.61547912832721796</v>
      </c>
      <c r="DY84" s="3">
        <f ca="1">IFERROR(__xludf.DUMMYFUNCTION("""COMPUTED_VALUE"""),-0.682563358976019)</f>
        <v>-0.68256335897601905</v>
      </c>
      <c r="DZ84" s="3">
        <f ca="1">IFERROR(__xludf.DUMMYFUNCTION("""COMPUTED_VALUE"""),-0.679368915072404)</f>
        <v>-0.67936891507240404</v>
      </c>
      <c r="EA84" s="3">
        <f ca="1">IFERROR(__xludf.DUMMYFUNCTION("""COMPUTED_VALUE"""),-0.676316917078554)</f>
        <v>-0.67631691707855401</v>
      </c>
      <c r="EB84" s="3">
        <f ca="1">IFERROR(__xludf.DUMMYFUNCTION("""COMPUTED_VALUE"""),-0.676085342204897)</f>
        <v>-0.67608534220489702</v>
      </c>
      <c r="EC84" s="3">
        <f ca="1">IFERROR(__xludf.DUMMYFUNCTION("""COMPUTED_VALUE"""),-0.680301954150501)</f>
        <v>-0.68030195415050099</v>
      </c>
      <c r="ED84" s="3">
        <f ca="1">IFERROR(__xludf.DUMMYFUNCTION("""COMPUTED_VALUE"""),-0.573310116883191)</f>
        <v>-0.573310116883191</v>
      </c>
      <c r="EE84" s="3">
        <f ca="1">IFERROR(__xludf.DUMMYFUNCTION("""COMPUTED_VALUE"""),-0.604777086319957)</f>
        <v>-0.60477708631995697</v>
      </c>
      <c r="EF84" s="3">
        <f ca="1">IFERROR(__xludf.DUMMYFUNCTION("""COMPUTED_VALUE"""),-0.671984423220588)</f>
        <v>-0.67198442322058805</v>
      </c>
      <c r="EG84" s="3">
        <f ca="1">IFERROR(__xludf.DUMMYFUNCTION("""COMPUTED_VALUE"""),-0.679641779869094)</f>
        <v>-0.67964177986909402</v>
      </c>
      <c r="EH84" s="3">
        <f ca="1">IFERROR(__xludf.DUMMYFUNCTION("""COMPUTED_VALUE"""),-0.679226674053249)</f>
        <v>-0.67922667405324899</v>
      </c>
      <c r="EI84" s="3">
        <f ca="1">IFERROR(__xludf.DUMMYFUNCTION("""COMPUTED_VALUE"""),-0.693797081727686)</f>
        <v>-0.69379708172768595</v>
      </c>
      <c r="EJ84" s="3">
        <f ca="1">IFERROR(__xludf.DUMMYFUNCTION("""COMPUTED_VALUE"""),-0.675987935515849)</f>
        <v>-0.67598793551584901</v>
      </c>
      <c r="EK84" s="3">
        <f ca="1">IFERROR(__xludf.DUMMYFUNCTION("""COMPUTED_VALUE"""),-0.533505570031495)</f>
        <v>-0.53350557003149501</v>
      </c>
      <c r="EL84" s="3">
        <f ca="1">IFERROR(__xludf.DUMMYFUNCTION("""COMPUTED_VALUE"""),-0.55453656758916)</f>
        <v>-0.55453656758916003</v>
      </c>
      <c r="EM84" s="3">
        <f ca="1">IFERROR(__xludf.DUMMYFUNCTION("""COMPUTED_VALUE"""),-0.643849139040643)</f>
        <v>-0.643849139040643</v>
      </c>
      <c r="EN84" s="3">
        <f ca="1">IFERROR(__xludf.DUMMYFUNCTION("""COMPUTED_VALUE"""),-0.674827988802065)</f>
        <v>-0.67482798880206496</v>
      </c>
      <c r="EO84" s="3">
        <f ca="1">IFERROR(__xludf.DUMMYFUNCTION("""COMPUTED_VALUE"""),-0.670919681254412)</f>
        <v>-0.67091968125441204</v>
      </c>
      <c r="EP84" s="3">
        <f ca="1">IFERROR(__xludf.DUMMYFUNCTION("""COMPUTED_VALUE"""),-0.673473384784288)</f>
        <v>-0.67347338478428798</v>
      </c>
      <c r="EQ84" s="3">
        <f ca="1">IFERROR(__xludf.DUMMYFUNCTION("""COMPUTED_VALUE"""),-0.666391061818359)</f>
        <v>-0.66639106181835905</v>
      </c>
      <c r="ER84" s="3">
        <f ca="1">IFERROR(__xludf.DUMMYFUNCTION("""COMPUTED_VALUE"""),-0.613807625372516)</f>
        <v>-0.61380762537251599</v>
      </c>
      <c r="ES84" s="3">
        <f ca="1">IFERROR(__xludf.DUMMYFUNCTION("""COMPUTED_VALUE"""),-0.565353904152646)</f>
        <v>-0.56535390415264597</v>
      </c>
      <c r="ET84" s="3">
        <f ca="1">IFERROR(__xludf.DUMMYFUNCTION("""COMPUTED_VALUE"""),-0.636965441492713)</f>
        <v>-0.63696544149271295</v>
      </c>
      <c r="EU84" s="3">
        <f ca="1">IFERROR(__xludf.DUMMYFUNCTION("""COMPUTED_VALUE"""),-0.65440386814647)</f>
        <v>-0.65440386814647</v>
      </c>
      <c r="EV84" s="3">
        <f ca="1">IFERROR(__xludf.DUMMYFUNCTION("""COMPUTED_VALUE"""),-0.647395658218348)</f>
        <v>-0.64739565821834799</v>
      </c>
      <c r="EW84" s="3">
        <f ca="1">IFERROR(__xludf.DUMMYFUNCTION("""COMPUTED_VALUE"""),-0.652785121921431)</f>
        <v>-0.65278512192143101</v>
      </c>
      <c r="EX84" s="3">
        <f ca="1">IFERROR(__xludf.DUMMYFUNCTION("""COMPUTED_VALUE"""),-0.630631739244389)</f>
        <v>-0.63063173924438898</v>
      </c>
      <c r="EY84" s="3">
        <f ca="1">IFERROR(__xludf.DUMMYFUNCTION("""COMPUTED_VALUE"""),-0.512558699206177)</f>
        <v>-0.51255869920617703</v>
      </c>
      <c r="EZ84" s="3">
        <f ca="1">IFERROR(__xludf.DUMMYFUNCTION("""COMPUTED_VALUE"""),-0.514404653304801)</f>
        <v>-0.51440465330480101</v>
      </c>
      <c r="FA84" s="3">
        <f ca="1">IFERROR(__xludf.DUMMYFUNCTION("""COMPUTED_VALUE"""),-0.615099959504121)</f>
        <v>-0.615099959504121</v>
      </c>
      <c r="FB84" s="3">
        <f ca="1">IFERROR(__xludf.DUMMYFUNCTION("""COMPUTED_VALUE"""),-0.650535464836058)</f>
        <v>-0.65053546483605795</v>
      </c>
      <c r="FC84" s="3">
        <f ca="1">IFERROR(__xludf.DUMMYFUNCTION("""COMPUTED_VALUE"""),-0.647762275141301)</f>
        <v>-0.64776227514130102</v>
      </c>
      <c r="FD84" s="3">
        <f ca="1">IFERROR(__xludf.DUMMYFUNCTION("""COMPUTED_VALUE"""),-0.667106136455986)</f>
        <v>-0.66710613645598604</v>
      </c>
      <c r="FE84" s="3">
        <f ca="1">IFERROR(__xludf.DUMMYFUNCTION("""COMPUTED_VALUE"""),-0.639455433940935)</f>
        <v>-0.63945543394093496</v>
      </c>
      <c r="FF84" s="3">
        <f ca="1">IFERROR(__xludf.DUMMYFUNCTION("""COMPUTED_VALUE"""),-0.554314584754063)</f>
        <v>-0.55431458475406303</v>
      </c>
      <c r="FG84" s="3">
        <f ca="1">IFERROR(__xludf.DUMMYFUNCTION("""COMPUTED_VALUE"""),-0.536312055028305)</f>
        <v>-0.53631205502830503</v>
      </c>
      <c r="FH84" s="3">
        <f ca="1">IFERROR(__xludf.DUMMYFUNCTION("""COMPUTED_VALUE"""),-0.621538713761656)</f>
        <v>-0.62153871376165604</v>
      </c>
      <c r="FI84" s="3">
        <f ca="1">IFERROR(__xludf.DUMMYFUNCTION("""COMPUTED_VALUE"""),-0.644806290080545)</f>
        <v>-0.64480629008054502</v>
      </c>
      <c r="FJ84" s="3">
        <f ca="1">IFERROR(__xludf.DUMMYFUNCTION("""COMPUTED_VALUE"""),-0.639598837125994)</f>
        <v>-0.63959883712599397</v>
      </c>
      <c r="FK84" s="3">
        <f ca="1">IFERROR(__xludf.DUMMYFUNCTION("""COMPUTED_VALUE"""),-0.645942670879352)</f>
        <v>-0.64594267087935198</v>
      </c>
      <c r="FL84" s="3">
        <f ca="1">IFERROR(__xludf.DUMMYFUNCTION("""COMPUTED_VALUE"""),-0.630830700192249)</f>
        <v>-0.63083070019224896</v>
      </c>
      <c r="FM84" s="3">
        <f ca="1">IFERROR(__xludf.DUMMYFUNCTION("""COMPUTED_VALUE"""),-0.537288571549554)</f>
        <v>-0.53728857154955401</v>
      </c>
      <c r="FN84" s="3">
        <f ca="1">IFERROR(__xludf.DUMMYFUNCTION("""COMPUTED_VALUE"""),-0.544743750455278)</f>
        <v>-0.54474375045527801</v>
      </c>
      <c r="FO84" s="3">
        <f ca="1">IFERROR(__xludf.DUMMYFUNCTION("""COMPUTED_VALUE"""),-0.604524444955236)</f>
        <v>-0.60452444495523605</v>
      </c>
      <c r="FP84" s="3">
        <f ca="1">IFERROR(__xludf.DUMMYFUNCTION("""COMPUTED_VALUE"""),-0.64612049006967)</f>
        <v>-0.64612049006966998</v>
      </c>
      <c r="FQ84" s="3">
        <f ca="1">IFERROR(__xludf.DUMMYFUNCTION("""COMPUTED_VALUE"""),-0.63757479256147)</f>
        <v>-0.63757479256146998</v>
      </c>
      <c r="FR84" s="3">
        <f ca="1">IFERROR(__xludf.DUMMYFUNCTION("""COMPUTED_VALUE"""),-0.618760446841378)</f>
        <v>-0.61876044684137799</v>
      </c>
      <c r="FS84" s="3">
        <f ca="1">IFERROR(__xludf.DUMMYFUNCTION("""COMPUTED_VALUE"""),-0.555796050036007)</f>
        <v>-0.55579605003600696</v>
      </c>
      <c r="FT84" s="3">
        <f ca="1">IFERROR(__xludf.DUMMYFUNCTION("""COMPUTED_VALUE"""),-0.548662308169852)</f>
        <v>-0.54866230816985195</v>
      </c>
      <c r="FU84" s="3">
        <f ca="1">IFERROR(__xludf.DUMMYFUNCTION("""COMPUTED_VALUE"""),-0.531740052708416)</f>
        <v>-0.53174005270841596</v>
      </c>
      <c r="FV84" s="3">
        <f ca="1">IFERROR(__xludf.DUMMYFUNCTION("""COMPUTED_VALUE"""),-0.608151829534656)</f>
        <v>-0.60815182953465596</v>
      </c>
      <c r="FW84" s="3">
        <f ca="1">IFERROR(__xludf.DUMMYFUNCTION("""COMPUTED_VALUE"""),-0.637952030467401)</f>
        <v>-0.63795203046740101</v>
      </c>
      <c r="FX84" s="3">
        <f ca="1">IFERROR(__xludf.DUMMYFUNCTION("""COMPUTED_VALUE"""),-0.631851522538521)</f>
        <v>-0.63185152253852095</v>
      </c>
      <c r="FY84" s="3">
        <f ca="1">IFERROR(__xludf.DUMMYFUNCTION("""COMPUTED_VALUE"""),-0.628709910401473)</f>
        <v>-0.62870991040147295</v>
      </c>
      <c r="FZ84" s="3">
        <f ca="1">IFERROR(__xludf.DUMMYFUNCTION("""COMPUTED_VALUE"""),-0.707399184389464)</f>
        <v>-0.70739918438946403</v>
      </c>
      <c r="GA84" s="3">
        <f ca="1">IFERROR(__xludf.DUMMYFUNCTION("""COMPUTED_VALUE"""),-0.544497428085764)</f>
        <v>-0.54449742808576396</v>
      </c>
      <c r="GB84" s="3">
        <f ca="1">IFERROR(__xludf.DUMMYFUNCTION("""COMPUTED_VALUE"""),-0.555080081627082)</f>
        <v>-0.555080081627082</v>
      </c>
      <c r="GC84" s="3">
        <f ca="1">IFERROR(__xludf.DUMMYFUNCTION("""COMPUTED_VALUE"""),-0.607334601624332)</f>
        <v>-0.60733460162433195</v>
      </c>
      <c r="GD84" s="3">
        <f ca="1">IFERROR(__xludf.DUMMYFUNCTION("""COMPUTED_VALUE"""),-0.631839803048503)</f>
        <v>-0.63183980304850296</v>
      </c>
      <c r="GE84" s="3">
        <f ca="1">IFERROR(__xludf.DUMMYFUNCTION("""COMPUTED_VALUE"""),-0.619761767312294)</f>
        <v>-0.61976176731229404</v>
      </c>
      <c r="GF84" s="3">
        <f ca="1">IFERROR(__xludf.DUMMYFUNCTION("""COMPUTED_VALUE"""),-0.617046359169761)</f>
        <v>-0.61704635916976103</v>
      </c>
      <c r="GG84" s="3">
        <f ca="1">IFERROR(__xludf.DUMMYFUNCTION("""COMPUTED_VALUE"""),-0.523621494366126)</f>
        <v>-0.52362149436612604</v>
      </c>
      <c r="GH84" s="3">
        <f ca="1">IFERROR(__xludf.DUMMYFUNCTION("""COMPUTED_VALUE"""),-0.545942106397906)</f>
        <v>-0.54594210639790597</v>
      </c>
      <c r="GI84" s="3">
        <f ca="1">IFERROR(__xludf.DUMMYFUNCTION("""COMPUTED_VALUE"""),-0.519246235257151)</f>
        <v>-0.51924623525715097</v>
      </c>
      <c r="GJ84" s="3">
        <f ca="1">IFERROR(__xludf.DUMMYFUNCTION("""COMPUTED_VALUE"""),-0.615086606389325)</f>
        <v>-0.615086606389325</v>
      </c>
      <c r="GK84" s="3">
        <f ca="1">IFERROR(__xludf.DUMMYFUNCTION("""COMPUTED_VALUE"""),-0.63362382542274)</f>
        <v>-0.63362382542273998</v>
      </c>
      <c r="GL84" s="3">
        <f ca="1">IFERROR(__xludf.DUMMYFUNCTION("""COMPUTED_VALUE"""),-0.633017798739234)</f>
        <v>-0.63301779873923403</v>
      </c>
      <c r="GM84" s="3">
        <f ca="1">IFERROR(__xludf.DUMMYFUNCTION("""COMPUTED_VALUE"""),-0.627018357377598)</f>
        <v>-0.62701835737759803</v>
      </c>
      <c r="GN84" s="3">
        <f ca="1">IFERROR(__xludf.DUMMYFUNCTION("""COMPUTED_VALUE"""),-0.579744504497287)</f>
        <v>-0.57974450449728698</v>
      </c>
      <c r="GO84" s="3">
        <f ca="1">IFERROR(__xludf.DUMMYFUNCTION("""COMPUTED_VALUE"""),-0.495367642184393)</f>
        <v>-0.495367642184393</v>
      </c>
      <c r="GP84" s="3">
        <f ca="1">IFERROR(__xludf.DUMMYFUNCTION("""COMPUTED_VALUE"""),-0.49072654788819)</f>
        <v>-0.49072654788818998</v>
      </c>
      <c r="GQ84" s="3">
        <f ca="1">IFERROR(__xludf.DUMMYFUNCTION("""COMPUTED_VALUE"""),-0.600474972721497)</f>
        <v>-0.60047497272149697</v>
      </c>
      <c r="GR84" s="3">
        <f ca="1">IFERROR(__xludf.DUMMYFUNCTION("""COMPUTED_VALUE"""),-0.618162198074529)</f>
        <v>-0.61816219807452899</v>
      </c>
      <c r="GS84" s="3">
        <f ca="1">IFERROR(__xludf.DUMMYFUNCTION("""COMPUTED_VALUE"""),-0.608127473072936)</f>
        <v>-0.60812747307293602</v>
      </c>
      <c r="GT84" s="3">
        <f ca="1">IFERROR(__xludf.DUMMYFUNCTION("""COMPUTED_VALUE"""),-0.616787359379404)</f>
        <v>-0.61678735937940399</v>
      </c>
      <c r="GU84" s="3">
        <f ca="1">IFERROR(__xludf.DUMMYFUNCTION("""COMPUTED_VALUE"""),-0.602418117373836)</f>
        <v>-0.60241811737383599</v>
      </c>
      <c r="GV84" s="3">
        <f ca="1">IFERROR(__xludf.DUMMYFUNCTION("""COMPUTED_VALUE"""),-0.486906929979577)</f>
        <v>-0.48690692997957702</v>
      </c>
      <c r="GW84" s="3">
        <f ca="1">IFERROR(__xludf.DUMMYFUNCTION("""COMPUTED_VALUE"""),-0.495007450921844)</f>
        <v>-0.49500745092184401</v>
      </c>
      <c r="GX84" s="3">
        <f ca="1">IFERROR(__xludf.DUMMYFUNCTION("""COMPUTED_VALUE"""),-0.600276801354539)</f>
        <v>-0.60027680135453898</v>
      </c>
      <c r="GY84" s="3">
        <f ca="1">IFERROR(__xludf.DUMMYFUNCTION("""COMPUTED_VALUE"""),-0.61121881300229)</f>
        <v>-0.61121881300228997</v>
      </c>
      <c r="GZ84" s="3">
        <f ca="1">IFERROR(__xludf.DUMMYFUNCTION("""COMPUTED_VALUE"""),-0.614363937488406)</f>
        <v>-0.61436393748840601</v>
      </c>
      <c r="HA84" s="3">
        <f ca="1">IFERROR(__xludf.DUMMYFUNCTION("""COMPUTED_VALUE"""),-0.619695070182731)</f>
        <v>-0.61969507018273096</v>
      </c>
      <c r="HB84" s="3">
        <f ca="1">IFERROR(__xludf.DUMMYFUNCTION("""COMPUTED_VALUE"""),-0.600896580892388)</f>
        <v>-0.60089658089238795</v>
      </c>
      <c r="HC84" s="3">
        <f ca="1">IFERROR(__xludf.DUMMYFUNCTION("""COMPUTED_VALUE"""),-0.454804131738547)</f>
        <v>-0.454804131738547</v>
      </c>
      <c r="HD84" s="3">
        <f ca="1">IFERROR(__xludf.DUMMYFUNCTION("""COMPUTED_VALUE"""),-0.470552060838465)</f>
        <v>-0.47055206083846501</v>
      </c>
      <c r="HE84" s="3">
        <f ca="1">IFERROR(__xludf.DUMMYFUNCTION("""COMPUTED_VALUE"""),-0.606196105354958)</f>
        <v>-0.60619610535495805</v>
      </c>
      <c r="HF84" s="3">
        <f ca="1">IFERROR(__xludf.DUMMYFUNCTION("""COMPUTED_VALUE"""),-0.622764012721953)</f>
        <v>-0.62276401272195303</v>
      </c>
      <c r="HG84" s="3">
        <f ca="1">IFERROR(__xludf.DUMMYFUNCTION("""COMPUTED_VALUE"""),-0.625549188163535)</f>
        <v>-0.625549188163535</v>
      </c>
      <c r="HH84" s="3">
        <f ca="1">IFERROR(__xludf.DUMMYFUNCTION("""COMPUTED_VALUE"""),-0.625890247263414)</f>
        <v>-0.62589024726341402</v>
      </c>
      <c r="HI84" s="3">
        <f ca="1">IFERROR(__xludf.DUMMYFUNCTION("""COMPUTED_VALUE"""),-0.685421269751064)</f>
        <v>-0.68542126975106399</v>
      </c>
      <c r="HJ84" s="3">
        <f ca="1">IFERROR(__xludf.DUMMYFUNCTION("""COMPUTED_VALUE"""),-0.418730983981992)</f>
        <v>-0.41873098398199199</v>
      </c>
      <c r="HK84" s="3">
        <f ca="1">IFERROR(__xludf.DUMMYFUNCTION("""COMPUTED_VALUE"""),-0.472899683657896)</f>
        <v>-0.47289968365789598</v>
      </c>
      <c r="HL84" s="3">
        <f ca="1">IFERROR(__xludf.DUMMYFUNCTION("""COMPUTED_VALUE"""),-0.593224493421071)</f>
        <v>-0.59322449342107098</v>
      </c>
      <c r="HM84" s="3">
        <f ca="1">IFERROR(__xludf.DUMMYFUNCTION("""COMPUTED_VALUE"""),-0.607001869472281)</f>
        <v>-0.60700186947228096</v>
      </c>
      <c r="HN84" s="3">
        <f ca="1">IFERROR(__xludf.DUMMYFUNCTION("""COMPUTED_VALUE"""),-0.6358566128791)</f>
        <v>-0.6358566128791</v>
      </c>
      <c r="HO84" s="3">
        <f ca="1">IFERROR(__xludf.DUMMYFUNCTION("""COMPUTED_VALUE"""),-0.597504863288476)</f>
        <v>-0.59750486328847596</v>
      </c>
      <c r="HP84" s="3">
        <f ca="1">IFERROR(__xludf.DUMMYFUNCTION("""COMPUTED_VALUE"""),-0.516463382168114)</f>
        <v>-0.51646338216811405</v>
      </c>
      <c r="HQ84" s="3">
        <f ca="1">IFERROR(__xludf.DUMMYFUNCTION("""COMPUTED_VALUE"""),-0.43891104034612)</f>
        <v>-0.43891104034612</v>
      </c>
      <c r="HR84" s="3">
        <f ca="1">IFERROR(__xludf.DUMMYFUNCTION("""COMPUTED_VALUE"""),-0.46803410164304)</f>
        <v>-0.46803410164303999</v>
      </c>
      <c r="HS84" s="3">
        <f ca="1">IFERROR(__xludf.DUMMYFUNCTION("""COMPUTED_VALUE"""),-0.563793849129455)</f>
        <v>-0.56379384912945496</v>
      </c>
      <c r="HT84" s="3">
        <f ca="1">IFERROR(__xludf.DUMMYFUNCTION("""COMPUTED_VALUE"""),-0.598275204107111)</f>
        <v>-0.59827520410711099</v>
      </c>
      <c r="HU84" s="3">
        <f ca="1">IFERROR(__xludf.DUMMYFUNCTION("""COMPUTED_VALUE"""),-0.58963201356861)</f>
        <v>-0.58963201356860995</v>
      </c>
      <c r="HV84" s="3">
        <f ca="1">IFERROR(__xludf.DUMMYFUNCTION("""COMPUTED_VALUE"""),-0.554889021630024)</f>
        <v>-0.55488902163002396</v>
      </c>
      <c r="HW84" s="3">
        <f ca="1">IFERROR(__xludf.DUMMYFUNCTION("""COMPUTED_VALUE"""),-0.445374523411418)</f>
        <v>-0.44537452341141798</v>
      </c>
      <c r="HX84" s="3">
        <f ca="1">IFERROR(__xludf.DUMMYFUNCTION("""COMPUTED_VALUE"""),-0.436434954181233)</f>
        <v>-0.43643495418123301</v>
      </c>
      <c r="HY84" s="3">
        <f ca="1">IFERROR(__xludf.DUMMYFUNCTION("""COMPUTED_VALUE"""),-0.419963474439185)</f>
        <v>-0.41996347443918502</v>
      </c>
      <c r="HZ84" s="3">
        <f ca="1">IFERROR(__xludf.DUMMYFUNCTION("""COMPUTED_VALUE"""),-0.513527351215706)</f>
        <v>-0.51352735121570603</v>
      </c>
      <c r="IA84" s="3">
        <f ca="1">IFERROR(__xludf.DUMMYFUNCTION("""COMPUTED_VALUE"""),-0.528424490925986)</f>
        <v>-0.52842449092598598</v>
      </c>
      <c r="IB84" s="3">
        <f ca="1">IFERROR(__xludf.DUMMYFUNCTION("""COMPUTED_VALUE"""),-0.535923767640154)</f>
        <v>-0.53592376764015404</v>
      </c>
      <c r="IC84" s="3">
        <f ca="1">IFERROR(__xludf.DUMMYFUNCTION("""COMPUTED_VALUE"""),-0.52122074711676)</f>
        <v>-0.52122074711676003</v>
      </c>
      <c r="ID84" s="3">
        <f ca="1">IFERROR(__xludf.DUMMYFUNCTION("""COMPUTED_VALUE"""),-0.532566607061435)</f>
        <v>-0.53256660706143499</v>
      </c>
      <c r="IE84" s="3">
        <f ca="1">IFERROR(__xludf.DUMMYFUNCTION("""COMPUTED_VALUE"""),-0.47771235403679)</f>
        <v>-0.47771235403679002</v>
      </c>
      <c r="IF84" s="3">
        <f ca="1">IFERROR(__xludf.DUMMYFUNCTION("""COMPUTED_VALUE"""),-0.432546499893859)</f>
        <v>-0.43254649989385902</v>
      </c>
      <c r="IG84" s="3">
        <f ca="1">IFERROR(__xludf.DUMMYFUNCTION("""COMPUTED_VALUE"""),-0.510719977380196)</f>
        <v>-0.51071997738019603</v>
      </c>
      <c r="IH84" s="3">
        <f ca="1">IFERROR(__xludf.DUMMYFUNCTION("""COMPUTED_VALUE"""),-0.520935421941022)</f>
        <v>-0.52093542194102205</v>
      </c>
      <c r="II84" s="3">
        <f ca="1">IFERROR(__xludf.DUMMYFUNCTION("""COMPUTED_VALUE"""),-0.533544391896021)</f>
        <v>-0.53354439189602099</v>
      </c>
      <c r="IJ84" s="3">
        <f ca="1">IFERROR(__xludf.DUMMYFUNCTION("""COMPUTED_VALUE"""),-0.53135638483485)</f>
        <v>-0.53135638483485004</v>
      </c>
      <c r="IK84" s="3">
        <f ca="1">IFERROR(__xludf.DUMMYFUNCTION("""COMPUTED_VALUE"""),-0.456407303488354)</f>
        <v>-0.45640730348835401</v>
      </c>
      <c r="IL84" s="3">
        <f ca="1">IFERROR(__xludf.DUMMYFUNCTION("""COMPUTED_VALUE"""),-0.424532622142601)</f>
        <v>-0.42453262214260101</v>
      </c>
      <c r="IM84" s="3">
        <f ca="1">IFERROR(__xludf.DUMMYFUNCTION("""COMPUTED_VALUE"""),-0.432882038400459)</f>
        <v>-0.43288203840045902</v>
      </c>
      <c r="IN84" s="3">
        <f ca="1">IFERROR(__xludf.DUMMYFUNCTION("""COMPUTED_VALUE"""),-0.524671182602255)</f>
        <v>-0.52467118260225498</v>
      </c>
      <c r="IO84" s="3">
        <f ca="1">IFERROR(__xludf.DUMMYFUNCTION("""COMPUTED_VALUE"""),-0.54676546578096)</f>
        <v>-0.54676546578095997</v>
      </c>
      <c r="IP84" s="3">
        <f ca="1">IFERROR(__xludf.DUMMYFUNCTION("""COMPUTED_VALUE"""),-0.541597742392732)</f>
        <v>-0.54159774239273195</v>
      </c>
      <c r="IQ84" s="3">
        <f ca="1">IFERROR(__xludf.DUMMYFUNCTION("""COMPUTED_VALUE"""),-0.562030849802428)</f>
        <v>-0.56203084980242801</v>
      </c>
      <c r="IR84" s="3">
        <f ca="1">IFERROR(__xludf.DUMMYFUNCTION("""COMPUTED_VALUE"""),-0.577350472504926)</f>
        <v>-0.57735047250492599</v>
      </c>
      <c r="IS84" s="3">
        <f ca="1">IFERROR(__xludf.DUMMYFUNCTION("""COMPUTED_VALUE"""),-0.49729876138714)</f>
        <v>-0.49729876138714002</v>
      </c>
      <c r="IT84" s="3">
        <f ca="1">IFERROR(__xludf.DUMMYFUNCTION("""COMPUTED_VALUE"""),-0.46310516546294)</f>
        <v>-0.46310516546294</v>
      </c>
      <c r="IU84" s="3">
        <f ca="1">IFERROR(__xludf.DUMMYFUNCTION("""COMPUTED_VALUE"""),-0.542400975125206)</f>
        <v>-0.54240097512520602</v>
      </c>
      <c r="IV84" s="3">
        <f ca="1">IFERROR(__xludf.DUMMYFUNCTION("""COMPUTED_VALUE"""),-0.570968416106652)</f>
        <v>-0.57096841610665205</v>
      </c>
      <c r="IW84" s="3">
        <f ca="1">IFERROR(__xludf.DUMMYFUNCTION("""COMPUTED_VALUE"""),-0.580641088724666)</f>
        <v>-0.58064108872466602</v>
      </c>
      <c r="IX84" s="3">
        <f ca="1">IFERROR(__xludf.DUMMYFUNCTION("""COMPUTED_VALUE"""),-0.558252426318789)</f>
        <v>-0.55825242631878902</v>
      </c>
      <c r="IY84" s="3">
        <f ca="1">IFERROR(__xludf.DUMMYFUNCTION("""COMPUTED_VALUE"""),-0.519936418752244)</f>
        <v>-0.51993641875224395</v>
      </c>
      <c r="IZ84" s="3">
        <f ca="1">IFERROR(__xludf.DUMMYFUNCTION("""COMPUTED_VALUE"""),-0.484507833924528)</f>
        <v>-0.48450783392452801</v>
      </c>
      <c r="JA84" s="3">
        <f ca="1">IFERROR(__xludf.DUMMYFUNCTION("""COMPUTED_VALUE"""),-0.487939952993028)</f>
        <v>-0.487939952993028</v>
      </c>
      <c r="JB84" s="3">
        <f ca="1">IFERROR(__xludf.DUMMYFUNCTION("""COMPUTED_VALUE"""),-0.568627773530515)</f>
        <v>-0.56862777353051497</v>
      </c>
      <c r="JC84" s="3">
        <f ca="1">IFERROR(__xludf.DUMMYFUNCTION("""COMPUTED_VALUE"""),-0.600519195923679)</f>
        <v>-0.60051919592367897</v>
      </c>
      <c r="JD84" s="3">
        <f ca="1">IFERROR(__xludf.DUMMYFUNCTION("""COMPUTED_VALUE"""),-0.614846183427203)</f>
        <v>-0.61484618342720299</v>
      </c>
      <c r="JE84" s="3">
        <f ca="1">IFERROR(__xludf.DUMMYFUNCTION("""COMPUTED_VALUE"""),-0.588509734438478)</f>
        <v>-0.58850973443847798</v>
      </c>
      <c r="JF84" s="3">
        <f ca="1">IFERROR(__xludf.DUMMYFUNCTION("""COMPUTED_VALUE"""),-0.570024831838864)</f>
        <v>-0.57002483183886399</v>
      </c>
      <c r="JG84" s="3">
        <f ca="1">IFERROR(__xludf.DUMMYFUNCTION("""COMPUTED_VALUE"""),-0.549322500231475)</f>
        <v>-0.549322500231475</v>
      </c>
      <c r="JH84" s="3">
        <f ca="1">IFERROR(__xludf.DUMMYFUNCTION("""COMPUTED_VALUE"""),-0.487804445781311)</f>
        <v>-0.48780444578131099</v>
      </c>
      <c r="JI84" s="3">
        <f ca="1">IFERROR(__xludf.DUMMYFUNCTION("""COMPUTED_VALUE"""),-0.580228240149199)</f>
        <v>-0.58022824014919905</v>
      </c>
      <c r="JJ84" s="3">
        <f ca="1">IFERROR(__xludf.DUMMYFUNCTION("""COMPUTED_VALUE"""),-0.63458660959372)</f>
        <v>-0.63458660959372004</v>
      </c>
      <c r="JK84" s="3">
        <f ca="1">IFERROR(__xludf.DUMMYFUNCTION("""COMPUTED_VALUE"""),-0.591394117467367)</f>
        <v>-0.59139411746736703</v>
      </c>
      <c r="JL84" s="3">
        <f ca="1">IFERROR(__xludf.DUMMYFUNCTION("""COMPUTED_VALUE"""),-0.602855022789845)</f>
        <v>-0.60285502278984504</v>
      </c>
      <c r="JM84" s="3">
        <f ca="1">IFERROR(__xludf.DUMMYFUNCTION("""COMPUTED_VALUE"""),-0.590000295023178)</f>
        <v>-0.59000029502317797</v>
      </c>
      <c r="JN84" s="3">
        <f ca="1">IFERROR(__xludf.DUMMYFUNCTION("""COMPUTED_VALUE"""),-0.536792224890003)</f>
        <v>-0.536792224890003</v>
      </c>
      <c r="JO84" s="3">
        <f ca="1">IFERROR(__xludf.DUMMYFUNCTION("""COMPUTED_VALUE"""),-0.574045348253103)</f>
        <v>-0.57404534825310305</v>
      </c>
      <c r="JP84" s="3">
        <f ca="1">IFERROR(__xludf.DUMMYFUNCTION("""COMPUTED_VALUE"""),-0.594494829299847)</f>
        <v>-0.59449482929984698</v>
      </c>
      <c r="JQ84" s="3">
        <f ca="1">IFERROR(__xludf.DUMMYFUNCTION("""COMPUTED_VALUE"""),-0.610809910343587)</f>
        <v>-0.610809910343587</v>
      </c>
      <c r="JR84" s="3">
        <f ca="1">IFERROR(__xludf.DUMMYFUNCTION("""COMPUTED_VALUE"""),-0.614113321553991)</f>
        <v>-0.61411332155399101</v>
      </c>
      <c r="JS84" s="3">
        <f ca="1">IFERROR(__xludf.DUMMYFUNCTION("""COMPUTED_VALUE"""),-0.603391466991319)</f>
        <v>-0.60339146699131896</v>
      </c>
      <c r="JT84" s="3">
        <f ca="1">IFERROR(__xludf.DUMMYFUNCTION("""COMPUTED_VALUE"""),-0.538860451776889)</f>
        <v>-0.53886045177688902</v>
      </c>
      <c r="JU84" s="3">
        <f ca="1">IFERROR(__xludf.DUMMYFUNCTION("""COMPUTED_VALUE"""),-0.5256392537935)</f>
        <v>-0.52563925379349996</v>
      </c>
      <c r="JV84" s="3">
        <f ca="1">IFERROR(__xludf.DUMMYFUNCTION("""COMPUTED_VALUE"""),-0.534096993060687)</f>
        <v>-0.53409699306068703</v>
      </c>
      <c r="JW84" s="3">
        <f ca="1">IFERROR(__xludf.DUMMYFUNCTION("""COMPUTED_VALUE"""),-0.59973770162813)</f>
        <v>-0.59973770162813</v>
      </c>
      <c r="JX84" s="3">
        <f ca="1">IFERROR(__xludf.DUMMYFUNCTION("""COMPUTED_VALUE"""),-0.611878001162537)</f>
        <v>-0.61187800116253699</v>
      </c>
      <c r="JY84" s="3">
        <f ca="1">IFERROR(__xludf.DUMMYFUNCTION("""COMPUTED_VALUE"""),-0.654093195739588)</f>
        <v>-0.65409319573958802</v>
      </c>
      <c r="JZ84" s="3">
        <f ca="1">IFERROR(__xludf.DUMMYFUNCTION("""COMPUTED_VALUE"""),-0.565846537870373)</f>
        <v>-0.56584653787037298</v>
      </c>
      <c r="KA84" s="3">
        <f ca="1">IFERROR(__xludf.DUMMYFUNCTION("""COMPUTED_VALUE"""),-0.508187908897286)</f>
        <v>-0.50818790889728604</v>
      </c>
      <c r="KB84" s="3">
        <f ca="1">IFERROR(__xludf.DUMMYFUNCTION("""COMPUTED_VALUE"""),-0.498389472749901)</f>
        <v>-0.49838947274990097</v>
      </c>
      <c r="KC84" s="3">
        <f ca="1">IFERROR(__xludf.DUMMYFUNCTION("""COMPUTED_VALUE"""),-0.51903280611908)</f>
        <v>-0.51903280611907998</v>
      </c>
      <c r="KD84" s="3">
        <f ca="1">IFERROR(__xludf.DUMMYFUNCTION("""COMPUTED_VALUE"""),-0.596165151206969)</f>
        <v>-0.596165151206969</v>
      </c>
      <c r="KE84" s="3">
        <f ca="1">IFERROR(__xludf.DUMMYFUNCTION("""COMPUTED_VALUE"""),-0.617456286684726)</f>
        <v>-0.61745628668472596</v>
      </c>
      <c r="KF84" s="3">
        <f ca="1">IFERROR(__xludf.DUMMYFUNCTION("""COMPUTED_VALUE"""),-0.62869120045627)</f>
        <v>-0.62869120045627003</v>
      </c>
      <c r="KG84" s="3">
        <f ca="1">IFERROR(__xludf.DUMMYFUNCTION("""COMPUTED_VALUE"""),-0.652531211319626)</f>
        <v>-0.65253121131962599</v>
      </c>
      <c r="KH84" s="3">
        <f ca="1">IFERROR(__xludf.DUMMYFUNCTION("""COMPUTED_VALUE"""),-0.576390056584706)</f>
        <v>-0.57639005658470599</v>
      </c>
      <c r="KI84" s="3">
        <f ca="1">IFERROR(__xludf.DUMMYFUNCTION("""COMPUTED_VALUE"""),-0.560825021393066)</f>
        <v>-0.560825021393066</v>
      </c>
      <c r="KJ84" s="3">
        <f ca="1">IFERROR(__xludf.DUMMYFUNCTION("""COMPUTED_VALUE"""),-0.533741768398468)</f>
        <v>-0.53374176839846799</v>
      </c>
      <c r="KK84" s="3">
        <f ca="1">IFERROR(__xludf.DUMMYFUNCTION("""COMPUTED_VALUE"""),-0.627415759218445)</f>
        <v>-0.62741575921844495</v>
      </c>
      <c r="KL84" s="3">
        <f ca="1">IFERROR(__xludf.DUMMYFUNCTION("""COMPUTED_VALUE"""),-0.636346299630818)</f>
        <v>-0.63634629963081801</v>
      </c>
      <c r="KM84" s="3">
        <f ca="1">IFERROR(__xludf.DUMMYFUNCTION("""COMPUTED_VALUE"""),-0.649541474990221)</f>
        <v>-0.64954147499022097</v>
      </c>
      <c r="KN84" s="3">
        <f ca="1">IFERROR(__xludf.DUMMYFUNCTION("""COMPUTED_VALUE"""),-0.649374149672261)</f>
        <v>-0.64937414967226104</v>
      </c>
      <c r="KO84" s="3">
        <f ca="1">IFERROR(__xludf.DUMMYFUNCTION("""COMPUTED_VALUE"""),-0.642699724823586)</f>
        <v>-0.64269972482358595</v>
      </c>
      <c r="KP84" s="3">
        <f ca="1">IFERROR(__xludf.DUMMYFUNCTION("""COMPUTED_VALUE"""),-0.608547549504433)</f>
        <v>-0.60854754950443302</v>
      </c>
      <c r="KQ84" s="3">
        <f ca="1">IFERROR(__xludf.DUMMYFUNCTION("""COMPUTED_VALUE"""),-0.623675909531703)</f>
        <v>-0.62367590953170304</v>
      </c>
      <c r="KR84" s="3">
        <f ca="1">IFERROR(__xludf.DUMMYFUNCTION("""COMPUTED_VALUE"""),-0.678331049064324)</f>
        <v>-0.67833104906432395</v>
      </c>
      <c r="KS84" s="3">
        <f ca="1">IFERROR(__xludf.DUMMYFUNCTION("""COMPUTED_VALUE"""),-0.672584435640106)</f>
        <v>-0.67258443564010595</v>
      </c>
      <c r="KT84" s="3">
        <f ca="1">IFERROR(__xludf.DUMMYFUNCTION("""COMPUTED_VALUE"""),-0.681613985000554)</f>
        <v>-0.68161398500055403</v>
      </c>
      <c r="KU84" s="3">
        <f ca="1">IFERROR(__xludf.DUMMYFUNCTION("""COMPUTED_VALUE"""),-0.665283959477765)</f>
        <v>-0.66528395947776497</v>
      </c>
      <c r="KV84" s="3">
        <f ca="1">IFERROR(__xludf.DUMMYFUNCTION("""COMPUTED_VALUE"""),-0.661248911688144)</f>
        <v>-0.66124891168814404</v>
      </c>
      <c r="KW84" s="3">
        <f ca="1">IFERROR(__xludf.DUMMYFUNCTION("""COMPUTED_VALUE"""),-0.60606979552592)</f>
        <v>-0.60606979552592</v>
      </c>
      <c r="KX84" s="3">
        <f ca="1">IFERROR(__xludf.DUMMYFUNCTION("""COMPUTED_VALUE"""),-0.635924672650628)</f>
        <v>-0.63592467265062802</v>
      </c>
      <c r="KY84" s="3">
        <f ca="1">IFERROR(__xludf.DUMMYFUNCTION("""COMPUTED_VALUE"""),-0.695913848610935)</f>
        <v>-0.69591384861093497</v>
      </c>
      <c r="KZ84" s="3">
        <f ca="1">IFERROR(__xludf.DUMMYFUNCTION("""COMPUTED_VALUE"""),-0.684840310555446)</f>
        <v>-0.68484031055544603</v>
      </c>
      <c r="LA84" s="3">
        <f ca="1">IFERROR(__xludf.DUMMYFUNCTION("""COMPUTED_VALUE"""),-0.696752520073464)</f>
        <v>-0.696752520073464</v>
      </c>
      <c r="LB84" s="3">
        <f ca="1">IFERROR(__xludf.DUMMYFUNCTION("""COMPUTED_VALUE"""),-0.697590590152935)</f>
        <v>-0.69759059015293501</v>
      </c>
      <c r="LC84" s="3">
        <f ca="1">IFERROR(__xludf.DUMMYFUNCTION("""COMPUTED_VALUE"""),-0.67679116137453)</f>
        <v>-0.67679116137452999</v>
      </c>
      <c r="LD84" s="3">
        <f ca="1">IFERROR(__xludf.DUMMYFUNCTION("""COMPUTED_VALUE"""),-0.65540553945009)</f>
        <v>-0.65540553945008995</v>
      </c>
      <c r="LE84" s="3">
        <f ca="1">IFERROR(__xludf.DUMMYFUNCTION("""COMPUTED_VALUE"""),-0.653152055083905)</f>
        <v>-0.65315205508390495</v>
      </c>
      <c r="LF84" s="3">
        <f ca="1">IFERROR(__xludf.DUMMYFUNCTION("""COMPUTED_VALUE"""),-0.7367572472983)</f>
        <v>-0.73675724729830006</v>
      </c>
      <c r="LG84" s="3">
        <f ca="1">IFERROR(__xludf.DUMMYFUNCTION("""COMPUTED_VALUE"""),-0.738170197388063)</f>
        <v>-0.738170197388063</v>
      </c>
      <c r="LH84" s="3">
        <f ca="1">IFERROR(__xludf.DUMMYFUNCTION("""COMPUTED_VALUE"""),-0.704496023458796)</f>
        <v>-0.70449602345879603</v>
      </c>
      <c r="LI84" s="3">
        <f ca="1">IFERROR(__xludf.DUMMYFUNCTION("""COMPUTED_VALUE"""),-0.703634469575889)</f>
        <v>-0.70363446957588904</v>
      </c>
      <c r="LJ84" s="3">
        <f ca="1">IFERROR(__xludf.DUMMYFUNCTION("""COMPUTED_VALUE"""),-0.651219964636921)</f>
        <v>-0.651219964636921</v>
      </c>
      <c r="LK84" s="3">
        <f ca="1">IFERROR(__xludf.DUMMYFUNCTION("""COMPUTED_VALUE"""),-0.663896371510898)</f>
        <v>-0.66389637151089798</v>
      </c>
      <c r="LL84" s="3">
        <f ca="1">IFERROR(__xludf.DUMMYFUNCTION("""COMPUTED_VALUE"""),-0.661250171632794)</f>
        <v>-0.66125017163279398</v>
      </c>
      <c r="LM84" s="3">
        <f ca="1">IFERROR(__xludf.DUMMYFUNCTION("""COMPUTED_VALUE"""),-0.734680247329323)</f>
        <v>-0.73468024732932302</v>
      </c>
      <c r="LN84" s="3">
        <f ca="1">IFERROR(__xludf.DUMMYFUNCTION("""COMPUTED_VALUE"""),-0.741908277800829)</f>
        <v>-0.74190827780082902</v>
      </c>
      <c r="LO84" s="3">
        <f ca="1">IFERROR(__xludf.DUMMYFUNCTION("""COMPUTED_VALUE"""),-0.744901935571529)</f>
        <v>-0.74490193557152895</v>
      </c>
      <c r="LP84" s="3">
        <f ca="1">IFERROR(__xludf.DUMMYFUNCTION("""COMPUTED_VALUE"""),-0.752385046427759)</f>
        <v>-0.75238504642775905</v>
      </c>
      <c r="LQ84" s="3">
        <f ca="1">IFERROR(__xludf.DUMMYFUNCTION("""COMPUTED_VALUE"""),-0.803224360735107)</f>
        <v>-0.80322436073510695</v>
      </c>
      <c r="LR84" s="3">
        <f ca="1">IFERROR(__xludf.DUMMYFUNCTION("""COMPUTED_VALUE"""),-0.724051965478658)</f>
        <v>-0.72405196547865802</v>
      </c>
      <c r="LS84" s="3">
        <f ca="1">IFERROR(__xludf.DUMMYFUNCTION("""COMPUTED_VALUE"""),-0.709535693369975)</f>
        <v>-0.70953569336997502</v>
      </c>
      <c r="LT84" s="3">
        <f ca="1">IFERROR(__xludf.DUMMYFUNCTION("""COMPUTED_VALUE"""),-0.779617211120693)</f>
        <v>-0.77961721112069304</v>
      </c>
      <c r="LU84" s="3">
        <f ca="1">IFERROR(__xludf.DUMMYFUNCTION("""COMPUTED_VALUE"""),-0.783637110214246)</f>
        <v>-0.78363711021424598</v>
      </c>
      <c r="LV84" s="3">
        <f ca="1">IFERROR(__xludf.DUMMYFUNCTION("""COMPUTED_VALUE"""),-0.775703213701973)</f>
        <v>-0.77570321370197304</v>
      </c>
      <c r="LW84" s="3">
        <f ca="1">IFERROR(__xludf.DUMMYFUNCTION("""COMPUTED_VALUE"""),-0.776742976475387)</f>
        <v>-0.77674297647538704</v>
      </c>
      <c r="LX84" s="3">
        <f ca="1">IFERROR(__xludf.DUMMYFUNCTION("""COMPUTED_VALUE"""),-0.739953040501893)</f>
        <v>-0.73995304050189303</v>
      </c>
      <c r="LY84" s="3">
        <f ca="1">IFERROR(__xludf.DUMMYFUNCTION("""COMPUTED_VALUE"""),-0.737128511052376)</f>
        <v>-0.73712851105237598</v>
      </c>
      <c r="LZ84" s="3">
        <f ca="1">IFERROR(__xludf.DUMMYFUNCTION("""COMPUTED_VALUE"""),-0.774026953994355)</f>
        <v>-0.77402695399435495</v>
      </c>
      <c r="MA84" s="3">
        <f ca="1">IFERROR(__xludf.DUMMYFUNCTION("""COMPUTED_VALUE"""),-0.78773842269814)</f>
        <v>-0.78773842269813998</v>
      </c>
      <c r="MB84" s="3">
        <f ca="1">IFERROR(__xludf.DUMMYFUNCTION("""COMPUTED_VALUE"""),-0.788418313906705)</f>
        <v>-0.78841831390670503</v>
      </c>
      <c r="MC84" s="3">
        <f ca="1">IFERROR(__xludf.DUMMYFUNCTION("""COMPUTED_VALUE"""),-0.780532228442585)</f>
        <v>-0.78053222844258496</v>
      </c>
      <c r="MD84" s="3">
        <f ca="1">IFERROR(__xludf.DUMMYFUNCTION("""COMPUTED_VALUE"""),-0.793294230812538)</f>
        <v>-0.79329423081253803</v>
      </c>
      <c r="ME84" s="3">
        <f ca="1">IFERROR(__xludf.DUMMYFUNCTION("""COMPUTED_VALUE"""),-0.77430629110527)</f>
        <v>-0.77430629110527005</v>
      </c>
      <c r="MF84" s="3">
        <f ca="1">IFERROR(__xludf.DUMMYFUNCTION("""COMPUTED_VALUE"""),-0.728670435985518)</f>
        <v>-0.72867043598551795</v>
      </c>
      <c r="MG84" s="3">
        <f ca="1">IFERROR(__xludf.DUMMYFUNCTION("""COMPUTED_VALUE"""),-0.76754224604565)</f>
        <v>-0.76754224604565002</v>
      </c>
      <c r="MH84" s="3">
        <f ca="1">IFERROR(__xludf.DUMMYFUNCTION("""COMPUTED_VALUE"""),-0.779113998945795)</f>
        <v>-0.77911399894579503</v>
      </c>
      <c r="MI84" s="3">
        <f ca="1">IFERROR(__xludf.DUMMYFUNCTION("""COMPUTED_VALUE"""),-0.781240648283822)</f>
        <v>-0.781240648283822</v>
      </c>
      <c r="MJ84" s="3">
        <f ca="1">IFERROR(__xludf.DUMMYFUNCTION("""COMPUTED_VALUE"""),-0.770389496614637)</f>
        <v>-0.77038949661463696</v>
      </c>
      <c r="MK84" s="3">
        <f ca="1">IFERROR(__xludf.DUMMYFUNCTION("""COMPUTED_VALUE"""),-0.796456105084827)</f>
        <v>-0.796456105084827</v>
      </c>
      <c r="ML84" s="3">
        <f ca="1">IFERROR(__xludf.DUMMYFUNCTION("""COMPUTED_VALUE"""),-0.777617213252343)</f>
        <v>-0.77761721325234301</v>
      </c>
      <c r="MM84" s="3">
        <f ca="1">IFERROR(__xludf.DUMMYFUNCTION("""COMPUTED_VALUE"""),-0.748457284744865)</f>
        <v>-0.74845728474486495</v>
      </c>
      <c r="MN84" s="3">
        <f ca="1">IFERROR(__xludf.DUMMYFUNCTION("""COMPUTED_VALUE"""),-0.766003547529935)</f>
        <v>-0.76600354752993505</v>
      </c>
      <c r="MO84" s="3">
        <f ca="1">IFERROR(__xludf.DUMMYFUNCTION("""COMPUTED_VALUE"""),-0.765647651276668)</f>
        <v>-0.76564765127666801</v>
      </c>
      <c r="MP84" s="3">
        <f ca="1">IFERROR(__xludf.DUMMYFUNCTION("""COMPUTED_VALUE"""),-0.807366269254365)</f>
        <v>-0.80736626925436505</v>
      </c>
      <c r="MQ84" s="3">
        <f ca="1">IFERROR(__xludf.DUMMYFUNCTION("""COMPUTED_VALUE"""),-0.797617142573678)</f>
        <v>-0.797617142573678</v>
      </c>
      <c r="MR84" s="3">
        <f ca="1">IFERROR(__xludf.DUMMYFUNCTION("""COMPUTED_VALUE"""),-0.79964055289875)</f>
        <v>-0.79964055289875002</v>
      </c>
      <c r="MS84" s="3">
        <f ca="1">IFERROR(__xludf.DUMMYFUNCTION("""COMPUTED_VALUE"""),-0.769763209926671)</f>
        <v>-0.76976320992667102</v>
      </c>
      <c r="MT84" s="3">
        <f ca="1">IFERROR(__xludf.DUMMYFUNCTION("""COMPUTED_VALUE"""),-0.742954529858171)</f>
        <v>-0.74295452985817101</v>
      </c>
      <c r="MU84" s="3">
        <f ca="1">IFERROR(__xludf.DUMMYFUNCTION("""COMPUTED_VALUE"""),-0.772796489171708)</f>
        <v>-0.77279648917170796</v>
      </c>
      <c r="MV84" s="3">
        <f ca="1">IFERROR(__xludf.DUMMYFUNCTION("""COMPUTED_VALUE"""),-0.752088307762987)</f>
        <v>-0.75208830776298696</v>
      </c>
      <c r="MW84" s="3">
        <f ca="1">IFERROR(__xludf.DUMMYFUNCTION("""COMPUTED_VALUE"""),-0.812172876574142)</f>
        <v>-0.81217287657414206</v>
      </c>
      <c r="MX84" s="3">
        <f ca="1">IFERROR(__xludf.DUMMYFUNCTION("""COMPUTED_VALUE"""),-0.808766945586219)</f>
        <v>-0.80876694558621898</v>
      </c>
      <c r="MY84" s="3">
        <f ca="1">IFERROR(__xludf.DUMMYFUNCTION("""COMPUTED_VALUE"""),-0.793310638786073)</f>
        <v>-0.793310638786073</v>
      </c>
      <c r="MZ84" s="3">
        <f ca="1">IFERROR(__xludf.DUMMYFUNCTION("""COMPUTED_VALUE"""),-0.779884623725475)</f>
        <v>-0.77988462372547496</v>
      </c>
      <c r="NA84" s="3">
        <f ca="1">IFERROR(__xludf.DUMMYFUNCTION("""COMPUTED_VALUE"""),-0.786472784324008)</f>
        <v>-0.78647278432400802</v>
      </c>
      <c r="NB84" s="3">
        <f ca="1">IFERROR(__xludf.DUMMYFUNCTION("""COMPUTED_VALUE"""),-0.780211457384185)</f>
        <v>-0.78021145738418496</v>
      </c>
      <c r="NC84" s="3">
        <f ca="1">IFERROR(__xludf.DUMMYFUNCTION("""COMPUTED_VALUE"""),-0.830230737171741)</f>
        <v>-0.83023073717174101</v>
      </c>
      <c r="ND84" s="3">
        <f ca="1">IFERROR(__xludf.DUMMYFUNCTION("""COMPUTED_VALUE"""),-0.794948454230793)</f>
        <v>-0.79494845423079297</v>
      </c>
      <c r="NE84" s="3">
        <f ca="1">IFERROR(__xludf.DUMMYFUNCTION("""COMPUTED_VALUE"""),-0.804666590602362)</f>
        <v>-0.80466659060236201</v>
      </c>
      <c r="NF84" s="3">
        <f ca="1">IFERROR(__xludf.DUMMYFUNCTION("""COMPUTED_VALUE"""),-0.800961116288231)</f>
        <v>-0.80096111628823097</v>
      </c>
      <c r="NG84" s="3">
        <f ca="1">IFERROR(__xludf.DUMMYFUNCTION("""COMPUTED_VALUE"""),-0.772130617061031)</f>
        <v>-0.77213061706103103</v>
      </c>
      <c r="NH84" s="3">
        <f ca="1">IFERROR(__xludf.DUMMYFUNCTION("""COMPUTED_VALUE"""),-0.741878972329663)</f>
        <v>-0.74187897232966304</v>
      </c>
      <c r="NI84" s="3">
        <f ca="1">IFERROR(__xludf.DUMMYFUNCTION("""COMPUTED_VALUE"""),-0.773362202446261)</f>
        <v>-0.77336220244626097</v>
      </c>
      <c r="NJ84" s="3">
        <f ca="1">IFERROR(__xludf.DUMMYFUNCTION("""COMPUTED_VALUE"""),-0.792345581646439)</f>
        <v>-0.79234558164643898</v>
      </c>
      <c r="NK84" s="3">
        <f ca="1">IFERROR(__xludf.DUMMYFUNCTION("""COMPUTED_VALUE"""),-0.779556750244977)</f>
        <v>-0.77955675024497695</v>
      </c>
      <c r="NL84" s="3">
        <f ca="1">IFERROR(__xludf.DUMMYFUNCTION("""COMPUTED_VALUE"""),-0.777985722764297)</f>
        <v>-0.77798572276429701</v>
      </c>
      <c r="NM84" s="3">
        <f ca="1">IFERROR(__xludf.DUMMYFUNCTION("""COMPUTED_VALUE"""),-0.783391192787273)</f>
        <v>-0.78339119278727298</v>
      </c>
      <c r="NN84" s="3">
        <f ca="1">IFERROR(__xludf.DUMMYFUNCTION("""COMPUTED_VALUE"""),-0.755565103388159)</f>
        <v>-0.75556510338815897</v>
      </c>
      <c r="NO84" s="3">
        <f ca="1">IFERROR(__xludf.DUMMYFUNCTION("""COMPUTED_VALUE"""),-0.739994186803511)</f>
        <v>-0.73999418680351103</v>
      </c>
      <c r="NP84" s="3">
        <f ca="1">IFERROR(__xludf.DUMMYFUNCTION("""COMPUTED_VALUE"""),-0.767171466682984)</f>
        <v>-0.76717146668298397</v>
      </c>
      <c r="NQ84" s="3">
        <f ca="1">IFERROR(__xludf.DUMMYFUNCTION("""COMPUTED_VALUE"""),-0.794329716253705)</f>
        <v>-0.79432971625370496</v>
      </c>
      <c r="NR84" s="3">
        <f ca="1">IFERROR(__xludf.DUMMYFUNCTION("""COMPUTED_VALUE"""),-0.785816166043855)</f>
        <v>-0.78581616604385496</v>
      </c>
      <c r="NS84" s="3">
        <f ca="1">IFERROR(__xludf.DUMMYFUNCTION("""COMPUTED_VALUE"""),-0.775735174368826)</f>
        <v>-0.775735174368826</v>
      </c>
      <c r="NT84" s="3">
        <f ca="1">IFERROR(__xludf.DUMMYFUNCTION("""COMPUTED_VALUE"""),-0.706204083127634)</f>
        <v>-0.70620408312763405</v>
      </c>
      <c r="NU84" s="3">
        <f ca="1">IFERROR(__xludf.DUMMYFUNCTION("""COMPUTED_VALUE"""),-0.69525624812333)</f>
        <v>-0.69525624812332998</v>
      </c>
      <c r="NV84" s="3">
        <f ca="1">IFERROR(__xludf.DUMMYFUNCTION("""COMPUTED_VALUE"""),-0.635532317007874)</f>
        <v>-0.63553231700787405</v>
      </c>
      <c r="NW84" s="3">
        <f ca="1">IFERROR(__xludf.DUMMYFUNCTION("""COMPUTED_VALUE"""),-0.641632325847448)</f>
        <v>-0.641632325847448</v>
      </c>
      <c r="NX84" s="3">
        <f ca="1">IFERROR(__xludf.DUMMYFUNCTION("""COMPUTED_VALUE"""),-0.689497236057244)</f>
        <v>-0.689497236057244</v>
      </c>
      <c r="NY84" s="3">
        <f ca="1">IFERROR(__xludf.DUMMYFUNCTION("""COMPUTED_VALUE"""),-0.662764388604138)</f>
        <v>-0.662764388604138</v>
      </c>
      <c r="NZ84" s="3">
        <f ca="1">IFERROR(__xludf.DUMMYFUNCTION("""COMPUTED_VALUE"""),-0.647274219587694)</f>
        <v>-0.64727421958769404</v>
      </c>
      <c r="OA84" s="3">
        <f ca="1">IFERROR(__xludf.DUMMYFUNCTION("""COMPUTED_VALUE"""),-0.603653742737057)</f>
        <v>-0.60365374273705696</v>
      </c>
      <c r="OB84" s="3">
        <f ca="1">IFERROR(__xludf.DUMMYFUNCTION("""COMPUTED_VALUE"""),-0.496632551189816)</f>
        <v>-0.49663255118981597</v>
      </c>
      <c r="OC84" s="3">
        <f ca="1">IFERROR(__xludf.DUMMYFUNCTION("""COMPUTED_VALUE"""),-0.302441105696697)</f>
        <v>-0.30244110569669702</v>
      </c>
      <c r="OD84" s="3">
        <f ca="1">IFERROR(__xludf.DUMMYFUNCTION("""COMPUTED_VALUE"""),-0.30258653515336)</f>
        <v>-0.30258653515335998</v>
      </c>
      <c r="OE84" s="3">
        <f ca="1">IFERROR(__xludf.DUMMYFUNCTION("""COMPUTED_VALUE"""),-0.235200160192267)</f>
        <v>-0.235200160192267</v>
      </c>
      <c r="OF84" s="3">
        <f ca="1">IFERROR(__xludf.DUMMYFUNCTION("""COMPUTED_VALUE"""),-0.0968560544231256)</f>
        <v>-9.6856054423125601E-2</v>
      </c>
      <c r="OG84" s="3">
        <f ca="1">IFERROR(__xludf.DUMMYFUNCTION("""COMPUTED_VALUE"""),-0.0501236366658763)</f>
        <v>-5.0123636665876298E-2</v>
      </c>
      <c r="OH84" s="3">
        <f ca="1">IFERROR(__xludf.DUMMYFUNCTION("""COMPUTED_VALUE"""),-0.0549780019971787)</f>
        <v>-5.4978001997178699E-2</v>
      </c>
      <c r="OI84" s="3">
        <f ca="1">IFERROR(__xludf.DUMMYFUNCTION("""COMPUTED_VALUE"""),-0.0209239651155115)</f>
        <v>-2.0923965115511499E-2</v>
      </c>
      <c r="OJ84" s="3">
        <f ca="1">IFERROR(__xludf.DUMMYFUNCTION("""COMPUTED_VALUE"""),0.00755318810318761)</f>
        <v>7.5531881031876101E-3</v>
      </c>
      <c r="OK84" s="3">
        <f ca="1">IFERROR(__xludf.DUMMYFUNCTION("""COMPUTED_VALUE"""),0.0265931602238191)</f>
        <v>2.65931602238191E-2</v>
      </c>
      <c r="OL84" s="3">
        <f ca="1">IFERROR(__xludf.DUMMYFUNCTION("""COMPUTED_VALUE"""),-0.0417561211082466)</f>
        <v>-4.1756121108246599E-2</v>
      </c>
      <c r="OM84" s="3">
        <f ca="1">IFERROR(__xludf.DUMMYFUNCTION("""COMPUTED_VALUE"""),-0.000321011153658346)</f>
        <v>-3.2101115365834598E-4</v>
      </c>
      <c r="ON84" s="3">
        <f ca="1">IFERROR(__xludf.DUMMYFUNCTION("""COMPUTED_VALUE"""),0.0300179097630359)</f>
        <v>3.0017909763035901E-2</v>
      </c>
      <c r="OO84" s="3">
        <f ca="1">IFERROR(__xludf.DUMMYFUNCTION("""COMPUTED_VALUE"""),0.0305970204071996)</f>
        <v>3.05970204071996E-2</v>
      </c>
      <c r="OP84" s="3">
        <f ca="1">IFERROR(__xludf.DUMMYFUNCTION("""COMPUTED_VALUE"""),0.0253601793130651)</f>
        <v>2.5360179313065102E-2</v>
      </c>
      <c r="OQ84" s="3">
        <f ca="1">IFERROR(__xludf.DUMMYFUNCTION("""COMPUTED_VALUE"""),0.0414852251636204)</f>
        <v>4.1485225163620403E-2</v>
      </c>
      <c r="OR84" s="3">
        <f ca="1">IFERROR(__xludf.DUMMYFUNCTION("""COMPUTED_VALUE"""),-0.0172155489262297)</f>
        <v>-1.7215548926229701E-2</v>
      </c>
      <c r="OS84" s="3">
        <f ca="1">IFERROR(__xludf.DUMMYFUNCTION("""COMPUTED_VALUE"""),-0.0793700179068531)</f>
        <v>-7.9370017906853094E-2</v>
      </c>
      <c r="OT84" s="3">
        <f ca="1">IFERROR(__xludf.DUMMYFUNCTION("""COMPUTED_VALUE"""),-0.0899946105109323)</f>
        <v>-8.9994610510932299E-2</v>
      </c>
      <c r="OU84" s="3">
        <f ca="1">IFERROR(__xludf.DUMMYFUNCTION("""COMPUTED_VALUE"""),-0.0532991993229623)</f>
        <v>-5.3299199322962301E-2</v>
      </c>
      <c r="OV84" s="3">
        <f ca="1">IFERROR(__xludf.DUMMYFUNCTION("""COMPUTED_VALUE"""),0.0105195088823002)</f>
        <v>1.05195088823002E-2</v>
      </c>
      <c r="OW84" s="3">
        <f ca="1">IFERROR(__xludf.DUMMYFUNCTION("""COMPUTED_VALUE"""),0.176513611448659)</f>
        <v>0.17651361144865901</v>
      </c>
      <c r="OX84" s="3">
        <f ca="1">IFERROR(__xludf.DUMMYFUNCTION("""COMPUTED_VALUE"""),0.106231700538573)</f>
        <v>0.106231700538573</v>
      </c>
      <c r="OY84" s="3">
        <f ca="1">IFERROR(__xludf.DUMMYFUNCTION("""COMPUTED_VALUE"""),0.076684715145761)</f>
        <v>7.6684715145761001E-2</v>
      </c>
      <c r="OZ84" s="3">
        <f ca="1">IFERROR(__xludf.DUMMYFUNCTION("""COMPUTED_VALUE"""),-0.0292396642224577)</f>
        <v>-2.92396642224577E-2</v>
      </c>
      <c r="PA84" s="3">
        <f ca="1">IFERROR(__xludf.DUMMYFUNCTION("""COMPUTED_VALUE"""),-0.0676301084053326)</f>
        <v>-6.7630108405332595E-2</v>
      </c>
      <c r="PB84" s="3">
        <f ca="1">IFERROR(__xludf.DUMMYFUNCTION("""COMPUTED_VALUE"""),-0.0059580153787232)</f>
        <v>-5.9580153787232E-3</v>
      </c>
      <c r="PC84" s="3">
        <f ca="1">IFERROR(__xludf.DUMMYFUNCTION("""COMPUTED_VALUE"""),0.152750580800085)</f>
        <v>0.152750580800085</v>
      </c>
      <c r="PD84" s="3">
        <f ca="1">IFERROR(__xludf.DUMMYFUNCTION("""COMPUTED_VALUE"""),-0.354790437470935)</f>
        <v>-0.35479043747093503</v>
      </c>
      <c r="PE84" s="3">
        <f ca="1">IFERROR(__xludf.DUMMYFUNCTION("""COMPUTED_VALUE"""),0.0637885035260923)</f>
        <v>6.3788503526092305E-2</v>
      </c>
      <c r="PF84" s="3">
        <f ca="1">IFERROR(__xludf.DUMMYFUNCTION("""COMPUTED_VALUE"""),-0.0186943686045377)</f>
        <v>-1.8694368604537701E-2</v>
      </c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</row>
    <row r="85" spans="1:594" ht="13">
      <c r="A85" s="1" t="str">
        <f ca="1">IFERROR(__xludf.DUMMYFUNCTION("""COMPUTED_VALUE"""),"Toulouse")</f>
        <v>Toulouse</v>
      </c>
      <c r="B85" s="3">
        <f ca="1">IFERROR(__xludf.DUMMYFUNCTION("""COMPUTED_VALUE"""),-0.187666306132781)</f>
        <v>-0.18766630613278101</v>
      </c>
      <c r="C85" s="3">
        <f ca="1">IFERROR(__xludf.DUMMYFUNCTION("""COMPUTED_VALUE"""),-0.418597706826964)</f>
        <v>-0.41859770682696401</v>
      </c>
      <c r="D85" s="3">
        <f ca="1">IFERROR(__xludf.DUMMYFUNCTION("""COMPUTED_VALUE"""),-0.406971274189081)</f>
        <v>-0.40697127418908102</v>
      </c>
      <c r="E85" s="3">
        <f ca="1">IFERROR(__xludf.DUMMYFUNCTION("""COMPUTED_VALUE"""),-0.238352466344684)</f>
        <v>-0.23835246634468399</v>
      </c>
      <c r="F85" s="3">
        <f ca="1">IFERROR(__xludf.DUMMYFUNCTION("""COMPUTED_VALUE"""),-0.377290575132782)</f>
        <v>-0.37729057513278202</v>
      </c>
      <c r="G85" s="3">
        <f ca="1">IFERROR(__xludf.DUMMYFUNCTION("""COMPUTED_VALUE"""),-0.573981509780783)</f>
        <v>-0.57398150978078299</v>
      </c>
      <c r="H85" s="3">
        <f ca="1">IFERROR(__xludf.DUMMYFUNCTION("""COMPUTED_VALUE"""),-0.17838928657059)</f>
        <v>-0.17838928657059</v>
      </c>
      <c r="I85" s="3">
        <f ca="1">IFERROR(__xludf.DUMMYFUNCTION("""COMPUTED_VALUE"""),-0.0412468592032643)</f>
        <v>-4.1246859203264298E-2</v>
      </c>
      <c r="J85" s="3">
        <f ca="1">IFERROR(__xludf.DUMMYFUNCTION("""COMPUTED_VALUE"""),-0.22392364798349)</f>
        <v>-0.22392364798348999</v>
      </c>
      <c r="K85" s="3">
        <f ca="1">IFERROR(__xludf.DUMMYFUNCTION("""COMPUTED_VALUE"""),-0.173752095568104)</f>
        <v>-0.173752095568104</v>
      </c>
      <c r="L85" s="3">
        <f ca="1">IFERROR(__xludf.DUMMYFUNCTION("""COMPUTED_VALUE"""),-0.199713899297861)</f>
        <v>-0.19971389929786099</v>
      </c>
      <c r="M85" s="3">
        <f ca="1">IFERROR(__xludf.DUMMYFUNCTION("""COMPUTED_VALUE"""),-0.232054849098517)</f>
        <v>-0.23205484909851701</v>
      </c>
      <c r="N85" s="3">
        <f ca="1">IFERROR(__xludf.DUMMYFUNCTION("""COMPUTED_VALUE"""),-0.240679960896672)</f>
        <v>-0.24067996089667201</v>
      </c>
      <c r="O85" s="3">
        <f ca="1">IFERROR(__xludf.DUMMYFUNCTION("""COMPUTED_VALUE"""),-0.0202329580955346)</f>
        <v>-2.02329580955346E-2</v>
      </c>
      <c r="P85" s="3">
        <f ca="1">IFERROR(__xludf.DUMMYFUNCTION("""COMPUTED_VALUE"""),-0.254678071370173)</f>
        <v>-0.25467807137017301</v>
      </c>
      <c r="Q85" s="3">
        <f ca="1">IFERROR(__xludf.DUMMYFUNCTION("""COMPUTED_VALUE"""),-0.313850742199484)</f>
        <v>-0.313850742199484</v>
      </c>
      <c r="R85" s="3">
        <f ca="1">IFERROR(__xludf.DUMMYFUNCTION("""COMPUTED_VALUE"""),-0.394224204482745)</f>
        <v>-0.39422420448274498</v>
      </c>
      <c r="S85" s="3">
        <f ca="1">IFERROR(__xludf.DUMMYFUNCTION("""COMPUTED_VALUE"""),-0.34956311765737)</f>
        <v>-0.34956311765737003</v>
      </c>
      <c r="T85" s="3">
        <f ca="1">IFERROR(__xludf.DUMMYFUNCTION("""COMPUTED_VALUE"""),-0.344124307449283)</f>
        <v>-0.34412430744928302</v>
      </c>
      <c r="U85" s="3">
        <f ca="1">IFERROR(__xludf.DUMMYFUNCTION("""COMPUTED_VALUE"""),-0.21937203836139)</f>
        <v>-0.21937203836138999</v>
      </c>
      <c r="V85" s="3">
        <f ca="1">IFERROR(__xludf.DUMMYFUNCTION("""COMPUTED_VALUE"""),-0.166073135419369)</f>
        <v>-0.16607313541936899</v>
      </c>
      <c r="W85" s="3">
        <f ca="1">IFERROR(__xludf.DUMMYFUNCTION("""COMPUTED_VALUE"""),-0.252523867679361)</f>
        <v>-0.25252386767936102</v>
      </c>
      <c r="X85" s="3">
        <f ca="1">IFERROR(__xludf.DUMMYFUNCTION("""COMPUTED_VALUE"""),-0.324810845485759)</f>
        <v>-0.324810845485759</v>
      </c>
      <c r="Y85" s="3">
        <f ca="1">IFERROR(__xludf.DUMMYFUNCTION("""COMPUTED_VALUE"""),-0.382167142288541)</f>
        <v>-0.38216714228854098</v>
      </c>
      <c r="Z85" s="3">
        <f ca="1">IFERROR(__xludf.DUMMYFUNCTION("""COMPUTED_VALUE"""),-0.351456147201397)</f>
        <v>-0.35145614720139701</v>
      </c>
      <c r="AA85" s="3">
        <f ca="1">IFERROR(__xludf.DUMMYFUNCTION("""COMPUTED_VALUE"""),-0.330296539966727)</f>
        <v>-0.33029653996672698</v>
      </c>
      <c r="AB85" s="3">
        <f ca="1">IFERROR(__xludf.DUMMYFUNCTION("""COMPUTED_VALUE"""),-0.310051033571977)</f>
        <v>-0.310051033571977</v>
      </c>
      <c r="AC85" s="3">
        <f ca="1">IFERROR(__xludf.DUMMYFUNCTION("""COMPUTED_VALUE"""),-0.121746119331345)</f>
        <v>-0.12174611933134501</v>
      </c>
      <c r="AD85" s="3">
        <f ca="1">IFERROR(__xludf.DUMMYFUNCTION("""COMPUTED_VALUE"""),-0.278934299984692)</f>
        <v>-0.27893429998469199</v>
      </c>
      <c r="AE85" s="3">
        <f ca="1">IFERROR(__xludf.DUMMYFUNCTION("""COMPUTED_VALUE"""),-0.292694737179871)</f>
        <v>-0.29269473717987099</v>
      </c>
      <c r="AF85" s="3">
        <f ca="1">IFERROR(__xludf.DUMMYFUNCTION("""COMPUTED_VALUE"""),-0.41992428512864)</f>
        <v>-0.41992428512864</v>
      </c>
      <c r="AG85" s="3">
        <f ca="1">IFERROR(__xludf.DUMMYFUNCTION("""COMPUTED_VALUE"""),-0.258268850180749)</f>
        <v>-0.25826885018074902</v>
      </c>
      <c r="AH85" s="3">
        <f ca="1">IFERROR(__xludf.DUMMYFUNCTION("""COMPUTED_VALUE"""),-0.347626441203212)</f>
        <v>-0.34762644120321201</v>
      </c>
      <c r="AI85" s="3">
        <f ca="1">IFERROR(__xludf.DUMMYFUNCTION("""COMPUTED_VALUE"""),-0.276670301097251)</f>
        <v>-0.27667030109725099</v>
      </c>
      <c r="AJ85" s="3">
        <f ca="1">IFERROR(__xludf.DUMMYFUNCTION("""COMPUTED_VALUE"""),-0.128165368118911)</f>
        <v>-0.12816536811891099</v>
      </c>
      <c r="AK85" s="3">
        <f ca="1">IFERROR(__xludf.DUMMYFUNCTION("""COMPUTED_VALUE"""),-0.088803643617555)</f>
        <v>-8.8803643617554995E-2</v>
      </c>
      <c r="AL85" s="3">
        <f ca="1">IFERROR(__xludf.DUMMYFUNCTION("""COMPUTED_VALUE"""),-0.241933665520339)</f>
        <v>-0.24193366552033899</v>
      </c>
      <c r="AM85" s="3">
        <f ca="1">IFERROR(__xludf.DUMMYFUNCTION("""COMPUTED_VALUE"""),-0.292546186976087)</f>
        <v>-0.29254618697608697</v>
      </c>
      <c r="AN85" s="3">
        <f ca="1">IFERROR(__xludf.DUMMYFUNCTION("""COMPUTED_VALUE"""),-0.267632640647873)</f>
        <v>-0.26763264064787301</v>
      </c>
      <c r="AO85" s="3">
        <f ca="1">IFERROR(__xludf.DUMMYFUNCTION("""COMPUTED_VALUE"""),-0.294444450978759)</f>
        <v>-0.29444445097875899</v>
      </c>
      <c r="AP85" s="3">
        <f ca="1">IFERROR(__xludf.DUMMYFUNCTION("""COMPUTED_VALUE"""),-0.243953028365318)</f>
        <v>-0.24395302836531799</v>
      </c>
      <c r="AQ85" s="3">
        <f ca="1">IFERROR(__xludf.DUMMYFUNCTION("""COMPUTED_VALUE"""),-0.306734795517603)</f>
        <v>-0.30673479551760302</v>
      </c>
      <c r="AR85" s="3">
        <f ca="1">IFERROR(__xludf.DUMMYFUNCTION("""COMPUTED_VALUE"""),-0.218473638029818)</f>
        <v>-0.21847363802981801</v>
      </c>
      <c r="AS85" s="3">
        <f ca="1">IFERROR(__xludf.DUMMYFUNCTION("""COMPUTED_VALUE"""),-0.432259898609821)</f>
        <v>-0.432259898609821</v>
      </c>
      <c r="AT85" s="3">
        <f ca="1">IFERROR(__xludf.DUMMYFUNCTION("""COMPUTED_VALUE"""),-0.445645976249705)</f>
        <v>-0.44564597624970498</v>
      </c>
      <c r="AU85" s="3">
        <f ca="1">IFERROR(__xludf.DUMMYFUNCTION("""COMPUTED_VALUE"""),-0.4239004939937)</f>
        <v>-0.4239004939937</v>
      </c>
      <c r="AV85" s="3">
        <f ca="1">IFERROR(__xludf.DUMMYFUNCTION("""COMPUTED_VALUE"""),-0.365755551602722)</f>
        <v>-0.365755551602722</v>
      </c>
      <c r="AW85" s="3">
        <f ca="1">IFERROR(__xludf.DUMMYFUNCTION("""COMPUTED_VALUE"""),-0.282206484914599)</f>
        <v>-0.28220648491459899</v>
      </c>
      <c r="AX85" s="3">
        <f ca="1">IFERROR(__xludf.DUMMYFUNCTION("""COMPUTED_VALUE"""),-0.253277910388306)</f>
        <v>-0.25327791038830599</v>
      </c>
      <c r="AY85" s="3">
        <f ca="1">IFERROR(__xludf.DUMMYFUNCTION("""COMPUTED_VALUE"""),-0.26614916672627)</f>
        <v>-0.26614916672626998</v>
      </c>
      <c r="AZ85" s="3">
        <f ca="1">IFERROR(__xludf.DUMMYFUNCTION("""COMPUTED_VALUE"""),-0.438906318465449)</f>
        <v>-0.43890631846544897</v>
      </c>
      <c r="BA85" s="3">
        <f ca="1">IFERROR(__xludf.DUMMYFUNCTION("""COMPUTED_VALUE"""),-0.447654384291441)</f>
        <v>-0.447654384291441</v>
      </c>
      <c r="BB85" s="3">
        <f ca="1">IFERROR(__xludf.DUMMYFUNCTION("""COMPUTED_VALUE"""),-0.398304006995688)</f>
        <v>-0.39830400699568802</v>
      </c>
      <c r="BC85" s="3">
        <f ca="1">IFERROR(__xludf.DUMMYFUNCTION("""COMPUTED_VALUE"""),-0.362693066038038)</f>
        <v>-0.36269306603803803</v>
      </c>
      <c r="BD85" s="3">
        <f ca="1">IFERROR(__xludf.DUMMYFUNCTION("""COMPUTED_VALUE"""),-0.443326114068732)</f>
        <v>-0.44332611406873201</v>
      </c>
      <c r="BE85" s="3">
        <f ca="1">IFERROR(__xludf.DUMMYFUNCTION("""COMPUTED_VALUE"""),-0.213345730533111)</f>
        <v>-0.21334573053311101</v>
      </c>
      <c r="BF85" s="3">
        <f ca="1">IFERROR(__xludf.DUMMYFUNCTION("""COMPUTED_VALUE"""),-0.240804013678115)</f>
        <v>-0.24080401367811499</v>
      </c>
      <c r="BG85" s="3">
        <f ca="1">IFERROR(__xludf.DUMMYFUNCTION("""COMPUTED_VALUE"""),-0.3302508293268)</f>
        <v>-0.3302508293268</v>
      </c>
      <c r="BH85" s="3">
        <f ca="1">IFERROR(__xludf.DUMMYFUNCTION("""COMPUTED_VALUE"""),-0.277799268344607)</f>
        <v>-0.277799268344607</v>
      </c>
      <c r="BI85" s="3">
        <f ca="1">IFERROR(__xludf.DUMMYFUNCTION("""COMPUTED_VALUE"""),-0.182973838782966)</f>
        <v>-0.182973838782966</v>
      </c>
      <c r="BJ85" s="3">
        <f ca="1">IFERROR(__xludf.DUMMYFUNCTION("""COMPUTED_VALUE"""),-0.277851845165995)</f>
        <v>-0.27785184516599498</v>
      </c>
      <c r="BK85" s="3">
        <f ca="1">IFERROR(__xludf.DUMMYFUNCTION("""COMPUTED_VALUE"""),-0.256979314243456)</f>
        <v>-0.25697931424345599</v>
      </c>
      <c r="BL85" s="3">
        <f ca="1">IFERROR(__xludf.DUMMYFUNCTION("""COMPUTED_VALUE"""),-0.243891938494733)</f>
        <v>-0.24389193849473301</v>
      </c>
      <c r="BM85" s="3">
        <f ca="1">IFERROR(__xludf.DUMMYFUNCTION("""COMPUTED_VALUE"""),-0.207758237071065)</f>
        <v>-0.207758237071065</v>
      </c>
      <c r="BN85" s="3">
        <f ca="1">IFERROR(__xludf.DUMMYFUNCTION("""COMPUTED_VALUE"""),-0.397325414471535)</f>
        <v>-0.39732541447153502</v>
      </c>
      <c r="BO85" s="3">
        <f ca="1">IFERROR(__xludf.DUMMYFUNCTION("""COMPUTED_VALUE"""),-0.444953500816384)</f>
        <v>-0.44495350081638402</v>
      </c>
      <c r="BP85" s="3">
        <f ca="1">IFERROR(__xludf.DUMMYFUNCTION("""COMPUTED_VALUE"""),-0.364542717887898)</f>
        <v>-0.36454271788789799</v>
      </c>
      <c r="BQ85" s="3">
        <f ca="1">IFERROR(__xludf.DUMMYFUNCTION("""COMPUTED_VALUE"""),-0.305299984812311)</f>
        <v>-0.30529998481231102</v>
      </c>
      <c r="BR85" s="3">
        <f ca="1">IFERROR(__xludf.DUMMYFUNCTION("""COMPUTED_VALUE"""),-0.333463320005546)</f>
        <v>-0.33346332000554602</v>
      </c>
      <c r="BS85" s="3">
        <f ca="1">IFERROR(__xludf.DUMMYFUNCTION("""COMPUTED_VALUE"""),-0.199643536415609)</f>
        <v>-0.199643536415609</v>
      </c>
      <c r="BT85" s="3">
        <f ca="1">IFERROR(__xludf.DUMMYFUNCTION("""COMPUTED_VALUE"""),-0.248216968449931)</f>
        <v>-0.24821696844993099</v>
      </c>
      <c r="BU85" s="3">
        <f ca="1">IFERROR(__xludf.DUMMYFUNCTION("""COMPUTED_VALUE"""),-0.475216309603854)</f>
        <v>-0.47521630960385403</v>
      </c>
      <c r="BV85" s="3">
        <f ca="1">IFERROR(__xludf.DUMMYFUNCTION("""COMPUTED_VALUE"""),-0.378390492968234)</f>
        <v>-0.37839049296823402</v>
      </c>
      <c r="BW85" s="3">
        <f ca="1">IFERROR(__xludf.DUMMYFUNCTION("""COMPUTED_VALUE"""),-0.342888088319591)</f>
        <v>-0.342888088319591</v>
      </c>
      <c r="BX85" s="3">
        <f ca="1">IFERROR(__xludf.DUMMYFUNCTION("""COMPUTED_VALUE"""),-0.304502793514287)</f>
        <v>-0.304502793514287</v>
      </c>
      <c r="BY85" s="3">
        <f ca="1">IFERROR(__xludf.DUMMYFUNCTION("""COMPUTED_VALUE"""),-0.381319501642694)</f>
        <v>-0.38131950164269401</v>
      </c>
      <c r="BZ85" s="3">
        <f ca="1">IFERROR(__xludf.DUMMYFUNCTION("""COMPUTED_VALUE"""),-0.23559789589802)</f>
        <v>-0.23559789589801999</v>
      </c>
      <c r="CA85" s="3">
        <f ca="1">IFERROR(__xludf.DUMMYFUNCTION("""COMPUTED_VALUE"""),-0.327762749642058)</f>
        <v>-0.32776274964205798</v>
      </c>
      <c r="CB85" s="3">
        <f ca="1">IFERROR(__xludf.DUMMYFUNCTION("""COMPUTED_VALUE"""),-0.291372115951657)</f>
        <v>-0.29137211595165702</v>
      </c>
      <c r="CC85" s="3">
        <f ca="1">IFERROR(__xludf.DUMMYFUNCTION("""COMPUTED_VALUE"""),-0.363086517601528)</f>
        <v>-0.36308651760152799</v>
      </c>
      <c r="CD85" s="3">
        <f ca="1">IFERROR(__xludf.DUMMYFUNCTION("""COMPUTED_VALUE"""),-0.38013704600063)</f>
        <v>-0.38013704600062997</v>
      </c>
      <c r="CE85" s="3">
        <f ca="1">IFERROR(__xludf.DUMMYFUNCTION("""COMPUTED_VALUE"""),-0.413615878244615)</f>
        <v>-0.41361587824461499</v>
      </c>
      <c r="CF85" s="3">
        <f ca="1">IFERROR(__xludf.DUMMYFUNCTION("""COMPUTED_VALUE"""),-0.358713835131618)</f>
        <v>-0.35871383513161798</v>
      </c>
      <c r="CG85" s="3">
        <f ca="1">IFERROR(__xludf.DUMMYFUNCTION("""COMPUTED_VALUE"""),-0.224585782256119)</f>
        <v>-0.224585782256119</v>
      </c>
      <c r="CH85" s="3">
        <f ca="1">IFERROR(__xludf.DUMMYFUNCTION("""COMPUTED_VALUE"""),-0.287959649089443)</f>
        <v>-0.28795964908944299</v>
      </c>
      <c r="CI85" s="3">
        <f ca="1">IFERROR(__xludf.DUMMYFUNCTION("""COMPUTED_VALUE"""),-0.330350678268049)</f>
        <v>-0.33035067826804898</v>
      </c>
      <c r="CJ85" s="3">
        <f ca="1">IFERROR(__xludf.DUMMYFUNCTION("""COMPUTED_VALUE"""),-0.37965973346013)</f>
        <v>-0.37965973346012999</v>
      </c>
      <c r="CK85" s="3">
        <f ca="1">IFERROR(__xludf.DUMMYFUNCTION("""COMPUTED_VALUE"""),-0.320879417575124)</f>
        <v>-0.320879417575124</v>
      </c>
      <c r="CL85" s="3">
        <f ca="1">IFERROR(__xludf.DUMMYFUNCTION("""COMPUTED_VALUE"""),-0.431099580742741)</f>
        <v>-0.43109958074274102</v>
      </c>
      <c r="CM85" s="3">
        <f ca="1">IFERROR(__xludf.DUMMYFUNCTION("""COMPUTED_VALUE"""),-0.43204881642329)</f>
        <v>-0.43204881642329002</v>
      </c>
      <c r="CN85" s="3">
        <f ca="1">IFERROR(__xludf.DUMMYFUNCTION("""COMPUTED_VALUE"""),-0.275308611880595)</f>
        <v>-0.27530861188059502</v>
      </c>
      <c r="CO85" s="3">
        <f ca="1">IFERROR(__xludf.DUMMYFUNCTION("""COMPUTED_VALUE"""),-0.339817714617433)</f>
        <v>-0.33981771461743299</v>
      </c>
      <c r="CP85" s="3">
        <f ca="1">IFERROR(__xludf.DUMMYFUNCTION("""COMPUTED_VALUE"""),-0.421887184058016)</f>
        <v>-0.42188718405801601</v>
      </c>
      <c r="CQ85" s="3">
        <f ca="1">IFERROR(__xludf.DUMMYFUNCTION("""COMPUTED_VALUE"""),-0.39739977856392)</f>
        <v>-0.39739977856392</v>
      </c>
      <c r="CR85" s="3">
        <f ca="1">IFERROR(__xludf.DUMMYFUNCTION("""COMPUTED_VALUE"""),-0.25338734687658)</f>
        <v>-0.25338734687657999</v>
      </c>
      <c r="CS85" s="3">
        <f ca="1">IFERROR(__xludf.DUMMYFUNCTION("""COMPUTED_VALUE"""),-0.485078961149984)</f>
        <v>-0.485078961149984</v>
      </c>
      <c r="CT85" s="3">
        <f ca="1">IFERROR(__xludf.DUMMYFUNCTION("""COMPUTED_VALUE"""),-0.377831189838544)</f>
        <v>-0.37783118983854402</v>
      </c>
      <c r="CU85" s="3">
        <f ca="1">IFERROR(__xludf.DUMMYFUNCTION("""COMPUTED_VALUE"""),-0.237242628200201)</f>
        <v>-0.23724262820020101</v>
      </c>
      <c r="CV85" s="3">
        <f ca="1">IFERROR(__xludf.DUMMYFUNCTION("""COMPUTED_VALUE"""),-0.343359387155405)</f>
        <v>-0.34335938715540498</v>
      </c>
      <c r="CW85" s="3">
        <f ca="1">IFERROR(__xludf.DUMMYFUNCTION("""COMPUTED_VALUE"""),-0.731677440620126)</f>
        <v>-0.73167744062012596</v>
      </c>
      <c r="CX85" s="3">
        <f ca="1">IFERROR(__xludf.DUMMYFUNCTION("""COMPUTED_VALUE"""),-0.433918199602071)</f>
        <v>-0.43391819960207101</v>
      </c>
      <c r="CY85" s="3">
        <f ca="1">IFERROR(__xludf.DUMMYFUNCTION("""COMPUTED_VALUE"""),-0.27157786271085)</f>
        <v>-0.27157786271084999</v>
      </c>
      <c r="CZ85" s="3">
        <f ca="1">IFERROR(__xludf.DUMMYFUNCTION("""COMPUTED_VALUE"""),-0.546207565161025)</f>
        <v>-0.54620756516102498</v>
      </c>
      <c r="DA85" s="3">
        <f ca="1">IFERROR(__xludf.DUMMYFUNCTION("""COMPUTED_VALUE"""),-0.47152057270846)</f>
        <v>-0.47152057270845998</v>
      </c>
      <c r="DB85" s="3">
        <f ca="1">IFERROR(__xludf.DUMMYFUNCTION("""COMPUTED_VALUE"""),-0.322779296859305)</f>
        <v>-0.32277929685930501</v>
      </c>
      <c r="DC85" s="3">
        <f ca="1">IFERROR(__xludf.DUMMYFUNCTION("""COMPUTED_VALUE"""),-0.394433877793325)</f>
        <v>-0.39443387779332501</v>
      </c>
      <c r="DD85" s="3">
        <f ca="1">IFERROR(__xludf.DUMMYFUNCTION("""COMPUTED_VALUE"""),-0.639924279386515)</f>
        <v>-0.63992427938651497</v>
      </c>
      <c r="DE85" s="3">
        <f ca="1">IFERROR(__xludf.DUMMYFUNCTION("""COMPUTED_VALUE"""),-0.47512073681244)</f>
        <v>-0.47512073681243999</v>
      </c>
      <c r="DF85" s="3">
        <f ca="1">IFERROR(__xludf.DUMMYFUNCTION("""COMPUTED_VALUE"""),-0.145546467922174)</f>
        <v>-0.14554646792217399</v>
      </c>
      <c r="DG85" s="3">
        <f ca="1">IFERROR(__xludf.DUMMYFUNCTION("""COMPUTED_VALUE"""),-0.358121939347418)</f>
        <v>-0.35812193934741798</v>
      </c>
      <c r="DH85" s="3">
        <f ca="1">IFERROR(__xludf.DUMMYFUNCTION("""COMPUTED_VALUE"""),-0.311139492755219)</f>
        <v>-0.31113949275521902</v>
      </c>
      <c r="DI85" s="3">
        <f ca="1">IFERROR(__xludf.DUMMYFUNCTION("""COMPUTED_VALUE"""),-0.15202510448046)</f>
        <v>-0.15202510448046</v>
      </c>
      <c r="DJ85" s="3">
        <f ca="1">IFERROR(__xludf.DUMMYFUNCTION("""COMPUTED_VALUE"""),-0.211715620469997)</f>
        <v>-0.21171562046999701</v>
      </c>
      <c r="DK85" s="3">
        <f ca="1">IFERROR(__xludf.DUMMYFUNCTION("""COMPUTED_VALUE"""),-0.315127583570146)</f>
        <v>-0.31512758357014597</v>
      </c>
      <c r="DL85" s="3">
        <f ca="1">IFERROR(__xludf.DUMMYFUNCTION("""COMPUTED_VALUE"""),-0.379762466759682)</f>
        <v>-0.379762466759682</v>
      </c>
      <c r="DM85" s="3">
        <f ca="1">IFERROR(__xludf.DUMMYFUNCTION("""COMPUTED_VALUE"""),-0.191389741256272)</f>
        <v>-0.19138974125627201</v>
      </c>
      <c r="DN85" s="3">
        <f ca="1">IFERROR(__xludf.DUMMYFUNCTION("""COMPUTED_VALUE"""),-0.327445420469743)</f>
        <v>-0.32744542046974301</v>
      </c>
      <c r="DO85" s="3">
        <f ca="1">IFERROR(__xludf.DUMMYFUNCTION("""COMPUTED_VALUE"""),-0.336900129256019)</f>
        <v>-0.33690012925601898</v>
      </c>
      <c r="DP85" s="3">
        <f ca="1">IFERROR(__xludf.DUMMYFUNCTION("""COMPUTED_VALUE"""),-0.400737793246969)</f>
        <v>-0.40073779324696901</v>
      </c>
      <c r="DQ85" s="3">
        <f ca="1">IFERROR(__xludf.DUMMYFUNCTION("""COMPUTED_VALUE"""),-0.330050911554677)</f>
        <v>-0.33005091155467697</v>
      </c>
      <c r="DR85" s="3">
        <f ca="1">IFERROR(__xludf.DUMMYFUNCTION("""COMPUTED_VALUE"""),-0.495537422450139)</f>
        <v>-0.49553742245013899</v>
      </c>
      <c r="DS85" s="3">
        <f ca="1">IFERROR(__xludf.DUMMYFUNCTION("""COMPUTED_VALUE"""),-0.476208073775447)</f>
        <v>-0.47620807377544699</v>
      </c>
      <c r="DT85" s="3">
        <f ca="1">IFERROR(__xludf.DUMMYFUNCTION("""COMPUTED_VALUE"""),-0.488011813628943)</f>
        <v>-0.48801181362894303</v>
      </c>
      <c r="DU85" s="3">
        <f ca="1">IFERROR(__xludf.DUMMYFUNCTION("""COMPUTED_VALUE"""),-0.504338467071057)</f>
        <v>-0.50433846707105701</v>
      </c>
      <c r="DV85" s="3">
        <f ca="1">IFERROR(__xludf.DUMMYFUNCTION("""COMPUTED_VALUE"""),-0.373961597838364)</f>
        <v>-0.37396159783836402</v>
      </c>
      <c r="DW85" s="3">
        <f ca="1">IFERROR(__xludf.DUMMYFUNCTION("""COMPUTED_VALUE"""),-0.496551229353222)</f>
        <v>-0.49655122935322199</v>
      </c>
      <c r="DX85" s="3">
        <f ca="1">IFERROR(__xludf.DUMMYFUNCTION("""COMPUTED_VALUE"""),-0.44564277411013)</f>
        <v>-0.44564277411012998</v>
      </c>
      <c r="DY85" s="3">
        <f ca="1">IFERROR(__xludf.DUMMYFUNCTION("""COMPUTED_VALUE"""),-0.554300303719724)</f>
        <v>-0.55430030371972405</v>
      </c>
      <c r="DZ85" s="3">
        <f ca="1">IFERROR(__xludf.DUMMYFUNCTION("""COMPUTED_VALUE"""),-0.495576002076449)</f>
        <v>-0.49557600207644897</v>
      </c>
      <c r="EA85" s="3">
        <f ca="1">IFERROR(__xludf.DUMMYFUNCTION("""COMPUTED_VALUE"""),-0.534748241434852)</f>
        <v>-0.534748241434852</v>
      </c>
      <c r="EB85" s="3">
        <f ca="1">IFERROR(__xludf.DUMMYFUNCTION("""COMPUTED_VALUE"""),-0.468078045325866)</f>
        <v>-0.468078045325866</v>
      </c>
      <c r="EC85" s="3">
        <f ca="1">IFERROR(__xludf.DUMMYFUNCTION("""COMPUTED_VALUE"""),-0.456474124058218)</f>
        <v>-0.45647412405821802</v>
      </c>
      <c r="ED85" s="3">
        <f ca="1">IFERROR(__xludf.DUMMYFUNCTION("""COMPUTED_VALUE"""),-0.581978464098713)</f>
        <v>-0.58197846409871301</v>
      </c>
      <c r="EE85" s="3">
        <f ca="1">IFERROR(__xludf.DUMMYFUNCTION("""COMPUTED_VALUE"""),-0.505115020256345)</f>
        <v>-0.50511502025634503</v>
      </c>
      <c r="EF85" s="3">
        <f ca="1">IFERROR(__xludf.DUMMYFUNCTION("""COMPUTED_VALUE"""),-0.607074228339894)</f>
        <v>-0.607074228339894</v>
      </c>
      <c r="EG85" s="3">
        <f ca="1">IFERROR(__xludf.DUMMYFUNCTION("""COMPUTED_VALUE"""),-0.523790209890208)</f>
        <v>-0.52379020989020797</v>
      </c>
      <c r="EH85" s="3">
        <f ca="1">IFERROR(__xludf.DUMMYFUNCTION("""COMPUTED_VALUE"""),-0.572554312870966)</f>
        <v>-0.57255431287096603</v>
      </c>
      <c r="EI85" s="3">
        <f ca="1">IFERROR(__xludf.DUMMYFUNCTION("""COMPUTED_VALUE"""),-0.558279316070672)</f>
        <v>-0.55827931607067205</v>
      </c>
      <c r="EJ85" s="3">
        <f ca="1">IFERROR(__xludf.DUMMYFUNCTION("""COMPUTED_VALUE"""),-0.523767045399758)</f>
        <v>-0.52376704539975805</v>
      </c>
      <c r="EK85" s="3">
        <f ca="1">IFERROR(__xludf.DUMMYFUNCTION("""COMPUTED_VALUE"""),-0.494305203012057)</f>
        <v>-0.49430520301205699</v>
      </c>
      <c r="EL85" s="3">
        <f ca="1">IFERROR(__xludf.DUMMYFUNCTION("""COMPUTED_VALUE"""),-0.612888935356962)</f>
        <v>-0.61288893535696198</v>
      </c>
      <c r="EM85" s="3">
        <f ca="1">IFERROR(__xludf.DUMMYFUNCTION("""COMPUTED_VALUE"""),-0.587827069339293)</f>
        <v>-0.58782706933929296</v>
      </c>
      <c r="EN85" s="3">
        <f ca="1">IFERROR(__xludf.DUMMYFUNCTION("""COMPUTED_VALUE"""),-0.564107401060726)</f>
        <v>-0.56410740106072599</v>
      </c>
      <c r="EO85" s="3">
        <f ca="1">IFERROR(__xludf.DUMMYFUNCTION("""COMPUTED_VALUE"""),-0.515464293062699)</f>
        <v>-0.51546429306269903</v>
      </c>
      <c r="EP85" s="3">
        <f ca="1">IFERROR(__xludf.DUMMYFUNCTION("""COMPUTED_VALUE"""),-0.551071735456999)</f>
        <v>-0.55107173545699895</v>
      </c>
      <c r="EQ85" s="3">
        <f ca="1">IFERROR(__xludf.DUMMYFUNCTION("""COMPUTED_VALUE"""),-0.471155976551617)</f>
        <v>-0.47115597655161701</v>
      </c>
      <c r="ER85" s="3">
        <f ca="1">IFERROR(__xludf.DUMMYFUNCTION("""COMPUTED_VALUE"""),-0.587230476885446)</f>
        <v>-0.58723047688544605</v>
      </c>
      <c r="ES85" s="3">
        <f ca="1">IFERROR(__xludf.DUMMYFUNCTION("""COMPUTED_VALUE"""),-0.624376143225241)</f>
        <v>-0.62437614322524104</v>
      </c>
      <c r="ET85" s="3">
        <f ca="1">IFERROR(__xludf.DUMMYFUNCTION("""COMPUTED_VALUE"""),-0.61945597500467)</f>
        <v>-0.61945597500466998</v>
      </c>
      <c r="EU85" s="3">
        <f ca="1">IFERROR(__xludf.DUMMYFUNCTION("""COMPUTED_VALUE"""),-0.552487245887502)</f>
        <v>-0.55248724588750198</v>
      </c>
      <c r="EV85" s="3">
        <f ca="1">IFERROR(__xludf.DUMMYFUNCTION("""COMPUTED_VALUE"""),-0.702385417923942)</f>
        <v>-0.70238541792394205</v>
      </c>
      <c r="EW85" s="3">
        <f ca="1">IFERROR(__xludf.DUMMYFUNCTION("""COMPUTED_VALUE"""),-0.567790477663286)</f>
        <v>-0.56779047766328605</v>
      </c>
      <c r="EX85" s="3">
        <f ca="1">IFERROR(__xludf.DUMMYFUNCTION("""COMPUTED_VALUE"""),-0.454113717371709)</f>
        <v>-0.45411371737170902</v>
      </c>
      <c r="EY85" s="3">
        <f ca="1">IFERROR(__xludf.DUMMYFUNCTION("""COMPUTED_VALUE"""),-0.600719316654195)</f>
        <v>-0.60071931665419498</v>
      </c>
      <c r="EZ85" s="3">
        <f ca="1">IFERROR(__xludf.DUMMYFUNCTION("""COMPUTED_VALUE"""),-0.543153107699718)</f>
        <v>-0.54315310769971803</v>
      </c>
      <c r="FA85" s="3">
        <f ca="1">IFERROR(__xludf.DUMMYFUNCTION("""COMPUTED_VALUE"""),-0.509326786831388)</f>
        <v>-0.50932678683138799</v>
      </c>
      <c r="FB85" s="3">
        <f ca="1">IFERROR(__xludf.DUMMYFUNCTION("""COMPUTED_VALUE"""),-0.52321134742794)</f>
        <v>-0.52321134742793995</v>
      </c>
      <c r="FC85" s="3">
        <f ca="1">IFERROR(__xludf.DUMMYFUNCTION("""COMPUTED_VALUE"""),-0.51493153544696)</f>
        <v>-0.51493153544696002</v>
      </c>
      <c r="FD85" s="3">
        <f ca="1">IFERROR(__xludf.DUMMYFUNCTION("""COMPUTED_VALUE"""),-0.512910937876465)</f>
        <v>-0.51291093787646502</v>
      </c>
      <c r="FE85" s="3">
        <f ca="1">IFERROR(__xludf.DUMMYFUNCTION("""COMPUTED_VALUE"""),-0.40464061216545)</f>
        <v>-0.40464061216545</v>
      </c>
      <c r="FF85" s="3">
        <f ca="1">IFERROR(__xludf.DUMMYFUNCTION("""COMPUTED_VALUE"""),-0.581192403505659)</f>
        <v>-0.58119240350565904</v>
      </c>
      <c r="FG85" s="3">
        <f ca="1">IFERROR(__xludf.DUMMYFUNCTION("""COMPUTED_VALUE"""),-0.68860489717851)</f>
        <v>-0.68860489717851003</v>
      </c>
      <c r="FH85" s="3">
        <f ca="1">IFERROR(__xludf.DUMMYFUNCTION("""COMPUTED_VALUE"""),-0.641814590317642)</f>
        <v>-0.64181459031764199</v>
      </c>
      <c r="FI85" s="3">
        <f ca="1">IFERROR(__xludf.DUMMYFUNCTION("""COMPUTED_VALUE"""),-0.264415589300332)</f>
        <v>-0.26441558930033199</v>
      </c>
      <c r="FJ85" s="3">
        <f ca="1">IFERROR(__xludf.DUMMYFUNCTION("""COMPUTED_VALUE"""),-0.361339904349341)</f>
        <v>-0.36133990434934099</v>
      </c>
      <c r="FK85" s="3">
        <f ca="1">IFERROR(__xludf.DUMMYFUNCTION("""COMPUTED_VALUE"""),-0.392532059973624)</f>
        <v>-0.392532059973624</v>
      </c>
      <c r="FL85" s="3">
        <f ca="1">IFERROR(__xludf.DUMMYFUNCTION("""COMPUTED_VALUE"""),-0.191354062057252)</f>
        <v>-0.191354062057252</v>
      </c>
      <c r="FM85" s="3">
        <f ca="1">IFERROR(__xludf.DUMMYFUNCTION("""COMPUTED_VALUE"""),-0.00285409634302569)</f>
        <v>-2.8540963430256899E-3</v>
      </c>
      <c r="FN85" s="3">
        <f ca="1">IFERROR(__xludf.DUMMYFUNCTION("""COMPUTED_VALUE"""),-0.157907968241954)</f>
        <v>-0.15790796824195399</v>
      </c>
      <c r="FO85" s="3">
        <f ca="1">IFERROR(__xludf.DUMMYFUNCTION("""COMPUTED_VALUE"""),-0.324602938761383)</f>
        <v>-0.32460293876138302</v>
      </c>
      <c r="FP85" s="3">
        <f ca="1">IFERROR(__xludf.DUMMYFUNCTION("""COMPUTED_VALUE"""),-0.349330682479146)</f>
        <v>-0.349330682479146</v>
      </c>
      <c r="FQ85" s="3">
        <f ca="1">IFERROR(__xludf.DUMMYFUNCTION("""COMPUTED_VALUE"""),-0.326683137153793)</f>
        <v>-0.32668313715379299</v>
      </c>
      <c r="FR85" s="3">
        <f ca="1">IFERROR(__xludf.DUMMYFUNCTION("""COMPUTED_VALUE"""),-0.339412155445936)</f>
        <v>-0.339412155445936</v>
      </c>
      <c r="FS85" s="3">
        <f ca="1">IFERROR(__xludf.DUMMYFUNCTION("""COMPUTED_VALUE"""),-0.255408476022303)</f>
        <v>-0.25540847602230299</v>
      </c>
      <c r="FT85" s="3">
        <f ca="1">IFERROR(__xludf.DUMMYFUNCTION("""COMPUTED_VALUE"""),-0.0566616568583591)</f>
        <v>-5.6661656858359097E-2</v>
      </c>
      <c r="FU85" s="3">
        <f ca="1">IFERROR(__xludf.DUMMYFUNCTION("""COMPUTED_VALUE"""),-0.331399001101025)</f>
        <v>-0.33139900110102499</v>
      </c>
      <c r="FV85" s="3">
        <f ca="1">IFERROR(__xludf.DUMMYFUNCTION("""COMPUTED_VALUE"""),-0.271295827627982)</f>
        <v>-0.27129582762798199</v>
      </c>
      <c r="FW85" s="3">
        <f ca="1">IFERROR(__xludf.DUMMYFUNCTION("""COMPUTED_VALUE"""),-0.219681215395656)</f>
        <v>-0.21968121539565599</v>
      </c>
      <c r="FX85" s="3">
        <f ca="1">IFERROR(__xludf.DUMMYFUNCTION("""COMPUTED_VALUE"""),-0.33017949997994)</f>
        <v>-0.33017949997994001</v>
      </c>
      <c r="FY85" s="3">
        <f ca="1">IFERROR(__xludf.DUMMYFUNCTION("""COMPUTED_VALUE"""),-0.35780117459869)</f>
        <v>-0.35780117459868999</v>
      </c>
      <c r="FZ85" s="3">
        <f ca="1">IFERROR(__xludf.DUMMYFUNCTION("""COMPUTED_VALUE"""),-0.283437384005378)</f>
        <v>-0.28343738400537799</v>
      </c>
      <c r="GA85" s="3">
        <f ca="1">IFERROR(__xludf.DUMMYFUNCTION("""COMPUTED_VALUE"""),-0.141326328908631)</f>
        <v>-0.141326328908631</v>
      </c>
      <c r="GB85" s="3">
        <f ca="1">IFERROR(__xludf.DUMMYFUNCTION("""COMPUTED_VALUE"""),-0.170959624668578)</f>
        <v>-0.170959624668578</v>
      </c>
      <c r="GC85" s="3">
        <f ca="1">IFERROR(__xludf.DUMMYFUNCTION("""COMPUTED_VALUE"""),-0.273735404193662)</f>
        <v>-0.27373540419366199</v>
      </c>
      <c r="GD85" s="3">
        <f ca="1">IFERROR(__xludf.DUMMYFUNCTION("""COMPUTED_VALUE"""),-0.308235358125703)</f>
        <v>-0.30823535812570302</v>
      </c>
      <c r="GE85" s="3">
        <f ca="1">IFERROR(__xludf.DUMMYFUNCTION("""COMPUTED_VALUE"""),-0.262740624954482)</f>
        <v>-0.26274062495448203</v>
      </c>
      <c r="GF85" s="3">
        <f ca="1">IFERROR(__xludf.DUMMYFUNCTION("""COMPUTED_VALUE"""),-0.321437991438973)</f>
        <v>-0.321437991438973</v>
      </c>
      <c r="GG85" s="3">
        <f ca="1">IFERROR(__xludf.DUMMYFUNCTION("""COMPUTED_VALUE"""),-0.205503057384072)</f>
        <v>-0.20550305738407201</v>
      </c>
      <c r="GH85" s="3">
        <f ca="1">IFERROR(__xludf.DUMMYFUNCTION("""COMPUTED_VALUE"""),-0.182453758041302)</f>
        <v>-0.18245375804130201</v>
      </c>
      <c r="GI85" s="3">
        <f ca="1">IFERROR(__xludf.DUMMYFUNCTION("""COMPUTED_VALUE"""),-0.219435105130783)</f>
        <v>-0.21943510513078299</v>
      </c>
      <c r="GJ85" s="3">
        <f ca="1">IFERROR(__xludf.DUMMYFUNCTION("""COMPUTED_VALUE"""),-0.296194565413956)</f>
        <v>-0.296194565413956</v>
      </c>
      <c r="GK85" s="3">
        <f ca="1">IFERROR(__xludf.DUMMYFUNCTION("""COMPUTED_VALUE"""),-0.282669440195893)</f>
        <v>-0.28266944019589302</v>
      </c>
      <c r="GL85" s="3">
        <f ca="1">IFERROR(__xludf.DUMMYFUNCTION("""COMPUTED_VALUE"""),-0.0664270890173165)</f>
        <v>-6.6427089017316504E-2</v>
      </c>
      <c r="GM85" s="3">
        <f ca="1">IFERROR(__xludf.DUMMYFUNCTION("""COMPUTED_VALUE"""),-0.257595968832158)</f>
        <v>-0.25759596883215802</v>
      </c>
      <c r="GN85" s="3">
        <f ca="1">IFERROR(__xludf.DUMMYFUNCTION("""COMPUTED_VALUE"""),-0.241752036520966)</f>
        <v>-0.241752036520966</v>
      </c>
      <c r="GO85" s="3">
        <f ca="1">IFERROR(__xludf.DUMMYFUNCTION("""COMPUTED_VALUE"""),-0.1198789424968)</f>
        <v>-0.11987894249680001</v>
      </c>
      <c r="GP85" s="3">
        <f ca="1">IFERROR(__xludf.DUMMYFUNCTION("""COMPUTED_VALUE"""),-0.152921962840417)</f>
        <v>-0.15292196284041701</v>
      </c>
      <c r="GQ85" s="3">
        <f ca="1">IFERROR(__xludf.DUMMYFUNCTION("""COMPUTED_VALUE"""),-0.362899762473465)</f>
        <v>-0.362899762473465</v>
      </c>
      <c r="GR85" s="3">
        <f ca="1">IFERROR(__xludf.DUMMYFUNCTION("""COMPUTED_VALUE"""),-0.308572994827276)</f>
        <v>-0.30857299482727601</v>
      </c>
      <c r="GS85" s="3">
        <f ca="1">IFERROR(__xludf.DUMMYFUNCTION("""COMPUTED_VALUE"""),-0.218641659272862)</f>
        <v>-0.218641659272862</v>
      </c>
      <c r="GT85" s="3">
        <f ca="1">IFERROR(__xludf.DUMMYFUNCTION("""COMPUTED_VALUE"""),-0.269661998292588)</f>
        <v>-0.26966199829258802</v>
      </c>
      <c r="GU85" s="3">
        <f ca="1">IFERROR(__xludf.DUMMYFUNCTION("""COMPUTED_VALUE"""),-0.292331465516321)</f>
        <v>-0.292331465516321</v>
      </c>
      <c r="GV85" s="3">
        <f ca="1">IFERROR(__xludf.DUMMYFUNCTION("""COMPUTED_VALUE"""),-0.24414180487305)</f>
        <v>-0.24414180487305001</v>
      </c>
      <c r="GW85" s="3">
        <f ca="1">IFERROR(__xludf.DUMMYFUNCTION("""COMPUTED_VALUE"""),-0.286409012570467)</f>
        <v>-0.28640901257046703</v>
      </c>
      <c r="GX85" s="3">
        <f ca="1">IFERROR(__xludf.DUMMYFUNCTION("""COMPUTED_VALUE"""),-0.319070776041438)</f>
        <v>-0.31907077604143802</v>
      </c>
      <c r="GY85" s="3">
        <f ca="1">IFERROR(__xludf.DUMMYFUNCTION("""COMPUTED_VALUE"""),-0.324669446530192)</f>
        <v>-0.32466944653019197</v>
      </c>
      <c r="GZ85" s="3">
        <f ca="1">IFERROR(__xludf.DUMMYFUNCTION("""COMPUTED_VALUE"""),-0.15423659283797)</f>
        <v>-0.15423659283797</v>
      </c>
      <c r="HA85" s="3">
        <f ca="1">IFERROR(__xludf.DUMMYFUNCTION("""COMPUTED_VALUE"""),-0.285883275511119)</f>
        <v>-0.28588327551111897</v>
      </c>
      <c r="HB85" s="3">
        <f ca="1">IFERROR(__xludf.DUMMYFUNCTION("""COMPUTED_VALUE"""),-0.279494519981691)</f>
        <v>-0.279494519981691</v>
      </c>
      <c r="HC85" s="3">
        <f ca="1">IFERROR(__xludf.DUMMYFUNCTION("""COMPUTED_VALUE"""),-0.171877867124103)</f>
        <v>-0.171877867124103</v>
      </c>
      <c r="HD85" s="3">
        <f ca="1">IFERROR(__xludf.DUMMYFUNCTION("""COMPUTED_VALUE"""),-0.228139903148416)</f>
        <v>-0.22813990314841601</v>
      </c>
      <c r="HE85" s="3">
        <f ca="1">IFERROR(__xludf.DUMMYFUNCTION("""COMPUTED_VALUE"""),-0.22882392691687)</f>
        <v>-0.22882392691687001</v>
      </c>
      <c r="HF85" s="3">
        <f ca="1">IFERROR(__xludf.DUMMYFUNCTION("""COMPUTED_VALUE"""),-0.197441772729156)</f>
        <v>-0.197441772729156</v>
      </c>
      <c r="HG85" s="3">
        <f ca="1">IFERROR(__xludf.DUMMYFUNCTION("""COMPUTED_VALUE"""),-0.270063195624494)</f>
        <v>-0.27006319562449399</v>
      </c>
      <c r="HH85" s="3">
        <f ca="1">IFERROR(__xludf.DUMMYFUNCTION("""COMPUTED_VALUE"""),-0.295524598006512)</f>
        <v>-0.29552459800651198</v>
      </c>
      <c r="HI85" s="3">
        <f ca="1">IFERROR(__xludf.DUMMYFUNCTION("""COMPUTED_VALUE"""),-0.230561197930959)</f>
        <v>-0.230561197930959</v>
      </c>
      <c r="HJ85" s="3">
        <f ca="1">IFERROR(__xludf.DUMMYFUNCTION("""COMPUTED_VALUE"""),-0.102064020999421)</f>
        <v>-0.102064020999421</v>
      </c>
      <c r="HK85" s="3">
        <f ca="1">IFERROR(__xludf.DUMMYFUNCTION("""COMPUTED_VALUE"""),-0.133978066223676)</f>
        <v>-0.133978066223676</v>
      </c>
      <c r="HL85" s="3">
        <f ca="1">IFERROR(__xludf.DUMMYFUNCTION("""COMPUTED_VALUE"""),-0.142819329940923)</f>
        <v>-0.142819329940923</v>
      </c>
      <c r="HM85" s="3">
        <f ca="1">IFERROR(__xludf.DUMMYFUNCTION("""COMPUTED_VALUE"""),-0.185120585492347)</f>
        <v>-0.185120585492347</v>
      </c>
      <c r="HN85" s="3">
        <f ca="1">IFERROR(__xludf.DUMMYFUNCTION("""COMPUTED_VALUE"""),-0.157494860716396)</f>
        <v>-0.15749486071639601</v>
      </c>
      <c r="HO85" s="3">
        <f ca="1">IFERROR(__xludf.DUMMYFUNCTION("""COMPUTED_VALUE"""),-0.160077463339037)</f>
        <v>-0.160077463339037</v>
      </c>
      <c r="HP85" s="3">
        <f ca="1">IFERROR(__xludf.DUMMYFUNCTION("""COMPUTED_VALUE"""),-0.206284049492589)</f>
        <v>-0.20628404949258899</v>
      </c>
      <c r="HQ85" s="3">
        <f ca="1">IFERROR(__xludf.DUMMYFUNCTION("""COMPUTED_VALUE"""),-0.142768793093845)</f>
        <v>-0.14276879309384499</v>
      </c>
      <c r="HR85" s="3">
        <f ca="1">IFERROR(__xludf.DUMMYFUNCTION("""COMPUTED_VALUE"""),-0.244578969309344)</f>
        <v>-0.244578969309344</v>
      </c>
      <c r="HS85" s="3">
        <f ca="1">IFERROR(__xludf.DUMMYFUNCTION("""COMPUTED_VALUE"""),-0.290309612452802)</f>
        <v>-0.29030961245280201</v>
      </c>
      <c r="HT85" s="3">
        <f ca="1">IFERROR(__xludf.DUMMYFUNCTION("""COMPUTED_VALUE"""),-0.194376943869641)</f>
        <v>-0.19437694386964099</v>
      </c>
      <c r="HU85" s="3">
        <f ca="1">IFERROR(__xludf.DUMMYFUNCTION("""COMPUTED_VALUE"""),-0.274894632078099)</f>
        <v>-0.274894632078099</v>
      </c>
      <c r="HV85" s="3">
        <f ca="1">IFERROR(__xludf.DUMMYFUNCTION("""COMPUTED_VALUE"""),-0.163937669220761)</f>
        <v>-0.163937669220761</v>
      </c>
      <c r="HW85" s="3">
        <f ca="1">IFERROR(__xludf.DUMMYFUNCTION("""COMPUTED_VALUE"""),-0.104551149512812)</f>
        <v>-0.104551149512812</v>
      </c>
      <c r="HX85" s="3">
        <f ca="1">IFERROR(__xludf.DUMMYFUNCTION("""COMPUTED_VALUE"""),-0.168491842194638)</f>
        <v>-0.168491842194638</v>
      </c>
      <c r="HY85" s="3">
        <f ca="1">IFERROR(__xludf.DUMMYFUNCTION("""COMPUTED_VALUE"""),-0.170271341268725)</f>
        <v>-0.17027134126872501</v>
      </c>
      <c r="HZ85" s="3">
        <f ca="1">IFERROR(__xludf.DUMMYFUNCTION("""COMPUTED_VALUE"""),-0.0531539569639099)</f>
        <v>-5.3153956963909899E-2</v>
      </c>
      <c r="IA85" s="3">
        <f ca="1">IFERROR(__xludf.DUMMYFUNCTION("""COMPUTED_VALUE"""),-0.0515042685027904)</f>
        <v>-5.1504268502790398E-2</v>
      </c>
      <c r="IB85" s="3">
        <f ca="1">IFERROR(__xludf.DUMMYFUNCTION("""COMPUTED_VALUE"""),0.0066586159046067)</f>
        <v>6.6586159046067E-3</v>
      </c>
      <c r="IC85" s="3">
        <f ca="1">IFERROR(__xludf.DUMMYFUNCTION("""COMPUTED_VALUE"""),-0.0936401056927251)</f>
        <v>-9.3640105692725101E-2</v>
      </c>
      <c r="ID85" s="3">
        <f ca="1">IFERROR(__xludf.DUMMYFUNCTION("""COMPUTED_VALUE"""),0.0164705224365713)</f>
        <v>1.6470522436571301E-2</v>
      </c>
      <c r="IE85" s="3">
        <f ca="1">IFERROR(__xludf.DUMMYFUNCTION("""COMPUTED_VALUE"""),0.0053617383403457)</f>
        <v>5.3617383403457E-3</v>
      </c>
      <c r="IF85" s="3">
        <f ca="1">IFERROR(__xludf.DUMMYFUNCTION("""COMPUTED_VALUE"""),0.385978770950372)</f>
        <v>0.38597877095037197</v>
      </c>
      <c r="IG85" s="3">
        <f ca="1">IFERROR(__xludf.DUMMYFUNCTION("""COMPUTED_VALUE"""),0.0949728379596364)</f>
        <v>9.4972837959636403E-2</v>
      </c>
      <c r="IH85" s="3">
        <f ca="1">IFERROR(__xludf.DUMMYFUNCTION("""COMPUTED_VALUE"""),-0.038397131881409)</f>
        <v>-3.8397131881409002E-2</v>
      </c>
      <c r="II85" s="3">
        <f ca="1">IFERROR(__xludf.DUMMYFUNCTION("""COMPUTED_VALUE"""),-0.0534378170670145)</f>
        <v>-5.3437817067014497E-2</v>
      </c>
      <c r="IJ85" s="3">
        <f ca="1">IFERROR(__xludf.DUMMYFUNCTION("""COMPUTED_VALUE"""),0.0800251702595378)</f>
        <v>8.0025170259537801E-2</v>
      </c>
      <c r="IK85" s="3">
        <f ca="1">IFERROR(__xludf.DUMMYFUNCTION("""COMPUTED_VALUE"""),0.110035779874792)</f>
        <v>0.110035779874792</v>
      </c>
      <c r="IL85" s="3">
        <f ca="1">IFERROR(__xludf.DUMMYFUNCTION("""COMPUTED_VALUE"""),0.334761538566268)</f>
        <v>0.334761538566268</v>
      </c>
      <c r="IM85" s="3">
        <f ca="1">IFERROR(__xludf.DUMMYFUNCTION("""COMPUTED_VALUE"""),0.520481171387541)</f>
        <v>0.52048117138754102</v>
      </c>
      <c r="IN85" s="3">
        <f ca="1">IFERROR(__xludf.DUMMYFUNCTION("""COMPUTED_VALUE"""),0.411216093391844)</f>
        <v>0.41121609339184401</v>
      </c>
      <c r="IO85" s="3">
        <f ca="1">IFERROR(__xludf.DUMMYFUNCTION("""COMPUTED_VALUE"""),0.615207777561923)</f>
        <v>0.61520777756192302</v>
      </c>
      <c r="IP85" s="3">
        <f ca="1">IFERROR(__xludf.DUMMYFUNCTION("""COMPUTED_VALUE"""),0.372995256576462)</f>
        <v>0.37299525657646199</v>
      </c>
      <c r="IQ85" s="3">
        <f ca="1">IFERROR(__xludf.DUMMYFUNCTION("""COMPUTED_VALUE"""),0.341296561917807)</f>
        <v>0.341296561917807</v>
      </c>
      <c r="IR85" s="3">
        <f ca="1">IFERROR(__xludf.DUMMYFUNCTION("""COMPUTED_VALUE"""),0.216590071771423)</f>
        <v>0.216590071771423</v>
      </c>
      <c r="IS85" s="3">
        <f ca="1">IFERROR(__xludf.DUMMYFUNCTION("""COMPUTED_VALUE"""),0.200668626839379)</f>
        <v>0.200668626839379</v>
      </c>
      <c r="IT85" s="3">
        <f ca="1">IFERROR(__xludf.DUMMYFUNCTION("""COMPUTED_VALUE"""),0.280693656313081)</f>
        <v>0.28069365631308102</v>
      </c>
      <c r="IU85" s="3">
        <f ca="1">IFERROR(__xludf.DUMMYFUNCTION("""COMPUTED_VALUE"""),0.208738467874658)</f>
        <v>0.208738467874658</v>
      </c>
      <c r="IV85" s="3">
        <f ca="1">IFERROR(__xludf.DUMMYFUNCTION("""COMPUTED_VALUE"""),0.138922283421533)</f>
        <v>0.13892228342153301</v>
      </c>
      <c r="IW85" s="3">
        <f ca="1">IFERROR(__xludf.DUMMYFUNCTION("""COMPUTED_VALUE"""),0.221044343327666)</f>
        <v>0.22104434332766601</v>
      </c>
      <c r="IX85" s="3">
        <f ca="1">IFERROR(__xludf.DUMMYFUNCTION("""COMPUTED_VALUE"""),-0.0580845231792017)</f>
        <v>-5.8084523179201701E-2</v>
      </c>
      <c r="IY85" s="3">
        <f ca="1">IFERROR(__xludf.DUMMYFUNCTION("""COMPUTED_VALUE"""),0.390220866885111)</f>
        <v>0.39022086688511098</v>
      </c>
      <c r="IZ85" s="3">
        <f ca="1">IFERROR(__xludf.DUMMYFUNCTION("""COMPUTED_VALUE"""),0.573544239730814)</f>
        <v>0.57354423973081403</v>
      </c>
      <c r="JA85" s="3">
        <f ca="1">IFERROR(__xludf.DUMMYFUNCTION("""COMPUTED_VALUE"""),0.53578486776825)</f>
        <v>0.53578486776824996</v>
      </c>
      <c r="JB85" s="3">
        <f ca="1">IFERROR(__xludf.DUMMYFUNCTION("""COMPUTED_VALUE"""),0.217570537850072)</f>
        <v>0.21757053785007199</v>
      </c>
      <c r="JC85" s="3">
        <f ca="1">IFERROR(__xludf.DUMMYFUNCTION("""COMPUTED_VALUE"""),0.178434956166192)</f>
        <v>0.17843495616619201</v>
      </c>
      <c r="JD85" s="3">
        <f ca="1">IFERROR(__xludf.DUMMYFUNCTION("""COMPUTED_VALUE"""),0.393344608796504)</f>
        <v>0.39334460879650401</v>
      </c>
      <c r="JE85" s="3">
        <f ca="1">IFERROR(__xludf.DUMMYFUNCTION("""COMPUTED_VALUE"""),0.149541386873649)</f>
        <v>0.14954138687364901</v>
      </c>
      <c r="JF85" s="3">
        <f ca="1">IFERROR(__xludf.DUMMYFUNCTION("""COMPUTED_VALUE"""),0.287044671402757)</f>
        <v>0.28704467140275702</v>
      </c>
      <c r="JG85" s="3">
        <f ca="1">IFERROR(__xludf.DUMMYFUNCTION("""COMPUTED_VALUE"""),0.233137170557737)</f>
        <v>0.233137170557737</v>
      </c>
      <c r="JH85" s="3">
        <f ca="1">IFERROR(__xludf.DUMMYFUNCTION("""COMPUTED_VALUE"""),0.297135710728718)</f>
        <v>0.29713571072871803</v>
      </c>
      <c r="JI85" s="3">
        <f ca="1">IFERROR(__xludf.DUMMYFUNCTION("""COMPUTED_VALUE"""),0.047566886089303)</f>
        <v>4.7566886089302998E-2</v>
      </c>
      <c r="JJ85" s="3">
        <f ca="1">IFERROR(__xludf.DUMMYFUNCTION("""COMPUTED_VALUE"""),-0.0148017251577505)</f>
        <v>-1.48017251577505E-2</v>
      </c>
      <c r="JK85" s="3">
        <f ca="1">IFERROR(__xludf.DUMMYFUNCTION("""COMPUTED_VALUE"""),0.121782526490163)</f>
        <v>0.121782526490163</v>
      </c>
      <c r="JL85" s="3">
        <f ca="1">IFERROR(__xludf.DUMMYFUNCTION("""COMPUTED_VALUE"""),-0.372212963545606)</f>
        <v>-0.37221296354560601</v>
      </c>
      <c r="JM85" s="3">
        <f ca="1">IFERROR(__xludf.DUMMYFUNCTION("""COMPUTED_VALUE"""),-0.0199445426436463)</f>
        <v>-1.9944542643646299E-2</v>
      </c>
      <c r="JN85" s="3">
        <f ca="1">IFERROR(__xludf.DUMMYFUNCTION("""COMPUTED_VALUE"""),-0.040420467236138)</f>
        <v>-4.0420467236138E-2</v>
      </c>
      <c r="JO85" s="3">
        <f ca="1">IFERROR(__xludf.DUMMYFUNCTION("""COMPUTED_VALUE"""),0.200859975763922)</f>
        <v>0.20085997576392201</v>
      </c>
      <c r="JP85" s="3">
        <f ca="1">IFERROR(__xludf.DUMMYFUNCTION("""COMPUTED_VALUE"""),0.00770225346853958)</f>
        <v>7.7022534685395796E-3</v>
      </c>
      <c r="JQ85" s="3">
        <f ca="1">IFERROR(__xludf.DUMMYFUNCTION("""COMPUTED_VALUE"""),-0.130882803685831)</f>
        <v>-0.130882803685831</v>
      </c>
      <c r="JR85" s="3">
        <f ca="1">IFERROR(__xludf.DUMMYFUNCTION("""COMPUTED_VALUE"""),-0.015401541243694)</f>
        <v>-1.5401541243694E-2</v>
      </c>
      <c r="JS85" s="3">
        <f ca="1">IFERROR(__xludf.DUMMYFUNCTION("""COMPUTED_VALUE"""),-0.0418849657010494)</f>
        <v>-4.1884965701049402E-2</v>
      </c>
      <c r="JT85" s="3">
        <f ca="1">IFERROR(__xludf.DUMMYFUNCTION("""COMPUTED_VALUE"""),0.197638887551425)</f>
        <v>0.197638887551425</v>
      </c>
      <c r="JU85" s="3">
        <f ca="1">IFERROR(__xludf.DUMMYFUNCTION("""COMPUTED_VALUE"""),-0.168530744709484)</f>
        <v>-0.16853074470948401</v>
      </c>
      <c r="JV85" s="3">
        <f ca="1">IFERROR(__xludf.DUMMYFUNCTION("""COMPUTED_VALUE"""),-0.0762224136718271)</f>
        <v>-7.6222413671827097E-2</v>
      </c>
      <c r="JW85" s="3">
        <f ca="1">IFERROR(__xludf.DUMMYFUNCTION("""COMPUTED_VALUE"""),-0.193858454554533)</f>
        <v>-0.19385845455453299</v>
      </c>
      <c r="JX85" s="3">
        <f ca="1">IFERROR(__xludf.DUMMYFUNCTION("""COMPUTED_VALUE"""),-0.0689668844355131)</f>
        <v>-6.8966884435513104E-2</v>
      </c>
      <c r="JY85" s="3">
        <f ca="1">IFERROR(__xludf.DUMMYFUNCTION("""COMPUTED_VALUE"""),-0.180403644077375)</f>
        <v>-0.180403644077375</v>
      </c>
      <c r="JZ85" s="3">
        <f ca="1">IFERROR(__xludf.DUMMYFUNCTION("""COMPUTED_VALUE"""),-0.0123984069940966)</f>
        <v>-1.2398406994096599E-2</v>
      </c>
      <c r="KA85" s="3">
        <f ca="1">IFERROR(__xludf.DUMMYFUNCTION("""COMPUTED_VALUE"""),-0.0245017724971605)</f>
        <v>-2.4501772497160498E-2</v>
      </c>
      <c r="KB85" s="3">
        <f ca="1">IFERROR(__xludf.DUMMYFUNCTION("""COMPUTED_VALUE"""),-0.0147198824274845)</f>
        <v>-1.4719882427484499E-2</v>
      </c>
      <c r="KC85" s="3">
        <f ca="1">IFERROR(__xludf.DUMMYFUNCTION("""COMPUTED_VALUE"""),0.166459806728881)</f>
        <v>0.166459806728881</v>
      </c>
      <c r="KD85" s="3">
        <f ca="1">IFERROR(__xludf.DUMMYFUNCTION("""COMPUTED_VALUE"""),-0.202297656915477)</f>
        <v>-0.20229765691547699</v>
      </c>
      <c r="KE85" s="3">
        <f ca="1">IFERROR(__xludf.DUMMYFUNCTION("""COMPUTED_VALUE"""),-0.166835351728403)</f>
        <v>-0.166835351728403</v>
      </c>
      <c r="KF85" s="3">
        <f ca="1">IFERROR(__xludf.DUMMYFUNCTION("""COMPUTED_VALUE"""),-0.138756237138147)</f>
        <v>-0.138756237138147</v>
      </c>
      <c r="KG85" s="3">
        <f ca="1">IFERROR(__xludf.DUMMYFUNCTION("""COMPUTED_VALUE"""),-0.136956267681316)</f>
        <v>-0.136956267681316</v>
      </c>
      <c r="KH85" s="3">
        <f ca="1">IFERROR(__xludf.DUMMYFUNCTION("""COMPUTED_VALUE"""),-0.145999592592542)</f>
        <v>-0.145999592592542</v>
      </c>
      <c r="KI85" s="3">
        <f ca="1">IFERROR(__xludf.DUMMYFUNCTION("""COMPUTED_VALUE"""),-0.00845154626666588)</f>
        <v>-8.4515462666658794E-3</v>
      </c>
      <c r="KJ85" s="3">
        <f ca="1">IFERROR(__xludf.DUMMYFUNCTION("""COMPUTED_VALUE"""),-0.082009984381954)</f>
        <v>-8.2009984381954004E-2</v>
      </c>
      <c r="KK85" s="3">
        <f ca="1">IFERROR(__xludf.DUMMYFUNCTION("""COMPUTED_VALUE"""),-0.212980682943228)</f>
        <v>-0.212980682943228</v>
      </c>
      <c r="KL85" s="3">
        <f ca="1">IFERROR(__xludf.DUMMYFUNCTION("""COMPUTED_VALUE"""),-0.151408523752721)</f>
        <v>-0.15140852375272101</v>
      </c>
      <c r="KM85" s="3">
        <f ca="1">IFERROR(__xludf.DUMMYFUNCTION("""COMPUTED_VALUE"""),-0.183979400747735)</f>
        <v>-0.183979400747735</v>
      </c>
      <c r="KN85" s="3">
        <f ca="1">IFERROR(__xludf.DUMMYFUNCTION("""COMPUTED_VALUE"""),-0.215675512078169)</f>
        <v>-0.21567551207816901</v>
      </c>
      <c r="KO85" s="3">
        <f ca="1">IFERROR(__xludf.DUMMYFUNCTION("""COMPUTED_VALUE"""),-0.331133114568917)</f>
        <v>-0.33113311456891698</v>
      </c>
      <c r="KP85" s="3">
        <f ca="1">IFERROR(__xludf.DUMMYFUNCTION("""COMPUTED_VALUE"""),-0.179870294405368)</f>
        <v>-0.179870294405368</v>
      </c>
      <c r="KQ85" s="3">
        <f ca="1">IFERROR(__xludf.DUMMYFUNCTION("""COMPUTED_VALUE"""),-0.242070127450745)</f>
        <v>-0.24207012745074499</v>
      </c>
      <c r="KR85" s="3">
        <f ca="1">IFERROR(__xludf.DUMMYFUNCTION("""COMPUTED_VALUE"""),-0.392755507936383)</f>
        <v>-0.39275550793638297</v>
      </c>
      <c r="KS85" s="3">
        <f ca="1">IFERROR(__xludf.DUMMYFUNCTION("""COMPUTED_VALUE"""),-0.397733542247168)</f>
        <v>-0.397733542247168</v>
      </c>
      <c r="KT85" s="3">
        <f ca="1">IFERROR(__xludf.DUMMYFUNCTION("""COMPUTED_VALUE"""),-0.21876275211902)</f>
        <v>-0.21876275211901999</v>
      </c>
      <c r="KU85" s="3">
        <f ca="1">IFERROR(__xludf.DUMMYFUNCTION("""COMPUTED_VALUE"""),-0.198286722576787)</f>
        <v>-0.19828672257678701</v>
      </c>
      <c r="KV85" s="3">
        <f ca="1">IFERROR(__xludf.DUMMYFUNCTION("""COMPUTED_VALUE"""),-0.235935036118301)</f>
        <v>-0.23593503611830099</v>
      </c>
      <c r="KW85" s="3">
        <f ca="1">IFERROR(__xludf.DUMMYFUNCTION("""COMPUTED_VALUE"""),-0.41066391953648)</f>
        <v>-0.41066391953648002</v>
      </c>
      <c r="KX85" s="3">
        <f ca="1">IFERROR(__xludf.DUMMYFUNCTION("""COMPUTED_VALUE"""),-0.340307861755788)</f>
        <v>-0.34030786175578798</v>
      </c>
      <c r="KY85" s="3">
        <f ca="1">IFERROR(__xludf.DUMMYFUNCTION("""COMPUTED_VALUE"""),-0.395444331243193)</f>
        <v>-0.395444331243193</v>
      </c>
      <c r="KZ85" s="3">
        <f ca="1">IFERROR(__xludf.DUMMYFUNCTION("""COMPUTED_VALUE"""),-0.357033657472417)</f>
        <v>-0.357033657472417</v>
      </c>
      <c r="LA85" s="3">
        <f ca="1">IFERROR(__xludf.DUMMYFUNCTION("""COMPUTED_VALUE"""),-0.555320949162777)</f>
        <v>-0.55532094916277697</v>
      </c>
      <c r="LB85" s="3">
        <f ca="1">IFERROR(__xludf.DUMMYFUNCTION("""COMPUTED_VALUE"""),-0.267199532790687)</f>
        <v>-0.26719953279068698</v>
      </c>
      <c r="LC85" s="3">
        <f ca="1">IFERROR(__xludf.DUMMYFUNCTION("""COMPUTED_VALUE"""),-0.430753020064815)</f>
        <v>-0.43075302006481497</v>
      </c>
      <c r="LD85" s="3">
        <f ca="1">IFERROR(__xludf.DUMMYFUNCTION("""COMPUTED_VALUE"""),-0.421518498686493)</f>
        <v>-0.42151849868649299</v>
      </c>
      <c r="LE85" s="3">
        <f ca="1">IFERROR(__xludf.DUMMYFUNCTION("""COMPUTED_VALUE"""),-0.545438873384015)</f>
        <v>-0.54543887338401498</v>
      </c>
      <c r="LF85" s="3">
        <f ca="1">IFERROR(__xludf.DUMMYFUNCTION("""COMPUTED_VALUE"""),-0.646612572503543)</f>
        <v>-0.64661257250354298</v>
      </c>
      <c r="LG85" s="3">
        <f ca="1">IFERROR(__xludf.DUMMYFUNCTION("""COMPUTED_VALUE"""),-0.583983387372051)</f>
        <v>-0.58398338737205102</v>
      </c>
      <c r="LH85" s="3">
        <f ca="1">IFERROR(__xludf.DUMMYFUNCTION("""COMPUTED_VALUE"""),-0.622951344497432)</f>
        <v>-0.62295134449743195</v>
      </c>
      <c r="LI85" s="3">
        <f ca="1">IFERROR(__xludf.DUMMYFUNCTION("""COMPUTED_VALUE"""),-0.515504678597915)</f>
        <v>-0.51550467859791504</v>
      </c>
      <c r="LJ85" s="3">
        <f ca="1">IFERROR(__xludf.DUMMYFUNCTION("""COMPUTED_VALUE"""),-0.652603061138078)</f>
        <v>-0.65260306113807798</v>
      </c>
      <c r="LK85" s="3">
        <f ca="1">IFERROR(__xludf.DUMMYFUNCTION("""COMPUTED_VALUE"""),-0.459559868106981)</f>
        <v>-0.45955986810698102</v>
      </c>
      <c r="LL85" s="3">
        <f ca="1">IFERROR(__xludf.DUMMYFUNCTION("""COMPUTED_VALUE"""),-0.544763821432187)</f>
        <v>-0.54476382143218705</v>
      </c>
      <c r="LM85" s="3">
        <f ca="1">IFERROR(__xludf.DUMMYFUNCTION("""COMPUTED_VALUE"""),-0.632657809408471)</f>
        <v>-0.63265780940847105</v>
      </c>
      <c r="LN85" s="3">
        <f ca="1">IFERROR(__xludf.DUMMYFUNCTION("""COMPUTED_VALUE"""),-0.68199186628722)</f>
        <v>-0.68199186628721997</v>
      </c>
      <c r="LO85" s="3">
        <f ca="1">IFERROR(__xludf.DUMMYFUNCTION("""COMPUTED_VALUE"""),-0.637309091404045)</f>
        <v>-0.63730909140404501</v>
      </c>
      <c r="LP85" s="3">
        <f ca="1">IFERROR(__xludf.DUMMYFUNCTION("""COMPUTED_VALUE"""),-0.590468384265944)</f>
        <v>-0.59046838426594395</v>
      </c>
      <c r="LQ85" s="3">
        <f ca="1">IFERROR(__xludf.DUMMYFUNCTION("""COMPUTED_VALUE"""),-0.457182761203187)</f>
        <v>-0.45718276120318702</v>
      </c>
      <c r="LR85" s="3">
        <f ca="1">IFERROR(__xludf.DUMMYFUNCTION("""COMPUTED_VALUE"""),-0.623613750036964)</f>
        <v>-0.62361375003696395</v>
      </c>
      <c r="LS85" s="3">
        <f ca="1">IFERROR(__xludf.DUMMYFUNCTION("""COMPUTED_VALUE"""),-0.665190513669748)</f>
        <v>-0.66519051366974802</v>
      </c>
      <c r="LT85" s="3">
        <f ca="1">IFERROR(__xludf.DUMMYFUNCTION("""COMPUTED_VALUE"""),-0.728780957336111)</f>
        <v>-0.72878095733611103</v>
      </c>
      <c r="LU85" s="3">
        <f ca="1">IFERROR(__xludf.DUMMYFUNCTION("""COMPUTED_VALUE"""),-0.687934604485496)</f>
        <v>-0.68793460448549604</v>
      </c>
      <c r="LV85" s="3">
        <f ca="1">IFERROR(__xludf.DUMMYFUNCTION("""COMPUTED_VALUE"""),-0.722584428919298)</f>
        <v>-0.72258442891929797</v>
      </c>
      <c r="LW85" s="3">
        <f ca="1">IFERROR(__xludf.DUMMYFUNCTION("""COMPUTED_VALUE"""),-0.721802954783307)</f>
        <v>-0.72180295478330703</v>
      </c>
      <c r="LX85" s="3">
        <f ca="1">IFERROR(__xludf.DUMMYFUNCTION("""COMPUTED_VALUE"""),-0.72619484056321)</f>
        <v>-0.72619484056321004</v>
      </c>
      <c r="LY85" s="3">
        <f ca="1">IFERROR(__xludf.DUMMYFUNCTION("""COMPUTED_VALUE"""),-0.762016922752948)</f>
        <v>-0.76201692275294797</v>
      </c>
      <c r="LZ85" s="3">
        <f ca="1">IFERROR(__xludf.DUMMYFUNCTION("""COMPUTED_VALUE"""),-0.832278455158389)</f>
        <v>-0.83227845515838905</v>
      </c>
      <c r="MA85" s="3">
        <f ca="1">IFERROR(__xludf.DUMMYFUNCTION("""COMPUTED_VALUE"""),-0.925208136050772)</f>
        <v>-0.92520813605077201</v>
      </c>
      <c r="MB85" s="3">
        <f ca="1">IFERROR(__xludf.DUMMYFUNCTION("""COMPUTED_VALUE"""),-0.804131949166185)</f>
        <v>-0.80413194916618502</v>
      </c>
      <c r="MC85" s="3">
        <f ca="1">IFERROR(__xludf.DUMMYFUNCTION("""COMPUTED_VALUE"""),-0.643839981495478)</f>
        <v>-0.64383998149547805</v>
      </c>
      <c r="MD85" s="3">
        <f ca="1">IFERROR(__xludf.DUMMYFUNCTION("""COMPUTED_VALUE"""),-0.844644610592718)</f>
        <v>-0.844644610592718</v>
      </c>
      <c r="ME85" s="3">
        <f ca="1">IFERROR(__xludf.DUMMYFUNCTION("""COMPUTED_VALUE"""),-0.835432196643761)</f>
        <v>-0.835432196643761</v>
      </c>
      <c r="MF85" s="3">
        <f ca="1">IFERROR(__xludf.DUMMYFUNCTION("""COMPUTED_VALUE"""),-0.90367686398058)</f>
        <v>-0.90367686398058</v>
      </c>
      <c r="MG85" s="3">
        <f ca="1">IFERROR(__xludf.DUMMYFUNCTION("""COMPUTED_VALUE"""),-0.852162787086007)</f>
        <v>-0.85216278708600701</v>
      </c>
      <c r="MH85" s="3">
        <f ca="1">IFERROR(__xludf.DUMMYFUNCTION("""COMPUTED_VALUE"""),-0.968673196111009)</f>
        <v>-0.96867319611100899</v>
      </c>
      <c r="MI85" s="3">
        <f ca="1">IFERROR(__xludf.DUMMYFUNCTION("""COMPUTED_VALUE"""),-0.792495326205843)</f>
        <v>-0.79249532620584295</v>
      </c>
      <c r="MJ85" s="3">
        <f ca="1">IFERROR(__xludf.DUMMYFUNCTION("""COMPUTED_VALUE"""),-0.739599742044184)</f>
        <v>-0.73959974204418399</v>
      </c>
      <c r="MK85" s="3">
        <f ca="1">IFERROR(__xludf.DUMMYFUNCTION("""COMPUTED_VALUE"""),-0.858697590853866)</f>
        <v>-0.85869759085386599</v>
      </c>
      <c r="ML85" s="3">
        <f ca="1">IFERROR(__xludf.DUMMYFUNCTION("""COMPUTED_VALUE"""),-0.839745887827429)</f>
        <v>-0.83974588782742898</v>
      </c>
      <c r="MM85" s="3">
        <f ca="1">IFERROR(__xludf.DUMMYFUNCTION("""COMPUTED_VALUE"""),-0.905637878152482)</f>
        <v>-0.90563787815248198</v>
      </c>
      <c r="MN85" s="3">
        <f ca="1">IFERROR(__xludf.DUMMYFUNCTION("""COMPUTED_VALUE"""),-0.878406866992204)</f>
        <v>-0.87840686699220405</v>
      </c>
      <c r="MO85" s="3">
        <f ca="1">IFERROR(__xludf.DUMMYFUNCTION("""COMPUTED_VALUE"""),-0.899597327886629)</f>
        <v>-0.89959732788662905</v>
      </c>
      <c r="MP85" s="3">
        <f ca="1">IFERROR(__xludf.DUMMYFUNCTION("""COMPUTED_VALUE"""),-0.877832307978735)</f>
        <v>-0.87783230797873502</v>
      </c>
      <c r="MQ85" s="3">
        <f ca="1">IFERROR(__xludf.DUMMYFUNCTION("""COMPUTED_VALUE"""),-0.845937276915591)</f>
        <v>-0.84593727691559095</v>
      </c>
      <c r="MR85" s="3">
        <f ca="1">IFERROR(__xludf.DUMMYFUNCTION("""COMPUTED_VALUE"""),-0.859715659747821)</f>
        <v>-0.85971565974782105</v>
      </c>
      <c r="MS85" s="3">
        <f ca="1">IFERROR(__xludf.DUMMYFUNCTION("""COMPUTED_VALUE"""),-0.877825385573183)</f>
        <v>-0.87782538557318301</v>
      </c>
      <c r="MT85" s="3">
        <f ca="1">IFERROR(__xludf.DUMMYFUNCTION("""COMPUTED_VALUE"""),-0.930557515496617)</f>
        <v>-0.93055751549661703</v>
      </c>
      <c r="MU85" s="3">
        <f ca="1">IFERROR(__xludf.DUMMYFUNCTION("""COMPUTED_VALUE"""),-0.878782200028714)</f>
        <v>-0.87878220002871399</v>
      </c>
      <c r="MV85" s="3">
        <f ca="1">IFERROR(__xludf.DUMMYFUNCTION("""COMPUTED_VALUE"""),-0.881692063477084)</f>
        <v>-0.88169206347708395</v>
      </c>
      <c r="MW85" s="3">
        <f ca="1">IFERROR(__xludf.DUMMYFUNCTION("""COMPUTED_VALUE"""),-0.901513049729829)</f>
        <v>-0.90151304972982904</v>
      </c>
      <c r="MX85" s="3">
        <f ca="1">IFERROR(__xludf.DUMMYFUNCTION("""COMPUTED_VALUE"""),-0.8888072426395)</f>
        <v>-0.88880724263949995</v>
      </c>
      <c r="MY85" s="3">
        <f ca="1">IFERROR(__xludf.DUMMYFUNCTION("""COMPUTED_VALUE"""),-0.869224270641802)</f>
        <v>-0.86922427064180197</v>
      </c>
      <c r="MZ85" s="3">
        <f ca="1">IFERROR(__xludf.DUMMYFUNCTION("""COMPUTED_VALUE"""),-0.93957230437418)</f>
        <v>-0.93957230437418005</v>
      </c>
      <c r="NA85" s="3">
        <f ca="1">IFERROR(__xludf.DUMMYFUNCTION("""COMPUTED_VALUE"""),-0.919801293054724)</f>
        <v>-0.91980129305472402</v>
      </c>
      <c r="NB85" s="3">
        <f ca="1">IFERROR(__xludf.DUMMYFUNCTION("""COMPUTED_VALUE"""),-0.904568855433582)</f>
        <v>-0.90456885543358201</v>
      </c>
      <c r="NC85" s="3">
        <f ca="1">IFERROR(__xludf.DUMMYFUNCTION("""COMPUTED_VALUE"""),-0.874029211900537)</f>
        <v>-0.87402921190053695</v>
      </c>
      <c r="ND85" s="3">
        <f ca="1">IFERROR(__xludf.DUMMYFUNCTION("""COMPUTED_VALUE"""),-0.895669883671314)</f>
        <v>-0.89566988367131395</v>
      </c>
      <c r="NE85" s="3">
        <f ca="1">IFERROR(__xludf.DUMMYFUNCTION("""COMPUTED_VALUE"""),-0.888048282857149)</f>
        <v>-0.88804828285714899</v>
      </c>
      <c r="NF85" s="3">
        <f ca="1">IFERROR(__xludf.DUMMYFUNCTION("""COMPUTED_VALUE"""),-0.896432491968041)</f>
        <v>-0.89643249196804098</v>
      </c>
      <c r="NG85" s="3">
        <f ca="1">IFERROR(__xludf.DUMMYFUNCTION("""COMPUTED_VALUE"""),-0.887559501620552)</f>
        <v>-0.88755950162055197</v>
      </c>
      <c r="NH85" s="3">
        <f ca="1">IFERROR(__xludf.DUMMYFUNCTION("""COMPUTED_VALUE"""),-0.92080211483664)</f>
        <v>-0.92080211483663998</v>
      </c>
      <c r="NI85" s="3">
        <f ca="1">IFERROR(__xludf.DUMMYFUNCTION("""COMPUTED_VALUE"""),-0.892466131866831)</f>
        <v>-0.89246613186683099</v>
      </c>
      <c r="NJ85" s="3">
        <f ca="1">IFERROR(__xludf.DUMMYFUNCTION("""COMPUTED_VALUE"""),-0.864245254435782)</f>
        <v>-0.86424525443578204</v>
      </c>
      <c r="NK85" s="3">
        <f ca="1">IFERROR(__xludf.DUMMYFUNCTION("""COMPUTED_VALUE"""),-0.903300643537688)</f>
        <v>-0.90330064353768802</v>
      </c>
      <c r="NL85" s="3">
        <f ca="1">IFERROR(__xludf.DUMMYFUNCTION("""COMPUTED_VALUE"""),-0.874480601588176)</f>
        <v>-0.87448060158817598</v>
      </c>
      <c r="NM85" s="3">
        <f ca="1">IFERROR(__xludf.DUMMYFUNCTION("""COMPUTED_VALUE"""),-0.843886359796612)</f>
        <v>-0.84388635979661197</v>
      </c>
      <c r="NN85" s="3">
        <f ca="1">IFERROR(__xludf.DUMMYFUNCTION("""COMPUTED_VALUE"""),-0.870400518490023)</f>
        <v>-0.87040051849002298</v>
      </c>
      <c r="NO85" s="3">
        <f ca="1">IFERROR(__xludf.DUMMYFUNCTION("""COMPUTED_VALUE"""),-0.9058857866466)</f>
        <v>-0.90588578664660002</v>
      </c>
      <c r="NP85" s="3">
        <f ca="1">IFERROR(__xludf.DUMMYFUNCTION("""COMPUTED_VALUE"""),-0.90759357083956)</f>
        <v>-0.90759357083956005</v>
      </c>
      <c r="NQ85" s="3">
        <f ca="1">IFERROR(__xludf.DUMMYFUNCTION("""COMPUTED_VALUE"""),-0.932672874934292)</f>
        <v>-0.93267287493429196</v>
      </c>
      <c r="NR85" s="3">
        <f ca="1">IFERROR(__xludf.DUMMYFUNCTION("""COMPUTED_VALUE"""),-0.941399873283959)</f>
        <v>-0.94139987328395902</v>
      </c>
      <c r="NS85" s="3">
        <f ca="1">IFERROR(__xludf.DUMMYFUNCTION("""COMPUTED_VALUE"""),-0.932645613846606)</f>
        <v>-0.93264561384660605</v>
      </c>
      <c r="NT85" s="3">
        <f ca="1">IFERROR(__xludf.DUMMYFUNCTION("""COMPUTED_VALUE"""),-0.859832004426158)</f>
        <v>-0.85983200442615804</v>
      </c>
      <c r="NU85" s="3">
        <f ca="1">IFERROR(__xludf.DUMMYFUNCTION("""COMPUTED_VALUE"""),-0.897903676527833)</f>
        <v>-0.89790367652783298</v>
      </c>
      <c r="NV85" s="3">
        <f ca="1">IFERROR(__xludf.DUMMYFUNCTION("""COMPUTED_VALUE"""),-0.918960085260189)</f>
        <v>-0.91896008526018902</v>
      </c>
      <c r="NW85" s="3">
        <f ca="1">IFERROR(__xludf.DUMMYFUNCTION("""COMPUTED_VALUE"""),-0.903437632691625)</f>
        <v>-0.90343763269162503</v>
      </c>
      <c r="NX85" s="3">
        <f ca="1">IFERROR(__xludf.DUMMYFUNCTION("""COMPUTED_VALUE"""),-0.913937480304948)</f>
        <v>-0.91393748030494804</v>
      </c>
      <c r="NY85" s="3">
        <f ca="1">IFERROR(__xludf.DUMMYFUNCTION("""COMPUTED_VALUE"""),-0.92533405218855)</f>
        <v>-0.92533405218855003</v>
      </c>
      <c r="NZ85" s="3">
        <f ca="1">IFERROR(__xludf.DUMMYFUNCTION("""COMPUTED_VALUE"""),-0.913620869137695)</f>
        <v>-0.91362086913769502</v>
      </c>
      <c r="OA85" s="3">
        <f ca="1">IFERROR(__xludf.DUMMYFUNCTION("""COMPUTED_VALUE"""),-0.810965130378855)</f>
        <v>-0.81096513037885498</v>
      </c>
      <c r="OB85" s="3">
        <f ca="1">IFERROR(__xludf.DUMMYFUNCTION("""COMPUTED_VALUE"""),-0.658185781381206)</f>
        <v>-0.65818578138120598</v>
      </c>
      <c r="OC85" s="3">
        <f ca="1">IFERROR(__xludf.DUMMYFUNCTION("""COMPUTED_VALUE"""),-0.416447906060863)</f>
        <v>-0.41644790606086302</v>
      </c>
      <c r="OD85" s="3">
        <f ca="1">IFERROR(__xludf.DUMMYFUNCTION("""COMPUTED_VALUE"""),-0.254724290093071)</f>
        <v>-0.25472429009307102</v>
      </c>
      <c r="OE85" s="3">
        <f ca="1">IFERROR(__xludf.DUMMYFUNCTION("""COMPUTED_VALUE"""),-0.172024159802519)</f>
        <v>-0.17202415980251901</v>
      </c>
      <c r="OF85" s="3">
        <f ca="1">IFERROR(__xludf.DUMMYFUNCTION("""COMPUTED_VALUE"""),-0.151432098651666)</f>
        <v>-0.15143209865166599</v>
      </c>
      <c r="OG85" s="3">
        <f ca="1">IFERROR(__xludf.DUMMYFUNCTION("""COMPUTED_VALUE"""),-0.0485971908358641)</f>
        <v>-4.8597190835864099E-2</v>
      </c>
      <c r="OH85" s="3">
        <f ca="1">IFERROR(__xludf.DUMMYFUNCTION("""COMPUTED_VALUE"""),-0.0632467792133854)</f>
        <v>-6.3246779213385396E-2</v>
      </c>
      <c r="OI85" s="3">
        <f ca="1">IFERROR(__xludf.DUMMYFUNCTION("""COMPUTED_VALUE"""),-0.0255160144693964)</f>
        <v>-2.55160144693964E-2</v>
      </c>
      <c r="OJ85" s="3">
        <f ca="1">IFERROR(__xludf.DUMMYFUNCTION("""COMPUTED_VALUE"""),0.0080630108512858)</f>
        <v>8.0630108512857995E-3</v>
      </c>
      <c r="OK85" s="3">
        <f ca="1">IFERROR(__xludf.DUMMYFUNCTION("""COMPUTED_VALUE"""),0.0580493613916546)</f>
        <v>5.8049361391654598E-2</v>
      </c>
      <c r="OL85" s="3">
        <f ca="1">IFERROR(__xludf.DUMMYFUNCTION("""COMPUTED_VALUE"""),0.0850803784622447)</f>
        <v>8.5080378462244699E-2</v>
      </c>
      <c r="OM85" s="3">
        <f ca="1">IFERROR(__xludf.DUMMYFUNCTION("""COMPUTED_VALUE"""),0.0205559120259088)</f>
        <v>2.0555912025908799E-2</v>
      </c>
      <c r="ON85" s="3">
        <f ca="1">IFERROR(__xludf.DUMMYFUNCTION("""COMPUTED_VALUE"""),-0.0691964562779615)</f>
        <v>-6.9196456277961504E-2</v>
      </c>
      <c r="OO85" s="3">
        <f ca="1">IFERROR(__xludf.DUMMYFUNCTION("""COMPUTED_VALUE"""),0.0691272703639023)</f>
        <v>6.9127270363902302E-2</v>
      </c>
      <c r="OP85" s="3">
        <f ca="1">IFERROR(__xludf.DUMMYFUNCTION("""COMPUTED_VALUE"""),0.0399821377125078)</f>
        <v>3.9982137712507797E-2</v>
      </c>
      <c r="OQ85" s="3">
        <f ca="1">IFERROR(__xludf.DUMMYFUNCTION("""COMPUTED_VALUE"""),-0.117431778481048)</f>
        <v>-0.11743177848104799</v>
      </c>
      <c r="OR85" s="3">
        <f ca="1">IFERROR(__xludf.DUMMYFUNCTION("""COMPUTED_VALUE"""),-0.00733992496573776)</f>
        <v>-7.33992496573776E-3</v>
      </c>
      <c r="OS85" s="3">
        <f ca="1">IFERROR(__xludf.DUMMYFUNCTION("""COMPUTED_VALUE"""),0.133391963326967)</f>
        <v>0.13339196332696701</v>
      </c>
      <c r="OT85" s="3">
        <f ca="1">IFERROR(__xludf.DUMMYFUNCTION("""COMPUTED_VALUE"""),0.210264806912332)</f>
        <v>0.21026480691233199</v>
      </c>
      <c r="OU85" s="3">
        <f ca="1">IFERROR(__xludf.DUMMYFUNCTION("""COMPUTED_VALUE"""),0.0678732381664026)</f>
        <v>6.7873238166402602E-2</v>
      </c>
      <c r="OV85" s="3">
        <f ca="1">IFERROR(__xludf.DUMMYFUNCTION("""COMPUTED_VALUE"""),0.135654752164906)</f>
        <v>0.135654752164906</v>
      </c>
      <c r="OW85" s="3">
        <f ca="1">IFERROR(__xludf.DUMMYFUNCTION("""COMPUTED_VALUE"""),0.111216894866338)</f>
        <v>0.111216894866338</v>
      </c>
      <c r="OX85" s="3">
        <f ca="1">IFERROR(__xludf.DUMMYFUNCTION("""COMPUTED_VALUE"""),0.0107310014396941)</f>
        <v>1.0731001439694099E-2</v>
      </c>
      <c r="OY85" s="3">
        <f ca="1">IFERROR(__xludf.DUMMYFUNCTION("""COMPUTED_VALUE"""),-0.079112103825806)</f>
        <v>-7.9112103825805996E-2</v>
      </c>
      <c r="OZ85" s="3">
        <f ca="1">IFERROR(__xludf.DUMMYFUNCTION("""COMPUTED_VALUE"""),-0.0577922805444385)</f>
        <v>-5.7792280544438503E-2</v>
      </c>
      <c r="PA85" s="3">
        <f ca="1">IFERROR(__xludf.DUMMYFUNCTION("""COMPUTED_VALUE"""),-0.088137862818681)</f>
        <v>-8.8137862818680995E-2</v>
      </c>
      <c r="PB85" s="3">
        <f ca="1">IFERROR(__xludf.DUMMYFUNCTION("""COMPUTED_VALUE"""),-0.196416222468144)</f>
        <v>-0.196416222468144</v>
      </c>
      <c r="PC85" s="3">
        <f ca="1">IFERROR(__xludf.DUMMYFUNCTION("""COMPUTED_VALUE"""),-0.217437385000927)</f>
        <v>-0.21743738500092699</v>
      </c>
      <c r="PD85" s="3">
        <f ca="1">IFERROR(__xludf.DUMMYFUNCTION("""COMPUTED_VALUE"""),-0.0705899689392035)</f>
        <v>-7.0589968939203496E-2</v>
      </c>
      <c r="PE85" s="3">
        <f ca="1">IFERROR(__xludf.DUMMYFUNCTION("""COMPUTED_VALUE"""),0.210279712898287)</f>
        <v>0.21027971289828701</v>
      </c>
      <c r="PF85" s="3">
        <f ca="1">IFERROR(__xludf.DUMMYFUNCTION("""COMPUTED_VALUE"""),-0.0307224136403044)</f>
        <v>-3.07224136403044E-2</v>
      </c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</row>
    <row r="86" spans="1:594" ht="13">
      <c r="A86" s="1" t="str">
        <f ca="1">IFERROR(__xludf.DUMMYFUNCTION("""COMPUTED_VALUE"""),"Trois-Rivières")</f>
        <v>Trois-Rivières</v>
      </c>
      <c r="B86" s="3">
        <f ca="1">IFERROR(__xludf.DUMMYFUNCTION("""COMPUTED_VALUE"""),-0.454883351612777)</f>
        <v>-0.45488335161277699</v>
      </c>
      <c r="C86" s="3">
        <f ca="1">IFERROR(__xludf.DUMMYFUNCTION("""COMPUTED_VALUE"""),-0.524834301455258)</f>
        <v>-0.524834301455258</v>
      </c>
      <c r="D86" s="3">
        <f ca="1">IFERROR(__xludf.DUMMYFUNCTION("""COMPUTED_VALUE"""),-0.591846938711944)</f>
        <v>-0.59184693871194405</v>
      </c>
      <c r="E86" s="3">
        <f ca="1">IFERROR(__xludf.DUMMYFUNCTION("""COMPUTED_VALUE"""),-0.568469731194866)</f>
        <v>-0.56846973119486599</v>
      </c>
      <c r="F86" s="3">
        <f ca="1">IFERROR(__xludf.DUMMYFUNCTION("""COMPUTED_VALUE"""),-0.579573145892014)</f>
        <v>-0.57957314589201403</v>
      </c>
      <c r="G86" s="3">
        <f ca="1">IFERROR(__xludf.DUMMYFUNCTION("""COMPUTED_VALUE"""),-0.661571654291993)</f>
        <v>-0.66157165429199305</v>
      </c>
      <c r="H86" s="3">
        <f ca="1">IFERROR(__xludf.DUMMYFUNCTION("""COMPUTED_VALUE"""),-0.579665355306128)</f>
        <v>-0.57966535530612795</v>
      </c>
      <c r="I86" s="3">
        <f ca="1">IFERROR(__xludf.DUMMYFUNCTION("""COMPUTED_VALUE"""),-0.435845267739122)</f>
        <v>-0.43584526773912202</v>
      </c>
      <c r="J86" s="3">
        <f ca="1">IFERROR(__xludf.DUMMYFUNCTION("""COMPUTED_VALUE"""),-0.629246027020908)</f>
        <v>-0.62924602702090804</v>
      </c>
      <c r="K86" s="3">
        <f ca="1">IFERROR(__xludf.DUMMYFUNCTION("""COMPUTED_VALUE"""),-0.515999287891644)</f>
        <v>-0.51599928789164395</v>
      </c>
      <c r="L86" s="3">
        <f ca="1">IFERROR(__xludf.DUMMYFUNCTION("""COMPUTED_VALUE"""),-0.53411547004216)</f>
        <v>-0.53411547004215998</v>
      </c>
      <c r="M86" s="3">
        <f ca="1">IFERROR(__xludf.DUMMYFUNCTION("""COMPUTED_VALUE"""),-0.56999008564562)</f>
        <v>-0.56999008564562004</v>
      </c>
      <c r="N86" s="3">
        <f ca="1">IFERROR(__xludf.DUMMYFUNCTION("""COMPUTED_VALUE"""),-0.554444302359048)</f>
        <v>-0.55444430235904796</v>
      </c>
      <c r="O86" s="3">
        <f ca="1">IFERROR(__xludf.DUMMYFUNCTION("""COMPUTED_VALUE"""),-0.460393905858936)</f>
        <v>-0.46039390585893603</v>
      </c>
      <c r="P86" s="3">
        <f ca="1">IFERROR(__xludf.DUMMYFUNCTION("""COMPUTED_VALUE"""),-0.42962619438128)</f>
        <v>-0.42962619438128002</v>
      </c>
      <c r="Q86" s="3">
        <f ca="1">IFERROR(__xludf.DUMMYFUNCTION("""COMPUTED_VALUE"""),-0.581519224191834)</f>
        <v>-0.58151922419183399</v>
      </c>
      <c r="R86" s="3">
        <f ca="1">IFERROR(__xludf.DUMMYFUNCTION("""COMPUTED_VALUE"""),-0.528203539466844)</f>
        <v>-0.52820353946684395</v>
      </c>
      <c r="S86" s="3">
        <f ca="1">IFERROR(__xludf.DUMMYFUNCTION("""COMPUTED_VALUE"""),-0.558949949087973)</f>
        <v>-0.55894994908797302</v>
      </c>
      <c r="T86" s="3">
        <f ca="1">IFERROR(__xludf.DUMMYFUNCTION("""COMPUTED_VALUE"""),-0.578582339382148)</f>
        <v>-0.57858233938214798</v>
      </c>
      <c r="U86" s="3">
        <f ca="1">IFERROR(__xludf.DUMMYFUNCTION("""COMPUTED_VALUE"""),-0.542472399022944)</f>
        <v>-0.54247239902294397</v>
      </c>
      <c r="V86" s="3">
        <f ca="1">IFERROR(__xludf.DUMMYFUNCTION("""COMPUTED_VALUE"""),-0.311168719993464)</f>
        <v>-0.31116871999346402</v>
      </c>
      <c r="W86" s="3">
        <f ca="1">IFERROR(__xludf.DUMMYFUNCTION("""COMPUTED_VALUE"""),-0.427483170686275)</f>
        <v>-0.427483170686275</v>
      </c>
      <c r="X86" s="3">
        <f ca="1">IFERROR(__xludf.DUMMYFUNCTION("""COMPUTED_VALUE"""),-0.509529366013061)</f>
        <v>-0.50952936601306098</v>
      </c>
      <c r="Y86" s="3">
        <f ca="1">IFERROR(__xludf.DUMMYFUNCTION("""COMPUTED_VALUE"""),-0.562876607161546)</f>
        <v>-0.56287660716154597</v>
      </c>
      <c r="Z86" s="3">
        <f ca="1">IFERROR(__xludf.DUMMYFUNCTION("""COMPUTED_VALUE"""),-0.562475470407915)</f>
        <v>-0.56247547040791501</v>
      </c>
      <c r="AA86" s="3">
        <f ca="1">IFERROR(__xludf.DUMMYFUNCTION("""COMPUTED_VALUE"""),-0.584382279378192)</f>
        <v>-0.58438227937819198</v>
      </c>
      <c r="AB86" s="3">
        <f ca="1">IFERROR(__xludf.DUMMYFUNCTION("""COMPUTED_VALUE"""),-0.637914490163524)</f>
        <v>-0.63791449016352397</v>
      </c>
      <c r="AC86" s="3">
        <f ca="1">IFERROR(__xludf.DUMMYFUNCTION("""COMPUTED_VALUE"""),-0.313508240598656)</f>
        <v>-0.31350824059865601</v>
      </c>
      <c r="AD86" s="3">
        <f ca="1">IFERROR(__xludf.DUMMYFUNCTION("""COMPUTED_VALUE"""),-0.372484764357876)</f>
        <v>-0.37248476435787597</v>
      </c>
      <c r="AE86" s="3">
        <f ca="1">IFERROR(__xludf.DUMMYFUNCTION("""COMPUTED_VALUE"""),-0.471685188408296)</f>
        <v>-0.47168518840829599</v>
      </c>
      <c r="AF86" s="3">
        <f ca="1">IFERROR(__xludf.DUMMYFUNCTION("""COMPUTED_VALUE"""),-0.522205299999911)</f>
        <v>-0.52220529999991105</v>
      </c>
      <c r="AG86" s="3">
        <f ca="1">IFERROR(__xludf.DUMMYFUNCTION("""COMPUTED_VALUE"""),-0.494261698284493)</f>
        <v>-0.49426169828449301</v>
      </c>
      <c r="AH86" s="3">
        <f ca="1">IFERROR(__xludf.DUMMYFUNCTION("""COMPUTED_VALUE"""),-0.571008960350926)</f>
        <v>-0.57100896035092596</v>
      </c>
      <c r="AI86" s="3">
        <f ca="1">IFERROR(__xludf.DUMMYFUNCTION("""COMPUTED_VALUE"""),-0.560194962566354)</f>
        <v>-0.56019496256635404</v>
      </c>
      <c r="AJ86" s="3">
        <f ca="1">IFERROR(__xludf.DUMMYFUNCTION("""COMPUTED_VALUE"""),-0.415301066664474)</f>
        <v>-0.41530106666447397</v>
      </c>
      <c r="AK86" s="3">
        <f ca="1">IFERROR(__xludf.DUMMYFUNCTION("""COMPUTED_VALUE"""),-0.474125913458278)</f>
        <v>-0.47412591345827798</v>
      </c>
      <c r="AL86" s="3">
        <f ca="1">IFERROR(__xludf.DUMMYFUNCTION("""COMPUTED_VALUE"""),-0.582904476687636)</f>
        <v>-0.58290447668763601</v>
      </c>
      <c r="AM86" s="3">
        <f ca="1">IFERROR(__xludf.DUMMYFUNCTION("""COMPUTED_VALUE"""),-0.605048837009284)</f>
        <v>-0.60504883700928402</v>
      </c>
      <c r="AN86" s="3">
        <f ca="1">IFERROR(__xludf.DUMMYFUNCTION("""COMPUTED_VALUE"""),-0.613251156415762)</f>
        <v>-0.613251156415762</v>
      </c>
      <c r="AO86" s="3">
        <f ca="1">IFERROR(__xludf.DUMMYFUNCTION("""COMPUTED_VALUE"""),-0.601978659845404)</f>
        <v>-0.601978659845404</v>
      </c>
      <c r="AP86" s="3">
        <f ca="1">IFERROR(__xludf.DUMMYFUNCTION("""COMPUTED_VALUE"""),-0.595066917940529)</f>
        <v>-0.59506691794052902</v>
      </c>
      <c r="AQ86" s="3">
        <f ca="1">IFERROR(__xludf.DUMMYFUNCTION("""COMPUTED_VALUE"""),-0.418399583421181)</f>
        <v>-0.418399583421181</v>
      </c>
      <c r="AR86" s="3">
        <f ca="1">IFERROR(__xludf.DUMMYFUNCTION("""COMPUTED_VALUE"""),-0.538247480381892)</f>
        <v>-0.53824748038189196</v>
      </c>
      <c r="AS86" s="3">
        <f ca="1">IFERROR(__xludf.DUMMYFUNCTION("""COMPUTED_VALUE"""),-0.591570260731274)</f>
        <v>-0.59157026073127394</v>
      </c>
      <c r="AT86" s="3">
        <f ca="1">IFERROR(__xludf.DUMMYFUNCTION("""COMPUTED_VALUE"""),-0.61643042681518)</f>
        <v>-0.61643042681518001</v>
      </c>
      <c r="AU86" s="3">
        <f ca="1">IFERROR(__xludf.DUMMYFUNCTION("""COMPUTED_VALUE"""),-0.628706013979659)</f>
        <v>-0.62870601397965897</v>
      </c>
      <c r="AV86" s="3">
        <f ca="1">IFERROR(__xludf.DUMMYFUNCTION("""COMPUTED_VALUE"""),-0.62267874086343)</f>
        <v>-0.62267874086343</v>
      </c>
      <c r="AW86" s="3">
        <f ca="1">IFERROR(__xludf.DUMMYFUNCTION("""COMPUTED_VALUE"""),-0.597395893179395)</f>
        <v>-0.59739589317939501</v>
      </c>
      <c r="AX86" s="3">
        <f ca="1">IFERROR(__xludf.DUMMYFUNCTION("""COMPUTED_VALUE"""),-0.472043966860615)</f>
        <v>-0.47204396686061501</v>
      </c>
      <c r="AY86" s="3">
        <f ca="1">IFERROR(__xludf.DUMMYFUNCTION("""COMPUTED_VALUE"""),-0.563752740676324)</f>
        <v>-0.56375274067632397</v>
      </c>
      <c r="AZ86" s="3">
        <f ca="1">IFERROR(__xludf.DUMMYFUNCTION("""COMPUTED_VALUE"""),-0.658849582992026)</f>
        <v>-0.65884958299202601</v>
      </c>
      <c r="BA86" s="3">
        <f ca="1">IFERROR(__xludf.DUMMYFUNCTION("""COMPUTED_VALUE"""),-0.663539741484444)</f>
        <v>-0.66353974148444395</v>
      </c>
      <c r="BB86" s="3">
        <f ca="1">IFERROR(__xludf.DUMMYFUNCTION("""COMPUTED_VALUE"""),-0.595679188934957)</f>
        <v>-0.59567918893495697</v>
      </c>
      <c r="BC86" s="3">
        <f ca="1">IFERROR(__xludf.DUMMYFUNCTION("""COMPUTED_VALUE"""),-0.645933903904972)</f>
        <v>-0.64593390390497196</v>
      </c>
      <c r="BD86" s="3">
        <f ca="1">IFERROR(__xludf.DUMMYFUNCTION("""COMPUTED_VALUE"""),-0.649721154374818)</f>
        <v>-0.64972115437481803</v>
      </c>
      <c r="BE86" s="3">
        <f ca="1">IFERROR(__xludf.DUMMYFUNCTION("""COMPUTED_VALUE"""),-0.533760121610961)</f>
        <v>-0.53376012161096098</v>
      </c>
      <c r="BF86" s="3">
        <f ca="1">IFERROR(__xludf.DUMMYFUNCTION("""COMPUTED_VALUE"""),-0.52394010792058)</f>
        <v>-0.52394010792057999</v>
      </c>
      <c r="BG86" s="3">
        <f ca="1">IFERROR(__xludf.DUMMYFUNCTION("""COMPUTED_VALUE"""),-0.640199101722494)</f>
        <v>-0.64019910172249395</v>
      </c>
      <c r="BH86" s="3">
        <f ca="1">IFERROR(__xludf.DUMMYFUNCTION("""COMPUTED_VALUE"""),-0.665599506988972)</f>
        <v>-0.66559950698897197</v>
      </c>
      <c r="BI86" s="3">
        <f ca="1">IFERROR(__xludf.DUMMYFUNCTION("""COMPUTED_VALUE"""),-0.689140945611864)</f>
        <v>-0.68914094561186401</v>
      </c>
      <c r="BJ86" s="3">
        <f ca="1">IFERROR(__xludf.DUMMYFUNCTION("""COMPUTED_VALUE"""),-0.681026341197089)</f>
        <v>-0.68102634119708905</v>
      </c>
      <c r="BK86" s="3">
        <f ca="1">IFERROR(__xludf.DUMMYFUNCTION("""COMPUTED_VALUE"""),-0.679471765906553)</f>
        <v>-0.679471765906553</v>
      </c>
      <c r="BL86" s="3">
        <f ca="1">IFERROR(__xludf.DUMMYFUNCTION("""COMPUTED_VALUE"""),-0.636037324580373)</f>
        <v>-0.63603732458037299</v>
      </c>
      <c r="BM86" s="3">
        <f ca="1">IFERROR(__xludf.DUMMYFUNCTION("""COMPUTED_VALUE"""),-0.65982344448202)</f>
        <v>-0.65982344448202002</v>
      </c>
      <c r="BN86" s="3">
        <f ca="1">IFERROR(__xludf.DUMMYFUNCTION("""COMPUTED_VALUE"""),-0.701654225696991)</f>
        <v>-0.70165422569699099</v>
      </c>
      <c r="BO86" s="3">
        <f ca="1">IFERROR(__xludf.DUMMYFUNCTION("""COMPUTED_VALUE"""),-0.722554297504928)</f>
        <v>-0.72255429750492794</v>
      </c>
      <c r="BP86" s="3">
        <f ca="1">IFERROR(__xludf.DUMMYFUNCTION("""COMPUTED_VALUE"""),-0.709049867438145)</f>
        <v>-0.70904986743814502</v>
      </c>
      <c r="BQ86" s="3">
        <f ca="1">IFERROR(__xludf.DUMMYFUNCTION("""COMPUTED_VALUE"""),-0.730604497398533)</f>
        <v>-0.73060449739853295</v>
      </c>
      <c r="BR86" s="3">
        <f ca="1">IFERROR(__xludf.DUMMYFUNCTION("""COMPUTED_VALUE"""),-0.739018790379001)</f>
        <v>-0.73901879037900098</v>
      </c>
      <c r="BS86" s="3">
        <f ca="1">IFERROR(__xludf.DUMMYFUNCTION("""COMPUTED_VALUE"""),-0.689443785918511)</f>
        <v>-0.68944378591851097</v>
      </c>
      <c r="BT86" s="3">
        <f ca="1">IFERROR(__xludf.DUMMYFUNCTION("""COMPUTED_VALUE"""),-0.746664055566957)</f>
        <v>-0.74666405556695703</v>
      </c>
      <c r="BU86" s="3">
        <f ca="1">IFERROR(__xludf.DUMMYFUNCTION("""COMPUTED_VALUE"""),-0.735412040054903)</f>
        <v>-0.73541204005490302</v>
      </c>
      <c r="BV86" s="3">
        <f ca="1">IFERROR(__xludf.DUMMYFUNCTION("""COMPUTED_VALUE"""),-0.722889605052754)</f>
        <v>-0.72288960505275401</v>
      </c>
      <c r="BW86" s="3">
        <f ca="1">IFERROR(__xludf.DUMMYFUNCTION("""COMPUTED_VALUE"""),-0.738805193809058)</f>
        <v>-0.73880519380905796</v>
      </c>
      <c r="BX86" s="3">
        <f ca="1">IFERROR(__xludf.DUMMYFUNCTION("""COMPUTED_VALUE"""),-0.76908884470564)</f>
        <v>-0.76908884470563998</v>
      </c>
      <c r="BY86" s="3">
        <f ca="1">IFERROR(__xludf.DUMMYFUNCTION("""COMPUTED_VALUE"""),-0.749632602021225)</f>
        <v>-0.74963260202122495</v>
      </c>
      <c r="BZ86" s="3">
        <f ca="1">IFERROR(__xludf.DUMMYFUNCTION("""COMPUTED_VALUE"""),-0.655819018953574)</f>
        <v>-0.65581901895357397</v>
      </c>
      <c r="CA86" s="3">
        <f ca="1">IFERROR(__xludf.DUMMYFUNCTION("""COMPUTED_VALUE"""),-0.728755312345144)</f>
        <v>-0.72875531234514401</v>
      </c>
      <c r="CB86" s="3">
        <f ca="1">IFERROR(__xludf.DUMMYFUNCTION("""COMPUTED_VALUE"""),-0.737844063339729)</f>
        <v>-0.73784406333972896</v>
      </c>
      <c r="CC86" s="3">
        <f ca="1">IFERROR(__xludf.DUMMYFUNCTION("""COMPUTED_VALUE"""),-0.729148149632412)</f>
        <v>-0.72914814963241203</v>
      </c>
      <c r="CD86" s="3">
        <f ca="1">IFERROR(__xludf.DUMMYFUNCTION("""COMPUTED_VALUE"""),-0.746077103007107)</f>
        <v>-0.74607710300710695</v>
      </c>
      <c r="CE86" s="3">
        <f ca="1">IFERROR(__xludf.DUMMYFUNCTION("""COMPUTED_VALUE"""),-0.749965411819886)</f>
        <v>-0.74996541181988596</v>
      </c>
      <c r="CF86" s="3">
        <f ca="1">IFERROR(__xludf.DUMMYFUNCTION("""COMPUTED_VALUE"""),-0.739945739272881)</f>
        <v>-0.73994573927288099</v>
      </c>
      <c r="CG86" s="3">
        <f ca="1">IFERROR(__xludf.DUMMYFUNCTION("""COMPUTED_VALUE"""),-0.664034387681312)</f>
        <v>-0.66403438768131196</v>
      </c>
      <c r="CH86" s="3">
        <f ca="1">IFERROR(__xludf.DUMMYFUNCTION("""COMPUTED_VALUE"""),-0.729370653281047)</f>
        <v>-0.729370653281047</v>
      </c>
      <c r="CI86" s="3">
        <f ca="1">IFERROR(__xludf.DUMMYFUNCTION("""COMPUTED_VALUE"""),-0.76281343412743)</f>
        <v>-0.76281343412742997</v>
      </c>
      <c r="CJ86" s="3">
        <f ca="1">IFERROR(__xludf.DUMMYFUNCTION("""COMPUTED_VALUE"""),-0.760423829217212)</f>
        <v>-0.76042382921721197</v>
      </c>
      <c r="CK86" s="3">
        <f ca="1">IFERROR(__xludf.DUMMYFUNCTION("""COMPUTED_VALUE"""),-0.775938135579086)</f>
        <v>-0.77593813557908597</v>
      </c>
      <c r="CL86" s="3">
        <f ca="1">IFERROR(__xludf.DUMMYFUNCTION("""COMPUTED_VALUE"""),-0.77503901731951)</f>
        <v>-0.77503901731950997</v>
      </c>
      <c r="CM86" s="3">
        <f ca="1">IFERROR(__xludf.DUMMYFUNCTION("""COMPUTED_VALUE"""),-0.765959903427962)</f>
        <v>-0.76595990342796205</v>
      </c>
      <c r="CN86" s="3">
        <f ca="1">IFERROR(__xludf.DUMMYFUNCTION("""COMPUTED_VALUE"""),-0.658827334594681)</f>
        <v>-0.65882733459468101</v>
      </c>
      <c r="CO86" s="3">
        <f ca="1">IFERROR(__xludf.DUMMYFUNCTION("""COMPUTED_VALUE"""),-0.644636757172382)</f>
        <v>-0.644636757172382</v>
      </c>
      <c r="CP86" s="3">
        <f ca="1">IFERROR(__xludf.DUMMYFUNCTION("""COMPUTED_VALUE"""),-0.699479930535021)</f>
        <v>-0.699479930535021</v>
      </c>
      <c r="CQ86" s="3">
        <f ca="1">IFERROR(__xludf.DUMMYFUNCTION("""COMPUTED_VALUE"""),-0.631735264293984)</f>
        <v>-0.63173526429398397</v>
      </c>
      <c r="CR86" s="3">
        <f ca="1">IFERROR(__xludf.DUMMYFUNCTION("""COMPUTED_VALUE"""),-0.653026561481846)</f>
        <v>-0.65302656148184601</v>
      </c>
      <c r="CS86" s="3">
        <f ca="1">IFERROR(__xludf.DUMMYFUNCTION("""COMPUTED_VALUE"""),-0.672919614529427)</f>
        <v>-0.67291961452942695</v>
      </c>
      <c r="CT86" s="3">
        <f ca="1">IFERROR(__xludf.DUMMYFUNCTION("""COMPUTED_VALUE"""),-0.724168616317017)</f>
        <v>-0.72416861631701701</v>
      </c>
      <c r="CU86" s="3">
        <f ca="1">IFERROR(__xludf.DUMMYFUNCTION("""COMPUTED_VALUE"""),-0.656972276932227)</f>
        <v>-0.65697227693222704</v>
      </c>
      <c r="CV86" s="3">
        <f ca="1">IFERROR(__xludf.DUMMYFUNCTION("""COMPUTED_VALUE"""),-0.895549465833026)</f>
        <v>-0.89554946583302597</v>
      </c>
      <c r="CW86" s="3">
        <f ca="1">IFERROR(__xludf.DUMMYFUNCTION("""COMPUTED_VALUE"""),-0.948423048616461)</f>
        <v>-0.94842304861646098</v>
      </c>
      <c r="CX86" s="3">
        <f ca="1">IFERROR(__xludf.DUMMYFUNCTION("""COMPUTED_VALUE"""),-0.578707740876348)</f>
        <v>-0.57870774087634802</v>
      </c>
      <c r="CY86" s="3">
        <f ca="1">IFERROR(__xludf.DUMMYFUNCTION("""COMPUTED_VALUE"""),-0.366235996504568)</f>
        <v>-0.36623599650456801</v>
      </c>
      <c r="CZ86" s="3">
        <f ca="1">IFERROR(__xludf.DUMMYFUNCTION("""COMPUTED_VALUE"""),-0.652566159029555)</f>
        <v>-0.65256615902955495</v>
      </c>
      <c r="DA86" s="3">
        <f ca="1">IFERROR(__xludf.DUMMYFUNCTION("""COMPUTED_VALUE"""),-0.683616119900042)</f>
        <v>-0.68361611990004201</v>
      </c>
      <c r="DB86" s="3">
        <f ca="1">IFERROR(__xludf.DUMMYFUNCTION("""COMPUTED_VALUE"""),-0.639406421519267)</f>
        <v>-0.63940642151926697</v>
      </c>
      <c r="DC86" s="3">
        <f ca="1">IFERROR(__xludf.DUMMYFUNCTION("""COMPUTED_VALUE"""),-0.733786786716287)</f>
        <v>-0.73378678671628705</v>
      </c>
      <c r="DD86" s="3">
        <f ca="1">IFERROR(__xludf.DUMMYFUNCTION("""COMPUTED_VALUE"""),-0.948559448825991)</f>
        <v>-0.94855944882599097</v>
      </c>
      <c r="DE86" s="3">
        <f ca="1">IFERROR(__xludf.DUMMYFUNCTION("""COMPUTED_VALUE"""),-0.565927342558655)</f>
        <v>-0.56592734255865496</v>
      </c>
      <c r="DF86" s="3">
        <f ca="1">IFERROR(__xludf.DUMMYFUNCTION("""COMPUTED_VALUE"""),-0.192771230265087)</f>
        <v>-0.192771230265087</v>
      </c>
      <c r="DG86" s="3">
        <f ca="1">IFERROR(__xludf.DUMMYFUNCTION("""COMPUTED_VALUE"""),-0.519571452226595)</f>
        <v>-0.51957145222659495</v>
      </c>
      <c r="DH86" s="3">
        <f ca="1">IFERROR(__xludf.DUMMYFUNCTION("""COMPUTED_VALUE"""),-0.544939665361825)</f>
        <v>-0.54493966536182503</v>
      </c>
      <c r="DI86" s="3">
        <f ca="1">IFERROR(__xludf.DUMMYFUNCTION("""COMPUTED_VALUE"""),-0.575942041305863)</f>
        <v>-0.57594204130586302</v>
      </c>
      <c r="DJ86" s="3">
        <f ca="1">IFERROR(__xludf.DUMMYFUNCTION("""COMPUTED_VALUE"""),-0.560705340586905)</f>
        <v>-0.56070534058690502</v>
      </c>
      <c r="DK86" s="3">
        <f ca="1">IFERROR(__xludf.DUMMYFUNCTION("""COMPUTED_VALUE"""),-0.604532522950445)</f>
        <v>-0.60453252295044502</v>
      </c>
      <c r="DL86" s="3">
        <f ca="1">IFERROR(__xludf.DUMMYFUNCTION("""COMPUTED_VALUE"""),-0.616194727994635)</f>
        <v>-0.61619472799463504</v>
      </c>
      <c r="DM86" s="3">
        <f ca="1">IFERROR(__xludf.DUMMYFUNCTION("""COMPUTED_VALUE"""),-0.517468448744053)</f>
        <v>-0.51746844874405296</v>
      </c>
      <c r="DN86" s="3">
        <f ca="1">IFERROR(__xludf.DUMMYFUNCTION("""COMPUTED_VALUE"""),-0.586482038846773)</f>
        <v>-0.58648203884677297</v>
      </c>
      <c r="DO86" s="3">
        <f ca="1">IFERROR(__xludf.DUMMYFUNCTION("""COMPUTED_VALUE"""),-0.59642539241029)</f>
        <v>-0.59642539241029002</v>
      </c>
      <c r="DP86" s="3">
        <f ca="1">IFERROR(__xludf.DUMMYFUNCTION("""COMPUTED_VALUE"""),-0.616046776326937)</f>
        <v>-0.61604677632693705</v>
      </c>
      <c r="DQ86" s="3">
        <f ca="1">IFERROR(__xludf.DUMMYFUNCTION("""COMPUTED_VALUE"""),-0.610637501252562)</f>
        <v>-0.610637501252562</v>
      </c>
      <c r="DR86" s="3">
        <f ca="1">IFERROR(__xludf.DUMMYFUNCTION("""COMPUTED_VALUE"""),-0.636309591027557)</f>
        <v>-0.63630959102755702</v>
      </c>
      <c r="DS86" s="3">
        <f ca="1">IFERROR(__xludf.DUMMYFUNCTION("""COMPUTED_VALUE"""),-0.648275757089102)</f>
        <v>-0.64827575708910201</v>
      </c>
      <c r="DT86" s="3">
        <f ca="1">IFERROR(__xludf.DUMMYFUNCTION("""COMPUTED_VALUE"""),-0.657598307500839)</f>
        <v>-0.65759830750083903</v>
      </c>
      <c r="DU86" s="3">
        <f ca="1">IFERROR(__xludf.DUMMYFUNCTION("""COMPUTED_VALUE"""),-0.688570790737843)</f>
        <v>-0.688570790737843</v>
      </c>
      <c r="DV86" s="3">
        <f ca="1">IFERROR(__xludf.DUMMYFUNCTION("""COMPUTED_VALUE"""),-0.672699367618295)</f>
        <v>-0.67269936761829496</v>
      </c>
      <c r="DW86" s="3">
        <f ca="1">IFERROR(__xludf.DUMMYFUNCTION("""COMPUTED_VALUE"""),-0.630731404327487)</f>
        <v>-0.63073140432748698</v>
      </c>
      <c r="DX86" s="3">
        <f ca="1">IFERROR(__xludf.DUMMYFUNCTION("""COMPUTED_VALUE"""),-0.582636391099619)</f>
        <v>-0.58263639109961896</v>
      </c>
      <c r="DY86" s="3">
        <f ca="1">IFERROR(__xludf.DUMMYFUNCTION("""COMPUTED_VALUE"""),-0.627042323808116)</f>
        <v>-0.62704232380811598</v>
      </c>
      <c r="DZ86" s="3">
        <f ca="1">IFERROR(__xludf.DUMMYFUNCTION("""COMPUTED_VALUE"""),-0.663389906464419)</f>
        <v>-0.66338990646441898</v>
      </c>
      <c r="EA86" s="3">
        <f ca="1">IFERROR(__xludf.DUMMYFUNCTION("""COMPUTED_VALUE"""),-0.658966704325774)</f>
        <v>-0.65896670432577398</v>
      </c>
      <c r="EB86" s="3">
        <f ca="1">IFERROR(__xludf.DUMMYFUNCTION("""COMPUTED_VALUE"""),-0.641013655169468)</f>
        <v>-0.64101365516946796</v>
      </c>
      <c r="EC86" s="3">
        <f ca="1">IFERROR(__xludf.DUMMYFUNCTION("""COMPUTED_VALUE"""),-0.673518074225482)</f>
        <v>-0.67351807422548204</v>
      </c>
      <c r="ED86" s="3">
        <f ca="1">IFERROR(__xludf.DUMMYFUNCTION("""COMPUTED_VALUE"""),-0.602854549003841)</f>
        <v>-0.60285454900384094</v>
      </c>
      <c r="EE86" s="3">
        <f ca="1">IFERROR(__xludf.DUMMYFUNCTION("""COMPUTED_VALUE"""),-0.585151110461874)</f>
        <v>-0.58515111046187396</v>
      </c>
      <c r="EF86" s="3">
        <f ca="1">IFERROR(__xludf.DUMMYFUNCTION("""COMPUTED_VALUE"""),-0.577839352321893)</f>
        <v>-0.57783935232189299</v>
      </c>
      <c r="EG86" s="3">
        <f ca="1">IFERROR(__xludf.DUMMYFUNCTION("""COMPUTED_VALUE"""),-0.69890833850426)</f>
        <v>-0.69890833850426004</v>
      </c>
      <c r="EH86" s="3">
        <f ca="1">IFERROR(__xludf.DUMMYFUNCTION("""COMPUTED_VALUE"""),-0.631443489571275)</f>
        <v>-0.63144348957127505</v>
      </c>
      <c r="EI86" s="3">
        <f ca="1">IFERROR(__xludf.DUMMYFUNCTION("""COMPUTED_VALUE"""),-0.666096103277033)</f>
        <v>-0.66609610327703295</v>
      </c>
      <c r="EJ86" s="3">
        <f ca="1">IFERROR(__xludf.DUMMYFUNCTION("""COMPUTED_VALUE"""),-0.676093740526486)</f>
        <v>-0.67609374052648596</v>
      </c>
      <c r="EK86" s="3">
        <f ca="1">IFERROR(__xludf.DUMMYFUNCTION("""COMPUTED_VALUE"""),-0.615610238966341)</f>
        <v>-0.61561023896634104</v>
      </c>
      <c r="EL86" s="3">
        <f ca="1">IFERROR(__xludf.DUMMYFUNCTION("""COMPUTED_VALUE"""),-0.586381481576494)</f>
        <v>-0.58638148157649395</v>
      </c>
      <c r="EM86" s="3">
        <f ca="1">IFERROR(__xludf.DUMMYFUNCTION("""COMPUTED_VALUE"""),-0.66785392069479)</f>
        <v>-0.66785392069478999</v>
      </c>
      <c r="EN86" s="3">
        <f ca="1">IFERROR(__xludf.DUMMYFUNCTION("""COMPUTED_VALUE"""),-0.674909790790373)</f>
        <v>-0.67490979079037305</v>
      </c>
      <c r="EO86" s="3">
        <f ca="1">IFERROR(__xludf.DUMMYFUNCTION("""COMPUTED_VALUE"""),-0.656391936762382)</f>
        <v>-0.65639193676238194</v>
      </c>
      <c r="EP86" s="3">
        <f ca="1">IFERROR(__xludf.DUMMYFUNCTION("""COMPUTED_VALUE"""),-0.699074562135764)</f>
        <v>-0.69907456213576402</v>
      </c>
      <c r="EQ86" s="3">
        <f ca="1">IFERROR(__xludf.DUMMYFUNCTION("""COMPUTED_VALUE"""),-0.647286279115489)</f>
        <v>-0.64728627911548897</v>
      </c>
      <c r="ER86" s="3">
        <f ca="1">IFERROR(__xludf.DUMMYFUNCTION("""COMPUTED_VALUE"""),-0.672568478615651)</f>
        <v>-0.67256847861565106</v>
      </c>
      <c r="ES86" s="3">
        <f ca="1">IFERROR(__xludf.DUMMYFUNCTION("""COMPUTED_VALUE"""),-0.646182172764072)</f>
        <v>-0.64618217276407197</v>
      </c>
      <c r="ET86" s="3">
        <f ca="1">IFERROR(__xludf.DUMMYFUNCTION("""COMPUTED_VALUE"""),-0.670261167409085)</f>
        <v>-0.67026116740908503</v>
      </c>
      <c r="EU86" s="3">
        <f ca="1">IFERROR(__xludf.DUMMYFUNCTION("""COMPUTED_VALUE"""),-0.667467356067454)</f>
        <v>-0.667467356067454</v>
      </c>
      <c r="EV86" s="3">
        <f ca="1">IFERROR(__xludf.DUMMYFUNCTION("""COMPUTED_VALUE"""),-0.69061108711765)</f>
        <v>-0.69061108711764996</v>
      </c>
      <c r="EW86" s="3">
        <f ca="1">IFERROR(__xludf.DUMMYFUNCTION("""COMPUTED_VALUE"""),-0.697658332549577)</f>
        <v>-0.69765833254957699</v>
      </c>
      <c r="EX86" s="3">
        <f ca="1">IFERROR(__xludf.DUMMYFUNCTION("""COMPUTED_VALUE"""),-0.663435771960792)</f>
        <v>-0.66343577196079195</v>
      </c>
      <c r="EY86" s="3">
        <f ca="1">IFERROR(__xludf.DUMMYFUNCTION("""COMPUTED_VALUE"""),-0.627748960077164)</f>
        <v>-0.62774896007716396</v>
      </c>
      <c r="EZ86" s="3">
        <f ca="1">IFERROR(__xludf.DUMMYFUNCTION("""COMPUTED_VALUE"""),-0.632706481582778)</f>
        <v>-0.63270648158277798</v>
      </c>
      <c r="FA86" s="3">
        <f ca="1">IFERROR(__xludf.DUMMYFUNCTION("""COMPUTED_VALUE"""),-0.649649257797742)</f>
        <v>-0.64964925779774196</v>
      </c>
      <c r="FB86" s="3">
        <f ca="1">IFERROR(__xludf.DUMMYFUNCTION("""COMPUTED_VALUE"""),-0.661362272340226)</f>
        <v>-0.66136227234022604</v>
      </c>
      <c r="FC86" s="3">
        <f ca="1">IFERROR(__xludf.DUMMYFUNCTION("""COMPUTED_VALUE"""),-0.676632161087151)</f>
        <v>-0.67663216108715096</v>
      </c>
      <c r="FD86" s="3">
        <f ca="1">IFERROR(__xludf.DUMMYFUNCTION("""COMPUTED_VALUE"""),-0.698497577560832)</f>
        <v>-0.69849757756083197</v>
      </c>
      <c r="FE86" s="3">
        <f ca="1">IFERROR(__xludf.DUMMYFUNCTION("""COMPUTED_VALUE"""),-0.61583137409943)</f>
        <v>-0.61583137409943001</v>
      </c>
      <c r="FF86" s="3">
        <f ca="1">IFERROR(__xludf.DUMMYFUNCTION("""COMPUTED_VALUE"""),-0.563228198446881)</f>
        <v>-0.56322819844688099</v>
      </c>
      <c r="FG86" s="3">
        <f ca="1">IFERROR(__xludf.DUMMYFUNCTION("""COMPUTED_VALUE"""),-0.602153268666094)</f>
        <v>-0.60215326866609398</v>
      </c>
      <c r="FH86" s="3">
        <f ca="1">IFERROR(__xludf.DUMMYFUNCTION("""COMPUTED_VALUE"""),-0.604788731327604)</f>
        <v>-0.60478873132760402</v>
      </c>
      <c r="FI86" s="3">
        <f ca="1">IFERROR(__xludf.DUMMYFUNCTION("""COMPUTED_VALUE"""),-0.642510585491461)</f>
        <v>-0.64251058549146101</v>
      </c>
      <c r="FJ86" s="3">
        <f ca="1">IFERROR(__xludf.DUMMYFUNCTION("""COMPUTED_VALUE"""),-0.630235432867222)</f>
        <v>-0.63023543286722195</v>
      </c>
      <c r="FK86" s="3">
        <f ca="1">IFERROR(__xludf.DUMMYFUNCTION("""COMPUTED_VALUE"""),-0.626027669099829)</f>
        <v>-0.62602766909982899</v>
      </c>
      <c r="FL86" s="3">
        <f ca="1">IFERROR(__xludf.DUMMYFUNCTION("""COMPUTED_VALUE"""),-0.616205583965922)</f>
        <v>-0.61620558396592195</v>
      </c>
      <c r="FM86" s="3">
        <f ca="1">IFERROR(__xludf.DUMMYFUNCTION("""COMPUTED_VALUE"""),-0.494026661548477)</f>
        <v>-0.49402666154847702</v>
      </c>
      <c r="FN86" s="3">
        <f ca="1">IFERROR(__xludf.DUMMYFUNCTION("""COMPUTED_VALUE"""),-0.595714119214102)</f>
        <v>-0.595714119214102</v>
      </c>
      <c r="FO86" s="3">
        <f ca="1">IFERROR(__xludf.DUMMYFUNCTION("""COMPUTED_VALUE"""),-0.606328651184891)</f>
        <v>-0.60632865118489099</v>
      </c>
      <c r="FP86" s="3">
        <f ca="1">IFERROR(__xludf.DUMMYFUNCTION("""COMPUTED_VALUE"""),-0.594423691366288)</f>
        <v>-0.59442369136628803</v>
      </c>
      <c r="FQ86" s="3">
        <f ca="1">IFERROR(__xludf.DUMMYFUNCTION("""COMPUTED_VALUE"""),-0.635187189791129)</f>
        <v>-0.63518718979112898</v>
      </c>
      <c r="FR86" s="3">
        <f ca="1">IFERROR(__xludf.DUMMYFUNCTION("""COMPUTED_VALUE"""),-0.612212565804394)</f>
        <v>-0.61221256580439398</v>
      </c>
      <c r="FS86" s="3">
        <f ca="1">IFERROR(__xludf.DUMMYFUNCTION("""COMPUTED_VALUE"""),-0.498475945601761)</f>
        <v>-0.49847594560176101</v>
      </c>
      <c r="FT86" s="3">
        <f ca="1">IFERROR(__xludf.DUMMYFUNCTION("""COMPUTED_VALUE"""),-0.52676486040205)</f>
        <v>-0.52676486040204995</v>
      </c>
      <c r="FU86" s="3">
        <f ca="1">IFERROR(__xludf.DUMMYFUNCTION("""COMPUTED_VALUE"""),-0.558912858360154)</f>
        <v>-0.55891285836015403</v>
      </c>
      <c r="FV86" s="3">
        <f ca="1">IFERROR(__xludf.DUMMYFUNCTION("""COMPUTED_VALUE"""),-0.655454625810255)</f>
        <v>-0.65545462581025504</v>
      </c>
      <c r="FW86" s="3">
        <f ca="1">IFERROR(__xludf.DUMMYFUNCTION("""COMPUTED_VALUE"""),-0.626908623933349)</f>
        <v>-0.62690862393334901</v>
      </c>
      <c r="FX86" s="3">
        <f ca="1">IFERROR(__xludf.DUMMYFUNCTION("""COMPUTED_VALUE"""),-0.644728888835757)</f>
        <v>-0.64472888883575696</v>
      </c>
      <c r="FY86" s="3">
        <f ca="1">IFERROR(__xludf.DUMMYFUNCTION("""COMPUTED_VALUE"""),-0.635692224622526)</f>
        <v>-0.63569222462252595</v>
      </c>
      <c r="FZ86" s="3">
        <f ca="1">IFERROR(__xludf.DUMMYFUNCTION("""COMPUTED_VALUE"""),-0.686324016290201)</f>
        <v>-0.68632401629020101</v>
      </c>
      <c r="GA86" s="3">
        <f ca="1">IFERROR(__xludf.DUMMYFUNCTION("""COMPUTED_VALUE"""),-0.543735156922025)</f>
        <v>-0.54373515692202501</v>
      </c>
      <c r="GB86" s="3">
        <f ca="1">IFERROR(__xludf.DUMMYFUNCTION("""COMPUTED_VALUE"""),-0.554207657598795)</f>
        <v>-0.55420765759879498</v>
      </c>
      <c r="GC86" s="3">
        <f ca="1">IFERROR(__xludf.DUMMYFUNCTION("""COMPUTED_VALUE"""),-0.608137942606457)</f>
        <v>-0.60813794260645704</v>
      </c>
      <c r="GD86" s="3">
        <f ca="1">IFERROR(__xludf.DUMMYFUNCTION("""COMPUTED_VALUE"""),-0.509700854249252)</f>
        <v>-0.50970085424925204</v>
      </c>
      <c r="GE86" s="3">
        <f ca="1">IFERROR(__xludf.DUMMYFUNCTION("""COMPUTED_VALUE"""),-0.546728115496637)</f>
        <v>-0.54672811549663702</v>
      </c>
      <c r="GF86" s="3">
        <f ca="1">IFERROR(__xludf.DUMMYFUNCTION("""COMPUTED_VALUE"""),-0.533370265315913)</f>
        <v>-0.53337026531591303</v>
      </c>
      <c r="GG86" s="3">
        <f ca="1">IFERROR(__xludf.DUMMYFUNCTION("""COMPUTED_VALUE"""),-0.456063403225594)</f>
        <v>-0.45606340322559402</v>
      </c>
      <c r="GH86" s="3">
        <f ca="1">IFERROR(__xludf.DUMMYFUNCTION("""COMPUTED_VALUE"""),-0.49021639512452)</f>
        <v>-0.49021639512451998</v>
      </c>
      <c r="GI86" s="3">
        <f ca="1">IFERROR(__xludf.DUMMYFUNCTION("""COMPUTED_VALUE"""),-0.45525549656596)</f>
        <v>-0.45525549656595998</v>
      </c>
      <c r="GJ86" s="3">
        <f ca="1">IFERROR(__xludf.DUMMYFUNCTION("""COMPUTED_VALUE"""),-0.58192995079282)</f>
        <v>-0.58192995079281995</v>
      </c>
      <c r="GK86" s="3">
        <f ca="1">IFERROR(__xludf.DUMMYFUNCTION("""COMPUTED_VALUE"""),-0.546483028552563)</f>
        <v>-0.54648302855256303</v>
      </c>
      <c r="GL86" s="3">
        <f ca="1">IFERROR(__xludf.DUMMYFUNCTION("""COMPUTED_VALUE"""),-0.584590686479399)</f>
        <v>-0.58459068647939905</v>
      </c>
      <c r="GM86" s="3">
        <f ca="1">IFERROR(__xludf.DUMMYFUNCTION("""COMPUTED_VALUE"""),-0.544338533252015)</f>
        <v>-0.54433853325201498</v>
      </c>
      <c r="GN86" s="3">
        <f ca="1">IFERROR(__xludf.DUMMYFUNCTION("""COMPUTED_VALUE"""),-0.520807590554836)</f>
        <v>-0.52080759055483605</v>
      </c>
      <c r="GO86" s="3">
        <f ca="1">IFERROR(__xludf.DUMMYFUNCTION("""COMPUTED_VALUE"""),-0.505816267607289)</f>
        <v>-0.50581626760728904</v>
      </c>
      <c r="GP86" s="3">
        <f ca="1">IFERROR(__xludf.DUMMYFUNCTION("""COMPUTED_VALUE"""),-0.560796196769736)</f>
        <v>-0.56079619676973602</v>
      </c>
      <c r="GQ86" s="3">
        <f ca="1">IFERROR(__xludf.DUMMYFUNCTION("""COMPUTED_VALUE"""),-0.582462783682429)</f>
        <v>-0.58246278368242899</v>
      </c>
      <c r="GR86" s="3">
        <f ca="1">IFERROR(__xludf.DUMMYFUNCTION("""COMPUTED_VALUE"""),-0.550375897624075)</f>
        <v>-0.55037589762407502</v>
      </c>
      <c r="GS86" s="3">
        <f ca="1">IFERROR(__xludf.DUMMYFUNCTION("""COMPUTED_VALUE"""),-0.577671289344232)</f>
        <v>-0.57767128934423195</v>
      </c>
      <c r="GT86" s="3">
        <f ca="1">IFERROR(__xludf.DUMMYFUNCTION("""COMPUTED_VALUE"""),-0.602875828955563)</f>
        <v>-0.60287582895556302</v>
      </c>
      <c r="GU86" s="3">
        <f ca="1">IFERROR(__xludf.DUMMYFUNCTION("""COMPUTED_VALUE"""),-0.507361824025649)</f>
        <v>-0.507361824025649</v>
      </c>
      <c r="GV86" s="3">
        <f ca="1">IFERROR(__xludf.DUMMYFUNCTION("""COMPUTED_VALUE"""),-0.440359937932577)</f>
        <v>-0.44035993793257699</v>
      </c>
      <c r="GW86" s="3">
        <f ca="1">IFERROR(__xludf.DUMMYFUNCTION("""COMPUTED_VALUE"""),-0.487142442153074)</f>
        <v>-0.48714244215307401</v>
      </c>
      <c r="GX86" s="3">
        <f ca="1">IFERROR(__xludf.DUMMYFUNCTION("""COMPUTED_VALUE"""),-0.570692535800023)</f>
        <v>-0.57069253580002299</v>
      </c>
      <c r="GY86" s="3">
        <f ca="1">IFERROR(__xludf.DUMMYFUNCTION("""COMPUTED_VALUE"""),-0.547532352193757)</f>
        <v>-0.54753235219375695</v>
      </c>
      <c r="GZ86" s="3">
        <f ca="1">IFERROR(__xludf.DUMMYFUNCTION("""COMPUTED_VALUE"""),-0.569004455415006)</f>
        <v>-0.56900445541500599</v>
      </c>
      <c r="HA86" s="3">
        <f ca="1">IFERROR(__xludf.DUMMYFUNCTION("""COMPUTED_VALUE"""),-0.539854041708766)</f>
        <v>-0.53985404170876605</v>
      </c>
      <c r="HB86" s="3">
        <f ca="1">IFERROR(__xludf.DUMMYFUNCTION("""COMPUTED_VALUE"""),-0.497673784868413)</f>
        <v>-0.49767378486841302</v>
      </c>
      <c r="HC86" s="3">
        <f ca="1">IFERROR(__xludf.DUMMYFUNCTION("""COMPUTED_VALUE"""),-0.469264828149671)</f>
        <v>-0.46926482814967102</v>
      </c>
      <c r="HD86" s="3">
        <f ca="1">IFERROR(__xludf.DUMMYFUNCTION("""COMPUTED_VALUE"""),-0.480546001097416)</f>
        <v>-0.48054600109741602</v>
      </c>
      <c r="HE86" s="3">
        <f ca="1">IFERROR(__xludf.DUMMYFUNCTION("""COMPUTED_VALUE"""),-0.563479110136645)</f>
        <v>-0.56347911013664498</v>
      </c>
      <c r="HF86" s="3">
        <f ca="1">IFERROR(__xludf.DUMMYFUNCTION("""COMPUTED_VALUE"""),-0.56496036438879)</f>
        <v>-0.56496036438879005</v>
      </c>
      <c r="HG86" s="3">
        <f ca="1">IFERROR(__xludf.DUMMYFUNCTION("""COMPUTED_VALUE"""),-0.600187623484643)</f>
        <v>-0.60018762348464305</v>
      </c>
      <c r="HH86" s="3">
        <f ca="1">IFERROR(__xludf.DUMMYFUNCTION("""COMPUTED_VALUE"""),-0.538936325631912)</f>
        <v>-0.53893632563191196</v>
      </c>
      <c r="HI86" s="3">
        <f ca="1">IFERROR(__xludf.DUMMYFUNCTION("""COMPUTED_VALUE"""),-0.740784146183105)</f>
        <v>-0.74078414618310495</v>
      </c>
      <c r="HJ86" s="3">
        <f ca="1">IFERROR(__xludf.DUMMYFUNCTION("""COMPUTED_VALUE"""),-0.415205968033503)</f>
        <v>-0.41520596803350301</v>
      </c>
      <c r="HK86" s="3">
        <f ca="1">IFERROR(__xludf.DUMMYFUNCTION("""COMPUTED_VALUE"""),-0.484027623479092)</f>
        <v>-0.48402762347909201</v>
      </c>
      <c r="HL86" s="3">
        <f ca="1">IFERROR(__xludf.DUMMYFUNCTION("""COMPUTED_VALUE"""),-0.546234201272658)</f>
        <v>-0.54623420127265798</v>
      </c>
      <c r="HM86" s="3">
        <f ca="1">IFERROR(__xludf.DUMMYFUNCTION("""COMPUTED_VALUE"""),-0.518996662422792)</f>
        <v>-0.51899666242279197</v>
      </c>
      <c r="HN86" s="3">
        <f ca="1">IFERROR(__xludf.DUMMYFUNCTION("""COMPUTED_VALUE"""),-0.511489030886275)</f>
        <v>-0.51148903088627495</v>
      </c>
      <c r="HO86" s="3">
        <f ca="1">IFERROR(__xludf.DUMMYFUNCTION("""COMPUTED_VALUE"""),-0.46421909881314)</f>
        <v>-0.46421909881314</v>
      </c>
      <c r="HP86" s="3">
        <f ca="1">IFERROR(__xludf.DUMMYFUNCTION("""COMPUTED_VALUE"""),-0.282642934823329)</f>
        <v>-0.28264293482332897</v>
      </c>
      <c r="HQ86" s="3">
        <f ca="1">IFERROR(__xludf.DUMMYFUNCTION("""COMPUTED_VALUE"""),-0.429555434090557)</f>
        <v>-0.42955543409055702</v>
      </c>
      <c r="HR86" s="3">
        <f ca="1">IFERROR(__xludf.DUMMYFUNCTION("""COMPUTED_VALUE"""),-0.467028623858079)</f>
        <v>-0.46702862385807897</v>
      </c>
      <c r="HS86" s="3">
        <f ca="1">IFERROR(__xludf.DUMMYFUNCTION("""COMPUTED_VALUE"""),-0.502132158725909)</f>
        <v>-0.50213215872590899</v>
      </c>
      <c r="HT86" s="3">
        <f ca="1">IFERROR(__xludf.DUMMYFUNCTION("""COMPUTED_VALUE"""),-0.453263969119762)</f>
        <v>-0.45326396911976202</v>
      </c>
      <c r="HU86" s="3">
        <f ca="1">IFERROR(__xludf.DUMMYFUNCTION("""COMPUTED_VALUE"""),-0.497416857139914)</f>
        <v>-0.49741685713991401</v>
      </c>
      <c r="HV86" s="3">
        <f ca="1">IFERROR(__xludf.DUMMYFUNCTION("""COMPUTED_VALUE"""),-0.607821676568551)</f>
        <v>-0.60782167656855102</v>
      </c>
      <c r="HW86" s="3">
        <f ca="1">IFERROR(__xludf.DUMMYFUNCTION("""COMPUTED_VALUE"""),-0.45497700098826)</f>
        <v>-0.45497700098825999</v>
      </c>
      <c r="HX86" s="3">
        <f ca="1">IFERROR(__xludf.DUMMYFUNCTION("""COMPUTED_VALUE"""),-0.582890479354407)</f>
        <v>-0.58289047935440697</v>
      </c>
      <c r="HY86" s="3">
        <f ca="1">IFERROR(__xludf.DUMMYFUNCTION("""COMPUTED_VALUE"""),-0.507102072092696)</f>
        <v>-0.50710207209269598</v>
      </c>
      <c r="HZ86" s="3">
        <f ca="1">IFERROR(__xludf.DUMMYFUNCTION("""COMPUTED_VALUE"""),-0.634788310593564)</f>
        <v>-0.634788310593564</v>
      </c>
      <c r="IA86" s="3">
        <f ca="1">IFERROR(__xludf.DUMMYFUNCTION("""COMPUTED_VALUE"""),-0.630598686424586)</f>
        <v>-0.63059868642458605</v>
      </c>
      <c r="IB86" s="3">
        <f ca="1">IFERROR(__xludf.DUMMYFUNCTION("""COMPUTED_VALUE"""),-0.602847879991757)</f>
        <v>-0.60284787999175704</v>
      </c>
      <c r="IC86" s="3">
        <f ca="1">IFERROR(__xludf.DUMMYFUNCTION("""COMPUTED_VALUE"""),-0.617018316513289)</f>
        <v>-0.61701831651328898</v>
      </c>
      <c r="ID86" s="3">
        <f ca="1">IFERROR(__xludf.DUMMYFUNCTION("""COMPUTED_VALUE"""),-0.611430392833412)</f>
        <v>-0.61143039283341205</v>
      </c>
      <c r="IE86" s="3">
        <f ca="1">IFERROR(__xludf.DUMMYFUNCTION("""COMPUTED_VALUE"""),-0.440249210592119)</f>
        <v>-0.44024921059211902</v>
      </c>
      <c r="IF86" s="3">
        <f ca="1">IFERROR(__xludf.DUMMYFUNCTION("""COMPUTED_VALUE"""),-0.477016677432235)</f>
        <v>-0.47701667743223503</v>
      </c>
      <c r="IG86" s="3">
        <f ca="1">IFERROR(__xludf.DUMMYFUNCTION("""COMPUTED_VALUE"""),-0.540824903136056)</f>
        <v>-0.54082490313605602</v>
      </c>
      <c r="IH86" s="3">
        <f ca="1">IFERROR(__xludf.DUMMYFUNCTION("""COMPUTED_VALUE"""),-0.59307897869744)</f>
        <v>-0.59307897869743997</v>
      </c>
      <c r="II86" s="3">
        <f ca="1">IFERROR(__xludf.DUMMYFUNCTION("""COMPUTED_VALUE"""),-0.567757176355122)</f>
        <v>-0.56775717635512202</v>
      </c>
      <c r="IJ86" s="3">
        <f ca="1">IFERROR(__xludf.DUMMYFUNCTION("""COMPUTED_VALUE"""),-0.548824819465751)</f>
        <v>-0.54882481946575101</v>
      </c>
      <c r="IK86" s="3">
        <f ca="1">IFERROR(__xludf.DUMMYFUNCTION("""COMPUTED_VALUE"""),-0.560600508479448)</f>
        <v>-0.56060050847944798</v>
      </c>
      <c r="IL86" s="3">
        <f ca="1">IFERROR(__xludf.DUMMYFUNCTION("""COMPUTED_VALUE"""),-0.541646536137691)</f>
        <v>-0.54164653613769098</v>
      </c>
      <c r="IM86" s="3">
        <f ca="1">IFERROR(__xludf.DUMMYFUNCTION("""COMPUTED_VALUE"""),-0.450462117110456)</f>
        <v>-0.45046211711045597</v>
      </c>
      <c r="IN86" s="3">
        <f ca="1">IFERROR(__xludf.DUMMYFUNCTION("""COMPUTED_VALUE"""),-0.489969916236305)</f>
        <v>-0.48996991623630498</v>
      </c>
      <c r="IO86" s="3">
        <f ca="1">IFERROR(__xludf.DUMMYFUNCTION("""COMPUTED_VALUE"""),-0.500906251336606)</f>
        <v>-0.50090625133660605</v>
      </c>
      <c r="IP86" s="3">
        <f ca="1">IFERROR(__xludf.DUMMYFUNCTION("""COMPUTED_VALUE"""),-0.540033670903577)</f>
        <v>-0.54003367090357701</v>
      </c>
      <c r="IQ86" s="3">
        <f ca="1">IFERROR(__xludf.DUMMYFUNCTION("""COMPUTED_VALUE"""),-0.599007561114977)</f>
        <v>-0.59900756111497699</v>
      </c>
      <c r="IR86" s="3">
        <f ca="1">IFERROR(__xludf.DUMMYFUNCTION("""COMPUTED_VALUE"""),-0.499159415930677)</f>
        <v>-0.49915941593067698</v>
      </c>
      <c r="IS86" s="3">
        <f ca="1">IFERROR(__xludf.DUMMYFUNCTION("""COMPUTED_VALUE"""),-0.489797672676883)</f>
        <v>-0.48979767267688301</v>
      </c>
      <c r="IT86" s="3">
        <f ca="1">IFERROR(__xludf.DUMMYFUNCTION("""COMPUTED_VALUE"""),-0.478341157153081)</f>
        <v>-0.47834115715308101</v>
      </c>
      <c r="IU86" s="3">
        <f ca="1">IFERROR(__xludf.DUMMYFUNCTION("""COMPUTED_VALUE"""),-0.487899708219265)</f>
        <v>-0.48789970821926498</v>
      </c>
      <c r="IV86" s="3">
        <f ca="1">IFERROR(__xludf.DUMMYFUNCTION("""COMPUTED_VALUE"""),-0.56467651743175)</f>
        <v>-0.56467651743174996</v>
      </c>
      <c r="IW86" s="3">
        <f ca="1">IFERROR(__xludf.DUMMYFUNCTION("""COMPUTED_VALUE"""),-0.491204796673178)</f>
        <v>-0.49120479667317801</v>
      </c>
      <c r="IX86" s="3">
        <f ca="1">IFERROR(__xludf.DUMMYFUNCTION("""COMPUTED_VALUE"""),-0.513040788385578)</f>
        <v>-0.51304078838557798</v>
      </c>
      <c r="IY86" s="3">
        <f ca="1">IFERROR(__xludf.DUMMYFUNCTION("""COMPUTED_VALUE"""),-0.535458151909146)</f>
        <v>-0.53545815190914603</v>
      </c>
      <c r="IZ86" s="3">
        <f ca="1">IFERROR(__xludf.DUMMYFUNCTION("""COMPUTED_VALUE"""),-0.526112731767398)</f>
        <v>-0.52611273176739803</v>
      </c>
      <c r="JA86" s="3">
        <f ca="1">IFERROR(__xludf.DUMMYFUNCTION("""COMPUTED_VALUE"""),-0.543397818236294)</f>
        <v>-0.54339781823629396</v>
      </c>
      <c r="JB86" s="3">
        <f ca="1">IFERROR(__xludf.DUMMYFUNCTION("""COMPUTED_VALUE"""),-0.539344468080016)</f>
        <v>-0.53934446808001602</v>
      </c>
      <c r="JC86" s="3">
        <f ca="1">IFERROR(__xludf.DUMMYFUNCTION("""COMPUTED_VALUE"""),-0.573554401181665)</f>
        <v>-0.57355440118166501</v>
      </c>
      <c r="JD86" s="3">
        <f ca="1">IFERROR(__xludf.DUMMYFUNCTION("""COMPUTED_VALUE"""),-0.532965646616365)</f>
        <v>-0.53296564661636503</v>
      </c>
      <c r="JE86" s="3">
        <f ca="1">IFERROR(__xludf.DUMMYFUNCTION("""COMPUTED_VALUE"""),-0.49864801974084)</f>
        <v>-0.49864801974084</v>
      </c>
      <c r="JF86" s="3">
        <f ca="1">IFERROR(__xludf.DUMMYFUNCTION("""COMPUTED_VALUE"""),-0.563970123288632)</f>
        <v>-0.56397012328863205</v>
      </c>
      <c r="JG86" s="3">
        <f ca="1">IFERROR(__xludf.DUMMYFUNCTION("""COMPUTED_VALUE"""),-0.530609467926566)</f>
        <v>-0.53060946792656605</v>
      </c>
      <c r="JH86" s="3">
        <f ca="1">IFERROR(__xludf.DUMMYFUNCTION("""COMPUTED_VALUE"""),-0.572063447779757)</f>
        <v>-0.57206344777975704</v>
      </c>
      <c r="JI86" s="3">
        <f ca="1">IFERROR(__xludf.DUMMYFUNCTION("""COMPUTED_VALUE"""),-0.542761387490136)</f>
        <v>-0.54276138749013603</v>
      </c>
      <c r="JJ86" s="3">
        <f ca="1">IFERROR(__xludf.DUMMYFUNCTION("""COMPUTED_VALUE"""),-0.540864083942967)</f>
        <v>-0.54086408394296703</v>
      </c>
      <c r="JK86" s="3">
        <f ca="1">IFERROR(__xludf.DUMMYFUNCTION("""COMPUTED_VALUE"""),-0.566306709833617)</f>
        <v>-0.56630670983361697</v>
      </c>
      <c r="JL86" s="3">
        <f ca="1">IFERROR(__xludf.DUMMYFUNCTION("""COMPUTED_VALUE"""),-0.599452669834918)</f>
        <v>-0.59945266983491796</v>
      </c>
      <c r="JM86" s="3">
        <f ca="1">IFERROR(__xludf.DUMMYFUNCTION("""COMPUTED_VALUE"""),-0.558569150270163)</f>
        <v>-0.55856915027016296</v>
      </c>
      <c r="JN86" s="3">
        <f ca="1">IFERROR(__xludf.DUMMYFUNCTION("""COMPUTED_VALUE"""),-0.614738896715501)</f>
        <v>-0.61473889671550097</v>
      </c>
      <c r="JO86" s="3">
        <f ca="1">IFERROR(__xludf.DUMMYFUNCTION("""COMPUTED_VALUE"""),-0.588005324985413)</f>
        <v>-0.58800532498541302</v>
      </c>
      <c r="JP86" s="3">
        <f ca="1">IFERROR(__xludf.DUMMYFUNCTION("""COMPUTED_VALUE"""),-0.543072104590009)</f>
        <v>-0.54307210459000899</v>
      </c>
      <c r="JQ86" s="3">
        <f ca="1">IFERROR(__xludf.DUMMYFUNCTION("""COMPUTED_VALUE"""),-0.549575505286786)</f>
        <v>-0.549575505286786</v>
      </c>
      <c r="JR86" s="3">
        <f ca="1">IFERROR(__xludf.DUMMYFUNCTION("""COMPUTED_VALUE"""),-0.555882496263143)</f>
        <v>-0.55588249626314301</v>
      </c>
      <c r="JS86" s="3">
        <f ca="1">IFERROR(__xludf.DUMMYFUNCTION("""COMPUTED_VALUE"""),-0.594769448903816)</f>
        <v>-0.594769448903816</v>
      </c>
      <c r="JT86" s="3">
        <f ca="1">IFERROR(__xludf.DUMMYFUNCTION("""COMPUTED_VALUE"""),-0.557101961373629)</f>
        <v>-0.557101961373629</v>
      </c>
      <c r="JU86" s="3">
        <f ca="1">IFERROR(__xludf.DUMMYFUNCTION("""COMPUTED_VALUE"""),-0.700788006547212)</f>
        <v>-0.70078800654721196</v>
      </c>
      <c r="JV86" s="3">
        <f ca="1">IFERROR(__xludf.DUMMYFUNCTION("""COMPUTED_VALUE"""),-0.549054764526707)</f>
        <v>-0.54905476452670698</v>
      </c>
      <c r="JW86" s="3">
        <f ca="1">IFERROR(__xludf.DUMMYFUNCTION("""COMPUTED_VALUE"""),-0.535589791168829)</f>
        <v>-0.53558979116882899</v>
      </c>
      <c r="JX86" s="3">
        <f ca="1">IFERROR(__xludf.DUMMYFUNCTION("""COMPUTED_VALUE"""),-0.507272342774825)</f>
        <v>-0.50727234277482502</v>
      </c>
      <c r="JY86" s="3">
        <f ca="1">IFERROR(__xludf.DUMMYFUNCTION("""COMPUTED_VALUE"""),-0.694144679147226)</f>
        <v>-0.694144679147226</v>
      </c>
      <c r="JZ86" s="3">
        <f ca="1">IFERROR(__xludf.DUMMYFUNCTION("""COMPUTED_VALUE"""),-0.5150890486205)</f>
        <v>-0.51508904862049998</v>
      </c>
      <c r="KA86" s="3">
        <f ca="1">IFERROR(__xludf.DUMMYFUNCTION("""COMPUTED_VALUE"""),-0.521791697599715)</f>
        <v>-0.521791697599715</v>
      </c>
      <c r="KB86" s="3">
        <f ca="1">IFERROR(__xludf.DUMMYFUNCTION("""COMPUTED_VALUE"""),-0.660611752773304)</f>
        <v>-0.66061175277330397</v>
      </c>
      <c r="KC86" s="3">
        <f ca="1">IFERROR(__xludf.DUMMYFUNCTION("""COMPUTED_VALUE"""),-0.551040605122855)</f>
        <v>-0.55104060512285502</v>
      </c>
      <c r="KD86" s="3">
        <f ca="1">IFERROR(__xludf.DUMMYFUNCTION("""COMPUTED_VALUE"""),-0.469014913402196)</f>
        <v>-0.46901491340219598</v>
      </c>
      <c r="KE86" s="3">
        <f ca="1">IFERROR(__xludf.DUMMYFUNCTION("""COMPUTED_VALUE"""),-0.50081551325074)</f>
        <v>-0.50081551325074003</v>
      </c>
      <c r="KF86" s="3">
        <f ca="1">IFERROR(__xludf.DUMMYFUNCTION("""COMPUTED_VALUE"""),-0.730679368252859)</f>
        <v>-0.73067936825285895</v>
      </c>
      <c r="KG86" s="3">
        <f ca="1">IFERROR(__xludf.DUMMYFUNCTION("""COMPUTED_VALUE"""),-0.506113256438733)</f>
        <v>-0.50611325643873295</v>
      </c>
      <c r="KH86" s="3">
        <f ca="1">IFERROR(__xludf.DUMMYFUNCTION("""COMPUTED_VALUE"""),-0.384443494452043)</f>
        <v>-0.38444349445204301</v>
      </c>
      <c r="KI86" s="3">
        <f ca="1">IFERROR(__xludf.DUMMYFUNCTION("""COMPUTED_VALUE"""),-0.577284008772812)</f>
        <v>-0.57728400877281205</v>
      </c>
      <c r="KJ86" s="3">
        <f ca="1">IFERROR(__xludf.DUMMYFUNCTION("""COMPUTED_VALUE"""),-0.430381255639575)</f>
        <v>-0.43038125563957502</v>
      </c>
      <c r="KK86" s="3">
        <f ca="1">IFERROR(__xludf.DUMMYFUNCTION("""COMPUTED_VALUE"""),-0.603088065571799)</f>
        <v>-0.60308806557179895</v>
      </c>
      <c r="KL86" s="3">
        <f ca="1">IFERROR(__xludf.DUMMYFUNCTION("""COMPUTED_VALUE"""),-0.599189017769172)</f>
        <v>-0.59918901776917199</v>
      </c>
      <c r="KM86" s="3">
        <f ca="1">IFERROR(__xludf.DUMMYFUNCTION("""COMPUTED_VALUE"""),-0.65083288383907)</f>
        <v>-0.65083288383907001</v>
      </c>
      <c r="KN86" s="3">
        <f ca="1">IFERROR(__xludf.DUMMYFUNCTION("""COMPUTED_VALUE"""),-0.552776639883683)</f>
        <v>-0.55277663988368297</v>
      </c>
      <c r="KO86" s="3">
        <f ca="1">IFERROR(__xludf.DUMMYFUNCTION("""COMPUTED_VALUE"""),-0.539916152071339)</f>
        <v>-0.53991615207133903</v>
      </c>
      <c r="KP86" s="3">
        <f ca="1">IFERROR(__xludf.DUMMYFUNCTION("""COMPUTED_VALUE"""),-0.616842423900966)</f>
        <v>-0.616842423900966</v>
      </c>
      <c r="KQ86" s="3">
        <f ca="1">IFERROR(__xludf.DUMMYFUNCTION("""COMPUTED_VALUE"""),-0.607399989104035)</f>
        <v>-0.60739998910403503</v>
      </c>
      <c r="KR86" s="3">
        <f ca="1">IFERROR(__xludf.DUMMYFUNCTION("""COMPUTED_VALUE"""),-0.662893869030974)</f>
        <v>-0.66289386903097403</v>
      </c>
      <c r="KS86" s="3">
        <f ca="1">IFERROR(__xludf.DUMMYFUNCTION("""COMPUTED_VALUE"""),-0.700862934680299)</f>
        <v>-0.70086293468029903</v>
      </c>
      <c r="KT86" s="3">
        <f ca="1">IFERROR(__xludf.DUMMYFUNCTION("""COMPUTED_VALUE"""),-0.642368119549437)</f>
        <v>-0.64236811954943696</v>
      </c>
      <c r="KU86" s="3">
        <f ca="1">IFERROR(__xludf.DUMMYFUNCTION("""COMPUTED_VALUE"""),-0.641048916130347)</f>
        <v>-0.64104891613034698</v>
      </c>
      <c r="KV86" s="3">
        <f ca="1">IFERROR(__xludf.DUMMYFUNCTION("""COMPUTED_VALUE"""),-0.647990252948896)</f>
        <v>-0.64799025294889601</v>
      </c>
      <c r="KW86" s="3">
        <f ca="1">IFERROR(__xludf.DUMMYFUNCTION("""COMPUTED_VALUE"""),-0.594328182618444)</f>
        <v>-0.594328182618444</v>
      </c>
      <c r="KX86" s="3">
        <f ca="1">IFERROR(__xludf.DUMMYFUNCTION("""COMPUTED_VALUE"""),-0.658130759620789)</f>
        <v>-0.65813075962078904</v>
      </c>
      <c r="KY86" s="3">
        <f ca="1">IFERROR(__xludf.DUMMYFUNCTION("""COMPUTED_VALUE"""),-0.685511061848249)</f>
        <v>-0.68551106184824895</v>
      </c>
      <c r="KZ86" s="3">
        <f ca="1">IFERROR(__xludf.DUMMYFUNCTION("""COMPUTED_VALUE"""),-0.684306232289111)</f>
        <v>-0.68430623228911103</v>
      </c>
      <c r="LA86" s="3">
        <f ca="1">IFERROR(__xludf.DUMMYFUNCTION("""COMPUTED_VALUE"""),-0.697414715178436)</f>
        <v>-0.69741471517843601</v>
      </c>
      <c r="LB86" s="3">
        <f ca="1">IFERROR(__xludf.DUMMYFUNCTION("""COMPUTED_VALUE"""),-0.675244862363879)</f>
        <v>-0.67524486236387904</v>
      </c>
      <c r="LC86" s="3">
        <f ca="1">IFERROR(__xludf.DUMMYFUNCTION("""COMPUTED_VALUE"""),-0.626960556049827)</f>
        <v>-0.62696055604982703</v>
      </c>
      <c r="LD86" s="3">
        <f ca="1">IFERROR(__xludf.DUMMYFUNCTION("""COMPUTED_VALUE"""),-0.649136270311841)</f>
        <v>-0.64913627031184096</v>
      </c>
      <c r="LE86" s="3">
        <f ca="1">IFERROR(__xludf.DUMMYFUNCTION("""COMPUTED_VALUE"""),-0.684049861453173)</f>
        <v>-0.68404986145317304</v>
      </c>
      <c r="LF86" s="3">
        <f ca="1">IFERROR(__xludf.DUMMYFUNCTION("""COMPUTED_VALUE"""),-0.725443914773256)</f>
        <v>-0.72544391477325598</v>
      </c>
      <c r="LG86" s="3">
        <f ca="1">IFERROR(__xludf.DUMMYFUNCTION("""COMPUTED_VALUE"""),-0.72053945844114)</f>
        <v>-0.72053945844113998</v>
      </c>
      <c r="LH86" s="3">
        <f ca="1">IFERROR(__xludf.DUMMYFUNCTION("""COMPUTED_VALUE"""),-0.71428318436927)</f>
        <v>-0.71428318436926996</v>
      </c>
      <c r="LI86" s="3">
        <f ca="1">IFERROR(__xludf.DUMMYFUNCTION("""COMPUTED_VALUE"""),-0.70563726313593)</f>
        <v>-0.70563726313593</v>
      </c>
      <c r="LJ86" s="3">
        <f ca="1">IFERROR(__xludf.DUMMYFUNCTION("""COMPUTED_VALUE"""),-0.677155126914518)</f>
        <v>-0.67715512691451796</v>
      </c>
      <c r="LK86" s="3">
        <f ca="1">IFERROR(__xludf.DUMMYFUNCTION("""COMPUTED_VALUE"""),-0.635423052116088)</f>
        <v>-0.63542305211608796</v>
      </c>
      <c r="LL86" s="3">
        <f ca="1">IFERROR(__xludf.DUMMYFUNCTION("""COMPUTED_VALUE"""),-0.730260427285386)</f>
        <v>-0.73026042728538598</v>
      </c>
      <c r="LM86" s="3">
        <f ca="1">IFERROR(__xludf.DUMMYFUNCTION("""COMPUTED_VALUE"""),-0.821950273236992)</f>
        <v>-0.82195027323699199</v>
      </c>
      <c r="LN86" s="3">
        <f ca="1">IFERROR(__xludf.DUMMYFUNCTION("""COMPUTED_VALUE"""),-0.737174882270997)</f>
        <v>-0.73717488227099703</v>
      </c>
      <c r="LO86" s="3">
        <f ca="1">IFERROR(__xludf.DUMMYFUNCTION("""COMPUTED_VALUE"""),-0.664543359929403)</f>
        <v>-0.66454335992940305</v>
      </c>
      <c r="LP86" s="3">
        <f ca="1">IFERROR(__xludf.DUMMYFUNCTION("""COMPUTED_VALUE"""),-0.737674925347631)</f>
        <v>-0.73767492534763102</v>
      </c>
      <c r="LQ86" s="3">
        <f ca="1">IFERROR(__xludf.DUMMYFUNCTION("""COMPUTED_VALUE"""),-0.839338265936659)</f>
        <v>-0.83933826593665894</v>
      </c>
      <c r="LR86" s="3">
        <f ca="1">IFERROR(__xludf.DUMMYFUNCTION("""COMPUTED_VALUE"""),-0.815545981988033)</f>
        <v>-0.81554598198803296</v>
      </c>
      <c r="LS86" s="3">
        <f ca="1">IFERROR(__xludf.DUMMYFUNCTION("""COMPUTED_VALUE"""),-0.746761400044285)</f>
        <v>-0.74676140004428504</v>
      </c>
      <c r="LT86" s="3">
        <f ca="1">IFERROR(__xludf.DUMMYFUNCTION("""COMPUTED_VALUE"""),-0.751454650074059)</f>
        <v>-0.75145465007405898</v>
      </c>
      <c r="LU86" s="3">
        <f ca="1">IFERROR(__xludf.DUMMYFUNCTION("""COMPUTED_VALUE"""),-0.698165144010485)</f>
        <v>-0.69816514401048502</v>
      </c>
      <c r="LV86" s="3">
        <f ca="1">IFERROR(__xludf.DUMMYFUNCTION("""COMPUTED_VALUE"""),-0.691442255811846)</f>
        <v>-0.69144225581184604</v>
      </c>
      <c r="LW86" s="3">
        <f ca="1">IFERROR(__xludf.DUMMYFUNCTION("""COMPUTED_VALUE"""),-0.706886138311242)</f>
        <v>-0.70688613831124203</v>
      </c>
      <c r="LX86" s="3">
        <f ca="1">IFERROR(__xludf.DUMMYFUNCTION("""COMPUTED_VALUE"""),-0.695351035322774)</f>
        <v>-0.69535103532277398</v>
      </c>
      <c r="LY86" s="3">
        <f ca="1">IFERROR(__xludf.DUMMYFUNCTION("""COMPUTED_VALUE"""),-0.755745334197959)</f>
        <v>-0.75574533419795897</v>
      </c>
      <c r="LZ86" s="3">
        <f ca="1">IFERROR(__xludf.DUMMYFUNCTION("""COMPUTED_VALUE"""),-0.692432147782546)</f>
        <v>-0.69243214778254603</v>
      </c>
      <c r="MA86" s="3">
        <f ca="1">IFERROR(__xludf.DUMMYFUNCTION("""COMPUTED_VALUE"""),-0.809799663340333)</f>
        <v>-0.80979966334033304</v>
      </c>
      <c r="MB86" s="3">
        <f ca="1">IFERROR(__xludf.DUMMYFUNCTION("""COMPUTED_VALUE"""),-0.743316159266661)</f>
        <v>-0.74331615926666095</v>
      </c>
      <c r="MC86" s="3">
        <f ca="1">IFERROR(__xludf.DUMMYFUNCTION("""COMPUTED_VALUE"""),-0.735206090790743)</f>
        <v>-0.73520609079074295</v>
      </c>
      <c r="MD86" s="3">
        <f ca="1">IFERROR(__xludf.DUMMYFUNCTION("""COMPUTED_VALUE"""),-0.77655703221697)</f>
        <v>-0.77655703221697003</v>
      </c>
      <c r="ME86" s="3">
        <f ca="1">IFERROR(__xludf.DUMMYFUNCTION("""COMPUTED_VALUE"""),-0.77079069062154)</f>
        <v>-0.77079069062154004</v>
      </c>
      <c r="MF86" s="3">
        <f ca="1">IFERROR(__xludf.DUMMYFUNCTION("""COMPUTED_VALUE"""),-0.81074123091197)</f>
        <v>-0.81074123091197003</v>
      </c>
      <c r="MG86" s="3">
        <f ca="1">IFERROR(__xludf.DUMMYFUNCTION("""COMPUTED_VALUE"""),-0.7197338905444)</f>
        <v>-0.71973389054439996</v>
      </c>
      <c r="MH86" s="3">
        <f ca="1">IFERROR(__xludf.DUMMYFUNCTION("""COMPUTED_VALUE"""),-0.821010348189131)</f>
        <v>-0.82101034818913099</v>
      </c>
      <c r="MI86" s="3">
        <f ca="1">IFERROR(__xludf.DUMMYFUNCTION("""COMPUTED_VALUE"""),-0.820131372354128)</f>
        <v>-0.82013137235412803</v>
      </c>
      <c r="MJ86" s="3">
        <f ca="1">IFERROR(__xludf.DUMMYFUNCTION("""COMPUTED_VALUE"""),-0.812565941646173)</f>
        <v>-0.81256594164617302</v>
      </c>
      <c r="MK86" s="3">
        <f ca="1">IFERROR(__xludf.DUMMYFUNCTION("""COMPUTED_VALUE"""),-0.78907953650807)</f>
        <v>-0.78907953650806995</v>
      </c>
      <c r="ML86" s="3">
        <f ca="1">IFERROR(__xludf.DUMMYFUNCTION("""COMPUTED_VALUE"""),-0.766873151342773)</f>
        <v>-0.76687315134277301</v>
      </c>
      <c r="MM86" s="3">
        <f ca="1">IFERROR(__xludf.DUMMYFUNCTION("""COMPUTED_VALUE"""),-0.781785718968842)</f>
        <v>-0.78178571896884197</v>
      </c>
      <c r="MN86" s="3">
        <f ca="1">IFERROR(__xludf.DUMMYFUNCTION("""COMPUTED_VALUE"""),-0.750616453432875)</f>
        <v>-0.75061645343287497</v>
      </c>
      <c r="MO86" s="3">
        <f ca="1">IFERROR(__xludf.DUMMYFUNCTION("""COMPUTED_VALUE"""),-0.830847088196547)</f>
        <v>-0.83084708819654696</v>
      </c>
      <c r="MP86" s="3">
        <f ca="1">IFERROR(__xludf.DUMMYFUNCTION("""COMPUTED_VALUE"""),-0.821037085734762)</f>
        <v>-0.82103708573476197</v>
      </c>
      <c r="MQ86" s="3">
        <f ca="1">IFERROR(__xludf.DUMMYFUNCTION("""COMPUTED_VALUE"""),-0.833005678422763)</f>
        <v>-0.83300567842276296</v>
      </c>
      <c r="MR86" s="3">
        <f ca="1">IFERROR(__xludf.DUMMYFUNCTION("""COMPUTED_VALUE"""),-0.81754511426828)</f>
        <v>-0.81754511426828003</v>
      </c>
      <c r="MS86" s="3">
        <f ca="1">IFERROR(__xludf.DUMMYFUNCTION("""COMPUTED_VALUE"""),-0.808003910938453)</f>
        <v>-0.80800391093845303</v>
      </c>
      <c r="MT86" s="3">
        <f ca="1">IFERROR(__xludf.DUMMYFUNCTION("""COMPUTED_VALUE"""),-0.774274078525464)</f>
        <v>-0.77427407852546404</v>
      </c>
      <c r="MU86" s="3">
        <f ca="1">IFERROR(__xludf.DUMMYFUNCTION("""COMPUTED_VALUE"""),-0.738547565549061)</f>
        <v>-0.73854756554906098</v>
      </c>
      <c r="MV86" s="3">
        <f ca="1">IFERROR(__xludf.DUMMYFUNCTION("""COMPUTED_VALUE"""),-0.843256073258346)</f>
        <v>-0.84325607325834595</v>
      </c>
      <c r="MW86" s="3">
        <f ca="1">IFERROR(__xludf.DUMMYFUNCTION("""COMPUTED_VALUE"""),-0.841844740180992)</f>
        <v>-0.84184474018099198</v>
      </c>
      <c r="MX86" s="3">
        <f ca="1">IFERROR(__xludf.DUMMYFUNCTION("""COMPUTED_VALUE"""),-0.848880295377678)</f>
        <v>-0.84888029537767795</v>
      </c>
      <c r="MY86" s="3">
        <f ca="1">IFERROR(__xludf.DUMMYFUNCTION("""COMPUTED_VALUE"""),-0.822407939159386)</f>
        <v>-0.82240793915938604</v>
      </c>
      <c r="MZ86" s="3">
        <f ca="1">IFERROR(__xludf.DUMMYFUNCTION("""COMPUTED_VALUE"""),-0.858793797448407)</f>
        <v>-0.858793797448407</v>
      </c>
      <c r="NA86" s="3">
        <f ca="1">IFERROR(__xludf.DUMMYFUNCTION("""COMPUTED_VALUE"""),-0.776517904565202)</f>
        <v>-0.77651790456520198</v>
      </c>
      <c r="NB86" s="3">
        <f ca="1">IFERROR(__xludf.DUMMYFUNCTION("""COMPUTED_VALUE"""),-0.707843850823624)</f>
        <v>-0.707843850823624</v>
      </c>
      <c r="NC86" s="3">
        <f ca="1">IFERROR(__xludf.DUMMYFUNCTION("""COMPUTED_VALUE"""),-0.825766993318273)</f>
        <v>-0.82576699331827297</v>
      </c>
      <c r="ND86" s="3">
        <f ca="1">IFERROR(__xludf.DUMMYFUNCTION("""COMPUTED_VALUE"""),-0.863682296112173)</f>
        <v>-0.86368229611217295</v>
      </c>
      <c r="NE86" s="3">
        <f ca="1">IFERROR(__xludf.DUMMYFUNCTION("""COMPUTED_VALUE"""),-0.856265776854619)</f>
        <v>-0.85626577685461902</v>
      </c>
      <c r="NF86" s="3">
        <f ca="1">IFERROR(__xludf.DUMMYFUNCTION("""COMPUTED_VALUE"""),-0.857239494647076)</f>
        <v>-0.85723949464707605</v>
      </c>
      <c r="NG86" s="3">
        <f ca="1">IFERROR(__xludf.DUMMYFUNCTION("""COMPUTED_VALUE"""),-0.836687187119386)</f>
        <v>-0.83668718711938606</v>
      </c>
      <c r="NH86" s="3">
        <f ca="1">IFERROR(__xludf.DUMMYFUNCTION("""COMPUTED_VALUE"""),-0.842324799790804)</f>
        <v>-0.84232479979080399</v>
      </c>
      <c r="NI86" s="3">
        <f ca="1">IFERROR(__xludf.DUMMYFUNCTION("""COMPUTED_VALUE"""),-0.741003454339092)</f>
        <v>-0.74100345433909198</v>
      </c>
      <c r="NJ86" s="3">
        <f ca="1">IFERROR(__xludf.DUMMYFUNCTION("""COMPUTED_VALUE"""),-0.867675813902559)</f>
        <v>-0.86767581390255899</v>
      </c>
      <c r="NK86" s="3">
        <f ca="1">IFERROR(__xludf.DUMMYFUNCTION("""COMPUTED_VALUE"""),-0.837024222535833)</f>
        <v>-0.83702422253583297</v>
      </c>
      <c r="NL86" s="3">
        <f ca="1">IFERROR(__xludf.DUMMYFUNCTION("""COMPUTED_VALUE"""),-0.807659373057628)</f>
        <v>-0.80765937305762803</v>
      </c>
      <c r="NM86" s="3">
        <f ca="1">IFERROR(__xludf.DUMMYFUNCTION("""COMPUTED_VALUE"""),-0.827005669670953)</f>
        <v>-0.82700566967095301</v>
      </c>
      <c r="NN86" s="3">
        <f ca="1">IFERROR(__xludf.DUMMYFUNCTION("""COMPUTED_VALUE"""),-0.825473202825538)</f>
        <v>-0.82547320282553804</v>
      </c>
      <c r="NO86" s="3">
        <f ca="1">IFERROR(__xludf.DUMMYFUNCTION("""COMPUTED_VALUE"""),-0.771809405879271)</f>
        <v>-0.77180940587927105</v>
      </c>
      <c r="NP86" s="3">
        <f ca="1">IFERROR(__xludf.DUMMYFUNCTION("""COMPUTED_VALUE"""),-0.758019388806474)</f>
        <v>-0.75801938880647401</v>
      </c>
      <c r="NQ86" s="3">
        <f ca="1">IFERROR(__xludf.DUMMYFUNCTION("""COMPUTED_VALUE"""),-0.836788892949235)</f>
        <v>-0.83678889294923497</v>
      </c>
      <c r="NR86" s="3">
        <f ca="1">IFERROR(__xludf.DUMMYFUNCTION("""COMPUTED_VALUE"""),-0.835125748030136)</f>
        <v>-0.83512574803013595</v>
      </c>
      <c r="NS86" s="3">
        <f ca="1">IFERROR(__xludf.DUMMYFUNCTION("""COMPUTED_VALUE"""),-0.819256437584605)</f>
        <v>-0.81925643758460498</v>
      </c>
      <c r="NT86" s="3">
        <f ca="1">IFERROR(__xludf.DUMMYFUNCTION("""COMPUTED_VALUE"""),-0.794903073774795)</f>
        <v>-0.79490307377479497</v>
      </c>
      <c r="NU86" s="3">
        <f ca="1">IFERROR(__xludf.DUMMYFUNCTION("""COMPUTED_VALUE"""),-0.775584703091552)</f>
        <v>-0.77558470309155203</v>
      </c>
      <c r="NV86" s="3">
        <f ca="1">IFERROR(__xludf.DUMMYFUNCTION("""COMPUTED_VALUE"""),-0.709830625756799)</f>
        <v>-0.70983062575679901</v>
      </c>
      <c r="NW86" s="3">
        <f ca="1">IFERROR(__xludf.DUMMYFUNCTION("""COMPUTED_VALUE"""),-0.620322704352111)</f>
        <v>-0.62032270435211101</v>
      </c>
      <c r="NX86" s="3">
        <f ca="1">IFERROR(__xludf.DUMMYFUNCTION("""COMPUTED_VALUE"""),-0.713561487245337)</f>
        <v>-0.71356148724533697</v>
      </c>
      <c r="NY86" s="3">
        <f ca="1">IFERROR(__xludf.DUMMYFUNCTION("""COMPUTED_VALUE"""),-0.727497261143794)</f>
        <v>-0.72749726114379398</v>
      </c>
      <c r="NZ86" s="3">
        <f ca="1">IFERROR(__xludf.DUMMYFUNCTION("""COMPUTED_VALUE"""),-0.642488739595521)</f>
        <v>-0.642488739595521</v>
      </c>
      <c r="OA86" s="3">
        <f ca="1">IFERROR(__xludf.DUMMYFUNCTION("""COMPUTED_VALUE"""),-0.631235846124284)</f>
        <v>-0.63123584612428396</v>
      </c>
      <c r="OB86" s="3">
        <f ca="1">IFERROR(__xludf.DUMMYFUNCTION("""COMPUTED_VALUE"""),-0.524509632496619)</f>
        <v>-0.52450963249661897</v>
      </c>
      <c r="OC86" s="3">
        <f ca="1">IFERROR(__xludf.DUMMYFUNCTION("""COMPUTED_VALUE"""),-0.18481862782342)</f>
        <v>-0.18481862782342001</v>
      </c>
      <c r="OD86" s="3">
        <f ca="1">IFERROR(__xludf.DUMMYFUNCTION("""COMPUTED_VALUE"""),0.0144504409158983)</f>
        <v>1.44504409158983E-2</v>
      </c>
      <c r="OE86" s="3">
        <f ca="1">IFERROR(__xludf.DUMMYFUNCTION("""COMPUTED_VALUE"""),-0.0594789176774005)</f>
        <v>-5.9478917677400503E-2</v>
      </c>
      <c r="OF86" s="3">
        <f ca="1">IFERROR(__xludf.DUMMYFUNCTION("""COMPUTED_VALUE"""),0.119756283621067)</f>
        <v>0.11975628362106699</v>
      </c>
      <c r="OG86" s="3">
        <f ca="1">IFERROR(__xludf.DUMMYFUNCTION("""COMPUTED_VALUE"""),0.213825912978917)</f>
        <v>0.21382591297891701</v>
      </c>
      <c r="OH86" s="3">
        <f ca="1">IFERROR(__xludf.DUMMYFUNCTION("""COMPUTED_VALUE"""),0.111286223011882)</f>
        <v>0.111286223011882</v>
      </c>
      <c r="OI86" s="3">
        <f ca="1">IFERROR(__xludf.DUMMYFUNCTION("""COMPUTED_VALUE"""),0.115029694879044)</f>
        <v>0.11502969487904401</v>
      </c>
      <c r="OJ86" s="3">
        <f ca="1">IFERROR(__xludf.DUMMYFUNCTION("""COMPUTED_VALUE"""),0.075810327829793)</f>
        <v>7.5810327829792995E-2</v>
      </c>
      <c r="OK86" s="3">
        <f ca="1">IFERROR(__xludf.DUMMYFUNCTION("""COMPUTED_VALUE"""),0.187651432663049)</f>
        <v>0.18765143266304901</v>
      </c>
      <c r="OL86" s="3">
        <f ca="1">IFERROR(__xludf.DUMMYFUNCTION("""COMPUTED_VALUE"""),-0.088302221229081)</f>
        <v>-8.8302221229081004E-2</v>
      </c>
      <c r="OM86" s="3">
        <f ca="1">IFERROR(__xludf.DUMMYFUNCTION("""COMPUTED_VALUE"""),-0.0350259385462298)</f>
        <v>-3.5025938546229797E-2</v>
      </c>
      <c r="ON86" s="3">
        <f ca="1">IFERROR(__xludf.DUMMYFUNCTION("""COMPUTED_VALUE"""),-0.0830991924032293)</f>
        <v>-8.3099192403229299E-2</v>
      </c>
      <c r="OO86" s="3">
        <f ca="1">IFERROR(__xludf.DUMMYFUNCTION("""COMPUTED_VALUE"""),0.0221124033172939)</f>
        <v>2.2112403317293899E-2</v>
      </c>
      <c r="OP86" s="3">
        <f ca="1">IFERROR(__xludf.DUMMYFUNCTION("""COMPUTED_VALUE"""),-0.0470124298985513)</f>
        <v>-4.7012429898551297E-2</v>
      </c>
      <c r="OQ86" s="3">
        <f ca="1">IFERROR(__xludf.DUMMYFUNCTION("""COMPUTED_VALUE"""),0.177845447963579)</f>
        <v>0.17784544796357901</v>
      </c>
      <c r="OR86" s="3">
        <f ca="1">IFERROR(__xludf.DUMMYFUNCTION("""COMPUTED_VALUE"""),0.194665272137498)</f>
        <v>0.19466527213749801</v>
      </c>
      <c r="OS86" s="3">
        <f ca="1">IFERROR(__xludf.DUMMYFUNCTION("""COMPUTED_VALUE"""),0.194963348445356)</f>
        <v>0.19496334844535601</v>
      </c>
      <c r="OT86" s="3">
        <f ca="1">IFERROR(__xludf.DUMMYFUNCTION("""COMPUTED_VALUE"""),-0.406307038692439)</f>
        <v>-0.406307038692439</v>
      </c>
      <c r="OU86" s="3">
        <f ca="1">IFERROR(__xludf.DUMMYFUNCTION("""COMPUTED_VALUE"""),0.136331551555391)</f>
        <v>0.13633155155539101</v>
      </c>
      <c r="OV86" s="3">
        <f ca="1">IFERROR(__xludf.DUMMYFUNCTION("""COMPUTED_VALUE"""),0.0580446256142679)</f>
        <v>5.8044625614267903E-2</v>
      </c>
      <c r="OW86" s="3">
        <f ca="1">IFERROR(__xludf.DUMMYFUNCTION("""COMPUTED_VALUE"""),0.103035229095778)</f>
        <v>0.103035229095778</v>
      </c>
      <c r="OX86" s="3">
        <f ca="1">IFERROR(__xludf.DUMMYFUNCTION("""COMPUTED_VALUE"""),0.155954180512626)</f>
        <v>0.155954180512626</v>
      </c>
      <c r="OY86" s="3">
        <f ca="1">IFERROR(__xludf.DUMMYFUNCTION("""COMPUTED_VALUE"""),0.044273730490205)</f>
        <v>4.4273730490204999E-2</v>
      </c>
      <c r="OZ86" s="3">
        <f ca="1">IFERROR(__xludf.DUMMYFUNCTION("""COMPUTED_VALUE"""),-0.0394209181126797)</f>
        <v>-3.9420918112679698E-2</v>
      </c>
      <c r="PA86" s="3">
        <f ca="1">IFERROR(__xludf.DUMMYFUNCTION("""COMPUTED_VALUE"""),-0.12995047392419)</f>
        <v>-0.12995047392419001</v>
      </c>
      <c r="PB86" s="3">
        <f ca="1">IFERROR(__xludf.DUMMYFUNCTION("""COMPUTED_VALUE"""),0.278988058535996)</f>
        <v>0.27898805853599601</v>
      </c>
      <c r="PC86" s="3">
        <f ca="1">IFERROR(__xludf.DUMMYFUNCTION("""COMPUTED_VALUE"""),0.0292517394943296)</f>
        <v>2.92517394943296E-2</v>
      </c>
      <c r="PD86" s="3">
        <f ca="1">IFERROR(__xludf.DUMMYFUNCTION("""COMPUTED_VALUE"""),0.108293502160225)</f>
        <v>0.108293502160225</v>
      </c>
      <c r="PE86" s="3">
        <f ca="1">IFERROR(__xludf.DUMMYFUNCTION("""COMPUTED_VALUE"""),-0.0145253945088487)</f>
        <v>-1.45253945088487E-2</v>
      </c>
      <c r="PF86" s="3">
        <f ca="1">IFERROR(__xludf.DUMMYFUNCTION("""COMPUTED_VALUE"""),0.0593481041879004)</f>
        <v>5.9348104187900402E-2</v>
      </c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</row>
    <row r="87" spans="1:594" ht="13">
      <c r="A87" s="1" t="str">
        <f ca="1">IFERROR(__xludf.DUMMYFUNCTION("""COMPUTED_VALUE"""),"Vancouver")</f>
        <v>Vancouver</v>
      </c>
      <c r="B87" s="3">
        <f ca="1">IFERROR(__xludf.DUMMYFUNCTION("""COMPUTED_VALUE"""),-0.601328821757365)</f>
        <v>-0.60132882175736502</v>
      </c>
      <c r="C87" s="3">
        <f ca="1">IFERROR(__xludf.DUMMYFUNCTION("""COMPUTED_VALUE"""),-0.600739240921587)</f>
        <v>-0.60073924092158704</v>
      </c>
      <c r="D87" s="3">
        <f ca="1">IFERROR(__xludf.DUMMYFUNCTION("""COMPUTED_VALUE"""),-0.573237366483331)</f>
        <v>-0.57323736648333101</v>
      </c>
      <c r="E87" s="3">
        <f ca="1">IFERROR(__xludf.DUMMYFUNCTION("""COMPUTED_VALUE"""),-0.589700882660763)</f>
        <v>-0.58970088266076304</v>
      </c>
      <c r="F87" s="3">
        <f ca="1">IFERROR(__xludf.DUMMYFUNCTION("""COMPUTED_VALUE"""),-0.566646854768652)</f>
        <v>-0.56664685476865195</v>
      </c>
      <c r="G87" s="3">
        <f ca="1">IFERROR(__xludf.DUMMYFUNCTION("""COMPUTED_VALUE"""),-0.591688339031212)</f>
        <v>-0.59168833903121199</v>
      </c>
      <c r="H87" s="3">
        <f ca="1">IFERROR(__xludf.DUMMYFUNCTION("""COMPUTED_VALUE"""),-0.598778307449391)</f>
        <v>-0.59877830744939098</v>
      </c>
      <c r="I87" s="3">
        <f ca="1">IFERROR(__xludf.DUMMYFUNCTION("""COMPUTED_VALUE"""),-0.621556485203846)</f>
        <v>-0.62155648520384599</v>
      </c>
      <c r="J87" s="3">
        <f ca="1">IFERROR(__xludf.DUMMYFUNCTION("""COMPUTED_VALUE"""),-0.620591127949196)</f>
        <v>-0.62059112794919602</v>
      </c>
      <c r="K87" s="3">
        <f ca="1">IFERROR(__xludf.DUMMYFUNCTION("""COMPUTED_VALUE"""),-0.571615151681348)</f>
        <v>-0.57161515168134802</v>
      </c>
      <c r="L87" s="3">
        <f ca="1">IFERROR(__xludf.DUMMYFUNCTION("""COMPUTED_VALUE"""),-0.579299070675157)</f>
        <v>-0.57929907067515696</v>
      </c>
      <c r="M87" s="3">
        <f ca="1">IFERROR(__xludf.DUMMYFUNCTION("""COMPUTED_VALUE"""),-0.576096845831359)</f>
        <v>-0.57609684583135901</v>
      </c>
      <c r="N87" s="3">
        <f ca="1">IFERROR(__xludf.DUMMYFUNCTION("""COMPUTED_VALUE"""),-0.555913859302583)</f>
        <v>-0.55591385930258297</v>
      </c>
      <c r="O87" s="3">
        <f ca="1">IFERROR(__xludf.DUMMYFUNCTION("""COMPUTED_VALUE"""),-0.613943628739311)</f>
        <v>-0.61394362873931096</v>
      </c>
      <c r="P87" s="3">
        <f ca="1">IFERROR(__xludf.DUMMYFUNCTION("""COMPUTED_VALUE"""),-0.575806018017118)</f>
        <v>-0.57580601801711795</v>
      </c>
      <c r="Q87" s="3">
        <f ca="1">IFERROR(__xludf.DUMMYFUNCTION("""COMPUTED_VALUE"""),-0.577892751144578)</f>
        <v>-0.57789275114457805</v>
      </c>
      <c r="R87" s="3">
        <f ca="1">IFERROR(__xludf.DUMMYFUNCTION("""COMPUTED_VALUE"""),-0.581331928095337)</f>
        <v>-0.58133192809533696</v>
      </c>
      <c r="S87" s="3">
        <f ca="1">IFERROR(__xludf.DUMMYFUNCTION("""COMPUTED_VALUE"""),-0.625419274703231)</f>
        <v>-0.625419274703231</v>
      </c>
      <c r="T87" s="3">
        <f ca="1">IFERROR(__xludf.DUMMYFUNCTION("""COMPUTED_VALUE"""),-0.598821591080264)</f>
        <v>-0.598821591080264</v>
      </c>
      <c r="U87" s="3">
        <f ca="1">IFERROR(__xludf.DUMMYFUNCTION("""COMPUTED_VALUE"""),-0.572059516674466)</f>
        <v>-0.57205951667446597</v>
      </c>
      <c r="V87" s="3">
        <f ca="1">IFERROR(__xludf.DUMMYFUNCTION("""COMPUTED_VALUE"""),-0.614903633492371)</f>
        <v>-0.61490363349237098</v>
      </c>
      <c r="W87" s="3">
        <f ca="1">IFERROR(__xludf.DUMMYFUNCTION("""COMPUTED_VALUE"""),-0.581688489635526)</f>
        <v>-0.581688489635526</v>
      </c>
      <c r="X87" s="3">
        <f ca="1">IFERROR(__xludf.DUMMYFUNCTION("""COMPUTED_VALUE"""),-0.585947206930807)</f>
        <v>-0.58594720693080704</v>
      </c>
      <c r="Y87" s="3">
        <f ca="1">IFERROR(__xludf.DUMMYFUNCTION("""COMPUTED_VALUE"""),-0.601481432997246)</f>
        <v>-0.60148143299724599</v>
      </c>
      <c r="Z87" s="3">
        <f ca="1">IFERROR(__xludf.DUMMYFUNCTION("""COMPUTED_VALUE"""),-0.586881382094311)</f>
        <v>-0.58688138209431095</v>
      </c>
      <c r="AA87" s="3">
        <f ca="1">IFERROR(__xludf.DUMMYFUNCTION("""COMPUTED_VALUE"""),-0.571244180130247)</f>
        <v>-0.57124418013024703</v>
      </c>
      <c r="AB87" s="3">
        <f ca="1">IFERROR(__xludf.DUMMYFUNCTION("""COMPUTED_VALUE"""),-0.555047557268243)</f>
        <v>-0.55504755726824295</v>
      </c>
      <c r="AC87" s="3">
        <f ca="1">IFERROR(__xludf.DUMMYFUNCTION("""COMPUTED_VALUE"""),-0.60912805998489)</f>
        <v>-0.60912805998488995</v>
      </c>
      <c r="AD87" s="3">
        <f ca="1">IFERROR(__xludf.DUMMYFUNCTION("""COMPUTED_VALUE"""),-0.542724144464625)</f>
        <v>-0.54272414446462502</v>
      </c>
      <c r="AE87" s="3">
        <f ca="1">IFERROR(__xludf.DUMMYFUNCTION("""COMPUTED_VALUE"""),-0.577628379243168)</f>
        <v>-0.57762837924316801</v>
      </c>
      <c r="AF87" s="3">
        <f ca="1">IFERROR(__xludf.DUMMYFUNCTION("""COMPUTED_VALUE"""),-0.585764577214927)</f>
        <v>-0.58576457721492703</v>
      </c>
      <c r="AG87" s="3">
        <f ca="1">IFERROR(__xludf.DUMMYFUNCTION("""COMPUTED_VALUE"""),-0.588611635437169)</f>
        <v>-0.58861163543716899</v>
      </c>
      <c r="AH87" s="3">
        <f ca="1">IFERROR(__xludf.DUMMYFUNCTION("""COMPUTED_VALUE"""),-0.606982009862951)</f>
        <v>-0.60698200986295103</v>
      </c>
      <c r="AI87" s="3">
        <f ca="1">IFERROR(__xludf.DUMMYFUNCTION("""COMPUTED_VALUE"""),-0.580620868285316)</f>
        <v>-0.58062086828531601</v>
      </c>
      <c r="AJ87" s="3">
        <f ca="1">IFERROR(__xludf.DUMMYFUNCTION("""COMPUTED_VALUE"""),-0.606705634667513)</f>
        <v>-0.60670563466751304</v>
      </c>
      <c r="AK87" s="3">
        <f ca="1">IFERROR(__xludf.DUMMYFUNCTION("""COMPUTED_VALUE"""),-0.592583289023308)</f>
        <v>-0.59258328902330804</v>
      </c>
      <c r="AL87" s="3">
        <f ca="1">IFERROR(__xludf.DUMMYFUNCTION("""COMPUTED_VALUE"""),-0.591903621001983)</f>
        <v>-0.59190362100198302</v>
      </c>
      <c r="AM87" s="3">
        <f ca="1">IFERROR(__xludf.DUMMYFUNCTION("""COMPUTED_VALUE"""),-0.597818563524593)</f>
        <v>-0.59781856352459295</v>
      </c>
      <c r="AN87" s="3">
        <f ca="1">IFERROR(__xludf.DUMMYFUNCTION("""COMPUTED_VALUE"""),-0.577136303584888)</f>
        <v>-0.57713630358488799</v>
      </c>
      <c r="AO87" s="3">
        <f ca="1">IFERROR(__xludf.DUMMYFUNCTION("""COMPUTED_VALUE"""),-0.575325688476863)</f>
        <v>-0.57532568847686305</v>
      </c>
      <c r="AP87" s="3">
        <f ca="1">IFERROR(__xludf.DUMMYFUNCTION("""COMPUTED_VALUE"""),-0.578698946789009)</f>
        <v>-0.57869894678900902</v>
      </c>
      <c r="AQ87" s="3">
        <f ca="1">IFERROR(__xludf.DUMMYFUNCTION("""COMPUTED_VALUE"""),-0.599525451831596)</f>
        <v>-0.599525451831596</v>
      </c>
      <c r="AR87" s="3">
        <f ca="1">IFERROR(__xludf.DUMMYFUNCTION("""COMPUTED_VALUE"""),-0.573860491592136)</f>
        <v>-0.57386049159213603</v>
      </c>
      <c r="AS87" s="3">
        <f ca="1">IFERROR(__xludf.DUMMYFUNCTION("""COMPUTED_VALUE"""),-0.5675429160019)</f>
        <v>-0.56754291600189999</v>
      </c>
      <c r="AT87" s="3">
        <f ca="1">IFERROR(__xludf.DUMMYFUNCTION("""COMPUTED_VALUE"""),-0.583674785809019)</f>
        <v>-0.58367478580901899</v>
      </c>
      <c r="AU87" s="3">
        <f ca="1">IFERROR(__xludf.DUMMYFUNCTION("""COMPUTED_VALUE"""),-0.576144303561998)</f>
        <v>-0.57614430356199797</v>
      </c>
      <c r="AV87" s="3">
        <f ca="1">IFERROR(__xludf.DUMMYFUNCTION("""COMPUTED_VALUE"""),-0.602359378019452)</f>
        <v>-0.60235937801945205</v>
      </c>
      <c r="AW87" s="3">
        <f ca="1">IFERROR(__xludf.DUMMYFUNCTION("""COMPUTED_VALUE"""),-0.546030209633015)</f>
        <v>-0.54603020963301496</v>
      </c>
      <c r="AX87" s="3">
        <f ca="1">IFERROR(__xludf.DUMMYFUNCTION("""COMPUTED_VALUE"""),-0.625158773714313)</f>
        <v>-0.62515877371431305</v>
      </c>
      <c r="AY87" s="3">
        <f ca="1">IFERROR(__xludf.DUMMYFUNCTION("""COMPUTED_VALUE"""),-0.586968575383171)</f>
        <v>-0.58696857538317104</v>
      </c>
      <c r="AZ87" s="3">
        <f ca="1">IFERROR(__xludf.DUMMYFUNCTION("""COMPUTED_VALUE"""),-0.592769687458328)</f>
        <v>-0.59276968745832803</v>
      </c>
      <c r="BA87" s="3">
        <f ca="1">IFERROR(__xludf.DUMMYFUNCTION("""COMPUTED_VALUE"""),-0.621081343283049)</f>
        <v>-0.62108134328304898</v>
      </c>
      <c r="BB87" s="3">
        <f ca="1">IFERROR(__xludf.DUMMYFUNCTION("""COMPUTED_VALUE"""),-0.567264328928925)</f>
        <v>-0.56726432892892498</v>
      </c>
      <c r="BC87" s="3">
        <f ca="1">IFERROR(__xludf.DUMMYFUNCTION("""COMPUTED_VALUE"""),-0.557051605625051)</f>
        <v>-0.55705160562505096</v>
      </c>
      <c r="BD87" s="3">
        <f ca="1">IFERROR(__xludf.DUMMYFUNCTION("""COMPUTED_VALUE"""),-0.648809370133064)</f>
        <v>-0.64880937013306395</v>
      </c>
      <c r="BE87" s="3">
        <f ca="1">IFERROR(__xludf.DUMMYFUNCTION("""COMPUTED_VALUE"""),-0.599896924098053)</f>
        <v>-0.59989692409805295</v>
      </c>
      <c r="BF87" s="3">
        <f ca="1">IFERROR(__xludf.DUMMYFUNCTION("""COMPUTED_VALUE"""),-0.57835746039981)</f>
        <v>-0.57835746039980995</v>
      </c>
      <c r="BG87" s="3">
        <f ca="1">IFERROR(__xludf.DUMMYFUNCTION("""COMPUTED_VALUE"""),-0.620320239243743)</f>
        <v>-0.62032023924374302</v>
      </c>
      <c r="BH87" s="3">
        <f ca="1">IFERROR(__xludf.DUMMYFUNCTION("""COMPUTED_VALUE"""),-0.619068246611385)</f>
        <v>-0.61906824661138504</v>
      </c>
      <c r="BI87" s="3">
        <f ca="1">IFERROR(__xludf.DUMMYFUNCTION("""COMPUTED_VALUE"""),-0.61585106294709)</f>
        <v>-0.61585106294709002</v>
      </c>
      <c r="BJ87" s="3">
        <f ca="1">IFERROR(__xludf.DUMMYFUNCTION("""COMPUTED_VALUE"""),-0.594569062588396)</f>
        <v>-0.59456906258839604</v>
      </c>
      <c r="BK87" s="3">
        <f ca="1">IFERROR(__xludf.DUMMYFUNCTION("""COMPUTED_VALUE"""),-0.563572009117987)</f>
        <v>-0.56357200911798699</v>
      </c>
      <c r="BL87" s="3">
        <f ca="1">IFERROR(__xludf.DUMMYFUNCTION("""COMPUTED_VALUE"""),-0.563480385599109)</f>
        <v>-0.56348038559910896</v>
      </c>
      <c r="BM87" s="3">
        <f ca="1">IFERROR(__xludf.DUMMYFUNCTION("""COMPUTED_VALUE"""),-0.568903657359841)</f>
        <v>-0.56890365735984105</v>
      </c>
      <c r="BN87" s="3">
        <f ca="1">IFERROR(__xludf.DUMMYFUNCTION("""COMPUTED_VALUE"""),-0.601538448884267)</f>
        <v>-0.601538448884267</v>
      </c>
      <c r="BO87" s="3">
        <f ca="1">IFERROR(__xludf.DUMMYFUNCTION("""COMPUTED_VALUE"""),-0.610380755555321)</f>
        <v>-0.61038075555532101</v>
      </c>
      <c r="BP87" s="3">
        <f ca="1">IFERROR(__xludf.DUMMYFUNCTION("""COMPUTED_VALUE"""),-0.582191768071711)</f>
        <v>-0.58219176807171102</v>
      </c>
      <c r="BQ87" s="3">
        <f ca="1">IFERROR(__xludf.DUMMYFUNCTION("""COMPUTED_VALUE"""),-0.614167413149169)</f>
        <v>-0.61416741314916901</v>
      </c>
      <c r="BR87" s="3">
        <f ca="1">IFERROR(__xludf.DUMMYFUNCTION("""COMPUTED_VALUE"""),-0.614086907771785)</f>
        <v>-0.61408690777178498</v>
      </c>
      <c r="BS87" s="3">
        <f ca="1">IFERROR(__xludf.DUMMYFUNCTION("""COMPUTED_VALUE"""),-0.601492293591956)</f>
        <v>-0.601492293591956</v>
      </c>
      <c r="BT87" s="3">
        <f ca="1">IFERROR(__xludf.DUMMYFUNCTION("""COMPUTED_VALUE"""),-0.602694231482994)</f>
        <v>-0.60269423148299395</v>
      </c>
      <c r="BU87" s="3">
        <f ca="1">IFERROR(__xludf.DUMMYFUNCTION("""COMPUTED_VALUE"""),-0.603555024992642)</f>
        <v>-0.60355502499264202</v>
      </c>
      <c r="BV87" s="3">
        <f ca="1">IFERROR(__xludf.DUMMYFUNCTION("""COMPUTED_VALUE"""),-0.629923725537089)</f>
        <v>-0.62992372553708897</v>
      </c>
      <c r="BW87" s="3">
        <f ca="1">IFERROR(__xludf.DUMMYFUNCTION("""COMPUTED_VALUE"""),-0.6354440237876)</f>
        <v>-0.63544402378760001</v>
      </c>
      <c r="BX87" s="3">
        <f ca="1">IFERROR(__xludf.DUMMYFUNCTION("""COMPUTED_VALUE"""),-0.625009214748814)</f>
        <v>-0.62500921474881399</v>
      </c>
      <c r="BY87" s="3">
        <f ca="1">IFERROR(__xludf.DUMMYFUNCTION("""COMPUTED_VALUE"""),-0.62617107656628)</f>
        <v>-0.62617107656628002</v>
      </c>
      <c r="BZ87" s="3">
        <f ca="1">IFERROR(__xludf.DUMMYFUNCTION("""COMPUTED_VALUE"""),-0.6209599675049)</f>
        <v>-0.62095996750490001</v>
      </c>
      <c r="CA87" s="3">
        <f ca="1">IFERROR(__xludf.DUMMYFUNCTION("""COMPUTED_VALUE"""),-0.562988917163627)</f>
        <v>-0.56298891716362698</v>
      </c>
      <c r="CB87" s="3">
        <f ca="1">IFERROR(__xludf.DUMMYFUNCTION("""COMPUTED_VALUE"""),-0.602230858357333)</f>
        <v>-0.60223085835733303</v>
      </c>
      <c r="CC87" s="3">
        <f ca="1">IFERROR(__xludf.DUMMYFUNCTION("""COMPUTED_VALUE"""),-0.630057331252187)</f>
        <v>-0.63005733125218699</v>
      </c>
      <c r="CD87" s="3">
        <f ca="1">IFERROR(__xludf.DUMMYFUNCTION("""COMPUTED_VALUE"""),-0.627049700422975)</f>
        <v>-0.62704970042297503</v>
      </c>
      <c r="CE87" s="3">
        <f ca="1">IFERROR(__xludf.DUMMYFUNCTION("""COMPUTED_VALUE"""),-0.633047308238617)</f>
        <v>-0.63304730823861699</v>
      </c>
      <c r="CF87" s="3">
        <f ca="1">IFERROR(__xludf.DUMMYFUNCTION("""COMPUTED_VALUE"""),-0.634577207982847)</f>
        <v>-0.634577207982847</v>
      </c>
      <c r="CG87" s="3">
        <f ca="1">IFERROR(__xludf.DUMMYFUNCTION("""COMPUTED_VALUE"""),-0.582991296500622)</f>
        <v>-0.58299129650062198</v>
      </c>
      <c r="CH87" s="3">
        <f ca="1">IFERROR(__xludf.DUMMYFUNCTION("""COMPUTED_VALUE"""),-0.578615212204999)</f>
        <v>-0.57861521220499901</v>
      </c>
      <c r="CI87" s="3">
        <f ca="1">IFERROR(__xludf.DUMMYFUNCTION("""COMPUTED_VALUE"""),-0.624314925895993)</f>
        <v>-0.62431492589599302</v>
      </c>
      <c r="CJ87" s="3">
        <f ca="1">IFERROR(__xludf.DUMMYFUNCTION("""COMPUTED_VALUE"""),-0.642266350435636)</f>
        <v>-0.64226635043563596</v>
      </c>
      <c r="CK87" s="3">
        <f ca="1">IFERROR(__xludf.DUMMYFUNCTION("""COMPUTED_VALUE"""),-0.619279260398259)</f>
        <v>-0.61927926039825898</v>
      </c>
      <c r="CL87" s="3">
        <f ca="1">IFERROR(__xludf.DUMMYFUNCTION("""COMPUTED_VALUE"""),-0.641652059331557)</f>
        <v>-0.641652059331557</v>
      </c>
      <c r="CM87" s="3">
        <f ca="1">IFERROR(__xludf.DUMMYFUNCTION("""COMPUTED_VALUE"""),-0.64114401534317)</f>
        <v>-0.64114401534317</v>
      </c>
      <c r="CN87" s="3">
        <f ca="1">IFERROR(__xludf.DUMMYFUNCTION("""COMPUTED_VALUE"""),-0.571739530685909)</f>
        <v>-0.57173953068590899</v>
      </c>
      <c r="CO87" s="3">
        <f ca="1">IFERROR(__xludf.DUMMYFUNCTION("""COMPUTED_VALUE"""),-0.542265463629555)</f>
        <v>-0.54226546362955497</v>
      </c>
      <c r="CP87" s="3">
        <f ca="1">IFERROR(__xludf.DUMMYFUNCTION("""COMPUTED_VALUE"""),-0.598817452103811)</f>
        <v>-0.59881745210381099</v>
      </c>
      <c r="CQ87" s="3">
        <f ca="1">IFERROR(__xludf.DUMMYFUNCTION("""COMPUTED_VALUE"""),-0.584587610836528)</f>
        <v>-0.58458761083652799</v>
      </c>
      <c r="CR87" s="3">
        <f ca="1">IFERROR(__xludf.DUMMYFUNCTION("""COMPUTED_VALUE"""),-0.570771004810373)</f>
        <v>-0.57077100481037302</v>
      </c>
      <c r="CS87" s="3">
        <f ca="1">IFERROR(__xludf.DUMMYFUNCTION("""COMPUTED_VALUE"""),-0.577968846065616)</f>
        <v>-0.57796884606561605</v>
      </c>
      <c r="CT87" s="3">
        <f ca="1">IFERROR(__xludf.DUMMYFUNCTION("""COMPUTED_VALUE"""),-0.586467559470034)</f>
        <v>-0.58646755947003404</v>
      </c>
      <c r="CU87" s="3">
        <f ca="1">IFERROR(__xludf.DUMMYFUNCTION("""COMPUTED_VALUE"""),-0.566425361405685)</f>
        <v>-0.566425361405685</v>
      </c>
      <c r="CV87" s="3">
        <f ca="1">IFERROR(__xludf.DUMMYFUNCTION("""COMPUTED_VALUE"""),-0.609893338340977)</f>
        <v>-0.60989333834097703</v>
      </c>
      <c r="CW87" s="3">
        <f ca="1">IFERROR(__xludf.DUMMYFUNCTION("""COMPUTED_VALUE"""),-0.683301236712333)</f>
        <v>-0.683301236712333</v>
      </c>
      <c r="CX87" s="3">
        <f ca="1">IFERROR(__xludf.DUMMYFUNCTION("""COMPUTED_VALUE"""),-0.567531181970507)</f>
        <v>-0.567531181970507</v>
      </c>
      <c r="CY87" s="3">
        <f ca="1">IFERROR(__xludf.DUMMYFUNCTION("""COMPUTED_VALUE"""),-0.539208526852163)</f>
        <v>-0.53920852685216303</v>
      </c>
      <c r="CZ87" s="3">
        <f ca="1">IFERROR(__xludf.DUMMYFUNCTION("""COMPUTED_VALUE"""),-0.57074897262403)</f>
        <v>-0.57074897262403002</v>
      </c>
      <c r="DA87" s="3">
        <f ca="1">IFERROR(__xludf.DUMMYFUNCTION("""COMPUTED_VALUE"""),-0.591558160604432)</f>
        <v>-0.591558160604432</v>
      </c>
      <c r="DB87" s="3">
        <f ca="1">IFERROR(__xludf.DUMMYFUNCTION("""COMPUTED_VALUE"""),-0.549590839195698)</f>
        <v>-0.54959083919569796</v>
      </c>
      <c r="DC87" s="3">
        <f ca="1">IFERROR(__xludf.DUMMYFUNCTION("""COMPUTED_VALUE"""),-0.559353908409128)</f>
        <v>-0.55935390840912802</v>
      </c>
      <c r="DD87" s="3">
        <f ca="1">IFERROR(__xludf.DUMMYFUNCTION("""COMPUTED_VALUE"""),-0.76249312100908)</f>
        <v>-0.76249312100907995</v>
      </c>
      <c r="DE87" s="3">
        <f ca="1">IFERROR(__xludf.DUMMYFUNCTION("""COMPUTED_VALUE"""),-0.537493914434743)</f>
        <v>-0.53749391443474304</v>
      </c>
      <c r="DF87" s="3">
        <f ca="1">IFERROR(__xludf.DUMMYFUNCTION("""COMPUTED_VALUE"""),-0.402241706562631)</f>
        <v>-0.40224170656263097</v>
      </c>
      <c r="DG87" s="3">
        <f ca="1">IFERROR(__xludf.DUMMYFUNCTION("""COMPUTED_VALUE"""),-0.475747290661532)</f>
        <v>-0.47574729066153199</v>
      </c>
      <c r="DH87" s="3">
        <f ca="1">IFERROR(__xludf.DUMMYFUNCTION("""COMPUTED_VALUE"""),-0.525841064374626)</f>
        <v>-0.52584106437462597</v>
      </c>
      <c r="DI87" s="3">
        <f ca="1">IFERROR(__xludf.DUMMYFUNCTION("""COMPUTED_VALUE"""),-0.531555689753311)</f>
        <v>-0.53155568975331102</v>
      </c>
      <c r="DJ87" s="3">
        <f ca="1">IFERROR(__xludf.DUMMYFUNCTION("""COMPUTED_VALUE"""),-0.536584503062608)</f>
        <v>-0.53658450306260796</v>
      </c>
      <c r="DK87" s="3">
        <f ca="1">IFERROR(__xludf.DUMMYFUNCTION("""COMPUTED_VALUE"""),-0.527418403222358)</f>
        <v>-0.527418403222358</v>
      </c>
      <c r="DL87" s="3">
        <f ca="1">IFERROR(__xludf.DUMMYFUNCTION("""COMPUTED_VALUE"""),-0.496228399224019)</f>
        <v>-0.49622839922401901</v>
      </c>
      <c r="DM87" s="3">
        <f ca="1">IFERROR(__xludf.DUMMYFUNCTION("""COMPUTED_VALUE"""),-0.464971228754598)</f>
        <v>-0.46497122875459801</v>
      </c>
      <c r="DN87" s="3">
        <f ca="1">IFERROR(__xludf.DUMMYFUNCTION("""COMPUTED_VALUE"""),-0.540252487032582)</f>
        <v>-0.540252487032582</v>
      </c>
      <c r="DO87" s="3">
        <f ca="1">IFERROR(__xludf.DUMMYFUNCTION("""COMPUTED_VALUE"""),-0.547157458083007)</f>
        <v>-0.54715745808300698</v>
      </c>
      <c r="DP87" s="3">
        <f ca="1">IFERROR(__xludf.DUMMYFUNCTION("""COMPUTED_VALUE"""),-0.584760417683746)</f>
        <v>-0.58476041768374598</v>
      </c>
      <c r="DQ87" s="3">
        <f ca="1">IFERROR(__xludf.DUMMYFUNCTION("""COMPUTED_VALUE"""),-0.551683307680855)</f>
        <v>-0.55168330768085505</v>
      </c>
      <c r="DR87" s="3">
        <f ca="1">IFERROR(__xludf.DUMMYFUNCTION("""COMPUTED_VALUE"""),-0.57429653114898)</f>
        <v>-0.57429653114898005</v>
      </c>
      <c r="DS87" s="3">
        <f ca="1">IFERROR(__xludf.DUMMYFUNCTION("""COMPUTED_VALUE"""),-0.554634023036256)</f>
        <v>-0.55463402303625597</v>
      </c>
      <c r="DT87" s="3">
        <f ca="1">IFERROR(__xludf.DUMMYFUNCTION("""COMPUTED_VALUE"""),-0.569519547210538)</f>
        <v>-0.56951954721053799</v>
      </c>
      <c r="DU87" s="3">
        <f ca="1">IFERROR(__xludf.DUMMYFUNCTION("""COMPUTED_VALUE"""),-0.582608475540545)</f>
        <v>-0.58260847554054496</v>
      </c>
      <c r="DV87" s="3">
        <f ca="1">IFERROR(__xludf.DUMMYFUNCTION("""COMPUTED_VALUE"""),-0.579178797070141)</f>
        <v>-0.57917879707014097</v>
      </c>
      <c r="DW87" s="3">
        <f ca="1">IFERROR(__xludf.DUMMYFUNCTION("""COMPUTED_VALUE"""),-0.573399798034697)</f>
        <v>-0.57339979803469698</v>
      </c>
      <c r="DX87" s="3">
        <f ca="1">IFERROR(__xludf.DUMMYFUNCTION("""COMPUTED_VALUE"""),-0.552023143158049)</f>
        <v>-0.55202314315804901</v>
      </c>
      <c r="DY87" s="3">
        <f ca="1">IFERROR(__xludf.DUMMYFUNCTION("""COMPUTED_VALUE"""),-0.552325295211259)</f>
        <v>-0.55232529521125895</v>
      </c>
      <c r="DZ87" s="3">
        <f ca="1">IFERROR(__xludf.DUMMYFUNCTION("""COMPUTED_VALUE"""),-0.543884886106658)</f>
        <v>-0.54388488610665797</v>
      </c>
      <c r="EA87" s="3">
        <f ca="1">IFERROR(__xludf.DUMMYFUNCTION("""COMPUTED_VALUE"""),-0.55220705832333)</f>
        <v>-0.55220705832332995</v>
      </c>
      <c r="EB87" s="3">
        <f ca="1">IFERROR(__xludf.DUMMYFUNCTION("""COMPUTED_VALUE"""),-0.568455981859802)</f>
        <v>-0.56845598185980195</v>
      </c>
      <c r="EC87" s="3">
        <f ca="1">IFERROR(__xludf.DUMMYFUNCTION("""COMPUTED_VALUE"""),-0.553492293909346)</f>
        <v>-0.55349229390934596</v>
      </c>
      <c r="ED87" s="3">
        <f ca="1">IFERROR(__xludf.DUMMYFUNCTION("""COMPUTED_VALUE"""),-0.555709858744458)</f>
        <v>-0.555709858744458</v>
      </c>
      <c r="EE87" s="3">
        <f ca="1">IFERROR(__xludf.DUMMYFUNCTION("""COMPUTED_VALUE"""),-0.553204875084046)</f>
        <v>-0.55320487508404603</v>
      </c>
      <c r="EF87" s="3">
        <f ca="1">IFERROR(__xludf.DUMMYFUNCTION("""COMPUTED_VALUE"""),-0.562059416978685)</f>
        <v>-0.562059416978685</v>
      </c>
      <c r="EG87" s="3">
        <f ca="1">IFERROR(__xludf.DUMMYFUNCTION("""COMPUTED_VALUE"""),-0.548684767719899)</f>
        <v>-0.54868476771989905</v>
      </c>
      <c r="EH87" s="3">
        <f ca="1">IFERROR(__xludf.DUMMYFUNCTION("""COMPUTED_VALUE"""),-0.577732651335777)</f>
        <v>-0.577732651335777</v>
      </c>
      <c r="EI87" s="3">
        <f ca="1">IFERROR(__xludf.DUMMYFUNCTION("""COMPUTED_VALUE"""),-0.605429428487874)</f>
        <v>-0.60542942848787396</v>
      </c>
      <c r="EJ87" s="3">
        <f ca="1">IFERROR(__xludf.DUMMYFUNCTION("""COMPUTED_VALUE"""),-0.574712631732337)</f>
        <v>-0.574712631732337</v>
      </c>
      <c r="EK87" s="3">
        <f ca="1">IFERROR(__xludf.DUMMYFUNCTION("""COMPUTED_VALUE"""),-0.557264774686643)</f>
        <v>-0.55726477468664304</v>
      </c>
      <c r="EL87" s="3">
        <f ca="1">IFERROR(__xludf.DUMMYFUNCTION("""COMPUTED_VALUE"""),-0.555299261022657)</f>
        <v>-0.55529926102265703</v>
      </c>
      <c r="EM87" s="3">
        <f ca="1">IFERROR(__xludf.DUMMYFUNCTION("""COMPUTED_VALUE"""),-0.585514894867255)</f>
        <v>-0.58551489486725505</v>
      </c>
      <c r="EN87" s="3">
        <f ca="1">IFERROR(__xludf.DUMMYFUNCTION("""COMPUTED_VALUE"""),-0.5620084702377)</f>
        <v>-0.56200847023769995</v>
      </c>
      <c r="EO87" s="3">
        <f ca="1">IFERROR(__xludf.DUMMYFUNCTION("""COMPUTED_VALUE"""),-0.588475417329681)</f>
        <v>-0.58847541732968101</v>
      </c>
      <c r="EP87" s="3">
        <f ca="1">IFERROR(__xludf.DUMMYFUNCTION("""COMPUTED_VALUE"""),-0.579200055345721)</f>
        <v>-0.57920005534572105</v>
      </c>
      <c r="EQ87" s="3">
        <f ca="1">IFERROR(__xludf.DUMMYFUNCTION("""COMPUTED_VALUE"""),-0.549868517964699)</f>
        <v>-0.54986851796469904</v>
      </c>
      <c r="ER87" s="3">
        <f ca="1">IFERROR(__xludf.DUMMYFUNCTION("""COMPUTED_VALUE"""),-0.562216290032089)</f>
        <v>-0.56221629003208895</v>
      </c>
      <c r="ES87" s="3">
        <f ca="1">IFERROR(__xludf.DUMMYFUNCTION("""COMPUTED_VALUE"""),-0.554629631164139)</f>
        <v>-0.55462963116413899</v>
      </c>
      <c r="ET87" s="3">
        <f ca="1">IFERROR(__xludf.DUMMYFUNCTION("""COMPUTED_VALUE"""),-0.578683394065916)</f>
        <v>-0.57868339406591596</v>
      </c>
      <c r="EU87" s="3">
        <f ca="1">IFERROR(__xludf.DUMMYFUNCTION("""COMPUTED_VALUE"""),-0.568643353704391)</f>
        <v>-0.56864335370439101</v>
      </c>
      <c r="EV87" s="3">
        <f ca="1">IFERROR(__xludf.DUMMYFUNCTION("""COMPUTED_VALUE"""),-0.623732958871215)</f>
        <v>-0.62373295887121505</v>
      </c>
      <c r="EW87" s="3">
        <f ca="1">IFERROR(__xludf.DUMMYFUNCTION("""COMPUTED_VALUE"""),-0.548293478526015)</f>
        <v>-0.54829347852601495</v>
      </c>
      <c r="EX87" s="3">
        <f ca="1">IFERROR(__xludf.DUMMYFUNCTION("""COMPUTED_VALUE"""),-0.515981101130263)</f>
        <v>-0.51598110113026296</v>
      </c>
      <c r="EY87" s="3">
        <f ca="1">IFERROR(__xludf.DUMMYFUNCTION("""COMPUTED_VALUE"""),-0.505010486516376)</f>
        <v>-0.50501048651637603</v>
      </c>
      <c r="EZ87" s="3">
        <f ca="1">IFERROR(__xludf.DUMMYFUNCTION("""COMPUTED_VALUE"""),-0.489490657697582)</f>
        <v>-0.48949065769758199</v>
      </c>
      <c r="FA87" s="3">
        <f ca="1">IFERROR(__xludf.DUMMYFUNCTION("""COMPUTED_VALUE"""),-0.527156933853977)</f>
        <v>-0.52715693385397699</v>
      </c>
      <c r="FB87" s="3">
        <f ca="1">IFERROR(__xludf.DUMMYFUNCTION("""COMPUTED_VALUE"""),-0.532076982960261)</f>
        <v>-0.53207698296026096</v>
      </c>
      <c r="FC87" s="3">
        <f ca="1">IFERROR(__xludf.DUMMYFUNCTION("""COMPUTED_VALUE"""),-0.534981341354881)</f>
        <v>-0.53498134135488096</v>
      </c>
      <c r="FD87" s="3">
        <f ca="1">IFERROR(__xludf.DUMMYFUNCTION("""COMPUTED_VALUE"""),-0.543736066047577)</f>
        <v>-0.54373606604757696</v>
      </c>
      <c r="FE87" s="3">
        <f ca="1">IFERROR(__xludf.DUMMYFUNCTION("""COMPUTED_VALUE"""),-0.449356474853171)</f>
        <v>-0.44935647485317098</v>
      </c>
      <c r="FF87" s="3">
        <f ca="1">IFERROR(__xludf.DUMMYFUNCTION("""COMPUTED_VALUE"""),-0.475293832218231)</f>
        <v>-0.47529383221823102</v>
      </c>
      <c r="FG87" s="3">
        <f ca="1">IFERROR(__xludf.DUMMYFUNCTION("""COMPUTED_VALUE"""),-0.474623002230548)</f>
        <v>-0.47462300223054799</v>
      </c>
      <c r="FH87" s="3">
        <f ca="1">IFERROR(__xludf.DUMMYFUNCTION("""COMPUTED_VALUE"""),-0.531411769455754)</f>
        <v>-0.53141176945575397</v>
      </c>
      <c r="FI87" s="3">
        <f ca="1">IFERROR(__xludf.DUMMYFUNCTION("""COMPUTED_VALUE"""),-0.521923238943779)</f>
        <v>-0.52192323894377901</v>
      </c>
      <c r="FJ87" s="3">
        <f ca="1">IFERROR(__xludf.DUMMYFUNCTION("""COMPUTED_VALUE"""),-0.518955557386064)</f>
        <v>-0.51895555738606403</v>
      </c>
      <c r="FK87" s="3">
        <f ca="1">IFERROR(__xludf.DUMMYFUNCTION("""COMPUTED_VALUE"""),-0.508413508059413)</f>
        <v>-0.50841350805941299</v>
      </c>
      <c r="FL87" s="3">
        <f ca="1">IFERROR(__xludf.DUMMYFUNCTION("""COMPUTED_VALUE"""),-0.486159567893582)</f>
        <v>-0.486159567893582</v>
      </c>
      <c r="FM87" s="3">
        <f ca="1">IFERROR(__xludf.DUMMYFUNCTION("""COMPUTED_VALUE"""),-0.491317560780363)</f>
        <v>-0.49131756078036298</v>
      </c>
      <c r="FN87" s="3">
        <f ca="1">IFERROR(__xludf.DUMMYFUNCTION("""COMPUTED_VALUE"""),-0.479249665957884)</f>
        <v>-0.47924966595788399</v>
      </c>
      <c r="FO87" s="3">
        <f ca="1">IFERROR(__xludf.DUMMYFUNCTION("""COMPUTED_VALUE"""),-0.576635181639691)</f>
        <v>-0.57663518163969096</v>
      </c>
      <c r="FP87" s="3">
        <f ca="1">IFERROR(__xludf.DUMMYFUNCTION("""COMPUTED_VALUE"""),-0.482955206055336)</f>
        <v>-0.48295520605533598</v>
      </c>
      <c r="FQ87" s="3">
        <f ca="1">IFERROR(__xludf.DUMMYFUNCTION("""COMPUTED_VALUE"""),-0.487357252907638)</f>
        <v>-0.48735725290763798</v>
      </c>
      <c r="FR87" s="3">
        <f ca="1">IFERROR(__xludf.DUMMYFUNCTION("""COMPUTED_VALUE"""),-0.484061623539535)</f>
        <v>-0.48406162353953502</v>
      </c>
      <c r="FS87" s="3">
        <f ca="1">IFERROR(__xludf.DUMMYFUNCTION("""COMPUTED_VALUE"""),-0.423535866578552)</f>
        <v>-0.42353586657855202</v>
      </c>
      <c r="FT87" s="3">
        <f ca="1">IFERROR(__xludf.DUMMYFUNCTION("""COMPUTED_VALUE"""),-0.491429357760476)</f>
        <v>-0.49142935776047603</v>
      </c>
      <c r="FU87" s="3">
        <f ca="1">IFERROR(__xludf.DUMMYFUNCTION("""COMPUTED_VALUE"""),-0.486045841090864)</f>
        <v>-0.48604584109086402</v>
      </c>
      <c r="FV87" s="3">
        <f ca="1">IFERROR(__xludf.DUMMYFUNCTION("""COMPUTED_VALUE"""),-0.523852254456199)</f>
        <v>-0.52385225445619898</v>
      </c>
      <c r="FW87" s="3">
        <f ca="1">IFERROR(__xludf.DUMMYFUNCTION("""COMPUTED_VALUE"""),-0.497263774455065)</f>
        <v>-0.49726377445506498</v>
      </c>
      <c r="FX87" s="3">
        <f ca="1">IFERROR(__xludf.DUMMYFUNCTION("""COMPUTED_VALUE"""),-0.522025679581287)</f>
        <v>-0.52202567958128698</v>
      </c>
      <c r="FY87" s="3">
        <f ca="1">IFERROR(__xludf.DUMMYFUNCTION("""COMPUTED_VALUE"""),-0.507998924468713)</f>
        <v>-0.50799892446871298</v>
      </c>
      <c r="FZ87" s="3">
        <f ca="1">IFERROR(__xludf.DUMMYFUNCTION("""COMPUTED_VALUE"""),-0.539063191479735)</f>
        <v>-0.53906319147973503</v>
      </c>
      <c r="GA87" s="3">
        <f ca="1">IFERROR(__xludf.DUMMYFUNCTION("""COMPUTED_VALUE"""),-0.51668482607828)</f>
        <v>-0.51668482607828004</v>
      </c>
      <c r="GB87" s="3">
        <f ca="1">IFERROR(__xludf.DUMMYFUNCTION("""COMPUTED_VALUE"""),-0.501771723942609)</f>
        <v>-0.50177172394260905</v>
      </c>
      <c r="GC87" s="3">
        <f ca="1">IFERROR(__xludf.DUMMYFUNCTION("""COMPUTED_VALUE"""),-0.505467601846546)</f>
        <v>-0.50546760184654604</v>
      </c>
      <c r="GD87" s="3">
        <f ca="1">IFERROR(__xludf.DUMMYFUNCTION("""COMPUTED_VALUE"""),-0.493406699397804)</f>
        <v>-0.49340669939780402</v>
      </c>
      <c r="GE87" s="3">
        <f ca="1">IFERROR(__xludf.DUMMYFUNCTION("""COMPUTED_VALUE"""),-0.488795998679609)</f>
        <v>-0.48879599867960899</v>
      </c>
      <c r="GF87" s="3">
        <f ca="1">IFERROR(__xludf.DUMMYFUNCTION("""COMPUTED_VALUE"""),-0.472970320758624)</f>
        <v>-0.472970320758624</v>
      </c>
      <c r="GG87" s="3">
        <f ca="1">IFERROR(__xludf.DUMMYFUNCTION("""COMPUTED_VALUE"""),-0.424086790789141)</f>
        <v>-0.42408679078914102</v>
      </c>
      <c r="GH87" s="3">
        <f ca="1">IFERROR(__xludf.DUMMYFUNCTION("""COMPUTED_VALUE"""),-0.472883463212051)</f>
        <v>-0.47288346321205099</v>
      </c>
      <c r="GI87" s="3">
        <f ca="1">IFERROR(__xludf.DUMMYFUNCTION("""COMPUTED_VALUE"""),-0.464968798381246)</f>
        <v>-0.464968798381246</v>
      </c>
      <c r="GJ87" s="3">
        <f ca="1">IFERROR(__xludf.DUMMYFUNCTION("""COMPUTED_VALUE"""),-0.482587240745306)</f>
        <v>-0.48258724074530601</v>
      </c>
      <c r="GK87" s="3">
        <f ca="1">IFERROR(__xludf.DUMMYFUNCTION("""COMPUTED_VALUE"""),-0.480893407976769)</f>
        <v>-0.48089340797676899</v>
      </c>
      <c r="GL87" s="3">
        <f ca="1">IFERROR(__xludf.DUMMYFUNCTION("""COMPUTED_VALUE"""),-0.473320369156629)</f>
        <v>-0.47332036915662901</v>
      </c>
      <c r="GM87" s="3">
        <f ca="1">IFERROR(__xludf.DUMMYFUNCTION("""COMPUTED_VALUE"""),-0.462324012900796)</f>
        <v>-0.462324012900796</v>
      </c>
      <c r="GN87" s="3">
        <f ca="1">IFERROR(__xludf.DUMMYFUNCTION("""COMPUTED_VALUE"""),-0.45126221804366)</f>
        <v>-0.45126221804366001</v>
      </c>
      <c r="GO87" s="3">
        <f ca="1">IFERROR(__xludf.DUMMYFUNCTION("""COMPUTED_VALUE"""),-0.456621295285715)</f>
        <v>-0.45662129528571499</v>
      </c>
      <c r="GP87" s="3">
        <f ca="1">IFERROR(__xludf.DUMMYFUNCTION("""COMPUTED_VALUE"""),-0.505161681148913)</f>
        <v>-0.50516168114891302</v>
      </c>
      <c r="GQ87" s="3">
        <f ca="1">IFERROR(__xludf.DUMMYFUNCTION("""COMPUTED_VALUE"""),-0.526701922012622)</f>
        <v>-0.526701922012622</v>
      </c>
      <c r="GR87" s="3">
        <f ca="1">IFERROR(__xludf.DUMMYFUNCTION("""COMPUTED_VALUE"""),-0.509523812150785)</f>
        <v>-0.50952381215078502</v>
      </c>
      <c r="GS87" s="3">
        <f ca="1">IFERROR(__xludf.DUMMYFUNCTION("""COMPUTED_VALUE"""),-0.529418288924428)</f>
        <v>-0.52941828892442799</v>
      </c>
      <c r="GT87" s="3">
        <f ca="1">IFERROR(__xludf.DUMMYFUNCTION("""COMPUTED_VALUE"""),-0.471732253754635)</f>
        <v>-0.47173225375463501</v>
      </c>
      <c r="GU87" s="3">
        <f ca="1">IFERROR(__xludf.DUMMYFUNCTION("""COMPUTED_VALUE"""),-0.474164722831629)</f>
        <v>-0.47416472283162903</v>
      </c>
      <c r="GV87" s="3">
        <f ca="1">IFERROR(__xludf.DUMMYFUNCTION("""COMPUTED_VALUE"""),-0.441854927204509)</f>
        <v>-0.44185492720450897</v>
      </c>
      <c r="GW87" s="3">
        <f ca="1">IFERROR(__xludf.DUMMYFUNCTION("""COMPUTED_VALUE"""),-0.493275258862074)</f>
        <v>-0.49327525886207402</v>
      </c>
      <c r="GX87" s="3">
        <f ca="1">IFERROR(__xludf.DUMMYFUNCTION("""COMPUTED_VALUE"""),-0.499754942047742)</f>
        <v>-0.49975494204774201</v>
      </c>
      <c r="GY87" s="3">
        <f ca="1">IFERROR(__xludf.DUMMYFUNCTION("""COMPUTED_VALUE"""),-0.481026825987568)</f>
        <v>-0.48102682598756802</v>
      </c>
      <c r="GZ87" s="3">
        <f ca="1">IFERROR(__xludf.DUMMYFUNCTION("""COMPUTED_VALUE"""),-0.481635154171253)</f>
        <v>-0.48163515417125302</v>
      </c>
      <c r="HA87" s="3">
        <f ca="1">IFERROR(__xludf.DUMMYFUNCTION("""COMPUTED_VALUE"""),-0.47239623703924)</f>
        <v>-0.47239623703924</v>
      </c>
      <c r="HB87" s="3">
        <f ca="1">IFERROR(__xludf.DUMMYFUNCTION("""COMPUTED_VALUE"""),-0.457841908526213)</f>
        <v>-0.45784190852621298</v>
      </c>
      <c r="HC87" s="3">
        <f ca="1">IFERROR(__xludf.DUMMYFUNCTION("""COMPUTED_VALUE"""),-0.451822934880973)</f>
        <v>-0.45182293488097303</v>
      </c>
      <c r="HD87" s="3">
        <f ca="1">IFERROR(__xludf.DUMMYFUNCTION("""COMPUTED_VALUE"""),-0.48169674808923)</f>
        <v>-0.48169674808923002</v>
      </c>
      <c r="HE87" s="3">
        <f ca="1">IFERROR(__xludf.DUMMYFUNCTION("""COMPUTED_VALUE"""),-0.466731414417114)</f>
        <v>-0.46673141441711402</v>
      </c>
      <c r="HF87" s="3">
        <f ca="1">IFERROR(__xludf.DUMMYFUNCTION("""COMPUTED_VALUE"""),-0.467470885983603)</f>
        <v>-0.46747088598360298</v>
      </c>
      <c r="HG87" s="3">
        <f ca="1">IFERROR(__xludf.DUMMYFUNCTION("""COMPUTED_VALUE"""),-0.489292271338402)</f>
        <v>-0.48929227133840197</v>
      </c>
      <c r="HH87" s="3">
        <f ca="1">IFERROR(__xludf.DUMMYFUNCTION("""COMPUTED_VALUE"""),-0.499052955481236)</f>
        <v>-0.49905295548123602</v>
      </c>
      <c r="HI87" s="3">
        <f ca="1">IFERROR(__xludf.DUMMYFUNCTION("""COMPUTED_VALUE"""),-0.49868278539596)</f>
        <v>-0.49868278539596</v>
      </c>
      <c r="HJ87" s="3">
        <f ca="1">IFERROR(__xludf.DUMMYFUNCTION("""COMPUTED_VALUE"""),-0.402407773083724)</f>
        <v>-0.402407773083724</v>
      </c>
      <c r="HK87" s="3">
        <f ca="1">IFERROR(__xludf.DUMMYFUNCTION("""COMPUTED_VALUE"""),-0.447673523740253)</f>
        <v>-0.44767352374025299</v>
      </c>
      <c r="HL87" s="3">
        <f ca="1">IFERROR(__xludf.DUMMYFUNCTION("""COMPUTED_VALUE"""),-0.469407595619899)</f>
        <v>-0.46940759561989898</v>
      </c>
      <c r="HM87" s="3">
        <f ca="1">IFERROR(__xludf.DUMMYFUNCTION("""COMPUTED_VALUE"""),-0.493931804178974)</f>
        <v>-0.49393180417897398</v>
      </c>
      <c r="HN87" s="3">
        <f ca="1">IFERROR(__xludf.DUMMYFUNCTION("""COMPUTED_VALUE"""),-0.503608379292505)</f>
        <v>-0.50360837929250502</v>
      </c>
      <c r="HO87" s="3">
        <f ca="1">IFERROR(__xludf.DUMMYFUNCTION("""COMPUTED_VALUE"""),-0.519282942352588)</f>
        <v>-0.51928294235258798</v>
      </c>
      <c r="HP87" s="3">
        <f ca="1">IFERROR(__xludf.DUMMYFUNCTION("""COMPUTED_VALUE"""),-0.460042503529091)</f>
        <v>-0.46004250352909098</v>
      </c>
      <c r="HQ87" s="3">
        <f ca="1">IFERROR(__xludf.DUMMYFUNCTION("""COMPUTED_VALUE"""),-0.431634157239403)</f>
        <v>-0.43163415723940302</v>
      </c>
      <c r="HR87" s="3">
        <f ca="1">IFERROR(__xludf.DUMMYFUNCTION("""COMPUTED_VALUE"""),-0.423104095536902)</f>
        <v>-0.42310409553690198</v>
      </c>
      <c r="HS87" s="3">
        <f ca="1">IFERROR(__xludf.DUMMYFUNCTION("""COMPUTED_VALUE"""),-0.441128709442437)</f>
        <v>-0.44112870944243698</v>
      </c>
      <c r="HT87" s="3">
        <f ca="1">IFERROR(__xludf.DUMMYFUNCTION("""COMPUTED_VALUE"""),-0.459745669001037)</f>
        <v>-0.45974566900103703</v>
      </c>
      <c r="HU87" s="3">
        <f ca="1">IFERROR(__xludf.DUMMYFUNCTION("""COMPUTED_VALUE"""),-0.460039524094882)</f>
        <v>-0.46003952409488202</v>
      </c>
      <c r="HV87" s="3">
        <f ca="1">IFERROR(__xludf.DUMMYFUNCTION("""COMPUTED_VALUE"""),-0.483021874220361)</f>
        <v>-0.48302187422036102</v>
      </c>
      <c r="HW87" s="3">
        <f ca="1">IFERROR(__xludf.DUMMYFUNCTION("""COMPUTED_VALUE"""),-0.405108162148657)</f>
        <v>-0.40510816214865703</v>
      </c>
      <c r="HX87" s="3">
        <f ca="1">IFERROR(__xludf.DUMMYFUNCTION("""COMPUTED_VALUE"""),-0.415316545871475)</f>
        <v>-0.41531654587147498</v>
      </c>
      <c r="HY87" s="3">
        <f ca="1">IFERROR(__xludf.DUMMYFUNCTION("""COMPUTED_VALUE"""),-0.381560248663574)</f>
        <v>-0.38156024866357402</v>
      </c>
      <c r="HZ87" s="3">
        <f ca="1">IFERROR(__xludf.DUMMYFUNCTION("""COMPUTED_VALUE"""),-0.441799929237888)</f>
        <v>-0.44179992923788802</v>
      </c>
      <c r="IA87" s="3">
        <f ca="1">IFERROR(__xludf.DUMMYFUNCTION("""COMPUTED_VALUE"""),-0.45133162222549)</f>
        <v>-0.45133162222549</v>
      </c>
      <c r="IB87" s="3">
        <f ca="1">IFERROR(__xludf.DUMMYFUNCTION("""COMPUTED_VALUE"""),-0.400937456315662)</f>
        <v>-0.40093745631566202</v>
      </c>
      <c r="IC87" s="3">
        <f ca="1">IFERROR(__xludf.DUMMYFUNCTION("""COMPUTED_VALUE"""),-0.398899096019722)</f>
        <v>-0.39889909601972201</v>
      </c>
      <c r="ID87" s="3">
        <f ca="1">IFERROR(__xludf.DUMMYFUNCTION("""COMPUTED_VALUE"""),-0.362567368796487)</f>
        <v>-0.36256736879648699</v>
      </c>
      <c r="IE87" s="3">
        <f ca="1">IFERROR(__xludf.DUMMYFUNCTION("""COMPUTED_VALUE"""),-0.332160893463968)</f>
        <v>-0.33216089346396799</v>
      </c>
      <c r="IF87" s="3">
        <f ca="1">IFERROR(__xludf.DUMMYFUNCTION("""COMPUTED_VALUE"""),-0.35835079171788)</f>
        <v>-0.35835079171787998</v>
      </c>
      <c r="IG87" s="3">
        <f ca="1">IFERROR(__xludf.DUMMYFUNCTION("""COMPUTED_VALUE"""),-0.380989721464921)</f>
        <v>-0.38098972146492099</v>
      </c>
      <c r="IH87" s="3">
        <f ca="1">IFERROR(__xludf.DUMMYFUNCTION("""COMPUTED_VALUE"""),-0.420763926077129)</f>
        <v>-0.42076392607712898</v>
      </c>
      <c r="II87" s="3">
        <f ca="1">IFERROR(__xludf.DUMMYFUNCTION("""COMPUTED_VALUE"""),-0.417019036563948)</f>
        <v>-0.41701903656394801</v>
      </c>
      <c r="IJ87" s="3">
        <f ca="1">IFERROR(__xludf.DUMMYFUNCTION("""COMPUTED_VALUE"""),-0.418043202990871)</f>
        <v>-0.418043202990871</v>
      </c>
      <c r="IK87" s="3">
        <f ca="1">IFERROR(__xludf.DUMMYFUNCTION("""COMPUTED_VALUE"""),-0.351243873221483)</f>
        <v>-0.35124387322148298</v>
      </c>
      <c r="IL87" s="3">
        <f ca="1">IFERROR(__xludf.DUMMYFUNCTION("""COMPUTED_VALUE"""),-0.377145970216797)</f>
        <v>-0.37714597021679702</v>
      </c>
      <c r="IM87" s="3">
        <f ca="1">IFERROR(__xludf.DUMMYFUNCTION("""COMPUTED_VALUE"""),-0.395435141742252)</f>
        <v>-0.39543514174225203</v>
      </c>
      <c r="IN87" s="3">
        <f ca="1">IFERROR(__xludf.DUMMYFUNCTION("""COMPUTED_VALUE"""),-0.415775910373067)</f>
        <v>-0.41577591037306699</v>
      </c>
      <c r="IO87" s="3">
        <f ca="1">IFERROR(__xludf.DUMMYFUNCTION("""COMPUTED_VALUE"""),-0.453549975533897)</f>
        <v>-0.45354997553389698</v>
      </c>
      <c r="IP87" s="3">
        <f ca="1">IFERROR(__xludf.DUMMYFUNCTION("""COMPUTED_VALUE"""),-0.412313590108563)</f>
        <v>-0.412313590108563</v>
      </c>
      <c r="IQ87" s="3">
        <f ca="1">IFERROR(__xludf.DUMMYFUNCTION("""COMPUTED_VALUE"""),-0.382281448614419)</f>
        <v>-0.38228144861441898</v>
      </c>
      <c r="IR87" s="3">
        <f ca="1">IFERROR(__xludf.DUMMYFUNCTION("""COMPUTED_VALUE"""),-0.422420942317624)</f>
        <v>-0.422420942317624</v>
      </c>
      <c r="IS87" s="3">
        <f ca="1">IFERROR(__xludf.DUMMYFUNCTION("""COMPUTED_VALUE"""),-0.397931918785355)</f>
        <v>-0.397931918785355</v>
      </c>
      <c r="IT87" s="3">
        <f ca="1">IFERROR(__xludf.DUMMYFUNCTION("""COMPUTED_VALUE"""),-0.399454529764971)</f>
        <v>-0.39945452976497098</v>
      </c>
      <c r="IU87" s="3">
        <f ca="1">IFERROR(__xludf.DUMMYFUNCTION("""COMPUTED_VALUE"""),-0.425207249094504)</f>
        <v>-0.42520724909450403</v>
      </c>
      <c r="IV87" s="3">
        <f ca="1">IFERROR(__xludf.DUMMYFUNCTION("""COMPUTED_VALUE"""),-0.424169785964892)</f>
        <v>-0.42416978596489202</v>
      </c>
      <c r="IW87" s="3">
        <f ca="1">IFERROR(__xludf.DUMMYFUNCTION("""COMPUTED_VALUE"""),-0.428529054748485)</f>
        <v>-0.42852905474848502</v>
      </c>
      <c r="IX87" s="3">
        <f ca="1">IFERROR(__xludf.DUMMYFUNCTION("""COMPUTED_VALUE"""),-0.443895110110832)</f>
        <v>-0.44389511011083199</v>
      </c>
      <c r="IY87" s="3">
        <f ca="1">IFERROR(__xludf.DUMMYFUNCTION("""COMPUTED_VALUE"""),-0.397806869502742)</f>
        <v>-0.39780686950274202</v>
      </c>
      <c r="IZ87" s="3">
        <f ca="1">IFERROR(__xludf.DUMMYFUNCTION("""COMPUTED_VALUE"""),-0.425585168168033)</f>
        <v>-0.42558516816803299</v>
      </c>
      <c r="JA87" s="3">
        <f ca="1">IFERROR(__xludf.DUMMYFUNCTION("""COMPUTED_VALUE"""),-0.413062714856627)</f>
        <v>-0.41306271485662699</v>
      </c>
      <c r="JB87" s="3">
        <f ca="1">IFERROR(__xludf.DUMMYFUNCTION("""COMPUTED_VALUE"""),-0.460032078442001)</f>
        <v>-0.460032078442001</v>
      </c>
      <c r="JC87" s="3">
        <f ca="1">IFERROR(__xludf.DUMMYFUNCTION("""COMPUTED_VALUE"""),-0.481483526951905)</f>
        <v>-0.48148352695190499</v>
      </c>
      <c r="JD87" s="3">
        <f ca="1">IFERROR(__xludf.DUMMYFUNCTION("""COMPUTED_VALUE"""),-0.45539026738082)</f>
        <v>-0.45539026738082</v>
      </c>
      <c r="JE87" s="3">
        <f ca="1">IFERROR(__xludf.DUMMYFUNCTION("""COMPUTED_VALUE"""),-0.457442060829538)</f>
        <v>-0.45744206082953798</v>
      </c>
      <c r="JF87" s="3">
        <f ca="1">IFERROR(__xludf.DUMMYFUNCTION("""COMPUTED_VALUE"""),-0.435600967985033)</f>
        <v>-0.43560096798503301</v>
      </c>
      <c r="JG87" s="3">
        <f ca="1">IFERROR(__xludf.DUMMYFUNCTION("""COMPUTED_VALUE"""),-0.422560524251482)</f>
        <v>-0.42256052425148199</v>
      </c>
      <c r="JH87" s="3">
        <f ca="1">IFERROR(__xludf.DUMMYFUNCTION("""COMPUTED_VALUE"""),-0.421510470623089)</f>
        <v>-0.421510470623089</v>
      </c>
      <c r="JI87" s="3">
        <f ca="1">IFERROR(__xludf.DUMMYFUNCTION("""COMPUTED_VALUE"""),-0.47663338984846)</f>
        <v>-0.47663338984845999</v>
      </c>
      <c r="JJ87" s="3">
        <f ca="1">IFERROR(__xludf.DUMMYFUNCTION("""COMPUTED_VALUE"""),-0.487566239892356)</f>
        <v>-0.48756623989235598</v>
      </c>
      <c r="JK87" s="3">
        <f ca="1">IFERROR(__xludf.DUMMYFUNCTION("""COMPUTED_VALUE"""),-0.455687098641693)</f>
        <v>-0.45568709864169299</v>
      </c>
      <c r="JL87" s="3">
        <f ca="1">IFERROR(__xludf.DUMMYFUNCTION("""COMPUTED_VALUE"""),-0.486447366072406)</f>
        <v>-0.48644736607240602</v>
      </c>
      <c r="JM87" s="3">
        <f ca="1">IFERROR(__xludf.DUMMYFUNCTION("""COMPUTED_VALUE"""),-0.466642580548019)</f>
        <v>-0.46664258054801899</v>
      </c>
      <c r="JN87" s="3">
        <f ca="1">IFERROR(__xludf.DUMMYFUNCTION("""COMPUTED_VALUE"""),-0.465962397546664)</f>
        <v>-0.46596239754666402</v>
      </c>
      <c r="JO87" s="3">
        <f ca="1">IFERROR(__xludf.DUMMYFUNCTION("""COMPUTED_VALUE"""),-0.480168847182536)</f>
        <v>-0.480168847182536</v>
      </c>
      <c r="JP87" s="3">
        <f ca="1">IFERROR(__xludf.DUMMYFUNCTION("""COMPUTED_VALUE"""),-0.484563358713424)</f>
        <v>-0.48456335871342399</v>
      </c>
      <c r="JQ87" s="3">
        <f ca="1">IFERROR(__xludf.DUMMYFUNCTION("""COMPUTED_VALUE"""),-0.526415065807354)</f>
        <v>-0.52641506580735398</v>
      </c>
      <c r="JR87" s="3">
        <f ca="1">IFERROR(__xludf.DUMMYFUNCTION("""COMPUTED_VALUE"""),-0.500394031663934)</f>
        <v>-0.50039403166393404</v>
      </c>
      <c r="JS87" s="3">
        <f ca="1">IFERROR(__xludf.DUMMYFUNCTION("""COMPUTED_VALUE"""),-0.539273187864272)</f>
        <v>-0.53927318786427203</v>
      </c>
      <c r="JT87" s="3">
        <f ca="1">IFERROR(__xludf.DUMMYFUNCTION("""COMPUTED_VALUE"""),-0.468953039249377)</f>
        <v>-0.46895303924937698</v>
      </c>
      <c r="JU87" s="3">
        <f ca="1">IFERROR(__xludf.DUMMYFUNCTION("""COMPUTED_VALUE"""),-0.431750035770907)</f>
        <v>-0.43175003577090698</v>
      </c>
      <c r="JV87" s="3">
        <f ca="1">IFERROR(__xludf.DUMMYFUNCTION("""COMPUTED_VALUE"""),-0.470488623311103)</f>
        <v>-0.47048862331110303</v>
      </c>
      <c r="JW87" s="3">
        <f ca="1">IFERROR(__xludf.DUMMYFUNCTION("""COMPUTED_VALUE"""),-0.538513526410689)</f>
        <v>-0.53851352641068895</v>
      </c>
      <c r="JX87" s="3">
        <f ca="1">IFERROR(__xludf.DUMMYFUNCTION("""COMPUTED_VALUE"""),-0.53859567936313)</f>
        <v>-0.53859567936313002</v>
      </c>
      <c r="JY87" s="3">
        <f ca="1">IFERROR(__xludf.DUMMYFUNCTION("""COMPUTED_VALUE"""),-0.586164279535428)</f>
        <v>-0.58616427953542805</v>
      </c>
      <c r="JZ87" s="3">
        <f ca="1">IFERROR(__xludf.DUMMYFUNCTION("""COMPUTED_VALUE"""),-0.566704046228084)</f>
        <v>-0.56670404622808401</v>
      </c>
      <c r="KA87" s="3">
        <f ca="1">IFERROR(__xludf.DUMMYFUNCTION("""COMPUTED_VALUE"""),-0.487137701966689)</f>
        <v>-0.48713770196668899</v>
      </c>
      <c r="KB87" s="3">
        <f ca="1">IFERROR(__xludf.DUMMYFUNCTION("""COMPUTED_VALUE"""),-0.486780979357535)</f>
        <v>-0.486780979357535</v>
      </c>
      <c r="KC87" s="3">
        <f ca="1">IFERROR(__xludf.DUMMYFUNCTION("""COMPUTED_VALUE"""),-0.510197204178747)</f>
        <v>-0.51019720417874703</v>
      </c>
      <c r="KD87" s="3">
        <f ca="1">IFERROR(__xludf.DUMMYFUNCTION("""COMPUTED_VALUE"""),-0.54125097446145)</f>
        <v>-0.54125097446144999</v>
      </c>
      <c r="KE87" s="3">
        <f ca="1">IFERROR(__xludf.DUMMYFUNCTION("""COMPUTED_VALUE"""),-0.532117300843494)</f>
        <v>-0.53211730084349396</v>
      </c>
      <c r="KF87" s="3">
        <f ca="1">IFERROR(__xludf.DUMMYFUNCTION("""COMPUTED_VALUE"""),-0.572199476066416)</f>
        <v>-0.57219947606641597</v>
      </c>
      <c r="KG87" s="3">
        <f ca="1">IFERROR(__xludf.DUMMYFUNCTION("""COMPUTED_VALUE"""),-0.578239479117449)</f>
        <v>-0.578239479117449</v>
      </c>
      <c r="KH87" s="3">
        <f ca="1">IFERROR(__xludf.DUMMYFUNCTION("""COMPUTED_VALUE"""),-0.529658122407527)</f>
        <v>-0.52965812240752697</v>
      </c>
      <c r="KI87" s="3">
        <f ca="1">IFERROR(__xludf.DUMMYFUNCTION("""COMPUTED_VALUE"""),-0.540983748963976)</f>
        <v>-0.54098374896397605</v>
      </c>
      <c r="KJ87" s="3">
        <f ca="1">IFERROR(__xludf.DUMMYFUNCTION("""COMPUTED_VALUE"""),-0.565642023066097)</f>
        <v>-0.56564202306609701</v>
      </c>
      <c r="KK87" s="3">
        <f ca="1">IFERROR(__xludf.DUMMYFUNCTION("""COMPUTED_VALUE"""),-0.54993721629668)</f>
        <v>-0.54993721629668002</v>
      </c>
      <c r="KL87" s="3">
        <f ca="1">IFERROR(__xludf.DUMMYFUNCTION("""COMPUTED_VALUE"""),-0.548532695601127)</f>
        <v>-0.54853269560112705</v>
      </c>
      <c r="KM87" s="3">
        <f ca="1">IFERROR(__xludf.DUMMYFUNCTION("""COMPUTED_VALUE"""),-0.558756404842673)</f>
        <v>-0.55875640484267297</v>
      </c>
      <c r="KN87" s="3">
        <f ca="1">IFERROR(__xludf.DUMMYFUNCTION("""COMPUTED_VALUE"""),-0.596946926126497)</f>
        <v>-0.59694692612649702</v>
      </c>
      <c r="KO87" s="3">
        <f ca="1">IFERROR(__xludf.DUMMYFUNCTION("""COMPUTED_VALUE"""),-0.600020183014481)</f>
        <v>-0.60002018301448101</v>
      </c>
      <c r="KP87" s="3">
        <f ca="1">IFERROR(__xludf.DUMMYFUNCTION("""COMPUTED_VALUE"""),-0.564192306745866)</f>
        <v>-0.56419230674586596</v>
      </c>
      <c r="KQ87" s="3">
        <f ca="1">IFERROR(__xludf.DUMMYFUNCTION("""COMPUTED_VALUE"""),-0.570616607564763)</f>
        <v>-0.57061660756476296</v>
      </c>
      <c r="KR87" s="3">
        <f ca="1">IFERROR(__xludf.DUMMYFUNCTION("""COMPUTED_VALUE"""),-0.615642024002939)</f>
        <v>-0.61564202400293899</v>
      </c>
      <c r="KS87" s="3">
        <f ca="1">IFERROR(__xludf.DUMMYFUNCTION("""COMPUTED_VALUE"""),-0.619764629059647)</f>
        <v>-0.61976462905964702</v>
      </c>
      <c r="KT87" s="3">
        <f ca="1">IFERROR(__xludf.DUMMYFUNCTION("""COMPUTED_VALUE"""),-0.618944991646975)</f>
        <v>-0.61894499164697503</v>
      </c>
      <c r="KU87" s="3">
        <f ca="1">IFERROR(__xludf.DUMMYFUNCTION("""COMPUTED_VALUE"""),-0.62518668674672)</f>
        <v>-0.62518668674671996</v>
      </c>
      <c r="KV87" s="3">
        <f ca="1">IFERROR(__xludf.DUMMYFUNCTION("""COMPUTED_VALUE"""),-0.588976592563772)</f>
        <v>-0.58897659256377199</v>
      </c>
      <c r="KW87" s="3">
        <f ca="1">IFERROR(__xludf.DUMMYFUNCTION("""COMPUTED_VALUE"""),-0.554155700049618)</f>
        <v>-0.55415570004961801</v>
      </c>
      <c r="KX87" s="3">
        <f ca="1">IFERROR(__xludf.DUMMYFUNCTION("""COMPUTED_VALUE"""),-0.596829308039055)</f>
        <v>-0.59682930803905498</v>
      </c>
      <c r="KY87" s="3">
        <f ca="1">IFERROR(__xludf.DUMMYFUNCTION("""COMPUTED_VALUE"""),-0.598040263113307)</f>
        <v>-0.59804026311330705</v>
      </c>
      <c r="KZ87" s="3">
        <f ca="1">IFERROR(__xludf.DUMMYFUNCTION("""COMPUTED_VALUE"""),-0.625211147832615)</f>
        <v>-0.625211147832615</v>
      </c>
      <c r="LA87" s="3">
        <f ca="1">IFERROR(__xludf.DUMMYFUNCTION("""COMPUTED_VALUE"""),-0.630300540708615)</f>
        <v>-0.63030054070861496</v>
      </c>
      <c r="LB87" s="3">
        <f ca="1">IFERROR(__xludf.DUMMYFUNCTION("""COMPUTED_VALUE"""),-0.646733900853792)</f>
        <v>-0.64673390085379201</v>
      </c>
      <c r="LC87" s="3">
        <f ca="1">IFERROR(__xludf.DUMMYFUNCTION("""COMPUTED_VALUE"""),-0.584819120527254)</f>
        <v>-0.58481912052725404</v>
      </c>
      <c r="LD87" s="3">
        <f ca="1">IFERROR(__xludf.DUMMYFUNCTION("""COMPUTED_VALUE"""),-0.571817343173314)</f>
        <v>-0.57181734317331401</v>
      </c>
      <c r="LE87" s="3">
        <f ca="1">IFERROR(__xludf.DUMMYFUNCTION("""COMPUTED_VALUE"""),-0.594623128302057)</f>
        <v>-0.59462312830205699</v>
      </c>
      <c r="LF87" s="3">
        <f ca="1">IFERROR(__xludf.DUMMYFUNCTION("""COMPUTED_VALUE"""),-0.569847353691114)</f>
        <v>-0.56984735369111394</v>
      </c>
      <c r="LG87" s="3">
        <f ca="1">IFERROR(__xludf.DUMMYFUNCTION("""COMPUTED_VALUE"""),-0.597765519936487)</f>
        <v>-0.59776551993648697</v>
      </c>
      <c r="LH87" s="3">
        <f ca="1">IFERROR(__xludf.DUMMYFUNCTION("""COMPUTED_VALUE"""),-0.589720278043418)</f>
        <v>-0.58972027804341798</v>
      </c>
      <c r="LI87" s="3">
        <f ca="1">IFERROR(__xludf.DUMMYFUNCTION("""COMPUTED_VALUE"""),-0.609663850108901)</f>
        <v>-0.60966385010890101</v>
      </c>
      <c r="LJ87" s="3">
        <f ca="1">IFERROR(__xludf.DUMMYFUNCTION("""COMPUTED_VALUE"""),-0.605619733438976)</f>
        <v>-0.60561973343897602</v>
      </c>
      <c r="LK87" s="3">
        <f ca="1">IFERROR(__xludf.DUMMYFUNCTION("""COMPUTED_VALUE"""),-0.599409290375731)</f>
        <v>-0.59940929037573099</v>
      </c>
      <c r="LL87" s="3">
        <f ca="1">IFERROR(__xludf.DUMMYFUNCTION("""COMPUTED_VALUE"""),-0.590209363939721)</f>
        <v>-0.59020936393972101</v>
      </c>
      <c r="LM87" s="3">
        <f ca="1">IFERROR(__xludf.DUMMYFUNCTION("""COMPUTED_VALUE"""),-0.631593019127948)</f>
        <v>-0.63159301912794796</v>
      </c>
      <c r="LN87" s="3">
        <f ca="1">IFERROR(__xludf.DUMMYFUNCTION("""COMPUTED_VALUE"""),-0.655330106813109)</f>
        <v>-0.65533010681310899</v>
      </c>
      <c r="LO87" s="3">
        <f ca="1">IFERROR(__xludf.DUMMYFUNCTION("""COMPUTED_VALUE"""),-0.659583054762529)</f>
        <v>-0.65958305476252899</v>
      </c>
      <c r="LP87" s="3">
        <f ca="1">IFERROR(__xludf.DUMMYFUNCTION("""COMPUTED_VALUE"""),-0.625427665348596)</f>
        <v>-0.62542766534859595</v>
      </c>
      <c r="LQ87" s="3">
        <f ca="1">IFERROR(__xludf.DUMMYFUNCTION("""COMPUTED_VALUE"""),-0.571886766047343)</f>
        <v>-0.57188676604734301</v>
      </c>
      <c r="LR87" s="3">
        <f ca="1">IFERROR(__xludf.DUMMYFUNCTION("""COMPUTED_VALUE"""),-0.663532665941949)</f>
        <v>-0.66353266594194904</v>
      </c>
      <c r="LS87" s="3">
        <f ca="1">IFERROR(__xludf.DUMMYFUNCTION("""COMPUTED_VALUE"""),-0.678134637813983)</f>
        <v>-0.67813463781398298</v>
      </c>
      <c r="LT87" s="3">
        <f ca="1">IFERROR(__xludf.DUMMYFUNCTION("""COMPUTED_VALUE"""),-0.677555863880473)</f>
        <v>-0.67755586388047295</v>
      </c>
      <c r="LU87" s="3">
        <f ca="1">IFERROR(__xludf.DUMMYFUNCTION("""COMPUTED_VALUE"""),-0.707597465408935)</f>
        <v>-0.70759746540893498</v>
      </c>
      <c r="LV87" s="3">
        <f ca="1">IFERROR(__xludf.DUMMYFUNCTION("""COMPUTED_VALUE"""),-0.714036612164759)</f>
        <v>-0.714036612164759</v>
      </c>
      <c r="LW87" s="3">
        <f ca="1">IFERROR(__xludf.DUMMYFUNCTION("""COMPUTED_VALUE"""),-0.700961728855641)</f>
        <v>-0.70096172885564101</v>
      </c>
      <c r="LX87" s="3">
        <f ca="1">IFERROR(__xludf.DUMMYFUNCTION("""COMPUTED_VALUE"""),-0.63823142801892)</f>
        <v>-0.63823142801891997</v>
      </c>
      <c r="LY87" s="3">
        <f ca="1">IFERROR(__xludf.DUMMYFUNCTION("""COMPUTED_VALUE"""),-0.634590453127865)</f>
        <v>-0.634590453127865</v>
      </c>
      <c r="LZ87" s="3">
        <f ca="1">IFERROR(__xludf.DUMMYFUNCTION("""COMPUTED_VALUE"""),-0.652240107151787)</f>
        <v>-0.65224010715178704</v>
      </c>
      <c r="MA87" s="3">
        <f ca="1">IFERROR(__xludf.DUMMYFUNCTION("""COMPUTED_VALUE"""),-0.656728200059117)</f>
        <v>-0.65672820005911703</v>
      </c>
      <c r="MB87" s="3">
        <f ca="1">IFERROR(__xludf.DUMMYFUNCTION("""COMPUTED_VALUE"""),-0.68314556898978)</f>
        <v>-0.68314556898977996</v>
      </c>
      <c r="MC87" s="3">
        <f ca="1">IFERROR(__xludf.DUMMYFUNCTION("""COMPUTED_VALUE"""),-0.676326040924404)</f>
        <v>-0.67632604092440396</v>
      </c>
      <c r="MD87" s="3">
        <f ca="1">IFERROR(__xludf.DUMMYFUNCTION("""COMPUTED_VALUE"""),-0.685911575979075)</f>
        <v>-0.68591157597907504</v>
      </c>
      <c r="ME87" s="3">
        <f ca="1">IFERROR(__xludf.DUMMYFUNCTION("""COMPUTED_VALUE"""),-0.685716265340385)</f>
        <v>-0.68571626534038499</v>
      </c>
      <c r="MF87" s="3">
        <f ca="1">IFERROR(__xludf.DUMMYFUNCTION("""COMPUTED_VALUE"""),-0.686843076267575)</f>
        <v>-0.68684307626757501</v>
      </c>
      <c r="MG87" s="3">
        <f ca="1">IFERROR(__xludf.DUMMYFUNCTION("""COMPUTED_VALUE"""),-0.724526466768631)</f>
        <v>-0.72452646676863097</v>
      </c>
      <c r="MH87" s="3">
        <f ca="1">IFERROR(__xludf.DUMMYFUNCTION("""COMPUTED_VALUE"""),-0.700223510348707)</f>
        <v>-0.700223510348707</v>
      </c>
      <c r="MI87" s="3">
        <f ca="1">IFERROR(__xludf.DUMMYFUNCTION("""COMPUTED_VALUE"""),-0.713825673599612)</f>
        <v>-0.71382567359961202</v>
      </c>
      <c r="MJ87" s="3">
        <f ca="1">IFERROR(__xludf.DUMMYFUNCTION("""COMPUTED_VALUE"""),-0.717946626126743)</f>
        <v>-0.71794662612674298</v>
      </c>
      <c r="MK87" s="3">
        <f ca="1">IFERROR(__xludf.DUMMYFUNCTION("""COMPUTED_VALUE"""),-0.712311187576203)</f>
        <v>-0.71231118757620304</v>
      </c>
      <c r="ML87" s="3">
        <f ca="1">IFERROR(__xludf.DUMMYFUNCTION("""COMPUTED_VALUE"""),-0.68078191977806)</f>
        <v>-0.68078191977806002</v>
      </c>
      <c r="MM87" s="3">
        <f ca="1">IFERROR(__xludf.DUMMYFUNCTION("""COMPUTED_VALUE"""),-0.700972512907431)</f>
        <v>-0.70097251290743101</v>
      </c>
      <c r="MN87" s="3">
        <f ca="1">IFERROR(__xludf.DUMMYFUNCTION("""COMPUTED_VALUE"""),-0.718552893690255)</f>
        <v>-0.71855289369025499</v>
      </c>
      <c r="MO87" s="3">
        <f ca="1">IFERROR(__xludf.DUMMYFUNCTION("""COMPUTED_VALUE"""),-0.695320569001078)</f>
        <v>-0.69532056900107797</v>
      </c>
      <c r="MP87" s="3">
        <f ca="1">IFERROR(__xludf.DUMMYFUNCTION("""COMPUTED_VALUE"""),-0.704968877166785)</f>
        <v>-0.70496887716678502</v>
      </c>
      <c r="MQ87" s="3">
        <f ca="1">IFERROR(__xludf.DUMMYFUNCTION("""COMPUTED_VALUE"""),-0.714689116138241)</f>
        <v>-0.71468911613824104</v>
      </c>
      <c r="MR87" s="3">
        <f ca="1">IFERROR(__xludf.DUMMYFUNCTION("""COMPUTED_VALUE"""),-0.673181696158795)</f>
        <v>-0.67318169615879497</v>
      </c>
      <c r="MS87" s="3">
        <f ca="1">IFERROR(__xludf.DUMMYFUNCTION("""COMPUTED_VALUE"""),-0.670217642585082)</f>
        <v>-0.67021764258508199</v>
      </c>
      <c r="MT87" s="3">
        <f ca="1">IFERROR(__xludf.DUMMYFUNCTION("""COMPUTED_VALUE"""),-0.718669447450016)</f>
        <v>-0.71866944745001604</v>
      </c>
      <c r="MU87" s="3">
        <f ca="1">IFERROR(__xludf.DUMMYFUNCTION("""COMPUTED_VALUE"""),-0.723479900106972)</f>
        <v>-0.72347990010697205</v>
      </c>
      <c r="MV87" s="3">
        <f ca="1">IFERROR(__xludf.DUMMYFUNCTION("""COMPUTED_VALUE"""),-0.72436755694914)</f>
        <v>-0.72436755694914001</v>
      </c>
      <c r="MW87" s="3">
        <f ca="1">IFERROR(__xludf.DUMMYFUNCTION("""COMPUTED_VALUE"""),-0.720079064334223)</f>
        <v>-0.72007906433422297</v>
      </c>
      <c r="MX87" s="3">
        <f ca="1">IFERROR(__xludf.DUMMYFUNCTION("""COMPUTED_VALUE"""),-0.711297416737311)</f>
        <v>-0.71129741673731095</v>
      </c>
      <c r="MY87" s="3">
        <f ca="1">IFERROR(__xludf.DUMMYFUNCTION("""COMPUTED_VALUE"""),-0.710018007447402)</f>
        <v>-0.71001800744740196</v>
      </c>
      <c r="MZ87" s="3">
        <f ca="1">IFERROR(__xludf.DUMMYFUNCTION("""COMPUTED_VALUE"""),-0.704834536393813)</f>
        <v>-0.70483453639381299</v>
      </c>
      <c r="NA87" s="3">
        <f ca="1">IFERROR(__xludf.DUMMYFUNCTION("""COMPUTED_VALUE"""),-0.719930732487553)</f>
        <v>-0.71993073248755302</v>
      </c>
      <c r="NB87" s="3">
        <f ca="1">IFERROR(__xludf.DUMMYFUNCTION("""COMPUTED_VALUE"""),-0.732888327015276)</f>
        <v>-0.73288832701527595</v>
      </c>
      <c r="NC87" s="3">
        <f ca="1">IFERROR(__xludf.DUMMYFUNCTION("""COMPUTED_VALUE"""),-0.727430374062628)</f>
        <v>-0.727430374062628</v>
      </c>
      <c r="ND87" s="3">
        <f ca="1">IFERROR(__xludf.DUMMYFUNCTION("""COMPUTED_VALUE"""),-0.711112725480031)</f>
        <v>-0.71111272548003102</v>
      </c>
      <c r="NE87" s="3">
        <f ca="1">IFERROR(__xludf.DUMMYFUNCTION("""COMPUTED_VALUE"""),-0.707568845255028)</f>
        <v>-0.70756884525502795</v>
      </c>
      <c r="NF87" s="3">
        <f ca="1">IFERROR(__xludf.DUMMYFUNCTION("""COMPUTED_VALUE"""),-0.712459401739623)</f>
        <v>-0.71245940173962297</v>
      </c>
      <c r="NG87" s="3">
        <f ca="1">IFERROR(__xludf.DUMMYFUNCTION("""COMPUTED_VALUE"""),-0.694146202839363)</f>
        <v>-0.69414620283936301</v>
      </c>
      <c r="NH87" s="3">
        <f ca="1">IFERROR(__xludf.DUMMYFUNCTION("""COMPUTED_VALUE"""),-0.736162960070932)</f>
        <v>-0.73616296007093196</v>
      </c>
      <c r="NI87" s="3">
        <f ca="1">IFERROR(__xludf.DUMMYFUNCTION("""COMPUTED_VALUE"""),-0.748016854857089)</f>
        <v>-0.74801685485708902</v>
      </c>
      <c r="NJ87" s="3">
        <f ca="1">IFERROR(__xludf.DUMMYFUNCTION("""COMPUTED_VALUE"""),-0.751308854307247)</f>
        <v>-0.75130885430724703</v>
      </c>
      <c r="NK87" s="3">
        <f ca="1">IFERROR(__xludf.DUMMYFUNCTION("""COMPUTED_VALUE"""),-0.724581166542623)</f>
        <v>-0.72458116654262295</v>
      </c>
      <c r="NL87" s="3">
        <f ca="1">IFERROR(__xludf.DUMMYFUNCTION("""COMPUTED_VALUE"""),-0.740356811221337)</f>
        <v>-0.74035681122133701</v>
      </c>
      <c r="NM87" s="3">
        <f ca="1">IFERROR(__xludf.DUMMYFUNCTION("""COMPUTED_VALUE"""),-0.739156261582555)</f>
        <v>-0.73915626158255499</v>
      </c>
      <c r="NN87" s="3">
        <f ca="1">IFERROR(__xludf.DUMMYFUNCTION("""COMPUTED_VALUE"""),-0.737259284716648)</f>
        <v>-0.73725928471664803</v>
      </c>
      <c r="NO87" s="3">
        <f ca="1">IFERROR(__xludf.DUMMYFUNCTION("""COMPUTED_VALUE"""),-0.735129663879645)</f>
        <v>-0.73512966387964496</v>
      </c>
      <c r="NP87" s="3">
        <f ca="1">IFERROR(__xludf.DUMMYFUNCTION("""COMPUTED_VALUE"""),-0.750562050170605)</f>
        <v>-0.75056205017060496</v>
      </c>
      <c r="NQ87" s="3">
        <f ca="1">IFERROR(__xludf.DUMMYFUNCTION("""COMPUTED_VALUE"""),-0.75830107114979)</f>
        <v>-0.75830107114978995</v>
      </c>
      <c r="NR87" s="3">
        <f ca="1">IFERROR(__xludf.DUMMYFUNCTION("""COMPUTED_VALUE"""),-0.758130010594913)</f>
        <v>-0.75813001059491303</v>
      </c>
      <c r="NS87" s="3">
        <f ca="1">IFERROR(__xludf.DUMMYFUNCTION("""COMPUTED_VALUE"""),-0.743660231820123)</f>
        <v>-0.74366023182012297</v>
      </c>
      <c r="NT87" s="3">
        <f ca="1">IFERROR(__xludf.DUMMYFUNCTION("""COMPUTED_VALUE"""),-0.704731233980658)</f>
        <v>-0.70473123398065796</v>
      </c>
      <c r="NU87" s="3">
        <f ca="1">IFERROR(__xludf.DUMMYFUNCTION("""COMPUTED_VALUE"""),-0.698999023842919)</f>
        <v>-0.69899902384291901</v>
      </c>
      <c r="NV87" s="3">
        <f ca="1">IFERROR(__xludf.DUMMYFUNCTION("""COMPUTED_VALUE"""),-0.678637030935391)</f>
        <v>-0.67863703093539096</v>
      </c>
      <c r="NW87" s="3">
        <f ca="1">IFERROR(__xludf.DUMMYFUNCTION("""COMPUTED_VALUE"""),-0.650644376160262)</f>
        <v>-0.65064437616026205</v>
      </c>
      <c r="NX87" s="3">
        <f ca="1">IFERROR(__xludf.DUMMYFUNCTION("""COMPUTED_VALUE"""),-0.611919895553021)</f>
        <v>-0.61191989555302095</v>
      </c>
      <c r="NY87" s="3">
        <f ca="1">IFERROR(__xludf.DUMMYFUNCTION("""COMPUTED_VALUE"""),-0.591721969629805)</f>
        <v>-0.59172196962980494</v>
      </c>
      <c r="NZ87" s="3">
        <f ca="1">IFERROR(__xludf.DUMMYFUNCTION("""COMPUTED_VALUE"""),-0.541927397296189)</f>
        <v>-0.541927397296189</v>
      </c>
      <c r="OA87" s="3">
        <f ca="1">IFERROR(__xludf.DUMMYFUNCTION("""COMPUTED_VALUE"""),-0.437121502209765)</f>
        <v>-0.43712150220976498</v>
      </c>
      <c r="OB87" s="3">
        <f ca="1">IFERROR(__xludf.DUMMYFUNCTION("""COMPUTED_VALUE"""),-0.322343612575711)</f>
        <v>-0.32234361257571098</v>
      </c>
      <c r="OC87" s="3">
        <f ca="1">IFERROR(__xludf.DUMMYFUNCTION("""COMPUTED_VALUE"""),-0.24616363430286)</f>
        <v>-0.24616363430286001</v>
      </c>
      <c r="OD87" s="3">
        <f ca="1">IFERROR(__xludf.DUMMYFUNCTION("""COMPUTED_VALUE"""),-0.22694105399047)</f>
        <v>-0.22694105399046999</v>
      </c>
      <c r="OE87" s="3">
        <f ca="1">IFERROR(__xludf.DUMMYFUNCTION("""COMPUTED_VALUE"""),-0.116891834460067)</f>
        <v>-0.116891834460067</v>
      </c>
      <c r="OF87" s="3">
        <f ca="1">IFERROR(__xludf.DUMMYFUNCTION("""COMPUTED_VALUE"""),-0.0518888282875937)</f>
        <v>-5.1888828287593697E-2</v>
      </c>
      <c r="OG87" s="3">
        <f ca="1">IFERROR(__xludf.DUMMYFUNCTION("""COMPUTED_VALUE"""),-0.0469252154097399)</f>
        <v>-4.6925215409739901E-2</v>
      </c>
      <c r="OH87" s="3">
        <f ca="1">IFERROR(__xludf.DUMMYFUNCTION("""COMPUTED_VALUE"""),-0.0259374307528695)</f>
        <v>-2.59374307528695E-2</v>
      </c>
      <c r="OI87" s="3">
        <f ca="1">IFERROR(__xludf.DUMMYFUNCTION("""COMPUTED_VALUE"""),-0.0219708821370183)</f>
        <v>-2.19708821370183E-2</v>
      </c>
      <c r="OJ87" s="3">
        <f ca="1">IFERROR(__xludf.DUMMYFUNCTION("""COMPUTED_VALUE"""),-0.083148600638326)</f>
        <v>-8.3148600638326006E-2</v>
      </c>
      <c r="OK87" s="3">
        <f ca="1">IFERROR(__xludf.DUMMYFUNCTION("""COMPUTED_VALUE"""),-0.083568647492666)</f>
        <v>-8.3568647492666001E-2</v>
      </c>
      <c r="OL87" s="3">
        <f ca="1">IFERROR(__xludf.DUMMYFUNCTION("""COMPUTED_VALUE"""),0.00951587528088104)</f>
        <v>9.5158752808810407E-3</v>
      </c>
      <c r="OM87" s="3">
        <f ca="1">IFERROR(__xludf.DUMMYFUNCTION("""COMPUTED_VALUE"""),-0.00819026667848588)</f>
        <v>-8.1902666784858802E-3</v>
      </c>
      <c r="ON87" s="3">
        <f ca="1">IFERROR(__xludf.DUMMYFUNCTION("""COMPUTED_VALUE"""),0.0706638997770301)</f>
        <v>7.0663899777030095E-2</v>
      </c>
      <c r="OO87" s="3">
        <f ca="1">IFERROR(__xludf.DUMMYFUNCTION("""COMPUTED_VALUE"""),0.000127196411835006)</f>
        <v>1.2719641183500601E-4</v>
      </c>
      <c r="OP87" s="3">
        <f ca="1">IFERROR(__xludf.DUMMYFUNCTION("""COMPUTED_VALUE"""),-0.0135903022148621)</f>
        <v>-1.3590302214862101E-2</v>
      </c>
      <c r="OQ87" s="3">
        <f ca="1">IFERROR(__xludf.DUMMYFUNCTION("""COMPUTED_VALUE"""),-0.0469298007327629)</f>
        <v>-4.69298007327629E-2</v>
      </c>
      <c r="OR87" s="3">
        <f ca="1">IFERROR(__xludf.DUMMYFUNCTION("""COMPUTED_VALUE"""),-0.00799504343295842)</f>
        <v>-7.9950434329584194E-3</v>
      </c>
      <c r="OS87" s="3">
        <f ca="1">IFERROR(__xludf.DUMMYFUNCTION("""COMPUTED_VALUE"""),0.0149157852843286)</f>
        <v>1.49157852843286E-2</v>
      </c>
      <c r="OT87" s="3">
        <f ca="1">IFERROR(__xludf.DUMMYFUNCTION("""COMPUTED_VALUE"""),0.0050065291409691)</f>
        <v>5.0065291409691001E-3</v>
      </c>
      <c r="OU87" s="3">
        <f ca="1">IFERROR(__xludf.DUMMYFUNCTION("""COMPUTED_VALUE"""),0.0419901984719781)</f>
        <v>4.1990198471978102E-2</v>
      </c>
      <c r="OV87" s="3">
        <f ca="1">IFERROR(__xludf.DUMMYFUNCTION("""COMPUTED_VALUE"""),0.0417443032488167)</f>
        <v>4.17443032488167E-2</v>
      </c>
      <c r="OW87" s="3">
        <f ca="1">IFERROR(__xludf.DUMMYFUNCTION("""COMPUTED_VALUE"""),0.0662955617010292)</f>
        <v>6.6295561701029196E-2</v>
      </c>
      <c r="OX87" s="3">
        <f ca="1">IFERROR(__xludf.DUMMYFUNCTION("""COMPUTED_VALUE"""),-0.0824716327071146)</f>
        <v>-8.2471632707114606E-2</v>
      </c>
      <c r="OY87" s="3">
        <f ca="1">IFERROR(__xludf.DUMMYFUNCTION("""COMPUTED_VALUE"""),-0.035040410992333)</f>
        <v>-3.5040410992333001E-2</v>
      </c>
      <c r="OZ87" s="3">
        <f ca="1">IFERROR(__xludf.DUMMYFUNCTION("""COMPUTED_VALUE"""),-0.0212978808483969)</f>
        <v>-2.12978808483969E-2</v>
      </c>
      <c r="PA87" s="3">
        <f ca="1">IFERROR(__xludf.DUMMYFUNCTION("""COMPUTED_VALUE"""),-0.0490154532498352)</f>
        <v>-4.9015453249835202E-2</v>
      </c>
      <c r="PB87" s="3">
        <f ca="1">IFERROR(__xludf.DUMMYFUNCTION("""COMPUTED_VALUE"""),-0.00112457784971597)</f>
        <v>-1.12457784971597E-3</v>
      </c>
      <c r="PC87" s="3">
        <f ca="1">IFERROR(__xludf.DUMMYFUNCTION("""COMPUTED_VALUE"""),0.0107565007338081)</f>
        <v>1.07565007338081E-2</v>
      </c>
      <c r="PD87" s="3">
        <f ca="1">IFERROR(__xludf.DUMMYFUNCTION("""COMPUTED_VALUE"""),-0.182850058369242)</f>
        <v>-0.18285005836924201</v>
      </c>
      <c r="PE87" s="3">
        <f ca="1">IFERROR(__xludf.DUMMYFUNCTION("""COMPUTED_VALUE"""),-0.0489408013924124)</f>
        <v>-4.89408013924124E-2</v>
      </c>
      <c r="PF87" s="3">
        <f ca="1">IFERROR(__xludf.DUMMYFUNCTION("""COMPUTED_VALUE"""),-0.0100608556182569)</f>
        <v>-1.0060855618256899E-2</v>
      </c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</row>
    <row r="88" spans="1:594" ht="13">
      <c r="A88" s="1" t="str">
        <f ca="1">IFERROR(__xludf.DUMMYFUNCTION("""COMPUTED_VALUE"""),"Vancouver, WA")</f>
        <v>Vancouver, WA</v>
      </c>
      <c r="B88" s="3">
        <f ca="1">IFERROR(__xludf.DUMMYFUNCTION("""COMPUTED_VALUE"""),-0.674868831365512)</f>
        <v>-0.67486883136551201</v>
      </c>
      <c r="C88" s="3">
        <f ca="1">IFERROR(__xludf.DUMMYFUNCTION("""COMPUTED_VALUE"""),-0.701289509986726)</f>
        <v>-0.70128950998672601</v>
      </c>
      <c r="D88" s="3">
        <f ca="1">IFERROR(__xludf.DUMMYFUNCTION("""COMPUTED_VALUE"""),-0.754399899877544)</f>
        <v>-0.75439989987754397</v>
      </c>
      <c r="E88" s="3">
        <f ca="1">IFERROR(__xludf.DUMMYFUNCTION("""COMPUTED_VALUE"""),-0.75645136592613)</f>
        <v>-0.75645136592613005</v>
      </c>
      <c r="F88" s="3">
        <f ca="1">IFERROR(__xludf.DUMMYFUNCTION("""COMPUTED_VALUE"""),-0.782091806353608)</f>
        <v>-0.78209180635360798</v>
      </c>
      <c r="G88" s="3">
        <f ca="1">IFERROR(__xludf.DUMMYFUNCTION("""COMPUTED_VALUE"""),-0.719516473033036)</f>
        <v>-0.71951647303303601</v>
      </c>
      <c r="H88" s="3">
        <f ca="1">IFERROR(__xludf.DUMMYFUNCTION("""COMPUTED_VALUE"""),-0.489509077815042)</f>
        <v>-0.48950907781504199</v>
      </c>
      <c r="I88" s="3">
        <f ca="1">IFERROR(__xludf.DUMMYFUNCTION("""COMPUTED_VALUE"""),-0.573564168855826)</f>
        <v>-0.57356416885582595</v>
      </c>
      <c r="J88" s="3">
        <f ca="1">IFERROR(__xludf.DUMMYFUNCTION("""COMPUTED_VALUE"""),-0.630178406020366)</f>
        <v>-0.63017840602036601</v>
      </c>
      <c r="K88" s="3">
        <f ca="1">IFERROR(__xludf.DUMMYFUNCTION("""COMPUTED_VALUE"""),-0.689995732994352)</f>
        <v>-0.68999573299435202</v>
      </c>
      <c r="L88" s="3">
        <f ca="1">IFERROR(__xludf.DUMMYFUNCTION("""COMPUTED_VALUE"""),-0.678196823649241)</f>
        <v>-0.67819682364924105</v>
      </c>
      <c r="M88" s="3">
        <f ca="1">IFERROR(__xludf.DUMMYFUNCTION("""COMPUTED_VALUE"""),-0.701189277592651)</f>
        <v>-0.70118927759265104</v>
      </c>
      <c r="N88" s="3">
        <f ca="1">IFERROR(__xludf.DUMMYFUNCTION("""COMPUTED_VALUE"""),-0.654869831238793)</f>
        <v>-0.65486983123879305</v>
      </c>
      <c r="O88" s="3">
        <f ca="1">IFERROR(__xludf.DUMMYFUNCTION("""COMPUTED_VALUE"""),-0.658817905628838)</f>
        <v>-0.65881790562883802</v>
      </c>
      <c r="P88" s="3">
        <f ca="1">IFERROR(__xludf.DUMMYFUNCTION("""COMPUTED_VALUE"""),-0.549400035820637)</f>
        <v>-0.54940003582063701</v>
      </c>
      <c r="Q88" s="3">
        <f ca="1">IFERROR(__xludf.DUMMYFUNCTION("""COMPUTED_VALUE"""),-0.656861971197612)</f>
        <v>-0.65686197119761203</v>
      </c>
      <c r="R88" s="3">
        <f ca="1">IFERROR(__xludf.DUMMYFUNCTION("""COMPUTED_VALUE"""),-0.639265635780305)</f>
        <v>-0.63926563578030504</v>
      </c>
      <c r="S88" s="3">
        <f ca="1">IFERROR(__xludf.DUMMYFUNCTION("""COMPUTED_VALUE"""),-0.66071423737318)</f>
        <v>-0.66071423737318002</v>
      </c>
      <c r="T88" s="3">
        <f ca="1">IFERROR(__xludf.DUMMYFUNCTION("""COMPUTED_VALUE"""),-0.700638193803721)</f>
        <v>-0.70063819380372105</v>
      </c>
      <c r="U88" s="3">
        <f ca="1">IFERROR(__xludf.DUMMYFUNCTION("""COMPUTED_VALUE"""),-0.597717166298184)</f>
        <v>-0.59771716629818405</v>
      </c>
      <c r="V88" s="3">
        <f ca="1">IFERROR(__xludf.DUMMYFUNCTION("""COMPUTED_VALUE"""),-0.575146418407746)</f>
        <v>-0.57514641840774605</v>
      </c>
      <c r="W88" s="3">
        <f ca="1">IFERROR(__xludf.DUMMYFUNCTION("""COMPUTED_VALUE"""),-0.564623635884539)</f>
        <v>-0.56462363588453901</v>
      </c>
      <c r="X88" s="3">
        <f ca="1">IFERROR(__xludf.DUMMYFUNCTION("""COMPUTED_VALUE"""),-0.639550239450557)</f>
        <v>-0.639550239450557</v>
      </c>
      <c r="Y88" s="3">
        <f ca="1">IFERROR(__xludf.DUMMYFUNCTION("""COMPUTED_VALUE"""),-0.680773917360285)</f>
        <v>-0.68077391736028503</v>
      </c>
      <c r="Z88" s="3">
        <f ca="1">IFERROR(__xludf.DUMMYFUNCTION("""COMPUTED_VALUE"""),-0.626759895537248)</f>
        <v>-0.62675989553724798</v>
      </c>
      <c r="AA88" s="3">
        <f ca="1">IFERROR(__xludf.DUMMYFUNCTION("""COMPUTED_VALUE"""),-0.645576441415664)</f>
        <v>-0.64557644141566395</v>
      </c>
      <c r="AB88" s="3">
        <f ca="1">IFERROR(__xludf.DUMMYFUNCTION("""COMPUTED_VALUE"""),-0.67405727386347)</f>
        <v>-0.67405727386347003</v>
      </c>
      <c r="AC88" s="3">
        <f ca="1">IFERROR(__xludf.DUMMYFUNCTION("""COMPUTED_VALUE"""),-0.604229261187753)</f>
        <v>-0.604229261187753</v>
      </c>
      <c r="AD88" s="3">
        <f ca="1">IFERROR(__xludf.DUMMYFUNCTION("""COMPUTED_VALUE"""),-0.603006554715176)</f>
        <v>-0.60300655471517595</v>
      </c>
      <c r="AE88" s="3">
        <f ca="1">IFERROR(__xludf.DUMMYFUNCTION("""COMPUTED_VALUE"""),-0.651437487925052)</f>
        <v>-0.65143748792505196</v>
      </c>
      <c r="AF88" s="3">
        <f ca="1">IFERROR(__xludf.DUMMYFUNCTION("""COMPUTED_VALUE"""),-0.699620055740937)</f>
        <v>-0.699620055740937</v>
      </c>
      <c r="AG88" s="3">
        <f ca="1">IFERROR(__xludf.DUMMYFUNCTION("""COMPUTED_VALUE"""),-0.730617944640176)</f>
        <v>-0.73061794464017604</v>
      </c>
      <c r="AH88" s="3">
        <f ca="1">IFERROR(__xludf.DUMMYFUNCTION("""COMPUTED_VALUE"""),-0.685727747147188)</f>
        <v>-0.68572774714718798</v>
      </c>
      <c r="AI88" s="3">
        <f ca="1">IFERROR(__xludf.DUMMYFUNCTION("""COMPUTED_VALUE"""),-0.663820456552732)</f>
        <v>-0.66382045655273203</v>
      </c>
      <c r="AJ88" s="3">
        <f ca="1">IFERROR(__xludf.DUMMYFUNCTION("""COMPUTED_VALUE"""),-0.633018178183764)</f>
        <v>-0.63301817818376405</v>
      </c>
      <c r="AK88" s="3">
        <f ca="1">IFERROR(__xludf.DUMMYFUNCTION("""COMPUTED_VALUE"""),-0.629103575449937)</f>
        <v>-0.629103575449937</v>
      </c>
      <c r="AL88" s="3">
        <f ca="1">IFERROR(__xludf.DUMMYFUNCTION("""COMPUTED_VALUE"""),-0.707607132253546)</f>
        <v>-0.70760713225354599</v>
      </c>
      <c r="AM88" s="3">
        <f ca="1">IFERROR(__xludf.DUMMYFUNCTION("""COMPUTED_VALUE"""),-0.679075568894141)</f>
        <v>-0.679075568894141</v>
      </c>
      <c r="AN88" s="3">
        <f ca="1">IFERROR(__xludf.DUMMYFUNCTION("""COMPUTED_VALUE"""),-0.675333443916378)</f>
        <v>-0.67533344391637795</v>
      </c>
      <c r="AO88" s="3">
        <f ca="1">IFERROR(__xludf.DUMMYFUNCTION("""COMPUTED_VALUE"""),-0.752192849782765)</f>
        <v>-0.75219284978276502</v>
      </c>
      <c r="AP88" s="3">
        <f ca="1">IFERROR(__xludf.DUMMYFUNCTION("""COMPUTED_VALUE"""),-0.579505892110033)</f>
        <v>-0.57950589211003301</v>
      </c>
      <c r="AQ88" s="3">
        <f ca="1">IFERROR(__xludf.DUMMYFUNCTION("""COMPUTED_VALUE"""),-0.629375801831333)</f>
        <v>-0.62937580183133301</v>
      </c>
      <c r="AR88" s="3">
        <f ca="1">IFERROR(__xludf.DUMMYFUNCTION("""COMPUTED_VALUE"""),-0.691058421238763)</f>
        <v>-0.69105842123876304</v>
      </c>
      <c r="AS88" s="3">
        <f ca="1">IFERROR(__xludf.DUMMYFUNCTION("""COMPUTED_VALUE"""),-0.689989866937509)</f>
        <v>-0.68998986693750897</v>
      </c>
      <c r="AT88" s="3">
        <f ca="1">IFERROR(__xludf.DUMMYFUNCTION("""COMPUTED_VALUE"""),-0.724922525046003)</f>
        <v>-0.72492252504600296</v>
      </c>
      <c r="AU88" s="3">
        <f ca="1">IFERROR(__xludf.DUMMYFUNCTION("""COMPUTED_VALUE"""),-0.754153572963256)</f>
        <v>-0.75415357296325602</v>
      </c>
      <c r="AV88" s="3">
        <f ca="1">IFERROR(__xludf.DUMMYFUNCTION("""COMPUTED_VALUE"""),-0.706618030963848)</f>
        <v>-0.70661803096384801</v>
      </c>
      <c r="AW88" s="3">
        <f ca="1">IFERROR(__xludf.DUMMYFUNCTION("""COMPUTED_VALUE"""),-0.711290384795662)</f>
        <v>-0.71129038479566198</v>
      </c>
      <c r="AX88" s="3">
        <f ca="1">IFERROR(__xludf.DUMMYFUNCTION("""COMPUTED_VALUE"""),-0.706610976557582)</f>
        <v>-0.70661097655758198</v>
      </c>
      <c r="AY88" s="3">
        <f ca="1">IFERROR(__xludf.DUMMYFUNCTION("""COMPUTED_VALUE"""),-0.699927661533426)</f>
        <v>-0.699927661533426</v>
      </c>
      <c r="AZ88" s="3">
        <f ca="1">IFERROR(__xludf.DUMMYFUNCTION("""COMPUTED_VALUE"""),-0.691834360488742)</f>
        <v>-0.69183436048874203</v>
      </c>
      <c r="BA88" s="3">
        <f ca="1">IFERROR(__xludf.DUMMYFUNCTION("""COMPUTED_VALUE"""),-0.682064769777004)</f>
        <v>-0.68206476977700403</v>
      </c>
      <c r="BB88" s="3">
        <f ca="1">IFERROR(__xludf.DUMMYFUNCTION("""COMPUTED_VALUE"""),-0.691572134774251)</f>
        <v>-0.69157213477425095</v>
      </c>
      <c r="BC88" s="3">
        <f ca="1">IFERROR(__xludf.DUMMYFUNCTION("""COMPUTED_VALUE"""),-0.629124752007005)</f>
        <v>-0.62912475200700502</v>
      </c>
      <c r="BD88" s="3">
        <f ca="1">IFERROR(__xludf.DUMMYFUNCTION("""COMPUTED_VALUE"""),-0.245140747575904)</f>
        <v>-0.24514074757590401</v>
      </c>
      <c r="BE88" s="3">
        <f ca="1">IFERROR(__xludf.DUMMYFUNCTION("""COMPUTED_VALUE"""),-0.226208051270917)</f>
        <v>-0.226208051270917</v>
      </c>
      <c r="BF88" s="3">
        <f ca="1">IFERROR(__xludf.DUMMYFUNCTION("""COMPUTED_VALUE"""),-0.620375188039099)</f>
        <v>-0.62037518803909897</v>
      </c>
      <c r="BG88" s="3">
        <f ca="1">IFERROR(__xludf.DUMMYFUNCTION("""COMPUTED_VALUE"""),-0.710571550360422)</f>
        <v>-0.71057155036042197</v>
      </c>
      <c r="BH88" s="3">
        <f ca="1">IFERROR(__xludf.DUMMYFUNCTION("""COMPUTED_VALUE"""),-0.77242540167488)</f>
        <v>-0.77242540167488005</v>
      </c>
      <c r="BI88" s="3">
        <f ca="1">IFERROR(__xludf.DUMMYFUNCTION("""COMPUTED_VALUE"""),-0.726792592489649)</f>
        <v>-0.726792592489649</v>
      </c>
      <c r="BJ88" s="3">
        <f ca="1">IFERROR(__xludf.DUMMYFUNCTION("""COMPUTED_VALUE"""),-0.773256458110278)</f>
        <v>-0.77325645811027799</v>
      </c>
      <c r="BK88" s="3">
        <f ca="1">IFERROR(__xludf.DUMMYFUNCTION("""COMPUTED_VALUE"""),-0.693755821911269)</f>
        <v>-0.69375582191126905</v>
      </c>
      <c r="BL88" s="3">
        <f ca="1">IFERROR(__xludf.DUMMYFUNCTION("""COMPUTED_VALUE"""),-0.679892586982948)</f>
        <v>-0.67989258698294797</v>
      </c>
      <c r="BM88" s="3">
        <f ca="1">IFERROR(__xludf.DUMMYFUNCTION("""COMPUTED_VALUE"""),-0.652281283494465)</f>
        <v>-0.65228128349446501</v>
      </c>
      <c r="BN88" s="3">
        <f ca="1">IFERROR(__xludf.DUMMYFUNCTION("""COMPUTED_VALUE"""),-0.753798548394404)</f>
        <v>-0.75379854839440397</v>
      </c>
      <c r="BO88" s="3">
        <f ca="1">IFERROR(__xludf.DUMMYFUNCTION("""COMPUTED_VALUE"""),-0.780099445209325)</f>
        <v>-0.78009944520932495</v>
      </c>
      <c r="BP88" s="3">
        <f ca="1">IFERROR(__xludf.DUMMYFUNCTION("""COMPUTED_VALUE"""),-0.737597691103661)</f>
        <v>-0.73759769110366102</v>
      </c>
      <c r="BQ88" s="3">
        <f ca="1">IFERROR(__xludf.DUMMYFUNCTION("""COMPUTED_VALUE"""),-0.779262976151328)</f>
        <v>-0.779262976151328</v>
      </c>
      <c r="BR88" s="3">
        <f ca="1">IFERROR(__xludf.DUMMYFUNCTION("""COMPUTED_VALUE"""),-0.741519756701004)</f>
        <v>-0.74151975670100401</v>
      </c>
      <c r="BS88" s="3">
        <f ca="1">IFERROR(__xludf.DUMMYFUNCTION("""COMPUTED_VALUE"""),-0.667138692367873)</f>
        <v>-0.66713869236787304</v>
      </c>
      <c r="BT88" s="3">
        <f ca="1">IFERROR(__xludf.DUMMYFUNCTION("""COMPUTED_VALUE"""),-0.739590353147115)</f>
        <v>-0.73959035314711497</v>
      </c>
      <c r="BU88" s="3">
        <f ca="1">IFERROR(__xludf.DUMMYFUNCTION("""COMPUTED_VALUE"""),-0.744509670922267)</f>
        <v>-0.74450967092226705</v>
      </c>
      <c r="BV88" s="3">
        <f ca="1">IFERROR(__xludf.DUMMYFUNCTION("""COMPUTED_VALUE"""),-0.757780295740459)</f>
        <v>-0.75778029574045902</v>
      </c>
      <c r="BW88" s="3">
        <f ca="1">IFERROR(__xludf.DUMMYFUNCTION("""COMPUTED_VALUE"""),-0.759390589268386)</f>
        <v>-0.75939058926838598</v>
      </c>
      <c r="BX88" s="3">
        <f ca="1">IFERROR(__xludf.DUMMYFUNCTION("""COMPUTED_VALUE"""),-0.754330900297314)</f>
        <v>-0.75433090029731398</v>
      </c>
      <c r="BY88" s="3">
        <f ca="1">IFERROR(__xludf.DUMMYFUNCTION("""COMPUTED_VALUE"""),-0.726899810855543)</f>
        <v>-0.726899810855543</v>
      </c>
      <c r="BZ88" s="3">
        <f ca="1">IFERROR(__xludf.DUMMYFUNCTION("""COMPUTED_VALUE"""),-0.678433997956578)</f>
        <v>-0.67843399795657799</v>
      </c>
      <c r="CA88" s="3">
        <f ca="1">IFERROR(__xludf.DUMMYFUNCTION("""COMPUTED_VALUE"""),-0.649108470266558)</f>
        <v>-0.64910847026655805</v>
      </c>
      <c r="CB88" s="3">
        <f ca="1">IFERROR(__xludf.DUMMYFUNCTION("""COMPUTED_VALUE"""),-0.747577678493261)</f>
        <v>-0.74757767849326096</v>
      </c>
      <c r="CC88" s="3">
        <f ca="1">IFERROR(__xludf.DUMMYFUNCTION("""COMPUTED_VALUE"""),-0.74673151924941)</f>
        <v>-0.74673151924940995</v>
      </c>
      <c r="CD88" s="3">
        <f ca="1">IFERROR(__xludf.DUMMYFUNCTION("""COMPUTED_VALUE"""),-0.77353665781875)</f>
        <v>-0.77353665781875003</v>
      </c>
      <c r="CE88" s="3">
        <f ca="1">IFERROR(__xludf.DUMMYFUNCTION("""COMPUTED_VALUE"""),-0.744865990585421)</f>
        <v>-0.74486599058542102</v>
      </c>
      <c r="CF88" s="3">
        <f ca="1">IFERROR(__xludf.DUMMYFUNCTION("""COMPUTED_VALUE"""),-0.650518322326179)</f>
        <v>-0.65051832232617901</v>
      </c>
      <c r="CG88" s="3">
        <f ca="1">IFERROR(__xludf.DUMMYFUNCTION("""COMPUTED_VALUE"""),-0.671025185036787)</f>
        <v>-0.67102518503678699</v>
      </c>
      <c r="CH88" s="3">
        <f ca="1">IFERROR(__xludf.DUMMYFUNCTION("""COMPUTED_VALUE"""),-0.645808824068482)</f>
        <v>-0.64580882406848195</v>
      </c>
      <c r="CI88" s="3">
        <f ca="1">IFERROR(__xludf.DUMMYFUNCTION("""COMPUTED_VALUE"""),-0.748609096250836)</f>
        <v>-0.74860909625083605</v>
      </c>
      <c r="CJ88" s="3">
        <f ca="1">IFERROR(__xludf.DUMMYFUNCTION("""COMPUTED_VALUE"""),-0.766108323906471)</f>
        <v>-0.76610832390647099</v>
      </c>
      <c r="CK88" s="3">
        <f ca="1">IFERROR(__xludf.DUMMYFUNCTION("""COMPUTED_VALUE"""),-0.759791783771709)</f>
        <v>-0.75979178377170897</v>
      </c>
      <c r="CL88" s="3">
        <f ca="1">IFERROR(__xludf.DUMMYFUNCTION("""COMPUTED_VALUE"""),-0.781758186667154)</f>
        <v>-0.78175818666715402</v>
      </c>
      <c r="CM88" s="3">
        <f ca="1">IFERROR(__xludf.DUMMYFUNCTION("""COMPUTED_VALUE"""),-0.760019767154327)</f>
        <v>-0.76001976715432695</v>
      </c>
      <c r="CN88" s="3">
        <f ca="1">IFERROR(__xludf.DUMMYFUNCTION("""COMPUTED_VALUE"""),-0.621086971451775)</f>
        <v>-0.62108697145177505</v>
      </c>
      <c r="CO88" s="3">
        <f ca="1">IFERROR(__xludf.DUMMYFUNCTION("""COMPUTED_VALUE"""),-0.619448461007217)</f>
        <v>-0.61944846100721696</v>
      </c>
      <c r="CP88" s="3">
        <f ca="1">IFERROR(__xludf.DUMMYFUNCTION("""COMPUTED_VALUE"""),-0.759008163799396)</f>
        <v>-0.75900816379939595</v>
      </c>
      <c r="CQ88" s="3">
        <f ca="1">IFERROR(__xludf.DUMMYFUNCTION("""COMPUTED_VALUE"""),-0.735177927308978)</f>
        <v>-0.73517792730897802</v>
      </c>
      <c r="CR88" s="3">
        <f ca="1">IFERROR(__xludf.DUMMYFUNCTION("""COMPUTED_VALUE"""),-0.696047285631456)</f>
        <v>-0.69604728563145601</v>
      </c>
      <c r="CS88" s="3">
        <f ca="1">IFERROR(__xludf.DUMMYFUNCTION("""COMPUTED_VALUE"""),-0.748202920472743)</f>
        <v>-0.74820292047274295</v>
      </c>
      <c r="CT88" s="3">
        <f ca="1">IFERROR(__xludf.DUMMYFUNCTION("""COMPUTED_VALUE"""),-0.780616544682247)</f>
        <v>-0.78061654468224695</v>
      </c>
      <c r="CU88" s="3">
        <f ca="1">IFERROR(__xludf.DUMMYFUNCTION("""COMPUTED_VALUE"""),-0.705856088296809)</f>
        <v>-0.70585608829680901</v>
      </c>
      <c r="CV88" s="3">
        <f ca="1">IFERROR(__xludf.DUMMYFUNCTION("""COMPUTED_VALUE"""),-0.763654461119689)</f>
        <v>-0.76365446111968904</v>
      </c>
      <c r="CW88" s="3">
        <f ca="1">IFERROR(__xludf.DUMMYFUNCTION("""COMPUTED_VALUE"""),-0.837587414875836)</f>
        <v>-0.83758741487583599</v>
      </c>
      <c r="CX88" s="3">
        <f ca="1">IFERROR(__xludf.DUMMYFUNCTION("""COMPUTED_VALUE"""),-0.636207093836383)</f>
        <v>-0.63620709383638296</v>
      </c>
      <c r="CY88" s="3">
        <f ca="1">IFERROR(__xludf.DUMMYFUNCTION("""COMPUTED_VALUE"""),-0.554244706800751)</f>
        <v>-0.554244706800751</v>
      </c>
      <c r="CZ88" s="3">
        <f ca="1">IFERROR(__xludf.DUMMYFUNCTION("""COMPUTED_VALUE"""),-0.679765271666271)</f>
        <v>-0.67976527166627099</v>
      </c>
      <c r="DA88" s="3">
        <f ca="1">IFERROR(__xludf.DUMMYFUNCTION("""COMPUTED_VALUE"""),-0.644479742127999)</f>
        <v>-0.64447974212799897</v>
      </c>
      <c r="DB88" s="3">
        <f ca="1">IFERROR(__xludf.DUMMYFUNCTION("""COMPUTED_VALUE"""),-0.622000391607244)</f>
        <v>-0.62200039160724396</v>
      </c>
      <c r="DC88" s="3">
        <f ca="1">IFERROR(__xludf.DUMMYFUNCTION("""COMPUTED_VALUE"""),-0.7672995838324)</f>
        <v>-0.76729958383240005</v>
      </c>
      <c r="DD88" s="3">
        <f ca="1">IFERROR(__xludf.DUMMYFUNCTION("""COMPUTED_VALUE"""),-0.889517052210448)</f>
        <v>-0.88951705221044797</v>
      </c>
      <c r="DE88" s="3">
        <f ca="1">IFERROR(__xludf.DUMMYFUNCTION("""COMPUTED_VALUE"""),-0.653501121057332)</f>
        <v>-0.65350112105733205</v>
      </c>
      <c r="DF88" s="3">
        <f ca="1">IFERROR(__xludf.DUMMYFUNCTION("""COMPUTED_VALUE"""),-0.508934614038903)</f>
        <v>-0.50893461403890305</v>
      </c>
      <c r="DG88" s="3">
        <f ca="1">IFERROR(__xludf.DUMMYFUNCTION("""COMPUTED_VALUE"""),-0.626999083192504)</f>
        <v>-0.62699908319250397</v>
      </c>
      <c r="DH88" s="3">
        <f ca="1">IFERROR(__xludf.DUMMYFUNCTION("""COMPUTED_VALUE"""),-0.688803330271562)</f>
        <v>-0.68880333027156204</v>
      </c>
      <c r="DI88" s="3">
        <f ca="1">IFERROR(__xludf.DUMMYFUNCTION("""COMPUTED_VALUE"""),-0.570243758137226)</f>
        <v>-0.57024375813722605</v>
      </c>
      <c r="DJ88" s="3">
        <f ca="1">IFERROR(__xludf.DUMMYFUNCTION("""COMPUTED_VALUE"""),-0.655311508727245)</f>
        <v>-0.65531150872724497</v>
      </c>
      <c r="DK88" s="3">
        <f ca="1">IFERROR(__xludf.DUMMYFUNCTION("""COMPUTED_VALUE"""),-0.680375137166247)</f>
        <v>-0.68037513716624698</v>
      </c>
      <c r="DL88" s="3">
        <f ca="1">IFERROR(__xludf.DUMMYFUNCTION("""COMPUTED_VALUE"""),-0.709057395866209)</f>
        <v>-0.70905739586620897</v>
      </c>
      <c r="DM88" s="3">
        <f ca="1">IFERROR(__xludf.DUMMYFUNCTION("""COMPUTED_VALUE"""),-0.711099651519151)</f>
        <v>-0.711099651519151</v>
      </c>
      <c r="DN88" s="3">
        <f ca="1">IFERROR(__xludf.DUMMYFUNCTION("""COMPUTED_VALUE"""),-0.759197979254522)</f>
        <v>-0.75919797925452204</v>
      </c>
      <c r="DO88" s="3">
        <f ca="1">IFERROR(__xludf.DUMMYFUNCTION("""COMPUTED_VALUE"""),-0.579491518965601)</f>
        <v>-0.57949151896560103</v>
      </c>
      <c r="DP88" s="3">
        <f ca="1">IFERROR(__xludf.DUMMYFUNCTION("""COMPUTED_VALUE"""),-0.542950055802414)</f>
        <v>-0.54295005580241396</v>
      </c>
      <c r="DQ88" s="3">
        <f ca="1">IFERROR(__xludf.DUMMYFUNCTION("""COMPUTED_VALUE"""),-0.626823432601724)</f>
        <v>-0.62682343260172402</v>
      </c>
      <c r="DR88" s="3">
        <f ca="1">IFERROR(__xludf.DUMMYFUNCTION("""COMPUTED_VALUE"""),-0.759926708310583)</f>
        <v>-0.75992670831058295</v>
      </c>
      <c r="DS88" s="3">
        <f ca="1">IFERROR(__xludf.DUMMYFUNCTION("""COMPUTED_VALUE"""),-0.770343918157796)</f>
        <v>-0.77034391815779601</v>
      </c>
      <c r="DT88" s="3">
        <f ca="1">IFERROR(__xludf.DUMMYFUNCTION("""COMPUTED_VALUE"""),-0.740515557745608)</f>
        <v>-0.74051555774560796</v>
      </c>
      <c r="DU88" s="3">
        <f ca="1">IFERROR(__xludf.DUMMYFUNCTION("""COMPUTED_VALUE"""),-0.680642116962635)</f>
        <v>-0.68064211696263499</v>
      </c>
      <c r="DV88" s="3">
        <f ca="1">IFERROR(__xludf.DUMMYFUNCTION("""COMPUTED_VALUE"""),-0.668280236018159)</f>
        <v>-0.668280236018159</v>
      </c>
      <c r="DW88" s="3">
        <f ca="1">IFERROR(__xludf.DUMMYFUNCTION("""COMPUTED_VALUE"""),-0.537392911214002)</f>
        <v>-0.53739291121400201</v>
      </c>
      <c r="DX88" s="3">
        <f ca="1">IFERROR(__xludf.DUMMYFUNCTION("""COMPUTED_VALUE"""),-0.575309936724041)</f>
        <v>-0.57530993672404096</v>
      </c>
      <c r="DY88" s="3">
        <f ca="1">IFERROR(__xludf.DUMMYFUNCTION("""COMPUTED_VALUE"""),-0.669750529319718)</f>
        <v>-0.66975052931971801</v>
      </c>
      <c r="DZ88" s="3">
        <f ca="1">IFERROR(__xludf.DUMMYFUNCTION("""COMPUTED_VALUE"""),-0.684431077353529)</f>
        <v>-0.68443107735352904</v>
      </c>
      <c r="EA88" s="3">
        <f ca="1">IFERROR(__xludf.DUMMYFUNCTION("""COMPUTED_VALUE"""),-0.722267709280509)</f>
        <v>-0.72226770928050898</v>
      </c>
      <c r="EB88" s="3">
        <f ca="1">IFERROR(__xludf.DUMMYFUNCTION("""COMPUTED_VALUE"""),-0.72666936517138)</f>
        <v>-0.72666936517138003</v>
      </c>
      <c r="EC88" s="3">
        <f ca="1">IFERROR(__xludf.DUMMYFUNCTION("""COMPUTED_VALUE"""),-0.65725099121813)</f>
        <v>-0.65725099121813002</v>
      </c>
      <c r="ED88" s="3">
        <f ca="1">IFERROR(__xludf.DUMMYFUNCTION("""COMPUTED_VALUE"""),-0.583661645831537)</f>
        <v>-0.58366164583153701</v>
      </c>
      <c r="EE88" s="3">
        <f ca="1">IFERROR(__xludf.DUMMYFUNCTION("""COMPUTED_VALUE"""),-0.63152849325571)</f>
        <v>-0.63152849325571003</v>
      </c>
      <c r="EF88" s="3">
        <f ca="1">IFERROR(__xludf.DUMMYFUNCTION("""COMPUTED_VALUE"""),-0.731887579632611)</f>
        <v>-0.73188757963261097</v>
      </c>
      <c r="EG88" s="3">
        <f ca="1">IFERROR(__xludf.DUMMYFUNCTION("""COMPUTED_VALUE"""),-0.838591090146692)</f>
        <v>-0.83859109014669198</v>
      </c>
      <c r="EH88" s="3">
        <f ca="1">IFERROR(__xludf.DUMMYFUNCTION("""COMPUTED_VALUE"""),-0.768902004559576)</f>
        <v>-0.76890200455957602</v>
      </c>
      <c r="EI88" s="3">
        <f ca="1">IFERROR(__xludf.DUMMYFUNCTION("""COMPUTED_VALUE"""),-0.718476603505316)</f>
        <v>-0.71847660350531595</v>
      </c>
      <c r="EJ88" s="3">
        <f ca="1">IFERROR(__xludf.DUMMYFUNCTION("""COMPUTED_VALUE"""),-0.684796861786002)</f>
        <v>-0.68479686178600196</v>
      </c>
      <c r="EK88" s="3">
        <f ca="1">IFERROR(__xludf.DUMMYFUNCTION("""COMPUTED_VALUE"""),-0.547936984009545)</f>
        <v>-0.54793698400954505</v>
      </c>
      <c r="EL88" s="3">
        <f ca="1">IFERROR(__xludf.DUMMYFUNCTION("""COMPUTED_VALUE"""),-0.609726609004067)</f>
        <v>-0.60972660900406705</v>
      </c>
      <c r="EM88" s="3">
        <f ca="1">IFERROR(__xludf.DUMMYFUNCTION("""COMPUTED_VALUE"""),-0.670517379668561)</f>
        <v>-0.67051737966856095</v>
      </c>
      <c r="EN88" s="3">
        <f ca="1">IFERROR(__xludf.DUMMYFUNCTION("""COMPUTED_VALUE"""),-0.683207481413253)</f>
        <v>-0.68320748141325305</v>
      </c>
      <c r="EO88" s="3">
        <f ca="1">IFERROR(__xludf.DUMMYFUNCTION("""COMPUTED_VALUE"""),-0.750561982967294)</f>
        <v>-0.75056198296729404</v>
      </c>
      <c r="EP88" s="3">
        <f ca="1">IFERROR(__xludf.DUMMYFUNCTION("""COMPUTED_VALUE"""),-0.738858357316266)</f>
        <v>-0.73885835731626603</v>
      </c>
      <c r="EQ88" s="3">
        <f ca="1">IFERROR(__xludf.DUMMYFUNCTION("""COMPUTED_VALUE"""),-0.620338728366638)</f>
        <v>-0.62033872836663795</v>
      </c>
      <c r="ER88" s="3">
        <f ca="1">IFERROR(__xludf.DUMMYFUNCTION("""COMPUTED_VALUE"""),-0.580233855383317)</f>
        <v>-0.58023385538331695</v>
      </c>
      <c r="ES88" s="3">
        <f ca="1">IFERROR(__xludf.DUMMYFUNCTION("""COMPUTED_VALUE"""),-0.65731231747398)</f>
        <v>-0.65731231747398</v>
      </c>
      <c r="ET88" s="3">
        <f ca="1">IFERROR(__xludf.DUMMYFUNCTION("""COMPUTED_VALUE"""),-0.757200910451826)</f>
        <v>-0.75720091045182603</v>
      </c>
      <c r="EU88" s="3">
        <f ca="1">IFERROR(__xludf.DUMMYFUNCTION("""COMPUTED_VALUE"""),-0.761767237266754)</f>
        <v>-0.76176723726675399</v>
      </c>
      <c r="EV88" s="3">
        <f ca="1">IFERROR(__xludf.DUMMYFUNCTION("""COMPUTED_VALUE"""),-0.732019631137699)</f>
        <v>-0.73201963113769897</v>
      </c>
      <c r="EW88" s="3">
        <f ca="1">IFERROR(__xludf.DUMMYFUNCTION("""COMPUTED_VALUE"""),-0.700989489618413)</f>
        <v>-0.70098948961841301</v>
      </c>
      <c r="EX88" s="3">
        <f ca="1">IFERROR(__xludf.DUMMYFUNCTION("""COMPUTED_VALUE"""),-0.672625146770085)</f>
        <v>-0.672625146770085</v>
      </c>
      <c r="EY88" s="3">
        <f ca="1">IFERROR(__xludf.DUMMYFUNCTION("""COMPUTED_VALUE"""),-0.533303043231272)</f>
        <v>-0.53330304323127198</v>
      </c>
      <c r="EZ88" s="3">
        <f ca="1">IFERROR(__xludf.DUMMYFUNCTION("""COMPUTED_VALUE"""),-0.598580418829135)</f>
        <v>-0.59858041882913504</v>
      </c>
      <c r="FA88" s="3">
        <f ca="1">IFERROR(__xludf.DUMMYFUNCTION("""COMPUTED_VALUE"""),-0.697308431905498)</f>
        <v>-0.69730843190549796</v>
      </c>
      <c r="FB88" s="3">
        <f ca="1">IFERROR(__xludf.DUMMYFUNCTION("""COMPUTED_VALUE"""),-0.69773268713228)</f>
        <v>-0.69773268713227998</v>
      </c>
      <c r="FC88" s="3">
        <f ca="1">IFERROR(__xludf.DUMMYFUNCTION("""COMPUTED_VALUE"""),-0.700462863951799)</f>
        <v>-0.70046286395179902</v>
      </c>
      <c r="FD88" s="3">
        <f ca="1">IFERROR(__xludf.DUMMYFUNCTION("""COMPUTED_VALUE"""),-0.758324943171996)</f>
        <v>-0.75832494317199595</v>
      </c>
      <c r="FE88" s="3">
        <f ca="1">IFERROR(__xludf.DUMMYFUNCTION("""COMPUTED_VALUE"""),-0.595049820621376)</f>
        <v>-0.59504982062137601</v>
      </c>
      <c r="FF88" s="3">
        <f ca="1">IFERROR(__xludf.DUMMYFUNCTION("""COMPUTED_VALUE"""),-0.39355063695455)</f>
        <v>-0.39355063695455</v>
      </c>
      <c r="FG88" s="3">
        <f ca="1">IFERROR(__xludf.DUMMYFUNCTION("""COMPUTED_VALUE"""),-0.683120120670803)</f>
        <v>-0.68312012067080297</v>
      </c>
      <c r="FH88" s="3">
        <f ca="1">IFERROR(__xludf.DUMMYFUNCTION("""COMPUTED_VALUE"""),-0.766921596277597)</f>
        <v>-0.76692159627759704</v>
      </c>
      <c r="FI88" s="3">
        <f ca="1">IFERROR(__xludf.DUMMYFUNCTION("""COMPUTED_VALUE"""),-0.768131618820469)</f>
        <v>-0.76813161882046899</v>
      </c>
      <c r="FJ88" s="3">
        <f ca="1">IFERROR(__xludf.DUMMYFUNCTION("""COMPUTED_VALUE"""),-0.687380849015197)</f>
        <v>-0.68738084901519703</v>
      </c>
      <c r="FK88" s="3">
        <f ca="1">IFERROR(__xludf.DUMMYFUNCTION("""COMPUTED_VALUE"""),-0.748044726639749)</f>
        <v>-0.74804472663974897</v>
      </c>
      <c r="FL88" s="3">
        <f ca="1">IFERROR(__xludf.DUMMYFUNCTION("""COMPUTED_VALUE"""),-0.703478906702937)</f>
        <v>-0.703478906702937</v>
      </c>
      <c r="FM88" s="3">
        <f ca="1">IFERROR(__xludf.DUMMYFUNCTION("""COMPUTED_VALUE"""),-0.502378439584095)</f>
        <v>-0.502378439584095</v>
      </c>
      <c r="FN88" s="3">
        <f ca="1">IFERROR(__xludf.DUMMYFUNCTION("""COMPUTED_VALUE"""),-0.644195663847497)</f>
        <v>-0.64419566384749705</v>
      </c>
      <c r="FO88" s="3">
        <f ca="1">IFERROR(__xludf.DUMMYFUNCTION("""COMPUTED_VALUE"""),-0.721546347614858)</f>
        <v>-0.72154634761485803</v>
      </c>
      <c r="FP88" s="3">
        <f ca="1">IFERROR(__xludf.DUMMYFUNCTION("""COMPUTED_VALUE"""),-0.745115456768981)</f>
        <v>-0.74511545676898105</v>
      </c>
      <c r="FQ88" s="3">
        <f ca="1">IFERROR(__xludf.DUMMYFUNCTION("""COMPUTED_VALUE"""),-0.700264297061339)</f>
        <v>-0.70026429706133897</v>
      </c>
      <c r="FR88" s="3">
        <f ca="1">IFERROR(__xludf.DUMMYFUNCTION("""COMPUTED_VALUE"""),-0.737432625375906)</f>
        <v>-0.73743262537590604</v>
      </c>
      <c r="FS88" s="3">
        <f ca="1">IFERROR(__xludf.DUMMYFUNCTION("""COMPUTED_VALUE"""),-0.685469605521366)</f>
        <v>-0.68546960552136604</v>
      </c>
      <c r="FT88" s="3">
        <f ca="1">IFERROR(__xludf.DUMMYFUNCTION("""COMPUTED_VALUE"""),-0.560963815292565)</f>
        <v>-0.560963815292565</v>
      </c>
      <c r="FU88" s="3">
        <f ca="1">IFERROR(__xludf.DUMMYFUNCTION("""COMPUTED_VALUE"""),-0.618074972284834)</f>
        <v>-0.61807497228483399</v>
      </c>
      <c r="FV88" s="3">
        <f ca="1">IFERROR(__xludf.DUMMYFUNCTION("""COMPUTED_VALUE"""),-0.716698775337618)</f>
        <v>-0.71669877533761805</v>
      </c>
      <c r="FW88" s="3">
        <f ca="1">IFERROR(__xludf.DUMMYFUNCTION("""COMPUTED_VALUE"""),-0.671648706629945)</f>
        <v>-0.67164870662994502</v>
      </c>
      <c r="FX88" s="3">
        <f ca="1">IFERROR(__xludf.DUMMYFUNCTION("""COMPUTED_VALUE"""),-0.67674889938222)</f>
        <v>-0.67674889938222005</v>
      </c>
      <c r="FY88" s="3">
        <f ca="1">IFERROR(__xludf.DUMMYFUNCTION("""COMPUTED_VALUE"""),-0.759765196467173)</f>
        <v>-0.759765196467173</v>
      </c>
      <c r="FZ88" s="3">
        <f ca="1">IFERROR(__xludf.DUMMYFUNCTION("""COMPUTED_VALUE"""),-0.551339511667187)</f>
        <v>-0.55133951166718698</v>
      </c>
      <c r="GA88" s="3">
        <f ca="1">IFERROR(__xludf.DUMMYFUNCTION("""COMPUTED_VALUE"""),-0.661155863050256)</f>
        <v>-0.66115586305025598</v>
      </c>
      <c r="GB88" s="3">
        <f ca="1">IFERROR(__xludf.DUMMYFUNCTION("""COMPUTED_VALUE"""),-0.606779798370028)</f>
        <v>-0.60677979837002805</v>
      </c>
      <c r="GC88" s="3">
        <f ca="1">IFERROR(__xludf.DUMMYFUNCTION("""COMPUTED_VALUE"""),-0.706480773857459)</f>
        <v>-0.706480773857459</v>
      </c>
      <c r="GD88" s="3">
        <f ca="1">IFERROR(__xludf.DUMMYFUNCTION("""COMPUTED_VALUE"""),-0.764958999730298)</f>
        <v>-0.76495899973029802</v>
      </c>
      <c r="GE88" s="3">
        <f ca="1">IFERROR(__xludf.DUMMYFUNCTION("""COMPUTED_VALUE"""),-0.719871453273477)</f>
        <v>-0.71987145327347701</v>
      </c>
      <c r="GF88" s="3">
        <f ca="1">IFERROR(__xludf.DUMMYFUNCTION("""COMPUTED_VALUE"""),-0.742319816493711)</f>
        <v>-0.74231981649371104</v>
      </c>
      <c r="GG88" s="3">
        <f ca="1">IFERROR(__xludf.DUMMYFUNCTION("""COMPUTED_VALUE"""),-0.659230237101738)</f>
        <v>-0.659230237101738</v>
      </c>
      <c r="GH88" s="3">
        <f ca="1">IFERROR(__xludf.DUMMYFUNCTION("""COMPUTED_VALUE"""),-0.540246286010062)</f>
        <v>-0.54024628601006197</v>
      </c>
      <c r="GI88" s="3">
        <f ca="1">IFERROR(__xludf.DUMMYFUNCTION("""COMPUTED_VALUE"""),-0.603548854374637)</f>
        <v>-0.60354885437463701</v>
      </c>
      <c r="GJ88" s="3">
        <f ca="1">IFERROR(__xludf.DUMMYFUNCTION("""COMPUTED_VALUE"""),-0.67785362941793)</f>
        <v>-0.67785362941793004</v>
      </c>
      <c r="GK88" s="3">
        <f ca="1">IFERROR(__xludf.DUMMYFUNCTION("""COMPUTED_VALUE"""),-0.699289044091391)</f>
        <v>-0.69928904409139103</v>
      </c>
      <c r="GL88" s="3">
        <f ca="1">IFERROR(__xludf.DUMMYFUNCTION("""COMPUTED_VALUE"""),-0.739962355273148)</f>
        <v>-0.73996235527314802</v>
      </c>
      <c r="GM88" s="3">
        <f ca="1">IFERROR(__xludf.DUMMYFUNCTION("""COMPUTED_VALUE"""),-0.776736817590514)</f>
        <v>-0.77673681759051405</v>
      </c>
      <c r="GN88" s="3">
        <f ca="1">IFERROR(__xludf.DUMMYFUNCTION("""COMPUTED_VALUE"""),-0.664502408521813)</f>
        <v>-0.66450240852181297</v>
      </c>
      <c r="GO88" s="3">
        <f ca="1">IFERROR(__xludf.DUMMYFUNCTION("""COMPUTED_VALUE"""),-0.427254743598361)</f>
        <v>-0.42725474359836102</v>
      </c>
      <c r="GP88" s="3">
        <f ca="1">IFERROR(__xludf.DUMMYFUNCTION("""COMPUTED_VALUE"""),-0.650306765752406)</f>
        <v>-0.65030676575240598</v>
      </c>
      <c r="GQ88" s="3">
        <f ca="1">IFERROR(__xludf.DUMMYFUNCTION("""COMPUTED_VALUE"""),-0.7121479012948)</f>
        <v>-0.71214790129479999</v>
      </c>
      <c r="GR88" s="3">
        <f ca="1">IFERROR(__xludf.DUMMYFUNCTION("""COMPUTED_VALUE"""),-0.726940582602878)</f>
        <v>-0.72694058260287797</v>
      </c>
      <c r="GS88" s="3">
        <f ca="1">IFERROR(__xludf.DUMMYFUNCTION("""COMPUTED_VALUE"""),-0.743961846206039)</f>
        <v>-0.743961846206039</v>
      </c>
      <c r="GT88" s="3">
        <f ca="1">IFERROR(__xludf.DUMMYFUNCTION("""COMPUTED_VALUE"""),-0.719008387223941)</f>
        <v>-0.719008387223941</v>
      </c>
      <c r="GU88" s="3">
        <f ca="1">IFERROR(__xludf.DUMMYFUNCTION("""COMPUTED_VALUE"""),-0.657765174606159)</f>
        <v>-0.65776517460615902</v>
      </c>
      <c r="GV88" s="3">
        <f ca="1">IFERROR(__xludf.DUMMYFUNCTION("""COMPUTED_VALUE"""),-0.193524486394003)</f>
        <v>-0.19352448639400299</v>
      </c>
      <c r="GW88" s="3">
        <f ca="1">IFERROR(__xludf.DUMMYFUNCTION("""COMPUTED_VALUE"""),-0.590794438164197)</f>
        <v>-0.59079443816419697</v>
      </c>
      <c r="GX88" s="3">
        <f ca="1">IFERROR(__xludf.DUMMYFUNCTION("""COMPUTED_VALUE"""),-0.722738532044949)</f>
        <v>-0.72273853204494898</v>
      </c>
      <c r="GY88" s="3">
        <f ca="1">IFERROR(__xludf.DUMMYFUNCTION("""COMPUTED_VALUE"""),-0.713924273759469)</f>
        <v>-0.71392427375946899</v>
      </c>
      <c r="GZ88" s="3">
        <f ca="1">IFERROR(__xludf.DUMMYFUNCTION("""COMPUTED_VALUE"""),-0.721808017278826)</f>
        <v>-0.72180801727882604</v>
      </c>
      <c r="HA88" s="3">
        <f ca="1">IFERROR(__xludf.DUMMYFUNCTION("""COMPUTED_VALUE"""),-0.777788149466123)</f>
        <v>-0.77778814946612296</v>
      </c>
      <c r="HB88" s="3">
        <f ca="1">IFERROR(__xludf.DUMMYFUNCTION("""COMPUTED_VALUE"""),-0.710738628325489)</f>
        <v>-0.71073862832548895</v>
      </c>
      <c r="HC88" s="3">
        <f ca="1">IFERROR(__xludf.DUMMYFUNCTION("""COMPUTED_VALUE"""),-0.439629954633444)</f>
        <v>-0.43962995463344401</v>
      </c>
      <c r="HD88" s="3">
        <f ca="1">IFERROR(__xludf.DUMMYFUNCTION("""COMPUTED_VALUE"""),-0.678245569144683)</f>
        <v>-0.67824556914468304</v>
      </c>
      <c r="HE88" s="3">
        <f ca="1">IFERROR(__xludf.DUMMYFUNCTION("""COMPUTED_VALUE"""),-0.743936414283874)</f>
        <v>-0.74393641428387403</v>
      </c>
      <c r="HF88" s="3">
        <f ca="1">IFERROR(__xludf.DUMMYFUNCTION("""COMPUTED_VALUE"""),-0.726722016237409)</f>
        <v>-0.72672201623740895</v>
      </c>
      <c r="HG88" s="3">
        <f ca="1">IFERROR(__xludf.DUMMYFUNCTION("""COMPUTED_VALUE"""),-0.62151335212858)</f>
        <v>-0.62151335212858005</v>
      </c>
      <c r="HH88" s="3">
        <f ca="1">IFERROR(__xludf.DUMMYFUNCTION("""COMPUTED_VALUE"""),-0.64638668208554)</f>
        <v>-0.64638668208553995</v>
      </c>
      <c r="HI88" s="3">
        <f ca="1">IFERROR(__xludf.DUMMYFUNCTION("""COMPUTED_VALUE"""),-0.556625056583356)</f>
        <v>-0.55662505658335604</v>
      </c>
      <c r="HJ88" s="3">
        <f ca="1">IFERROR(__xludf.DUMMYFUNCTION("""COMPUTED_VALUE"""),-0.458006214446639)</f>
        <v>-0.45800621444663903</v>
      </c>
      <c r="HK88" s="3">
        <f ca="1">IFERROR(__xludf.DUMMYFUNCTION("""COMPUTED_VALUE"""),-0.586760967505372)</f>
        <v>-0.58676096750537199</v>
      </c>
      <c r="HL88" s="3">
        <f ca="1">IFERROR(__xludf.DUMMYFUNCTION("""COMPUTED_VALUE"""),-0.635679660471744)</f>
        <v>-0.63567966047174396</v>
      </c>
      <c r="HM88" s="3">
        <f ca="1">IFERROR(__xludf.DUMMYFUNCTION("""COMPUTED_VALUE"""),-0.65249533214682)</f>
        <v>-0.65249533214681998</v>
      </c>
      <c r="HN88" s="3">
        <f ca="1">IFERROR(__xludf.DUMMYFUNCTION("""COMPUTED_VALUE"""),-0.61856472726231)</f>
        <v>-0.61856472726231004</v>
      </c>
      <c r="HO88" s="3">
        <f ca="1">IFERROR(__xludf.DUMMYFUNCTION("""COMPUTED_VALUE"""),-0.610145920004031)</f>
        <v>-0.61014592000403101</v>
      </c>
      <c r="HP88" s="3">
        <f ca="1">IFERROR(__xludf.DUMMYFUNCTION("""COMPUTED_VALUE"""),-0.407666132383682)</f>
        <v>-0.40766613238368199</v>
      </c>
      <c r="HQ88" s="3">
        <f ca="1">IFERROR(__xludf.DUMMYFUNCTION("""COMPUTED_VALUE"""),-0.41434811364475)</f>
        <v>-0.41434811364474999</v>
      </c>
      <c r="HR88" s="3">
        <f ca="1">IFERROR(__xludf.DUMMYFUNCTION("""COMPUTED_VALUE"""),-0.411795934059371)</f>
        <v>-0.41179593405937098</v>
      </c>
      <c r="HS88" s="3">
        <f ca="1">IFERROR(__xludf.DUMMYFUNCTION("""COMPUTED_VALUE"""),-0.642111930925664)</f>
        <v>-0.64211193092566399</v>
      </c>
      <c r="HT88" s="3">
        <f ca="1">IFERROR(__xludf.DUMMYFUNCTION("""COMPUTED_VALUE"""),-0.646430683959731)</f>
        <v>-0.64643068395973102</v>
      </c>
      <c r="HU88" s="3">
        <f ca="1">IFERROR(__xludf.DUMMYFUNCTION("""COMPUTED_VALUE"""),-0.582433754120324)</f>
        <v>-0.58243375412032405</v>
      </c>
      <c r="HV88" s="3">
        <f ca="1">IFERROR(__xludf.DUMMYFUNCTION("""COMPUTED_VALUE"""),-0.582216401793904)</f>
        <v>-0.58221640179390399</v>
      </c>
      <c r="HW88" s="3">
        <f ca="1">IFERROR(__xludf.DUMMYFUNCTION("""COMPUTED_VALUE"""),-0.397489402615091)</f>
        <v>-0.39748940261509103</v>
      </c>
      <c r="HX88" s="3">
        <f ca="1">IFERROR(__xludf.DUMMYFUNCTION("""COMPUTED_VALUE"""),-0.512347203470324)</f>
        <v>-0.51234720347032403</v>
      </c>
      <c r="HY88" s="3">
        <f ca="1">IFERROR(__xludf.DUMMYFUNCTION("""COMPUTED_VALUE"""),-0.553266876380912)</f>
        <v>-0.55326687638091199</v>
      </c>
      <c r="HZ88" s="3">
        <f ca="1">IFERROR(__xludf.DUMMYFUNCTION("""COMPUTED_VALUE"""),-0.666718635303999)</f>
        <v>-0.666718635303999</v>
      </c>
      <c r="IA88" s="3">
        <f ca="1">IFERROR(__xludf.DUMMYFUNCTION("""COMPUTED_VALUE"""),-0.628266712164133)</f>
        <v>-0.62826671216413299</v>
      </c>
      <c r="IB88" s="3">
        <f ca="1">IFERROR(__xludf.DUMMYFUNCTION("""COMPUTED_VALUE"""),-0.557374118500131)</f>
        <v>-0.55737411850013097</v>
      </c>
      <c r="IC88" s="3">
        <f ca="1">IFERROR(__xludf.DUMMYFUNCTION("""COMPUTED_VALUE"""),-0.56735569083423)</f>
        <v>-0.56735569083422999</v>
      </c>
      <c r="ID88" s="3">
        <f ca="1">IFERROR(__xludf.DUMMYFUNCTION("""COMPUTED_VALUE"""),-0.563405393264258)</f>
        <v>-0.56340539326425798</v>
      </c>
      <c r="IE88" s="3">
        <f ca="1">IFERROR(__xludf.DUMMYFUNCTION("""COMPUTED_VALUE"""),-0.468010010572577)</f>
        <v>-0.46801001057257702</v>
      </c>
      <c r="IF88" s="3">
        <f ca="1">IFERROR(__xludf.DUMMYFUNCTION("""COMPUTED_VALUE"""),-0.532654377436812)</f>
        <v>-0.53265437743681199</v>
      </c>
      <c r="IG88" s="3">
        <f ca="1">IFERROR(__xludf.DUMMYFUNCTION("""COMPUTED_VALUE"""),-0.627488391573521)</f>
        <v>-0.62748839157352099</v>
      </c>
      <c r="IH88" s="3">
        <f ca="1">IFERROR(__xludf.DUMMYFUNCTION("""COMPUTED_VALUE"""),-0.648123846494743)</f>
        <v>-0.64812384649474297</v>
      </c>
      <c r="II88" s="3">
        <f ca="1">IFERROR(__xludf.DUMMYFUNCTION("""COMPUTED_VALUE"""),-0.64535342416101)</f>
        <v>-0.64535342416101005</v>
      </c>
      <c r="IJ88" s="3">
        <f ca="1">IFERROR(__xludf.DUMMYFUNCTION("""COMPUTED_VALUE"""),-0.615167306389747)</f>
        <v>-0.61516730638974704</v>
      </c>
      <c r="IK88" s="3">
        <f ca="1">IFERROR(__xludf.DUMMYFUNCTION("""COMPUTED_VALUE"""),-0.5996444384094)</f>
        <v>-0.59964443840939996</v>
      </c>
      <c r="IL88" s="3">
        <f ca="1">IFERROR(__xludf.DUMMYFUNCTION("""COMPUTED_VALUE"""),-0.580527842985639)</f>
        <v>-0.58052784298563898</v>
      </c>
      <c r="IM88" s="3">
        <f ca="1">IFERROR(__xludf.DUMMYFUNCTION("""COMPUTED_VALUE"""),-0.582349308351445)</f>
        <v>-0.58234930835144505</v>
      </c>
      <c r="IN88" s="3">
        <f ca="1">IFERROR(__xludf.DUMMYFUNCTION("""COMPUTED_VALUE"""),-0.67476051692816)</f>
        <v>-0.67476051692815997</v>
      </c>
      <c r="IO88" s="3">
        <f ca="1">IFERROR(__xludf.DUMMYFUNCTION("""COMPUTED_VALUE"""),-0.654475462799277)</f>
        <v>-0.65447546279927704</v>
      </c>
      <c r="IP88" s="3">
        <f ca="1">IFERROR(__xludf.DUMMYFUNCTION("""COMPUTED_VALUE"""),-0.656608853894791)</f>
        <v>-0.65660885389479096</v>
      </c>
      <c r="IQ88" s="3">
        <f ca="1">IFERROR(__xludf.DUMMYFUNCTION("""COMPUTED_VALUE"""),-0.644899792514037)</f>
        <v>-0.64489979251403695</v>
      </c>
      <c r="IR88" s="3">
        <f ca="1">IFERROR(__xludf.DUMMYFUNCTION("""COMPUTED_VALUE"""),-0.572395070069436)</f>
        <v>-0.57239507006943602</v>
      </c>
      <c r="IS88" s="3">
        <f ca="1">IFERROR(__xludf.DUMMYFUNCTION("""COMPUTED_VALUE"""),-0.475748305144799)</f>
        <v>-0.47574830514479899</v>
      </c>
      <c r="IT88" s="3">
        <f ca="1">IFERROR(__xludf.DUMMYFUNCTION("""COMPUTED_VALUE"""),-0.58823654338406)</f>
        <v>-0.58823654338405995</v>
      </c>
      <c r="IU88" s="3">
        <f ca="1">IFERROR(__xludf.DUMMYFUNCTION("""COMPUTED_VALUE"""),-0.663604553900523)</f>
        <v>-0.66360455390052298</v>
      </c>
      <c r="IV88" s="3">
        <f ca="1">IFERROR(__xludf.DUMMYFUNCTION("""COMPUTED_VALUE"""),-0.682581400669092)</f>
        <v>-0.68258140066909201</v>
      </c>
      <c r="IW88" s="3">
        <f ca="1">IFERROR(__xludf.DUMMYFUNCTION("""COMPUTED_VALUE"""),-0.702083146808281)</f>
        <v>-0.70208314680828099</v>
      </c>
      <c r="IX88" s="3">
        <f ca="1">IFERROR(__xludf.DUMMYFUNCTION("""COMPUTED_VALUE"""),-0.704288816440254)</f>
        <v>-0.70428881644025398</v>
      </c>
      <c r="IY88" s="3">
        <f ca="1">IFERROR(__xludf.DUMMYFUNCTION("""COMPUTED_VALUE"""),-0.640996099724466)</f>
        <v>-0.64099609972446603</v>
      </c>
      <c r="IZ88" s="3">
        <f ca="1">IFERROR(__xludf.DUMMYFUNCTION("""COMPUTED_VALUE"""),-0.500832496004153)</f>
        <v>-0.50083249600415303</v>
      </c>
      <c r="JA88" s="3">
        <f ca="1">IFERROR(__xludf.DUMMYFUNCTION("""COMPUTED_VALUE"""),-0.525682269879427)</f>
        <v>-0.52568226987942701</v>
      </c>
      <c r="JB88" s="3">
        <f ca="1">IFERROR(__xludf.DUMMYFUNCTION("""COMPUTED_VALUE"""),-0.66563281596909)</f>
        <v>-0.66563281596908996</v>
      </c>
      <c r="JC88" s="3">
        <f ca="1">IFERROR(__xludf.DUMMYFUNCTION("""COMPUTED_VALUE"""),-0.716678423892374)</f>
        <v>-0.71667842389237402</v>
      </c>
      <c r="JD88" s="3">
        <f ca="1">IFERROR(__xludf.DUMMYFUNCTION("""COMPUTED_VALUE"""),-0.728036855719136)</f>
        <v>-0.72803685571913601</v>
      </c>
      <c r="JE88" s="3">
        <f ca="1">IFERROR(__xludf.DUMMYFUNCTION("""COMPUTED_VALUE"""),-0.674434315752608)</f>
        <v>-0.67443431575260804</v>
      </c>
      <c r="JF88" s="3">
        <f ca="1">IFERROR(__xludf.DUMMYFUNCTION("""COMPUTED_VALUE"""),-0.635336436140683)</f>
        <v>-0.63533643614068303</v>
      </c>
      <c r="JG88" s="3">
        <f ca="1">IFERROR(__xludf.DUMMYFUNCTION("""COMPUTED_VALUE"""),-0.573766113582789)</f>
        <v>-0.57376611358278895</v>
      </c>
      <c r="JH88" s="3">
        <f ca="1">IFERROR(__xludf.DUMMYFUNCTION("""COMPUTED_VALUE"""),-0.60341124941926)</f>
        <v>-0.60341124941926005</v>
      </c>
      <c r="JI88" s="3">
        <f ca="1">IFERROR(__xludf.DUMMYFUNCTION("""COMPUTED_VALUE"""),-0.666033269267052)</f>
        <v>-0.66603326926705197</v>
      </c>
      <c r="JJ88" s="3">
        <f ca="1">IFERROR(__xludf.DUMMYFUNCTION("""COMPUTED_VALUE"""),-0.732322944288999)</f>
        <v>-0.73232294428899902</v>
      </c>
      <c r="JK88" s="3">
        <f ca="1">IFERROR(__xludf.DUMMYFUNCTION("""COMPUTED_VALUE"""),-0.743324225511447)</f>
        <v>-0.74332422551144695</v>
      </c>
      <c r="JL88" s="3">
        <f ca="1">IFERROR(__xludf.DUMMYFUNCTION("""COMPUTED_VALUE"""),-0.695411420580615)</f>
        <v>-0.695411420580615</v>
      </c>
      <c r="JM88" s="3">
        <f ca="1">IFERROR(__xludf.DUMMYFUNCTION("""COMPUTED_VALUE"""),-0.641388231817852)</f>
        <v>-0.64138823181785198</v>
      </c>
      <c r="JN88" s="3">
        <f ca="1">IFERROR(__xludf.DUMMYFUNCTION("""COMPUTED_VALUE"""),-0.512648333889914)</f>
        <v>-0.51264833388991404</v>
      </c>
      <c r="JO88" s="3">
        <f ca="1">IFERROR(__xludf.DUMMYFUNCTION("""COMPUTED_VALUE"""),-0.583504267431825)</f>
        <v>-0.58350426743182504</v>
      </c>
      <c r="JP88" s="3">
        <f ca="1">IFERROR(__xludf.DUMMYFUNCTION("""COMPUTED_VALUE"""),-0.630431581550791)</f>
        <v>-0.63043158155079104</v>
      </c>
      <c r="JQ88" s="3">
        <f ca="1">IFERROR(__xludf.DUMMYFUNCTION("""COMPUTED_VALUE"""),-0.673936064592915)</f>
        <v>-0.673936064592915</v>
      </c>
      <c r="JR88" s="3">
        <f ca="1">IFERROR(__xludf.DUMMYFUNCTION("""COMPUTED_VALUE"""),-0.726536307222145)</f>
        <v>-0.72653630722214502</v>
      </c>
      <c r="JS88" s="3">
        <f ca="1">IFERROR(__xludf.DUMMYFUNCTION("""COMPUTED_VALUE"""),-0.744694810995404)</f>
        <v>-0.74469481099540402</v>
      </c>
      <c r="JT88" s="3">
        <f ca="1">IFERROR(__xludf.DUMMYFUNCTION("""COMPUTED_VALUE"""),-0.684118832126477)</f>
        <v>-0.68411883212647695</v>
      </c>
      <c r="JU88" s="3">
        <f ca="1">IFERROR(__xludf.DUMMYFUNCTION("""COMPUTED_VALUE"""),-0.54203634253847)</f>
        <v>-0.54203634253847</v>
      </c>
      <c r="JV88" s="3">
        <f ca="1">IFERROR(__xludf.DUMMYFUNCTION("""COMPUTED_VALUE"""),-0.611800328763044)</f>
        <v>-0.61180032876304402</v>
      </c>
      <c r="JW88" s="3">
        <f ca="1">IFERROR(__xludf.DUMMYFUNCTION("""COMPUTED_VALUE"""),-0.643670223937246)</f>
        <v>-0.64367022393724604</v>
      </c>
      <c r="JX88" s="3">
        <f ca="1">IFERROR(__xludf.DUMMYFUNCTION("""COMPUTED_VALUE"""),-0.675806000207319)</f>
        <v>-0.67580600020731896</v>
      </c>
      <c r="JY88" s="3">
        <f ca="1">IFERROR(__xludf.DUMMYFUNCTION("""COMPUTED_VALUE"""),-0.734218136501834)</f>
        <v>-0.73421813650183398</v>
      </c>
      <c r="JZ88" s="3">
        <f ca="1">IFERROR(__xludf.DUMMYFUNCTION("""COMPUTED_VALUE"""),-0.699495928010481)</f>
        <v>-0.69949592801048099</v>
      </c>
      <c r="KA88" s="3">
        <f ca="1">IFERROR(__xludf.DUMMYFUNCTION("""COMPUTED_VALUE"""),-0.677626873110516)</f>
        <v>-0.67762687311051595</v>
      </c>
      <c r="KB88" s="3">
        <f ca="1">IFERROR(__xludf.DUMMYFUNCTION("""COMPUTED_VALUE"""),-0.524655839052616)</f>
        <v>-0.52465583905261604</v>
      </c>
      <c r="KC88" s="3">
        <f ca="1">IFERROR(__xludf.DUMMYFUNCTION("""COMPUTED_VALUE"""),-0.612952999445503)</f>
        <v>-0.61295299944550297</v>
      </c>
      <c r="KD88" s="3">
        <f ca="1">IFERROR(__xludf.DUMMYFUNCTION("""COMPUTED_VALUE"""),-0.603180354995899)</f>
        <v>-0.60318035499589895</v>
      </c>
      <c r="KE88" s="3">
        <f ca="1">IFERROR(__xludf.DUMMYFUNCTION("""COMPUTED_VALUE"""),-0.555567618481851)</f>
        <v>-0.55556761848185099</v>
      </c>
      <c r="KF88" s="3">
        <f ca="1">IFERROR(__xludf.DUMMYFUNCTION("""COMPUTED_VALUE"""),-0.691529059524038)</f>
        <v>-0.69152905952403798</v>
      </c>
      <c r="KG88" s="3">
        <f ca="1">IFERROR(__xludf.DUMMYFUNCTION("""COMPUTED_VALUE"""),-0.707155754016436)</f>
        <v>-0.70715575401643604</v>
      </c>
      <c r="KH88" s="3">
        <f ca="1">IFERROR(__xludf.DUMMYFUNCTION("""COMPUTED_VALUE"""),-0.699013780916768)</f>
        <v>-0.69901378091676802</v>
      </c>
      <c r="KI88" s="3">
        <f ca="1">IFERROR(__xludf.DUMMYFUNCTION("""COMPUTED_VALUE"""),-0.658195788939511)</f>
        <v>-0.65819578893951103</v>
      </c>
      <c r="KJ88" s="3">
        <f ca="1">IFERROR(__xludf.DUMMYFUNCTION("""COMPUTED_VALUE"""),-0.665846711974439)</f>
        <v>-0.66584671197443901</v>
      </c>
      <c r="KK88" s="3">
        <f ca="1">IFERROR(__xludf.DUMMYFUNCTION("""COMPUTED_VALUE"""),-0.718617779825816)</f>
        <v>-0.71861777982581598</v>
      </c>
      <c r="KL88" s="3">
        <f ca="1">IFERROR(__xludf.DUMMYFUNCTION("""COMPUTED_VALUE"""),-0.651439079160258)</f>
        <v>-0.65143907916025801</v>
      </c>
      <c r="KM88" s="3">
        <f ca="1">IFERROR(__xludf.DUMMYFUNCTION("""COMPUTED_VALUE"""),-0.716163322236938)</f>
        <v>-0.71616332223693802</v>
      </c>
      <c r="KN88" s="3">
        <f ca="1">IFERROR(__xludf.DUMMYFUNCTION("""COMPUTED_VALUE"""),-0.791442010588395)</f>
        <v>-0.79144201058839503</v>
      </c>
      <c r="KO88" s="3">
        <f ca="1">IFERROR(__xludf.DUMMYFUNCTION("""COMPUTED_VALUE"""),-0.683377476948483)</f>
        <v>-0.68337747694848305</v>
      </c>
      <c r="KP88" s="3">
        <f ca="1">IFERROR(__xludf.DUMMYFUNCTION("""COMPUTED_VALUE"""),-0.652729523907761)</f>
        <v>-0.65272952390776096</v>
      </c>
      <c r="KQ88" s="3">
        <f ca="1">IFERROR(__xludf.DUMMYFUNCTION("""COMPUTED_VALUE"""),-0.636387012499798)</f>
        <v>-0.63638701249979801</v>
      </c>
      <c r="KR88" s="3">
        <f ca="1">IFERROR(__xludf.DUMMYFUNCTION("""COMPUTED_VALUE"""),-0.791567124660079)</f>
        <v>-0.79156712466007895</v>
      </c>
      <c r="KS88" s="3">
        <f ca="1">IFERROR(__xludf.DUMMYFUNCTION("""COMPUTED_VALUE"""),-0.804371360978268)</f>
        <v>-0.804371360978268</v>
      </c>
      <c r="KT88" s="3">
        <f ca="1">IFERROR(__xludf.DUMMYFUNCTION("""COMPUTED_VALUE"""),-0.768228779777171)</f>
        <v>-0.76822877977717097</v>
      </c>
      <c r="KU88" s="3">
        <f ca="1">IFERROR(__xludf.DUMMYFUNCTION("""COMPUTED_VALUE"""),-0.810947956307291)</f>
        <v>-0.810947956307291</v>
      </c>
      <c r="KV88" s="3">
        <f ca="1">IFERROR(__xludf.DUMMYFUNCTION("""COMPUTED_VALUE"""),-0.745889037263309)</f>
        <v>-0.74588903726330902</v>
      </c>
      <c r="KW88" s="3">
        <f ca="1">IFERROR(__xludf.DUMMYFUNCTION("""COMPUTED_VALUE"""),-0.615280367697564)</f>
        <v>-0.615280367697564</v>
      </c>
      <c r="KX88" s="3">
        <f ca="1">IFERROR(__xludf.DUMMYFUNCTION("""COMPUTED_VALUE"""),-0.695537519484506)</f>
        <v>-0.69553751948450604</v>
      </c>
      <c r="KY88" s="3">
        <f ca="1">IFERROR(__xludf.DUMMYFUNCTION("""COMPUTED_VALUE"""),-0.72868132829028)</f>
        <v>-0.72868132829027998</v>
      </c>
      <c r="KZ88" s="3">
        <f ca="1">IFERROR(__xludf.DUMMYFUNCTION("""COMPUTED_VALUE"""),-0.774499025841615)</f>
        <v>-0.77449902584161501</v>
      </c>
      <c r="LA88" s="3">
        <f ca="1">IFERROR(__xludf.DUMMYFUNCTION("""COMPUTED_VALUE"""),-0.743461482449101)</f>
        <v>-0.74346148244910104</v>
      </c>
      <c r="LB88" s="3">
        <f ca="1">IFERROR(__xludf.DUMMYFUNCTION("""COMPUTED_VALUE"""),-0.70661676231696)</f>
        <v>-0.70661676231696002</v>
      </c>
      <c r="LC88" s="3">
        <f ca="1">IFERROR(__xludf.DUMMYFUNCTION("""COMPUTED_VALUE"""),-0.633051971596337)</f>
        <v>-0.63305197159633697</v>
      </c>
      <c r="LD88" s="3">
        <f ca="1">IFERROR(__xludf.DUMMYFUNCTION("""COMPUTED_VALUE"""),-0.694887858110936)</f>
        <v>-0.69488785811093601</v>
      </c>
      <c r="LE88" s="3">
        <f ca="1">IFERROR(__xludf.DUMMYFUNCTION("""COMPUTED_VALUE"""),-0.74403113685402)</f>
        <v>-0.74403113685402</v>
      </c>
      <c r="LF88" s="3">
        <f ca="1">IFERROR(__xludf.DUMMYFUNCTION("""COMPUTED_VALUE"""),-0.80971767745129)</f>
        <v>-0.80971767745128997</v>
      </c>
      <c r="LG88" s="3">
        <f ca="1">IFERROR(__xludf.DUMMYFUNCTION("""COMPUTED_VALUE"""),-0.730977049056277)</f>
        <v>-0.73097704905627703</v>
      </c>
      <c r="LH88" s="3">
        <f ca="1">IFERROR(__xludf.DUMMYFUNCTION("""COMPUTED_VALUE"""),-0.78020689986997)</f>
        <v>-0.78020689986997005</v>
      </c>
      <c r="LI88" s="3">
        <f ca="1">IFERROR(__xludf.DUMMYFUNCTION("""COMPUTED_VALUE"""),-0.816022486193748)</f>
        <v>-0.81602248619374795</v>
      </c>
      <c r="LJ88" s="3">
        <f ca="1">IFERROR(__xludf.DUMMYFUNCTION("""COMPUTED_VALUE"""),-0.819359770518849)</f>
        <v>-0.81935977051884901</v>
      </c>
      <c r="LK88" s="3">
        <f ca="1">IFERROR(__xludf.DUMMYFUNCTION("""COMPUTED_VALUE"""),-0.683598526740041)</f>
        <v>-0.68359852674004096</v>
      </c>
      <c r="LL88" s="3">
        <f ca="1">IFERROR(__xludf.DUMMYFUNCTION("""COMPUTED_VALUE"""),-0.755212278456283)</f>
        <v>-0.75521227845628303</v>
      </c>
      <c r="LM88" s="3">
        <f ca="1">IFERROR(__xludf.DUMMYFUNCTION("""COMPUTED_VALUE"""),-0.755665891543888)</f>
        <v>-0.75566589154388797</v>
      </c>
      <c r="LN88" s="3">
        <f ca="1">IFERROR(__xludf.DUMMYFUNCTION("""COMPUTED_VALUE"""),-0.812701481638357)</f>
        <v>-0.81270148163835698</v>
      </c>
      <c r="LO88" s="3">
        <f ca="1">IFERROR(__xludf.DUMMYFUNCTION("""COMPUTED_VALUE"""),-0.837506032277108)</f>
        <v>-0.83750603227710796</v>
      </c>
      <c r="LP88" s="3">
        <f ca="1">IFERROR(__xludf.DUMMYFUNCTION("""COMPUTED_VALUE"""),-0.755577822274833)</f>
        <v>-0.75557782227483306</v>
      </c>
      <c r="LQ88" s="3">
        <f ca="1">IFERROR(__xludf.DUMMYFUNCTION("""COMPUTED_VALUE"""),-0.812317616903789)</f>
        <v>-0.81231761690378901</v>
      </c>
      <c r="LR88" s="3">
        <f ca="1">IFERROR(__xludf.DUMMYFUNCTION("""COMPUTED_VALUE"""),-0.730853472200488)</f>
        <v>-0.73085347220048802</v>
      </c>
      <c r="LS88" s="3">
        <f ca="1">IFERROR(__xludf.DUMMYFUNCTION("""COMPUTED_VALUE"""),-0.791801502967642)</f>
        <v>-0.79180150296764196</v>
      </c>
      <c r="LT88" s="3">
        <f ca="1">IFERROR(__xludf.DUMMYFUNCTION("""COMPUTED_VALUE"""),-0.71757456514176)</f>
        <v>-0.71757456514175999</v>
      </c>
      <c r="LU88" s="3">
        <f ca="1">IFERROR(__xludf.DUMMYFUNCTION("""COMPUTED_VALUE"""),-0.817228404214273)</f>
        <v>-0.81722840421427301</v>
      </c>
      <c r="LV88" s="3">
        <f ca="1">IFERROR(__xludf.DUMMYFUNCTION("""COMPUTED_VALUE"""),-0.802109028885987)</f>
        <v>-0.80210902888598701</v>
      </c>
      <c r="LW88" s="3">
        <f ca="1">IFERROR(__xludf.DUMMYFUNCTION("""COMPUTED_VALUE"""),-0.780997812197262)</f>
        <v>-0.78099781219726205</v>
      </c>
      <c r="LX88" s="3">
        <f ca="1">IFERROR(__xludf.DUMMYFUNCTION("""COMPUTED_VALUE"""),-0.676058639419955)</f>
        <v>-0.67605863941995503</v>
      </c>
      <c r="LY88" s="3">
        <f ca="1">IFERROR(__xludf.DUMMYFUNCTION("""COMPUTED_VALUE"""),-0.794556517315643)</f>
        <v>-0.79455651731564303</v>
      </c>
      <c r="LZ88" s="3">
        <f ca="1">IFERROR(__xludf.DUMMYFUNCTION("""COMPUTED_VALUE"""),-0.663562177621537)</f>
        <v>-0.66356217762153702</v>
      </c>
      <c r="MA88" s="3">
        <f ca="1">IFERROR(__xludf.DUMMYFUNCTION("""COMPUTED_VALUE"""),-0.721602913930775)</f>
        <v>-0.72160291393077503</v>
      </c>
      <c r="MB88" s="3">
        <f ca="1">IFERROR(__xludf.DUMMYFUNCTION("""COMPUTED_VALUE"""),-0.834519152093497)</f>
        <v>-0.83451915209349703</v>
      </c>
      <c r="MC88" s="3">
        <f ca="1">IFERROR(__xludf.DUMMYFUNCTION("""COMPUTED_VALUE"""),-0.749667968268096)</f>
        <v>-0.74966796826809601</v>
      </c>
      <c r="MD88" s="3">
        <f ca="1">IFERROR(__xludf.DUMMYFUNCTION("""COMPUTED_VALUE"""),-0.785004680386912)</f>
        <v>-0.78500468038691196</v>
      </c>
      <c r="ME88" s="3">
        <f ca="1">IFERROR(__xludf.DUMMYFUNCTION("""COMPUTED_VALUE"""),-0.754453256082654)</f>
        <v>-0.75445325608265401</v>
      </c>
      <c r="MF88" s="3">
        <f ca="1">IFERROR(__xludf.DUMMYFUNCTION("""COMPUTED_VALUE"""),-0.783264099256994)</f>
        <v>-0.78326409925699403</v>
      </c>
      <c r="MG88" s="3">
        <f ca="1">IFERROR(__xludf.DUMMYFUNCTION("""COMPUTED_VALUE"""),-0.790298305853521)</f>
        <v>-0.79029830585352101</v>
      </c>
      <c r="MH88" s="3">
        <f ca="1">IFERROR(__xludf.DUMMYFUNCTION("""COMPUTED_VALUE"""),-0.789728778181989)</f>
        <v>-0.78972877818198906</v>
      </c>
      <c r="MI88" s="3">
        <f ca="1">IFERROR(__xludf.DUMMYFUNCTION("""COMPUTED_VALUE"""),-0.787103513285046)</f>
        <v>-0.78710351328504602</v>
      </c>
      <c r="MJ88" s="3">
        <f ca="1">IFERROR(__xludf.DUMMYFUNCTION("""COMPUTED_VALUE"""),-0.811163683514233)</f>
        <v>-0.81116368351423296</v>
      </c>
      <c r="MK88" s="3">
        <f ca="1">IFERROR(__xludf.DUMMYFUNCTION("""COMPUTED_VALUE"""),-0.778016572739396)</f>
        <v>-0.77801657273939595</v>
      </c>
      <c r="ML88" s="3">
        <f ca="1">IFERROR(__xludf.DUMMYFUNCTION("""COMPUTED_VALUE"""),-0.8062856930038)</f>
        <v>-0.80628569300380004</v>
      </c>
      <c r="MM88" s="3">
        <f ca="1">IFERROR(__xludf.DUMMYFUNCTION("""COMPUTED_VALUE"""),-0.70991660594786)</f>
        <v>-0.70991660594785999</v>
      </c>
      <c r="MN88" s="3">
        <f ca="1">IFERROR(__xludf.DUMMYFUNCTION("""COMPUTED_VALUE"""),-0.751405756741882)</f>
        <v>-0.75140575674188204</v>
      </c>
      <c r="MO88" s="3">
        <f ca="1">IFERROR(__xludf.DUMMYFUNCTION("""COMPUTED_VALUE"""),-0.816229447506763)</f>
        <v>-0.81622944750676296</v>
      </c>
      <c r="MP88" s="3">
        <f ca="1">IFERROR(__xludf.DUMMYFUNCTION("""COMPUTED_VALUE"""),-0.813152851905029)</f>
        <v>-0.81315285190502895</v>
      </c>
      <c r="MQ88" s="3">
        <f ca="1">IFERROR(__xludf.DUMMYFUNCTION("""COMPUTED_VALUE"""),-0.847405645972788)</f>
        <v>-0.847405645972788</v>
      </c>
      <c r="MR88" s="3">
        <f ca="1">IFERROR(__xludf.DUMMYFUNCTION("""COMPUTED_VALUE"""),-0.689237742102178)</f>
        <v>-0.68923774210217803</v>
      </c>
      <c r="MS88" s="3">
        <f ca="1">IFERROR(__xludf.DUMMYFUNCTION("""COMPUTED_VALUE"""),-0.693235472169564)</f>
        <v>-0.69323547216956405</v>
      </c>
      <c r="MT88" s="3">
        <f ca="1">IFERROR(__xludf.DUMMYFUNCTION("""COMPUTED_VALUE"""),-0.673488802647894)</f>
        <v>-0.67348880264789401</v>
      </c>
      <c r="MU88" s="3">
        <f ca="1">IFERROR(__xludf.DUMMYFUNCTION("""COMPUTED_VALUE"""),-0.805270213149731)</f>
        <v>-0.80527021314973102</v>
      </c>
      <c r="MV88" s="3">
        <f ca="1">IFERROR(__xludf.DUMMYFUNCTION("""COMPUTED_VALUE"""),-0.812568635263631)</f>
        <v>-0.81256863526363099</v>
      </c>
      <c r="MW88" s="3">
        <f ca="1">IFERROR(__xludf.DUMMYFUNCTION("""COMPUTED_VALUE"""),-0.814659237356647)</f>
        <v>-0.81465923735664703</v>
      </c>
      <c r="MX88" s="3">
        <f ca="1">IFERROR(__xludf.DUMMYFUNCTION("""COMPUTED_VALUE"""),-0.797909991856601)</f>
        <v>-0.79790999185660105</v>
      </c>
      <c r="MY88" s="3">
        <f ca="1">IFERROR(__xludf.DUMMYFUNCTION("""COMPUTED_VALUE"""),-0.772416413061396)</f>
        <v>-0.77241641306139597</v>
      </c>
      <c r="MZ88" s="3">
        <f ca="1">IFERROR(__xludf.DUMMYFUNCTION("""COMPUTED_VALUE"""),-0.75115854179118)</f>
        <v>-0.75115854179118002</v>
      </c>
      <c r="NA88" s="3">
        <f ca="1">IFERROR(__xludf.DUMMYFUNCTION("""COMPUTED_VALUE"""),-0.723117461278554)</f>
        <v>-0.72311746127855403</v>
      </c>
      <c r="NB88" s="3">
        <f ca="1">IFERROR(__xludf.DUMMYFUNCTION("""COMPUTED_VALUE"""),-0.695108236817872)</f>
        <v>-0.69510823681787204</v>
      </c>
      <c r="NC88" s="3">
        <f ca="1">IFERROR(__xludf.DUMMYFUNCTION("""COMPUTED_VALUE"""),-0.76609694942692)</f>
        <v>-0.76609694942691997</v>
      </c>
      <c r="ND88" s="3">
        <f ca="1">IFERROR(__xludf.DUMMYFUNCTION("""COMPUTED_VALUE"""),-0.773517240201392)</f>
        <v>-0.77351724020139201</v>
      </c>
      <c r="NE88" s="3">
        <f ca="1">IFERROR(__xludf.DUMMYFUNCTION("""COMPUTED_VALUE"""),-0.778206656479284)</f>
        <v>-0.778206656479284</v>
      </c>
      <c r="NF88" s="3">
        <f ca="1">IFERROR(__xludf.DUMMYFUNCTION("""COMPUTED_VALUE"""),-0.78499724893556)</f>
        <v>-0.78499724893556</v>
      </c>
      <c r="NG88" s="3">
        <f ca="1">IFERROR(__xludf.DUMMYFUNCTION("""COMPUTED_VALUE"""),-0.649860848326548)</f>
        <v>-0.649860848326548</v>
      </c>
      <c r="NH88" s="3">
        <f ca="1">IFERROR(__xludf.DUMMYFUNCTION("""COMPUTED_VALUE"""),-0.554154159418363)</f>
        <v>-0.55415415941836299</v>
      </c>
      <c r="NI88" s="3">
        <f ca="1">IFERROR(__xludf.DUMMYFUNCTION("""COMPUTED_VALUE"""),-0.780084954866481)</f>
        <v>-0.780084954866481</v>
      </c>
      <c r="NJ88" s="3">
        <f ca="1">IFERROR(__xludf.DUMMYFUNCTION("""COMPUTED_VALUE"""),-0.762311401626749)</f>
        <v>-0.76231140162674904</v>
      </c>
      <c r="NK88" s="3">
        <f ca="1">IFERROR(__xludf.DUMMYFUNCTION("""COMPUTED_VALUE"""),-0.754446468140815)</f>
        <v>-0.75444646814081495</v>
      </c>
      <c r="NL88" s="3">
        <f ca="1">IFERROR(__xludf.DUMMYFUNCTION("""COMPUTED_VALUE"""),-0.733295092182563)</f>
        <v>-0.73329509218256295</v>
      </c>
      <c r="NM88" s="3">
        <f ca="1">IFERROR(__xludf.DUMMYFUNCTION("""COMPUTED_VALUE"""),-0.772696369253678)</f>
        <v>-0.77269636925367802</v>
      </c>
      <c r="NN88" s="3">
        <f ca="1">IFERROR(__xludf.DUMMYFUNCTION("""COMPUTED_VALUE"""),-0.767237793161046)</f>
        <v>-0.76723779316104601</v>
      </c>
      <c r="NO88" s="3">
        <f ca="1">IFERROR(__xludf.DUMMYFUNCTION("""COMPUTED_VALUE"""),-0.69572941876256)</f>
        <v>-0.69572941876256</v>
      </c>
      <c r="NP88" s="3">
        <f ca="1">IFERROR(__xludf.DUMMYFUNCTION("""COMPUTED_VALUE"""),-0.78702646069942)</f>
        <v>-0.78702646069941995</v>
      </c>
      <c r="NQ88" s="3">
        <f ca="1">IFERROR(__xludf.DUMMYFUNCTION("""COMPUTED_VALUE"""),-0.775742940156311)</f>
        <v>-0.77574294015631096</v>
      </c>
      <c r="NR88" s="3">
        <f ca="1">IFERROR(__xludf.DUMMYFUNCTION("""COMPUTED_VALUE"""),-0.758363414746319)</f>
        <v>-0.75836341474631896</v>
      </c>
      <c r="NS88" s="3">
        <f ca="1">IFERROR(__xludf.DUMMYFUNCTION("""COMPUTED_VALUE"""),-0.751457690535455)</f>
        <v>-0.75145769053545497</v>
      </c>
      <c r="NT88" s="3">
        <f ca="1">IFERROR(__xludf.DUMMYFUNCTION("""COMPUTED_VALUE"""),-0.667054782493402)</f>
        <v>-0.667054782493402</v>
      </c>
      <c r="NU88" s="3">
        <f ca="1">IFERROR(__xludf.DUMMYFUNCTION("""COMPUTED_VALUE"""),-0.597196074544685)</f>
        <v>-0.59719607454468504</v>
      </c>
      <c r="NV88" s="3">
        <f ca="1">IFERROR(__xludf.DUMMYFUNCTION("""COMPUTED_VALUE"""),-0.475712601439347)</f>
        <v>-0.47571260143934702</v>
      </c>
      <c r="NW88" s="3">
        <f ca="1">IFERROR(__xludf.DUMMYFUNCTION("""COMPUTED_VALUE"""),-0.488038584399336)</f>
        <v>-0.48803858439933601</v>
      </c>
      <c r="NX88" s="3">
        <f ca="1">IFERROR(__xludf.DUMMYFUNCTION("""COMPUTED_VALUE"""),-0.63235638918749)</f>
        <v>-0.63235638918749004</v>
      </c>
      <c r="NY88" s="3">
        <f ca="1">IFERROR(__xludf.DUMMYFUNCTION("""COMPUTED_VALUE"""),-0.523248561479808)</f>
        <v>-0.52324856147980803</v>
      </c>
      <c r="NZ88" s="3">
        <f ca="1">IFERROR(__xludf.DUMMYFUNCTION("""COMPUTED_VALUE"""),-0.473546571635667)</f>
        <v>-0.47354657163566699</v>
      </c>
      <c r="OA88" s="3">
        <f ca="1">IFERROR(__xludf.DUMMYFUNCTION("""COMPUTED_VALUE"""),-0.512114352112052)</f>
        <v>-0.51211435211205203</v>
      </c>
      <c r="OB88" s="3">
        <f ca="1">IFERROR(__xludf.DUMMYFUNCTION("""COMPUTED_VALUE"""),-0.46777708466493)</f>
        <v>-0.46777708466493001</v>
      </c>
      <c r="OC88" s="3">
        <f ca="1">IFERROR(__xludf.DUMMYFUNCTION("""COMPUTED_VALUE"""),-0.490056432337719)</f>
        <v>-0.49005643233771901</v>
      </c>
      <c r="OD88" s="3">
        <f ca="1">IFERROR(__xludf.DUMMYFUNCTION("""COMPUTED_VALUE"""),-0.449358463966865)</f>
        <v>-0.44935846396686502</v>
      </c>
      <c r="OE88" s="3">
        <f ca="1">IFERROR(__xludf.DUMMYFUNCTION("""COMPUTED_VALUE"""),-0.179549168102836)</f>
        <v>-0.179549168102836</v>
      </c>
      <c r="OF88" s="3">
        <f ca="1">IFERROR(__xludf.DUMMYFUNCTION("""COMPUTED_VALUE"""),-0.0703842030622007)</f>
        <v>-7.0384203062200695E-2</v>
      </c>
      <c r="OG88" s="3">
        <f ca="1">IFERROR(__xludf.DUMMYFUNCTION("""COMPUTED_VALUE"""),-0.0764067548651336)</f>
        <v>-7.6406754865133597E-2</v>
      </c>
      <c r="OH88" s="3">
        <f ca="1">IFERROR(__xludf.DUMMYFUNCTION("""COMPUTED_VALUE"""),-0.00385914527655184)</f>
        <v>-3.85914527655184E-3</v>
      </c>
      <c r="OI88" s="3">
        <f ca="1">IFERROR(__xludf.DUMMYFUNCTION("""COMPUTED_VALUE"""),-0.214448719932547)</f>
        <v>-0.21444871993254699</v>
      </c>
      <c r="OJ88" s="3">
        <f ca="1">IFERROR(__xludf.DUMMYFUNCTION("""COMPUTED_VALUE"""),-0.227652041907311)</f>
        <v>-0.227652041907311</v>
      </c>
      <c r="OK88" s="3">
        <f ca="1">IFERROR(__xludf.DUMMYFUNCTION("""COMPUTED_VALUE"""),-0.141683222858479)</f>
        <v>-0.14168322285847901</v>
      </c>
      <c r="OL88" s="3">
        <f ca="1">IFERROR(__xludf.DUMMYFUNCTION("""COMPUTED_VALUE"""),0.0242309881305811)</f>
        <v>2.42309881305811E-2</v>
      </c>
      <c r="OM88" s="3">
        <f ca="1">IFERROR(__xludf.DUMMYFUNCTION("""COMPUTED_VALUE"""),0.125337633965085)</f>
        <v>0.12533763396508499</v>
      </c>
      <c r="ON88" s="3">
        <f ca="1">IFERROR(__xludf.DUMMYFUNCTION("""COMPUTED_VALUE"""),0.0434136717574313)</f>
        <v>4.3413671757431299E-2</v>
      </c>
      <c r="OO88" s="3">
        <f ca="1">IFERROR(__xludf.DUMMYFUNCTION("""COMPUTED_VALUE"""),-0.0655743786044485)</f>
        <v>-6.5574378604448494E-2</v>
      </c>
      <c r="OP88" s="3">
        <f ca="1">IFERROR(__xludf.DUMMYFUNCTION("""COMPUTED_VALUE"""),-0.114933783631243)</f>
        <v>-0.114933783631243</v>
      </c>
      <c r="OQ88" s="3">
        <f ca="1">IFERROR(__xludf.DUMMYFUNCTION("""COMPUTED_VALUE"""),-0.1346748135932)</f>
        <v>-0.13467481359319999</v>
      </c>
      <c r="OR88" s="3">
        <f ca="1">IFERROR(__xludf.DUMMYFUNCTION("""COMPUTED_VALUE"""),-0.0570765710264983)</f>
        <v>-5.7076571026498303E-2</v>
      </c>
      <c r="OS88" s="3">
        <f ca="1">IFERROR(__xludf.DUMMYFUNCTION("""COMPUTED_VALUE"""),-0.0181066899021269)</f>
        <v>-1.81066899021269E-2</v>
      </c>
      <c r="OT88" s="3">
        <f ca="1">IFERROR(__xludf.DUMMYFUNCTION("""COMPUTED_VALUE"""),0.12814409778135)</f>
        <v>0.12814409778135</v>
      </c>
      <c r="OU88" s="3">
        <f ca="1">IFERROR(__xludf.DUMMYFUNCTION("""COMPUTED_VALUE"""),-0.0239759884843502)</f>
        <v>-2.3975988484350199E-2</v>
      </c>
      <c r="OV88" s="3">
        <f ca="1">IFERROR(__xludf.DUMMYFUNCTION("""COMPUTED_VALUE"""),-0.0636240347747751)</f>
        <v>-6.3624034774775101E-2</v>
      </c>
      <c r="OW88" s="3">
        <f ca="1">IFERROR(__xludf.DUMMYFUNCTION("""COMPUTED_VALUE"""),-0.0796658464837044)</f>
        <v>-7.9665846483704394E-2</v>
      </c>
      <c r="OX88" s="3">
        <f ca="1">IFERROR(__xludf.DUMMYFUNCTION("""COMPUTED_VALUE"""),-0.126388326625982)</f>
        <v>-0.12638832662598201</v>
      </c>
      <c r="OY88" s="3">
        <f ca="1">IFERROR(__xludf.DUMMYFUNCTION("""COMPUTED_VALUE"""),0.0309195211678803)</f>
        <v>3.0919521167880298E-2</v>
      </c>
      <c r="OZ88" s="3">
        <f ca="1">IFERROR(__xludf.DUMMYFUNCTION("""COMPUTED_VALUE"""),0.0949322742024916)</f>
        <v>9.4932274202491604E-2</v>
      </c>
      <c r="PA88" s="3">
        <f ca="1">IFERROR(__xludf.DUMMYFUNCTION("""COMPUTED_VALUE"""),0.0527922377794949)</f>
        <v>5.2792237779494898E-2</v>
      </c>
      <c r="PB88" s="3">
        <f ca="1">IFERROR(__xludf.DUMMYFUNCTION("""COMPUTED_VALUE"""),-0.0105380519069707)</f>
        <v>-1.05380519069707E-2</v>
      </c>
      <c r="PC88" s="3">
        <f ca="1">IFERROR(__xludf.DUMMYFUNCTION("""COMPUTED_VALUE"""),-0.109942490702299)</f>
        <v>-0.109942490702299</v>
      </c>
      <c r="PD88" s="3">
        <f ca="1">IFERROR(__xludf.DUMMYFUNCTION("""COMPUTED_VALUE"""),-0.154154464533808)</f>
        <v>-0.15415446453380799</v>
      </c>
      <c r="PE88" s="3">
        <f ca="1">IFERROR(__xludf.DUMMYFUNCTION("""COMPUTED_VALUE"""),-0.196726416481134)</f>
        <v>-0.19672641648113401</v>
      </c>
      <c r="PF88" s="3">
        <f ca="1">IFERROR(__xludf.DUMMYFUNCTION("""COMPUTED_VALUE"""),-0.159258730880242)</f>
        <v>-0.15925873088024201</v>
      </c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</row>
    <row r="89" spans="1:594" ht="13">
      <c r="A89" s="1" t="str">
        <f ca="1">IFERROR(__xludf.DUMMYFUNCTION("""COMPUTED_VALUE"""),"Victoria")</f>
        <v>Victoria</v>
      </c>
      <c r="B89" s="3">
        <f ca="1">IFERROR(__xludf.DUMMYFUNCTION("""COMPUTED_VALUE"""),-0.597427186621631)</f>
        <v>-0.59742718662163097</v>
      </c>
      <c r="C89" s="3">
        <f ca="1">IFERROR(__xludf.DUMMYFUNCTION("""COMPUTED_VALUE"""),-0.533465589780864)</f>
        <v>-0.533465589780864</v>
      </c>
      <c r="D89" s="3">
        <f ca="1">IFERROR(__xludf.DUMMYFUNCTION("""COMPUTED_VALUE"""),-0.515255385820456)</f>
        <v>-0.51525538582045605</v>
      </c>
      <c r="E89" s="3">
        <f ca="1">IFERROR(__xludf.DUMMYFUNCTION("""COMPUTED_VALUE"""),-0.502744960988402)</f>
        <v>-0.50274496098840205</v>
      </c>
      <c r="F89" s="3">
        <f ca="1">IFERROR(__xludf.DUMMYFUNCTION("""COMPUTED_VALUE"""),-0.46340183574576)</f>
        <v>-0.46340183574575999</v>
      </c>
      <c r="G89" s="3">
        <f ca="1">IFERROR(__xludf.DUMMYFUNCTION("""COMPUTED_VALUE"""),-0.576576056140228)</f>
        <v>-0.576576056140228</v>
      </c>
      <c r="H89" s="3">
        <f ca="1">IFERROR(__xludf.DUMMYFUNCTION("""COMPUTED_VALUE"""),-0.608931053298752)</f>
        <v>-0.60893105329875197</v>
      </c>
      <c r="I89" s="3">
        <f ca="1">IFERROR(__xludf.DUMMYFUNCTION("""COMPUTED_VALUE"""),-0.612976546065278)</f>
        <v>-0.61297654606527796</v>
      </c>
      <c r="J89" s="3">
        <f ca="1">IFERROR(__xludf.DUMMYFUNCTION("""COMPUTED_VALUE"""),-0.634632078984449)</f>
        <v>-0.63463207898444896</v>
      </c>
      <c r="K89" s="3">
        <f ca="1">IFERROR(__xludf.DUMMYFUNCTION("""COMPUTED_VALUE"""),-0.514340747625585)</f>
        <v>-0.51434074762558502</v>
      </c>
      <c r="L89" s="3">
        <f ca="1">IFERROR(__xludf.DUMMYFUNCTION("""COMPUTED_VALUE"""),-0.513154422719586)</f>
        <v>-0.513154422719586</v>
      </c>
      <c r="M89" s="3">
        <f ca="1">IFERROR(__xludf.DUMMYFUNCTION("""COMPUTED_VALUE"""),-0.508061260003597)</f>
        <v>-0.50806126000359697</v>
      </c>
      <c r="N89" s="3">
        <f ca="1">IFERROR(__xludf.DUMMYFUNCTION("""COMPUTED_VALUE"""),-0.489266273983827)</f>
        <v>-0.48926627398382699</v>
      </c>
      <c r="O89" s="3">
        <f ca="1">IFERROR(__xludf.DUMMYFUNCTION("""COMPUTED_VALUE"""),-0.624457009284542)</f>
        <v>-0.62445700928454195</v>
      </c>
      <c r="P89" s="3">
        <f ca="1">IFERROR(__xludf.DUMMYFUNCTION("""COMPUTED_VALUE"""),-0.570577823762572)</f>
        <v>-0.57057782376257205</v>
      </c>
      <c r="Q89" s="3">
        <f ca="1">IFERROR(__xludf.DUMMYFUNCTION("""COMPUTED_VALUE"""),-0.547188918733923)</f>
        <v>-0.54718891873392295</v>
      </c>
      <c r="R89" s="3">
        <f ca="1">IFERROR(__xludf.DUMMYFUNCTION("""COMPUTED_VALUE"""),-0.549158786595631)</f>
        <v>-0.549158786595631</v>
      </c>
      <c r="S89" s="3">
        <f ca="1">IFERROR(__xludf.DUMMYFUNCTION("""COMPUTED_VALUE"""),-0.579323162814479)</f>
        <v>-0.57932316281447904</v>
      </c>
      <c r="T89" s="3">
        <f ca="1">IFERROR(__xludf.DUMMYFUNCTION("""COMPUTED_VALUE"""),-0.524994359581018)</f>
        <v>-0.52499435958101803</v>
      </c>
      <c r="U89" s="3">
        <f ca="1">IFERROR(__xludf.DUMMYFUNCTION("""COMPUTED_VALUE"""),-0.547342820266988)</f>
        <v>-0.54734282026698799</v>
      </c>
      <c r="V89" s="3">
        <f ca="1">IFERROR(__xludf.DUMMYFUNCTION("""COMPUTED_VALUE"""),-0.610476575258503)</f>
        <v>-0.61047657525850296</v>
      </c>
      <c r="W89" s="3">
        <f ca="1">IFERROR(__xludf.DUMMYFUNCTION("""COMPUTED_VALUE"""),-0.576386312649667)</f>
        <v>-0.576386312649667</v>
      </c>
      <c r="X89" s="3">
        <f ca="1">IFERROR(__xludf.DUMMYFUNCTION("""COMPUTED_VALUE"""),-0.558889032073831)</f>
        <v>-0.558889032073831</v>
      </c>
      <c r="Y89" s="3">
        <f ca="1">IFERROR(__xludf.DUMMYFUNCTION("""COMPUTED_VALUE"""),-0.569073971334174)</f>
        <v>-0.56907397133417403</v>
      </c>
      <c r="Z89" s="3">
        <f ca="1">IFERROR(__xludf.DUMMYFUNCTION("""COMPUTED_VALUE"""),-0.515391617537307)</f>
        <v>-0.515391617537307</v>
      </c>
      <c r="AA89" s="3">
        <f ca="1">IFERROR(__xludf.DUMMYFUNCTION("""COMPUTED_VALUE"""),-0.525969895340386)</f>
        <v>-0.52596989534038596</v>
      </c>
      <c r="AB89" s="3">
        <f ca="1">IFERROR(__xludf.DUMMYFUNCTION("""COMPUTED_VALUE"""),-0.549721131288148)</f>
        <v>-0.54972113128814803</v>
      </c>
      <c r="AC89" s="3">
        <f ca="1">IFERROR(__xludf.DUMMYFUNCTION("""COMPUTED_VALUE"""),-0.629552380408273)</f>
        <v>-0.62955238040827299</v>
      </c>
      <c r="AD89" s="3">
        <f ca="1">IFERROR(__xludf.DUMMYFUNCTION("""COMPUTED_VALUE"""),-0.56930130983233)</f>
        <v>-0.56930130983232996</v>
      </c>
      <c r="AE89" s="3">
        <f ca="1">IFERROR(__xludf.DUMMYFUNCTION("""COMPUTED_VALUE"""),-0.528295791850317)</f>
        <v>-0.52829579185031705</v>
      </c>
      <c r="AF89" s="3">
        <f ca="1">IFERROR(__xludf.DUMMYFUNCTION("""COMPUTED_VALUE"""),-0.524619661408935)</f>
        <v>-0.52461966140893501</v>
      </c>
      <c r="AG89" s="3">
        <f ca="1">IFERROR(__xludf.DUMMYFUNCTION("""COMPUTED_VALUE"""),-0.513326024953982)</f>
        <v>-0.51332602495398205</v>
      </c>
      <c r="AH89" s="3">
        <f ca="1">IFERROR(__xludf.DUMMYFUNCTION("""COMPUTED_VALUE"""),-0.531328105811337)</f>
        <v>-0.53132810581133705</v>
      </c>
      <c r="AI89" s="3">
        <f ca="1">IFERROR(__xludf.DUMMYFUNCTION("""COMPUTED_VALUE"""),-0.536147100647316)</f>
        <v>-0.53614710064731597</v>
      </c>
      <c r="AJ89" s="3">
        <f ca="1">IFERROR(__xludf.DUMMYFUNCTION("""COMPUTED_VALUE"""),-0.631597551148022)</f>
        <v>-0.63159755114802196</v>
      </c>
      <c r="AK89" s="3">
        <f ca="1">IFERROR(__xludf.DUMMYFUNCTION("""COMPUTED_VALUE"""),-0.586598354724015)</f>
        <v>-0.586598354724015</v>
      </c>
      <c r="AL89" s="3">
        <f ca="1">IFERROR(__xludf.DUMMYFUNCTION("""COMPUTED_VALUE"""),-0.548329119581572)</f>
        <v>-0.54832911958157204</v>
      </c>
      <c r="AM89" s="3">
        <f ca="1">IFERROR(__xludf.DUMMYFUNCTION("""COMPUTED_VALUE"""),-0.541676635088447)</f>
        <v>-0.54167663508844699</v>
      </c>
      <c r="AN89" s="3">
        <f ca="1">IFERROR(__xludf.DUMMYFUNCTION("""COMPUTED_VALUE"""),-0.526598240745913)</f>
        <v>-0.52659824074591299</v>
      </c>
      <c r="AO89" s="3">
        <f ca="1">IFERROR(__xludf.DUMMYFUNCTION("""COMPUTED_VALUE"""),-0.537609265896156)</f>
        <v>-0.53760926589615599</v>
      </c>
      <c r="AP89" s="3">
        <f ca="1">IFERROR(__xludf.DUMMYFUNCTION("""COMPUTED_VALUE"""),-0.544035638175429)</f>
        <v>-0.54403563817542899</v>
      </c>
      <c r="AQ89" s="3">
        <f ca="1">IFERROR(__xludf.DUMMYFUNCTION("""COMPUTED_VALUE"""),-0.627293269238121)</f>
        <v>-0.62729326923812101</v>
      </c>
      <c r="AR89" s="3">
        <f ca="1">IFERROR(__xludf.DUMMYFUNCTION("""COMPUTED_VALUE"""),-0.596492248140915)</f>
        <v>-0.59649224814091495</v>
      </c>
      <c r="AS89" s="3">
        <f ca="1">IFERROR(__xludf.DUMMYFUNCTION("""COMPUTED_VALUE"""),-0.527032675770529)</f>
        <v>-0.52703267577052904</v>
      </c>
      <c r="AT89" s="3">
        <f ca="1">IFERROR(__xludf.DUMMYFUNCTION("""COMPUTED_VALUE"""),-0.547749913753064)</f>
        <v>-0.54774991375306403</v>
      </c>
      <c r="AU89" s="3">
        <f ca="1">IFERROR(__xludf.DUMMYFUNCTION("""COMPUTED_VALUE"""),-0.532736903655836)</f>
        <v>-0.53273690365583604</v>
      </c>
      <c r="AV89" s="3">
        <f ca="1">IFERROR(__xludf.DUMMYFUNCTION("""COMPUTED_VALUE"""),-0.5422953263217)</f>
        <v>-0.54229532632169997</v>
      </c>
      <c r="AW89" s="3">
        <f ca="1">IFERROR(__xludf.DUMMYFUNCTION("""COMPUTED_VALUE"""),-0.525182603937264)</f>
        <v>-0.52518260393726401</v>
      </c>
      <c r="AX89" s="3">
        <f ca="1">IFERROR(__xludf.DUMMYFUNCTION("""COMPUTED_VALUE"""),-0.651977074911943)</f>
        <v>-0.65197707491194301</v>
      </c>
      <c r="AY89" s="3">
        <f ca="1">IFERROR(__xludf.DUMMYFUNCTION("""COMPUTED_VALUE"""),-0.619327034451212)</f>
        <v>-0.61932703445121196</v>
      </c>
      <c r="AZ89" s="3">
        <f ca="1">IFERROR(__xludf.DUMMYFUNCTION("""COMPUTED_VALUE"""),-0.566038599297432)</f>
        <v>-0.56603859929743205</v>
      </c>
      <c r="BA89" s="3">
        <f ca="1">IFERROR(__xludf.DUMMYFUNCTION("""COMPUTED_VALUE"""),-0.577801854317849)</f>
        <v>-0.57780185431784903</v>
      </c>
      <c r="BB89" s="3">
        <f ca="1">IFERROR(__xludf.DUMMYFUNCTION("""COMPUTED_VALUE"""),-0.504760143162691)</f>
        <v>-0.50476014316269102</v>
      </c>
      <c r="BC89" s="3">
        <f ca="1">IFERROR(__xludf.DUMMYFUNCTION("""COMPUTED_VALUE"""),-0.419493052830592)</f>
        <v>-0.41949305283059202</v>
      </c>
      <c r="BD89" s="3">
        <f ca="1">IFERROR(__xludf.DUMMYFUNCTION("""COMPUTED_VALUE"""),-0.657122114908305)</f>
        <v>-0.65712211490830497</v>
      </c>
      <c r="BE89" s="3">
        <f ca="1">IFERROR(__xludf.DUMMYFUNCTION("""COMPUTED_VALUE"""),-0.623538079144025)</f>
        <v>-0.62353807914402504</v>
      </c>
      <c r="BF89" s="3">
        <f ca="1">IFERROR(__xludf.DUMMYFUNCTION("""COMPUTED_VALUE"""),-0.542248894746832)</f>
        <v>-0.54224889474683202</v>
      </c>
      <c r="BG89" s="3">
        <f ca="1">IFERROR(__xludf.DUMMYFUNCTION("""COMPUTED_VALUE"""),-0.635657919572181)</f>
        <v>-0.63565791957218098</v>
      </c>
      <c r="BH89" s="3">
        <f ca="1">IFERROR(__xludf.DUMMYFUNCTION("""COMPUTED_VALUE"""),-0.595351222320818)</f>
        <v>-0.59535122232081805</v>
      </c>
      <c r="BI89" s="3">
        <f ca="1">IFERROR(__xludf.DUMMYFUNCTION("""COMPUTED_VALUE"""),-0.580459635618851)</f>
        <v>-0.58045963561885106</v>
      </c>
      <c r="BJ89" s="3">
        <f ca="1">IFERROR(__xludf.DUMMYFUNCTION("""COMPUTED_VALUE"""),-0.553834112857317)</f>
        <v>-0.55383411285731698</v>
      </c>
      <c r="BK89" s="3">
        <f ca="1">IFERROR(__xludf.DUMMYFUNCTION("""COMPUTED_VALUE"""),-0.537956621559853)</f>
        <v>-0.53795662155985302</v>
      </c>
      <c r="BL89" s="3">
        <f ca="1">IFERROR(__xludf.DUMMYFUNCTION("""COMPUTED_VALUE"""),-0.614854500868004)</f>
        <v>-0.61485450086800397</v>
      </c>
      <c r="BM89" s="3">
        <f ca="1">IFERROR(__xludf.DUMMYFUNCTION("""COMPUTED_VALUE"""),-0.602618584370672)</f>
        <v>-0.60261858437067195</v>
      </c>
      <c r="BN89" s="3">
        <f ca="1">IFERROR(__xludf.DUMMYFUNCTION("""COMPUTED_VALUE"""),-0.575496752577124)</f>
        <v>-0.57549675257712396</v>
      </c>
      <c r="BO89" s="3">
        <f ca="1">IFERROR(__xludf.DUMMYFUNCTION("""COMPUTED_VALUE"""),-0.602000414177062)</f>
        <v>-0.60200041417706196</v>
      </c>
      <c r="BP89" s="3">
        <f ca="1">IFERROR(__xludf.DUMMYFUNCTION("""COMPUTED_VALUE"""),-0.566788225242019)</f>
        <v>-0.56678822524201899</v>
      </c>
      <c r="BQ89" s="3">
        <f ca="1">IFERROR(__xludf.DUMMYFUNCTION("""COMPUTED_VALUE"""),-0.575654318125679)</f>
        <v>-0.57565431812567902</v>
      </c>
      <c r="BR89" s="3">
        <f ca="1">IFERROR(__xludf.DUMMYFUNCTION("""COMPUTED_VALUE"""),-0.588159149915041)</f>
        <v>-0.58815914991504104</v>
      </c>
      <c r="BS89" s="3">
        <f ca="1">IFERROR(__xludf.DUMMYFUNCTION("""COMPUTED_VALUE"""),-0.641462360422099)</f>
        <v>-0.64146236042209903</v>
      </c>
      <c r="BT89" s="3">
        <f ca="1">IFERROR(__xludf.DUMMYFUNCTION("""COMPUTED_VALUE"""),-0.627483172294643)</f>
        <v>-0.62748317229464301</v>
      </c>
      <c r="BU89" s="3">
        <f ca="1">IFERROR(__xludf.DUMMYFUNCTION("""COMPUTED_VALUE"""),-0.619628064718786)</f>
        <v>-0.61962806471878595</v>
      </c>
      <c r="BV89" s="3">
        <f ca="1">IFERROR(__xludf.DUMMYFUNCTION("""COMPUTED_VALUE"""),-0.622998177534351)</f>
        <v>-0.62299817753435105</v>
      </c>
      <c r="BW89" s="3">
        <f ca="1">IFERROR(__xludf.DUMMYFUNCTION("""COMPUTED_VALUE"""),-0.615130066685356)</f>
        <v>-0.61513006668535597</v>
      </c>
      <c r="BX89" s="3">
        <f ca="1">IFERROR(__xludf.DUMMYFUNCTION("""COMPUTED_VALUE"""),-0.608627934589113)</f>
        <v>-0.60862793458911302</v>
      </c>
      <c r="BY89" s="3">
        <f ca="1">IFERROR(__xludf.DUMMYFUNCTION("""COMPUTED_VALUE"""),-0.60986070831727)</f>
        <v>-0.60986070831727002</v>
      </c>
      <c r="BZ89" s="3">
        <f ca="1">IFERROR(__xludf.DUMMYFUNCTION("""COMPUTED_VALUE"""),-0.660448590090005)</f>
        <v>-0.66044859009000501</v>
      </c>
      <c r="CA89" s="3">
        <f ca="1">IFERROR(__xludf.DUMMYFUNCTION("""COMPUTED_VALUE"""),-0.628790421718256)</f>
        <v>-0.62879042171825605</v>
      </c>
      <c r="CB89" s="3">
        <f ca="1">IFERROR(__xludf.DUMMYFUNCTION("""COMPUTED_VALUE"""),-0.602477924417189)</f>
        <v>-0.60247792441718895</v>
      </c>
      <c r="CC89" s="3">
        <f ca="1">IFERROR(__xludf.DUMMYFUNCTION("""COMPUTED_VALUE"""),-0.628712453890035)</f>
        <v>-0.62871245389003505</v>
      </c>
      <c r="CD89" s="3">
        <f ca="1">IFERROR(__xludf.DUMMYFUNCTION("""COMPUTED_VALUE"""),-0.574173786792916)</f>
        <v>-0.57417378679291597</v>
      </c>
      <c r="CE89" s="3">
        <f ca="1">IFERROR(__xludf.DUMMYFUNCTION("""COMPUTED_VALUE"""),-0.610303229698541)</f>
        <v>-0.61030322969854101</v>
      </c>
      <c r="CF89" s="3">
        <f ca="1">IFERROR(__xludf.DUMMYFUNCTION("""COMPUTED_VALUE"""),-0.605481496158975)</f>
        <v>-0.60548149615897495</v>
      </c>
      <c r="CG89" s="3">
        <f ca="1">IFERROR(__xludf.DUMMYFUNCTION("""COMPUTED_VALUE"""),-0.626301073781221)</f>
        <v>-0.62630107378122102</v>
      </c>
      <c r="CH89" s="3">
        <f ca="1">IFERROR(__xludf.DUMMYFUNCTION("""COMPUTED_VALUE"""),-0.628664551908977)</f>
        <v>-0.62866455190897697</v>
      </c>
      <c r="CI89" s="3">
        <f ca="1">IFERROR(__xludf.DUMMYFUNCTION("""COMPUTED_VALUE"""),-0.598098836088214)</f>
        <v>-0.59809883608821401</v>
      </c>
      <c r="CJ89" s="3">
        <f ca="1">IFERROR(__xludf.DUMMYFUNCTION("""COMPUTED_VALUE"""),-0.615867596907969)</f>
        <v>-0.61586759690796899</v>
      </c>
      <c r="CK89" s="3">
        <f ca="1">IFERROR(__xludf.DUMMYFUNCTION("""COMPUTED_VALUE"""),-0.576566532320031)</f>
        <v>-0.57656653232003097</v>
      </c>
      <c r="CL89" s="3">
        <f ca="1">IFERROR(__xludf.DUMMYFUNCTION("""COMPUTED_VALUE"""),-0.621801661426298)</f>
        <v>-0.621801661426298</v>
      </c>
      <c r="CM89" s="3">
        <f ca="1">IFERROR(__xludf.DUMMYFUNCTION("""COMPUTED_VALUE"""),-0.619340933309742)</f>
        <v>-0.61934093330974205</v>
      </c>
      <c r="CN89" s="3">
        <f ca="1">IFERROR(__xludf.DUMMYFUNCTION("""COMPUTED_VALUE"""),-0.622823261083264)</f>
        <v>-0.62282326108326402</v>
      </c>
      <c r="CO89" s="3">
        <f ca="1">IFERROR(__xludf.DUMMYFUNCTION("""COMPUTED_VALUE"""),-0.606846909929587)</f>
        <v>-0.60684690992958701</v>
      </c>
      <c r="CP89" s="3">
        <f ca="1">IFERROR(__xludf.DUMMYFUNCTION("""COMPUTED_VALUE"""),-0.559940859257005)</f>
        <v>-0.55994085925700499</v>
      </c>
      <c r="CQ89" s="3">
        <f ca="1">IFERROR(__xludf.DUMMYFUNCTION("""COMPUTED_VALUE"""),-0.559314360074538)</f>
        <v>-0.55931436007453805</v>
      </c>
      <c r="CR89" s="3">
        <f ca="1">IFERROR(__xludf.DUMMYFUNCTION("""COMPUTED_VALUE"""),-0.486819051066427)</f>
        <v>-0.48681905106642698</v>
      </c>
      <c r="CS89" s="3">
        <f ca="1">IFERROR(__xludf.DUMMYFUNCTION("""COMPUTED_VALUE"""),-0.579043837659556)</f>
        <v>-0.57904383765955603</v>
      </c>
      <c r="CT89" s="3">
        <f ca="1">IFERROR(__xludf.DUMMYFUNCTION("""COMPUTED_VALUE"""),-0.557105451435427)</f>
        <v>-0.557105451435427</v>
      </c>
      <c r="CU89" s="3">
        <f ca="1">IFERROR(__xludf.DUMMYFUNCTION("""COMPUTED_VALUE"""),-0.612933743250516)</f>
        <v>-0.61293374325051597</v>
      </c>
      <c r="CV89" s="3">
        <f ca="1">IFERROR(__xludf.DUMMYFUNCTION("""COMPUTED_VALUE"""),-0.646754258096717)</f>
        <v>-0.64675425809671705</v>
      </c>
      <c r="CW89" s="3">
        <f ca="1">IFERROR(__xludf.DUMMYFUNCTION("""COMPUTED_VALUE"""),-0.71026398256065)</f>
        <v>-0.71026398256065004</v>
      </c>
      <c r="CX89" s="3">
        <f ca="1">IFERROR(__xludf.DUMMYFUNCTION("""COMPUTED_VALUE"""),-0.576858517792724)</f>
        <v>-0.57685851779272401</v>
      </c>
      <c r="CY89" s="3">
        <f ca="1">IFERROR(__xludf.DUMMYFUNCTION("""COMPUTED_VALUE"""),-0.54651600170107)</f>
        <v>-0.54651600170106995</v>
      </c>
      <c r="CZ89" s="3">
        <f ca="1">IFERROR(__xludf.DUMMYFUNCTION("""COMPUTED_VALUE"""),-0.585147527325527)</f>
        <v>-0.58514752732552699</v>
      </c>
      <c r="DA89" s="3">
        <f ca="1">IFERROR(__xludf.DUMMYFUNCTION("""COMPUTED_VALUE"""),-0.593323061219999)</f>
        <v>-0.593323061219999</v>
      </c>
      <c r="DB89" s="3">
        <f ca="1">IFERROR(__xludf.DUMMYFUNCTION("""COMPUTED_VALUE"""),-0.590015092174052)</f>
        <v>-0.59001509217405201</v>
      </c>
      <c r="DC89" s="3">
        <f ca="1">IFERROR(__xludf.DUMMYFUNCTION("""COMPUTED_VALUE"""),-0.581000763543857)</f>
        <v>-0.58100076354385699</v>
      </c>
      <c r="DD89" s="3">
        <f ca="1">IFERROR(__xludf.DUMMYFUNCTION("""COMPUTED_VALUE"""),-0.836016503705355)</f>
        <v>-0.83601650370535496</v>
      </c>
      <c r="DE89" s="3">
        <f ca="1">IFERROR(__xludf.DUMMYFUNCTION("""COMPUTED_VALUE"""),-0.598768936771645)</f>
        <v>-0.598768936771645</v>
      </c>
      <c r="DF89" s="3">
        <f ca="1">IFERROR(__xludf.DUMMYFUNCTION("""COMPUTED_VALUE"""),-0.380131488123175)</f>
        <v>-0.38013148812317499</v>
      </c>
      <c r="DG89" s="3">
        <f ca="1">IFERROR(__xludf.DUMMYFUNCTION("""COMPUTED_VALUE"""),-0.455725893585788)</f>
        <v>-0.45572589358578802</v>
      </c>
      <c r="DH89" s="3">
        <f ca="1">IFERROR(__xludf.DUMMYFUNCTION("""COMPUTED_VALUE"""),-0.575073949452652)</f>
        <v>-0.575073949452652</v>
      </c>
      <c r="DI89" s="3">
        <f ca="1">IFERROR(__xludf.DUMMYFUNCTION("""COMPUTED_VALUE"""),-0.59319760249087)</f>
        <v>-0.59319760249086995</v>
      </c>
      <c r="DJ89" s="3">
        <f ca="1">IFERROR(__xludf.DUMMYFUNCTION("""COMPUTED_VALUE"""),-0.598478321916254)</f>
        <v>-0.59847832191625405</v>
      </c>
      <c r="DK89" s="3">
        <f ca="1">IFERROR(__xludf.DUMMYFUNCTION("""COMPUTED_VALUE"""),-0.540011026995049)</f>
        <v>-0.54001102699504899</v>
      </c>
      <c r="DL89" s="3">
        <f ca="1">IFERROR(__xludf.DUMMYFUNCTION("""COMPUTED_VALUE"""),-0.480741763252588)</f>
        <v>-0.48074176325258799</v>
      </c>
      <c r="DM89" s="3">
        <f ca="1">IFERROR(__xludf.DUMMYFUNCTION("""COMPUTED_VALUE"""),-0.432462668461793)</f>
        <v>-0.43246266846179299</v>
      </c>
      <c r="DN89" s="3">
        <f ca="1">IFERROR(__xludf.DUMMYFUNCTION("""COMPUTED_VALUE"""),-0.511536557866813)</f>
        <v>-0.51153655786681296</v>
      </c>
      <c r="DO89" s="3">
        <f ca="1">IFERROR(__xludf.DUMMYFUNCTION("""COMPUTED_VALUE"""),-0.524630831279865)</f>
        <v>-0.52463083127986498</v>
      </c>
      <c r="DP89" s="3">
        <f ca="1">IFERROR(__xludf.DUMMYFUNCTION("""COMPUTED_VALUE"""),-0.655777961088228)</f>
        <v>-0.65577796108822795</v>
      </c>
      <c r="DQ89" s="3">
        <f ca="1">IFERROR(__xludf.DUMMYFUNCTION("""COMPUTED_VALUE"""),-0.618863810047058)</f>
        <v>-0.61886381004705804</v>
      </c>
      <c r="DR89" s="3">
        <f ca="1">IFERROR(__xludf.DUMMYFUNCTION("""COMPUTED_VALUE"""),-0.586121602561705)</f>
        <v>-0.58612160256170498</v>
      </c>
      <c r="DS89" s="3">
        <f ca="1">IFERROR(__xludf.DUMMYFUNCTION("""COMPUTED_VALUE"""),-0.558945394293089)</f>
        <v>-0.55894539429308898</v>
      </c>
      <c r="DT89" s="3">
        <f ca="1">IFERROR(__xludf.DUMMYFUNCTION("""COMPUTED_VALUE"""),-0.585237855721053)</f>
        <v>-0.58523785572105302</v>
      </c>
      <c r="DU89" s="3">
        <f ca="1">IFERROR(__xludf.DUMMYFUNCTION("""COMPUTED_VALUE"""),-0.585430550148817)</f>
        <v>-0.58543055014881695</v>
      </c>
      <c r="DV89" s="3">
        <f ca="1">IFERROR(__xludf.DUMMYFUNCTION("""COMPUTED_VALUE"""),-0.582748245482827)</f>
        <v>-0.582748245482827</v>
      </c>
      <c r="DW89" s="3">
        <f ca="1">IFERROR(__xludf.DUMMYFUNCTION("""COMPUTED_VALUE"""),-0.661407172275342)</f>
        <v>-0.66140717227534196</v>
      </c>
      <c r="DX89" s="3">
        <f ca="1">IFERROR(__xludf.DUMMYFUNCTION("""COMPUTED_VALUE"""),-0.643291995473909)</f>
        <v>-0.64329199547390903</v>
      </c>
      <c r="DY89" s="3">
        <f ca="1">IFERROR(__xludf.DUMMYFUNCTION("""COMPUTED_VALUE"""),-0.595668470881064)</f>
        <v>-0.595668470881064</v>
      </c>
      <c r="DZ89" s="3">
        <f ca="1">IFERROR(__xludf.DUMMYFUNCTION("""COMPUTED_VALUE"""),-0.601039211413449)</f>
        <v>-0.60103921141344896</v>
      </c>
      <c r="EA89" s="3">
        <f ca="1">IFERROR(__xludf.DUMMYFUNCTION("""COMPUTED_VALUE"""),-0.590579713728858)</f>
        <v>-0.59057971372885798</v>
      </c>
      <c r="EB89" s="3">
        <f ca="1">IFERROR(__xludf.DUMMYFUNCTION("""COMPUTED_VALUE"""),-0.557265079021651)</f>
        <v>-0.55726507902165101</v>
      </c>
      <c r="EC89" s="3">
        <f ca="1">IFERROR(__xludf.DUMMYFUNCTION("""COMPUTED_VALUE"""),-0.553840072828892)</f>
        <v>-0.55384007282889203</v>
      </c>
      <c r="ED89" s="3">
        <f ca="1">IFERROR(__xludf.DUMMYFUNCTION("""COMPUTED_VALUE"""),-0.662271214128165)</f>
        <v>-0.66227121412816503</v>
      </c>
      <c r="EE89" s="3">
        <f ca="1">IFERROR(__xludf.DUMMYFUNCTION("""COMPUTED_VALUE"""),-0.654094536034719)</f>
        <v>-0.65409453603471901</v>
      </c>
      <c r="EF89" s="3">
        <f ca="1">IFERROR(__xludf.DUMMYFUNCTION("""COMPUTED_VALUE"""),-0.595614145169505)</f>
        <v>-0.59561414516950495</v>
      </c>
      <c r="EG89" s="3">
        <f ca="1">IFERROR(__xludf.DUMMYFUNCTION("""COMPUTED_VALUE"""),-0.580117483810456)</f>
        <v>-0.58011748381045602</v>
      </c>
      <c r="EH89" s="3">
        <f ca="1">IFERROR(__xludf.DUMMYFUNCTION("""COMPUTED_VALUE"""),-0.571189649645959)</f>
        <v>-0.57118964964595897</v>
      </c>
      <c r="EI89" s="3">
        <f ca="1">IFERROR(__xludf.DUMMYFUNCTION("""COMPUTED_VALUE"""),-0.591169267887378)</f>
        <v>-0.591169267887378</v>
      </c>
      <c r="EJ89" s="3">
        <f ca="1">IFERROR(__xludf.DUMMYFUNCTION("""COMPUTED_VALUE"""),-0.556860343393023)</f>
        <v>-0.55686034339302304</v>
      </c>
      <c r="EK89" s="3">
        <f ca="1">IFERROR(__xludf.DUMMYFUNCTION("""COMPUTED_VALUE"""),-0.666485538606413)</f>
        <v>-0.66648553860641302</v>
      </c>
      <c r="EL89" s="3">
        <f ca="1">IFERROR(__xludf.DUMMYFUNCTION("""COMPUTED_VALUE"""),-0.662070755688451)</f>
        <v>-0.66207075568845097</v>
      </c>
      <c r="EM89" s="3">
        <f ca="1">IFERROR(__xludf.DUMMYFUNCTION("""COMPUTED_VALUE"""),-0.623525358111095)</f>
        <v>-0.623525358111095</v>
      </c>
      <c r="EN89" s="3">
        <f ca="1">IFERROR(__xludf.DUMMYFUNCTION("""COMPUTED_VALUE"""),-0.544735534574259)</f>
        <v>-0.54473553457425905</v>
      </c>
      <c r="EO89" s="3">
        <f ca="1">IFERROR(__xludf.DUMMYFUNCTION("""COMPUTED_VALUE"""),-0.511888204377202)</f>
        <v>-0.51188820437720195</v>
      </c>
      <c r="EP89" s="3">
        <f ca="1">IFERROR(__xludf.DUMMYFUNCTION("""COMPUTED_VALUE"""),-0.533721250360263)</f>
        <v>-0.53372125036026297</v>
      </c>
      <c r="EQ89" s="3">
        <f ca="1">IFERROR(__xludf.DUMMYFUNCTION("""COMPUTED_VALUE"""),-0.522031121315646)</f>
        <v>-0.522031121315646</v>
      </c>
      <c r="ER89" s="3">
        <f ca="1">IFERROR(__xludf.DUMMYFUNCTION("""COMPUTED_VALUE"""),-0.592376563180411)</f>
        <v>-0.59237656318041099</v>
      </c>
      <c r="ES89" s="3">
        <f ca="1">IFERROR(__xludf.DUMMYFUNCTION("""COMPUTED_VALUE"""),-0.599359132303884)</f>
        <v>-0.59935913230388405</v>
      </c>
      <c r="ET89" s="3">
        <f ca="1">IFERROR(__xludf.DUMMYFUNCTION("""COMPUTED_VALUE"""),-0.569829072908892)</f>
        <v>-0.56982907290889195</v>
      </c>
      <c r="EU89" s="3">
        <f ca="1">IFERROR(__xludf.DUMMYFUNCTION("""COMPUTED_VALUE"""),-0.555370569452285)</f>
        <v>-0.55537056945228502</v>
      </c>
      <c r="EV89" s="3">
        <f ca="1">IFERROR(__xludf.DUMMYFUNCTION("""COMPUTED_VALUE"""),-0.644797535399769)</f>
        <v>-0.64479753539976903</v>
      </c>
      <c r="EW89" s="3">
        <f ca="1">IFERROR(__xludf.DUMMYFUNCTION("""COMPUTED_VALUE"""),-0.519270396513666)</f>
        <v>-0.51927039651366602</v>
      </c>
      <c r="EX89" s="3">
        <f ca="1">IFERROR(__xludf.DUMMYFUNCTION("""COMPUTED_VALUE"""),-0.50944619649585)</f>
        <v>-0.50944619649584999</v>
      </c>
      <c r="EY89" s="3">
        <f ca="1">IFERROR(__xludf.DUMMYFUNCTION("""COMPUTED_VALUE"""),-0.569735488015849)</f>
        <v>-0.56973548801584895</v>
      </c>
      <c r="EZ89" s="3">
        <f ca="1">IFERROR(__xludf.DUMMYFUNCTION("""COMPUTED_VALUE"""),-0.574439466381076)</f>
        <v>-0.57443946638107601</v>
      </c>
      <c r="FA89" s="3">
        <f ca="1">IFERROR(__xludf.DUMMYFUNCTION("""COMPUTED_VALUE"""),-0.535613194606137)</f>
        <v>-0.53561319460613699</v>
      </c>
      <c r="FB89" s="3">
        <f ca="1">IFERROR(__xludf.DUMMYFUNCTION("""COMPUTED_VALUE"""),-0.568812387577085)</f>
        <v>-0.56881238757708497</v>
      </c>
      <c r="FC89" s="3">
        <f ca="1">IFERROR(__xludf.DUMMYFUNCTION("""COMPUTED_VALUE"""),-0.542369637933291)</f>
        <v>-0.54236963793329096</v>
      </c>
      <c r="FD89" s="3">
        <f ca="1">IFERROR(__xludf.DUMMYFUNCTION("""COMPUTED_VALUE"""),-0.555147577735237)</f>
        <v>-0.55514757773523704</v>
      </c>
      <c r="FE89" s="3">
        <f ca="1">IFERROR(__xludf.DUMMYFUNCTION("""COMPUTED_VALUE"""),-0.517867907051471)</f>
        <v>-0.51786790705147101</v>
      </c>
      <c r="FF89" s="3">
        <f ca="1">IFERROR(__xludf.DUMMYFUNCTION("""COMPUTED_VALUE"""),-0.559717642792068)</f>
        <v>-0.55971764279206804</v>
      </c>
      <c r="FG89" s="3">
        <f ca="1">IFERROR(__xludf.DUMMYFUNCTION("""COMPUTED_VALUE"""),-0.531266852881705)</f>
        <v>-0.53126685288170505</v>
      </c>
      <c r="FH89" s="3">
        <f ca="1">IFERROR(__xludf.DUMMYFUNCTION("""COMPUTED_VALUE"""),-0.549965036075189)</f>
        <v>-0.54996503607518898</v>
      </c>
      <c r="FI89" s="3">
        <f ca="1">IFERROR(__xludf.DUMMYFUNCTION("""COMPUTED_VALUE"""),-0.581006251436657)</f>
        <v>-0.58100625143665696</v>
      </c>
      <c r="FJ89" s="3">
        <f ca="1">IFERROR(__xludf.DUMMYFUNCTION("""COMPUTED_VALUE"""),-0.547955069026505)</f>
        <v>-0.54795506902650504</v>
      </c>
      <c r="FK89" s="3">
        <f ca="1">IFERROR(__xludf.DUMMYFUNCTION("""COMPUTED_VALUE"""),-0.565860143842676)</f>
        <v>-0.56586014384267602</v>
      </c>
      <c r="FL89" s="3">
        <f ca="1">IFERROR(__xludf.DUMMYFUNCTION("""COMPUTED_VALUE"""),-0.557350827681547)</f>
        <v>-0.55735082768154698</v>
      </c>
      <c r="FM89" s="3">
        <f ca="1">IFERROR(__xludf.DUMMYFUNCTION("""COMPUTED_VALUE"""),-0.592866897459017)</f>
        <v>-0.59286689745901699</v>
      </c>
      <c r="FN89" s="3">
        <f ca="1">IFERROR(__xludf.DUMMYFUNCTION("""COMPUTED_VALUE"""),-0.558636263221584)</f>
        <v>-0.558636263221584</v>
      </c>
      <c r="FO89" s="3">
        <f ca="1">IFERROR(__xludf.DUMMYFUNCTION("""COMPUTED_VALUE"""),-0.607590703881594)</f>
        <v>-0.60759070388159397</v>
      </c>
      <c r="FP89" s="3">
        <f ca="1">IFERROR(__xludf.DUMMYFUNCTION("""COMPUTED_VALUE"""),-0.562026570941652)</f>
        <v>-0.56202657094165198</v>
      </c>
      <c r="FQ89" s="3">
        <f ca="1">IFERROR(__xludf.DUMMYFUNCTION("""COMPUTED_VALUE"""),-0.530949747332285)</f>
        <v>-0.53094974733228495</v>
      </c>
      <c r="FR89" s="3">
        <f ca="1">IFERROR(__xludf.DUMMYFUNCTION("""COMPUTED_VALUE"""),-0.543704382713105)</f>
        <v>-0.54370438271310495</v>
      </c>
      <c r="FS89" s="3">
        <f ca="1">IFERROR(__xludf.DUMMYFUNCTION("""COMPUTED_VALUE"""),-0.487062607752342)</f>
        <v>-0.487062607752342</v>
      </c>
      <c r="FT89" s="3">
        <f ca="1">IFERROR(__xludf.DUMMYFUNCTION("""COMPUTED_VALUE"""),-0.591714277018816)</f>
        <v>-0.59171427701881596</v>
      </c>
      <c r="FU89" s="3">
        <f ca="1">IFERROR(__xludf.DUMMYFUNCTION("""COMPUTED_VALUE"""),-0.58007419234905)</f>
        <v>-0.58007419234905</v>
      </c>
      <c r="FV89" s="3">
        <f ca="1">IFERROR(__xludf.DUMMYFUNCTION("""COMPUTED_VALUE"""),-0.562838710414022)</f>
        <v>-0.562838710414022</v>
      </c>
      <c r="FW89" s="3">
        <f ca="1">IFERROR(__xludf.DUMMYFUNCTION("""COMPUTED_VALUE"""),-0.561688841404598)</f>
        <v>-0.56168884140459796</v>
      </c>
      <c r="FX89" s="3">
        <f ca="1">IFERROR(__xludf.DUMMYFUNCTION("""COMPUTED_VALUE"""),-0.55184986807551)</f>
        <v>-0.55184986807550995</v>
      </c>
      <c r="FY89" s="3">
        <f ca="1">IFERROR(__xludf.DUMMYFUNCTION("""COMPUTED_VALUE"""),-0.564886570522057)</f>
        <v>-0.56488657052205704</v>
      </c>
      <c r="FZ89" s="3">
        <f ca="1">IFERROR(__xludf.DUMMYFUNCTION("""COMPUTED_VALUE"""),-0.631657733784631)</f>
        <v>-0.63165773378463097</v>
      </c>
      <c r="GA89" s="3">
        <f ca="1">IFERROR(__xludf.DUMMYFUNCTION("""COMPUTED_VALUE"""),-0.631845188679714)</f>
        <v>-0.63184518867971395</v>
      </c>
      <c r="GB89" s="3">
        <f ca="1">IFERROR(__xludf.DUMMYFUNCTION("""COMPUTED_VALUE"""),-0.569033617090078)</f>
        <v>-0.56903361709007805</v>
      </c>
      <c r="GC89" s="3">
        <f ca="1">IFERROR(__xludf.DUMMYFUNCTION("""COMPUTED_VALUE"""),-0.546136239770753)</f>
        <v>-0.54613623977075298</v>
      </c>
      <c r="GD89" s="3">
        <f ca="1">IFERROR(__xludf.DUMMYFUNCTION("""COMPUTED_VALUE"""),-0.525187932063555)</f>
        <v>-0.52518793206355496</v>
      </c>
      <c r="GE89" s="3">
        <f ca="1">IFERROR(__xludf.DUMMYFUNCTION("""COMPUTED_VALUE"""),-0.535281176354438)</f>
        <v>-0.53528117635443795</v>
      </c>
      <c r="GF89" s="3">
        <f ca="1">IFERROR(__xludf.DUMMYFUNCTION("""COMPUTED_VALUE"""),-0.515105180069375)</f>
        <v>-0.515105180069375</v>
      </c>
      <c r="GG89" s="3">
        <f ca="1">IFERROR(__xludf.DUMMYFUNCTION("""COMPUTED_VALUE"""),-0.465078723556914)</f>
        <v>-0.46507872355691399</v>
      </c>
      <c r="GH89" s="3">
        <f ca="1">IFERROR(__xludf.DUMMYFUNCTION("""COMPUTED_VALUE"""),-0.562242077163079)</f>
        <v>-0.56224207716307895</v>
      </c>
      <c r="GI89" s="3">
        <f ca="1">IFERROR(__xludf.DUMMYFUNCTION("""COMPUTED_VALUE"""),-0.559711832050764)</f>
        <v>-0.55971183205076402</v>
      </c>
      <c r="GJ89" s="3">
        <f ca="1">IFERROR(__xludf.DUMMYFUNCTION("""COMPUTED_VALUE"""),-0.568294374079266)</f>
        <v>-0.56829437407926597</v>
      </c>
      <c r="GK89" s="3">
        <f ca="1">IFERROR(__xludf.DUMMYFUNCTION("""COMPUTED_VALUE"""),-0.538908272340784)</f>
        <v>-0.53890827234078398</v>
      </c>
      <c r="GL89" s="3">
        <f ca="1">IFERROR(__xludf.DUMMYFUNCTION("""COMPUTED_VALUE"""),-0.534141826858688)</f>
        <v>-0.53414182685868805</v>
      </c>
      <c r="GM89" s="3">
        <f ca="1">IFERROR(__xludf.DUMMYFUNCTION("""COMPUTED_VALUE"""),-0.514425068424635)</f>
        <v>-0.51442506842463498</v>
      </c>
      <c r="GN89" s="3">
        <f ca="1">IFERROR(__xludf.DUMMYFUNCTION("""COMPUTED_VALUE"""),-0.549599932461075)</f>
        <v>-0.54959993246107497</v>
      </c>
      <c r="GO89" s="3">
        <f ca="1">IFERROR(__xludf.DUMMYFUNCTION("""COMPUTED_VALUE"""),-0.570844266583526)</f>
        <v>-0.57084426658352605</v>
      </c>
      <c r="GP89" s="3">
        <f ca="1">IFERROR(__xludf.DUMMYFUNCTION("""COMPUTED_VALUE"""),-0.595130902676152)</f>
        <v>-0.59513090267615198</v>
      </c>
      <c r="GQ89" s="3">
        <f ca="1">IFERROR(__xludf.DUMMYFUNCTION("""COMPUTED_VALUE"""),-0.590676275063791)</f>
        <v>-0.59067627506379095</v>
      </c>
      <c r="GR89" s="3">
        <f ca="1">IFERROR(__xludf.DUMMYFUNCTION("""COMPUTED_VALUE"""),-0.550867826250843)</f>
        <v>-0.55086782625084296</v>
      </c>
      <c r="GS89" s="3">
        <f ca="1">IFERROR(__xludf.DUMMYFUNCTION("""COMPUTED_VALUE"""),-0.551757391464144)</f>
        <v>-0.55175739146414404</v>
      </c>
      <c r="GT89" s="3">
        <f ca="1">IFERROR(__xludf.DUMMYFUNCTION("""COMPUTED_VALUE"""),-0.511137557581651)</f>
        <v>-0.51113755758165103</v>
      </c>
      <c r="GU89" s="3">
        <f ca="1">IFERROR(__xludf.DUMMYFUNCTION("""COMPUTED_VALUE"""),-0.516882238167637)</f>
        <v>-0.51688223816763701</v>
      </c>
      <c r="GV89" s="3">
        <f ca="1">IFERROR(__xludf.DUMMYFUNCTION("""COMPUTED_VALUE"""),-0.554198245697943)</f>
        <v>-0.55419824569794296</v>
      </c>
      <c r="GW89" s="3">
        <f ca="1">IFERROR(__xludf.DUMMYFUNCTION("""COMPUTED_VALUE"""),-0.579023472871313)</f>
        <v>-0.57902347287131295</v>
      </c>
      <c r="GX89" s="3">
        <f ca="1">IFERROR(__xludf.DUMMYFUNCTION("""COMPUTED_VALUE"""),-0.565701447137462)</f>
        <v>-0.56570144713746195</v>
      </c>
      <c r="GY89" s="3">
        <f ca="1">IFERROR(__xludf.DUMMYFUNCTION("""COMPUTED_VALUE"""),-0.511728417914123)</f>
        <v>-0.51172841791412305</v>
      </c>
      <c r="GZ89" s="3">
        <f ca="1">IFERROR(__xludf.DUMMYFUNCTION("""COMPUTED_VALUE"""),-0.510472987239796)</f>
        <v>-0.51047298723979595</v>
      </c>
      <c r="HA89" s="3">
        <f ca="1">IFERROR(__xludf.DUMMYFUNCTION("""COMPUTED_VALUE"""),-0.511802868212731)</f>
        <v>-0.51180286821273102</v>
      </c>
      <c r="HB89" s="3">
        <f ca="1">IFERROR(__xludf.DUMMYFUNCTION("""COMPUTED_VALUE"""),-0.521382214887012)</f>
        <v>-0.52138221488701197</v>
      </c>
      <c r="HC89" s="3">
        <f ca="1">IFERROR(__xludf.DUMMYFUNCTION("""COMPUTED_VALUE"""),-0.584729709796687)</f>
        <v>-0.58472970979668704</v>
      </c>
      <c r="HD89" s="3">
        <f ca="1">IFERROR(__xludf.DUMMYFUNCTION("""COMPUTED_VALUE"""),-0.602428563706349)</f>
        <v>-0.60242856370634901</v>
      </c>
      <c r="HE89" s="3">
        <f ca="1">IFERROR(__xludf.DUMMYFUNCTION("""COMPUTED_VALUE"""),-0.542983092596186)</f>
        <v>-0.54298309259618605</v>
      </c>
      <c r="HF89" s="3">
        <f ca="1">IFERROR(__xludf.DUMMYFUNCTION("""COMPUTED_VALUE"""),-0.514223019877133)</f>
        <v>-0.51422301987713304</v>
      </c>
      <c r="HG89" s="3">
        <f ca="1">IFERROR(__xludf.DUMMYFUNCTION("""COMPUTED_VALUE"""),-0.579772881875593)</f>
        <v>-0.57977288187559295</v>
      </c>
      <c r="HH89" s="3">
        <f ca="1">IFERROR(__xludf.DUMMYFUNCTION("""COMPUTED_VALUE"""),-0.57173925509041)</f>
        <v>-0.57173925509041001</v>
      </c>
      <c r="HI89" s="3">
        <f ca="1">IFERROR(__xludf.DUMMYFUNCTION("""COMPUTED_VALUE"""),-0.613523404532731)</f>
        <v>-0.61352340453273102</v>
      </c>
      <c r="HJ89" s="3">
        <f ca="1">IFERROR(__xludf.DUMMYFUNCTION("""COMPUTED_VALUE"""),-0.544344771900873)</f>
        <v>-0.54434477190087305</v>
      </c>
      <c r="HK89" s="3">
        <f ca="1">IFERROR(__xludf.DUMMYFUNCTION("""COMPUTED_VALUE"""),-0.577515353410353)</f>
        <v>-0.57751535341035298</v>
      </c>
      <c r="HL89" s="3">
        <f ca="1">IFERROR(__xludf.DUMMYFUNCTION("""COMPUTED_VALUE"""),-0.58250002315062)</f>
        <v>-0.58250002315061999</v>
      </c>
      <c r="HM89" s="3">
        <f ca="1">IFERROR(__xludf.DUMMYFUNCTION("""COMPUTED_VALUE"""),-0.569315607766503)</f>
        <v>-0.56931560776650303</v>
      </c>
      <c r="HN89" s="3">
        <f ca="1">IFERROR(__xludf.DUMMYFUNCTION("""COMPUTED_VALUE"""),-0.596430509255464)</f>
        <v>-0.59643050925546404</v>
      </c>
      <c r="HO89" s="3">
        <f ca="1">IFERROR(__xludf.DUMMYFUNCTION("""COMPUTED_VALUE"""),-0.593016830654261)</f>
        <v>-0.59301683065426103</v>
      </c>
      <c r="HP89" s="3">
        <f ca="1">IFERROR(__xludf.DUMMYFUNCTION("""COMPUTED_VALUE"""),-0.541080105054167)</f>
        <v>-0.54108010505416704</v>
      </c>
      <c r="HQ89" s="3">
        <f ca="1">IFERROR(__xludf.DUMMYFUNCTION("""COMPUTED_VALUE"""),-0.526049531283773)</f>
        <v>-0.52604953128377296</v>
      </c>
      <c r="HR89" s="3">
        <f ca="1">IFERROR(__xludf.DUMMYFUNCTION("""COMPUTED_VALUE"""),-0.519173007253422)</f>
        <v>-0.51917300725342197</v>
      </c>
      <c r="HS89" s="3">
        <f ca="1">IFERROR(__xludf.DUMMYFUNCTION("""COMPUTED_VALUE"""),-0.524300435583994)</f>
        <v>-0.52430043558399397</v>
      </c>
      <c r="HT89" s="3">
        <f ca="1">IFERROR(__xludf.DUMMYFUNCTION("""COMPUTED_VALUE"""),-0.534757083803014)</f>
        <v>-0.53475708380301401</v>
      </c>
      <c r="HU89" s="3">
        <f ca="1">IFERROR(__xludf.DUMMYFUNCTION("""COMPUTED_VALUE"""),-0.540940612834396)</f>
        <v>-0.54094061283439598</v>
      </c>
      <c r="HV89" s="3">
        <f ca="1">IFERROR(__xludf.DUMMYFUNCTION("""COMPUTED_VALUE"""),-0.551678640090401)</f>
        <v>-0.55167864009040102</v>
      </c>
      <c r="HW89" s="3">
        <f ca="1">IFERROR(__xludf.DUMMYFUNCTION("""COMPUTED_VALUE"""),-0.455500181427028)</f>
        <v>-0.45550018142702797</v>
      </c>
      <c r="HX89" s="3">
        <f ca="1">IFERROR(__xludf.DUMMYFUNCTION("""COMPUTED_VALUE"""),-0.473455052993941)</f>
        <v>-0.47345505299394097</v>
      </c>
      <c r="HY89" s="3">
        <f ca="1">IFERROR(__xludf.DUMMYFUNCTION("""COMPUTED_VALUE"""),-0.440375479209241)</f>
        <v>-0.44037547920924103</v>
      </c>
      <c r="HZ89" s="3">
        <f ca="1">IFERROR(__xludf.DUMMYFUNCTION("""COMPUTED_VALUE"""),-0.446451202005311)</f>
        <v>-0.44645120200531102</v>
      </c>
      <c r="IA89" s="3">
        <f ca="1">IFERROR(__xludf.DUMMYFUNCTION("""COMPUTED_VALUE"""),-0.434107107618515)</f>
        <v>-0.43410710761851501</v>
      </c>
      <c r="IB89" s="3">
        <f ca="1">IFERROR(__xludf.DUMMYFUNCTION("""COMPUTED_VALUE"""),-0.410715130259607)</f>
        <v>-0.41071513025960699</v>
      </c>
      <c r="IC89" s="3">
        <f ca="1">IFERROR(__xludf.DUMMYFUNCTION("""COMPUTED_VALUE"""),-0.409856206785717)</f>
        <v>-0.40985620678571699</v>
      </c>
      <c r="ID89" s="3">
        <f ca="1">IFERROR(__xludf.DUMMYFUNCTION("""COMPUTED_VALUE"""),-0.389478360467516)</f>
        <v>-0.38947836046751599</v>
      </c>
      <c r="IE89" s="3">
        <f ca="1">IFERROR(__xludf.DUMMYFUNCTION("""COMPUTED_VALUE"""),-0.395000152977215)</f>
        <v>-0.39500015297721502</v>
      </c>
      <c r="IF89" s="3">
        <f ca="1">IFERROR(__xludf.DUMMYFUNCTION("""COMPUTED_VALUE"""),-0.38689804965639)</f>
        <v>-0.38689804965639002</v>
      </c>
      <c r="IG89" s="3">
        <f ca="1">IFERROR(__xludf.DUMMYFUNCTION("""COMPUTED_VALUE"""),-0.38790222384218)</f>
        <v>-0.38790222384217998</v>
      </c>
      <c r="IH89" s="3">
        <f ca="1">IFERROR(__xludf.DUMMYFUNCTION("""COMPUTED_VALUE"""),-0.40637645066999)</f>
        <v>-0.40637645066999001</v>
      </c>
      <c r="II89" s="3">
        <f ca="1">IFERROR(__xludf.DUMMYFUNCTION("""COMPUTED_VALUE"""),-0.422589374769405)</f>
        <v>-0.422589374769405</v>
      </c>
      <c r="IJ89" s="3">
        <f ca="1">IFERROR(__xludf.DUMMYFUNCTION("""COMPUTED_VALUE"""),-0.426566225340966)</f>
        <v>-0.426566225340966</v>
      </c>
      <c r="IK89" s="3">
        <f ca="1">IFERROR(__xludf.DUMMYFUNCTION("""COMPUTED_VALUE"""),-0.383597889708714)</f>
        <v>-0.383597889708714</v>
      </c>
      <c r="IL89" s="3">
        <f ca="1">IFERROR(__xludf.DUMMYFUNCTION("""COMPUTED_VALUE"""),-0.430996738645585)</f>
        <v>-0.43099673864558502</v>
      </c>
      <c r="IM89" s="3">
        <f ca="1">IFERROR(__xludf.DUMMYFUNCTION("""COMPUTED_VALUE"""),-0.420680087178797)</f>
        <v>-0.42068008717879701</v>
      </c>
      <c r="IN89" s="3">
        <f ca="1">IFERROR(__xludf.DUMMYFUNCTION("""COMPUTED_VALUE"""),-0.422903315772436)</f>
        <v>-0.42290331577243601</v>
      </c>
      <c r="IO89" s="3">
        <f ca="1">IFERROR(__xludf.DUMMYFUNCTION("""COMPUTED_VALUE"""),-0.438566370355573)</f>
        <v>-0.438566370355573</v>
      </c>
      <c r="IP89" s="3">
        <f ca="1">IFERROR(__xludf.DUMMYFUNCTION("""COMPUTED_VALUE"""),-0.416891151609102)</f>
        <v>-0.41689115160910201</v>
      </c>
      <c r="IQ89" s="3">
        <f ca="1">IFERROR(__xludf.DUMMYFUNCTION("""COMPUTED_VALUE"""),-0.421713287316403)</f>
        <v>-0.42171328731640301</v>
      </c>
      <c r="IR89" s="3">
        <f ca="1">IFERROR(__xludf.DUMMYFUNCTION("""COMPUTED_VALUE"""),-0.513873770302116)</f>
        <v>-0.51387377030211601</v>
      </c>
      <c r="IS89" s="3">
        <f ca="1">IFERROR(__xludf.DUMMYFUNCTION("""COMPUTED_VALUE"""),-0.455884393864547)</f>
        <v>-0.45588439386454699</v>
      </c>
      <c r="IT89" s="3">
        <f ca="1">IFERROR(__xludf.DUMMYFUNCTION("""COMPUTED_VALUE"""),-0.425793071225167)</f>
        <v>-0.42579307122516702</v>
      </c>
      <c r="IU89" s="3">
        <f ca="1">IFERROR(__xludf.DUMMYFUNCTION("""COMPUTED_VALUE"""),-0.44786687970516)</f>
        <v>-0.44786687970515998</v>
      </c>
      <c r="IV89" s="3">
        <f ca="1">IFERROR(__xludf.DUMMYFUNCTION("""COMPUTED_VALUE"""),-0.484356961488368)</f>
        <v>-0.48435696148836799</v>
      </c>
      <c r="IW89" s="3">
        <f ca="1">IFERROR(__xludf.DUMMYFUNCTION("""COMPUTED_VALUE"""),-0.46630309407438)</f>
        <v>-0.46630309407437998</v>
      </c>
      <c r="IX89" s="3">
        <f ca="1">IFERROR(__xludf.DUMMYFUNCTION("""COMPUTED_VALUE"""),-0.456045651378443)</f>
        <v>-0.456045651378443</v>
      </c>
      <c r="IY89" s="3">
        <f ca="1">IFERROR(__xludf.DUMMYFUNCTION("""COMPUTED_VALUE"""),-0.440041091620346)</f>
        <v>-0.44004109162034599</v>
      </c>
      <c r="IZ89" s="3">
        <f ca="1">IFERROR(__xludf.DUMMYFUNCTION("""COMPUTED_VALUE"""),-0.476041947207552)</f>
        <v>-0.476041947207552</v>
      </c>
      <c r="JA89" s="3">
        <f ca="1">IFERROR(__xludf.DUMMYFUNCTION("""COMPUTED_VALUE"""),-0.46361531847704)</f>
        <v>-0.46361531847704002</v>
      </c>
      <c r="JB89" s="3">
        <f ca="1">IFERROR(__xludf.DUMMYFUNCTION("""COMPUTED_VALUE"""),-0.465502602570882)</f>
        <v>-0.465502602570882</v>
      </c>
      <c r="JC89" s="3">
        <f ca="1">IFERROR(__xludf.DUMMYFUNCTION("""COMPUTED_VALUE"""),-0.488859073900191)</f>
        <v>-0.48885907390019101</v>
      </c>
      <c r="JD89" s="3">
        <f ca="1">IFERROR(__xludf.DUMMYFUNCTION("""COMPUTED_VALUE"""),-0.442806163741899)</f>
        <v>-0.44280616374189902</v>
      </c>
      <c r="JE89" s="3">
        <f ca="1">IFERROR(__xludf.DUMMYFUNCTION("""COMPUTED_VALUE"""),-0.438954960278081)</f>
        <v>-0.43895496027808101</v>
      </c>
      <c r="JF89" s="3">
        <f ca="1">IFERROR(__xludf.DUMMYFUNCTION("""COMPUTED_VALUE"""),-0.42479502341617)</f>
        <v>-0.42479502341616998</v>
      </c>
      <c r="JG89" s="3">
        <f ca="1">IFERROR(__xludf.DUMMYFUNCTION("""COMPUTED_VALUE"""),-0.483897082527929)</f>
        <v>-0.48389708252792901</v>
      </c>
      <c r="JH89" s="3">
        <f ca="1">IFERROR(__xludf.DUMMYFUNCTION("""COMPUTED_VALUE"""),-0.451297056532291)</f>
        <v>-0.45129705653229102</v>
      </c>
      <c r="JI89" s="3">
        <f ca="1">IFERROR(__xludf.DUMMYFUNCTION("""COMPUTED_VALUE"""),-0.456114500413912)</f>
        <v>-0.45611450041391199</v>
      </c>
      <c r="JJ89" s="3">
        <f ca="1">IFERROR(__xludf.DUMMYFUNCTION("""COMPUTED_VALUE"""),-0.484099719988173)</f>
        <v>-0.48409971998817303</v>
      </c>
      <c r="JK89" s="3">
        <f ca="1">IFERROR(__xludf.DUMMYFUNCTION("""COMPUTED_VALUE"""),-0.441329820348288)</f>
        <v>-0.44132982034828799</v>
      </c>
      <c r="JL89" s="3">
        <f ca="1">IFERROR(__xludf.DUMMYFUNCTION("""COMPUTED_VALUE"""),-0.440855692449997)</f>
        <v>-0.44085569244999701</v>
      </c>
      <c r="JM89" s="3">
        <f ca="1">IFERROR(__xludf.DUMMYFUNCTION("""COMPUTED_VALUE"""),-0.455274287797699)</f>
        <v>-0.45527428779769902</v>
      </c>
      <c r="JN89" s="3">
        <f ca="1">IFERROR(__xludf.DUMMYFUNCTION("""COMPUTED_VALUE"""),-0.517200288549703)</f>
        <v>-0.51720028854970301</v>
      </c>
      <c r="JO89" s="3">
        <f ca="1">IFERROR(__xludf.DUMMYFUNCTION("""COMPUTED_VALUE"""),-0.492856396674437)</f>
        <v>-0.49285639667443698</v>
      </c>
      <c r="JP89" s="3">
        <f ca="1">IFERROR(__xludf.DUMMYFUNCTION("""COMPUTED_VALUE"""),-0.456269226508123)</f>
        <v>-0.45626922650812302</v>
      </c>
      <c r="JQ89" s="3">
        <f ca="1">IFERROR(__xludf.DUMMYFUNCTION("""COMPUTED_VALUE"""),-0.493574631247608)</f>
        <v>-0.49357463124760798</v>
      </c>
      <c r="JR89" s="3">
        <f ca="1">IFERROR(__xludf.DUMMYFUNCTION("""COMPUTED_VALUE"""),-0.450832428262934)</f>
        <v>-0.45083242826293402</v>
      </c>
      <c r="JS89" s="3">
        <f ca="1">IFERROR(__xludf.DUMMYFUNCTION("""COMPUTED_VALUE"""),-0.5110188579272)</f>
        <v>-0.51101885792720003</v>
      </c>
      <c r="JT89" s="3">
        <f ca="1">IFERROR(__xludf.DUMMYFUNCTION("""COMPUTED_VALUE"""),-0.459607808080014)</f>
        <v>-0.459607808080014</v>
      </c>
      <c r="JU89" s="3">
        <f ca="1">IFERROR(__xludf.DUMMYFUNCTION("""COMPUTED_VALUE"""),-0.501080793205928)</f>
        <v>-0.50108079320592802</v>
      </c>
      <c r="JV89" s="3">
        <f ca="1">IFERROR(__xludf.DUMMYFUNCTION("""COMPUTED_VALUE"""),-0.475631714860871)</f>
        <v>-0.47563171486087102</v>
      </c>
      <c r="JW89" s="3">
        <f ca="1">IFERROR(__xludf.DUMMYFUNCTION("""COMPUTED_VALUE"""),-0.531568087212415)</f>
        <v>-0.531568087212415</v>
      </c>
      <c r="JX89" s="3">
        <f ca="1">IFERROR(__xludf.DUMMYFUNCTION("""COMPUTED_VALUE"""),-0.516484935976226)</f>
        <v>-0.51648493597622602</v>
      </c>
      <c r="JY89" s="3">
        <f ca="1">IFERROR(__xludf.DUMMYFUNCTION("""COMPUTED_VALUE"""),-0.532378316908639)</f>
        <v>-0.53237831690863902</v>
      </c>
      <c r="JZ89" s="3">
        <f ca="1">IFERROR(__xludf.DUMMYFUNCTION("""COMPUTED_VALUE"""),-0.533887158982288)</f>
        <v>-0.533887158982288</v>
      </c>
      <c r="KA89" s="3">
        <f ca="1">IFERROR(__xludf.DUMMYFUNCTION("""COMPUTED_VALUE"""),-0.513280893060077)</f>
        <v>-0.51328089306007696</v>
      </c>
      <c r="KB89" s="3">
        <f ca="1">IFERROR(__xludf.DUMMYFUNCTION("""COMPUTED_VALUE"""),-0.534986809645759)</f>
        <v>-0.53498680964575895</v>
      </c>
      <c r="KC89" s="3">
        <f ca="1">IFERROR(__xludf.DUMMYFUNCTION("""COMPUTED_VALUE"""),-0.549468848463311)</f>
        <v>-0.54946884846331101</v>
      </c>
      <c r="KD89" s="3">
        <f ca="1">IFERROR(__xludf.DUMMYFUNCTION("""COMPUTED_VALUE"""),-0.523406020103897)</f>
        <v>-0.52340602010389703</v>
      </c>
      <c r="KE89" s="3">
        <f ca="1">IFERROR(__xludf.DUMMYFUNCTION("""COMPUTED_VALUE"""),-0.509493148034389)</f>
        <v>-0.50949314803438905</v>
      </c>
      <c r="KF89" s="3">
        <f ca="1">IFERROR(__xludf.DUMMYFUNCTION("""COMPUTED_VALUE"""),-0.500714555116692)</f>
        <v>-0.50071455511669205</v>
      </c>
      <c r="KG89" s="3">
        <f ca="1">IFERROR(__xludf.DUMMYFUNCTION("""COMPUTED_VALUE"""),-0.570880123535606)</f>
        <v>-0.57088012353560602</v>
      </c>
      <c r="KH89" s="3">
        <f ca="1">IFERROR(__xludf.DUMMYFUNCTION("""COMPUTED_VALUE"""),-0.537974403907359)</f>
        <v>-0.53797440390735896</v>
      </c>
      <c r="KI89" s="3">
        <f ca="1">IFERROR(__xludf.DUMMYFUNCTION("""COMPUTED_VALUE"""),-0.6170170111045)</f>
        <v>-0.61701701110450002</v>
      </c>
      <c r="KJ89" s="3">
        <f ca="1">IFERROR(__xludf.DUMMYFUNCTION("""COMPUTED_VALUE"""),-0.590828665530579)</f>
        <v>-0.590828665530579</v>
      </c>
      <c r="KK89" s="3">
        <f ca="1">IFERROR(__xludf.DUMMYFUNCTION("""COMPUTED_VALUE"""),-0.576710599207152)</f>
        <v>-0.57671059920715195</v>
      </c>
      <c r="KL89" s="3">
        <f ca="1">IFERROR(__xludf.DUMMYFUNCTION("""COMPUTED_VALUE"""),-0.560333926670279)</f>
        <v>-0.56033392667027904</v>
      </c>
      <c r="KM89" s="3">
        <f ca="1">IFERROR(__xludf.DUMMYFUNCTION("""COMPUTED_VALUE"""),-0.570209266906395)</f>
        <v>-0.57020926690639495</v>
      </c>
      <c r="KN89" s="3">
        <f ca="1">IFERROR(__xludf.DUMMYFUNCTION("""COMPUTED_VALUE"""),-0.574499506222141)</f>
        <v>-0.57449950622214097</v>
      </c>
      <c r="KO89" s="3">
        <f ca="1">IFERROR(__xludf.DUMMYFUNCTION("""COMPUTED_VALUE"""),-0.600272749682157)</f>
        <v>-0.60027274968215705</v>
      </c>
      <c r="KP89" s="3">
        <f ca="1">IFERROR(__xludf.DUMMYFUNCTION("""COMPUTED_VALUE"""),-0.603937552223357)</f>
        <v>-0.60393755222335699</v>
      </c>
      <c r="KQ89" s="3">
        <f ca="1">IFERROR(__xludf.DUMMYFUNCTION("""COMPUTED_VALUE"""),-0.626992488171093)</f>
        <v>-0.62699248817109299</v>
      </c>
      <c r="KR89" s="3">
        <f ca="1">IFERROR(__xludf.DUMMYFUNCTION("""COMPUTED_VALUE"""),-0.630119623459256)</f>
        <v>-0.63011962345925598</v>
      </c>
      <c r="KS89" s="3">
        <f ca="1">IFERROR(__xludf.DUMMYFUNCTION("""COMPUTED_VALUE"""),-0.585232636893193)</f>
        <v>-0.58523263689319305</v>
      </c>
      <c r="KT89" s="3">
        <f ca="1">IFERROR(__xludf.DUMMYFUNCTION("""COMPUTED_VALUE"""),-0.584638048079805)</f>
        <v>-0.58463804807980502</v>
      </c>
      <c r="KU89" s="3">
        <f ca="1">IFERROR(__xludf.DUMMYFUNCTION("""COMPUTED_VALUE"""),-0.61699415297745)</f>
        <v>-0.61699415297744997</v>
      </c>
      <c r="KV89" s="3">
        <f ca="1">IFERROR(__xludf.DUMMYFUNCTION("""COMPUTED_VALUE"""),-0.587426555351566)</f>
        <v>-0.58742655535156596</v>
      </c>
      <c r="KW89" s="3">
        <f ca="1">IFERROR(__xludf.DUMMYFUNCTION("""COMPUTED_VALUE"""),-0.627000169868521)</f>
        <v>-0.62700016986852103</v>
      </c>
      <c r="KX89" s="3">
        <f ca="1">IFERROR(__xludf.DUMMYFUNCTION("""COMPUTED_VALUE"""),-0.664916201300582)</f>
        <v>-0.66491620130058204</v>
      </c>
      <c r="KY89" s="3">
        <f ca="1">IFERROR(__xludf.DUMMYFUNCTION("""COMPUTED_VALUE"""),-0.638898890961159)</f>
        <v>-0.63889889096115904</v>
      </c>
      <c r="KZ89" s="3">
        <f ca="1">IFERROR(__xludf.DUMMYFUNCTION("""COMPUTED_VALUE"""),-0.597404611537221)</f>
        <v>-0.59740461153722102</v>
      </c>
      <c r="LA89" s="3">
        <f ca="1">IFERROR(__xludf.DUMMYFUNCTION("""COMPUTED_VALUE"""),-0.621985093256858)</f>
        <v>-0.62198509325685802</v>
      </c>
      <c r="LB89" s="3">
        <f ca="1">IFERROR(__xludf.DUMMYFUNCTION("""COMPUTED_VALUE"""),-0.657574577829586)</f>
        <v>-0.65757457782958595</v>
      </c>
      <c r="LC89" s="3">
        <f ca="1">IFERROR(__xludf.DUMMYFUNCTION("""COMPUTED_VALUE"""),-0.617716648429851)</f>
        <v>-0.61771664842985097</v>
      </c>
      <c r="LD89" s="3">
        <f ca="1">IFERROR(__xludf.DUMMYFUNCTION("""COMPUTED_VALUE"""),-0.649767461041328)</f>
        <v>-0.64976746104132799</v>
      </c>
      <c r="LE89" s="3">
        <f ca="1">IFERROR(__xludf.DUMMYFUNCTION("""COMPUTED_VALUE"""),-0.679356399345825)</f>
        <v>-0.67935639934582503</v>
      </c>
      <c r="LF89" s="3">
        <f ca="1">IFERROR(__xludf.DUMMYFUNCTION("""COMPUTED_VALUE"""),-0.61946005666212)</f>
        <v>-0.61946005666212001</v>
      </c>
      <c r="LG89" s="3">
        <f ca="1">IFERROR(__xludf.DUMMYFUNCTION("""COMPUTED_VALUE"""),-0.60788064889946)</f>
        <v>-0.60788064889946003</v>
      </c>
      <c r="LH89" s="3">
        <f ca="1">IFERROR(__xludf.DUMMYFUNCTION("""COMPUTED_VALUE"""),-0.599210381869922)</f>
        <v>-0.59921038186992204</v>
      </c>
      <c r="LI89" s="3">
        <f ca="1">IFERROR(__xludf.DUMMYFUNCTION("""COMPUTED_VALUE"""),-0.6350623904186)</f>
        <v>-0.63506239041860002</v>
      </c>
      <c r="LJ89" s="3">
        <f ca="1">IFERROR(__xludf.DUMMYFUNCTION("""COMPUTED_VALUE"""),-0.67087277399871)</f>
        <v>-0.67087277399871004</v>
      </c>
      <c r="LK89" s="3">
        <f ca="1">IFERROR(__xludf.DUMMYFUNCTION("""COMPUTED_VALUE"""),-0.712147240269916)</f>
        <v>-0.71214724026991605</v>
      </c>
      <c r="LL89" s="3">
        <f ca="1">IFERROR(__xludf.DUMMYFUNCTION("""COMPUTED_VALUE"""),-0.686881967698795)</f>
        <v>-0.68688196769879495</v>
      </c>
      <c r="LM89" s="3">
        <f ca="1">IFERROR(__xludf.DUMMYFUNCTION("""COMPUTED_VALUE"""),-0.702365799753588)</f>
        <v>-0.70236579975358804</v>
      </c>
      <c r="LN89" s="3">
        <f ca="1">IFERROR(__xludf.DUMMYFUNCTION("""COMPUTED_VALUE"""),-0.700165273631816)</f>
        <v>-0.70016527363181602</v>
      </c>
      <c r="LO89" s="3">
        <f ca="1">IFERROR(__xludf.DUMMYFUNCTION("""COMPUTED_VALUE"""),-0.692531644945492)</f>
        <v>-0.69253164494549202</v>
      </c>
      <c r="LP89" s="3">
        <f ca="1">IFERROR(__xludf.DUMMYFUNCTION("""COMPUTED_VALUE"""),-0.695039483494025)</f>
        <v>-0.695039483494025</v>
      </c>
      <c r="LQ89" s="3">
        <f ca="1">IFERROR(__xludf.DUMMYFUNCTION("""COMPUTED_VALUE"""),-0.726814014190487)</f>
        <v>-0.72681401419048697</v>
      </c>
      <c r="LR89" s="3">
        <f ca="1">IFERROR(__xludf.DUMMYFUNCTION("""COMPUTED_VALUE"""),-0.751487192836209)</f>
        <v>-0.75148719283620902</v>
      </c>
      <c r="LS89" s="3">
        <f ca="1">IFERROR(__xludf.DUMMYFUNCTION("""COMPUTED_VALUE"""),-0.769629690711127)</f>
        <v>-0.76962969071112697</v>
      </c>
      <c r="LT89" s="3">
        <f ca="1">IFERROR(__xludf.DUMMYFUNCTION("""COMPUTED_VALUE"""),-0.733494548358258)</f>
        <v>-0.733494548358258</v>
      </c>
      <c r="LU89" s="3">
        <f ca="1">IFERROR(__xludf.DUMMYFUNCTION("""COMPUTED_VALUE"""),-0.737402213447314)</f>
        <v>-0.73740221344731405</v>
      </c>
      <c r="LV89" s="3">
        <f ca="1">IFERROR(__xludf.DUMMYFUNCTION("""COMPUTED_VALUE"""),-0.735277404482442)</f>
        <v>-0.73527740448244205</v>
      </c>
      <c r="LW89" s="3">
        <f ca="1">IFERROR(__xludf.DUMMYFUNCTION("""COMPUTED_VALUE"""),-0.742903184944405)</f>
        <v>-0.74290318494440499</v>
      </c>
      <c r="LX89" s="3">
        <f ca="1">IFERROR(__xludf.DUMMYFUNCTION("""COMPUTED_VALUE"""),-0.740918155498376)</f>
        <v>-0.74091815549837603</v>
      </c>
      <c r="LY89" s="3">
        <f ca="1">IFERROR(__xludf.DUMMYFUNCTION("""COMPUTED_VALUE"""),-0.762012688525951)</f>
        <v>-0.76201268852595105</v>
      </c>
      <c r="LZ89" s="3">
        <f ca="1">IFERROR(__xludf.DUMMYFUNCTION("""COMPUTED_VALUE"""),-0.770975815390315)</f>
        <v>-0.77097581539031501</v>
      </c>
      <c r="MA89" s="3">
        <f ca="1">IFERROR(__xludf.DUMMYFUNCTION("""COMPUTED_VALUE"""),-0.763318873471024)</f>
        <v>-0.76331887347102401</v>
      </c>
      <c r="MB89" s="3">
        <f ca="1">IFERROR(__xludf.DUMMYFUNCTION("""COMPUTED_VALUE"""),-0.760332207057406)</f>
        <v>-0.76033220705740601</v>
      </c>
      <c r="MC89" s="3">
        <f ca="1">IFERROR(__xludf.DUMMYFUNCTION("""COMPUTED_VALUE"""),-0.771319523148527)</f>
        <v>-0.77131952314852703</v>
      </c>
      <c r="MD89" s="3">
        <f ca="1">IFERROR(__xludf.DUMMYFUNCTION("""COMPUTED_VALUE"""),-0.759294421526975)</f>
        <v>-0.75929442152697502</v>
      </c>
      <c r="ME89" s="3">
        <f ca="1">IFERROR(__xludf.DUMMYFUNCTION("""COMPUTED_VALUE"""),-0.774590575007254)</f>
        <v>-0.77459057500725403</v>
      </c>
      <c r="MF89" s="3">
        <f ca="1">IFERROR(__xludf.DUMMYFUNCTION("""COMPUTED_VALUE"""),-0.778914338902821)</f>
        <v>-0.77891433890282102</v>
      </c>
      <c r="MG89" s="3">
        <f ca="1">IFERROR(__xludf.DUMMYFUNCTION("""COMPUTED_VALUE"""),-0.807458549204281)</f>
        <v>-0.80745854920428095</v>
      </c>
      <c r="MH89" s="3">
        <f ca="1">IFERROR(__xludf.DUMMYFUNCTION("""COMPUTED_VALUE"""),-0.789477316608433)</f>
        <v>-0.78947731660843301</v>
      </c>
      <c r="MI89" s="3">
        <f ca="1">IFERROR(__xludf.DUMMYFUNCTION("""COMPUTED_VALUE"""),-0.775940464739184)</f>
        <v>-0.77594046473918399</v>
      </c>
      <c r="MJ89" s="3">
        <f ca="1">IFERROR(__xludf.DUMMYFUNCTION("""COMPUTED_VALUE"""),-0.784977819381902)</f>
        <v>-0.78497781938190203</v>
      </c>
      <c r="MK89" s="3">
        <f ca="1">IFERROR(__xludf.DUMMYFUNCTION("""COMPUTED_VALUE"""),-0.787146211354659)</f>
        <v>-0.78714621135465901</v>
      </c>
      <c r="ML89" s="3">
        <f ca="1">IFERROR(__xludf.DUMMYFUNCTION("""COMPUTED_VALUE"""),-0.759213174806857)</f>
        <v>-0.75921317480685702</v>
      </c>
      <c r="MM89" s="3">
        <f ca="1">IFERROR(__xludf.DUMMYFUNCTION("""COMPUTED_VALUE"""),-0.801129791986135)</f>
        <v>-0.80112979198613499</v>
      </c>
      <c r="MN89" s="3">
        <f ca="1">IFERROR(__xludf.DUMMYFUNCTION("""COMPUTED_VALUE"""),-0.802813633041879)</f>
        <v>-0.80281363304187903</v>
      </c>
      <c r="MO89" s="3">
        <f ca="1">IFERROR(__xludf.DUMMYFUNCTION("""COMPUTED_VALUE"""),-0.798374550754519)</f>
        <v>-0.79837455075451902</v>
      </c>
      <c r="MP89" s="3">
        <f ca="1">IFERROR(__xludf.DUMMYFUNCTION("""COMPUTED_VALUE"""),-0.780859327967487)</f>
        <v>-0.78085932796748703</v>
      </c>
      <c r="MQ89" s="3">
        <f ca="1">IFERROR(__xludf.DUMMYFUNCTION("""COMPUTED_VALUE"""),-0.815590649891067)</f>
        <v>-0.815590649891067</v>
      </c>
      <c r="MR89" s="3">
        <f ca="1">IFERROR(__xludf.DUMMYFUNCTION("""COMPUTED_VALUE"""),-0.79070052674993)</f>
        <v>-0.79070052674992997</v>
      </c>
      <c r="MS89" s="3">
        <f ca="1">IFERROR(__xludf.DUMMYFUNCTION("""COMPUTED_VALUE"""),-0.770174846804425)</f>
        <v>-0.77017484680442505</v>
      </c>
      <c r="MT89" s="3">
        <f ca="1">IFERROR(__xludf.DUMMYFUNCTION("""COMPUTED_VALUE"""),-0.804752465009569)</f>
        <v>-0.80475246500956898</v>
      </c>
      <c r="MU89" s="3">
        <f ca="1">IFERROR(__xludf.DUMMYFUNCTION("""COMPUTED_VALUE"""),-0.819106585859581)</f>
        <v>-0.81910658585958096</v>
      </c>
      <c r="MV89" s="3">
        <f ca="1">IFERROR(__xludf.DUMMYFUNCTION("""COMPUTED_VALUE"""),-0.812193974665456)</f>
        <v>-0.81219397466545595</v>
      </c>
      <c r="MW89" s="3">
        <f ca="1">IFERROR(__xludf.DUMMYFUNCTION("""COMPUTED_VALUE"""),-0.812039392420006)</f>
        <v>-0.812039392420006</v>
      </c>
      <c r="MX89" s="3">
        <f ca="1">IFERROR(__xludf.DUMMYFUNCTION("""COMPUTED_VALUE"""),-0.810655924349031)</f>
        <v>-0.810655924349031</v>
      </c>
      <c r="MY89" s="3">
        <f ca="1">IFERROR(__xludf.DUMMYFUNCTION("""COMPUTED_VALUE"""),-0.800089010856538)</f>
        <v>-0.80008901085653805</v>
      </c>
      <c r="MZ89" s="3">
        <f ca="1">IFERROR(__xludf.DUMMYFUNCTION("""COMPUTED_VALUE"""),-0.808213705542707)</f>
        <v>-0.80821370554270699</v>
      </c>
      <c r="NA89" s="3">
        <f ca="1">IFERROR(__xludf.DUMMYFUNCTION("""COMPUTED_VALUE"""),-0.821459820666758)</f>
        <v>-0.82145982066675804</v>
      </c>
      <c r="NB89" s="3">
        <f ca="1">IFERROR(__xludf.DUMMYFUNCTION("""COMPUTED_VALUE"""),-0.823175801500839)</f>
        <v>-0.82317580150083902</v>
      </c>
      <c r="NC89" s="3">
        <f ca="1">IFERROR(__xludf.DUMMYFUNCTION("""COMPUTED_VALUE"""),-0.829142894700448)</f>
        <v>-0.829142894700448</v>
      </c>
      <c r="ND89" s="3">
        <f ca="1">IFERROR(__xludf.DUMMYFUNCTION("""COMPUTED_VALUE"""),-0.814841558333474)</f>
        <v>-0.81484155833347405</v>
      </c>
      <c r="NE89" s="3">
        <f ca="1">IFERROR(__xludf.DUMMYFUNCTION("""COMPUTED_VALUE"""),-0.817622057516646)</f>
        <v>-0.81762205751664596</v>
      </c>
      <c r="NF89" s="3">
        <f ca="1">IFERROR(__xludf.DUMMYFUNCTION("""COMPUTED_VALUE"""),-0.818571722604386)</f>
        <v>-0.81857172260438604</v>
      </c>
      <c r="NG89" s="3">
        <f ca="1">IFERROR(__xludf.DUMMYFUNCTION("""COMPUTED_VALUE"""),-0.802035558714912)</f>
        <v>-0.80203555871491194</v>
      </c>
      <c r="NH89" s="3">
        <f ca="1">IFERROR(__xludf.DUMMYFUNCTION("""COMPUTED_VALUE"""),-0.831695652841053)</f>
        <v>-0.83169565284105296</v>
      </c>
      <c r="NI89" s="3">
        <f ca="1">IFERROR(__xludf.DUMMYFUNCTION("""COMPUTED_VALUE"""),-0.817167312279608)</f>
        <v>-0.81716731227960804</v>
      </c>
      <c r="NJ89" s="3">
        <f ca="1">IFERROR(__xludf.DUMMYFUNCTION("""COMPUTED_VALUE"""),-0.824948382269732)</f>
        <v>-0.82494838226973199</v>
      </c>
      <c r="NK89" s="3">
        <f ca="1">IFERROR(__xludf.DUMMYFUNCTION("""COMPUTED_VALUE"""),-0.833365124777707)</f>
        <v>-0.83336512477770697</v>
      </c>
      <c r="NL89" s="3">
        <f ca="1">IFERROR(__xludf.DUMMYFUNCTION("""COMPUTED_VALUE"""),-0.817485381097975)</f>
        <v>-0.81748538109797497</v>
      </c>
      <c r="NM89" s="3">
        <f ca="1">IFERROR(__xludf.DUMMYFUNCTION("""COMPUTED_VALUE"""),-0.813370931523418)</f>
        <v>-0.81337093152341799</v>
      </c>
      <c r="NN89" s="3">
        <f ca="1">IFERROR(__xludf.DUMMYFUNCTION("""COMPUTED_VALUE"""),-0.826882198925052)</f>
        <v>-0.82688219892505199</v>
      </c>
      <c r="NO89" s="3">
        <f ca="1">IFERROR(__xludf.DUMMYFUNCTION("""COMPUTED_VALUE"""),-0.826004010086606)</f>
        <v>-0.82600401008660596</v>
      </c>
      <c r="NP89" s="3">
        <f ca="1">IFERROR(__xludf.DUMMYFUNCTION("""COMPUTED_VALUE"""),-0.817697389739461)</f>
        <v>-0.81769738973946104</v>
      </c>
      <c r="NQ89" s="3">
        <f ca="1">IFERROR(__xludf.DUMMYFUNCTION("""COMPUTED_VALUE"""),-0.811307819003264)</f>
        <v>-0.81130781900326399</v>
      </c>
      <c r="NR89" s="3">
        <f ca="1">IFERROR(__xludf.DUMMYFUNCTION("""COMPUTED_VALUE"""),-0.821136275870159)</f>
        <v>-0.82113627587015903</v>
      </c>
      <c r="NS89" s="3">
        <f ca="1">IFERROR(__xludf.DUMMYFUNCTION("""COMPUTED_VALUE"""),-0.801882127210854)</f>
        <v>-0.80188212721085395</v>
      </c>
      <c r="NT89" s="3">
        <f ca="1">IFERROR(__xludf.DUMMYFUNCTION("""COMPUTED_VALUE"""),-0.793580840019665)</f>
        <v>-0.793580840019665</v>
      </c>
      <c r="NU89" s="3">
        <f ca="1">IFERROR(__xludf.DUMMYFUNCTION("""COMPUTED_VALUE"""),-0.765714911747279)</f>
        <v>-0.76571491174727901</v>
      </c>
      <c r="NV89" s="3">
        <f ca="1">IFERROR(__xludf.DUMMYFUNCTION("""COMPUTED_VALUE"""),-0.758421981674471)</f>
        <v>-0.75842198167447095</v>
      </c>
      <c r="NW89" s="3">
        <f ca="1">IFERROR(__xludf.DUMMYFUNCTION("""COMPUTED_VALUE"""),-0.700574599808573)</f>
        <v>-0.70057459980857295</v>
      </c>
      <c r="NX89" s="3">
        <f ca="1">IFERROR(__xludf.DUMMYFUNCTION("""COMPUTED_VALUE"""),-0.652725017000769)</f>
        <v>-0.65272501700076901</v>
      </c>
      <c r="NY89" s="3">
        <f ca="1">IFERROR(__xludf.DUMMYFUNCTION("""COMPUTED_VALUE"""),-0.58924177914988)</f>
        <v>-0.58924177914987996</v>
      </c>
      <c r="NZ89" s="3">
        <f ca="1">IFERROR(__xludf.DUMMYFUNCTION("""COMPUTED_VALUE"""),-0.49044592876099)</f>
        <v>-0.49044592876099002</v>
      </c>
      <c r="OA89" s="3">
        <f ca="1">IFERROR(__xludf.DUMMYFUNCTION("""COMPUTED_VALUE"""),-0.418409577773666)</f>
        <v>-0.418409577773666</v>
      </c>
      <c r="OB89" s="3">
        <f ca="1">IFERROR(__xludf.DUMMYFUNCTION("""COMPUTED_VALUE"""),-0.278744547280988)</f>
        <v>-0.27874454728098802</v>
      </c>
      <c r="OC89" s="3">
        <f ca="1">IFERROR(__xludf.DUMMYFUNCTION("""COMPUTED_VALUE"""),-0.202220900106726)</f>
        <v>-0.202220900106726</v>
      </c>
      <c r="OD89" s="3">
        <f ca="1">IFERROR(__xludf.DUMMYFUNCTION("""COMPUTED_VALUE"""),-0.193867611526156)</f>
        <v>-0.193867611526156</v>
      </c>
      <c r="OE89" s="3">
        <f ca="1">IFERROR(__xludf.DUMMYFUNCTION("""COMPUTED_VALUE"""),-0.0705256268527616)</f>
        <v>-7.0525626852761605E-2</v>
      </c>
      <c r="OF89" s="3">
        <f ca="1">IFERROR(__xludf.DUMMYFUNCTION("""COMPUTED_VALUE"""),-0.0119615599718191)</f>
        <v>-1.1961559971819099E-2</v>
      </c>
      <c r="OG89" s="3">
        <f ca="1">IFERROR(__xludf.DUMMYFUNCTION("""COMPUTED_VALUE"""),0.0442153680880821)</f>
        <v>4.4215368088082102E-2</v>
      </c>
      <c r="OH89" s="3">
        <f ca="1">IFERROR(__xludf.DUMMYFUNCTION("""COMPUTED_VALUE"""),0.0204886172491733)</f>
        <v>2.0488617249173301E-2</v>
      </c>
      <c r="OI89" s="3">
        <f ca="1">IFERROR(__xludf.DUMMYFUNCTION("""COMPUTED_VALUE"""),-0.00885443823467657)</f>
        <v>-8.8544382346765708E-3</v>
      </c>
      <c r="OJ89" s="3">
        <f ca="1">IFERROR(__xludf.DUMMYFUNCTION("""COMPUTED_VALUE"""),-0.0896138792057507)</f>
        <v>-8.9613879205750702E-2</v>
      </c>
      <c r="OK89" s="3">
        <f ca="1">IFERROR(__xludf.DUMMYFUNCTION("""COMPUTED_VALUE"""),-0.083308831729192)</f>
        <v>-8.3308831729191998E-2</v>
      </c>
      <c r="OL89" s="3">
        <f ca="1">IFERROR(__xludf.DUMMYFUNCTION("""COMPUTED_VALUE"""),0.0347326935811638)</f>
        <v>3.47326935811638E-2</v>
      </c>
      <c r="OM89" s="3">
        <f ca="1">IFERROR(__xludf.DUMMYFUNCTION("""COMPUTED_VALUE"""),0.0623113099715155)</f>
        <v>6.2311309971515502E-2</v>
      </c>
      <c r="ON89" s="3">
        <f ca="1">IFERROR(__xludf.DUMMYFUNCTION("""COMPUTED_VALUE"""),0.117646606926305)</f>
        <v>0.11764660692630501</v>
      </c>
      <c r="OO89" s="3">
        <f ca="1">IFERROR(__xludf.DUMMYFUNCTION("""COMPUTED_VALUE"""),0.0659685174542663)</f>
        <v>6.5968517454266296E-2</v>
      </c>
      <c r="OP89" s="3">
        <f ca="1">IFERROR(__xludf.DUMMYFUNCTION("""COMPUTED_VALUE"""),0.0656484945799338)</f>
        <v>6.5648494579933797E-2</v>
      </c>
      <c r="OQ89" s="3">
        <f ca="1">IFERROR(__xludf.DUMMYFUNCTION("""COMPUTED_VALUE"""),0.00720726287991269)</f>
        <v>7.2072628799126903E-3</v>
      </c>
      <c r="OR89" s="3">
        <f ca="1">IFERROR(__xludf.DUMMYFUNCTION("""COMPUTED_VALUE"""),0.0368148153334775)</f>
        <v>3.6814815333477503E-2</v>
      </c>
      <c r="OS89" s="3">
        <f ca="1">IFERROR(__xludf.DUMMYFUNCTION("""COMPUTED_VALUE"""),0.0880186919523116)</f>
        <v>8.8018691952311601E-2</v>
      </c>
      <c r="OT89" s="3">
        <f ca="1">IFERROR(__xludf.DUMMYFUNCTION("""COMPUTED_VALUE"""),0.106589061059086)</f>
        <v>0.106589061059086</v>
      </c>
      <c r="OU89" s="3">
        <f ca="1">IFERROR(__xludf.DUMMYFUNCTION("""COMPUTED_VALUE"""),0.134065243930449)</f>
        <v>0.134065243930449</v>
      </c>
      <c r="OV89" s="3">
        <f ca="1">IFERROR(__xludf.DUMMYFUNCTION("""COMPUTED_VALUE"""),0.0760154508222403)</f>
        <v>7.6015450822240302E-2</v>
      </c>
      <c r="OW89" s="3">
        <f ca="1">IFERROR(__xludf.DUMMYFUNCTION("""COMPUTED_VALUE"""),0.0961830373684859)</f>
        <v>9.6183037368485894E-2</v>
      </c>
      <c r="OX89" s="3">
        <f ca="1">IFERROR(__xludf.DUMMYFUNCTION("""COMPUTED_VALUE"""),-0.0847142059921575)</f>
        <v>-8.4714205992157496E-2</v>
      </c>
      <c r="OY89" s="3">
        <f ca="1">IFERROR(__xludf.DUMMYFUNCTION("""COMPUTED_VALUE"""),-0.0368047668485735)</f>
        <v>-3.6804766848573499E-2</v>
      </c>
      <c r="OZ89" s="3">
        <f ca="1">IFERROR(__xludf.DUMMYFUNCTION("""COMPUTED_VALUE"""),-0.12783147323893)</f>
        <v>-0.12783147323892999</v>
      </c>
      <c r="PA89" s="3">
        <f ca="1">IFERROR(__xludf.DUMMYFUNCTION("""COMPUTED_VALUE"""),-0.112395899779634)</f>
        <v>-0.112395899779634</v>
      </c>
      <c r="PB89" s="3">
        <f ca="1">IFERROR(__xludf.DUMMYFUNCTION("""COMPUTED_VALUE"""),-0.0479010735879189)</f>
        <v>-4.7901073587918903E-2</v>
      </c>
      <c r="PC89" s="3">
        <f ca="1">IFERROR(__xludf.DUMMYFUNCTION("""COMPUTED_VALUE"""),0.075746556770023)</f>
        <v>7.5746556770022996E-2</v>
      </c>
      <c r="PD89" s="3">
        <f ca="1">IFERROR(__xludf.DUMMYFUNCTION("""COMPUTED_VALUE"""),-0.193159295865283)</f>
        <v>-0.19315929586528299</v>
      </c>
      <c r="PE89" s="3">
        <f ca="1">IFERROR(__xludf.DUMMYFUNCTION("""COMPUTED_VALUE"""),-0.0652189474764366)</f>
        <v>-6.5218947476436598E-2</v>
      </c>
      <c r="PF89" s="3">
        <f ca="1">IFERROR(__xludf.DUMMYFUNCTION("""COMPUTED_VALUE"""),-0.0212157547856343)</f>
        <v>-2.1215754785634301E-2</v>
      </c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</row>
    <row r="90" spans="1:594" ht="13">
      <c r="A90" s="1" t="str">
        <f ca="1">IFERROR(__xludf.DUMMYFUNCTION("""COMPUTED_VALUE"""),"Washington D.C.")</f>
        <v>Washington D.C.</v>
      </c>
      <c r="B90" s="3">
        <f ca="1">IFERROR(__xludf.DUMMYFUNCTION("""COMPUTED_VALUE"""),-0.478314037540665)</f>
        <v>-0.47831403754066498</v>
      </c>
      <c r="C90" s="3">
        <f ca="1">IFERROR(__xludf.DUMMYFUNCTION("""COMPUTED_VALUE"""),-0.536217809440694)</f>
        <v>-0.53621780944069397</v>
      </c>
      <c r="D90" s="3">
        <f ca="1">IFERROR(__xludf.DUMMYFUNCTION("""COMPUTED_VALUE"""),-0.549795896399747)</f>
        <v>-0.54979589639974702</v>
      </c>
      <c r="E90" s="3">
        <f ca="1">IFERROR(__xludf.DUMMYFUNCTION("""COMPUTED_VALUE"""),-0.550089049674646)</f>
        <v>-0.550089049674646</v>
      </c>
      <c r="F90" s="3">
        <f ca="1">IFERROR(__xludf.DUMMYFUNCTION("""COMPUTED_VALUE"""),-0.55182371917721)</f>
        <v>-0.55182371917720996</v>
      </c>
      <c r="G90" s="3">
        <f ca="1">IFERROR(__xludf.DUMMYFUNCTION("""COMPUTED_VALUE"""),-0.538134279583198)</f>
        <v>-0.53813427958319804</v>
      </c>
      <c r="H90" s="3">
        <f ca="1">IFERROR(__xludf.DUMMYFUNCTION("""COMPUTED_VALUE"""),-0.468381243860434)</f>
        <v>-0.468381243860434</v>
      </c>
      <c r="I90" s="3">
        <f ca="1">IFERROR(__xludf.DUMMYFUNCTION("""COMPUTED_VALUE"""),-0.497699339661573)</f>
        <v>-0.49769933966157298</v>
      </c>
      <c r="J90" s="3">
        <f ca="1">IFERROR(__xludf.DUMMYFUNCTION("""COMPUTED_VALUE"""),-0.55152741984644)</f>
        <v>-0.55152741984644005</v>
      </c>
      <c r="K90" s="3">
        <f ca="1">IFERROR(__xludf.DUMMYFUNCTION("""COMPUTED_VALUE"""),-0.568742696308295)</f>
        <v>-0.56874269630829499</v>
      </c>
      <c r="L90" s="3">
        <f ca="1">IFERROR(__xludf.DUMMYFUNCTION("""COMPUTED_VALUE"""),-0.621964192158557)</f>
        <v>-0.62196419215855703</v>
      </c>
      <c r="M90" s="3">
        <f ca="1">IFERROR(__xludf.DUMMYFUNCTION("""COMPUTED_VALUE"""),-0.557870605155212)</f>
        <v>-0.55787060515521203</v>
      </c>
      <c r="N90" s="3">
        <f ca="1">IFERROR(__xludf.DUMMYFUNCTION("""COMPUTED_VALUE"""),-0.555717708294558)</f>
        <v>-0.55571770829455802</v>
      </c>
      <c r="O90" s="3">
        <f ca="1">IFERROR(__xludf.DUMMYFUNCTION("""COMPUTED_VALUE"""),-0.508734851391687)</f>
        <v>-0.50873485139168695</v>
      </c>
      <c r="P90" s="3">
        <f ca="1">IFERROR(__xludf.DUMMYFUNCTION("""COMPUTED_VALUE"""),-0.478897222383015)</f>
        <v>-0.47889722238301502</v>
      </c>
      <c r="Q90" s="3">
        <f ca="1">IFERROR(__xludf.DUMMYFUNCTION("""COMPUTED_VALUE"""),-0.509699758766294)</f>
        <v>-0.50969975876629403</v>
      </c>
      <c r="R90" s="3">
        <f ca="1">IFERROR(__xludf.DUMMYFUNCTION("""COMPUTED_VALUE"""),-0.571868324363883)</f>
        <v>-0.57186832436388302</v>
      </c>
      <c r="S90" s="3">
        <f ca="1">IFERROR(__xludf.DUMMYFUNCTION("""COMPUTED_VALUE"""),-0.634855026643064)</f>
        <v>-0.63485502664306404</v>
      </c>
      <c r="T90" s="3">
        <f ca="1">IFERROR(__xludf.DUMMYFUNCTION("""COMPUTED_VALUE"""),-0.569154967400495)</f>
        <v>-0.56915496740049498</v>
      </c>
      <c r="U90" s="3">
        <f ca="1">IFERROR(__xludf.DUMMYFUNCTION("""COMPUTED_VALUE"""),-0.55063958273502)</f>
        <v>-0.55063958273502001</v>
      </c>
      <c r="V90" s="3">
        <f ca="1">IFERROR(__xludf.DUMMYFUNCTION("""COMPUTED_VALUE"""),-0.428082495935347)</f>
        <v>-0.42808249593534697</v>
      </c>
      <c r="W90" s="3">
        <f ca="1">IFERROR(__xludf.DUMMYFUNCTION("""COMPUTED_VALUE"""),-0.471609278597418)</f>
        <v>-0.47160927859741802</v>
      </c>
      <c r="X90" s="3">
        <f ca="1">IFERROR(__xludf.DUMMYFUNCTION("""COMPUTED_VALUE"""),-0.549067496904225)</f>
        <v>-0.54906749690422496</v>
      </c>
      <c r="Y90" s="3">
        <f ca="1">IFERROR(__xludf.DUMMYFUNCTION("""COMPUTED_VALUE"""),-0.614278328645985)</f>
        <v>-0.61427832864598497</v>
      </c>
      <c r="Z90" s="3">
        <f ca="1">IFERROR(__xludf.DUMMYFUNCTION("""COMPUTED_VALUE"""),-0.558369106328068)</f>
        <v>-0.55836910632806802</v>
      </c>
      <c r="AA90" s="3">
        <f ca="1">IFERROR(__xludf.DUMMYFUNCTION("""COMPUTED_VALUE"""),-0.587600492233902)</f>
        <v>-0.58760049223390198</v>
      </c>
      <c r="AB90" s="3">
        <f ca="1">IFERROR(__xludf.DUMMYFUNCTION("""COMPUTED_VALUE"""),-0.56534348159101)</f>
        <v>-0.56534348159101</v>
      </c>
      <c r="AC90" s="3">
        <f ca="1">IFERROR(__xludf.DUMMYFUNCTION("""COMPUTED_VALUE"""),-0.445581481550259)</f>
        <v>-0.44558148155025901</v>
      </c>
      <c r="AD90" s="3">
        <f ca="1">IFERROR(__xludf.DUMMYFUNCTION("""COMPUTED_VALUE"""),-0.462749179266468)</f>
        <v>-0.46274917926646802</v>
      </c>
      <c r="AE90" s="3">
        <f ca="1">IFERROR(__xludf.DUMMYFUNCTION("""COMPUTED_VALUE"""),-0.530863650522667)</f>
        <v>-0.53086365052266704</v>
      </c>
      <c r="AF90" s="3">
        <f ca="1">IFERROR(__xludf.DUMMYFUNCTION("""COMPUTED_VALUE"""),-0.5417610032641)</f>
        <v>-0.54176100326410004</v>
      </c>
      <c r="AG90" s="3">
        <f ca="1">IFERROR(__xludf.DUMMYFUNCTION("""COMPUTED_VALUE"""),-0.549721695101531)</f>
        <v>-0.54972169510153102</v>
      </c>
      <c r="AH90" s="3">
        <f ca="1">IFERROR(__xludf.DUMMYFUNCTION("""COMPUTED_VALUE"""),-0.564987470644648)</f>
        <v>-0.56498747064464805</v>
      </c>
      <c r="AI90" s="3">
        <f ca="1">IFERROR(__xludf.DUMMYFUNCTION("""COMPUTED_VALUE"""),-0.569559979074033)</f>
        <v>-0.569559979074033</v>
      </c>
      <c r="AJ90" s="3">
        <f ca="1">IFERROR(__xludf.DUMMYFUNCTION("""COMPUTED_VALUE"""),-0.436264861523895)</f>
        <v>-0.43626486152389499</v>
      </c>
      <c r="AK90" s="3">
        <f ca="1">IFERROR(__xludf.DUMMYFUNCTION("""COMPUTED_VALUE"""),-0.479871226323889)</f>
        <v>-0.47987122632388901</v>
      </c>
      <c r="AL90" s="3">
        <f ca="1">IFERROR(__xludf.DUMMYFUNCTION("""COMPUTED_VALUE"""),-0.552707575881303)</f>
        <v>-0.55270757588130304</v>
      </c>
      <c r="AM90" s="3">
        <f ca="1">IFERROR(__xludf.DUMMYFUNCTION("""COMPUTED_VALUE"""),-0.5740865446855)</f>
        <v>-0.57408654468550002</v>
      </c>
      <c r="AN90" s="3">
        <f ca="1">IFERROR(__xludf.DUMMYFUNCTION("""COMPUTED_VALUE"""),-0.556687300401521)</f>
        <v>-0.55668730040152103</v>
      </c>
      <c r="AO90" s="3">
        <f ca="1">IFERROR(__xludf.DUMMYFUNCTION("""COMPUTED_VALUE"""),-0.591637141336855)</f>
        <v>-0.59163714133685497</v>
      </c>
      <c r="AP90" s="3">
        <f ca="1">IFERROR(__xludf.DUMMYFUNCTION("""COMPUTED_VALUE"""),-0.588999323908425)</f>
        <v>-0.58899932390842502</v>
      </c>
      <c r="AQ90" s="3">
        <f ca="1">IFERROR(__xludf.DUMMYFUNCTION("""COMPUTED_VALUE"""),-0.513331503352596)</f>
        <v>-0.51333150335259603</v>
      </c>
      <c r="AR90" s="3">
        <f ca="1">IFERROR(__xludf.DUMMYFUNCTION("""COMPUTED_VALUE"""),-0.469980087251761)</f>
        <v>-0.46998008725176099</v>
      </c>
      <c r="AS90" s="3">
        <f ca="1">IFERROR(__xludf.DUMMYFUNCTION("""COMPUTED_VALUE"""),-0.55407166762704)</f>
        <v>-0.55407166762703997</v>
      </c>
      <c r="AT90" s="3">
        <f ca="1">IFERROR(__xludf.DUMMYFUNCTION("""COMPUTED_VALUE"""),-0.558540778654636)</f>
        <v>-0.55854077865463603</v>
      </c>
      <c r="AU90" s="3">
        <f ca="1">IFERROR(__xludf.DUMMYFUNCTION("""COMPUTED_VALUE"""),-0.48183280464823)</f>
        <v>-0.48183280464822997</v>
      </c>
      <c r="AV90" s="3">
        <f ca="1">IFERROR(__xludf.DUMMYFUNCTION("""COMPUTED_VALUE"""),-0.58248211361105)</f>
        <v>-0.58248211361104996</v>
      </c>
      <c r="AW90" s="3">
        <f ca="1">IFERROR(__xludf.DUMMYFUNCTION("""COMPUTED_VALUE"""),-0.607345751202014)</f>
        <v>-0.60734575120201395</v>
      </c>
      <c r="AX90" s="3">
        <f ca="1">IFERROR(__xludf.DUMMYFUNCTION("""COMPUTED_VALUE"""),-0.443370864862651)</f>
        <v>-0.44337086486265098</v>
      </c>
      <c r="AY90" s="3">
        <f ca="1">IFERROR(__xludf.DUMMYFUNCTION("""COMPUTED_VALUE"""),-0.490079518861079)</f>
        <v>-0.49007951886107898</v>
      </c>
      <c r="AZ90" s="3">
        <f ca="1">IFERROR(__xludf.DUMMYFUNCTION("""COMPUTED_VALUE"""),-0.594999826026987)</f>
        <v>-0.59499982602698698</v>
      </c>
      <c r="BA90" s="3">
        <f ca="1">IFERROR(__xludf.DUMMYFUNCTION("""COMPUTED_VALUE"""),-0.66684023693048)</f>
        <v>-0.66684023693048</v>
      </c>
      <c r="BB90" s="3">
        <f ca="1">IFERROR(__xludf.DUMMYFUNCTION("""COMPUTED_VALUE"""),-0.521077689755587)</f>
        <v>-0.52107768975558699</v>
      </c>
      <c r="BC90" s="3">
        <f ca="1">IFERROR(__xludf.DUMMYFUNCTION("""COMPUTED_VALUE"""),-0.570000570466339)</f>
        <v>-0.57000057046633901</v>
      </c>
      <c r="BD90" s="3">
        <f ca="1">IFERROR(__xludf.DUMMYFUNCTION("""COMPUTED_VALUE"""),-0.557237409658987)</f>
        <v>-0.55723740965898705</v>
      </c>
      <c r="BE90" s="3">
        <f ca="1">IFERROR(__xludf.DUMMYFUNCTION("""COMPUTED_VALUE"""),-0.444459403613778)</f>
        <v>-0.444459403613778</v>
      </c>
      <c r="BF90" s="3">
        <f ca="1">IFERROR(__xludf.DUMMYFUNCTION("""COMPUTED_VALUE"""),-0.497535973136356)</f>
        <v>-0.497535973136356</v>
      </c>
      <c r="BG90" s="3">
        <f ca="1">IFERROR(__xludf.DUMMYFUNCTION("""COMPUTED_VALUE"""),-0.583437130345465)</f>
        <v>-0.58343713034546496</v>
      </c>
      <c r="BH90" s="3">
        <f ca="1">IFERROR(__xludf.DUMMYFUNCTION("""COMPUTED_VALUE"""),-0.615510186194889)</f>
        <v>-0.61551018619488895</v>
      </c>
      <c r="BI90" s="3">
        <f ca="1">IFERROR(__xludf.DUMMYFUNCTION("""COMPUTED_VALUE"""),-0.594276312807172)</f>
        <v>-0.59427631280717197</v>
      </c>
      <c r="BJ90" s="3">
        <f ca="1">IFERROR(__xludf.DUMMYFUNCTION("""COMPUTED_VALUE"""),-0.588239704022957)</f>
        <v>-0.588239704022957</v>
      </c>
      <c r="BK90" s="3">
        <f ca="1">IFERROR(__xludf.DUMMYFUNCTION("""COMPUTED_VALUE"""),-0.576376882902881)</f>
        <v>-0.57637688290288103</v>
      </c>
      <c r="BL90" s="3">
        <f ca="1">IFERROR(__xludf.DUMMYFUNCTION("""COMPUTED_VALUE"""),-0.498208349067615)</f>
        <v>-0.49820834906761502</v>
      </c>
      <c r="BM90" s="3">
        <f ca="1">IFERROR(__xludf.DUMMYFUNCTION("""COMPUTED_VALUE"""),-0.462753842320842)</f>
        <v>-0.46275384232084199</v>
      </c>
      <c r="BN90" s="3">
        <f ca="1">IFERROR(__xludf.DUMMYFUNCTION("""COMPUTED_VALUE"""),-0.573058343021459)</f>
        <v>-0.57305834302145897</v>
      </c>
      <c r="BO90" s="3">
        <f ca="1">IFERROR(__xludf.DUMMYFUNCTION("""COMPUTED_VALUE"""),-0.586377552553288)</f>
        <v>-0.58637755255328805</v>
      </c>
      <c r="BP90" s="3">
        <f ca="1">IFERROR(__xludf.DUMMYFUNCTION("""COMPUTED_VALUE"""),-0.612707148076093)</f>
        <v>-0.61270714807609306</v>
      </c>
      <c r="BQ90" s="3">
        <f ca="1">IFERROR(__xludf.DUMMYFUNCTION("""COMPUTED_VALUE"""),-0.639819254667849)</f>
        <v>-0.63981925466784895</v>
      </c>
      <c r="BR90" s="3">
        <f ca="1">IFERROR(__xludf.DUMMYFUNCTION("""COMPUTED_VALUE"""),-0.637665296150835)</f>
        <v>-0.637665296150835</v>
      </c>
      <c r="BS90" s="3">
        <f ca="1">IFERROR(__xludf.DUMMYFUNCTION("""COMPUTED_VALUE"""),-0.541005630599398)</f>
        <v>-0.54100563059939799</v>
      </c>
      <c r="BT90" s="3">
        <f ca="1">IFERROR(__xludf.DUMMYFUNCTION("""COMPUTED_VALUE"""),-0.497432236037523)</f>
        <v>-0.49743223603752301</v>
      </c>
      <c r="BU90" s="3">
        <f ca="1">IFERROR(__xludf.DUMMYFUNCTION("""COMPUTED_VALUE"""),-0.615457077526086)</f>
        <v>-0.61545707752608603</v>
      </c>
      <c r="BV90" s="3">
        <f ca="1">IFERROR(__xludf.DUMMYFUNCTION("""COMPUTED_VALUE"""),-0.616970379706872)</f>
        <v>-0.61697037970687196</v>
      </c>
      <c r="BW90" s="3">
        <f ca="1">IFERROR(__xludf.DUMMYFUNCTION("""COMPUTED_VALUE"""),-0.596980988408563)</f>
        <v>-0.59698098840856295</v>
      </c>
      <c r="BX90" s="3">
        <f ca="1">IFERROR(__xludf.DUMMYFUNCTION("""COMPUTED_VALUE"""),-0.63682503570614)</f>
        <v>-0.63682503570614002</v>
      </c>
      <c r="BY90" s="3">
        <f ca="1">IFERROR(__xludf.DUMMYFUNCTION("""COMPUTED_VALUE"""),-0.593883824801291)</f>
        <v>-0.59388382480129098</v>
      </c>
      <c r="BZ90" s="3">
        <f ca="1">IFERROR(__xludf.DUMMYFUNCTION("""COMPUTED_VALUE"""),-0.512694902486248)</f>
        <v>-0.51269490248624805</v>
      </c>
      <c r="CA90" s="3">
        <f ca="1">IFERROR(__xludf.DUMMYFUNCTION("""COMPUTED_VALUE"""),-0.499094605700519)</f>
        <v>-0.499094605700519</v>
      </c>
      <c r="CB90" s="3">
        <f ca="1">IFERROR(__xludf.DUMMYFUNCTION("""COMPUTED_VALUE"""),-0.580978720647653)</f>
        <v>-0.58097872064765299</v>
      </c>
      <c r="CC90" s="3">
        <f ca="1">IFERROR(__xludf.DUMMYFUNCTION("""COMPUTED_VALUE"""),-0.588475952567931)</f>
        <v>-0.58847595256793095</v>
      </c>
      <c r="CD90" s="3">
        <f ca="1">IFERROR(__xludf.DUMMYFUNCTION("""COMPUTED_VALUE"""),-0.620944473785481)</f>
        <v>-0.62094447378548101</v>
      </c>
      <c r="CE90" s="3">
        <f ca="1">IFERROR(__xludf.DUMMYFUNCTION("""COMPUTED_VALUE"""),-0.600406848897938)</f>
        <v>-0.60040684889793805</v>
      </c>
      <c r="CF90" s="3">
        <f ca="1">IFERROR(__xludf.DUMMYFUNCTION("""COMPUTED_VALUE"""),-0.561201405486148)</f>
        <v>-0.56120140548614805</v>
      </c>
      <c r="CG90" s="3">
        <f ca="1">IFERROR(__xludf.DUMMYFUNCTION("""COMPUTED_VALUE"""),-0.498766142241992)</f>
        <v>-0.49876614224199201</v>
      </c>
      <c r="CH90" s="3">
        <f ca="1">IFERROR(__xludf.DUMMYFUNCTION("""COMPUTED_VALUE"""),-0.469616876391818)</f>
        <v>-0.46961687639181798</v>
      </c>
      <c r="CI90" s="3">
        <f ca="1">IFERROR(__xludf.DUMMYFUNCTION("""COMPUTED_VALUE"""),-0.586053887037316)</f>
        <v>-0.58605388703731598</v>
      </c>
      <c r="CJ90" s="3">
        <f ca="1">IFERROR(__xludf.DUMMYFUNCTION("""COMPUTED_VALUE"""),-0.597813518336522)</f>
        <v>-0.59781351833652197</v>
      </c>
      <c r="CK90" s="3">
        <f ca="1">IFERROR(__xludf.DUMMYFUNCTION("""COMPUTED_VALUE"""),-0.587951291370271)</f>
        <v>-0.58795129137027102</v>
      </c>
      <c r="CL90" s="3">
        <f ca="1">IFERROR(__xludf.DUMMYFUNCTION("""COMPUTED_VALUE"""),-0.609386824189939)</f>
        <v>-0.60938682418993895</v>
      </c>
      <c r="CM90" s="3">
        <f ca="1">IFERROR(__xludf.DUMMYFUNCTION("""COMPUTED_VALUE"""),-0.57073185083814)</f>
        <v>-0.57073185083814004</v>
      </c>
      <c r="CN90" s="3">
        <f ca="1">IFERROR(__xludf.DUMMYFUNCTION("""COMPUTED_VALUE"""),-0.489587283952151)</f>
        <v>-0.48958728395215101</v>
      </c>
      <c r="CO90" s="3">
        <f ca="1">IFERROR(__xludf.DUMMYFUNCTION("""COMPUTED_VALUE"""),-0.478210999542633)</f>
        <v>-0.47821099954263302</v>
      </c>
      <c r="CP90" s="3">
        <f ca="1">IFERROR(__xludf.DUMMYFUNCTION("""COMPUTED_VALUE"""),-0.583913501434886)</f>
        <v>-0.58391350143488596</v>
      </c>
      <c r="CQ90" s="3">
        <f ca="1">IFERROR(__xludf.DUMMYFUNCTION("""COMPUTED_VALUE"""),-0.577584296644882)</f>
        <v>-0.57758429664488198</v>
      </c>
      <c r="CR90" s="3">
        <f ca="1">IFERROR(__xludf.DUMMYFUNCTION("""COMPUTED_VALUE"""),-0.540986670317331)</f>
        <v>-0.54098667031733105</v>
      </c>
      <c r="CS90" s="3">
        <f ca="1">IFERROR(__xludf.DUMMYFUNCTION("""COMPUTED_VALUE"""),-0.569040787910116)</f>
        <v>-0.56904078791011603</v>
      </c>
      <c r="CT90" s="3">
        <f ca="1">IFERROR(__xludf.DUMMYFUNCTION("""COMPUTED_VALUE"""),-0.550312249919808)</f>
        <v>-0.55031224991980798</v>
      </c>
      <c r="CU90" s="3">
        <f ca="1">IFERROR(__xludf.DUMMYFUNCTION("""COMPUTED_VALUE"""),-0.477300062704893)</f>
        <v>-0.477300062704893</v>
      </c>
      <c r="CV90" s="3">
        <f ca="1">IFERROR(__xludf.DUMMYFUNCTION("""COMPUTED_VALUE"""),-0.434565691833948)</f>
        <v>-0.434565691833948</v>
      </c>
      <c r="CW90" s="3">
        <f ca="1">IFERROR(__xludf.DUMMYFUNCTION("""COMPUTED_VALUE"""),-0.68958617261376)</f>
        <v>-0.68958617261375998</v>
      </c>
      <c r="CX90" s="3">
        <f ca="1">IFERROR(__xludf.DUMMYFUNCTION("""COMPUTED_VALUE"""),-0.497784672216582)</f>
        <v>-0.49778467221658201</v>
      </c>
      <c r="CY90" s="3">
        <f ca="1">IFERROR(__xludf.DUMMYFUNCTION("""COMPUTED_VALUE"""),-0.281729124821504)</f>
        <v>-0.28172912482150397</v>
      </c>
      <c r="CZ90" s="3">
        <f ca="1">IFERROR(__xludf.DUMMYFUNCTION("""COMPUTED_VALUE"""),-0.473039872512549)</f>
        <v>-0.47303987251254898</v>
      </c>
      <c r="DA90" s="3">
        <f ca="1">IFERROR(__xludf.DUMMYFUNCTION("""COMPUTED_VALUE"""),-0.487708858058984)</f>
        <v>-0.48770885805898401</v>
      </c>
      <c r="DB90" s="3">
        <f ca="1">IFERROR(__xludf.DUMMYFUNCTION("""COMPUTED_VALUE"""),-0.412100088452146)</f>
        <v>-0.41210008845214602</v>
      </c>
      <c r="DC90" s="3">
        <f ca="1">IFERROR(__xludf.DUMMYFUNCTION("""COMPUTED_VALUE"""),-0.510860294113209)</f>
        <v>-0.51086029411320899</v>
      </c>
      <c r="DD90" s="3">
        <f ca="1">IFERROR(__xludf.DUMMYFUNCTION("""COMPUTED_VALUE"""),-0.788544405793162)</f>
        <v>-0.78854440579316198</v>
      </c>
      <c r="DE90" s="3">
        <f ca="1">IFERROR(__xludf.DUMMYFUNCTION("""COMPUTED_VALUE"""),-0.565415997838728)</f>
        <v>-0.56541599783872798</v>
      </c>
      <c r="DF90" s="3">
        <f ca="1">IFERROR(__xludf.DUMMYFUNCTION("""COMPUTED_VALUE"""),-0.254626812300494)</f>
        <v>-0.254626812300494</v>
      </c>
      <c r="DG90" s="3">
        <f ca="1">IFERROR(__xludf.DUMMYFUNCTION("""COMPUTED_VALUE"""),-0.446526529935388)</f>
        <v>-0.44652652993538799</v>
      </c>
      <c r="DH90" s="3">
        <f ca="1">IFERROR(__xludf.DUMMYFUNCTION("""COMPUTED_VALUE"""),-0.459441543035524)</f>
        <v>-0.45944154303552398</v>
      </c>
      <c r="DI90" s="3">
        <f ca="1">IFERROR(__xludf.DUMMYFUNCTION("""COMPUTED_VALUE"""),-0.394682702950398)</f>
        <v>-0.39468270295039798</v>
      </c>
      <c r="DJ90" s="3">
        <f ca="1">IFERROR(__xludf.DUMMYFUNCTION("""COMPUTED_VALUE"""),-0.445687057117065)</f>
        <v>-0.44568705711706502</v>
      </c>
      <c r="DK90" s="3">
        <f ca="1">IFERROR(__xludf.DUMMYFUNCTION("""COMPUTED_VALUE"""),-0.523977430973762)</f>
        <v>-0.52397743097376204</v>
      </c>
      <c r="DL90" s="3">
        <f ca="1">IFERROR(__xludf.DUMMYFUNCTION("""COMPUTED_VALUE"""),-0.530950499099731)</f>
        <v>-0.53095049909973102</v>
      </c>
      <c r="DM90" s="3">
        <f ca="1">IFERROR(__xludf.DUMMYFUNCTION("""COMPUTED_VALUE"""),-0.509493100481157)</f>
        <v>-0.50949310048115704</v>
      </c>
      <c r="DN90" s="3">
        <f ca="1">IFERROR(__xludf.DUMMYFUNCTION("""COMPUTED_VALUE"""),-0.514123789870866)</f>
        <v>-0.51412378987086604</v>
      </c>
      <c r="DO90" s="3">
        <f ca="1">IFERROR(__xludf.DUMMYFUNCTION("""COMPUTED_VALUE"""),-0.572615752025845)</f>
        <v>-0.57261575202584503</v>
      </c>
      <c r="DP90" s="3">
        <f ca="1">IFERROR(__xludf.DUMMYFUNCTION("""COMPUTED_VALUE"""),-0.389126175850385)</f>
        <v>-0.389126175850385</v>
      </c>
      <c r="DQ90" s="3">
        <f ca="1">IFERROR(__xludf.DUMMYFUNCTION("""COMPUTED_VALUE"""),-0.420546805544754)</f>
        <v>-0.42054680554475399</v>
      </c>
      <c r="DR90" s="3">
        <f ca="1">IFERROR(__xludf.DUMMYFUNCTION("""COMPUTED_VALUE"""),-0.53168178500846)</f>
        <v>-0.53168178500845997</v>
      </c>
      <c r="DS90" s="3">
        <f ca="1">IFERROR(__xludf.DUMMYFUNCTION("""COMPUTED_VALUE"""),-0.58731582634611)</f>
        <v>-0.58731582634611001</v>
      </c>
      <c r="DT90" s="3">
        <f ca="1">IFERROR(__xludf.DUMMYFUNCTION("""COMPUTED_VALUE"""),-0.591397714493662)</f>
        <v>-0.59139771449366196</v>
      </c>
      <c r="DU90" s="3">
        <f ca="1">IFERROR(__xludf.DUMMYFUNCTION("""COMPUTED_VALUE"""),-0.586481299829726)</f>
        <v>-0.58648129982972597</v>
      </c>
      <c r="DV90" s="3">
        <f ca="1">IFERROR(__xludf.DUMMYFUNCTION("""COMPUTED_VALUE"""),-0.544024180266206)</f>
        <v>-0.54402418026620603</v>
      </c>
      <c r="DW90" s="3">
        <f ca="1">IFERROR(__xludf.DUMMYFUNCTION("""COMPUTED_VALUE"""),-0.407392650404548)</f>
        <v>-0.40739265040454797</v>
      </c>
      <c r="DX90" s="3">
        <f ca="1">IFERROR(__xludf.DUMMYFUNCTION("""COMPUTED_VALUE"""),-0.444576902721832)</f>
        <v>-0.44457690272183198</v>
      </c>
      <c r="DY90" s="3">
        <f ca="1">IFERROR(__xludf.DUMMYFUNCTION("""COMPUTED_VALUE"""),-0.526091961576806)</f>
        <v>-0.52609196157680604</v>
      </c>
      <c r="DZ90" s="3">
        <f ca="1">IFERROR(__xludf.DUMMYFUNCTION("""COMPUTED_VALUE"""),-0.498499394316559)</f>
        <v>-0.49849939431655899</v>
      </c>
      <c r="EA90" s="3">
        <f ca="1">IFERROR(__xludf.DUMMYFUNCTION("""COMPUTED_VALUE"""),-0.565112840350788)</f>
        <v>-0.56511284035078801</v>
      </c>
      <c r="EB90" s="3">
        <f ca="1">IFERROR(__xludf.DUMMYFUNCTION("""COMPUTED_VALUE"""),-0.593710487606216)</f>
        <v>-0.59371048760621603</v>
      </c>
      <c r="EC90" s="3">
        <f ca="1">IFERROR(__xludf.DUMMYFUNCTION("""COMPUTED_VALUE"""),-0.599996107577141)</f>
        <v>-0.59999610757714095</v>
      </c>
      <c r="ED90" s="3">
        <f ca="1">IFERROR(__xludf.DUMMYFUNCTION("""COMPUTED_VALUE"""),-0.398067043160424)</f>
        <v>-0.39806704316042402</v>
      </c>
      <c r="EE90" s="3">
        <f ca="1">IFERROR(__xludf.DUMMYFUNCTION("""COMPUTED_VALUE"""),-0.44482690813378)</f>
        <v>-0.44482690813378001</v>
      </c>
      <c r="EF90" s="3">
        <f ca="1">IFERROR(__xludf.DUMMYFUNCTION("""COMPUTED_VALUE"""),-0.553593762667625)</f>
        <v>-0.55359376266762494</v>
      </c>
      <c r="EG90" s="3">
        <f ca="1">IFERROR(__xludf.DUMMYFUNCTION("""COMPUTED_VALUE"""),-0.68640395715748)</f>
        <v>-0.68640395715748004</v>
      </c>
      <c r="EH90" s="3">
        <f ca="1">IFERROR(__xludf.DUMMYFUNCTION("""COMPUTED_VALUE"""),-0.535523894238271)</f>
        <v>-0.53552389423827096</v>
      </c>
      <c r="EI90" s="3">
        <f ca="1">IFERROR(__xludf.DUMMYFUNCTION("""COMPUTED_VALUE"""),-0.575534113845596)</f>
        <v>-0.57553411384559605</v>
      </c>
      <c r="EJ90" s="3">
        <f ca="1">IFERROR(__xludf.DUMMYFUNCTION("""COMPUTED_VALUE"""),-0.55810145606968)</f>
        <v>-0.55810145606967998</v>
      </c>
      <c r="EK90" s="3">
        <f ca="1">IFERROR(__xludf.DUMMYFUNCTION("""COMPUTED_VALUE"""),-0.391830034571103)</f>
        <v>-0.39183003457110299</v>
      </c>
      <c r="EL90" s="3">
        <f ca="1">IFERROR(__xludf.DUMMYFUNCTION("""COMPUTED_VALUE"""),-0.438259453373834)</f>
        <v>-0.43825945337383398</v>
      </c>
      <c r="EM90" s="3">
        <f ca="1">IFERROR(__xludf.DUMMYFUNCTION("""COMPUTED_VALUE"""),-0.497796660685564)</f>
        <v>-0.497796660685564</v>
      </c>
      <c r="EN90" s="3">
        <f ca="1">IFERROR(__xludf.DUMMYFUNCTION("""COMPUTED_VALUE"""),-0.491219948232376)</f>
        <v>-0.49121994823237602</v>
      </c>
      <c r="EO90" s="3">
        <f ca="1">IFERROR(__xludf.DUMMYFUNCTION("""COMPUTED_VALUE"""),-0.567931609067864)</f>
        <v>-0.567931609067864</v>
      </c>
      <c r="EP90" s="3">
        <f ca="1">IFERROR(__xludf.DUMMYFUNCTION("""COMPUTED_VALUE"""),-0.591716310734863)</f>
        <v>-0.59171631073486297</v>
      </c>
      <c r="EQ90" s="3">
        <f ca="1">IFERROR(__xludf.DUMMYFUNCTION("""COMPUTED_VALUE"""),-0.556558747172811)</f>
        <v>-0.55655874717281095</v>
      </c>
      <c r="ER90" s="3">
        <f ca="1">IFERROR(__xludf.DUMMYFUNCTION("""COMPUTED_VALUE"""),-0.430840202140613)</f>
        <v>-0.43084020214061303</v>
      </c>
      <c r="ES90" s="3">
        <f ca="1">IFERROR(__xludf.DUMMYFUNCTION("""COMPUTED_VALUE"""),-0.443359971202381)</f>
        <v>-0.44335997120238102</v>
      </c>
      <c r="ET90" s="3">
        <f ca="1">IFERROR(__xludf.DUMMYFUNCTION("""COMPUTED_VALUE"""),-0.553696310464512)</f>
        <v>-0.55369631046451195</v>
      </c>
      <c r="EU90" s="3">
        <f ca="1">IFERROR(__xludf.DUMMYFUNCTION("""COMPUTED_VALUE"""),-0.610140282427579)</f>
        <v>-0.61014028242757901</v>
      </c>
      <c r="EV90" s="3">
        <f ca="1">IFERROR(__xludf.DUMMYFUNCTION("""COMPUTED_VALUE"""),-0.609235839427988)</f>
        <v>-0.60923583942798798</v>
      </c>
      <c r="EW90" s="3">
        <f ca="1">IFERROR(__xludf.DUMMYFUNCTION("""COMPUTED_VALUE"""),-0.569395892387984)</f>
        <v>-0.56939589238798405</v>
      </c>
      <c r="EX90" s="3">
        <f ca="1">IFERROR(__xludf.DUMMYFUNCTION("""COMPUTED_VALUE"""),-0.543975716844977)</f>
        <v>-0.54397571684497703</v>
      </c>
      <c r="EY90" s="3">
        <f ca="1">IFERROR(__xludf.DUMMYFUNCTION("""COMPUTED_VALUE"""),-0.414157678885437)</f>
        <v>-0.41415767888543698</v>
      </c>
      <c r="EZ90" s="3">
        <f ca="1">IFERROR(__xludf.DUMMYFUNCTION("""COMPUTED_VALUE"""),-0.457159833121562)</f>
        <v>-0.457159833121562</v>
      </c>
      <c r="FA90" s="3">
        <f ca="1">IFERROR(__xludf.DUMMYFUNCTION("""COMPUTED_VALUE"""),-0.567537457532251)</f>
        <v>-0.56753745753225104</v>
      </c>
      <c r="FB90" s="3">
        <f ca="1">IFERROR(__xludf.DUMMYFUNCTION("""COMPUTED_VALUE"""),-0.591049277875039)</f>
        <v>-0.59104927787503903</v>
      </c>
      <c r="FC90" s="3">
        <f ca="1">IFERROR(__xludf.DUMMYFUNCTION("""COMPUTED_VALUE"""),-0.590510360497433)</f>
        <v>-0.590510360497433</v>
      </c>
      <c r="FD90" s="3">
        <f ca="1">IFERROR(__xludf.DUMMYFUNCTION("""COMPUTED_VALUE"""),-0.563302323608476)</f>
        <v>-0.56330232360847599</v>
      </c>
      <c r="FE90" s="3">
        <f ca="1">IFERROR(__xludf.DUMMYFUNCTION("""COMPUTED_VALUE"""),-0.566491954916645)</f>
        <v>-0.56649195491664495</v>
      </c>
      <c r="FF90" s="3">
        <f ca="1">IFERROR(__xludf.DUMMYFUNCTION("""COMPUTED_VALUE"""),-0.476168645657568)</f>
        <v>-0.476168645657568</v>
      </c>
      <c r="FG90" s="3">
        <f ca="1">IFERROR(__xludf.DUMMYFUNCTION("""COMPUTED_VALUE"""),-0.470045589684775)</f>
        <v>-0.470045589684775</v>
      </c>
      <c r="FH90" s="3">
        <f ca="1">IFERROR(__xludf.DUMMYFUNCTION("""COMPUTED_VALUE"""),-0.588514174893458)</f>
        <v>-0.58851417489345803</v>
      </c>
      <c r="FI90" s="3">
        <f ca="1">IFERROR(__xludf.DUMMYFUNCTION("""COMPUTED_VALUE"""),-0.670032097740827)</f>
        <v>-0.67003209774082695</v>
      </c>
      <c r="FJ90" s="3">
        <f ca="1">IFERROR(__xludf.DUMMYFUNCTION("""COMPUTED_VALUE"""),-0.578710027460305)</f>
        <v>-0.57871002746030498</v>
      </c>
      <c r="FK90" s="3">
        <f ca="1">IFERROR(__xludf.DUMMYFUNCTION("""COMPUTED_VALUE"""),-0.589401290707)</f>
        <v>-0.58940129070699998</v>
      </c>
      <c r="FL90" s="3">
        <f ca="1">IFERROR(__xludf.DUMMYFUNCTION("""COMPUTED_VALUE"""),-0.578447240894083)</f>
        <v>-0.57844724089408295</v>
      </c>
      <c r="FM90" s="3">
        <f ca="1">IFERROR(__xludf.DUMMYFUNCTION("""COMPUTED_VALUE"""),-0.458169123575971)</f>
        <v>-0.458169123575971</v>
      </c>
      <c r="FN90" s="3">
        <f ca="1">IFERROR(__xludf.DUMMYFUNCTION("""COMPUTED_VALUE"""),-0.458933360239449)</f>
        <v>-0.45893336023944897</v>
      </c>
      <c r="FO90" s="3">
        <f ca="1">IFERROR(__xludf.DUMMYFUNCTION("""COMPUTED_VALUE"""),-0.568778448161199)</f>
        <v>-0.56877844816119905</v>
      </c>
      <c r="FP90" s="3">
        <f ca="1">IFERROR(__xludf.DUMMYFUNCTION("""COMPUTED_VALUE"""),-0.589302884669152)</f>
        <v>-0.58930288466915204</v>
      </c>
      <c r="FQ90" s="3">
        <f ca="1">IFERROR(__xludf.DUMMYFUNCTION("""COMPUTED_VALUE"""),-0.571971314365571)</f>
        <v>-0.57197131436557103</v>
      </c>
      <c r="FR90" s="3">
        <f ca="1">IFERROR(__xludf.DUMMYFUNCTION("""COMPUTED_VALUE"""),-0.582772392288125)</f>
        <v>-0.58277239228812505</v>
      </c>
      <c r="FS90" s="3">
        <f ca="1">IFERROR(__xludf.DUMMYFUNCTION("""COMPUTED_VALUE"""),-0.571532919889621)</f>
        <v>-0.57153291988962096</v>
      </c>
      <c r="FT90" s="3">
        <f ca="1">IFERROR(__xludf.DUMMYFUNCTION("""COMPUTED_VALUE"""),-0.397269132889745)</f>
        <v>-0.39726913288974502</v>
      </c>
      <c r="FU90" s="3">
        <f ca="1">IFERROR(__xludf.DUMMYFUNCTION("""COMPUTED_VALUE"""),-0.471064791662763)</f>
        <v>-0.47106479166276299</v>
      </c>
      <c r="FV90" s="3">
        <f ca="1">IFERROR(__xludf.DUMMYFUNCTION("""COMPUTED_VALUE"""),-0.597836081792098)</f>
        <v>-0.59783608179209802</v>
      </c>
      <c r="FW90" s="3">
        <f ca="1">IFERROR(__xludf.DUMMYFUNCTION("""COMPUTED_VALUE"""),-0.594168435446309)</f>
        <v>-0.59416843544630904</v>
      </c>
      <c r="FX90" s="3">
        <f ca="1">IFERROR(__xludf.DUMMYFUNCTION("""COMPUTED_VALUE"""),-0.56966852696907)</f>
        <v>-0.56966852696907</v>
      </c>
      <c r="FY90" s="3">
        <f ca="1">IFERROR(__xludf.DUMMYFUNCTION("""COMPUTED_VALUE"""),-0.576072900997959)</f>
        <v>-0.57607290099795905</v>
      </c>
      <c r="FZ90" s="3">
        <f ca="1">IFERROR(__xludf.DUMMYFUNCTION("""COMPUTED_VALUE"""),-0.580463786933166)</f>
        <v>-0.58046378693316603</v>
      </c>
      <c r="GA90" s="3">
        <f ca="1">IFERROR(__xludf.DUMMYFUNCTION("""COMPUTED_VALUE"""),-0.452333435115378)</f>
        <v>-0.45233343511537799</v>
      </c>
      <c r="GB90" s="3">
        <f ca="1">IFERROR(__xludf.DUMMYFUNCTION("""COMPUTED_VALUE"""),-0.496736373688348)</f>
        <v>-0.496736373688348</v>
      </c>
      <c r="GC90" s="3">
        <f ca="1">IFERROR(__xludf.DUMMYFUNCTION("""COMPUTED_VALUE"""),-0.574650549158622)</f>
        <v>-0.57465054915862201</v>
      </c>
      <c r="GD90" s="3">
        <f ca="1">IFERROR(__xludf.DUMMYFUNCTION("""COMPUTED_VALUE"""),-0.601171016007378)</f>
        <v>-0.60117101600737799</v>
      </c>
      <c r="GE90" s="3">
        <f ca="1">IFERROR(__xludf.DUMMYFUNCTION("""COMPUTED_VALUE"""),-0.578135147033546)</f>
        <v>-0.57813514703354596</v>
      </c>
      <c r="GF90" s="3">
        <f ca="1">IFERROR(__xludf.DUMMYFUNCTION("""COMPUTED_VALUE"""),-0.604051467468384)</f>
        <v>-0.60405146746838401</v>
      </c>
      <c r="GG90" s="3">
        <f ca="1">IFERROR(__xludf.DUMMYFUNCTION("""COMPUTED_VALUE"""),-0.579650389509081)</f>
        <v>-0.57965038950908099</v>
      </c>
      <c r="GH90" s="3">
        <f ca="1">IFERROR(__xludf.DUMMYFUNCTION("""COMPUTED_VALUE"""),-0.470979590964251)</f>
        <v>-0.47097959096425102</v>
      </c>
      <c r="GI90" s="3">
        <f ca="1">IFERROR(__xludf.DUMMYFUNCTION("""COMPUTED_VALUE"""),-0.491028211759642)</f>
        <v>-0.49102821175964201</v>
      </c>
      <c r="GJ90" s="3">
        <f ca="1">IFERROR(__xludf.DUMMYFUNCTION("""COMPUTED_VALUE"""),-0.598993962040988)</f>
        <v>-0.59899396204098798</v>
      </c>
      <c r="GK90" s="3">
        <f ca="1">IFERROR(__xludf.DUMMYFUNCTION("""COMPUTED_VALUE"""),-0.606898577013233)</f>
        <v>-0.60689857701323302</v>
      </c>
      <c r="GL90" s="3">
        <f ca="1">IFERROR(__xludf.DUMMYFUNCTION("""COMPUTED_VALUE"""),-0.607217209456155)</f>
        <v>-0.60721720945615498</v>
      </c>
      <c r="GM90" s="3">
        <f ca="1">IFERROR(__xludf.DUMMYFUNCTION("""COMPUTED_VALUE"""),-0.629183104303473)</f>
        <v>-0.62918310430347302</v>
      </c>
      <c r="GN90" s="3">
        <f ca="1">IFERROR(__xludf.DUMMYFUNCTION("""COMPUTED_VALUE"""),-0.587122107097605)</f>
        <v>-0.58712210709760504</v>
      </c>
      <c r="GO90" s="3">
        <f ca="1">IFERROR(__xludf.DUMMYFUNCTION("""COMPUTED_VALUE"""),-0.489054296359099)</f>
        <v>-0.48905429635909903</v>
      </c>
      <c r="GP90" s="3">
        <f ca="1">IFERROR(__xludf.DUMMYFUNCTION("""COMPUTED_VALUE"""),-0.533037624274531)</f>
        <v>-0.53303762427453105</v>
      </c>
      <c r="GQ90" s="3">
        <f ca="1">IFERROR(__xludf.DUMMYFUNCTION("""COMPUTED_VALUE"""),-0.620273975250077)</f>
        <v>-0.62027397525007699</v>
      </c>
      <c r="GR90" s="3">
        <f ca="1">IFERROR(__xludf.DUMMYFUNCTION("""COMPUTED_VALUE"""),-0.623063784045397)</f>
        <v>-0.62306378404539697</v>
      </c>
      <c r="GS90" s="3">
        <f ca="1">IFERROR(__xludf.DUMMYFUNCTION("""COMPUTED_VALUE"""),-0.597215146408923)</f>
        <v>-0.59721514640892304</v>
      </c>
      <c r="GT90" s="3">
        <f ca="1">IFERROR(__xludf.DUMMYFUNCTION("""COMPUTED_VALUE"""),-0.566476397753767)</f>
        <v>-0.56647639775376701</v>
      </c>
      <c r="GU90" s="3">
        <f ca="1">IFERROR(__xludf.DUMMYFUNCTION("""COMPUTED_VALUE"""),-0.605870133796118)</f>
        <v>-0.60587013379611798</v>
      </c>
      <c r="GV90" s="3">
        <f ca="1">IFERROR(__xludf.DUMMYFUNCTION("""COMPUTED_VALUE"""),-0.513509218441769)</f>
        <v>-0.513509218441769</v>
      </c>
      <c r="GW90" s="3">
        <f ca="1">IFERROR(__xludf.DUMMYFUNCTION("""COMPUTED_VALUE"""),-0.513578738294806)</f>
        <v>-0.51357873829480605</v>
      </c>
      <c r="GX90" s="3">
        <f ca="1">IFERROR(__xludf.DUMMYFUNCTION("""COMPUTED_VALUE"""),-0.6072571885217)</f>
        <v>-0.60725718852169996</v>
      </c>
      <c r="GY90" s="3">
        <f ca="1">IFERROR(__xludf.DUMMYFUNCTION("""COMPUTED_VALUE"""),-0.641301251137937)</f>
        <v>-0.64130125113793701</v>
      </c>
      <c r="GZ90" s="3">
        <f ca="1">IFERROR(__xludf.DUMMYFUNCTION("""COMPUTED_VALUE"""),-0.61670715157242)</f>
        <v>-0.61670715157241995</v>
      </c>
      <c r="HA90" s="3">
        <f ca="1">IFERROR(__xludf.DUMMYFUNCTION("""COMPUTED_VALUE"""),-0.627458160108065)</f>
        <v>-0.62745816010806499</v>
      </c>
      <c r="HB90" s="3">
        <f ca="1">IFERROR(__xludf.DUMMYFUNCTION("""COMPUTED_VALUE"""),-0.609869803166695)</f>
        <v>-0.60986980316669503</v>
      </c>
      <c r="HC90" s="3">
        <f ca="1">IFERROR(__xludf.DUMMYFUNCTION("""COMPUTED_VALUE"""),-0.495248654343237)</f>
        <v>-0.495248654343237</v>
      </c>
      <c r="HD90" s="3">
        <f ca="1">IFERROR(__xludf.DUMMYFUNCTION("""COMPUTED_VALUE"""),-0.539176950587724)</f>
        <v>-0.53917695058772397</v>
      </c>
      <c r="HE90" s="3">
        <f ca="1">IFERROR(__xludf.DUMMYFUNCTION("""COMPUTED_VALUE"""),-0.597796366708833)</f>
        <v>-0.59779636670883296</v>
      </c>
      <c r="HF90" s="3">
        <f ca="1">IFERROR(__xludf.DUMMYFUNCTION("""COMPUTED_VALUE"""),-0.641265421713064)</f>
        <v>-0.641265421713064</v>
      </c>
      <c r="HG90" s="3">
        <f ca="1">IFERROR(__xludf.DUMMYFUNCTION("""COMPUTED_VALUE"""),-0.635231031992328)</f>
        <v>-0.635231031992328</v>
      </c>
      <c r="HH90" s="3">
        <f ca="1">IFERROR(__xludf.DUMMYFUNCTION("""COMPUTED_VALUE"""),-0.613458502357304)</f>
        <v>-0.61345850235730404</v>
      </c>
      <c r="HI90" s="3">
        <f ca="1">IFERROR(__xludf.DUMMYFUNCTION("""COMPUTED_VALUE"""),-0.593543686647756)</f>
        <v>-0.59354368664775603</v>
      </c>
      <c r="HJ90" s="3">
        <f ca="1">IFERROR(__xludf.DUMMYFUNCTION("""COMPUTED_VALUE"""),-0.495808030312378)</f>
        <v>-0.49580803031237802</v>
      </c>
      <c r="HK90" s="3">
        <f ca="1">IFERROR(__xludf.DUMMYFUNCTION("""COMPUTED_VALUE"""),-0.510430464211865)</f>
        <v>-0.510430464211865</v>
      </c>
      <c r="HL90" s="3">
        <f ca="1">IFERROR(__xludf.DUMMYFUNCTION("""COMPUTED_VALUE"""),-0.577545612454232)</f>
        <v>-0.57754561245423197</v>
      </c>
      <c r="HM90" s="3">
        <f ca="1">IFERROR(__xludf.DUMMYFUNCTION("""COMPUTED_VALUE"""),-0.61463746097872)</f>
        <v>-0.61463746097871996</v>
      </c>
      <c r="HN90" s="3">
        <f ca="1">IFERROR(__xludf.DUMMYFUNCTION("""COMPUTED_VALUE"""),-0.611255738121206)</f>
        <v>-0.61125573812120604</v>
      </c>
      <c r="HO90" s="3">
        <f ca="1">IFERROR(__xludf.DUMMYFUNCTION("""COMPUTED_VALUE"""),-0.615595171832076)</f>
        <v>-0.61559517183207602</v>
      </c>
      <c r="HP90" s="3">
        <f ca="1">IFERROR(__xludf.DUMMYFUNCTION("""COMPUTED_VALUE"""),-0.587862470704496)</f>
        <v>-0.58786247070449604</v>
      </c>
      <c r="HQ90" s="3">
        <f ca="1">IFERROR(__xludf.DUMMYFUNCTION("""COMPUTED_VALUE"""),-0.490425935042756)</f>
        <v>-0.490425935042756</v>
      </c>
      <c r="HR90" s="3">
        <f ca="1">IFERROR(__xludf.DUMMYFUNCTION("""COMPUTED_VALUE"""),-0.537181130036016)</f>
        <v>-0.53718113003601597</v>
      </c>
      <c r="HS90" s="3">
        <f ca="1">IFERROR(__xludf.DUMMYFUNCTION("""COMPUTED_VALUE"""),-0.554986895701378)</f>
        <v>-0.55498689570137805</v>
      </c>
      <c r="HT90" s="3">
        <f ca="1">IFERROR(__xludf.DUMMYFUNCTION("""COMPUTED_VALUE"""),-0.581041965527185)</f>
        <v>-0.58104196552718501</v>
      </c>
      <c r="HU90" s="3">
        <f ca="1">IFERROR(__xludf.DUMMYFUNCTION("""COMPUTED_VALUE"""),-0.581421878835626)</f>
        <v>-0.58142187883562602</v>
      </c>
      <c r="HV90" s="3">
        <f ca="1">IFERROR(__xludf.DUMMYFUNCTION("""COMPUTED_VALUE"""),-0.572073907627017)</f>
        <v>-0.57207390762701704</v>
      </c>
      <c r="HW90" s="3">
        <f ca="1">IFERROR(__xludf.DUMMYFUNCTION("""COMPUTED_VALUE"""),-0.508651309095196)</f>
        <v>-0.50865130909519596</v>
      </c>
      <c r="HX90" s="3">
        <f ca="1">IFERROR(__xludf.DUMMYFUNCTION("""COMPUTED_VALUE"""),-0.518997157675128)</f>
        <v>-0.518997157675128</v>
      </c>
      <c r="HY90" s="3">
        <f ca="1">IFERROR(__xludf.DUMMYFUNCTION("""COMPUTED_VALUE"""),-0.587168263860461)</f>
        <v>-0.58716826386046095</v>
      </c>
      <c r="HZ90" s="3">
        <f ca="1">IFERROR(__xludf.DUMMYFUNCTION("""COMPUTED_VALUE"""),-0.576519658881103)</f>
        <v>-0.57651965888110301</v>
      </c>
      <c r="IA90" s="3">
        <f ca="1">IFERROR(__xludf.DUMMYFUNCTION("""COMPUTED_VALUE"""),-0.598168906005787)</f>
        <v>-0.59816890600578698</v>
      </c>
      <c r="IB90" s="3">
        <f ca="1">IFERROR(__xludf.DUMMYFUNCTION("""COMPUTED_VALUE"""),-0.596762299054959)</f>
        <v>-0.59676229905495903</v>
      </c>
      <c r="IC90" s="3">
        <f ca="1">IFERROR(__xludf.DUMMYFUNCTION("""COMPUTED_VALUE"""),-0.570340380836966)</f>
        <v>-0.57034038083696603</v>
      </c>
      <c r="ID90" s="3">
        <f ca="1">IFERROR(__xludf.DUMMYFUNCTION("""COMPUTED_VALUE"""),-0.577803571669653)</f>
        <v>-0.57780357166965302</v>
      </c>
      <c r="IE90" s="3">
        <f ca="1">IFERROR(__xludf.DUMMYFUNCTION("""COMPUTED_VALUE"""),-0.603450019284888)</f>
        <v>-0.60345001928488795</v>
      </c>
      <c r="IF90" s="3">
        <f ca="1">IFERROR(__xludf.DUMMYFUNCTION("""COMPUTED_VALUE"""),-0.594300029575707)</f>
        <v>-0.59430002957570705</v>
      </c>
      <c r="IG90" s="3">
        <f ca="1">IFERROR(__xludf.DUMMYFUNCTION("""COMPUTED_VALUE"""),-0.577964131365768)</f>
        <v>-0.57796413136576796</v>
      </c>
      <c r="IH90" s="3">
        <f ca="1">IFERROR(__xludf.DUMMYFUNCTION("""COMPUTED_VALUE"""),-0.634846739365063)</f>
        <v>-0.63484673936506297</v>
      </c>
      <c r="II90" s="3">
        <f ca="1">IFERROR(__xludf.DUMMYFUNCTION("""COMPUTED_VALUE"""),-0.604071240039767)</f>
        <v>-0.60407124003976698</v>
      </c>
      <c r="IJ90" s="3">
        <f ca="1">IFERROR(__xludf.DUMMYFUNCTION("""COMPUTED_VALUE"""),-0.577125656554089)</f>
        <v>-0.57712565655408898</v>
      </c>
      <c r="IK90" s="3">
        <f ca="1">IFERROR(__xludf.DUMMYFUNCTION("""COMPUTED_VALUE"""),-0.571861374445189)</f>
        <v>-0.57186137444518903</v>
      </c>
      <c r="IL90" s="3">
        <f ca="1">IFERROR(__xludf.DUMMYFUNCTION("""COMPUTED_VALUE"""),-0.575675513976207)</f>
        <v>-0.57567551397620698</v>
      </c>
      <c r="IM90" s="3">
        <f ca="1">IFERROR(__xludf.DUMMYFUNCTION("""COMPUTED_VALUE"""),-0.580996049622445)</f>
        <v>-0.580996049622445</v>
      </c>
      <c r="IN90" s="3">
        <f ca="1">IFERROR(__xludf.DUMMYFUNCTION("""COMPUTED_VALUE"""),-0.588102173926567)</f>
        <v>-0.58810217392656705</v>
      </c>
      <c r="IO90" s="3">
        <f ca="1">IFERROR(__xludf.DUMMYFUNCTION("""COMPUTED_VALUE"""),-0.629038243213626)</f>
        <v>-0.629038243213626</v>
      </c>
      <c r="IP90" s="3">
        <f ca="1">IFERROR(__xludf.DUMMYFUNCTION("""COMPUTED_VALUE"""),-0.581349193590699)</f>
        <v>-0.58134919359069903</v>
      </c>
      <c r="IQ90" s="3">
        <f ca="1">IFERROR(__xludf.DUMMYFUNCTION("""COMPUTED_VALUE"""),-0.648330923218313)</f>
        <v>-0.64833092321831298</v>
      </c>
      <c r="IR90" s="3">
        <f ca="1">IFERROR(__xludf.DUMMYFUNCTION("""COMPUTED_VALUE"""),-0.61361874247044)</f>
        <v>-0.61361874247044002</v>
      </c>
      <c r="IS90" s="3">
        <f ca="1">IFERROR(__xludf.DUMMYFUNCTION("""COMPUTED_VALUE"""),-0.5892421728937)</f>
        <v>-0.58924217289369996</v>
      </c>
      <c r="IT90" s="3">
        <f ca="1">IFERROR(__xludf.DUMMYFUNCTION("""COMPUTED_VALUE"""),-0.593455255761255)</f>
        <v>-0.59345525576125502</v>
      </c>
      <c r="IU90" s="3">
        <f ca="1">IFERROR(__xludf.DUMMYFUNCTION("""COMPUTED_VALUE"""),-0.628852839970745)</f>
        <v>-0.62885283997074504</v>
      </c>
      <c r="IV90" s="3">
        <f ca="1">IFERROR(__xludf.DUMMYFUNCTION("""COMPUTED_VALUE"""),-0.619147423459463)</f>
        <v>-0.61914742345946305</v>
      </c>
      <c r="IW90" s="3">
        <f ca="1">IFERROR(__xludf.DUMMYFUNCTION("""COMPUTED_VALUE"""),-0.607189542497441)</f>
        <v>-0.60718954249744095</v>
      </c>
      <c r="IX90" s="3">
        <f ca="1">IFERROR(__xludf.DUMMYFUNCTION("""COMPUTED_VALUE"""),-0.615721994480546)</f>
        <v>-0.61572199448054599</v>
      </c>
      <c r="IY90" s="3">
        <f ca="1">IFERROR(__xludf.DUMMYFUNCTION("""COMPUTED_VALUE"""),-0.590707197542195)</f>
        <v>-0.59070719754219503</v>
      </c>
      <c r="IZ90" s="3">
        <f ca="1">IFERROR(__xludf.DUMMYFUNCTION("""COMPUTED_VALUE"""),-0.579812526412942)</f>
        <v>-0.57981252641294201</v>
      </c>
      <c r="JA90" s="3">
        <f ca="1">IFERROR(__xludf.DUMMYFUNCTION("""COMPUTED_VALUE"""),-0.576107954706878)</f>
        <v>-0.57610795470687803</v>
      </c>
      <c r="JB90" s="3">
        <f ca="1">IFERROR(__xludf.DUMMYFUNCTION("""COMPUTED_VALUE"""),-0.624138466683206)</f>
        <v>-0.62413846668320605</v>
      </c>
      <c r="JC90" s="3">
        <f ca="1">IFERROR(__xludf.DUMMYFUNCTION("""COMPUTED_VALUE"""),-0.626881695484187)</f>
        <v>-0.62688169548418704</v>
      </c>
      <c r="JD90" s="3">
        <f ca="1">IFERROR(__xludf.DUMMYFUNCTION("""COMPUTED_VALUE"""),-0.646902574408404)</f>
        <v>-0.64690257440840404</v>
      </c>
      <c r="JE90" s="3">
        <f ca="1">IFERROR(__xludf.DUMMYFUNCTION("""COMPUTED_VALUE"""),-0.620237425858349)</f>
        <v>-0.62023742585834896</v>
      </c>
      <c r="JF90" s="3">
        <f ca="1">IFERROR(__xludf.DUMMYFUNCTION("""COMPUTED_VALUE"""),-0.61425508394704)</f>
        <v>-0.61425508394703998</v>
      </c>
      <c r="JG90" s="3">
        <f ca="1">IFERROR(__xludf.DUMMYFUNCTION("""COMPUTED_VALUE"""),-0.593439399704297)</f>
        <v>-0.59343939970429704</v>
      </c>
      <c r="JH90" s="3">
        <f ca="1">IFERROR(__xludf.DUMMYFUNCTION("""COMPUTED_VALUE"""),-0.577020601794146)</f>
        <v>-0.57702060179414605</v>
      </c>
      <c r="JI90" s="3">
        <f ca="1">IFERROR(__xludf.DUMMYFUNCTION("""COMPUTED_VALUE"""),-0.612081513945084)</f>
        <v>-0.61208151394508403</v>
      </c>
      <c r="JJ90" s="3">
        <f ca="1">IFERROR(__xludf.DUMMYFUNCTION("""COMPUTED_VALUE"""),-0.640674925686205)</f>
        <v>-0.64067492568620499</v>
      </c>
      <c r="JK90" s="3">
        <f ca="1">IFERROR(__xludf.DUMMYFUNCTION("""COMPUTED_VALUE"""),-0.632046238105202)</f>
        <v>-0.632046238105202</v>
      </c>
      <c r="JL90" s="3">
        <f ca="1">IFERROR(__xludf.DUMMYFUNCTION("""COMPUTED_VALUE"""),-0.622421292695487)</f>
        <v>-0.62242129269548696</v>
      </c>
      <c r="JM90" s="3">
        <f ca="1">IFERROR(__xludf.DUMMYFUNCTION("""COMPUTED_VALUE"""),-0.605858301491816)</f>
        <v>-0.60585830149181596</v>
      </c>
      <c r="JN90" s="3">
        <f ca="1">IFERROR(__xludf.DUMMYFUNCTION("""COMPUTED_VALUE"""),-0.597665218942953)</f>
        <v>-0.59766521894295299</v>
      </c>
      <c r="JO90" s="3">
        <f ca="1">IFERROR(__xludf.DUMMYFUNCTION("""COMPUTED_VALUE"""),-0.563980642257814)</f>
        <v>-0.56398064225781397</v>
      </c>
      <c r="JP90" s="3">
        <f ca="1">IFERROR(__xludf.DUMMYFUNCTION("""COMPUTED_VALUE"""),-0.608658550041843)</f>
        <v>-0.60865855004184299</v>
      </c>
      <c r="JQ90" s="3">
        <f ca="1">IFERROR(__xludf.DUMMYFUNCTION("""COMPUTED_VALUE"""),-0.59137236077502)</f>
        <v>-0.59137236077501998</v>
      </c>
      <c r="JR90" s="3">
        <f ca="1">IFERROR(__xludf.DUMMYFUNCTION("""COMPUTED_VALUE"""),-0.63859311127052)</f>
        <v>-0.63859311127051999</v>
      </c>
      <c r="JS90" s="3">
        <f ca="1">IFERROR(__xludf.DUMMYFUNCTION("""COMPUTED_VALUE"""),-0.636354157356488)</f>
        <v>-0.63635415735648804</v>
      </c>
      <c r="JT90" s="3">
        <f ca="1">IFERROR(__xludf.DUMMYFUNCTION("""COMPUTED_VALUE"""),-0.617076941188707)</f>
        <v>-0.61707694118870704</v>
      </c>
      <c r="JU90" s="3">
        <f ca="1">IFERROR(__xludf.DUMMYFUNCTION("""COMPUTED_VALUE"""),-0.625244467207935)</f>
        <v>-0.62524446720793503</v>
      </c>
      <c r="JV90" s="3">
        <f ca="1">IFERROR(__xludf.DUMMYFUNCTION("""COMPUTED_VALUE"""),-0.63229373131727)</f>
        <v>-0.63229373131726996</v>
      </c>
      <c r="JW90" s="3">
        <f ca="1">IFERROR(__xludf.DUMMYFUNCTION("""COMPUTED_VALUE"""),-0.555532976680788)</f>
        <v>-0.55553297668078805</v>
      </c>
      <c r="JX90" s="3">
        <f ca="1">IFERROR(__xludf.DUMMYFUNCTION("""COMPUTED_VALUE"""),-0.575104655830493)</f>
        <v>-0.57510465583049297</v>
      </c>
      <c r="JY90" s="3">
        <f ca="1">IFERROR(__xludf.DUMMYFUNCTION("""COMPUTED_VALUE"""),-0.640027545437223)</f>
        <v>-0.64002754543722296</v>
      </c>
      <c r="JZ90" s="3">
        <f ca="1">IFERROR(__xludf.DUMMYFUNCTION("""COMPUTED_VALUE"""),-0.637713269259143)</f>
        <v>-0.63771326925914296</v>
      </c>
      <c r="KA90" s="3">
        <f ca="1">IFERROR(__xludf.DUMMYFUNCTION("""COMPUTED_VALUE"""),-0.60550714966741)</f>
        <v>-0.60550714966741004</v>
      </c>
      <c r="KB90" s="3">
        <f ca="1">IFERROR(__xludf.DUMMYFUNCTION("""COMPUTED_VALUE"""),-0.604223968797964)</f>
        <v>-0.60422396879796403</v>
      </c>
      <c r="KC90" s="3">
        <f ca="1">IFERROR(__xludf.DUMMYFUNCTION("""COMPUTED_VALUE"""),-0.578237826580805)</f>
        <v>-0.57823782658080503</v>
      </c>
      <c r="KD90" s="3">
        <f ca="1">IFERROR(__xludf.DUMMYFUNCTION("""COMPUTED_VALUE"""),-0.596092150135927)</f>
        <v>-0.59609215013592698</v>
      </c>
      <c r="KE90" s="3">
        <f ca="1">IFERROR(__xludf.DUMMYFUNCTION("""COMPUTED_VALUE"""),-0.590003629519073)</f>
        <v>-0.59000362951907304</v>
      </c>
      <c r="KF90" s="3">
        <f ca="1">IFERROR(__xludf.DUMMYFUNCTION("""COMPUTED_VALUE"""),-0.629517004148062)</f>
        <v>-0.629517004148062</v>
      </c>
      <c r="KG90" s="3">
        <f ca="1">IFERROR(__xludf.DUMMYFUNCTION("""COMPUTED_VALUE"""),-0.620030528554017)</f>
        <v>-0.62003052855401697</v>
      </c>
      <c r="KH90" s="3">
        <f ca="1">IFERROR(__xludf.DUMMYFUNCTION("""COMPUTED_VALUE"""),-0.621211872759802)</f>
        <v>-0.62121187275980205</v>
      </c>
      <c r="KI90" s="3">
        <f ca="1">IFERROR(__xludf.DUMMYFUNCTION("""COMPUTED_VALUE"""),-0.603011189678669)</f>
        <v>-0.60301118967866896</v>
      </c>
      <c r="KJ90" s="3">
        <f ca="1">IFERROR(__xludf.DUMMYFUNCTION("""COMPUTED_VALUE"""),-0.641192726800955)</f>
        <v>-0.64119272680095496</v>
      </c>
      <c r="KK90" s="3">
        <f ca="1">IFERROR(__xludf.DUMMYFUNCTION("""COMPUTED_VALUE"""),-0.652822595938218)</f>
        <v>-0.65282259593821801</v>
      </c>
      <c r="KL90" s="3">
        <f ca="1">IFERROR(__xludf.DUMMYFUNCTION("""COMPUTED_VALUE"""),-0.672144386931717)</f>
        <v>-0.67214438693171696</v>
      </c>
      <c r="KM90" s="3">
        <f ca="1">IFERROR(__xludf.DUMMYFUNCTION("""COMPUTED_VALUE"""),-0.703517448750825)</f>
        <v>-0.703517448750825</v>
      </c>
      <c r="KN90" s="3">
        <f ca="1">IFERROR(__xludf.DUMMYFUNCTION("""COMPUTED_VALUE"""),-0.666871802694861)</f>
        <v>-0.66687180269486102</v>
      </c>
      <c r="KO90" s="3">
        <f ca="1">IFERROR(__xludf.DUMMYFUNCTION("""COMPUTED_VALUE"""),-0.635673764508791)</f>
        <v>-0.63567376450879098</v>
      </c>
      <c r="KP90" s="3">
        <f ca="1">IFERROR(__xludf.DUMMYFUNCTION("""COMPUTED_VALUE"""),-0.632053683708529)</f>
        <v>-0.63205368370852899</v>
      </c>
      <c r="KQ90" s="3">
        <f ca="1">IFERROR(__xludf.DUMMYFUNCTION("""COMPUTED_VALUE"""),-0.632332190137284)</f>
        <v>-0.63233219013728403</v>
      </c>
      <c r="KR90" s="3">
        <f ca="1">IFERROR(__xludf.DUMMYFUNCTION("""COMPUTED_VALUE"""),-0.670621303828053)</f>
        <v>-0.67062130382805296</v>
      </c>
      <c r="KS90" s="3">
        <f ca="1">IFERROR(__xludf.DUMMYFUNCTION("""COMPUTED_VALUE"""),-0.697154060725492)</f>
        <v>-0.69715406072549202</v>
      </c>
      <c r="KT90" s="3">
        <f ca="1">IFERROR(__xludf.DUMMYFUNCTION("""COMPUTED_VALUE"""),-0.68157429783051)</f>
        <v>-0.68157429783051005</v>
      </c>
      <c r="KU90" s="3">
        <f ca="1">IFERROR(__xludf.DUMMYFUNCTION("""COMPUTED_VALUE"""),-0.673567560251311)</f>
        <v>-0.67356756025131104</v>
      </c>
      <c r="KV90" s="3">
        <f ca="1">IFERROR(__xludf.DUMMYFUNCTION("""COMPUTED_VALUE"""),-0.654746416235762)</f>
        <v>-0.65474641623576202</v>
      </c>
      <c r="KW90" s="3">
        <f ca="1">IFERROR(__xludf.DUMMYFUNCTION("""COMPUTED_VALUE"""),-0.666494500101454)</f>
        <v>-0.66649450010145395</v>
      </c>
      <c r="KX90" s="3">
        <f ca="1">IFERROR(__xludf.DUMMYFUNCTION("""COMPUTED_VALUE"""),-0.641611864226047)</f>
        <v>-0.64161186422604699</v>
      </c>
      <c r="KY90" s="3">
        <f ca="1">IFERROR(__xludf.DUMMYFUNCTION("""COMPUTED_VALUE"""),-0.711740716555999)</f>
        <v>-0.71174071655599902</v>
      </c>
      <c r="KZ90" s="3">
        <f ca="1">IFERROR(__xludf.DUMMYFUNCTION("""COMPUTED_VALUE"""),-0.709668415094179)</f>
        <v>-0.70966841509417899</v>
      </c>
      <c r="LA90" s="3">
        <f ca="1">IFERROR(__xludf.DUMMYFUNCTION("""COMPUTED_VALUE"""),-0.707025282469943)</f>
        <v>-0.70702528246994301</v>
      </c>
      <c r="LB90" s="3">
        <f ca="1">IFERROR(__xludf.DUMMYFUNCTION("""COMPUTED_VALUE"""),-0.715620151672419)</f>
        <v>-0.71562015167241899</v>
      </c>
      <c r="LC90" s="3">
        <f ca="1">IFERROR(__xludf.DUMMYFUNCTION("""COMPUTED_VALUE"""),-0.668278379827914)</f>
        <v>-0.66827837982791405</v>
      </c>
      <c r="LD90" s="3">
        <f ca="1">IFERROR(__xludf.DUMMYFUNCTION("""COMPUTED_VALUE"""),-0.700678955857026)</f>
        <v>-0.700678955857026</v>
      </c>
      <c r="LE90" s="3">
        <f ca="1">IFERROR(__xludf.DUMMYFUNCTION("""COMPUTED_VALUE"""),-0.690361886313392)</f>
        <v>-0.69036188631339201</v>
      </c>
      <c r="LF90" s="3">
        <f ca="1">IFERROR(__xludf.DUMMYFUNCTION("""COMPUTED_VALUE"""),-0.73669591458612)</f>
        <v>-0.73669591458612005</v>
      </c>
      <c r="LG90" s="3">
        <f ca="1">IFERROR(__xludf.DUMMYFUNCTION("""COMPUTED_VALUE"""),-0.758185742505095)</f>
        <v>-0.75818574250509496</v>
      </c>
      <c r="LH90" s="3">
        <f ca="1">IFERROR(__xludf.DUMMYFUNCTION("""COMPUTED_VALUE"""),-0.749612743620837)</f>
        <v>-0.74961274362083696</v>
      </c>
      <c r="LI90" s="3">
        <f ca="1">IFERROR(__xludf.DUMMYFUNCTION("""COMPUTED_VALUE"""),-0.742705142857066)</f>
        <v>-0.74270514285706601</v>
      </c>
      <c r="LJ90" s="3">
        <f ca="1">IFERROR(__xludf.DUMMYFUNCTION("""COMPUTED_VALUE"""),-0.764114325879502)</f>
        <v>-0.76411432587950201</v>
      </c>
      <c r="LK90" s="3">
        <f ca="1">IFERROR(__xludf.DUMMYFUNCTION("""COMPUTED_VALUE"""),-0.741327586469196)</f>
        <v>-0.74132758646919605</v>
      </c>
      <c r="LL90" s="3">
        <f ca="1">IFERROR(__xludf.DUMMYFUNCTION("""COMPUTED_VALUE"""),-0.732482502871392)</f>
        <v>-0.73248250287139205</v>
      </c>
      <c r="LM90" s="3">
        <f ca="1">IFERROR(__xludf.DUMMYFUNCTION("""COMPUTED_VALUE"""),-0.778438333958213)</f>
        <v>-0.77843833395821305</v>
      </c>
      <c r="LN90" s="3">
        <f ca="1">IFERROR(__xludf.DUMMYFUNCTION("""COMPUTED_VALUE"""),-0.773734283726934)</f>
        <v>-0.77373428372693398</v>
      </c>
      <c r="LO90" s="3">
        <f ca="1">IFERROR(__xludf.DUMMYFUNCTION("""COMPUTED_VALUE"""),-0.769767684937967)</f>
        <v>-0.76976768493796699</v>
      </c>
      <c r="LP90" s="3">
        <f ca="1">IFERROR(__xludf.DUMMYFUNCTION("""COMPUTED_VALUE"""),-0.761517913840626)</f>
        <v>-0.76151791384062595</v>
      </c>
      <c r="LQ90" s="3">
        <f ca="1">IFERROR(__xludf.DUMMYFUNCTION("""COMPUTED_VALUE"""),-0.726819255043628)</f>
        <v>-0.72681925504362799</v>
      </c>
      <c r="LR90" s="3">
        <f ca="1">IFERROR(__xludf.DUMMYFUNCTION("""COMPUTED_VALUE"""),-0.742949607020612)</f>
        <v>-0.74294960702061197</v>
      </c>
      <c r="LS90" s="3">
        <f ca="1">IFERROR(__xludf.DUMMYFUNCTION("""COMPUTED_VALUE"""),-0.731286583364048)</f>
        <v>-0.73128658336404795</v>
      </c>
      <c r="LT90" s="3">
        <f ca="1">IFERROR(__xludf.DUMMYFUNCTION("""COMPUTED_VALUE"""),-0.753391996788814)</f>
        <v>-0.75339199678881397</v>
      </c>
      <c r="LU90" s="3">
        <f ca="1">IFERROR(__xludf.DUMMYFUNCTION("""COMPUTED_VALUE"""),-0.777533939721563)</f>
        <v>-0.77753393972156304</v>
      </c>
      <c r="LV90" s="3">
        <f ca="1">IFERROR(__xludf.DUMMYFUNCTION("""COMPUTED_VALUE"""),-0.766286235401397)</f>
        <v>-0.76628623540139695</v>
      </c>
      <c r="LW90" s="3">
        <f ca="1">IFERROR(__xludf.DUMMYFUNCTION("""COMPUTED_VALUE"""),-0.778905357721292)</f>
        <v>-0.77890535772129199</v>
      </c>
      <c r="LX90" s="3">
        <f ca="1">IFERROR(__xludf.DUMMYFUNCTION("""COMPUTED_VALUE"""),-0.765849648678756)</f>
        <v>-0.76584964867875605</v>
      </c>
      <c r="LY90" s="3">
        <f ca="1">IFERROR(__xludf.DUMMYFUNCTION("""COMPUTED_VALUE"""),-0.73173427962169)</f>
        <v>-0.73173427962169002</v>
      </c>
      <c r="LZ90" s="3">
        <f ca="1">IFERROR(__xludf.DUMMYFUNCTION("""COMPUTED_VALUE"""),-0.763644999502787)</f>
        <v>-0.76364499950278697</v>
      </c>
      <c r="MA90" s="3">
        <f ca="1">IFERROR(__xludf.DUMMYFUNCTION("""COMPUTED_VALUE"""),-0.779140756421653)</f>
        <v>-0.77914075642165304</v>
      </c>
      <c r="MB90" s="3">
        <f ca="1">IFERROR(__xludf.DUMMYFUNCTION("""COMPUTED_VALUE"""),-0.777299996726927)</f>
        <v>-0.77729999672692696</v>
      </c>
      <c r="MC90" s="3">
        <f ca="1">IFERROR(__xludf.DUMMYFUNCTION("""COMPUTED_VALUE"""),-0.797094718164598)</f>
        <v>-0.79709471816459798</v>
      </c>
      <c r="MD90" s="3">
        <f ca="1">IFERROR(__xludf.DUMMYFUNCTION("""COMPUTED_VALUE"""),-0.774251525231362)</f>
        <v>-0.77425152523136198</v>
      </c>
      <c r="ME90" s="3">
        <f ca="1">IFERROR(__xludf.DUMMYFUNCTION("""COMPUTED_VALUE"""),-0.742450688788616)</f>
        <v>-0.74245068878861598</v>
      </c>
      <c r="MF90" s="3">
        <f ca="1">IFERROR(__xludf.DUMMYFUNCTION("""COMPUTED_VALUE"""),-0.751387848144114)</f>
        <v>-0.75138784814411397</v>
      </c>
      <c r="MG90" s="3">
        <f ca="1">IFERROR(__xludf.DUMMYFUNCTION("""COMPUTED_VALUE"""),-0.742017133590338)</f>
        <v>-0.74201713359033805</v>
      </c>
      <c r="MH90" s="3">
        <f ca="1">IFERROR(__xludf.DUMMYFUNCTION("""COMPUTED_VALUE"""),-0.770584350152171)</f>
        <v>-0.77058435015217097</v>
      </c>
      <c r="MI90" s="3">
        <f ca="1">IFERROR(__xludf.DUMMYFUNCTION("""COMPUTED_VALUE"""),-0.829014775668719)</f>
        <v>-0.82901477566871895</v>
      </c>
      <c r="MJ90" s="3">
        <f ca="1">IFERROR(__xludf.DUMMYFUNCTION("""COMPUTED_VALUE"""),-0.782046034736177)</f>
        <v>-0.78204603473617695</v>
      </c>
      <c r="MK90" s="3">
        <f ca="1">IFERROR(__xludf.DUMMYFUNCTION("""COMPUTED_VALUE"""),-0.794518278910491)</f>
        <v>-0.79451827891049098</v>
      </c>
      <c r="ML90" s="3">
        <f ca="1">IFERROR(__xludf.DUMMYFUNCTION("""COMPUTED_VALUE"""),-0.776926085333942)</f>
        <v>-0.77692608533394203</v>
      </c>
      <c r="MM90" s="3">
        <f ca="1">IFERROR(__xludf.DUMMYFUNCTION("""COMPUTED_VALUE"""),-0.769576973494661)</f>
        <v>-0.76957697349466103</v>
      </c>
      <c r="MN90" s="3">
        <f ca="1">IFERROR(__xludf.DUMMYFUNCTION("""COMPUTED_VALUE"""),-0.776053193816329)</f>
        <v>-0.77605319381632898</v>
      </c>
      <c r="MO90" s="3">
        <f ca="1">IFERROR(__xludf.DUMMYFUNCTION("""COMPUTED_VALUE"""),-0.785539989561505)</f>
        <v>-0.78553998956150495</v>
      </c>
      <c r="MP90" s="3">
        <f ca="1">IFERROR(__xludf.DUMMYFUNCTION("""COMPUTED_VALUE"""),-0.809648346161393)</f>
        <v>-0.80964834616139303</v>
      </c>
      <c r="MQ90" s="3">
        <f ca="1">IFERROR(__xludf.DUMMYFUNCTION("""COMPUTED_VALUE"""),-0.791786646607119)</f>
        <v>-0.79178664660711895</v>
      </c>
      <c r="MR90" s="3">
        <f ca="1">IFERROR(__xludf.DUMMYFUNCTION("""COMPUTED_VALUE"""),-0.794406636104123)</f>
        <v>-0.79440663610412299</v>
      </c>
      <c r="MS90" s="3">
        <f ca="1">IFERROR(__xludf.DUMMYFUNCTION("""COMPUTED_VALUE"""),-0.771430461957486)</f>
        <v>-0.77143046195748599</v>
      </c>
      <c r="MT90" s="3">
        <f ca="1">IFERROR(__xludf.DUMMYFUNCTION("""COMPUTED_VALUE"""),-0.760094494751688)</f>
        <v>-0.760094494751688</v>
      </c>
      <c r="MU90" s="3">
        <f ca="1">IFERROR(__xludf.DUMMYFUNCTION("""COMPUTED_VALUE"""),-0.786157169885982)</f>
        <v>-0.78615716988598205</v>
      </c>
      <c r="MV90" s="3">
        <f ca="1">IFERROR(__xludf.DUMMYFUNCTION("""COMPUTED_VALUE"""),-0.747674824204317)</f>
        <v>-0.74767482420431697</v>
      </c>
      <c r="MW90" s="3">
        <f ca="1">IFERROR(__xludf.DUMMYFUNCTION("""COMPUTED_VALUE"""),-0.793579332646488)</f>
        <v>-0.79357933264648794</v>
      </c>
      <c r="MX90" s="3">
        <f ca="1">IFERROR(__xludf.DUMMYFUNCTION("""COMPUTED_VALUE"""),-0.796655281265024)</f>
        <v>-0.79665528126502405</v>
      </c>
      <c r="MY90" s="3">
        <f ca="1">IFERROR(__xludf.DUMMYFUNCTION("""COMPUTED_VALUE"""),-0.791705343950024)</f>
        <v>-0.79170534395002401</v>
      </c>
      <c r="MZ90" s="3">
        <f ca="1">IFERROR(__xludf.DUMMYFUNCTION("""COMPUTED_VALUE"""),-0.796251010992108)</f>
        <v>-0.79625101099210804</v>
      </c>
      <c r="NA90" s="3">
        <f ca="1">IFERROR(__xludf.DUMMYFUNCTION("""COMPUTED_VALUE"""),-0.776367814622749)</f>
        <v>-0.77636781462274895</v>
      </c>
      <c r="NB90" s="3">
        <f ca="1">IFERROR(__xludf.DUMMYFUNCTION("""COMPUTED_VALUE"""),-0.76954872053346)</f>
        <v>-0.76954872053346002</v>
      </c>
      <c r="NC90" s="3">
        <f ca="1">IFERROR(__xludf.DUMMYFUNCTION("""COMPUTED_VALUE"""),-0.764550622177282)</f>
        <v>-0.76455062217728198</v>
      </c>
      <c r="ND90" s="3">
        <f ca="1">IFERROR(__xludf.DUMMYFUNCTION("""COMPUTED_VALUE"""),-0.784568542187405)</f>
        <v>-0.78456854218740502</v>
      </c>
      <c r="NE90" s="3">
        <f ca="1">IFERROR(__xludf.DUMMYFUNCTION("""COMPUTED_VALUE"""),-0.766387368459433)</f>
        <v>-0.766387368459433</v>
      </c>
      <c r="NF90" s="3">
        <f ca="1">IFERROR(__xludf.DUMMYFUNCTION("""COMPUTED_VALUE"""),-0.767410001108154)</f>
        <v>-0.76741000110815405</v>
      </c>
      <c r="NG90" s="3">
        <f ca="1">IFERROR(__xludf.DUMMYFUNCTION("""COMPUTED_VALUE"""),-0.71541740152295)</f>
        <v>-0.71541740152294997</v>
      </c>
      <c r="NH90" s="3">
        <f ca="1">IFERROR(__xludf.DUMMYFUNCTION("""COMPUTED_VALUE"""),-0.745231104224245)</f>
        <v>-0.74523110422424499</v>
      </c>
      <c r="NI90" s="3">
        <f ca="1">IFERROR(__xludf.DUMMYFUNCTION("""COMPUTED_VALUE"""),-0.748683107783808)</f>
        <v>-0.74868310778380798</v>
      </c>
      <c r="NJ90" s="3">
        <f ca="1">IFERROR(__xludf.DUMMYFUNCTION("""COMPUTED_VALUE"""),-0.744771613173136)</f>
        <v>-0.744771613173136</v>
      </c>
      <c r="NK90" s="3">
        <f ca="1">IFERROR(__xludf.DUMMYFUNCTION("""COMPUTED_VALUE"""),-0.758539966866386)</f>
        <v>-0.75853996686638603</v>
      </c>
      <c r="NL90" s="3">
        <f ca="1">IFERROR(__xludf.DUMMYFUNCTION("""COMPUTED_VALUE"""),-0.74160479739658)</f>
        <v>-0.74160479739658003</v>
      </c>
      <c r="NM90" s="3">
        <f ca="1">IFERROR(__xludf.DUMMYFUNCTION("""COMPUTED_VALUE"""),-0.73184142311078)</f>
        <v>-0.73184142311078004</v>
      </c>
      <c r="NN90" s="3">
        <f ca="1">IFERROR(__xludf.DUMMYFUNCTION("""COMPUTED_VALUE"""),-0.657229689515858)</f>
        <v>-0.65722968951585803</v>
      </c>
      <c r="NO90" s="3">
        <f ca="1">IFERROR(__xludf.DUMMYFUNCTION("""COMPUTED_VALUE"""),-0.660016906338275)</f>
        <v>-0.66001690633827503</v>
      </c>
      <c r="NP90" s="3">
        <f ca="1">IFERROR(__xludf.DUMMYFUNCTION("""COMPUTED_VALUE"""),-0.693628647803957)</f>
        <v>-0.69362864780395705</v>
      </c>
      <c r="NQ90" s="3">
        <f ca="1">IFERROR(__xludf.DUMMYFUNCTION("""COMPUTED_VALUE"""),-0.652205529743148)</f>
        <v>-0.65220552974314805</v>
      </c>
      <c r="NR90" s="3">
        <f ca="1">IFERROR(__xludf.DUMMYFUNCTION("""COMPUTED_VALUE"""),-0.653771014989255)</f>
        <v>-0.65377101498925505</v>
      </c>
      <c r="NS90" s="3">
        <f ca="1">IFERROR(__xludf.DUMMYFUNCTION("""COMPUTED_VALUE"""),-0.694183153157301)</f>
        <v>-0.69418315315730095</v>
      </c>
      <c r="NT90" s="3">
        <f ca="1">IFERROR(__xludf.DUMMYFUNCTION("""COMPUTED_VALUE"""),-0.586632015710955)</f>
        <v>-0.58663201571095502</v>
      </c>
      <c r="NU90" s="3">
        <f ca="1">IFERROR(__xludf.DUMMYFUNCTION("""COMPUTED_VALUE"""),-0.628855355915728)</f>
        <v>-0.62885535591572805</v>
      </c>
      <c r="NV90" s="3">
        <f ca="1">IFERROR(__xludf.DUMMYFUNCTION("""COMPUTED_VALUE"""),-0.525779783398657)</f>
        <v>-0.52577978339865705</v>
      </c>
      <c r="NW90" s="3">
        <f ca="1">IFERROR(__xludf.DUMMYFUNCTION("""COMPUTED_VALUE"""),-0.522183728916398)</f>
        <v>-0.52218372891639797</v>
      </c>
      <c r="NX90" s="3">
        <f ca="1">IFERROR(__xludf.DUMMYFUNCTION("""COMPUTED_VALUE"""),-0.474376483608591)</f>
        <v>-0.47437648360859103</v>
      </c>
      <c r="NY90" s="3">
        <f ca="1">IFERROR(__xludf.DUMMYFUNCTION("""COMPUTED_VALUE"""),-0.427757278004834)</f>
        <v>-0.42775727800483399</v>
      </c>
      <c r="NZ90" s="3">
        <f ca="1">IFERROR(__xludf.DUMMYFUNCTION("""COMPUTED_VALUE"""),-0.372708336809985)</f>
        <v>-0.372708336809985</v>
      </c>
      <c r="OA90" s="3">
        <f ca="1">IFERROR(__xludf.DUMMYFUNCTION("""COMPUTED_VALUE"""),-0.352737519916855)</f>
        <v>-0.35273751991685498</v>
      </c>
      <c r="OB90" s="3">
        <f ca="1">IFERROR(__xludf.DUMMYFUNCTION("""COMPUTED_VALUE"""),-0.22645915713916)</f>
        <v>-0.22645915713916001</v>
      </c>
      <c r="OC90" s="3">
        <f ca="1">IFERROR(__xludf.DUMMYFUNCTION("""COMPUTED_VALUE"""),-0.255310561889994)</f>
        <v>-0.25531056188999401</v>
      </c>
      <c r="OD90" s="3">
        <f ca="1">IFERROR(__xludf.DUMMYFUNCTION("""COMPUTED_VALUE"""),-0.211745119274332)</f>
        <v>-0.21174511927433201</v>
      </c>
      <c r="OE90" s="3">
        <f ca="1">IFERROR(__xludf.DUMMYFUNCTION("""COMPUTED_VALUE"""),-0.12900827427293)</f>
        <v>-0.12900827427292999</v>
      </c>
      <c r="OF90" s="3">
        <f ca="1">IFERROR(__xludf.DUMMYFUNCTION("""COMPUTED_VALUE"""),-0.111686232447346)</f>
        <v>-0.111686232447346</v>
      </c>
      <c r="OG90" s="3">
        <f ca="1">IFERROR(__xludf.DUMMYFUNCTION("""COMPUTED_VALUE"""),-0.0605842522434737)</f>
        <v>-6.0584252243473698E-2</v>
      </c>
      <c r="OH90" s="3">
        <f ca="1">IFERROR(__xludf.DUMMYFUNCTION("""COMPUTED_VALUE"""),-0.0666233294116526)</f>
        <v>-6.6623329411652596E-2</v>
      </c>
      <c r="OI90" s="3">
        <f ca="1">IFERROR(__xludf.DUMMYFUNCTION("""COMPUTED_VALUE"""),-0.0281663404235711)</f>
        <v>-2.81663404235711E-2</v>
      </c>
      <c r="OJ90" s="3">
        <f ca="1">IFERROR(__xludf.DUMMYFUNCTION("""COMPUTED_VALUE"""),-0.0178600636133695)</f>
        <v>-1.78600636133695E-2</v>
      </c>
      <c r="OK90" s="3">
        <f ca="1">IFERROR(__xludf.DUMMYFUNCTION("""COMPUTED_VALUE"""),-0.0351682008640654)</f>
        <v>-3.5168200864065399E-2</v>
      </c>
      <c r="OL90" s="3">
        <f ca="1">IFERROR(__xludf.DUMMYFUNCTION("""COMPUTED_VALUE"""),-0.00618972467863065)</f>
        <v>-6.1897246786306497E-3</v>
      </c>
      <c r="OM90" s="3">
        <f ca="1">IFERROR(__xludf.DUMMYFUNCTION("""COMPUTED_VALUE"""),-0.00634781996329103)</f>
        <v>-6.3478199632910296E-3</v>
      </c>
      <c r="ON90" s="3">
        <f ca="1">IFERROR(__xludf.DUMMYFUNCTION("""COMPUTED_VALUE"""),0.0185156735280844)</f>
        <v>1.8515673528084399E-2</v>
      </c>
      <c r="OO90" s="3">
        <f ca="1">IFERROR(__xludf.DUMMYFUNCTION("""COMPUTED_VALUE"""),-0.0311248049446803)</f>
        <v>-3.1124804944680302E-2</v>
      </c>
      <c r="OP90" s="3">
        <f ca="1">IFERROR(__xludf.DUMMYFUNCTION("""COMPUTED_VALUE"""),-0.0167288983861747)</f>
        <v>-1.6728898386174699E-2</v>
      </c>
      <c r="OQ90" s="3">
        <f ca="1">IFERROR(__xludf.DUMMYFUNCTION("""COMPUTED_VALUE"""),0.0121221550085723)</f>
        <v>1.21221550085723E-2</v>
      </c>
      <c r="OR90" s="3">
        <f ca="1">IFERROR(__xludf.DUMMYFUNCTION("""COMPUTED_VALUE"""),-0.0373045213084294)</f>
        <v>-3.73045213084294E-2</v>
      </c>
      <c r="OS90" s="3">
        <f ca="1">IFERROR(__xludf.DUMMYFUNCTION("""COMPUTED_VALUE"""),0.0552117571299668)</f>
        <v>5.5211757129966801E-2</v>
      </c>
      <c r="OT90" s="3">
        <f ca="1">IFERROR(__xludf.DUMMYFUNCTION("""COMPUTED_VALUE"""),-0.020768917164575)</f>
        <v>-2.0768917164575001E-2</v>
      </c>
      <c r="OU90" s="3">
        <f ca="1">IFERROR(__xludf.DUMMYFUNCTION("""COMPUTED_VALUE"""),0.132331085650459)</f>
        <v>0.13233108565045901</v>
      </c>
      <c r="OV90" s="3">
        <f ca="1">IFERROR(__xludf.DUMMYFUNCTION("""COMPUTED_VALUE"""),-0.0622556658433918)</f>
        <v>-6.2255665843391803E-2</v>
      </c>
      <c r="OW90" s="3">
        <f ca="1">IFERROR(__xludf.DUMMYFUNCTION("""COMPUTED_VALUE"""),-0.00214654516618284)</f>
        <v>-2.1465451661828402E-3</v>
      </c>
      <c r="OX90" s="3">
        <f ca="1">IFERROR(__xludf.DUMMYFUNCTION("""COMPUTED_VALUE"""),0.0000584346048060346)</f>
        <v>5.8434604806034603E-5</v>
      </c>
      <c r="OY90" s="3">
        <f ca="1">IFERROR(__xludf.DUMMYFUNCTION("""COMPUTED_VALUE"""),-0.024969205626522)</f>
        <v>-2.4969205626521999E-2</v>
      </c>
      <c r="OZ90" s="3">
        <f ca="1">IFERROR(__xludf.DUMMYFUNCTION("""COMPUTED_VALUE"""),-0.0496710673625818)</f>
        <v>-4.9671067362581797E-2</v>
      </c>
      <c r="PA90" s="3">
        <f ca="1">IFERROR(__xludf.DUMMYFUNCTION("""COMPUTED_VALUE"""),-0.0422638858157384)</f>
        <v>-4.2263885815738401E-2</v>
      </c>
      <c r="PB90" s="3">
        <f ca="1">IFERROR(__xludf.DUMMYFUNCTION("""COMPUTED_VALUE"""),0.0986156286567199)</f>
        <v>9.8615628656719898E-2</v>
      </c>
      <c r="PC90" s="3">
        <f ca="1">IFERROR(__xludf.DUMMYFUNCTION("""COMPUTED_VALUE"""),-0.0293822686719356)</f>
        <v>-2.93822686719356E-2</v>
      </c>
      <c r="PD90" s="3">
        <f ca="1">IFERROR(__xludf.DUMMYFUNCTION("""COMPUTED_VALUE"""),-0.057995791021801)</f>
        <v>-5.7995791021801003E-2</v>
      </c>
      <c r="PE90" s="3">
        <f ca="1">IFERROR(__xludf.DUMMYFUNCTION("""COMPUTED_VALUE"""),-0.015729595298815)</f>
        <v>-1.5729595298815E-2</v>
      </c>
      <c r="PF90" s="3">
        <f ca="1">IFERROR(__xludf.DUMMYFUNCTION("""COMPUTED_VALUE"""),-0.0584949011218616)</f>
        <v>-5.8494901121861599E-2</v>
      </c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</row>
    <row r="91" spans="1:594" ht="13">
      <c r="A91" s="1" t="str">
        <f ca="1">IFERROR(__xludf.DUMMYFUNCTION("""COMPUTED_VALUE"""),"Whistler")</f>
        <v>Whistler</v>
      </c>
      <c r="B91" s="3">
        <f ca="1">IFERROR(__xludf.DUMMYFUNCTION("""COMPUTED_VALUE"""),-0.736301114031765)</f>
        <v>-0.73630111403176501</v>
      </c>
      <c r="C91" s="3">
        <f ca="1">IFERROR(__xludf.DUMMYFUNCTION("""COMPUTED_VALUE"""),-0.712171433000726)</f>
        <v>-0.71217143300072605</v>
      </c>
      <c r="D91" s="3">
        <f ca="1">IFERROR(__xludf.DUMMYFUNCTION("""COMPUTED_VALUE"""),-0.703779367454707)</f>
        <v>-0.70377936745470704</v>
      </c>
      <c r="E91" s="3">
        <f ca="1">IFERROR(__xludf.DUMMYFUNCTION("""COMPUTED_VALUE"""),-0.718871477500675)</f>
        <v>-0.71887147750067504</v>
      </c>
      <c r="F91" s="3">
        <f ca="1">IFERROR(__xludf.DUMMYFUNCTION("""COMPUTED_VALUE"""),-0.683723512503729)</f>
        <v>-0.68372351250372898</v>
      </c>
      <c r="G91" s="3">
        <f ca="1">IFERROR(__xludf.DUMMYFUNCTION("""COMPUTED_VALUE"""),-0.700151614402102)</f>
        <v>-0.70015161440210205</v>
      </c>
      <c r="H91" s="3">
        <f ca="1">IFERROR(__xludf.DUMMYFUNCTION("""COMPUTED_VALUE"""),-0.738828162192143)</f>
        <v>-0.73882816219214298</v>
      </c>
      <c r="I91" s="3">
        <f ca="1">IFERROR(__xludf.DUMMYFUNCTION("""COMPUTED_VALUE"""),-0.75941467049947)</f>
        <v>-0.75941467049946998</v>
      </c>
      <c r="J91" s="3">
        <f ca="1">IFERROR(__xludf.DUMMYFUNCTION("""COMPUTED_VALUE"""),-0.715380442145366)</f>
        <v>-0.715380442145366</v>
      </c>
      <c r="K91" s="3">
        <f ca="1">IFERROR(__xludf.DUMMYFUNCTION("""COMPUTED_VALUE"""),-0.689531425448858)</f>
        <v>-0.68953142544885804</v>
      </c>
      <c r="L91" s="3">
        <f ca="1">IFERROR(__xludf.DUMMYFUNCTION("""COMPUTED_VALUE"""),-0.673955611955868)</f>
        <v>-0.67395561195586795</v>
      </c>
      <c r="M91" s="3">
        <f ca="1">IFERROR(__xludf.DUMMYFUNCTION("""COMPUTED_VALUE"""),-0.596475023071165)</f>
        <v>-0.59647502307116496</v>
      </c>
      <c r="N91" s="3">
        <f ca="1">IFERROR(__xludf.DUMMYFUNCTION("""COMPUTED_VALUE"""),-0.622194205252979)</f>
        <v>-0.62219420525297897</v>
      </c>
      <c r="O91" s="3">
        <f ca="1">IFERROR(__xludf.DUMMYFUNCTION("""COMPUTED_VALUE"""),-0.648000244631039)</f>
        <v>-0.648000244631039</v>
      </c>
      <c r="P91" s="3">
        <f ca="1">IFERROR(__xludf.DUMMYFUNCTION("""COMPUTED_VALUE"""),-0.581294406703701)</f>
        <v>-0.58129440670370103</v>
      </c>
      <c r="Q91" s="3">
        <f ca="1">IFERROR(__xludf.DUMMYFUNCTION("""COMPUTED_VALUE"""),-0.522843890515073)</f>
        <v>-0.52284389051507296</v>
      </c>
      <c r="R91" s="3">
        <f ca="1">IFERROR(__xludf.DUMMYFUNCTION("""COMPUTED_VALUE"""),-0.542644124309829)</f>
        <v>-0.542644124309829</v>
      </c>
      <c r="S91" s="3">
        <f ca="1">IFERROR(__xludf.DUMMYFUNCTION("""COMPUTED_VALUE"""),-0.592435373441367)</f>
        <v>-0.59243537344136699</v>
      </c>
      <c r="T91" s="3">
        <f ca="1">IFERROR(__xludf.DUMMYFUNCTION("""COMPUTED_VALUE"""),-0.498243741448814)</f>
        <v>-0.498243741448814</v>
      </c>
      <c r="U91" s="3">
        <f ca="1">IFERROR(__xludf.DUMMYFUNCTION("""COMPUTED_VALUE"""),-0.551273573433441)</f>
        <v>-0.55127357343344097</v>
      </c>
      <c r="V91" s="3">
        <f ca="1">IFERROR(__xludf.DUMMYFUNCTION("""COMPUTED_VALUE"""),-0.533289171150162)</f>
        <v>-0.53328917115016194</v>
      </c>
      <c r="W91" s="3">
        <f ca="1">IFERROR(__xludf.DUMMYFUNCTION("""COMPUTED_VALUE"""),-0.540679778193955)</f>
        <v>-0.54067977819395496</v>
      </c>
      <c r="X91" s="3">
        <f ca="1">IFERROR(__xludf.DUMMYFUNCTION("""COMPUTED_VALUE"""),-0.53906799172986)</f>
        <v>-0.53906799172985997</v>
      </c>
      <c r="Y91" s="3">
        <f ca="1">IFERROR(__xludf.DUMMYFUNCTION("""COMPUTED_VALUE"""),-0.565417082883325)</f>
        <v>-0.56541708288332504</v>
      </c>
      <c r="Z91" s="3">
        <f ca="1">IFERROR(__xludf.DUMMYFUNCTION("""COMPUTED_VALUE"""),-0.58167344037209)</f>
        <v>-0.58167344037209001</v>
      </c>
      <c r="AA91" s="3">
        <f ca="1">IFERROR(__xludf.DUMMYFUNCTION("""COMPUTED_VALUE"""),-0.516930301233233)</f>
        <v>-0.51693030123323302</v>
      </c>
      <c r="AB91" s="3">
        <f ca="1">IFERROR(__xludf.DUMMYFUNCTION("""COMPUTED_VALUE"""),-0.549779015429015)</f>
        <v>-0.54977901542901497</v>
      </c>
      <c r="AC91" s="3">
        <f ca="1">IFERROR(__xludf.DUMMYFUNCTION("""COMPUTED_VALUE"""),-0.602658457979719)</f>
        <v>-0.60265845797971895</v>
      </c>
      <c r="AD91" s="3">
        <f ca="1">IFERROR(__xludf.DUMMYFUNCTION("""COMPUTED_VALUE"""),-0.566109059732977)</f>
        <v>-0.56610905973297698</v>
      </c>
      <c r="AE91" s="3">
        <f ca="1">IFERROR(__xludf.DUMMYFUNCTION("""COMPUTED_VALUE"""),-0.529562072973014)</f>
        <v>-0.52956207297301405</v>
      </c>
      <c r="AF91" s="3">
        <f ca="1">IFERROR(__xludf.DUMMYFUNCTION("""COMPUTED_VALUE"""),-0.601232397611148)</f>
        <v>-0.601232397611148</v>
      </c>
      <c r="AG91" s="3">
        <f ca="1">IFERROR(__xludf.DUMMYFUNCTION("""COMPUTED_VALUE"""),-0.59813509524133)</f>
        <v>-0.59813509524133002</v>
      </c>
      <c r="AH91" s="3">
        <f ca="1">IFERROR(__xludf.DUMMYFUNCTION("""COMPUTED_VALUE"""),-0.610971173106271)</f>
        <v>-0.61097117310627103</v>
      </c>
      <c r="AI91" s="3">
        <f ca="1">IFERROR(__xludf.DUMMYFUNCTION("""COMPUTED_VALUE"""),-0.610033789637049)</f>
        <v>-0.61003378963704902</v>
      </c>
      <c r="AJ91" s="3">
        <f ca="1">IFERROR(__xludf.DUMMYFUNCTION("""COMPUTED_VALUE"""),-0.602233823584762)</f>
        <v>-0.60223382358476196</v>
      </c>
      <c r="AK91" s="3">
        <f ca="1">IFERROR(__xludf.DUMMYFUNCTION("""COMPUTED_VALUE"""),-0.548526990663997)</f>
        <v>-0.54852699066399702</v>
      </c>
      <c r="AL91" s="3">
        <f ca="1">IFERROR(__xludf.DUMMYFUNCTION("""COMPUTED_VALUE"""),-0.581917338467742)</f>
        <v>-0.58191733846774196</v>
      </c>
      <c r="AM91" s="3">
        <f ca="1">IFERROR(__xludf.DUMMYFUNCTION("""COMPUTED_VALUE"""),-0.57399871652472)</f>
        <v>-0.57399871652472001</v>
      </c>
      <c r="AN91" s="3">
        <f ca="1">IFERROR(__xludf.DUMMYFUNCTION("""COMPUTED_VALUE"""),-0.580006259368412)</f>
        <v>-0.58000625936841199</v>
      </c>
      <c r="AO91" s="3">
        <f ca="1">IFERROR(__xludf.DUMMYFUNCTION("""COMPUTED_VALUE"""),-0.607229272968153)</f>
        <v>-0.60722927296815299</v>
      </c>
      <c r="AP91" s="3">
        <f ca="1">IFERROR(__xludf.DUMMYFUNCTION("""COMPUTED_VALUE"""),-0.621128496953077)</f>
        <v>-0.62112849695307704</v>
      </c>
      <c r="AQ91" s="3">
        <f ca="1">IFERROR(__xludf.DUMMYFUNCTION("""COMPUTED_VALUE"""),-0.585144340006219)</f>
        <v>-0.58514434000621895</v>
      </c>
      <c r="AR91" s="3">
        <f ca="1">IFERROR(__xludf.DUMMYFUNCTION("""COMPUTED_VALUE"""),-0.595568842771542)</f>
        <v>-0.59556884277154198</v>
      </c>
      <c r="AS91" s="3">
        <f ca="1">IFERROR(__xludf.DUMMYFUNCTION("""COMPUTED_VALUE"""),-0.560517183175426)</f>
        <v>-0.56051718317542598</v>
      </c>
      <c r="AT91" s="3">
        <f ca="1">IFERROR(__xludf.DUMMYFUNCTION("""COMPUTED_VALUE"""),-0.590259084422453)</f>
        <v>-0.59025908442245301</v>
      </c>
      <c r="AU91" s="3">
        <f ca="1">IFERROR(__xludf.DUMMYFUNCTION("""COMPUTED_VALUE"""),-0.60751441782546)</f>
        <v>-0.60751441782546001</v>
      </c>
      <c r="AV91" s="3">
        <f ca="1">IFERROR(__xludf.DUMMYFUNCTION("""COMPUTED_VALUE"""),-0.639775891744859)</f>
        <v>-0.63977589174485905</v>
      </c>
      <c r="AW91" s="3">
        <f ca="1">IFERROR(__xludf.DUMMYFUNCTION("""COMPUTED_VALUE"""),-0.642509920222099)</f>
        <v>-0.64250992022209896</v>
      </c>
      <c r="AX91" s="3">
        <f ca="1">IFERROR(__xludf.DUMMYFUNCTION("""COMPUTED_VALUE"""),-0.640214264213725)</f>
        <v>-0.64021426421372496</v>
      </c>
      <c r="AY91" s="3">
        <f ca="1">IFERROR(__xludf.DUMMYFUNCTION("""COMPUTED_VALUE"""),-0.621886015092017)</f>
        <v>-0.62188601509201702</v>
      </c>
      <c r="AZ91" s="3">
        <f ca="1">IFERROR(__xludf.DUMMYFUNCTION("""COMPUTED_VALUE"""),-0.603145477291749)</f>
        <v>-0.60314547729174905</v>
      </c>
      <c r="BA91" s="3">
        <f ca="1">IFERROR(__xludf.DUMMYFUNCTION("""COMPUTED_VALUE"""),-0.624189170034688)</f>
        <v>-0.62418917003468799</v>
      </c>
      <c r="BB91" s="3">
        <f ca="1">IFERROR(__xludf.DUMMYFUNCTION("""COMPUTED_VALUE"""),-0.595598476310172)</f>
        <v>-0.59559847631017204</v>
      </c>
      <c r="BC91" s="3">
        <f ca="1">IFERROR(__xludf.DUMMYFUNCTION("""COMPUTED_VALUE"""),-0.635091073989528)</f>
        <v>-0.63509107398952802</v>
      </c>
      <c r="BD91" s="3">
        <f ca="1">IFERROR(__xludf.DUMMYFUNCTION("""COMPUTED_VALUE"""),-0.639622357135552)</f>
        <v>-0.63962235713555204</v>
      </c>
      <c r="BE91" s="3">
        <f ca="1">IFERROR(__xludf.DUMMYFUNCTION("""COMPUTED_VALUE"""),-0.623890209220838)</f>
        <v>-0.62389020922083804</v>
      </c>
      <c r="BF91" s="3">
        <f ca="1">IFERROR(__xludf.DUMMYFUNCTION("""COMPUTED_VALUE"""),-0.658458626088287)</f>
        <v>-0.65845862608828698</v>
      </c>
      <c r="BG91" s="3">
        <f ca="1">IFERROR(__xludf.DUMMYFUNCTION("""COMPUTED_VALUE"""),-0.665407432699665)</f>
        <v>-0.66540743269966496</v>
      </c>
      <c r="BH91" s="3">
        <f ca="1">IFERROR(__xludf.DUMMYFUNCTION("""COMPUTED_VALUE"""),-0.66089238771935)</f>
        <v>-0.66089238771934999</v>
      </c>
      <c r="BI91" s="3">
        <f ca="1">IFERROR(__xludf.DUMMYFUNCTION("""COMPUTED_VALUE"""),-0.689344347517235)</f>
        <v>-0.68934434751723495</v>
      </c>
      <c r="BJ91" s="3">
        <f ca="1">IFERROR(__xludf.DUMMYFUNCTION("""COMPUTED_VALUE"""),-0.660801814312856)</f>
        <v>-0.66080181431285601</v>
      </c>
      <c r="BK91" s="3">
        <f ca="1">IFERROR(__xludf.DUMMYFUNCTION("""COMPUTED_VALUE"""),-0.681352238257499)</f>
        <v>-0.68135223825749902</v>
      </c>
      <c r="BL91" s="3">
        <f ca="1">IFERROR(__xludf.DUMMYFUNCTION("""COMPUTED_VALUE"""),-0.687159898920518)</f>
        <v>-0.68715989892051799</v>
      </c>
      <c r="BM91" s="3">
        <f ca="1">IFERROR(__xludf.DUMMYFUNCTION("""COMPUTED_VALUE"""),-0.701838442323947)</f>
        <v>-0.70183844232394699</v>
      </c>
      <c r="BN91" s="3">
        <f ca="1">IFERROR(__xludf.DUMMYFUNCTION("""COMPUTED_VALUE"""),-0.696013192833242)</f>
        <v>-0.69601319283324203</v>
      </c>
      <c r="BO91" s="3">
        <f ca="1">IFERROR(__xludf.DUMMYFUNCTION("""COMPUTED_VALUE"""),-0.662258813736781)</f>
        <v>-0.66225881373678097</v>
      </c>
      <c r="BP91" s="3">
        <f ca="1">IFERROR(__xludf.DUMMYFUNCTION("""COMPUTED_VALUE"""),-0.65322016408515)</f>
        <v>-0.65322016408515005</v>
      </c>
      <c r="BQ91" s="3">
        <f ca="1">IFERROR(__xludf.DUMMYFUNCTION("""COMPUTED_VALUE"""),-0.65268612443788)</f>
        <v>-0.65268612443787999</v>
      </c>
      <c r="BR91" s="3">
        <f ca="1">IFERROR(__xludf.DUMMYFUNCTION("""COMPUTED_VALUE"""),-0.69033517095531)</f>
        <v>-0.69033517095531005</v>
      </c>
      <c r="BS91" s="3">
        <f ca="1">IFERROR(__xludf.DUMMYFUNCTION("""COMPUTED_VALUE"""),-0.67635003521955)</f>
        <v>-0.67635003521954995</v>
      </c>
      <c r="BT91" s="3">
        <f ca="1">IFERROR(__xludf.DUMMYFUNCTION("""COMPUTED_VALUE"""),-0.742124105175289)</f>
        <v>-0.74212410517528904</v>
      </c>
      <c r="BU91" s="3">
        <f ca="1">IFERROR(__xludf.DUMMYFUNCTION("""COMPUTED_VALUE"""),-0.742696562489679)</f>
        <v>-0.74269656248967897</v>
      </c>
      <c r="BV91" s="3">
        <f ca="1">IFERROR(__xludf.DUMMYFUNCTION("""COMPUTED_VALUE"""),-0.702219068663119)</f>
        <v>-0.70221906866311901</v>
      </c>
      <c r="BW91" s="3">
        <f ca="1">IFERROR(__xludf.DUMMYFUNCTION("""COMPUTED_VALUE"""),-0.710673836029036)</f>
        <v>-0.710673836029036</v>
      </c>
      <c r="BX91" s="3">
        <f ca="1">IFERROR(__xludf.DUMMYFUNCTION("""COMPUTED_VALUE"""),-0.693377872181955)</f>
        <v>-0.69337787218195501</v>
      </c>
      <c r="BY91" s="3">
        <f ca="1">IFERROR(__xludf.DUMMYFUNCTION("""COMPUTED_VALUE"""),-0.689855156101472)</f>
        <v>-0.68985515610147197</v>
      </c>
      <c r="BZ91" s="3">
        <f ca="1">IFERROR(__xludf.DUMMYFUNCTION("""COMPUTED_VALUE"""),-0.706150750428215)</f>
        <v>-0.70615075042821496</v>
      </c>
      <c r="CA91" s="3">
        <f ca="1">IFERROR(__xludf.DUMMYFUNCTION("""COMPUTED_VALUE"""),-0.697938221606309)</f>
        <v>-0.69793822160630903</v>
      </c>
      <c r="CB91" s="3">
        <f ca="1">IFERROR(__xludf.DUMMYFUNCTION("""COMPUTED_VALUE"""),-0.700793948465906)</f>
        <v>-0.70079394846590604</v>
      </c>
      <c r="CC91" s="3">
        <f ca="1">IFERROR(__xludf.DUMMYFUNCTION("""COMPUTED_VALUE"""),-0.643799678620191)</f>
        <v>-0.64379967862019105</v>
      </c>
      <c r="CD91" s="3">
        <f ca="1">IFERROR(__xludf.DUMMYFUNCTION("""COMPUTED_VALUE"""),-0.642612701303304)</f>
        <v>-0.64261270130330395</v>
      </c>
      <c r="CE91" s="3">
        <f ca="1">IFERROR(__xludf.DUMMYFUNCTION("""COMPUTED_VALUE"""),-0.620530033077632)</f>
        <v>-0.62053003307763199</v>
      </c>
      <c r="CF91" s="3">
        <f ca="1">IFERROR(__xludf.DUMMYFUNCTION("""COMPUTED_VALUE"""),-0.624784367895037)</f>
        <v>-0.624784367895037</v>
      </c>
      <c r="CG91" s="3">
        <f ca="1">IFERROR(__xludf.DUMMYFUNCTION("""COMPUTED_VALUE"""),-0.657889829740067)</f>
        <v>-0.65788982974006704</v>
      </c>
      <c r="CH91" s="3">
        <f ca="1">IFERROR(__xludf.DUMMYFUNCTION("""COMPUTED_VALUE"""),-0.628510176756159)</f>
        <v>-0.62851017675615894</v>
      </c>
      <c r="CI91" s="3">
        <f ca="1">IFERROR(__xludf.DUMMYFUNCTION("""COMPUTED_VALUE"""),-0.624049094845273)</f>
        <v>-0.62404909484527304</v>
      </c>
      <c r="CJ91" s="3">
        <f ca="1">IFERROR(__xludf.DUMMYFUNCTION("""COMPUTED_VALUE"""),-0.61454571222654)</f>
        <v>-0.61454571222653998</v>
      </c>
      <c r="CK91" s="3">
        <f ca="1">IFERROR(__xludf.DUMMYFUNCTION("""COMPUTED_VALUE"""),-0.597582423631172)</f>
        <v>-0.59758242363117198</v>
      </c>
      <c r="CL91" s="3">
        <f ca="1">IFERROR(__xludf.DUMMYFUNCTION("""COMPUTED_VALUE"""),-0.565576254597041)</f>
        <v>-0.56557625459704097</v>
      </c>
      <c r="CM91" s="3">
        <f ca="1">IFERROR(__xludf.DUMMYFUNCTION("""COMPUTED_VALUE"""),-0.586059981547959)</f>
        <v>-0.58605998154795902</v>
      </c>
      <c r="CN91" s="3">
        <f ca="1">IFERROR(__xludf.DUMMYFUNCTION("""COMPUTED_VALUE"""),-0.594847741791684)</f>
        <v>-0.59484774179168398</v>
      </c>
      <c r="CO91" s="3">
        <f ca="1">IFERROR(__xludf.DUMMYFUNCTION("""COMPUTED_VALUE"""),-0.57007855749326)</f>
        <v>-0.57007855749325997</v>
      </c>
      <c r="CP91" s="3">
        <f ca="1">IFERROR(__xludf.DUMMYFUNCTION("""COMPUTED_VALUE"""),-0.600812451610238)</f>
        <v>-0.600812451610238</v>
      </c>
      <c r="CQ91" s="3">
        <f ca="1">IFERROR(__xludf.DUMMYFUNCTION("""COMPUTED_VALUE"""),-0.556552395313082)</f>
        <v>-0.55655239531308198</v>
      </c>
      <c r="CR91" s="3">
        <f ca="1">IFERROR(__xludf.DUMMYFUNCTION("""COMPUTED_VALUE"""),-0.593417220021034)</f>
        <v>-0.59341722002103403</v>
      </c>
      <c r="CS91" s="3">
        <f ca="1">IFERROR(__xludf.DUMMYFUNCTION("""COMPUTED_VALUE"""),-0.568125354818585)</f>
        <v>-0.56812535481858495</v>
      </c>
      <c r="CT91" s="3">
        <f ca="1">IFERROR(__xludf.DUMMYFUNCTION("""COMPUTED_VALUE"""),-0.484918391290132)</f>
        <v>-0.48491839129013198</v>
      </c>
      <c r="CU91" s="3">
        <f ca="1">IFERROR(__xludf.DUMMYFUNCTION("""COMPUTED_VALUE"""),-0.580830019595284)</f>
        <v>-0.58083001959528402</v>
      </c>
      <c r="CV91" s="3">
        <f ca="1">IFERROR(__xludf.DUMMYFUNCTION("""COMPUTED_VALUE"""),-0.592669440436819)</f>
        <v>-0.59266944043681902</v>
      </c>
      <c r="CW91" s="3">
        <f ca="1">IFERROR(__xludf.DUMMYFUNCTION("""COMPUTED_VALUE"""),-0.559986115335599)</f>
        <v>-0.55998611533559906</v>
      </c>
      <c r="CX91" s="3">
        <f ca="1">IFERROR(__xludf.DUMMYFUNCTION("""COMPUTED_VALUE"""),-0.437612440873251)</f>
        <v>-0.43761244087325102</v>
      </c>
      <c r="CY91" s="3">
        <f ca="1">IFERROR(__xludf.DUMMYFUNCTION("""COMPUTED_VALUE"""),-0.519183611203272)</f>
        <v>-0.51918361120327206</v>
      </c>
      <c r="CZ91" s="3">
        <f ca="1">IFERROR(__xludf.DUMMYFUNCTION("""COMPUTED_VALUE"""),-0.593422402263232)</f>
        <v>-0.59342240226323195</v>
      </c>
      <c r="DA91" s="3">
        <f ca="1">IFERROR(__xludf.DUMMYFUNCTION("""COMPUTED_VALUE"""),-0.540841987315229)</f>
        <v>-0.54084198731522903</v>
      </c>
      <c r="DB91" s="3">
        <f ca="1">IFERROR(__xludf.DUMMYFUNCTION("""COMPUTED_VALUE"""),-0.593619274618233)</f>
        <v>-0.59361927461823305</v>
      </c>
      <c r="DC91" s="3">
        <f ca="1">IFERROR(__xludf.DUMMYFUNCTION("""COMPUTED_VALUE"""),-0.64746514175915)</f>
        <v>-0.64746514175915004</v>
      </c>
      <c r="DD91" s="3">
        <f ca="1">IFERROR(__xludf.DUMMYFUNCTION("""COMPUTED_VALUE"""),-0.676584660151414)</f>
        <v>-0.67658466015141405</v>
      </c>
      <c r="DE91" s="3">
        <f ca="1">IFERROR(__xludf.DUMMYFUNCTION("""COMPUTED_VALUE"""),-0.569832594594693)</f>
        <v>-0.56983259459469304</v>
      </c>
      <c r="DF91" s="3">
        <f ca="1">IFERROR(__xludf.DUMMYFUNCTION("""COMPUTED_VALUE"""),-0.582227332751554)</f>
        <v>-0.58222733275155403</v>
      </c>
      <c r="DG91" s="3">
        <f ca="1">IFERROR(__xludf.DUMMYFUNCTION("""COMPUTED_VALUE"""),-0.60927044301583)</f>
        <v>-0.60927044301583</v>
      </c>
      <c r="DH91" s="3">
        <f ca="1">IFERROR(__xludf.DUMMYFUNCTION("""COMPUTED_VALUE"""),-0.560739682380463)</f>
        <v>-0.56073968238046301</v>
      </c>
      <c r="DI91" s="3">
        <f ca="1">IFERROR(__xludf.DUMMYFUNCTION("""COMPUTED_VALUE"""),-0.590057116937362)</f>
        <v>-0.59005711693736196</v>
      </c>
      <c r="DJ91" s="3">
        <f ca="1">IFERROR(__xludf.DUMMYFUNCTION("""COMPUTED_VALUE"""),-0.570140588717555)</f>
        <v>-0.57014058871755502</v>
      </c>
      <c r="DK91" s="3">
        <f ca="1">IFERROR(__xludf.DUMMYFUNCTION("""COMPUTED_VALUE"""),-0.549152142961596)</f>
        <v>-0.54915214296159598</v>
      </c>
      <c r="DL91" s="3">
        <f ca="1">IFERROR(__xludf.DUMMYFUNCTION("""COMPUTED_VALUE"""),-0.589823489501105)</f>
        <v>-0.58982348950110497</v>
      </c>
      <c r="DM91" s="3">
        <f ca="1">IFERROR(__xludf.DUMMYFUNCTION("""COMPUTED_VALUE"""),-0.568639199350611)</f>
        <v>-0.56863919935061102</v>
      </c>
      <c r="DN91" s="3">
        <f ca="1">IFERROR(__xludf.DUMMYFUNCTION("""COMPUTED_VALUE"""),-0.563662803068314)</f>
        <v>-0.56366280306831396</v>
      </c>
      <c r="DO91" s="3">
        <f ca="1">IFERROR(__xludf.DUMMYFUNCTION("""COMPUTED_VALUE"""),-0.580526009828441)</f>
        <v>-0.58052600982844105</v>
      </c>
      <c r="DP91" s="3">
        <f ca="1">IFERROR(__xludf.DUMMYFUNCTION("""COMPUTED_VALUE"""),-0.570315571183047)</f>
        <v>-0.57031557118304699</v>
      </c>
      <c r="DQ91" s="3">
        <f ca="1">IFERROR(__xludf.DUMMYFUNCTION("""COMPUTED_VALUE"""),-0.559223144977426)</f>
        <v>-0.55922314497742598</v>
      </c>
      <c r="DR91" s="3">
        <f ca="1">IFERROR(__xludf.DUMMYFUNCTION("""COMPUTED_VALUE"""),-0.538198154025753)</f>
        <v>-0.538198154025753</v>
      </c>
      <c r="DS91" s="3">
        <f ca="1">IFERROR(__xludf.DUMMYFUNCTION("""COMPUTED_VALUE"""),-0.555897355274471)</f>
        <v>-0.55589735527447104</v>
      </c>
      <c r="DT91" s="3">
        <f ca="1">IFERROR(__xludf.DUMMYFUNCTION("""COMPUTED_VALUE"""),-0.5362304359998)</f>
        <v>-0.53623043599980003</v>
      </c>
      <c r="DU91" s="3">
        <f ca="1">IFERROR(__xludf.DUMMYFUNCTION("""COMPUTED_VALUE"""),-0.523348901908748)</f>
        <v>-0.52334890190874805</v>
      </c>
      <c r="DV91" s="3">
        <f ca="1">IFERROR(__xludf.DUMMYFUNCTION("""COMPUTED_VALUE"""),-0.548371323170566)</f>
        <v>-0.54837132317056603</v>
      </c>
      <c r="DW91" s="3">
        <f ca="1">IFERROR(__xludf.DUMMYFUNCTION("""COMPUTED_VALUE"""),-0.56110114397618)</f>
        <v>-0.56110114397618005</v>
      </c>
      <c r="DX91" s="3">
        <f ca="1">IFERROR(__xludf.DUMMYFUNCTION("""COMPUTED_VALUE"""),-0.523642774131544)</f>
        <v>-0.52364277413154403</v>
      </c>
      <c r="DY91" s="3">
        <f ca="1">IFERROR(__xludf.DUMMYFUNCTION("""COMPUTED_VALUE"""),-0.506027087025412)</f>
        <v>-0.50602708702541199</v>
      </c>
      <c r="DZ91" s="3">
        <f ca="1">IFERROR(__xludf.DUMMYFUNCTION("""COMPUTED_VALUE"""),-0.575777866161029)</f>
        <v>-0.57577786616102899</v>
      </c>
      <c r="EA91" s="3">
        <f ca="1">IFERROR(__xludf.DUMMYFUNCTION("""COMPUTED_VALUE"""),-0.529620338457944)</f>
        <v>-0.52962033845794398</v>
      </c>
      <c r="EB91" s="3">
        <f ca="1">IFERROR(__xludf.DUMMYFUNCTION("""COMPUTED_VALUE"""),-0.513726514047077)</f>
        <v>-0.51372651404707703</v>
      </c>
      <c r="EC91" s="3">
        <f ca="1">IFERROR(__xludf.DUMMYFUNCTION("""COMPUTED_VALUE"""),-0.553045778425651)</f>
        <v>-0.55304577842565095</v>
      </c>
      <c r="ED91" s="3">
        <f ca="1">IFERROR(__xludf.DUMMYFUNCTION("""COMPUTED_VALUE"""),-0.558533429940103)</f>
        <v>-0.55853342994010302</v>
      </c>
      <c r="EE91" s="3">
        <f ca="1">IFERROR(__xludf.DUMMYFUNCTION("""COMPUTED_VALUE"""),-0.52535883788792)</f>
        <v>-0.52535883788792004</v>
      </c>
      <c r="EF91" s="3">
        <f ca="1">IFERROR(__xludf.DUMMYFUNCTION("""COMPUTED_VALUE"""),-0.472804184213881)</f>
        <v>-0.47280418421388098</v>
      </c>
      <c r="EG91" s="3">
        <f ca="1">IFERROR(__xludf.DUMMYFUNCTION("""COMPUTED_VALUE"""),-0.519993314429907)</f>
        <v>-0.51999331442990704</v>
      </c>
      <c r="EH91" s="3">
        <f ca="1">IFERROR(__xludf.DUMMYFUNCTION("""COMPUTED_VALUE"""),-0.531408451822524)</f>
        <v>-0.53140845182252405</v>
      </c>
      <c r="EI91" s="3">
        <f ca="1">IFERROR(__xludf.DUMMYFUNCTION("""COMPUTED_VALUE"""),-0.580031425280175)</f>
        <v>-0.58003142528017504</v>
      </c>
      <c r="EJ91" s="3">
        <f ca="1">IFERROR(__xludf.DUMMYFUNCTION("""COMPUTED_VALUE"""),-0.56791505532595)</f>
        <v>-0.56791505532594999</v>
      </c>
      <c r="EK91" s="3">
        <f ca="1">IFERROR(__xludf.DUMMYFUNCTION("""COMPUTED_VALUE"""),-0.648070538563019)</f>
        <v>-0.64807053856301899</v>
      </c>
      <c r="EL91" s="3">
        <f ca="1">IFERROR(__xludf.DUMMYFUNCTION("""COMPUTED_VALUE"""),-0.58852620576796)</f>
        <v>-0.58852620576796</v>
      </c>
      <c r="EM91" s="3">
        <f ca="1">IFERROR(__xludf.DUMMYFUNCTION("""COMPUTED_VALUE"""),-0.53807584016801)</f>
        <v>-0.53807584016801002</v>
      </c>
      <c r="EN91" s="3">
        <f ca="1">IFERROR(__xludf.DUMMYFUNCTION("""COMPUTED_VALUE"""),-0.594344331225724)</f>
        <v>-0.59434433122572405</v>
      </c>
      <c r="EO91" s="3">
        <f ca="1">IFERROR(__xludf.DUMMYFUNCTION("""COMPUTED_VALUE"""),-0.564950537222184)</f>
        <v>-0.56495053722218402</v>
      </c>
      <c r="EP91" s="3">
        <f ca="1">IFERROR(__xludf.DUMMYFUNCTION("""COMPUTED_VALUE"""),-0.556763586417672)</f>
        <v>-0.55676358641767199</v>
      </c>
      <c r="EQ91" s="3">
        <f ca="1">IFERROR(__xludf.DUMMYFUNCTION("""COMPUTED_VALUE"""),-0.612904510422369)</f>
        <v>-0.61290451042236904</v>
      </c>
      <c r="ER91" s="3">
        <f ca="1">IFERROR(__xludf.DUMMYFUNCTION("""COMPUTED_VALUE"""),-0.66182282322642)</f>
        <v>-0.66182282322642005</v>
      </c>
      <c r="ES91" s="3">
        <f ca="1">IFERROR(__xludf.DUMMYFUNCTION("""COMPUTED_VALUE"""),-0.618875250200671)</f>
        <v>-0.61887525020067102</v>
      </c>
      <c r="ET91" s="3">
        <f ca="1">IFERROR(__xludf.DUMMYFUNCTION("""COMPUTED_VALUE"""),-0.58073097464655)</f>
        <v>-0.58073097464654999</v>
      </c>
      <c r="EU91" s="3">
        <f ca="1">IFERROR(__xludf.DUMMYFUNCTION("""COMPUTED_VALUE"""),-0.560131740753603)</f>
        <v>-0.56013174075360295</v>
      </c>
      <c r="EV91" s="3">
        <f ca="1">IFERROR(__xludf.DUMMYFUNCTION("""COMPUTED_VALUE"""),-0.588686456748852)</f>
        <v>-0.58868645674885201</v>
      </c>
      <c r="EW91" s="3">
        <f ca="1">IFERROR(__xludf.DUMMYFUNCTION("""COMPUTED_VALUE"""),-0.572217915258764)</f>
        <v>-0.57221791525876398</v>
      </c>
      <c r="EX91" s="3">
        <f ca="1">IFERROR(__xludf.DUMMYFUNCTION("""COMPUTED_VALUE"""),-0.557296213683839)</f>
        <v>-0.55729621368383897</v>
      </c>
      <c r="EY91" s="3">
        <f ca="1">IFERROR(__xludf.DUMMYFUNCTION("""COMPUTED_VALUE"""),-0.620041011177458)</f>
        <v>-0.62004101117745802</v>
      </c>
      <c r="EZ91" s="3">
        <f ca="1">IFERROR(__xludf.DUMMYFUNCTION("""COMPUTED_VALUE"""),-0.505469892955009)</f>
        <v>-0.50546989295500899</v>
      </c>
      <c r="FA91" s="3">
        <f ca="1">IFERROR(__xludf.DUMMYFUNCTION("""COMPUTED_VALUE"""),-0.484585158621615)</f>
        <v>-0.484585158621615</v>
      </c>
      <c r="FB91" s="3">
        <f ca="1">IFERROR(__xludf.DUMMYFUNCTION("""COMPUTED_VALUE"""),-0.526640423154658)</f>
        <v>-0.52664042315465798</v>
      </c>
      <c r="FC91" s="3">
        <f ca="1">IFERROR(__xludf.DUMMYFUNCTION("""COMPUTED_VALUE"""),-0.503588725807108)</f>
        <v>-0.50358872580710801</v>
      </c>
      <c r="FD91" s="3">
        <f ca="1">IFERROR(__xludf.DUMMYFUNCTION("""COMPUTED_VALUE"""),-0.450241551746135)</f>
        <v>-0.450241551746135</v>
      </c>
      <c r="FE91" s="3">
        <f ca="1">IFERROR(__xludf.DUMMYFUNCTION("""COMPUTED_VALUE"""),-0.50279957208033)</f>
        <v>-0.50279957208032999</v>
      </c>
      <c r="FF91" s="3">
        <f ca="1">IFERROR(__xludf.DUMMYFUNCTION("""COMPUTED_VALUE"""),-0.495601456039089)</f>
        <v>-0.49560145603908901</v>
      </c>
      <c r="FG91" s="3">
        <f ca="1">IFERROR(__xludf.DUMMYFUNCTION("""COMPUTED_VALUE"""),-0.455097311696055)</f>
        <v>-0.455097311696055</v>
      </c>
      <c r="FH91" s="3">
        <f ca="1">IFERROR(__xludf.DUMMYFUNCTION("""COMPUTED_VALUE"""),-0.444663037937788)</f>
        <v>-0.444663037937788</v>
      </c>
      <c r="FI91" s="3">
        <f ca="1">IFERROR(__xludf.DUMMYFUNCTION("""COMPUTED_VALUE"""),-0.466692197390978)</f>
        <v>-0.466692197390978</v>
      </c>
      <c r="FJ91" s="3">
        <f ca="1">IFERROR(__xludf.DUMMYFUNCTION("""COMPUTED_VALUE"""),-0.45985712008534)</f>
        <v>-0.45985712008534002</v>
      </c>
      <c r="FK91" s="3">
        <f ca="1">IFERROR(__xludf.DUMMYFUNCTION("""COMPUTED_VALUE"""),-0.477287443991786)</f>
        <v>-0.47728744399178602</v>
      </c>
      <c r="FL91" s="3">
        <f ca="1">IFERROR(__xludf.DUMMYFUNCTION("""COMPUTED_VALUE"""),-0.435782817843121)</f>
        <v>-0.43578281784312101</v>
      </c>
      <c r="FM91" s="3">
        <f ca="1">IFERROR(__xludf.DUMMYFUNCTION("""COMPUTED_VALUE"""),-0.456721537256059)</f>
        <v>-0.45672153725605902</v>
      </c>
      <c r="FN91" s="3">
        <f ca="1">IFERROR(__xludf.DUMMYFUNCTION("""COMPUTED_VALUE"""),-0.388197740366104)</f>
        <v>-0.38819774036610399</v>
      </c>
      <c r="FO91" s="3">
        <f ca="1">IFERROR(__xludf.DUMMYFUNCTION("""COMPUTED_VALUE"""),-0.36714799102675)</f>
        <v>-0.36714799102675</v>
      </c>
      <c r="FP91" s="3">
        <f ca="1">IFERROR(__xludf.DUMMYFUNCTION("""COMPUTED_VALUE"""),-0.366318851020103)</f>
        <v>-0.36631885102010298</v>
      </c>
      <c r="FQ91" s="3">
        <f ca="1">IFERROR(__xludf.DUMMYFUNCTION("""COMPUTED_VALUE"""),-0.415663496847178)</f>
        <v>-0.41566349684717802</v>
      </c>
      <c r="FR91" s="3">
        <f ca="1">IFERROR(__xludf.DUMMYFUNCTION("""COMPUTED_VALUE"""),-0.447330121139121)</f>
        <v>-0.44733012113912102</v>
      </c>
      <c r="FS91" s="3">
        <f ca="1">IFERROR(__xludf.DUMMYFUNCTION("""COMPUTED_VALUE"""),-0.453118594348818)</f>
        <v>-0.45311859434881802</v>
      </c>
      <c r="FT91" s="3">
        <f ca="1">IFERROR(__xludf.DUMMYFUNCTION("""COMPUTED_VALUE"""),-0.477636908969623)</f>
        <v>-0.47763690896962302</v>
      </c>
      <c r="FU91" s="3">
        <f ca="1">IFERROR(__xludf.DUMMYFUNCTION("""COMPUTED_VALUE"""),-0.465663295588946)</f>
        <v>-0.46566329558894598</v>
      </c>
      <c r="FV91" s="3">
        <f ca="1">IFERROR(__xludf.DUMMYFUNCTION("""COMPUTED_VALUE"""),-0.381785844207628)</f>
        <v>-0.38178584420762801</v>
      </c>
      <c r="FW91" s="3">
        <f ca="1">IFERROR(__xludf.DUMMYFUNCTION("""COMPUTED_VALUE"""),-0.372560186390066)</f>
        <v>-0.37256018639006599</v>
      </c>
      <c r="FX91" s="3">
        <f ca="1">IFERROR(__xludf.DUMMYFUNCTION("""COMPUTED_VALUE"""),-0.412937778871815)</f>
        <v>-0.41293777887181499</v>
      </c>
      <c r="FY91" s="3">
        <f ca="1">IFERROR(__xludf.DUMMYFUNCTION("""COMPUTED_VALUE"""),-0.363772954198341)</f>
        <v>-0.36377295419834099</v>
      </c>
      <c r="FZ91" s="3">
        <f ca="1">IFERROR(__xludf.DUMMYFUNCTION("""COMPUTED_VALUE"""),-0.494052128177864)</f>
        <v>-0.49405212817786398</v>
      </c>
      <c r="GA91" s="3">
        <f ca="1">IFERROR(__xludf.DUMMYFUNCTION("""COMPUTED_VALUE"""),-0.448512723241002)</f>
        <v>-0.448512723241002</v>
      </c>
      <c r="GB91" s="3">
        <f ca="1">IFERROR(__xludf.DUMMYFUNCTION("""COMPUTED_VALUE"""),-0.464487393010084)</f>
        <v>-0.46448739301008402</v>
      </c>
      <c r="GC91" s="3">
        <f ca="1">IFERROR(__xludf.DUMMYFUNCTION("""COMPUTED_VALUE"""),-0.423343403376833)</f>
        <v>-0.42334340337683302</v>
      </c>
      <c r="GD91" s="3">
        <f ca="1">IFERROR(__xludf.DUMMYFUNCTION("""COMPUTED_VALUE"""),-0.38447923312782)</f>
        <v>-0.38447923312782001</v>
      </c>
      <c r="GE91" s="3">
        <f ca="1">IFERROR(__xludf.DUMMYFUNCTION("""COMPUTED_VALUE"""),-0.407864045113233)</f>
        <v>-0.40786404511323299</v>
      </c>
      <c r="GF91" s="3">
        <f ca="1">IFERROR(__xludf.DUMMYFUNCTION("""COMPUTED_VALUE"""),-0.372305991113164)</f>
        <v>-0.37230599111316398</v>
      </c>
      <c r="GG91" s="3">
        <f ca="1">IFERROR(__xludf.DUMMYFUNCTION("""COMPUTED_VALUE"""),-0.443921950482894)</f>
        <v>-0.44392195048289401</v>
      </c>
      <c r="GH91" s="3">
        <f ca="1">IFERROR(__xludf.DUMMYFUNCTION("""COMPUTED_VALUE"""),-0.472640699384837)</f>
        <v>-0.47264069938483699</v>
      </c>
      <c r="GI91" s="3">
        <f ca="1">IFERROR(__xludf.DUMMYFUNCTION("""COMPUTED_VALUE"""),-0.476620567834477)</f>
        <v>-0.47662056783447698</v>
      </c>
      <c r="GJ91" s="3">
        <f ca="1">IFERROR(__xludf.DUMMYFUNCTION("""COMPUTED_VALUE"""),-0.364095512992871)</f>
        <v>-0.36409551299287102</v>
      </c>
      <c r="GK91" s="3">
        <f ca="1">IFERROR(__xludf.DUMMYFUNCTION("""COMPUTED_VALUE"""),-0.331329417494564)</f>
        <v>-0.33132941749456402</v>
      </c>
      <c r="GL91" s="3">
        <f ca="1">IFERROR(__xludf.DUMMYFUNCTION("""COMPUTED_VALUE"""),-0.393259265973176)</f>
        <v>-0.39325926597317601</v>
      </c>
      <c r="GM91" s="3">
        <f ca="1">IFERROR(__xludf.DUMMYFUNCTION("""COMPUTED_VALUE"""),-0.40825947534432)</f>
        <v>-0.40825947534432</v>
      </c>
      <c r="GN91" s="3">
        <f ca="1">IFERROR(__xludf.DUMMYFUNCTION("""COMPUTED_VALUE"""),-0.396879556122892)</f>
        <v>-0.396879556122892</v>
      </c>
      <c r="GO91" s="3">
        <f ca="1">IFERROR(__xludf.DUMMYFUNCTION("""COMPUTED_VALUE"""),-0.440539321784288)</f>
        <v>-0.44053932178428801</v>
      </c>
      <c r="GP91" s="3">
        <f ca="1">IFERROR(__xludf.DUMMYFUNCTION("""COMPUTED_VALUE"""),-0.50416161449998)</f>
        <v>-0.50416161449997998</v>
      </c>
      <c r="GQ91" s="3">
        <f ca="1">IFERROR(__xludf.DUMMYFUNCTION("""COMPUTED_VALUE"""),-0.409497728164726)</f>
        <v>-0.40949772816472602</v>
      </c>
      <c r="GR91" s="3">
        <f ca="1">IFERROR(__xludf.DUMMYFUNCTION("""COMPUTED_VALUE"""),-0.422660292720587)</f>
        <v>-0.42266029272058703</v>
      </c>
      <c r="GS91" s="3">
        <f ca="1">IFERROR(__xludf.DUMMYFUNCTION("""COMPUTED_VALUE"""),-0.3815286023157)</f>
        <v>-0.38152860231570002</v>
      </c>
      <c r="GT91" s="3">
        <f ca="1">IFERROR(__xludf.DUMMYFUNCTION("""COMPUTED_VALUE"""),-0.384147780500402)</f>
        <v>-0.38414778050040199</v>
      </c>
      <c r="GU91" s="3">
        <f ca="1">IFERROR(__xludf.DUMMYFUNCTION("""COMPUTED_VALUE"""),-0.355456378530662)</f>
        <v>-0.35545637853066198</v>
      </c>
      <c r="GV91" s="3">
        <f ca="1">IFERROR(__xludf.DUMMYFUNCTION("""COMPUTED_VALUE"""),-0.388041376729266)</f>
        <v>-0.38804137672926597</v>
      </c>
      <c r="GW91" s="3">
        <f ca="1">IFERROR(__xludf.DUMMYFUNCTION("""COMPUTED_VALUE"""),-0.398371305599211)</f>
        <v>-0.39837130559921102</v>
      </c>
      <c r="GX91" s="3">
        <f ca="1">IFERROR(__xludf.DUMMYFUNCTION("""COMPUTED_VALUE"""),-0.28311590152973)</f>
        <v>-0.28311590152972999</v>
      </c>
      <c r="GY91" s="3">
        <f ca="1">IFERROR(__xludf.DUMMYFUNCTION("""COMPUTED_VALUE"""),-0.328004606037412)</f>
        <v>-0.32800460603741199</v>
      </c>
      <c r="GZ91" s="3">
        <f ca="1">IFERROR(__xludf.DUMMYFUNCTION("""COMPUTED_VALUE"""),-0.342996071147191)</f>
        <v>-0.342996071147191</v>
      </c>
      <c r="HA91" s="3">
        <f ca="1">IFERROR(__xludf.DUMMYFUNCTION("""COMPUTED_VALUE"""),-0.382655105463849)</f>
        <v>-0.38265510546384901</v>
      </c>
      <c r="HB91" s="3">
        <f ca="1">IFERROR(__xludf.DUMMYFUNCTION("""COMPUTED_VALUE"""),-0.322974442496384)</f>
        <v>-0.32297444249638402</v>
      </c>
      <c r="HC91" s="3">
        <f ca="1">IFERROR(__xludf.DUMMYFUNCTION("""COMPUTED_VALUE"""),-0.425749641090709)</f>
        <v>-0.42574964109070901</v>
      </c>
      <c r="HD91" s="3">
        <f ca="1">IFERROR(__xludf.DUMMYFUNCTION("""COMPUTED_VALUE"""),-0.476873758519767)</f>
        <v>-0.47687375851976699</v>
      </c>
      <c r="HE91" s="3">
        <f ca="1">IFERROR(__xludf.DUMMYFUNCTION("""COMPUTED_VALUE"""),-0.199883453053272)</f>
        <v>-0.19988345305327199</v>
      </c>
      <c r="HF91" s="3">
        <f ca="1">IFERROR(__xludf.DUMMYFUNCTION("""COMPUTED_VALUE"""),-0.172874462060977)</f>
        <v>-0.17287446206097701</v>
      </c>
      <c r="HG91" s="3">
        <f ca="1">IFERROR(__xludf.DUMMYFUNCTION("""COMPUTED_VALUE"""),-0.227725078979304)</f>
        <v>-0.227725078979304</v>
      </c>
      <c r="HH91" s="3">
        <f ca="1">IFERROR(__xludf.DUMMYFUNCTION("""COMPUTED_VALUE"""),-0.338683195331136)</f>
        <v>-0.338683195331136</v>
      </c>
      <c r="HI91" s="3">
        <f ca="1">IFERROR(__xludf.DUMMYFUNCTION("""COMPUTED_VALUE"""),-0.324499415157718)</f>
        <v>-0.32449941515771802</v>
      </c>
      <c r="HJ91" s="3">
        <f ca="1">IFERROR(__xludf.DUMMYFUNCTION("""COMPUTED_VALUE"""),-0.388314496585142)</f>
        <v>-0.388314496585142</v>
      </c>
      <c r="HK91" s="3">
        <f ca="1">IFERROR(__xludf.DUMMYFUNCTION("""COMPUTED_VALUE"""),-0.334268391025498)</f>
        <v>-0.33426839102549799</v>
      </c>
      <c r="HL91" s="3">
        <f ca="1">IFERROR(__xludf.DUMMYFUNCTION("""COMPUTED_VALUE"""),-0.34270976978068)</f>
        <v>-0.34270976978068002</v>
      </c>
      <c r="HM91" s="3">
        <f ca="1">IFERROR(__xludf.DUMMYFUNCTION("""COMPUTED_VALUE"""),-0.327941002263124)</f>
        <v>-0.327941002263124</v>
      </c>
      <c r="HN91" s="3">
        <f ca="1">IFERROR(__xludf.DUMMYFUNCTION("""COMPUTED_VALUE"""),-0.456497051843947)</f>
        <v>-0.45649705184394701</v>
      </c>
      <c r="HO91" s="3">
        <f ca="1">IFERROR(__xludf.DUMMYFUNCTION("""COMPUTED_VALUE"""),-0.459021374646715)</f>
        <v>-0.459021374646715</v>
      </c>
      <c r="HP91" s="3">
        <f ca="1">IFERROR(__xludf.DUMMYFUNCTION("""COMPUTED_VALUE"""),-0.454848454406116)</f>
        <v>-0.45484845440611599</v>
      </c>
      <c r="HQ91" s="3">
        <f ca="1">IFERROR(__xludf.DUMMYFUNCTION("""COMPUTED_VALUE"""),-0.454782517720362)</f>
        <v>-0.45478251772036199</v>
      </c>
      <c r="HR91" s="3">
        <f ca="1">IFERROR(__xludf.DUMMYFUNCTION("""COMPUTED_VALUE"""),-0.388218671233403)</f>
        <v>-0.38821867123340298</v>
      </c>
      <c r="HS91" s="3">
        <f ca="1">IFERROR(__xludf.DUMMYFUNCTION("""COMPUTED_VALUE"""),-0.388291329878406)</f>
        <v>-0.38829132987840598</v>
      </c>
      <c r="HT91" s="3">
        <f ca="1">IFERROR(__xludf.DUMMYFUNCTION("""COMPUTED_VALUE"""),-0.401205611341419)</f>
        <v>-0.40120561134141902</v>
      </c>
      <c r="HU91" s="3">
        <f ca="1">IFERROR(__xludf.DUMMYFUNCTION("""COMPUTED_VALUE"""),-0.468473438482408)</f>
        <v>-0.46847343848240802</v>
      </c>
      <c r="HV91" s="3">
        <f ca="1">IFERROR(__xludf.DUMMYFUNCTION("""COMPUTED_VALUE"""),-0.446787765902)</f>
        <v>-0.44678776590199998</v>
      </c>
      <c r="HW91" s="3">
        <f ca="1">IFERROR(__xludf.DUMMYFUNCTION("""COMPUTED_VALUE"""),-0.468139570748531)</f>
        <v>-0.46813957074853102</v>
      </c>
      <c r="HX91" s="3">
        <f ca="1">IFERROR(__xludf.DUMMYFUNCTION("""COMPUTED_VALUE"""),-0.560991569180765)</f>
        <v>-0.56099156918076498</v>
      </c>
      <c r="HY91" s="3">
        <f ca="1">IFERROR(__xludf.DUMMYFUNCTION("""COMPUTED_VALUE"""),-0.4803339488017)</f>
        <v>-0.48033394880169999</v>
      </c>
      <c r="HZ91" s="3">
        <f ca="1">IFERROR(__xludf.DUMMYFUNCTION("""COMPUTED_VALUE"""),-0.456350749597757)</f>
        <v>-0.45635074959775701</v>
      </c>
      <c r="IA91" s="3">
        <f ca="1">IFERROR(__xludf.DUMMYFUNCTION("""COMPUTED_VALUE"""),-0.418740708824542)</f>
        <v>-0.41874070882454201</v>
      </c>
      <c r="IB91" s="3">
        <f ca="1">IFERROR(__xludf.DUMMYFUNCTION("""COMPUTED_VALUE"""),-0.456942000175059)</f>
        <v>-0.45694200017505898</v>
      </c>
      <c r="IC91" s="3">
        <f ca="1">IFERROR(__xludf.DUMMYFUNCTION("""COMPUTED_VALUE"""),-0.381405328263125)</f>
        <v>-0.38140532826312501</v>
      </c>
      <c r="ID91" s="3">
        <f ca="1">IFERROR(__xludf.DUMMYFUNCTION("""COMPUTED_VALUE"""),-0.34156866943305)</f>
        <v>-0.34156866943304998</v>
      </c>
      <c r="IE91" s="3">
        <f ca="1">IFERROR(__xludf.DUMMYFUNCTION("""COMPUTED_VALUE"""),-0.502117217348074)</f>
        <v>-0.50211721734807402</v>
      </c>
      <c r="IF91" s="3">
        <f ca="1">IFERROR(__xludf.DUMMYFUNCTION("""COMPUTED_VALUE"""),-0.47015698217167)</f>
        <v>-0.47015698217167001</v>
      </c>
      <c r="IG91" s="3">
        <f ca="1">IFERROR(__xludf.DUMMYFUNCTION("""COMPUTED_VALUE"""),-0.407572743294679)</f>
        <v>-0.40757274329467902</v>
      </c>
      <c r="IH91" s="3">
        <f ca="1">IFERROR(__xludf.DUMMYFUNCTION("""COMPUTED_VALUE"""),-0.472064304409812)</f>
        <v>-0.47206430440981201</v>
      </c>
      <c r="II91" s="3">
        <f ca="1">IFERROR(__xludf.DUMMYFUNCTION("""COMPUTED_VALUE"""),-0.47653263668829)</f>
        <v>-0.47653263668828999</v>
      </c>
      <c r="IJ91" s="3">
        <f ca="1">IFERROR(__xludf.DUMMYFUNCTION("""COMPUTED_VALUE"""),-0.479677330469708)</f>
        <v>-0.47967733046970801</v>
      </c>
      <c r="IK91" s="3">
        <f ca="1">IFERROR(__xludf.DUMMYFUNCTION("""COMPUTED_VALUE"""),-0.496073376669419)</f>
        <v>-0.49607337666941898</v>
      </c>
      <c r="IL91" s="3">
        <f ca="1">IFERROR(__xludf.DUMMYFUNCTION("""COMPUTED_VALUE"""),-0.563161270312862)</f>
        <v>-0.56316127031286201</v>
      </c>
      <c r="IM91" s="3">
        <f ca="1">IFERROR(__xludf.DUMMYFUNCTION("""COMPUTED_VALUE"""),-0.543453993718445)</f>
        <v>-0.54345399371844505</v>
      </c>
      <c r="IN91" s="3">
        <f ca="1">IFERROR(__xludf.DUMMYFUNCTION("""COMPUTED_VALUE"""),-0.47162483275878)</f>
        <v>-0.47162483275877998</v>
      </c>
      <c r="IO91" s="3">
        <f ca="1">IFERROR(__xludf.DUMMYFUNCTION("""COMPUTED_VALUE"""),-0.460858038512122)</f>
        <v>-0.46085803851212198</v>
      </c>
      <c r="IP91" s="3">
        <f ca="1">IFERROR(__xludf.DUMMYFUNCTION("""COMPUTED_VALUE"""),-0.403297853437645)</f>
        <v>-0.40329785343764502</v>
      </c>
      <c r="IQ91" s="3">
        <f ca="1">IFERROR(__xludf.DUMMYFUNCTION("""COMPUTED_VALUE"""),-0.353921261216814)</f>
        <v>-0.353921261216814</v>
      </c>
      <c r="IR91" s="3">
        <f ca="1">IFERROR(__xludf.DUMMYFUNCTION("""COMPUTED_VALUE"""),-0.498356048240729)</f>
        <v>-0.49835604824072899</v>
      </c>
      <c r="IS91" s="3">
        <f ca="1">IFERROR(__xludf.DUMMYFUNCTION("""COMPUTED_VALUE"""),-0.504677613996897)</f>
        <v>-0.50467761399689703</v>
      </c>
      <c r="IT91" s="3">
        <f ca="1">IFERROR(__xludf.DUMMYFUNCTION("""COMPUTED_VALUE"""),-0.480986097286557)</f>
        <v>-0.480986097286557</v>
      </c>
      <c r="IU91" s="3">
        <f ca="1">IFERROR(__xludf.DUMMYFUNCTION("""COMPUTED_VALUE"""),-0.472942589199626)</f>
        <v>-0.47294258919962601</v>
      </c>
      <c r="IV91" s="3">
        <f ca="1">IFERROR(__xludf.DUMMYFUNCTION("""COMPUTED_VALUE"""),-0.432422385355652)</f>
        <v>-0.43242238535565197</v>
      </c>
      <c r="IW91" s="3">
        <f ca="1">IFERROR(__xludf.DUMMYFUNCTION("""COMPUTED_VALUE"""),-0.449930761237741)</f>
        <v>-0.44993076123774101</v>
      </c>
      <c r="IX91" s="3">
        <f ca="1">IFERROR(__xludf.DUMMYFUNCTION("""COMPUTED_VALUE"""),-0.461406415050012)</f>
        <v>-0.46140641505001201</v>
      </c>
      <c r="IY91" s="3">
        <f ca="1">IFERROR(__xludf.DUMMYFUNCTION("""COMPUTED_VALUE"""),-0.550423324723482)</f>
        <v>-0.55042332472348199</v>
      </c>
      <c r="IZ91" s="3">
        <f ca="1">IFERROR(__xludf.DUMMYFUNCTION("""COMPUTED_VALUE"""),-0.498590398030065)</f>
        <v>-0.498590398030065</v>
      </c>
      <c r="JA91" s="3">
        <f ca="1">IFERROR(__xludf.DUMMYFUNCTION("""COMPUTED_VALUE"""),-0.477589360339685)</f>
        <v>-0.47758936033968502</v>
      </c>
      <c r="JB91" s="3">
        <f ca="1">IFERROR(__xludf.DUMMYFUNCTION("""COMPUTED_VALUE"""),-0.457533053436987)</f>
        <v>-0.45753305343698703</v>
      </c>
      <c r="JC91" s="3">
        <f ca="1">IFERROR(__xludf.DUMMYFUNCTION("""COMPUTED_VALUE"""),-0.495244255982642)</f>
        <v>-0.49524425598264199</v>
      </c>
      <c r="JD91" s="3">
        <f ca="1">IFERROR(__xludf.DUMMYFUNCTION("""COMPUTED_VALUE"""),-0.519668740275401)</f>
        <v>-0.519668740275401</v>
      </c>
      <c r="JE91" s="3">
        <f ca="1">IFERROR(__xludf.DUMMYFUNCTION("""COMPUTED_VALUE"""),-0.486143741855151)</f>
        <v>-0.48614374185515102</v>
      </c>
      <c r="JF91" s="3">
        <f ca="1">IFERROR(__xludf.DUMMYFUNCTION("""COMPUTED_VALUE"""),-0.534442053734945)</f>
        <v>-0.53444205373494502</v>
      </c>
      <c r="JG91" s="3">
        <f ca="1">IFERROR(__xludf.DUMMYFUNCTION("""COMPUTED_VALUE"""),-0.49752123990952)</f>
        <v>-0.49752123990952002</v>
      </c>
      <c r="JH91" s="3">
        <f ca="1">IFERROR(__xludf.DUMMYFUNCTION("""COMPUTED_VALUE"""),-0.503456561848353)</f>
        <v>-0.50345656184835297</v>
      </c>
      <c r="JI91" s="3">
        <f ca="1">IFERROR(__xludf.DUMMYFUNCTION("""COMPUTED_VALUE"""),-0.507768971038513)</f>
        <v>-0.50776897103851304</v>
      </c>
      <c r="JJ91" s="3">
        <f ca="1">IFERROR(__xludf.DUMMYFUNCTION("""COMPUTED_VALUE"""),-0.476025306095381)</f>
        <v>-0.47602530609538102</v>
      </c>
      <c r="JK91" s="3">
        <f ca="1">IFERROR(__xludf.DUMMYFUNCTION("""COMPUTED_VALUE"""),-0.510254594848297)</f>
        <v>-0.51025459484829705</v>
      </c>
      <c r="JL91" s="3">
        <f ca="1">IFERROR(__xludf.DUMMYFUNCTION("""COMPUTED_VALUE"""),-0.4740827488873)</f>
        <v>-0.47408274888730001</v>
      </c>
      <c r="JM91" s="3">
        <f ca="1">IFERROR(__xludf.DUMMYFUNCTION("""COMPUTED_VALUE"""),-0.519145764899389)</f>
        <v>-0.51914576489938902</v>
      </c>
      <c r="JN91" s="3">
        <f ca="1">IFERROR(__xludf.DUMMYFUNCTION("""COMPUTED_VALUE"""),-0.612732036174877)</f>
        <v>-0.61273203617487704</v>
      </c>
      <c r="JO91" s="3">
        <f ca="1">IFERROR(__xludf.DUMMYFUNCTION("""COMPUTED_VALUE"""),-0.509521954874274)</f>
        <v>-0.50952195487427399</v>
      </c>
      <c r="JP91" s="3">
        <f ca="1">IFERROR(__xludf.DUMMYFUNCTION("""COMPUTED_VALUE"""),-0.518985381423694)</f>
        <v>-0.51898538142369399</v>
      </c>
      <c r="JQ91" s="3">
        <f ca="1">IFERROR(__xludf.DUMMYFUNCTION("""COMPUTED_VALUE"""),-0.556408701144261)</f>
        <v>-0.556408701144261</v>
      </c>
      <c r="JR91" s="3">
        <f ca="1">IFERROR(__xludf.DUMMYFUNCTION("""COMPUTED_VALUE"""),-0.511542038687528)</f>
        <v>-0.51154203868752801</v>
      </c>
      <c r="JS91" s="3">
        <f ca="1">IFERROR(__xludf.DUMMYFUNCTION("""COMPUTED_VALUE"""),-0.561495469705558)</f>
        <v>-0.56149546970555797</v>
      </c>
      <c r="JT91" s="3">
        <f ca="1">IFERROR(__xludf.DUMMYFUNCTION("""COMPUTED_VALUE"""),-0.564834393840236)</f>
        <v>-0.56483439384023604</v>
      </c>
      <c r="JU91" s="3">
        <f ca="1">IFERROR(__xludf.DUMMYFUNCTION("""COMPUTED_VALUE"""),-0.57254818724904)</f>
        <v>-0.57254818724904</v>
      </c>
      <c r="JV91" s="3">
        <f ca="1">IFERROR(__xludf.DUMMYFUNCTION("""COMPUTED_VALUE"""),-0.586487389024849)</f>
        <v>-0.58648738902484898</v>
      </c>
      <c r="JW91" s="3">
        <f ca="1">IFERROR(__xludf.DUMMYFUNCTION("""COMPUTED_VALUE"""),-0.566587984357556)</f>
        <v>-0.56658798435755597</v>
      </c>
      <c r="JX91" s="3">
        <f ca="1">IFERROR(__xludf.DUMMYFUNCTION("""COMPUTED_VALUE"""),-0.422767706779769)</f>
        <v>-0.42276770677976899</v>
      </c>
      <c r="JY91" s="3">
        <f ca="1">IFERROR(__xludf.DUMMYFUNCTION("""COMPUTED_VALUE"""),-0.569240159892177)</f>
        <v>-0.56924015989217702</v>
      </c>
      <c r="JZ91" s="3">
        <f ca="1">IFERROR(__xludf.DUMMYFUNCTION("""COMPUTED_VALUE"""),-0.608591858577252)</f>
        <v>-0.60859185857725195</v>
      </c>
      <c r="KA91" s="3">
        <f ca="1">IFERROR(__xludf.DUMMYFUNCTION("""COMPUTED_VALUE"""),-0.597689486186487)</f>
        <v>-0.59768948618648698</v>
      </c>
      <c r="KB91" s="3">
        <f ca="1">IFERROR(__xludf.DUMMYFUNCTION("""COMPUTED_VALUE"""),-0.637039856999816)</f>
        <v>-0.63703985699981602</v>
      </c>
      <c r="KC91" s="3">
        <f ca="1">IFERROR(__xludf.DUMMYFUNCTION("""COMPUTED_VALUE"""),-0.613901957822184)</f>
        <v>-0.61390195782218404</v>
      </c>
      <c r="KD91" s="3">
        <f ca="1">IFERROR(__xludf.DUMMYFUNCTION("""COMPUTED_VALUE"""),-0.573158545764987)</f>
        <v>-0.57315854576498704</v>
      </c>
      <c r="KE91" s="3">
        <f ca="1">IFERROR(__xludf.DUMMYFUNCTION("""COMPUTED_VALUE"""),-0.564571166157354)</f>
        <v>-0.56457116615735403</v>
      </c>
      <c r="KF91" s="3">
        <f ca="1">IFERROR(__xludf.DUMMYFUNCTION("""COMPUTED_VALUE"""),-0.611934954472638)</f>
        <v>-0.61193495447263802</v>
      </c>
      <c r="KG91" s="3">
        <f ca="1">IFERROR(__xludf.DUMMYFUNCTION("""COMPUTED_VALUE"""),-0.61274411869641)</f>
        <v>-0.61274411869640999</v>
      </c>
      <c r="KH91" s="3">
        <f ca="1">IFERROR(__xludf.DUMMYFUNCTION("""COMPUTED_VALUE"""),-0.632255803616608)</f>
        <v>-0.63225580361660805</v>
      </c>
      <c r="KI91" s="3">
        <f ca="1">IFERROR(__xludf.DUMMYFUNCTION("""COMPUTED_VALUE"""),-0.678235613966963)</f>
        <v>-0.67823561396696297</v>
      </c>
      <c r="KJ91" s="3">
        <f ca="1">IFERROR(__xludf.DUMMYFUNCTION("""COMPUTED_VALUE"""),-0.630856970557196)</f>
        <v>-0.63085697055719603</v>
      </c>
      <c r="KK91" s="3">
        <f ca="1">IFERROR(__xludf.DUMMYFUNCTION("""COMPUTED_VALUE"""),-0.640705146884333)</f>
        <v>-0.640705146884333</v>
      </c>
      <c r="KL91" s="3">
        <f ca="1">IFERROR(__xludf.DUMMYFUNCTION("""COMPUTED_VALUE"""),-0.578030517172671)</f>
        <v>-0.57803051717267095</v>
      </c>
      <c r="KM91" s="3">
        <f ca="1">IFERROR(__xludf.DUMMYFUNCTION("""COMPUTED_VALUE"""),-0.631970313452011)</f>
        <v>-0.63197031345201105</v>
      </c>
      <c r="KN91" s="3">
        <f ca="1">IFERROR(__xludf.DUMMYFUNCTION("""COMPUTED_VALUE"""),-0.651793705023729)</f>
        <v>-0.65179370502372902</v>
      </c>
      <c r="KO91" s="3">
        <f ca="1">IFERROR(__xludf.DUMMYFUNCTION("""COMPUTED_VALUE"""),-0.624145557216902)</f>
        <v>-0.62414555721690201</v>
      </c>
      <c r="KP91" s="3">
        <f ca="1">IFERROR(__xludf.DUMMYFUNCTION("""COMPUTED_VALUE"""),-0.66732712352591)</f>
        <v>-0.66732712352590995</v>
      </c>
      <c r="KQ91" s="3">
        <f ca="1">IFERROR(__xludf.DUMMYFUNCTION("""COMPUTED_VALUE"""),-0.65551041352977)</f>
        <v>-0.65551041352977002</v>
      </c>
      <c r="KR91" s="3">
        <f ca="1">IFERROR(__xludf.DUMMYFUNCTION("""COMPUTED_VALUE"""),-0.616672179601585)</f>
        <v>-0.61667217960158505</v>
      </c>
      <c r="KS91" s="3">
        <f ca="1">IFERROR(__xludf.DUMMYFUNCTION("""COMPUTED_VALUE"""),-0.614198815774288)</f>
        <v>-0.61419881577428803</v>
      </c>
      <c r="KT91" s="3">
        <f ca="1">IFERROR(__xludf.DUMMYFUNCTION("""COMPUTED_VALUE"""),-0.668219167387686)</f>
        <v>-0.66821916738768605</v>
      </c>
      <c r="KU91" s="3">
        <f ca="1">IFERROR(__xludf.DUMMYFUNCTION("""COMPUTED_VALUE"""),-0.659398110166212)</f>
        <v>-0.65939811016621197</v>
      </c>
      <c r="KV91" s="3">
        <f ca="1">IFERROR(__xludf.DUMMYFUNCTION("""COMPUTED_VALUE"""),-0.634776512723079)</f>
        <v>-0.634776512723079</v>
      </c>
      <c r="KW91" s="3">
        <f ca="1">IFERROR(__xludf.DUMMYFUNCTION("""COMPUTED_VALUE"""),-0.687487325638011)</f>
        <v>-0.68748732563801096</v>
      </c>
      <c r="KX91" s="3">
        <f ca="1">IFERROR(__xludf.DUMMYFUNCTION("""COMPUTED_VALUE"""),-0.682248433156285)</f>
        <v>-0.68224843315628503</v>
      </c>
      <c r="KY91" s="3">
        <f ca="1">IFERROR(__xludf.DUMMYFUNCTION("""COMPUTED_VALUE"""),-0.672102104616734)</f>
        <v>-0.67210210461673403</v>
      </c>
      <c r="KZ91" s="3">
        <f ca="1">IFERROR(__xludf.DUMMYFUNCTION("""COMPUTED_VALUE"""),-0.672282342762743)</f>
        <v>-0.67228234276274301</v>
      </c>
      <c r="LA91" s="3">
        <f ca="1">IFERROR(__xludf.DUMMYFUNCTION("""COMPUTED_VALUE"""),-0.706769573136362)</f>
        <v>-0.70676957313636202</v>
      </c>
      <c r="LB91" s="3">
        <f ca="1">IFERROR(__xludf.DUMMYFUNCTION("""COMPUTED_VALUE"""),-0.701678642574424)</f>
        <v>-0.70167864257442403</v>
      </c>
      <c r="LC91" s="3">
        <f ca="1">IFERROR(__xludf.DUMMYFUNCTION("""COMPUTED_VALUE"""),-0.719497318994902)</f>
        <v>-0.71949731899490199</v>
      </c>
      <c r="LD91" s="3">
        <f ca="1">IFERROR(__xludf.DUMMYFUNCTION("""COMPUTED_VALUE"""),-0.664634773112685)</f>
        <v>-0.66463477311268504</v>
      </c>
      <c r="LE91" s="3">
        <f ca="1">IFERROR(__xludf.DUMMYFUNCTION("""COMPUTED_VALUE"""),-0.664666417927079)</f>
        <v>-0.66466641792707903</v>
      </c>
      <c r="LF91" s="3">
        <f ca="1">IFERROR(__xludf.DUMMYFUNCTION("""COMPUTED_VALUE"""),-0.645372715057596)</f>
        <v>-0.64537271505759597</v>
      </c>
      <c r="LG91" s="3">
        <f ca="1">IFERROR(__xludf.DUMMYFUNCTION("""COMPUTED_VALUE"""),-0.689386734554328)</f>
        <v>-0.68938673455432797</v>
      </c>
      <c r="LH91" s="3">
        <f ca="1">IFERROR(__xludf.DUMMYFUNCTION("""COMPUTED_VALUE"""),-0.649537469682789)</f>
        <v>-0.64953746968278903</v>
      </c>
      <c r="LI91" s="3">
        <f ca="1">IFERROR(__xludf.DUMMYFUNCTION("""COMPUTED_VALUE"""),-0.696537846070122)</f>
        <v>-0.69653784607012204</v>
      </c>
      <c r="LJ91" s="3">
        <f ca="1">IFERROR(__xludf.DUMMYFUNCTION("""COMPUTED_VALUE"""),-0.762559349611699)</f>
        <v>-0.76255934961169902</v>
      </c>
      <c r="LK91" s="3">
        <f ca="1">IFERROR(__xludf.DUMMYFUNCTION("""COMPUTED_VALUE"""),-0.758985987517608)</f>
        <v>-0.75898598751760804</v>
      </c>
      <c r="LL91" s="3">
        <f ca="1">IFERROR(__xludf.DUMMYFUNCTION("""COMPUTED_VALUE"""),-0.720918981171409)</f>
        <v>-0.72091898117140896</v>
      </c>
      <c r="LM91" s="3">
        <f ca="1">IFERROR(__xludf.DUMMYFUNCTION("""COMPUTED_VALUE"""),-0.678715599342695)</f>
        <v>-0.67871559934269499</v>
      </c>
      <c r="LN91" s="3">
        <f ca="1">IFERROR(__xludf.DUMMYFUNCTION("""COMPUTED_VALUE"""),-0.681139081425066)</f>
        <v>-0.68113908142506596</v>
      </c>
      <c r="LO91" s="3">
        <f ca="1">IFERROR(__xludf.DUMMYFUNCTION("""COMPUTED_VALUE"""),-0.747498459904317)</f>
        <v>-0.74749845990431696</v>
      </c>
      <c r="LP91" s="3">
        <f ca="1">IFERROR(__xludf.DUMMYFUNCTION("""COMPUTED_VALUE"""),-0.7546227002453)</f>
        <v>-0.75462270024529998</v>
      </c>
      <c r="LQ91" s="3">
        <f ca="1">IFERROR(__xludf.DUMMYFUNCTION("""COMPUTED_VALUE"""),-0.780890207142842)</f>
        <v>-0.78089020714284196</v>
      </c>
      <c r="LR91" s="3">
        <f ca="1">IFERROR(__xludf.DUMMYFUNCTION("""COMPUTED_VALUE"""),-0.787437993029835)</f>
        <v>-0.78743799302983497</v>
      </c>
      <c r="LS91" s="3">
        <f ca="1">IFERROR(__xludf.DUMMYFUNCTION("""COMPUTED_VALUE"""),-0.804846669539835)</f>
        <v>-0.80484666953983497</v>
      </c>
      <c r="LT91" s="3">
        <f ca="1">IFERROR(__xludf.DUMMYFUNCTION("""COMPUTED_VALUE"""),-0.775697272433845)</f>
        <v>-0.77569727243384501</v>
      </c>
      <c r="LU91" s="3">
        <f ca="1">IFERROR(__xludf.DUMMYFUNCTION("""COMPUTED_VALUE"""),-0.791701579929219)</f>
        <v>-0.79170157992921897</v>
      </c>
      <c r="LV91" s="3">
        <f ca="1">IFERROR(__xludf.DUMMYFUNCTION("""COMPUTED_VALUE"""),-0.79220264897105)</f>
        <v>-0.79220264897104997</v>
      </c>
      <c r="LW91" s="3">
        <f ca="1">IFERROR(__xludf.DUMMYFUNCTION("""COMPUTED_VALUE"""),-0.801148829606141)</f>
        <v>-0.80114882960614098</v>
      </c>
      <c r="LX91" s="3">
        <f ca="1">IFERROR(__xludf.DUMMYFUNCTION("""COMPUTED_VALUE"""),-0.826934368420633)</f>
        <v>-0.82693436842063295</v>
      </c>
      <c r="LY91" s="3">
        <f ca="1">IFERROR(__xludf.DUMMYFUNCTION("""COMPUTED_VALUE"""),-0.824146384293791)</f>
        <v>-0.82414638429379095</v>
      </c>
      <c r="LZ91" s="3">
        <f ca="1">IFERROR(__xludf.DUMMYFUNCTION("""COMPUTED_VALUE"""),-0.844489007920315)</f>
        <v>-0.844489007920315</v>
      </c>
      <c r="MA91" s="3">
        <f ca="1">IFERROR(__xludf.DUMMYFUNCTION("""COMPUTED_VALUE"""),-0.814194149495179)</f>
        <v>-0.81419414949517899</v>
      </c>
      <c r="MB91" s="3">
        <f ca="1">IFERROR(__xludf.DUMMYFUNCTION("""COMPUTED_VALUE"""),-0.816298337633976)</f>
        <v>-0.81629833763397597</v>
      </c>
      <c r="MC91" s="3">
        <f ca="1">IFERROR(__xludf.DUMMYFUNCTION("""COMPUTED_VALUE"""),-0.828532558468626)</f>
        <v>-0.82853255846862595</v>
      </c>
      <c r="MD91" s="3">
        <f ca="1">IFERROR(__xludf.DUMMYFUNCTION("""COMPUTED_VALUE"""),-0.829667936578966)</f>
        <v>-0.82966793657896598</v>
      </c>
      <c r="ME91" s="3">
        <f ca="1">IFERROR(__xludf.DUMMYFUNCTION("""COMPUTED_VALUE"""),-0.821333963836353)</f>
        <v>-0.82133396383635304</v>
      </c>
      <c r="MF91" s="3">
        <f ca="1">IFERROR(__xludf.DUMMYFUNCTION("""COMPUTED_VALUE"""),-0.828084095939401)</f>
        <v>-0.82808409593940102</v>
      </c>
      <c r="MG91" s="3">
        <f ca="1">IFERROR(__xludf.DUMMYFUNCTION("""COMPUTED_VALUE"""),-0.845754842621551)</f>
        <v>-0.84575484262155098</v>
      </c>
      <c r="MH91" s="3">
        <f ca="1">IFERROR(__xludf.DUMMYFUNCTION("""COMPUTED_VALUE"""),-0.813138816714256)</f>
        <v>-0.81313881671425603</v>
      </c>
      <c r="MI91" s="3">
        <f ca="1">IFERROR(__xludf.DUMMYFUNCTION("""COMPUTED_VALUE"""),-0.811650698876247)</f>
        <v>-0.81165069887624697</v>
      </c>
      <c r="MJ91" s="3">
        <f ca="1">IFERROR(__xludf.DUMMYFUNCTION("""COMPUTED_VALUE"""),-0.812588154911892)</f>
        <v>-0.81258815491189196</v>
      </c>
      <c r="MK91" s="3">
        <f ca="1">IFERROR(__xludf.DUMMYFUNCTION("""COMPUTED_VALUE"""),-0.835010326711591)</f>
        <v>-0.83501032671159103</v>
      </c>
      <c r="ML91" s="3">
        <f ca="1">IFERROR(__xludf.DUMMYFUNCTION("""COMPUTED_VALUE"""),-0.838712964622187)</f>
        <v>-0.83871296462218703</v>
      </c>
      <c r="MM91" s="3">
        <f ca="1">IFERROR(__xludf.DUMMYFUNCTION("""COMPUTED_VALUE"""),-0.830085044173794)</f>
        <v>-0.83008504417379403</v>
      </c>
      <c r="MN91" s="3">
        <f ca="1">IFERROR(__xludf.DUMMYFUNCTION("""COMPUTED_VALUE"""),-0.853258081237976)</f>
        <v>-0.85325808123797597</v>
      </c>
      <c r="MO91" s="3">
        <f ca="1">IFERROR(__xludf.DUMMYFUNCTION("""COMPUTED_VALUE"""),-0.859669607310122)</f>
        <v>-0.85966960731012199</v>
      </c>
      <c r="MP91" s="3">
        <f ca="1">IFERROR(__xludf.DUMMYFUNCTION("""COMPUTED_VALUE"""),-0.835549615908764)</f>
        <v>-0.83554961590876398</v>
      </c>
      <c r="MQ91" s="3">
        <f ca="1">IFERROR(__xludf.DUMMYFUNCTION("""COMPUTED_VALUE"""),-0.854295960396363)</f>
        <v>-0.85429596039636302</v>
      </c>
      <c r="MR91" s="3">
        <f ca="1">IFERROR(__xludf.DUMMYFUNCTION("""COMPUTED_VALUE"""),-0.854930269601868)</f>
        <v>-0.85493026960186802</v>
      </c>
      <c r="MS91" s="3">
        <f ca="1">IFERROR(__xludf.DUMMYFUNCTION("""COMPUTED_VALUE"""),-0.853551513093632)</f>
        <v>-0.85355151309363197</v>
      </c>
      <c r="MT91" s="3">
        <f ca="1">IFERROR(__xludf.DUMMYFUNCTION("""COMPUTED_VALUE"""),-0.881666268364068)</f>
        <v>-0.88166626836406803</v>
      </c>
      <c r="MU91" s="3">
        <f ca="1">IFERROR(__xludf.DUMMYFUNCTION("""COMPUTED_VALUE"""),-0.858959034866654)</f>
        <v>-0.85895903486665404</v>
      </c>
      <c r="MV91" s="3">
        <f ca="1">IFERROR(__xludf.DUMMYFUNCTION("""COMPUTED_VALUE"""),-0.848709147225411)</f>
        <v>-0.84870914722541102</v>
      </c>
      <c r="MW91" s="3">
        <f ca="1">IFERROR(__xludf.DUMMYFUNCTION("""COMPUTED_VALUE"""),-0.86048708910592)</f>
        <v>-0.86048708910591998</v>
      </c>
      <c r="MX91" s="3">
        <f ca="1">IFERROR(__xludf.DUMMYFUNCTION("""COMPUTED_VALUE"""),-0.853360508310235)</f>
        <v>-0.85336050831023502</v>
      </c>
      <c r="MY91" s="3">
        <f ca="1">IFERROR(__xludf.DUMMYFUNCTION("""COMPUTED_VALUE"""),-0.877636534920537)</f>
        <v>-0.87763653492053695</v>
      </c>
      <c r="MZ91" s="3">
        <f ca="1">IFERROR(__xludf.DUMMYFUNCTION("""COMPUTED_VALUE"""),-0.851302724822158)</f>
        <v>-0.85130272482215796</v>
      </c>
      <c r="NA91" s="3">
        <f ca="1">IFERROR(__xludf.DUMMYFUNCTION("""COMPUTED_VALUE"""),-0.895644893693221)</f>
        <v>-0.89564489369322098</v>
      </c>
      <c r="NB91" s="3">
        <f ca="1">IFERROR(__xludf.DUMMYFUNCTION("""COMPUTED_VALUE"""),-0.870872186334829)</f>
        <v>-0.87087218633482899</v>
      </c>
      <c r="NC91" s="3">
        <f ca="1">IFERROR(__xludf.DUMMYFUNCTION("""COMPUTED_VALUE"""),-0.868129869559093)</f>
        <v>-0.86812986955909299</v>
      </c>
      <c r="ND91" s="3">
        <f ca="1">IFERROR(__xludf.DUMMYFUNCTION("""COMPUTED_VALUE"""),-0.868109371129443)</f>
        <v>-0.86810937112944297</v>
      </c>
      <c r="NE91" s="3">
        <f ca="1">IFERROR(__xludf.DUMMYFUNCTION("""COMPUTED_VALUE"""),-0.856836262686131)</f>
        <v>-0.856836262686131</v>
      </c>
      <c r="NF91" s="3">
        <f ca="1">IFERROR(__xludf.DUMMYFUNCTION("""COMPUTED_VALUE"""),-0.862989940342703)</f>
        <v>-0.86298994034270304</v>
      </c>
      <c r="NG91" s="3">
        <f ca="1">IFERROR(__xludf.DUMMYFUNCTION("""COMPUTED_VALUE"""),-0.84143546423417)</f>
        <v>-0.84143546423417004</v>
      </c>
      <c r="NH91" s="3">
        <f ca="1">IFERROR(__xludf.DUMMYFUNCTION("""COMPUTED_VALUE"""),-0.885432492971873)</f>
        <v>-0.88543249297187299</v>
      </c>
      <c r="NI91" s="3">
        <f ca="1">IFERROR(__xludf.DUMMYFUNCTION("""COMPUTED_VALUE"""),-0.856954096172111)</f>
        <v>-0.85695409617211105</v>
      </c>
      <c r="NJ91" s="3">
        <f ca="1">IFERROR(__xludf.DUMMYFUNCTION("""COMPUTED_VALUE"""),-0.853440076706951)</f>
        <v>-0.85344007670695099</v>
      </c>
      <c r="NK91" s="3">
        <f ca="1">IFERROR(__xludf.DUMMYFUNCTION("""COMPUTED_VALUE"""),-0.864885144306213)</f>
        <v>-0.86488514430621299</v>
      </c>
      <c r="NL91" s="3">
        <f ca="1">IFERROR(__xludf.DUMMYFUNCTION("""COMPUTED_VALUE"""),-0.819376679948993)</f>
        <v>-0.81937667994899299</v>
      </c>
      <c r="NM91" s="3">
        <f ca="1">IFERROR(__xludf.DUMMYFUNCTION("""COMPUTED_VALUE"""),-0.792307717480935)</f>
        <v>-0.79230771748093498</v>
      </c>
      <c r="NN91" s="3">
        <f ca="1">IFERROR(__xludf.DUMMYFUNCTION("""COMPUTED_VALUE"""),-0.792328059934949)</f>
        <v>-0.79232805993494904</v>
      </c>
      <c r="NO91" s="3">
        <f ca="1">IFERROR(__xludf.DUMMYFUNCTION("""COMPUTED_VALUE"""),-0.826581908509064)</f>
        <v>-0.82658190850906399</v>
      </c>
      <c r="NP91" s="3">
        <f ca="1">IFERROR(__xludf.DUMMYFUNCTION("""COMPUTED_VALUE"""),-0.786551477399885)</f>
        <v>-0.78655147739988496</v>
      </c>
      <c r="NQ91" s="3">
        <f ca="1">IFERROR(__xludf.DUMMYFUNCTION("""COMPUTED_VALUE"""),-0.705526515289302)</f>
        <v>-0.70552651528930199</v>
      </c>
      <c r="NR91" s="3">
        <f ca="1">IFERROR(__xludf.DUMMYFUNCTION("""COMPUTED_VALUE"""),-0.788007949737589)</f>
        <v>-0.78800794973758903</v>
      </c>
      <c r="NS91" s="3">
        <f ca="1">IFERROR(__xludf.DUMMYFUNCTION("""COMPUTED_VALUE"""),-0.782258714974861)</f>
        <v>-0.78225871497486099</v>
      </c>
      <c r="NT91" s="3">
        <f ca="1">IFERROR(__xludf.DUMMYFUNCTION("""COMPUTED_VALUE"""),-0.776029626399441)</f>
        <v>-0.77602962639944095</v>
      </c>
      <c r="NU91" s="3">
        <f ca="1">IFERROR(__xludf.DUMMYFUNCTION("""COMPUTED_VALUE"""),-0.75462447834018)</f>
        <v>-0.75462447834017998</v>
      </c>
      <c r="NV91" s="3">
        <f ca="1">IFERROR(__xludf.DUMMYFUNCTION("""COMPUTED_VALUE"""),-0.733763752306364)</f>
        <v>-0.73376375230636404</v>
      </c>
      <c r="NW91" s="3">
        <f ca="1">IFERROR(__xludf.DUMMYFUNCTION("""COMPUTED_VALUE"""),-0.666247982886584)</f>
        <v>-0.66624798288658404</v>
      </c>
      <c r="NX91" s="3">
        <f ca="1">IFERROR(__xludf.DUMMYFUNCTION("""COMPUTED_VALUE"""),-0.565961438675308)</f>
        <v>-0.56596143867530802</v>
      </c>
      <c r="NY91" s="3">
        <f ca="1">IFERROR(__xludf.DUMMYFUNCTION("""COMPUTED_VALUE"""),-0.548798765822038)</f>
        <v>-0.54879876582203801</v>
      </c>
      <c r="NZ91" s="3">
        <f ca="1">IFERROR(__xludf.DUMMYFUNCTION("""COMPUTED_VALUE"""),-0.47482130850435)</f>
        <v>-0.47482130850435</v>
      </c>
      <c r="OA91" s="3">
        <f ca="1">IFERROR(__xludf.DUMMYFUNCTION("""COMPUTED_VALUE"""),-0.297302425479654)</f>
        <v>-0.29730242547965402</v>
      </c>
      <c r="OB91" s="3">
        <f ca="1">IFERROR(__xludf.DUMMYFUNCTION("""COMPUTED_VALUE"""),-0.230760154106261)</f>
        <v>-0.230760154106261</v>
      </c>
      <c r="OC91" s="3">
        <f ca="1">IFERROR(__xludf.DUMMYFUNCTION("""COMPUTED_VALUE"""),-0.115166888233399)</f>
        <v>-0.115166888233399</v>
      </c>
      <c r="OD91" s="3">
        <f ca="1">IFERROR(__xludf.DUMMYFUNCTION("""COMPUTED_VALUE"""),-0.0636079138576339)</f>
        <v>-6.3607913857633896E-2</v>
      </c>
      <c r="OE91" s="3">
        <f ca="1">IFERROR(__xludf.DUMMYFUNCTION("""COMPUTED_VALUE"""),0.0171715779728787)</f>
        <v>1.7171577972878702E-2</v>
      </c>
      <c r="OF91" s="3">
        <f ca="1">IFERROR(__xludf.DUMMYFUNCTION("""COMPUTED_VALUE"""),-0.0155703627949352)</f>
        <v>-1.55703627949352E-2</v>
      </c>
      <c r="OG91" s="3">
        <f ca="1">IFERROR(__xludf.DUMMYFUNCTION("""COMPUTED_VALUE"""),0.0282201660418313)</f>
        <v>2.82201660418313E-2</v>
      </c>
      <c r="OH91" s="3">
        <f ca="1">IFERROR(__xludf.DUMMYFUNCTION("""COMPUTED_VALUE"""),-0.037464676735579)</f>
        <v>-3.7464676735579003E-2</v>
      </c>
      <c r="OI91" s="3">
        <f ca="1">IFERROR(__xludf.DUMMYFUNCTION("""COMPUTED_VALUE"""),-0.09396010028711)</f>
        <v>-9.3960100287109993E-2</v>
      </c>
      <c r="OJ91" s="3">
        <f ca="1">IFERROR(__xludf.DUMMYFUNCTION("""COMPUTED_VALUE"""),-0.0596465198256462)</f>
        <v>-5.9646519825646199E-2</v>
      </c>
      <c r="OK91" s="3">
        <f ca="1">IFERROR(__xludf.DUMMYFUNCTION("""COMPUTED_VALUE"""),0.0291047143344691)</f>
        <v>2.9104714334469099E-2</v>
      </c>
      <c r="OL91" s="3">
        <f ca="1">IFERROR(__xludf.DUMMYFUNCTION("""COMPUTED_VALUE"""),0.0722850228258618)</f>
        <v>7.22850228258618E-2</v>
      </c>
      <c r="OM91" s="3">
        <f ca="1">IFERROR(__xludf.DUMMYFUNCTION("""COMPUTED_VALUE"""),0.0608249445005946)</f>
        <v>6.0824944500594599E-2</v>
      </c>
      <c r="ON91" s="3">
        <f ca="1">IFERROR(__xludf.DUMMYFUNCTION("""COMPUTED_VALUE"""),-0.00825086972284316)</f>
        <v>-8.2508697228431595E-3</v>
      </c>
      <c r="OO91" s="3">
        <f ca="1">IFERROR(__xludf.DUMMYFUNCTION("""COMPUTED_VALUE"""),-0.00799985238075495)</f>
        <v>-7.9998523807549501E-3</v>
      </c>
      <c r="OP91" s="3">
        <f ca="1">IFERROR(__xludf.DUMMYFUNCTION("""COMPUTED_VALUE"""),-0.0490605141668526)</f>
        <v>-4.9060514166852601E-2</v>
      </c>
      <c r="OQ91" s="3">
        <f ca="1">IFERROR(__xludf.DUMMYFUNCTION("""COMPUTED_VALUE"""),0.0481716137158185)</f>
        <v>4.8171613715818497E-2</v>
      </c>
      <c r="OR91" s="3">
        <f ca="1">IFERROR(__xludf.DUMMYFUNCTION("""COMPUTED_VALUE"""),0.0130808897585386)</f>
        <v>1.30808897585386E-2</v>
      </c>
      <c r="OS91" s="3">
        <f ca="1">IFERROR(__xludf.DUMMYFUNCTION("""COMPUTED_VALUE"""),-0.0204747387723478)</f>
        <v>-2.04747387723478E-2</v>
      </c>
      <c r="OT91" s="3">
        <f ca="1">IFERROR(__xludf.DUMMYFUNCTION("""COMPUTED_VALUE"""),-0.0312395866290875)</f>
        <v>-3.1239586629087501E-2</v>
      </c>
      <c r="OU91" s="3">
        <f ca="1">IFERROR(__xludf.DUMMYFUNCTION("""COMPUTED_VALUE"""),0.0436507003944441)</f>
        <v>4.3650700394444103E-2</v>
      </c>
      <c r="OV91" s="3">
        <f ca="1">IFERROR(__xludf.DUMMYFUNCTION("""COMPUTED_VALUE"""),-0.0399390945784203)</f>
        <v>-3.9939094578420299E-2</v>
      </c>
      <c r="OW91" s="3">
        <f ca="1">IFERROR(__xludf.DUMMYFUNCTION("""COMPUTED_VALUE"""),0.00409904334641009)</f>
        <v>4.09904334641009E-3</v>
      </c>
      <c r="OX91" s="3">
        <f ca="1">IFERROR(__xludf.DUMMYFUNCTION("""COMPUTED_VALUE"""),0.0733574167427062)</f>
        <v>7.3357416742706197E-2</v>
      </c>
      <c r="OY91" s="3">
        <f ca="1">IFERROR(__xludf.DUMMYFUNCTION("""COMPUTED_VALUE"""),0.0399317221742263)</f>
        <v>3.9931722174226303E-2</v>
      </c>
      <c r="OZ91" s="3">
        <f ca="1">IFERROR(__xludf.DUMMYFUNCTION("""COMPUTED_VALUE"""),0.0457863009391357)</f>
        <v>4.5786300939135702E-2</v>
      </c>
      <c r="PA91" s="3">
        <f ca="1">IFERROR(__xludf.DUMMYFUNCTION("""COMPUTED_VALUE"""),0.0141594944414042)</f>
        <v>1.41594944414042E-2</v>
      </c>
      <c r="PB91" s="3">
        <f ca="1">IFERROR(__xludf.DUMMYFUNCTION("""COMPUTED_VALUE"""),0.0157862440328544)</f>
        <v>1.5786244032854401E-2</v>
      </c>
      <c r="PC91" s="3">
        <f ca="1">IFERROR(__xludf.DUMMYFUNCTION("""COMPUTED_VALUE"""),0.0339435901017635)</f>
        <v>3.3943590101763503E-2</v>
      </c>
      <c r="PD91" s="3">
        <f ca="1">IFERROR(__xludf.DUMMYFUNCTION("""COMPUTED_VALUE"""),0.0278804034979354)</f>
        <v>2.7880403497935399E-2</v>
      </c>
      <c r="PE91" s="3">
        <f ca="1">IFERROR(__xludf.DUMMYFUNCTION("""COMPUTED_VALUE"""),-0.0170823191453353)</f>
        <v>-1.7082319145335301E-2</v>
      </c>
      <c r="PF91" s="3">
        <f ca="1">IFERROR(__xludf.DUMMYFUNCTION("""COMPUTED_VALUE"""),-0.00713209709156714)</f>
        <v>-7.1320970915671397E-3</v>
      </c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</row>
    <row r="92" spans="1:594" ht="13">
      <c r="A92" s="1" t="str">
        <f ca="1">IFERROR(__xludf.DUMMYFUNCTION("""COMPUTED_VALUE"""),"Windsor")</f>
        <v>Windsor</v>
      </c>
      <c r="B92" s="3">
        <f ca="1">IFERROR(__xludf.DUMMYFUNCTION("""COMPUTED_VALUE"""),-0.666681139167928)</f>
        <v>-0.66668113916792804</v>
      </c>
      <c r="C92" s="3">
        <f ca="1">IFERROR(__xludf.DUMMYFUNCTION("""COMPUTED_VALUE"""),-0.694179938617639)</f>
        <v>-0.69417993861763905</v>
      </c>
      <c r="D92" s="3">
        <f ca="1">IFERROR(__xludf.DUMMYFUNCTION("""COMPUTED_VALUE"""),-0.702896574844153)</f>
        <v>-0.70289657484415302</v>
      </c>
      <c r="E92" s="3">
        <f ca="1">IFERROR(__xludf.DUMMYFUNCTION("""COMPUTED_VALUE"""),-0.655051529338571)</f>
        <v>-0.65505152933857103</v>
      </c>
      <c r="F92" s="3">
        <f ca="1">IFERROR(__xludf.DUMMYFUNCTION("""COMPUTED_VALUE"""),-0.653829249216071)</f>
        <v>-0.653829249216071</v>
      </c>
      <c r="G92" s="3">
        <f ca="1">IFERROR(__xludf.DUMMYFUNCTION("""COMPUTED_VALUE"""),-0.72068190052764)</f>
        <v>-0.72068190052764003</v>
      </c>
      <c r="H92" s="3">
        <f ca="1">IFERROR(__xludf.DUMMYFUNCTION("""COMPUTED_VALUE"""),-0.612793092913834)</f>
        <v>-0.61279309291383399</v>
      </c>
      <c r="I92" s="3">
        <f ca="1">IFERROR(__xludf.DUMMYFUNCTION("""COMPUTED_VALUE"""),-0.616583826057339)</f>
        <v>-0.61658382605733897</v>
      </c>
      <c r="J92" s="3">
        <f ca="1">IFERROR(__xludf.DUMMYFUNCTION("""COMPUTED_VALUE"""),-0.769927390962084)</f>
        <v>-0.76992739096208396</v>
      </c>
      <c r="K92" s="3">
        <f ca="1">IFERROR(__xludf.DUMMYFUNCTION("""COMPUTED_VALUE"""),-0.657347481684735)</f>
        <v>-0.657347481684735</v>
      </c>
      <c r="L92" s="3">
        <f ca="1">IFERROR(__xludf.DUMMYFUNCTION("""COMPUTED_VALUE"""),-0.672024739794379)</f>
        <v>-0.67202473979437904</v>
      </c>
      <c r="M92" s="3">
        <f ca="1">IFERROR(__xludf.DUMMYFUNCTION("""COMPUTED_VALUE"""),-0.659458021931468)</f>
        <v>-0.65945802193146796</v>
      </c>
      <c r="N92" s="3">
        <f ca="1">IFERROR(__xludf.DUMMYFUNCTION("""COMPUTED_VALUE"""),-0.688025297505906)</f>
        <v>-0.68802529750590602</v>
      </c>
      <c r="O92" s="3">
        <f ca="1">IFERROR(__xludf.DUMMYFUNCTION("""COMPUTED_VALUE"""),-0.688256938336818)</f>
        <v>-0.688256938336818</v>
      </c>
      <c r="P92" s="3">
        <f ca="1">IFERROR(__xludf.DUMMYFUNCTION("""COMPUTED_VALUE"""),-0.697256992357434)</f>
        <v>-0.69725699235743399</v>
      </c>
      <c r="Q92" s="3">
        <f ca="1">IFERROR(__xludf.DUMMYFUNCTION("""COMPUTED_VALUE"""),-0.781833410717468)</f>
        <v>-0.78183341071746804</v>
      </c>
      <c r="R92" s="3">
        <f ca="1">IFERROR(__xludf.DUMMYFUNCTION("""COMPUTED_VALUE"""),-0.773996102615485)</f>
        <v>-0.77399610261548502</v>
      </c>
      <c r="S92" s="3">
        <f ca="1">IFERROR(__xludf.DUMMYFUNCTION("""COMPUTED_VALUE"""),-0.763630349607075)</f>
        <v>-0.76363034960707499</v>
      </c>
      <c r="T92" s="3">
        <f ca="1">IFERROR(__xludf.DUMMYFUNCTION("""COMPUTED_VALUE"""),-0.762257309878483)</f>
        <v>-0.76225730987848295</v>
      </c>
      <c r="U92" s="3">
        <f ca="1">IFERROR(__xludf.DUMMYFUNCTION("""COMPUTED_VALUE"""),-0.759774009394283)</f>
        <v>-0.75977400939428297</v>
      </c>
      <c r="V92" s="3">
        <f ca="1">IFERROR(__xludf.DUMMYFUNCTION("""COMPUTED_VALUE"""),-0.693958466832035)</f>
        <v>-0.69395846683203499</v>
      </c>
      <c r="W92" s="3">
        <f ca="1">IFERROR(__xludf.DUMMYFUNCTION("""COMPUTED_VALUE"""),-0.711815787264777)</f>
        <v>-0.71181578726477701</v>
      </c>
      <c r="X92" s="3">
        <f ca="1">IFERROR(__xludf.DUMMYFUNCTION("""COMPUTED_VALUE"""),-0.761517977604792)</f>
        <v>-0.76151797760479201</v>
      </c>
      <c r="Y92" s="3">
        <f ca="1">IFERROR(__xludf.DUMMYFUNCTION("""COMPUTED_VALUE"""),-0.775670928624199)</f>
        <v>-0.77567092862419895</v>
      </c>
      <c r="Z92" s="3">
        <f ca="1">IFERROR(__xludf.DUMMYFUNCTION("""COMPUTED_VALUE"""),-0.767512939235742)</f>
        <v>-0.76751293923574204</v>
      </c>
      <c r="AA92" s="3">
        <f ca="1">IFERROR(__xludf.DUMMYFUNCTION("""COMPUTED_VALUE"""),-0.777244461715002)</f>
        <v>-0.77724446171500206</v>
      </c>
      <c r="AB92" s="3">
        <f ca="1">IFERROR(__xludf.DUMMYFUNCTION("""COMPUTED_VALUE"""),-0.775973738391152)</f>
        <v>-0.77597373839115202</v>
      </c>
      <c r="AC92" s="3">
        <f ca="1">IFERROR(__xludf.DUMMYFUNCTION("""COMPUTED_VALUE"""),-0.681631122055772)</f>
        <v>-0.68163112205577203</v>
      </c>
      <c r="AD92" s="3">
        <f ca="1">IFERROR(__xludf.DUMMYFUNCTION("""COMPUTED_VALUE"""),-0.729486832084662)</f>
        <v>-0.72948683208466203</v>
      </c>
      <c r="AE92" s="3">
        <f ca="1">IFERROR(__xludf.DUMMYFUNCTION("""COMPUTED_VALUE"""),-0.746753676339782)</f>
        <v>-0.74675367633978196</v>
      </c>
      <c r="AF92" s="3">
        <f ca="1">IFERROR(__xludf.DUMMYFUNCTION("""COMPUTED_VALUE"""),-0.762210121634867)</f>
        <v>-0.76221012163486701</v>
      </c>
      <c r="AG92" s="3">
        <f ca="1">IFERROR(__xludf.DUMMYFUNCTION("""COMPUTED_VALUE"""),-0.772700052761208)</f>
        <v>-0.77270005276120801</v>
      </c>
      <c r="AH92" s="3">
        <f ca="1">IFERROR(__xludf.DUMMYFUNCTION("""COMPUTED_VALUE"""),-0.764372977148626)</f>
        <v>-0.76437297714862595</v>
      </c>
      <c r="AI92" s="3">
        <f ca="1">IFERROR(__xludf.DUMMYFUNCTION("""COMPUTED_VALUE"""),-0.772919773059972)</f>
        <v>-0.77291977305997195</v>
      </c>
      <c r="AJ92" s="3">
        <f ca="1">IFERROR(__xludf.DUMMYFUNCTION("""COMPUTED_VALUE"""),-0.688392549738982)</f>
        <v>-0.68839254973898201</v>
      </c>
      <c r="AK92" s="3">
        <f ca="1">IFERROR(__xludf.DUMMYFUNCTION("""COMPUTED_VALUE"""),-0.727580298628807)</f>
        <v>-0.72758029862880702</v>
      </c>
      <c r="AL92" s="3">
        <f ca="1">IFERROR(__xludf.DUMMYFUNCTION("""COMPUTED_VALUE"""),-0.753402443096795)</f>
        <v>-0.75340244309679505</v>
      </c>
      <c r="AM92" s="3">
        <f ca="1">IFERROR(__xludf.DUMMYFUNCTION("""COMPUTED_VALUE"""),-0.786918785780138)</f>
        <v>-0.78691878578013796</v>
      </c>
      <c r="AN92" s="3">
        <f ca="1">IFERROR(__xludf.DUMMYFUNCTION("""COMPUTED_VALUE"""),-0.760187708817939)</f>
        <v>-0.76018770881793896</v>
      </c>
      <c r="AO92" s="3">
        <f ca="1">IFERROR(__xludf.DUMMYFUNCTION("""COMPUTED_VALUE"""),-0.755326724895783)</f>
        <v>-0.75532672489578301</v>
      </c>
      <c r="AP92" s="3">
        <f ca="1">IFERROR(__xludf.DUMMYFUNCTION("""COMPUTED_VALUE"""),-0.768805819367725)</f>
        <v>-0.76880581936772496</v>
      </c>
      <c r="AQ92" s="3">
        <f ca="1">IFERROR(__xludf.DUMMYFUNCTION("""COMPUTED_VALUE"""),-0.650344618252942)</f>
        <v>-0.65034461825294199</v>
      </c>
      <c r="AR92" s="3">
        <f ca="1">IFERROR(__xludf.DUMMYFUNCTION("""COMPUTED_VALUE"""),-0.68223127579164)</f>
        <v>-0.68223127579164</v>
      </c>
      <c r="AS92" s="3">
        <f ca="1">IFERROR(__xludf.DUMMYFUNCTION("""COMPUTED_VALUE"""),-0.767078584035723)</f>
        <v>-0.76707858403572304</v>
      </c>
      <c r="AT92" s="3">
        <f ca="1">IFERROR(__xludf.DUMMYFUNCTION("""COMPUTED_VALUE"""),-0.779833320081912)</f>
        <v>-0.77983332008191197</v>
      </c>
      <c r="AU92" s="3">
        <f ca="1">IFERROR(__xludf.DUMMYFUNCTION("""COMPUTED_VALUE"""),-0.777886104679869)</f>
        <v>-0.77788610467986896</v>
      </c>
      <c r="AV92" s="3">
        <f ca="1">IFERROR(__xludf.DUMMYFUNCTION("""COMPUTED_VALUE"""),-0.730408378896451)</f>
        <v>-0.73040837889645105</v>
      </c>
      <c r="AW92" s="3">
        <f ca="1">IFERROR(__xludf.DUMMYFUNCTION("""COMPUTED_VALUE"""),-0.760482836585318)</f>
        <v>-0.76048283658531801</v>
      </c>
      <c r="AX92" s="3">
        <f ca="1">IFERROR(__xludf.DUMMYFUNCTION("""COMPUTED_VALUE"""),-0.717242766523797)</f>
        <v>-0.71724276652379704</v>
      </c>
      <c r="AY92" s="3">
        <f ca="1">IFERROR(__xludf.DUMMYFUNCTION("""COMPUTED_VALUE"""),-0.731460907293377)</f>
        <v>-0.73146090729337698</v>
      </c>
      <c r="AZ92" s="3">
        <f ca="1">IFERROR(__xludf.DUMMYFUNCTION("""COMPUTED_VALUE"""),-0.788031324692771)</f>
        <v>-0.78803132469277104</v>
      </c>
      <c r="BA92" s="3">
        <f ca="1">IFERROR(__xludf.DUMMYFUNCTION("""COMPUTED_VALUE"""),-0.796366020046308)</f>
        <v>-0.79636602004630797</v>
      </c>
      <c r="BB92" s="3">
        <f ca="1">IFERROR(__xludf.DUMMYFUNCTION("""COMPUTED_VALUE"""),-0.764087638598472)</f>
        <v>-0.76408763859847195</v>
      </c>
      <c r="BC92" s="3">
        <f ca="1">IFERROR(__xludf.DUMMYFUNCTION("""COMPUTED_VALUE"""),-0.78596940580697)</f>
        <v>-0.78596940580696995</v>
      </c>
      <c r="BD92" s="3">
        <f ca="1">IFERROR(__xludf.DUMMYFUNCTION("""COMPUTED_VALUE"""),-0.863264717352152)</f>
        <v>-0.86326471735215204</v>
      </c>
      <c r="BE92" s="3">
        <f ca="1">IFERROR(__xludf.DUMMYFUNCTION("""COMPUTED_VALUE"""),-0.740058671020138)</f>
        <v>-0.740058671020138</v>
      </c>
      <c r="BF92" s="3">
        <f ca="1">IFERROR(__xludf.DUMMYFUNCTION("""COMPUTED_VALUE"""),-0.792314074451624)</f>
        <v>-0.79231407445162405</v>
      </c>
      <c r="BG92" s="3">
        <f ca="1">IFERROR(__xludf.DUMMYFUNCTION("""COMPUTED_VALUE"""),-0.840772055334607)</f>
        <v>-0.84077205533460697</v>
      </c>
      <c r="BH92" s="3">
        <f ca="1">IFERROR(__xludf.DUMMYFUNCTION("""COMPUTED_VALUE"""),-0.815372080775978)</f>
        <v>-0.815372080775978</v>
      </c>
      <c r="BI92" s="3">
        <f ca="1">IFERROR(__xludf.DUMMYFUNCTION("""COMPUTED_VALUE"""),-0.827867000819593)</f>
        <v>-0.82786700081959297</v>
      </c>
      <c r="BJ92" s="3">
        <f ca="1">IFERROR(__xludf.DUMMYFUNCTION("""COMPUTED_VALUE"""),-0.813920460638953)</f>
        <v>-0.81392046063895296</v>
      </c>
      <c r="BK92" s="3">
        <f ca="1">IFERROR(__xludf.DUMMYFUNCTION("""COMPUTED_VALUE"""),-0.778442791252061)</f>
        <v>-0.77844279125206095</v>
      </c>
      <c r="BL92" s="3">
        <f ca="1">IFERROR(__xludf.DUMMYFUNCTION("""COMPUTED_VALUE"""),-0.777815967144512)</f>
        <v>-0.77781596714451195</v>
      </c>
      <c r="BM92" s="3">
        <f ca="1">IFERROR(__xludf.DUMMYFUNCTION("""COMPUTED_VALUE"""),-0.804117164928152)</f>
        <v>-0.804117164928152</v>
      </c>
      <c r="BN92" s="3">
        <f ca="1">IFERROR(__xludf.DUMMYFUNCTION("""COMPUTED_VALUE"""),-0.851217965966053)</f>
        <v>-0.85121796596605304</v>
      </c>
      <c r="BO92" s="3">
        <f ca="1">IFERROR(__xludf.DUMMYFUNCTION("""COMPUTED_VALUE"""),-0.808874546636315)</f>
        <v>-0.80887454663631497</v>
      </c>
      <c r="BP92" s="3">
        <f ca="1">IFERROR(__xludf.DUMMYFUNCTION("""COMPUTED_VALUE"""),-0.775784704617349)</f>
        <v>-0.77578470461734905</v>
      </c>
      <c r="BQ92" s="3">
        <f ca="1">IFERROR(__xludf.DUMMYFUNCTION("""COMPUTED_VALUE"""),-0.777513823247646)</f>
        <v>-0.77751382324764595</v>
      </c>
      <c r="BR92" s="3">
        <f ca="1">IFERROR(__xludf.DUMMYFUNCTION("""COMPUTED_VALUE"""),-0.786267649968016)</f>
        <v>-0.78626764996801601</v>
      </c>
      <c r="BS92" s="3">
        <f ca="1">IFERROR(__xludf.DUMMYFUNCTION("""COMPUTED_VALUE"""),-0.721241123879993)</f>
        <v>-0.72124112387999295</v>
      </c>
      <c r="BT92" s="3">
        <f ca="1">IFERROR(__xludf.DUMMYFUNCTION("""COMPUTED_VALUE"""),-0.761596961194079)</f>
        <v>-0.76159696119407905</v>
      </c>
      <c r="BU92" s="3">
        <f ca="1">IFERROR(__xludf.DUMMYFUNCTION("""COMPUTED_VALUE"""),-0.782110542850164)</f>
        <v>-0.78211054285016401</v>
      </c>
      <c r="BV92" s="3">
        <f ca="1">IFERROR(__xludf.DUMMYFUNCTION("""COMPUTED_VALUE"""),-0.800768858781612)</f>
        <v>-0.80076885878161197</v>
      </c>
      <c r="BW92" s="3">
        <f ca="1">IFERROR(__xludf.DUMMYFUNCTION("""COMPUTED_VALUE"""),-0.762609143881545)</f>
        <v>-0.76260914388154499</v>
      </c>
      <c r="BX92" s="3">
        <f ca="1">IFERROR(__xludf.DUMMYFUNCTION("""COMPUTED_VALUE"""),-0.785693179817545)</f>
        <v>-0.78569317981754505</v>
      </c>
      <c r="BY92" s="3">
        <f ca="1">IFERROR(__xludf.DUMMYFUNCTION("""COMPUTED_VALUE"""),-0.79558985263535)</f>
        <v>-0.79558985263534998</v>
      </c>
      <c r="BZ92" s="3">
        <f ca="1">IFERROR(__xludf.DUMMYFUNCTION("""COMPUTED_VALUE"""),-0.677124872829452)</f>
        <v>-0.677124872829452</v>
      </c>
      <c r="CA92" s="3">
        <f ca="1">IFERROR(__xludf.DUMMYFUNCTION("""COMPUTED_VALUE"""),-0.747549107758402)</f>
        <v>-0.747549107758402</v>
      </c>
      <c r="CB92" s="3">
        <f ca="1">IFERROR(__xludf.DUMMYFUNCTION("""COMPUTED_VALUE"""),-0.77596159476253)</f>
        <v>-0.77596159476253002</v>
      </c>
      <c r="CC92" s="3">
        <f ca="1">IFERROR(__xludf.DUMMYFUNCTION("""COMPUTED_VALUE"""),-0.780996495590507)</f>
        <v>-0.78099649559050699</v>
      </c>
      <c r="CD92" s="3">
        <f ca="1">IFERROR(__xludf.DUMMYFUNCTION("""COMPUTED_VALUE"""),-0.796983876432606)</f>
        <v>-0.79698387643260604</v>
      </c>
      <c r="CE92" s="3">
        <f ca="1">IFERROR(__xludf.DUMMYFUNCTION("""COMPUTED_VALUE"""),-0.774183004375111)</f>
        <v>-0.77418300437511101</v>
      </c>
      <c r="CF92" s="3">
        <f ca="1">IFERROR(__xludf.DUMMYFUNCTION("""COMPUTED_VALUE"""),-0.766405081140151)</f>
        <v>-0.76640508114015105</v>
      </c>
      <c r="CG92" s="3">
        <f ca="1">IFERROR(__xludf.DUMMYFUNCTION("""COMPUTED_VALUE"""),-0.688997573672191)</f>
        <v>-0.68899757367219105</v>
      </c>
      <c r="CH92" s="3">
        <f ca="1">IFERROR(__xludf.DUMMYFUNCTION("""COMPUTED_VALUE"""),-0.712251866166278)</f>
        <v>-0.712251866166278</v>
      </c>
      <c r="CI92" s="3">
        <f ca="1">IFERROR(__xludf.DUMMYFUNCTION("""COMPUTED_VALUE"""),-0.7918636561977)</f>
        <v>-0.79186365619770005</v>
      </c>
      <c r="CJ92" s="3">
        <f ca="1">IFERROR(__xludf.DUMMYFUNCTION("""COMPUTED_VALUE"""),-0.758263176420096)</f>
        <v>-0.758263176420096</v>
      </c>
      <c r="CK92" s="3">
        <f ca="1">IFERROR(__xludf.DUMMYFUNCTION("""COMPUTED_VALUE"""),-0.745109324890073)</f>
        <v>-0.74510932489007298</v>
      </c>
      <c r="CL92" s="3">
        <f ca="1">IFERROR(__xludf.DUMMYFUNCTION("""COMPUTED_VALUE"""),-0.768297439045963)</f>
        <v>-0.76829743904596304</v>
      </c>
      <c r="CM92" s="3">
        <f ca="1">IFERROR(__xludf.DUMMYFUNCTION("""COMPUTED_VALUE"""),-0.777895691902776)</f>
        <v>-0.77789569190277597</v>
      </c>
      <c r="CN92" s="3">
        <f ca="1">IFERROR(__xludf.DUMMYFUNCTION("""COMPUTED_VALUE"""),-0.689940965932579)</f>
        <v>-0.68994096593257903</v>
      </c>
      <c r="CO92" s="3">
        <f ca="1">IFERROR(__xludf.DUMMYFUNCTION("""COMPUTED_VALUE"""),-0.700401810188897)</f>
        <v>-0.70040181018889702</v>
      </c>
      <c r="CP92" s="3">
        <f ca="1">IFERROR(__xludf.DUMMYFUNCTION("""COMPUTED_VALUE"""),-0.785809884750681)</f>
        <v>-0.78580988475068103</v>
      </c>
      <c r="CQ92" s="3">
        <f ca="1">IFERROR(__xludf.DUMMYFUNCTION("""COMPUTED_VALUE"""),-0.779986778651399)</f>
        <v>-0.77998677865139898</v>
      </c>
      <c r="CR92" s="3">
        <f ca="1">IFERROR(__xludf.DUMMYFUNCTION("""COMPUTED_VALUE"""),-0.72973579566173)</f>
        <v>-0.72973579566172997</v>
      </c>
      <c r="CS92" s="3">
        <f ca="1">IFERROR(__xludf.DUMMYFUNCTION("""COMPUTED_VALUE"""),-0.730844122209393)</f>
        <v>-0.73084412220939299</v>
      </c>
      <c r="CT92" s="3">
        <f ca="1">IFERROR(__xludf.DUMMYFUNCTION("""COMPUTED_VALUE"""),-0.727564963694277)</f>
        <v>-0.72756496369427703</v>
      </c>
      <c r="CU92" s="3">
        <f ca="1">IFERROR(__xludf.DUMMYFUNCTION("""COMPUTED_VALUE"""),-0.674561555296812)</f>
        <v>-0.67456155529681205</v>
      </c>
      <c r="CV92" s="3">
        <f ca="1">IFERROR(__xludf.DUMMYFUNCTION("""COMPUTED_VALUE"""),-0.729378820236773)</f>
        <v>-0.72937882023677303</v>
      </c>
      <c r="CW92" s="3">
        <f ca="1">IFERROR(__xludf.DUMMYFUNCTION("""COMPUTED_VALUE"""),-0.852390796795805)</f>
        <v>-0.85239079679580498</v>
      </c>
      <c r="CX92" s="3">
        <f ca="1">IFERROR(__xludf.DUMMYFUNCTION("""COMPUTED_VALUE"""),-0.676576617344146)</f>
        <v>-0.67657661734414598</v>
      </c>
      <c r="CY92" s="3">
        <f ca="1">IFERROR(__xludf.DUMMYFUNCTION("""COMPUTED_VALUE"""),-0.62499034316381)</f>
        <v>-0.62499034316380997</v>
      </c>
      <c r="CZ92" s="3">
        <f ca="1">IFERROR(__xludf.DUMMYFUNCTION("""COMPUTED_VALUE"""),-0.709159713270812)</f>
        <v>-0.70915971327081195</v>
      </c>
      <c r="DA92" s="3">
        <f ca="1">IFERROR(__xludf.DUMMYFUNCTION("""COMPUTED_VALUE"""),-0.722145454303642)</f>
        <v>-0.72214545430364196</v>
      </c>
      <c r="DB92" s="3">
        <f ca="1">IFERROR(__xludf.DUMMYFUNCTION("""COMPUTED_VALUE"""),-0.716866279440574)</f>
        <v>-0.71686627944057402</v>
      </c>
      <c r="DC92" s="3">
        <f ca="1">IFERROR(__xludf.DUMMYFUNCTION("""COMPUTED_VALUE"""),-0.770771842814232)</f>
        <v>-0.77077184281423206</v>
      </c>
      <c r="DD92" s="3">
        <f ca="1">IFERROR(__xludf.DUMMYFUNCTION("""COMPUTED_VALUE"""),-0.884824047417489)</f>
        <v>-0.88482404741748899</v>
      </c>
      <c r="DE92" s="3">
        <f ca="1">IFERROR(__xludf.DUMMYFUNCTION("""COMPUTED_VALUE"""),-0.679594284575722)</f>
        <v>-0.67959428457572202</v>
      </c>
      <c r="DF92" s="3">
        <f ca="1">IFERROR(__xludf.DUMMYFUNCTION("""COMPUTED_VALUE"""),-0.444733455293535)</f>
        <v>-0.44473345529353497</v>
      </c>
      <c r="DG92" s="3">
        <f ca="1">IFERROR(__xludf.DUMMYFUNCTION("""COMPUTED_VALUE"""),-0.622605851799615)</f>
        <v>-0.62260585179961503</v>
      </c>
      <c r="DH92" s="3">
        <f ca="1">IFERROR(__xludf.DUMMYFUNCTION("""COMPUTED_VALUE"""),-0.680718881223626)</f>
        <v>-0.680718881223626</v>
      </c>
      <c r="DI92" s="3">
        <f ca="1">IFERROR(__xludf.DUMMYFUNCTION("""COMPUTED_VALUE"""),-0.620904749359251)</f>
        <v>-0.620904749359251</v>
      </c>
      <c r="DJ92" s="3">
        <f ca="1">IFERROR(__xludf.DUMMYFUNCTION("""COMPUTED_VALUE"""),-0.679494161325842)</f>
        <v>-0.67949416132584195</v>
      </c>
      <c r="DK92" s="3">
        <f ca="1">IFERROR(__xludf.DUMMYFUNCTION("""COMPUTED_VALUE"""),-0.705324657005151)</f>
        <v>-0.70532465700515101</v>
      </c>
      <c r="DL92" s="3">
        <f ca="1">IFERROR(__xludf.DUMMYFUNCTION("""COMPUTED_VALUE"""),-0.682624360358678)</f>
        <v>-0.68262436035867802</v>
      </c>
      <c r="DM92" s="3">
        <f ca="1">IFERROR(__xludf.DUMMYFUNCTION("""COMPUTED_VALUE"""),-0.601622637799561)</f>
        <v>-0.60162263779956104</v>
      </c>
      <c r="DN92" s="3">
        <f ca="1">IFERROR(__xludf.DUMMYFUNCTION("""COMPUTED_VALUE"""),-0.677909612015626)</f>
        <v>-0.67790961201562605</v>
      </c>
      <c r="DO92" s="3">
        <f ca="1">IFERROR(__xludf.DUMMYFUNCTION("""COMPUTED_VALUE"""),-0.684880662913149)</f>
        <v>-0.68488066291314897</v>
      </c>
      <c r="DP92" s="3">
        <f ca="1">IFERROR(__xludf.DUMMYFUNCTION("""COMPUTED_VALUE"""),-0.548460133243648)</f>
        <v>-0.54846013324364795</v>
      </c>
      <c r="DQ92" s="3">
        <f ca="1">IFERROR(__xludf.DUMMYFUNCTION("""COMPUTED_VALUE"""),-0.649565501704138)</f>
        <v>-0.64956550170413796</v>
      </c>
      <c r="DR92" s="3">
        <f ca="1">IFERROR(__xludf.DUMMYFUNCTION("""COMPUTED_VALUE"""),-0.626041901678771)</f>
        <v>-0.62604190167877105</v>
      </c>
      <c r="DS92" s="3">
        <f ca="1">IFERROR(__xludf.DUMMYFUNCTION("""COMPUTED_VALUE"""),-0.644682804389041)</f>
        <v>-0.64468280438904102</v>
      </c>
      <c r="DT92" s="3">
        <f ca="1">IFERROR(__xludf.DUMMYFUNCTION("""COMPUTED_VALUE"""),-0.626027438460782)</f>
        <v>-0.62602743846078202</v>
      </c>
      <c r="DU92" s="3">
        <f ca="1">IFERROR(__xludf.DUMMYFUNCTION("""COMPUTED_VALUE"""),-0.62918006898857)</f>
        <v>-0.62918006898857004</v>
      </c>
      <c r="DV92" s="3">
        <f ca="1">IFERROR(__xludf.DUMMYFUNCTION("""COMPUTED_VALUE"""),-0.665463057080006)</f>
        <v>-0.66546305708000597</v>
      </c>
      <c r="DW92" s="3">
        <f ca="1">IFERROR(__xludf.DUMMYFUNCTION("""COMPUTED_VALUE"""),-0.558247467637918)</f>
        <v>-0.55824746763791799</v>
      </c>
      <c r="DX92" s="3">
        <f ca="1">IFERROR(__xludf.DUMMYFUNCTION("""COMPUTED_VALUE"""),-0.558323700300686)</f>
        <v>-0.55832370030068601</v>
      </c>
      <c r="DY92" s="3">
        <f ca="1">IFERROR(__xludf.DUMMYFUNCTION("""COMPUTED_VALUE"""),-0.626198235649607)</f>
        <v>-0.62619823564960697</v>
      </c>
      <c r="DZ92" s="3">
        <f ca="1">IFERROR(__xludf.DUMMYFUNCTION("""COMPUTED_VALUE"""),-0.631218746515285)</f>
        <v>-0.63121874651528498</v>
      </c>
      <c r="EA92" s="3">
        <f ca="1">IFERROR(__xludf.DUMMYFUNCTION("""COMPUTED_VALUE"""),-0.623137568787693)</f>
        <v>-0.623137568787693</v>
      </c>
      <c r="EB92" s="3">
        <f ca="1">IFERROR(__xludf.DUMMYFUNCTION("""COMPUTED_VALUE"""),-0.649313733211868)</f>
        <v>-0.64931373321186803</v>
      </c>
      <c r="EC92" s="3">
        <f ca="1">IFERROR(__xludf.DUMMYFUNCTION("""COMPUTED_VALUE"""),-0.63070431867453)</f>
        <v>-0.63070431867453003</v>
      </c>
      <c r="ED92" s="3">
        <f ca="1">IFERROR(__xludf.DUMMYFUNCTION("""COMPUTED_VALUE"""),-0.538417250707024)</f>
        <v>-0.53841725070702395</v>
      </c>
      <c r="EE92" s="3">
        <f ca="1">IFERROR(__xludf.DUMMYFUNCTION("""COMPUTED_VALUE"""),-0.58555905384118)</f>
        <v>-0.58555905384118001</v>
      </c>
      <c r="EF92" s="3">
        <f ca="1">IFERROR(__xludf.DUMMYFUNCTION("""COMPUTED_VALUE"""),-0.581946742646687)</f>
        <v>-0.581946742646687</v>
      </c>
      <c r="EG92" s="3">
        <f ca="1">IFERROR(__xludf.DUMMYFUNCTION("""COMPUTED_VALUE"""),-0.567196782813759)</f>
        <v>-0.56719678281375896</v>
      </c>
      <c r="EH92" s="3">
        <f ca="1">IFERROR(__xludf.DUMMYFUNCTION("""COMPUTED_VALUE"""),-0.559794266756727)</f>
        <v>-0.55979426675672705</v>
      </c>
      <c r="EI92" s="3">
        <f ca="1">IFERROR(__xludf.DUMMYFUNCTION("""COMPUTED_VALUE"""),-0.596057925120766)</f>
        <v>-0.59605792512076605</v>
      </c>
      <c r="EJ92" s="3">
        <f ca="1">IFERROR(__xludf.DUMMYFUNCTION("""COMPUTED_VALUE"""),-0.631356362434419)</f>
        <v>-0.63135636243441895</v>
      </c>
      <c r="EK92" s="3">
        <f ca="1">IFERROR(__xludf.DUMMYFUNCTION("""COMPUTED_VALUE"""),-0.626315692176267)</f>
        <v>-0.62631569217626704</v>
      </c>
      <c r="EL92" s="3">
        <f ca="1">IFERROR(__xludf.DUMMYFUNCTION("""COMPUTED_VALUE"""),-0.525086911982004)</f>
        <v>-0.52508691198200397</v>
      </c>
      <c r="EM92" s="3">
        <f ca="1">IFERROR(__xludf.DUMMYFUNCTION("""COMPUTED_VALUE"""),-0.589615010496751)</f>
        <v>-0.58961501049675102</v>
      </c>
      <c r="EN92" s="3">
        <f ca="1">IFERROR(__xludf.DUMMYFUNCTION("""COMPUTED_VALUE"""),-0.555999901899823)</f>
        <v>-0.55599990189982296</v>
      </c>
      <c r="EO92" s="3">
        <f ca="1">IFERROR(__xludf.DUMMYFUNCTION("""COMPUTED_VALUE"""),-0.514907422867585)</f>
        <v>-0.51490742286758495</v>
      </c>
      <c r="EP92" s="3">
        <f ca="1">IFERROR(__xludf.DUMMYFUNCTION("""COMPUTED_VALUE"""),-0.553779173099936)</f>
        <v>-0.55377917309993596</v>
      </c>
      <c r="EQ92" s="3">
        <f ca="1">IFERROR(__xludf.DUMMYFUNCTION("""COMPUTED_VALUE"""),-0.570900750717856)</f>
        <v>-0.57090075071785595</v>
      </c>
      <c r="ER92" s="3">
        <f ca="1">IFERROR(__xludf.DUMMYFUNCTION("""COMPUTED_VALUE"""),-0.52952964729466)</f>
        <v>-0.52952964729466001</v>
      </c>
      <c r="ES92" s="3">
        <f ca="1">IFERROR(__xludf.DUMMYFUNCTION("""COMPUTED_VALUE"""),-0.510830859564731)</f>
        <v>-0.51083085956473095</v>
      </c>
      <c r="ET92" s="3">
        <f ca="1">IFERROR(__xludf.DUMMYFUNCTION("""COMPUTED_VALUE"""),-0.546522556591468)</f>
        <v>-0.54652255659146798</v>
      </c>
      <c r="EU92" s="3">
        <f ca="1">IFERROR(__xludf.DUMMYFUNCTION("""COMPUTED_VALUE"""),-0.597661260973545)</f>
        <v>-0.59766126097354499</v>
      </c>
      <c r="EV92" s="3">
        <f ca="1">IFERROR(__xludf.DUMMYFUNCTION("""COMPUTED_VALUE"""),-0.496562542588835)</f>
        <v>-0.49656254258883498</v>
      </c>
      <c r="EW92" s="3">
        <f ca="1">IFERROR(__xludf.DUMMYFUNCTION("""COMPUTED_VALUE"""),-0.527659990840189)</f>
        <v>-0.527659990840189</v>
      </c>
      <c r="EX92" s="3">
        <f ca="1">IFERROR(__xludf.DUMMYFUNCTION("""COMPUTED_VALUE"""),-0.540323422136752)</f>
        <v>-0.540323422136752</v>
      </c>
      <c r="EY92" s="3">
        <f ca="1">IFERROR(__xludf.DUMMYFUNCTION("""COMPUTED_VALUE"""),-0.472014226107959)</f>
        <v>-0.47201422610795901</v>
      </c>
      <c r="EZ92" s="3">
        <f ca="1">IFERROR(__xludf.DUMMYFUNCTION("""COMPUTED_VALUE"""),-0.488576587920006)</f>
        <v>-0.48857658792000602</v>
      </c>
      <c r="FA92" s="3">
        <f ca="1">IFERROR(__xludf.DUMMYFUNCTION("""COMPUTED_VALUE"""),-0.537123264799079)</f>
        <v>-0.53712326479907901</v>
      </c>
      <c r="FB92" s="3">
        <f ca="1">IFERROR(__xludf.DUMMYFUNCTION("""COMPUTED_VALUE"""),-0.582808711970196)</f>
        <v>-0.58280871197019601</v>
      </c>
      <c r="FC92" s="3">
        <f ca="1">IFERROR(__xludf.DUMMYFUNCTION("""COMPUTED_VALUE"""),-0.541683989865703)</f>
        <v>-0.54168398986570299</v>
      </c>
      <c r="FD92" s="3">
        <f ca="1">IFERROR(__xludf.DUMMYFUNCTION("""COMPUTED_VALUE"""),-0.584992150394848)</f>
        <v>-0.58499215039484798</v>
      </c>
      <c r="FE92" s="3">
        <f ca="1">IFERROR(__xludf.DUMMYFUNCTION("""COMPUTED_VALUE"""),-0.523033323290844)</f>
        <v>-0.52303332329084395</v>
      </c>
      <c r="FF92" s="3">
        <f ca="1">IFERROR(__xludf.DUMMYFUNCTION("""COMPUTED_VALUE"""),-0.540606665226728)</f>
        <v>-0.54060666522672796</v>
      </c>
      <c r="FG92" s="3">
        <f ca="1">IFERROR(__xludf.DUMMYFUNCTION("""COMPUTED_VALUE"""),-0.491851142071348)</f>
        <v>-0.491851142071348</v>
      </c>
      <c r="FH92" s="3">
        <f ca="1">IFERROR(__xludf.DUMMYFUNCTION("""COMPUTED_VALUE"""),-0.521162633307174)</f>
        <v>-0.52116263330717405</v>
      </c>
      <c r="FI92" s="3">
        <f ca="1">IFERROR(__xludf.DUMMYFUNCTION("""COMPUTED_VALUE"""),-0.58641161804293)</f>
        <v>-0.58641161804292996</v>
      </c>
      <c r="FJ92" s="3">
        <f ca="1">IFERROR(__xludf.DUMMYFUNCTION("""COMPUTED_VALUE"""),-0.514149377506129)</f>
        <v>-0.51414937750612899</v>
      </c>
      <c r="FK92" s="3">
        <f ca="1">IFERROR(__xludf.DUMMYFUNCTION("""COMPUTED_VALUE"""),-0.584295308563488)</f>
        <v>-0.58429530856348799</v>
      </c>
      <c r="FL92" s="3">
        <f ca="1">IFERROR(__xludf.DUMMYFUNCTION("""COMPUTED_VALUE"""),-0.527826678709132)</f>
        <v>-0.52782667870913202</v>
      </c>
      <c r="FM92" s="3">
        <f ca="1">IFERROR(__xludf.DUMMYFUNCTION("""COMPUTED_VALUE"""),-0.396713989925256)</f>
        <v>-0.39671398992525603</v>
      </c>
      <c r="FN92" s="3">
        <f ca="1">IFERROR(__xludf.DUMMYFUNCTION("""COMPUTED_VALUE"""),-0.392347272643596)</f>
        <v>-0.39234727264359598</v>
      </c>
      <c r="FO92" s="3">
        <f ca="1">IFERROR(__xludf.DUMMYFUNCTION("""COMPUTED_VALUE"""),-0.44541237784601)</f>
        <v>-0.44541237784601001</v>
      </c>
      <c r="FP92" s="3">
        <f ca="1">IFERROR(__xludf.DUMMYFUNCTION("""COMPUTED_VALUE"""),-0.452450682159633)</f>
        <v>-0.45245068215963302</v>
      </c>
      <c r="FQ92" s="3">
        <f ca="1">IFERROR(__xludf.DUMMYFUNCTION("""COMPUTED_VALUE"""),-0.448026513420127)</f>
        <v>-0.448026513420127</v>
      </c>
      <c r="FR92" s="3">
        <f ca="1">IFERROR(__xludf.DUMMYFUNCTION("""COMPUTED_VALUE"""),-0.503107820848394)</f>
        <v>-0.50310782084839401</v>
      </c>
      <c r="FS92" s="3">
        <f ca="1">IFERROR(__xludf.DUMMYFUNCTION("""COMPUTED_VALUE"""),-0.484061419798283)</f>
        <v>-0.48406141979828299</v>
      </c>
      <c r="FT92" s="3">
        <f ca="1">IFERROR(__xludf.DUMMYFUNCTION("""COMPUTED_VALUE"""),-0.405618922431145)</f>
        <v>-0.405618922431145</v>
      </c>
      <c r="FU92" s="3">
        <f ca="1">IFERROR(__xludf.DUMMYFUNCTION("""COMPUTED_VALUE"""),-0.344593846026663)</f>
        <v>-0.34459384602666299</v>
      </c>
      <c r="FV92" s="3">
        <f ca="1">IFERROR(__xludf.DUMMYFUNCTION("""COMPUTED_VALUE"""),-0.428454339107882)</f>
        <v>-0.428454339107882</v>
      </c>
      <c r="FW92" s="3">
        <f ca="1">IFERROR(__xludf.DUMMYFUNCTION("""COMPUTED_VALUE"""),-0.496358084386987)</f>
        <v>-0.49635808438698698</v>
      </c>
      <c r="FX92" s="3">
        <f ca="1">IFERROR(__xludf.DUMMYFUNCTION("""COMPUTED_VALUE"""),-0.438396958523397)</f>
        <v>-0.438396958523397</v>
      </c>
      <c r="FY92" s="3">
        <f ca="1">IFERROR(__xludf.DUMMYFUNCTION("""COMPUTED_VALUE"""),-0.51020458915186)</f>
        <v>-0.51020458915185996</v>
      </c>
      <c r="FZ92" s="3">
        <f ca="1">IFERROR(__xludf.DUMMYFUNCTION("""COMPUTED_VALUE"""),-0.627891762688583)</f>
        <v>-0.62789176268858304</v>
      </c>
      <c r="GA92" s="3">
        <f ca="1">IFERROR(__xludf.DUMMYFUNCTION("""COMPUTED_VALUE"""),-0.366259120618927)</f>
        <v>-0.36625912061892701</v>
      </c>
      <c r="GB92" s="3">
        <f ca="1">IFERROR(__xludf.DUMMYFUNCTION("""COMPUTED_VALUE"""),-0.419168826745646)</f>
        <v>-0.41916882674564598</v>
      </c>
      <c r="GC92" s="3">
        <f ca="1">IFERROR(__xludf.DUMMYFUNCTION("""COMPUTED_VALUE"""),-0.48334230921743)</f>
        <v>-0.48334230921742999</v>
      </c>
      <c r="GD92" s="3">
        <f ca="1">IFERROR(__xludf.DUMMYFUNCTION("""COMPUTED_VALUE"""),-0.479575519754042)</f>
        <v>-0.479575519754042</v>
      </c>
      <c r="GE92" s="3">
        <f ca="1">IFERROR(__xludf.DUMMYFUNCTION("""COMPUTED_VALUE"""),-0.519597798039253)</f>
        <v>-0.51959779803925299</v>
      </c>
      <c r="GF92" s="3">
        <f ca="1">IFERROR(__xludf.DUMMYFUNCTION("""COMPUTED_VALUE"""),-0.531685608639124)</f>
        <v>-0.53168560863912395</v>
      </c>
      <c r="GG92" s="3">
        <f ca="1">IFERROR(__xludf.DUMMYFUNCTION("""COMPUTED_VALUE"""),-0.431219751177789)</f>
        <v>-0.43121975117778899</v>
      </c>
      <c r="GH92" s="3">
        <f ca="1">IFERROR(__xludf.DUMMYFUNCTION("""COMPUTED_VALUE"""),-0.572366597895297)</f>
        <v>-0.57236659789529698</v>
      </c>
      <c r="GI92" s="3">
        <f ca="1">IFERROR(__xludf.DUMMYFUNCTION("""COMPUTED_VALUE"""),-0.499552363473072)</f>
        <v>-0.49955236347307203</v>
      </c>
      <c r="GJ92" s="3">
        <f ca="1">IFERROR(__xludf.DUMMYFUNCTION("""COMPUTED_VALUE"""),-0.522224557839218)</f>
        <v>-0.52222455783921795</v>
      </c>
      <c r="GK92" s="3">
        <f ca="1">IFERROR(__xludf.DUMMYFUNCTION("""COMPUTED_VALUE"""),-0.514638149334662)</f>
        <v>-0.51463814933466201</v>
      </c>
      <c r="GL92" s="3">
        <f ca="1">IFERROR(__xludf.DUMMYFUNCTION("""COMPUTED_VALUE"""),-0.52385605276927)</f>
        <v>-0.52385605276927005</v>
      </c>
      <c r="GM92" s="3">
        <f ca="1">IFERROR(__xludf.DUMMYFUNCTION("""COMPUTED_VALUE"""),-0.508985342584996)</f>
        <v>-0.50898534258499595</v>
      </c>
      <c r="GN92" s="3">
        <f ca="1">IFERROR(__xludf.DUMMYFUNCTION("""COMPUTED_VALUE"""),-0.542267067244646)</f>
        <v>-0.54226706724464602</v>
      </c>
      <c r="GO92" s="3">
        <f ca="1">IFERROR(__xludf.DUMMYFUNCTION("""COMPUTED_VALUE"""),-0.302677284508139)</f>
        <v>-0.30267728450813902</v>
      </c>
      <c r="GP92" s="3">
        <f ca="1">IFERROR(__xludf.DUMMYFUNCTION("""COMPUTED_VALUE"""),-0.415978919507782)</f>
        <v>-0.41597891950778199</v>
      </c>
      <c r="GQ92" s="3">
        <f ca="1">IFERROR(__xludf.DUMMYFUNCTION("""COMPUTED_VALUE"""),-0.488235485840728)</f>
        <v>-0.48823548584072801</v>
      </c>
      <c r="GR92" s="3">
        <f ca="1">IFERROR(__xludf.DUMMYFUNCTION("""COMPUTED_VALUE"""),-0.503323160407335)</f>
        <v>-0.50332316040733505</v>
      </c>
      <c r="GS92" s="3">
        <f ca="1">IFERROR(__xludf.DUMMYFUNCTION("""COMPUTED_VALUE"""),-0.503859548955426)</f>
        <v>-0.50385954895542595</v>
      </c>
      <c r="GT92" s="3">
        <f ca="1">IFERROR(__xludf.DUMMYFUNCTION("""COMPUTED_VALUE"""),-0.548989795649212)</f>
        <v>-0.54898979564921202</v>
      </c>
      <c r="GU92" s="3">
        <f ca="1">IFERROR(__xludf.DUMMYFUNCTION("""COMPUTED_VALUE"""),-0.542095924760433)</f>
        <v>-0.542095924760433</v>
      </c>
      <c r="GV92" s="3">
        <f ca="1">IFERROR(__xludf.DUMMYFUNCTION("""COMPUTED_VALUE"""),-0.389230242110454)</f>
        <v>-0.38923024211045398</v>
      </c>
      <c r="GW92" s="3">
        <f ca="1">IFERROR(__xludf.DUMMYFUNCTION("""COMPUTED_VALUE"""),-0.487246951104054)</f>
        <v>-0.48724695110405403</v>
      </c>
      <c r="GX92" s="3">
        <f ca="1">IFERROR(__xludf.DUMMYFUNCTION("""COMPUTED_VALUE"""),-0.543182893020549)</f>
        <v>-0.54318289302054901</v>
      </c>
      <c r="GY92" s="3">
        <f ca="1">IFERROR(__xludf.DUMMYFUNCTION("""COMPUTED_VALUE"""),-0.537649932704701)</f>
        <v>-0.53764993270470096</v>
      </c>
      <c r="GZ92" s="3">
        <f ca="1">IFERROR(__xludf.DUMMYFUNCTION("""COMPUTED_VALUE"""),-0.568142051458118)</f>
        <v>-0.56814205145811802</v>
      </c>
      <c r="HA92" s="3">
        <f ca="1">IFERROR(__xludf.DUMMYFUNCTION("""COMPUTED_VALUE"""),-0.604031084390209)</f>
        <v>-0.60403108439020903</v>
      </c>
      <c r="HB92" s="3">
        <f ca="1">IFERROR(__xludf.DUMMYFUNCTION("""COMPUTED_VALUE"""),-0.579281269118889)</f>
        <v>-0.579281269118889</v>
      </c>
      <c r="HC92" s="3">
        <f ca="1">IFERROR(__xludf.DUMMYFUNCTION("""COMPUTED_VALUE"""),-0.434245040433116)</f>
        <v>-0.43424504043311601</v>
      </c>
      <c r="HD92" s="3">
        <f ca="1">IFERROR(__xludf.DUMMYFUNCTION("""COMPUTED_VALUE"""),-0.510041812343442)</f>
        <v>-0.51004181234344204</v>
      </c>
      <c r="HE92" s="3">
        <f ca="1">IFERROR(__xludf.DUMMYFUNCTION("""COMPUTED_VALUE"""),-0.615786540615336)</f>
        <v>-0.615786540615336</v>
      </c>
      <c r="HF92" s="3">
        <f ca="1">IFERROR(__xludf.DUMMYFUNCTION("""COMPUTED_VALUE"""),-0.605594700530624)</f>
        <v>-0.60559470053062403</v>
      </c>
      <c r="HG92" s="3">
        <f ca="1">IFERROR(__xludf.DUMMYFUNCTION("""COMPUTED_VALUE"""),-0.614732979961488)</f>
        <v>-0.61473297996148801</v>
      </c>
      <c r="HH92" s="3">
        <f ca="1">IFERROR(__xludf.DUMMYFUNCTION("""COMPUTED_VALUE"""),-0.667616115011227)</f>
        <v>-0.66761611501122697</v>
      </c>
      <c r="HI92" s="3">
        <f ca="1">IFERROR(__xludf.DUMMYFUNCTION("""COMPUTED_VALUE"""),-0.685230234944475)</f>
        <v>-0.68523023494447499</v>
      </c>
      <c r="HJ92" s="3">
        <f ca="1">IFERROR(__xludf.DUMMYFUNCTION("""COMPUTED_VALUE"""),-0.487649617389524)</f>
        <v>-0.487649617389524</v>
      </c>
      <c r="HK92" s="3">
        <f ca="1">IFERROR(__xludf.DUMMYFUNCTION("""COMPUTED_VALUE"""),-0.629985792468353)</f>
        <v>-0.62998579246835296</v>
      </c>
      <c r="HL92" s="3">
        <f ca="1">IFERROR(__xludf.DUMMYFUNCTION("""COMPUTED_VALUE"""),-0.63515706952769)</f>
        <v>-0.63515706952769002</v>
      </c>
      <c r="HM92" s="3">
        <f ca="1">IFERROR(__xludf.DUMMYFUNCTION("""COMPUTED_VALUE"""),-0.671426587652928)</f>
        <v>-0.67142658765292795</v>
      </c>
      <c r="HN92" s="3">
        <f ca="1">IFERROR(__xludf.DUMMYFUNCTION("""COMPUTED_VALUE"""),-0.671850004358542)</f>
        <v>-0.67185000435854203</v>
      </c>
      <c r="HO92" s="3">
        <f ca="1">IFERROR(__xludf.DUMMYFUNCTION("""COMPUTED_VALUE"""),-0.679895067339799)</f>
        <v>-0.67989506733979899</v>
      </c>
      <c r="HP92" s="3">
        <f ca="1">IFERROR(__xludf.DUMMYFUNCTION("""COMPUTED_VALUE"""),-0.555871128423079)</f>
        <v>-0.55587112842307895</v>
      </c>
      <c r="HQ92" s="3">
        <f ca="1">IFERROR(__xludf.DUMMYFUNCTION("""COMPUTED_VALUE"""),-0.476999994609661)</f>
        <v>-0.47699999460966103</v>
      </c>
      <c r="HR92" s="3">
        <f ca="1">IFERROR(__xludf.DUMMYFUNCTION("""COMPUTED_VALUE"""),-0.595066591887029)</f>
        <v>-0.59506659188702904</v>
      </c>
      <c r="HS92" s="3">
        <f ca="1">IFERROR(__xludf.DUMMYFUNCTION("""COMPUTED_VALUE"""),-0.673945810781185)</f>
        <v>-0.67394581078118498</v>
      </c>
      <c r="HT92" s="3">
        <f ca="1">IFERROR(__xludf.DUMMYFUNCTION("""COMPUTED_VALUE"""),-0.656255310351319)</f>
        <v>-0.65625531035131901</v>
      </c>
      <c r="HU92" s="3">
        <f ca="1">IFERROR(__xludf.DUMMYFUNCTION("""COMPUTED_VALUE"""),-0.673116434316194)</f>
        <v>-0.67311643431619395</v>
      </c>
      <c r="HV92" s="3">
        <f ca="1">IFERROR(__xludf.DUMMYFUNCTION("""COMPUTED_VALUE"""),-0.585744054199814)</f>
        <v>-0.58574405419981401</v>
      </c>
      <c r="HW92" s="3">
        <f ca="1">IFERROR(__xludf.DUMMYFUNCTION("""COMPUTED_VALUE"""),-0.464458068002181)</f>
        <v>-0.46445806800218098</v>
      </c>
      <c r="HX92" s="3">
        <f ca="1">IFERROR(__xludf.DUMMYFUNCTION("""COMPUTED_VALUE"""),-0.357237759160804)</f>
        <v>-0.35723775916080402</v>
      </c>
      <c r="HY92" s="3">
        <f ca="1">IFERROR(__xludf.DUMMYFUNCTION("""COMPUTED_VALUE"""),-0.493107006824214)</f>
        <v>-0.49310700682421399</v>
      </c>
      <c r="HZ92" s="3">
        <f ca="1">IFERROR(__xludf.DUMMYFUNCTION("""COMPUTED_VALUE"""),-0.552534186619466)</f>
        <v>-0.55253418661946596</v>
      </c>
      <c r="IA92" s="3">
        <f ca="1">IFERROR(__xludf.DUMMYFUNCTION("""COMPUTED_VALUE"""),-0.601069996746342)</f>
        <v>-0.60106999674634198</v>
      </c>
      <c r="IB92" s="3">
        <f ca="1">IFERROR(__xludf.DUMMYFUNCTION("""COMPUTED_VALUE"""),-0.595161008025157)</f>
        <v>-0.59516100802515703</v>
      </c>
      <c r="IC92" s="3">
        <f ca="1">IFERROR(__xludf.DUMMYFUNCTION("""COMPUTED_VALUE"""),-0.565530187810689)</f>
        <v>-0.56553018781068898</v>
      </c>
      <c r="ID92" s="3">
        <f ca="1">IFERROR(__xludf.DUMMYFUNCTION("""COMPUTED_VALUE"""),-0.554089106326789)</f>
        <v>-0.55408910632678898</v>
      </c>
      <c r="IE92" s="3">
        <f ca="1">IFERROR(__xludf.DUMMYFUNCTION("""COMPUTED_VALUE"""),-0.410648990891784)</f>
        <v>-0.41064899089178403</v>
      </c>
      <c r="IF92" s="3">
        <f ca="1">IFERROR(__xludf.DUMMYFUNCTION("""COMPUTED_VALUE"""),-0.533526982275303)</f>
        <v>-0.53352698227530304</v>
      </c>
      <c r="IG92" s="3">
        <f ca="1">IFERROR(__xludf.DUMMYFUNCTION("""COMPUTED_VALUE"""),-0.55793533645565)</f>
        <v>-0.55793533645564997</v>
      </c>
      <c r="IH92" s="3">
        <f ca="1">IFERROR(__xludf.DUMMYFUNCTION("""COMPUTED_VALUE"""),-0.497343747031616)</f>
        <v>-0.49734374703161599</v>
      </c>
      <c r="II92" s="3">
        <f ca="1">IFERROR(__xludf.DUMMYFUNCTION("""COMPUTED_VALUE"""),-0.602574750004323)</f>
        <v>-0.60257475000432303</v>
      </c>
      <c r="IJ92" s="3">
        <f ca="1">IFERROR(__xludf.DUMMYFUNCTION("""COMPUTED_VALUE"""),-0.561329371484624)</f>
        <v>-0.56132937148462403</v>
      </c>
      <c r="IK92" s="3">
        <f ca="1">IFERROR(__xludf.DUMMYFUNCTION("""COMPUTED_VALUE"""),-0.498393819503522)</f>
        <v>-0.49839381950352202</v>
      </c>
      <c r="IL92" s="3">
        <f ca="1">IFERROR(__xludf.DUMMYFUNCTION("""COMPUTED_VALUE"""),-0.428517233978321)</f>
        <v>-0.42851723397832098</v>
      </c>
      <c r="IM92" s="3">
        <f ca="1">IFERROR(__xludf.DUMMYFUNCTION("""COMPUTED_VALUE"""),-0.554311601115628)</f>
        <v>-0.55431160111562805</v>
      </c>
      <c r="IN92" s="3">
        <f ca="1">IFERROR(__xludf.DUMMYFUNCTION("""COMPUTED_VALUE"""),-0.62505167368546)</f>
        <v>-0.62505167368546</v>
      </c>
      <c r="IO92" s="3">
        <f ca="1">IFERROR(__xludf.DUMMYFUNCTION("""COMPUTED_VALUE"""),-0.582728784155091)</f>
        <v>-0.582728784155091</v>
      </c>
      <c r="IP92" s="3">
        <f ca="1">IFERROR(__xludf.DUMMYFUNCTION("""COMPUTED_VALUE"""),-0.610322415771106)</f>
        <v>-0.61032241577110602</v>
      </c>
      <c r="IQ92" s="3">
        <f ca="1">IFERROR(__xludf.DUMMYFUNCTION("""COMPUTED_VALUE"""),-0.63651937107053)</f>
        <v>-0.63651937107053003</v>
      </c>
      <c r="IR92" s="3">
        <f ca="1">IFERROR(__xludf.DUMMYFUNCTION("""COMPUTED_VALUE"""),-0.596946217532472)</f>
        <v>-0.59694621753247201</v>
      </c>
      <c r="IS92" s="3">
        <f ca="1">IFERROR(__xludf.DUMMYFUNCTION("""COMPUTED_VALUE"""),-0.514427783993337)</f>
        <v>-0.514427783993337</v>
      </c>
      <c r="IT92" s="3">
        <f ca="1">IFERROR(__xludf.DUMMYFUNCTION("""COMPUTED_VALUE"""),-0.615821078854652)</f>
        <v>-0.61582107885465198</v>
      </c>
      <c r="IU92" s="3">
        <f ca="1">IFERROR(__xludf.DUMMYFUNCTION("""COMPUTED_VALUE"""),-0.62940414981921)</f>
        <v>-0.62940414981921</v>
      </c>
      <c r="IV92" s="3">
        <f ca="1">IFERROR(__xludf.DUMMYFUNCTION("""COMPUTED_VALUE"""),-0.592633982634349)</f>
        <v>-0.59263398263434897</v>
      </c>
      <c r="IW92" s="3">
        <f ca="1">IFERROR(__xludf.DUMMYFUNCTION("""COMPUTED_VALUE"""),-0.670495942429581)</f>
        <v>-0.67049594242958099</v>
      </c>
      <c r="IX92" s="3">
        <f ca="1">IFERROR(__xludf.DUMMYFUNCTION("""COMPUTED_VALUE"""),-0.636298357756876)</f>
        <v>-0.63629835775687604</v>
      </c>
      <c r="IY92" s="3">
        <f ca="1">IFERROR(__xludf.DUMMYFUNCTION("""COMPUTED_VALUE"""),-0.587325251028651)</f>
        <v>-0.58732525102865096</v>
      </c>
      <c r="IZ92" s="3">
        <f ca="1">IFERROR(__xludf.DUMMYFUNCTION("""COMPUTED_VALUE"""),-0.48274483055356)</f>
        <v>-0.48274483055355999</v>
      </c>
      <c r="JA92" s="3">
        <f ca="1">IFERROR(__xludf.DUMMYFUNCTION("""COMPUTED_VALUE"""),-0.593948249983663)</f>
        <v>-0.59394824998366302</v>
      </c>
      <c r="JB92" s="3">
        <f ca="1">IFERROR(__xludf.DUMMYFUNCTION("""COMPUTED_VALUE"""),-0.603072223120103)</f>
        <v>-0.603072223120103</v>
      </c>
      <c r="JC92" s="3">
        <f ca="1">IFERROR(__xludf.DUMMYFUNCTION("""COMPUTED_VALUE"""),-0.601427211899118)</f>
        <v>-0.60142721189911796</v>
      </c>
      <c r="JD92" s="3">
        <f ca="1">IFERROR(__xludf.DUMMYFUNCTION("""COMPUTED_VALUE"""),-0.649704819134855)</f>
        <v>-0.64970481913485501</v>
      </c>
      <c r="JE92" s="3">
        <f ca="1">IFERROR(__xludf.DUMMYFUNCTION("""COMPUTED_VALUE"""),-0.636642668153312)</f>
        <v>-0.63664266815331205</v>
      </c>
      <c r="JF92" s="3">
        <f ca="1">IFERROR(__xludf.DUMMYFUNCTION("""COMPUTED_VALUE"""),-0.64353316947071)</f>
        <v>-0.64353316947071004</v>
      </c>
      <c r="JG92" s="3">
        <f ca="1">IFERROR(__xludf.DUMMYFUNCTION("""COMPUTED_VALUE"""),-0.591890957943025)</f>
        <v>-0.59189095794302504</v>
      </c>
      <c r="JH92" s="3">
        <f ca="1">IFERROR(__xludf.DUMMYFUNCTION("""COMPUTED_VALUE"""),-0.59175202188702)</f>
        <v>-0.59175202188702003</v>
      </c>
      <c r="JI92" s="3">
        <f ca="1">IFERROR(__xludf.DUMMYFUNCTION("""COMPUTED_VALUE"""),-0.652782935921538)</f>
        <v>-0.65278293592153802</v>
      </c>
      <c r="JJ92" s="3">
        <f ca="1">IFERROR(__xludf.DUMMYFUNCTION("""COMPUTED_VALUE"""),-0.715588758380312)</f>
        <v>-0.715588758380312</v>
      </c>
      <c r="JK92" s="3">
        <f ca="1">IFERROR(__xludf.DUMMYFUNCTION("""COMPUTED_VALUE"""),-0.667965893437221)</f>
        <v>-0.66796589343722101</v>
      </c>
      <c r="JL92" s="3">
        <f ca="1">IFERROR(__xludf.DUMMYFUNCTION("""COMPUTED_VALUE"""),-0.623960997995062)</f>
        <v>-0.62396099799506199</v>
      </c>
      <c r="JM92" s="3">
        <f ca="1">IFERROR(__xludf.DUMMYFUNCTION("""COMPUTED_VALUE"""),-0.633874883818811)</f>
        <v>-0.63387488381881096</v>
      </c>
      <c r="JN92" s="3">
        <f ca="1">IFERROR(__xludf.DUMMYFUNCTION("""COMPUTED_VALUE"""),-0.443817912375554)</f>
        <v>-0.44381791237555401</v>
      </c>
      <c r="JO92" s="3">
        <f ca="1">IFERROR(__xludf.DUMMYFUNCTION("""COMPUTED_VALUE"""),-0.532297280284129)</f>
        <v>-0.53229728028412904</v>
      </c>
      <c r="JP92" s="3">
        <f ca="1">IFERROR(__xludf.DUMMYFUNCTION("""COMPUTED_VALUE"""),-0.658843811289677)</f>
        <v>-0.65884381128967695</v>
      </c>
      <c r="JQ92" s="3">
        <f ca="1">IFERROR(__xludf.DUMMYFUNCTION("""COMPUTED_VALUE"""),-0.647491116677594)</f>
        <v>-0.64749111667759396</v>
      </c>
      <c r="JR92" s="3">
        <f ca="1">IFERROR(__xludf.DUMMYFUNCTION("""COMPUTED_VALUE"""),-0.658567155715788)</f>
        <v>-0.65856715571578806</v>
      </c>
      <c r="JS92" s="3">
        <f ca="1">IFERROR(__xludf.DUMMYFUNCTION("""COMPUTED_VALUE"""),-0.62274350069959)</f>
        <v>-0.62274350069958995</v>
      </c>
      <c r="JT92" s="3">
        <f ca="1">IFERROR(__xludf.DUMMYFUNCTION("""COMPUTED_VALUE"""),-0.649560218181182)</f>
        <v>-0.64956021818118204</v>
      </c>
      <c r="JU92" s="3">
        <f ca="1">IFERROR(__xludf.DUMMYFUNCTION("""COMPUTED_VALUE"""),-0.507351027175231)</f>
        <v>-0.50735102717523095</v>
      </c>
      <c r="JV92" s="3">
        <f ca="1">IFERROR(__xludf.DUMMYFUNCTION("""COMPUTED_VALUE"""),-0.622578129304763)</f>
        <v>-0.62257812930476297</v>
      </c>
      <c r="JW92" s="3">
        <f ca="1">IFERROR(__xludf.DUMMYFUNCTION("""COMPUTED_VALUE"""),-0.667432423074341)</f>
        <v>-0.66743242307434103</v>
      </c>
      <c r="JX92" s="3">
        <f ca="1">IFERROR(__xludf.DUMMYFUNCTION("""COMPUTED_VALUE"""),-0.614941004858997)</f>
        <v>-0.61494100485899705</v>
      </c>
      <c r="JY92" s="3">
        <f ca="1">IFERROR(__xludf.DUMMYFUNCTION("""COMPUTED_VALUE"""),-0.648186246873237)</f>
        <v>-0.648186246873237</v>
      </c>
      <c r="JZ92" s="3">
        <f ca="1">IFERROR(__xludf.DUMMYFUNCTION("""COMPUTED_VALUE"""),-0.592448368382732)</f>
        <v>-0.59244836838273196</v>
      </c>
      <c r="KA92" s="3">
        <f ca="1">IFERROR(__xludf.DUMMYFUNCTION("""COMPUTED_VALUE"""),-0.581110812234062)</f>
        <v>-0.58111081223406202</v>
      </c>
      <c r="KB92" s="3">
        <f ca="1">IFERROR(__xludf.DUMMYFUNCTION("""COMPUTED_VALUE"""),-0.470005662560483)</f>
        <v>-0.47000566256048298</v>
      </c>
      <c r="KC92" s="3">
        <f ca="1">IFERROR(__xludf.DUMMYFUNCTION("""COMPUTED_VALUE"""),-0.561669178615161)</f>
        <v>-0.56166917861516097</v>
      </c>
      <c r="KD92" s="3">
        <f ca="1">IFERROR(__xludf.DUMMYFUNCTION("""COMPUTED_VALUE"""),-0.649234623658102)</f>
        <v>-0.64923462365810203</v>
      </c>
      <c r="KE92" s="3">
        <f ca="1">IFERROR(__xludf.DUMMYFUNCTION("""COMPUTED_VALUE"""),-0.600410853214978)</f>
        <v>-0.600410853214978</v>
      </c>
      <c r="KF92" s="3">
        <f ca="1">IFERROR(__xludf.DUMMYFUNCTION("""COMPUTED_VALUE"""),-0.643147957643783)</f>
        <v>-0.64314795764378296</v>
      </c>
      <c r="KG92" s="3">
        <f ca="1">IFERROR(__xludf.DUMMYFUNCTION("""COMPUTED_VALUE"""),-0.664250597652446)</f>
        <v>-0.66425059765244598</v>
      </c>
      <c r="KH92" s="3">
        <f ca="1">IFERROR(__xludf.DUMMYFUNCTION("""COMPUTED_VALUE"""),-0.682575462381366)</f>
        <v>-0.68257546238136602</v>
      </c>
      <c r="KI92" s="3">
        <f ca="1">IFERROR(__xludf.DUMMYFUNCTION("""COMPUTED_VALUE"""),-0.495129791182413)</f>
        <v>-0.49512979118241301</v>
      </c>
      <c r="KJ92" s="3">
        <f ca="1">IFERROR(__xludf.DUMMYFUNCTION("""COMPUTED_VALUE"""),-0.574778276074094)</f>
        <v>-0.57477827607409404</v>
      </c>
      <c r="KK92" s="3">
        <f ca="1">IFERROR(__xludf.DUMMYFUNCTION("""COMPUTED_VALUE"""),-0.644152851897229)</f>
        <v>-0.64415285189722904</v>
      </c>
      <c r="KL92" s="3">
        <f ca="1">IFERROR(__xludf.DUMMYFUNCTION("""COMPUTED_VALUE"""),-0.609160322881146)</f>
        <v>-0.60916032288114597</v>
      </c>
      <c r="KM92" s="3">
        <f ca="1">IFERROR(__xludf.DUMMYFUNCTION("""COMPUTED_VALUE"""),-0.655673969277894)</f>
        <v>-0.65567396927789401</v>
      </c>
      <c r="KN92" s="3">
        <f ca="1">IFERROR(__xludf.DUMMYFUNCTION("""COMPUTED_VALUE"""),-0.655364604445281)</f>
        <v>-0.655364604445281</v>
      </c>
      <c r="KO92" s="3">
        <f ca="1">IFERROR(__xludf.DUMMYFUNCTION("""COMPUTED_VALUE"""),-0.667914969510077)</f>
        <v>-0.66791496951007701</v>
      </c>
      <c r="KP92" s="3">
        <f ca="1">IFERROR(__xludf.DUMMYFUNCTION("""COMPUTED_VALUE"""),-0.505384210332717)</f>
        <v>-0.50538421033271697</v>
      </c>
      <c r="KQ92" s="3">
        <f ca="1">IFERROR(__xludf.DUMMYFUNCTION("""COMPUTED_VALUE"""),-0.632919321856655)</f>
        <v>-0.632919321856655</v>
      </c>
      <c r="KR92" s="3">
        <f ca="1">IFERROR(__xludf.DUMMYFUNCTION("""COMPUTED_VALUE"""),-0.66180503475979)</f>
        <v>-0.66180503475979002</v>
      </c>
      <c r="KS92" s="3">
        <f ca="1">IFERROR(__xludf.DUMMYFUNCTION("""COMPUTED_VALUE"""),-0.689048137986084)</f>
        <v>-0.689048137986084</v>
      </c>
      <c r="KT92" s="3">
        <f ca="1">IFERROR(__xludf.DUMMYFUNCTION("""COMPUTED_VALUE"""),-0.668627965890219)</f>
        <v>-0.668627965890219</v>
      </c>
      <c r="KU92" s="3">
        <f ca="1">IFERROR(__xludf.DUMMYFUNCTION("""COMPUTED_VALUE"""),-0.679226620969465)</f>
        <v>-0.67922662096946496</v>
      </c>
      <c r="KV92" s="3">
        <f ca="1">IFERROR(__xludf.DUMMYFUNCTION("""COMPUTED_VALUE"""),-0.569159133014937)</f>
        <v>-0.56915913301493704</v>
      </c>
      <c r="KW92" s="3">
        <f ca="1">IFERROR(__xludf.DUMMYFUNCTION("""COMPUTED_VALUE"""),-0.509544617462817)</f>
        <v>-0.50954461746281698</v>
      </c>
      <c r="KX92" s="3">
        <f ca="1">IFERROR(__xludf.DUMMYFUNCTION("""COMPUTED_VALUE"""),-0.575561116620402)</f>
        <v>-0.57556111662040199</v>
      </c>
      <c r="KY92" s="3">
        <f ca="1">IFERROR(__xludf.DUMMYFUNCTION("""COMPUTED_VALUE"""),-0.68848791303972)</f>
        <v>-0.68848791303972001</v>
      </c>
      <c r="KZ92" s="3">
        <f ca="1">IFERROR(__xludf.DUMMYFUNCTION("""COMPUTED_VALUE"""),-0.702933744368245)</f>
        <v>-0.70293374436824496</v>
      </c>
      <c r="LA92" s="3">
        <f ca="1">IFERROR(__xludf.DUMMYFUNCTION("""COMPUTED_VALUE"""),-0.69275570829666)</f>
        <v>-0.69275570829666</v>
      </c>
      <c r="LB92" s="3">
        <f ca="1">IFERROR(__xludf.DUMMYFUNCTION("""COMPUTED_VALUE"""),-0.691846723283574)</f>
        <v>-0.69184672328357399</v>
      </c>
      <c r="LC92" s="3">
        <f ca="1">IFERROR(__xludf.DUMMYFUNCTION("""COMPUTED_VALUE"""),-0.654561654960454)</f>
        <v>-0.65456165496045404</v>
      </c>
      <c r="LD92" s="3">
        <f ca="1">IFERROR(__xludf.DUMMYFUNCTION("""COMPUTED_VALUE"""),-0.586920350523563)</f>
        <v>-0.58692035052356295</v>
      </c>
      <c r="LE92" s="3">
        <f ca="1">IFERROR(__xludf.DUMMYFUNCTION("""COMPUTED_VALUE"""),-0.628177507004875)</f>
        <v>-0.62817750700487496</v>
      </c>
      <c r="LF92" s="3">
        <f ca="1">IFERROR(__xludf.DUMMYFUNCTION("""COMPUTED_VALUE"""),-0.769121160368302)</f>
        <v>-0.76912116036830203</v>
      </c>
      <c r="LG92" s="3">
        <f ca="1">IFERROR(__xludf.DUMMYFUNCTION("""COMPUTED_VALUE"""),-0.719393452582436)</f>
        <v>-0.71939345258243603</v>
      </c>
      <c r="LH92" s="3">
        <f ca="1">IFERROR(__xludf.DUMMYFUNCTION("""COMPUTED_VALUE"""),-0.646582584979943)</f>
        <v>-0.64658258497994303</v>
      </c>
      <c r="LI92" s="3">
        <f ca="1">IFERROR(__xludf.DUMMYFUNCTION("""COMPUTED_VALUE"""),-0.691843377614947)</f>
        <v>-0.69184337761494696</v>
      </c>
      <c r="LJ92" s="3">
        <f ca="1">IFERROR(__xludf.DUMMYFUNCTION("""COMPUTED_VALUE"""),-0.653738897313461)</f>
        <v>-0.65373889731346102</v>
      </c>
      <c r="LK92" s="3">
        <f ca="1">IFERROR(__xludf.DUMMYFUNCTION("""COMPUTED_VALUE"""),-0.504614413091762)</f>
        <v>-0.50461441309176203</v>
      </c>
      <c r="LL92" s="3">
        <f ca="1">IFERROR(__xludf.DUMMYFUNCTION("""COMPUTED_VALUE"""),-0.654652837137858)</f>
        <v>-0.65465283713785805</v>
      </c>
      <c r="LM92" s="3">
        <f ca="1">IFERROR(__xludf.DUMMYFUNCTION("""COMPUTED_VALUE"""),-0.798524050662306)</f>
        <v>-0.79852405066230603</v>
      </c>
      <c r="LN92" s="3">
        <f ca="1">IFERROR(__xludf.DUMMYFUNCTION("""COMPUTED_VALUE"""),-0.733148523741061)</f>
        <v>-0.73314852374106099</v>
      </c>
      <c r="LO92" s="3">
        <f ca="1">IFERROR(__xludf.DUMMYFUNCTION("""COMPUTED_VALUE"""),-0.717131867219958)</f>
        <v>-0.71713186721995803</v>
      </c>
      <c r="LP92" s="3">
        <f ca="1">IFERROR(__xludf.DUMMYFUNCTION("""COMPUTED_VALUE"""),-0.749155877035659)</f>
        <v>-0.749155877035659</v>
      </c>
      <c r="LQ92" s="3">
        <f ca="1">IFERROR(__xludf.DUMMYFUNCTION("""COMPUTED_VALUE"""),-0.772122865458923)</f>
        <v>-0.77212286545892295</v>
      </c>
      <c r="LR92" s="3">
        <f ca="1">IFERROR(__xludf.DUMMYFUNCTION("""COMPUTED_VALUE"""),-0.694507097549818)</f>
        <v>-0.69450709754981799</v>
      </c>
      <c r="LS92" s="3">
        <f ca="1">IFERROR(__xludf.DUMMYFUNCTION("""COMPUTED_VALUE"""),-0.624031688237302)</f>
        <v>-0.62403168823730204</v>
      </c>
      <c r="LT92" s="3">
        <f ca="1">IFERROR(__xludf.DUMMYFUNCTION("""COMPUTED_VALUE"""),-0.802551615157281)</f>
        <v>-0.80255161515728102</v>
      </c>
      <c r="LU92" s="3">
        <f ca="1">IFERROR(__xludf.DUMMYFUNCTION("""COMPUTED_VALUE"""),-0.788944571215572)</f>
        <v>-0.78894457121557204</v>
      </c>
      <c r="LV92" s="3">
        <f ca="1">IFERROR(__xludf.DUMMYFUNCTION("""COMPUTED_VALUE"""),-0.794600801797748)</f>
        <v>-0.79460080179774795</v>
      </c>
      <c r="LW92" s="3">
        <f ca="1">IFERROR(__xludf.DUMMYFUNCTION("""COMPUTED_VALUE"""),-0.762876998710163)</f>
        <v>-0.76287699871016301</v>
      </c>
      <c r="LX92" s="3">
        <f ca="1">IFERROR(__xludf.DUMMYFUNCTION("""COMPUTED_VALUE"""),-0.743978951282068)</f>
        <v>-0.74397895128206804</v>
      </c>
      <c r="LY92" s="3">
        <f ca="1">IFERROR(__xludf.DUMMYFUNCTION("""COMPUTED_VALUE"""),-0.731017583588615)</f>
        <v>-0.73101758358861502</v>
      </c>
      <c r="LZ92" s="3">
        <f ca="1">IFERROR(__xludf.DUMMYFUNCTION("""COMPUTED_VALUE"""),-0.74321580826393)</f>
        <v>-0.74321580826392997</v>
      </c>
      <c r="MA92" s="3">
        <f ca="1">IFERROR(__xludf.DUMMYFUNCTION("""COMPUTED_VALUE"""),-0.772706844835847)</f>
        <v>-0.77270684483584695</v>
      </c>
      <c r="MB92" s="3">
        <f ca="1">IFERROR(__xludf.DUMMYFUNCTION("""COMPUTED_VALUE"""),-0.775289652961963)</f>
        <v>-0.77528965296196295</v>
      </c>
      <c r="MC92" s="3">
        <f ca="1">IFERROR(__xludf.DUMMYFUNCTION("""COMPUTED_VALUE"""),-0.761826616658852)</f>
        <v>-0.76182661665885198</v>
      </c>
      <c r="MD92" s="3">
        <f ca="1">IFERROR(__xludf.DUMMYFUNCTION("""COMPUTED_VALUE"""),-0.711823699446546)</f>
        <v>-0.711823699446546</v>
      </c>
      <c r="ME92" s="3">
        <f ca="1">IFERROR(__xludf.DUMMYFUNCTION("""COMPUTED_VALUE"""),-0.704393629304115)</f>
        <v>-0.70439362930411498</v>
      </c>
      <c r="MF92" s="3">
        <f ca="1">IFERROR(__xludf.DUMMYFUNCTION("""COMPUTED_VALUE"""),-0.644418957844805)</f>
        <v>-0.64441895784480496</v>
      </c>
      <c r="MG92" s="3">
        <f ca="1">IFERROR(__xludf.DUMMYFUNCTION("""COMPUTED_VALUE"""),-0.789474957463085)</f>
        <v>-0.78947495746308505</v>
      </c>
      <c r="MH92" s="3">
        <f ca="1">IFERROR(__xludf.DUMMYFUNCTION("""COMPUTED_VALUE"""),-0.892037155089286)</f>
        <v>-0.89203715508928605</v>
      </c>
      <c r="MI92" s="3">
        <f ca="1">IFERROR(__xludf.DUMMYFUNCTION("""COMPUTED_VALUE"""),-0.932210754252397)</f>
        <v>-0.93221075425239697</v>
      </c>
      <c r="MJ92" s="3">
        <f ca="1">IFERROR(__xludf.DUMMYFUNCTION("""COMPUTED_VALUE"""),-0.945286715235498)</f>
        <v>-0.94528671523549801</v>
      </c>
      <c r="MK92" s="3">
        <f ca="1">IFERROR(__xludf.DUMMYFUNCTION("""COMPUTED_VALUE"""),-0.918592852531633)</f>
        <v>-0.91859285253163303</v>
      </c>
      <c r="ML92" s="3">
        <f ca="1">IFERROR(__xludf.DUMMYFUNCTION("""COMPUTED_VALUE"""),-0.92468642895968)</f>
        <v>-0.92468642895968001</v>
      </c>
      <c r="MM92" s="3">
        <f ca="1">IFERROR(__xludf.DUMMYFUNCTION("""COMPUTED_VALUE"""),-0.896059205168528)</f>
        <v>-0.89605920516852799</v>
      </c>
      <c r="MN92" s="3">
        <f ca="1">IFERROR(__xludf.DUMMYFUNCTION("""COMPUTED_VALUE"""),-0.903343756705826)</f>
        <v>-0.90334375670582601</v>
      </c>
      <c r="MO92" s="3">
        <f ca="1">IFERROR(__xludf.DUMMYFUNCTION("""COMPUTED_VALUE"""),-0.907704892767936)</f>
        <v>-0.90770489276793598</v>
      </c>
      <c r="MP92" s="3">
        <f ca="1">IFERROR(__xludf.DUMMYFUNCTION("""COMPUTED_VALUE"""),-0.936887863563752)</f>
        <v>-0.93688786356375198</v>
      </c>
      <c r="MQ92" s="3">
        <f ca="1">IFERROR(__xludf.DUMMYFUNCTION("""COMPUTED_VALUE"""),-0.940591397950371)</f>
        <v>-0.94059139795037106</v>
      </c>
      <c r="MR92" s="3">
        <f ca="1">IFERROR(__xludf.DUMMYFUNCTION("""COMPUTED_VALUE"""),-0.922570623074161)</f>
        <v>-0.92257062307416104</v>
      </c>
      <c r="MS92" s="3">
        <f ca="1">IFERROR(__xludf.DUMMYFUNCTION("""COMPUTED_VALUE"""),-0.921394397598251)</f>
        <v>-0.92139439759825104</v>
      </c>
      <c r="MT92" s="3">
        <f ca="1">IFERROR(__xludf.DUMMYFUNCTION("""COMPUTED_VALUE"""),-0.888686799049449)</f>
        <v>-0.88868679904944903</v>
      </c>
      <c r="MU92" s="3">
        <f ca="1">IFERROR(__xludf.DUMMYFUNCTION("""COMPUTED_VALUE"""),-0.910689102823238)</f>
        <v>-0.91068910282323801</v>
      </c>
      <c r="MV92" s="3">
        <f ca="1">IFERROR(__xludf.DUMMYFUNCTION("""COMPUTED_VALUE"""),-0.952503296366667)</f>
        <v>-0.95250329636666697</v>
      </c>
      <c r="MW92" s="3">
        <f ca="1">IFERROR(__xludf.DUMMYFUNCTION("""COMPUTED_VALUE"""),-0.961733595874425)</f>
        <v>-0.96173359587442497</v>
      </c>
      <c r="MX92" s="3">
        <f ca="1">IFERROR(__xludf.DUMMYFUNCTION("""COMPUTED_VALUE"""),-0.952956165679111)</f>
        <v>-0.95295616567911101</v>
      </c>
      <c r="MY92" s="3">
        <f ca="1">IFERROR(__xludf.DUMMYFUNCTION("""COMPUTED_VALUE"""),-0.949039877960706)</f>
        <v>-0.94903987796070599</v>
      </c>
      <c r="MZ92" s="3">
        <f ca="1">IFERROR(__xludf.DUMMYFUNCTION("""COMPUTED_VALUE"""),-0.929846911388367)</f>
        <v>-0.92984691138836695</v>
      </c>
      <c r="NA92" s="3">
        <f ca="1">IFERROR(__xludf.DUMMYFUNCTION("""COMPUTED_VALUE"""),-0.900165713693575)</f>
        <v>-0.90016571369357501</v>
      </c>
      <c r="NB92" s="3">
        <f ca="1">IFERROR(__xludf.DUMMYFUNCTION("""COMPUTED_VALUE"""),-0.916078672730959)</f>
        <v>-0.916078672730959</v>
      </c>
      <c r="NC92" s="3">
        <f ca="1">IFERROR(__xludf.DUMMYFUNCTION("""COMPUTED_VALUE"""),-0.947595274310953)</f>
        <v>-0.94759527431095303</v>
      </c>
      <c r="ND92" s="3">
        <f ca="1">IFERROR(__xludf.DUMMYFUNCTION("""COMPUTED_VALUE"""),-0.9355518542527)</f>
        <v>-0.93555185425270004</v>
      </c>
      <c r="NE92" s="3">
        <f ca="1">IFERROR(__xludf.DUMMYFUNCTION("""COMPUTED_VALUE"""),-0.92267179697924)</f>
        <v>-0.92267179697923996</v>
      </c>
      <c r="NF92" s="3">
        <f ca="1">IFERROR(__xludf.DUMMYFUNCTION("""COMPUTED_VALUE"""),-0.916423315513143)</f>
        <v>-0.91642331551314304</v>
      </c>
      <c r="NG92" s="3">
        <f ca="1">IFERROR(__xludf.DUMMYFUNCTION("""COMPUTED_VALUE"""),-0.917274708378397)</f>
        <v>-0.91727470837839697</v>
      </c>
      <c r="NH92" s="3">
        <f ca="1">IFERROR(__xludf.DUMMYFUNCTION("""COMPUTED_VALUE"""),-0.849153139912252)</f>
        <v>-0.84915313991225205</v>
      </c>
      <c r="NI92" s="3">
        <f ca="1">IFERROR(__xludf.DUMMYFUNCTION("""COMPUTED_VALUE"""),-0.888587965599395)</f>
        <v>-0.88858796559939501</v>
      </c>
      <c r="NJ92" s="3">
        <f ca="1">IFERROR(__xludf.DUMMYFUNCTION("""COMPUTED_VALUE"""),-0.916182516910828)</f>
        <v>-0.91618251691082797</v>
      </c>
      <c r="NK92" s="3">
        <f ca="1">IFERROR(__xludf.DUMMYFUNCTION("""COMPUTED_VALUE"""),-0.924004887670236)</f>
        <v>-0.92400488767023603</v>
      </c>
      <c r="NL92" s="3">
        <f ca="1">IFERROR(__xludf.DUMMYFUNCTION("""COMPUTED_VALUE"""),-0.931254337007138)</f>
        <v>-0.931254337007138</v>
      </c>
      <c r="NM92" s="3">
        <f ca="1">IFERROR(__xludf.DUMMYFUNCTION("""COMPUTED_VALUE"""),-0.920902780523967)</f>
        <v>-0.92090278052396701</v>
      </c>
      <c r="NN92" s="3">
        <f ca="1">IFERROR(__xludf.DUMMYFUNCTION("""COMPUTED_VALUE"""),-0.876545080520011)</f>
        <v>-0.87654508052001101</v>
      </c>
      <c r="NO92" s="3">
        <f ca="1">IFERROR(__xludf.DUMMYFUNCTION("""COMPUTED_VALUE"""),-0.718565291554072)</f>
        <v>-0.71856529155407201</v>
      </c>
      <c r="NP92" s="3">
        <f ca="1">IFERROR(__xludf.DUMMYFUNCTION("""COMPUTED_VALUE"""),-0.724685211979709)</f>
        <v>-0.72468521197970903</v>
      </c>
      <c r="NQ92" s="3">
        <f ca="1">IFERROR(__xludf.DUMMYFUNCTION("""COMPUTED_VALUE"""),-0.764255036246266)</f>
        <v>-0.76425503624626601</v>
      </c>
      <c r="NR92" s="3">
        <f ca="1">IFERROR(__xludf.DUMMYFUNCTION("""COMPUTED_VALUE"""),-0.787714013596266)</f>
        <v>-0.78771401359626603</v>
      </c>
      <c r="NS92" s="3">
        <f ca="1">IFERROR(__xludf.DUMMYFUNCTION("""COMPUTED_VALUE"""),-0.758205824569655)</f>
        <v>-0.75820582456965502</v>
      </c>
      <c r="NT92" s="3">
        <f ca="1">IFERROR(__xludf.DUMMYFUNCTION("""COMPUTED_VALUE"""),-0.748425200622639)</f>
        <v>-0.74842520062263895</v>
      </c>
      <c r="NU92" s="3">
        <f ca="1">IFERROR(__xludf.DUMMYFUNCTION("""COMPUTED_VALUE"""),-0.730262894589677)</f>
        <v>-0.73026289458967697</v>
      </c>
      <c r="NV92" s="3">
        <f ca="1">IFERROR(__xludf.DUMMYFUNCTION("""COMPUTED_VALUE"""),-0.58334104520506)</f>
        <v>-0.58334104520506003</v>
      </c>
      <c r="NW92" s="3">
        <f ca="1">IFERROR(__xludf.DUMMYFUNCTION("""COMPUTED_VALUE"""),-0.596464249614343)</f>
        <v>-0.59646424961434297</v>
      </c>
      <c r="NX92" s="3">
        <f ca="1">IFERROR(__xludf.DUMMYFUNCTION("""COMPUTED_VALUE"""),-0.62635520508087)</f>
        <v>-0.62635520508086995</v>
      </c>
      <c r="NY92" s="3">
        <f ca="1">IFERROR(__xludf.DUMMYFUNCTION("""COMPUTED_VALUE"""),-0.615211067942477)</f>
        <v>-0.61521106794247704</v>
      </c>
      <c r="NZ92" s="3">
        <f ca="1">IFERROR(__xludf.DUMMYFUNCTION("""COMPUTED_VALUE"""),-0.608825133867913)</f>
        <v>-0.60882513386791304</v>
      </c>
      <c r="OA92" s="3">
        <f ca="1">IFERROR(__xludf.DUMMYFUNCTION("""COMPUTED_VALUE"""),-0.549600204555428)</f>
        <v>-0.54960020455542802</v>
      </c>
      <c r="OB92" s="3">
        <f ca="1">IFERROR(__xludf.DUMMYFUNCTION("""COMPUTED_VALUE"""),-0.408246420816103)</f>
        <v>-0.40824642081610302</v>
      </c>
      <c r="OC92" s="3">
        <f ca="1">IFERROR(__xludf.DUMMYFUNCTION("""COMPUTED_VALUE"""),-0.199129549851735)</f>
        <v>-0.199129549851735</v>
      </c>
      <c r="OD92" s="3">
        <f ca="1">IFERROR(__xludf.DUMMYFUNCTION("""COMPUTED_VALUE"""),-0.201591590519188)</f>
        <v>-0.20159159051918801</v>
      </c>
      <c r="OE92" s="3">
        <f ca="1">IFERROR(__xludf.DUMMYFUNCTION("""COMPUTED_VALUE"""),-0.0759019632439415)</f>
        <v>-7.5901963243941495E-2</v>
      </c>
      <c r="OF92" s="3">
        <f ca="1">IFERROR(__xludf.DUMMYFUNCTION("""COMPUTED_VALUE"""),-0.0438541440502519)</f>
        <v>-4.3854144050251898E-2</v>
      </c>
      <c r="OG92" s="3">
        <f ca="1">IFERROR(__xludf.DUMMYFUNCTION("""COMPUTED_VALUE"""),-0.023955094484876)</f>
        <v>-2.3955094484876E-2</v>
      </c>
      <c r="OH92" s="3">
        <f ca="1">IFERROR(__xludf.DUMMYFUNCTION("""COMPUTED_VALUE"""),0.0199837752496607)</f>
        <v>1.9983775249660701E-2</v>
      </c>
      <c r="OI92" s="3">
        <f ca="1">IFERROR(__xludf.DUMMYFUNCTION("""COMPUTED_VALUE"""),-0.0013908108524443)</f>
        <v>-1.3908108524443E-3</v>
      </c>
      <c r="OJ92" s="3">
        <f ca="1">IFERROR(__xludf.DUMMYFUNCTION("""COMPUTED_VALUE"""),-0.0175236987258642)</f>
        <v>-1.7523698725864199E-2</v>
      </c>
      <c r="OK92" s="3">
        <f ca="1">IFERROR(__xludf.DUMMYFUNCTION("""COMPUTED_VALUE"""),0.0655395206052609)</f>
        <v>6.5539520605260901E-2</v>
      </c>
      <c r="OL92" s="3">
        <f ca="1">IFERROR(__xludf.DUMMYFUNCTION("""COMPUTED_VALUE"""),-0.00527173157895766)</f>
        <v>-5.2717315789576596E-3</v>
      </c>
      <c r="OM92" s="3">
        <f ca="1">IFERROR(__xludf.DUMMYFUNCTION("""COMPUTED_VALUE"""),0.0715159267041762)</f>
        <v>7.1515926704176197E-2</v>
      </c>
      <c r="ON92" s="3">
        <f ca="1">IFERROR(__xludf.DUMMYFUNCTION("""COMPUTED_VALUE"""),0.100536498448885)</f>
        <v>0.100536498448885</v>
      </c>
      <c r="OO92" s="3">
        <f ca="1">IFERROR(__xludf.DUMMYFUNCTION("""COMPUTED_VALUE"""),0.097945158183778)</f>
        <v>9.7945158183777997E-2</v>
      </c>
      <c r="OP92" s="3">
        <f ca="1">IFERROR(__xludf.DUMMYFUNCTION("""COMPUTED_VALUE"""),-0.00239348858529619)</f>
        <v>-2.39348858529619E-3</v>
      </c>
      <c r="OQ92" s="3">
        <f ca="1">IFERROR(__xludf.DUMMYFUNCTION("""COMPUTED_VALUE"""),0.194755396308013)</f>
        <v>0.194755396308013</v>
      </c>
      <c r="OR92" s="3">
        <f ca="1">IFERROR(__xludf.DUMMYFUNCTION("""COMPUTED_VALUE"""),0.0414391528128925)</f>
        <v>4.1439152812892503E-2</v>
      </c>
      <c r="OS92" s="3">
        <f ca="1">IFERROR(__xludf.DUMMYFUNCTION("""COMPUTED_VALUE"""),-0.0163242993688795)</f>
        <v>-1.63242993688795E-2</v>
      </c>
      <c r="OT92" s="3">
        <f ca="1">IFERROR(__xludf.DUMMYFUNCTION("""COMPUTED_VALUE"""),-0.0342784213793132)</f>
        <v>-3.4278421379313202E-2</v>
      </c>
      <c r="OU92" s="3">
        <f ca="1">IFERROR(__xludf.DUMMYFUNCTION("""COMPUTED_VALUE"""),-0.00606343830661082)</f>
        <v>-6.0634383066108201E-3</v>
      </c>
      <c r="OV92" s="3">
        <f ca="1">IFERROR(__xludf.DUMMYFUNCTION("""COMPUTED_VALUE"""),0.0394223531787585)</f>
        <v>3.9422353178758501E-2</v>
      </c>
      <c r="OW92" s="3">
        <f ca="1">IFERROR(__xludf.DUMMYFUNCTION("""COMPUTED_VALUE"""),0.0662179177729602)</f>
        <v>6.6217917772960197E-2</v>
      </c>
      <c r="OX92" s="3">
        <f ca="1">IFERROR(__xludf.DUMMYFUNCTION("""COMPUTED_VALUE"""),0.164907023842748)</f>
        <v>0.164907023842748</v>
      </c>
      <c r="OY92" s="3">
        <f ca="1">IFERROR(__xludf.DUMMYFUNCTION("""COMPUTED_VALUE"""),0.0750503932348862)</f>
        <v>7.5050393234886201E-2</v>
      </c>
      <c r="OZ92" s="3">
        <f ca="1">IFERROR(__xludf.DUMMYFUNCTION("""COMPUTED_VALUE"""),-0.138511101918067)</f>
        <v>-0.13851110191806701</v>
      </c>
      <c r="PA92" s="3">
        <f ca="1">IFERROR(__xludf.DUMMYFUNCTION("""COMPUTED_VALUE"""),-0.128862664919831)</f>
        <v>-0.128862664919831</v>
      </c>
      <c r="PB92" s="3">
        <f ca="1">IFERROR(__xludf.DUMMYFUNCTION("""COMPUTED_VALUE"""),-0.000723656022682872)</f>
        <v>-7.23656022682872E-4</v>
      </c>
      <c r="PC92" s="3">
        <f ca="1">IFERROR(__xludf.DUMMYFUNCTION("""COMPUTED_VALUE"""),-0.00808227282969586)</f>
        <v>-8.0822728296958603E-3</v>
      </c>
      <c r="PD92" s="3">
        <f ca="1">IFERROR(__xludf.DUMMYFUNCTION("""COMPUTED_VALUE"""),-0.274782951262458)</f>
        <v>-0.274782951262458</v>
      </c>
      <c r="PE92" s="3">
        <f ca="1">IFERROR(__xludf.DUMMYFUNCTION("""COMPUTED_VALUE"""),0.118887154277509)</f>
        <v>0.118887154277509</v>
      </c>
      <c r="PF92" s="3">
        <f ca="1">IFERROR(__xludf.DUMMYFUNCTION("""COMPUTED_VALUE"""),0.0634868623788058)</f>
        <v>6.3486862378805797E-2</v>
      </c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</row>
    <row r="93" spans="1:594" ht="13">
      <c r="A93" s="1" t="str">
        <f ca="1">IFERROR(__xludf.DUMMYFUNCTION("""COMPUTED_VALUE"""),"Winnipeg")</f>
        <v>Winnipeg</v>
      </c>
      <c r="B93" s="3">
        <f ca="1">IFERROR(__xludf.DUMMYFUNCTION("""COMPUTED_VALUE"""),-0.5481634191956)</f>
        <v>-0.54816341919559997</v>
      </c>
      <c r="C93" s="3">
        <f ca="1">IFERROR(__xludf.DUMMYFUNCTION("""COMPUTED_VALUE"""),-0.543902894569226)</f>
        <v>-0.54390289456922603</v>
      </c>
      <c r="D93" s="3">
        <f ca="1">IFERROR(__xludf.DUMMYFUNCTION("""COMPUTED_VALUE"""),-0.626329889585455)</f>
        <v>-0.62632988958545499</v>
      </c>
      <c r="E93" s="3">
        <f ca="1">IFERROR(__xludf.DUMMYFUNCTION("""COMPUTED_VALUE"""),-0.595667607584738)</f>
        <v>-0.59566760758473802</v>
      </c>
      <c r="F93" s="3">
        <f ca="1">IFERROR(__xludf.DUMMYFUNCTION("""COMPUTED_VALUE"""),-0.594194376477607)</f>
        <v>-0.59419437647760698</v>
      </c>
      <c r="G93" s="3">
        <f ca="1">IFERROR(__xludf.DUMMYFUNCTION("""COMPUTED_VALUE"""),-0.642338648715679)</f>
        <v>-0.64233864871567903</v>
      </c>
      <c r="H93" s="3">
        <f ca="1">IFERROR(__xludf.DUMMYFUNCTION("""COMPUTED_VALUE"""),-0.548342033073275)</f>
        <v>-0.548342033073275</v>
      </c>
      <c r="I93" s="3">
        <f ca="1">IFERROR(__xludf.DUMMYFUNCTION("""COMPUTED_VALUE"""),-0.572524890476197)</f>
        <v>-0.57252489047619703</v>
      </c>
      <c r="J93" s="3">
        <f ca="1">IFERROR(__xludf.DUMMYFUNCTION("""COMPUTED_VALUE"""),-0.73686272598211)</f>
        <v>-0.73686272598211</v>
      </c>
      <c r="K93" s="3">
        <f ca="1">IFERROR(__xludf.DUMMYFUNCTION("""COMPUTED_VALUE"""),-0.624033604784115)</f>
        <v>-0.62403360478411496</v>
      </c>
      <c r="L93" s="3">
        <f ca="1">IFERROR(__xludf.DUMMYFUNCTION("""COMPUTED_VALUE"""),-0.652910798923438)</f>
        <v>-0.65291079892343795</v>
      </c>
      <c r="M93" s="3">
        <f ca="1">IFERROR(__xludf.DUMMYFUNCTION("""COMPUTED_VALUE"""),-0.68770701083211)</f>
        <v>-0.68770701083211005</v>
      </c>
      <c r="N93" s="3">
        <f ca="1">IFERROR(__xludf.DUMMYFUNCTION("""COMPUTED_VALUE"""),-0.635927099224749)</f>
        <v>-0.63592709922474899</v>
      </c>
      <c r="O93" s="3">
        <f ca="1">IFERROR(__xludf.DUMMYFUNCTION("""COMPUTED_VALUE"""),-0.485020580520761)</f>
        <v>-0.48502058052076102</v>
      </c>
      <c r="P93" s="3">
        <f ca="1">IFERROR(__xludf.DUMMYFUNCTION("""COMPUTED_VALUE"""),-0.523089100580085)</f>
        <v>-0.52308910058008495</v>
      </c>
      <c r="Q93" s="3">
        <f ca="1">IFERROR(__xludf.DUMMYFUNCTION("""COMPUTED_VALUE"""),-0.604801846155571)</f>
        <v>-0.60480184615557098</v>
      </c>
      <c r="R93" s="3">
        <f ca="1">IFERROR(__xludf.DUMMYFUNCTION("""COMPUTED_VALUE"""),-0.623287687627193)</f>
        <v>-0.623287687627193</v>
      </c>
      <c r="S93" s="3">
        <f ca="1">IFERROR(__xludf.DUMMYFUNCTION("""COMPUTED_VALUE"""),-0.623547917514672)</f>
        <v>-0.62354791751467198</v>
      </c>
      <c r="T93" s="3">
        <f ca="1">IFERROR(__xludf.DUMMYFUNCTION("""COMPUTED_VALUE"""),-0.612891860832287)</f>
        <v>-0.61289186083228697</v>
      </c>
      <c r="U93" s="3">
        <f ca="1">IFERROR(__xludf.DUMMYFUNCTION("""COMPUTED_VALUE"""),-0.59465790582172)</f>
        <v>-0.59465790582171996</v>
      </c>
      <c r="V93" s="3">
        <f ca="1">IFERROR(__xludf.DUMMYFUNCTION("""COMPUTED_VALUE"""),-0.493560495056343)</f>
        <v>-0.49356049505634297</v>
      </c>
      <c r="W93" s="3">
        <f ca="1">IFERROR(__xludf.DUMMYFUNCTION("""COMPUTED_VALUE"""),-0.534567863688411)</f>
        <v>-0.53456786368841103</v>
      </c>
      <c r="X93" s="3">
        <f ca="1">IFERROR(__xludf.DUMMYFUNCTION("""COMPUTED_VALUE"""),-0.620338677189656)</f>
        <v>-0.62033867718965596</v>
      </c>
      <c r="Y93" s="3">
        <f ca="1">IFERROR(__xludf.DUMMYFUNCTION("""COMPUTED_VALUE"""),-0.619808942787987)</f>
        <v>-0.61980894278798704</v>
      </c>
      <c r="Z93" s="3">
        <f ca="1">IFERROR(__xludf.DUMMYFUNCTION("""COMPUTED_VALUE"""),-0.621008364809784)</f>
        <v>-0.62100836480978405</v>
      </c>
      <c r="AA93" s="3">
        <f ca="1">IFERROR(__xludf.DUMMYFUNCTION("""COMPUTED_VALUE"""),-0.606623589042432)</f>
        <v>-0.60662358904243197</v>
      </c>
      <c r="AB93" s="3">
        <f ca="1">IFERROR(__xludf.DUMMYFUNCTION("""COMPUTED_VALUE"""),-0.600924349315371)</f>
        <v>-0.60092434931537098</v>
      </c>
      <c r="AC93" s="3">
        <f ca="1">IFERROR(__xludf.DUMMYFUNCTION("""COMPUTED_VALUE"""),-0.480127571460104)</f>
        <v>-0.48012757146010399</v>
      </c>
      <c r="AD93" s="3">
        <f ca="1">IFERROR(__xludf.DUMMYFUNCTION("""COMPUTED_VALUE"""),-0.535315843034653)</f>
        <v>-0.53531584303465296</v>
      </c>
      <c r="AE93" s="3">
        <f ca="1">IFERROR(__xludf.DUMMYFUNCTION("""COMPUTED_VALUE"""),-0.619111578219736)</f>
        <v>-0.61911157821973595</v>
      </c>
      <c r="AF93" s="3">
        <f ca="1">IFERROR(__xludf.DUMMYFUNCTION("""COMPUTED_VALUE"""),-0.651339937406327)</f>
        <v>-0.65133993740632701</v>
      </c>
      <c r="AG93" s="3">
        <f ca="1">IFERROR(__xludf.DUMMYFUNCTION("""COMPUTED_VALUE"""),-0.630521575980026)</f>
        <v>-0.63052157598002601</v>
      </c>
      <c r="AH93" s="3">
        <f ca="1">IFERROR(__xludf.DUMMYFUNCTION("""COMPUTED_VALUE"""),-0.651697929543747)</f>
        <v>-0.65169792954374695</v>
      </c>
      <c r="AI93" s="3">
        <f ca="1">IFERROR(__xludf.DUMMYFUNCTION("""COMPUTED_VALUE"""),-0.631485130329155)</f>
        <v>-0.63148513032915499</v>
      </c>
      <c r="AJ93" s="3">
        <f ca="1">IFERROR(__xludf.DUMMYFUNCTION("""COMPUTED_VALUE"""),-0.489553736225335)</f>
        <v>-0.48955373622533499</v>
      </c>
      <c r="AK93" s="3">
        <f ca="1">IFERROR(__xludf.DUMMYFUNCTION("""COMPUTED_VALUE"""),-0.542787723513859)</f>
        <v>-0.54278772351385896</v>
      </c>
      <c r="AL93" s="3">
        <f ca="1">IFERROR(__xludf.DUMMYFUNCTION("""COMPUTED_VALUE"""),-0.621165212209842)</f>
        <v>-0.621165212209842</v>
      </c>
      <c r="AM93" s="3">
        <f ca="1">IFERROR(__xludf.DUMMYFUNCTION("""COMPUTED_VALUE"""),-0.633489113487253)</f>
        <v>-0.63348911348725301</v>
      </c>
      <c r="AN93" s="3">
        <f ca="1">IFERROR(__xludf.DUMMYFUNCTION("""COMPUTED_VALUE"""),-0.637965877397049)</f>
        <v>-0.63796587739704902</v>
      </c>
      <c r="AO93" s="3">
        <f ca="1">IFERROR(__xludf.DUMMYFUNCTION("""COMPUTED_VALUE"""),-0.629301843325786)</f>
        <v>-0.62930184332578598</v>
      </c>
      <c r="AP93" s="3">
        <f ca="1">IFERROR(__xludf.DUMMYFUNCTION("""COMPUTED_VALUE"""),-0.635082907752414)</f>
        <v>-0.63508290775241405</v>
      </c>
      <c r="AQ93" s="3">
        <f ca="1">IFERROR(__xludf.DUMMYFUNCTION("""COMPUTED_VALUE"""),-0.51320559836351)</f>
        <v>-0.51320559836350998</v>
      </c>
      <c r="AR93" s="3">
        <f ca="1">IFERROR(__xludf.DUMMYFUNCTION("""COMPUTED_VALUE"""),-0.588098103864517)</f>
        <v>-0.588098103864517</v>
      </c>
      <c r="AS93" s="3">
        <f ca="1">IFERROR(__xludf.DUMMYFUNCTION("""COMPUTED_VALUE"""),-0.621832186372519)</f>
        <v>-0.62183218637251902</v>
      </c>
      <c r="AT93" s="3">
        <f ca="1">IFERROR(__xludf.DUMMYFUNCTION("""COMPUTED_VALUE"""),-0.616655766264293)</f>
        <v>-0.61665576626429297</v>
      </c>
      <c r="AU93" s="3">
        <f ca="1">IFERROR(__xludf.DUMMYFUNCTION("""COMPUTED_VALUE"""),-0.623466323810646)</f>
        <v>-0.62346632381064604</v>
      </c>
      <c r="AV93" s="3">
        <f ca="1">IFERROR(__xludf.DUMMYFUNCTION("""COMPUTED_VALUE"""),-0.650833997184965)</f>
        <v>-0.65083399718496504</v>
      </c>
      <c r="AW93" s="3">
        <f ca="1">IFERROR(__xludf.DUMMYFUNCTION("""COMPUTED_VALUE"""),-0.546497033484742)</f>
        <v>-0.54649703348474199</v>
      </c>
      <c r="AX93" s="3">
        <f ca="1">IFERROR(__xludf.DUMMYFUNCTION("""COMPUTED_VALUE"""),-0.501937382118318)</f>
        <v>-0.50193738211831795</v>
      </c>
      <c r="AY93" s="3">
        <f ca="1">IFERROR(__xludf.DUMMYFUNCTION("""COMPUTED_VALUE"""),-0.585375356394293)</f>
        <v>-0.58537535639429294</v>
      </c>
      <c r="AZ93" s="3">
        <f ca="1">IFERROR(__xludf.DUMMYFUNCTION("""COMPUTED_VALUE"""),-0.635306218848946)</f>
        <v>-0.635306218848946</v>
      </c>
      <c r="BA93" s="3">
        <f ca="1">IFERROR(__xludf.DUMMYFUNCTION("""COMPUTED_VALUE"""),-0.670159377260108)</f>
        <v>-0.67015937726010799</v>
      </c>
      <c r="BB93" s="3">
        <f ca="1">IFERROR(__xludf.DUMMYFUNCTION("""COMPUTED_VALUE"""),-0.640775150365733)</f>
        <v>-0.64077515036573296</v>
      </c>
      <c r="BC93" s="3">
        <f ca="1">IFERROR(__xludf.DUMMYFUNCTION("""COMPUTED_VALUE"""),-0.660373326513729)</f>
        <v>-0.66037332651372904</v>
      </c>
      <c r="BD93" s="3">
        <f ca="1">IFERROR(__xludf.DUMMYFUNCTION("""COMPUTED_VALUE"""),-0.753637780366665)</f>
        <v>-0.75363778036666496</v>
      </c>
      <c r="BE93" s="3">
        <f ca="1">IFERROR(__xludf.DUMMYFUNCTION("""COMPUTED_VALUE"""),-0.554601015084918)</f>
        <v>-0.55460101508491799</v>
      </c>
      <c r="BF93" s="3">
        <f ca="1">IFERROR(__xludf.DUMMYFUNCTION("""COMPUTED_VALUE"""),-0.628711023516071)</f>
        <v>-0.628711023516071</v>
      </c>
      <c r="BG93" s="3">
        <f ca="1">IFERROR(__xludf.DUMMYFUNCTION("""COMPUTED_VALUE"""),-0.676820545223789)</f>
        <v>-0.67682054522378898</v>
      </c>
      <c r="BH93" s="3">
        <f ca="1">IFERROR(__xludf.DUMMYFUNCTION("""COMPUTED_VALUE"""),-0.687681097632807)</f>
        <v>-0.68768109763280705</v>
      </c>
      <c r="BI93" s="3">
        <f ca="1">IFERROR(__xludf.DUMMYFUNCTION("""COMPUTED_VALUE"""),-0.669103083989784)</f>
        <v>-0.66910308398978402</v>
      </c>
      <c r="BJ93" s="3">
        <f ca="1">IFERROR(__xludf.DUMMYFUNCTION("""COMPUTED_VALUE"""),-0.696436788030834)</f>
        <v>-0.69643678803083398</v>
      </c>
      <c r="BK93" s="3">
        <f ca="1">IFERROR(__xludf.DUMMYFUNCTION("""COMPUTED_VALUE"""),-0.688832039437016)</f>
        <v>-0.68883203943701599</v>
      </c>
      <c r="BL93" s="3">
        <f ca="1">IFERROR(__xludf.DUMMYFUNCTION("""COMPUTED_VALUE"""),-0.674136503929686)</f>
        <v>-0.67413650392968605</v>
      </c>
      <c r="BM93" s="3">
        <f ca="1">IFERROR(__xludf.DUMMYFUNCTION("""COMPUTED_VALUE"""),-0.685530076543142)</f>
        <v>-0.68553007654314202</v>
      </c>
      <c r="BN93" s="3">
        <f ca="1">IFERROR(__xludf.DUMMYFUNCTION("""COMPUTED_VALUE"""),-0.703859083530562)</f>
        <v>-0.70385908353056204</v>
      </c>
      <c r="BO93" s="3">
        <f ca="1">IFERROR(__xludf.DUMMYFUNCTION("""COMPUTED_VALUE"""),-0.693367015634408)</f>
        <v>-0.69336701563440795</v>
      </c>
      <c r="BP93" s="3">
        <f ca="1">IFERROR(__xludf.DUMMYFUNCTION("""COMPUTED_VALUE"""),-0.685223652273366)</f>
        <v>-0.68522365227336601</v>
      </c>
      <c r="BQ93" s="3">
        <f ca="1">IFERROR(__xludf.DUMMYFUNCTION("""COMPUTED_VALUE"""),-0.698306790665761)</f>
        <v>-0.69830679066576096</v>
      </c>
      <c r="BR93" s="3">
        <f ca="1">IFERROR(__xludf.DUMMYFUNCTION("""COMPUTED_VALUE"""),-0.695898401473179)</f>
        <v>-0.69589840147317905</v>
      </c>
      <c r="BS93" s="3">
        <f ca="1">IFERROR(__xludf.DUMMYFUNCTION("""COMPUTED_VALUE"""),-0.595044635689811)</f>
        <v>-0.59504463568981103</v>
      </c>
      <c r="BT93" s="3">
        <f ca="1">IFERROR(__xludf.DUMMYFUNCTION("""COMPUTED_VALUE"""),-0.630514399402629)</f>
        <v>-0.63051439940262899</v>
      </c>
      <c r="BU93" s="3">
        <f ca="1">IFERROR(__xludf.DUMMYFUNCTION("""COMPUTED_VALUE"""),-0.700144983114287)</f>
        <v>-0.70014498311428697</v>
      </c>
      <c r="BV93" s="3">
        <f ca="1">IFERROR(__xludf.DUMMYFUNCTION("""COMPUTED_VALUE"""),-0.722601916958415)</f>
        <v>-0.72260191695841502</v>
      </c>
      <c r="BW93" s="3">
        <f ca="1">IFERROR(__xludf.DUMMYFUNCTION("""COMPUTED_VALUE"""),-0.737007600990099)</f>
        <v>-0.73700760099009899</v>
      </c>
      <c r="BX93" s="3">
        <f ca="1">IFERROR(__xludf.DUMMYFUNCTION("""COMPUTED_VALUE"""),-0.748643992784765)</f>
        <v>-0.74864399278476501</v>
      </c>
      <c r="BY93" s="3">
        <f ca="1">IFERROR(__xludf.DUMMYFUNCTION("""COMPUTED_VALUE"""),-0.732913187208064)</f>
        <v>-0.73291318720806398</v>
      </c>
      <c r="BZ93" s="3">
        <f ca="1">IFERROR(__xludf.DUMMYFUNCTION("""COMPUTED_VALUE"""),-0.628137017130711)</f>
        <v>-0.62813701713071102</v>
      </c>
      <c r="CA93" s="3">
        <f ca="1">IFERROR(__xludf.DUMMYFUNCTION("""COMPUTED_VALUE"""),-0.645132136127398)</f>
        <v>-0.64513213612739795</v>
      </c>
      <c r="CB93" s="3">
        <f ca="1">IFERROR(__xludf.DUMMYFUNCTION("""COMPUTED_VALUE"""),-0.74425140521939)</f>
        <v>-0.74425140521939004</v>
      </c>
      <c r="CC93" s="3">
        <f ca="1">IFERROR(__xludf.DUMMYFUNCTION("""COMPUTED_VALUE"""),-0.744574575579624)</f>
        <v>-0.74457457557962403</v>
      </c>
      <c r="CD93" s="3">
        <f ca="1">IFERROR(__xludf.DUMMYFUNCTION("""COMPUTED_VALUE"""),-0.742884739995846)</f>
        <v>-0.74288473999584603</v>
      </c>
      <c r="CE93" s="3">
        <f ca="1">IFERROR(__xludf.DUMMYFUNCTION("""COMPUTED_VALUE"""),-0.767712399189031)</f>
        <v>-0.767712399189031</v>
      </c>
      <c r="CF93" s="3">
        <f ca="1">IFERROR(__xludf.DUMMYFUNCTION("""COMPUTED_VALUE"""),-0.745990524453932)</f>
        <v>-0.74599052445393199</v>
      </c>
      <c r="CG93" s="3">
        <f ca="1">IFERROR(__xludf.DUMMYFUNCTION("""COMPUTED_VALUE"""),-0.667988174746291)</f>
        <v>-0.66798817474629102</v>
      </c>
      <c r="CH93" s="3">
        <f ca="1">IFERROR(__xludf.DUMMYFUNCTION("""COMPUTED_VALUE"""),-0.701549210120968)</f>
        <v>-0.70154921012096805</v>
      </c>
      <c r="CI93" s="3">
        <f ca="1">IFERROR(__xludf.DUMMYFUNCTION("""COMPUTED_VALUE"""),-0.785332995601811)</f>
        <v>-0.78533299560181102</v>
      </c>
      <c r="CJ93" s="3">
        <f ca="1">IFERROR(__xludf.DUMMYFUNCTION("""COMPUTED_VALUE"""),-0.79330368729302)</f>
        <v>-0.79330368729302003</v>
      </c>
      <c r="CK93" s="3">
        <f ca="1">IFERROR(__xludf.DUMMYFUNCTION("""COMPUTED_VALUE"""),-0.796389162365925)</f>
        <v>-0.79638916236592505</v>
      </c>
      <c r="CL93" s="3">
        <f ca="1">IFERROR(__xludf.DUMMYFUNCTION("""COMPUTED_VALUE"""),-0.786448129137123)</f>
        <v>-0.78644812913712303</v>
      </c>
      <c r="CM93" s="3">
        <f ca="1">IFERROR(__xludf.DUMMYFUNCTION("""COMPUTED_VALUE"""),-0.78997850215373)</f>
        <v>-0.78997850215373</v>
      </c>
      <c r="CN93" s="3">
        <f ca="1">IFERROR(__xludf.DUMMYFUNCTION("""COMPUTED_VALUE"""),-0.654736893854849)</f>
        <v>-0.65473689385484901</v>
      </c>
      <c r="CO93" s="3">
        <f ca="1">IFERROR(__xludf.DUMMYFUNCTION("""COMPUTED_VALUE"""),-0.67436862817836)</f>
        <v>-0.67436862817835996</v>
      </c>
      <c r="CP93" s="3">
        <f ca="1">IFERROR(__xludf.DUMMYFUNCTION("""COMPUTED_VALUE"""),-0.753243788830918)</f>
        <v>-0.75324378883091803</v>
      </c>
      <c r="CQ93" s="3">
        <f ca="1">IFERROR(__xludf.DUMMYFUNCTION("""COMPUTED_VALUE"""),-0.75810543249204)</f>
        <v>-0.75810543249203999</v>
      </c>
      <c r="CR93" s="3">
        <f ca="1">IFERROR(__xludf.DUMMYFUNCTION("""COMPUTED_VALUE"""),-0.717810641536886)</f>
        <v>-0.71781064153688601</v>
      </c>
      <c r="CS93" s="3">
        <f ca="1">IFERROR(__xludf.DUMMYFUNCTION("""COMPUTED_VALUE"""),-0.746109566627133)</f>
        <v>-0.74610956662713301</v>
      </c>
      <c r="CT93" s="3">
        <f ca="1">IFERROR(__xludf.DUMMYFUNCTION("""COMPUTED_VALUE"""),-0.739721469324167)</f>
        <v>-0.73972146932416705</v>
      </c>
      <c r="CU93" s="3">
        <f ca="1">IFERROR(__xludf.DUMMYFUNCTION("""COMPUTED_VALUE"""),-0.650522287588479)</f>
        <v>-0.65052228758847896</v>
      </c>
      <c r="CV93" s="3">
        <f ca="1">IFERROR(__xludf.DUMMYFUNCTION("""COMPUTED_VALUE"""),-0.699452272048088)</f>
        <v>-0.69945227204808802</v>
      </c>
      <c r="CW93" s="3">
        <f ca="1">IFERROR(__xludf.DUMMYFUNCTION("""COMPUTED_VALUE"""),-0.847945178997861)</f>
        <v>-0.84794517899786104</v>
      </c>
      <c r="CX93" s="3">
        <f ca="1">IFERROR(__xludf.DUMMYFUNCTION("""COMPUTED_VALUE"""),-0.754534503823418)</f>
        <v>-0.75453450382341802</v>
      </c>
      <c r="CY93" s="3">
        <f ca="1">IFERROR(__xludf.DUMMYFUNCTION("""COMPUTED_VALUE"""),-0.62229466999217)</f>
        <v>-0.62229466999216998</v>
      </c>
      <c r="CZ93" s="3">
        <f ca="1">IFERROR(__xludf.DUMMYFUNCTION("""COMPUTED_VALUE"""),-0.714270472261934)</f>
        <v>-0.71427047226193396</v>
      </c>
      <c r="DA93" s="3">
        <f ca="1">IFERROR(__xludf.DUMMYFUNCTION("""COMPUTED_VALUE"""),-0.782957864880623)</f>
        <v>-0.78295786488062302</v>
      </c>
      <c r="DB93" s="3">
        <f ca="1">IFERROR(__xludf.DUMMYFUNCTION("""COMPUTED_VALUE"""),-0.688542498062246)</f>
        <v>-0.68854249806224599</v>
      </c>
      <c r="DC93" s="3">
        <f ca="1">IFERROR(__xludf.DUMMYFUNCTION("""COMPUTED_VALUE"""),-0.719607060548795)</f>
        <v>-0.71960706054879497</v>
      </c>
      <c r="DD93" s="3">
        <f ca="1">IFERROR(__xludf.DUMMYFUNCTION("""COMPUTED_VALUE"""),-0.869768423692718)</f>
        <v>-0.86976842369271801</v>
      </c>
      <c r="DE93" s="3">
        <f ca="1">IFERROR(__xludf.DUMMYFUNCTION("""COMPUTED_VALUE"""),-0.750391680754724)</f>
        <v>-0.75039168075472396</v>
      </c>
      <c r="DF93" s="3">
        <f ca="1">IFERROR(__xludf.DUMMYFUNCTION("""COMPUTED_VALUE"""),-0.572534212356895)</f>
        <v>-0.57253421235689494</v>
      </c>
      <c r="DG93" s="3">
        <f ca="1">IFERROR(__xludf.DUMMYFUNCTION("""COMPUTED_VALUE"""),-0.666993058148275)</f>
        <v>-0.66699305814827503</v>
      </c>
      <c r="DH93" s="3">
        <f ca="1">IFERROR(__xludf.DUMMYFUNCTION("""COMPUTED_VALUE"""),-0.682114558018445)</f>
        <v>-0.68211455801844501</v>
      </c>
      <c r="DI93" s="3">
        <f ca="1">IFERROR(__xludf.DUMMYFUNCTION("""COMPUTED_VALUE"""),-0.658892859665658)</f>
        <v>-0.65889285966565803</v>
      </c>
      <c r="DJ93" s="3">
        <f ca="1">IFERROR(__xludf.DUMMYFUNCTION("""COMPUTED_VALUE"""),-0.705699374646885)</f>
        <v>-0.70569937464688504</v>
      </c>
      <c r="DK93" s="3">
        <f ca="1">IFERROR(__xludf.DUMMYFUNCTION("""COMPUTED_VALUE"""),-0.699267028835628)</f>
        <v>-0.69926702883562797</v>
      </c>
      <c r="DL93" s="3">
        <f ca="1">IFERROR(__xludf.DUMMYFUNCTION("""COMPUTED_VALUE"""),-0.655981936644132)</f>
        <v>-0.65598193664413196</v>
      </c>
      <c r="DM93" s="3">
        <f ca="1">IFERROR(__xludf.DUMMYFUNCTION("""COMPUTED_VALUE"""),-0.59695788703368)</f>
        <v>-0.59695788703368002</v>
      </c>
      <c r="DN93" s="3">
        <f ca="1">IFERROR(__xludf.DUMMYFUNCTION("""COMPUTED_VALUE"""),-0.654221644271961)</f>
        <v>-0.65422164427196094</v>
      </c>
      <c r="DO93" s="3">
        <f ca="1">IFERROR(__xludf.DUMMYFUNCTION("""COMPUTED_VALUE"""),-0.672554043457771)</f>
        <v>-0.67255404345777103</v>
      </c>
      <c r="DP93" s="3">
        <f ca="1">IFERROR(__xludf.DUMMYFUNCTION("""COMPUTED_VALUE"""),-0.669569661087735)</f>
        <v>-0.66956966108773497</v>
      </c>
      <c r="DQ93" s="3">
        <f ca="1">IFERROR(__xludf.DUMMYFUNCTION("""COMPUTED_VALUE"""),-0.718378281091655)</f>
        <v>-0.71837828109165502</v>
      </c>
      <c r="DR93" s="3">
        <f ca="1">IFERROR(__xludf.DUMMYFUNCTION("""COMPUTED_VALUE"""),-0.757139900705357)</f>
        <v>-0.75713990070535697</v>
      </c>
      <c r="DS93" s="3">
        <f ca="1">IFERROR(__xludf.DUMMYFUNCTION("""COMPUTED_VALUE"""),-0.731085634989674)</f>
        <v>-0.73108563498967405</v>
      </c>
      <c r="DT93" s="3">
        <f ca="1">IFERROR(__xludf.DUMMYFUNCTION("""COMPUTED_VALUE"""),-0.734754622959547)</f>
        <v>-0.73475462295954697</v>
      </c>
      <c r="DU93" s="3">
        <f ca="1">IFERROR(__xludf.DUMMYFUNCTION("""COMPUTED_VALUE"""),-0.723272696999614)</f>
        <v>-0.72327269699961405</v>
      </c>
      <c r="DV93" s="3">
        <f ca="1">IFERROR(__xludf.DUMMYFUNCTION("""COMPUTED_VALUE"""),-0.748443853383304)</f>
        <v>-0.74844385338330399</v>
      </c>
      <c r="DW93" s="3">
        <f ca="1">IFERROR(__xludf.DUMMYFUNCTION("""COMPUTED_VALUE"""),-0.691583001041634)</f>
        <v>-0.69158300104163395</v>
      </c>
      <c r="DX93" s="3">
        <f ca="1">IFERROR(__xludf.DUMMYFUNCTION("""COMPUTED_VALUE"""),-0.73353624427819)</f>
        <v>-0.73353624427818997</v>
      </c>
      <c r="DY93" s="3">
        <f ca="1">IFERROR(__xludf.DUMMYFUNCTION("""COMPUTED_VALUE"""),-0.756040953837097)</f>
        <v>-0.75604095383709702</v>
      </c>
      <c r="DZ93" s="3">
        <f ca="1">IFERROR(__xludf.DUMMYFUNCTION("""COMPUTED_VALUE"""),-0.746015664514156)</f>
        <v>-0.74601566451415602</v>
      </c>
      <c r="EA93" s="3">
        <f ca="1">IFERROR(__xludf.DUMMYFUNCTION("""COMPUTED_VALUE"""),-0.735891684160942)</f>
        <v>-0.73589168416094197</v>
      </c>
      <c r="EB93" s="3">
        <f ca="1">IFERROR(__xludf.DUMMYFUNCTION("""COMPUTED_VALUE"""),-0.726288498849418)</f>
        <v>-0.72628849884941804</v>
      </c>
      <c r="EC93" s="3">
        <f ca="1">IFERROR(__xludf.DUMMYFUNCTION("""COMPUTED_VALUE"""),-0.750846027688929)</f>
        <v>-0.75084602768892905</v>
      </c>
      <c r="ED93" s="3">
        <f ca="1">IFERROR(__xludf.DUMMYFUNCTION("""COMPUTED_VALUE"""),-0.71328866757009)</f>
        <v>-0.71328866757009002</v>
      </c>
      <c r="EE93" s="3">
        <f ca="1">IFERROR(__xludf.DUMMYFUNCTION("""COMPUTED_VALUE"""),-0.742031278536081)</f>
        <v>-0.74203127853608097</v>
      </c>
      <c r="EF93" s="3">
        <f ca="1">IFERROR(__xludf.DUMMYFUNCTION("""COMPUTED_VALUE"""),-0.743682167738056)</f>
        <v>-0.74368216773805595</v>
      </c>
      <c r="EG93" s="3">
        <f ca="1">IFERROR(__xludf.DUMMYFUNCTION("""COMPUTED_VALUE"""),-0.744361990120838)</f>
        <v>-0.74436199012083804</v>
      </c>
      <c r="EH93" s="3">
        <f ca="1">IFERROR(__xludf.DUMMYFUNCTION("""COMPUTED_VALUE"""),-0.735250326323842)</f>
        <v>-0.73525032632384202</v>
      </c>
      <c r="EI93" s="3">
        <f ca="1">IFERROR(__xludf.DUMMYFUNCTION("""COMPUTED_VALUE"""),-0.761307841004549)</f>
        <v>-0.76130784100454896</v>
      </c>
      <c r="EJ93" s="3">
        <f ca="1">IFERROR(__xludf.DUMMYFUNCTION("""COMPUTED_VALUE"""),-0.756593257566109)</f>
        <v>-0.75659325756610896</v>
      </c>
      <c r="EK93" s="3">
        <f ca="1">IFERROR(__xludf.DUMMYFUNCTION("""COMPUTED_VALUE"""),-0.713483034970346)</f>
        <v>-0.71348303497034604</v>
      </c>
      <c r="EL93" s="3">
        <f ca="1">IFERROR(__xludf.DUMMYFUNCTION("""COMPUTED_VALUE"""),-0.750977682344008)</f>
        <v>-0.75097768234400797</v>
      </c>
      <c r="EM93" s="3">
        <f ca="1">IFERROR(__xludf.DUMMYFUNCTION("""COMPUTED_VALUE"""),-0.759414416692787)</f>
        <v>-0.75941441669278698</v>
      </c>
      <c r="EN93" s="3">
        <f ca="1">IFERROR(__xludf.DUMMYFUNCTION("""COMPUTED_VALUE"""),-0.738159256618838)</f>
        <v>-0.73815925661883797</v>
      </c>
      <c r="EO93" s="3">
        <f ca="1">IFERROR(__xludf.DUMMYFUNCTION("""COMPUTED_VALUE"""),-0.737000449172573)</f>
        <v>-0.73700044917257301</v>
      </c>
      <c r="EP93" s="3">
        <f ca="1">IFERROR(__xludf.DUMMYFUNCTION("""COMPUTED_VALUE"""),-0.726991392697881)</f>
        <v>-0.72699139269788104</v>
      </c>
      <c r="EQ93" s="3">
        <f ca="1">IFERROR(__xludf.DUMMYFUNCTION("""COMPUTED_VALUE"""),-0.66882122958275)</f>
        <v>-0.66882122958275003</v>
      </c>
      <c r="ER93" s="3">
        <f ca="1">IFERROR(__xludf.DUMMYFUNCTION("""COMPUTED_VALUE"""),-0.684104570551173)</f>
        <v>-0.68410457055117302</v>
      </c>
      <c r="ES93" s="3">
        <f ca="1">IFERROR(__xludf.DUMMYFUNCTION("""COMPUTED_VALUE"""),-0.718919734844358)</f>
        <v>-0.718919734844358</v>
      </c>
      <c r="ET93" s="3">
        <f ca="1">IFERROR(__xludf.DUMMYFUNCTION("""COMPUTED_VALUE"""),-0.711856875018348)</f>
        <v>-0.71185687501834805</v>
      </c>
      <c r="EU93" s="3">
        <f ca="1">IFERROR(__xludf.DUMMYFUNCTION("""COMPUTED_VALUE"""),-0.718232081334574)</f>
        <v>-0.71823208133457395</v>
      </c>
      <c r="EV93" s="3">
        <f ca="1">IFERROR(__xludf.DUMMYFUNCTION("""COMPUTED_VALUE"""),-0.781081081486315)</f>
        <v>-0.78108108148631505</v>
      </c>
      <c r="EW93" s="3">
        <f ca="1">IFERROR(__xludf.DUMMYFUNCTION("""COMPUTED_VALUE"""),-0.67065709911882)</f>
        <v>-0.67065709911881999</v>
      </c>
      <c r="EX93" s="3">
        <f ca="1">IFERROR(__xludf.DUMMYFUNCTION("""COMPUTED_VALUE"""),-0.615338789404802)</f>
        <v>-0.61533878940480202</v>
      </c>
      <c r="EY93" s="3">
        <f ca="1">IFERROR(__xludf.DUMMYFUNCTION("""COMPUTED_VALUE"""),-0.572439635642192)</f>
        <v>-0.57243963564219202</v>
      </c>
      <c r="EZ93" s="3">
        <f ca="1">IFERROR(__xludf.DUMMYFUNCTION("""COMPUTED_VALUE"""),-0.623388813201992)</f>
        <v>-0.62338881320199202</v>
      </c>
      <c r="FA93" s="3">
        <f ca="1">IFERROR(__xludf.DUMMYFUNCTION("""COMPUTED_VALUE"""),-0.651602996831096)</f>
        <v>-0.65160299683109602</v>
      </c>
      <c r="FB93" s="3">
        <f ca="1">IFERROR(__xludf.DUMMYFUNCTION("""COMPUTED_VALUE"""),-0.664879746021695)</f>
        <v>-0.66487974602169497</v>
      </c>
      <c r="FC93" s="3">
        <f ca="1">IFERROR(__xludf.DUMMYFUNCTION("""COMPUTED_VALUE"""),-0.655813511426512)</f>
        <v>-0.65581351142651201</v>
      </c>
      <c r="FD93" s="3">
        <f ca="1">IFERROR(__xludf.DUMMYFUNCTION("""COMPUTED_VALUE"""),-0.668937396690314)</f>
        <v>-0.66893739669031405</v>
      </c>
      <c r="FE93" s="3">
        <f ca="1">IFERROR(__xludf.DUMMYFUNCTION("""COMPUTED_VALUE"""),-0.605307860411814)</f>
        <v>-0.60530786041181395</v>
      </c>
      <c r="FF93" s="3">
        <f ca="1">IFERROR(__xludf.DUMMYFUNCTION("""COMPUTED_VALUE"""),-0.54908267913574)</f>
        <v>-0.54908267913574005</v>
      </c>
      <c r="FG93" s="3">
        <f ca="1">IFERROR(__xludf.DUMMYFUNCTION("""COMPUTED_VALUE"""),-0.60447452182583)</f>
        <v>-0.60447452182582995</v>
      </c>
      <c r="FH93" s="3">
        <f ca="1">IFERROR(__xludf.DUMMYFUNCTION("""COMPUTED_VALUE"""),-0.635666211052248)</f>
        <v>-0.63566621105224796</v>
      </c>
      <c r="FI93" s="3">
        <f ca="1">IFERROR(__xludf.DUMMYFUNCTION("""COMPUTED_VALUE"""),-0.628402011315964)</f>
        <v>-0.62840201131596396</v>
      </c>
      <c r="FJ93" s="3">
        <f ca="1">IFERROR(__xludf.DUMMYFUNCTION("""COMPUTED_VALUE"""),-0.606085063520568)</f>
        <v>-0.60608506352056801</v>
      </c>
      <c r="FK93" s="3">
        <f ca="1">IFERROR(__xludf.DUMMYFUNCTION("""COMPUTED_VALUE"""),-0.642963489510144)</f>
        <v>-0.64296348951014404</v>
      </c>
      <c r="FL93" s="3">
        <f ca="1">IFERROR(__xludf.DUMMYFUNCTION("""COMPUTED_VALUE"""),-0.654217036710785)</f>
        <v>-0.65421703671078502</v>
      </c>
      <c r="FM93" s="3">
        <f ca="1">IFERROR(__xludf.DUMMYFUNCTION("""COMPUTED_VALUE"""),-0.538480419012545)</f>
        <v>-0.53848041901254495</v>
      </c>
      <c r="FN93" s="3">
        <f ca="1">IFERROR(__xludf.DUMMYFUNCTION("""COMPUTED_VALUE"""),-0.566656090231722)</f>
        <v>-0.56665609023172203</v>
      </c>
      <c r="FO93" s="3">
        <f ca="1">IFERROR(__xludf.DUMMYFUNCTION("""COMPUTED_VALUE"""),-0.657079894964291)</f>
        <v>-0.65707989496429098</v>
      </c>
      <c r="FP93" s="3">
        <f ca="1">IFERROR(__xludf.DUMMYFUNCTION("""COMPUTED_VALUE"""),-0.638296991132938)</f>
        <v>-0.63829699113293803</v>
      </c>
      <c r="FQ93" s="3">
        <f ca="1">IFERROR(__xludf.DUMMYFUNCTION("""COMPUTED_VALUE"""),-0.62261993872308)</f>
        <v>-0.62261993872307997</v>
      </c>
      <c r="FR93" s="3">
        <f ca="1">IFERROR(__xludf.DUMMYFUNCTION("""COMPUTED_VALUE"""),-0.645411368952637)</f>
        <v>-0.64541136895263695</v>
      </c>
      <c r="FS93" s="3">
        <f ca="1">IFERROR(__xludf.DUMMYFUNCTION("""COMPUTED_VALUE"""),-0.537373584775656)</f>
        <v>-0.537373584775656</v>
      </c>
      <c r="FT93" s="3">
        <f ca="1">IFERROR(__xludf.DUMMYFUNCTION("""COMPUTED_VALUE"""),-0.537006348923575)</f>
        <v>-0.53700634892357502</v>
      </c>
      <c r="FU93" s="3">
        <f ca="1">IFERROR(__xludf.DUMMYFUNCTION("""COMPUTED_VALUE"""),-0.545346142907797)</f>
        <v>-0.54534614290779704</v>
      </c>
      <c r="FV93" s="3">
        <f ca="1">IFERROR(__xludf.DUMMYFUNCTION("""COMPUTED_VALUE"""),-0.646736789244591)</f>
        <v>-0.64673678924459099</v>
      </c>
      <c r="FW93" s="3">
        <f ca="1">IFERROR(__xludf.DUMMYFUNCTION("""COMPUTED_VALUE"""),-0.640888015689288)</f>
        <v>-0.64088801568928799</v>
      </c>
      <c r="FX93" s="3">
        <f ca="1">IFERROR(__xludf.DUMMYFUNCTION("""COMPUTED_VALUE"""),-0.662753134586812)</f>
        <v>-0.66275313458681195</v>
      </c>
      <c r="FY93" s="3">
        <f ca="1">IFERROR(__xludf.DUMMYFUNCTION("""COMPUTED_VALUE"""),-0.643014319957699)</f>
        <v>-0.64301431995769898</v>
      </c>
      <c r="FZ93" s="3">
        <f ca="1">IFERROR(__xludf.DUMMYFUNCTION("""COMPUTED_VALUE"""),-0.75485132257328)</f>
        <v>-0.75485132257328003</v>
      </c>
      <c r="GA93" s="3">
        <f ca="1">IFERROR(__xludf.DUMMYFUNCTION("""COMPUTED_VALUE"""),-0.540636925192403)</f>
        <v>-0.54063692519240303</v>
      </c>
      <c r="GB93" s="3">
        <f ca="1">IFERROR(__xludf.DUMMYFUNCTION("""COMPUTED_VALUE"""),-0.55469682199685)</f>
        <v>-0.55469682199685</v>
      </c>
      <c r="GC93" s="3">
        <f ca="1">IFERROR(__xludf.DUMMYFUNCTION("""COMPUTED_VALUE"""),-0.644788383828335)</f>
        <v>-0.64478838382833503</v>
      </c>
      <c r="GD93" s="3">
        <f ca="1">IFERROR(__xludf.DUMMYFUNCTION("""COMPUTED_VALUE"""),-0.63599491879954)</f>
        <v>-0.63599491879953995</v>
      </c>
      <c r="GE93" s="3">
        <f ca="1">IFERROR(__xludf.DUMMYFUNCTION("""COMPUTED_VALUE"""),-0.632677644415509)</f>
        <v>-0.632677644415509</v>
      </c>
      <c r="GF93" s="3">
        <f ca="1">IFERROR(__xludf.DUMMYFUNCTION("""COMPUTED_VALUE"""),-0.62787761570608)</f>
        <v>-0.62787761570608003</v>
      </c>
      <c r="GG93" s="3">
        <f ca="1">IFERROR(__xludf.DUMMYFUNCTION("""COMPUTED_VALUE"""),-0.515055211011518)</f>
        <v>-0.51505521101151797</v>
      </c>
      <c r="GH93" s="3">
        <f ca="1">IFERROR(__xludf.DUMMYFUNCTION("""COMPUTED_VALUE"""),-0.487754856595854)</f>
        <v>-0.48775485659585399</v>
      </c>
      <c r="GI93" s="3">
        <f ca="1">IFERROR(__xludf.DUMMYFUNCTION("""COMPUTED_VALUE"""),-0.541147741405727)</f>
        <v>-0.54114774140572697</v>
      </c>
      <c r="GJ93" s="3">
        <f ca="1">IFERROR(__xludf.DUMMYFUNCTION("""COMPUTED_VALUE"""),-0.638736252596389)</f>
        <v>-0.638736252596389</v>
      </c>
      <c r="GK93" s="3">
        <f ca="1">IFERROR(__xludf.DUMMYFUNCTION("""COMPUTED_VALUE"""),-0.645793926800426)</f>
        <v>-0.64579392680042602</v>
      </c>
      <c r="GL93" s="3">
        <f ca="1">IFERROR(__xludf.DUMMYFUNCTION("""COMPUTED_VALUE"""),-0.619885786913085)</f>
        <v>-0.61988578691308505</v>
      </c>
      <c r="GM93" s="3">
        <f ca="1">IFERROR(__xludf.DUMMYFUNCTION("""COMPUTED_VALUE"""),-0.63366722541466)</f>
        <v>-0.63366722541466003</v>
      </c>
      <c r="GN93" s="3">
        <f ca="1">IFERROR(__xludf.DUMMYFUNCTION("""COMPUTED_VALUE"""),-0.598602380976929)</f>
        <v>-0.59860238097692897</v>
      </c>
      <c r="GO93" s="3">
        <f ca="1">IFERROR(__xludf.DUMMYFUNCTION("""COMPUTED_VALUE"""),-0.496697103993656)</f>
        <v>-0.49669710399365602</v>
      </c>
      <c r="GP93" s="3">
        <f ca="1">IFERROR(__xludf.DUMMYFUNCTION("""COMPUTED_VALUE"""),-0.50187568089858)</f>
        <v>-0.50187568089858003</v>
      </c>
      <c r="GQ93" s="3">
        <f ca="1">IFERROR(__xludf.DUMMYFUNCTION("""COMPUTED_VALUE"""),-0.592926822514462)</f>
        <v>-0.59292682251446205</v>
      </c>
      <c r="GR93" s="3">
        <f ca="1">IFERROR(__xludf.DUMMYFUNCTION("""COMPUTED_VALUE"""),-0.631579124445747)</f>
        <v>-0.63157912444574704</v>
      </c>
      <c r="GS93" s="3">
        <f ca="1">IFERROR(__xludf.DUMMYFUNCTION("""COMPUTED_VALUE"""),-0.61135579825798)</f>
        <v>-0.61135579825798003</v>
      </c>
      <c r="GT93" s="3">
        <f ca="1">IFERROR(__xludf.DUMMYFUNCTION("""COMPUTED_VALUE"""),-0.607962591210975)</f>
        <v>-0.60796259121097496</v>
      </c>
      <c r="GU93" s="3">
        <f ca="1">IFERROR(__xludf.DUMMYFUNCTION("""COMPUTED_VALUE"""),-0.590244799111671)</f>
        <v>-0.59024479911167105</v>
      </c>
      <c r="GV93" s="3">
        <f ca="1">IFERROR(__xludf.DUMMYFUNCTION("""COMPUTED_VALUE"""),-0.460039520466023)</f>
        <v>-0.46003952046602298</v>
      </c>
      <c r="GW93" s="3">
        <f ca="1">IFERROR(__xludf.DUMMYFUNCTION("""COMPUTED_VALUE"""),-0.485070563843733)</f>
        <v>-0.48507056384373298</v>
      </c>
      <c r="GX93" s="3">
        <f ca="1">IFERROR(__xludf.DUMMYFUNCTION("""COMPUTED_VALUE"""),-0.59017561034378)</f>
        <v>-0.59017561034377997</v>
      </c>
      <c r="GY93" s="3">
        <f ca="1">IFERROR(__xludf.DUMMYFUNCTION("""COMPUTED_VALUE"""),-0.617428603570996)</f>
        <v>-0.61742860357099605</v>
      </c>
      <c r="GZ93" s="3">
        <f ca="1">IFERROR(__xludf.DUMMYFUNCTION("""COMPUTED_VALUE"""),-0.598655621428524)</f>
        <v>-0.59865562142852402</v>
      </c>
      <c r="HA93" s="3">
        <f ca="1">IFERROR(__xludf.DUMMYFUNCTION("""COMPUTED_VALUE"""),-0.594877422707951)</f>
        <v>-0.59487742270795096</v>
      </c>
      <c r="HB93" s="3">
        <f ca="1">IFERROR(__xludf.DUMMYFUNCTION("""COMPUTED_VALUE"""),-0.590903571775447)</f>
        <v>-0.59090357177544695</v>
      </c>
      <c r="HC93" s="3">
        <f ca="1">IFERROR(__xludf.DUMMYFUNCTION("""COMPUTED_VALUE"""),-0.447935862167041)</f>
        <v>-0.44793586216704101</v>
      </c>
      <c r="HD93" s="3">
        <f ca="1">IFERROR(__xludf.DUMMYFUNCTION("""COMPUTED_VALUE"""),-0.47875655007472)</f>
        <v>-0.47875655007472001</v>
      </c>
      <c r="HE93" s="3">
        <f ca="1">IFERROR(__xludf.DUMMYFUNCTION("""COMPUTED_VALUE"""),-0.596088291734737)</f>
        <v>-0.59608829173473699</v>
      </c>
      <c r="HF93" s="3">
        <f ca="1">IFERROR(__xludf.DUMMYFUNCTION("""COMPUTED_VALUE"""),-0.601190605727669)</f>
        <v>-0.60119060572766903</v>
      </c>
      <c r="HG93" s="3">
        <f ca="1">IFERROR(__xludf.DUMMYFUNCTION("""COMPUTED_VALUE"""),-0.604047999945197)</f>
        <v>-0.60404799994519698</v>
      </c>
      <c r="HH93" s="3">
        <f ca="1">IFERROR(__xludf.DUMMYFUNCTION("""COMPUTED_VALUE"""),-0.578578064294567)</f>
        <v>-0.57857806429456704</v>
      </c>
      <c r="HI93" s="3">
        <f ca="1">IFERROR(__xludf.DUMMYFUNCTION("""COMPUTED_VALUE"""),-0.740182600008275)</f>
        <v>-0.74018260000827496</v>
      </c>
      <c r="HJ93" s="3">
        <f ca="1">IFERROR(__xludf.DUMMYFUNCTION("""COMPUTED_VALUE"""),-0.439237044977369)</f>
        <v>-0.43923704497736898</v>
      </c>
      <c r="HK93" s="3">
        <f ca="1">IFERROR(__xludf.DUMMYFUNCTION("""COMPUTED_VALUE"""),-0.462421272287219)</f>
        <v>-0.46242127228721902</v>
      </c>
      <c r="HL93" s="3">
        <f ca="1">IFERROR(__xludf.DUMMYFUNCTION("""COMPUTED_VALUE"""),-0.625532676138745)</f>
        <v>-0.62553267613874497</v>
      </c>
      <c r="HM93" s="3">
        <f ca="1">IFERROR(__xludf.DUMMYFUNCTION("""COMPUTED_VALUE"""),-0.641738416205449)</f>
        <v>-0.64173841620544902</v>
      </c>
      <c r="HN93" s="3">
        <f ca="1">IFERROR(__xludf.DUMMYFUNCTION("""COMPUTED_VALUE"""),-0.679181926973845)</f>
        <v>-0.67918192697384505</v>
      </c>
      <c r="HO93" s="3">
        <f ca="1">IFERROR(__xludf.DUMMYFUNCTION("""COMPUTED_VALUE"""),-0.639271633273804)</f>
        <v>-0.63927163327380399</v>
      </c>
      <c r="HP93" s="3">
        <f ca="1">IFERROR(__xludf.DUMMYFUNCTION("""COMPUTED_VALUE"""),-0.516687662209992)</f>
        <v>-0.51668766220999196</v>
      </c>
      <c r="HQ93" s="3">
        <f ca="1">IFERROR(__xludf.DUMMYFUNCTION("""COMPUTED_VALUE"""),-0.502856122701111)</f>
        <v>-0.50285612270111102</v>
      </c>
      <c r="HR93" s="3">
        <f ca="1">IFERROR(__xludf.DUMMYFUNCTION("""COMPUTED_VALUE"""),-0.423377057937703)</f>
        <v>-0.42337705793770303</v>
      </c>
      <c r="HS93" s="3">
        <f ca="1">IFERROR(__xludf.DUMMYFUNCTION("""COMPUTED_VALUE"""),-0.58403251605162)</f>
        <v>-0.58403251605161999</v>
      </c>
      <c r="HT93" s="3">
        <f ca="1">IFERROR(__xludf.DUMMYFUNCTION("""COMPUTED_VALUE"""),-0.567871441752831)</f>
        <v>-0.567871441752831</v>
      </c>
      <c r="HU93" s="3">
        <f ca="1">IFERROR(__xludf.DUMMYFUNCTION("""COMPUTED_VALUE"""),-0.602762727212152)</f>
        <v>-0.60276272721215196</v>
      </c>
      <c r="HV93" s="3">
        <f ca="1">IFERROR(__xludf.DUMMYFUNCTION("""COMPUTED_VALUE"""),-0.578426757735635)</f>
        <v>-0.57842675773563501</v>
      </c>
      <c r="HW93" s="3">
        <f ca="1">IFERROR(__xludf.DUMMYFUNCTION("""COMPUTED_VALUE"""),-0.326165902928337)</f>
        <v>-0.32616590292833703</v>
      </c>
      <c r="HX93" s="3">
        <f ca="1">IFERROR(__xludf.DUMMYFUNCTION("""COMPUTED_VALUE"""),-0.37298481637162)</f>
        <v>-0.37298481637162001</v>
      </c>
      <c r="HY93" s="3">
        <f ca="1">IFERROR(__xludf.DUMMYFUNCTION("""COMPUTED_VALUE"""),-0.394715427368725)</f>
        <v>-0.394715427368725</v>
      </c>
      <c r="HZ93" s="3">
        <f ca="1">IFERROR(__xludf.DUMMYFUNCTION("""COMPUTED_VALUE"""),-0.456274285565362)</f>
        <v>-0.45627428556536198</v>
      </c>
      <c r="IA93" s="3">
        <f ca="1">IFERROR(__xludf.DUMMYFUNCTION("""COMPUTED_VALUE"""),-0.448171642284232)</f>
        <v>-0.44817164228423201</v>
      </c>
      <c r="IB93" s="3">
        <f ca="1">IFERROR(__xludf.DUMMYFUNCTION("""COMPUTED_VALUE"""),-0.456784280934697)</f>
        <v>-0.45678428093469697</v>
      </c>
      <c r="IC93" s="3">
        <f ca="1">IFERROR(__xludf.DUMMYFUNCTION("""COMPUTED_VALUE"""),-0.429622123056475)</f>
        <v>-0.42962212305647501</v>
      </c>
      <c r="ID93" s="3">
        <f ca="1">IFERROR(__xludf.DUMMYFUNCTION("""COMPUTED_VALUE"""),-0.39552699145592)</f>
        <v>-0.39552699145592002</v>
      </c>
      <c r="IE93" s="3">
        <f ca="1">IFERROR(__xludf.DUMMYFUNCTION("""COMPUTED_VALUE"""),-0.354809842520866)</f>
        <v>-0.354809842520866</v>
      </c>
      <c r="IF93" s="3">
        <f ca="1">IFERROR(__xludf.DUMMYFUNCTION("""COMPUTED_VALUE"""),-0.390527172620749)</f>
        <v>-0.39052717262074899</v>
      </c>
      <c r="IG93" s="3">
        <f ca="1">IFERROR(__xludf.DUMMYFUNCTION("""COMPUTED_VALUE"""),-0.481125074137978)</f>
        <v>-0.481125074137978</v>
      </c>
      <c r="IH93" s="3">
        <f ca="1">IFERROR(__xludf.DUMMYFUNCTION("""COMPUTED_VALUE"""),-0.469306566453264)</f>
        <v>-0.46930656645326402</v>
      </c>
      <c r="II93" s="3">
        <f ca="1">IFERROR(__xludf.DUMMYFUNCTION("""COMPUTED_VALUE"""),-0.402904149578483)</f>
        <v>-0.40290414957848297</v>
      </c>
      <c r="IJ93" s="3">
        <f ca="1">IFERROR(__xludf.DUMMYFUNCTION("""COMPUTED_VALUE"""),-0.402635026514276)</f>
        <v>-0.40263502651427602</v>
      </c>
      <c r="IK93" s="3">
        <f ca="1">IFERROR(__xludf.DUMMYFUNCTION("""COMPUTED_VALUE"""),-0.315026426559059)</f>
        <v>-0.31502642655905899</v>
      </c>
      <c r="IL93" s="3">
        <f ca="1">IFERROR(__xludf.DUMMYFUNCTION("""COMPUTED_VALUE"""),-0.380862673580163)</f>
        <v>-0.38086267358016301</v>
      </c>
      <c r="IM93" s="3">
        <f ca="1">IFERROR(__xludf.DUMMYFUNCTION("""COMPUTED_VALUE"""),-0.368060991264083)</f>
        <v>-0.36806099126408298</v>
      </c>
      <c r="IN93" s="3">
        <f ca="1">IFERROR(__xludf.DUMMYFUNCTION("""COMPUTED_VALUE"""),-0.412123843881166)</f>
        <v>-0.41212384388116602</v>
      </c>
      <c r="IO93" s="3">
        <f ca="1">IFERROR(__xludf.DUMMYFUNCTION("""COMPUTED_VALUE"""),-0.388890439121477)</f>
        <v>-0.38889043912147703</v>
      </c>
      <c r="IP93" s="3">
        <f ca="1">IFERROR(__xludf.DUMMYFUNCTION("""COMPUTED_VALUE"""),-0.373080488387859)</f>
        <v>-0.37308048838785901</v>
      </c>
      <c r="IQ93" s="3">
        <f ca="1">IFERROR(__xludf.DUMMYFUNCTION("""COMPUTED_VALUE"""),-0.374294699250157)</f>
        <v>-0.37429469925015701</v>
      </c>
      <c r="IR93" s="3">
        <f ca="1">IFERROR(__xludf.DUMMYFUNCTION("""COMPUTED_VALUE"""),-0.512178892122872)</f>
        <v>-0.51217889212287204</v>
      </c>
      <c r="IS93" s="3">
        <f ca="1">IFERROR(__xludf.DUMMYFUNCTION("""COMPUTED_VALUE"""),-0.371205048955047)</f>
        <v>-0.37120504895504702</v>
      </c>
      <c r="IT93" s="3">
        <f ca="1">IFERROR(__xludf.DUMMYFUNCTION("""COMPUTED_VALUE"""),-0.407317517274593)</f>
        <v>-0.40731751727459298</v>
      </c>
      <c r="IU93" s="3">
        <f ca="1">IFERROR(__xludf.DUMMYFUNCTION("""COMPUTED_VALUE"""),-0.43803305858742)</f>
        <v>-0.43803305858741998</v>
      </c>
      <c r="IV93" s="3">
        <f ca="1">IFERROR(__xludf.DUMMYFUNCTION("""COMPUTED_VALUE"""),-0.399112797729508)</f>
        <v>-0.39911279772950797</v>
      </c>
      <c r="IW93" s="3">
        <f ca="1">IFERROR(__xludf.DUMMYFUNCTION("""COMPUTED_VALUE"""),-0.398970938635014)</f>
        <v>-0.39897093863501398</v>
      </c>
      <c r="IX93" s="3">
        <f ca="1">IFERROR(__xludf.DUMMYFUNCTION("""COMPUTED_VALUE"""),-0.462188836495192)</f>
        <v>-0.46218883649519199</v>
      </c>
      <c r="IY93" s="3">
        <f ca="1">IFERROR(__xludf.DUMMYFUNCTION("""COMPUTED_VALUE"""),-0.368867683736324)</f>
        <v>-0.368867683736324</v>
      </c>
      <c r="IZ93" s="3">
        <f ca="1">IFERROR(__xludf.DUMMYFUNCTION("""COMPUTED_VALUE"""),-0.39554846454974)</f>
        <v>-0.39554846454974002</v>
      </c>
      <c r="JA93" s="3">
        <f ca="1">IFERROR(__xludf.DUMMYFUNCTION("""COMPUTED_VALUE"""),-0.419186796412476)</f>
        <v>-0.41918679641247603</v>
      </c>
      <c r="JB93" s="3">
        <f ca="1">IFERROR(__xludf.DUMMYFUNCTION("""COMPUTED_VALUE"""),-0.463419587491388)</f>
        <v>-0.46341958749138801</v>
      </c>
      <c r="JC93" s="3">
        <f ca="1">IFERROR(__xludf.DUMMYFUNCTION("""COMPUTED_VALUE"""),-0.454533197940092)</f>
        <v>-0.454533197940092</v>
      </c>
      <c r="JD93" s="3">
        <f ca="1">IFERROR(__xludf.DUMMYFUNCTION("""COMPUTED_VALUE"""),-0.432617664059139)</f>
        <v>-0.43261766405913898</v>
      </c>
      <c r="JE93" s="3">
        <f ca="1">IFERROR(__xludf.DUMMYFUNCTION("""COMPUTED_VALUE"""),-0.445979088425556)</f>
        <v>-0.445979088425556</v>
      </c>
      <c r="JF93" s="3">
        <f ca="1">IFERROR(__xludf.DUMMYFUNCTION("""COMPUTED_VALUE"""),-0.418770970238974)</f>
        <v>-0.41877097023897403</v>
      </c>
      <c r="JG93" s="3">
        <f ca="1">IFERROR(__xludf.DUMMYFUNCTION("""COMPUTED_VALUE"""),-0.399654340156002)</f>
        <v>-0.39965434015600199</v>
      </c>
      <c r="JH93" s="3">
        <f ca="1">IFERROR(__xludf.DUMMYFUNCTION("""COMPUTED_VALUE"""),-0.455762430185876)</f>
        <v>-0.45576243018587598</v>
      </c>
      <c r="JI93" s="3">
        <f ca="1">IFERROR(__xludf.DUMMYFUNCTION("""COMPUTED_VALUE"""),-0.482398621803789)</f>
        <v>-0.48239862180378901</v>
      </c>
      <c r="JJ93" s="3">
        <f ca="1">IFERROR(__xludf.DUMMYFUNCTION("""COMPUTED_VALUE"""),-0.438789700386923)</f>
        <v>-0.438789700386923</v>
      </c>
      <c r="JK93" s="3">
        <f ca="1">IFERROR(__xludf.DUMMYFUNCTION("""COMPUTED_VALUE"""),-0.440298666575644)</f>
        <v>-0.44029866657564398</v>
      </c>
      <c r="JL93" s="3">
        <f ca="1">IFERROR(__xludf.DUMMYFUNCTION("""COMPUTED_VALUE"""),-0.443482555681012)</f>
        <v>-0.44348255568101203</v>
      </c>
      <c r="JM93" s="3">
        <f ca="1">IFERROR(__xludf.DUMMYFUNCTION("""COMPUTED_VALUE"""),-0.501191748295666)</f>
        <v>-0.50119174829566604</v>
      </c>
      <c r="JN93" s="3">
        <f ca="1">IFERROR(__xludf.DUMMYFUNCTION("""COMPUTED_VALUE"""),-0.447661796074552)</f>
        <v>-0.44766179607455198</v>
      </c>
      <c r="JO93" s="3">
        <f ca="1">IFERROR(__xludf.DUMMYFUNCTION("""COMPUTED_VALUE"""),-0.460792757126437)</f>
        <v>-0.46079275712643702</v>
      </c>
      <c r="JP93" s="3">
        <f ca="1">IFERROR(__xludf.DUMMYFUNCTION("""COMPUTED_VALUE"""),-0.485289029662295)</f>
        <v>-0.48528902966229498</v>
      </c>
      <c r="JQ93" s="3">
        <f ca="1">IFERROR(__xludf.DUMMYFUNCTION("""COMPUTED_VALUE"""),-0.487332004118842)</f>
        <v>-0.48733200411884198</v>
      </c>
      <c r="JR93" s="3">
        <f ca="1">IFERROR(__xludf.DUMMYFUNCTION("""COMPUTED_VALUE"""),-0.447135868367585)</f>
        <v>-0.44713586836758501</v>
      </c>
      <c r="JS93" s="3">
        <f ca="1">IFERROR(__xludf.DUMMYFUNCTION("""COMPUTED_VALUE"""),-0.475996713789853)</f>
        <v>-0.47599671378985298</v>
      </c>
      <c r="JT93" s="3">
        <f ca="1">IFERROR(__xludf.DUMMYFUNCTION("""COMPUTED_VALUE"""),-0.374998095375268)</f>
        <v>-0.37499809537526801</v>
      </c>
      <c r="JU93" s="3">
        <f ca="1">IFERROR(__xludf.DUMMYFUNCTION("""COMPUTED_VALUE"""),-0.465657593403453)</f>
        <v>-0.46565759340345297</v>
      </c>
      <c r="JV93" s="3">
        <f ca="1">IFERROR(__xludf.DUMMYFUNCTION("""COMPUTED_VALUE"""),-0.482964759817676)</f>
        <v>-0.482964759817676</v>
      </c>
      <c r="JW93" s="3">
        <f ca="1">IFERROR(__xludf.DUMMYFUNCTION("""COMPUTED_VALUE"""),-0.50972199783095)</f>
        <v>-0.50972199783094996</v>
      </c>
      <c r="JX93" s="3">
        <f ca="1">IFERROR(__xludf.DUMMYFUNCTION("""COMPUTED_VALUE"""),-0.511258573031355)</f>
        <v>-0.51125857303135502</v>
      </c>
      <c r="JY93" s="3">
        <f ca="1">IFERROR(__xludf.DUMMYFUNCTION("""COMPUTED_VALUE"""),-0.671812276002112)</f>
        <v>-0.67181227600211202</v>
      </c>
      <c r="JZ93" s="3">
        <f ca="1">IFERROR(__xludf.DUMMYFUNCTION("""COMPUTED_VALUE"""),-0.495578191721834)</f>
        <v>-0.49557819172183398</v>
      </c>
      <c r="KA93" s="3">
        <f ca="1">IFERROR(__xludf.DUMMYFUNCTION("""COMPUTED_VALUE"""),-0.425308459699379)</f>
        <v>-0.42530845969937903</v>
      </c>
      <c r="KB93" s="3">
        <f ca="1">IFERROR(__xludf.DUMMYFUNCTION("""COMPUTED_VALUE"""),-0.481528084549974)</f>
        <v>-0.48152808454997398</v>
      </c>
      <c r="KC93" s="3">
        <f ca="1">IFERROR(__xludf.DUMMYFUNCTION("""COMPUTED_VALUE"""),-0.492986532704877)</f>
        <v>-0.49298653270487702</v>
      </c>
      <c r="KD93" s="3">
        <f ca="1">IFERROR(__xludf.DUMMYFUNCTION("""COMPUTED_VALUE"""),-0.53764592015813)</f>
        <v>-0.53764592015812995</v>
      </c>
      <c r="KE93" s="3">
        <f ca="1">IFERROR(__xludf.DUMMYFUNCTION("""COMPUTED_VALUE"""),-0.604227146401512)</f>
        <v>-0.60422714640151198</v>
      </c>
      <c r="KF93" s="3">
        <f ca="1">IFERROR(__xludf.DUMMYFUNCTION("""COMPUTED_VALUE"""),-0.550436681503666)</f>
        <v>-0.55043668150366598</v>
      </c>
      <c r="KG93" s="3">
        <f ca="1">IFERROR(__xludf.DUMMYFUNCTION("""COMPUTED_VALUE"""),-0.573219130502003)</f>
        <v>-0.57321913050200302</v>
      </c>
      <c r="KH93" s="3">
        <f ca="1">IFERROR(__xludf.DUMMYFUNCTION("""COMPUTED_VALUE"""),-0.490062826355658)</f>
        <v>-0.49006282635565801</v>
      </c>
      <c r="KI93" s="3">
        <f ca="1">IFERROR(__xludf.DUMMYFUNCTION("""COMPUTED_VALUE"""),-0.523466726025343)</f>
        <v>-0.52346672602534305</v>
      </c>
      <c r="KJ93" s="3">
        <f ca="1">IFERROR(__xludf.DUMMYFUNCTION("""COMPUTED_VALUE"""),-0.573780518988614)</f>
        <v>-0.57378051898861404</v>
      </c>
      <c r="KK93" s="3">
        <f ca="1">IFERROR(__xludf.DUMMYFUNCTION("""COMPUTED_VALUE"""),-0.574371833262413)</f>
        <v>-0.57437183326241303</v>
      </c>
      <c r="KL93" s="3">
        <f ca="1">IFERROR(__xludf.DUMMYFUNCTION("""COMPUTED_VALUE"""),-0.614138139112756)</f>
        <v>-0.61413813911275605</v>
      </c>
      <c r="KM93" s="3">
        <f ca="1">IFERROR(__xludf.DUMMYFUNCTION("""COMPUTED_VALUE"""),-0.636837486237138)</f>
        <v>-0.63683748623713798</v>
      </c>
      <c r="KN93" s="3">
        <f ca="1">IFERROR(__xludf.DUMMYFUNCTION("""COMPUTED_VALUE"""),-0.6136973589816)</f>
        <v>-0.61369735898160005</v>
      </c>
      <c r="KO93" s="3">
        <f ca="1">IFERROR(__xludf.DUMMYFUNCTION("""COMPUTED_VALUE"""),-0.582838193193606)</f>
        <v>-0.58283819319360597</v>
      </c>
      <c r="KP93" s="3">
        <f ca="1">IFERROR(__xludf.DUMMYFUNCTION("""COMPUTED_VALUE"""),-0.533306673947803)</f>
        <v>-0.53330667394780296</v>
      </c>
      <c r="KQ93" s="3">
        <f ca="1">IFERROR(__xludf.DUMMYFUNCTION("""COMPUTED_VALUE"""),-0.560256593291725)</f>
        <v>-0.56025659329172495</v>
      </c>
      <c r="KR93" s="3">
        <f ca="1">IFERROR(__xludf.DUMMYFUNCTION("""COMPUTED_VALUE"""),-0.613740485084121)</f>
        <v>-0.61374048508412105</v>
      </c>
      <c r="KS93" s="3">
        <f ca="1">IFERROR(__xludf.DUMMYFUNCTION("""COMPUTED_VALUE"""),-0.638801807850456)</f>
        <v>-0.63880180785045604</v>
      </c>
      <c r="KT93" s="3">
        <f ca="1">IFERROR(__xludf.DUMMYFUNCTION("""COMPUTED_VALUE"""),-0.633379538622472)</f>
        <v>-0.63337953862247198</v>
      </c>
      <c r="KU93" s="3">
        <f ca="1">IFERROR(__xludf.DUMMYFUNCTION("""COMPUTED_VALUE"""),-0.656194734256883)</f>
        <v>-0.65619473425688302</v>
      </c>
      <c r="KV93" s="3">
        <f ca="1">IFERROR(__xludf.DUMMYFUNCTION("""COMPUTED_VALUE"""),-0.640020630704908)</f>
        <v>-0.640020630704908</v>
      </c>
      <c r="KW93" s="3">
        <f ca="1">IFERROR(__xludf.DUMMYFUNCTION("""COMPUTED_VALUE"""),-0.589756698237994)</f>
        <v>-0.58975669823799404</v>
      </c>
      <c r="KX93" s="3">
        <f ca="1">IFERROR(__xludf.DUMMYFUNCTION("""COMPUTED_VALUE"""),-0.61496195224705)</f>
        <v>-0.61496195224704997</v>
      </c>
      <c r="KY93" s="3">
        <f ca="1">IFERROR(__xludf.DUMMYFUNCTION("""COMPUTED_VALUE"""),-0.609032150303972)</f>
        <v>-0.60903215030397195</v>
      </c>
      <c r="KZ93" s="3">
        <f ca="1">IFERROR(__xludf.DUMMYFUNCTION("""COMPUTED_VALUE"""),-0.641578628524873)</f>
        <v>-0.64157862852487302</v>
      </c>
      <c r="LA93" s="3">
        <f ca="1">IFERROR(__xludf.DUMMYFUNCTION("""COMPUTED_VALUE"""),-0.647410794449488)</f>
        <v>-0.64741079444948801</v>
      </c>
      <c r="LB93" s="3">
        <f ca="1">IFERROR(__xludf.DUMMYFUNCTION("""COMPUTED_VALUE"""),-0.658005456811971)</f>
        <v>-0.65800545681197098</v>
      </c>
      <c r="LC93" s="3">
        <f ca="1">IFERROR(__xludf.DUMMYFUNCTION("""COMPUTED_VALUE"""),-0.632339137352442)</f>
        <v>-0.63233913735244196</v>
      </c>
      <c r="LD93" s="3">
        <f ca="1">IFERROR(__xludf.DUMMYFUNCTION("""COMPUTED_VALUE"""),-0.59083610767101)</f>
        <v>-0.59083610767101002</v>
      </c>
      <c r="LE93" s="3">
        <f ca="1">IFERROR(__xludf.DUMMYFUNCTION("""COMPUTED_VALUE"""),-0.643680071819047)</f>
        <v>-0.64368007181904696</v>
      </c>
      <c r="LF93" s="3">
        <f ca="1">IFERROR(__xludf.DUMMYFUNCTION("""COMPUTED_VALUE"""),-0.690408530048101)</f>
        <v>-0.69040853004810099</v>
      </c>
      <c r="LG93" s="3">
        <f ca="1">IFERROR(__xludf.DUMMYFUNCTION("""COMPUTED_VALUE"""),-0.716966130996449)</f>
        <v>-0.71696613099644901</v>
      </c>
      <c r="LH93" s="3">
        <f ca="1">IFERROR(__xludf.DUMMYFUNCTION("""COMPUTED_VALUE"""),-0.683953272223399)</f>
        <v>-0.68395327222339897</v>
      </c>
      <c r="LI93" s="3">
        <f ca="1">IFERROR(__xludf.DUMMYFUNCTION("""COMPUTED_VALUE"""),-0.721174923576714)</f>
        <v>-0.72117492357671398</v>
      </c>
      <c r="LJ93" s="3">
        <f ca="1">IFERROR(__xludf.DUMMYFUNCTION("""COMPUTED_VALUE"""),-0.649572835442097)</f>
        <v>-0.64957283544209699</v>
      </c>
      <c r="LK93" s="3">
        <f ca="1">IFERROR(__xludf.DUMMYFUNCTION("""COMPUTED_VALUE"""),-0.637039130673673)</f>
        <v>-0.63703913067367302</v>
      </c>
      <c r="LL93" s="3">
        <f ca="1">IFERROR(__xludf.DUMMYFUNCTION("""COMPUTED_VALUE"""),-0.653970013536765)</f>
        <v>-0.65397001353676498</v>
      </c>
      <c r="LM93" s="3">
        <f ca="1">IFERROR(__xludf.DUMMYFUNCTION("""COMPUTED_VALUE"""),-0.699510856247542)</f>
        <v>-0.69951085624754195</v>
      </c>
      <c r="LN93" s="3">
        <f ca="1">IFERROR(__xludf.DUMMYFUNCTION("""COMPUTED_VALUE"""),-0.702422914758305)</f>
        <v>-0.70242291475830498</v>
      </c>
      <c r="LO93" s="3">
        <f ca="1">IFERROR(__xludf.DUMMYFUNCTION("""COMPUTED_VALUE"""),-0.699825929768431)</f>
        <v>-0.69982592976843105</v>
      </c>
      <c r="LP93" s="3">
        <f ca="1">IFERROR(__xludf.DUMMYFUNCTION("""COMPUTED_VALUE"""),-0.700955548516579)</f>
        <v>-0.70095554851657904</v>
      </c>
      <c r="LQ93" s="3">
        <f ca="1">IFERROR(__xludf.DUMMYFUNCTION("""COMPUTED_VALUE"""),-0.756490378455011)</f>
        <v>-0.75649037845501099</v>
      </c>
      <c r="LR93" s="3">
        <f ca="1">IFERROR(__xludf.DUMMYFUNCTION("""COMPUTED_VALUE"""),-0.59730759819928)</f>
        <v>-0.59730759819928003</v>
      </c>
      <c r="LS93" s="3">
        <f ca="1">IFERROR(__xludf.DUMMYFUNCTION("""COMPUTED_VALUE"""),-0.678827315740229)</f>
        <v>-0.67882731574022903</v>
      </c>
      <c r="LT93" s="3">
        <f ca="1">IFERROR(__xludf.DUMMYFUNCTION("""COMPUTED_VALUE"""),-0.724313451891002)</f>
        <v>-0.72431345189100205</v>
      </c>
      <c r="LU93" s="3">
        <f ca="1">IFERROR(__xludf.DUMMYFUNCTION("""COMPUTED_VALUE"""),-0.746683490080114)</f>
        <v>-0.74668349008011403</v>
      </c>
      <c r="LV93" s="3">
        <f ca="1">IFERROR(__xludf.DUMMYFUNCTION("""COMPUTED_VALUE"""),-0.759373185433927)</f>
        <v>-0.75937318543392696</v>
      </c>
      <c r="LW93" s="3">
        <f ca="1">IFERROR(__xludf.DUMMYFUNCTION("""COMPUTED_VALUE"""),-0.746031490316972)</f>
        <v>-0.74603149031697202</v>
      </c>
      <c r="LX93" s="3">
        <f ca="1">IFERROR(__xludf.DUMMYFUNCTION("""COMPUTED_VALUE"""),-0.68820707902591)</f>
        <v>-0.68820707902591005</v>
      </c>
      <c r="LY93" s="3">
        <f ca="1">IFERROR(__xludf.DUMMYFUNCTION("""COMPUTED_VALUE"""),-0.654278278057798)</f>
        <v>-0.65427827805779804</v>
      </c>
      <c r="LZ93" s="3">
        <f ca="1">IFERROR(__xludf.DUMMYFUNCTION("""COMPUTED_VALUE"""),-0.716739466517171)</f>
        <v>-0.71673946651717102</v>
      </c>
      <c r="MA93" s="3">
        <f ca="1">IFERROR(__xludf.DUMMYFUNCTION("""COMPUTED_VALUE"""),-0.738410321980915)</f>
        <v>-0.73841032198091505</v>
      </c>
      <c r="MB93" s="3">
        <f ca="1">IFERROR(__xludf.DUMMYFUNCTION("""COMPUTED_VALUE"""),-0.73712252052316)</f>
        <v>-0.73712252052315996</v>
      </c>
      <c r="MC93" s="3">
        <f ca="1">IFERROR(__xludf.DUMMYFUNCTION("""COMPUTED_VALUE"""),-0.732135133703156)</f>
        <v>-0.73213513370315597</v>
      </c>
      <c r="MD93" s="3">
        <f ca="1">IFERROR(__xludf.DUMMYFUNCTION("""COMPUTED_VALUE"""),-0.734957707670004)</f>
        <v>-0.73495770767000401</v>
      </c>
      <c r="ME93" s="3">
        <f ca="1">IFERROR(__xludf.DUMMYFUNCTION("""COMPUTED_VALUE"""),-0.694068367296335)</f>
        <v>-0.69406836729633503</v>
      </c>
      <c r="MF93" s="3">
        <f ca="1">IFERROR(__xludf.DUMMYFUNCTION("""COMPUTED_VALUE"""),-0.688997740156293)</f>
        <v>-0.688997740156293</v>
      </c>
      <c r="MG93" s="3">
        <f ca="1">IFERROR(__xludf.DUMMYFUNCTION("""COMPUTED_VALUE"""),-0.730642788143715)</f>
        <v>-0.73064278814371497</v>
      </c>
      <c r="MH93" s="3">
        <f ca="1">IFERROR(__xludf.DUMMYFUNCTION("""COMPUTED_VALUE"""),-0.789750913502862)</f>
        <v>-0.78975091350286197</v>
      </c>
      <c r="MI93" s="3">
        <f ca="1">IFERROR(__xludf.DUMMYFUNCTION("""COMPUTED_VALUE"""),-0.768951888752265)</f>
        <v>-0.76895188875226494</v>
      </c>
      <c r="MJ93" s="3">
        <f ca="1">IFERROR(__xludf.DUMMYFUNCTION("""COMPUTED_VALUE"""),-0.771912409071452)</f>
        <v>-0.77191240907145198</v>
      </c>
      <c r="MK93" s="3">
        <f ca="1">IFERROR(__xludf.DUMMYFUNCTION("""COMPUTED_VALUE"""),-0.773964114502072)</f>
        <v>-0.77396411450207203</v>
      </c>
      <c r="ML93" s="3">
        <f ca="1">IFERROR(__xludf.DUMMYFUNCTION("""COMPUTED_VALUE"""),-0.765378649399549)</f>
        <v>-0.76537864939954903</v>
      </c>
      <c r="MM93" s="3">
        <f ca="1">IFERROR(__xludf.DUMMYFUNCTION("""COMPUTED_VALUE"""),-0.674104037111123)</f>
        <v>-0.67410403711112299</v>
      </c>
      <c r="MN93" s="3">
        <f ca="1">IFERROR(__xludf.DUMMYFUNCTION("""COMPUTED_VALUE"""),-0.753269416204596)</f>
        <v>-0.75326941620459598</v>
      </c>
      <c r="MO93" s="3">
        <f ca="1">IFERROR(__xludf.DUMMYFUNCTION("""COMPUTED_VALUE"""),-0.724559213899888)</f>
        <v>-0.72455921389988798</v>
      </c>
      <c r="MP93" s="3">
        <f ca="1">IFERROR(__xludf.DUMMYFUNCTION("""COMPUTED_VALUE"""),-0.799809870160768)</f>
        <v>-0.79980987016076799</v>
      </c>
      <c r="MQ93" s="3">
        <f ca="1">IFERROR(__xludf.DUMMYFUNCTION("""COMPUTED_VALUE"""),-0.793019219676522)</f>
        <v>-0.793019219676522</v>
      </c>
      <c r="MR93" s="3">
        <f ca="1">IFERROR(__xludf.DUMMYFUNCTION("""COMPUTED_VALUE"""),-0.794921047636502)</f>
        <v>-0.79492104763650195</v>
      </c>
      <c r="MS93" s="3">
        <f ca="1">IFERROR(__xludf.DUMMYFUNCTION("""COMPUTED_VALUE"""),-0.782726109741609)</f>
        <v>-0.78272610974160906</v>
      </c>
      <c r="MT93" s="3">
        <f ca="1">IFERROR(__xludf.DUMMYFUNCTION("""COMPUTED_VALUE"""),-0.674913017307369)</f>
        <v>-0.67491301730736897</v>
      </c>
      <c r="MU93" s="3">
        <f ca="1">IFERROR(__xludf.DUMMYFUNCTION("""COMPUTED_VALUE"""),-0.753952948206192)</f>
        <v>-0.75395294820619196</v>
      </c>
      <c r="MV93" s="3">
        <f ca="1">IFERROR(__xludf.DUMMYFUNCTION("""COMPUTED_VALUE"""),-0.757327550822604)</f>
        <v>-0.75732755082260395</v>
      </c>
      <c r="MW93" s="3">
        <f ca="1">IFERROR(__xludf.DUMMYFUNCTION("""COMPUTED_VALUE"""),-0.814562575295049)</f>
        <v>-0.81456257529504905</v>
      </c>
      <c r="MX93" s="3">
        <f ca="1">IFERROR(__xludf.DUMMYFUNCTION("""COMPUTED_VALUE"""),-0.804502286296371)</f>
        <v>-0.80450228629637099</v>
      </c>
      <c r="MY93" s="3">
        <f ca="1">IFERROR(__xludf.DUMMYFUNCTION("""COMPUTED_VALUE"""),-0.802141876438964)</f>
        <v>-0.80214187643896395</v>
      </c>
      <c r="MZ93" s="3">
        <f ca="1">IFERROR(__xludf.DUMMYFUNCTION("""COMPUTED_VALUE"""),-0.788681504401743)</f>
        <v>-0.78868150440174301</v>
      </c>
      <c r="NA93" s="3">
        <f ca="1">IFERROR(__xludf.DUMMYFUNCTION("""COMPUTED_VALUE"""),-0.720655240181995)</f>
        <v>-0.720655240181995</v>
      </c>
      <c r="NB93" s="3">
        <f ca="1">IFERROR(__xludf.DUMMYFUNCTION("""COMPUTED_VALUE"""),-0.763090898647594)</f>
        <v>-0.76309089864759405</v>
      </c>
      <c r="NC93" s="3">
        <f ca="1">IFERROR(__xludf.DUMMYFUNCTION("""COMPUTED_VALUE"""),-0.838463167756307)</f>
        <v>-0.83846316775630703</v>
      </c>
      <c r="ND93" s="3">
        <f ca="1">IFERROR(__xludf.DUMMYFUNCTION("""COMPUTED_VALUE"""),-0.811363704544251)</f>
        <v>-0.811363704544251</v>
      </c>
      <c r="NE93" s="3">
        <f ca="1">IFERROR(__xludf.DUMMYFUNCTION("""COMPUTED_VALUE"""),-0.827217245360528)</f>
        <v>-0.82721724536052799</v>
      </c>
      <c r="NF93" s="3">
        <f ca="1">IFERROR(__xludf.DUMMYFUNCTION("""COMPUTED_VALUE"""),-0.821206847095564)</f>
        <v>-0.82120684709556402</v>
      </c>
      <c r="NG93" s="3">
        <f ca="1">IFERROR(__xludf.DUMMYFUNCTION("""COMPUTED_VALUE"""),-0.817160956839862)</f>
        <v>-0.81716095683986201</v>
      </c>
      <c r="NH93" s="3">
        <f ca="1">IFERROR(__xludf.DUMMYFUNCTION("""COMPUTED_VALUE"""),-0.726778087990037)</f>
        <v>-0.72677808799003696</v>
      </c>
      <c r="NI93" s="3">
        <f ca="1">IFERROR(__xludf.DUMMYFUNCTION("""COMPUTED_VALUE"""),-0.767396765961038)</f>
        <v>-0.76739676596103801</v>
      </c>
      <c r="NJ93" s="3">
        <f ca="1">IFERROR(__xludf.DUMMYFUNCTION("""COMPUTED_VALUE"""),-0.805266963217265)</f>
        <v>-0.80526696321726499</v>
      </c>
      <c r="NK93" s="3">
        <f ca="1">IFERROR(__xludf.DUMMYFUNCTION("""COMPUTED_VALUE"""),-0.819447357507433)</f>
        <v>-0.81944735750743303</v>
      </c>
      <c r="NL93" s="3">
        <f ca="1">IFERROR(__xludf.DUMMYFUNCTION("""COMPUTED_VALUE"""),-0.814243785950077)</f>
        <v>-0.81424378595007696</v>
      </c>
      <c r="NM93" s="3">
        <f ca="1">IFERROR(__xludf.DUMMYFUNCTION("""COMPUTED_VALUE"""),-0.795839447734702)</f>
        <v>-0.79583944773470205</v>
      </c>
      <c r="NN93" s="3">
        <f ca="1">IFERROR(__xludf.DUMMYFUNCTION("""COMPUTED_VALUE"""),-0.801840796959061)</f>
        <v>-0.80184079695906096</v>
      </c>
      <c r="NO93" s="3">
        <f ca="1">IFERROR(__xludf.DUMMYFUNCTION("""COMPUTED_VALUE"""),-0.697809576899877)</f>
        <v>-0.69780957689987699</v>
      </c>
      <c r="NP93" s="3">
        <f ca="1">IFERROR(__xludf.DUMMYFUNCTION("""COMPUTED_VALUE"""),-0.720077156968493)</f>
        <v>-0.72007715696849295</v>
      </c>
      <c r="NQ93" s="3">
        <f ca="1">IFERROR(__xludf.DUMMYFUNCTION("""COMPUTED_VALUE"""),-0.770075366828518)</f>
        <v>-0.77007536682851796</v>
      </c>
      <c r="NR93" s="3">
        <f ca="1">IFERROR(__xludf.DUMMYFUNCTION("""COMPUTED_VALUE"""),-0.80229146944732)</f>
        <v>-0.80229146944731999</v>
      </c>
      <c r="NS93" s="3">
        <f ca="1">IFERROR(__xludf.DUMMYFUNCTION("""COMPUTED_VALUE"""),-0.788485960617866)</f>
        <v>-0.78848596061786602</v>
      </c>
      <c r="NT93" s="3">
        <f ca="1">IFERROR(__xludf.DUMMYFUNCTION("""COMPUTED_VALUE"""),-0.78759498536751)</f>
        <v>-0.78759498536751005</v>
      </c>
      <c r="NU93" s="3">
        <f ca="1">IFERROR(__xludf.DUMMYFUNCTION("""COMPUTED_VALUE"""),-0.754898804775588)</f>
        <v>-0.75489880477558802</v>
      </c>
      <c r="NV93" s="3">
        <f ca="1">IFERROR(__xludf.DUMMYFUNCTION("""COMPUTED_VALUE"""),-0.638032231030867)</f>
        <v>-0.63803223103086704</v>
      </c>
      <c r="NW93" s="3">
        <f ca="1">IFERROR(__xludf.DUMMYFUNCTION("""COMPUTED_VALUE"""),-0.658364424586446)</f>
        <v>-0.65836442458644595</v>
      </c>
      <c r="NX93" s="3">
        <f ca="1">IFERROR(__xludf.DUMMYFUNCTION("""COMPUTED_VALUE"""),-0.665597971065779)</f>
        <v>-0.665597971065779</v>
      </c>
      <c r="NY93" s="3">
        <f ca="1">IFERROR(__xludf.DUMMYFUNCTION("""COMPUTED_VALUE"""),-0.653628166089679)</f>
        <v>-0.653628166089679</v>
      </c>
      <c r="NZ93" s="3">
        <f ca="1">IFERROR(__xludf.DUMMYFUNCTION("""COMPUTED_VALUE"""),-0.608431063343239)</f>
        <v>-0.60843106334323904</v>
      </c>
      <c r="OA93" s="3">
        <f ca="1">IFERROR(__xludf.DUMMYFUNCTION("""COMPUTED_VALUE"""),-0.524108249612278)</f>
        <v>-0.52410824961227798</v>
      </c>
      <c r="OB93" s="3">
        <f ca="1">IFERROR(__xludf.DUMMYFUNCTION("""COMPUTED_VALUE"""),-0.40727772556371)</f>
        <v>-0.40727772556371</v>
      </c>
      <c r="OC93" s="3">
        <f ca="1">IFERROR(__xludf.DUMMYFUNCTION("""COMPUTED_VALUE"""),-0.220135806785642)</f>
        <v>-0.22013580678564201</v>
      </c>
      <c r="OD93" s="3">
        <f ca="1">IFERROR(__xludf.DUMMYFUNCTION("""COMPUTED_VALUE"""),-0.26887521319692)</f>
        <v>-0.26887521319691998</v>
      </c>
      <c r="OE93" s="3">
        <f ca="1">IFERROR(__xludf.DUMMYFUNCTION("""COMPUTED_VALUE"""),-0.178964602063822)</f>
        <v>-0.178964602063822</v>
      </c>
      <c r="OF93" s="3">
        <f ca="1">IFERROR(__xludf.DUMMYFUNCTION("""COMPUTED_VALUE"""),-0.090608981621693)</f>
        <v>-9.0608981621692994E-2</v>
      </c>
      <c r="OG93" s="3">
        <f ca="1">IFERROR(__xludf.DUMMYFUNCTION("""COMPUTED_VALUE"""),-0.0344529902394162)</f>
        <v>-3.4452990239416198E-2</v>
      </c>
      <c r="OH93" s="3">
        <f ca="1">IFERROR(__xludf.DUMMYFUNCTION("""COMPUTED_VALUE"""),-0.0567812060401234)</f>
        <v>-5.6781206040123398E-2</v>
      </c>
      <c r="OI93" s="3">
        <f ca="1">IFERROR(__xludf.DUMMYFUNCTION("""COMPUTED_VALUE"""),-0.0324902707704253)</f>
        <v>-3.2490270770425302E-2</v>
      </c>
      <c r="OJ93" s="3">
        <f ca="1">IFERROR(__xludf.DUMMYFUNCTION("""COMPUTED_VALUE"""),0.0196228898716943)</f>
        <v>1.9622889871694301E-2</v>
      </c>
      <c r="OK93" s="3">
        <f ca="1">IFERROR(__xludf.DUMMYFUNCTION("""COMPUTED_VALUE"""),0.0256914690091871)</f>
        <v>2.56914690091871E-2</v>
      </c>
      <c r="OL93" s="3">
        <f ca="1">IFERROR(__xludf.DUMMYFUNCTION("""COMPUTED_VALUE"""),0.028186425664501)</f>
        <v>2.8186425664501E-2</v>
      </c>
      <c r="OM93" s="3">
        <f ca="1">IFERROR(__xludf.DUMMYFUNCTION("""COMPUTED_VALUE"""),0.0289286786707583)</f>
        <v>2.8928678670758299E-2</v>
      </c>
      <c r="ON93" s="3">
        <f ca="1">IFERROR(__xludf.DUMMYFUNCTION("""COMPUTED_VALUE"""),0.0102431281141117)</f>
        <v>1.02431281141117E-2</v>
      </c>
      <c r="OO93" s="3">
        <f ca="1">IFERROR(__xludf.DUMMYFUNCTION("""COMPUTED_VALUE"""),-0.00376941028035027)</f>
        <v>-3.7694102803502699E-3</v>
      </c>
      <c r="OP93" s="3">
        <f ca="1">IFERROR(__xludf.DUMMYFUNCTION("""COMPUTED_VALUE"""),-0.00695940351939783)</f>
        <v>-6.9594035193978297E-3</v>
      </c>
      <c r="OQ93" s="3">
        <f ca="1">IFERROR(__xludf.DUMMYFUNCTION("""COMPUTED_VALUE"""),0.062153738339431)</f>
        <v>6.2153738339430997E-2</v>
      </c>
      <c r="OR93" s="3">
        <f ca="1">IFERROR(__xludf.DUMMYFUNCTION("""COMPUTED_VALUE"""),-0.0136943468440822)</f>
        <v>-1.36943468440822E-2</v>
      </c>
      <c r="OS93" s="3">
        <f ca="1">IFERROR(__xludf.DUMMYFUNCTION("""COMPUTED_VALUE"""),0.00848694710349851)</f>
        <v>8.48694710349851E-3</v>
      </c>
      <c r="OT93" s="3">
        <f ca="1">IFERROR(__xludf.DUMMYFUNCTION("""COMPUTED_VALUE"""),0.0359555189131477)</f>
        <v>3.5955518913147702E-2</v>
      </c>
      <c r="OU93" s="3">
        <f ca="1">IFERROR(__xludf.DUMMYFUNCTION("""COMPUTED_VALUE"""),0.0993942292670151)</f>
        <v>9.9394229267015105E-2</v>
      </c>
      <c r="OV93" s="3">
        <f ca="1">IFERROR(__xludf.DUMMYFUNCTION("""COMPUTED_VALUE"""),-0.00136409942478821)</f>
        <v>-1.3640994247882099E-3</v>
      </c>
      <c r="OW93" s="3">
        <f ca="1">IFERROR(__xludf.DUMMYFUNCTION("""COMPUTED_VALUE"""),0.19304462026848)</f>
        <v>0.19304462026847999</v>
      </c>
      <c r="OX93" s="3">
        <f ca="1">IFERROR(__xludf.DUMMYFUNCTION("""COMPUTED_VALUE"""),0.0625883502082687)</f>
        <v>6.2588350208268695E-2</v>
      </c>
      <c r="OY93" s="3">
        <f ca="1">IFERROR(__xludf.DUMMYFUNCTION("""COMPUTED_VALUE"""),0.0496319360865986)</f>
        <v>4.9631936086598598E-2</v>
      </c>
      <c r="OZ93" s="3">
        <f ca="1">IFERROR(__xludf.DUMMYFUNCTION("""COMPUTED_VALUE"""),-0.0891839668044405)</f>
        <v>-8.9183966804440504E-2</v>
      </c>
      <c r="PA93" s="3">
        <f ca="1">IFERROR(__xludf.DUMMYFUNCTION("""COMPUTED_VALUE"""),-0.118621166415128)</f>
        <v>-0.118621166415128</v>
      </c>
      <c r="PB93" s="3">
        <f ca="1">IFERROR(__xludf.DUMMYFUNCTION("""COMPUTED_VALUE"""),-0.126847740224794)</f>
        <v>-0.126847740224794</v>
      </c>
      <c r="PC93" s="3">
        <f ca="1">IFERROR(__xludf.DUMMYFUNCTION("""COMPUTED_VALUE"""),-0.124535703946465)</f>
        <v>-0.124535703946465</v>
      </c>
      <c r="PD93" s="3">
        <f ca="1">IFERROR(__xludf.DUMMYFUNCTION("""COMPUTED_VALUE"""),-0.421612448884077)</f>
        <v>-0.42161244888407701</v>
      </c>
      <c r="PE93" s="3">
        <f ca="1">IFERROR(__xludf.DUMMYFUNCTION("""COMPUTED_VALUE"""),0.0825704741698958)</f>
        <v>8.2570474169895797E-2</v>
      </c>
      <c r="PF93" s="3">
        <f ca="1">IFERROR(__xludf.DUMMYFUNCTION("""COMPUTED_VALUE"""),0.00252278840764241)</f>
        <v>2.52278840764241E-3</v>
      </c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</row>
    <row r="94" spans="1:594" ht="13">
      <c r="A94" s="1" t="str">
        <f ca="1">IFERROR(__xludf.DUMMYFUNCTION("""COMPUTED_VALUE"""),"")</f>
        <v/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</row>
    <row r="95" spans="1:594" ht="13">
      <c r="A95" s="1" t="str">
        <f ca="1">IFERROR(__xludf.DUMMYFUNCTION("""COMPUTED_VALUE"""),"Updated on 2021-04-11 20:26:28")</f>
        <v>Updated on 2021-04-11 20:26:28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</row>
    <row r="96" spans="1:594" ht="13">
      <c r="A96" s="1" t="str">
        <f ca="1">IFERROR(__xludf.DUMMYFUNCTION("""COMPUTED_VALUE"""),"Note : This spreadsheet gets overwritten on a regular basis")</f>
        <v>Note : This spreadsheet gets overwritten on a regular basis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</row>
    <row r="97" spans="1:594" ht="1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</row>
    <row r="98" spans="1:594" ht="1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</row>
    <row r="99" spans="1:594" ht="1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</row>
    <row r="100" spans="1:594" ht="1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</row>
    <row r="101" spans="1:594" ht="1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</row>
    <row r="102" spans="1:594" ht="1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</row>
    <row r="103" spans="1:594" ht="1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</row>
    <row r="104" spans="1:594" ht="1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</row>
    <row r="105" spans="1:594" ht="1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</row>
    <row r="106" spans="1:594" ht="1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</row>
    <row r="107" spans="1:594" ht="1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</row>
    <row r="108" spans="1:594" ht="1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</row>
    <row r="109" spans="1:594" ht="1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</row>
    <row r="110" spans="1:594" ht="1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</row>
    <row r="111" spans="1:594" ht="1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</row>
    <row r="112" spans="1:594" ht="1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</row>
    <row r="113" spans="1:594" ht="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</row>
    <row r="114" spans="1:594" ht="1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</row>
    <row r="115" spans="1:594" ht="1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</row>
    <row r="116" spans="1:594" ht="1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</row>
    <row r="117" spans="1:594" ht="1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</row>
    <row r="118" spans="1:594" ht="1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</row>
    <row r="119" spans="1:594" ht="1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</row>
    <row r="120" spans="1:594" ht="1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</row>
    <row r="121" spans="1:594" ht="1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</row>
    <row r="122" spans="1:594" ht="1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</row>
    <row r="123" spans="1:594" ht="1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</row>
    <row r="124" spans="1:594" ht="1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</row>
    <row r="125" spans="1:594" ht="1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</row>
    <row r="126" spans="1:594" ht="1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</row>
    <row r="127" spans="1:594" ht="1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</row>
    <row r="128" spans="1:594" ht="1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</row>
    <row r="129" spans="1:594" ht="1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</row>
    <row r="130" spans="1:594" ht="1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</row>
    <row r="131" spans="1:594" ht="1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</row>
    <row r="132" spans="1:594" ht="1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</row>
    <row r="133" spans="1:594" ht="1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</row>
    <row r="134" spans="1:594" ht="1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</row>
    <row r="135" spans="1:594" ht="1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</row>
    <row r="136" spans="1:594" ht="1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</row>
    <row r="137" spans="1:594" ht="1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</row>
    <row r="138" spans="1:594" ht="1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</row>
    <row r="139" spans="1:594" ht="1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</row>
    <row r="140" spans="1:594" ht="1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</row>
    <row r="141" spans="1:594" ht="1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</row>
    <row r="142" spans="1:594" ht="1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</row>
    <row r="143" spans="1:594" ht="1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</row>
    <row r="144" spans="1:594" ht="1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</row>
    <row r="145" spans="1:594" ht="1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</row>
    <row r="146" spans="1:594" ht="1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</row>
    <row r="147" spans="1:594" ht="1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</row>
    <row r="148" spans="1:594" ht="1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</row>
    <row r="149" spans="1:594" ht="1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</row>
    <row r="150" spans="1:594" ht="1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</row>
    <row r="151" spans="1:594" ht="1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</row>
    <row r="152" spans="1:594" ht="1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</row>
    <row r="153" spans="1:594" ht="1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</row>
    <row r="154" spans="1:594" ht="1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</row>
    <row r="155" spans="1:594" ht="1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</row>
    <row r="156" spans="1:594" ht="1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</row>
    <row r="157" spans="1:594" ht="1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</row>
    <row r="158" spans="1:594" ht="1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</row>
    <row r="159" spans="1:594" ht="1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</row>
    <row r="160" spans="1:594" ht="1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</row>
    <row r="161" spans="1:594" ht="1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</row>
    <row r="162" spans="1:594" ht="1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</row>
    <row r="163" spans="1:594" ht="1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</row>
    <row r="164" spans="1:594" ht="1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</row>
    <row r="165" spans="1:594" ht="1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</row>
    <row r="166" spans="1:594" ht="1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</row>
    <row r="167" spans="1:594" ht="1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</row>
    <row r="168" spans="1:594" ht="1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</row>
    <row r="169" spans="1:594" ht="1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</row>
    <row r="170" spans="1:594" ht="1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</row>
    <row r="171" spans="1:594" ht="1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</row>
    <row r="172" spans="1:594" ht="1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</row>
    <row r="173" spans="1:594" ht="1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</row>
    <row r="174" spans="1:594" ht="1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</row>
    <row r="175" spans="1:594" ht="1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</row>
    <row r="176" spans="1:594" ht="1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</row>
    <row r="177" spans="1:594" ht="1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</row>
    <row r="178" spans="1:594" ht="1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</row>
    <row r="179" spans="1:594" ht="1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</row>
    <row r="180" spans="1:594" ht="1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</row>
    <row r="181" spans="1:594" ht="1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</row>
    <row r="182" spans="1:594" ht="1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</row>
    <row r="183" spans="1:594" ht="1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</row>
    <row r="184" spans="1:594" ht="1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</row>
    <row r="185" spans="1:594" ht="1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</row>
    <row r="186" spans="1:594" ht="1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</row>
    <row r="187" spans="1:594" ht="1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</row>
    <row r="188" spans="1:594" ht="1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</row>
    <row r="189" spans="1:594" ht="1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</row>
    <row r="190" spans="1:594" ht="1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</row>
    <row r="191" spans="1:594" ht="1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</row>
    <row r="192" spans="1:594" ht="1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</row>
    <row r="193" spans="1:594" ht="1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</row>
    <row r="194" spans="1:594" ht="1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</row>
    <row r="195" spans="1:594" ht="1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</row>
    <row r="196" spans="1:594" ht="1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</row>
    <row r="197" spans="1:594" ht="1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</row>
    <row r="198" spans="1:594" ht="1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</row>
    <row r="199" spans="1:594" ht="1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</row>
    <row r="200" spans="1:594" ht="1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</row>
    <row r="201" spans="1:594" ht="1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</row>
    <row r="202" spans="1:594" ht="1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</row>
    <row r="203" spans="1:594" ht="1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</row>
    <row r="204" spans="1:594" ht="1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</row>
    <row r="205" spans="1:594" ht="1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</row>
    <row r="206" spans="1:594" ht="1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</row>
    <row r="207" spans="1:594" ht="1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</row>
    <row r="208" spans="1:594" ht="1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</row>
    <row r="209" spans="1:594" ht="1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</row>
    <row r="210" spans="1:594" ht="1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</row>
    <row r="211" spans="1:594" ht="1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</row>
    <row r="212" spans="1:594" ht="1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</row>
    <row r="213" spans="1:594" ht="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</row>
    <row r="214" spans="1:594" ht="1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</row>
    <row r="215" spans="1:594" ht="1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</row>
    <row r="216" spans="1:594" ht="1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</row>
    <row r="217" spans="1:594" ht="1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</row>
    <row r="218" spans="1:594" ht="1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</row>
    <row r="219" spans="1:594" ht="1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</row>
    <row r="220" spans="1:594" ht="1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</row>
    <row r="221" spans="1:594" ht="1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</row>
    <row r="222" spans="1:594" ht="1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</row>
    <row r="223" spans="1:594" ht="1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</row>
    <row r="224" spans="1:594" ht="1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</row>
    <row r="225" spans="1:594" ht="1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</row>
    <row r="226" spans="1:594" ht="1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</row>
    <row r="227" spans="1:594" ht="1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</row>
    <row r="228" spans="1:594" ht="1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</row>
    <row r="229" spans="1:594" ht="1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</row>
    <row r="230" spans="1:594" ht="1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</row>
    <row r="231" spans="1:594" ht="1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</row>
    <row r="232" spans="1:594" ht="1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</row>
    <row r="233" spans="1:594" ht="1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</row>
    <row r="234" spans="1:594" ht="1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</row>
    <row r="235" spans="1:594" ht="1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</row>
    <row r="236" spans="1:594" ht="1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</row>
    <row r="237" spans="1:594" ht="1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</row>
    <row r="238" spans="1:594" ht="1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</row>
    <row r="239" spans="1:594" ht="1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</row>
    <row r="240" spans="1:594" ht="1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</row>
    <row r="241" spans="1:594" ht="1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</row>
    <row r="242" spans="1:594" ht="1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</row>
    <row r="243" spans="1:594" ht="1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</row>
    <row r="244" spans="1:594" ht="1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</row>
    <row r="245" spans="1:594" ht="1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</row>
    <row r="246" spans="1:594" ht="1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</row>
    <row r="247" spans="1:594" ht="1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</row>
    <row r="248" spans="1:594" ht="1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</row>
    <row r="249" spans="1:594" ht="1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</row>
    <row r="250" spans="1:594" ht="1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</row>
    <row r="251" spans="1:594" ht="1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</row>
    <row r="252" spans="1:594" ht="1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</row>
    <row r="253" spans="1:594" ht="1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</row>
    <row r="254" spans="1:594" ht="1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</row>
    <row r="255" spans="1:594" ht="1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</row>
    <row r="256" spans="1:594" ht="1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</row>
    <row r="257" spans="1:594" ht="1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</row>
    <row r="258" spans="1:594" ht="1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</row>
    <row r="259" spans="1:594" ht="1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</row>
    <row r="260" spans="1:594" ht="1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</row>
    <row r="261" spans="1:594" ht="1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</row>
    <row r="262" spans="1:594" ht="1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</row>
    <row r="263" spans="1:594" ht="1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</row>
    <row r="264" spans="1:594" ht="1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</row>
    <row r="265" spans="1:594" ht="1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</row>
    <row r="266" spans="1:594" ht="1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</row>
    <row r="267" spans="1:594" ht="1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</row>
    <row r="268" spans="1:594" ht="1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</row>
    <row r="269" spans="1:594" ht="1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</row>
    <row r="270" spans="1:594" ht="1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</row>
    <row r="271" spans="1:594" ht="1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</row>
    <row r="272" spans="1:594" ht="1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</row>
    <row r="273" spans="1:594" ht="1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</row>
    <row r="274" spans="1:594" ht="1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</row>
    <row r="275" spans="1:594" ht="1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</row>
    <row r="276" spans="1:594" ht="1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</row>
    <row r="277" spans="1:594" ht="1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</row>
    <row r="278" spans="1:594" ht="1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</row>
    <row r="279" spans="1:594" ht="1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</row>
    <row r="280" spans="1:594" ht="1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</row>
    <row r="281" spans="1:594" ht="1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</row>
    <row r="282" spans="1:594" ht="1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</row>
    <row r="283" spans="1:594" ht="1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</row>
    <row r="284" spans="1:594" ht="1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</row>
    <row r="285" spans="1:594" ht="1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</row>
    <row r="286" spans="1:594" ht="1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</row>
    <row r="287" spans="1:594" ht="1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</row>
    <row r="288" spans="1:594" ht="1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</row>
    <row r="289" spans="1:594" ht="1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</row>
    <row r="290" spans="1:594" ht="1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</row>
    <row r="291" spans="1:594" ht="1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</row>
    <row r="292" spans="1:594" ht="1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</row>
    <row r="293" spans="1:594" ht="1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</row>
    <row r="294" spans="1:594" ht="1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</row>
    <row r="295" spans="1:594" ht="1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</row>
    <row r="296" spans="1:594" ht="1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</row>
    <row r="297" spans="1:594" ht="1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</row>
    <row r="298" spans="1:594" ht="1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</row>
    <row r="299" spans="1:594" ht="1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</row>
    <row r="300" spans="1:594" ht="1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Countries Daily</vt:lpstr>
      <vt:lpstr>Agencies Daily</vt:lpstr>
      <vt:lpstr>Metro Areas 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Jessica Rapson</cp:lastModifiedBy>
  <dcterms:created xsi:type="dcterms:W3CDTF">2021-04-12T19:24:13Z</dcterms:created>
  <dcterms:modified xsi:type="dcterms:W3CDTF">2021-04-12T19:24:20Z</dcterms:modified>
</cp:coreProperties>
</file>